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<sst xmlns="http://schemas.openxmlformats.org/spreadsheetml/2006/main" count="74845" uniqueCount="47054">
  <si>
    <t>names</t>
  </si>
  <si>
    <t>sentences</t>
  </si>
  <si>
    <t>translation</t>
  </si>
  <si>
    <t>v_QOlSCBRmfWY</t>
  </si>
  <si>
    <t>A young woman is seen standing in a room and leads into her dancing.</t>
  </si>
  <si>
    <t>The girl dances around the room while the camera captures her movements.</t>
  </si>
  <si>
    <t>She continues dancing around the room and ends by laying on the floor.</t>
  </si>
  <si>
    <t>v_ehGHCYKzyZ8</t>
  </si>
  <si>
    <t>The video starts with a title logo sequence.</t>
  </si>
  <si>
    <t>A man and woman are in a living room demonstrating exercises.</t>
  </si>
  <si>
    <t>The woman lays on the ground.</t>
  </si>
  <si>
    <t>The man starts pointing to different areas of the woman's body as she does an exercise.</t>
  </si>
  <si>
    <t>The woman begins to do small sit ups.</t>
  </si>
  <si>
    <t>The woman ends with a final title logo sequence.</t>
  </si>
  <si>
    <t>v_nwznKOuZM7w</t>
  </si>
  <si>
    <t>Two people are seen moving around a kitchen quickly performing various tasks and sitting down.</t>
  </si>
  <si>
    <t>They then wax down a ski in the kitchen while continuing to move around.</t>
  </si>
  <si>
    <t>v_ogQozSI5V8U</t>
  </si>
  <si>
    <t>We see a hallway with a wooden floor.</t>
  </si>
  <si>
    <t>A dog in socks walks slowly out onto the floor as a lady films him.</t>
  </si>
  <si>
    <t>The dog turns around and goes back to the other room.</t>
  </si>
  <si>
    <t>v_nHE7u40plD0</t>
  </si>
  <si>
    <t>A woman and a man are sitting on the sidewalk playing music.</t>
  </si>
  <si>
    <t>People stand next to them and watch them play.</t>
  </si>
  <si>
    <t>A little boy holding a yellow ball walks by.</t>
  </si>
  <si>
    <t>A man poses for a picture in front of them.</t>
  </si>
  <si>
    <t>v_69IsHpmRyfk</t>
  </si>
  <si>
    <t>A young girl is seen sitting in a chair with a person standing next to her.</t>
  </si>
  <si>
    <t>The person next to her then piercing one ear followed by the other.</t>
  </si>
  <si>
    <t>The person rubs lotion on the piercings afterwards.</t>
  </si>
  <si>
    <t>v_D18b2IZpxk0</t>
  </si>
  <si>
    <t>A woman is shown riding a camel past pyramids in Egypt.</t>
  </si>
  <si>
    <t>The camel walks as the woman leans forward.</t>
  </si>
  <si>
    <t>And hand covers the lens as the harness is shown.</t>
  </si>
  <si>
    <t>v_pizl41xmw7k</t>
  </si>
  <si>
    <t>A child mops the floor of a hallway in a house.</t>
  </si>
  <si>
    <t>The child sets the mop down and plays with her family member.</t>
  </si>
  <si>
    <t>The child walks into the bedroom area and continues to mop the floor.</t>
  </si>
  <si>
    <t>v_oP77DgsbhKQ</t>
  </si>
  <si>
    <t>A man is seen kneeling down on the floor speaking to the camera.</t>
  </si>
  <si>
    <t>The man mixes up various ingredients and begins laying plaster on the floor.</t>
  </si>
  <si>
    <t>He measures the floor and tiles and cuts out a piece of tile to lay on the floor.</t>
  </si>
  <si>
    <t>He continues laying tiles on the floor while looking back to speak to the camera.</t>
  </si>
  <si>
    <t>v_fzp5ooc727c</t>
  </si>
  <si>
    <t>Two lines of young men are walking side by side down a road.</t>
  </si>
  <si>
    <t>Then one man stands in a field holding a wooden object and begins twisting it.</t>
  </si>
  <si>
    <t>He then bends down and grabs a ball.</t>
  </si>
  <si>
    <t>After,the ball is placed on the ground and he picks it up and hits it as if he's playing baseball.</t>
  </si>
  <si>
    <t>The ball is thrown back and he its it again.</t>
  </si>
  <si>
    <t>Shortly after, a field of men are shown and they begin playing a game against one another.</t>
  </si>
  <si>
    <t>There was a penalty and one players attempts to hit the ball into the goal from the side.</t>
  </si>
  <si>
    <t>After,everyone is pictured lying down on the ground as if they are dead but one person begins to sit up but gets hit in the head by the ball and lays back down.</t>
  </si>
  <si>
    <t>Lastly,the screen flashes to a black screen and the words The End are shown.</t>
  </si>
  <si>
    <t>v_fN2DiOswmOA</t>
  </si>
  <si>
    <t>The screen shows the title of preparing a Chilean Hulte salad dish.</t>
  </si>
  <si>
    <t>A person is mixing salad ingredients in a large bowl.</t>
  </si>
  <si>
    <t>There is information shown about Dr.</t>
  </si>
  <si>
    <t>Rachel Collin's trip to Chile.</t>
  </si>
  <si>
    <t>There are several people standing under a canopy at a food market.</t>
  </si>
  <si>
    <t>Two customers make a purchase and give money to the seller and give the camera a thumbs up.</t>
  </si>
  <si>
    <t>The chef is showing hulte placed on a kitchen counter.</t>
  </si>
  <si>
    <t>The chef is slicing the hulte in circular bite size pieces.</t>
  </si>
  <si>
    <t>A woman eats the cut pieces of hulte.</t>
  </si>
  <si>
    <t>The chef chops some cilantro on the kitchen counter.</t>
  </si>
  <si>
    <t>Then the chef places the ingredients in a salad bowl.</t>
  </si>
  <si>
    <t>The finished product is shown on screen, followed by a group of people sitting together and enjoying the salad.</t>
  </si>
  <si>
    <t>The end credits are displayed on the screen.</t>
  </si>
  <si>
    <t>v_t0ajvfx6dgA</t>
  </si>
  <si>
    <t>A man in a suit is sitting behind a desk.</t>
  </si>
  <si>
    <t>People are playing lacrosse on a field of grass.</t>
  </si>
  <si>
    <t>A person in a yellow uniform is standing in front of a net blocking balls.</t>
  </si>
  <si>
    <t>v_IoiDAHNryTk</t>
  </si>
  <si>
    <t>A girl is seen climbing across a set of monkey bars followed by her waving to the camera.</t>
  </si>
  <si>
    <t>She climbs her way back on the bars and jumps down mid way through.</t>
  </si>
  <si>
    <t>v__yWADgOFxP0</t>
  </si>
  <si>
    <t>A camera pans over a snowy area and leads into a man standing on a snowboard and riding down a mountain.</t>
  </si>
  <si>
    <t>The man zooms in on himself riding down the hill and ends with him turning off the camera.</t>
  </si>
  <si>
    <t>v_AGgJVF3nT6I</t>
  </si>
  <si>
    <t>A playroom is seen followed by a young boy sliding down a slide and climbing back up again.</t>
  </si>
  <si>
    <t>He slides down again, this time landing on his back, and continues to slide down several more times.</t>
  </si>
  <si>
    <t>v_XD3yFrJHiv8</t>
  </si>
  <si>
    <t>A man and woman are sitting on red couches with sports jerseys hanging on the wall and a blue screen on the wall behind them in the middle of them.</t>
  </si>
  <si>
    <t>The woman picks up a clipboard next to her and smooths out the papers that are on top of it while smiling, crosses her legs and sits back.</t>
  </si>
  <si>
    <t>The man is talking this whole time while the woman gets comfortable on her couch and the woman briefly talks.</t>
  </si>
  <si>
    <t>Various clips begin to play and it briefly shows parts of a city, then most of it is of men outdoors and playing soccer on sand in a middle of city, and occasionally blue words pop up on the screen when certain plays in the game are made.</t>
  </si>
  <si>
    <t>When the clips end the man and woman on the couch begin talking and she puts her clipboard down.</t>
  </si>
  <si>
    <t>v_lZKrd84QElk</t>
  </si>
  <si>
    <t>The former president is seen walking in a large field next to a woman and surrounded by a large crowd.</t>
  </si>
  <si>
    <t>The man gives a speech while people cheering and he shakes hands with others.</t>
  </si>
  <si>
    <t>The man then shares a beer with other people around him.</t>
  </si>
  <si>
    <t>v_6lYTHj9vImo</t>
  </si>
  <si>
    <t>Four kids are outside in the beach playing in the sand,two boys on the left and two girls on the right.</t>
  </si>
  <si>
    <t>The girls have about six sand castles and a large circle surrounding it filled with water.</t>
  </si>
  <si>
    <t>They then take off running to the beach to grab more water as the boy comes and looks at their work.</t>
  </si>
  <si>
    <t>Once they are done,both of the girls take off running to the water but then stop midway to come back and get their floats.</t>
  </si>
  <si>
    <t>v_E3QtX6r9QX0</t>
  </si>
  <si>
    <t>A large pile of leaves are seen being blown around with shots of a blower being shown.</t>
  </si>
  <si>
    <t>the leaves continue to be shown blowing around as well as a machine sitting off in the distance.</t>
  </si>
  <si>
    <t>v_iYxj8a1TPYk</t>
  </si>
  <si>
    <t>A basketball player is seen dribbling a ball in various shots for the camera and leads into the player making baskets over and over again.</t>
  </si>
  <si>
    <t>The man is then seen speaking to the camera and transitions into him scoring several more baskets.</t>
  </si>
  <si>
    <t>v_cp52LdlmlUk</t>
  </si>
  <si>
    <t>People are standing in a room working out.</t>
  </si>
  <si>
    <t>They are stepping up and down on small stepping stools.</t>
  </si>
  <si>
    <t>They continue working out in the room.</t>
  </si>
  <si>
    <t>v_bpg2PC2neQM</t>
  </si>
  <si>
    <t>A black and white video is being played of people playing lacrosse on a field.</t>
  </si>
  <si>
    <t>It then turns back to color and splits into multiple frames and speeds.</t>
  </si>
  <si>
    <t>The video includes numerous clips of players in lacrosse games, hitting the ball toward opposing goals.</t>
  </si>
  <si>
    <t>v_RgzbNJPchqc</t>
  </si>
  <si>
    <t>A man is playing the bagpipes in front of people.</t>
  </si>
  <si>
    <t>The people on the couch in front of him start laughing.</t>
  </si>
  <si>
    <t>v__zHSfEhEqkU</t>
  </si>
  <si>
    <t>A man is seen padding a canoe along the water while the camera captures him from several angles.</t>
  </si>
  <si>
    <t>The man continues riding around followed by performing several ways to turn the canoe around.</t>
  </si>
  <si>
    <t>v_EsVxUf4Ae2c</t>
  </si>
  <si>
    <t>A man is standing on ice with his pole standing straight up beside him.</t>
  </si>
  <si>
    <t>The man grabs his fishing pole and starts fishing in the hole in the ice.</t>
  </si>
  <si>
    <t>The man appears to have caught something and kneels down to pull his fishing line by hand.</t>
  </si>
  <si>
    <t>The man pulls a fish out of the water and poses with it.</t>
  </si>
  <si>
    <t>The man unhooks the hook from the fish's mouth.</t>
  </si>
  <si>
    <t>The man kisses the fish and releases it back into the hole.</t>
  </si>
  <si>
    <t>v_---9CpRcKoU</t>
  </si>
  <si>
    <t>A man was sitting inside a room.</t>
  </si>
  <si>
    <t>He is holding a bowl of noodles and broth.</t>
  </si>
  <si>
    <t>He is drinking the broth from a bowl.</t>
  </si>
  <si>
    <t>v_epqnpUCVLK8</t>
  </si>
  <si>
    <t>A little boy is laying on an exercise ball.</t>
  </si>
  <si>
    <t>The boy falls of and gets back on the ball before he falls off again.</t>
  </si>
  <si>
    <t>He tries to sit on the ball but the ball rolls away.</t>
  </si>
  <si>
    <t>He retrieves it and continues to sit on and fall off the ball.</t>
  </si>
  <si>
    <t>v_GFE2wAi9fjo</t>
  </si>
  <si>
    <t>A woman puts a pair of shoes on while sitting in an office chair.</t>
  </si>
  <si>
    <t>The woman buckles her shoes.</t>
  </si>
  <si>
    <t>v_W19-fYOO9sg</t>
  </si>
  <si>
    <t>A close up of a bike wheel is seen that leads into a person's hands pushing on the tire.</t>
  </si>
  <si>
    <t>The person uses a tool along the tire to help move it along.</t>
  </si>
  <si>
    <t>The person finally pushes the tire along it's sides.</t>
  </si>
  <si>
    <t>v_ztD4lVJATws</t>
  </si>
  <si>
    <t>A woman is seen kneeling on the floor and pulling onto a piece of exercise equipment.</t>
  </si>
  <si>
    <t>The woman begins turning her body with the equipment while speaking to the camera.</t>
  </si>
  <si>
    <t>She continues pulling onto the lever while looking back to the camera.</t>
  </si>
  <si>
    <t>v_V_Nj_BhesEY</t>
  </si>
  <si>
    <t>Three people stand by the corner of a building.</t>
  </si>
  <si>
    <t>One of the persons, a young boy, takes a bow.</t>
  </si>
  <si>
    <t>A crowd of people watch him.</t>
  </si>
  <si>
    <t>He proceeds to perform various karate moves, such as bowing, cartwheels and flips.</t>
  </si>
  <si>
    <t>v_p9iE8iemCMs</t>
  </si>
  <si>
    <t>A person is holding a flute.</t>
  </si>
  <si>
    <t>The person shows a fingering for the second octave of the note.</t>
  </si>
  <si>
    <t>The person shows the fingering on the third octave.</t>
  </si>
  <si>
    <t>The woman talks directly to the camera.</t>
  </si>
  <si>
    <t>v_bNwrAuu0qiQ</t>
  </si>
  <si>
    <t>An intro leads into several pictures of a tennis player and leaders into video footage of the player playing matches.</t>
  </si>
  <si>
    <t>The tennis player is shown in several shots of games performing incredible stunts and clenching his fists to celebrate in the end.</t>
  </si>
  <si>
    <t>v_37pwbUp8t1I</t>
  </si>
  <si>
    <t>Hiphop dancers perform in front of a crowd.</t>
  </si>
  <si>
    <t>They are all doing the same basic dance and having pictures taken of them.</t>
  </si>
  <si>
    <t>v_TmI9MxCDBMw</t>
  </si>
  <si>
    <t>A murky river is shown next to a row of trees.</t>
  </si>
  <si>
    <t>A bunch of people on intertubes go by slowly.</t>
  </si>
  <si>
    <t>Then we see rapid waters as the tubers go over small falls.</t>
  </si>
  <si>
    <t>v_4x7HYKV8zkY</t>
  </si>
  <si>
    <t>Three girls are on the beach talking.</t>
  </si>
  <si>
    <t>They do several flips on the beach.</t>
  </si>
  <si>
    <t>They lift one of the girls up for a stunt.</t>
  </si>
  <si>
    <t>v__Af_9cK5x4E</t>
  </si>
  <si>
    <t>The camera pans above lush and green terrain over what looks like a mountain range.</t>
  </si>
  <si>
    <t>A man is shown covered in sweat and then jumping across various hills performing stunts on a dirt bike.</t>
  </si>
  <si>
    <t>He rotates and flips and performs all sorts of acrobatics.</t>
  </si>
  <si>
    <t>He is highly skilled and jumping over everything.</t>
  </si>
  <si>
    <t>The video then shows multiple men on dirt bikes jumping in various different places and shows the action from a variety of angles.</t>
  </si>
  <si>
    <t>The men continue performing their stuns in various other landscapes.</t>
  </si>
  <si>
    <t>v_y5j9TqTy9Xw</t>
  </si>
  <si>
    <t>A woman is walking along a track.</t>
  </si>
  <si>
    <t>She takes off at a fast run.</t>
  </si>
  <si>
    <t>She jumps over a bar and onto a mat.</t>
  </si>
  <si>
    <t>v_Kp7pUEKrb8Q</t>
  </si>
  <si>
    <t>A person is slicing limes on a board.</t>
  </si>
  <si>
    <t>They put the limes and sugar into a blender.</t>
  </si>
  <si>
    <t>They strain the juice and pour it into a jar.</t>
  </si>
  <si>
    <t>They put a straw and a lime wedge on the rim of the glass.</t>
  </si>
  <si>
    <t>v_5lre5zbUV1Q</t>
  </si>
  <si>
    <t>A child scrubs out the kitchen sink using a brush.</t>
  </si>
  <si>
    <t>The boy turns on the sink faucet.</t>
  </si>
  <si>
    <t>The child uses the faucet nozzle to rinse out the sink.</t>
  </si>
  <si>
    <t>The boy returns the sink nozzle to the faucet and turns off the water.</t>
  </si>
  <si>
    <t>v_D0dyvNTI7yU</t>
  </si>
  <si>
    <t>A man in a bare studio showcases a series of martial arts moves by himself in front of a camera.</t>
  </si>
  <si>
    <t>A man appears in a white t-shirt and black pants, barefoot and begins to showcase martial arts moves.</t>
  </si>
  <si>
    <t>The man begins using moves that exhibit floor work and light tumbles along with a headstand.</t>
  </si>
  <si>
    <t>The man progresses into controlled somersaults and side to side work along with high kicks.</t>
  </si>
  <si>
    <t>v_huFuRGoZt9I</t>
  </si>
  <si>
    <t>A dealer is shown laying out cards on a table while other people's hands are shown on the side.</t>
  </si>
  <si>
    <t>The person then lays out cards while another person lays out their chips.</t>
  </si>
  <si>
    <t>v_CmEQjszPDrg</t>
  </si>
  <si>
    <t>Several people are outside with running equipment and numbers pinned to them jogging at a slow pace at what seams to be a Marathon or a 5k.</t>
  </si>
  <si>
    <t>A lady dressed in all black however,seems to be the focal point throughout the video and she is walking at an extremely slow pace for the whole time.</t>
  </si>
  <si>
    <t>After the crowd is shown and more people are seen running through the city or even participating in a wheel chair as the people on the side cheer them on.</t>
  </si>
  <si>
    <t>v_RULNhPrXnfA</t>
  </si>
  <si>
    <t>A man is shown standing in front of a blue background as many harmonicas are shown and he starts playing them.</t>
  </si>
  <si>
    <t>He is then shown speaking into the camera and going into detail with regards to the products features.</t>
  </si>
  <si>
    <t>He shows off how many he has in his coat and continues talking.</t>
  </si>
  <si>
    <t>He is then shown playing another harmonica as he gives instruction on it.</t>
  </si>
  <si>
    <t>He speaks some more and shows his harmonica again as the video goes to an end title screen that reads Howcast original".</t>
  </si>
  <si>
    <t>v_Zd22n1caVgM</t>
  </si>
  <si>
    <t>A boy wearing white shorts is standing in a room.</t>
  </si>
  <si>
    <t>He puts something in his mouth.</t>
  </si>
  <si>
    <t>He kicks his legs up to the side.</t>
  </si>
  <si>
    <t>The kneels down onto the ground.</t>
  </si>
  <si>
    <t>v_ZKP5J7OKEvI</t>
  </si>
  <si>
    <t>A small group of people are seen sitting on the side and lead into two people dancing together.</t>
  </si>
  <si>
    <t>The people continue dancing along the floor and end by clapping with the band.</t>
  </si>
  <si>
    <t>v_44BfVJnhBgc</t>
  </si>
  <si>
    <t>A runner tests a prosthetic leg in a long distance run.</t>
  </si>
  <si>
    <t>He runs inside then runs outside.</t>
  </si>
  <si>
    <t>v_VFOjLDa5VtA</t>
  </si>
  <si>
    <t>A small group of people are seen wandering around a tennis court hitting a ball over the net.</t>
  </si>
  <si>
    <t>The people hit the ball back and fourth while others watch on the side.</t>
  </si>
  <si>
    <t>They continue to play the game as well as others.</t>
  </si>
  <si>
    <t>v_KKrHX-pywBQ</t>
  </si>
  <si>
    <t>A young man wearing a white shirt and helmet and black pants is holding a skateboard in his hands as he walks.</t>
  </si>
  <si>
    <t>He puts the skateboard down and begins skating on an asphalt road.</t>
  </si>
  <si>
    <t>He flips the skateboard several times and goes on circles.</t>
  </si>
  <si>
    <t>Two people walk past him as he continues to skateboard.</t>
  </si>
  <si>
    <t>The man begins to speed up on his skateboard as he goes down the road.</t>
  </si>
  <si>
    <t>He also skates past a lake on a long and winding road.</t>
  </si>
  <si>
    <t>He skates past a field and mountains that are filled with greenery.</t>
  </si>
  <si>
    <t>He tries various stunts and tricks on his skateboard.</t>
  </si>
  <si>
    <t>He continues to skateboard through the roads.</t>
  </si>
  <si>
    <t>He falls off the skateboard on the side of the road, but gets right back on it and skates away.</t>
  </si>
  <si>
    <t>v_HxJnPUqF9i8</t>
  </si>
  <si>
    <t>Athletes throw a javelin during a competition.</t>
  </si>
  <si>
    <t>A man practices his throwing stance walking and doing half throws without javeline.</t>
  </si>
  <si>
    <t>A man practices his throwing stance walking and doing half throws holding a javeline.</t>
  </si>
  <si>
    <t>The man swings a hammer.</t>
  </si>
  <si>
    <t>The man throws a weighted ball.</t>
  </si>
  <si>
    <t>Athletes train in a gym doing throwing motions on weighted cable machines.</t>
  </si>
  <si>
    <t>v_FKl0077EUoY</t>
  </si>
  <si>
    <t>We see a person sharpen a knife on a sanding disc.</t>
  </si>
  <si>
    <t>The person touches it and turns it off.</t>
  </si>
  <si>
    <t>The person turns it on and then off off.</t>
  </si>
  <si>
    <t>We see the man talking to the camera.</t>
  </si>
  <si>
    <t>v_lfuNoeRYWz4</t>
  </si>
  <si>
    <t>Text is shown from the centers for disease control regarding proper handwashing.</t>
  </si>
  <si>
    <t>A woman is shown soaping her hands while water is running in a sink.</t>
  </si>
  <si>
    <t>She reaches for a towel and then turns the faucet one with one hand.</t>
  </si>
  <si>
    <t>She soaps her hands, then rinses with the water before grabbing another towel to turn off the faucet, and discarding the towel.</t>
  </si>
  <si>
    <t>v_x4iCAIPRDVQ</t>
  </si>
  <si>
    <t>People exercise on fitness machines while people sits on front and watch.</t>
  </si>
  <si>
    <t>A man pass on front holding a jacket and stand next a TV.</t>
  </si>
  <si>
    <t>A group of woman walk on front people exercising.</t>
  </si>
  <si>
    <t>v_NwfS7eZiMLg</t>
  </si>
  <si>
    <t>A man is playing the bagpipes at the bottom of the stairs in the living room of a house, wearing a button up and dress pants, along with socks.</t>
  </si>
  <si>
    <t>He begins to tap his foot along with the beat of his tune, He starts to tap his left foot in a back and forth rhythm with his right foot.</t>
  </si>
  <si>
    <t>He finishes, and smiles at the camera.</t>
  </si>
  <si>
    <t>v_aJbl1eVBzk0</t>
  </si>
  <si>
    <t>People are working in a bike shop fixing a bike.</t>
  </si>
  <si>
    <t>They put the wheels back onto the bike.</t>
  </si>
  <si>
    <t>The put the seat on the bike.</t>
  </si>
  <si>
    <t>The bike is put together on the floor.</t>
  </si>
  <si>
    <t>v_UYHgieL5IKM</t>
  </si>
  <si>
    <t>A man is giving advice on outdoor activities, specifically mushrooming and closeup is shown and the man talks about it.</t>
  </si>
  <si>
    <t>The man cuts one open and then cuts it in half.</t>
  </si>
  <si>
    <t>Another man talks about the experience.</t>
  </si>
  <si>
    <t>v_PgZ2e0H1ZVE</t>
  </si>
  <si>
    <t>A young man wearing a hat is seen speaking to the camera and holding up a chart.</t>
  </si>
  <si>
    <t>He continues speaking and begins playing a harmonica.</t>
  </si>
  <si>
    <t>He holds up the sign more while continuing to play and speak to the camera.</t>
  </si>
  <si>
    <t>v_h8J08sJ2no0</t>
  </si>
  <si>
    <t>A person walks on the roof of a climbing equipment, then he goes down the wall and reach the floor and walk forward.</t>
  </si>
  <si>
    <t>The man stand with the hands on the border on the equipment and descend down the walk with the hands, then he walk on hands sideward.</t>
  </si>
  <si>
    <t>v_g0XO-rWHmzs</t>
  </si>
  <si>
    <t>A woman is seen holding two dogs on a leash and proceeds to unhook them and let them go.</t>
  </si>
  <si>
    <t>One down then does his business into a bag tied to him and runs off behind bikes.</t>
  </si>
  <si>
    <t>v_WGpz-hV-Ejw</t>
  </si>
  <si>
    <t>A young girl is standing on a court with a jump rope.</t>
  </si>
  <si>
    <t>She begins jumping in front of a table of judges.</t>
  </si>
  <si>
    <t>She hops, spins, and flips with the rope.</t>
  </si>
  <si>
    <t>v_i2u80Y3BMYs</t>
  </si>
  <si>
    <t>Two men in work out clothes are standing up against the wall and they begin to talk about working out.</t>
  </si>
  <si>
    <t>One man is then shown and he bends down and shows the proper way to lift the bar with weight on it.</t>
  </si>
  <si>
    <t>A replay is then shown and the boy bends from the knees and then flips his wrist and brings it over his shoulder as he goes down into a squatting position.</t>
  </si>
  <si>
    <t>v_WvxwmaDFGqk</t>
  </si>
  <si>
    <t>A man is seen kneeling in a gym.</t>
  </si>
  <si>
    <t>He leans forward several times.</t>
  </si>
  <si>
    <t>He is performing slow stretching moves.</t>
  </si>
  <si>
    <t>v_xmag8UI8iws</t>
  </si>
  <si>
    <t>A person is using a leaf blower to blow leaves into a pile.</t>
  </si>
  <si>
    <t>The leaves blow up onto a hedge.</t>
  </si>
  <si>
    <t>They walk in front of a tree.</t>
  </si>
  <si>
    <t>v_N9LTq3gYmsI</t>
  </si>
  <si>
    <t>A group of people are sitting down at the top of a snow slide in a tube.</t>
  </si>
  <si>
    <t>The person holding the camera starts his journey and he is off down the slopes of snow.</t>
  </si>
  <si>
    <t>As he reaches the bottom,several black mats are placed in front of him to help slow him down.</t>
  </si>
  <si>
    <t>v_GqWH2IYPw6U</t>
  </si>
  <si>
    <t>Various shots of a city are shown followed by a girl playing violin and many other watching.</t>
  </si>
  <si>
    <t>Another girl steps in and joins her by singing and several others join in to sing as well.</t>
  </si>
  <si>
    <t>A mime walks in with fireworks while the group still sings and many around are seen laughing and smiling.</t>
  </si>
  <si>
    <t>v_MlbM7Mew0Ys</t>
  </si>
  <si>
    <t>Two men exercise inside a gym, then a man jumps rope crossing his arms and also the moving the rope on front.</t>
  </si>
  <si>
    <t>The man moves the rope with his right hand, then he moves both hands while skipping.</t>
  </si>
  <si>
    <t>Then, the man jumps crossing the arms, after he jumps normal for long time.</t>
  </si>
  <si>
    <t>Next, the a young man jumps rope raising the feet high, then he cross his the arms jumping.</t>
  </si>
  <si>
    <t>After, the young man moves the rope with the right hand, then he moves it with both hands and also moves the rope on front.</t>
  </si>
  <si>
    <t>After, the young man jumps alternate crossing the arms, skipping and moving the rope on front.</t>
  </si>
  <si>
    <t>v_hJiaSHwOkcs</t>
  </si>
  <si>
    <t>A man is sitting on top of a horse.</t>
  </si>
  <si>
    <t>He begins getting chased around the arena by a man pushing a wheelbarrow.</t>
  </si>
  <si>
    <t>The horse runs from bull in the pen.</t>
  </si>
  <si>
    <t>v_TEaugXCX1m4</t>
  </si>
  <si>
    <t>A lighthouse is shown on the beach before we see a man running with a surf board.</t>
  </si>
  <si>
    <t>The man rides a wave, then through it.</t>
  </si>
  <si>
    <t>He completes several stunts before walking onto the beach with the board under his arm.</t>
  </si>
  <si>
    <t>v_9rW35YTKYq8</t>
  </si>
  <si>
    <t>A man is shown flipping a violin in his hands, playing a popular song on his violin.</t>
  </si>
  <si>
    <t>The camera shows the violinist from various angles playing the popular song and not breaking concentration.</t>
  </si>
  <si>
    <t>The camera pans all around the player and shows him playing the complete song.</t>
  </si>
  <si>
    <t>v_hoisfXCLJDQ</t>
  </si>
  <si>
    <t>A camera zooms in on a person riding in a tube.</t>
  </si>
  <si>
    <t>More people are seen riding in tubes behind the man.</t>
  </si>
  <si>
    <t>The people continue to ride around the area down the river.</t>
  </si>
  <si>
    <t>v_mnqSG5o84NE</t>
  </si>
  <si>
    <t>A man train a boy kick box while two men watch sitting in the room.</t>
  </si>
  <si>
    <t>Then, the man stands and kick the boy who kick back then kneels.</t>
  </si>
  <si>
    <t>After, the man trains another child while showing movements.</t>
  </si>
  <si>
    <t>After, the man stands to practice kicks, then the man lye down and and hug the child who continues practicing kick box.</t>
  </si>
  <si>
    <t>v_IWuiVS3-Z7k</t>
  </si>
  <si>
    <t>People are shown walking along a beach.</t>
  </si>
  <si>
    <t>Several people in paintball gear are running through an obstacle course.</t>
  </si>
  <si>
    <t>The people shoot at each other, hiding behind the obstacles.</t>
  </si>
  <si>
    <t>The winner dances and runs across the field.</t>
  </si>
  <si>
    <t>v_nvsK9ggeics</t>
  </si>
  <si>
    <t>A young child is seen sitting behind a drum set playing the drums.</t>
  </si>
  <si>
    <t>The boy continues playing the instrument while the camera zooms in on him playing.</t>
  </si>
  <si>
    <t>v_rAuz_Pf3lp8</t>
  </si>
  <si>
    <t>A family has a picnic, and goes tubing on inflatable rafts in a narrow body of water surrounded by trees, on a rainy day.</t>
  </si>
  <si>
    <t>A family of people sit at an outdoor wooden picnic table, eating, waiving at the camera.</t>
  </si>
  <si>
    <t>The family watch the weather outdoors as it begins to rain and a little girl runs out into the rain and dances in it.</t>
  </si>
  <si>
    <t>The family then appears, floating, talking and smiling on inflatable tubes on a narrow body of water.</t>
  </si>
  <si>
    <t>The event ends and the family leaves an area bordered by a wooden fence.</t>
  </si>
  <si>
    <t>v_pxb95-aSDYo</t>
  </si>
  <si>
    <t>A man plays guitar and harmonica at the same time.</t>
  </si>
  <si>
    <t>Then, the man sings while playing the guitar.</t>
  </si>
  <si>
    <t>After, the man continues playing both the guitar and the harmonica, then sing.</t>
  </si>
  <si>
    <t>Next, the man plays the harmonica and the guitar together.</t>
  </si>
  <si>
    <t>v_48xSiJdaH2g</t>
  </si>
  <si>
    <t>The video is about Wallwik and wallpaper removal system.</t>
  </si>
  <si>
    <t>It shows a woman removing wallpaper off the wall in a convenient and easy manner.</t>
  </si>
  <si>
    <t>She is using a a scouring tool to scratch off the wallpaper from the wall.</t>
  </si>
  <si>
    <t>Then she uses a soap solution and dips the sheet in the solution.</t>
  </si>
  <si>
    <t>There's a man hanging the wet sheets on the wall.</t>
  </si>
  <si>
    <t>A woman uses a sprayer on the moist sheets and sprays it on.</t>
  </si>
  <si>
    <t>Then a man and woman begin peeling off the old wallpaper off of the wall.</t>
  </si>
  <si>
    <t>The video shows instructions on how to use the Wallwik products.</t>
  </si>
  <si>
    <t>v_y7WO-8cQfO0</t>
  </si>
  <si>
    <t>The video begins with a title sequence.</t>
  </si>
  <si>
    <t>A young man is shown in a gym performing tricks with a jump rope as music plays in the background.</t>
  </si>
  <si>
    <t>He then lays down and begins doing tricks on the floor.</t>
  </si>
  <si>
    <t>The young man gets up again and does more tricks while standing.</t>
  </si>
  <si>
    <t>At one point, his friends assist with the jump rope tricks.</t>
  </si>
  <si>
    <t>The video ends with credits showing the young man's name, along with the names of those who assisted him.</t>
  </si>
  <si>
    <t>v_74EoyLUbtgI</t>
  </si>
  <si>
    <t>A lady is seen putting wax on a mans shoes.</t>
  </si>
  <si>
    <t>We see the cloth hanging on the wall.</t>
  </si>
  <si>
    <t>We see the footprints on the platform.</t>
  </si>
  <si>
    <t>The woman rubs the mans shoes with a cloth.</t>
  </si>
  <si>
    <t>We see the cloth on the wall, then the lines of cloth near the shoes shine sign.</t>
  </si>
  <si>
    <t>A man is standing on a platform.</t>
  </si>
  <si>
    <t>We see the holographic man on the wall with the paper.</t>
  </si>
  <si>
    <t>v_D9rHZpZoeRA</t>
  </si>
  <si>
    <t>A black two door Audi A3 is shown and then the camera zooms in on the tires.</t>
  </si>
  <si>
    <t>A finger then touches the emergency light and the lights on the car begin to flash.</t>
  </si>
  <si>
    <t>Next,the truck is opened,and the person removes the spare tire and the jack.</t>
  </si>
  <si>
    <t>He then lifts the car and continues to loosen the bolts on the wheel of the car.</t>
  </si>
  <si>
    <t>Once loose,the wheel is removed and the spare is put on and the same actions are performed in reverse.</t>
  </si>
  <si>
    <t>v_kqVIHq94kgs</t>
  </si>
  <si>
    <t>A woman mixes items together in a bowl.</t>
  </si>
  <si>
    <t>She rubs that onto a wooden table.</t>
  </si>
  <si>
    <t>She laughs and puts her hands in the air.</t>
  </si>
  <si>
    <t>v_WY9zvUkK_4Y</t>
  </si>
  <si>
    <t>Two girls stand between a girl in a hair salon stool and begin brushing her and parting her hair.</t>
  </si>
  <si>
    <t>One woman braids her hair continuously to eventually create a french braid.</t>
  </si>
  <si>
    <t>Both women stand talking to the camera while presenting the braid just made.</t>
  </si>
  <si>
    <t>v_N-6-MdxRg50</t>
  </si>
  <si>
    <t>We see a colorful opening scene.</t>
  </si>
  <si>
    <t>Kids in colorful clothes walk on a stage and get in place.</t>
  </si>
  <si>
    <t>The kids perform zumba on a stage.</t>
  </si>
  <si>
    <t>The girl second from left goes the wrong direction and almost runs into another girl.</t>
  </si>
  <si>
    <t>We see an an ending screen.</t>
  </si>
  <si>
    <t>v_uFMDSiHu7g4</t>
  </si>
  <si>
    <t>A man wearing a striped shirt dances with a girl in a brown blouse at a street festival.</t>
  </si>
  <si>
    <t>Other couple join in and dance in a street festival while performers play on a stage.</t>
  </si>
  <si>
    <t>Onlookers pass by while the group continues to dance.</t>
  </si>
  <si>
    <t>v_Pu92wJ-7UTQ</t>
  </si>
  <si>
    <t>The man is strumming one drum.</t>
  </si>
  <si>
    <t>The man strum the other drum while moving his leg.</t>
  </si>
  <si>
    <t>The man play two drums at the same time.</t>
  </si>
  <si>
    <t>v_dsVvnFkGAn0</t>
  </si>
  <si>
    <t>The woman is sitting by the fireplace holding a violin.</t>
  </si>
  <si>
    <t>The woman placed the violin between her neck and shoulder and began strumming the violin with the stick.</t>
  </si>
  <si>
    <t>The lady put the violin on her lap and talked.</t>
  </si>
  <si>
    <t>v_JgHQCKz_DRc</t>
  </si>
  <si>
    <t>A man sits in a chair as he is getting his hair cut.</t>
  </si>
  <si>
    <t>A man in a black shirt moves a light around.</t>
  </si>
  <si>
    <t>People scramble behind the hair stylist.</t>
  </si>
  <si>
    <t>A hair stylist continuously combs and cuts the man's hair.</t>
  </si>
  <si>
    <t>The hair stylists rubs some pomade on the man's hair.</t>
  </si>
  <si>
    <t>The man is seen posing.</t>
  </si>
  <si>
    <t>v_DEmArEKL8gc</t>
  </si>
  <si>
    <t>A teenage female cheer leading squad walks around on a mat and get in formation.</t>
  </si>
  <si>
    <t>The routine begins in a manikin challenge and they all begin to do a flip.</t>
  </si>
  <si>
    <t>After,they do a several straddle jumps and begin thrown up in stands.</t>
  </si>
  <si>
    <t>Once the stunts are done,half of the team begins doing cart wheels and they all meet back in the middle to do stunts in the air.</t>
  </si>
  <si>
    <t>More stunts are done and the girls finish by landing in a split,they then get up and hug each other in the middle of the mat.</t>
  </si>
  <si>
    <t>v_8ikOQRbeQL8</t>
  </si>
  <si>
    <t>A woman wearing a hood and glasses is talking.</t>
  </si>
  <si>
    <t>She is holding a baton and twirling it in her hands.</t>
  </si>
  <si>
    <t>v_zzz_3yWpTXo</t>
  </si>
  <si>
    <t>A woman is seen standing behind a sink and washing dishes while speaking to the camera.</t>
  </si>
  <si>
    <t>The woman continues washing silverware while looking over to the camera and smiling.</t>
  </si>
  <si>
    <t>v_iMiKGoQ7RjE</t>
  </si>
  <si>
    <t>A man in a black hat is hitting a ball on the grass with a club.</t>
  </si>
  <si>
    <t>He continues to talk to the camera.</t>
  </si>
  <si>
    <t>He holds up a small trophy.</t>
  </si>
  <si>
    <t>v_Vjsd6Ec6eKA</t>
  </si>
  <si>
    <t>A group of people are on a field.</t>
  </si>
  <si>
    <t>They attach a camera to one of the player's heads.</t>
  </si>
  <si>
    <t>They lift each other over their heads in cheerleading stunts that can be seen from the camera's view.</t>
  </si>
  <si>
    <t>They smile and laugh as they continue to perform stunts.</t>
  </si>
  <si>
    <t>v_XnUi1SG9jxA</t>
  </si>
  <si>
    <t>A large group of people are seen standing around when several clips are shown of a man attempting to jump over a bar.</t>
  </si>
  <si>
    <t>The man completes the jump after a couple tries and is shown again in slow motion.</t>
  </si>
  <si>
    <t>The man attempts jumping higher several more times and ends up knocking the bar down each time.</t>
  </si>
  <si>
    <t>v_FeKEqUxiReA</t>
  </si>
  <si>
    <t>A woman is laughing as she jumps rope inside a gym.</t>
  </si>
  <si>
    <t>She continues jumping for a long period of time, speeding up and changing positions as men with cameras record her.</t>
  </si>
  <si>
    <t>v_BB2vrBWgXkU</t>
  </si>
  <si>
    <t>A woman wearing a leopard print shirt and a denim jacket is doing a tutorial on fake nails and how to use them.</t>
  </si>
  <si>
    <t>She is holding a packet of the fake nails in her hand as she explains the process.</t>
  </si>
  <si>
    <t>Then she demonstrates how to place the fake nails on top of her nails.</t>
  </si>
  <si>
    <t>Then she takes a nail file and files the ends of the nails to smooth it.</t>
  </si>
  <si>
    <t>She then uses some glue to glue the nails over her nails.</t>
  </si>
  <si>
    <t>Then she clips off the excess to shorten the nails, followed by filing the nails.</t>
  </si>
  <si>
    <t>She also uses some lime green nail polish and paints the nails to finish off the process and make them shiny.</t>
  </si>
  <si>
    <t>v_S6t9Lq1xKJk</t>
  </si>
  <si>
    <t>A cook is standing in front of a large stove.</t>
  </si>
  <si>
    <t>It is covered in ingredients and pans on burners.</t>
  </si>
  <si>
    <t>The man creates a giant omelette, finally flipping it onto a plate and handing it to a patron.</t>
  </si>
  <si>
    <t>v_0_xap_BBDrw</t>
  </si>
  <si>
    <t>An old man with gray hair, wearing red shirt and black pants is dribbling the ball in an indoor court, he dribbled the ball side by side, between his legs.</t>
  </si>
  <si>
    <t>He shoot the ball into the ring, then start dribbling again to side to side and between his legs, and shoot the ball into the ring.</t>
  </si>
  <si>
    <t>v_CQvmcZSfyhI</t>
  </si>
  <si>
    <t>A group of cheerleaders come from the side stage and begin smiling and waving to the crowd before settling into their formation.</t>
  </si>
  <si>
    <t>The routine begins and they start doing hurkies,throwing each other in the air and holding each other up.</t>
  </si>
  <si>
    <t>Doing the middle of the routine,half of the girls sit in the back behind the rest of the cheerleaders as they do a part of the routine.</t>
  </si>
  <si>
    <t>The routine ends and they all run across the stage with spirit fingers before leaving the stage.</t>
  </si>
  <si>
    <t>v_QdmUojrWdmE</t>
  </si>
  <si>
    <t>Music plays as surfers ride the waves.</t>
  </si>
  <si>
    <t>A few men are shown preparing to surf, prepping their board and getting dressed.</t>
  </si>
  <si>
    <t>A helicopter rides over the shoreline where the surfers are riding.</t>
  </si>
  <si>
    <t>A couple laughs together on the beach in a tent awaiting more surfing.</t>
  </si>
  <si>
    <t>A man is then shown prepping his board with surf wax.</t>
  </si>
  <si>
    <t>The crowd watches others riding waves.</t>
  </si>
  <si>
    <t>The crowd cheers multiples surfing runs on.</t>
  </si>
  <si>
    <t>Kelly Slater is featured on a successful run, followed by more clips riding the waves.</t>
  </si>
  <si>
    <t>Kelly Slater is paused mid wave to wrap up the story line.</t>
  </si>
  <si>
    <t>Music and producer credits are then shown.</t>
  </si>
  <si>
    <t>v_L2oaUDyzWPA</t>
  </si>
  <si>
    <t>We see a golden title on a black screen.</t>
  </si>
  <si>
    <t>A man is playing a harmonica as arrows point to numbers above him.</t>
  </si>
  <si>
    <t>We see another title screen and more arrows on numbers.</t>
  </si>
  <si>
    <t>The title screen returns and the man plays with the arrows above him again.</t>
  </si>
  <si>
    <t>The fourth title screen and the man plays with arrows above.</t>
  </si>
  <si>
    <t>The name shows up and the video ends.</t>
  </si>
  <si>
    <t>v_bdC2YPVHGZM</t>
  </si>
  <si>
    <t>A man puts on a helmet with a camera mounted on it.</t>
  </si>
  <si>
    <t>The man participates in a lacrosse match with the camera recording in first person perspective.</t>
  </si>
  <si>
    <t>The man makes a successful shot on goal and high fives a teammate.</t>
  </si>
  <si>
    <t>The two teams shake hands after the game.</t>
  </si>
  <si>
    <t>The man walks towards a group of people dressed in black.</t>
  </si>
  <si>
    <t>v_fny1HWXezlE</t>
  </si>
  <si>
    <t>A small child is seen climbing on a camel as well as a woman in front of him.</t>
  </si>
  <si>
    <t>A man stands the camel up on it's legs and walks around the area.</t>
  </si>
  <si>
    <t>The man continues to walk around with the camels while the camera pans to their movements.</t>
  </si>
  <si>
    <t>v_pYb8jzB5vs0</t>
  </si>
  <si>
    <t>An intro leads into a man in women sitting beside a pool and talking.</t>
  </si>
  <si>
    <t>The people are then shown underwater wearing scuba gear and teaching one another hand signals while the man speaks to the camera above the surface.</t>
  </si>
  <si>
    <t>v_kNkYgYnJTXk</t>
  </si>
  <si>
    <t>A person is seen in various shots riding around in a canoe and smiling off into the distance.</t>
  </si>
  <si>
    <t>Another person is seen sitting in a canoe and demonstrates how to properly turn around.</t>
  </si>
  <si>
    <t>The man continues moving along the water moving his paddle around while the camera captures his movements.</t>
  </si>
  <si>
    <t>v_cMeKc9mp9wI</t>
  </si>
  <si>
    <t>A group of men are riding around on horses while carry large sticks and holding them into the air.</t>
  </si>
  <si>
    <t>One man comes close to the camera man and near the crowd for a few moments.</t>
  </si>
  <si>
    <t>The man on horses go back to the stable to await their return, and eventually go back out into the ring.</t>
  </si>
  <si>
    <t>v_qbGml8XLhz8</t>
  </si>
  <si>
    <t>A man steps to the side on a lawn and begins moving his arms and legs around.</t>
  </si>
  <si>
    <t>He slowly moves his arms in various motions while stepping from side to side.</t>
  </si>
  <si>
    <t>He moves his legs up and his arms continuously following until he finishes the performance.</t>
  </si>
  <si>
    <t>v_90LkAH4tZC4</t>
  </si>
  <si>
    <t>The person in black shirt is playing drums.</t>
  </si>
  <si>
    <t>The camera zoomed in to the drums as the person continue to play.</t>
  </si>
  <si>
    <t>The camera shifted to the view looking down the drums.</t>
  </si>
  <si>
    <t>v_F9HKxxoNNSQ</t>
  </si>
  <si>
    <t>A person throw a disc with a stick, the disc arrives to a triangle on the floor where two people stand.</t>
  </si>
  <si>
    <t>Then, another disk slides on the floor to stop inside the triangle.</t>
  </si>
  <si>
    <t>After, the person throw another disc that stops inside the triangle.</t>
  </si>
  <si>
    <t>The rules oh the shuffleboard game is displayed in a board.</t>
  </si>
  <si>
    <t>v_L0jbYqV9Zaw</t>
  </si>
  <si>
    <t>Paintballs are flying at men in front of a tent.</t>
  </si>
  <si>
    <t>The men back into the tent.</t>
  </si>
  <si>
    <t>People are getting ready for the paintball competition.</t>
  </si>
  <si>
    <t>Paintballs come out of a man's mouth.</t>
  </si>
  <si>
    <t>The sun is setting.</t>
  </si>
  <si>
    <t>v_thgW2RT30qQ</t>
  </si>
  <si>
    <t>An intro leads into several clips of a person lifting heavy weights over their shoulders as well as their arms all around.</t>
  </si>
  <si>
    <t>More shots are show of athletes performing impressive stunts while looking off into the distance and people measuring their throws.</t>
  </si>
  <si>
    <t>v_NSdBL6HqlWk</t>
  </si>
  <si>
    <t>A man is playing cymbals under a bright light on a stage.</t>
  </si>
  <si>
    <t>He is joined by a woman on a bass drum.</t>
  </si>
  <si>
    <t>Then they are joined by other drummers, and a man on a huge set in the background.</t>
  </si>
  <si>
    <t>Lights flash as they perform in unison.</t>
  </si>
  <si>
    <t>v_AdFg_21LRg4</t>
  </si>
  <si>
    <t>A montage of bullfighting is being shown.</t>
  </si>
  <si>
    <t>The matador is being hit by the bull, while other matadors try to distract the bull.</t>
  </si>
  <si>
    <t>v_h4m7bYDVLAc</t>
  </si>
  <si>
    <t>A woman blindfolded in a yard and swinging away at a pinata being moved around.</t>
  </si>
  <si>
    <t>Several people around her are watches and can't help but laugh.</t>
  </si>
  <si>
    <t>The woman is laughing as well and finally hits the pinata for the children to grab.</t>
  </si>
  <si>
    <t>v_by4dS4tgkY0</t>
  </si>
  <si>
    <t>A man is talking to the camera from a parking lot.</t>
  </si>
  <si>
    <t>He runs down the street while continuing to talk.</t>
  </si>
  <si>
    <t>He runs onto several city streets, not stopping.</t>
  </si>
  <si>
    <t>v_shLUZZS9oYc</t>
  </si>
  <si>
    <t>A man is standing outside by the sidewalk cutting down a set of hedges.</t>
  </si>
  <si>
    <t>As he finishes the side,he moves to the front of the plant and continues cutting the plant down.</t>
  </si>
  <si>
    <t>Once a small portion is shown,he looks at the plant and then cuts off the item in his hand.</t>
  </si>
  <si>
    <t>v_QLJAQBUisuQ</t>
  </si>
  <si>
    <t>A man is talking to the camera.</t>
  </si>
  <si>
    <t>An Olympic field is shown with many people walking around on it.</t>
  </si>
  <si>
    <t>The man runs down a strip of track and jumps into a pile of sand.</t>
  </si>
  <si>
    <t>He has a flag wrapped around him and waves at the audience.</t>
  </si>
  <si>
    <t>v_vt81bZ6_GcQ</t>
  </si>
  <si>
    <t>People are in a pool playing water polo.</t>
  </si>
  <si>
    <t>A man in a white shirt walks along side the pool.</t>
  </si>
  <si>
    <t>A woman holding a dog is standing on a dock.</t>
  </si>
  <si>
    <t>v_KE2tDW9x9d8</t>
  </si>
  <si>
    <t>A girl is seen talking to the camera with her hand on her hip and leads into her holding up various ingredients.</t>
  </si>
  <si>
    <t>She then mixes the ingredients together on a slice of bread and creates a sandwich while pouring chips out onto the side.</t>
  </si>
  <si>
    <t>She then presents the plate while speaking to the camera and holding up various liquids.</t>
  </si>
  <si>
    <t>v_qxlVkDpdyOA</t>
  </si>
  <si>
    <t>We see two men walking and jumping on jump-stilts.</t>
  </si>
  <si>
    <t>One man jumps down the road, the the other as a man photographs them.</t>
  </si>
  <si>
    <t>A man on a bike rides past the men.</t>
  </si>
  <si>
    <t>Four bikes ride past the men.</t>
  </si>
  <si>
    <t>v_QQNW2ha8WIs</t>
  </si>
  <si>
    <t>A boy jumps on a trampoline while catching a stuffed doll on his shoulders in the air.</t>
  </si>
  <si>
    <t>The boy falls back and lands on his back on the trampoline.</t>
  </si>
  <si>
    <t>The boy jumps and catches the doll and slams it between his legs on the trampoline.</t>
  </si>
  <si>
    <t>The boy misses trying to catch the doll and falls on the trampoline.</t>
  </si>
  <si>
    <t>v_p1JSdZmztGk</t>
  </si>
  <si>
    <t>Two people are seen speaking to one another while standing on the docks as well as speak to the camera.</t>
  </si>
  <si>
    <t>The people enjoy themselves around the are by getting their hair cut, eating food, and the man preparing a boat.</t>
  </si>
  <si>
    <t>Several shots are shown of a kitchen as well as people riding on the boat and still continue to speak to the camera.</t>
  </si>
  <si>
    <t>v_x3z3dVUxmJ0</t>
  </si>
  <si>
    <t>The name of the business is shown.</t>
  </si>
  <si>
    <t>A person is braiding a client's hair.</t>
  </si>
  <si>
    <t>A person is running scissor through a braid.</t>
  </si>
  <si>
    <t>A person is applying rods to braids.</t>
  </si>
  <si>
    <t>A person is putting braids with rods into water.</t>
  </si>
  <si>
    <t>A client with reading glasses is talking.</t>
  </si>
  <si>
    <t>A client is leaving after braids are done.</t>
  </si>
  <si>
    <t>The credits of the video are shown.</t>
  </si>
  <si>
    <t>v_HhbTyPnFVIg</t>
  </si>
  <si>
    <t>A woman stand with athletic jacket in a grass covered and forested yard.</t>
  </si>
  <si>
    <t>The woman enters an open workshop area.</t>
  </si>
  <si>
    <t>Logs are stacked upright on a chopping block.</t>
  </si>
  <si>
    <t>The woman uses an an ax to split the logs in half.</t>
  </si>
  <si>
    <t>v_qCnHgcP3tM8</t>
  </si>
  <si>
    <t>Cars are driving down the highway fairly quickly.</t>
  </si>
  <si>
    <t>They stop, a man gets out and helps two women get out.</t>
  </si>
  <si>
    <t>They go into a bar and throw a ball into a girls drink starting a beer pong war.</t>
  </si>
  <si>
    <t>He wakes up in his dorm and then click on his ipad to start a beer pong championship.</t>
  </si>
  <si>
    <t>v_EwMAJPldfKs</t>
  </si>
  <si>
    <t>A young lady with a grey jacket on is standing in front of a sink lathering her hands.</t>
  </si>
  <si>
    <t>She then turns the water on and begins to rinse her hands and flex her fingers to make sure all of the soap is off.</t>
  </si>
  <si>
    <t>After that is done,she grabs a white towel,dries her hands and wipes her mouth.</t>
  </si>
  <si>
    <t>v_ikZwamRM5mo</t>
  </si>
  <si>
    <t>Several percussionists stand on a field.</t>
  </si>
  <si>
    <t>They march in place on the field.</t>
  </si>
  <si>
    <t>They are drumming in sync.</t>
  </si>
  <si>
    <t>A woman walks by with a video camera.</t>
  </si>
  <si>
    <t>v_QeVVKZhoFCg</t>
  </si>
  <si>
    <t>A girl with several facial piercings his seen rubbing lotion all over her face and powdering her cheeks and face.</t>
  </si>
  <si>
    <t>She then puts eyeliner on followed by mascara and lip liner.</t>
  </si>
  <si>
    <t>She colors in her eyebrows and puts on fake eye lashes, then rubbing some of the black off and more mascara on.</t>
  </si>
  <si>
    <t>She puts a bit of blush in her cheeks and then smiles and waves to the camera.</t>
  </si>
  <si>
    <t>v_Lo0EQXmaeXM</t>
  </si>
  <si>
    <t>The man looks at the camera and then goes back to looking somewhere else and talking.</t>
  </si>
  <si>
    <t>then the cups they're both holding that has a blue liquid in it is then put into their mouths and they both gargle until they have lots of bubbles formed in their mouths.</t>
  </si>
  <si>
    <t>v_TBeZXLchito</t>
  </si>
  <si>
    <t>People skateboard in a competition on the road while bending and holding his arms back.</t>
  </si>
  <si>
    <t>Then, a skateboarder opens his arms and signal others to advance.</t>
  </si>
  <si>
    <t>Then, the skateboarders pass on front spectators watching on side the road.</t>
  </si>
  <si>
    <t>People take picture to the skateboarders.</t>
  </si>
  <si>
    <t>A skateboarder fells on the road.</t>
  </si>
  <si>
    <t>People continues skateboarding in the road.</t>
  </si>
  <si>
    <t>v_SHS8pNOsZDU</t>
  </si>
  <si>
    <t>A group rides horses playing a game of polo on a field.</t>
  </si>
  <si>
    <t>The group fight over the ball and ride in a tight formation.</t>
  </si>
  <si>
    <t>A member on the team breaks away and rides toward the goal on his horse.</t>
  </si>
  <si>
    <t>v_yo3s6V19YtQ</t>
  </si>
  <si>
    <t>A young man is rappelling up the side of a cliff.</t>
  </si>
  <si>
    <t>Another man watches and helps from below.</t>
  </si>
  <si>
    <t>The man continues climbing until he reaches the top.</t>
  </si>
  <si>
    <t>v_tgdLeBX7aXk</t>
  </si>
  <si>
    <t>People are playing cricket together outside.</t>
  </si>
  <si>
    <t>A group of people hold up a trophy.</t>
  </si>
  <si>
    <t>People are walking around outside playing cricket.</t>
  </si>
  <si>
    <t>v_wBhtt9x74TA</t>
  </si>
  <si>
    <t>A woman is standing by a toilet in a bikini.</t>
  </si>
  <si>
    <t>A man is rubbing sunscreen onto her legs.</t>
  </si>
  <si>
    <t>She begins to rub her leg.</t>
  </si>
  <si>
    <t>v_f-aGlEjgZoE</t>
  </si>
  <si>
    <t>A woman is seen speaking to the camera while holding up various objects.</t>
  </si>
  <si>
    <t>The puts tape on he eye and begins putting eyeliner above her eye.</t>
  </si>
  <si>
    <t>She continues putting the makeup on while speaking to the camera and takes off the tape in the end.</t>
  </si>
  <si>
    <t>v_HfowLX1u38Y</t>
  </si>
  <si>
    <t>man wearing a purple shirt is holding a gas pipe.</t>
  </si>
  <si>
    <t>the man is using the pipe to light up the woodfire.</t>
  </si>
  <si>
    <t>man is standing outside a house lighting up a woodfire.</t>
  </si>
  <si>
    <t>v_UhB739uudDo</t>
  </si>
  <si>
    <t>A man is seen standing in a field with a dog while holding onto toys.</t>
  </si>
  <si>
    <t>The man then begins throwing the toys while the dog chases after them.</t>
  </si>
  <si>
    <t>The men continues to do tricks with the dog and end with a picture.</t>
  </si>
  <si>
    <t>v_WBkqGBFsdgI</t>
  </si>
  <si>
    <t>An older blonde newswoman is reading a story.</t>
  </si>
  <si>
    <t>Various pictures are shown of shuffleboard history.</t>
  </si>
  <si>
    <t>An older man is interviewed for the camera.</t>
  </si>
  <si>
    <t>Various clips of people playing shuffleboard are shown.</t>
  </si>
  <si>
    <t>The older blonde reporter ends the news story.</t>
  </si>
  <si>
    <t>v_JH31FxBZ5Xw</t>
  </si>
  <si>
    <t>Several shots of wrestlers are shown.</t>
  </si>
  <si>
    <t>They all are doing flips off the corner.</t>
  </si>
  <si>
    <t>The land on their opponent.</t>
  </si>
  <si>
    <t>They knock them down to the floor.</t>
  </si>
  <si>
    <t>v_TgDzZIop_uw</t>
  </si>
  <si>
    <t>An unseen person demonstrates how to remove and install a tire valve on a tire using a special tool.</t>
  </si>
  <si>
    <t>A pair of hands is seen yielding a metal tool over a yellow walled tire lying on a flat surface.</t>
  </si>
  <si>
    <t>The hand uses the metal curved tool to pluck the old tire valve out of its hole.</t>
  </si>
  <si>
    <t>The hand then uses a metal, black, tool to insert a new valve into the tire.</t>
  </si>
  <si>
    <t>v_PwMDJapSo70</t>
  </si>
  <si>
    <t>A person's hands are seen moving around a cat and trimming it's claws while the cat lays still and looks around.</t>
  </si>
  <si>
    <t>The person then files the nails of the cat and zooms in on the cat's belly in the end.</t>
  </si>
  <si>
    <t>v_MKmrqcoCZ-M</t>
  </si>
  <si>
    <t>A man is sitting on a black mat in a gym.</t>
  </si>
  <si>
    <t>He lays back and does crunches on the mat.</t>
  </si>
  <si>
    <t>He sits up and continues talking.</t>
  </si>
  <si>
    <t>v_kH8YpzoflKg</t>
  </si>
  <si>
    <t>A camera pans around a shirtless man sitting in the snow followed by the man snowboarding and men riding up a hill.</t>
  </si>
  <si>
    <t>Several shots are shown of people riding down the snowy hill and doing tricks in front of the camera.</t>
  </si>
  <si>
    <t>v_GffGGAwbcHo</t>
  </si>
  <si>
    <t>A caveman is seen walking a purple rock.</t>
  </si>
  <si>
    <t>He runs into a big dog and the dog eats the caveman.</t>
  </si>
  <si>
    <t>A God walks a poodle.</t>
  </si>
  <si>
    <t>A cowboy walks his dog and is shot outside a saloon.</t>
  </si>
  <si>
    <t>Chaplin is seen walking his dog.</t>
  </si>
  <si>
    <t>A hippie dog lies down on the floor and seems to be hallucinating.</t>
  </si>
  <si>
    <t>Dogs and spacecraft are seen exploring space.</t>
  </si>
  <si>
    <t>v_E3h0UHRsSQk</t>
  </si>
  <si>
    <t>A man wearing a black clothes is sharpening the knife on a stone.</t>
  </si>
  <si>
    <t>The man beside him on blue long sleeves drawing something on the table with his finger.</t>
  </si>
  <si>
    <t>The man turn the knife to sharpen the other side and then wipe it with paper towel.</t>
  </si>
  <si>
    <t>The man in navy blue shirt point to the knife while the man sharpening the knife tries to sharpen it one hand.</t>
  </si>
  <si>
    <t>He continues sharpening the knife, turn it again to further sharpen the other side and wipe it again with paper towel.</t>
  </si>
  <si>
    <t>Throws the old and dirty paper towel and reach the roll of paper towel and clean the knife.</t>
  </si>
  <si>
    <t>v_-ibmoYKRxQk</t>
  </si>
  <si>
    <t>A camera pans around a snowy area and transitions into several people in tubes down a hill.</t>
  </si>
  <si>
    <t>The people laugh while riding down the hill when one person falls off and the camera pans around the people.</t>
  </si>
  <si>
    <t>The camera shows one more shot of the people all riding down the long hill together.</t>
  </si>
  <si>
    <t>v_x2FfKHiN_3s</t>
  </si>
  <si>
    <t>A man is sitting on a frozen lake, fishing through a hole and surrounded by fishing gear.</t>
  </si>
  <si>
    <t>He walks away from his stuff, and a fish pulls his pole into the water, disappearing with it.</t>
  </si>
  <si>
    <t>He stands angrily with his hands on his hips, then gets another pole to try to get it back.</t>
  </si>
  <si>
    <t>v_UYFDYX4i2EY</t>
  </si>
  <si>
    <t>A man is standing on a stage performing different moves.</t>
  </si>
  <si>
    <t>He walks off the stage and someone else walks onto the stage.</t>
  </si>
  <si>
    <t>v_LNlGgtg70uQ</t>
  </si>
  <si>
    <t>This woman is showing her viewers how to make a Chambord Royale.</t>
  </si>
  <si>
    <t>First she fills her shaker up halfway with ice and then she adds vodka and Chambord and she puts one ounce of both of them and then she adds a little bit of pineapple juice and cranberry juice.</t>
  </si>
  <si>
    <t>Next she shakes everything up and strains the drink into the cocktail cup.</t>
  </si>
  <si>
    <t>v_59mz2Nd8GM0</t>
  </si>
  <si>
    <t>This perosn is shown making a sandwich that includes lunch meat, swiss cheese, and mayonnaise.</t>
  </si>
  <si>
    <t>He then mixes an egg and milk together and puts the sandwich into the mix.</t>
  </si>
  <si>
    <t>He puts the sandwich into a skillet that's on the stove for a little bit, and then he puts the sandwich on a white square shaped plate, which I'm guessing he ate.</t>
  </si>
  <si>
    <t>v_DU2hdNIS2WI</t>
  </si>
  <si>
    <t>A very large, muscular man is shown in a gym with a weight bar as piano music plays in the background.</t>
  </si>
  <si>
    <t>The video begins with the weight on the floor and the man getting ready to lift it.</t>
  </si>
  <si>
    <t>He lifts the weight and first brings it parallel to his shoulders.</t>
  </si>
  <si>
    <t>He then lifts it completely over his head with his arms extended.</t>
  </si>
  <si>
    <t>After leaving his arms up for several seconds, he allows the weight to fall on the ground.</t>
  </si>
  <si>
    <t>v_MSjSXzk2k50</t>
  </si>
  <si>
    <t>An intro leads into a woman pulling out a bucket and piecing together a mop.</t>
  </si>
  <si>
    <t>The camera pans around the bucket and the woman continues using the mop inside the bucket and moving around the object.</t>
  </si>
  <si>
    <t>v_HHDMFrN7vFs</t>
  </si>
  <si>
    <t>A man in a red shirt is sitting at an exercise bike.</t>
  </si>
  <si>
    <t>He is moving his legs on the pedals.</t>
  </si>
  <si>
    <t>There are other bikes next to him.</t>
  </si>
  <si>
    <t>v_DCYz8p4zH6o</t>
  </si>
  <si>
    <t>A man is seen kneeling on the floor swinging his arms back and fourth.</t>
  </si>
  <si>
    <t>Text moves across his face as he swings his arms.</t>
  </si>
  <si>
    <t>The man continues to swing his arms and ends with credits rolling.</t>
  </si>
  <si>
    <t>v_MiTIi_QYt2k</t>
  </si>
  <si>
    <t>A close up of a wooden bench is seen followed by a person mixing ingredients together.</t>
  </si>
  <si>
    <t>A person is then seen holding a rag and wiping down the bench.</t>
  </si>
  <si>
    <t>More ingredients are mixed afterwards that leads into more wiping down with the rag.</t>
  </si>
  <si>
    <t>v_56m7PcBuUFc</t>
  </si>
  <si>
    <t>A girl is pushing two little boys on a backyard swing.</t>
  </si>
  <si>
    <t>She smiles at the camera as she pushes the boys back and forth.</t>
  </si>
  <si>
    <t>v_u35hesPTsNE</t>
  </si>
  <si>
    <t>A band is seen sitting on the stage with one man playing the drums and a woman interviewing him.</t>
  </si>
  <si>
    <t>The man continues playing as the women speaks to the crowd and sings while they play.</t>
  </si>
  <si>
    <t>v_eAOBdYKju70</t>
  </si>
  <si>
    <t>Various shots are shown of horse saddles and various people riding these saddles on horses.</t>
  </si>
  <si>
    <t>A girl wraps the rope around her saddle while others practice on placed saddles.</t>
  </si>
  <si>
    <t>People ride around the saddles and show various caddie and how to ride them.</t>
  </si>
  <si>
    <t>A tourist is being interviewed on riding experience but she watched other riding and felt confident.</t>
  </si>
  <si>
    <t>A man speakers on his experience and various shots of the horses and wildlife are shown.</t>
  </si>
  <si>
    <t>v_szW1c2SGdew</t>
  </si>
  <si>
    <t>A man swings his leg in the air creating letters and we see an opening screen.</t>
  </si>
  <si>
    <t>two men are in two different rooms performing Capoeira moves.</t>
  </si>
  <si>
    <t>A man does a handstand move.</t>
  </si>
  <si>
    <t>The man does a handstand and pauses.</t>
  </si>
  <si>
    <t>We see the website on a black screen.</t>
  </si>
  <si>
    <t>We see four screens with images of men doing Capoeira.</t>
  </si>
  <si>
    <t>v_5kIl4TspdR0</t>
  </si>
  <si>
    <t>Someone is brushing their teeth with an electric toothbrush.</t>
  </si>
  <si>
    <t>They wear braces so they make sure to scrub all around very well.</t>
  </si>
  <si>
    <t>You can see the tongue moving around never really being comfortable inside of the mouth.</t>
  </si>
  <si>
    <t>The man continues to brush, toothpaste spewing down his lips a bit .</t>
  </si>
  <si>
    <t>v_eMB9L-LDK1E</t>
  </si>
  <si>
    <t>A person sprays a sink and wipes it with a towel.</t>
  </si>
  <si>
    <t>They spray a bath tub and wipe it with a towel.</t>
  </si>
  <si>
    <t>They spray a toilet and wipe it with a toilet.</t>
  </si>
  <si>
    <t>v_UUjXw1xjprU</t>
  </si>
  <si>
    <t>There are several people gathered in a skating park with skateboards.</t>
  </si>
  <si>
    <t>There a young man wearing a red hat talking about a skateboarding event at Red Bull skate Arcade.</t>
  </si>
  <si>
    <t>Several spectators are gathered in the arcade along with a panel of judges.</t>
  </si>
  <si>
    <t>Some of the participants are beating the heat by splashing water on themselves.</t>
  </si>
  <si>
    <t>The participants begin their stunts on the skateboards as they go over ramps and steep slopes.</t>
  </si>
  <si>
    <t>Several participants are showing off their stunts as spectators cheer and clap for them.</t>
  </si>
  <si>
    <t>They show off their scary yet impressive stunts as the climb up walls and steep ramps without falling.</t>
  </si>
  <si>
    <t>The crowds cheer for them and applaud them.</t>
  </si>
  <si>
    <t>The winners are awarded certificates and prizes for winning.</t>
  </si>
  <si>
    <t>v_QooDDNWaQjU</t>
  </si>
  <si>
    <t>A person throws a Frisbee for her dog for a dog to retrieve during an event on a sporting field.</t>
  </si>
  <si>
    <t>The dog catches the Frisbee and brings it back to the trainer.</t>
  </si>
  <si>
    <t>v_mvQxhjjVWOk</t>
  </si>
  <si>
    <t>There is a woman representing Jamaica participating on a long jump event.</t>
  </si>
  <si>
    <t>There is another woman doing long jump from another country.</t>
  </si>
  <si>
    <t>Several other contestant are participating in the same long jump competition.</t>
  </si>
  <si>
    <t>There are spectators watching them as they compete against each other.</t>
  </si>
  <si>
    <t>The contestant from Istanbul makes very long jump in the sand pit.</t>
  </si>
  <si>
    <t>The contestants continue competing in the sporting event.</t>
  </si>
  <si>
    <t>v_sRYDJ379UYc</t>
  </si>
  <si>
    <t>A man is seen sitting on a piece of exercise equipment with a trainer standing in front of him.</t>
  </si>
  <si>
    <t>The man then moves back and fourth on the machine while the other man helps.</t>
  </si>
  <si>
    <t>He is shown again in another clips moving and the trainer helping.</t>
  </si>
  <si>
    <t>v_w50et2-vEOQ</t>
  </si>
  <si>
    <t>We see the title and introductions screens.</t>
  </si>
  <si>
    <t>We see a boat with a man on it.</t>
  </si>
  <si>
    <t>We see people and the interior of the boat.</t>
  </si>
  <si>
    <t>The man wakeboards around a lake.</t>
  </si>
  <si>
    <t>We see the boat with people in it.</t>
  </si>
  <si>
    <t>The man pulls out the ladder and climbs on the boat then we see a boat take off, and in a show room.</t>
  </si>
  <si>
    <t>The man falls off the wakeboard 2 times.</t>
  </si>
  <si>
    <t>We see the ending title screen.</t>
  </si>
  <si>
    <t>v_WMoofjkumOs</t>
  </si>
  <si>
    <t>In the beginning the man is shown tricking the bull.</t>
  </si>
  <si>
    <t>Many other men have been shown tricking bulls in front of large crowds.</t>
  </si>
  <si>
    <t>v_TF591ByrGYk</t>
  </si>
  <si>
    <t>A young male gymnast is is an arena standing on a mat preparing to do his routine.</t>
  </si>
  <si>
    <t>The boy then approached the bars and does a series of swings and hand stand in the air.</t>
  </si>
  <si>
    <t>While he's performing,he adds several flips and rolls into his performance before finally jumping off of the bars.</t>
  </si>
  <si>
    <t>v_95pMelnv2dQ</t>
  </si>
  <si>
    <t>Men play badminton in the sand.</t>
  </si>
  <si>
    <t>A man on the left serves the birdie both men on the right miss it.</t>
  </si>
  <si>
    <t>the man on the right serves and the man on the left hits it back but it hits the net.</t>
  </si>
  <si>
    <t>A man stands on the left watching.</t>
  </si>
  <si>
    <t>v_y_HCdBEJbNE</t>
  </si>
  <si>
    <t>A man puts plaster on a base.</t>
  </si>
  <si>
    <t>The man walks over and rubs it on the ceiling.</t>
  </si>
  <si>
    <t>We see the stilts the man is walking on.</t>
  </si>
  <si>
    <t>The camera becomes wobbly and blurry.</t>
  </si>
  <si>
    <t>The man bends down to grab more plaster.</t>
  </si>
  <si>
    <t>The man smiles and the video ends.</t>
  </si>
  <si>
    <t>v_RWjCwIOuzrc</t>
  </si>
  <si>
    <t>There is a man nodding in the first frame.</t>
  </si>
  <si>
    <t>The video movies to the man putting up the wall paper by first measuring it out, lining up the pattern and putting it up on the wall.</t>
  </si>
  <si>
    <t>He then unscrews a light switch and pulls it out just a little, making some slits in the fabric or paper, then putting the light switch back over the new wall paper.</t>
  </si>
  <si>
    <t>The camera shows wall paper in a finished room, going over different rooms with different wall papers.</t>
  </si>
  <si>
    <t>The man is later seen measuring and marking the wall, rolling out more wall paper and putting it up on the wall.</t>
  </si>
  <si>
    <t>Then it shows two tables that look like they have also been wall papered.</t>
  </si>
  <si>
    <t>v__4licRHiRRs</t>
  </si>
  <si>
    <t>A text intro leads into a picture of a dog and the same dog running along the yard.</t>
  </si>
  <si>
    <t>The dog is seen in several clips chasing after a frisbee.</t>
  </si>
  <si>
    <t>A man throws the frisbee to the dog in the yard who continues chasing after him.</t>
  </si>
  <si>
    <t>v_c2-6_i1yV5E</t>
  </si>
  <si>
    <t>Individuals run with a elongated stick and use it to elevated their bodies over a heighten hurdle.</t>
  </si>
  <si>
    <t>A guy touches the back of the individual as he lifts his body.</t>
  </si>
  <si>
    <t>The guy seems like he falls backs while trying to lift his body because the clip is reversed.</t>
  </si>
  <si>
    <t>v_gDNgiybMA1s</t>
  </si>
  <si>
    <t>A camera pans up to a person standing in a kitchen and then dancing on the floor.</t>
  </si>
  <si>
    <t>The man continues to dance around while looking to the camera and singing.</t>
  </si>
  <si>
    <t>v_O4P07fipvIA</t>
  </si>
  <si>
    <t>A large group of cheerleaders are seen running into an arena cheering and beginning performing a routine with one another.</t>
  </si>
  <si>
    <t>The girls continue cheering around the stage while lifting one another up and performing tricks and pans to the audience in the end.</t>
  </si>
  <si>
    <t>v_hru57dsi0N0</t>
  </si>
  <si>
    <t>A woman is seated in a chair in a dining room.</t>
  </si>
  <si>
    <t>She shows off her bare feet and their shape.</t>
  </si>
  <si>
    <t>She then puts on and tries to lace her shoes around the swollen feet.</t>
  </si>
  <si>
    <t>v_XHMrvd3sKzE</t>
  </si>
  <si>
    <t>Two kids are climbing a rock wall.</t>
  </si>
  <si>
    <t>The adults are guiding the lines.</t>
  </si>
  <si>
    <t>The kids continue to climb.</t>
  </si>
  <si>
    <t>The one on the right will make it to the top first.</t>
  </si>
  <si>
    <t>The one on the left did not make it to the top, both hop back down the wall.</t>
  </si>
  <si>
    <t>v_mAWuiYWXmb8</t>
  </si>
  <si>
    <t>A woman and a man exercise sitting on a cardio machine.</t>
  </si>
  <si>
    <t>A woman works out sitting on a cardio machine.</t>
  </si>
  <si>
    <t>A man sits next a woman performing cardio workouts.</t>
  </si>
  <si>
    <t>v_l8NepxsCh34</t>
  </si>
  <si>
    <t>A girl is playing hopscotch on a sidewalk.</t>
  </si>
  <si>
    <t>She gets to the end and turns around to go back.</t>
  </si>
  <si>
    <t>Another girl throws a puck onto the sidewalk and starts to play hopscotch.</t>
  </si>
  <si>
    <t>v_UZ9D6DhrmDI</t>
  </si>
  <si>
    <t>A person solves a cube puzzle flipping the pieces around.</t>
  </si>
  <si>
    <t>The person solves the puzzle and show a chronometer.</t>
  </si>
  <si>
    <t>v_s9Wop4PMZaw</t>
  </si>
  <si>
    <t>Two young children are seen riding on a camel past a group of people and a man leading them along.</t>
  </si>
  <si>
    <t>The man continues to lead the camel around with the children on top and ends with them climbing down and others walking up.</t>
  </si>
  <si>
    <t>v_2N129Bw1jiQ</t>
  </si>
  <si>
    <t>Young children are seen jumping on a mat back and fourth while two older women watch them on the side.</t>
  </si>
  <si>
    <t>The boy then takes a big leap and the girl stands in front of him.</t>
  </si>
  <si>
    <t>v_ffyPN2-EDg4</t>
  </si>
  <si>
    <t>A man walks up to a snow scoop.</t>
  </si>
  <si>
    <t>The man shovels the snow on a roof while the cameraman talks.</t>
  </si>
  <si>
    <t>The man stops scooping the snow.</t>
  </si>
  <si>
    <t>v_aTrEYoCRL2k</t>
  </si>
  <si>
    <t>A man sitting in a leaf blower starts the machine and blows a large pile of leafs into the brush nearby.</t>
  </si>
  <si>
    <t>We we see the vehicle back and and go back and forth blowing the leaves.</t>
  </si>
  <si>
    <t>The cameraman stops the vehicle and gets out.</t>
  </si>
  <si>
    <t>We see the full vehicle from the front and see the field.</t>
  </si>
  <si>
    <t>v_sRgBK2_nb0I</t>
  </si>
  <si>
    <t>We see a man raise his arms and prepare to mount the pommel horse.</t>
  </si>
  <si>
    <t>The man mounts the pommel horse.</t>
  </si>
  <si>
    <t>The man does a handstand and throws his open legs over the pommel.</t>
  </si>
  <si>
    <t>The man spins around on the pommel horse.</t>
  </si>
  <si>
    <t>The man does a handstand and dismounts.</t>
  </si>
  <si>
    <t>The man raises his arms and walks away.</t>
  </si>
  <si>
    <t>The man shakes another man's hand.</t>
  </si>
  <si>
    <t>v_jnnHUCs-t3o</t>
  </si>
  <si>
    <t>Several people are playing in a public swimming pool.</t>
  </si>
  <si>
    <t>They swim in the water, playing a game with a ball.</t>
  </si>
  <si>
    <t>They hit the ball back and forth, trying to keep it from each other.</t>
  </si>
  <si>
    <t>v_m22TDwfa8go</t>
  </si>
  <si>
    <t>A woman is seen talking to the camera and presenting various liquids to the camera.</t>
  </si>
  <si>
    <t>She ready's the tip of a glass and dips the glass into sugar on a plate.</t>
  </si>
  <si>
    <t>She pours various liquids into a mixer and shakes the mixture all together.</t>
  </si>
  <si>
    <t>She pours the drink out into the glass while still speaking to the camera.</t>
  </si>
  <si>
    <t>v_Vcv9P-4Tty0</t>
  </si>
  <si>
    <t>A group of people are seen standing on a sandy field with one throwing a soccer ball to another.</t>
  </si>
  <si>
    <t>The other person scores a goal and other players jump on him and congratulate him.</t>
  </si>
  <si>
    <t>The same goal is shown several more times from different angles.</t>
  </si>
  <si>
    <t>v_3NSikmqK3Ys</t>
  </si>
  <si>
    <t>man is standing in front of a motorbike and puts a toilet lid in the black leathe seat.</t>
  </si>
  <si>
    <t>the man is driving the motorbike thorugh the street and a dog is running next to him.</t>
  </si>
  <si>
    <t>the man opens the motorbike trunk and close it.</t>
  </si>
  <si>
    <t>v_EU-IdUKbLSg</t>
  </si>
  <si>
    <t>A large group of people are seen swimming around a pool while a coach yells on the sides.</t>
  </si>
  <si>
    <t>Shots of people playing are shown when one hits the other.</t>
  </si>
  <si>
    <t>The coaches yell to one another while people still play the game.</t>
  </si>
  <si>
    <t>v_ciXArKhjAv8</t>
  </si>
  <si>
    <t>A little boy is standing eating ice cream.</t>
  </si>
  <si>
    <t>There is a dog on the floor behind him.</t>
  </si>
  <si>
    <t>He laughs and turns around.</t>
  </si>
  <si>
    <t>v_K-r_Tj7uFGw</t>
  </si>
  <si>
    <t>A girl is sitting on a large chair with two girls beside her and a man tattooing her foot.</t>
  </si>
  <si>
    <t>Another man steps into frame and the girls continue talking to each other while the artist.</t>
  </si>
  <si>
    <t>v_TOfBNYOlv8c</t>
  </si>
  <si>
    <t>A woman behind a bar is showing how to make a mixed drink.</t>
  </si>
  <si>
    <t>A series of shots appear with a person pouring alcohol into a martini glass and then the screen fades into the video title screen showing a website name, the name of the drink they are making and the person who will be making it.</t>
  </si>
  <si>
    <t>A website address is shown at the bottom of the screen.</t>
  </si>
  <si>
    <t>A girl standing behind the bar explains what ingredients she is using for the drink, the amounts she is using, and mixes them all together in a glass and presents the drink.</t>
  </si>
  <si>
    <t>The camera zooms in on the drink and fades to black to end the video.</t>
  </si>
  <si>
    <t>v_hlwSgE7Epwo</t>
  </si>
  <si>
    <t>A woman standing outside near a tennis court talking about things.</t>
  </si>
  <si>
    <t>A girl in all black with a baton practicing her moves and dances inside of the studio.</t>
  </si>
  <si>
    <t>Her coach does an interview while sitting down with her hands held together.</t>
  </si>
  <si>
    <t>The girl continues to practice by herself in the studio.</t>
  </si>
  <si>
    <t>v_O-zE1-Yw3w0</t>
  </si>
  <si>
    <t>A young girl introduces the video and explains what she will be doing to wood.</t>
  </si>
  <si>
    <t>She places a piece of bubblewrap and makes sure it covers around about half of the wood.</t>
  </si>
  <si>
    <t>She then covers the rest of the wood and walks across it like a plank.</t>
  </si>
  <si>
    <t>v_VgQ6a7oVx7g</t>
  </si>
  <si>
    <t>People are performing gymnastic stunts in front of an audience.</t>
  </si>
  <si>
    <t>A guy locks his arms around bars above his head.</t>
  </si>
  <si>
    <t>The guy swings his body while holding on to the bars.</t>
  </si>
  <si>
    <t>The guy flips off the bars and lands on his feet, claps, and begins to leave.</t>
  </si>
  <si>
    <t>A man approaches the guy clapping.</t>
  </si>
  <si>
    <t>v_21krmbuT21s</t>
  </si>
  <si>
    <t>Two gymasts are performing in front of a crowd.</t>
  </si>
  <si>
    <t>One is spinning constantly on a beam.</t>
  </si>
  <si>
    <t>The man in red mounts and begins to spin, performing several tricks.</t>
  </si>
  <si>
    <t>The man dismounts, and puts one victorious arm up into the air.</t>
  </si>
  <si>
    <t>v_STwMeZMg_aA</t>
  </si>
  <si>
    <t>A boy pulls a string of a home fitness machine while talking.</t>
  </si>
  <si>
    <t>Then, the boy falls down the floor.</t>
  </si>
  <si>
    <t>v_EmlmKZ6Gi3Y</t>
  </si>
  <si>
    <t>There's a large team of participants getting ready to do engage in a water tubing activity.</t>
  </si>
  <si>
    <t>They walk down a hilly terrain to the river.</t>
  </si>
  <si>
    <t>They get onto their tubes and begin going down the rapids.</t>
  </si>
  <si>
    <t>The participants seem very calm and happy as they wave to the camera.</t>
  </si>
  <si>
    <t>They all begin their journey down the rapids as the water starts getting more turbulent.</t>
  </si>
  <si>
    <t>They continue going along the with water current as they flow steadily through the water.</t>
  </si>
  <si>
    <t>Then they all arrive at banks of the river where the water is calm and steady flowing.</t>
  </si>
  <si>
    <t>v_hQXWnoipdFE</t>
  </si>
  <si>
    <t>The video is represented by North Face and Cliff Bar where they show mountain climbers at Yosemite National Park.</t>
  </si>
  <si>
    <t>There are several people talking about the fascination of mountain climbing.</t>
  </si>
  <si>
    <t>There are pictures of people wearing bandanas shown sitting on the mountain tops.</t>
  </si>
  <si>
    <t>There's a man who is mountain climbing on a steep slope.</t>
  </si>
  <si>
    <t>Another man takes a leap from the top of mountain in an attempt to bungee jump from that height.</t>
  </si>
  <si>
    <t>v_pHZogKGkc9o</t>
  </si>
  <si>
    <t>A group of young boys are inside a basketball court.</t>
  </si>
  <si>
    <t>They play a game while the coach cheers them on and instructs them.</t>
  </si>
  <si>
    <t>Some of the boys watch from the sidelines, waiting for their turn.</t>
  </si>
  <si>
    <t>v_9V7cMp_w1_0</t>
  </si>
  <si>
    <t>Winter scenes with vehicles and heavy snow are shown.</t>
  </si>
  <si>
    <t>Scenes from the interior of an airport are shown, with people walking around or waiting.</t>
  </si>
  <si>
    <t>A woman talks to the camera.</t>
  </si>
  <si>
    <t>A man cleans snow off a car.</t>
  </si>
  <si>
    <t>More scenes from a winter storm are shown.</t>
  </si>
  <si>
    <t>Scenes of people cleaning snow off their vehicles are shown.</t>
  </si>
  <si>
    <t>A different woman talks to the camera.</t>
  </si>
  <si>
    <t>A car drives away from the camera.</t>
  </si>
  <si>
    <t>Two people talk to the camera.</t>
  </si>
  <si>
    <t>A truck drives away from the camera.</t>
  </si>
  <si>
    <t>v_NOxiMgQMeuk</t>
  </si>
  <si>
    <t>A woman is shown with a paintbrush and a piece of canvas.</t>
  </si>
  <si>
    <t>She uses green paint to fill in a drawing of a plant.</t>
  </si>
  <si>
    <t>She goes around in circles, painting the image.</t>
  </si>
  <si>
    <t>v_6tveUnZe7WA</t>
  </si>
  <si>
    <t>A white male is dressed outside in a Scotland uniform standing outside in the middle of a cemetery.</t>
  </si>
  <si>
    <t>As he is standing,he plays the bag pipes with the American Flag hanging down from them.</t>
  </si>
  <si>
    <t>When he is finished,he begins to look to his right,shakes his head,catches his breath and keeps playing.</t>
  </si>
  <si>
    <t>v_jzDXtd0__DM</t>
  </si>
  <si>
    <t>A close up of a sign is seen followed by a young couple looking to the camera.</t>
  </si>
  <si>
    <t>Other people are seen standing on the side and watching the other two.</t>
  </si>
  <si>
    <t>The coupe hold on and then jump off the side while the others stand and watch.</t>
  </si>
  <si>
    <t>v_i5jZVSzLbYQ</t>
  </si>
  <si>
    <t>A person is seen performing various flips and tricks in front of audience and leads into a young boy standing in the middle.</t>
  </si>
  <si>
    <t>The boy and man then battle against one another doing several tricks and ends with the an holding the boy's arm.</t>
  </si>
  <si>
    <t>He then claps to the boy and several people on the side clap.</t>
  </si>
  <si>
    <t>v_vX8L1RcZ4cc</t>
  </si>
  <si>
    <t>A little boy doing karate is yelling commands.</t>
  </si>
  <si>
    <t>He starts to do some of his karate moves, moving all around the court.</t>
  </si>
  <si>
    <t>He is a blue belt being judged for his skills.</t>
  </si>
  <si>
    <t>He bows gracefully before walking off and the judges throw up their flags.</t>
  </si>
  <si>
    <t>v_3TbZ7uSYUe8</t>
  </si>
  <si>
    <t>A group of men are standing on a diving board and they take terms jumping off of the diving board.</t>
  </si>
  <si>
    <t>As the last person jumps off the board,a group of men are shown walking across the pool.</t>
  </si>
  <si>
    <t>v_FhbsTTHT2Zs</t>
  </si>
  <si>
    <t>A woman with blonde hair,a purple jacket and black gloves on is standing near a stable talking.</t>
  </si>
  <si>
    <t>As she continues talking,her saddle is shown and she begins talking about the specifics of it.</t>
  </si>
  <si>
    <t>The lady then puts it on the horse and begins rubbing certain parts of it to make sure it is secure.</t>
  </si>
  <si>
    <t>v_xld0M1MXNiE</t>
  </si>
  <si>
    <t>A close up of a globe is shown with a person pointing a hookah at it.</t>
  </si>
  <si>
    <t>The man is then seen looking closely to the camera.</t>
  </si>
  <si>
    <t>He finally blows smoke rings out of his mouth.</t>
  </si>
  <si>
    <t>v_0SmA1cGocz4</t>
  </si>
  <si>
    <t>The word curling appears on the screen numerous times.</t>
  </si>
  <si>
    <t>A woman is shown having her hair dried, brushed, and curled by a specialist.</t>
  </si>
  <si>
    <t>He places her hair is rollers, then takes them down and styles it.</t>
  </si>
  <si>
    <t>Then she poses with her new hair style.</t>
  </si>
  <si>
    <t>v_py4ekPd5G_k</t>
  </si>
  <si>
    <t>Several shots of a building are shown as well as a lake surrounded by trees.</t>
  </si>
  <si>
    <t>Many people are seen riding canoes and a person's feet and legs are shown.</t>
  </si>
  <si>
    <t>The people ride down the river while the camera pans in more landscapes and trees.</t>
  </si>
  <si>
    <t>v_5IkU9svJFRI</t>
  </si>
  <si>
    <t>We see a boy squatting in the dirt.</t>
  </si>
  <si>
    <t>We then see the title screen.</t>
  </si>
  <si>
    <t>The little boy attempts to make a campfire using a flint.</t>
  </si>
  <si>
    <t>Small flames start and grow.</t>
  </si>
  <si>
    <t>The boy stands up next to his fire.</t>
  </si>
  <si>
    <t>We see 2 title cards about starting fires for survival and the website is show before the end screens.</t>
  </si>
  <si>
    <t>v_3YiGMRp-7B4</t>
  </si>
  <si>
    <t>A group of people are standing in a parking lot.</t>
  </si>
  <si>
    <t>The people move in several martial arts techniques.</t>
  </si>
  <si>
    <t>They kick and punch back and forth.</t>
  </si>
  <si>
    <t>v_kfW5sm39ZYE</t>
  </si>
  <si>
    <t>We see a flat tire on a car.</t>
  </si>
  <si>
    <t>the owner takes out the spare tire and tools.</t>
  </si>
  <si>
    <t>The person jacks up the car.</t>
  </si>
  <si>
    <t>The person puts their hand under the raised tire.</t>
  </si>
  <si>
    <t>The man takes off the bad tire.</t>
  </si>
  <si>
    <t>The man shows a screw in his tire.</t>
  </si>
  <si>
    <t>The man puts the spare tire on.</t>
  </si>
  <si>
    <t>The man lowers the car on the spare.</t>
  </si>
  <si>
    <t>v_WGzUnE043iA</t>
  </si>
  <si>
    <t>A man in a canoe talks and paddles in a lake surrounded by large rocks, trees, foliage, stray kayaks, and other people in canoes.</t>
  </si>
  <si>
    <t>The man begins at a profile view holding a paddle while sitting in a canoe and talking to a camera occasionally pointing to a nearby shore with the paddle.</t>
  </si>
  <si>
    <t>The man then uses the paddle in the water to push the canoe off deeper into the water.</t>
  </si>
  <si>
    <t>The man begins to paddle freely in the water, passing along the way, a group of people on a canoe and several stray canoes and kayaks in the water, before facing the camera again in a close up and talking.</t>
  </si>
  <si>
    <t>v_aDDq5ofaFHI</t>
  </si>
  <si>
    <t>White words appear on the screen and say "THE AMERICAN DREAM" and a man wearing a helmet jumps onto the dirt hill path and continues to walk down, grabs his skateboard and begins skating on the road at the end of the hill of a very scenic area.</t>
  </si>
  <si>
    <t>The man is now skating in a road in a residential area where he passes many homes with cars parked on the roads.</t>
  </si>
  <si>
    <t>The man continues to skate through residential areas, water edges along parks, harbors, cities and etcetera.</t>
  </si>
  <si>
    <t>The man ends with a walk along a rocky beach and carrying his skateboard on his right shoulder.</t>
  </si>
  <si>
    <t>v_Jo3R272P8eM</t>
  </si>
  <si>
    <t>A woman is holding a microphone standing outside a room.</t>
  </si>
  <si>
    <t>People are playing wall ball in the room.</t>
  </si>
  <si>
    <t>The woman is holding a piece of paper.</t>
  </si>
  <si>
    <t>v_SCGQIhvDcIo</t>
  </si>
  <si>
    <t>The "LLumar" logo appears on screen.</t>
  </si>
  <si>
    <t>A young girl with a pool cue walks to a pool table, the camera focuses on her low cut top.</t>
  </si>
  <si>
    <t>Several women play pool at the table in revealing clothing.</t>
  </si>
  <si>
    <t>The "LLumar" logo reappears on screen.</t>
  </si>
  <si>
    <t>v_hsJJbTqSQR4</t>
  </si>
  <si>
    <t>A young girl is seen standing on a tennis court holding a racket.</t>
  </si>
  <si>
    <t>The woman begins swinging the racket while another boy stands beside her.</t>
  </si>
  <si>
    <t>The woman continues swinging and walks back to the boy.</t>
  </si>
  <si>
    <t>v_w-6Oo3bgms4</t>
  </si>
  <si>
    <t>Several men are playing soccer in a gym.</t>
  </si>
  <si>
    <t>There are some spectators in the background.</t>
  </si>
  <si>
    <t>Another group of men are playing soccer.</t>
  </si>
  <si>
    <t>There are spectators in the background.</t>
  </si>
  <si>
    <t>Various scenes of soccer matches are shown with spectators.</t>
  </si>
  <si>
    <t>v_Y8WY_c3onSY</t>
  </si>
  <si>
    <t>A couple girls are seen riding down a long slide in the middle of a park.</t>
  </si>
  <si>
    <t>More children ride down the slide while a mother helps the kids at the top.</t>
  </si>
  <si>
    <t>v_u3B3M17akWU</t>
  </si>
  <si>
    <t>A woman is seen sitting down holding an ice cream while looking at the camera.</t>
  </si>
  <si>
    <t>She continues to eat the ice cream as the camera pans around her and watching her eat.</t>
  </si>
  <si>
    <t>v_-G8N5FxjZbw</t>
  </si>
  <si>
    <t>A man is seen playing a set of bagpipes while people behind him push around bicycles.</t>
  </si>
  <si>
    <t>He is seen playing again while more people walk in and out of frame with children and dogs.</t>
  </si>
  <si>
    <t>Some people stop to hear him play and he stops to look to the camera.</t>
  </si>
  <si>
    <t>v_gXKGS1N3zuM</t>
  </si>
  <si>
    <t>A belly dancer dressed in red and black is demonstrating how to hip circles and shimmy.</t>
  </si>
  <si>
    <t>She is standing with her feet hip width apart.</t>
  </si>
  <si>
    <t>Then she shows how to do the foot work as she moves her hips in circles.</t>
  </si>
  <si>
    <t>She simultaneously moves her hips and as she moves sideways.</t>
  </si>
  <si>
    <t>Then she extends her hands and up on one side as she continues to move along sideways.</t>
  </si>
  <si>
    <t>She repeats the steps going back and forth as she twirls her hips.</t>
  </si>
  <si>
    <t>v_SQncxXAlBFE</t>
  </si>
  <si>
    <t>A woman body builder slowly lifts a giant barbell of weights up into the air.</t>
  </si>
  <si>
    <t>She lifts it to her chest, Then over her head before freezing in place.</t>
  </si>
  <si>
    <t>v_qHU7T2LBToI</t>
  </si>
  <si>
    <t>A cheerleading team performs on a blue mat.</t>
  </si>
  <si>
    <t>They dance and tumble during their routine.</t>
  </si>
  <si>
    <t>v_MBouLt-hXDU</t>
  </si>
  <si>
    <t>Cake chemistry explaining how to do a at home experiment, They give all the ingredients needed and begin to explain what they will be doing.</t>
  </si>
  <si>
    <t>The start to give step by step instructions on how to mix the ingredients together.</t>
  </si>
  <si>
    <t>They give very detailed information about what to do before putting them in the oven.</t>
  </si>
  <si>
    <t>Once, they come out of the oven they explain the difference between all of the cakes and the different ingredients they did not put in each to see why the results were different.</t>
  </si>
  <si>
    <t>v_rbDbXXqaZaM</t>
  </si>
  <si>
    <t>A man drives a mowing machine to cut the grass of a backyard.</t>
  </si>
  <si>
    <t>The man pass on front the home to continues mowing the other parts of the yard.</t>
  </si>
  <si>
    <t>v_iyGve9RCjV4</t>
  </si>
  <si>
    <t>Two people are seen performing various martial arts with one another while a large group of people watch on the sides.</t>
  </si>
  <si>
    <t>More people stand in the middle and perform with one another and ends with people moving around and grabbing one another.</t>
  </si>
  <si>
    <t>v_fynO9wmckLA</t>
  </si>
  <si>
    <t>Two young men are standing indoors, talking to the camera.</t>
  </si>
  <si>
    <t>They demonstrate how they run on a track, and do a long jump into sand.</t>
  </si>
  <si>
    <t>v_pmPEfkb8roQ</t>
  </si>
  <si>
    <t>A fence in front of a house is shown.</t>
  </si>
  <si>
    <t>A man wearing white starts painting the fence.</t>
  </si>
  <si>
    <t>v_0MtST08F2Xc</t>
  </si>
  <si>
    <t>A person in blue pants is raking some fallen leaves from the ground.</t>
  </si>
  <si>
    <t>There is a black dog and a white dog jumping around the person raking the leaves.</t>
  </si>
  <si>
    <t>The white dog is trying to bite off the rake.</t>
  </si>
  <si>
    <t>Both the dogs are playing around the man raking the leaves, trying to bite the rake.</t>
  </si>
  <si>
    <t>The person is moving the rake in circles as the dogs are jumping around him.</t>
  </si>
  <si>
    <t>v_AEH6JEd_03c</t>
  </si>
  <si>
    <t>A butterfly is flying on the screen with words on slides.</t>
  </si>
  <si>
    <t>A person is mixing ingredients in a bowl.</t>
  </si>
  <si>
    <t>They spoon the dough onto a cookie sheet.</t>
  </si>
  <si>
    <t>Bakes cookies are shown stacked up on a plate.</t>
  </si>
  <si>
    <t>v_P6lwZ6gKvUw</t>
  </si>
  <si>
    <t>A person is seen sitting in a chair and leads into her peeling a potato with a knife.</t>
  </si>
  <si>
    <t>The person then finishes peeling the potatoes and putting it down.</t>
  </si>
  <si>
    <t>v_JV4ss42WZG8</t>
  </si>
  <si>
    <t>A person is seen cutting up various fruits while also seen speaking to the camera.</t>
  </si>
  <si>
    <t>The person mixes various ingredients into a container of water.</t>
  </si>
  <si>
    <t>The person spins around the container in the end.</t>
  </si>
  <si>
    <t>v_vw64k9rIi_g</t>
  </si>
  <si>
    <t>A person's hand washes a grey cat in a white tub of water.</t>
  </si>
  <si>
    <t>A grey cat is sitting in a white tub of clear water, drenched in water.</t>
  </si>
  <si>
    <t>A hand with a tattoo appears and wipes the cat's back with a red cloth.</t>
  </si>
  <si>
    <t>The hand then wipes the cat's neck and the back of its head with the red cloth.</t>
  </si>
  <si>
    <t>The hand, finally, lets the red cloth fall into the water as the hand holds itself up to the cat's nose.</t>
  </si>
  <si>
    <t>v_heLlfK--Bx0</t>
  </si>
  <si>
    <t>A girl is standing with her back turned on a court.</t>
  </si>
  <si>
    <t>She turns, accidentally dropping a rope.</t>
  </si>
  <si>
    <t>She then performs, spinning and jumping with the rope.</t>
  </si>
  <si>
    <t>v_BvACPvbUq1k</t>
  </si>
  <si>
    <t>A person is seen shoveling up some snow with the camera laid on his head.</t>
  </si>
  <si>
    <t>He shows several shots of him shoveling up the snow, a close up of his face, and panning around the area.</t>
  </si>
  <si>
    <t>v_Gpocjp7hSzU</t>
  </si>
  <si>
    <t>A chef shows all the ingredients to do pasta.</t>
  </si>
  <si>
    <t>Then, the chef puts the pasta in hot water, then pours oil in a pan.</t>
  </si>
  <si>
    <t>Next, the chef adds to the pan the garlic, tomatoes, basil, salt, pepper and the cooked pasta and mix.</t>
  </si>
  <si>
    <t>After, the chef adds the parmesan cheese on top the pasta and serves in a dish.</t>
  </si>
  <si>
    <t>The chef put cheese and two green leaves on top the pasta in the dish.</t>
  </si>
  <si>
    <t>v__TeU8A-CGbU</t>
  </si>
  <si>
    <t>A person install a carpet using a machine.</t>
  </si>
  <si>
    <t>The person cuts a piece of stained carpet.</t>
  </si>
  <si>
    <t>Then, the person replace with a new piece and bush.</t>
  </si>
  <si>
    <t>v_cByxAZfw_hM</t>
  </si>
  <si>
    <t>man is running in a race track and make a long jump while people in stands is watching him an clapping.</t>
  </si>
  <si>
    <t>people on side of the racetrack is sitting on a side.</t>
  </si>
  <si>
    <t>v_TGVWaA_xTGE</t>
  </si>
  <si>
    <t>A woman is seen sitting behind a set of bongo drums and playing along while speaking to the camera.</t>
  </si>
  <si>
    <t>The woman continues hitting the drums while speaking to the camera and singing along.</t>
  </si>
  <si>
    <t>v_vvdmMyyAtN0</t>
  </si>
  <si>
    <t>A woman is lying on a bed with her hair spread.</t>
  </si>
  <si>
    <t>There are several images of her from behind with very long hair.</t>
  </si>
  <si>
    <t>We then see numerous images of her with her hair cut off to shoulder length.</t>
  </si>
  <si>
    <t>v_VJyNbaAz6Xs</t>
  </si>
  <si>
    <t>A man in a red coat is outside on a snowboard.</t>
  </si>
  <si>
    <t>He starts going down a course and doing some really cool tricks while moving.</t>
  </si>
  <si>
    <t>Some men are rubbing down their boards and another gets on the field and starts doing some flips and stuff in mid air.</t>
  </si>
  <si>
    <t>These are all pretty experienced people on the boards, they are even boarding through water and having a good time.</t>
  </si>
  <si>
    <t>v_lroya8XhuPs</t>
  </si>
  <si>
    <t>woman is standing talking to the camera holding a microphone and interviewing voleyball players.</t>
  </si>
  <si>
    <t>men are standing in a sandy field being interviewed.</t>
  </si>
  <si>
    <t>men are in sandy field showing he girl how to play beach soccer.</t>
  </si>
  <si>
    <t>woman is sin front of the net talking to the camera.</t>
  </si>
  <si>
    <t>v_dWPlarw_xg8</t>
  </si>
  <si>
    <t>A man gets pumped up to do a long jump then does it.</t>
  </si>
  <si>
    <t>Others go next and try to get the crowd pumped up for their respective long jumps.</t>
  </si>
  <si>
    <t>v_q-RNYziOHjE</t>
  </si>
  <si>
    <t>A black female is talking to the screen with long blonde curly hair and a black sweater.</t>
  </si>
  <si>
    <t>A blow dryer is shown and the lady then begins drying a girl's hair.</t>
  </si>
  <si>
    <t>The girls hair is then shown extremely curly and the young lady has trouble drying her hair.</t>
  </si>
  <si>
    <t>The Red by Kiss blow dryer is shown again and the lady continues drying the young lady's hair.</t>
  </si>
  <si>
    <t>v_Cjq9wf9XnX0</t>
  </si>
  <si>
    <t>man is putting the lifts on a pole.</t>
  </si>
  <si>
    <t>man is standing in middle of a room in a gym lifting weight.</t>
  </si>
  <si>
    <t>a lot of different lifts are stacked in the gym.</t>
  </si>
  <si>
    <t>v_ffWMjZCysO0</t>
  </si>
  <si>
    <t>A person is seen running along the road wearing equipment and speaking to the camera.</t>
  </si>
  <si>
    <t>The man runs around using strings as well as speaking to the camera.</t>
  </si>
  <si>
    <t>The man continues speaking while more shots are shown of him running.</t>
  </si>
  <si>
    <t>v_NttjvRpSdsI</t>
  </si>
  <si>
    <t>People are sitting in stands watching people.</t>
  </si>
  <si>
    <t>The people are in robes.</t>
  </si>
  <si>
    <t>They are doing karate moves on the floor.</t>
  </si>
  <si>
    <t>v_XCXcwMyrqYM</t>
  </si>
  <si>
    <t>A man talks about a bow he is using in front of an open field.</t>
  </si>
  <si>
    <t>The man shows how to use the bow by hitting a target in the field.</t>
  </si>
  <si>
    <t>Several vehicles drive down a road behind the field.</t>
  </si>
  <si>
    <t>Cows graze behind the road.</t>
  </si>
  <si>
    <t>The man hits his last target and walks away.</t>
  </si>
  <si>
    <t>v_JnYteBN2LDI</t>
  </si>
  <si>
    <t>A male bartender stands behind a bar in front of drinks and mixing cups.</t>
  </si>
  <si>
    <t>The man picks up a steel sup and pours its contents of ice into a glass he holds in opposite hand.</t>
  </si>
  <si>
    <t>The man then picks up a small steel shot glass and fills it with liquir.</t>
  </si>
  <si>
    <t>The man then pours the liquir into from the shot glass into the glass cup with ice.</t>
  </si>
  <si>
    <t>The man picks up another glass with red juice inside and pours it into the glass with ice before setting back down.</t>
  </si>
  <si>
    <t>The man pours the cup with all the liquids into a mixing cup then uses it to cap and shake the mixer.</t>
  </si>
  <si>
    <t>The man stops shaking and sepperates the two cups, setting them back on the counter.</t>
  </si>
  <si>
    <t>The man grabs a third empty glass and moves it to the opposite side of the counter.</t>
  </si>
  <si>
    <t>The man picks up the mixer and pours its contents into the empty glass before setting it back down.</t>
  </si>
  <si>
    <t>The man then adds a staw and miniature umbrella into the drink for decoration before holding up the glass.</t>
  </si>
  <si>
    <t>v_NsYBZUTzgDw</t>
  </si>
  <si>
    <t>A woman lifts up a cat from the table and sits down with it in her lap.</t>
  </si>
  <si>
    <t>The woman uses trimming scissors to cut the cats claws.</t>
  </si>
  <si>
    <t>v_43j1BAyP6Q0</t>
  </si>
  <si>
    <t>An unseen person navigates several Amazon dot com pages on exercise equipment.</t>
  </si>
  <si>
    <t>An Amazon page showing an exercise machine alone is shown, followed by another image of a Amazon page showing a woman using an exercise machine along with a price and information about the equipment.</t>
  </si>
  <si>
    <t>Another page showing a eliptical trainer is shown in which an active computer mouse is navigating the review for the item at which point another model elliptical trainer on another page is shown.</t>
  </si>
  <si>
    <t>v_HeHQxObROwQ</t>
  </si>
  <si>
    <t>A woman is spreading shaving cream on another woman's legs.</t>
  </si>
  <si>
    <t>She puts her hands under water and begins to shave the woman's legs for her.</t>
  </si>
  <si>
    <t>She starts from bottom to top of the leg and continues that motion.</t>
  </si>
  <si>
    <t>The video is very unsteady, but the woman continues to shave her friends leg.</t>
  </si>
  <si>
    <t>v_tjuYS-6UC_M</t>
  </si>
  <si>
    <t>A pinata hangs from a tree, as a group of girls stand in front of it.</t>
  </si>
  <si>
    <t>One has a stick and is blindfolded.</t>
  </si>
  <si>
    <t>She hits the pinata, then walks away.</t>
  </si>
  <si>
    <t>v_MGF7I9aCPPM</t>
  </si>
  <si>
    <t>A woman in a pink shirt is riding a cycle bike.</t>
  </si>
  <si>
    <t>She is then doing push ups on the ground.</t>
  </si>
  <si>
    <t>She does sit ups on the ground.</t>
  </si>
  <si>
    <t>v_NnEUVHhtLZs</t>
  </si>
  <si>
    <t>a man is seated, talking to a talk show host.</t>
  </si>
  <si>
    <t>They are animated as they speak to one another.</t>
  </si>
  <si>
    <t>They continue talking, then the host presents the man with a gift.</t>
  </si>
  <si>
    <t>v_zCI36lTmBqY</t>
  </si>
  <si>
    <t>A man is sitting inside on a chair inhaling from a pipe that looked like it was an oboe.</t>
  </si>
  <si>
    <t>He takes the hose out of his mouth and start to exhale forming O's in the air.</t>
  </si>
  <si>
    <t>He starts to blow his smoke in a container and makes some really cool circles i have never seen anything like it.</t>
  </si>
  <si>
    <t>It's pretty cool how he is forming the o's, just relaxing and enjoy simple fun.</t>
  </si>
  <si>
    <t>v_LmWcpkqUurg</t>
  </si>
  <si>
    <t>A man stands at the front of his minivan and shows it.</t>
  </si>
  <si>
    <t>The man leans on the tailgate of his van and shows storage cargo features inside.</t>
  </si>
  <si>
    <t>The man assembles together poles.</t>
  </si>
  <si>
    <t>The man sits in the drivers seat of the van and places the rod frame into a socket and twists it around.</t>
  </si>
  <si>
    <t>The man adjusts the rod and reaches under the van to remove a spare tire.</t>
  </si>
  <si>
    <t>The man removes the spare tire from its enclosure.</t>
  </si>
  <si>
    <t>The man works on installing the new tire.</t>
  </si>
  <si>
    <t>v_Si4_ER4lUME</t>
  </si>
  <si>
    <t>A young woman is seen sitting in a kayak looking to the camera.</t>
  </si>
  <si>
    <t>The girl then begins moving the paddle back and fourth.</t>
  </si>
  <si>
    <t>She pauses her paddling to laugh off into the distance.</t>
  </si>
  <si>
    <t>v_t8_XO-nWaYg</t>
  </si>
  <si>
    <t>There are two teenage boys playing and solving the Rubic's cube.</t>
  </si>
  <si>
    <t>Another small boy comes in there and takes a look at the camera.</t>
  </si>
  <si>
    <t>The teenagers are competing against each other to solve the cube.</t>
  </si>
  <si>
    <t>They both finish almost at the same time and solve the Rubic's cube.</t>
  </si>
  <si>
    <t>They proudly show off their skills in the camera.</t>
  </si>
  <si>
    <t>v_EhxFw5Eb1VE</t>
  </si>
  <si>
    <t>The male athlete is standing by the two poles, raised his arms up, then jumped on the poles with his arms, while under him, a man pull out a red beam.</t>
  </si>
  <si>
    <t>The athlete perform his exhibition on the poles, he stand on his arms while his feet and legs are extended straight up in the air, he turns around, swirl, jumped and twist around then jumped on the mat, standing straight.</t>
  </si>
  <si>
    <t>v_1BfYAuxv6Wk</t>
  </si>
  <si>
    <t>Maria is demonstrating how to make a Nyquil cocktail drink.</t>
  </si>
  <si>
    <t>She shows the ingredients required for the drink.</t>
  </si>
  <si>
    <t>She points to vodka, jagermeister and food coloring.</t>
  </si>
  <si>
    <t>She then takes a shaker and pours and vodka and the jagermeister.</t>
  </si>
  <si>
    <t>Then adds some ice in it and shakes it.</t>
  </si>
  <si>
    <t>She uses a strainer to strain the drink into a cocktail glass and places the glass on the table.</t>
  </si>
  <si>
    <t>v_ueDoskgg2yw</t>
  </si>
  <si>
    <t>There are some men shaving with Gillette shaving gel.</t>
  </si>
  <si>
    <t>There's a model whose face is completely lathered with shaving gel and he is using a blue razor to shave his face.</t>
  </si>
  <si>
    <t>Another male model also has his entire face lathered with shaving gel.</t>
  </si>
  <si>
    <t>He is also shaving his face with a blue razor.</t>
  </si>
  <si>
    <t>He shaves his cheeks and mustache area.</t>
  </si>
  <si>
    <t>He pumps out a small amount gel on his hands.</t>
  </si>
  <si>
    <t>Then shows the difference between regular foam cream and gel shaving cream and continues having.</t>
  </si>
  <si>
    <t>He then poses with a lady model who touches his face to feel his smooth skin.</t>
  </si>
  <si>
    <t>The entire Gillette shaving set is shown.</t>
  </si>
  <si>
    <t>v_sgwg1C3i-Vw</t>
  </si>
  <si>
    <t>An introduction for a canoe sporting brand appears on the screen.</t>
  </si>
  <si>
    <t>Several people are shown preparing to get their canoes into the water on a snowy day.</t>
  </si>
  <si>
    <t>Several other people get off of a bus and head toward the water.</t>
  </si>
  <si>
    <t>People are then shown doing several canoe an skiing training exercises.</t>
  </si>
  <si>
    <t>Then, in the water, people are shown canoeing and having fun.</t>
  </si>
  <si>
    <t>The video ends with the canoesport website displayed.</t>
  </si>
  <si>
    <t>v_v4KygkYPdp0</t>
  </si>
  <si>
    <t>The credits of the clip are shown.</t>
  </si>
  <si>
    <t>A person rests his hands on the top of drums.</t>
  </si>
  <si>
    <t>The person is playing the drums.</t>
  </si>
  <si>
    <t>The person claps their hands.</t>
  </si>
  <si>
    <t>The person puts his fingers together.</t>
  </si>
  <si>
    <t>v_2dFLbFsFyuY</t>
  </si>
  <si>
    <t>A woman holds a yellow ball behind her neck.</t>
  </si>
  <si>
    <t>She turns around and launches the ball onto a field.</t>
  </si>
  <si>
    <t>People run to measure the distance.</t>
  </si>
  <si>
    <t>A man in a red shirt holds a ball behind his neck.</t>
  </si>
  <si>
    <t>He turns around and launches the ball on the field.</t>
  </si>
  <si>
    <t>People run to measure the distance of it.</t>
  </si>
  <si>
    <t>Another woman holds a ball behind her neck.</t>
  </si>
  <si>
    <t>She also turns around and launches the ball onto the field.</t>
  </si>
  <si>
    <t>People then run over to measure the distance.</t>
  </si>
  <si>
    <t>She waves at the crowd.</t>
  </si>
  <si>
    <t>She then throws the ball again.</t>
  </si>
  <si>
    <t>The results then flash on the screen.</t>
  </si>
  <si>
    <t>v_zDPsJ3ECaTI</t>
  </si>
  <si>
    <t>An intro starts and begins showing a group of people.</t>
  </si>
  <si>
    <t>Various people perform a dance routine together with an instructor performing front and center.</t>
  </si>
  <si>
    <t>The routine continues with the people and instructor moving around with their arms and legs doing various movements to music.</t>
  </si>
  <si>
    <t>v_t3zAh4NBVko</t>
  </si>
  <si>
    <t>A boy and a girl are sitting behind a table.</t>
  </si>
  <si>
    <t>They begin to arm wrestle on the table.</t>
  </si>
  <si>
    <t>The man wins and smiles.</t>
  </si>
  <si>
    <t>v_mn1ozn0j7D8</t>
  </si>
  <si>
    <t>We see a couple opening title screens.</t>
  </si>
  <si>
    <t>A man is shaving with a straight razor.</t>
  </si>
  <si>
    <t>We see the man behind him and the men hug and talk.</t>
  </si>
  <si>
    <t>The man returns to shaving his face.</t>
  </si>
  <si>
    <t>We see the man in the rear again.</t>
  </si>
  <si>
    <t>The shaving man talks and we see the ending title screens.</t>
  </si>
  <si>
    <t>v_oG4zf8dAQKw</t>
  </si>
  <si>
    <t>A close up of products are shown followed by a woman open the package in front of a mirror.</t>
  </si>
  <si>
    <t>The woman puts the package into her mouth, swishes it around, then spits it out.</t>
  </si>
  <si>
    <t>v_OBbHkBVDX8Y</t>
  </si>
  <si>
    <t>A man is seen standing on stage holding an instruments in his hands.</t>
  </si>
  <si>
    <t>He then picks up the instrument and begins playing on stage.</t>
  </si>
  <si>
    <t>The man continues to play and ends looking away.</t>
  </si>
  <si>
    <t>v_jlqC3lFqxhQ</t>
  </si>
  <si>
    <t>The video begins with a backdrop of a snowy area and introduces the names of the people in the video and that it's the "Wisp Snowboard Trip 2014.</t>
  </si>
  <si>
    <t>The video then goes into numerous various different segments of a bunch of different people snowboarding while doing tricks either in the daytime or nighttime and at various different locations.</t>
  </si>
  <si>
    <t>The outro goes to gray and then fade to black.</t>
  </si>
  <si>
    <t>v_ZJCbT3300OA</t>
  </si>
  <si>
    <t>A large intertube is shown on the screen.</t>
  </si>
  <si>
    <t>A bunch of sledders get on the tubes.</t>
  </si>
  <si>
    <t>They ride them down a steep hill together.</t>
  </si>
  <si>
    <t>v_QxsELAtsSWE</t>
  </si>
  <si>
    <t>A female news anchor introduces a story.</t>
  </si>
  <si>
    <t>A female news reporter speaks to a fitness instructor inside a gym, where cyclists are riding fitness bikes.</t>
  </si>
  <si>
    <t>Exercises such as yoga and bicycling are demonstrated by those in the gym.</t>
  </si>
  <si>
    <t>The female news reporter continues talking to the fitness instructor.</t>
  </si>
  <si>
    <t>She speaks to the anchor back in the studio.</t>
  </si>
  <si>
    <t>v_eL0LrJio1XE</t>
  </si>
  <si>
    <t>A bike stands on a bumpy unpaved road.</t>
  </si>
  <si>
    <t>People rides bikes very fast in the road and giving high jumps when passing the bumpy part of the road.</t>
  </si>
  <si>
    <t>The shadows of a biker cast on the bumpy road.</t>
  </si>
  <si>
    <t>v_iM-HdlplAhw</t>
  </si>
  <si>
    <t>A child is seen handing onto a set of monkey bars while children running around.</t>
  </si>
  <si>
    <t>The girl then begins climbing across the set of monkey bars.</t>
  </si>
  <si>
    <t>She climbs all the way to the end and jumps off the side.</t>
  </si>
  <si>
    <t>v_CNH37tJNzFE</t>
  </si>
  <si>
    <t>A close up of a gear shaft is seen following by someone opening a trunk and pulling a tire out.</t>
  </si>
  <si>
    <t>The person puts a jack under the car and begins unscrewing the tire and taking it off.</t>
  </si>
  <si>
    <t>The person puts a new tire on and screws it in place while taking off the jack and putting the hubcap back on.</t>
  </si>
  <si>
    <t>v_DLJqhYP-C0k</t>
  </si>
  <si>
    <t>The opening credits are shown for a video about bowling.</t>
  </si>
  <si>
    <t>The video then shows several bowlers doing bowling tricks at a bowling alley.</t>
  </si>
  <si>
    <t>A credit comes onto the screen introducing the grad finale trick.</t>
  </si>
  <si>
    <t>A man throws the ball and simultaneously throws himself down the alley as well.</t>
  </si>
  <si>
    <t>The closing credits then com onto the screen to end the video.</t>
  </si>
  <si>
    <t>v_nMTyJxJIZUs</t>
  </si>
  <si>
    <t>A small child paints another individual's fingernails.</t>
  </si>
  <si>
    <t>The other individual examines the nails.</t>
  </si>
  <si>
    <t>v_rt1kYX3slRI</t>
  </si>
  <si>
    <t>A man mounts a beam in front of a crowd.</t>
  </si>
  <si>
    <t>The gymnast begins to drop, lift, hold, and spin in circles on the high beams for the crowd.</t>
  </si>
  <si>
    <t>He dismounts gracefully, raising his arms to the crowd before walking away.</t>
  </si>
  <si>
    <t>v_Cy56IkwsQVs</t>
  </si>
  <si>
    <t>Several young people, talk and laugh while standing around a table covered in beer cans and blue plastic cups.</t>
  </si>
  <si>
    <t>A young man stands around a table in a room talking to two two women and some more men, occasionally laughing and smiling.</t>
  </si>
  <si>
    <t>A small white balls is thrown across the table as the people attempt to throw the balls in the blue cups from across the table.</t>
  </si>
  <si>
    <t>In the final moments of the clip a ball flies across the table and the men react in a triumphant way throwing their arms in the air in celebration.</t>
  </si>
  <si>
    <t>v_Sw7iRtHxMSs</t>
  </si>
  <si>
    <t>A group of young men poses and goofs around in front of a table full of red cups.</t>
  </si>
  <si>
    <t>A young man in black puts two shot glasses down on the table.</t>
  </si>
  <si>
    <t>Another group of young men sit in chairs outside.</t>
  </si>
  <si>
    <t>A young man in grey bounces a ball on the table and in to one of the cups and celebrates with the young man next to him.</t>
  </si>
  <si>
    <t>A young man in black bounces a ball toward the cups but misses.</t>
  </si>
  <si>
    <t>Another man holds his hand up next to the cups.</t>
  </si>
  <si>
    <t>The two men that bounced the balls at the cups clink the shot glasses together and then drink the shot.</t>
  </si>
  <si>
    <t>A young man in black pats the back of the young man in grey.</t>
  </si>
  <si>
    <t>The young man in grey drinks from one of the red cups on the table while the young man in black pretends to punch him.</t>
  </si>
  <si>
    <t>Another young man rearranges the remaining cups on the table.</t>
  </si>
  <si>
    <t>The young man in grey and the young man in black fist bump.</t>
  </si>
  <si>
    <t>v_3gsF785TAmg</t>
  </si>
  <si>
    <t>A game of volleyball is being played between blue and yellow team.</t>
  </si>
  <si>
    <t>The yellow team servies the ball and it is hit continually back and forth until the yellow team scores a point.</t>
  </si>
  <si>
    <t>A player on the yellow team falls and the players on each team assist her.</t>
  </si>
  <si>
    <t>They take her shoe and sock off and massage her leg.</t>
  </si>
  <si>
    <t>Two people proceed to pick her up with the help of a third and take her off the court and lay her down to the side to continue care.</t>
  </si>
  <si>
    <t>v_awv0jtZpeoo</t>
  </si>
  <si>
    <t>A man in a red shirt is working out an an exercise machine.</t>
  </si>
  <si>
    <t>A woman in a purple shirt walks behind him.</t>
  </si>
  <si>
    <t>Two people are talking to each other behind him.</t>
  </si>
  <si>
    <t>v_0QyHaXliXKs</t>
  </si>
  <si>
    <t>A large group of people are seen holding up flags and walking in a circle while many others watch on the sides.</t>
  </si>
  <si>
    <t>Two people are then seen walking up to the circle and lead into a wrestling match between the two.</t>
  </si>
  <si>
    <t>One man bows to the other and the winner walks away from the stage.</t>
  </si>
  <si>
    <t>v_ak8MVjE2p3Y</t>
  </si>
  <si>
    <t>There's a man sitting on a busy city street wearing a turban and smoking a cigarette.</t>
  </si>
  <si>
    <t>There are several people walking past him.</t>
  </si>
  <si>
    <t>He continues to smoke the cigarette as he inhales and exhales the smoke.</t>
  </si>
  <si>
    <t>There is a lot of traffic on the street as well as many people walking on the street.</t>
  </si>
  <si>
    <t>v_CvhSPJ0sBCk</t>
  </si>
  <si>
    <t>Two people are shown parasailing together across ocean water.</t>
  </si>
  <si>
    <t>They move their sails around as they go.</t>
  </si>
  <si>
    <t>v_iDz8nKDpumY</t>
  </si>
  <si>
    <t>Two people are seen riding on skis behind a boat with one person having a child on their shoulders.</t>
  </si>
  <si>
    <t>The people all hang onto one another while the young child climbs on top of them and falls off in the end.</t>
  </si>
  <si>
    <t>v_OH5UXwa3F7E</t>
  </si>
  <si>
    <t>We see an opening screen and a man runs and does a high jump at fifteen feet.</t>
  </si>
  <si>
    <t>We see a man jump the high jump on a track at various height with lots of cut scenes.</t>
  </si>
  <si>
    <t>We see seventeen and a still of the man.</t>
  </si>
  <si>
    <t>We see fifteen nine scroll across the screen.</t>
  </si>
  <si>
    <t>We see a series of still of the man and sixteen six.</t>
  </si>
  <si>
    <t>Seventeen two scrolls across the screen.</t>
  </si>
  <si>
    <t>We see seventeen nine scroll across the screen.</t>
  </si>
  <si>
    <t>We then see the ending credits.</t>
  </si>
  <si>
    <t>v_iGuOr5KwLQ0</t>
  </si>
  <si>
    <t>A man in a toga skates on rollerblades in a parking lot.</t>
  </si>
  <si>
    <t>A person holding a camera is standing to the side watching the man on rollerblades.</t>
  </si>
  <si>
    <t>v_dvzwVrZkDiI</t>
  </si>
  <si>
    <t>A small child is seen looking up at the camera holding a coffee cup.</t>
  </si>
  <si>
    <t>The girl takes a drink out of the cup and puts it back down.</t>
  </si>
  <si>
    <t>She continues drinking out of the container and looks up to the camera.</t>
  </si>
  <si>
    <t>v_ITyNMYw_pxc</t>
  </si>
  <si>
    <t>Two men are seen standing before a game of darts and begin throwing darts onto the board.</t>
  </si>
  <si>
    <t>The men look back and laugh with one another while still playing.</t>
  </si>
  <si>
    <t>The continue to play with others around them and end by shaking hands with another.</t>
  </si>
  <si>
    <t>v_lVXgy-JU14Q</t>
  </si>
  <si>
    <t>The woman in black uniform threw the javelin ball.</t>
  </si>
  <si>
    <t>The small woman with yellow shirt and black sleeves threw the ball.</t>
  </si>
  <si>
    <t>The woman in white shirt and black pants stretched for a bit then threw the ball.</t>
  </si>
  <si>
    <t>The athletes one by one threw the javelin ball while on the sides are people who measures how far the it was thrown.</t>
  </si>
  <si>
    <t>v_my4UPLGI6w4</t>
  </si>
  <si>
    <t>There's a man coming out of his garage with an electrical leaf blower.</t>
  </si>
  <si>
    <t>He begins blowing the leaves off of his yard for fall cleanup.</t>
  </si>
  <si>
    <t>He walks around his yard with the blower as he cleans the leaves.</t>
  </si>
  <si>
    <t>v_NRdxsuSCJyM</t>
  </si>
  <si>
    <t>A scuba diver holds onto a rock as he throws a peace sign in the air.</t>
  </si>
  <si>
    <t>The man lets go of the rock and puts up two peace signs in the air.</t>
  </si>
  <si>
    <t>The man fixes his snorkel and goggles.</t>
  </si>
  <si>
    <t>v_kMsWDe0V1Xg</t>
  </si>
  <si>
    <t>Blue lights light up a stage.</t>
  </si>
  <si>
    <t>A man's silhouette is visible and we see the arena in blue light.</t>
  </si>
  <si>
    <t>The man on stage plays lit in a red light.</t>
  </si>
  <si>
    <t>We see the arena in blue and the sax player in red.</t>
  </si>
  <si>
    <t>We see another member of the band.</t>
  </si>
  <si>
    <t>We see the man on the saxophone playing close and far.</t>
  </si>
  <si>
    <t>We see the whole arena and the man playing close.</t>
  </si>
  <si>
    <t>We pan from the man out to the audience.</t>
  </si>
  <si>
    <t>v_x4DuEusRR7Q</t>
  </si>
  <si>
    <t>A person is seen swimming the depths of a pool floor.</t>
  </si>
  <si>
    <t>The man comes up before the camera, his face showing.</t>
  </si>
  <si>
    <t>He then swims slowly back toward the surface.</t>
  </si>
  <si>
    <t>v_Ufm19cvrxGs</t>
  </si>
  <si>
    <t>A set of instruction is seen with diagrams.</t>
  </si>
  <si>
    <t>A man uses a tool to repair individual links of a bike chain.</t>
  </si>
  <si>
    <t>The bike chain is fastened back together on the bike gears using a specialized tool.</t>
  </si>
  <si>
    <t>The person inspects the newly replaced chain by hand.</t>
  </si>
  <si>
    <t>The person points to different areas on the bike gearing with the bike on the rack after the job is complete.</t>
  </si>
  <si>
    <t>v_uz4Tb2RG1tY</t>
  </si>
  <si>
    <t>A chef is seen speaking to the camera holding up a knife as well as a sharpener.</t>
  </si>
  <si>
    <t>The man then sharpens the knife on a board on the table as well as on the sharpener.</t>
  </si>
  <si>
    <t>v_M_LSDRzVN38</t>
  </si>
  <si>
    <t>A blindfolded young woman swings a stick around wildly as a man holds a piñata high above her head on a string at a birthday party.</t>
  </si>
  <si>
    <t>Then woman swings a few more times as the man brings the piñata up and down with the attached string and as she does this knocks a piece of the piñata off and a few kids gather round her to see if any candy fell out.</t>
  </si>
  <si>
    <t>The woman feels for the piñata a few times with the stick, but does not swing as kids continue to look up in amazement.</t>
  </si>
  <si>
    <t>v_dFSGN8U8EnA</t>
  </si>
  <si>
    <t>Various shots are shown of women putting lotion on themselves on a beach while the camera pans around from several sides.</t>
  </si>
  <si>
    <t>More shots are shown of women in various angles rubbing lotion all over their bodies and looking off into the distance seductively.</t>
  </si>
  <si>
    <t>v_1fF1OQtpctg</t>
  </si>
  <si>
    <t>A cheer-leading team begins to hold up posters as their mascot runs behind them.</t>
  </si>
  <si>
    <t>They then begin to do a routine and some of the girls run with streamers as the rest of them hold up the girls for their stunt.</t>
  </si>
  <si>
    <t>The stunt is finished and the retreat back to their original position and begin doing cartwheels and other tricks and stunts along with their mascot.</t>
  </si>
  <si>
    <t>As the routine continues,more stunts are performed and the Tiger mascot continues to cheer with the girls.</t>
  </si>
  <si>
    <t>v_SnBTp7iV2kE</t>
  </si>
  <si>
    <t>A boy and a man take turns playing billiards while a crowd watches.</t>
  </si>
  <si>
    <t>The man wipes his face with a towel.</t>
  </si>
  <si>
    <t>The boy wins and the crowd cheers.</t>
  </si>
  <si>
    <t>Several men pick up the boy in celebration.</t>
  </si>
  <si>
    <t>The winning shot is replayed in slow motion.</t>
  </si>
  <si>
    <t>v_OqajYZVt1Wc</t>
  </si>
  <si>
    <t>A women is seen holding a thread of string in her hands and begins knitting the string with her hands.</t>
  </si>
  <si>
    <t>She continues threading the string with her hands and ends by holding the thread up to show.</t>
  </si>
  <si>
    <t>v_xlTKV-3QSW8</t>
  </si>
  <si>
    <t>A man sitting in a raft in water talks to the camera.</t>
  </si>
  <si>
    <t>The man demonstrates techniques while talking to the camera.</t>
  </si>
  <si>
    <t>The man rafts downstream while paddling.</t>
  </si>
  <si>
    <t>v_62h9hnNTKWM</t>
  </si>
  <si>
    <t>Alexandra Raisman from Massachusetts is seen wearing purple leotards, getting ready to do gymnastics on the horse bar.</t>
  </si>
  <si>
    <t>She jumps right onto the horse bar and does some front and back flips.</t>
  </si>
  <si>
    <t>Then she does some back hand springs on the horse bar.</t>
  </si>
  <si>
    <t>she swiftly jumps on the horse bar while maintaining complete control over body and balance.</t>
  </si>
  <si>
    <t>She does a final back flip and a front flip and then, gets off the horse bar.</t>
  </si>
  <si>
    <t>The spectators cheer for her as she walks away.</t>
  </si>
  <si>
    <t>v_bQ3yPbCICRg</t>
  </si>
  <si>
    <t>A man is seen bending over a bang in the middle of drummers.</t>
  </si>
  <si>
    <t>The people hit the drums continuously while the camera pans around.</t>
  </si>
  <si>
    <t>The men drum while the camera pans around them.</t>
  </si>
  <si>
    <t>v_4innF37ifyY</t>
  </si>
  <si>
    <t>A news man is speaking in front of a group of people.</t>
  </si>
  <si>
    <t>A man is shown on a diving board high atop a cliff.</t>
  </si>
  <si>
    <t>He dives, jumping into the shallow waters below.</t>
  </si>
  <si>
    <t>v_4fEY6zIq8bQ</t>
  </si>
  <si>
    <t>The man is plastering the wall.</t>
  </si>
  <si>
    <t>The man bend over then continue to plaster the wall.</t>
  </si>
  <si>
    <t>The man cover the wall with pink plaster until the whole wall is covered.</t>
  </si>
  <si>
    <t>v_Launtf-qjDM</t>
  </si>
  <si>
    <t>A man with a orange shirt and blue gloves is shown operating a fire torch machine.</t>
  </si>
  <si>
    <t>Two more people are shown and and a close up is pictured.</t>
  </si>
  <si>
    <t>Lastly,the camera pans out on a man standing up torching away at a machine.</t>
  </si>
  <si>
    <t>v_bY0bGFJ-k1U</t>
  </si>
  <si>
    <t>A close up of a hand is seen that pans out to a man putting gloves on.</t>
  </si>
  <si>
    <t>The man then assembles a torch and begins burning a piece of metal in front of him.</t>
  </si>
  <si>
    <t>The man continues to work and hammer objects as well as sand it on the side.</t>
  </si>
  <si>
    <t>v_eW5W8dVB_I4</t>
  </si>
  <si>
    <t>Two men are standing on the side of the court holding basketball.</t>
  </si>
  <si>
    <t>The men are giving interview, talking to the camera, while one man is talking the other man is listening, then vice versa.</t>
  </si>
  <si>
    <t>The man went to the basket dribble to the ball, the men ran to the basket and shot the ball.</t>
  </si>
  <si>
    <t>v_G5mKcPzVMG4</t>
  </si>
  <si>
    <t>A man in gray shirt and cap is sitting next to a boat motor, while behind him is a woman riding a surfboard, and holding a harness attached to the boat.</t>
  </si>
  <si>
    <t>As the woman moving the dolphins started to swim with her, the dolphins' fins are visible as they swim up and down.</t>
  </si>
  <si>
    <t>v_ITGlho0dw-k</t>
  </si>
  <si>
    <t>We see an opening title screen.</t>
  </si>
  <si>
    <t>We see a lady putting sunscreen on in a bathroom and on the beach.</t>
  </si>
  <si>
    <t>We see a title screen and see the lady buy her sunscreen and another title screen.</t>
  </si>
  <si>
    <t>The lady throws a way a bottle and looks on her phone before going to the bathroom and putting sunscreen on.</t>
  </si>
  <si>
    <t>We see a title screen and the lady applies sunscreen and a friend puts some on her back.</t>
  </si>
  <si>
    <t>The lady puts on sunscreen on the beach and her friend run on the beach.</t>
  </si>
  <si>
    <t>We see a title screen and the ending screen.</t>
  </si>
  <si>
    <t>v_YizcSEo0bTo</t>
  </si>
  <si>
    <t>A group of kids are inside a building.</t>
  </si>
  <si>
    <t>They are all riding bumper cars around a track.</t>
  </si>
  <si>
    <t>They bump and slam into each other.</t>
  </si>
  <si>
    <t>v_44r5SAczrOg</t>
  </si>
  <si>
    <t>A person is solving a cube puzzle spinning the pieces to match the colors.</t>
  </si>
  <si>
    <t>When, the person match all the color, points the table and puts the cube puzzle on it.</t>
  </si>
  <si>
    <t>v_KpOSIph2hHw</t>
  </si>
  <si>
    <t>We see a GoPro opening screen.</t>
  </si>
  <si>
    <t>We see a lady walking with a raft into a river.</t>
  </si>
  <si>
    <t>We see people riding rafts in the river.</t>
  </si>
  <si>
    <t>We see a mans's legs and the lady rides past.</t>
  </si>
  <si>
    <t>We see the lady handing a beverage in a can to the cameraman.</t>
  </si>
  <si>
    <t>The cameraman goes under a branch that is across the water.</t>
  </si>
  <si>
    <t>We then see the GoPro ending scene.</t>
  </si>
  <si>
    <t>v_fHEUdQY1cdc</t>
  </si>
  <si>
    <t>Several people are seen running down the road around a bull with some holding sticks in their hands.</t>
  </si>
  <si>
    <t>The people crowd around the bull waving sticks and follow the bull around as he gets angry.</t>
  </si>
  <si>
    <t>Another bull is shown and the two fight while the people stand and cheer on the sides.</t>
  </si>
  <si>
    <t>v_8i2lkdpB2w0</t>
  </si>
  <si>
    <t>People are sitting in row boats in the water.</t>
  </si>
  <si>
    <t>A man is standing up in a red row boat.</t>
  </si>
  <si>
    <t>A boat flips over and the camera goes into the water.</t>
  </si>
  <si>
    <t>Two people standing on a dock lift their boat out of the water.</t>
  </si>
  <si>
    <t>v_QlCA9f1WD84</t>
  </si>
  <si>
    <t>A painter applies plaster to a wall using a wide flat edge tool.</t>
  </si>
  <si>
    <t>The man moves electrical wire handing on the while to plaster around it.</t>
  </si>
  <si>
    <t>Other rooms of the house are seen in different stages of completeness.</t>
  </si>
  <si>
    <t>v_2yjRePOzYq4</t>
  </si>
  <si>
    <t>A man skips on a truck signed with white lines, when he arrives to the third line jumps high and lands in the sandbox.</t>
  </si>
  <si>
    <t>The playback of a man performing long jump is show several times.</t>
  </si>
  <si>
    <t>v_3l7quTy4c2s</t>
  </si>
  <si>
    <t>A cheerleader girl stands in the grass.</t>
  </si>
  <si>
    <t>A young man wearing baseball hat greats her with a pie tin and jokes with her.</t>
  </si>
  <si>
    <t>The man pushes a pie tin in the girls face as a joke getting her very messy.</t>
  </si>
  <si>
    <t>A girl in gymnastics class does tumbling down a red mat with team looking on.</t>
  </si>
  <si>
    <t>A woman cheerleader boxes with a mascot during a football game.</t>
  </si>
  <si>
    <t>The mascot engulfs the girl and pulls her into his uniform.</t>
  </si>
  <si>
    <t>A cheer leading group comes together in a circle holding hands and flip team members when one falls to the ground.</t>
  </si>
  <si>
    <t>A group of cheerleaders in black to back flips on a track of football field.</t>
  </si>
  <si>
    <t>A group of girls hoist up[ a teammate to do a human pyramid.</t>
  </si>
  <si>
    <t>The teammate falls to the ground and lands on top of others.</t>
  </si>
  <si>
    <t>A man in Hawaiian shirt sets up a trampoline during a basketball competition.</t>
  </si>
  <si>
    <t>A group of cheerleaders hold up a woman together in front of the trampoline.</t>
  </si>
  <si>
    <t>The man comes back running and jumps on the trampoline but knocks the girl over while performing his stunt.</t>
  </si>
  <si>
    <t>A group of cheerleaders in red do somersaults on the field when one falls down.</t>
  </si>
  <si>
    <t>A cheerleader girl in black does a back hand spring and falls to the ground.</t>
  </si>
  <si>
    <t>A group of cheerleaders dance together with pom poms.</t>
  </si>
  <si>
    <t>Another group of cheerleaders in the background lift up teammates when one falls over.</t>
  </si>
  <si>
    <t>A group of cheerleaders in blue lift up teammates in competition when one falls to the ground.</t>
  </si>
  <si>
    <t>A girl in white shirt talks to the camera.</t>
  </si>
  <si>
    <t>the girl does a summersault but falls to the ground.</t>
  </si>
  <si>
    <t>A girl in green shirt with friends does a high kick on a field but falls to the ground.</t>
  </si>
  <si>
    <t>A cheerleader falls to the ground while dancing with group.</t>
  </si>
  <si>
    <t>A cheerleader is lifted up into the hands of team when she falls to the ground.</t>
  </si>
  <si>
    <t>A group of cheerleaders in yellow lift temmate in a pyramid but drop her.</t>
  </si>
  <si>
    <t>A group of women jump from a trampoline and do slam dunks during basketball competition.</t>
  </si>
  <si>
    <t>One girl misses the trampoline and runs into the mat.</t>
  </si>
  <si>
    <t>Men from the basketball team rush over to check on her.</t>
  </si>
  <si>
    <t>v_UF2v4emX7rc</t>
  </si>
  <si>
    <t>A group of men in masks are gathered around targets.</t>
  </si>
  <si>
    <t>They are holding paint guns as they run across the field.</t>
  </si>
  <si>
    <t>They hide behind obstacles, shooting at each other.</t>
  </si>
  <si>
    <t>v_nKnsvy7-wAI</t>
  </si>
  <si>
    <t>A man is seen running down the street holding a box and speaking to another.</t>
  </si>
  <si>
    <t>The man then plays a game with a small girl and bows after each game.</t>
  </si>
  <si>
    <t>The two continue to play with the man laughing at the camera and him giving her a kiss in the end.</t>
  </si>
  <si>
    <t>v_8vcO5DRxP6c</t>
  </si>
  <si>
    <t>A man picks up a ball and puts it behind his neck and throws it onto the field.</t>
  </si>
  <si>
    <t>Another man in a blue shirt picks up a ball and puts it behind his ear and throws it onto the field.</t>
  </si>
  <si>
    <t>People measure the distance on the field.</t>
  </si>
  <si>
    <t>The man puts on a white t shirt and puts his arms in the air.</t>
  </si>
  <si>
    <t>Another man launches a ball onto the field.</t>
  </si>
  <si>
    <t>v_YZJghuPmff8</t>
  </si>
  <si>
    <t>A woman holds the back section of a girls hair while she gets ready to style it.</t>
  </si>
  <si>
    <t>The woman uses a single pick comb to separate strands of hair.</t>
  </si>
  <si>
    <t>The woman clips back sections of hair.</t>
  </si>
  <si>
    <t>The woman pulls on strands of hairs to get them straightened out.</t>
  </si>
  <si>
    <t>The woman braids them the strands of hair together.</t>
  </si>
  <si>
    <t>v_ol4ScGsyhbI</t>
  </si>
  <si>
    <t>An image is shown of a man posing with trophies and flexing his biceps.</t>
  </si>
  <si>
    <t>The images cut to videos, as he wins multiple arm wrestling matches and trophies.</t>
  </si>
  <si>
    <t>In the final scenes, a vast audience talks as they watch him win yet again.</t>
  </si>
  <si>
    <t>v_wZ-teiWX4mg</t>
  </si>
  <si>
    <t>man is standing in an ice rink practicing hockey.</t>
  </si>
  <si>
    <t>man is putting hockey uniform.</t>
  </si>
  <si>
    <t>v_i1llwxnI_Vo</t>
  </si>
  <si>
    <t>There are several people gathered on the street where live music is playing.</t>
  </si>
  <si>
    <t>There are couples dancing together to the music doing the Salsa style of dance.</t>
  </si>
  <si>
    <t>There are many restaurants and stores in that town square where people are gathered to see the couples dance.</t>
  </si>
  <si>
    <t>Some of the bystanders are video taping the dancers.</t>
  </si>
  <si>
    <t>The couples continue to dance till the music ends.</t>
  </si>
  <si>
    <t>One guy kisses his girlfriend on the cheek after the dance is over.</t>
  </si>
  <si>
    <t>v_8eDJXDetgGE</t>
  </si>
  <si>
    <t>A man is seen holding a stick up and leads into clips of men playing field hockey.</t>
  </si>
  <si>
    <t>Men are seen running up and down a field chasing after a ball and scoring a goal.</t>
  </si>
  <si>
    <t>Several clips are shown of people playing this game as well as celebrating with team mates.</t>
  </si>
  <si>
    <t>v_W3fKTlm1BPs</t>
  </si>
  <si>
    <t>An intro leads into a camera following around a lacrosse match and pausing to show off players movements.</t>
  </si>
  <si>
    <t>The game continues on as the people play and run around chasing a ball.</t>
  </si>
  <si>
    <t>v_j-qAgWm_Ylw</t>
  </si>
  <si>
    <t>The man in stripes shirt ran to the narrow path and hopped and jumped on the sandy ground.</t>
  </si>
  <si>
    <t>The men are jumped one by one on the sandy ground while a man and woman are holding a rake and smoothen the ground.</t>
  </si>
  <si>
    <t>Two people are holding a tape measure and measure the jump.</t>
  </si>
  <si>
    <t>v_grroBKRxAMY</t>
  </si>
  <si>
    <t>Words are shown on the screen.</t>
  </si>
  <si>
    <t>A man is talking while standing outside in front of a hill.</t>
  </si>
  <si>
    <t>The man is holding a shovel standing in front of a small tree.</t>
  </si>
  <si>
    <t>The man continues talking and then shovels out some weeds and dirt around the tree.</t>
  </si>
  <si>
    <t>He picks up rocks from around the tree.</t>
  </si>
  <si>
    <t>There is a white bucket in front of him of bark that he puts around the tree.</t>
  </si>
  <si>
    <t>v_v_UmAH95xls</t>
  </si>
  <si>
    <t>Two girls are sitting on the porch of a house while shaving their legs.</t>
  </si>
  <si>
    <t>A boy walks out and looks before walking away.</t>
  </si>
  <si>
    <t>The girls continue soaping up and shaving.</t>
  </si>
  <si>
    <t>v_aA6Bchzww4Y</t>
  </si>
  <si>
    <t>A man uses a mallet to chip ice off of a car while it is snowing outside and a man videos him from behind.</t>
  </si>
  <si>
    <t>A man in a black winter coat and gloves uses a mallet to chip ice off of an ice covered car in the snow.</t>
  </si>
  <si>
    <t>The man then takes his car keys and tries to open the trunk which is frozen and requires tugging to open.</t>
  </si>
  <si>
    <t>The man continues to slam at the ice on the car with the mallet as the ice chips off in chunks.</t>
  </si>
  <si>
    <t>The man tries to open his trunk again, this time the opening is easier and the man climbs into the trunk of the car to the front of the car to open the drivers door from the inside drivers seat.</t>
  </si>
  <si>
    <t>v_nrC41oAR-F0</t>
  </si>
  <si>
    <t>A large mat is seen with a bar on top and two people watching on the sides.</t>
  </si>
  <si>
    <t>A man is then seen running in from the side.</t>
  </si>
  <si>
    <t>The man jumps over the beam and stands up on the mat.</t>
  </si>
  <si>
    <t>v_o9gsbkp135s</t>
  </si>
  <si>
    <t>A person is shown outside brushing snow off of a car with lights on.</t>
  </si>
  <si>
    <t>The man walks around the car pushing more of the snow off and shutting the door.</t>
  </si>
  <si>
    <t>v_5MjAgMF_FzA</t>
  </si>
  <si>
    <t>A black screen with a white title appears.</t>
  </si>
  <si>
    <t>A cook is in front of a professional stove putting seasoning into a metal pan and warming a pan over a gas lit blue flame.</t>
  </si>
  <si>
    <t>The cook now scoops a large portion of mixed egg from a large metal pot into the small metal pan.</t>
  </si>
  <si>
    <t>He begins to whisk the egg mixture with two wooden sticks, holding the pan over the burner.</t>
  </si>
  <si>
    <t>When the egg is almost fully cooked, the man begins to shape the egg inside of the pan with the wooden sticks in the shape of an omelet.</t>
  </si>
  <si>
    <t>He rolls the omelet back and forth in the pan.</t>
  </si>
  <si>
    <t>End black screen and a blue word.</t>
  </si>
  <si>
    <t>v_feio1hW6Dy0</t>
  </si>
  <si>
    <t>A close up of ballet shoes are shown followed by a woman putting them on and moving around in a bedroom.</t>
  </si>
  <si>
    <t>She moves her arms and feet in the point shoes and whips her hair all around the room.</t>
  </si>
  <si>
    <t>v_3VzXH3o88mw</t>
  </si>
  <si>
    <t>A person is seen mixing various ingredients into a blender as well as rolling rough up into a ball and speaking to the camera.</t>
  </si>
  <si>
    <t>The man speaks to other chefs and instructs them on how to roll a ball of rough.</t>
  </si>
  <si>
    <t>He then puts the dough in a machine to make spaghetti and then puts them in a plate to present.</t>
  </si>
  <si>
    <t>v_HNBiW2Nq318</t>
  </si>
  <si>
    <t>A person is seen bending forward on a gymnastics beam while moving his hands up to keep balance.</t>
  </si>
  <si>
    <t>The man then attempts a flip but lands on his stomach and falls off, walking away in pain and his jump shown again in slow motion.</t>
  </si>
  <si>
    <t>v_USoYnMSrWv0</t>
  </si>
  <si>
    <t>Four people play Foosball at a Foosball table.</t>
  </si>
  <si>
    <t>One of the girls playing pulls an arm out of place on the table.</t>
  </si>
  <si>
    <t>The same girl reaches across the table to control an arm on the other side.</t>
  </si>
  <si>
    <t>The girl on the other side tries to stop her.</t>
  </si>
  <si>
    <t>A fifth person sits in a chair watching.</t>
  </si>
  <si>
    <t>v_JKFxKhCQPUs</t>
  </si>
  <si>
    <t>A male gymnast wearing a blue leotard is doing gymnastics on a horse bar.</t>
  </si>
  <si>
    <t>He is performing in an indoor stadium full of spectators.</t>
  </si>
  <si>
    <t>He continues to excel in doing his moves steadily on the horse bar.</t>
  </si>
  <si>
    <t>After he's done, he gets off the bar and one of the coaches hugs him as the crowd cheers for him.</t>
  </si>
  <si>
    <t>v__ekWWP0dQZM</t>
  </si>
  <si>
    <t>A ballerina is shown in class warming up her feet and walking away crying.</t>
  </si>
  <si>
    <t>Various actors talk to the camera about filming a movie about ballet and the moves they learned.</t>
  </si>
  <si>
    <t>The ballerinas are moving around the set while the camera is rolling.</t>
  </si>
  <si>
    <t>The actors continue talking about tricks and what they learned.</t>
  </si>
  <si>
    <t>A man plays the violin while the final scene is filmed and everyone is dancing.</t>
  </si>
  <si>
    <t>v_X5Bxa0OvdwI</t>
  </si>
  <si>
    <t>Various items are shown on a floor and leads into a woman holding up the products and speaking to the camera.</t>
  </si>
  <si>
    <t>She holds up her shoe and lights a match over the polish.</t>
  </si>
  <si>
    <t>She then takes a rag and runs over the boot with the polish in small circles.</t>
  </si>
  <si>
    <t>v_kdRcWkrZRZo</t>
  </si>
  <si>
    <t>A still picture of an individual's back is shown.</t>
  </si>
  <si>
    <t>Some sort of item is shown in close up.</t>
  </si>
  <si>
    <t>A man and a woman talk to the camera in a newscast setting.</t>
  </si>
  <si>
    <t>Scenes of summer beach goers are shown in a news report context.</t>
  </si>
  <si>
    <t>A man is shown walking near a boat with dogs.</t>
  </si>
  <si>
    <t>The man is shown near a grill.</t>
  </si>
  <si>
    <t>A quick cut of a the item from before is shown up close.</t>
  </si>
  <si>
    <t>The man is interviewed while seated, with a quick cut of him walking.</t>
  </si>
  <si>
    <t>The man removes his shirt.</t>
  </si>
  <si>
    <t>More close up scenes of the item are shown.</t>
  </si>
  <si>
    <t>Still images and video of skin damage are shown.</t>
  </si>
  <si>
    <t>The man talks in an indoor environment.</t>
  </si>
  <si>
    <t>Another still image of the item is shown.</t>
  </si>
  <si>
    <t>The man is interviewed seated again.</t>
  </si>
  <si>
    <t>A still screen of text is shown.</t>
  </si>
  <si>
    <t>A different man talks to the camera while a logo is shown beside him.</t>
  </si>
  <si>
    <t>A webpage about the first man is shown.</t>
  </si>
  <si>
    <t>v_1VmqefkNV_8</t>
  </si>
  <si>
    <t>A man is dancing on a stage in a yellow shirt.</t>
  </si>
  <si>
    <t>People in the audience watching him are dancing with him.</t>
  </si>
  <si>
    <t>A man walks in front of the crowd.</t>
  </si>
  <si>
    <t>v_MlGh0geYhSg</t>
  </si>
  <si>
    <t>A horse kicks a man in a red shirt.</t>
  </si>
  <si>
    <t>A girl in a grey shirt gets thrown off a horse.</t>
  </si>
  <si>
    <t>A man riding a horse gets bucked off.</t>
  </si>
  <si>
    <t>A horse tips over backward with a a person on it.</t>
  </si>
  <si>
    <t>A man is riding on a horse and flies off.</t>
  </si>
  <si>
    <t>A white horse misses a jump and the person falls off.</t>
  </si>
  <si>
    <t>A man gets hit by a rope while chasing a calf.</t>
  </si>
  <si>
    <t>A horse gets his head stuck in a garbage can.</t>
  </si>
  <si>
    <t>v_chLoV5zQxVA</t>
  </si>
  <si>
    <t>The words "How to Fly a Kite With No Wind" appear on a black screen.</t>
  </si>
  <si>
    <t>Man wearing a yellow t-shirt appears in a large suburban field.</t>
  </si>
  <si>
    <t>The man puts together a rainbow colored kite with long yellow tails.</t>
  </si>
  <si>
    <t>The man drives a small green mowing tractor while holding the kite's string as it flies above.</t>
  </si>
  <si>
    <t>A young lady speaks on screen and then drives the tractor while holding the flying kite.</t>
  </si>
  <si>
    <t>v_eZ_qerXno64</t>
  </si>
  <si>
    <t>A little girl is shown playing table tennis, hitting the ball extremely quickly back and forth over the net.</t>
  </si>
  <si>
    <t>Some of the balls fly past her, but she continues hitting new balls without pausing.</t>
  </si>
  <si>
    <t>v_ZT63nK4lexg</t>
  </si>
  <si>
    <t>A man walks over and chalks his hands.</t>
  </si>
  <si>
    <t>The man walks the bars, stretches and stands there.</t>
  </si>
  <si>
    <t>The man mounts the bars and begins to spin.</t>
  </si>
  <si>
    <t>The man flips and dismounts.</t>
  </si>
  <si>
    <t>The man walks away from the bars.</t>
  </si>
  <si>
    <t>v_ioHDdIBu2go</t>
  </si>
  <si>
    <t>A woman talks, then she holds the tube of a vacuum and points the nozzle.</t>
  </si>
  <si>
    <t>The woman vacuum dirt on a carpet, then she extends the tube while explaining.</t>
  </si>
  <si>
    <t>Then, the woman puts a small nozzle and vacuum a couch, then she explains how to remove the dust container.</t>
  </si>
  <si>
    <t>The woman continues explaining next to the vacuum.</t>
  </si>
  <si>
    <t>v_mqUJEX9qk8E</t>
  </si>
  <si>
    <t>two men are riding horses in a dusty field in mountains.</t>
  </si>
  <si>
    <t>men and a woman wearing Kufiyyas on their heads are standing on dessert next to horses.</t>
  </si>
  <si>
    <t>dessert with mountains in the distance is shown and the men are standing next to a kids ride the horses adn are going in the desert.</t>
  </si>
  <si>
    <t>v_eGW0rygfcrg</t>
  </si>
  <si>
    <t>A man and a woman are standing in a bar.</t>
  </si>
  <si>
    <t>We see the man and a woman ballroom dancing.</t>
  </si>
  <si>
    <t>The lady kicks her leg out behind and in front of her.</t>
  </si>
  <si>
    <t>We zoom in on the legs of the dancers.</t>
  </si>
  <si>
    <t>The camera goes blurry and the scene ends.</t>
  </si>
  <si>
    <t>v_kkLRLb8TGwI</t>
  </si>
  <si>
    <t>A bunch of females are shown playing a water polo match in an indoor pool.</t>
  </si>
  <si>
    <t>it appears to be a tournament as they are highly competitive and going all out.</t>
  </si>
  <si>
    <t>Various shots of the action are shown in normal motion and in slow motion.</t>
  </si>
  <si>
    <t>The match appears to be getting very tense as both teams are trying their best to score and both goalies put up great defense.</t>
  </si>
  <si>
    <t>A young girl who played in the match is then shown with her entire family as they take a picture.</t>
  </si>
  <si>
    <t>v_MsBqlgdzeag</t>
  </si>
  <si>
    <t>A man approaches a trunk standing by some dirt.</t>
  </si>
  <si>
    <t>He grabs an ax sitting on the dirt.</t>
  </si>
  <si>
    <t>He takes the ax and cuts the trunk in half.</t>
  </si>
  <si>
    <t>The trunk falls and he picks up one of the halves.</t>
  </si>
  <si>
    <t>He takes the ax to the trunk and cuts it in half.</t>
  </si>
  <si>
    <t>He stands the other trunk and cuts it in half.</t>
  </si>
  <si>
    <t>v_mb1LoOTM_NI</t>
  </si>
  <si>
    <t>Two men are standing at the table in arm wrestling position.</t>
  </si>
  <si>
    <t>A woman is positioning the men, holding their hands.</t>
  </si>
  <si>
    <t>One man without glasses is bending on the side to with his weight.</t>
  </si>
  <si>
    <t>The man with glass put down the other man's hand and won.</t>
  </si>
  <si>
    <t>v_HVfr9FnEj-Q</t>
  </si>
  <si>
    <t>Ladies are standing in a workout room.</t>
  </si>
  <si>
    <t>The ladies are belly dancing.</t>
  </si>
  <si>
    <t>The ladies dip down and toss their hair backwards.</t>
  </si>
  <si>
    <t>They swing their dipped bodies.</t>
  </si>
  <si>
    <t>The ladies dip and bend backwards.</t>
  </si>
  <si>
    <t>The ladies throw their hair back and forth.</t>
  </si>
  <si>
    <t>2:43 A man is in the room in the back and bends down.</t>
  </si>
  <si>
    <t>The ladies finish dancing and take a bow.</t>
  </si>
  <si>
    <t>v_yN3e-giBxns</t>
  </si>
  <si>
    <t>It's a nighttime outside at a horse ranch and a lot of people are standing around.</t>
  </si>
  <si>
    <t>Suddenly a horse with a man riding on him quickly starts running and there's a calf roped to the horse who is running in front of them.</t>
  </si>
  <si>
    <t>The man lassos the calf, jumps off the horse, throws the calf on its side and quickly ties it up.</t>
  </si>
  <si>
    <t>The man gets up, walks back to his horse, jumps back on and the horse slowly begins to walk as the calf is trying to stand up.</t>
  </si>
  <si>
    <t>v_uE_8WuNO7cA</t>
  </si>
  <si>
    <t>We see an opening screen with a moon.</t>
  </si>
  <si>
    <t>A lady appears holding a pumpkin.</t>
  </si>
  <si>
    <t>We see the lady in the lower left hand of the screen talking.</t>
  </si>
  <si>
    <t>We see a person open and clean a pumpkin.</t>
  </si>
  <si>
    <t>We see the person carve a drawing on a pumpkin.</t>
  </si>
  <si>
    <t>We see a person draw on the pumpkin with a black marker.</t>
  </si>
  <si>
    <t>We see the finished jack o lantern with a candle in it.</t>
  </si>
  <si>
    <t>v_IoOkg-_S4cY</t>
  </si>
  <si>
    <t>A gymnastic girl is performing balance beam.</t>
  </si>
  <si>
    <t>The girl is getting ready to get on the beam from a jump pad.</t>
  </si>
  <si>
    <t>The girl performs flawlessly on the beam.</t>
  </si>
  <si>
    <t>The girl lands on floor perfectly with a big smile.</t>
  </si>
  <si>
    <t>v_UGd9cVzHQOU</t>
  </si>
  <si>
    <t>A man is seen using a machine across a long stretch of leaves while moving up and down the lawn.</t>
  </si>
  <si>
    <t>He continues pushing the leaves around the area and moving up and down the lawn.</t>
  </si>
  <si>
    <t>v_YdenUU3g0XY</t>
  </si>
  <si>
    <t>A man introduces the topic of the video, which is how to do a smash shot in Badminton.</t>
  </si>
  <si>
    <t>He slowly demonstrates the necessary approach and form of the shot.</t>
  </si>
  <si>
    <t>We then see a player perform the shot multiple times as another person sets him up.</t>
  </si>
  <si>
    <t>v_E4ItlgO16LI</t>
  </si>
  <si>
    <t>A male gymnast in a blue outfit applies chalk dust to his hands.</t>
  </si>
  <si>
    <t>An infographic appears, showing his name to be Danell Leyva from the USA.</t>
  </si>
  <si>
    <t>He steps up to a parallel bars and waves.</t>
  </si>
  <si>
    <t>He performs his routine, executing many flips and handstands.</t>
  </si>
  <si>
    <t>He dismounts badly, falling over and landing on his back beside the mat.</t>
  </si>
  <si>
    <t>He steps back onto the mat and briefly raises his arms.</t>
  </si>
  <si>
    <t>v_BsceC-igcTY</t>
  </si>
  <si>
    <t>Hockey players walk out onto the ice, greeting each other.</t>
  </si>
  <si>
    <t>They play the game, trying to get the puck past their opponents into the goal.</t>
  </si>
  <si>
    <t>They roll around on the ice slowly.</t>
  </si>
  <si>
    <t>v_V1NtrnPz3sA</t>
  </si>
  <si>
    <t>An athletic woman is stretching with a ball and swinging her legs back and fourth.</t>
  </si>
  <si>
    <t>She throws the ball and again prepares for another throw.</t>
  </si>
  <si>
    <t>She spins around throwing the ball yet again with a third throw followed shortly after.</t>
  </si>
  <si>
    <t>She performs one last throw and spins herself around once again.</t>
  </si>
  <si>
    <t>v_2kx--bbqXHg</t>
  </si>
  <si>
    <t>Cotton balls are being set on fire and put out in various ways.</t>
  </si>
  <si>
    <t>An ax is used to put out the fire.</t>
  </si>
  <si>
    <t>A piece of wood is used to put out the fire.</t>
  </si>
  <si>
    <t>v_lHy_OZ8GygM</t>
  </si>
  <si>
    <t>A woman wash the head of a man and cuts his hair, then the woman stands next two man an touch the head of the young man.</t>
  </si>
  <si>
    <t>The woman cuts the hair of a young man using first a machine, and then a comb and scissors.</t>
  </si>
  <si>
    <t>Then, the woman dry the hair with a dryer and brush the head.</t>
  </si>
  <si>
    <t>After, the woman takes cream on her hands and comb the head of the man with her fingers to gives form to the hair.</t>
  </si>
  <si>
    <t>Next, the woman explains the hairstyle.</t>
  </si>
  <si>
    <t>v_LvRP3c5n3P8</t>
  </si>
  <si>
    <t>People walk in the hallways of a hospital, then a doctor reviews the injured leg of a man leaving green sparkles on the leg and a machine.</t>
  </si>
  <si>
    <t>Then, the man makes a call and leaves green sparkles on the phone that it is passes to the hand of a nurse that grabs the phone.</t>
  </si>
  <si>
    <t>After the nurse enters to visit a a sick man as well two doctors who carry green sparkles on their hands that leaves on the sick man.</t>
  </si>
  <si>
    <t>A person wash hand, use hand sanitizes and cleans an stethoscope to get rid off microbes.</t>
  </si>
  <si>
    <t>v_VM-ldOw7e4Y</t>
  </si>
  <si>
    <t>An athlete prepares to perform long jump in a stadium full of people, then a white male runs and jumps high to land in the sand.</t>
  </si>
  <si>
    <t>Also, three black males runs fast and jump high to perform long jump.</t>
  </si>
  <si>
    <t>Also, a white male perform long jump, as well two black men do long jumps.</t>
  </si>
  <si>
    <t>A score board shows and score, while a person stands walk away, and takes off his sweet sweater.</t>
  </si>
  <si>
    <t>A black male jumps high happy a runs celebrating his triumph.</t>
  </si>
  <si>
    <t>v_8HxMXHc8Nr0</t>
  </si>
  <si>
    <t>A screen appears with instructions how to attach an InStep bike trailer.</t>
  </si>
  <si>
    <t>A man is showing how to attach an InStep bike trailer on the back wheel of a bike.</t>
  </si>
  <si>
    <t>Then, the man continues to explain the process sitting in dining room.</t>
  </si>
  <si>
    <t>Two toddlers are sitting in a bike trailer, while the man attach the safety belts.</t>
  </si>
  <si>
    <t>v_ZN7C8n_6uH8</t>
  </si>
  <si>
    <t>A black and white filter pans over a soccer match going on in an indoor field.</t>
  </si>
  <si>
    <t>Color is then shown as more people play soccer back and fourth shown in several shots.</t>
  </si>
  <si>
    <t>v_8SCg3toperM</t>
  </si>
  <si>
    <t>A large group of people are seen running around a field playing lacrosse while others watch.</t>
  </si>
  <si>
    <t>The game continues on as people still watch them on the sides.</t>
  </si>
  <si>
    <t>They stop various times to speak to one another and continue playing the game.</t>
  </si>
  <si>
    <t>v_KSP62q7tM68</t>
  </si>
  <si>
    <t>A person is seen riding waves on the water as well as people partying at a house.</t>
  </si>
  <si>
    <t>A Dj is shown playing music as well as people dancing around and surfers surfing.</t>
  </si>
  <si>
    <t>More shots are shown of people surfing and having fun at the house.</t>
  </si>
  <si>
    <t>v_n3wYcW4mnrs</t>
  </si>
  <si>
    <t>We see an opening screen on white.</t>
  </si>
  <si>
    <t>We then see people on tube playing in a river.</t>
  </si>
  <si>
    <t>A boy in sunglasses floats past the camera.</t>
  </si>
  <si>
    <t>A boy throws a peace sign to the camera.</t>
  </si>
  <si>
    <t>People go over a waterfall in their rafts.</t>
  </si>
  <si>
    <t>We see a bunch of people jump into the water.</t>
  </si>
  <si>
    <t>v_f_mbX87xabo</t>
  </si>
  <si>
    <t>A child plays a chrome flute inside of home.</t>
  </si>
  <si>
    <t>The girl finishes the song and lowers the flute.</t>
  </si>
  <si>
    <t>v_0j9TxzwRr6E</t>
  </si>
  <si>
    <t>Two men plays foosball in an arena with two referees standing near by watching the fame.</t>
  </si>
  <si>
    <t>We see the bleacher an spectators.</t>
  </si>
  <si>
    <t>A point is scored and see people clapping and a replay and a title screen.</t>
  </si>
  <si>
    <t>The man in gray backs up and wipes sweat.</t>
  </si>
  <si>
    <t>We see the man in black speaking with the people behind him before the men return to the game.</t>
  </si>
  <si>
    <t>v_etfSrbmOvUE</t>
  </si>
  <si>
    <t>Two people climb a rock climbing wall at night in front of a narrow pool of water surrounding by a crowd of onlookers.</t>
  </si>
  <si>
    <t>The two people climb slowly up the wall, when over midway up, the person on the left falls from the wall and into the water below.</t>
  </si>
  <si>
    <t>Another race up the wall begins in which the person on the right falls off and the person on the left climbs to the top of the wall and then jumps off the wall into the water.</t>
  </si>
  <si>
    <t>In the same setting, but now during the daytime, a lone person wearing skis catapults through the air past the rock climbing wall and lands in the water below.</t>
  </si>
  <si>
    <t>v_twGoVVPO08Q</t>
  </si>
  <si>
    <t>An audience watching pans out into a large track and athletes running into a pit.</t>
  </si>
  <si>
    <t>Several people are shown running down the track while the audience claps and people speak to the camera.</t>
  </si>
  <si>
    <t>v_PQ-qpoPeqM0</t>
  </si>
  <si>
    <t>A young man pulls a wheel out and shows the proper structure of a wheel.</t>
  </si>
  <si>
    <t>He checks the current pressure for the tire and begins pumping air into the tire.</t>
  </si>
  <si>
    <t>He shows the difference between good tread and bad tread as well as when to know when to replace your tires.</t>
  </si>
  <si>
    <t>v_GVmGXTEm46s</t>
  </si>
  <si>
    <t>A close up of a sink is shown followed by a person rubbing it down with a rag from various angles.</t>
  </si>
  <si>
    <t>The sink is shown again by itself followed by water dripping down.</t>
  </si>
  <si>
    <t>v_Qx4YLntwZ5s</t>
  </si>
  <si>
    <t>We see a lady taking in a room and touching her hair.</t>
  </si>
  <si>
    <t>There is a title screen.</t>
  </si>
  <si>
    <t>The lady shows us the products and tools she uses on her hair.</t>
  </si>
  <si>
    <t>We see the lady doing her hair.</t>
  </si>
  <si>
    <t>The lady sections her hair and adds product.</t>
  </si>
  <si>
    <t>The lady twists her hair around her finger.</t>
  </si>
  <si>
    <t>The lady begin blow drys her hair.</t>
  </si>
  <si>
    <t>We see images of the ladies finished hair.</t>
  </si>
  <si>
    <t>v_D84XQFQ4tsU</t>
  </si>
  <si>
    <t>A body of water is shown.</t>
  </si>
  <si>
    <t>A person takes a lid off of a pot.</t>
  </si>
  <si>
    <t>They show a camp site with a tent.</t>
  </si>
  <si>
    <t>They put a cloth into the bucket.</t>
  </si>
  <si>
    <t>v_hJn5L1nrkL4</t>
  </si>
  <si>
    <t>There are two men playing table tennis in an indoor stadium.</t>
  </si>
  <si>
    <t>One of the players is wearing blue and the other player is in a red shirt.</t>
  </si>
  <si>
    <t>There is a person dressed in a black shirt seated near the players.</t>
  </si>
  <si>
    <t>There are several spectators seated in the stadium.</t>
  </si>
  <si>
    <t>They continue playing a rally for some time.</t>
  </si>
  <si>
    <t>The player in the red shirt misses the ball and gives his opponent a winning point.</t>
  </si>
  <si>
    <t>The player in blue cheers loudly after his winning point and breaks into a dance.</t>
  </si>
  <si>
    <t>He continues dancing and goes towards his opponent to mock him.</t>
  </si>
  <si>
    <t>He then goes back to the table tennis table.</t>
  </si>
  <si>
    <t>The man dressed on black shows the score.</t>
  </si>
  <si>
    <t>v_JTGS1YulUQw</t>
  </si>
  <si>
    <t>A close up of booklets are shown with a person flipping them open and reading.</t>
  </si>
  <si>
    <t>The woman marks a name down and peels it off to put on a sock.</t>
  </si>
  <si>
    <t>The woman then lays an iron over the name and peels off the paper to show how to properly label a gift.</t>
  </si>
  <si>
    <t>v_cEHyZzBsWnw</t>
  </si>
  <si>
    <t>A female weightlifter lifts a barbell with her legs.</t>
  </si>
  <si>
    <t>She gets it to her stomach, then pulls.</t>
  </si>
  <si>
    <t>She goes up and down, working her abdominals.</t>
  </si>
  <si>
    <t>v_uG2sRzp5Bk4</t>
  </si>
  <si>
    <t>Information about Blackjack site iis provided.</t>
  </si>
  <si>
    <t>There are two people shown playing in a casino.</t>
  </si>
  <si>
    <t>A representative from Blackjack is showing a casino gambling game.</t>
  </si>
  <si>
    <t>He lays playing cards on the table against tokens.</t>
  </si>
  <si>
    <t>There are several tokens stacked up on the table.</t>
  </si>
  <si>
    <t>He is explaining how to play the gambling game to maximize one's money.</t>
  </si>
  <si>
    <t>He puts more cards on the table and takes a hand to earn more tokens.</t>
  </si>
  <si>
    <t>Information on how to download the app is provided on the screen.</t>
  </si>
  <si>
    <t>v_abjQ1EyqJuw</t>
  </si>
  <si>
    <t>As the camera walks, it was showing the well maintained hedges, at the center of two hedges is a narrow path leading to a wider field surrounded by more hedges.</t>
  </si>
  <si>
    <t>On one side of the hedge is a man in black shirt, he is standing on a ladder, he is trimming the hedges.</t>
  </si>
  <si>
    <t>Near the man is an empty bench, on the side are more well trimmed hedges.</t>
  </si>
  <si>
    <t>v_GjjRDUirW7g</t>
  </si>
  <si>
    <t>A man is seen speaking to the camera while holding a box up to show an instrument inside.</t>
  </si>
  <si>
    <t>The man pulls out the harmonica and continues to show it off to the camera.</t>
  </si>
  <si>
    <t>The man plays the harmonica and pauses to hold it up to the screen as well as a picture.</t>
  </si>
  <si>
    <t>v_RIaNmXzBQnE</t>
  </si>
  <si>
    <t>There is a woman eating ice cream from a tub and talking to the camera man.</t>
  </si>
  <si>
    <t>And he tries to look into the tub, but she pulls it away.</t>
  </si>
  <si>
    <t>The camera person sits down to continue talking to the woman.</t>
  </si>
  <si>
    <t>She gets up and he follows her through the house as she walks into the kitchen.</t>
  </si>
  <si>
    <t>She puts the rest of the ice cream in the freezer and rinses the spoon.</t>
  </si>
  <si>
    <t>v_ZNUkzdw2EeI</t>
  </si>
  <si>
    <t>An athletic man is seen stepping up to a circle and throwing a discuss off into the distance.</t>
  </si>
  <si>
    <t>He then runs excitedly while cameras follow him and shown other athletes spinning the disk.</t>
  </si>
  <si>
    <t>More shots are shown of people celebrating and the athlete runs into the stands.</t>
  </si>
  <si>
    <t>v_oEd7WT4mVSE</t>
  </si>
  <si>
    <t>A woman is sitting at a table using a hookah while another woman makes silly faces and gestures behind her.</t>
  </si>
  <si>
    <t>They speak animatedly with the person behind the camera.</t>
  </si>
  <si>
    <t>There is a close up of the items on the table in front of them.</t>
  </si>
  <si>
    <t>The woman with the camera turns it to face herself before aiming it back toward the other women.</t>
  </si>
  <si>
    <t>One of the women coughs as a cloud of smoke hits her in the face.</t>
  </si>
  <si>
    <t>v_Lmne5ZF0McI</t>
  </si>
  <si>
    <t>man is jumping wearing stilts on a sidewalk.</t>
  </si>
  <si>
    <t>a calm green grassy field is behind the man wearinf stilts.</t>
  </si>
  <si>
    <t>man is wearing white sweater and stilts and is in a green grassy park.</t>
  </si>
  <si>
    <t>v_yinXvETACC4</t>
  </si>
  <si>
    <t>A host is seen speaking to the camera and leads into a trainer speaking with others exercising behind her.</t>
  </si>
  <si>
    <t>More shots of people exercising on bikes are shown and ends with the trainer walking through and talking.</t>
  </si>
  <si>
    <t>v_r82RY124wVY</t>
  </si>
  <si>
    <t>A woman is standing on a tennis court talking.</t>
  </si>
  <si>
    <t>She begins to play tennis on the court.</t>
  </si>
  <si>
    <t>She serves a tennis ball across the court several times.</t>
  </si>
  <si>
    <t>v_9eqfQyr3J7k</t>
  </si>
  <si>
    <t>Several people are outside in a ski resort sitting on the tubes.</t>
  </si>
  <si>
    <t>After,the three individuals in the front,are pulled down the slope and they begin to slide down.</t>
  </si>
  <si>
    <t>Once they are off,the man who pushed him down walks away and more people begin to go down.</t>
  </si>
  <si>
    <t>v_GQVqSLs2Ulg</t>
  </si>
  <si>
    <t>A man is seen holding a glass while speaking to the camera when another man walks in and begins painting the wall.</t>
  </si>
  <si>
    <t>The man continues to paint up and down the wall while the camera captures him and the other man walks away.</t>
  </si>
  <si>
    <t>v_FXN6qiDsClw</t>
  </si>
  <si>
    <t>An animation demonstrating the arc length of a welding type tool emitting heat.</t>
  </si>
  <si>
    <t>A demonstration of the tool emitting heat in real time.</t>
  </si>
  <si>
    <t>A graph illustrating the Long Arc of the tool documenting Voltage and Amperage.</t>
  </si>
  <si>
    <t>The tool is shown in real time emitting heat with a photo of a welded material.</t>
  </si>
  <si>
    <t>A graph illustrates Short Arc with the Voltage and Amperage documented.</t>
  </si>
  <si>
    <t>A man in a blue coat and orange gloves uses the arc tool.</t>
  </si>
  <si>
    <t>v_K2l7ops-tno</t>
  </si>
  <si>
    <t>A man is placing tiles on the floor.</t>
  </si>
  <si>
    <t>A woman appears, removing tiles from a box and talking about them.</t>
  </si>
  <si>
    <t>The woman kneels onto the ground, cutting and applying tiles.</t>
  </si>
  <si>
    <t>A man rolls a pressure roller over the finished floor before the woman returns, speaking about the finished product.</t>
  </si>
  <si>
    <t>v_mB90PudOrnU</t>
  </si>
  <si>
    <t>A girl is giving a small dog a bath.</t>
  </si>
  <si>
    <t>She has an orange bottle in her hand.</t>
  </si>
  <si>
    <t>v_g7IZWqeyM20</t>
  </si>
  <si>
    <t>A white intro screen appears with a red,white and black art swirl on the left side red and black words on the right that say "England Squash&amp;Racketball" and the website in black at the bottom.</t>
  </si>
  <si>
    <t>A man appears with a racket and he's talking to the camera as he hits a racketball then various small clips play afterwards that include him hitting the racketball as well as various other people playing, too.</t>
  </si>
  <si>
    <t>The outro screen appears and it's exactly like the white intro screen.</t>
  </si>
  <si>
    <t>v_T49ZxNX1DFM</t>
  </si>
  <si>
    <t>There are people throwing balls to each other in the pool.</t>
  </si>
  <si>
    <t>there are people swimming to the other side of the pool.</t>
  </si>
  <si>
    <t>v_jUPbimyUndA</t>
  </si>
  <si>
    <t>woman is walking wearing a bikini and eating a chocolate is snowy day.</t>
  </si>
  <si>
    <t>people are in sidewalk watching the girl walks.</t>
  </si>
  <si>
    <t>woman is in a restaurant wearing a bikini and two aiter are watching her.</t>
  </si>
  <si>
    <t>woman walks in a airport eating a restaurant.</t>
  </si>
  <si>
    <t>v_7lv1VOxIng4</t>
  </si>
  <si>
    <t>A little girl is putting makeup on her face.</t>
  </si>
  <si>
    <t>She puts lipstick on her lips.</t>
  </si>
  <si>
    <t>She puts mascara on her eyelashes.</t>
  </si>
  <si>
    <t>She sprays body spray on her shirt.</t>
  </si>
  <si>
    <t>She puts eye shadow on her eyes.</t>
  </si>
  <si>
    <t>v_iE3I2ICIvHE</t>
  </si>
  <si>
    <t>A gymnast is seen standing ready before a beam and then jumping on to perform a routine.</t>
  </si>
  <si>
    <t>The girl then performs several flips and tricks on the beam, ending with her jumping off the side with her legs together and holding her arms up.</t>
  </si>
  <si>
    <t>v_-AjZCBMb4qU</t>
  </si>
  <si>
    <t>A girl is seating in front of a table, playing an accordian.</t>
  </si>
  <si>
    <t>She stares at the camera as she plays the keyboard and pulls the accordian in and out.</t>
  </si>
  <si>
    <t>v_RisNywzGXt8</t>
  </si>
  <si>
    <t>A lady pulls and fixes her outfit.</t>
  </si>
  <si>
    <t>The lady messes with her hair.</t>
  </si>
  <si>
    <t>The lady tries on shoes while standing and sitting.</t>
  </si>
  <si>
    <t>v_IT9uvR9yjxI</t>
  </si>
  <si>
    <t>An intro is shown of maps and a house close up.</t>
  </si>
  <si>
    <t>Afterwards a close up of a roof is shown as well as logos.</t>
  </si>
  <si>
    <t>More pictures are shown of trucks parked as well as logos.</t>
  </si>
  <si>
    <t>v_YRRcCaxIoR4</t>
  </si>
  <si>
    <t>Pole Vault Greats is on the screen.</t>
  </si>
  <si>
    <t>There are several scenes of men and women pole vaulting.</t>
  </si>
  <si>
    <t>v_F4eF_nO2UFs</t>
  </si>
  <si>
    <t>Tools sit on a table and we see a person unpack a bike and assemble it.</t>
  </si>
  <si>
    <t>We see the man put a tire on the bike.</t>
  </si>
  <si>
    <t>A person tightens the holds on the handlebars.</t>
  </si>
  <si>
    <t>The man puts grease on the paddles and installs them before airing the tires.</t>
  </si>
  <si>
    <t>We then see the finished bike.</t>
  </si>
  <si>
    <t>The ending title screen is shown.</t>
  </si>
  <si>
    <t>v_DG9-yffcXS4</t>
  </si>
  <si>
    <t>A man is seen pulling shades off of a window and removing the bars around the sides.</t>
  </si>
  <si>
    <t>Another man assists him by putting newer bars into the window as well as cutting the boards so they fit.</t>
  </si>
  <si>
    <t>In the end the camera pans around the new roof showing off it's great results.</t>
  </si>
  <si>
    <t>v_ux4iT6vQQb0</t>
  </si>
  <si>
    <t>People run motocross on a bumpy road in the wood.</t>
  </si>
  <si>
    <t>A person climbs a bump with a motorcycle.</t>
  </si>
  <si>
    <t>Also people rides motorcycles on an unpaved flat surface.</t>
  </si>
  <si>
    <t>v_OtcJMIJTTx4</t>
  </si>
  <si>
    <t>A little girl stands on a diving board.</t>
  </si>
  <si>
    <t>Then the little girl jumps, flip and dives in the swimming pool.</t>
  </si>
  <si>
    <t>People are in the swimming pool.</t>
  </si>
  <si>
    <t>v_WltsIClflnA</t>
  </si>
  <si>
    <t>kid is swinging on a playground.</t>
  </si>
  <si>
    <t>woman runs to the swings and sits.</t>
  </si>
  <si>
    <t>woman stands and foot up.</t>
  </si>
  <si>
    <t>v_EOSvdsejPQQ</t>
  </si>
  <si>
    <t>A man is sitting on the stairs playing a harmonica.</t>
  </si>
  <si>
    <t>He stands up and continues playing it.</t>
  </si>
  <si>
    <t>Words come up on the screen.</t>
  </si>
  <si>
    <t>v_JBTiD2-FcR0</t>
  </si>
  <si>
    <t>A closeup of a bag of cement mix is shown.</t>
  </si>
  <si>
    <t>One man adds water into a container while another watches.</t>
  </si>
  <si>
    <t>The first man pours the cement mix into the container.</t>
  </si>
  <si>
    <t>The second man uses a mixer on the container.</t>
  </si>
  <si>
    <t>one of the men applies the mixture to a wall.</t>
  </si>
  <si>
    <t>v_Tovbyt_ZiIc</t>
  </si>
  <si>
    <t>Opening credits show the description of the video.</t>
  </si>
  <si>
    <t>A woman waves her hand and acknowledges her hair and face as she continues to talk.</t>
  </si>
  <si>
    <t>The woman has her hair down and starts styling her hair.</t>
  </si>
  <si>
    <t>She completes styling her hair and continues to talk.</t>
  </si>
  <si>
    <t>v_gV6W0rAHyZg</t>
  </si>
  <si>
    <t>There's a man in a white shirt standing in an open field doing a tutorial for Expert Village on how to play lacrosse.</t>
  </si>
  <si>
    <t>He is holding a lacrosse stick in his hands as he explains the techniques of the game.</t>
  </si>
  <si>
    <t>He makes hand gestures to demonstrate the correct method of holding the lacrosse stick for effective playing technique.</t>
  </si>
  <si>
    <t>v_bX8QXK9mjKA</t>
  </si>
  <si>
    <t>A large group of people are at a carnival playing in their own bumper cars and a few of them bump into one another and come to a stop.</t>
  </si>
  <si>
    <t>They laugh and begin to pull their bumper cars away from one another.</t>
  </si>
  <si>
    <t>The people start driving around again where they all continue to either bump into one another or just drive around.</t>
  </si>
  <si>
    <t>Eventually all the bumper cars come to a complete stop and the ride is over.</t>
  </si>
  <si>
    <t>v_BFICeyu5oMM</t>
  </si>
  <si>
    <t>Ingredients are sitting on a wooden block.</t>
  </si>
  <si>
    <t>A person starts mixing the ingredients together.</t>
  </si>
  <si>
    <t>Words come onto the screen at the end.</t>
  </si>
  <si>
    <t>v_rF1n8L571vM</t>
  </si>
  <si>
    <t>A logo with engine pistons is seen and a disclaimer is shown.</t>
  </si>
  <si>
    <t>Two women in gym exercise pants ride on stationary bikes in a gym together.</t>
  </si>
  <si>
    <t>v_i9g2MGNUVQI</t>
  </si>
  <si>
    <t>A woman is seen speaking to the camera and leads into the news interviewing a man.</t>
  </si>
  <si>
    <t>Several shots are then shown of two bulls fighting other while others watch and speak to the camera.</t>
  </si>
  <si>
    <t>v_f4s1ngeK5P4</t>
  </si>
  <si>
    <t>A person is seen wearing slippers and holding a stick in their hands.</t>
  </si>
  <si>
    <t>The person then begins walking around a room pushing the ball around with the stick.</t>
  </si>
  <si>
    <t>The person continues hitting the ball while walking around the room.</t>
  </si>
  <si>
    <t>v_Uofnmkfohkc</t>
  </si>
  <si>
    <t>A young child is seen riding a skateboard down a road following a group of older boys.</t>
  </si>
  <si>
    <t>Several shots of him riding around are shown as well as him failing and riding more.</t>
  </si>
  <si>
    <t>He fist bumps the camera man and more shots are shown of him riding around.</t>
  </si>
  <si>
    <t>v_F2Igw6lvqwk</t>
  </si>
  <si>
    <t>A girl is sitting at the bottom of the stairs while trying to put her shoes on.</t>
  </si>
  <si>
    <t>She looks off in the distance in a disgusted manor, at the same time appearing quite distracted.</t>
  </si>
  <si>
    <t>She finishes by tying up her shoe laces and laughing to herself and the person filming her.</t>
  </si>
  <si>
    <t>v_BhxKjirVF4Y</t>
  </si>
  <si>
    <t>A woman dressed in gym clothes is doing a tutorial on spinning in a gym.</t>
  </si>
  <si>
    <t>She is demonstrating the dumbbells that she will be using.</t>
  </si>
  <si>
    <t>She then demonstrates the exercise bike and continues to bike along with some other women at the gym.</t>
  </si>
  <si>
    <t>She explains how to do some rigorous exercise on the bike.</t>
  </si>
  <si>
    <t>there are several other women who are also biking on the exercise bike with her.</t>
  </si>
  <si>
    <t>v_cmM0li5O1t0</t>
  </si>
  <si>
    <t>We see a little girl water skiing.</t>
  </si>
  <si>
    <t>We see a man holding a child water skiing.</t>
  </si>
  <si>
    <t>The man lets go, and grabs her jacket again.</t>
  </si>
  <si>
    <t>The man points to the skis.</t>
  </si>
  <si>
    <t>The man lefts go and grabs the jacket again.</t>
  </si>
  <si>
    <t>v_yVK-GMdc9UA</t>
  </si>
  <si>
    <t>A man is smiling at the camera.</t>
  </si>
  <si>
    <t>He is ironing clothes on an ironing board.</t>
  </si>
  <si>
    <t>He flips the clothes over and irons the other side.</t>
  </si>
  <si>
    <t>v_gU81ZXdYh7o</t>
  </si>
  <si>
    <t>A boy in an orange shirt is standing in a room.</t>
  </si>
  <si>
    <t>He starts punching a punching bag.</t>
  </si>
  <si>
    <t>The punching bag moves in the air.</t>
  </si>
  <si>
    <t>v_irnvsfchQX8</t>
  </si>
  <si>
    <t>A boy paddles a boat.</t>
  </si>
  <si>
    <t>v_BwwjQZDn3NE</t>
  </si>
  <si>
    <t>A man is seen outside dancing to himself while wiping a rag on the car.</t>
  </si>
  <si>
    <t>The weather is pouring rain and the man continues to dance around the car holding a rag.</t>
  </si>
  <si>
    <t>The man moves to the front of the car followed by taking his shirt off and waving to the camera.</t>
  </si>
  <si>
    <t>v_XKvzx2cD9KY</t>
  </si>
  <si>
    <t>There is a large crowd shown clapping and two hosts speaking in the beginning.</t>
  </si>
  <si>
    <t>A line of men are then shown wearing sumo wrestling outfits.</t>
  </si>
  <si>
    <t>Two people get inside of the ring and begin fighting.</t>
  </si>
  <si>
    <t>The two people grab each other's necks and try to knock their opponent down to the ground.</t>
  </si>
  <si>
    <t>v_2wUKu5UIHmI</t>
  </si>
  <si>
    <t>The camera captures a close up of an older woman putting makeup on and smacking her lips to the camera.</t>
  </si>
  <si>
    <t>She then puts mascara on as well as more lipstick and nods her head back and fourth smiling.</t>
  </si>
  <si>
    <t>v_hmT9H0IjiGs</t>
  </si>
  <si>
    <t>A man wearing a white hat is demonstrating how to make a Caribbean drink.</t>
  </si>
  <si>
    <t>He shows a bowl filled with citrus fruits.</t>
  </si>
  <si>
    <t>He takes a lemon juicer and some lemons and limes and oranges.</t>
  </si>
  <si>
    <t>He then juices the oranges and lemon on the juicer.</t>
  </si>
  <si>
    <t>He then empties the juice a large cocktail bowl.</t>
  </si>
  <si>
    <t>He adds rum to the juice along with some vanilla extract.</t>
  </si>
  <si>
    <t>He also mixes in sugar and rum and whisks the drink.</t>
  </si>
  <si>
    <t>He finally adds a bowl full of water and stirs it well.</t>
  </si>
  <si>
    <t>He pours the beverage in cocktail glasses and places it on the kitchen counter.</t>
  </si>
  <si>
    <t>v_f14r3tC-Y4E</t>
  </si>
  <si>
    <t>A large boat is shown sailing through ocean water.</t>
  </si>
  <si>
    <t>A man in scuba gear climbs over the side.</t>
  </si>
  <si>
    <t>He works on pulling a large bag into the boat, trying not to capsize.</t>
  </si>
  <si>
    <t>v_KwhqAV_0o40</t>
  </si>
  <si>
    <t>A man dressed in snow gear is standing on a frozen body of water and bending over as he looks into a fish hole that his fishing pole is in.</t>
  </si>
  <si>
    <t>The man pulls on his fishing pole, goes on his knees, and continues to slowly pull the fishing pole up and the camera man who had already put the camera down bends down and grabs the fish and places it onto the ice.</t>
  </si>
  <si>
    <t>The man picks the camera up and angles the camera towards the fish on the ice and the man who was fishing is smiling, unhooks the fish then holds it up in the air.</t>
  </si>
  <si>
    <t>v_hRoHfDR4-e0</t>
  </si>
  <si>
    <t>People handles bulls in a rodeo ring, a man is throw to the air by a bull.</t>
  </si>
  <si>
    <t>People are throw by bulls to the ground while jumping and kicking with the back legs while people watch the rodeo.</t>
  </si>
  <si>
    <t>Several people riding bulls are throw to the ground while other people distract the bulls that jumps and kicks.</t>
  </si>
  <si>
    <t>v_1wqSUOGmpBs</t>
  </si>
  <si>
    <t>Two very large sumos are in an elevated circle doing leg warm ups and squatting while another man in the middle dressed in Japanese garb referees.</t>
  </si>
  <si>
    <t>The referee lets them know when to start and the sumos wrestle while the referee walks around the ring and monitors them.</t>
  </si>
  <si>
    <t>Finally one of the men is able to push another man out of the ring,they stop wrestling, the loser walks to his end and they bow to one another and both leave the ring.</t>
  </si>
  <si>
    <t>v_TtQPtLPTqBA</t>
  </si>
  <si>
    <t>A girl is pouring something into a sink.</t>
  </si>
  <si>
    <t>She walks away and wipes her hands on a towel.</t>
  </si>
  <si>
    <t>She pours the bowl into a bucket on the ground.</t>
  </si>
  <si>
    <t>She starts wiping the floor with a towel.</t>
  </si>
  <si>
    <t>She moves the bucket up to the front of the classroom and dumps it out.</t>
  </si>
  <si>
    <t>v_C8IEqXTBod0</t>
  </si>
  <si>
    <t>We see the title screen for the video.</t>
  </si>
  <si>
    <t>We change to a woman putting on her cold weather clothes.</t>
  </si>
  <si>
    <t>She grabs a shovel and walks away.</t>
  </si>
  <si>
    <t>We see the lady sitting and laying on a chair and reading.</t>
  </si>
  <si>
    <t>The lady is outside shoveling the snow and talking.</t>
  </si>
  <si>
    <t>We see articles online about shoveling.</t>
  </si>
  <si>
    <t>The lady is jumping and warming up.</t>
  </si>
  <si>
    <t>We see a snowy city and then people shoveling snow.</t>
  </si>
  <si>
    <t>v_0JpULUYPDX0</t>
  </si>
  <si>
    <t>A person is seen standing on a court holding a tennis racket.</t>
  </si>
  <si>
    <t>The man then demonstrates several moves with the tennis racket and hitting the ball to another.</t>
  </si>
  <si>
    <t>The two continuously hit the ball back and fourth to one another.</t>
  </si>
  <si>
    <t>v_kWPvAxLzGw8</t>
  </si>
  <si>
    <t>A woman is sitting down wearing green sunglasses.</t>
  </si>
  <si>
    <t>She is talking on the cell phone.</t>
  </si>
  <si>
    <t>She is riding in a car.</t>
  </si>
  <si>
    <t>She is laying on a chair getting her foot tattooed.</t>
  </si>
  <si>
    <t>She is showing her foot tattoo.</t>
  </si>
  <si>
    <t>She is sitting outside talking again.</t>
  </si>
  <si>
    <t>v_Yp9DBq34bFQ</t>
  </si>
  <si>
    <t>A woman is seen squeezing lotion out of a bottle onto her skin and rubbing it into her arms.</t>
  </si>
  <si>
    <t>More pictures are shown on the screen of people and lotions as well as steps on how to use it properly.</t>
  </si>
  <si>
    <t>v_p9yq0kAqGU4</t>
  </si>
  <si>
    <t>Men pull a rope in a game of tug of war.</t>
  </si>
  <si>
    <t>A lady bends down to take a photo and a lady walks and films the even.</t>
  </si>
  <si>
    <t>We see a tower in the field.</t>
  </si>
  <si>
    <t>The men let go of the rope, one man falls and claps.</t>
  </si>
  <si>
    <t>A man smiles and gives a thumbs up to the camera.</t>
  </si>
  <si>
    <t>v_zlOErVVHKEk</t>
  </si>
  <si>
    <t>People are playing a game in a field.</t>
  </si>
  <si>
    <t>The man with the mallet and the man with the red hat run back and forth.</t>
  </si>
  <si>
    <t>A man with a blue shirt runs toward home plate.</t>
  </si>
  <si>
    <t>The man with the mallet is shown getting hit in slow motion.</t>
  </si>
  <si>
    <t>A woman is up to bat and is shown running after getting a hit.</t>
  </si>
  <si>
    <t>v_FPbPkjLAEzs</t>
  </si>
  <si>
    <t>A man is parasailing on the ocean.</t>
  </si>
  <si>
    <t>Other people also begin sailing in the water, some falling over.</t>
  </si>
  <si>
    <t>v_xC9s-_MNO_Q</t>
  </si>
  <si>
    <t>We see a man decorating a Christmas tree.</t>
  </si>
  <si>
    <t>The man adds a string of lights.</t>
  </si>
  <si>
    <t>A little girl ads bulbs to the tree.</t>
  </si>
  <si>
    <t>The man turns the lights on.</t>
  </si>
  <si>
    <t>The man and the girl add bulbs to the tree.</t>
  </si>
  <si>
    <t>The lady goes up and own the stairs.</t>
  </si>
  <si>
    <t>The lady adds ornaments to the tree.</t>
  </si>
  <si>
    <t>The man stands on a ladder and adds ornaments.</t>
  </si>
  <si>
    <t>The lady turns off the lights and the family looks at the tree together.</t>
  </si>
  <si>
    <t>The man and woman kiss each other.</t>
  </si>
  <si>
    <t>v_scapZQe6_Iw</t>
  </si>
  <si>
    <t>Two men are standing on a field behind a row of houses.</t>
  </si>
  <si>
    <t>One swings a bat and runs onto the field, chasing a ball.</t>
  </si>
  <si>
    <t>The ball is thrown back to the batter, and he continues the game of cricket with his team mates.</t>
  </si>
  <si>
    <t>v_0H_9zlnmW4U</t>
  </si>
  <si>
    <t>A man is seen standing in a large field and leads into him moving his arms and legs around the area.</t>
  </si>
  <si>
    <t>The man continues moving around the area moving his hands up and down and looking off into the distance.</t>
  </si>
  <si>
    <t>v_JDfFAljt4JM</t>
  </si>
  <si>
    <t>Two people are seen doing a ballet dance on stage followed by a woman doing a dance while others watch on the side.</t>
  </si>
  <si>
    <t>The woman continue spinning with the man walking in and out of frame and ends with her bowing to the audience.</t>
  </si>
  <si>
    <t>v_08wKlw4a_so</t>
  </si>
  <si>
    <t>A black dog walks on a lawn.</t>
  </si>
  <si>
    <t>A lady rakes leaves from the lawn onto the pavement sidewalk.</t>
  </si>
  <si>
    <t>The lady stops raking, turns around, and talks plus gestures.</t>
  </si>
  <si>
    <t>A white ball rolls to a parked car.</t>
  </si>
  <si>
    <t>v_xpEbejnuGEY</t>
  </si>
  <si>
    <t>A woman is seen kneeling into frame next to a patio set.</t>
  </si>
  <si>
    <t>She then shows off various cleaning tools an rubs them along a chair.</t>
  </si>
  <si>
    <t>She brings the chair inside and pours paint into a bucket and paints along the side.</t>
  </si>
  <si>
    <t>She shows off the chair outside again while speaking to the camera.</t>
  </si>
  <si>
    <t>v_K4F8I74OM-Y</t>
  </si>
  <si>
    <t>A brunette woman newscaster is wearing a white shirt and royal blue blazer over it and is speaking into the camera.</t>
  </si>
  <si>
    <t>A clip begins and it features people running and the words on the screen say they are novices who are training to run a marathon in Tel Aviv, Israel.</t>
  </si>
  <si>
    <t>A man appears training them and different marathoners in training take turns being interviewed while they continue to switch back and forth to everyone going through the training.</t>
  </si>
  <si>
    <t>The last clip is the view from the start of a marathon and hundreds of people start running as they leave the start line.</t>
  </si>
  <si>
    <t>v_LChqFAESyCg</t>
  </si>
  <si>
    <t>There's a young girl standing in her bathroom doing a tutorial on how to apply lipstick.</t>
  </si>
  <si>
    <t>she opens her mirror cabinet and takes her lipstick out.</t>
  </si>
  <si>
    <t>She begins applying the lipstick on her lips.</t>
  </si>
  <si>
    <t>Then she uses the same lipstick and dabs it on her cheeks.</t>
  </si>
  <si>
    <t>She uses her fingers to smear the lipstick evenly on her cheek bones.</t>
  </si>
  <si>
    <t>Then she pouts and smiles for the camera, striking a pose.</t>
  </si>
  <si>
    <t>v_H2KVO7LWU5w</t>
  </si>
  <si>
    <t>A toddler is holding a leaf blower.</t>
  </si>
  <si>
    <t>A teen is raking the lawn.</t>
  </si>
  <si>
    <t>A teen tosses a rake full of leaves at the toddler.</t>
  </si>
  <si>
    <t>v_b39hqdpOn7k</t>
  </si>
  <si>
    <t>A still shot picture of a man appears while a lot of white words go scrolling from the bottom to the top.</t>
  </si>
  <si>
    <t>The man is now in an enclosed ad small racquetball court area and he's going through the motions of hitting a ball with his racquet with the words "not recommended" in the upper left corner.</t>
  </si>
  <si>
    <t>A screen quickly appears and it has white text that say "please subscribe to this youtube channel".</t>
  </si>
  <si>
    <t>The man is then shown again playing racquetball on the court until the outro screen appears and it includes a lot of white wording that is scrolling from the bottom to the top.</t>
  </si>
  <si>
    <t>v_skSPijG9sgU</t>
  </si>
  <si>
    <t>A few kids are seen standing on a stage followed by the children pushing a puck along the ice.</t>
  </si>
  <si>
    <t>Several people are shown playing the game around them and panning to the audience reacting as well as people standing on the sides.</t>
  </si>
  <si>
    <t>v_puGw7gu96AM</t>
  </si>
  <si>
    <t>A man comes out of a gate on a horse.</t>
  </si>
  <si>
    <t>He lassos and ropes a calf.</t>
  </si>
  <si>
    <t>He then jumps down and ties the calf.</t>
  </si>
  <si>
    <t>v_2Q0WGQbJbso</t>
  </si>
  <si>
    <t>A person plays a violin in front of a huge crowd of people.</t>
  </si>
  <si>
    <t>The people give him a standing ovation at the end.</t>
  </si>
  <si>
    <t>v_uMQEaWGQvrc</t>
  </si>
  <si>
    <t>A man on a diving board walks to the end.</t>
  </si>
  <si>
    <t>the man bounces on the board two times then dives into the water.</t>
  </si>
  <si>
    <t>The man surfaces and swims towards the edge of the pool.</t>
  </si>
  <si>
    <t>v_rHUCx_JqNk4</t>
  </si>
  <si>
    <t>a woman with pink hair is posing for the camera.</t>
  </si>
  <si>
    <t>She brushes out her hair with her hands before separating it into sections.</t>
  </si>
  <si>
    <t>She then braids the hair down the side of her head.</t>
  </si>
  <si>
    <t>v_Nj_fvFbf56I</t>
  </si>
  <si>
    <t>A little boy runs across a hopscotch on the ground.</t>
  </si>
  <si>
    <t>He returns to the beginning, and tries to jump.</t>
  </si>
  <si>
    <t>He hops all the way to the end.</t>
  </si>
  <si>
    <t>v_XzYtm5WdAE8</t>
  </si>
  <si>
    <t>A man is seen standing in a large field behind a piece of heavy machinery.</t>
  </si>
  <si>
    <t>The man pushes the machine along some tall grass while the camera follows his movements.</t>
  </si>
  <si>
    <t>The man continues pushing along the high grass.</t>
  </si>
  <si>
    <t>v_7D5ItfgJFVw</t>
  </si>
  <si>
    <t>The white rabbit is in the cage.</t>
  </si>
  <si>
    <t>The rabbit is cleaning its hands by licking it.</t>
  </si>
  <si>
    <t>The rabbit cleaned his back and then wend down to the first floor of his cage.</t>
  </si>
  <si>
    <t>v_OqoUemFpetc</t>
  </si>
  <si>
    <t>Two teams playing throwing balls to hit an opponent.</t>
  </si>
  <si>
    <t>The players hold two balls and throw each other to hit and opponent.</t>
  </si>
  <si>
    <t>A boy holding a ball throw to another player and the opponents also throws ball.</t>
  </si>
  <si>
    <t>v_ktYgm8bRK-g</t>
  </si>
  <si>
    <t>A woman begins walking down a cobble stone sidewalk with brown boots and then she is seen twirling a hula hoop.</t>
  </si>
  <si>
    <t>With the hula hoop,the girl begins flipping and dancing with it between her legs.</t>
  </si>
  <si>
    <t>She progresses and adds another hula hip and both of them go on at the same time.</t>
  </si>
  <si>
    <t>In her next setting,she has about five around her body and continues to dance.</t>
  </si>
  <si>
    <t>She continues to do the same thing with different amounts and with other body parts as people come and take pictures of her displaying her talent.</t>
  </si>
  <si>
    <t>Lastly, another small videos appears showing advertisements for the Jump Rope sisters youtube page.</t>
  </si>
  <si>
    <t>v_cCISvaObBxI</t>
  </si>
  <si>
    <t>Two teams play soccer in an indoor soccer court, the team wearing white t-shirt wins the competition.</t>
  </si>
  <si>
    <t>The player scores and celebrate with a teammate.</t>
  </si>
  <si>
    <t>Other teams plays soccer, a player with white uniform receives a ball and score.</t>
  </si>
  <si>
    <t>Two teams play soccer, and the player with the yellow uniform scores.</t>
  </si>
  <si>
    <t>Two team of girls compete, a girl with red uniform scores and the team wins.</t>
  </si>
  <si>
    <t>Then, a player with a white uniform scores with a spectacular movement.</t>
  </si>
  <si>
    <t>v_waF8oGaQqvI</t>
  </si>
  <si>
    <t>A special effect intro appears and a blue word appears in the middle of the screen and say's "Howcast".</t>
  </si>
  <si>
    <t>A woman is lying on a bed in a business with a man sitting next to her and a list of things pop up on the screen under the words "YOU WILL NEED" appear on the screen.</t>
  </si>
  <si>
    <t>The woman is shown doing various things as steps show up under each action she does, and even tips appear on the screen that lead up to the woman laying on the bed as a man tattoos her.</t>
  </si>
  <si>
    <t>When he's done tattooing her he holds up a white bottle with a green cap and talks to her while showing it and white words appear on the screen giving a warning that "Applying too much topical anesthetic and then covering the tattoo can cause seizures".</t>
  </si>
  <si>
    <t>The woman stands up to show her tattoo and the woman is briefly shown sunbathing with the tattoo covered up.</t>
  </si>
  <si>
    <t>A close up of her tattoo is shown and words appear over it that say's "Democrats are more likely to have tattoos", then a white screen appears with the blue words in the middle that say "Howcast".</t>
  </si>
  <si>
    <t>v_lJ02cAklA6o</t>
  </si>
  <si>
    <t>A man is seated while someone buffs his shoes.</t>
  </si>
  <si>
    <t>The person uses a brush to clean his shoes thorougly.</t>
  </si>
  <si>
    <t>Then they use polish to shine them.</t>
  </si>
  <si>
    <t>v_yVsOoFr61x4</t>
  </si>
  <si>
    <t>A young girl is seen walking to the end of a diving board with several other people around her.</t>
  </si>
  <si>
    <t>The girl puts her arms up and then dives into the pool.</t>
  </si>
  <si>
    <t>She's seen again coming to the surface in the pool and swimming over to the edge.</t>
  </si>
  <si>
    <t>v_NGF0rQiDxNk</t>
  </si>
  <si>
    <t>A female gymnast is spinning and jumping on a pair of high beams as her coach watches, prepared to catch her.</t>
  </si>
  <si>
    <t>He steps onto the beam as she dismounts, arms in the air.</t>
  </si>
  <si>
    <t>v_NV2scxevYKk</t>
  </si>
  <si>
    <t>Two men do maneuvers on a canoe pivoting the canoe helping with the paddlers.</t>
  </si>
  <si>
    <t>Then, the men pivot the canoe away from the bow paddlers while paddling fast the oars.</t>
  </si>
  <si>
    <t>After, the men slides the canoe forward using the oars to advance.</t>
  </si>
  <si>
    <t>Next, the men sail on the river until arrive to the bank of the river.</t>
  </si>
  <si>
    <t>v_Vfb3LmFDols</t>
  </si>
  <si>
    <t>We see a man in BMX bike arena talking.</t>
  </si>
  <si>
    <t>We see people bring bikes up a ramp.</t>
  </si>
  <si>
    <t>We see people start when the gate opens.</t>
  </si>
  <si>
    <t>We then see people riding bikes.</t>
  </si>
  <si>
    <t>We see a man wipe dirt from his hair and turn off the camera.</t>
  </si>
  <si>
    <t>v_Xf8y5_b2dq4</t>
  </si>
  <si>
    <t>A man is seen holding onto a paint machine and spraying it around all the furniture.</t>
  </si>
  <si>
    <t>He continues painting around the area while the camera pans around his movements.</t>
  </si>
  <si>
    <t>He finishes the painting and the camera pans around the furniture.</t>
  </si>
  <si>
    <t>v_QEdbqJijx1w</t>
  </si>
  <si>
    <t>A woman is seen speaking to the camera while sitting in a chair.</t>
  </si>
  <si>
    <t>She then holds up a contact lens and puts one in her eye.</t>
  </si>
  <si>
    <t>She puts another contact in her eye and smiles to the camera.</t>
  </si>
  <si>
    <t>v_blSOfdlqJtY</t>
  </si>
  <si>
    <t>A large group of people are seen playing around a gymnasium throwing balls at one another and bouncing around.</t>
  </si>
  <si>
    <t>The people continue throwing balls when one hits the camera and shows a persons face.</t>
  </si>
  <si>
    <t>The game continues on with the people throwing balls around and people watching on the sides.</t>
  </si>
  <si>
    <t>v_s0YJOzALDNg</t>
  </si>
  <si>
    <t>A group of people are under a covering.</t>
  </si>
  <si>
    <t>They are riding around in a series of bumper cars.</t>
  </si>
  <si>
    <t>The cars bump into each other as they drive around.</t>
  </si>
  <si>
    <t>v_UxlDSfC7S-0</t>
  </si>
  <si>
    <t>A bag of Spill Master Absorbant is shown on the screen.</t>
  </si>
  <si>
    <t>A man stands in a warehouse talking to the camera and pours some liquid on the ground.</t>
  </si>
  <si>
    <t>He takes a bowl of some material and sprinkled it over the spills.</t>
  </si>
  <si>
    <t>He then sweeps up the material with a broom and dust pan.</t>
  </si>
  <si>
    <t>v__-zOtZZ_fwI</t>
  </si>
  <si>
    <t>A woman is video taping some men in a living room getting jackets on.</t>
  </si>
  <si>
    <t>One of the men motions the the camera person to follow him as he grabs a broom and walks down a hall and out a door to a snow covered parking lot.</t>
  </si>
  <si>
    <t>They walk out into the parking lot as another man comes outside.</t>
  </si>
  <si>
    <t>The man with the broom brushes snow off of an SUV as another man does the same at a car next to him.</t>
  </si>
  <si>
    <t>v_cdiazgshHuc</t>
  </si>
  <si>
    <t>A girl holds up a brush and walks up to the horse.</t>
  </si>
  <si>
    <t>The girl brushes of the coat of the horse in a stable.</t>
  </si>
  <si>
    <t>The girl removes the ankle braces from the horse.</t>
  </si>
  <si>
    <t>The girl wraps up the braces together an puts them away.</t>
  </si>
  <si>
    <t>A horse sticks his head out from a stable and a man watches.</t>
  </si>
  <si>
    <t>v_dth80jcqPxU</t>
  </si>
  <si>
    <t>Several types of shot put throws and terminology are demonstrated.</t>
  </si>
  <si>
    <t>The different throws show different block types.</t>
  </si>
  <si>
    <t>These are used in various sling types.</t>
  </si>
  <si>
    <t>Some names of some of the throws are the glide shot, the spin Shot, and the stand throw.</t>
  </si>
  <si>
    <t>v_6VW7ZPurE7c</t>
  </si>
  <si>
    <t>A small dog is seen wearing an outfit and walking on two legs while people stand around him and watch.</t>
  </si>
  <si>
    <t>The dog continues walking around and looking around as people watch.</t>
  </si>
  <si>
    <t>v_EOradtej9GU</t>
  </si>
  <si>
    <t>A mountain full of snow appears and a man begins skiing down the slopes.</t>
  </si>
  <si>
    <t>As he skis,more men appear before he reappears by himself.</t>
  </si>
  <si>
    <t>Once alone,the man skis rapidly down the slopes and does spins and kneels as he skis.</t>
  </si>
  <si>
    <t>Eventually,he goes to fast and ends up flipping over into a pile of snow.</t>
  </si>
  <si>
    <t>v_FaKQvJBhMPg</t>
  </si>
  <si>
    <t>A man and a woman are sitting in two separate floating donuts, the man in the blue, the woman in the green, and both are smiling then the man raises his left arm to wave.</t>
  </si>
  <si>
    <t>A group of people are also on different colored floating donuts, playing, falling in the water and having a good time.</t>
  </si>
  <si>
    <t>A brown haired woman standing in a pile of floating donuts is holding a mic and talking, and other clips begin to play that include scenery of the lake, interviewing various people of ages and both sexes, people walking with their floating donuts, signs at the lake, people having fun and etcetera.</t>
  </si>
  <si>
    <t>The woman is now sitting in a green floating donut, still holding the mic, and still talking.</t>
  </si>
  <si>
    <t>A white screen appears appears with a maroon and white logo, then it changes to another white screen that has a blue website in the middle of it.</t>
  </si>
  <si>
    <t>v_DMUFb7gvUx4</t>
  </si>
  <si>
    <t>Men travel in a plane and arrives to the top of a mountain.</t>
  </si>
  <si>
    <t>Then, men get down the plane and ski down the hill.</t>
  </si>
  <si>
    <t>A person ski behind a man down the slope of the mountain.</t>
  </si>
  <si>
    <t>A snow removal clear the snow of the road.</t>
  </si>
  <si>
    <t>After, the men ski down the hill in middle of the trees.</t>
  </si>
  <si>
    <t>The men ski in a wood area that is uneven.</t>
  </si>
  <si>
    <t>v_56kqqlco5H0</t>
  </si>
  <si>
    <t>A gymnast wearing a blue outfit climes onto the a balance beam and performs a hand stand with a split in a competition in front of a huge American flag.</t>
  </si>
  <si>
    <t>The gymnast proceeds on the balance beam and performs a front somersault and then three consecutive backward somersaults in a row.</t>
  </si>
  <si>
    <t>The gymnast continues with her performance on the parallel bar with spin moves, jump moves and dance moves.</t>
  </si>
  <si>
    <t>The gymnast prepares for the dismount at one end of the parallel bar does a forward somersault on the parallel bar and a somersault with a spin and lands the dismount perfectly.</t>
  </si>
  <si>
    <t>v_nOJUyDGq_l0</t>
  </si>
  <si>
    <t>A group of men are gathered in a circle in a room.</t>
  </si>
  <si>
    <t>They shake each other's hands, then start fighting in the ring of people.</t>
  </si>
  <si>
    <t>They spin and kick, never actually hitting each other.</t>
  </si>
  <si>
    <t>When they finish the group comes together, clapping as a group.</t>
  </si>
  <si>
    <t>v_2zl0O1VRDC4</t>
  </si>
  <si>
    <t>A person puts sealing material around steel planks and a roof.</t>
  </si>
  <si>
    <t>Then, the man paints a roof with black paint.</t>
  </si>
  <si>
    <t>v_U2td95KJU7Y</t>
  </si>
  <si>
    <t>A boy stand on a pool diving board in an Olympic competition.</t>
  </si>
  <si>
    <t>Then, the boy jumps and does four flips in the air and falls into the water.</t>
  </si>
  <si>
    <t>The crowd applaud the boy holding British flags.</t>
  </si>
  <si>
    <t>A man hugs the boy who looks happy, and the boy walks around.</t>
  </si>
  <si>
    <t>The boy jumps from a diving board and does four flips in the air before gets into the water.</t>
  </si>
  <si>
    <t>v_bWCIcijlgCo</t>
  </si>
  <si>
    <t>The video begins with several shots of people riding down long roads on skateboards in fast motion as well as slow.</t>
  </si>
  <si>
    <t>The people perform various jumps and tricks down these long and winding roads and shows the boarder speaking into the camera.</t>
  </si>
  <si>
    <t>v_LrwBGQ9B0Vg</t>
  </si>
  <si>
    <t>A group of fish swim around in the ocean floor.</t>
  </si>
  <si>
    <t>A long yellow fish passes the camera.</t>
  </si>
  <si>
    <t>Scuba divers gather on a boat as a man speaks.</t>
  </si>
  <si>
    <t>We see several fish and a shark.</t>
  </si>
  <si>
    <t>The scuba divers dive, looking at the fish and waving at the camera.</t>
  </si>
  <si>
    <t>v_7BM40jqPYgA</t>
  </si>
  <si>
    <t>A boy makes repairs to a disassembled bicycle with the use of a solder in a backyard near the back steps of a house.</t>
  </si>
  <si>
    <t>A boy enters the scene and pulls on a pair of gloves while wearing a sports protective mask, turns on a blue machine on the back steps and picks up a solder.</t>
  </si>
  <si>
    <t>The boy then begins to solder a disassembled bicycle on the ground in a backyard.</t>
  </si>
  <si>
    <t>The boy then gets up and walks out of the scene after lifting the lid on his mask.</t>
  </si>
  <si>
    <t>v_U0IJmOHoa1M</t>
  </si>
  <si>
    <t>The cricket team of Sri Lanka is playing against another country.</t>
  </si>
  <si>
    <t>the cricketers are playing a competitive game in the field.</t>
  </si>
  <si>
    <t>The Sri Lanka team is represented by the blue uniform.</t>
  </si>
  <si>
    <t>The batsman scores four runs as the bowler throws an overhand ball.</t>
  </si>
  <si>
    <t>The video shows different cricket matches taking place where Sri Lanka is playing against teams from different countries.</t>
  </si>
  <si>
    <t>The stadium is filled with spectators cheering for the cricketers.</t>
  </si>
  <si>
    <t>The match goes on full swing as the batsmen score four runs.</t>
  </si>
  <si>
    <t>The fielder runs to catch the ball after the batsman hits it high, almost catching the ball to make him clean bold.</t>
  </si>
  <si>
    <t>v_iiY3TE2O1QE</t>
  </si>
  <si>
    <t>A camera is held by someone under water and swimming in the ocean.</t>
  </si>
  <si>
    <t>It pans to several shots of men playing soccer on a beach and kick the ball around.</t>
  </si>
  <si>
    <t>The camera pans over the ball followed by several more shots of the man playing.</t>
  </si>
  <si>
    <t>v_MyqWp3ipXxA</t>
  </si>
  <si>
    <t>A large rock is shown followed by people moving around objects and leading into a new segment.</t>
  </si>
  <si>
    <t>A man is then seen cutting up a pumpkin while a woman speaks and leads into a weather report.</t>
  </si>
  <si>
    <t>The man then shows the pumpkin around a group of people as well as close up.</t>
  </si>
  <si>
    <t>v_ohNtDBYmhX0</t>
  </si>
  <si>
    <t>A male skateboarder is skating, he jumped on the railing and then slipped and fell on his back and a hand helped him up.</t>
  </si>
  <si>
    <t>A boy jumped in a platform with his skateboard and slipped and fell.</t>
  </si>
  <si>
    <t>The skateboarders jumped on the platform or railings and slipped and fell on the ground.</t>
  </si>
  <si>
    <t>v_nfTFGY2n_io</t>
  </si>
  <si>
    <t>A family talks about making healthy food.</t>
  </si>
  <si>
    <t>They start by making smoothies and read ingredients from coconut sugar.</t>
  </si>
  <si>
    <t>They blend food and prepare the food and then blend the smoothie.</t>
  </si>
  <si>
    <t>v_m7XKITsRtVw</t>
  </si>
  <si>
    <t>A man and a woman are drinking coffee outside next to a camper.</t>
  </si>
  <si>
    <t>The man is playing guitar.</t>
  </si>
  <si>
    <t>The woman walks to the camera and starts showing off paper documents.</t>
  </si>
  <si>
    <t>She throws the papers and walks back to the man.</t>
  </si>
  <si>
    <t>v_PLgcXxX3A2A</t>
  </si>
  <si>
    <t>A boy on a team throws a basketball at other team members.</t>
  </si>
  <si>
    <t>Others join in, some falling as they are hit with the ball.</t>
  </si>
  <si>
    <t>v_8ClpQ4q6NmM</t>
  </si>
  <si>
    <t>A man is seen kneeling down next to a dog scrubbing his back while another man pours water over the dog's body.</t>
  </si>
  <si>
    <t>The man continues scrubbing as the other pours water and ends with the dog running away.</t>
  </si>
  <si>
    <t>v_j_vP89LZlp8</t>
  </si>
  <si>
    <t>A woman brushes her long hair at home.</t>
  </si>
  <si>
    <t>The woman sits down on the sofa.</t>
  </si>
  <si>
    <t>The woman gets up and turns away.</t>
  </si>
  <si>
    <t>The person turns around walks out of view.</t>
  </si>
  <si>
    <t>v_-vDMeHr1ZfI</t>
  </si>
  <si>
    <t>a lot of desserts are in a sliding belt in a counter.</t>
  </si>
  <si>
    <t>a sunset in a beach and in a lake is shown.</t>
  </si>
  <si>
    <t>people is doing kayaking in a lake going though the lake with big gren vegetation.</t>
  </si>
  <si>
    <t>v_rggwT0-G5sk</t>
  </si>
  <si>
    <t>Two young men are shown running back and fourth down a court hitting a tennis ball.</t>
  </si>
  <si>
    <t>They keep hitting the ball against the wall and chasing the ball around.</t>
  </si>
  <si>
    <t>One pauses and hits the ball on his racket and again throws it for the boys to play.</t>
  </si>
  <si>
    <t>One falls down on the ground towards the end and the other helps him up.</t>
  </si>
  <si>
    <t>v_WQAVlmS5IWs</t>
  </si>
  <si>
    <t>A woman talks to the camera while bathing a baby in the bathtub.</t>
  </si>
  <si>
    <t>The woman demonstrates a small scrubbing pad to the camera.</t>
  </si>
  <si>
    <t>The woman uses the pad on the baby.</t>
  </si>
  <si>
    <t>v_6Dt510HMEWA</t>
  </si>
  <si>
    <t>Some people are floating on the ocean on a yellow raft.</t>
  </si>
  <si>
    <t>They float by large rocks and cliffs.</t>
  </si>
  <si>
    <t>v_g8Yx4qWzNH0</t>
  </si>
  <si>
    <t>A man is bent down on a mat.</t>
  </si>
  <si>
    <t>He picks up a large weight and lifts it over his head.</t>
  </si>
  <si>
    <t>He drops the weight onto the ground.</t>
  </si>
  <si>
    <t>A man in a blue shirt claps.</t>
  </si>
  <si>
    <t>v_J8WxSDLZwu0</t>
  </si>
  <si>
    <t>This baby hits the ball and falls down.</t>
  </si>
  <si>
    <t>Then he gets back up and grabs the stick to attempt hitting the ball again.</t>
  </si>
  <si>
    <t>Next he falls again and gets back up while holding the stick and he grabs the ball hitting it really far.</t>
  </si>
  <si>
    <t>v_ZazjI26IQUo</t>
  </si>
  <si>
    <t>A parent is tattooing their very small child that looks like he is about 3 .</t>
  </si>
  <si>
    <t>He is crying because it hurts and his mean mother is keeping him held down while they tattoo his arm.</t>
  </si>
  <si>
    <t>They keep going with the tattoo it is on his upper arm but you can't tell what they are tattooing.</t>
  </si>
  <si>
    <t>The artist grabs something green and starts to shake it.</t>
  </si>
  <si>
    <t>v_dI1RqUHyWYo</t>
  </si>
  <si>
    <t>Several people at an indoor pool jump off of a diving board into the pool water below exhibiting a mix of advanced diving techniques and diving technique mishaps.</t>
  </si>
  <si>
    <t>Several divers jump off of the diving board into the water below performing many techniques including flips.</t>
  </si>
  <si>
    <t>More, less successful dives are shown near the end of the clip before the scene fades to black.</t>
  </si>
  <si>
    <t>v_29k1TypoU4w</t>
  </si>
  <si>
    <t>A man is seen kneeling on a mat and demonstrating how to do a proper exercise but moving his arms and legs.</t>
  </si>
  <si>
    <t>The man moves back and fourth while moving his arms and legs and speaking to the camera.</t>
  </si>
  <si>
    <t>v_0gA_3BAxtVM</t>
  </si>
  <si>
    <t>People are riding bicycles around a dirt track.</t>
  </si>
  <si>
    <t>Two men crash into each other and fall down.</t>
  </si>
  <si>
    <t>Several people crash into each other and fall down on the track.</t>
  </si>
  <si>
    <t>v_54Hp_Z-cu-s</t>
  </si>
  <si>
    <t>People are interacting in a track field.</t>
  </si>
  <si>
    <t>The marching band are walking with their instruments down a track.</t>
  </si>
  <si>
    <t>The drummers are performing as they walk.</t>
  </si>
  <si>
    <t>v_HMc2QoiQcoA</t>
  </si>
  <si>
    <t>A woman is seated on a bed in a bedroom.</t>
  </si>
  <si>
    <t>She runs her hands through her hair as she talks.</t>
  </si>
  <si>
    <t>She opens a cigarette case and smokes a cigarette while she talks.</t>
  </si>
  <si>
    <t>v_HGG_st1NOYM</t>
  </si>
  <si>
    <t>Women in bikinis are playing volleyball on the beach.</t>
  </si>
  <si>
    <t>One of the women falls onto the sand.</t>
  </si>
  <si>
    <t>They pose for a picture on the beach.</t>
  </si>
  <si>
    <t>v_PlSk7Q9v15A</t>
  </si>
  <si>
    <t>We see two opening title screens.</t>
  </si>
  <si>
    <t>We see a man behind a bar talking.</t>
  </si>
  <si>
    <t>The man adds ice to a martin glass and a tall glass.</t>
  </si>
  <si>
    <t>the man adds three shots to the glass and shakes it.</t>
  </si>
  <si>
    <t>The man puts a strainer on the glass and pours the ice out of the martini glass.</t>
  </si>
  <si>
    <t>The man pours the lime green drink in the martini glass and adds a cherry and straw.</t>
  </si>
  <si>
    <t>We see the closing screen.</t>
  </si>
  <si>
    <t>v_loUYsxA2RHg</t>
  </si>
  <si>
    <t>An elderly man is setting up his camera and then goes off to get on his riding mower.</t>
  </si>
  <si>
    <t>He appears on the left side riding down the sidewalk until he reaches his lawn.</t>
  </si>
  <si>
    <t>He makes a turn and starts working through the grass, going in circles until he reaches the center of the lawn.</t>
  </si>
  <si>
    <t>He then goes back and reaches a small patch of grass that he missed the first time.</t>
  </si>
  <si>
    <t>He goes back through one more time making sure that he didn't miss any spots, and gets off his lawn mower to turn the camera off.</t>
  </si>
  <si>
    <t>v_6rG5dBgwBDc</t>
  </si>
  <si>
    <t>Snowflakes are shown falling down the screen before we see a christmas tree.</t>
  </si>
  <si>
    <t>A woman is talking before she starts preparing and decorating the tree.</t>
  </si>
  <si>
    <t>She applies a plethora of ornaments and lights, and the tree is shown several different states of decoration.</t>
  </si>
  <si>
    <t>v_kHSCvFav1p4</t>
  </si>
  <si>
    <t>Two people are seen standing around a gym hitting a birdie to one another.</t>
  </si>
  <si>
    <t>The men hit the object back and fourth while others watch on the side.</t>
  </si>
  <si>
    <t>The people continue to watch the two play and one off the side takes his shirt off.</t>
  </si>
  <si>
    <t>v_uZC3WPkta-I</t>
  </si>
  <si>
    <t>A group of people are outside playing a game of croquet in the yard.</t>
  </si>
  <si>
    <t>One of the women in a kirt has her hand behind her back just watching them play.</t>
  </si>
  <si>
    <t>The other woman is the only female playing, she take her turn and then it's back to the men.</t>
  </si>
  <si>
    <t>The man in sandals hit the black ball and then it is once again the woman's turn.</t>
  </si>
  <si>
    <t>v_p4RUPQAV0ro</t>
  </si>
  <si>
    <t>A man walks up and picks up a weight.</t>
  </si>
  <si>
    <t>He lifts it up to his shoulders and then over his head.</t>
  </si>
  <si>
    <t>A person stands up and puts his fist in the air.</t>
  </si>
  <si>
    <t>Another man next to him picks up a weight and lifts it over his head.</t>
  </si>
  <si>
    <t>The men shake hands before walking off.</t>
  </si>
  <si>
    <t>v_2zQk4ZEfzf4</t>
  </si>
  <si>
    <t>A man is seen standing in a sand pit and begins spinning around and throwing the object.</t>
  </si>
  <si>
    <t>The man is shown several times spinning around and throwing the object off into the distance.</t>
  </si>
  <si>
    <t>v_awag66wjX4k</t>
  </si>
  <si>
    <t>A bike company is showing off their bikes and how to fix them.</t>
  </si>
  <si>
    <t>There is an intro of the bike company's logo.</t>
  </si>
  <si>
    <t>Then a man gives a quick into talk about the bikes.</t>
  </si>
  <si>
    <t>A person with gloves then shows off some tools and paste.</t>
  </si>
  <si>
    <t>He then uses the tools and paste to fix the bike's handle.</t>
  </si>
  <si>
    <t>The person then shows off the finished product of a fully adjustable handle.</t>
  </si>
  <si>
    <t>The ending screen shows the bike company's logo again.</t>
  </si>
  <si>
    <t>v_bPvxr2-L_HU</t>
  </si>
  <si>
    <t>A person in Blue pants attemps to pile drive a guy in a pink suit.</t>
  </si>
  <si>
    <t>The guy in the pink suit gets revenge.</t>
  </si>
  <si>
    <t>v_14dA-qLmNZo</t>
  </si>
  <si>
    <t>A large group of people are seen riding along the water on boats.</t>
  </si>
  <si>
    <t>One person crashes into another and shows a person speaking to the camera.</t>
  </si>
  <si>
    <t>More clips are shown of the boats together and logos being shown.</t>
  </si>
  <si>
    <t>v_lTFCUuLtUJs</t>
  </si>
  <si>
    <t>A large group of people are seen standing around a track leading into several people running down the road.</t>
  </si>
  <si>
    <t>A woman is seen speaking to the camera while several people are seen running and drinking water.</t>
  </si>
  <si>
    <t>More people speaking to the camera while showing them run in different locations.</t>
  </si>
  <si>
    <t>v_y0VZOcxbjRM</t>
  </si>
  <si>
    <t>There are five ladies playing shuffleboard in an indoor shuffleboard court.</t>
  </si>
  <si>
    <t>There are three women in green and two women dressed in cream colored shirts playing against each other.</t>
  </si>
  <si>
    <t>A lady from the green team begins to aim the stick to hit the puck while another team member helps her rearrange the pucks.</t>
  </si>
  <si>
    <t>Then she shoots the puck with the stick and steps back to give her opponent a chance.</t>
  </si>
  <si>
    <t>A player from the cream team then hits the puck with her stick but is not very successful.</t>
  </si>
  <si>
    <t>A man steps in and replaces the puck on the shuffleboard.</t>
  </si>
  <si>
    <t>Then another player from the green team comes forward to play.</t>
  </si>
  <si>
    <t>v_zU6SnkNIdrw</t>
  </si>
  <si>
    <t>A man is wearing an apron and standing in his kitchen.</t>
  </si>
  <si>
    <t>Several food items in bowls are shown.</t>
  </si>
  <si>
    <t>A white bowl is filled with sugar, eggs, and peanut butter, then blended.</t>
  </si>
  <si>
    <t>He presses balls of cookie dough onto a pan and bakes them.</t>
  </si>
  <si>
    <t>He eats one of the cookies for the camera while he talks about them.</t>
  </si>
  <si>
    <t>v_Gkv5ibx0tYw</t>
  </si>
  <si>
    <t>A woman with short blonde hair is sitting in a chair talking.</t>
  </si>
  <si>
    <t>She holds up a hair curler and puts it in her hair.</t>
  </si>
  <si>
    <t>She takes it out and continues talking.</t>
  </si>
  <si>
    <t>v_BbeZ2t__2iA</t>
  </si>
  <si>
    <t>A close up of a man is seen holding a coffee cup and leads into him taking a sip.</t>
  </si>
  <si>
    <t>He nods his head in approval to the coffee and is shown again drinking more coffee next to a person.</t>
  </si>
  <si>
    <t>v_ilXO32we9uo</t>
  </si>
  <si>
    <t>Two men are sailing on the blue water, with their white boat with white flags, then they avoided the buoys on the water.</t>
  </si>
  <si>
    <t>A plan written on a white paper with black pen, and then the plan is put into action, when the white boat sail on the water and turn around.</t>
  </si>
  <si>
    <t>v_qZaWIb28kfU</t>
  </si>
  <si>
    <t>A man and a boy walks around a wood fire holding sheets and wearing corned hats, while a crowd stand in a circle.</t>
  </si>
  <si>
    <t>Then, the man stand and talks to people.</t>
  </si>
  <si>
    <t>Suddenly, fire and smoke come out from the wood fire with sparkles.</t>
  </si>
  <si>
    <t>v_J4vq7MLMAtY</t>
  </si>
  <si>
    <t>Several people are shown at a party playing different games and having fun.</t>
  </si>
  <si>
    <t>A man begins to talk to one of the women as she is playing one of the games.</t>
  </si>
  <si>
    <t>The game begins to get heated while several of the women laugh and joke around.</t>
  </si>
  <si>
    <t>One of the women takes a picture of the laughing women playing the game.</t>
  </si>
  <si>
    <t>A man helps as the women try to get the hang of playing the game.</t>
  </si>
  <si>
    <t>v_3S5RoKVsAys</t>
  </si>
  <si>
    <t>We see a man in a barber shop and see images of the shop.</t>
  </si>
  <si>
    <t>The barber speaks cut with scenes of a barber shop.</t>
  </si>
  <si>
    <t>We see a Union Jack flag on the arm of a chair.</t>
  </si>
  <si>
    <t>A large dog walks through the room.</t>
  </si>
  <si>
    <t>We see the man shaving a man with a straight razor.</t>
  </si>
  <si>
    <t>v_bzJTmN6wAC4</t>
  </si>
  <si>
    <t>A man is seated in front of a canvas.</t>
  </si>
  <si>
    <t>He is using a palette to paint an ombre scene.</t>
  </si>
  <si>
    <t>He then covers the ombre to a silhouette of a tree on a hill.</t>
  </si>
  <si>
    <t>v_c_KU8M2YfzA</t>
  </si>
  <si>
    <t>A black screen is visible and white words begin to appear.</t>
  </si>
  <si>
    <t>Next,there's a line of ten boys standing together behind a rope outside in a large grassy field.</t>
  </si>
  <si>
    <t>The boys form a circle and begin leaning to the left in a lounge position to exercise.</t>
  </si>
  <si>
    <t>When they are finished,they begin pulling tug of war and the man on the left side with black suit wins.</t>
  </si>
  <si>
    <t>Another group of boys are shown and they begin crouching down in effort to win the game.</t>
  </si>
  <si>
    <t>v_2WeG8QGOfcI</t>
  </si>
  <si>
    <t>We see an instructor leading an aerobics class.</t>
  </si>
  <si>
    <t>The people do a popping waist dance.</t>
  </si>
  <si>
    <t>The people go back and forth.</t>
  </si>
  <si>
    <t>A man walks past the door.</t>
  </si>
  <si>
    <t>A man in blue enters the room.</t>
  </si>
  <si>
    <t>The people lift their legs high.</t>
  </si>
  <si>
    <t>The instructor finishes and walks back and forth.</t>
  </si>
  <si>
    <t>v_VwclmKWo_-M</t>
  </si>
  <si>
    <t>There are three young men in a house.</t>
  </si>
  <si>
    <t>One the men is sitting on a couch in the living room eating a packet of Doritos.</t>
  </si>
  <si>
    <t>And there are two other men who are staring at him while he eats.</t>
  </si>
  <si>
    <t>One of the men gets up and washes his hands.</t>
  </si>
  <si>
    <t>He then opens a can of coke and drinks from it.</t>
  </si>
  <si>
    <t>Then he begins chopping tomatoes and lettuce to make a sandwich.</t>
  </si>
  <si>
    <t>He slices some ham and makes two toasts in a toaster.</t>
  </si>
  <si>
    <t>Then he puts mayonnaise on the bread and tops it with the meat, lettuce and tomato.</t>
  </si>
  <si>
    <t>He cuts the sandwich in half and serves it on a plate.</t>
  </si>
  <si>
    <t>Then he offers the sandwich plate to the man seated on the couch eating the Doritos.</t>
  </si>
  <si>
    <t>The man takes the plate and takes a bite of the sandwich as the other man stands next to him and watches.</t>
  </si>
  <si>
    <t>v_Bri_myFFu4A</t>
  </si>
  <si>
    <t>A person retrieves an instrument from a closet.</t>
  </si>
  <si>
    <t>The man examines the instrument in his hand.</t>
  </si>
  <si>
    <t>The person holds up the violin to his chin and gets ready.</t>
  </si>
  <si>
    <t>The person plays a song on the violin.</t>
  </si>
  <si>
    <t>The man finishes the song and lowers the instrument.</t>
  </si>
  <si>
    <t>v_AsTfp_4Um1A</t>
  </si>
  <si>
    <t>Two little girls take pack a suitcase and take a trip to New York City.</t>
  </si>
  <si>
    <t>Two little girls stand in a room dressed in costumes that later morph into ballerina outfits.</t>
  </si>
  <si>
    <t>The two girls begin to dance together while singing or speaking into the camera.</t>
  </si>
  <si>
    <t>The clip fades to the two girls folding and packing clothes in a suitcase in a bedroom in a house, The girls pack tutus in a pink suitcase and then cut to them in a horse drawn carriage in the streets of New York, talking and pointing to landmarks.</t>
  </si>
  <si>
    <t>The trip ends and the two girls run into a building and then sing together on the edge of a water fountain before running off.</t>
  </si>
  <si>
    <t>v_ybF4RykZxK8</t>
  </si>
  <si>
    <t>A man is seen riding down on a skateboard while the camera follows his movements.</t>
  </si>
  <si>
    <t>The man skates around the street through obstacles and down the street.</t>
  </si>
  <si>
    <t>More people continue riding down the street while the camera follows them.</t>
  </si>
  <si>
    <t>v_qf5wMRlZYnQ</t>
  </si>
  <si>
    <t>A belly dancer is seen moving herself along a stage and performing a routine while many watch.</t>
  </si>
  <si>
    <t>She continues the routine and ends by shaking her hair around and bending backwards to pose.</t>
  </si>
  <si>
    <t>v_f6JZ3LWJRVE</t>
  </si>
  <si>
    <t>Two men hunt and shoot a buffalo in a sandy, desert like setting.</t>
  </si>
  <si>
    <t>A room filled with stuffed and hunted animals displays in a room with many of them mounted on walls.</t>
  </si>
  <si>
    <t>Two brown buffalos are standing next to each other on a sandy ground in extremely windy weather.</t>
  </si>
  <si>
    <t>Two men watch the two buffalos from a distance with weapons mounted aiming to shoot as a camera man stands behind them filming the incident.</t>
  </si>
  <si>
    <t>One of the buffalos is shot by an yellow tipped weapon while walking away.</t>
  </si>
  <si>
    <t>One of the men is then shown standing over the dead animal.</t>
  </si>
  <si>
    <t>v_ESgcgoYgg0o</t>
  </si>
  <si>
    <t>woman is sitting in front of other in a consulting room and take the glasses out and wash her hands.</t>
  </si>
  <si>
    <t>woman gives her contact lenses and he other woman holds it with the index finger put some some liquid and put it in the eye, then do the same with the other contact put the lenses and talk to the other woman.</t>
  </si>
  <si>
    <t>v_JNSaWuU8ky4</t>
  </si>
  <si>
    <t>Three people are seen kneeling on a small raft and flip themselves into the water.</t>
  </si>
  <si>
    <t>More people are seen padding along and move over to the people in the water.</t>
  </si>
  <si>
    <t>The people in the water climb back in and finally put themselves in a canoe.</t>
  </si>
  <si>
    <t>v_KTIzccovgeg</t>
  </si>
  <si>
    <t>A lake is seen with the view of a city skyline across the way.</t>
  </si>
  <si>
    <t>A group of walkers walk along the sidewalk near the lake.</t>
  </si>
  <si>
    <t>A man uses a snow blower on a sidewalk area.</t>
  </si>
  <si>
    <t>People use snow shovels to clear the sidewalk.</t>
  </si>
  <si>
    <t>A spade gardening tool is used to break up ice.</t>
  </si>
  <si>
    <t>A man applies salt to the cleared sidewalk area.</t>
  </si>
  <si>
    <t>v_0hWGSkDnRHA</t>
  </si>
  <si>
    <t>Two people are seen passing a ball back and fourth in a pool and leads into one speaking to the camera.</t>
  </si>
  <si>
    <t>The man demonstrates how to properly throw the ball with his hands while still speaking to the camera.</t>
  </si>
  <si>
    <t>v_WsXxnCQ_MIc</t>
  </si>
  <si>
    <t>A young woman uses hair products on and blow dries her hair straight with a dryer that has a comb attached to the end of it.</t>
  </si>
  <si>
    <t>The woman begins by removing a terry cloth turban from her head and revealing a wet may batch of hair.</t>
  </si>
  <si>
    <t>The woman then begins to put section of her hair in twist braids.</t>
  </si>
  <si>
    <t>The women then starts blowdrying sections of her hair with a comb attached blow dryer.</t>
  </si>
  <si>
    <t>The woman swings her straightened hair and smiles.</t>
  </si>
  <si>
    <t>v_9WmsYbZl1pw</t>
  </si>
  <si>
    <t>There's a sandwich that is still whole and has been cut in half into a triangular shape and white words pop up on the screen noting that it's a "Reuben sandwich".</t>
  </si>
  <si>
    <t>A man in the kitchen appears and he's putting seasonings into a pan and he starts swishing the pan around.</t>
  </si>
  <si>
    <t>An introduction of 6 different small videos of foods appear and there's text below that say's "Steve's cooking".</t>
  </si>
  <si>
    <t>A large piece of raw meat appears on a white plate and the word Reuben flashes a few times on it as it's shown in various different angles.</t>
  </si>
  <si>
    <t>The man then places the meat into a large pot and pours liquids onto it until it's fully covered and begins to season it with various seasonings and at the same time the names of the seasonings appear on the screen as each seasonings fall.</t>
  </si>
  <si>
    <t>Then there's a close up shot of a large knife that is crushing a bunch of garlic cloves that also get thrown into the pot and the seasonings and meat are gently stirred then quickly shows that the water is now boiling and text shows up that say's "About one hour per pound", and a lid gets put onto the pot.</t>
  </si>
  <si>
    <t>A pair of tongs pull out a piece of meat from the pot and is placed onto a white square plate where it gets put onto a cutting board and gets thinly sliced with a large serrated knife.</t>
  </si>
  <si>
    <t>An empty large clear bowl is shown and mayonnaise, ketchup, relish, worcesterchire sauce, and hot sauce get spooned into the bowl.</t>
  </si>
  <si>
    <t>A purple onion, celery and parsley then get chopped up individually and each individually gets thrown into the bowl where it begins to get mixed by a whisk and then seasoned with salt and pepper and mixed some more.</t>
  </si>
  <si>
    <t>A finger dips into the bowl to get a sample out and mixing continues for a bit longer.</t>
  </si>
  <si>
    <t>A small brush with melted butter begins to butter bread on both sides which gets put onto a flat grill and flipped until both sides are grilled.</t>
  </si>
  <si>
    <t>Some white shredded food gets thrown onto the grill and is stirred around by a black spatula.</t>
  </si>
  <si>
    <t>Thin slices of meat appear next to the white shredded food and they get topped with 3 slices of swiss cheese and covered with a white bowl until the cheese melts, then the white shredded food is scooped up and put onto the meat and cheese.</t>
  </si>
  <si>
    <t>The mixed sauce from the clear bowl is then shown being spread onto the bread with a spoon and the meat,cheese and shredded white food is put onto the bread, topped with the other bread, and then sliced in half diagonally.</t>
  </si>
  <si>
    <t>The sandwich is then spread apart and a hand picks up one half to show it at different angles, it gets bitten a few times and then put back on the plate where the rest of the video just shows it at differently angles and short previous seen clip of the meat being sliced.</t>
  </si>
  <si>
    <t>v_B2qCBkXrb8s</t>
  </si>
  <si>
    <t>A large man is seen standing and bowing in front of another large man while one holds his hands out inbetween the two men.</t>
  </si>
  <si>
    <t>Several people sit around the circle and the circle and the men wrestle one another.</t>
  </si>
  <si>
    <t>One pushes the other to the ground and the audience cheers.</t>
  </si>
  <si>
    <t>The man pushes another out of the circle and the audience claps once again.</t>
  </si>
  <si>
    <t>v_LgoMRWkBDkQ</t>
  </si>
  <si>
    <t>A man takes out the ice over the windows of a car.</t>
  </si>
  <si>
    <t>A person stand watching a man takes out ice on a car.</t>
  </si>
  <si>
    <t>v_LPeyqO2pRd4</t>
  </si>
  <si>
    <t>A woman add ice on a glass while talking.</t>
  </si>
  <si>
    <t>Then, the woman adds syrup in the glass using a measure cup.</t>
  </si>
  <si>
    <t>After, the woman add liquid to the glass, then pours the it in a black cup.</t>
  </si>
  <si>
    <t>After, the woman serves the mix in another glass.</t>
  </si>
  <si>
    <t>v_yRup8RDsCzk</t>
  </si>
  <si>
    <t>Two men are doing martial arts with others around them watching.</t>
  </si>
  <si>
    <t>Many other men are shown doing several flips and tricks around each other.</t>
  </si>
  <si>
    <t>Two men flip near each other while others around them watch.</t>
  </si>
  <si>
    <t>v_PqP3JIJEU5I</t>
  </si>
  <si>
    <t>A man is smoothing a substance on a roof with a trowel.</t>
  </si>
  <si>
    <t>He moves quickly to smooth out dents.</t>
  </si>
  <si>
    <t>The man moves to the bottom and smooths back up the top.</t>
  </si>
  <si>
    <t>He finishes and walks away.</t>
  </si>
  <si>
    <t>v_-yOwB5rvMAo</t>
  </si>
  <si>
    <t>A blonde woman stands by a bridge yelling.</t>
  </si>
  <si>
    <t>A brunette extends purple and red yarn to the woman.</t>
  </si>
  <si>
    <t>The woman is hallucinating this and is then doing an interview.</t>
  </si>
  <si>
    <t>A group of people in a classroom cheerfully knit away and play with yarn.</t>
  </si>
  <si>
    <t>The blonde woman hallucinates seeing the woman who gave her the yarn, and starts laughing hysterically.</t>
  </si>
  <si>
    <t>The group cheerfully displays their yarn.</t>
  </si>
  <si>
    <t>v_JHFjlLtpIcU</t>
  </si>
  <si>
    <t>A crowd watches a gymnastics show.</t>
  </si>
  <si>
    <t>A gymnast runs up to a high bar and alternates between the high and low bar, performing various gymnastics moves and flips.</t>
  </si>
  <si>
    <t>She flips off the bar and lands on her feet.</t>
  </si>
  <si>
    <t>Her fellow gymnasts run up to her in excitement.</t>
  </si>
  <si>
    <t>v_B-nlhZ0RR4A</t>
  </si>
  <si>
    <t>A man in a blue outfit puts chalk on his hands.</t>
  </si>
  <si>
    <t>A man in a yellow shirt is watching.</t>
  </si>
  <si>
    <t>The man in the blue outfit picks up a large weight and lifts it over his head.</t>
  </si>
  <si>
    <t>The crowd cheers for him.</t>
  </si>
  <si>
    <t>He gives a man in a suit a hug.</t>
  </si>
  <si>
    <t>v_aH7puGPu39Y</t>
  </si>
  <si>
    <t>Three men wearing snowboards get out a ski lift, and a man tie his shoe.</t>
  </si>
  <si>
    <t>Then, the men ski down a hill covered with snow.</t>
  </si>
  <si>
    <t>A man bend his legs on the snow, then continue skiing with other men.</t>
  </si>
  <si>
    <t>v_UoO7VCPs8Jw</t>
  </si>
  <si>
    <t>A man holding a shot put stands on a base.</t>
  </si>
  <si>
    <t>The man turns his back to the camera and prepares to throw.</t>
  </si>
  <si>
    <t>The man throws the ball and and spins around.</t>
  </si>
  <si>
    <t>v_b5E7-GxvCdk</t>
  </si>
  <si>
    <t>A woman is on her hands and knees cutting grass with some scissors.</t>
  </si>
  <si>
    <t>The camera pans out to give a full view of her cutting the grass.</t>
  </si>
  <si>
    <t>She makes a joke about the grass having split ends and bad roots.</t>
  </si>
  <si>
    <t>The camera goes back to a close up of the grass and the video ends.</t>
  </si>
  <si>
    <t>v_17nr8u_ze0o</t>
  </si>
  <si>
    <t>A camera pans around several wooded areas and leads into a boy holding a leaf blower and smiling to the camera.</t>
  </si>
  <si>
    <t>The camera pans to an older man and then back to the boys blowing leaves.</t>
  </si>
  <si>
    <t>v_UG82vrvkYFk</t>
  </si>
  <si>
    <t>A man in green trunks throws a man in red trunks in a wrestling ring.</t>
  </si>
  <si>
    <t>The man in green trunks rolls out of the ring.</t>
  </si>
  <si>
    <t>The man in green trunks spears the other man.</t>
  </si>
  <si>
    <t>The man in green trunks power bombs the other man.</t>
  </si>
  <si>
    <t>The man in green trunks pins the other man and wins the match.</t>
  </si>
  <si>
    <t>v_Tix8XrlBZxg</t>
  </si>
  <si>
    <t>It's snowing outside of a home with a gray parked van and the man is holding tools, puts the camera down and then begins to clean the snow off of the van.</t>
  </si>
  <si>
    <t>The man moves the camera and adjusts the position and then walks back to the van begins cleaning the snow off of the entire top of the van.</t>
  </si>
  <si>
    <t>The man walks back to the camera and moves it once more so it can capture a different view and he continues to wipe the snow off of the side and top of the van.</t>
  </si>
  <si>
    <t>The piece of the tool breaks off and the man grabs it and shows it to the camera and continues talking, goes off camera, and then shows the camera he has fixed the tool and then moves the camera again.</t>
  </si>
  <si>
    <t>A woman shows up and she touches the van with her hands and starts to wipe off the snow with just her hands.</t>
  </si>
  <si>
    <t>v_CBckvP5FR4A</t>
  </si>
  <si>
    <t>First a screen is shown, showing what song the man will be playing using the guitar.</t>
  </si>
  <si>
    <t>Then the man is shown sitting down playing the guitar and he never looks up at the camera.</t>
  </si>
  <si>
    <t>Finally the video ends and the only thing seen is darkness.</t>
  </si>
  <si>
    <t>v_bNuRrXSjJl0</t>
  </si>
  <si>
    <t>A woman is seen standing ready on a diving board and leads into her holding out her arms and performing an impressive dive.</t>
  </si>
  <si>
    <t>The woman is seen several more times diving into the pool and coming to the surface.</t>
  </si>
  <si>
    <t>v_dufQjqa3v6w</t>
  </si>
  <si>
    <t>A man talks in an office holding a harmonica.</t>
  </si>
  <si>
    <t>Then, the man opens a stand and turns on the radio.</t>
  </si>
  <si>
    <t>After, the man plyas the harmonica.</t>
  </si>
  <si>
    <t>v_qRuPuzY6yiE</t>
  </si>
  <si>
    <t>A large group of army solider are seen holding a large rope on one side of each other while other soldiers watch.</t>
  </si>
  <si>
    <t>A man stands in the middle and the people begin pulling the rope from one another.</t>
  </si>
  <si>
    <t>One side pulls the others down and the rest of the team cheer while the camera pans around.</t>
  </si>
  <si>
    <t>v_R0dqEWnDC7k</t>
  </si>
  <si>
    <t>The video shows two countries represented by blue and green uniforms playing the game of cricket professionally.</t>
  </si>
  <si>
    <t>The batsmen is batting while the bowler is doing an overhand throw.</t>
  </si>
  <si>
    <t>The next scene shows a team of cricketers wearing white uniforms getting ready to play as they gather in a circle with their captain.</t>
  </si>
  <si>
    <t>v_ejMpWeFZLec</t>
  </si>
  <si>
    <t>A girl walks into the center of a room with a hula hoop.</t>
  </si>
  <si>
    <t>She does several acts and stunts with the hoop, bringing her head and arms in and out.</t>
  </si>
  <si>
    <t>v_tLdbdQ9fVZE</t>
  </si>
  <si>
    <t>A person is seen standing next to a tree while waving and speaking to the camera.</t>
  </si>
  <si>
    <t>The person then holds up dirt and leads into several clips of her raking around a tree and pointing to it.</t>
  </si>
  <si>
    <t>v_8wxFQrFEo3M</t>
  </si>
  <si>
    <t>An intro screen of clouds appear and the blue words across it say "HOOKAH TRICK MONTAGE HD".</t>
  </si>
  <si>
    <t>Various words show up in between many different clips of many different people blowing smoke out of their mouths and doing many different tricks; and when the words are put together they say "ITS TIME TO MAKE IT RIGHT".</t>
  </si>
  <si>
    <t>When the clips are done a black screen appears and blue letters appear and it say's "Thanks for watching".</t>
  </si>
  <si>
    <t>v_kM7jFLYDUy0</t>
  </si>
  <si>
    <t>A boy is in a bumper car, spinning around by himself.</t>
  </si>
  <si>
    <t>He moves back and forward in his car.</t>
  </si>
  <si>
    <t>He looks lonely as he finally comes to a stop.</t>
  </si>
  <si>
    <t>v_qumU7AgV3Mk</t>
  </si>
  <si>
    <t>People interact in a circling ice arena.</t>
  </si>
  <si>
    <t>A lady talks to a group of males.</t>
  </si>
  <si>
    <t>A guy slips, falls on the ice arena, and laughs.</t>
  </si>
  <si>
    <t>A man opens his mouth very wide to show his excitement.</t>
  </si>
  <si>
    <t>A lady stops the circling stone with a broom.</t>
  </si>
  <si>
    <t>The credits with two mini clips are shown.</t>
  </si>
  <si>
    <t>v_FNHoSA0hLgM</t>
  </si>
  <si>
    <t>An older boy and a younger one are on a racquetball court.</t>
  </si>
  <si>
    <t>They hit the ball back and forth against the wall.</t>
  </si>
  <si>
    <t>They continue fighting over the ball, trying to beat each other in the game.</t>
  </si>
  <si>
    <t>v_aeKIYkn99_Q</t>
  </si>
  <si>
    <t>We see the title on a black screen.</t>
  </si>
  <si>
    <t>People are in line at a ski slope.</t>
  </si>
  <si>
    <t>We see people in rafts being pulled up a hill and people riding rafts down the slope.</t>
  </si>
  <si>
    <t>We see a man at the top of the mountain.</t>
  </si>
  <si>
    <t>We see writing stating the camera was dropped.</t>
  </si>
  <si>
    <t>The man films his face as he slides down the hill.</t>
  </si>
  <si>
    <t>We see a young man's face as he rides down the hill.</t>
  </si>
  <si>
    <t>We see people walking to their cars in the parking lot.</t>
  </si>
  <si>
    <t>At the end we see a kid laying on a raft.</t>
  </si>
  <si>
    <t>v_t_2jTjX3a_o</t>
  </si>
  <si>
    <t>A countdown is shown followed by a woman catching balls thrown at her.</t>
  </si>
  <si>
    <t>The number counts down more and shows more clips of women playing dodgeball.</t>
  </si>
  <si>
    <t>Several more numbers and clips are shown ending with people performing impressive throws.</t>
  </si>
  <si>
    <t>v_YnB0VW34wlY</t>
  </si>
  <si>
    <t>A boy is chopping wood in a forest.</t>
  </si>
  <si>
    <t>The boy almost drops the axe.</t>
  </si>
  <si>
    <t>The boy looks at the camera.</t>
  </si>
  <si>
    <t>v_dI1GZfJ-A0E</t>
  </si>
  <si>
    <t>A person is seen walking back to the end of their car and putting their hands on their hips.</t>
  </si>
  <si>
    <t>They realize they have a flat tire and pull out a jack attempting to get it off.</t>
  </si>
  <si>
    <t>The woman falls and fails backwards off a bridge, landing on a truck.</t>
  </si>
  <si>
    <t>v_9bnt6lDcF6Y</t>
  </si>
  <si>
    <t>A man in a blue polo speaks to the camera.</t>
  </si>
  <si>
    <t>In a different setting, the man is instructing a blonde woman on how to perform sit ups.</t>
  </si>
  <si>
    <t>The woman does sit ups.</t>
  </si>
  <si>
    <t>The man returns to speak to the camera.</t>
  </si>
  <si>
    <t>v_Q7eK0xT6VSQ</t>
  </si>
  <si>
    <t>A video is shown how to change a spare tire.</t>
  </si>
  <si>
    <t>The first tire is taken off and replaced, but nothing else is done.</t>
  </si>
  <si>
    <t>v_jwd8ELi0au8</t>
  </si>
  <si>
    <t>We see a dart board on a wall.</t>
  </si>
  <si>
    <t>Two men are playing a game of darts.</t>
  </si>
  <si>
    <t>We see the camera operator.</t>
  </si>
  <si>
    <t>We see a man up close in the camera.</t>
  </si>
  <si>
    <t>We see a man up close.</t>
  </si>
  <si>
    <t>We see a mans socks and a man close to the camera.</t>
  </si>
  <si>
    <t>v_q4FZTmaqEx8</t>
  </si>
  <si>
    <t>A man is seen speaking to the camera and begins kneeling down on a roof.</t>
  </si>
  <si>
    <t>The man then use a tool to scrape off tiles on the roof as well as another tool to put them back down.</t>
  </si>
  <si>
    <t>The man continues taking off tiles on the roof and gluing others down and ends by smiling to the camera.</t>
  </si>
  <si>
    <t>v_fJ45W32t6h0</t>
  </si>
  <si>
    <t>A person kicks off a tubing participant to ride down the snow slide.</t>
  </si>
  <si>
    <t>The camera pans to two tubers who are waiting to go down themselves.</t>
  </si>
  <si>
    <t>The next two people ride down the slide.</t>
  </si>
  <si>
    <t>Finally, The cameraman takes the ride and we get to live vicariously through them.</t>
  </si>
  <si>
    <t>v_x3cOxXOYbwA</t>
  </si>
  <si>
    <t>A weight is seen putting put on a bar and leads into a man kneeling down.</t>
  </si>
  <si>
    <t>The man grabs a set of weights and begins to lift it over his head.</t>
  </si>
  <si>
    <t>He throws the weight up and then back on the ground.</t>
  </si>
  <si>
    <t>v_P6t2HLPZ3Dk</t>
  </si>
  <si>
    <t>A boy dressed in a burgundy polo is at a bowling alley and throws the ball high up in the air and it ends up coming back in the other lane.</t>
  </si>
  <si>
    <t>More bowlers are shown and they begin falling onto the lanes as the attempt to throw the ball.</t>
  </si>
  <si>
    <t>A man then comes along and spins around on his head and ends up hitting the pins with the balls.</t>
  </si>
  <si>
    <t>Finally,a ball is thrown correctly and the man congratulates him.</t>
  </si>
  <si>
    <t>v_RTbvrcdPcrs</t>
  </si>
  <si>
    <t>People are working out in a room.</t>
  </si>
  <si>
    <t>They are stepping up and down on a blue mat.</t>
  </si>
  <si>
    <t>They start raising their hands in the air.</t>
  </si>
  <si>
    <t>v_CtooIi6Mk7U</t>
  </si>
  <si>
    <t>A man is standing in a yard flying a kite.</t>
  </si>
  <si>
    <t>A woman is standing in front of him and flies the kite after.</t>
  </si>
  <si>
    <t>The kite is shown in the sky.</t>
  </si>
  <si>
    <t>Another woman starts flying the kite outside.</t>
  </si>
  <si>
    <t>v_UnpBbcIa3zA</t>
  </si>
  <si>
    <t>An athlete sets up her stance in order to throw a disc during a track and field event.</t>
  </si>
  <si>
    <t>The woman throws the disc far across the field.</t>
  </si>
  <si>
    <t>The athlete celebrates the throw and the crowd cheers.</t>
  </si>
  <si>
    <t>A replay is seen of the woman's throw.</t>
  </si>
  <si>
    <t>v_RmuhtC-TCck</t>
  </si>
  <si>
    <t>A man explains while stands on a fenced court.</t>
  </si>
  <si>
    <t>Then, the man dance hip hop, and then explain doing hip hop demonstrations.</t>
  </si>
  <si>
    <t>After, the man sit on the floor and raise his body with her hands, the spins the legs to do hip hop movements.</t>
  </si>
  <si>
    <t>v_hrcSCXaNhmY</t>
  </si>
  <si>
    <t>A man is in a field with Frisbees in his hand and throws it to his black and white husky dog.</t>
  </si>
  <si>
    <t>The two continue to do tricks and the dog jumps on the mans back.</t>
  </si>
  <si>
    <t>More Frisbee are thrown and the dog catches the Frisbee and the man hugs the dog.</t>
  </si>
  <si>
    <t>v_yPEf9ajKwI8</t>
  </si>
  <si>
    <t>people are moving the furniture out of the living room, even the carpet and everything.</t>
  </si>
  <si>
    <t>They come in and sweep the floor and then start putting down some tarp and wood.</t>
  </si>
  <si>
    <t>They are remodeling the floor from carpet to wood floors.</t>
  </si>
  <si>
    <t>Once the floor is done they bring back all the furniture.</t>
  </si>
  <si>
    <t>v_KcSo4p-hhBs</t>
  </si>
  <si>
    <t>A woman is seen speaking to the camera and leads into her cutting a person's hair.</t>
  </si>
  <si>
    <t>She continues cutting and styling the hair while the man looks off into the distance.</t>
  </si>
  <si>
    <t>v_nR7tqWpNpe8</t>
  </si>
  <si>
    <t>There's a group of rafters wearing yellow vests going on an adventure.</t>
  </si>
  <si>
    <t>They are rowing the raft through the river as the turbulent waves gush towards their raft.</t>
  </si>
  <si>
    <t>They continue rafting through the river as they stay afloat against the fierce waves.</t>
  </si>
  <si>
    <t>The rafters stay afloat despite the turbulent and agitated waves of the river.</t>
  </si>
  <si>
    <t>Some of the rafters are on top of a hill and one of the rafter is diving into the water.</t>
  </si>
  <si>
    <t>The rafters continue their journey through the turbulent waters of the river.</t>
  </si>
  <si>
    <t>There's a person bungee jumping from an elevated crane into the river.</t>
  </si>
  <si>
    <t>v_lfGmSfTjnA8</t>
  </si>
  <si>
    <t>A woman is standing in a messy kitchen in front of the sink preparing to cut something.</t>
  </si>
  <si>
    <t>She grabs a potato and a peeler and begins taking the edges off.</t>
  </si>
  <si>
    <t>As she continues cutting,two young girls walk in the kitchen and begin watching her and grabbing dishes.</t>
  </si>
  <si>
    <t>v_zfqach0dDYo</t>
  </si>
  <si>
    <t>wrestler is in a ring doing a head lock and a man jumps outside the ring and push the men.</t>
  </si>
  <si>
    <t>referee is in the ring and counts the seconds of the wreslers on the floor.</t>
  </si>
  <si>
    <t>v__B2kFN9MfwU</t>
  </si>
  <si>
    <t>A woman is shown hosting a news segment when the camera pans to sunscreen news.</t>
  </si>
  <si>
    <t>Several people are shown on a beach and interviewed by a reporter on sunscreen.</t>
  </si>
  <si>
    <t>Bottles are shown containing sunscreen and people putting it on.</t>
  </si>
  <si>
    <t>The reporter talks to people and pans back to shirts used for sunscreen and people traveling around the world.</t>
  </si>
  <si>
    <t>v_18QVPZgjy8w</t>
  </si>
  <si>
    <t>A man holds a badminton racket in a gym and talks.</t>
  </si>
  <si>
    <t>The man leans to the left and holds the racket out.</t>
  </si>
  <si>
    <t>The man turns to the right and shows his back to the camera.</t>
  </si>
  <si>
    <t>the man talks to the camera and the man jumps back and forth across the screen.</t>
  </si>
  <si>
    <t>The man talks to the camera and the man leans left one more time.</t>
  </si>
  <si>
    <t>We see the closing title screen.</t>
  </si>
  <si>
    <t>v_xYuqZ_RrCC0</t>
  </si>
  <si>
    <t>A man combs his beard in front of a mirror in his bathroom.</t>
  </si>
  <si>
    <t>The man reaches down to pick up sizzors then trims his mustache.</t>
  </si>
  <si>
    <t>The man picks up lotion which he applies to his neck.</t>
  </si>
  <si>
    <t>The man picks up a package of razors and assembles them into his steel razor gadget.</t>
  </si>
  <si>
    <t>The man uses his razor to trim his face and beard.</t>
  </si>
  <si>
    <t>The man picks up a package and applies a product to his face.</t>
  </si>
  <si>
    <t>The man uses a towel to wipe down his face.</t>
  </si>
  <si>
    <t>the man picks up a bottle of oil from the counter and applies it to his beard.</t>
  </si>
  <si>
    <t>v_xi1oCOBPAzQ</t>
  </si>
  <si>
    <t>A close up of a fishing hole is shown with a person using objects to fish and another stands off in the distance.</t>
  </si>
  <si>
    <t>The man uses the objects to capture a fish and zooms in on a hole.</t>
  </si>
  <si>
    <t>They finally pack up a tent and carry it with them as they drive along.</t>
  </si>
  <si>
    <t>v_icjyAZ3KVBw</t>
  </si>
  <si>
    <t>A man in a red shirt is standing next to an exercise machine.</t>
  </si>
  <si>
    <t>He gets on the machine and starts working out.</t>
  </si>
  <si>
    <t>v_qSXMTcGBqtY</t>
  </si>
  <si>
    <t>A woman straights the hair of a young lady using a brush and a hair dryer.</t>
  </si>
  <si>
    <t>The woman holds part of the the hair up, then she curves the hair with and hair iron.</t>
  </si>
  <si>
    <t>v_J3jICOa0WCk</t>
  </si>
  <si>
    <t>A large group of people are seen standing around a parking lot with one holding a ball.</t>
  </si>
  <si>
    <t>The group then plays a game of kickball while moving around the area and throwing balls at one another.</t>
  </si>
  <si>
    <t>The people continue walking around while looking to one another and throwing the ball.</t>
  </si>
  <si>
    <t>v_eg3oZ4XCEKk</t>
  </si>
  <si>
    <t>A large group of people are seen running around a disney resort while waving to the camera and several shots of the kingdom being shown.</t>
  </si>
  <si>
    <t>Many characters are shown waving to the runners as well as more shots of people running past characters and going through the finish line and celebrating.</t>
  </si>
  <si>
    <t>v_Q-HdDcyC9d8</t>
  </si>
  <si>
    <t>The person with black apron spray a white foam on the shoes.</t>
  </si>
  <si>
    <t>The person brush the shoes with white foam on it.</t>
  </si>
  <si>
    <t>The person brushed the shoes after the foam is gone and began spraying a chemical in it and polished the metal part of the shoes.</t>
  </si>
  <si>
    <t>v_AnbC-26sAI4</t>
  </si>
  <si>
    <t>Several various shots are shown of a large boat traveling along a tough storm.</t>
  </si>
  <si>
    <t>A man is seen steering the boat through the storm and talking to a camera with the video ending of more shots of the boat.</t>
  </si>
  <si>
    <t>v_OWEwmnZvvJE</t>
  </si>
  <si>
    <t>A young man is seen standing around a pool followed by several clips of the boy jumping in the pool and swimming around.</t>
  </si>
  <si>
    <t>The boy continues to swim all around the pool with a man swimming behind him and the boy smiling to the camera.</t>
  </si>
  <si>
    <t>v_qakxXmFvFy0</t>
  </si>
  <si>
    <t>Three kids are making a sand castle on the beach.</t>
  </si>
  <si>
    <t>A man is laying next to them on a towel.</t>
  </si>
  <si>
    <t>v_xDRvD_-fvd8</t>
  </si>
  <si>
    <t>After a Tissot ad appears, a row of fencers are shown.</t>
  </si>
  <si>
    <t>They high five, and are displayed in several clips fighting, then back to the row of standing on the stage.</t>
  </si>
  <si>
    <t>One is injured, and is carried away.</t>
  </si>
  <si>
    <t>v_Ix2vIutdeNQ</t>
  </si>
  <si>
    <t>A smiling man in sunglasses opens mouthwash and gargles.</t>
  </si>
  <si>
    <t>The man spits in a cup.</t>
  </si>
  <si>
    <t>A lady removes a plaque from the wall.</t>
  </si>
  <si>
    <t>We see a closing screen.</t>
  </si>
  <si>
    <t>v_UgsqMLsPG0k</t>
  </si>
  <si>
    <t>The man then puts plaster on a base and applies it to the ceiling while on stilts.</t>
  </si>
  <si>
    <t>The man walks back and forth smoothing the applied plaster.</t>
  </si>
  <si>
    <t>The man walks to and turns off the camera.</t>
  </si>
  <si>
    <t>v_eLQ1c2tMJls</t>
  </si>
  <si>
    <t>A man picks up a brown boot and brushes it.</t>
  </si>
  <si>
    <t>A man opens an aerosol can and sprays the boot.</t>
  </si>
  <si>
    <t>A man rubs the products of a black tube on the boot's sole edge.</t>
  </si>
  <si>
    <t>v_4a0Q-IAqO8U</t>
  </si>
  <si>
    <t>A man in a black shirt is standing outside talking.</t>
  </si>
  <si>
    <t>He then is inside a swimming pool.</t>
  </si>
  <si>
    <t>He is back outside talking to the camera.</t>
  </si>
  <si>
    <t>v_PSUGaj7_5LI</t>
  </si>
  <si>
    <t>At the bowling alley, there are a lot of people.</t>
  </si>
  <si>
    <t>The little boy rolls for his turn and he strikes.</t>
  </si>
  <si>
    <t>He waits for his ball to come back and gets prepared to take his next turn, it's another strike.</t>
  </si>
  <si>
    <t>He takes another turn and makes another strike, everyone is congratulating and hugging him.</t>
  </si>
  <si>
    <t>v_n7ED3zaQqws</t>
  </si>
  <si>
    <t>A person is seen moving along a pool while the camera watches from behind.</t>
  </si>
  <si>
    <t>A man is then seen speaking to the camera and moving his arms around.</t>
  </si>
  <si>
    <t>More clips are shown of the person swimming along the water.</t>
  </si>
  <si>
    <t>v_juKQ_gU42EM</t>
  </si>
  <si>
    <t>A anchorman in a suit sits with a laptop on his clear desk.</t>
  </si>
  <si>
    <t>A man is tackled by a bull.</t>
  </si>
  <si>
    <t>The man gets up and his mouth is bloody.</t>
  </si>
  <si>
    <t>People help the man out of the rodeo dirt area.</t>
  </si>
  <si>
    <t>v_6iuD3pSgBcw</t>
  </si>
  <si>
    <t>A young man is standing on stage and eventually several other boys join in wearing kilts.</t>
  </si>
  <si>
    <t>They stand in front of one drum and perform a routine using only drums.</t>
  </si>
  <si>
    <t>The boys spin and flip their sticks constantly and continue performing their drumming routine.</t>
  </si>
  <si>
    <t>One stands up and begins singing a song while the others join in.</t>
  </si>
  <si>
    <t>They boys go back to playing the drums and finally finish by playing each other's drums and faster than other.</t>
  </si>
  <si>
    <t>v_kI0AyrGe-NU</t>
  </si>
  <si>
    <t>Two cats are seen laying on a bed facing one another.</t>
  </si>
  <si>
    <t>One cat then begins to lick the other.</t>
  </si>
  <si>
    <t>The first cat then stops and the other licks afterwards.</t>
  </si>
  <si>
    <t>v_NbIxjYWSURI</t>
  </si>
  <si>
    <t>A montage of athletes completing incredible stunts and races are shown as well as hundreds of people watching in the audience.</t>
  </si>
  <si>
    <t>The shots lead into several more athletes jumping over a pole while pausing the in the middle, finishing with the shot being shown again in slow motion.</t>
  </si>
  <si>
    <t>The final gymnast waves to the camera and walks away.</t>
  </si>
  <si>
    <t>v_DWVI_N4Aeo8</t>
  </si>
  <si>
    <t>A diving is seen standing ready with his arms out to the side.</t>
  </si>
  <si>
    <t>The man then performs an impressive dive and is followed by several clips of other people diving.</t>
  </si>
  <si>
    <t>v_Or7mIy83LsQ</t>
  </si>
  <si>
    <t>A teen stand on a track, then he runs and jumps long on a sand box, after the teen stands and walk.</t>
  </si>
  <si>
    <t>A person pass behind the teen.</t>
  </si>
  <si>
    <t>An athlete performs long jump in the sand box.</t>
  </si>
  <si>
    <t>Another athlete runs and jumps long over the sand box.</t>
  </si>
  <si>
    <t>v_JNuVGc8mn54</t>
  </si>
  <si>
    <t>There men have chairs and are sitting int he subway way making some music.</t>
  </si>
  <si>
    <t>One of them is playing guitar and two of them are playing the violin.</t>
  </si>
  <si>
    <t>People walk by them and a kid pushing a stroller and some other children come and stop to watch them for a little by.</t>
  </si>
  <si>
    <t>There is a crowd that has actually stopped to watch them play, clapping and one of them leaving money in their case.</t>
  </si>
  <si>
    <t>v_-sXrwv7C5CI</t>
  </si>
  <si>
    <t>A man jumps onto two bars.</t>
  </si>
  <si>
    <t>He does a gymnastics routine on the bars.</t>
  </si>
  <si>
    <t>A man in a white jacket watches him perform.</t>
  </si>
  <si>
    <t>He does a flip and lands on the mat.</t>
  </si>
  <si>
    <t>The crowd applauds him after he lands.</t>
  </si>
  <si>
    <t>v_5yfDyVVkPuU</t>
  </si>
  <si>
    <t>Two men are seen speaking to the camera followed by several clips of people hitting a ball.</t>
  </si>
  <si>
    <t>More shots are shown of people holding up sticks and hitting a ball with another coach near by helping and speaking to the camera.</t>
  </si>
  <si>
    <t>v_5gBRDguUe8U</t>
  </si>
  <si>
    <t>A person is seen sitting on a stool and piecing together several parts of a bike.</t>
  </si>
  <si>
    <t>The person continues piecing the bike together and pans around the finished product in the end.</t>
  </si>
  <si>
    <t>v_F6FyJl5OQ0A</t>
  </si>
  <si>
    <t>A green boat with black and white accents on it is gliding on the water.</t>
  </si>
  <si>
    <t>A pair of blue and black shoes are on a deck while a foot is being placed the right side.</t>
  </si>
  <si>
    <t>A man is now standing on a waterboard that the blue shoes are attached to and he's holding a blue rope attached to a triangular handle.</t>
  </si>
  <si>
    <t>White words on a black screen show up and read Zucky Wakeboarding 2015 summer and then fades away.</t>
  </si>
  <si>
    <t>The man is shown again and now he's in motion wake boarding as he holds onto the handle connected to the rope and he is doing various tricks going from side to side, occasionally jumping, spinning and sometimes doing all at once.</t>
  </si>
  <si>
    <t>The video ends with white words and numbers on a black screen that read -END- editor: 05.</t>
  </si>
  <si>
    <t>v_lpeyMIH1YqA</t>
  </si>
  <si>
    <t>A man is sitting on a revolving chair with his one leg folded over the other.</t>
  </si>
  <si>
    <t>Another man takes a cloth and begins cleaning his black leather shoes with a cloth to make it shiny.</t>
  </si>
  <si>
    <t>He cleans the shoe with a back and forth motion.</t>
  </si>
  <si>
    <t>v_qfb0Qe7s9oo</t>
  </si>
  <si>
    <t>A woman with blonde hair is explaining how to make rosemary vodka lemonade.</t>
  </si>
  <si>
    <t>Two jars of liquid appear.</t>
  </si>
  <si>
    <t>The woman takes a sip of the liquid.</t>
  </si>
  <si>
    <t>The woman prepares the liquid with herbs and sugar in a bowl.</t>
  </si>
  <si>
    <t>The woman pours the liquid in a glass.</t>
  </si>
  <si>
    <t>The woman pours the liquid into jars with ice.</t>
  </si>
  <si>
    <t>The woman mixes the concoction.</t>
  </si>
  <si>
    <t>The woman drinks the liquid in a jar.</t>
  </si>
  <si>
    <t>The video ends with a view of the jars with liquid.</t>
  </si>
  <si>
    <t>v_yTJCrP0HqEE</t>
  </si>
  <si>
    <t>A woman is shown speaking to the camera and showing various shots of children sitting in a chair and performing on tv.</t>
  </si>
  <si>
    <t>The woman speaks more to the camera and puts a contact into the girls eye.</t>
  </si>
  <si>
    <t>The girl smiles into a mirror and shows how she takes out the contacts and a reminder on your phone.</t>
  </si>
  <si>
    <t>One last woman speaks to the camera and the girl cheers and smiles again.</t>
  </si>
  <si>
    <t>v_0gvD2pktxxw</t>
  </si>
  <si>
    <t>a boy is sitting in front of a timer on a computer monitor.</t>
  </si>
  <si>
    <t>He has several rubik's cubes in a row.</t>
  </si>
  <si>
    <t>He is timing himself as he attempts to solve the cube.</t>
  </si>
  <si>
    <t>He moves quickly, solving them in short time.</t>
  </si>
  <si>
    <t>He clenches his fists with joy.</t>
  </si>
  <si>
    <t>v_jWuq6clN5q4</t>
  </si>
  <si>
    <t>The people are shown playing the drums using wooden drumsticks.</t>
  </si>
  <si>
    <t>There are also people behind them playing golden cymbals.</t>
  </si>
  <si>
    <t>After a while they all stop playing and stand silently.</t>
  </si>
  <si>
    <t>v_AEer099-yUM</t>
  </si>
  <si>
    <t>A woman stands in a red dress.</t>
  </si>
  <si>
    <t>She is throwing darts at a board.</t>
  </si>
  <si>
    <t>She throws several darts at the board.</t>
  </si>
  <si>
    <t>She throws darts in slow motion.</t>
  </si>
  <si>
    <t>v_FoPNGc6Lg8k</t>
  </si>
  <si>
    <t>A woman is completing a routine in the olympics on the balance beam.</t>
  </si>
  <si>
    <t>She jumps up and down gracefully and then falls for a bit of a point deduction.</t>
  </si>
  <si>
    <t>She finishes her routine and gets a hug from her coach.</t>
  </si>
  <si>
    <t>v_ffDlO-IrsxI</t>
  </si>
  <si>
    <t>An assortment of teams male and female are lined up outside of a building then they are let in.</t>
  </si>
  <si>
    <t>In the building,there are multiple pool tables and a man begins instructing them on what to do.</t>
  </si>
  <si>
    <t>Different people begin hitting the balls and the instructor goes over to help them.</t>
  </si>
  <si>
    <t>v_Alv7N6Ynm1Y</t>
  </si>
  <si>
    <t>A group of people have gathered on a stage.</t>
  </si>
  <si>
    <t>The audience claps for the performers.</t>
  </si>
  <si>
    <t>They shake hands and hug as credits roll.</t>
  </si>
  <si>
    <t>v_5IwVWA2HY5M</t>
  </si>
  <si>
    <t>A woman is in a kitchen, talking.</t>
  </si>
  <si>
    <t>She is showing off an array of sandwich toppings.</t>
  </si>
  <si>
    <t>She places meat and cheese on bread, then closes the sandwich.</t>
  </si>
  <si>
    <t>v_x0HMqVvqHJE</t>
  </si>
  <si>
    <t>Many females, some in blue shirts and some in white shirts, run around on a field playing a game.</t>
  </si>
  <si>
    <t>A few people watch from the bleachers in the background.</t>
  </si>
  <si>
    <t>Two referees runs about and down the field with the players.</t>
  </si>
  <si>
    <t>Other players watch from the sideline near a fence.</t>
  </si>
  <si>
    <t>A group of people keeping score sit at a table on the sideline.</t>
  </si>
  <si>
    <t>Some of the people watching from the bleachers are standing now.</t>
  </si>
  <si>
    <t>A man in a blue sweatshirt walks on the sideline.</t>
  </si>
  <si>
    <t>v_H9ekrZnisUI</t>
  </si>
  <si>
    <t>Outside in the yard there is a lady dressed like a cupcake and she is playing a game of cricket.</t>
  </si>
  <si>
    <t>She hits the yellow ball but it does not move very far at all.</t>
  </si>
  <si>
    <t>She has a little bit of trouble trying to get a good position to hit the ball again.</t>
  </si>
  <si>
    <t>When she finally hits it again it does not go through the course like she was expecting so she is disappointed.</t>
  </si>
  <si>
    <t>v_VBY8feOQgy4</t>
  </si>
  <si>
    <t>There is an indoor gym where two contestants are fencing with each other.</t>
  </si>
  <si>
    <t>There is a person dressed in black who is their referee.</t>
  </si>
  <si>
    <t>Another pair of contestants are also fencing at the same event.</t>
  </si>
  <si>
    <t>Two men dressed in fencing gear continue to fence in the gym.</t>
  </si>
  <si>
    <t>v_bEniqIC5Ric</t>
  </si>
  <si>
    <t>A woman rides a camel holding a rode with her right hand while a man pulls the camel.</t>
  </si>
  <si>
    <t>Then, the camel stops and the woman gets down from the camel.</t>
  </si>
  <si>
    <t>v_OyeXXxV3MSg</t>
  </si>
  <si>
    <t>Two men laugh and bow there heads watching work get done.</t>
  </si>
  <si>
    <t>The person paints their friends nails.</t>
  </si>
  <si>
    <t>The man removes his friends hand and continues working.</t>
  </si>
  <si>
    <t>v_MM5mreexkI8</t>
  </si>
  <si>
    <t>A young girl runs through the living room dropping flowers and dirt around.</t>
  </si>
  <si>
    <t>A woman grabs a vacuum and vacuums the floor.</t>
  </si>
  <si>
    <t>She inserts a tool into the vacuum and vacuums along the baseboards.</t>
  </si>
  <si>
    <t>She uses a special tool of the vacuum to vacuum around the sofa and the stair carpet.</t>
  </si>
  <si>
    <t>She uses another tool of the vacuum to vacuum around windows.</t>
  </si>
  <si>
    <t>She pulls a tray out of the vacuum.</t>
  </si>
  <si>
    <t>v_ytXLI-2wgaQ</t>
  </si>
  <si>
    <t>A group of children play hockey on a field with coaches coaching as they play.</t>
  </si>
  <si>
    <t>A coach demonstrates how to block a goal inside of a interior gym in front of a group of young people.</t>
  </si>
  <si>
    <t>The children then emulate the training as the camera cuts to the coach talking to the camera.</t>
  </si>
  <si>
    <t>The children continue to play hockey until the screen fades.</t>
  </si>
  <si>
    <t>v_TN8tBV7CY6U</t>
  </si>
  <si>
    <t>A close up is shown of a mini pool table with cues and balls.</t>
  </si>
  <si>
    <t>A man uses the cue to shoot the balls into the pockets.</t>
  </si>
  <si>
    <t>He sits a doll on the table to show size.</t>
  </si>
  <si>
    <t>He also shoots a wiffle ball on the table, and a marble.</t>
  </si>
  <si>
    <t>v_DD3MU7uM9mM</t>
  </si>
  <si>
    <t>Two men are fighting inside a wrestling ring.</t>
  </si>
  <si>
    <t>They flip and tumble over each other.</t>
  </si>
  <si>
    <t>One of the wrestlers pins the other, and the count goes to three.</t>
  </si>
  <si>
    <t>v_25dJIdZj6Xs</t>
  </si>
  <si>
    <t>Two people wearing scuba gear are sitting at the edge of a boat with their backs to the water.</t>
  </si>
  <si>
    <t>The person on the right leans all the way back and splashes in the water.</t>
  </si>
  <si>
    <t>The next person also leans back but can't fully fall into the water because they're stuck to something on the boat, so their legs go flailing.</t>
  </si>
  <si>
    <t>v_sTtFSpelQk4</t>
  </si>
  <si>
    <t>A man in a red life vest demonstrates how to paddle in a canoe through gestures and through talking to the camera from a canoe in a body of water.</t>
  </si>
  <si>
    <t>A man in a red canoe is paddling with one oar in a small body of water while talking to the camera.</t>
  </si>
  <si>
    <t>The man drifts to the side slightly while talking using the paddle as an anchor in the water and seemingly demonstrating how to paddle using the paddle and hand gestures to explain how to move the paddle and canoe in the water.</t>
  </si>
  <si>
    <t>The man then pushes away from the camera with the paddle and drifts out into the water before paddling back to the camera again.</t>
  </si>
  <si>
    <t>v_-_Ud3LXSjdE</t>
  </si>
  <si>
    <t>A young kid is smoking a cigarette.</t>
  </si>
  <si>
    <t>The kid flip the cigarette and tried to put the other end of the cigarette to his mouth.</t>
  </si>
  <si>
    <t>The young kid continue to smoke, he make faces and then smoked.</t>
  </si>
  <si>
    <t>v_5LHIoaSvKCU</t>
  </si>
  <si>
    <t>A young child is seen speaking to the camera while holding up a glass and walking to a cabinet.</t>
  </si>
  <si>
    <t>She fills up the glass and peels lemons into the water.</t>
  </si>
  <si>
    <t>She then uses a spoon to drink the water as well as a straw and nodding her head waving.</t>
  </si>
  <si>
    <t>v_II0BlR0BriI</t>
  </si>
  <si>
    <t>A man is talking inside a gym.</t>
  </si>
  <si>
    <t>A group of female gymnasts form a cluster, then lift a girl over their heads.</t>
  </si>
  <si>
    <t>They hold her up by one leg before twirling her back down and catch her in their arms.</t>
  </si>
  <si>
    <t>v_PjSOjB7qhcA</t>
  </si>
  <si>
    <t>Girls are playing dodge ball outside with only one ball.</t>
  </si>
  <si>
    <t>A girl gets hit with the ball.</t>
  </si>
  <si>
    <t>The girl gets out of the game and goes and holds onto the clothing line.</t>
  </si>
  <si>
    <t>v_tXNycNfALsE</t>
  </si>
  <si>
    <t>A gymnast is seen looking off in the distance and rubbing her hands together.</t>
  </si>
  <si>
    <t>She puts her hands up and begins performing a gymnastics routine on a beam.</t>
  </si>
  <si>
    <t>She moves herself all along the beam and ends by jumping down and others applauding.</t>
  </si>
  <si>
    <t>v_4X8raZBOzvM</t>
  </si>
  <si>
    <t>Two old bagpipe players play towards each other.</t>
  </si>
  <si>
    <t>One bagpipe player turns.</t>
  </si>
  <si>
    <t>The bagpipe players finish playing.</t>
  </si>
  <si>
    <t>The crowd claps for the players.</t>
  </si>
  <si>
    <t>v_U7iNqQs1kRk</t>
  </si>
  <si>
    <t>A man is seated in a chair with a hand drum as another man plays bongos behind him.</t>
  </si>
  <si>
    <t>They play for an extended period together.</t>
  </si>
  <si>
    <t>v_rMes9poepAI</t>
  </si>
  <si>
    <t>We see the title card for the product.</t>
  </si>
  <si>
    <t>We see a lady cleaning her floor.</t>
  </si>
  <si>
    <t>We see the vacuum attachment product and see the product in action.</t>
  </si>
  <si>
    <t>The lady shows each side, and we see her attach the product.</t>
  </si>
  <si>
    <t>We see the lady mopping.</t>
  </si>
  <si>
    <t>Then we see the ease of using the attachment.</t>
  </si>
  <si>
    <t>We see the lady relaxing after cleaning.</t>
  </si>
  <si>
    <t>We see the attachment product again.</t>
  </si>
  <si>
    <t>We see the lady giving a thumbs up.</t>
  </si>
  <si>
    <t>The title screen returns to end the video.</t>
  </si>
  <si>
    <t>v_09Kr5TQ9DHQ</t>
  </si>
  <si>
    <t>A person is shown drawing several lines on a piece of paper that leads into several fast motion clips of snowy areas.</t>
  </si>
  <si>
    <t>More close ups are shown followed by a person riding down the mountain.</t>
  </si>
  <si>
    <t>More people riding down are shown and leads into several shots of people performing ski and snowboarding tricks down a mountain.</t>
  </si>
  <si>
    <t>v_UCFV1JYhq18</t>
  </si>
  <si>
    <t>An advertisement is on the screen first.</t>
  </si>
  <si>
    <t>A girl is jumping rope as people are watching.</t>
  </si>
  <si>
    <t>She is doing tricks and flips as she jumps.</t>
  </si>
  <si>
    <t>The video ends with credits of the ones who put the video together.</t>
  </si>
  <si>
    <t>v_J9Sl_H-1BOA</t>
  </si>
  <si>
    <t>A young girl is seen sitting front of a piano and playing the instrument with her finger tips.</t>
  </si>
  <si>
    <t>She continues playing while the camera captures her from afar.</t>
  </si>
  <si>
    <t>v_C0OxaqCr_wk</t>
  </si>
  <si>
    <t>A person is seen speaking while smoking a cigarette and blowing smoke out of their mouths.</t>
  </si>
  <si>
    <t>The person continues speaking while smoking the cigarette and gradually blowing smoke while she speaks.</t>
  </si>
  <si>
    <t>v_dbR5AzEZOPE</t>
  </si>
  <si>
    <t>three man are standing in a gym talking to each other.</t>
  </si>
  <si>
    <t>men opens the wooden door and enters in the gym and are watching the first men, and they panicked.</t>
  </si>
  <si>
    <t>men start running in the court trying to grab a pink ball and start playing dodgeball.</t>
  </si>
  <si>
    <t>man is talking to the camera in font of a bricked wall.</t>
  </si>
  <si>
    <t>v_bGDwE1v16HU</t>
  </si>
  <si>
    <t>A woman is seen speaking to the camera and leads into clips of her leading an exercise class as well as shots of the studio.</t>
  </si>
  <si>
    <t>The woman continues riding along on the exercise bike while teaching the class and continuing to speak to the camera.</t>
  </si>
  <si>
    <t>v_2-xPjKzp-Kk</t>
  </si>
  <si>
    <t>A person moves poker cards and tokens on the table in a casino on front people.</t>
  </si>
  <si>
    <t>A client tap with the finger inside a square.</t>
  </si>
  <si>
    <t>Then, the person stacks all the cards and puts the tokens inside the squares.</t>
  </si>
  <si>
    <t>Then people start to gamble, while the woman distribute the cards and pick up tokens.</t>
  </si>
  <si>
    <t>After, the client shows with the hand, then the person make gestures with the hand showing the table.</t>
  </si>
  <si>
    <t>Next the woman pick up the cards.</t>
  </si>
  <si>
    <t>v_cAmGHiqmnaw</t>
  </si>
  <si>
    <t>A rodeo is shown as a man charges out of the gate to throw the rope around a baby calf.</t>
  </si>
  <si>
    <t>he is instantly successful and hops back on his horse.</t>
  </si>
  <si>
    <t>v_LyJxXonLzT4</t>
  </si>
  <si>
    <t>A man is in a bar demonstrating how to make drinks.</t>
  </si>
  <si>
    <t>He fills a glass with ice.</t>
  </si>
  <si>
    <t>Then he begins measuring various liquors into a cup, and then pours it into the glass.</t>
  </si>
  <si>
    <t>He shakes the drink together and then pours the mixture into shot glasses.</t>
  </si>
  <si>
    <t>Finally he puts another liquor into the glasses.</t>
  </si>
  <si>
    <t>The video ends with the man holding both glasses up.</t>
  </si>
  <si>
    <t>v_73n-KuFkH94</t>
  </si>
  <si>
    <t>Several shots of athletic runners are shown followed by slow motion shots of an athlete running a long jump and celebrating.</t>
  </si>
  <si>
    <t>The camera pans into scenes of men stretching and watching followed by one running down the long jump and cheering to the crowd.</t>
  </si>
  <si>
    <t>His jump is shown several more times followed by other's jumping performing their jump in front of the large crowd.</t>
  </si>
  <si>
    <t>v_JNBWPj42n-g</t>
  </si>
  <si>
    <t>A man's hands are shown at a table.</t>
  </si>
  <si>
    <t>He places a cardboard box over wrapping paper.</t>
  </si>
  <si>
    <t>He begins to wrap the box, demonstrating how to properly wrap a present.</t>
  </si>
  <si>
    <t>He tapes the wrapping paper around the box.</t>
  </si>
  <si>
    <t>The man ties a bow around the box as the camera slows down the motion.</t>
  </si>
  <si>
    <t>He cuts the excess bow away, and we see a sticker with a woman's face.</t>
  </si>
  <si>
    <t>v_8BAn48zfc68</t>
  </si>
  <si>
    <t>A woman wearing sweat gear and seen trying obtain a light with a lighter.</t>
  </si>
  <si>
    <t>She fails to do so and begins walking towards the camera.</t>
  </si>
  <si>
    <t>v_BSl22Hx2WGM</t>
  </si>
  <si>
    <t>Several shots are shown of close ups of cheerleaders leading into clips of them performing tricks and flips with one another.</t>
  </si>
  <si>
    <t>The video continues with many shots of the cheerleaders performing together in slow motion and doing tricks with one another.</t>
  </si>
  <si>
    <t>v_8HdfGmQaabM</t>
  </si>
  <si>
    <t>A blonde woman in a green sweater is talking.</t>
  </si>
  <si>
    <t>She shows off a plate filled with pasta salad and vegetables.</t>
  </si>
  <si>
    <t>She shows how she made the pesto sauce in a blender before mixing mini tomatoes in with the pasta.</t>
  </si>
  <si>
    <t>She returns to the camera, continuing to talk before we see a final scene of the pasta.</t>
  </si>
  <si>
    <t>v_bi6C3kyP4mU</t>
  </si>
  <si>
    <t>Several men are pictured outside in their kayaking uniforms ready to start rafting.</t>
  </si>
  <si>
    <t>Several people begin rafting and they are shown in bars and on buses.</t>
  </si>
  <si>
    <t>As they continue rafting,a clear bucket with a black circle with several lines is shown on each raft and the people walk by putting out cigarettes on it.</t>
  </si>
  <si>
    <t>More people began kayaking and end up flipping the rafts over until a man comes and starts to talk.</t>
  </si>
  <si>
    <t>v_ZYrQ-TSPQfU</t>
  </si>
  <si>
    <t>People whom are wearing helmets, are paddling a inflated boat down a rocky body of water.</t>
  </si>
  <si>
    <t>Water splashes into the inflated boat.</t>
  </si>
  <si>
    <t>The people stop paddling, and the boat is still.</t>
  </si>
  <si>
    <t>v_v1Iv-ySc2LM</t>
  </si>
  <si>
    <t>A child uses a mop to wash the floor of a home.</t>
  </si>
  <si>
    <t>The child twist the mop to turn it over.</t>
  </si>
  <si>
    <t>v_6ECElQXTBIY</t>
  </si>
  <si>
    <t>A little girl walks into a gym as her name flashes on the screen.</t>
  </si>
  <si>
    <t>The little girl performs a routine with a baton.</t>
  </si>
  <si>
    <t>The girl does a flip, throws her baton and catches it while on the ground.</t>
  </si>
  <si>
    <t>The girl pauses and counts.</t>
  </si>
  <si>
    <t>The girl does a split and lays her baton on the ground.</t>
  </si>
  <si>
    <t>v_cd_-gvb82Bs</t>
  </si>
  <si>
    <t>A man is seen speaking to the camera holding a window washer and begins getting the windows wet.</t>
  </si>
  <si>
    <t>He then points to the window while wiping it down over and over again with various tools.</t>
  </si>
  <si>
    <t>v_TxiLjdHoXU4</t>
  </si>
  <si>
    <t>A gymnast stands ready at the end then flips up onto a beam.</t>
  </si>
  <si>
    <t>She performs a gymnastic routine while several people on the sides watch her.</t>
  </si>
  <si>
    <t>She continues flipping around the beam and doing various acrobatic tricks.</t>
  </si>
  <si>
    <t>She jumps down and gives her coach a hug while the camera shows her movements in slow motion and she speaks to a woman.</t>
  </si>
  <si>
    <t>v_98buk_vE_z4</t>
  </si>
  <si>
    <t>Two people are seen playing a set of bongo drums while singing and looking to the camera.</t>
  </si>
  <si>
    <t>The men continuously play and end by stopping and smiling at one another.</t>
  </si>
  <si>
    <t>v_XGwP_Y-x-dI</t>
  </si>
  <si>
    <t>In a sped up special effect, there are 3 people who are shoveling a driveway and removing snow from a car on the right side of their driveway while neighbors and other snow plows are also moving about behind them.</t>
  </si>
  <si>
    <t>A person drops their shovel in the driveway, then runs to the end of the driveway to play in the snow, then goes back and picks the shovel back up to shovel again.</t>
  </si>
  <si>
    <t>A black car pulls int o the newly shoveled driveway and the people continue to shovel snow onto the road outside of their driveway.</t>
  </si>
  <si>
    <t>v_13hdhdieZuc</t>
  </si>
  <si>
    <t>There's a woman with short brown hair doing makeup tutorial.</t>
  </si>
  <si>
    <t>She begins by wearing a headband to keep her hair out of her face.</t>
  </si>
  <si>
    <t>Then she starts applying some foundation all over her face and blends it in.</t>
  </si>
  <si>
    <t>Then she takes an eyeliner and applies it with a brush under her eyes and on her eyelids.</t>
  </si>
  <si>
    <t>She then takes some powder compact and pats it on her face and spreads it evenly.</t>
  </si>
  <si>
    <t>Then with a brush she applies some eyeliner on her eyelids, followed by an eyeliner pencil which she uses on her eyelids and under her eyes.</t>
  </si>
  <si>
    <t>She takes a pair of eyelash curlers and curls her lashes and then applies some mascara with a brush.</t>
  </si>
  <si>
    <t>She finishes off the makeup with a lipstick that she puts on her upper and lower lips.</t>
  </si>
  <si>
    <t>Then she removes her headband and straightens her hair to finish off her look.</t>
  </si>
  <si>
    <t>She shows the before makeup and after makeup pictures to show the difference.</t>
  </si>
  <si>
    <t>v_KOiRoi5_SnQ</t>
  </si>
  <si>
    <t>A man is standing on a pair of skis.</t>
  </si>
  <si>
    <t>He then skis quickly down a snowy embankment, accidentally hitting a skier in his path and sending her careening to the right.</t>
  </si>
  <si>
    <t>they stop and talk, checking to make sure she is ok.</t>
  </si>
  <si>
    <t>v_pPGniqIBs-U</t>
  </si>
  <si>
    <t>A man is seen holding a small child while looking and smiling to the camera.</t>
  </si>
  <si>
    <t>The two then climb on a camel and ride around while waving to the camera.</t>
  </si>
  <si>
    <t>The two ride back together with the woman leading them in front.</t>
  </si>
  <si>
    <t>v_fNPEa0Sd4hM</t>
  </si>
  <si>
    <t>Olympic triple jumps are shown in a stadium.</t>
  </si>
  <si>
    <t>The first person in yellow goes over 17 meters.</t>
  </si>
  <si>
    <t>The second person does about the same as does the third person.</t>
  </si>
  <si>
    <t>v_oD5lGBt7U7g</t>
  </si>
  <si>
    <t>Several shots are shown of the inside of a shop followed by a person unboxing a bike.</t>
  </si>
  <si>
    <t>The man then brings out tools and tightens them along the bike and is shown peddling the bike with his hands and showing off the finished bike.</t>
  </si>
  <si>
    <t>v_RoAtTRjWKEg</t>
  </si>
  <si>
    <t>A girl is on a low beam, preparing to flip.</t>
  </si>
  <si>
    <t>She flips forward, then turns backward with her arms outstretched.</t>
  </si>
  <si>
    <t>v_8b3ZBE0n3V8</t>
  </si>
  <si>
    <t>A boy walk in the room from the left doorway holding a red stuffed animal sits down at the table then put animal away.</t>
  </si>
  <si>
    <t>A girl walk in the room front the right doorway and sits down at the table.</t>
  </si>
  <si>
    <t>They begin arm wrestling and the girl wins.</t>
  </si>
  <si>
    <t>the girl smiles at the camera sighting her victory then they both get up to exit room from the same sides they entered in from.</t>
  </si>
  <si>
    <t>v_ql7I6qtyhBU</t>
  </si>
  <si>
    <t>The screen shows company sponsors for a winter club event.</t>
  </si>
  <si>
    <t>A blue convertible drives past the North shore Winter Club.</t>
  </si>
  <si>
    <t>A couple enters the club while a silver mini van is parked outside.</t>
  </si>
  <si>
    <t>Several people are entering the Curling room inside the club.</t>
  </si>
  <si>
    <t>The coach representing the Brasil team, wearing a green jersey is giving instructions to the players.</t>
  </si>
  <si>
    <t>The coach talks to the players while they prepare themselves.</t>
  </si>
  <si>
    <t>The players begin playing with their sticks as they push the rocks through the floor, Several other players are practicing curling on the floor as they glide through the slippery surface.</t>
  </si>
  <si>
    <t>Players continue to play and exchange high fives as they practice.</t>
  </si>
  <si>
    <t>About nine of the contestants receive medals of victory from the judge.</t>
  </si>
  <si>
    <t>They applaud themselves and each other high fives to express their victory.</t>
  </si>
  <si>
    <t>The video ends with details about all the sponsors responsible for the event.</t>
  </si>
  <si>
    <t>v_yduDG8EcM0A</t>
  </si>
  <si>
    <t>There's a little boy wearing a red Elmo shirt standing on a step stool in the kitchen with his grandmother.</t>
  </si>
  <si>
    <t>They are juicing a lemon on an electric juicer that is placed on the kitchen counter near the sink.</t>
  </si>
  <si>
    <t>the boy seems excited to help his grandmother juice the lemon.</t>
  </si>
  <si>
    <t>He puts his hand over her hand while she is juicing the lemon.</t>
  </si>
  <si>
    <t>v_FZtIVsmpYcI</t>
  </si>
  <si>
    <t>We see a lawnmower and a persons hand.</t>
  </si>
  <si>
    <t>A person starts the mower and it smokes.</t>
  </si>
  <si>
    <t>We see the man mowing the lawn with a smoking mower.</t>
  </si>
  <si>
    <t>We see the mower from the point of view of the mower.</t>
  </si>
  <si>
    <t>We see the boy start the lawn mower again.</t>
  </si>
  <si>
    <t>The boy mows the lawn.</t>
  </si>
  <si>
    <t>We then see the boy walking with the mower.</t>
  </si>
  <si>
    <t>v_2mmN96TdEdY</t>
  </si>
  <si>
    <t>An intro leads into several clips of people solving rubix cubes while a timer captures their speed on the side.</t>
  </si>
  <si>
    <t>More people continue to solve the puzzle as the camera captures them from many sides.</t>
  </si>
  <si>
    <t>v_0YQPGAsZPgY</t>
  </si>
  <si>
    <t>A four piece percussion and string band play on a stage with the main focus being a man on the bongos in the center of the stage and wearing sunshades indoors.</t>
  </si>
  <si>
    <t>A man plays bongos in an animated fashion while a woman next to him plays the keyboard and a man behind him plays guitar.</t>
  </si>
  <si>
    <t>A man next to him begins to hit a stick against a metallic percussion instrument.</t>
  </si>
  <si>
    <t>The man playing the bongos knocks one of them over at which point the man next to him sets the bongo upright again.</t>
  </si>
  <si>
    <t>v_Deo_GsHyw8Y</t>
  </si>
  <si>
    <t>Al's begins his skiing tips with an iron and a sponge.</t>
  </si>
  <si>
    <t>Demonstrating what and how you would use it on the ski's.</t>
  </si>
  <si>
    <t>He shows you on the ski's how to rub it on.</t>
  </si>
  <si>
    <t>Then he explains a little more about the process.</t>
  </si>
  <si>
    <t>v_eQc-8npRq18</t>
  </si>
  <si>
    <t>A person is seen standing before a large track holding a pole.</t>
  </si>
  <si>
    <t>The person begins to run down the track while still holding the pole.</t>
  </si>
  <si>
    <t>The man then jumps over a beam and onto a mat.</t>
  </si>
  <si>
    <t>v_G836MDBhEpg</t>
  </si>
  <si>
    <t>A woman behind a bar explaining how to make a drink.</t>
  </si>
  <si>
    <t>She pours several ingredients into a shaker and shakes it.</t>
  </si>
  <si>
    <t>She then pours the drink from the shaker into a shot glass and holds it up.</t>
  </si>
  <si>
    <t>v_xm01x3C3RJo</t>
  </si>
  <si>
    <t>A dog is put into a bath tub.</t>
  </si>
  <si>
    <t>A girl pours water onto the dog out of a cup.</t>
  </si>
  <si>
    <t>She rubs shampoo on the dogs fur.</t>
  </si>
  <si>
    <t>She dries the dog off with a towel.</t>
  </si>
  <si>
    <t>v__mupI51ie9A</t>
  </si>
  <si>
    <t>three kids are hitting a ball with a racket.</t>
  </si>
  <si>
    <t>They are ducking so it doesn't hit them in their heads.</t>
  </si>
  <si>
    <t>They are each taking turns hitting the ball.</t>
  </si>
  <si>
    <t>Moving around all over the court trying to catch it.</t>
  </si>
  <si>
    <t>v_dU4sCY0kHtk</t>
  </si>
  <si>
    <t>A woman wearing pajamas is talking and standing on a star decorated stage.</t>
  </si>
  <si>
    <t>She demonstrates several dance steps as she speaks.</t>
  </si>
  <si>
    <t>She steps back and forth, turns and shakes her hips like a belly dancer.</t>
  </si>
  <si>
    <t>v_c6ie4KwFnAs</t>
  </si>
  <si>
    <t>There is a team of boys dressed in blue uniforms playing soccer against another team of boys dressed in blue striped uniforms in an indoor gym.</t>
  </si>
  <si>
    <t>There are several spectators seated on the side watching the players play soccer.</t>
  </si>
  <si>
    <t>The goalie dressed in yellow tries to stop the opponent's ball.</t>
  </si>
  <si>
    <t>There is also another game of soccer between a team dressed in red and a team dressed inn blue.</t>
  </si>
  <si>
    <t>The first set of teams continue playing the game as the solid blue team scores a goal.</t>
  </si>
  <si>
    <t>v_yNyv7Ykn5oo</t>
  </si>
  <si>
    <t>A group of people start to dig a structure close to the shore.</t>
  </si>
  <si>
    <t>As the digging continues more people join to dig as a pattern ensues.</t>
  </si>
  <si>
    <t>The digging continues and people start to add rocks in a linear fashion around the rig and dig beside the rocks and eventually cover the rocks with sand.</t>
  </si>
  <si>
    <t>Finally in the tide moves up and starts to destroy the structure that was created.</t>
  </si>
  <si>
    <t>In the end people observe the failing structure and leave while a girl stands in the middle as the water moves up and destroys it completely.</t>
  </si>
  <si>
    <t>v_AzUK4Nwd-sY</t>
  </si>
  <si>
    <t>Two people are seen riding around horses and leads into more people riding horses and walking around.</t>
  </si>
  <si>
    <t>A man leads another with a horse around a field while a dog runs around behind him.</t>
  </si>
  <si>
    <t>The camera interviews a man speaking to others while holding the horses.</t>
  </si>
  <si>
    <t>v_fXgszraP2tc</t>
  </si>
  <si>
    <t>A man is seen speaking to the camera while holding onto a leash in different locations.</t>
  </si>
  <si>
    <t>The man is then seen walking around a dog and leads into him back inside still speaking to the camera.</t>
  </si>
  <si>
    <t>He continues to speak more while holding onto the rope and walking around with the dog.</t>
  </si>
  <si>
    <t>v_qBvQjv1XyfQ</t>
  </si>
  <si>
    <t>A man is shown talking to the camera and leads into an athletic girl swinging around on uneven bars.</t>
  </si>
  <si>
    <t>She hops down while the man talks again and switches back and fourth to him talking and her performing.</t>
  </si>
  <si>
    <t>She puts chalk on her hands and continues flipping around on the bars and the man finishes speaking.</t>
  </si>
  <si>
    <t>v_Tk3zk2pJ9KA</t>
  </si>
  <si>
    <t>A camera pans over several landscapes located in the desert as well as the night sky moving around.</t>
  </si>
  <si>
    <t>The sun rises and more shots of landscapes are shown as well as animals in the area.</t>
  </si>
  <si>
    <t>People are then seen riding around on a boat through a tough river and end with a plane flying over the area.</t>
  </si>
  <si>
    <t>v_6fI4gF_2VCk</t>
  </si>
  <si>
    <t>A man's face is seen close up speaking and leads into him smoking a cigarette.</t>
  </si>
  <si>
    <t>The man continues to take drags out of the cigarette while blowing smoke off into the distance.</t>
  </si>
  <si>
    <t>He moves his hand up and down to smoke and blow the smoke out.</t>
  </si>
  <si>
    <t>v_p9JNte3VMKQ</t>
  </si>
  <si>
    <t>A man is seen speaking to the camera while holding a knife in his hands and begins sharpening the knife along a board.</t>
  </si>
  <si>
    <t>The man continues sharpening the blade and then uses other boards to sharpen the knife.</t>
  </si>
  <si>
    <t>v_hwY9jvSjC9I</t>
  </si>
  <si>
    <t>The woman is shown putting her feet into her shoes while they are tied.</t>
  </si>
  <si>
    <t>But after a few minutes of her lifting her feet off of the ground, she takes them off without using her hands.</t>
  </si>
  <si>
    <t>Then she bends down to turn the camera off.</t>
  </si>
  <si>
    <t>v_sObM6mb3hgs</t>
  </si>
  <si>
    <t>Several young men exhibit rollerblading stunts using many different pedestrian environments to showcase the stunts including, sidewalks,stairwells, stair railings, walls and parking lots.</t>
  </si>
  <si>
    <t>A camera picks up several candid environment shots picking up lines of palm trees, and a vast cityscape filled with buildings and some foliage.</t>
  </si>
  <si>
    <t>A group of young men are showcased one by one ,with an onscreen name template, rollerblading stunts on stairs and stair railings, jumping in the air, sliding on rails and landing.</t>
  </si>
  <si>
    <t>The men showcase some mishaps in which they fall after the stunt, but then perform more stunts successfully.</t>
  </si>
  <si>
    <t>v_iWj81FBROQQ</t>
  </si>
  <si>
    <t>A gymnast is seen looking off into the distance and leads into her hold her arms up.</t>
  </si>
  <si>
    <t>She jumps onto a beam and begins performing various flips and tricks.</t>
  </si>
  <si>
    <t>The girl jumps all around the beam and ends by jumping down and raising her arms up and smiling to the camera.</t>
  </si>
  <si>
    <t>v_deuSw3RnNLU</t>
  </si>
  <si>
    <t>A woman makes a batch of master cleanse drink at the counter in the kitchen using lemons, water, syrup and red pepper.</t>
  </si>
  <si>
    <t>A woman enters a kitchen, talks to the camera and begins to cut and juice lemons.</t>
  </si>
  <si>
    <t>The woman then pours the lemon juice into a bottle of water.</t>
  </si>
  <si>
    <t>The woman then adds syrup and red pepper to the mixture with blue measuring spoons and a measuring glass, after which she leans on the counter and talks to the camera some more.</t>
  </si>
  <si>
    <t>v_77w2Am_ttbg</t>
  </si>
  <si>
    <t>A man is seen sitting on a piece of exercise equipment moving himself back and fourth.</t>
  </si>
  <si>
    <t>A dog walks around the man working and ends by the camera facing the ground.</t>
  </si>
  <si>
    <t>v_yEFS8M4pgMU</t>
  </si>
  <si>
    <t>There two teams of men playing the game of tug of war in a gym.</t>
  </si>
  <si>
    <t>There are several people seated in the gym watching them play the game.</t>
  </si>
  <si>
    <t>The referee is standing next to the contestants as they continue to pull the rope harder.</t>
  </si>
  <si>
    <t>The opposing team pulls harder and the team in the white ends up falling down and losing.</t>
  </si>
  <si>
    <t>v_IY1bVy1yZv4</t>
  </si>
  <si>
    <t>A man is sitting down on the ground fixing a child's bike.</t>
  </si>
  <si>
    <t>A kid in a yellow shirt is standing next to him watching.</t>
  </si>
  <si>
    <t>A boy in a blue shirt is pushing another bike behind him.</t>
  </si>
  <si>
    <t>v_fvUQQF5S4Dg</t>
  </si>
  <si>
    <t>A person serves an ice cream with a stick to a man, the cone falls to the floor.</t>
  </si>
  <si>
    <t>The man gives another cone, then the man takes of the cone and gives back to the man.</t>
  </si>
  <si>
    <t>After, the man gives the cone with a napkin, but he takes the cone again, after he gives the ice cream in his mouth.</t>
  </si>
  <si>
    <t>Finally, the man gives the cone to the man while a crowd watch.</t>
  </si>
  <si>
    <t>v_9mpPAwSmUmk</t>
  </si>
  <si>
    <t>A guy works on a roof.</t>
  </si>
  <si>
    <t>A guy removes nails and pieces of the roof.</t>
  </si>
  <si>
    <t>A guy removes dirt and twigs from the corner of the roof.</t>
  </si>
  <si>
    <t>A guy measures and cuts pieces for the roof.</t>
  </si>
  <si>
    <t>v_-AUKiMfqga4</t>
  </si>
  <si>
    <t>A skillet is on a stove with ingredients on the counter alongside it.</t>
  </si>
  <si>
    <t>Someone puts onions in the skillet and beats eggs and other ingredients into a bowl before adding them to the skillet too.</t>
  </si>
  <si>
    <t>He flips the eggs, making an omelette.</t>
  </si>
  <si>
    <t>He flips the omelette gently onto a plate for serving.</t>
  </si>
  <si>
    <t>v_54chD8QFKyk</t>
  </si>
  <si>
    <t>A white cat is sleeping on terra cotta tiles.</t>
  </si>
  <si>
    <t>White text explains how to clip the cat's nails.</t>
  </si>
  <si>
    <t>A woman takes the cats paws, clipping them gently with a clipper until they are finished.</t>
  </si>
  <si>
    <t>v_D74hnUdBs04</t>
  </si>
  <si>
    <t>A large group of people are seen standing on a field playing a volleyball game with one another.</t>
  </si>
  <si>
    <t>The camera pans around the beach and back to the people playing with one another passing the ball around.</t>
  </si>
  <si>
    <t>v_sOyox_6AG1w</t>
  </si>
  <si>
    <t>An intro for a running video that says Running appears on screen.</t>
  </si>
  <si>
    <t>A lady commentates over a video of a huge sum of people completing a marathon in New York City.</t>
  </si>
  <si>
    <t>The video goes to show the top 5 events in the marathons history, The lady commentates over every event, as the video countsdown from 5 to 1 while showing the events occur, She explains every event in detail.</t>
  </si>
  <si>
    <t>The video concludes with an outro image.</t>
  </si>
  <si>
    <t>v_p4rdUt1iDkY</t>
  </si>
  <si>
    <t>A man kneels down on a blue mat and raises a bar above his head.</t>
  </si>
  <si>
    <t>He stands up and walks off.</t>
  </si>
  <si>
    <t>v_JzLqc6MhJtc</t>
  </si>
  <si>
    <t>A woman is sitting in a chair.</t>
  </si>
  <si>
    <t>A person is painting something onto their finger.</t>
  </si>
  <si>
    <t>The woman looks up at the camera.</t>
  </si>
  <si>
    <t>v_ZTtPztql5jM</t>
  </si>
  <si>
    <t>Rain falls on a large auditorium.</t>
  </si>
  <si>
    <t>Many people are in the stands.</t>
  </si>
  <si>
    <t>Several athletes stand in the arena.</t>
  </si>
  <si>
    <t>The athletes throw discs on the field.</t>
  </si>
  <si>
    <t>v_cJYtpnf5aOM</t>
  </si>
  <si>
    <t>A boy in young boy drives a small tractor lawn mower around the yard of a house maneuvering around obstacles.</t>
  </si>
  <si>
    <t>The boy mows over some small flowers in the grass.</t>
  </si>
  <si>
    <t>v_2hgXJR5QdkU</t>
  </si>
  <si>
    <t>A woman with curly hair and very thing eyebrows is sucking from a hookah.</t>
  </si>
  <si>
    <t>She blows out all of the smoke that she inhaled, she is laying in bed by herself relaxing.</t>
  </si>
  <si>
    <t>She seems like she is very bored just blowing smoke recording herself.</t>
  </si>
  <si>
    <t>Turns out, there is another person in the room with her feeding her, she smiles really big and continues exhaling smoke out.</t>
  </si>
  <si>
    <t>v_LKf1eTzmK14</t>
  </si>
  <si>
    <t>A runner is running on a track in front of a crowd of people.</t>
  </si>
  <si>
    <t>A man is shown talking to the camera.</t>
  </si>
  <si>
    <t>Runners are running down a track with crowds on both sides and one of the runners stumbles.</t>
  </si>
  <si>
    <t>Another runner is shown and a man is shown talking to the camera.</t>
  </si>
  <si>
    <t>A runner is crawling across a finish line while other runners are running through the finish line.</t>
  </si>
  <si>
    <t>The distressed runner is carried away.</t>
  </si>
  <si>
    <t>Runners in distress are shown.</t>
  </si>
  <si>
    <t>Various runners are shown in distress and talking to the camera.</t>
  </si>
  <si>
    <t>More distressed runners are shown.</t>
  </si>
  <si>
    <t>v_7pcnWE7jpQY</t>
  </si>
  <si>
    <t>A person is attempting high jumps.</t>
  </si>
  <si>
    <t>The first few attempts are good.</t>
  </si>
  <si>
    <t>The final attempt is not ever achieved.</t>
  </si>
  <si>
    <t>v_EuIBTFqVOt8</t>
  </si>
  <si>
    <t>Two men are shown performing an arm wrestling match with many watching on the sidelines and a ref calling who the winner is.</t>
  </si>
  <si>
    <t>Several more men battle back and fourth with one another and more people stepping in and out of frame to watch.</t>
  </si>
  <si>
    <t>v_We9NR-CaIgM</t>
  </si>
  <si>
    <t>People performs arts martial movers, standing on their heads and spinning.</t>
  </si>
  <si>
    <t>Then, a man and a boy jumps over, then kids stands on their head an spin around.</t>
  </si>
  <si>
    <t>Boys bend his body backwards until the feet reach the ground.</t>
  </si>
  <si>
    <t>Teens twist their bodies and bend to the other end.</t>
  </si>
  <si>
    <t>v_W04glwJ_IYI</t>
  </si>
  <si>
    <t>A woman grooms an angry poodle who is collared and tethered to a pole attached to a black grooming table.</t>
  </si>
  <si>
    <t>A brown poodle is being combed by a woman in a yellow walled room on a black grooming table.</t>
  </si>
  <si>
    <t>The woman holds out a pink plastic toy which the dog begins to bite, snap and grab at while the woman combs the poodles fur.</t>
  </si>
  <si>
    <t>The poodle continues to snap at the pink toy and also at the woman's hand and the comb.</t>
  </si>
  <si>
    <t>v_vNMBtwYDH9E</t>
  </si>
  <si>
    <t>A gymnast mounts a low beam in a gym.</t>
  </si>
  <si>
    <t>She performs on the beam, doing handsprings and flips.</t>
  </si>
  <si>
    <t>She then dismounts with her hands in the air.</t>
  </si>
  <si>
    <t>v_mfq5Y7S3BWs</t>
  </si>
  <si>
    <t>A woman is standing by a bathroom door talking.</t>
  </si>
  <si>
    <t>The same woman is now seen on a stationary bicycle teaching a spin class.</t>
  </si>
  <si>
    <t>Several other people in the class can be seen on stationary bicycles in the mirror behind the instructor.</t>
  </si>
  <si>
    <t>The woman is then shown on the ground demonstrating an exercise.</t>
  </si>
  <si>
    <t>The spin class is shown again still in progress.</t>
  </si>
  <si>
    <t>The instructor then does floor exercises again with the class following along.</t>
  </si>
  <si>
    <t>The instructor and the class finish on the bikes again.</t>
  </si>
  <si>
    <t>v_oWsEp7hsmZg</t>
  </si>
  <si>
    <t>A lady stands and talks in a gym.</t>
  </si>
  <si>
    <t>She points to her abdomen, then lays on a bench.</t>
  </si>
  <si>
    <t>The lady holds the bench and and lifts her abdomen and legs.</t>
  </si>
  <si>
    <t>The lady sits up and scoots to the edge.</t>
  </si>
  <si>
    <t>The lady performs the same exercise with her butt hanging off the bench.</t>
  </si>
  <si>
    <t>The lady finishes, sits upright and speaks.</t>
  </si>
  <si>
    <t>v_1XQUDJhMcj8</t>
  </si>
  <si>
    <t>A woman is seen hosting a news segment that leads into clips of fire fighters running down a block and carrying objects over their heads.</t>
  </si>
  <si>
    <t>More people are seen speaking to the camera as they continue running around and women speaking to the camera.</t>
  </si>
  <si>
    <t>v_2xQVZorob1Q</t>
  </si>
  <si>
    <t>An individual shovels snow, but only the lower legs and shovel are visible on camera.</t>
  </si>
  <si>
    <t>The individual sets aside the shovel and walks towards the camera.</t>
  </si>
  <si>
    <t>The camera once again shows the individual shoveling.</t>
  </si>
  <si>
    <t>v_AXyRIyXqnzI</t>
  </si>
  <si>
    <t>a man in a grey warm up suit practices shot put behind a net.</t>
  </si>
  <si>
    <t>Another man in a green sweatshirt practices a shot put throw in a field behind a net gate.</t>
  </si>
  <si>
    <t>still photos are featured between multiple men practicing their shot put throw.</t>
  </si>
  <si>
    <t>A series of shot put throws are featured in consecutive tosses.</t>
  </si>
  <si>
    <t>v_WWyGnNfcj8Q</t>
  </si>
  <si>
    <t>A man is seen decorating a cake blindfolded while a small group of people watch.</t>
  </si>
  <si>
    <t>The man adds frosting to the cake while others continue to watch as well as other ingredients.</t>
  </si>
  <si>
    <t>He takes off the blindfold and cheers as well as putting hawaii outfits on everyone and dancing around.</t>
  </si>
  <si>
    <t>v_sW_iLVVMF4w</t>
  </si>
  <si>
    <t>A man is outside on the roof of his shed with a leaf blower ready to clean the leaves off the roof.</t>
  </si>
  <si>
    <t>He shows a close up of the leaf blower and explains the specifics of it, primes the machine, sets the camera down and starts it.</t>
  </si>
  <si>
    <t>He picks up the camera and gets a close up of the leaf blower again.</t>
  </si>
  <si>
    <t>He now blows the leaves off of the roof of his shed.</t>
  </si>
  <si>
    <t>v_RDC4sqe8xVk</t>
  </si>
  <si>
    <t>A man is getting dressed to ski in the falling snow.</t>
  </si>
  <si>
    <t>He is talking to the camera about skiing.</t>
  </si>
  <si>
    <t>He is then seen going through the air, and down steep slopes as he skis.</t>
  </si>
  <si>
    <t>v_H306mUUJ5BE</t>
  </si>
  <si>
    <t>A man is seen speaking to the camera while sitting in a chair and putting his arms up every now and then.</t>
  </si>
  <si>
    <t>He then plays a harmonica moving his hands around while pausing to speak to the camera and ends up speaking and pointing.</t>
  </si>
  <si>
    <t>v_C4xYnBd7PM0</t>
  </si>
  <si>
    <t>A man is seen standing beside a bull and holding up a red flag.</t>
  </si>
  <si>
    <t>The bull is then shown attacking several men in many clips.</t>
  </si>
  <si>
    <t>More people are shown chasing bulls with them chasing after.</t>
  </si>
  <si>
    <t>v_L1oWKMy5ofM</t>
  </si>
  <si>
    <t>A woman is sitting and talking in front of a laptop.</t>
  </si>
  <si>
    <t>She gets up in front of a room of family members.</t>
  </si>
  <si>
    <t>She dances, showing several moves to the people as she shimmies across the room.</t>
  </si>
  <si>
    <t>v__rzxmgPv6Co</t>
  </si>
  <si>
    <t>A man is standing in his uniform in a desert like area talking.</t>
  </si>
  <si>
    <t>While he his talking,several videos of him are shown off road motorcycle racing around the course jumping over humps.</t>
  </si>
  <si>
    <t>However,he comes back during the segments to show how he uses techniques in certain jumps and the correct way to do it.</t>
  </si>
  <si>
    <t>v_W2wyahjyTFc</t>
  </si>
  <si>
    <t>A little girl is standing in front of a hopscotch game in her living room.</t>
  </si>
  <si>
    <t>She jumps forward on each square, then turns and goes the other way.</t>
  </si>
  <si>
    <t>She smiles and bows for the camera.</t>
  </si>
  <si>
    <t>v_C1YNGahOoiA</t>
  </si>
  <si>
    <t>A man fasten his legs on a pole of a sail boat an lay down on his back on the border of the boat.</t>
  </si>
  <si>
    <t>Then, the man sail the boat holding a rope and lay down on the border of the boat.</t>
  </si>
  <si>
    <t>The man falls in the water, then he gets up in the boat and continues sailing on his back.</t>
  </si>
  <si>
    <t>A sail board pass next to the boat.</t>
  </si>
  <si>
    <t>v_h0p_7Q2Bucc</t>
  </si>
  <si>
    <t>A man appears treading water as he is waiting to get out of the water and walk up a set of stairs.</t>
  </si>
  <si>
    <t>He finally gets off the stairs and joins the others who are on the wooden diving board.</t>
  </si>
  <si>
    <t>First,a set of three girls jump off before he does and creates a large commotion of waves.</t>
  </si>
  <si>
    <t>v_vOpFUVofoM4</t>
  </si>
  <si>
    <t>A picture of a coffee cup is shown as well as a spoon to relaxing music.</t>
  </si>
  <si>
    <t>Various title screens are shown and eventually the same picture of the coffee cup appears while soft music plays in the background.</t>
  </si>
  <si>
    <t>v_LGj7_gw2GbQ</t>
  </si>
  <si>
    <t>The credits of a clip are shown.</t>
  </si>
  <si>
    <t>A person is water boarding on a body of water.</t>
  </si>
  <si>
    <t>People ride a boat and interact.</t>
  </si>
  <si>
    <t>A lady hula hoops to music.</t>
  </si>
  <si>
    <t>A male leaps from the rocks into the waters.</t>
  </si>
  <si>
    <t>People are on the shore and some are on the boat.</t>
  </si>
  <si>
    <t>A man jumps of a boat with his waterboard.</t>
  </si>
  <si>
    <t>A guy uses a hula hoop as a jump rope.</t>
  </si>
  <si>
    <t>Women dance to music in a social function.</t>
  </si>
  <si>
    <t>The individual is in the body of water.</t>
  </si>
  <si>
    <t>Two adults run in a wooden, hollow cylinder.</t>
  </si>
  <si>
    <t>An individual back flips off a boat.</t>
  </si>
  <si>
    <t>A female stands on waterboard that is on grass.</t>
  </si>
  <si>
    <t>People jump off an inflated boat.</t>
  </si>
  <si>
    <t>The credits of a video are shown with clips.</t>
  </si>
  <si>
    <t>v_jhakEVLCqNM</t>
  </si>
  <si>
    <t>A youth talks inside a home, then he gets outside the home.</t>
  </si>
  <si>
    <t>A man and a teen stand on front a swimming pool talking, and a person lay down on a chair.</t>
  </si>
  <si>
    <t>Then, the man pushes the teen to the water who has trouble to swim.</t>
  </si>
  <si>
    <t>After, the man gets in the water and flip the teen.</t>
  </si>
  <si>
    <t>The teen gets out the swimming pool and throws chair to the man.</t>
  </si>
  <si>
    <t>Next, the teen walks away angry, and the men and the woman take the chairs out of the pool.</t>
  </si>
  <si>
    <t>v_0D9EmyHxhcg</t>
  </si>
  <si>
    <t>Several people are in a skate part rollerblading with one another.</t>
  </si>
  <si>
    <t>The people then move out to scenic places and starts to roller blade throughout the city.</t>
  </si>
  <si>
    <t>More people begin to skate and they start to make ramps in the alley way and going tricks in a skate park.</t>
  </si>
  <si>
    <t>v_cTZw5NUK1-c</t>
  </si>
  <si>
    <t>Various shots of beaches are shown followed by the camera panning over several shots of waves.</t>
  </si>
  <si>
    <t>A person is then seen riding a surfboard through various shots in the camera.</t>
  </si>
  <si>
    <t>People are shown speaking to the camera when another person crashing on their board several times.</t>
  </si>
  <si>
    <t>More people are seen walking down as more surfers continue riding the waves.</t>
  </si>
  <si>
    <t>v_G4D6UtJh3AU</t>
  </si>
  <si>
    <t>A woman is holding a baby in her lap as a woman next to her uses a plastic comb to brush his hair.</t>
  </si>
  <si>
    <t>She talks to the baby as she brushes, and the baby watches her intently.</t>
  </si>
  <si>
    <t>v_AtUAYnNTniM</t>
  </si>
  <si>
    <t>A man lifts a girl up over his head, then over his shoulder.</t>
  </si>
  <si>
    <t>He stands her on his hands, balancing her in the air as other watch.</t>
  </si>
  <si>
    <t>He drops then lifts her again.</t>
  </si>
  <si>
    <t>v_YiMOKwzEf1k</t>
  </si>
  <si>
    <t>A kneeing man runs a small grass cutter over the surface of the lawn.</t>
  </si>
  <si>
    <t>The man mows the shaded green grass.</t>
  </si>
  <si>
    <t>The man mows the sun lit grass.</t>
  </si>
  <si>
    <t>v_1WSFrupQzQI</t>
  </si>
  <si>
    <t>We see the title screens flying up.</t>
  </si>
  <si>
    <t>A bull runs out on the field.</t>
  </si>
  <si>
    <t>A bull rams a wall where the matador is standing.</t>
  </si>
  <si>
    <t>The matador teases the bull with a red cloth.</t>
  </si>
  <si>
    <t>We see the ending screen.</t>
  </si>
  <si>
    <t>v_EX3szlLBdFM</t>
  </si>
  <si>
    <t>A person is seen moving along a large court followed by other people moving around beside him.</t>
  </si>
  <si>
    <t>Several people are seen running up and down the court while others watch on the side.</t>
  </si>
  <si>
    <t>The people continue moving around while others watch them perform drills.</t>
  </si>
  <si>
    <t>v__ekSmyvWdRQ</t>
  </si>
  <si>
    <t>A person is putting salad into a clear bowl.</t>
  </si>
  <si>
    <t>They grab an orange pepper from a pile.</t>
  </si>
  <si>
    <t>They chop the pepper in half.</t>
  </si>
  <si>
    <t>v_8jj-mhVrlGA</t>
  </si>
  <si>
    <t>A woman is shown speaking to the camera and point off into the distance.</t>
  </si>
  <si>
    <t>The camera pans out into another man standing on the court and two basketballs shown.</t>
  </si>
  <si>
    <t>The man and woman then shoot hoops with the balls and pass each other back and fourth.</t>
  </si>
  <si>
    <t>v_XqmMZs2-3ZI</t>
  </si>
  <si>
    <t>A woman is sitting on her little couch thinking about cookies.</t>
  </si>
  <si>
    <t>You are informed of all the ingredients needed to make a batch of delicious cookies and the equipment required to make them.</t>
  </si>
  <si>
    <t>She goes to the kitchen and turns on the oven and begins mixing ingredients in a kitchenaid.</t>
  </si>
  <si>
    <t>Once mixed nicely she places the cookie in the oven and when they done she returns to her couch with her teddy bear and munches out.</t>
  </si>
  <si>
    <t>v_7KKYKIlGaXk</t>
  </si>
  <si>
    <t>A view is seen of an enormous pool.</t>
  </si>
  <si>
    <t>It stretches very long distances, with people using boats and rafts in the water.</t>
  </si>
  <si>
    <t>It is an extensive water park located in Indonesia.</t>
  </si>
  <si>
    <t>People are shown water skiing in the clear blue waters.</t>
  </si>
  <si>
    <t>v_l-R4wiSZcRc</t>
  </si>
  <si>
    <t>An intro leads into several older clips of olympic performers performing incredible acts.</t>
  </si>
  <si>
    <t>One group of people are seen swimming while hundreds of people cheer and many people look to the camera and smile.</t>
  </si>
  <si>
    <t>Another man shakes the hand of an athlete and he waves while shaking the hands of others and people applauding.</t>
  </si>
  <si>
    <t>v_fVBXRUWEyoA</t>
  </si>
  <si>
    <t>A woman sits on a couch and clips the front and back paws of an orange and a black and white cat as they sit in her lap.</t>
  </si>
  <si>
    <t>An orange cat stands on a couch and sniffs the cushions.</t>
  </si>
  <si>
    <t>A woman sits down on the couch and puts the orange cat in her lap and begins to clip the front and back paws of the cat.</t>
  </si>
  <si>
    <t>The woman puts the orange cat down and picks up a black and white cat with whom she does the same clipping of front and black paws, after which, the black and white cat runs off away from the couch.</t>
  </si>
  <si>
    <t>v_yST1TsQ6mgY</t>
  </si>
  <si>
    <t>Various pictures are shown of people close up in an area as well as people riding around on a camel.</t>
  </si>
  <si>
    <t>People continue riding around on the camels with one man leading them in front and the camera capturing several more people.</t>
  </si>
  <si>
    <t>In the end the camels are seen wandering around one another and a picture of everyone standing together.</t>
  </si>
  <si>
    <t>v_vfLKyUMzFHg</t>
  </si>
  <si>
    <t>A man is seen speaking to the camera and pointing to a table and laying out cards.</t>
  </si>
  <si>
    <t>He then performs a game of black jack while moving the cards and dice around while still speaking to the camera.</t>
  </si>
  <si>
    <t>v_gE1nShlv6mo</t>
  </si>
  <si>
    <t>A woman shows how to clean a shirt with a steam machine while talking.</t>
  </si>
  <si>
    <t>The woman finish cleaning the shirt and takes it off from a hanger and put on the iron board.</t>
  </si>
  <si>
    <t>After, the woman shows a container, then gabs the steam machine and shows while talking.</t>
  </si>
  <si>
    <t>v_fTGtoTlJyh0</t>
  </si>
  <si>
    <t>A person is spray painting bars that are taped together different colors.</t>
  </si>
  <si>
    <t>They put a sticker of words onto the bars.</t>
  </si>
  <si>
    <t>v_6asjaqo0OHc</t>
  </si>
  <si>
    <t>A man is talking as he looks at a bicycle.</t>
  </si>
  <si>
    <t>He places a speed control tool on the handlebar of the bike.</t>
  </si>
  <si>
    <t>He continues talking until he has the bar in place.</t>
  </si>
  <si>
    <t>v_y-87JMf_-J8</t>
  </si>
  <si>
    <t>A man is seen sitting on a stool while holing a guitar in his hands.</t>
  </si>
  <si>
    <t>The camera pans closely around the guitar while the man continues to speak.</t>
  </si>
  <si>
    <t>The man then plays the guitar a bit and moves his hands up and down the neck.</t>
  </si>
  <si>
    <t>v_hrpRVbLRoJ4</t>
  </si>
  <si>
    <t>A person is seen riding around on a horse over jumps in slow motion while others watch.</t>
  </si>
  <si>
    <t>The video moves quicker as more people are seen jumping over obstacles and one speaking to the camera.</t>
  </si>
  <si>
    <t>Several more clips are shown of people riding around on horses as well as pictures inbetween and more close ups of horses.</t>
  </si>
  <si>
    <t>v_hbipKjS0G7w</t>
  </si>
  <si>
    <t>A lady bents over slightly in an outdoor court.</t>
  </si>
  <si>
    <t>The lady rises and turns.</t>
  </si>
  <si>
    <t>The lady release her hand from her neck.</t>
  </si>
  <si>
    <t>v_4BofYu8Soz8</t>
  </si>
  <si>
    <t>A man is seen swimming in a pool while passing a ball to a dog back and fourth.</t>
  </si>
  <si>
    <t>The man continues to pass the ball while the dog hits it right back.</t>
  </si>
  <si>
    <t>v_Gxjfc5O6AAc</t>
  </si>
  <si>
    <t>Various still images of a man's hair are shown.</t>
  </si>
  <si>
    <t>A man is shown receiving a hair cut and styling in sped up time.</t>
  </si>
  <si>
    <t>Still images of the man's hair after the styling are shown.</t>
  </si>
  <si>
    <t>v_3gQsAKZ71tU</t>
  </si>
  <si>
    <t>A man stands on a court.</t>
  </si>
  <si>
    <t>He hits a ball with a racket.</t>
  </si>
  <si>
    <t>Several different athletes are shown hitting balls.</t>
  </si>
  <si>
    <t>Some of them cheer at the end.</t>
  </si>
  <si>
    <t>v_1dM62Xpm9Ns</t>
  </si>
  <si>
    <t>A man is cutting an onion with a knife on a cutting board.</t>
  </si>
  <si>
    <t>A woman is reading a newspaper nearby while he speaks to her and shows her something in his hand.</t>
  </si>
  <si>
    <t>The man sharpens his knives using an electric tool.</t>
  </si>
  <si>
    <t>He then continues cutting his onion.</t>
  </si>
  <si>
    <t>v_wYIeRRTRtX8</t>
  </si>
  <si>
    <t>A woman is standing on a diving board.</t>
  </si>
  <si>
    <t>She jumps into the water.</t>
  </si>
  <si>
    <t>People are standing under the diving board.</t>
  </si>
  <si>
    <t>v_3S7EwcX-Rd0</t>
  </si>
  <si>
    <t>A bicycling competition is about to begin and the crowd is ready.</t>
  </si>
  <si>
    <t>The riders start and already many fall during the first big jump.</t>
  </si>
  <si>
    <t>Various highlights are shown of the riders attempting the large jumps.</t>
  </si>
  <si>
    <t>Three winners are crowned at the end in a ceremony.</t>
  </si>
  <si>
    <t>v_NbmseYFNIlA</t>
  </si>
  <si>
    <t>A man is seen holding a flag while others stand around him and a runner comes into frame.</t>
  </si>
  <si>
    <t>The runner takes several jumps and lands into a pit all in slow motion.</t>
  </si>
  <si>
    <t>v_H7EmlU0wQ6g</t>
  </si>
  <si>
    <t>A person is using a vacuum attachment to vacuum the wood floor.</t>
  </si>
  <si>
    <t>The person then vacuums a rug on the floor.</t>
  </si>
  <si>
    <t>The person vacuums the back of a cat laying nearby.</t>
  </si>
  <si>
    <t>The person returns to vacuuming the wood floor.</t>
  </si>
  <si>
    <t>v_9wpV8Gknh1E</t>
  </si>
  <si>
    <t>A woman and her 2 children are riding around on a camel at a fair or some event.</t>
  </si>
  <si>
    <t>There is a worker who is walking with them in circles walking the camel with a rope as they ride.</t>
  </si>
  <si>
    <t>They go around quite a few times again and again in a circle around a small gated area.</t>
  </si>
  <si>
    <t>When they are done they stop by a red railing, the worker taps the camel on the face while the rider get off.</t>
  </si>
  <si>
    <t>v_bp1blshSKJU</t>
  </si>
  <si>
    <t>A woman is standing on a piano.</t>
  </si>
  <si>
    <t>A person is playing the piano.</t>
  </si>
  <si>
    <t>The piano turns and a woman is standing behind it.</t>
  </si>
  <si>
    <t>v_KB9sqtTJTZw</t>
  </si>
  <si>
    <t>We see a dark opening screen.</t>
  </si>
  <si>
    <t>We then see people performing hip hop dances.</t>
  </si>
  <si>
    <t>We see a sign for the 2004 event.</t>
  </si>
  <si>
    <t>We see people in front of an audience dancing.</t>
  </si>
  <si>
    <t>We see a man do a spin the crowd clips for.</t>
  </si>
  <si>
    <t>We see a sign for the 2005 event.</t>
  </si>
  <si>
    <t>Two men take a bow.</t>
  </si>
  <si>
    <t>We see a screen for the 2006 event.</t>
  </si>
  <si>
    <t>A man in red does a bunch of moves.</t>
  </si>
  <si>
    <t>We see signs for the 2007 event.</t>
  </si>
  <si>
    <t>v_qemvXlRMQgM</t>
  </si>
  <si>
    <t>A close up of a blue hookah is shown bottom to top.</t>
  </si>
  <si>
    <t>The bowl is shown, then the hookah is filled with water by gloves.</t>
  </si>
  <si>
    <t>The hose is attached to the hookah.</t>
  </si>
  <si>
    <t>Tobacco is packed into the bowl, then covered with tin foil and punctured with a toothpick.</t>
  </si>
  <si>
    <t>A piece of coal is lit, then the invisible person smokes the hookah while reading a book.</t>
  </si>
  <si>
    <t>v_jwlYaPt2DIs</t>
  </si>
  <si>
    <t>We see a man at a table in a field juicing a fruit to make a juice.</t>
  </si>
  <si>
    <t>The man juices 2 fruit then puts sugar in in two glasses.</t>
  </si>
  <si>
    <t>The man then cuts and juices four more fruit.</t>
  </si>
  <si>
    <t>The man adds more sugar to the glasses and ice water from the bucket under the fruit.</t>
  </si>
  <si>
    <t>v_wr_1p7obP-g</t>
  </si>
  <si>
    <t>Several photographs of households and objects are shown followed by a man pouring liquids into a bucket.</t>
  </si>
  <si>
    <t>He pours more objects into the bucket while another man swirls it around.</t>
  </si>
  <si>
    <t>The man opens a box full of stone and lays down some plaster on a wall.</t>
  </si>
  <si>
    <t>He pushes the stone into the wall over and over again to create a stone wall for a home.</t>
  </si>
  <si>
    <t>v_TT2e7-NbUxo</t>
  </si>
  <si>
    <t>A boy is sitting in a salon chair and talking.</t>
  </si>
  <si>
    <t>A stylist cuts his hair into a new style.</t>
  </si>
  <si>
    <t>He dries and sprays the hair into a spikey look.</t>
  </si>
  <si>
    <t>v_12IrPzohRSw</t>
  </si>
  <si>
    <t>We see people in bumper cars at a carnival.</t>
  </si>
  <si>
    <t>The camera pans left and we see the driving court.</t>
  </si>
  <si>
    <t>A person in purple drives past the camera.</t>
  </si>
  <si>
    <t>A girl smiles at the camera as she drives past.</t>
  </si>
  <si>
    <t>v_rVcgTALWCRA</t>
  </si>
  <si>
    <t>A girl is playing with sand on a beach.</t>
  </si>
  <si>
    <t>She then stands up and looks at other people.</t>
  </si>
  <si>
    <t>v_at_ahUtnF9Q</t>
  </si>
  <si>
    <t>People are standing next to a ping pong table.</t>
  </si>
  <si>
    <t>A man is demonstrating how to play without a paddle.</t>
  </si>
  <si>
    <t>Two people start playing a game of ping pong.</t>
  </si>
  <si>
    <t>v_Ly70Hwy52WA</t>
  </si>
  <si>
    <t>two men are sitting on round tables talking in microphones.</t>
  </si>
  <si>
    <t>men are being interviewed in a large soccer field.</t>
  </si>
  <si>
    <t>men are playing ping pong in themiddle of stadium while a lot of people are gathered around.</t>
  </si>
  <si>
    <t>v_sxf0x55Cvb4</t>
  </si>
  <si>
    <t>We see a swiftly-moving, white water stream.</t>
  </si>
  <si>
    <t>A man in blue rafting equipment and a helmet is watching from a bed of rocks.</t>
  </si>
  <si>
    <t>We notice a man in a kayak and a yellow helmet coming in from the left.</t>
  </si>
  <si>
    <t>As he approaches, his kayak flips upside-down.</t>
  </si>
  <si>
    <t>As the view follows him, we notice another man seated on the rocks to the right in red with a white helmet.</t>
  </si>
  <si>
    <t>v_4b2_OpAGwW0</t>
  </si>
  <si>
    <t>A woman braids her hair in several braids.</t>
  </si>
  <si>
    <t>She ties them behind her head.</t>
  </si>
  <si>
    <t>v_veNIfCkd1Pw</t>
  </si>
  <si>
    <t>A gymnast performs uneven bars routine while people watch.</t>
  </si>
  <si>
    <t>The judge supervises the routine of the gymnast.</t>
  </si>
  <si>
    <t>Then, the gymnast spins holding the higher bar and jumps stand on the mat.</t>
  </si>
  <si>
    <t>v_VNR1j2U7gE4</t>
  </si>
  <si>
    <t>Two men are seen standing around a large room and hitting a tennis ball around with tennis rackets.</t>
  </si>
  <si>
    <t>The men hit the ball back and fourth to one another and run around the room at the same time.</t>
  </si>
  <si>
    <t>v_UAFIstY4a8Q</t>
  </si>
  <si>
    <t>We see two opening screens for poker at a casino.</t>
  </si>
  <si>
    <t>We see the dealer speak and deal cards.</t>
  </si>
  <si>
    <t>We see a large jackpot sign.</t>
  </si>
  <si>
    <t>We see the dealer shuffle the cards.</t>
  </si>
  <si>
    <t>We see the man peek at his cards.</t>
  </si>
  <si>
    <t>The man peeks at his cards again.</t>
  </si>
  <si>
    <t>The dealer turns over the players cards.</t>
  </si>
  <si>
    <t>We see the closing screen for the casino.</t>
  </si>
  <si>
    <t>v_CcMic7jNIuE</t>
  </si>
  <si>
    <t>A man in a blue shirt and shorts lifts a large weight over his head.</t>
  </si>
  <si>
    <t>Another man is filming it.</t>
  </si>
  <si>
    <t>The same man comes back and lifts the weight over his head again.</t>
  </si>
  <si>
    <t>He drops it on the ground and walks away.</t>
  </si>
  <si>
    <t>v_dLOwmXV_yTw</t>
  </si>
  <si>
    <t>Holiday gift wrapping made easy, this glass store give a tutorial on how to wrap awkward shaped gifts.</t>
  </si>
  <si>
    <t>You place the object on the wrapping paper to start.</t>
  </si>
  <si>
    <t>After, you fold the tip of the paper, you grab the scissor and cut strips.</t>
  </si>
  <si>
    <t>Then you use tape to hold it down and top it off with a bow.</t>
  </si>
  <si>
    <t>v_V2MlQezL1IE</t>
  </si>
  <si>
    <t>The video begins with a title screen.</t>
  </si>
  <si>
    <t>An older man is seen in a gym speaking to the camera while men play volleyball in the background.</t>
  </si>
  <si>
    <t>A simulated screen showing a volleyball court shows while he speaks.</t>
  </si>
  <si>
    <t>The video then comes back to the older man who is directing the players.</t>
  </si>
  <si>
    <t>The men begin tossing a volleyball back and forth.</t>
  </si>
  <si>
    <t>The video ends with a final title screen.</t>
  </si>
  <si>
    <t>v_MZz0OTfvjrY</t>
  </si>
  <si>
    <t>An Asian girl sitting at a desk describes arm wrestling.</t>
  </si>
  <si>
    <t>the girl introduces An Asian boy who sits across from the Asian girl.</t>
  </si>
  <si>
    <t>The girl and boy prepare to arm wrestle as a referee stands above the girl arm wrestler uses both arms and pushes in the wrong direction.</t>
  </si>
  <si>
    <t>The girl and boy arm wrestlers get into position again with the referee setting them up they begin wrestling.</t>
  </si>
  <si>
    <t>The girl wrestler tries to wrestle using both arms and her body but falls to the floor.</t>
  </si>
  <si>
    <t>v_Cp4a_gN4pDQ</t>
  </si>
  <si>
    <t>Three men are seen sitting behind a set of bongo drums playing quickly while several camera flashes are shown.</t>
  </si>
  <si>
    <t>The men continue playing again while laughing and smiling at one another.</t>
  </si>
  <si>
    <t>v_owflykBauOA</t>
  </si>
  <si>
    <t>A teenaged boy jumps on a skateboard, skating across a street and up a driveway before going back onto the street.</t>
  </si>
  <si>
    <t>He dismounts, talking as he kicks the board.</t>
  </si>
  <si>
    <t>He smiles at the camera, wearing sunglasses.</t>
  </si>
  <si>
    <t>v_Pr3iVnKpv0c</t>
  </si>
  <si>
    <t>A teen plays violin in a room.</t>
  </si>
  <si>
    <t>The teen holds the violin with the left hand moving the fingers and playing with the bow.</t>
  </si>
  <si>
    <t>Then, the teen end playing the violin.</t>
  </si>
  <si>
    <t>v_YPXeQVi39nU</t>
  </si>
  <si>
    <t>A man is on the beach with a bike.</t>
  </si>
  <si>
    <t>He sands down his surfboard.</t>
  </si>
  <si>
    <t>He goes surfing in the water.</t>
  </si>
  <si>
    <t>v_Mzojo2EeWu8</t>
  </si>
  <si>
    <t>People are playing a game of volleyball in the sand on the beach.</t>
  </si>
  <si>
    <t>People are playing drums on the beach.</t>
  </si>
  <si>
    <t>A woman in a yellow outfit is dancing.</t>
  </si>
  <si>
    <t>The team poses for a picture behind a banner.</t>
  </si>
  <si>
    <t>v_xH7qxBIz-tU</t>
  </si>
  <si>
    <t>A man in a suit shows up on the screen.</t>
  </si>
  <si>
    <t>The man begins to fight with another man.</t>
  </si>
  <si>
    <t>The man in the suit resets his stance.</t>
  </si>
  <si>
    <t>After fighting more the man in the suit resets his stance again.</t>
  </si>
  <si>
    <t>After the fighting continues another man shows up in the room and escorts the man in the suit out.</t>
  </si>
  <si>
    <t>v_dG_jxrIaK6w</t>
  </si>
  <si>
    <t>A man is seen speaking to the camera and pans it back to a piano.</t>
  </si>
  <si>
    <t>The man then begins playing the piano while the camera captures his movements.</t>
  </si>
  <si>
    <t>He continues to play and ends by turning off the camera and looking off into the distance.</t>
  </si>
  <si>
    <t>v_5c1zqvr3yKM</t>
  </si>
  <si>
    <t>A woman is holding a cat onto a table.</t>
  </si>
  <si>
    <t>She starts clipping the cats nails with a tool.</t>
  </si>
  <si>
    <t>She finishes and pets the cat.</t>
  </si>
  <si>
    <t>v_aNQRlsp5yv8</t>
  </si>
  <si>
    <t>A man and a boy make a sand castle in the beach.</t>
  </si>
  <si>
    <t>People approach to watch the castle and start to make small house next the sand castle.</t>
  </si>
  <si>
    <t>A little girl is doing more houses next to the castle.</t>
  </si>
  <si>
    <t>The man digs a hole in the center while the boy help extend the castle.</t>
  </si>
  <si>
    <t>v_QYb2ektVZek</t>
  </si>
  <si>
    <t>A woman walks on the street wearing a cap.</t>
  </si>
  <si>
    <t>A city is zoom in a map, then a girl performs water sky in a river pulled by a boat while flipping in the air.</t>
  </si>
  <si>
    <t>A road is leading to a water ski station, then a woman slides on ramps in the water holding a water ski rope.</t>
  </si>
  <si>
    <t>A man takes pictures to the girl.</t>
  </si>
  <si>
    <t>Then the girl change clothes and stand on a truck holding prizes.</t>
  </si>
  <si>
    <t>v_UeuZeIASSPw</t>
  </si>
  <si>
    <t>woman is standing in a racetrack and start running to make a long jump.</t>
  </si>
  <si>
    <t>man stands and marks the space where the woman jumped.</t>
  </si>
  <si>
    <t>the long jump is repeated and a new woman is running in the race track to make the long jump too and a man sits rise a whie flag.</t>
  </si>
  <si>
    <t>woman is in race trakc while other men are in the background and the woman makes the long jump in the competition and then a repetition is shown along the results.</t>
  </si>
  <si>
    <t>v_civPiYFf2vE</t>
  </si>
  <si>
    <t>We see a opening title screen.</t>
  </si>
  <si>
    <t>We see a man holding a vacuum and using the vacuum to hold two bowling balls.</t>
  </si>
  <si>
    <t>The man vacuums stairs and a car interior.</t>
  </si>
  <si>
    <t>We see the vacuum and the man vacuums the ceiling, couch, blinds and others.</t>
  </si>
  <si>
    <t>We see the man empty the canister and put the vacuum in a closet.</t>
  </si>
  <si>
    <t>v_Gg8Ha8OPtZ0</t>
  </si>
  <si>
    <t>There are two young boys, one dressed in a red shirt and the other in a striped shirt at a bowling alley.</t>
  </si>
  <si>
    <t>The boy in the red shirt bowls with a large green ball and hits a strike.</t>
  </si>
  <si>
    <t>He is ecstatic after his win and begins jumping with joy.</t>
  </si>
  <si>
    <t>v_Ccy8WD2k4L8</t>
  </si>
  <si>
    <t>A woman is dancing on a stage.</t>
  </si>
  <si>
    <t>She picks up a microphone and starts singing.</t>
  </si>
  <si>
    <t>She begins to play a drum set in front of her.</t>
  </si>
  <si>
    <t>v_6EN1q4TmPtI</t>
  </si>
  <si>
    <t>Young people carry inflatable boats and get in the water.</t>
  </si>
  <si>
    <t>Then, the young people lie face down on the boats and sail in the river.</t>
  </si>
  <si>
    <t>After, the men advance in the water moving the hand to help advance.</t>
  </si>
  <si>
    <t>v_-zp0Sban5Wk</t>
  </si>
  <si>
    <t>A woman is standing in her kitchen in front of a counter.</t>
  </si>
  <si>
    <t>She shows a plate of food, and several ingredients.</t>
  </si>
  <si>
    <t>She boils pasta in a pot, draining it.</t>
  </si>
  <si>
    <t>She then mixes cheese, orzo, and vegetables, creating an orzo pasta salad.</t>
  </si>
  <si>
    <t>She takes a bite of the food.</t>
  </si>
  <si>
    <t>v__HeqBIO9TgQ</t>
  </si>
  <si>
    <t>A lady and a child are washing dishes in the dirt.</t>
  </si>
  <si>
    <t>The little girl walks away.</t>
  </si>
  <si>
    <t>The lady rinses her dishes and puts them on a shelf.</t>
  </si>
  <si>
    <t>We see the boys standing behind the lady.</t>
  </si>
  <si>
    <t>We see the shelf and the dishes.</t>
  </si>
  <si>
    <t>We then see the closing credits screen.</t>
  </si>
  <si>
    <t>v_fMVKdmMVixQ</t>
  </si>
  <si>
    <t>A group of people stand behind a master yogi.</t>
  </si>
  <si>
    <t>He instructs them on position before leading them in yoga.</t>
  </si>
  <si>
    <t>They perform several moves, slowly and gracefully.</t>
  </si>
  <si>
    <t>v_nhW0O7NC0GM</t>
  </si>
  <si>
    <t>A man is seen sitting in the water in a kayak speaking to the camera.</t>
  </si>
  <si>
    <t>The man continues speaking while holding a paddle in his hands.</t>
  </si>
  <si>
    <t>He moves around a bit in the water and leads into him paddling along the water.</t>
  </si>
  <si>
    <t>v_520b6oA9s-U</t>
  </si>
  <si>
    <t>A woman explains how to make a cake in a kitchen, then she puts four eggs and sugar in a bowl and beat with an electric mixer and add more ingredients to form a wet mix.</t>
  </si>
  <si>
    <t>The woman puts solids on a big bowl and then add the wet mix, oil and milk, then mix with an spatula.</t>
  </si>
  <si>
    <t>After, the woman puts the mix in a greased baking pan and make a syrup with orange juice in a pot.</t>
  </si>
  <si>
    <t>Next, she put the baking cake on a dish and put syrup on top.</t>
  </si>
  <si>
    <t>v_nn__PD7zCcs</t>
  </si>
  <si>
    <t>An elderly man is standing in a small room and is plastering a ceiling where he starts in the middle of the room.</t>
  </si>
  <si>
    <t>He then moves to the left and begins to plaster in the corner of the ceiling.</t>
  </si>
  <si>
    <t>The man then stops plastering, and while still talking he faces towards the direction of the camera.</t>
  </si>
  <si>
    <t>v_RKsto2FmBzM</t>
  </si>
  <si>
    <t>A man with a orange shirt and black hat with glasses are outside standing in front of a green tree.</t>
  </si>
  <si>
    <t>A lawn is shown and then the man begins to mow his lawn.</t>
  </si>
  <si>
    <t>Once the man is finished he comes back to camera and starts talking.</t>
  </si>
  <si>
    <t>v_Sbgh1UQcG24</t>
  </si>
  <si>
    <t>A man standing or sitting behind a chopping board with vegetables on it equips a forearm-mounted knife.</t>
  </si>
  <si>
    <t>The man talks to the camera while pointing the knife at the camera.</t>
  </si>
  <si>
    <t>The man chops various types of items on the chopping board with the knife in sped up video.</t>
  </si>
  <si>
    <t>The man removes the knife and manipulates the containers of ingredients around him.</t>
  </si>
  <si>
    <t>The man re-equips the knife and resumes chopping.</t>
  </si>
  <si>
    <t>The man removes the knife and manipulates the ingredients around him again.</t>
  </si>
  <si>
    <t>The man re-equips the knife and resumes chopping again.</t>
  </si>
  <si>
    <t>The man removes the knife and cleans up his work area.</t>
  </si>
  <si>
    <t>v_DAd-joUpMIk</t>
  </si>
  <si>
    <t>A woman is getting ready too bungee jump from a cable car.</t>
  </si>
  <si>
    <t>She is surrounded by two men in yellow shirts.</t>
  </si>
  <si>
    <t>One of the men is holding a phone camera in his hand to video tape her as she jumps.</t>
  </si>
  <si>
    <t>The men begin singing to cheer and encourage her to jump.</t>
  </si>
  <si>
    <t>After much hesitation, the woman finally jumps and hangs from the rope.</t>
  </si>
  <si>
    <t>There is another woman in the cable car getting ready to jump down.</t>
  </si>
  <si>
    <t>There is a huge crowd standing on the bridge, looking up at the cable car.</t>
  </si>
  <si>
    <t>v_Hxb8D4W-G0I</t>
  </si>
  <si>
    <t>A boy sits on a rock before walking along a shoreline.</t>
  </si>
  <si>
    <t>The young man rides his skateboard down hills around a beach town.</t>
  </si>
  <si>
    <t>The young goes to a local restaurant for a meal.</t>
  </si>
  <si>
    <t>The harbor is seen and the young man walks down a train track at sunset.</t>
  </si>
  <si>
    <t>v_TdNiQsZNJTU</t>
  </si>
  <si>
    <t>A group of people are swimming in a large indoor pool.</t>
  </si>
  <si>
    <t>They swim laps back and forth as they go.</t>
  </si>
  <si>
    <t>They try to compete, getting to the other side the fastest.</t>
  </si>
  <si>
    <t>v_kDurnkUZCXs</t>
  </si>
  <si>
    <t>An individual uses a hose and a thin instrument to clean a shoe.</t>
  </si>
  <si>
    <t>The individual sets aside the shoe and turns over the other shoe.</t>
  </si>
  <si>
    <t>The individual uses the thin implement to dig between the patterns of the shoe bottom.</t>
  </si>
  <si>
    <t>v_SdbxPbXeQJ0</t>
  </si>
  <si>
    <t>A man is sitting on a couch drinking a beer.</t>
  </si>
  <si>
    <t>He stands up and walks out the door.</t>
  </si>
  <si>
    <t>Someone is walking into a kitchen.</t>
  </si>
  <si>
    <t>They open the fridge and get a beer.</t>
  </si>
  <si>
    <t>They bring it to the man in bed.</t>
  </si>
  <si>
    <t>He sits up and starts drinking the beer.</t>
  </si>
  <si>
    <t>A person picks up a cell phone on a bed.</t>
  </si>
  <si>
    <t>v_aa-bFJZmcko</t>
  </si>
  <si>
    <t>Various shots of a close up of a bike and a person pointing to the bike in various spots.</t>
  </si>
  <si>
    <t>The person continuously adjusts the bike and pans the camera all around it in the end.</t>
  </si>
  <si>
    <t>v_9riZioI46sM</t>
  </si>
  <si>
    <t>A boy is bent over in his bedroom.</t>
  </si>
  <si>
    <t>He is trying to put on a shoe.</t>
  </si>
  <si>
    <t>He sits down, playing with a broken lace.</t>
  </si>
  <si>
    <t>He continues working with the shoe lace until he can get it tied.</t>
  </si>
  <si>
    <t>v_aVL9ArQS_Ag</t>
  </si>
  <si>
    <t>A man holds a pair of boots while talking and showing dirty parts.</t>
  </si>
  <si>
    <t>Then, the man put a clothe inside the boot and brush the shaft of the boot thoroughly.</t>
  </si>
  <si>
    <t>v_gSeE_Ms-2TI</t>
  </si>
  <si>
    <t>A man is seen kneeling down on a roof and speaking to the camera.</t>
  </si>
  <si>
    <t>The camera pans all around the roof while the man is seen sitting and still speaking.</t>
  </si>
  <si>
    <t>The camera pans all around the roof and shows the man still sitting.</t>
  </si>
  <si>
    <t>v_4Gs7Xyn16QI</t>
  </si>
  <si>
    <t>A woman walks, then runs with a javelin.</t>
  </si>
  <si>
    <t>She throws it across the field, landing near her goal.</t>
  </si>
  <si>
    <t>A few other teammates also perform the act, then we see the final scoreboard.</t>
  </si>
  <si>
    <t>v_1UQYk6ohuRE</t>
  </si>
  <si>
    <t>A man talks on front a bush while other person stands on his right side.</t>
  </si>
  <si>
    <t>Then, the man cuts the dead flowers of the bush while talking.</t>
  </si>
  <si>
    <t>Also, the person cuts the dead flowers of the bush.</t>
  </si>
  <si>
    <t>v_VbP9fOp-Umg</t>
  </si>
  <si>
    <t>This young woman is dancing with the baton in her hands.</t>
  </si>
  <si>
    <t>She's in the middle of the street wearing a red tanktop, shorts, and flip flops.</t>
  </si>
  <si>
    <t>There are lots of people watching her while she does the batons outside.</t>
  </si>
  <si>
    <t>When she''s done, the music stops playing and a few people clap for her performance.</t>
  </si>
  <si>
    <t>v_wvlyV067oOU</t>
  </si>
  <si>
    <t>The young kids are bouncing on the big trampoline.</t>
  </si>
  <si>
    <t>The young boy fell on his back as he avoided the ball.</t>
  </si>
  <si>
    <t>The kids are wearing helmet as they threw the ball and other side of the kids dodge the ball.</t>
  </si>
  <si>
    <t>Two adult people went up to the trampoline to watch the kids.</t>
  </si>
  <si>
    <t>v_CtA4VynDEkI</t>
  </si>
  <si>
    <t>A bunch of young children are shown playing in a park playground.</t>
  </si>
  <si>
    <t>A young boy climbs back and forth on the monkey bars.</t>
  </si>
  <si>
    <t>Another child then joins him on the bars as well.</t>
  </si>
  <si>
    <t>v_kDz85hnSKdo</t>
  </si>
  <si>
    <t>A man in a yellow life vest is sitting in a canoe.</t>
  </si>
  <si>
    <t>He is paddling from side to side.</t>
  </si>
  <si>
    <t>The camera goes underwater next to the canoe.</t>
  </si>
  <si>
    <t>v_DpI9JtaMtec</t>
  </si>
  <si>
    <t>Sandwiches are displayed in a slideshow.</t>
  </si>
  <si>
    <t>A person spreads mustard sauce on slices of bread, then the person put on top Swiss cheese, jam , sauerkraut and a slice of bread on top.</t>
  </si>
  <si>
    <t>After, the person spreads butter on the sandwiches and put them on a hot surface, then the person cuts the sandwiches in half.</t>
  </si>
  <si>
    <t>v_aPXqTfbtgYI</t>
  </si>
  <si>
    <t>A white middle aged man is standing in a crowd of people playing a saxophone.</t>
  </si>
  <si>
    <t>As he continues,the video pans out and several other people join him in playing the saxophone and it is revealed that someone else is pressing the buttons for the man as he is blowing into the instrument.</t>
  </si>
  <si>
    <t>Then the camera pans back out and the crowd begins clapping for the audience.</t>
  </si>
  <si>
    <t>v_U0Q10ZdqnJo</t>
  </si>
  <si>
    <t>There's a woman in a white shirt in an indoor tennis court hitting balls across the court.</t>
  </si>
  <si>
    <t>She bounces the ball on the ground and then serves the ball across the net.</t>
  </si>
  <si>
    <t>v_rcpsp52nguY</t>
  </si>
  <si>
    <t>A man walks across some snow carrying a large snow shovel.</t>
  </si>
  <si>
    <t>The man shovels a long path of snow.</t>
  </si>
  <si>
    <t>The man turns around and shovels a long path of snow again.</t>
  </si>
  <si>
    <t>The man shovels snow for a third time.</t>
  </si>
  <si>
    <t>The man shovels a really long path of snow at a different location.</t>
  </si>
  <si>
    <t>The man turns around and shovels a second path of snow, right next to the recent shoveled snow path.</t>
  </si>
  <si>
    <t>v_XEqijKYIJNg</t>
  </si>
  <si>
    <t>A woman shows a dish with vegetables and display the calories, the ingredients and the preparation of a dish.</t>
  </si>
  <si>
    <t>Then, the woman puts vegetables on a bowl, then she fry a leave and put it in the bowl.</t>
  </si>
  <si>
    <t>Then, the woman mix the vegetables and serves it on a dish.</t>
  </si>
  <si>
    <t>v_QX3pwZOJbRs</t>
  </si>
  <si>
    <t>Two women attempt to wash two dogs.</t>
  </si>
  <si>
    <t>They get in the tub with the dogs and do shampoo, soap, and then rinse the dogs.</t>
  </si>
  <si>
    <t>They dry the dogs and the dogs are much happier.</t>
  </si>
  <si>
    <t>v_7n9It_jjaBg</t>
  </si>
  <si>
    <t>A man stands on a bridge guardrail with a harness while another man holds him.</t>
  </si>
  <si>
    <t>The man jumps off the bridge to the river below.</t>
  </si>
  <si>
    <t>The man swings back and forth over the rapids.</t>
  </si>
  <si>
    <t>v_f0CVl853HUg</t>
  </si>
  <si>
    <t>A woman wearing green with red hair is scrubbing some clothes vigorously.</t>
  </si>
  <si>
    <t>The water and soap is splashing off of it on to the wall/ She picks up the piece of cloth and hits it against the stand.</t>
  </si>
  <si>
    <t>Then she gets some water from a buckets and pours it over.</t>
  </si>
  <si>
    <t>She squeezes it out and then put the cloth into a bucket of soapy water.</t>
  </si>
  <si>
    <t>v_SIX51vtOOek</t>
  </si>
  <si>
    <t>There's an open land area with greenery around and grassy surface area.</t>
  </si>
  <si>
    <t>There's a lawn trimmer lying on the ground near some over grown patches of grass.</t>
  </si>
  <si>
    <t>A person wearing gray pants and gloves using a lawn trimmer to trim the patches of grass.</t>
  </si>
  <si>
    <t>He is trimming the lawn in a back and forth motion, moving the trimmer horizontally across the grass.</t>
  </si>
  <si>
    <t>v_IKhLjVIYisg</t>
  </si>
  <si>
    <t>A close up is shown of a cracked asphalt road.</t>
  </si>
  <si>
    <t>Then we see a man walking, carrying a pair of inline skates.</t>
  </si>
  <si>
    <t>The man performs stunts, going down staircases and riding medians, doing flips and riding backwards.</t>
  </si>
  <si>
    <t>When he is done, he rides away.</t>
  </si>
  <si>
    <t>v_nQVJyUX8fHw</t>
  </si>
  <si>
    <t>A child plays tennis in a court returning balls while a boy stands next to her.</t>
  </si>
  <si>
    <t>The boy left the court while the child continues returning balls, then the boy returns.</t>
  </si>
  <si>
    <t>Then, the boy left again the court, and then he returns with a racket and a ball.</t>
  </si>
  <si>
    <t>The child serves the ball, and the boy helps stands next her watching.</t>
  </si>
  <si>
    <t>v_3k5dJSs2zkg</t>
  </si>
  <si>
    <t>A man is seen speaking to the camera and leads into several shots of people speaking and wearing heels.</t>
  </si>
  <si>
    <t>The women walk on the ground down a street while many watch and then all run down the road in heels.</t>
  </si>
  <si>
    <t>v_im6KJzbZzKE</t>
  </si>
  <si>
    <t>An athletic woman is seen standing before a track and begins running down the side.</t>
  </si>
  <si>
    <t>She runs and jumps into a sand pit while a man records her score.</t>
  </si>
  <si>
    <t>Several more clips are shown of women running down the track and jumping into the pit.</t>
  </si>
  <si>
    <t>v_lM3uGxHWZBA</t>
  </si>
  <si>
    <t>Several people are seen running around a field playing a game together.</t>
  </si>
  <si>
    <t>The players cheer and speak to one another as well as showing more highlights of the game.</t>
  </si>
  <si>
    <t>More clips are shown of people walking away and playing the game.</t>
  </si>
  <si>
    <t>v_38nAdby_fTw</t>
  </si>
  <si>
    <t>A person rides a dirt bike over a hill or dirt pile with help from an incline structure.</t>
  </si>
  <si>
    <t>A person stands, shakes their head and leaves on a dirt bike.</t>
  </si>
  <si>
    <t>Two guys sit on their dirt bike and discuss.</t>
  </si>
  <si>
    <t>One guy uses his rear tire to cause dirt to spray.</t>
  </si>
  <si>
    <t>v_swId_MFHywI</t>
  </si>
  <si>
    <t>A black book called Windmills is on the screen.</t>
  </si>
  <si>
    <t>The camera zooms into a dancer.</t>
  </si>
  <si>
    <t>VincaniTV comes up on the screen.</t>
  </si>
  <si>
    <t>the instructor is talking.</t>
  </si>
  <si>
    <t>The instructor is sitting on the floor introducing the move.</t>
  </si>
  <si>
    <t>A shot of the move is shown, then the instructor shows how to do it.</t>
  </si>
  <si>
    <t>He pushes himself up on his hand and does another move.</t>
  </si>
  <si>
    <t>He is on one knee to show another move.</t>
  </si>
  <si>
    <t>The screen goes to another shot of the same move but faster this time.</t>
  </si>
  <si>
    <t>The instructor is standing and talking.</t>
  </si>
  <si>
    <t>The screen ends with a VincaniTV promo.</t>
  </si>
  <si>
    <t>v_TnOdqLQPQA4</t>
  </si>
  <si>
    <t>A woman is standing in a camp site.</t>
  </si>
  <si>
    <t>She lights matches and throws them into a pile of wood.</t>
  </si>
  <si>
    <t>v_c6BcS5NdI6E</t>
  </si>
  <si>
    <t>A large group of people are seen playing a game of volley ball with one another while moving around the beach.</t>
  </si>
  <si>
    <t>Several shots are shown of the people wandering around one another playing the game back and fourth over the net and helping one another.</t>
  </si>
  <si>
    <t>v_-SYV9IB-36s</t>
  </si>
  <si>
    <t>An ad for Howcast is shown.</t>
  </si>
  <si>
    <t>It is followed by a woman in a chair who smiles for the camera, and a woman with braided hair who is speaking.</t>
  </si>
  <si>
    <t>The woman in red applies various makeups to the seated woman, explaining the process as she goes.</t>
  </si>
  <si>
    <t>When she is finished, she speaks again to the camera.</t>
  </si>
  <si>
    <t>v_AZaSkc1gnhY</t>
  </si>
  <si>
    <t>A man drinks coffee and then plays guitar indoor.</t>
  </si>
  <si>
    <t>The man makes a pause and takes his coffee.</t>
  </si>
  <si>
    <t>Then, the man hols a cup of coffee and a guitar in the street.</t>
  </si>
  <si>
    <t>After, the man plays guitar indoor on front an audience.</t>
  </si>
  <si>
    <t>Next, the man plays harmonica and guitar at the same time.</t>
  </si>
  <si>
    <t>v_assDWZW6zTA</t>
  </si>
  <si>
    <t>A boy is seen speaking to the camera holding two basketballs and leads into him holding them up to his face.</t>
  </si>
  <si>
    <t>The boy then moves up and down the court while dribbling the balls and shoots a basket off in the end.</t>
  </si>
  <si>
    <t>v_5WJL9eJ8YDw</t>
  </si>
  <si>
    <t>An intro leads into several clips of people standing in a circle and throwing an object off into the distance and ends by walking away.</t>
  </si>
  <si>
    <t>Several more people are seen steeping up into the circle throwing objects off into the distance and cheering with one another.</t>
  </si>
  <si>
    <t>v_PJdE8Ui2eno</t>
  </si>
  <si>
    <t>A man is seen holding onto a rope and speaking to the camera.</t>
  </si>
  <si>
    <t>He holds up his belt while speaking to the camera and begins climbing up the wall.</t>
  </si>
  <si>
    <t>The man climbs all the way up the wall and ends by looking off from the camera.</t>
  </si>
  <si>
    <t>v_sHRajZw7A8g</t>
  </si>
  <si>
    <t>We see a blue opening screen with a drink.</t>
  </si>
  <si>
    <t>We see a lady mixing drinks behind a bar.</t>
  </si>
  <si>
    <t>The lady add ice and three shots liquor to a glass.</t>
  </si>
  <si>
    <t>The lady pours something red in the glass.</t>
  </si>
  <si>
    <t>The lady adds something form the dispenser and a can.</t>
  </si>
  <si>
    <t>The lady stirs then pushes the drink forward.</t>
  </si>
  <si>
    <t>We see a red closing screen and a long black screen.</t>
  </si>
  <si>
    <t>v_3Edxa-t4MxA</t>
  </si>
  <si>
    <t>Various shots of trophies are shown with girls interviewing the camera as well as performing gymnastics moves.</t>
  </si>
  <si>
    <t>An instructor then shows the girls how to perform a stunt properly and has another girl climb on top of their hands.</t>
  </si>
  <si>
    <t>The girl continuously perform stunts with the instructors help and another girl is shown speaking to the camera.</t>
  </si>
  <si>
    <t>v_EWt03pUigc0</t>
  </si>
  <si>
    <t>There's a news reporter dressed in a pink floral dress and a white jacket giving an update on sports news.</t>
  </si>
  <si>
    <t>She shows events of the London Paralympics.</t>
  </si>
  <si>
    <t>She is showing the viewers the different events such as shoot put, swimming and running and the gold medals that were won in these events.</t>
  </si>
  <si>
    <t>While the news is being telecast, there are captions on the bottom about current events.</t>
  </si>
  <si>
    <t>She also shows the viewers all the medals that are won by all countries that participated in the Paralympics.</t>
  </si>
  <si>
    <t>v_u10c6Nx4K0A</t>
  </si>
  <si>
    <t>A woman runs down a dirt path.</t>
  </si>
  <si>
    <t>She uses a pole to vault over a high beam.</t>
  </si>
  <si>
    <t>v_j6S6eWSeGr0</t>
  </si>
  <si>
    <t>A person is shown in fast motion spraying liquid all over a fence in a back yard.</t>
  </si>
  <si>
    <t>The person continues spraying and ends with the camera fading to black.</t>
  </si>
  <si>
    <t>v_xKDHIyd_tWA</t>
  </si>
  <si>
    <t>The video begins with a title slide.</t>
  </si>
  <si>
    <t>A woman and child are in a park with a jump rope.</t>
  </si>
  <si>
    <t>The woman begins to demonstrate how to use the jump rope while the child attempts to copy her.</t>
  </si>
  <si>
    <t>At one point, another woman in the background runs across the screen while jump roping.</t>
  </si>
  <si>
    <t>The video ends with both women speaking to the camera and a final title sequence.</t>
  </si>
  <si>
    <t>v_-v9YLmGCYO0</t>
  </si>
  <si>
    <t>A baby is sitting in a swing.</t>
  </si>
  <si>
    <t>The baby is laughing and shaking its feet.</t>
  </si>
  <si>
    <t>The baby turns to the side of the swing.</t>
  </si>
  <si>
    <t>v_M6O-QNDUdwU</t>
  </si>
  <si>
    <t>Several swimmers walk past each other, shaking hands.</t>
  </si>
  <si>
    <t>They gather in the pool, then engage in a game of water polo.</t>
  </si>
  <si>
    <t>They hit the ball back and forth, trying to get it into the net.</t>
  </si>
  <si>
    <t>v_8cKjwHtCGU0</t>
  </si>
  <si>
    <t>A man in a red shirt is talking to the camera.</t>
  </si>
  <si>
    <t>He begins to hit a ball against a wall in front of him.</t>
  </si>
  <si>
    <t>He stops and walks towards the camera.</t>
  </si>
  <si>
    <t>v_sX8Rr1o4XWM</t>
  </si>
  <si>
    <t>A close up of a sign is shown followed by a person dipping paint.</t>
  </si>
  <si>
    <t>The person is then seen spreading paint all around the area while another smiles to the camera.</t>
  </si>
  <si>
    <t>The men continue to lay plaster down on the walls.</t>
  </si>
  <si>
    <t>v_J65l9OEP3pI</t>
  </si>
  <si>
    <t>A man is cleaning snow that has fallen on his car.</t>
  </si>
  <si>
    <t>He is standing on the road where his car is parked.</t>
  </si>
  <si>
    <t>He clears off snow from the top of his car by scraping it.</t>
  </si>
  <si>
    <t>He then cleans the sides of his car.</t>
  </si>
  <si>
    <t>He gives someone a thumbs up as he cleans the car.</t>
  </si>
  <si>
    <t>He then moves to the front of the car to clean the windshield.</t>
  </si>
  <si>
    <t>v_1D7iddqIIhM</t>
  </si>
  <si>
    <t>A close up of a hookah is seen that leads to another man.</t>
  </si>
  <si>
    <t>The man grabs the hose and takes a hit from the hookah.</t>
  </si>
  <si>
    <t>The man then blows smoke into the camera lens.</t>
  </si>
  <si>
    <t>v_oYH-XLQzMxU</t>
  </si>
  <si>
    <t>The man bounces the ball and hits it with his racket.</t>
  </si>
  <si>
    <t>The man bounces the ball and hits it across the court.</t>
  </si>
  <si>
    <t>The man then bounces and hits one more ball.</t>
  </si>
  <si>
    <t>v_hsUfo_jHQ60</t>
  </si>
  <si>
    <t>An athletic man is seen running through a street in slow motion while the camera moves around his body.</t>
  </si>
  <si>
    <t>The video then freezes on his feet to show text and ends with him holding his arms up into the air.</t>
  </si>
  <si>
    <t>v_YddPa1ujWuk</t>
  </si>
  <si>
    <t>A woman is seen speaking to the camera while holding up a box and newspaper.</t>
  </si>
  <si>
    <t>The woman then begins cutting the news paper and place the box in the middle.</t>
  </si>
  <si>
    <t>The women wraps up the box with the news paper and tapes it down on the sides.</t>
  </si>
  <si>
    <t>v_20i6YGSnt-c</t>
  </si>
  <si>
    <t>A man is seen speaking to the camera and begins shaving off his facial hair.</t>
  </si>
  <si>
    <t>The man continues shaving and shows off his before and after pictures.</t>
  </si>
  <si>
    <t>v_UeMcMSTO-Yg</t>
  </si>
  <si>
    <t>A woman is seen speaking to the camera and showing off various tools to the camera.</t>
  </si>
  <si>
    <t>She explains how each tool works for cleaning a horse and ends by smiling to the camera.</t>
  </si>
  <si>
    <t>v_II3AiNrQ1uA</t>
  </si>
  <si>
    <t>A text introduction describing the event is shown.</t>
  </si>
  <si>
    <t>A woman performs gymnastics on uneven bars while a number of spectators watch.</t>
  </si>
  <si>
    <t>The woman dismounts from the bars.</t>
  </si>
  <si>
    <t>v_nEAypudaSFs</t>
  </si>
  <si>
    <t>There's a young man in a red shirt and blue beanie hat playing the harmonica.</t>
  </si>
  <si>
    <t>He plays rhythmically as he moves the harmonica rapidly through his mouth to play a fast tune.</t>
  </si>
  <si>
    <t>He continues playing the tune as he closes his eyes in deep concentration.</t>
  </si>
  <si>
    <t>He moves the harmonica side ways as he continues playing till he comes to an end.</t>
  </si>
  <si>
    <t>v__AdJtwjeITM</t>
  </si>
  <si>
    <t>A group of older men walk into a ice rink.</t>
  </si>
  <si>
    <t>The group of men gather and get ready to play curling.</t>
  </si>
  <si>
    <t>A younger man and an older man work as a team to move the curl.</t>
  </si>
  <si>
    <t>A older gentleman smiles at the camera while holding his curling stick over his head.</t>
  </si>
  <si>
    <t>The group of men then start to display number and have a laugh.</t>
  </si>
  <si>
    <t>v_2DtotlMv9Gg</t>
  </si>
  <si>
    <t>People are playing lacrosse on a field.</t>
  </si>
  <si>
    <t>They score a point into the net.</t>
  </si>
  <si>
    <t>Two men high five on the field.</t>
  </si>
  <si>
    <t>v_HGDatODUecQ</t>
  </si>
  <si>
    <t>A close up of water rapids is shown followed by a group of people attempting to paddle in a raft.</t>
  </si>
  <si>
    <t>The people riding all down the river while sticking their paddle up at one point all together.</t>
  </si>
  <si>
    <t>v_lhH3qdh8n3g</t>
  </si>
  <si>
    <t>There are about ten or more people dressed in athletic wear doing a synchronized form of exercise.</t>
  </si>
  <si>
    <t>They are doing the steps rhythmically to the beats of a song that is played in the fitness center.</t>
  </si>
  <si>
    <t>There are disco lights flashing in the fitness center.</t>
  </si>
  <si>
    <t>They continue to do the steps as they clap their hands in between the steps.</t>
  </si>
  <si>
    <t>They also step on and step off of a step stool as they continue their steps.</t>
  </si>
  <si>
    <t>v_bx5ZHOUG-nI</t>
  </si>
  <si>
    <t>A person is seen bending down over a bucket filled with water and washing clothes in the bucket.</t>
  </si>
  <si>
    <t>The boy continues washing when another person steps in to help wash the clothes and speak to the camera.</t>
  </si>
  <si>
    <t>v_uDNLf3ty9ao</t>
  </si>
  <si>
    <t>A man in a brown sweater is sitting down and talking.</t>
  </si>
  <si>
    <t>A woman in a black and white sweater sits behind him.</t>
  </si>
  <si>
    <t>She takes off her sweater and puts it on the chair behind him.</t>
  </si>
  <si>
    <t>A boy in a blue shirt hits behind him.</t>
  </si>
  <si>
    <t>v_9E-FFtZl9qM</t>
  </si>
  <si>
    <t>A woman is seen speaking to the camera and leading into clips of her running.</t>
  </si>
  <si>
    <t>Close ups of her feet are shown as well as more clips of her speaking and running.</t>
  </si>
  <si>
    <t>She's shown packing up a car and showing off her tools as well as her gear while still running on the road.</t>
  </si>
  <si>
    <t>v_lwqSz2Q2L-E</t>
  </si>
  <si>
    <t>A woman is seen sitting on a stool smoking a cigarette and looking off into the distance.</t>
  </si>
  <si>
    <t>The woman blows smoke into the air as the camera captures her from several angles continuously smoking.</t>
  </si>
  <si>
    <t>v_5JkN8t5k0jU</t>
  </si>
  <si>
    <t>An intro of titles eventually leads to an athlete holding a large amount of weights over his head.</t>
  </si>
  <si>
    <t>The same man does another lit with his weights while another man watches in the background.</t>
  </si>
  <si>
    <t>He throws the weights down and throws his arms up in the air to celebrate.</t>
  </si>
  <si>
    <t>v_LXHc1X1pKEM</t>
  </si>
  <si>
    <t>A woman with short hair and a white tank top is sitting in her bathroom talking about a cyclist who is going to shave his legs.</t>
  </si>
  <si>
    <t>She stands up and shows the cycling team printed on her tank top.</t>
  </si>
  <si>
    <t>She shows the viewers the type of razor she will be using.</t>
  </si>
  <si>
    <t>There's a young man sitting on the bath tub along with the woman.</t>
  </si>
  <si>
    <t>He washes his legs with baby soap and water and begins shaving his legs.</t>
  </si>
  <si>
    <t>Then the woman takes the razor and helps her husband shave his legs.</t>
  </si>
  <si>
    <t>v__cLb2ZRS_4M</t>
  </si>
  <si>
    <t>many guys in all black stands on a grassy area with music instruments and does a sync performance in front of other people sitting on the grass watching.</t>
  </si>
  <si>
    <t>the guys play the drums and do movements back and forth as they play the drums that is connected to there body.</t>
  </si>
  <si>
    <t>the guys do hand movements and stomps there feet lightly as part of the performance.</t>
  </si>
  <si>
    <t>v_P6z57_sYXm8</t>
  </si>
  <si>
    <t>Windsurfer turns his sail around in a 360.</t>
  </si>
  <si>
    <t>Windsurfer rides the waves slowly forward.</t>
  </si>
  <si>
    <t>Man walks in front of the camera.</t>
  </si>
  <si>
    <t>Windsurfer spins his sail around quickly.</t>
  </si>
  <si>
    <t>Windsurfer falls into the ocean.</t>
  </si>
  <si>
    <t>v_mb5CLhyHMvU</t>
  </si>
  <si>
    <t>People are skiing down a snowy slope very slowly and gracefully.</t>
  </si>
  <si>
    <t>A little boy is bending down trying to catch more speed, he is pretty good at skiing.</t>
  </si>
  <si>
    <t>They continue forward very slowly taking their time and enjoying the experience.</t>
  </si>
  <si>
    <t>they start to slow down a bit almost stopping but then they build back up and continue on.</t>
  </si>
  <si>
    <t>v_XztphLXwZjU</t>
  </si>
  <si>
    <t>A man is indoors, quickly placing wood tiles onto a floor as the camera plays extremely fast.</t>
  </si>
  <si>
    <t>He uses a leveler and cutter and completes the room with grout before walking out.</t>
  </si>
  <si>
    <t>v_KfP205pf7PU</t>
  </si>
  <si>
    <t>Cars drive by a sign by the road.</t>
  </si>
  <si>
    <t>Several women are shown around a table preparing to knit.</t>
  </si>
  <si>
    <t>A woman talks to the camera in an interview style.</t>
  </si>
  <si>
    <t>The women around the table engage in knitting-related activities.</t>
  </si>
  <si>
    <t>A bus is shown parked outside the building.</t>
  </si>
  <si>
    <t>The woman from the interview scene talks to the camera again.</t>
  </si>
  <si>
    <t>The women at the table are shown knitting.</t>
  </si>
  <si>
    <t>Several exterior shots of the building's locale are shown.</t>
  </si>
  <si>
    <t>The women at the table are shown knitting again.</t>
  </si>
  <si>
    <t>v_bhAVJ2uUw0U</t>
  </si>
  <si>
    <t>A person is seen wiping off the face of a baby with a rag while the baby sticks it's tongue out.</t>
  </si>
  <si>
    <t>the woman continues cleaning the baby and is shown smiling to the camera and waving.</t>
  </si>
  <si>
    <t>v_c1T9LbXOVUs</t>
  </si>
  <si>
    <t>Two men are seen playing rock paper scissors with one another and hitting the person who loses.</t>
  </si>
  <si>
    <t>The men continue playing this game back and fourth and rub each other's heads while others watch.</t>
  </si>
  <si>
    <t>v_Q48_MDiak-w</t>
  </si>
  <si>
    <t>An athlete performs hammer Throw by spins a heavy ball several times with his body.</t>
  </si>
  <si>
    <t>Then, the athlete throws the ball to the field.</t>
  </si>
  <si>
    <t>v_Sx7YgFLnwfM</t>
  </si>
  <si>
    <t>A woman is sitting in a chair talking.</t>
  </si>
  <si>
    <t>A persons hand is playing rock paper scissors with a robot.</t>
  </si>
  <si>
    <t>A man in a white shirt is talking to the woman.</t>
  </si>
  <si>
    <t>v_0_9_HIvxNMw</t>
  </si>
  <si>
    <t>A group of people are dressed in ski gear, riding in a lift.</t>
  </si>
  <si>
    <t>They are seen going down hills, skiing and throwing snow into the air.</t>
  </si>
  <si>
    <t>v_bqv3vCT0T5s</t>
  </si>
  <si>
    <t>A 2011 dance competition in Israel is shown with a woman in gold belly dancing solo with neon lights behind her.</t>
  </si>
  <si>
    <t>She turns her back to the audience to show different angles of her moves.</t>
  </si>
  <si>
    <t>Finally, she artfully collapses on the floor as the song ends.</t>
  </si>
  <si>
    <t>v_z5bc9KKiAGI</t>
  </si>
  <si>
    <t>A boy is standing behind a counter.</t>
  </si>
  <si>
    <t>He is throwing darts at a wall.</t>
  </si>
  <si>
    <t>A woman is standing next to him.</t>
  </si>
  <si>
    <t>v_SCM5-6hQCGY</t>
  </si>
  <si>
    <t>The little girl who's wearing a rainbow sweater is shown sitting in the sand making a huge hill of sand.</t>
  </si>
  <si>
    <t>Next she looks up and says something.</t>
  </si>
  <si>
    <t>she then keeps adding more sand to the hill.</t>
  </si>
  <si>
    <t>then a little boy joins her and just touches the hill, but walks away.</t>
  </si>
  <si>
    <t>He then comes back again to point at the hill.</t>
  </si>
  <si>
    <t>v_SlgBcsCTy58</t>
  </si>
  <si>
    <t>A woman is seen speaking to the camera while transitioning into shots of her grooming a dog.</t>
  </si>
  <si>
    <t>The girl is seen washing the dogs as well as blow drying them and trimming their fur.</t>
  </si>
  <si>
    <t>She continues speaking while showing off her clean dogs and others walking on the side.</t>
  </si>
  <si>
    <t>v_wohWWAB47KM</t>
  </si>
  <si>
    <t>A man is water skiing behind a boat on a lake.</t>
  </si>
  <si>
    <t>Some people show up on the screen who are watching and recording.</t>
  </si>
  <si>
    <t>The water skier tries to do a flip and ends up crashing into the water.</t>
  </si>
  <si>
    <t>v_BUk-fR6TAnk</t>
  </si>
  <si>
    <t>A blue page with white writing explains that the video is about how to wrap a present.</t>
  </si>
  <si>
    <t>Scissors and different types of tape are shown, as well as a roll of wrapping paper.</t>
  </si>
  <si>
    <t>A woman is on the floor with a box.</t>
  </si>
  <si>
    <t>She demonstrates how to cut and fold the paper around the present.</t>
  </si>
  <si>
    <t>She tapes the present shut.</t>
  </si>
  <si>
    <t>She then places a translucent bow on the gift.</t>
  </si>
  <si>
    <t>v_e6Dhfn1d3ic</t>
  </si>
  <si>
    <t>Men are acting silly in a bathroom.</t>
  </si>
  <si>
    <t>One man shows off his legs to the camera.</t>
  </si>
  <si>
    <t>Two men are dancing and shaving their legs near the sink.</t>
  </si>
  <si>
    <t>Another man joins the men near the sink to help with the shaving.</t>
  </si>
  <si>
    <t>v_zTnRo6yABtg</t>
  </si>
  <si>
    <t>A man walks onto a field in front of his dog.</t>
  </si>
  <si>
    <t>He throws a frisbee, and the dog catches it.</t>
  </si>
  <si>
    <t>He does several tricks with the frisbees and the dog.</t>
  </si>
  <si>
    <t>v_FUrLg7FETWo</t>
  </si>
  <si>
    <t>A woman is seen swinging an ax down on a log while another man watches on the side.</t>
  </si>
  <si>
    <t>Another woman takes off the log and the girl prepares to swing.</t>
  </si>
  <si>
    <t>She swings the ax again and looks back smiling to the camera.</t>
  </si>
  <si>
    <t>v_k_gjsTv-jy8</t>
  </si>
  <si>
    <t>A person is standing behind a counter putting food onto a tray.</t>
  </si>
  <si>
    <t>They put the tray into an oven.</t>
  </si>
  <si>
    <t>They take the tray out of the oven and lift cookies onto a plate.</t>
  </si>
  <si>
    <t>They wash off the mat in the sink.</t>
  </si>
  <si>
    <t>v_0JCM9uzZafU</t>
  </si>
  <si>
    <t>We see a ladies hand on a magazine.</t>
  </si>
  <si>
    <t>The lady cuts slices of an article.</t>
  </si>
  <si>
    <t>She puts the paper in water and lays then on her white nails, she peels the paper off and the letters stick.</t>
  </si>
  <si>
    <t>The lady puts clear polish over the nails.</t>
  </si>
  <si>
    <t>The lady sticks rhinestones to her nails.</t>
  </si>
  <si>
    <t>The lady puts clear polish over the decorated nails.</t>
  </si>
  <si>
    <t>We see the lady turning pages in the magazine.</t>
  </si>
  <si>
    <t>We see the white ending screen.</t>
  </si>
  <si>
    <t>v_y8OQkNk8WpY</t>
  </si>
  <si>
    <t>People are sliding down the ice.</t>
  </si>
  <si>
    <t>They are holding a curling stick and a ball.</t>
  </si>
  <si>
    <t>Two men in white shirts run next to the person sliding.</t>
  </si>
  <si>
    <t>v_NbTlXQLScRo</t>
  </si>
  <si>
    <t>A man is seen speaking to the camera followed by him laying several ingredients out and boiling them in some water.</t>
  </si>
  <si>
    <t>He then pours more food items under water and into a pot filled with water.</t>
  </si>
  <si>
    <t>v_iNhoeDq_EBQ</t>
  </si>
  <si>
    <t>A large group of people are seen standing on a mat and performing a routine with one another.</t>
  </si>
  <si>
    <t>The people do various flips and tricks around the mat and end with a pose and waving to the audience.</t>
  </si>
  <si>
    <t>v_Jd3D2d-RwL0</t>
  </si>
  <si>
    <t>A close up of a leaf blower is shown followed by the camera looking around the area.</t>
  </si>
  <si>
    <t>A hand is then seen starting the machine and pushing the machine around the yard.</t>
  </si>
  <si>
    <t>The man turns off the machine and looks around the front while pointing to the top of the machine.</t>
  </si>
  <si>
    <t>The camera pans around the machine and the man is shown giving a thumbs up.</t>
  </si>
  <si>
    <t>v_sb0r71oGs3M</t>
  </si>
  <si>
    <t>A lady sits on a couch and discusses.</t>
  </si>
  <si>
    <t>The lady sails a boat.</t>
  </si>
  <si>
    <t>The lady goes water boarding.</t>
  </si>
  <si>
    <t>v_zf4MXHeiSXs</t>
  </si>
  <si>
    <t>People rides horses on an unpaved road passing for the woods and on front the ocean.</t>
  </si>
  <si>
    <t>People arrive to a place and gets off the horse and then continue riding passing woods, river, the ocean and beautiful landscapes.</t>
  </si>
  <si>
    <t>Then, people arrive to a camping place, then they running on front the ocean.</t>
  </si>
  <si>
    <t>v_N3WVKg7Q2io</t>
  </si>
  <si>
    <t>Some boys are in the pools playing with volleyballs.</t>
  </si>
  <si>
    <t>There is a large swimming team swimming and throwing the ball around to their team mates, scoring.</t>
  </si>
  <si>
    <t>Then, there is a team on the filed playing flag football.</t>
  </si>
  <si>
    <t>They are running around trying to score for their team.</t>
  </si>
  <si>
    <t>v_ub0pmYL8i5s</t>
  </si>
  <si>
    <t>A silver sink is shown and a black hose with a scrubber on the bottom of it begins cleaning the sink with steam coming out of it.</t>
  </si>
  <si>
    <t>Once completed,the person then takes a white rag and goes into the sink and washes away the moisture from the steam.</t>
  </si>
  <si>
    <t>v_k42CKebiSLA</t>
  </si>
  <si>
    <t>A man travels to Japan to study how to be a sumo wrestler.</t>
  </si>
  <si>
    <t>The man gets training and learns the techniques of sumo.</t>
  </si>
  <si>
    <t>v_BoKEPRjFydk</t>
  </si>
  <si>
    <t>There are several athletes doing discus throw in an outdoor ring.</t>
  </si>
  <si>
    <t>The first athlete who is dressed in a red and white shirt begins the discus throw using a one and a half kilograms discus.</t>
  </si>
  <si>
    <t>He spins and rotates on the spot and throws the discus.</t>
  </si>
  <si>
    <t>Then another athlete throws the discus but in unsuccessful.</t>
  </si>
  <si>
    <t>The athlete in blue then makes his attempt at the discus throw as he swings and spins to throw the disc.</t>
  </si>
  <si>
    <t>Then another athlete who has won third place throws the discus successfully.</t>
  </si>
  <si>
    <t>Some more athletes come to the ring and throw the discus.</t>
  </si>
  <si>
    <t>The stadium bleachers are not filled with sufficient spectators due to security reasons.</t>
  </si>
  <si>
    <t>v_QYU2srH753Q</t>
  </si>
  <si>
    <t>The credits of the clip is shown.</t>
  </si>
  <si>
    <t>A person cracks their hands.</t>
  </si>
  <si>
    <t>Birds flock the sky above the dirt track.</t>
  </si>
  <si>
    <t>A person's shadow moves over the surface of a white trailer.</t>
  </si>
  <si>
    <t>A person rides a dirt bike.</t>
  </si>
  <si>
    <t>A person shovels dirt.</t>
  </si>
  <si>
    <t>A person stands with sign at the end of the dirt race track.</t>
  </si>
  <si>
    <t>A person lifts a dirt bike and places on a stool.</t>
  </si>
  <si>
    <t>A male child runs and smiles.</t>
  </si>
  <si>
    <t>A helicopter hovers over the race track.</t>
  </si>
  <si>
    <t>A lady pulls on a rider's helmet.</t>
  </si>
  <si>
    <t>v__i_ERtwvcJE</t>
  </si>
  <si>
    <t>A man is shown staring off into the distance while another holds a ball at a beer pong table.</t>
  </si>
  <si>
    <t>The camera shows the ball hitting the table and landing into the cup on the other side.</t>
  </si>
  <si>
    <t>The first man looks down at the cup and grimaces at what he sees.</t>
  </si>
  <si>
    <t>v_4R5KDUqBPcU</t>
  </si>
  <si>
    <t>There's a man wearing a black athletic suit in a shot put field practicing shot put.</t>
  </si>
  <si>
    <t>He begins by taking the ball in his hand and holding it against his neck.</t>
  </si>
  <si>
    <t>Then he spins around and throws the ball far ahead.</t>
  </si>
  <si>
    <t>v_l8aaaDY4ehA</t>
  </si>
  <si>
    <t>We see a man mowing a lawn.</t>
  </si>
  <si>
    <t>He stands on the stairs to mow.</t>
  </si>
  <si>
    <t>It switches to a woman mowing.</t>
  </si>
  <si>
    <t>It goes back to the man mowing.</t>
  </si>
  <si>
    <t>The man puts the mower in the shed and goes into the house.</t>
  </si>
  <si>
    <t>v_aFpWNTroghs</t>
  </si>
  <si>
    <t>An intro comes into the screen for a video about removing mulch.</t>
  </si>
  <si>
    <t>A man digs his heel into the base of a tree to push away the mulch.</t>
  </si>
  <si>
    <t>He gets down on his knees and begins to remove the mulch by hand by pushing it further from the base of the tree.</t>
  </si>
  <si>
    <t>He takes out some clippers and clips some of the roots.</t>
  </si>
  <si>
    <t>Last, the video ends with the closing captions.</t>
  </si>
  <si>
    <t>v_nsDyItaRUXI</t>
  </si>
  <si>
    <t>A woman is knitting what appears to be a scarf while sitting in front of a computer keyboard.</t>
  </si>
  <si>
    <t>She is using the needles to make the scarf.</t>
  </si>
  <si>
    <t>She pulls the yarn through with the loop several times.</t>
  </si>
  <si>
    <t>v_MRpg1K7YWSE</t>
  </si>
  <si>
    <t>A person's hand is seen throwing several darts onto a board on the other side of the room.</t>
  </si>
  <si>
    <t>The camera then moves closer to the board and zooms in on the location of where the darts are thrown.</t>
  </si>
  <si>
    <t>v_uEaxyzKonCY</t>
  </si>
  <si>
    <t>A group of people are seen on a tennis court with 4 men playing together.</t>
  </si>
  <si>
    <t>They continue playing the game back and fourth with each other whiles others play in the background.</t>
  </si>
  <si>
    <t>v_qkN9uA8izVE</t>
  </si>
  <si>
    <t>Two men are seen holding each other's hands and moving one to the other side arm wrestling.</t>
  </si>
  <si>
    <t>The men struggle a bit and ends with one slamming the other's down.</t>
  </si>
  <si>
    <t>v_K-eZfCs8yOc</t>
  </si>
  <si>
    <t>A young man plays violin while wearing headsets.</t>
  </si>
  <si>
    <t>Then, the young man finish playing and take off the headsets.</t>
  </si>
  <si>
    <t>v_xj-f9hzQ3Lc</t>
  </si>
  <si>
    <t>Several dirt bikers are standing under a garage behind a stand preparing to race.</t>
  </si>
  <si>
    <t>Someone calls a mark and they all stand up on their pedals preparing to be released.</t>
  </si>
  <si>
    <t>The bar is finally let down and the boys begin racing throughout the track that's covered in hills as people stand throughout it to watch them.</t>
  </si>
  <si>
    <t>v_A5JcwIaP30Y</t>
  </si>
  <si>
    <t>A man is trying to balance himself on a rope, he walks on it and does a flip off.</t>
  </si>
  <si>
    <t>He gets back on the rope and does another back flip off.</t>
  </si>
  <si>
    <t>He grips the the rope super tight with his feet while he walks across.</t>
  </si>
  <si>
    <t>He has trouble balancing on it, starts going backwards.</t>
  </si>
  <si>
    <t>v_gnVupEzu59g</t>
  </si>
  <si>
    <t>People are snowboarding down a hill of snow.</t>
  </si>
  <si>
    <t>A man in red goggles is standing in the snow.</t>
  </si>
  <si>
    <t>People are riding a ski lift up the mountain.</t>
  </si>
  <si>
    <t>v_6lIi6-Y6q10</t>
  </si>
  <si>
    <t>There's a man dressed in a formal attire with shirt and tie demonstrating how to make a cocktail called Pimms.</t>
  </si>
  <si>
    <t>He puts some ice cubes in a talll glass and then adds some Pimms in it.</t>
  </si>
  <si>
    <t>He slices some lemons and puts the lemons along with a cherry on a toothpick.</t>
  </si>
  <si>
    <t>Then he puts a slice of cucumber that is cut lengthwise into the cocktail.</t>
  </si>
  <si>
    <t>v_H3cFZelOk2Y</t>
  </si>
  <si>
    <t>Two team are in each other end of the rope while people are watching and two persons are taking pictures.</t>
  </si>
  <si>
    <t>The two teams began pulling the rope.</t>
  </si>
  <si>
    <t>The team in yellow shirt won and then two team shake hands and hugged each other and then gave a bow.</t>
  </si>
  <si>
    <t>v_M_CU9guT3C0</t>
  </si>
  <si>
    <t>A woman talks in a kitchen, then she shows a brush.</t>
  </si>
  <si>
    <t>The woman opens the faucet and washes a dish with the brush, then she brush her hand while explaining.</t>
  </si>
  <si>
    <t>Then, she washes a dish with the brush, then she explains showing the brush.</t>
  </si>
  <si>
    <t>v_jwYgWG2fqOA</t>
  </si>
  <si>
    <t>A dancer positions herself to begin her dance.</t>
  </si>
  <si>
    <t>The dancer performs her dance routine holding a wand.</t>
  </si>
  <si>
    <t>The woman throws her wand as part of her dance and runs to grab it and resumes her performance.</t>
  </si>
  <si>
    <t>The woman takes a bow, finishing her dance.</t>
  </si>
  <si>
    <t>v_fO2fWjYEhMc</t>
  </si>
  <si>
    <t>A man in white shirt and white shorts is holding a croquet bat, he is bending over and swing the bat slowly in the air before hitting the blue ball.</t>
  </si>
  <si>
    <t>The ball went flying passing the ball in a small rectangular holes, and hit the ground.</t>
  </si>
  <si>
    <t>v__pMQwrt-cf4</t>
  </si>
  <si>
    <t>We see the opening title screen.</t>
  </si>
  <si>
    <t>We see stills of the flooring material.</t>
  </si>
  <si>
    <t>A man cuts and puts the superfloor on the floor.</t>
  </si>
  <si>
    <t>The man then unrolls carpet over the superfloor.</t>
  </si>
  <si>
    <t>We then see the ending screen.</t>
  </si>
  <si>
    <t>v_tGuPkIKGIK4</t>
  </si>
  <si>
    <t>A woman holds a dog and take to the bathroom to take a bath in a bathtub while rubbing the body with soap.</t>
  </si>
  <si>
    <t>The dog waits until the woman grab a towel to dry the body of the dog.</t>
  </si>
  <si>
    <t>The dog looks angry and show his teeth.</t>
  </si>
  <si>
    <t>Then, woman give a kiss to then dog.</t>
  </si>
  <si>
    <t>v_8eqO6e2wWmY</t>
  </si>
  <si>
    <t>A few men and a woman are indoors playing badminton They are very into it and competing heavily.</t>
  </si>
  <si>
    <t>The men go back and forth in an attempt to score and are very focused.</t>
  </si>
  <si>
    <t>Various shots in fast motion and in slow motion are shown of the action.</t>
  </si>
  <si>
    <t>v_HGy8UgabFMw</t>
  </si>
  <si>
    <t>A man in blue shirt and jeans is wearing black gloves and trimming the hedge with an orange trimming machine, doing the side first then the front and then the other side.</t>
  </si>
  <si>
    <t>He climbed the blue-green ladder to trim the top of the hedge, he moved the ladder to do the middle top of the hedge.</t>
  </si>
  <si>
    <t>The man trimmed the round low bush, used the ladder to trim the top of the round hedge.</t>
  </si>
  <si>
    <t>v_mGLCCohSA0A</t>
  </si>
  <si>
    <t>Several kitchens are shown in the backdrop as a Around the House Menards logo flashes in the middle of the screen.</t>
  </si>
  <si>
    <t>After, a man in blue polo is shown pasting tile on the back of the kitchen walls to renovate the home.</t>
  </si>
  <si>
    <t>Another man is shown sanding and painting the wall and renovating another home.</t>
  </si>
  <si>
    <t>A block of tile is shown again but it is flipped over to see the net on the back of it.</t>
  </si>
  <si>
    <t>The men continue to renovate the house, measuring the wall,fixing the lights and pasting the tile on the wall.</t>
  </si>
  <si>
    <t>Finally, the finished product of the wall is shown.</t>
  </si>
  <si>
    <t>v_WEoelJQYlxk</t>
  </si>
  <si>
    <t>A picture of a man washing a car is shown and leads into several men washing the same car.</t>
  </si>
  <si>
    <t>The men vacuum the inside as well as clean the dashboard and entire interior and exterior.</t>
  </si>
  <si>
    <t>The car is shown off again in the end all clean.</t>
  </si>
  <si>
    <t>v_h9WOFfVGeAQ</t>
  </si>
  <si>
    <t>A man is standing up playing bagpipes.</t>
  </si>
  <si>
    <t>People are sitting on a couch laughing at him.</t>
  </si>
  <si>
    <t>v_8EDq3cjHhz0</t>
  </si>
  <si>
    <t>We see two people in a studio.</t>
  </si>
  <si>
    <t>We then see a man in a bowling alley speaking to the camera with a man in a bowling pin costume.</t>
  </si>
  <si>
    <t>The man then interviews a man in a black jacket.</t>
  </si>
  <si>
    <t>We see the bowling pin throw a green bowling ball.</t>
  </si>
  <si>
    <t>The newscaster then throws a blue ball down the lane and another ball at the bowling pin mascot who falls over.</t>
  </si>
  <si>
    <t>We then see a split screen with the pin running behind the newscaster and the people in the studio in the upper left corner.</t>
  </si>
  <si>
    <t>The pin throws a ball at the newscaster, and we return to the studio.</t>
  </si>
  <si>
    <t>v_wBwBm7Ju9a8</t>
  </si>
  <si>
    <t>A talking and smiling man is standing in an indoor area and then motions to his right and a woman walks towards him and she begins to talk and smile with him.</t>
  </si>
  <si>
    <t>The woman is now jumping on a trampoline by herself and then she stands on a jumping board and simulates a jump off of a diving board and going straight down into a pool, but instead she lands on a large, soft, black landing mat.</t>
  </si>
  <si>
    <t>The man is now jumping on the trampoline and he does the the exact same thing as the woman just did.</t>
  </si>
  <si>
    <t>Now the woman is standing at an outdoor pool talking and she jumps off of the diving board first, does a few flips and then lands in the water.</t>
  </si>
  <si>
    <t>The man appears in front of the camera holding up a small speedo, he shakes his head in disapproval of the speedos, throws it on the camera, and they show him doing leg warm ups wearing a long pair of swimming shorts.</t>
  </si>
  <si>
    <t>Then man goes on the diving board, rubs his hands together, then jumps off the diving board 4 times and does various flips before he lands in the water.</t>
  </si>
  <si>
    <t>The man and the woman are now on the ground talking and they turn to look at the tallest diving board, and a quick shot from tallest diving board is showing high it is, then it goes back to the man and the woman still standing next to the pool and talking.</t>
  </si>
  <si>
    <t>v_wBbSb9Ubis4</t>
  </si>
  <si>
    <t>A close up of a bull is seen as well as another laying on the ground.</t>
  </si>
  <si>
    <t>Another bull is seen running off into the distance and chasing a person.</t>
  </si>
  <si>
    <t>Several people are seen running away from a bull in many shots as they chase them down.</t>
  </si>
  <si>
    <t>v_kZMDKbfIis0</t>
  </si>
  <si>
    <t>A man is kneeling down on ice.</t>
  </si>
  <si>
    <t>He begins playing a game of curling.</t>
  </si>
  <si>
    <t>Two people scrub the ice in front of the curling ball.</t>
  </si>
  <si>
    <t>v_6aWTCiY3eww</t>
  </si>
  <si>
    <t>A man is seen climbing onto of a camel and begins walking around with a man in front.</t>
  </si>
  <si>
    <t>The man speaks to one on top and gives the camel a slap while looking back to speak to the camera.</t>
  </si>
  <si>
    <t>v_NcEWimHnC54</t>
  </si>
  <si>
    <t>We see snow covered ski slope and a title screen.</t>
  </si>
  <si>
    <t>We see people skiing and snowboarding down the hill.</t>
  </si>
  <si>
    <t>The names are shown in a blue bar above.</t>
  </si>
  <si>
    <t>We see a man holding a selfie stick as he boards down the hill.</t>
  </si>
  <si>
    <t>We see a person in dense woods riding a snowboard.</t>
  </si>
  <si>
    <t>We see the ending credits.</t>
  </si>
  <si>
    <t>v_n96adnrNnno</t>
  </si>
  <si>
    <t>Two Asians a man and a female are sitting down at a table before going to the inside of a gym.</t>
  </si>
  <si>
    <t>In the gym,several young girls begin doing gymnastics and performing before coming back and doing an interview with the reporter.</t>
  </si>
  <si>
    <t>Next,a young man approaches the bars,does his routine,and then comes back to to his interview.</t>
  </si>
  <si>
    <t>v_beRmfL0Uh28</t>
  </si>
  <si>
    <t>A Caucasian man wearing a red helmet is sitting in a boat in the water talking to water.</t>
  </si>
  <si>
    <t>The rocky water is shown and then the man comes down kayaking throughout the white waters.</t>
  </si>
  <si>
    <t>A flash of vacant water is shown then a group of ten people are pictured kayaking together over the rocks and water and eventually are pushed out the kayak by the large wave.</t>
  </si>
  <si>
    <t>The group of people continue swimming through the water trying to find land.</t>
  </si>
  <si>
    <t>They eventually get out and each person begins talking the camera about what they've just experienced.</t>
  </si>
  <si>
    <t>v_X74SOIQRD4M</t>
  </si>
  <si>
    <t>The players are running in the field with their bats.</t>
  </si>
  <si>
    <t>The player in shirt is running with player in red shirt.</t>
  </si>
  <si>
    <t>The two players began walking.</t>
  </si>
  <si>
    <t>v_RDCZQ0nWIPc</t>
  </si>
  <si>
    <t>A white screen appears and special affects reveal the words "Howcast original".</t>
  </si>
  <si>
    <t>A man is talking while various clips of people rollerblading play and a screen pops up indicating that he's giving tips on "Rollerblading Basics: How to Control Speed on Rollerblades", and he picks up a pair of rollerblades and points to the wheels, then more clips of him rollerblading and showing examples plays.</t>
  </si>
  <si>
    <t>The outro appears and it's the white screen in the intro that include the words "Howcast original".</t>
  </si>
  <si>
    <t>v_7rf06_5zNJk</t>
  </si>
  <si>
    <t>Members of a belly dance academy do a choreographed routine in an advertisement for the school.</t>
  </si>
  <si>
    <t>They move around the stage and then show their bellies.</t>
  </si>
  <si>
    <t>v_HEuC9ZEY91E</t>
  </si>
  <si>
    <t>People are going down a hill of snow on sleds.</t>
  </si>
  <si>
    <t>People are standing on the side of the hill watching them.</t>
  </si>
  <si>
    <t>People are making a snow man in the snow.</t>
  </si>
  <si>
    <t>v_s1WQ4zNikKA</t>
  </si>
  <si>
    <t>A camera pans around a shower and zooms in on a person shaving their legs.</t>
  </si>
  <si>
    <t>The camera watches her move her arms all around her legs while the water runs down the drain.</t>
  </si>
  <si>
    <t>v_Y2gFwWnli4g</t>
  </si>
  <si>
    <t>A chef speaks as she stands by a table full of cooking ingredients.</t>
  </si>
  <si>
    <t>She grabs oil and salt and pours it into a mixing bowl.</t>
  </si>
  <si>
    <t>She stirs the ingredients with some tongs.</t>
  </si>
  <si>
    <t>She pours some tomatoes, zucchini and red onions into the mixing bowl.</t>
  </si>
  <si>
    <t>She cuts up some cilantro.</t>
  </si>
  <si>
    <t>She throws the cilantro into the mixing bowl.</t>
  </si>
  <si>
    <t>She mixes the vegetables in the mixing bowl with the tongs.</t>
  </si>
  <si>
    <t>She places the vegetable on top of some arugula on a plate.</t>
  </si>
  <si>
    <t>She shows off the salad.</t>
  </si>
  <si>
    <t>v_6TgVNz6PATk</t>
  </si>
  <si>
    <t>A person in red jacket is standing at the side of the lane.</t>
  </si>
  <si>
    <t>Two people are sliding down the lane covered in snow.</t>
  </si>
  <si>
    <t>The woman in the tube is going further down the lane as she wave her arms.</t>
  </si>
  <si>
    <t>v_xLRUuV1z3QA</t>
  </si>
  <si>
    <t>A woman is standing next to a camel holding the leash.</t>
  </si>
  <si>
    <t>The woman climbed on the camel, and the camel stood up.</t>
  </si>
  <si>
    <t>The camel walk around and stopped as the woman pull the leash and the camel sat down and the woman got off the camel.</t>
  </si>
  <si>
    <t>v_rhOtqArO-3Y</t>
  </si>
  <si>
    <t>The video shows a canopy representing the Eastern Mountain Sports event.</t>
  </si>
  <si>
    <t>Several players are getting ready for the sporting event in an outdoor setting on a bright sunny day.</t>
  </si>
  <si>
    <t>There is a boy balancing on a tight rope.</t>
  </si>
  <si>
    <t>There are several other contestants walking on the tight rope.</t>
  </si>
  <si>
    <t>Several people watch the contestants perform.</t>
  </si>
  <si>
    <t>Two people are playing with a Frisbee as one person walks on the rope.</t>
  </si>
  <si>
    <t>A girl and boy try the tight rope together.</t>
  </si>
  <si>
    <t>There are people enjoying themselves on a hammock.</t>
  </si>
  <si>
    <t>The end credits thank the people and organizers of the event.</t>
  </si>
  <si>
    <t>v_SwQbnQX7LCQ</t>
  </si>
  <si>
    <t>A grey car is parked on a driveway, then a person washes the rims of the car.</t>
  </si>
  <si>
    <t>After, the person spreads soap on the car with a bottle joint to a hose, after he brushes the front light of the car.</t>
  </si>
  <si>
    <t>Then, the person cleans the hood with a cloth.</t>
  </si>
  <si>
    <t>Next, the person rinses and dries the car.</t>
  </si>
  <si>
    <t>v_Lml6HGhM4yg</t>
  </si>
  <si>
    <t>A person is seen holding a tennis racket on a field and hits the ball across the field.</t>
  </si>
  <si>
    <t>He then smiles and walks to the camera while pointing into the distance and fist bumping.</t>
  </si>
  <si>
    <t>v_u1grT0O81Qg</t>
  </si>
  <si>
    <t>A group of fencers pose with an instructor.</t>
  </si>
  <si>
    <t>The fencers are shown inside a gym, practicing.</t>
  </si>
  <si>
    <t>They jab and do various moves with each other during the match.</t>
  </si>
  <si>
    <t>v_qCtoh8hxjOA</t>
  </si>
  <si>
    <t>A person is seen sitting a top a slide and begins riding down the slide.</t>
  </si>
  <si>
    <t>She meets another person at the bottom while laughing to the camera and another person running in.</t>
  </si>
  <si>
    <t>v_n18TxTWnbFI</t>
  </si>
  <si>
    <t>A person is standing on a diving board.</t>
  </si>
  <si>
    <t>They jump off the diving board into the pool.</t>
  </si>
  <si>
    <t>He falls backward into the water.</t>
  </si>
  <si>
    <t>Someone is jumping into the water off the diving board.</t>
  </si>
  <si>
    <t>A person jumps and goes under the water.</t>
  </si>
  <si>
    <t>A man is jumping high and does a flip into the water off of the diving board.</t>
  </si>
  <si>
    <t>A person does a black flip into the water off the diving board.</t>
  </si>
  <si>
    <t>v_0jBwj0bfZ3Y</t>
  </si>
  <si>
    <t>A small ground of people are seen standing around a baseball field looking around to one another.</t>
  </si>
  <si>
    <t>Suddenly a few begin dancing around and one holds the ball in the middle.</t>
  </si>
  <si>
    <t>v_Ok_Tjkob8IA</t>
  </si>
  <si>
    <t>little kid is standing in front of a counter with jars and ingedients in front of her.</t>
  </si>
  <si>
    <t>woman is putting sugar in a pan with water and heat it, put water and lemon juice and mixing all the ingredients in a jar.</t>
  </si>
  <si>
    <t>v_1aRRlW0k-_4</t>
  </si>
  <si>
    <t>A boy is playing with a ball.</t>
  </si>
  <si>
    <t>Kids are practicing lacrosse on a field of grass.</t>
  </si>
  <si>
    <t>A man in a black jacket is watching them play.</t>
  </si>
  <si>
    <t>v_DRI64Xoxy5w</t>
  </si>
  <si>
    <t>There are lots of people standing outdoors just walking around and talking.</t>
  </si>
  <si>
    <t>A little boy goes behind a ladder and other people keep walking around.</t>
  </si>
  <si>
    <t>A pinata drops from high above and he hits the pinata using a stick and then someone comes out holding a bowl filled with bags.</t>
  </si>
  <si>
    <t>v_h7cetqsBVn0</t>
  </si>
  <si>
    <t>There is a line of camels sitting on the ground in the Outback area of Australia.</t>
  </si>
  <si>
    <t>there are tourists waiting to get onto the camels to enjoy a camel back ride.</t>
  </si>
  <si>
    <t>Men in red shirts and cowboy hats are helping the tourists get on the camels' backs.</t>
  </si>
  <si>
    <t>The camels slowly raise themselves up and begin walking around with the tourists on their backs.</t>
  </si>
  <si>
    <t>The tourists are happy as they wave to the camera as they enjoy the camel ride.</t>
  </si>
  <si>
    <t>The camels walk slowly through the dry and muddy grasslands.</t>
  </si>
  <si>
    <t>Then the tourists get off of the camels and walk towards an outdoor dinning area where several tables are arranged with white tablecloths and dinnerware.</t>
  </si>
  <si>
    <t>v__9h6NBOPTy8</t>
  </si>
  <si>
    <t>A martini glass is being filled with vodka.</t>
  </si>
  <si>
    <t>A woman is shown behind a bar with different alcohol bottles.</t>
  </si>
  <si>
    <t>She mixes them together, then decorates the final drink.</t>
  </si>
  <si>
    <t>v_oZnbAhzN3jg</t>
  </si>
  <si>
    <t>A person shows how to clean large windows.</t>
  </si>
  <si>
    <t>First the soap is applied then it is scraped away.</t>
  </si>
  <si>
    <t>The process is repeated and finished.</t>
  </si>
  <si>
    <t>v_YtPZMBePf5c</t>
  </si>
  <si>
    <t>A man is seen swirling a stick around a pot while a young boy on the side watches him work.</t>
  </si>
  <si>
    <t>The man teases the boy with a cone and lets the boy have it, only to be taken away again.</t>
  </si>
  <si>
    <t>The man then puts ice cream on the cone and smiles at the boy while he walks away and other's watch.</t>
  </si>
  <si>
    <t>v_DmTI8y6Anvo</t>
  </si>
  <si>
    <t>A basketball player is seen jumping under a basketball ball net and shooting a ball continuously at the net.</t>
  </si>
  <si>
    <t>She continues shooting and the video ends with various text across the screen.</t>
  </si>
  <si>
    <t>v_seScyTd2XSc</t>
  </si>
  <si>
    <t>A person holds out cleaning product and a spray bottle with the mixture over a kitchen sink.</t>
  </si>
  <si>
    <t>The person sprays down the stainless steel sink with detergent in a spray bottle.</t>
  </si>
  <si>
    <t>A sponge is used to scrub the sing with the cleaning solution.</t>
  </si>
  <si>
    <t>The faucet is turned on and is used to rinse out the sink.</t>
  </si>
  <si>
    <t>v_evj6y2xZCnM</t>
  </si>
  <si>
    <t>a baby in a screen is shown and someone hits the screen with a hammer.</t>
  </si>
  <si>
    <t>man is doing skateboard and is felling of the board in different places.</t>
  </si>
  <si>
    <t>man is skateboarding going down a large stairs and fells.</t>
  </si>
  <si>
    <t>man is skateboarding down a cement rail in stairs.</t>
  </si>
  <si>
    <t>v_9PRK4oy1hhY</t>
  </si>
  <si>
    <t>A reporter interview two boys and a little boy.</t>
  </si>
  <si>
    <t>Then, the big boys and the small boys play soccer table while the reporter continue the interview.</t>
  </si>
  <si>
    <t>v_FnrvqpjHe6I</t>
  </si>
  <si>
    <t>The young female players are running around the court throwing ball to on each other.</t>
  </si>
  <si>
    <t>Some of the players are avoiding the ball, so they continue to run around.</t>
  </si>
  <si>
    <t>The female players walked as they kicked the ball from one side to the next.</t>
  </si>
  <si>
    <t>The players kicked the ball to the next person on the opposite side of the court.</t>
  </si>
  <si>
    <t>v_PXvqhB91EkA</t>
  </si>
  <si>
    <t>A small group of people are seen riding exercise bikes next to one another while a woman stands in the middle motivating them.</t>
  </si>
  <si>
    <t>The people continue spinning around on the bikes with some struggling and others continuing to peddle.</t>
  </si>
  <si>
    <t>v_GEmuTigZlYA</t>
  </si>
  <si>
    <t>A woman is seen brushing copious amounts of hair off of a dog's body and collecting the fur in her hand.</t>
  </si>
  <si>
    <t>The dog moves his leg a bit as the woman continues brushing and looks back to watch her brush.</t>
  </si>
  <si>
    <t>v_YAm1JXAtqh4</t>
  </si>
  <si>
    <t>A person runs down a track and throws a javelin.</t>
  </si>
  <si>
    <t>Another person runs down the track and throws a javelin.</t>
  </si>
  <si>
    <t>v_0_ZLjaAEx5s</t>
  </si>
  <si>
    <t>The lady whips her hair from side to side.</t>
  </si>
  <si>
    <t>The lady parts her hair.</t>
  </si>
  <si>
    <t>The lady brushes her hair, applies gel to her parted hair, and starts to braid her hair.</t>
  </si>
  <si>
    <t>The lady puts a hair ties around the two braids.</t>
  </si>
  <si>
    <t>The lady puts a hat on her head.</t>
  </si>
  <si>
    <t>The lady gives a peace sign and waves.</t>
  </si>
  <si>
    <t>v_XqW8wjFpGRU</t>
  </si>
  <si>
    <t>People are dancing and choreographing a routine.</t>
  </si>
  <si>
    <t>They jump around and clap at the end.</t>
  </si>
  <si>
    <t>v_4hbMYlgO8_o</t>
  </si>
  <si>
    <t>A man is seen kneeling down in a large field around small trees and holding a stick.</t>
  </si>
  <si>
    <t>The man then wacks the stick along the grass and moving his arms back and fourth.</t>
  </si>
  <si>
    <t>v_6B3qNzgqnpc</t>
  </si>
  <si>
    <t>A person sitting in a canoe is slowly streaming down a river.</t>
  </si>
  <si>
    <t>A shot of a bird is seen off in the distance, as well as another bird.</t>
  </si>
  <si>
    <t>The canoe keeps floating while various bird are shown sitting in the water as well as the trees.</t>
  </si>
  <si>
    <t>v_d8M7yIj9jbE</t>
  </si>
  <si>
    <t>A young man is sitting down in a room talking to three other people serving as news anchors.</t>
  </si>
  <si>
    <t>The video then flips to a bar and shows Obama playing a game of pool.</t>
  </si>
  <si>
    <t>After,the four people begin talking again about the former president and his attire.</t>
  </si>
  <si>
    <t>v_KmhzUY2ooCw</t>
  </si>
  <si>
    <t>A backyard seen appears with several people outside.</t>
  </si>
  <si>
    <t>The people are playing a game of croquette, taking turns with the bat and hitting the balls.</t>
  </si>
  <si>
    <t>v_HKgnushHynQ</t>
  </si>
  <si>
    <t>People side dive into a swimming pool.</t>
  </si>
  <si>
    <t>People are standing in a swimming pool.</t>
  </si>
  <si>
    <t>Girls are dancing on the lawn in swim suits.</t>
  </si>
  <si>
    <t>People are jumping up and down in a swimming pool with their arms around each other.</t>
  </si>
  <si>
    <t>People begin playing water polo in the swimming pool.</t>
  </si>
  <si>
    <t>v_MyPQ_e4dGDw</t>
  </si>
  <si>
    <t>A lemon sits on a cutting board.</t>
  </si>
  <si>
    <t>Someone chops the lemon and squeezes it into a glass.</t>
  </si>
  <si>
    <t>The other half is squeezed in.</t>
  </si>
  <si>
    <t>They then add sugar to the mix.</t>
  </si>
  <si>
    <t>v_KNzFJses9jc</t>
  </si>
  <si>
    <t>A large crane is seen sitting on the ground and leads into a man using tools on a wall.</t>
  </si>
  <si>
    <t>The camera continues to watch the person work as he uses the tool to create sparks on the wall.</t>
  </si>
  <si>
    <t>v_H-fl49tiqGE</t>
  </si>
  <si>
    <t>women are in rubbers sliding down a snowy hill.</t>
  </si>
  <si>
    <t>women stands and laugh and walks.</t>
  </si>
  <si>
    <t>v_M2ntILX6VP0</t>
  </si>
  <si>
    <t>A baby calf is seen running around a sand pit when a man riding a horse and swinging a rope begins to chase him.</t>
  </si>
  <si>
    <t>The man ties up the calf and rides away while the video leads into shots of a horse kicking a rider off of it's back.</t>
  </si>
  <si>
    <t>More shots are shown of horses kicking riders off while people grab the horse in the end.</t>
  </si>
  <si>
    <t>v_1GzrcmQ5Pcc</t>
  </si>
  <si>
    <t>People are running around playing dodge ball.</t>
  </si>
  <si>
    <t>A woman is holding a camera taking a picture.</t>
  </si>
  <si>
    <t>A woman in a blue shirt poses with a man for a picture.</t>
  </si>
  <si>
    <t>v_0L959X4oxaY</t>
  </si>
  <si>
    <t>A man is standing on top of a hill.</t>
  </si>
  <si>
    <t>A woman is seated on a sled.</t>
  </si>
  <si>
    <t>She is then released down the hill, moving quickly.</t>
  </si>
  <si>
    <t>v_g7l-Y_bgPkI</t>
  </si>
  <si>
    <t>Several people are watching a man in a white hat on a tennis court.</t>
  </si>
  <si>
    <t>The man in the white hat is holding his hand up.</t>
  </si>
  <si>
    <t>The ball is served and it goes outside the court.</t>
  </si>
  <si>
    <t>The ball is thrown to the man in the white hat.</t>
  </si>
  <si>
    <t>The man in the white hat prepares to serve the ball.</t>
  </si>
  <si>
    <t>v_pmn8_4zKo7I</t>
  </si>
  <si>
    <t>A man is outside smoking a cigarette with his friend.</t>
  </si>
  <si>
    <t>They are just sitting out relaxing blowing smoke.</t>
  </si>
  <si>
    <t>Another man with a camera walks by while they sit chatting.</t>
  </si>
  <si>
    <t>Its a nice day to just relax and have a smoke outside with friends.</t>
  </si>
  <si>
    <t>v_URzytLugoVw</t>
  </si>
  <si>
    <t>Two men are running on the baseball field.</t>
  </si>
  <si>
    <t>A ball appears and falls to the ground at home plate and a man kicks it.</t>
  </si>
  <si>
    <t>Another man on the field catches the ball.</t>
  </si>
  <si>
    <t>The man with the ball's team runs over to him.</t>
  </si>
  <si>
    <t>We see the play again slow motion.</t>
  </si>
  <si>
    <t>v_GgfyTMpHfnI</t>
  </si>
  <si>
    <t>We see a girl with a braid then shaking loose curls in her hair.</t>
  </si>
  <si>
    <t>We watch the girl as she curls and braids her hair.</t>
  </si>
  <si>
    <t>The girl using a curling iron and curls her hair.</t>
  </si>
  <si>
    <t>She then braids and twists her hair into a side braid.</t>
  </si>
  <si>
    <t>The girl shows us the back of her hair and then curls the bottom with a curling iron.</t>
  </si>
  <si>
    <t>The girl makes faces and the ending title screen then loads.</t>
  </si>
  <si>
    <t>v_zPZGjZES31A</t>
  </si>
  <si>
    <t>The camera pans a residence's yard.</t>
  </si>
  <si>
    <t>A man wearing a white hoodie and black warm ups with white stripes is mowing the yard with a push lawn mower.</t>
  </si>
  <si>
    <t>The camera captures a rain storm starting and raining over the yard while the man continues to mow the yard.</t>
  </si>
  <si>
    <t>v_Ug3pM64HhK4</t>
  </si>
  <si>
    <t>A Woman is braiding her hair.</t>
  </si>
  <si>
    <t>She is Crossing the strands.</t>
  </si>
  <si>
    <t>Her braid is done on one side and she continues on the next.</t>
  </si>
  <si>
    <t>Crossing and adding hair to the braid.</t>
  </si>
  <si>
    <t>She finishes and turns around and puts the back into a ponytail.</t>
  </si>
  <si>
    <t>v_MoVZoCmkdjY</t>
  </si>
  <si>
    <t>A man and a woman sit behind a table.</t>
  </si>
  <si>
    <t>The man pours a drink into several glasses on the table.</t>
  </si>
  <si>
    <t>A woman is making a drink on the table.</t>
  </si>
  <si>
    <t>She pours a blue bottle into the drink.</t>
  </si>
  <si>
    <t>She pours the drink into smaller glasses on the table.</t>
  </si>
  <si>
    <t>v_HV_yqsiFoKA</t>
  </si>
  <si>
    <t>man wearing a black vest is alone on a ring wrestling with another man who is kneeling on the floor.</t>
  </si>
  <si>
    <t>two other men gets in the ring and are wresting the man in the center.</t>
  </si>
  <si>
    <t>people are around the ring wtching the wrest.</t>
  </si>
  <si>
    <t>three journalists are standing wearing suits and watch the men in the ring.</t>
  </si>
  <si>
    <t>v_Bbb8CybvMlk</t>
  </si>
  <si>
    <t>An introduction comes onto the screen for a video about wrapping gifts.</t>
  </si>
  <si>
    <t>Several different close up shots are shows of wrapped gifts and gift wrapping supplies.</t>
  </si>
  <si>
    <t>A person comes onto the screen and begins to wrap a gift.</t>
  </si>
  <si>
    <t>She decorates the gift with ribbons and attachments to embellish it.</t>
  </si>
  <si>
    <t>Several other gift wrapping ideas are then shown on the one after the other.</t>
  </si>
  <si>
    <t>The video ends with the closing credits shown on the screen.</t>
  </si>
  <si>
    <t>v_HiEClhlj5_A</t>
  </si>
  <si>
    <t>A camera pans down a long list and leads into a group of men and one speaking to them all.</t>
  </si>
  <si>
    <t>Two men shake hands and begin rolling paint along a long paper.</t>
  </si>
  <si>
    <t>They race to put the paper on a long wall and photographs of men measuring the wall follow.</t>
  </si>
  <si>
    <t>The men fist bump another and shake hands as the men continue writing down notes and pictures of high scores shown.</t>
  </si>
  <si>
    <t>v_IOoj4yWCoPg</t>
  </si>
  <si>
    <t>A woman is sitting outside her home and washing her clothes in a tub filled with water and soap.</t>
  </si>
  <si>
    <t>She removes the clothes from the tub and then soaks them in another tub filled with water.</t>
  </si>
  <si>
    <t>She puts the water hose into the water tub.</t>
  </si>
  <si>
    <t>She adds more clothes in the soapy water and continues washing the clothes.</t>
  </si>
  <si>
    <t>v_xMQcYD044z4</t>
  </si>
  <si>
    <t>old man is standing in front of a young man talking to him.</t>
  </si>
  <si>
    <t>young man is in the middle of stage and its spreading white cram on his hands and walks making deep beraths.</t>
  </si>
  <si>
    <t>man is ready to lifting weight in middle of a white stage and people behind jim is clapping.</t>
  </si>
  <si>
    <t>v_GwJ9DmiW8dk</t>
  </si>
  <si>
    <t>A woman in a purple bodysuit and wearing a bib on her back approaches a wooden balance beam in front of a large audience who is cheering her on.</t>
  </si>
  <si>
    <t>The woman jumps on the the balance beam and a man quickly grabs the ramp she used to jump onto the balance beam and removes it from the area.</t>
  </si>
  <si>
    <t>The woman begins her routine that includes, jumps, flips, and small dance moves.</t>
  </si>
  <si>
    <t>During the routine the woman flips and slightly loses her balance but quickly recovers and remains on the balance beam.</t>
  </si>
  <si>
    <t>The woman goes to the furthest end of the balance beam, has a very concentrated look on her face and she quickly does a series of flips off of the balance beam, lands on her feet, throws her two arms in the air and waves to the audience who is cheering wildly.</t>
  </si>
  <si>
    <t>v_3XUxm78gjJE</t>
  </si>
  <si>
    <t>People are playing baseball on a field of grass.</t>
  </si>
  <si>
    <t>A person in a blue shirt falls down throwing the baseball.</t>
  </si>
  <si>
    <t>The audience is dancing on the side of the field.</t>
  </si>
  <si>
    <t>v_RclRzty0YVE</t>
  </si>
  <si>
    <t>A person is seen standing on the beach with a soccer ball in front of him and a person standing in a goal.</t>
  </si>
  <si>
    <t>The person then kicks the ball several times to the goalie.</t>
  </si>
  <si>
    <t>The goalie attempts to block the shots that are aimed at the net.</t>
  </si>
  <si>
    <t>v_lngs7qR5AXA</t>
  </si>
  <si>
    <t>A man lays in bed and wakes up.</t>
  </si>
  <si>
    <t>The man makes and drinks a cup of coffee.</t>
  </si>
  <si>
    <t>The man drinks from the cup and when he lowers the cup the man is dress as Captain America.</t>
  </si>
  <si>
    <t>v_syAccI5soVw</t>
  </si>
  <si>
    <t>A young girl is seen performing a belly dancing routine in front of a large group of people.</t>
  </si>
  <si>
    <t>The girl continues swinging her arms and legs around in front of the audience and ends by bowing and blowing a kiss.</t>
  </si>
  <si>
    <t>v_nIIFlJnOXXs</t>
  </si>
  <si>
    <t>A woman standing behind an ironing board grabs a pair of pants.</t>
  </si>
  <si>
    <t>She starts ironing the pants inside out.</t>
  </si>
  <si>
    <t>She turns the pants back the right way and continues ironing them.</t>
  </si>
  <si>
    <t>v_n-1KBnDiWQU</t>
  </si>
  <si>
    <t>A man is on a canoe holding a paddle in a swimming pool.</t>
  </si>
  <si>
    <t>A man pivots a canoe helping with an oar.</t>
  </si>
  <si>
    <t>v_aV5DMcsNMmk</t>
  </si>
  <si>
    <t>A dog holding a cup in its mouth jumps up on a couch.</t>
  </si>
  <si>
    <t>The dog proceeds to eat something in the cup.</t>
  </si>
  <si>
    <t>v_9OVSvoKwa0A</t>
  </si>
  <si>
    <t>People are sitting in bumper cars.</t>
  </si>
  <si>
    <t>A man on the side is holding onto the side of one of the cars.</t>
  </si>
  <si>
    <t>He jumps off onto the side.</t>
  </si>
  <si>
    <t>v_Z1siDLDwbiY</t>
  </si>
  <si>
    <t>A person begins clearing snow off of a windshield on a car.</t>
  </si>
  <si>
    <t>They then clean the snow off the doors of the car.</t>
  </si>
  <si>
    <t>They then clean the back window off of a car.</t>
  </si>
  <si>
    <t>v_Ol2rfUv3zHI</t>
  </si>
  <si>
    <t>A man in a red shirt is playing a drum set.</t>
  </si>
  <si>
    <t>A man in a blue shirt is sitting down talking.</t>
  </si>
  <si>
    <t>v_13vEnzRCKzo</t>
  </si>
  <si>
    <t>The woman irons a piece of clothing on an ironing board.</t>
  </si>
  <si>
    <t>The woman flips the piece of clothing.</t>
  </si>
  <si>
    <t>The woman continues to iron the piece of clothing.</t>
  </si>
  <si>
    <t>v_FMXPFrZYhes</t>
  </si>
  <si>
    <t>A male athlete is outside in a field surrounded by people and begins to spin around and throws a shot put.</t>
  </si>
  <si>
    <t>The crowd begins to cheer and the man throws his hands up jumps in happiness.</t>
  </si>
  <si>
    <t>v_29Vrl0rJbSo</t>
  </si>
  <si>
    <t>A lady stands in a bathroom talking.</t>
  </si>
  <si>
    <t>the lady shows the camera her brush and blow dryer.</t>
  </si>
  <si>
    <t>The lady brushes her hair.</t>
  </si>
  <si>
    <t>the lady blow drys her hair while she spins her hair on a brush.</t>
  </si>
  <si>
    <t>The lady turns the blow dryer off and talks to the camera while she adjusts her hair.</t>
  </si>
  <si>
    <t>The lady puts her brush down and talks to the camera.</t>
  </si>
  <si>
    <t>v_rrTNLcPCWK8</t>
  </si>
  <si>
    <t>People are gathered on bleachers in a gym.</t>
  </si>
  <si>
    <t>Team mates come out waving a white flag.</t>
  </si>
  <si>
    <t>A basketball game commences, trying to make baskets.</t>
  </si>
  <si>
    <t>v_6NQl2Vcf0P0</t>
  </si>
  <si>
    <t>A man in a rodeo owing is performing a stunt.</t>
  </si>
  <si>
    <t>A man is riding a horse in a rodeo ring.</t>
  </si>
  <si>
    <t>the man lassos a cow and throws it to the ground.</t>
  </si>
  <si>
    <t>the man then hog ties the cow.</t>
  </si>
  <si>
    <t>The man gets back on his horse and we pan up and see the scoreboard.</t>
  </si>
  <si>
    <t>v_yWCrbhU_X_U</t>
  </si>
  <si>
    <t>Two little kids are eating an ice cream cone at mcdonalds.</t>
  </si>
  <si>
    <t>They are licking and so happy to have ice cream.</t>
  </si>
  <si>
    <t>The little girl is playing peek a boo with someone and both of their faces have ice cream on them.</t>
  </si>
  <si>
    <t>They are just enjoying the ice cream very much.</t>
  </si>
  <si>
    <t>v_5xgBlI9Xx0I</t>
  </si>
  <si>
    <t>A gymnast is shown swinging back and fourth on uneven bars.</t>
  </si>
  <si>
    <t>He performs a routine swinging around and around while hundreds of people watch.</t>
  </si>
  <si>
    <t>He finishes by sticking his arms up in the air and bowing to the audience.</t>
  </si>
  <si>
    <t>v_Ffi7vDa3C2I</t>
  </si>
  <si>
    <t>Two men are rollerblading on a sidewalk of a quiet street.</t>
  </si>
  <si>
    <t>There are four young men and women rollerblading on a street with lots of trees.</t>
  </si>
  <si>
    <t>There are some professionals rollerblading in a stadium and on a sidewalk by a fountain.</t>
  </si>
  <si>
    <t>One man jumps over a chained sidewalk while rollerblading.</t>
  </si>
  <si>
    <t>A couple is rollerblading on a sidewalk and another man is jumping over a barricade onto a sidewalk.</t>
  </si>
  <si>
    <t>Several people are rollerblading on the sidewalk.</t>
  </si>
  <si>
    <t>There are some people competing in a rollerblading competition.</t>
  </si>
  <si>
    <t>There are some men rollerblading through streets at very high speed.</t>
  </si>
  <si>
    <t>Some of them are climbing stairs with their roller blades.</t>
  </si>
  <si>
    <t>Some men are rollerblading through a busy city and on bridges.</t>
  </si>
  <si>
    <t>There is a group of young children rollerblading together.</t>
  </si>
  <si>
    <t>One man leaps over a wall while rollerblading.</t>
  </si>
  <si>
    <t>One person dives straight into water as he comes rollerblading at high speed.</t>
  </si>
  <si>
    <t>People are rollerblading through the city, going down the stairs and even on sidewalks.</t>
  </si>
  <si>
    <t>Two boys jump into an S shaped structure while rollerblading.</t>
  </si>
  <si>
    <t>Two people are doing figure eights on a bridge as they roller blade.</t>
  </si>
  <si>
    <t>One person goes steadily while rollerblading.</t>
  </si>
  <si>
    <t>v_zBmVL3I3nFU</t>
  </si>
  <si>
    <t>First the woman shows us how she looks with her afro before she makes a bug bun.</t>
  </si>
  <si>
    <t>First she sprays her hair with water from a spray bottle.</t>
  </si>
  <si>
    <t>Then she adds moisturizer to her hair and ties a ponytail holder onto her hair.</t>
  </si>
  <si>
    <t>Then she twists the ends of her hair to make a small bun and she wraps it to make it secure.</t>
  </si>
  <si>
    <t>Then she lightly twists the braiding hair and uses as many bobby pins as she needs.</t>
  </si>
  <si>
    <t>Finally, she puts gel on her edges to lay them down and she puts a bandanna on her edges.</t>
  </si>
  <si>
    <t>Then she takes it off and it's all done.</t>
  </si>
  <si>
    <t>v_fUJ88Ir7Dgc</t>
  </si>
  <si>
    <t>A person is seen walking around a track in the middle of a large audience.</t>
  </si>
  <si>
    <t>The athlete then sits down while another stands next to him and prepares.</t>
  </si>
  <si>
    <t>The man is then seen jumping over a bar followed by the same shot being shown again.</t>
  </si>
  <si>
    <t>v_5RLeo8LymY4</t>
  </si>
  <si>
    <t>A pair is rowing on kayaks down a lazy river stream.</t>
  </si>
  <si>
    <t>They use paddles to move their kayaks along the water.</t>
  </si>
  <si>
    <t>The pair looks toward each other, as if talking.</t>
  </si>
  <si>
    <t>v_FOF8YgUhRNA</t>
  </si>
  <si>
    <t>A shot of a glass being poured is shown and leads into a woman speaking to the camera.</t>
  </si>
  <si>
    <t>The woman holds a glass and mixes various liquids into the glass.</t>
  </si>
  <si>
    <t>The tops it off with a lemon and slides the drink closer and still speaking.</t>
  </si>
  <si>
    <t>v_Jm1y_W7RLSI</t>
  </si>
  <si>
    <t>A woman is seen standing before a camera and begins putting lotion on her hands and rubbing it round her face.</t>
  </si>
  <si>
    <t>The woman continuously rubs lotion all into her face and ends by looking into the camera.</t>
  </si>
  <si>
    <t>v_aKfUE-KeYWw</t>
  </si>
  <si>
    <t>This man is shown mowing the lawn while a big greyhound walks behind him.</t>
  </si>
  <si>
    <t>There is also another small dog in the yard who's just sitting down in one spot.</t>
  </si>
  <si>
    <t>v_0RZ5_8VD4vc</t>
  </si>
  <si>
    <t>This video allows viewers to hear the testimony of a customer who has used the pro roofing service.</t>
  </si>
  <si>
    <t>First the man tells how he heard about the service and how great it is.</t>
  </si>
  <si>
    <t>He also says that he chose pro roofing because the neighbors chose it and persuaded him by telling how great the service is.</t>
  </si>
  <si>
    <t>v_bHxWHW2PGy4</t>
  </si>
  <si>
    <t>The white water polo team huddles together.</t>
  </si>
  <si>
    <t>The game begins and blue scores while deep in the white defense to tie the game.</t>
  </si>
  <si>
    <t>White answers with a powerful goal to grab the lead back.</t>
  </si>
  <si>
    <t>Blue moves in and after a couple of passes ties the game back up.</t>
  </si>
  <si>
    <t>White scores to take the lead, and blue comes right back to tie once again.</t>
  </si>
  <si>
    <t>A scramble for the ball results in white gaining a 2-on-1 advantage and a goal.</t>
  </si>
  <si>
    <t>They push their lead further late and put the game out of reach, winning 14-10.</t>
  </si>
  <si>
    <t>The team celebrates together in the water.</t>
  </si>
  <si>
    <t>The team celebrates their gold metal at the podium.</t>
  </si>
  <si>
    <t>v_r4iurK3kOe8</t>
  </si>
  <si>
    <t>A girl and a dog is in the field.</t>
  </si>
  <si>
    <t>The girl is holding two frisbee, then she walked and turned side by side and the dog roll over in front of her, the dog touched the knees of the girl, the girl walked with her hands up and the dog walked with his two front paws up.</t>
  </si>
  <si>
    <t>The girl threw the frisbee and the dog chase of it and placed it on the ground.</t>
  </si>
  <si>
    <t>v_kdjLJTGj4H0</t>
  </si>
  <si>
    <t>Women are playing a game of curling.</t>
  </si>
  <si>
    <t>The audience watching them cheers and applauds.</t>
  </si>
  <si>
    <t>v_qvLFSqPCvn8</t>
  </si>
  <si>
    <t>A man grabs a tire from the back of the car and quickly runs to the front right of the car, drops it on the grass, then runs to the tire still on the car and begins to raise the car with a jack, and remove the lugs, rim and tire and throws them on the grass.</t>
  </si>
  <si>
    <t>The man then grabs the tire he pulled out from the back of the car, puts it on the car, puts the rim on it and tightens lugs onto them with his hand and then he picks up the tool and tightens the lugs with that.</t>
  </si>
  <si>
    <t>The man then removes the jack from under the car and tightens the lugs again with the tool and he stands up out of breath and smiles.</t>
  </si>
  <si>
    <t>v_YWsqpINl8Ic</t>
  </si>
  <si>
    <t>A handyman is standing in front of a porch and talking.</t>
  </si>
  <si>
    <t>The man uses two squeegees to clean two windows at the same time.</t>
  </si>
  <si>
    <t>The man finishes and puts his tools in his tool belt.</t>
  </si>
  <si>
    <t>He smiles and walks away.</t>
  </si>
  <si>
    <t>v_yVrru7t3478</t>
  </si>
  <si>
    <t>A camera is seen moving closer to a playground and shows a woman going down a slide.</t>
  </si>
  <si>
    <t>A dog rides down with her and another dog walks around the area.</t>
  </si>
  <si>
    <t>The woman rides down several more times with the small dog next to her.</t>
  </si>
  <si>
    <t>v_g2Dv154zmMU</t>
  </si>
  <si>
    <t>Two people are seen speaking to the camera and leads into them passing a ball on sticks to one another.</t>
  </si>
  <si>
    <t>The woman pauses to speak to the camera several times as well as show more clips of the two hitting the ball.</t>
  </si>
  <si>
    <t>v_yqkjHCPsdF0</t>
  </si>
  <si>
    <t>A group of people play water volleyball in a indoor pool with a few onlookers on the sidelines.</t>
  </si>
  <si>
    <t>A yellow volleyball is thrown between people in a pool.</t>
  </si>
  <si>
    <t>A person makes a goal with the yellow volleyball in a white net.</t>
  </si>
  <si>
    <t>The ball is thrown to the other side of the pool where another goal is met in a white net on the opposite side of the pool.</t>
  </si>
  <si>
    <t>v_kC1DyxcRHBg</t>
  </si>
  <si>
    <t>There's a person wearing pink gloves doing a tutorial on how to clean a white kitchen sink.</t>
  </si>
  <si>
    <t>The person sprays some white cleaning powder in the sink and then sprays some Clorox bleach on it.</t>
  </si>
  <si>
    <t>Then takes a pink scrub and begins scrubbing the sink in back and forth motion.</t>
  </si>
  <si>
    <t>The person makes sure that all the sides of the sink are cleaned, including the drain.</t>
  </si>
  <si>
    <t>Then she starts the tap to wash off the powder and bleach.</t>
  </si>
  <si>
    <t>She then uses a paper towel to wipe off the water and clean off any residual powder from the sink.</t>
  </si>
  <si>
    <t>v_AnPLZtJs7zE</t>
  </si>
  <si>
    <t>A man is talking to the camera next to a fence.</t>
  </si>
  <si>
    <t>The man is holding a paintbrush.</t>
  </si>
  <si>
    <t>The man dips the paintbrush into a bucket of paint and starts painting the fence.</t>
  </si>
  <si>
    <t>The man moves along the fence painting it.</t>
  </si>
  <si>
    <t>The man finishes painting and steps away from the fence.</t>
  </si>
  <si>
    <t>v_f6Nhpyq1XdU</t>
  </si>
  <si>
    <t>A woman standing in front of the white sing, turned on the faucet, got some liquid soap and wash her hand.</t>
  </si>
  <si>
    <t>She turned around and get some hand napkins from the wall, wiped her hands and threw the paper in the trash basket.</t>
  </si>
  <si>
    <t>v_bGql7ldp84A</t>
  </si>
  <si>
    <t>A woman comes onto the screen announcing that she will do a video on how to make a cookie dessert.</t>
  </si>
  <si>
    <t>She begins with all the ingredients she will need for the cookies and begins to combine the dry ingredients.</t>
  </si>
  <si>
    <t>She then proceeds to mix the wet ingredients in a glass bowl.</t>
  </si>
  <si>
    <t>After she mixes all the ingredients together she begins to roll the dough into balls and place them onto a cookie sheet, and puts them into the oven.</t>
  </si>
  <si>
    <t>She takes them out of the oven and begins to wrap them into individual sets.</t>
  </si>
  <si>
    <t>The video ends with the closing credits.</t>
  </si>
  <si>
    <t>v_RCyZgp1F06s</t>
  </si>
  <si>
    <t>A small child is seen sitting on a swing smiling at the camera.</t>
  </si>
  <si>
    <t>The boy moves back and fourth on the swing while another boy is seen swinging next to him.</t>
  </si>
  <si>
    <t>The two continue swinging back and fourth while the camera captures them from different angles.</t>
  </si>
  <si>
    <t>v_aF0gDTbcOxE</t>
  </si>
  <si>
    <t>Several clips are shown of robots fighting one another as well as the inside and outside of a building.</t>
  </si>
  <si>
    <t>More robots are shown close up as well as people adjusting the robots and setting them down to fight.</t>
  </si>
  <si>
    <t>The people continue using the robots and end by shaking hands and bowing with another man.</t>
  </si>
  <si>
    <t>v_STgbw-zqZJM</t>
  </si>
  <si>
    <t>A leaf blower machine blows a large pile of leaves around a parking lot.</t>
  </si>
  <si>
    <t>The machine continues moving through the lot and flowing the leaves into a large pile.</t>
  </si>
  <si>
    <t>v_JXL7LxJSjzw</t>
  </si>
  <si>
    <t>We see a lady in the woods chopping logs of wood.</t>
  </si>
  <si>
    <t>The lady puts a log on a platform.</t>
  </si>
  <si>
    <t>We see chickens running around the background.</t>
  </si>
  <si>
    <t>The lady laughs as she picks up a piece of wood.</t>
  </si>
  <si>
    <t>We see a chicken flapping it's wings in the background.</t>
  </si>
  <si>
    <t>The lady finishes and throws her hands in the air.</t>
  </si>
  <si>
    <t>v_5iIJl-wjE9U</t>
  </si>
  <si>
    <t>Girls are talking to the camera.</t>
  </si>
  <si>
    <t>They are making hand motions as they talk.</t>
  </si>
  <si>
    <t>They are playing rock, paper scissors.</t>
  </si>
  <si>
    <t>A girl is laying on the ged as another girl puts her butt in her face.</t>
  </si>
  <si>
    <t>The girl is talking to the camera again.</t>
  </si>
  <si>
    <t>v_c3SJUucMqJQ</t>
  </si>
  <si>
    <t>A person picks up a cat off of a chair.</t>
  </si>
  <si>
    <t>They lay the cat down on their lap.</t>
  </si>
  <si>
    <t>They begin to clip the nails of the cat.</t>
  </si>
  <si>
    <t>A person is sitting next to them on a laptop.</t>
  </si>
  <si>
    <t>The person pets the belly of the cat.</t>
  </si>
  <si>
    <t>They take the cat back and set it in a chair.</t>
  </si>
  <si>
    <t>v_WSaGZOdrjtM</t>
  </si>
  <si>
    <t>a male athlete prepares to run down a track.</t>
  </si>
  <si>
    <t>He takes off running, vaulting himself over a bar and onto a mat.</t>
  </si>
  <si>
    <t>He jumps up exuberantly, celebrating as the crowd cheers.</t>
  </si>
  <si>
    <t>v_A0H6JceDqlg</t>
  </si>
  <si>
    <t>A man serves a tennis ball with a racket while he talks.</t>
  </si>
  <si>
    <t>The man bounces a ball and shows how to move the body, then he serves a ball.</t>
  </si>
  <si>
    <t>The man continues talking in the tennis court.</t>
  </si>
  <si>
    <t>v_hKezMv52Nw8</t>
  </si>
  <si>
    <t>A female athlete is standing in a field and takes off running and does a long jump in to the pit.</t>
  </si>
  <si>
    <t>After,she walks off and her jump is measures as they show her replay.</t>
  </si>
  <si>
    <t>After,more girls begin to jump and represent their team and their jumps are measured as well.</t>
  </si>
  <si>
    <t>However,for the last jump,a close up is shown of the board because her foot barely touches it and they want to give her credit for those centimeters.</t>
  </si>
  <si>
    <t>v_RkhSR7pz9qc</t>
  </si>
  <si>
    <t>We see two teams of men playing soccer indoors.</t>
  </si>
  <si>
    <t>Two men collide and fall to the ground.</t>
  </si>
  <si>
    <t>Three men high five and hug each other.</t>
  </si>
  <si>
    <t>A man throws the ball clear across the room to the other goal.</t>
  </si>
  <si>
    <t>Two sets of people n the crowd are interviewed.</t>
  </si>
  <si>
    <t>We see the crowd and a man interviewed and see some scoring shots.</t>
  </si>
  <si>
    <t>We see three men stand and pose for a photo and a man is interviewed before we return to the game.</t>
  </si>
  <si>
    <t>v_FTCCoZdr5fo</t>
  </si>
  <si>
    <t>A man and woman are sitting on a couch talking.</t>
  </si>
  <si>
    <t>They are driving in a car down a street.</t>
  </si>
  <si>
    <t>They are rollerblading down a sidewalk.</t>
  </si>
  <si>
    <t>v_3jt4XE6ilIQ</t>
  </si>
  <si>
    <t>There's a man in a white shirt being interviewed in the 60 Minutes program by the host of the show.</t>
  </si>
  <si>
    <t>He is talking about his participation as a matador in a bull fighting event where there are several spectators watching him.</t>
  </si>
  <si>
    <t>During the event, he gets injured and is taken on a stretcher by the paramedics for first aid treatment.</t>
  </si>
  <si>
    <t>v_PbZIYJxoWdY</t>
  </si>
  <si>
    <t>A man is seen speaking to the camera and leads into several shots of a boat on water as well as people holding a camera and wake boarding.</t>
  </si>
  <si>
    <t>The people are then seen climbing on a rock and walking around a forest, ending by jumping in the water.</t>
  </si>
  <si>
    <t>More clips are shown of them wakeboarding as well as riding in the boat and jumping into the water.</t>
  </si>
  <si>
    <t>v_Ap7GCrt9C4w</t>
  </si>
  <si>
    <t>women are in the background of a gym lifting weights.</t>
  </si>
  <si>
    <t>man is preparing himself to lift weigh and stands in front of weight.</t>
  </si>
  <si>
    <t>v_w-st-23ZQSs</t>
  </si>
  <si>
    <t>Stacy is clapping and getting pumped up and ready to perform.</t>
  </si>
  <si>
    <t>She gets her pole and starts running with it and jumps onto the cushion.</t>
  </si>
  <si>
    <t>Then, other women follow suit doing the same after her scoring differently.</t>
  </si>
  <si>
    <t>Next is the men's turn to take their turns one by one following the women.</t>
  </si>
  <si>
    <t>v_NQyAC1aweec</t>
  </si>
  <si>
    <t>A cat is shown close up with a person's hand cutting the nails on the cat.</t>
  </si>
  <si>
    <t>The person continues cutting the claws while the cat attempts to get up several times.</t>
  </si>
  <si>
    <t>v_nxyENrsY4mo</t>
  </si>
  <si>
    <t>A small quote comes across the screen and the title pages follows.</t>
  </si>
  <si>
    <t>After,several people are pictured outside in a field grooming their horses.</t>
  </si>
  <si>
    <t>Finally,the people then get on their horses and they all begin competing with one another playing a game of Polo.</t>
  </si>
  <si>
    <t>As they play,a woman is shown on the side of the field taking pictures and a small logo for the photography shows on the end of the screen.</t>
  </si>
  <si>
    <t>v_1UIhgxQXcfI</t>
  </si>
  <si>
    <t>This person has dried grains and is now putting them into a small blender.</t>
  </si>
  <si>
    <t>Then he adds an egg and salt to the grains, plus other ingredients too.</t>
  </si>
  <si>
    <t>Next he makes a ball of the grain and then flattens it out, he then puts a cup onto it to make little round shaped cookies.</t>
  </si>
  <si>
    <t>He puts them on a pan and into an oven, after they're done he eats them along with some beer.</t>
  </si>
  <si>
    <t>v_rBsE1WGXbz0</t>
  </si>
  <si>
    <t>A man throws a ball onto a field.</t>
  </si>
  <si>
    <t>People are standing around measuring the distance.</t>
  </si>
  <si>
    <t>People are watching them from the sidelines.</t>
  </si>
  <si>
    <t>v_7QA5qyCXwyg</t>
  </si>
  <si>
    <t>A man is standing in a living room.</t>
  </si>
  <si>
    <t>He is using his hands to beat a set of drums.</t>
  </si>
  <si>
    <t>He continues playing for the rest of the video.</t>
  </si>
  <si>
    <t>v_36K1e9WgEpU</t>
  </si>
  <si>
    <t>Several people in donut shaped inflatable rafts float down a narrow stream guided by people helping them in the water and watched by a small group of people on nearby land.</t>
  </si>
  <si>
    <t>A group of people, float in a line, down a narrow stream of water in donut shaped, black inflatable rafts.</t>
  </si>
  <si>
    <t>One woman gets stuck on a rock in the raft and shimmies herself loose.</t>
  </si>
  <si>
    <t>The people reach the end of the narrow stream where a group of people help them off of the rafts and another small group of people watches them from nearby land.</t>
  </si>
  <si>
    <t>v_Rvsc5eymWIg</t>
  </si>
  <si>
    <t>man is holding a impact drill pulling out a car wheel.</t>
  </si>
  <si>
    <t>man is holding the wheel in a table and taking out the rubber from the rim and he changes it for another.</t>
  </si>
  <si>
    <t>car is in street next to a mountain.</t>
  </si>
  <si>
    <t>v_opGZh9nUlWA</t>
  </si>
  <si>
    <t>A lady stands in a dance studio.</t>
  </si>
  <si>
    <t>the lady performs a ballet dance.</t>
  </si>
  <si>
    <t>The lady lifts her leg up behind her and moves it to the front and rests it on her leg.</t>
  </si>
  <si>
    <t>The lady stands in front of the camera facing the mirror.</t>
  </si>
  <si>
    <t>We see a person sitting on the left side of the room.</t>
  </si>
  <si>
    <t>v_PbzmcZ_IORE</t>
  </si>
  <si>
    <t>A toy dog is walking on the floor.</t>
  </si>
  <si>
    <t>It stops to look around back and forth.</t>
  </si>
  <si>
    <t>Someone picks the dog up and puts it back down.</t>
  </si>
  <si>
    <t>v_gnZssGiQC7A</t>
  </si>
  <si>
    <t>A man at a professional sports event performs a long jump over a pit of sand in front of a stadium filled with people.</t>
  </si>
  <si>
    <t>The man begins by encouraging the audience to clap by throwing his hands up at the crowd and gesturing for applause.</t>
  </si>
  <si>
    <t>The man then kneels slightly to prepare for the run and begins to run down a stretch of narrow lane before catapulting in the air over the sandpit.</t>
  </si>
  <si>
    <t>The man lands on the other side of the pit and gestures to the audience again for applause as men smooth sand over with long handled and wide brush brooms, the audience claps and waves flags and camera people rush around the event capturing it on film.</t>
  </si>
  <si>
    <t>v_4dVVaDvCzn0</t>
  </si>
  <si>
    <t>Words come across the screen over an image.</t>
  </si>
  <si>
    <t>We see ladies dealing cards on purple tables in a casino with no customers.</t>
  </si>
  <si>
    <t>the dealer smiles and deals cards and points to them.</t>
  </si>
  <si>
    <t>The dealer finishes and waves her arms across the table as words appear on the screen.</t>
  </si>
  <si>
    <t>v_hg8WbkmC2nU</t>
  </si>
  <si>
    <t>A man is seen speaking to the camera while walking around a kitchen and checking on food.</t>
  </si>
  <si>
    <t>Several shots of food are shown on tables as well as racks and the chef continues to speak to the staff behind.</t>
  </si>
  <si>
    <t>The man walks out front and speaks with the customers that are coming in and finished by speaking to the camera.</t>
  </si>
  <si>
    <t>v_2Is_nJdG2to</t>
  </si>
  <si>
    <t>A woman brush the hair of a girl while talking sitting on a bed.</t>
  </si>
  <si>
    <t>Then, the woman kneel on the bed and touch the shoulders of the girl.</t>
  </si>
  <si>
    <t>v_GHcNgllmcpM</t>
  </si>
  <si>
    <t>A large crowd is seen sitting before a stage and leads into a young woman hitting drums in a circle and moving around the stage.</t>
  </si>
  <si>
    <t>The woman continues hitting the drums while the crowd watches and ends with text scrolling across the screen.</t>
  </si>
  <si>
    <t>v_T_CvR3zm6K8</t>
  </si>
  <si>
    <t>Men are playing volleyball in the sand.</t>
  </si>
  <si>
    <t>Cheerleaders are standing next to them watching.</t>
  </si>
  <si>
    <t>A woman is playing soccer on a beach.</t>
  </si>
  <si>
    <t>v_ehO168THGqU</t>
  </si>
  <si>
    <t>Two men skateboarding at an indoor skate park along side each other.</t>
  </si>
  <si>
    <t>They stop and give other pointers, trying to perfect how to jump on the rail.</t>
  </si>
  <si>
    <t>One of them tries again and again and the other gets a stick out of his bag and extends it towards the rail.</t>
  </si>
  <si>
    <t>Then, another male comes and joins in, they play rock paper scissors and get back on board.</t>
  </si>
  <si>
    <t>v_Tm7N2HU4noQ</t>
  </si>
  <si>
    <t>We see a basketball title screen.</t>
  </si>
  <si>
    <t>A man is coaching as a teen makes basketball shots.</t>
  </si>
  <si>
    <t>The man takes the ball and demonstrates a hip move the the boy tries.</t>
  </si>
  <si>
    <t>The man demonstrates something and the boy shoots the ball.</t>
  </si>
  <si>
    <t>We see the tips on the screen 1 by one.</t>
  </si>
  <si>
    <t>We then see the ending title screen.</t>
  </si>
  <si>
    <t>v_MXN34b2OUjQ</t>
  </si>
  <si>
    <t>two girl teams play field hockey with hockey sticks and a small ball.</t>
  </si>
  <si>
    <t>the team with the burgundy shirts scores three times and the other team scored none.</t>
  </si>
  <si>
    <t>v__bSRAXNa5PY</t>
  </si>
  <si>
    <t>We see a man dive into a pool in slow motion.</t>
  </si>
  <si>
    <t>We see the judges giving the man his score and talking to him.</t>
  </si>
  <si>
    <t>We see a lady clapping.</t>
  </si>
  <si>
    <t>We see the diver being interviewed.</t>
  </si>
  <si>
    <t>We see the crowd stand and clap.</t>
  </si>
  <si>
    <t>we see the final score cards for all the contestants.</t>
  </si>
  <si>
    <t>v_TeXm2KTfkzo</t>
  </si>
  <si>
    <t>Trees blow in the breeze as a man mows the lawn.</t>
  </si>
  <si>
    <t>The sun peeks from behind the clouds and lights the scene up.</t>
  </si>
  <si>
    <t>the man stops and empties grass in the garbage.</t>
  </si>
  <si>
    <t>A man enters carrying a baby and leaves.</t>
  </si>
  <si>
    <t>The man mows along side of the bushes.</t>
  </si>
  <si>
    <t>The man stops and empties his bag again.</t>
  </si>
  <si>
    <t>The man empties his bag and puts it back on the mower and walks away.</t>
  </si>
  <si>
    <t>v_oDZ6refg3Ew</t>
  </si>
  <si>
    <t>A woman is seen performing a dance routine while moving around on the beach near the water.</t>
  </si>
  <si>
    <t>The woman continues moving around on the beach shaking her arms and legs and looking off into the distance.</t>
  </si>
  <si>
    <t>v_oOnKQgQZOZ0</t>
  </si>
  <si>
    <t>A water polo match is happening at an enclosed swimming pool.</t>
  </si>
  <si>
    <t>There are a few spectators looking on from the sides of the pool, while a referee is following the actions to stay in control of the match.</t>
  </si>
  <si>
    <t>It is quiet other than the young kids that are involved in the game.</t>
  </si>
  <si>
    <t>They are having a great time and are very involved in what they are doing.</t>
  </si>
  <si>
    <t>v_Fu46pdVz4qY</t>
  </si>
  <si>
    <t>We see a lady in a pink shirt talking to the camera.</t>
  </si>
  <si>
    <t>We see the lady pick up a basket of laundry and put it down.</t>
  </si>
  <si>
    <t>the lady shakes out a dress and puts it on an ironing board.</t>
  </si>
  <si>
    <t>The lady rubs the dress and straitens it out.</t>
  </si>
  <si>
    <t>The lady puts a shirt on the board then puts it back in the basket.</t>
  </si>
  <si>
    <t>The lady folds the dress, smiles and the scene ends.</t>
  </si>
  <si>
    <t>v_cQxTLj4XwuU</t>
  </si>
  <si>
    <t>A man is seated on a couch.</t>
  </si>
  <si>
    <t>He lifts up a shoe and bottle of detergent.</t>
  </si>
  <si>
    <t>He takes it to a sink, where he washes it.</t>
  </si>
  <si>
    <t>He then places two pieces of fruit on top, and eats them off with his mouth.</t>
  </si>
  <si>
    <t>v_2Peh_gdQCjg</t>
  </si>
  <si>
    <t>Descriptive text is shown against a red movie curtain backdrop.</t>
  </si>
  <si>
    <t>A coach shows different leg stances to a student for playing badminton.</t>
  </si>
  <si>
    <t>The coach returns serves from the student using the racket during a practice drill.</t>
  </si>
  <si>
    <t>The students returns serves from the instructor for a practice drill.</t>
  </si>
  <si>
    <t>v_4KgIfmPLuAY</t>
  </si>
  <si>
    <t>A man kneels on a mat and shows her back an front with his left hand while talking.</t>
  </si>
  <si>
    <t>Then, the man lift a kettlebell and put on front his chest while talking.</t>
  </si>
  <si>
    <t>Then, the man put the kettlebell on the floor and continues talking.</t>
  </si>
  <si>
    <t>v_k_ZCg9tqGQo</t>
  </si>
  <si>
    <t>A woman is seen standing in front of mirror with a man beside her followed by her laying on a table.</t>
  </si>
  <si>
    <t>The man then quickly tattoos her face and transitions into her sitting up then back down again to show off her tattoo.</t>
  </si>
  <si>
    <t>v_N_o9Qp0FLVY</t>
  </si>
  <si>
    <t>woman is in a shower spreading soap and water in her arms.</t>
  </si>
  <si>
    <t>woman is shaving her legs on the bathtub.</t>
  </si>
  <si>
    <t>someone open the curtains and is a man that is inside and runs from the bathroom with a mask on his face.</t>
  </si>
  <si>
    <t>v_9H8OBfrm1Rw</t>
  </si>
  <si>
    <t>Rain is pouring down and a person is walking across the field pointing his finger across the field.</t>
  </si>
  <si>
    <t>After,he is shown in a field holding his hand up starts to play lacrosse.</t>
  </si>
  <si>
    <t>More games continue and the guy who was pointing begins making goals and leading his team.</t>
  </si>
  <si>
    <t>v_IdhpB7doBOE</t>
  </si>
  <si>
    <t>A woman talks facing a camera, in front of a dance studio advertisement sign, as four girls demonstrate ballet techniques in front of a ballet bar in a dance studio.</t>
  </si>
  <si>
    <t>A woman with blonde hair, and dressed in all black, stands in front of a dance studio advertisement and talks while facing the camera.</t>
  </si>
  <si>
    <t>The camera cuts away to four girls in ballet outfits and ballet shoes facing a ballet bar with their backs to the camera and demonstrating ballet knee bends.</t>
  </si>
  <si>
    <t>The girls then demonstrate ballet toe points as the camera cuts back to the lone woman who continues to talk facing the camera, until the scene fades to a marketing graphic.</t>
  </si>
  <si>
    <t>v_mz2-lgoNz1M</t>
  </si>
  <si>
    <t>A man wearing a white shirt and a camouflage print hat and ear and lip piercings is demonstrating how to do permanent tattoos.</t>
  </si>
  <si>
    <t>He shows how he shaves the client's arm with a razor and rubs some alcohol on it to prep the skin.</t>
  </si>
  <si>
    <t>Then he places a stencil on the client's arm to lay down the outline of the tattoo.</t>
  </si>
  <si>
    <t>Then he applies some cream over the skin to minimize bleeding.</t>
  </si>
  <si>
    <t>He begins to use the tattoo machine to draw on the tattoo over the outline.</t>
  </si>
  <si>
    <t>He also shows how he uses different colors to fill in the outline of the design.</t>
  </si>
  <si>
    <t>He then completes the tattoo as per the client's specifications.</t>
  </si>
  <si>
    <t>v_ZgIKmwnCqr4</t>
  </si>
  <si>
    <t>A little baby is outside holding a stick attempting to hit the pinata with it.</t>
  </si>
  <si>
    <t>Behind her,a lady is holding up the baby and assisting her as she hits the pinata.</t>
  </si>
  <si>
    <t>As the pinata bounces up and down,the young baby barely hits it and then ends up turning towards the camera.</t>
  </si>
  <si>
    <t>v_sTMbpIfI-6o</t>
  </si>
  <si>
    <t>A little girl is seated at a table in front of two glasses, a 7up bottle and a plate of lime slices.</t>
  </si>
  <si>
    <t>She adds the soda and lime slices to the glasses, squeezing the juice into the liquid before taking a drink.</t>
  </si>
  <si>
    <t>v_hJ4ZU-FA5XA</t>
  </si>
  <si>
    <t>An old style television show is shown where a man cuts a woman's hair.</t>
  </si>
  <si>
    <t>A man then cuts her hair real short while another man looks in from outside.</t>
  </si>
  <si>
    <t>v_po9uigsunAU</t>
  </si>
  <si>
    <t>A man is outside in a soccer field putting his equipment in a book bag.</t>
  </si>
  <si>
    <t>Once the things are in his bags,he secures it with his straps and begins jumping up and down.</t>
  </si>
  <si>
    <t>The main tasks begins and the man begins running through the woods.</t>
  </si>
  <si>
    <t>All of a sudden,a small body of water is shown and people are tubing and sitting down enjoying each other.</t>
  </si>
  <si>
    <t>v_m6T68amiXjs</t>
  </si>
  <si>
    <t>A boy with a hat is seen walking and talking behind some trees.</t>
  </si>
  <si>
    <t>The boy sneaks out onto a field where another boy is playing field hockey.</t>
  </si>
  <si>
    <t>The boy in the hat takes the ball.</t>
  </si>
  <si>
    <t>The boy playing field hockey is seen leaping around in the background.</t>
  </si>
  <si>
    <t>The boy in the hat kicks the ball back to the field hockey player and another player is seen.</t>
  </si>
  <si>
    <t>The two field hockey players are seen running around and hitting the field hockey ball with their sticks.</t>
  </si>
  <si>
    <t>One of the field hockey players is seen with his arms and legs wrapped around the leg of the boy with the hat.</t>
  </si>
  <si>
    <t>v_ExNd4o46kao</t>
  </si>
  <si>
    <t>A little girl uses a sweeper to hit a disc.</t>
  </si>
  <si>
    <t>The disc travels down the court before stopping, as do further discs.</t>
  </si>
  <si>
    <t>She continues playing the game, unsure how to win.</t>
  </si>
  <si>
    <t>v_kxwTPAhlhpw</t>
  </si>
  <si>
    <t>A man is standing behind a bar talking.</t>
  </si>
  <si>
    <t>He puts ice in a glass.</t>
  </si>
  <si>
    <t>He pours shots into the glass.</t>
  </si>
  <si>
    <t>He stirs the drink with a straw.</t>
  </si>
  <si>
    <t>v_d-uGSELb0N0</t>
  </si>
  <si>
    <t>Several individuals are shown playing volleyball in a gymnasium from the right side of the net while other people are engaging in other activity in the background.</t>
  </si>
  <si>
    <t>The camera pans left to show the team on the left side of the net.</t>
  </si>
  <si>
    <t>The camera returns to the team on the right side.</t>
  </si>
  <si>
    <t>v_P6UwokP8BEg</t>
  </si>
  <si>
    <t>Three men exhibit hammer throws in an outdoor Olympic event surrounded by onlookers on the field and in bleachers.</t>
  </si>
  <si>
    <t>A man stands at an outdoor Olympic game and performs a hammer throw surrounded by people and and an audience in bleachers before letting the hammer go to fly in the air.</t>
  </si>
  <si>
    <t>Two more men perform a hammer throw in the same way releasing the hammer into the air to fly out into a field.</t>
  </si>
  <si>
    <t>Three men stand in the middle of a field and hold up medals that hanging around their necks.</t>
  </si>
  <si>
    <t>v_tT7ljH8GCl8</t>
  </si>
  <si>
    <t>A lawnmower is outside next to a line of round rocks.</t>
  </si>
  <si>
    <t>A person starts the mower and begins pushing it alongside the rock border.</t>
  </si>
  <si>
    <t>We get a first hand view of the person's lawn being mowed as they turn and push the mower all over.</t>
  </si>
  <si>
    <t>The man's face is shown just before he turns off the camera.</t>
  </si>
  <si>
    <t>v_Mfk4bUp_ZC0</t>
  </si>
  <si>
    <t>Children are riding the bumper cars at an amusement park or carnival.</t>
  </si>
  <si>
    <t>A Traffic jam traps the little girls in the middle of cars.</t>
  </si>
  <si>
    <t>the little girl in the hat smiles as she looks in her sisters face.</t>
  </si>
  <si>
    <t>v_LwJFjFdJy5c</t>
  </si>
  <si>
    <t>A large group of people are seen sitting around an outdoor field.</t>
  </si>
  <si>
    <t>A dog is seen running up and down the field in the middle of the audience.</t>
  </si>
  <si>
    <t>The dog keeps running back and fourth while the camera watches from the side.</t>
  </si>
  <si>
    <t>v_lxMSX0Y0b8I</t>
  </si>
  <si>
    <t>We see a couple of title screens.</t>
  </si>
  <si>
    <t>We see a man perform a series of Capoeira moves with the names before the move.</t>
  </si>
  <si>
    <t>We see a man shift and roundhouse kick.</t>
  </si>
  <si>
    <t>The man does a handstand on one hand and kicks his legs in the air.</t>
  </si>
  <si>
    <t>The man does a flip from a handstands.</t>
  </si>
  <si>
    <t>v_cdP8_KujTCE</t>
  </si>
  <si>
    <t>We see a colorful and playful title screen.</t>
  </si>
  <si>
    <t>We then see people in a room and outdoors at a fancy party.</t>
  </si>
  <si>
    <t>A woman walks through the door.</t>
  </si>
  <si>
    <t>The man in the suit come through the gate.</t>
  </si>
  <si>
    <t>A man in red walks past the camera.</t>
  </si>
  <si>
    <t>The lady in white sees the camera and hides.</t>
  </si>
  <si>
    <t>We see Colorful crystal like closing screen.</t>
  </si>
  <si>
    <t>v_IjdTjpaPPNg</t>
  </si>
  <si>
    <t>People are riding horses along a dirt trail.</t>
  </si>
  <si>
    <t>They are crossing a river of water on the horses.</t>
  </si>
  <si>
    <t>They continue on their ride on the horses.</t>
  </si>
  <si>
    <t>v_hKn_RK3VSAo</t>
  </si>
  <si>
    <t>Several people in a lab create a formula, and interview with a journalist, interspersed with images of people applying sunscreen to themselves.</t>
  </si>
  <si>
    <t>Many people are shown on video in candid shots of them applying sunscreen to themselves while outdoors.</t>
  </si>
  <si>
    <t>A woman in a lab prepares a formula of varied ingredients interspersed with talking to a camera.</t>
  </si>
  <si>
    <t>More scientists are shown in the lab interviewing and talking intermixed with shots of them preparing formulas in the lab and one final shot of a man in an outdoor market handling ingredients for sale.</t>
  </si>
  <si>
    <t>v_GCtrfXIBbwA</t>
  </si>
  <si>
    <t>young man is playing the harmonica.</t>
  </si>
  <si>
    <t>young man introduces his video lesson and lays out the lesson plan.</t>
  </si>
  <si>
    <t>Musical notes are displayed onscreen while harmonica plays.</t>
  </si>
  <si>
    <t>v_bu7zk-YxEoY</t>
  </si>
  <si>
    <t>An athletic woman is seen stepping up to a beam and beginnings performing a gymnastics routine on it.</t>
  </si>
  <si>
    <t>The woman continues moving around on the beam and ends with her jumping down with her arms up and speaking to her coach as her ending is shown again in slow motion.</t>
  </si>
  <si>
    <t>v_GHOCVoZsFHE</t>
  </si>
  <si>
    <t>A man is seen speaking to the camera an leads into clips of him demonstrating martial arts with another man.</t>
  </si>
  <si>
    <t>The men continue to demonstrate with one another while pausing to speak to the camera.</t>
  </si>
  <si>
    <t>v_CXM1sXEMSWI</t>
  </si>
  <si>
    <t>An introduction comes onto the screen for a funny video about beer drinking.</t>
  </si>
  <si>
    <t>Some guys in a room prepare to do a trick with a beer can.</t>
  </si>
  <si>
    <t>They perform the trick and a guy begins to chug the beer.</t>
  </si>
  <si>
    <t>Shortly thereafter, the guy begins throwing up all the beer into a trash can while everyone laughs.</t>
  </si>
  <si>
    <t>v_s82_J03bqwQ</t>
  </si>
  <si>
    <t>A man is seen riding in on a skateboard followed by a man drinking a beer through a hose and a man sitting in a car flipping off the camera man.</t>
  </si>
  <si>
    <t>More random shots are show of landscapes, dogs, people standing around, and moving along the water.</t>
  </si>
  <si>
    <t>The video leads into people riding along on the water kite surfing and leads into a man speaking to others outside while smoking a cigarette.</t>
  </si>
  <si>
    <t>v_YaHTgeeDs7s</t>
  </si>
  <si>
    <t>A bunch of kids are playing on the bumpers cars at an amusement park.</t>
  </si>
  <si>
    <t>The crash into each other over and over and seem to be a bit confused as to what to do.</t>
  </si>
  <si>
    <t>They have smiles on their faces as they continue to go around the track.</t>
  </si>
  <si>
    <t>v_0jrThYemNLs</t>
  </si>
  <si>
    <t>A close up of a white fencing mask and a black fencing mask.</t>
  </si>
  <si>
    <t>A fencing coach gives instruction to the two fencing competitors.</t>
  </si>
  <si>
    <t>Two competitors discus fencing strategies.</t>
  </si>
  <si>
    <t>More fencing scenes while a girl and boy argue on the sideline.</t>
  </si>
  <si>
    <t>More competition with the fencing couch watching and critiquing.</t>
  </si>
  <si>
    <t>v_CvVqbdk6owc</t>
  </si>
  <si>
    <t>A groip of dancers are on stage doing a routine for the audience.</t>
  </si>
  <si>
    <t>The car show shows the inside of some pretty neat cars with beautiful exteriors.</t>
  </si>
  <si>
    <t>Another group of dancers take turns break dancing on their heads.</t>
  </si>
  <si>
    <t>They go one by one and are circled by and audience watching around them.</t>
  </si>
  <si>
    <t>v_a_n3mR1iVDI</t>
  </si>
  <si>
    <t>A man is seen hosting a news segment that leads into several shots of people shuffling pucks along the ice in slow motion.</t>
  </si>
  <si>
    <t>More shots are shown of people playing the game and ends with a 3d animation across the screen.</t>
  </si>
  <si>
    <t>v_So3EfVyUP64</t>
  </si>
  <si>
    <t>A woman with short hair is seen talking to the camera then flipping a pair of paints inside out.</t>
  </si>
  <si>
    <t>She folds the pants neatly on an ironing board and begins ironing the paints thoroughly.</t>
  </si>
  <si>
    <t>v_j9ww01sQkvY</t>
  </si>
  <si>
    <t>The camera focuses on a smiling man seated next to others.</t>
  </si>
  <si>
    <t>Another individual walks through the frame foreground and briefly obscures the first man.</t>
  </si>
  <si>
    <t>v_t3UI2gjo8X8</t>
  </si>
  <si>
    <t>We see a man in the pool with a cap on.</t>
  </si>
  <si>
    <t>We see a man make a goal with a ball.</t>
  </si>
  <si>
    <t>We see another goal scored.</t>
  </si>
  <si>
    <t>We see another goal being scored.</t>
  </si>
  <si>
    <t>We see the man score a goal and swim off.</t>
  </si>
  <si>
    <t>We see the man outdoors swimming and make 3 goals.</t>
  </si>
  <si>
    <t>We see another score and the men playing in the water.</t>
  </si>
  <si>
    <t>v_huv327wdIU8</t>
  </si>
  <si>
    <t>A group of boys are shown running down a gym holding hands and putting their hands into the air.</t>
  </si>
  <si>
    <t>A woman speaks to the boys while they drink some water and transitions into them playing a game and scoring a goal.</t>
  </si>
  <si>
    <t>The same shot is shown again in slow motion and several more shots of the boys playing are shown.</t>
  </si>
  <si>
    <t>v_hIQ4Lmazo4g</t>
  </si>
  <si>
    <t>We see two little girls in coats playing in the sand.</t>
  </si>
  <si>
    <t>We pan left and see the ocean.</t>
  </si>
  <si>
    <t>We return to the girls.</t>
  </si>
  <si>
    <t>The wind blows he left girls hood on to her head.</t>
  </si>
  <si>
    <t>We pan left to see the ocean again.</t>
  </si>
  <si>
    <t>The left girl moves her hair out of her face as she talks to the camera.</t>
  </si>
  <si>
    <t>v_EfJO4zg7bYE</t>
  </si>
  <si>
    <t>A man is standing beside a counter while holding a rag.</t>
  </si>
  <si>
    <t>He picks up a container of polish and talks about the surface of the counter.</t>
  </si>
  <si>
    <t>He rubs it down with polish and the two rags, then dusts it to a shine.</t>
  </si>
  <si>
    <t>v_dfex2oZYqmU</t>
  </si>
  <si>
    <t>A soccer match is occurring on a field and a player is shown falling down.</t>
  </si>
  <si>
    <t>The man is able to get up and the video shows the fall again in slow motion.</t>
  </si>
  <si>
    <t>The players continue playing and one of them even scores a goal.</t>
  </si>
  <si>
    <t>The goal is shown over and over in low motion to show the significance of the play.</t>
  </si>
  <si>
    <t>v_91ozOcjKl5M</t>
  </si>
  <si>
    <t>Ingredients are shown on a sliver platter.</t>
  </si>
  <si>
    <t>A man begins chopping food on a black chopping board.</t>
  </si>
  <si>
    <t>He adds pasta to a large pot on the stove.</t>
  </si>
  <si>
    <t>He starts cooking in a pan on the stove.</t>
  </si>
  <si>
    <t>He covers the pan with a lid.</t>
  </si>
  <si>
    <t>He puts the pasta into a bowl.</t>
  </si>
  <si>
    <t>He pours the sauce on top of the pasta.</t>
  </si>
  <si>
    <t>v_xOTW_-tiEjY</t>
  </si>
  <si>
    <t>A baby is sitting at a table eating a Popsicle.</t>
  </si>
  <si>
    <t>He takes a bite out of his Popsicle.</t>
  </si>
  <si>
    <t>He takes something out of his bib and puts it in his mouth.</t>
  </si>
  <si>
    <t>v_b1uGF3c3Vz4</t>
  </si>
  <si>
    <t>A young woman is sitting in a chair playing with a cat.</t>
  </si>
  <si>
    <t>She then takes clothes pins,grabs the nape of the hair and clips the cats nails.</t>
  </si>
  <si>
    <t>After awhile,the cats tries to bite her hands,once the girl is done,she removes the pins and waves at the camera.</t>
  </si>
  <si>
    <t>v_SkytxdoXLs4</t>
  </si>
  <si>
    <t>A group of kids are running between orange cones on a court.</t>
  </si>
  <si>
    <t>They are competing to see how quickly they can jump between them as the coach claps and cheers them on.</t>
  </si>
  <si>
    <t>v_rS8T1dAdiCs</t>
  </si>
  <si>
    <t>A girl sits a table talking.</t>
  </si>
  <si>
    <t>We see an intro screen.</t>
  </si>
  <si>
    <t>The girl sits at the table and shows a gift bag.</t>
  </si>
  <si>
    <t>A cat runs across the table and jumps off.</t>
  </si>
  <si>
    <t>We see the girl puts gifts into a gift bag with tissue paper.</t>
  </si>
  <si>
    <t>The girl moves the cat off the table and onto the floor.</t>
  </si>
  <si>
    <t>The girl adds more tissue paper to the bag.</t>
  </si>
  <si>
    <t>v_WhOsURGm0Kg</t>
  </si>
  <si>
    <t>Several cups are shown sitting on a table with a man standing behind.</t>
  </si>
  <si>
    <t>The man then throws the ball into a cup and cheers.</t>
  </si>
  <si>
    <t>He finally walks away from the camera.</t>
  </si>
  <si>
    <t>v_36JC5C6I4sg</t>
  </si>
  <si>
    <t>People wash a car with water using a hose.</t>
  </si>
  <si>
    <t>A man stands on the side watching the men.</t>
  </si>
  <si>
    <t>Then, the men put soap on the car, after they rinse the car with water.</t>
  </si>
  <si>
    <t>A man gets inside the car.</t>
  </si>
  <si>
    <t>v_4KzG9JBE9V8</t>
  </si>
  <si>
    <t>A kid rides an inner tube down a big snow hill.</t>
  </si>
  <si>
    <t>People stand and sit on the sides of the snow hill watching.</t>
  </si>
  <si>
    <t>v_P4Z4sQNQtJM</t>
  </si>
  <si>
    <t>A woman is standing outdoors in a pink martial arts outfit.</t>
  </si>
  <si>
    <t>She moves slowly, showing various martial arts moves.</t>
  </si>
  <si>
    <t>She continues moving slowly as the names of the moves appear onscreen.</t>
  </si>
  <si>
    <t>v_wAqQ-8OxhXY</t>
  </si>
  <si>
    <t>A close up of homes are shown with a person walking with a dog and then speaking to the camera.</t>
  </si>
  <si>
    <t>The man continues speaking as he leads the dog around the neighborhood.</t>
  </si>
  <si>
    <t>v_dtEs78TCOZQ</t>
  </si>
  <si>
    <t>An older gentleman is brushing a brown horse.</t>
  </si>
  <si>
    <t>He turns around and talks to an older lady.</t>
  </si>
  <si>
    <t>The horse lifts its leg up.</t>
  </si>
  <si>
    <t>v_DXOKFXlx84M</t>
  </si>
  <si>
    <t>A dog is seen laying comfortably in a large bowl with a man beside him.</t>
  </si>
  <si>
    <t>The man is seen kneeling down next to the dog and begins rubbing him down.</t>
  </si>
  <si>
    <t>The man continues to clean off the dog in the bath.</t>
  </si>
  <si>
    <t>v_u6FTTLK6GUg</t>
  </si>
  <si>
    <t>People are playing dodge ball in a gym.</t>
  </si>
  <si>
    <t>They start throwing the balls at each other.</t>
  </si>
  <si>
    <t>v_a0bj_vVpK9s</t>
  </si>
  <si>
    <t>A man pushes a tube down a hill.</t>
  </si>
  <si>
    <t>Another person sleds down the hill on a tube.</t>
  </si>
  <si>
    <t>A person in a red jacket is standing at the bottom.</t>
  </si>
  <si>
    <t>v_PKLLNgcEuRI</t>
  </si>
  <si>
    <t>This man is wearing a blue t-shirt and white shorts and he is doing his gymnastic routine.</t>
  </si>
  <si>
    <t>Then he gets off and walks away to go somewhere else.</t>
  </si>
  <si>
    <t>There is also another man there with him who's walking around and he's wearing a green shirt.</t>
  </si>
  <si>
    <t>v_9QnASEwOBT4</t>
  </si>
  <si>
    <t>A man is seen speaking to a woman as she puts on a belt and then walks on stage.</t>
  </si>
  <si>
    <t>The woman then bends down and lifts a large weight over her head, followed by throwing it down and walking off stage.</t>
  </si>
  <si>
    <t>Her same lift is shown again in slow motion.</t>
  </si>
  <si>
    <t>v_j4EFi_NoEbQ</t>
  </si>
  <si>
    <t>boy is skateboarding in a skate park at night.</t>
  </si>
  <si>
    <t>boy is skateboarding in a sidewalk with peopl walking by.</t>
  </si>
  <si>
    <t>man is skateboarding in street and a car almost run over.</t>
  </si>
  <si>
    <t>scenes of men skteboarding in a fences and falling off.</t>
  </si>
  <si>
    <t>v_zUPadKgtYHw</t>
  </si>
  <si>
    <t>a lot of people are on a marathon running in street while people is on sides.</t>
  </si>
  <si>
    <t>different women and men are acrossing the finish.</t>
  </si>
  <si>
    <t>v_Kbr2nr94EB0</t>
  </si>
  <si>
    <t>A man in a black shirt is talking on a basketball court.</t>
  </si>
  <si>
    <t>A boy is playing basketball on the court.</t>
  </si>
  <si>
    <t>v_zSWuVb-aYAA</t>
  </si>
  <si>
    <t>A lady performance on stage with a dog(s) .</t>
  </si>
  <si>
    <t>The dog fetches plates that the lady tosses.</t>
  </si>
  <si>
    <t>A second dog joins the act on stage.</t>
  </si>
  <si>
    <t>The dogs fetch plates together.</t>
  </si>
  <si>
    <t>A dog continuously jumps over another dog and into the lady's hand.</t>
  </si>
  <si>
    <t>A dog jumps through hula hoops.</t>
  </si>
  <si>
    <t>A dog jumps from the stage onto the lady's back.</t>
  </si>
  <si>
    <t>A dog bites on a red plate and does not let go.</t>
  </si>
  <si>
    <t>A dog jumps on a lady's elevated soles.</t>
  </si>
  <si>
    <t>The performers take a bow and with the dog exit the stage.</t>
  </si>
  <si>
    <t>The stage curtains are drawn.</t>
  </si>
  <si>
    <t>v_09G6PvM5q9Y</t>
  </si>
  <si>
    <t>A woman stands behind a table with high heels on it.</t>
  </si>
  <si>
    <t>She starts wiping off the shoe.</t>
  </si>
  <si>
    <t>She uses a q-tip to clean the side of the shoe.</t>
  </si>
  <si>
    <t>She sprays the shoe with Windex and wipes it off.</t>
  </si>
  <si>
    <t>v_3oJ62-Ce9ys</t>
  </si>
  <si>
    <t>A hand is seen putting weights on a bar and leads into a person lifting weights on their shoulders and walking.</t>
  </si>
  <si>
    <t>The person sets the weights down and walks back with the weights lunging.</t>
  </si>
  <si>
    <t>v_nQgmUkyblgc</t>
  </si>
  <si>
    <t>A barefoot woman in a purple outfit and beige headscarf is kneeling and washing dishes in an outdoor body of water in front of grass and a wooden platform.</t>
  </si>
  <si>
    <t>The woman rinses a bronze platter in the narrow body of water and proceeds to place it in an orange plastic bucket.</t>
  </si>
  <si>
    <t>The woman continues to wash other dishes and place them in the orange basket.</t>
  </si>
  <si>
    <t>The camera pans out a great distance and turns to show a yellow bannister on an outdoor deck with a brown leather chaise like seating area over looking a large lake.</t>
  </si>
  <si>
    <t>v_pPsqB3tY7hk</t>
  </si>
  <si>
    <t>Various shots of landscapes are shown as well as people pushing a puck to play shuffleboard.</t>
  </si>
  <si>
    <t>More shots of the game are shown as well as text instructions on how to play.</t>
  </si>
  <si>
    <t>A man keeps score and leads into more shots of the game being played.</t>
  </si>
  <si>
    <t>v_5MfhJjbNNJE</t>
  </si>
  <si>
    <t>A man is holding a jump rope and talking.</t>
  </si>
  <si>
    <t>He starts jump roping and doing tricks.</t>
  </si>
  <si>
    <t>v_nSgBX7D4XLA</t>
  </si>
  <si>
    <t>A small group of men are seen standing on a boat with one pushing a shuffleboard.</t>
  </si>
  <si>
    <t>The men then begin playing shuffleboard with one another while taking turns.</t>
  </si>
  <si>
    <t>They continue playing on the side of the boat.</t>
  </si>
  <si>
    <t>v_WgJy8seQ7z4</t>
  </si>
  <si>
    <t>Two men are arm wrestling on a table.</t>
  </si>
  <si>
    <t>Another man walks up to the table and stands in front of them.</t>
  </si>
  <si>
    <t>They finish arm wrestling and they start to stand up.</t>
  </si>
  <si>
    <t>v_loYCYGQpGRw</t>
  </si>
  <si>
    <t>A woman is adding ingredients to a pan on the stove.</t>
  </si>
  <si>
    <t>She stirs the ingredients in the pan.</t>
  </si>
  <si>
    <t>She pulls a large pot of pasta and dumps it into the pan.</t>
  </si>
  <si>
    <t>v_G4kjV4ulJzo</t>
  </si>
  <si>
    <t>A woman is walking down the street with two dogs.</t>
  </si>
  <si>
    <t>The larger dog is holding a leash in his mouth.</t>
  </si>
  <si>
    <t>The smaller dog is attached to the leash, and is essentially being led by the larger dog on the walk.</t>
  </si>
  <si>
    <t>A man walks in front, leading the way.</t>
  </si>
  <si>
    <t>v_VmwvfQDR4YQ</t>
  </si>
  <si>
    <t>A man is doing flips on the grass.</t>
  </si>
  <si>
    <t>A man in a white hat is standing next to the man.</t>
  </si>
  <si>
    <t>One of the men throws a rock into the air.</t>
  </si>
  <si>
    <t>v_kv8lsSjfguI</t>
  </si>
  <si>
    <t>Families are outside in a large field standing behind an orange make shift fence listening to a woman talk into a microphone.</t>
  </si>
  <si>
    <t>A male then comes along dressed in the same shrit as a woman and begins to throw Frisbees to a dog.</t>
  </si>
  <si>
    <t>This activity continues and the dog begins jumping over the dog's head and its back.</t>
  </si>
  <si>
    <t>Others then join in and the boy picks up the dog and walks away.</t>
  </si>
  <si>
    <t>v_6KG4p_pfMQc</t>
  </si>
  <si>
    <t>man wearing a red shirt is standing in a large green field behind kids.</t>
  </si>
  <si>
    <t>little blonde kid throw a ball and a kid kicks the ball in the field.</t>
  </si>
  <si>
    <t>kisd are running in the field to catch th ball.</t>
  </si>
  <si>
    <t>v_woiigfrANUM</t>
  </si>
  <si>
    <t>A man stands in an arena preparing to skateboard.</t>
  </si>
  <si>
    <t>The man skates down a halfpipe and goes back and forth from one end to the other.</t>
  </si>
  <si>
    <t>The man loses his skateboard and comes down the wall on his knees.</t>
  </si>
  <si>
    <t>We see the man's disappointment as another man prepares to skate.</t>
  </si>
  <si>
    <t>The man walks away and hops on his skateboard behind the stage.</t>
  </si>
  <si>
    <t>v_2duxXAsCW0k</t>
  </si>
  <si>
    <t>A man with an umbrella is wiping his car during the rain.</t>
  </si>
  <si>
    <t>He smiles at the camera and begins to talk to the camera person.</t>
  </si>
  <si>
    <t>v_V2ltLccVh_Q</t>
  </si>
  <si>
    <t>Several shots are shown of paintball gear as well as a man smoking a cigarette.</t>
  </si>
  <si>
    <t>This leads into people playing paintball with one another and running around.</t>
  </si>
  <si>
    <t>More shots are shown of people playing and speaking to one another.</t>
  </si>
  <si>
    <t>v_Vpue9WHrcAk</t>
  </si>
  <si>
    <t>A woman puts a cigarette in her mouth.</t>
  </si>
  <si>
    <t>Then, the woman lights a cigarette and smokes.</t>
  </si>
  <si>
    <t>The woman blows smoke from his mouth.</t>
  </si>
  <si>
    <t>v_ZgVmS-AhYgA</t>
  </si>
  <si>
    <t>A group of rafters carries a raft down a path.</t>
  </si>
  <si>
    <t>Groups of rafters ride down a river going over small waterfalls.</t>
  </si>
  <si>
    <t>The rafters climb out from there boat onto the shore and walk up the path.</t>
  </si>
  <si>
    <t>People jump from rocks into a swimming hole of the river.</t>
  </si>
  <si>
    <t>The rafters enjoy an outdoor lunch at a beach house.</t>
  </si>
  <si>
    <t>v_uLXSOqRSa4A</t>
  </si>
  <si>
    <t>A group of people are on a lift way above the mountains.</t>
  </si>
  <si>
    <t>A person climbs onto it, looking down.</t>
  </si>
  <si>
    <t>They bungee jump, hanging and swinging above the ground.</t>
  </si>
  <si>
    <t>v_4dw_Hk9Wpc4</t>
  </si>
  <si>
    <t>A large school of small fish swim in the ocean.</t>
  </si>
  <si>
    <t>A seal swims in the ocean.</t>
  </si>
  <si>
    <t>The scene switches to a dog scuba diving with humans.</t>
  </si>
  <si>
    <t>The dog is shown with a human on a ship, with part of its scuba equipment on.</t>
  </si>
  <si>
    <t>The scene returns to the dog scuba diving.</t>
  </si>
  <si>
    <t>The scene changes to a cat walking around.</t>
  </si>
  <si>
    <t>The cat is shown swimming and scuba diving.</t>
  </si>
  <si>
    <t>The cat and dog are shown in various quick scenes together.</t>
  </si>
  <si>
    <t>v_SKbjRXF35Wk</t>
  </si>
  <si>
    <t>Two people are dancing on a dance floor.</t>
  </si>
  <si>
    <t>People are sitting and standing on the sidelines watching them dance.</t>
  </si>
  <si>
    <t>They continue to dance on the dance floor.</t>
  </si>
  <si>
    <t>v_m0u1kjhlHJ4</t>
  </si>
  <si>
    <t>A man puts a ball on the ground, then throws a flag.</t>
  </si>
  <si>
    <t>He hits the ball, setting a game into motion.</t>
  </si>
  <si>
    <t>The players fight over the ball, getting it into the goal and the audience cheers.</t>
  </si>
  <si>
    <t>The game continues as the players compete.</t>
  </si>
  <si>
    <t>v__HQTWGmXXsc</t>
  </si>
  <si>
    <t>A young woman with a black dress and red cardigan on is standing in the corner of a kitchen cutting fruits.</t>
  </si>
  <si>
    <t>After awhile,she grabs six strawberries and leaves them on the cutting board as she begins to cut grapes.</t>
  </si>
  <si>
    <t>In front of her,there are two large white bowls full of fruit and she begins putting the cut up fruit in those bowls.</t>
  </si>
  <si>
    <t>The camera then moves and the person zooms in on the contents of the fruit bowls,showing pineapples,strawberries and grapes.</t>
  </si>
  <si>
    <t>v_ZYAY3TEUjGI</t>
  </si>
  <si>
    <t>A man is sitting in a chair getting his hair cut by a barber.</t>
  </si>
  <si>
    <t>A man takes a comb and a pair of scissors and starts to cut the hair above the comb and then combs it to the front of the man's head.</t>
  </si>
  <si>
    <t>The male then turns and the middle of the hair begins to get trimmed.</t>
  </si>
  <si>
    <t>Next is the sides and the same actions are repeated until the hair is finished.</t>
  </si>
  <si>
    <t>Finally,razors are taken out and the barber begins to edge the man's hair and the barber goes over the hair one final time with the comb and scissors.</t>
  </si>
  <si>
    <t>v_OTwG3OCsPoY</t>
  </si>
  <si>
    <t>A man is see speaking to the camera while sitting on a piece of exercise equipment.</t>
  </si>
  <si>
    <t>He adjusts the settings on the machine and begins using it back and fourth.</t>
  </si>
  <si>
    <t>He grabs onto the machine and moves himself ending by speaking to the camera.</t>
  </si>
  <si>
    <t>v_YbEX3klOS3Q</t>
  </si>
  <si>
    <t>A male athlete prepares himself to run.</t>
  </si>
  <si>
    <t>He runs with a javelin over his shoulder.</t>
  </si>
  <si>
    <t>He throws it as hard as he can.</t>
  </si>
  <si>
    <t>Then others do the same shortly after.</t>
  </si>
  <si>
    <t>v_dygVFom6V5c</t>
  </si>
  <si>
    <t>Two women are riding on the back of a four wheeler, and waving.</t>
  </si>
  <si>
    <t>A man is shown posing with several people, going to a field to play paintball.</t>
  </si>
  <si>
    <t>The people gear up and hide behind obstacles, shooting at one another.</t>
  </si>
  <si>
    <t>v_ui_CNb4FUtQ</t>
  </si>
  <si>
    <t>A man plays the saxophone in various public settings while the audiences watch.</t>
  </si>
  <si>
    <t>The man plays while laying on the ground.</t>
  </si>
  <si>
    <t>A security guard accosts him and escorts him away.</t>
  </si>
  <si>
    <t>The man stands up and walks away while playing.</t>
  </si>
  <si>
    <t>More scenes of the man playing the saxophone in various public settings are shown.</t>
  </si>
  <si>
    <t>v_xpoIzpip_TQ</t>
  </si>
  <si>
    <t>Players are on a court playing volley ball.</t>
  </si>
  <si>
    <t>A man in a black shirt dives and hits the ground.</t>
  </si>
  <si>
    <t>Someone scores and the crowd celebrates.</t>
  </si>
  <si>
    <t>v_HJZj6z1dyT4</t>
  </si>
  <si>
    <t>A close up of a fooseball table is shown with people moving polls all around.</t>
  </si>
  <si>
    <t>The man bounces up and down as the people continue to play with one another.</t>
  </si>
  <si>
    <t>One man runs away to grab the ball and leads back into them playing.</t>
  </si>
  <si>
    <t>v_V66cwBOS80A</t>
  </si>
  <si>
    <t>A man is seen speaking to the camera while a large group of people walk behind him.</t>
  </si>
  <si>
    <t>Several shots are then shown of people riding down a riving in a raft while some fall out.</t>
  </si>
  <si>
    <t>More clips are shown of people riding in the water as well as falling out and yelling to the camera.</t>
  </si>
  <si>
    <t>v_LDSEEw5oUM4</t>
  </si>
  <si>
    <t>A woman is seen walking onto a large gym floor while holding a baton and striking a pose.</t>
  </si>
  <si>
    <t>The woman then performs a dance routine with the baton throwing it up into the air and spinning around.</t>
  </si>
  <si>
    <t>She continues spinning around and holds a pose in the end and walks away from the judges.</t>
  </si>
  <si>
    <t>v_4-rJZdNgMX8</t>
  </si>
  <si>
    <t>The logo "theksiny on skin" and "The #1 Way to Not Get a Cold or Flu" is shown on screen.</t>
  </si>
  <si>
    <t>Dr Lisa Kellett speaks to the camera in a medical exam room next to a sink.</t>
  </si>
  <si>
    <t>The doctor demonstrates the steps to washing hands like doctors do.</t>
  </si>
  <si>
    <t>The logo and website address appears on screen again.</t>
  </si>
  <si>
    <t>v_MAUZbZnbM_Y</t>
  </si>
  <si>
    <t>web page and the adress of the company.</t>
  </si>
  <si>
    <t>green signs on a pole.</t>
  </si>
  <si>
    <t>woman is talking on the phone inside a car store.</t>
  </si>
  <si>
    <t>man is polishing a black car while people is watching.</t>
  </si>
  <si>
    <t>two men are cleaning the car on the outside and the inside.</t>
  </si>
  <si>
    <t>three cars are parked in front of the store.</t>
  </si>
  <si>
    <t>v__fwExctFJpg</t>
  </si>
  <si>
    <t>A person is seen riding around on a horse holding a piece of rope in his hands moving back and fourth.</t>
  </si>
  <si>
    <t>The man backs the horse up a bit and then takes off chasing a calf and roping him and tying him down.</t>
  </si>
  <si>
    <t>He throws his hands up in the air while the calf moves and then climbs back on top of the horse.</t>
  </si>
  <si>
    <t>v_hXGE1GGTHzM</t>
  </si>
  <si>
    <t>This man is trying to shoot the white ball on the pool table backwards.</t>
  </si>
  <si>
    <t>He keeps trying to shoot it backwards, but he just can't so he decided to do it the regular way and shoot forwards.</t>
  </si>
  <si>
    <t>When he does it, he puts the cue stick down and walks away.</t>
  </si>
  <si>
    <t>v_xQxT2_meU50</t>
  </si>
  <si>
    <t>A man is standing in a field holding an ax.</t>
  </si>
  <si>
    <t>The man lifts the ax above his head.</t>
  </si>
  <si>
    <t>The man splits a log of wood on a stump.</t>
  </si>
  <si>
    <t>the man then stands upright.</t>
  </si>
  <si>
    <t>v_POhazPPwHhQ</t>
  </si>
  <si>
    <t>A car is seen driving along the road that leads into people tightening roads and grabbing drinks.</t>
  </si>
  <si>
    <t>Several clips are shown of people walking across the rope as well as bouncing on it.</t>
  </si>
  <si>
    <t>More close ups are shown of peoples faces as well as standing an bouncing on the rope.</t>
  </si>
  <si>
    <t>v_j3h8Di7V3nk</t>
  </si>
  <si>
    <t>A man is seen bending over while taking a shoe off to wipe his feet then puts the shoe back on.</t>
  </si>
  <si>
    <t>He does this to his other foot and then walks along the rocks while a man records him and others walk around.</t>
  </si>
  <si>
    <t>v_J3NhT51f0To</t>
  </si>
  <si>
    <t>A blond girl is in a residential home, smiling and talking while holding a violin in front of her.</t>
  </si>
  <si>
    <t>The girl briefly stops talking, and then backs up and brings the violin to her chin as she's talking and then starts playing by pulling the fiddle across the strings.</t>
  </si>
  <si>
    <t>The girl stops pulling the fiddle across the strings and walks closer to the camera to talk, and then resumes moving the fiddle across the strings.</t>
  </si>
  <si>
    <t>The girl then backs up, and turns to show her left side as she moves the fiddle across the violin strings, and then she moves to face forward again and walks closer to the camera and plays some more.</t>
  </si>
  <si>
    <t>The girl stops playing and pulls he violin away from her chin.</t>
  </si>
  <si>
    <t>v_F2yh5HfIj2c</t>
  </si>
  <si>
    <t>A man wearing scuba gear walks along the edge of a swimming pool.</t>
  </si>
  <si>
    <t>The man starts talking to the camera and shows the camera various items.</t>
  </si>
  <si>
    <t>The camera shows the swimming pool.</t>
  </si>
  <si>
    <t>A tool and air compressor is shown.</t>
  </si>
  <si>
    <t>The man enters the swimming pool and proceeds to place a cover on the drain while under water in the scuba gear.</t>
  </si>
  <si>
    <t>The man gives a thumbs up.</t>
  </si>
  <si>
    <t>The man shows the bubbles the tool makes underwater while bobbing his head.</t>
  </si>
  <si>
    <t>v_GyLX64aJY80</t>
  </si>
  <si>
    <t>Two slicess of bread,a plate,and two slices of cheese are on the counter.</t>
  </si>
  <si>
    <t>The person then takes one slice,spreads the butter over it and puts two slices of cheese on it and adds the other slice on top of it.</t>
  </si>
  <si>
    <t>The sandwich now has butter on both sides and the sandwich is placed in a skillet and is fried.</t>
  </si>
  <si>
    <t>Once complete,it is placed on a red plate and cut in half with a thick knife.</t>
  </si>
  <si>
    <t>v_3C00m8lkJi0</t>
  </si>
  <si>
    <t>A man is shown holding a large bin as well as several people around him gathering leaves.</t>
  </si>
  <si>
    <t>More people are shown walking around scraping leaves while a woman speaks to the crowd and inspires them to work more.</t>
  </si>
  <si>
    <t>The people continue working and the sun shines down on a tree.</t>
  </si>
  <si>
    <t>v_Ht2gV7oaqbo</t>
  </si>
  <si>
    <t>Two people are seen standing outside on a mat.</t>
  </si>
  <si>
    <t>One person then grabs the other person by the legs.</t>
  </si>
  <si>
    <t>The men then flip each other down on the ground.</t>
  </si>
  <si>
    <t>v_mJZj3znhBas</t>
  </si>
  <si>
    <t>People are playing a game of lacrosse onto a field.</t>
  </si>
  <si>
    <t>A woman is talking to the camera in a gym.</t>
  </si>
  <si>
    <t>A train is driving on the tracks.</t>
  </si>
  <si>
    <t>They continue to play lacrosse on a field.</t>
  </si>
  <si>
    <t>v_rPeQxKmIe4I</t>
  </si>
  <si>
    <t>The person is swimming under the sea.</t>
  </si>
  <si>
    <t>The woman is swimming forward, she looked at the camera.</t>
  </si>
  <si>
    <t>The woman is shaking her head while behind her another diver is swimming.</t>
  </si>
  <si>
    <t>v_O-6zE9_S2KM</t>
  </si>
  <si>
    <t>A pair of hands are shown at a black jack table.</t>
  </si>
  <si>
    <t>A woman is dealing the cards and chips.</t>
  </si>
  <si>
    <t>The chips are shown in a stack at the end.</t>
  </si>
  <si>
    <t>v_-2DajzzRwn0</t>
  </si>
  <si>
    <t>Several teams of people are seen playing a game of tug of war with one another with people watching on the sides.</t>
  </si>
  <si>
    <t>The people continue competing with one another and ends with one team winning.</t>
  </si>
  <si>
    <t>v_boQbuyDjWnc</t>
  </si>
  <si>
    <t>An old man in black shirt and eye glasses is sitting on a green table, in front of him are book, chips with different colors and stack of cards.</t>
  </si>
  <si>
    <t>He placed the cards on the table, on top of the yellow stars on the table, he arrange the cards in horizontal way.</t>
  </si>
  <si>
    <t>v_hYVFzI_kfaQ</t>
  </si>
  <si>
    <t>The woman is shown emptying two different foods onto the plate to make a fruit salad.</t>
  </si>
  <si>
    <t>She touches the strawberries and apples.</t>
  </si>
  <si>
    <t>Then she sprinkles little berries onto the other fruit.</t>
  </si>
  <si>
    <t>v_mZYqH82delk</t>
  </si>
  <si>
    <t>There is a man kneeling down on a red yoga mat.</t>
  </si>
  <si>
    <t>The coach standing next to him make sure he is going up and down while he's kneeling and he holds his back to feel the muscle movement.</t>
  </si>
  <si>
    <t>v_Nogr8GCIL9k</t>
  </si>
  <si>
    <t>A guy stands outside, gestures, and talks.</t>
  </si>
  <si>
    <t>A man ascends from the water, begins water boarding, and does flips.</t>
  </si>
  <si>
    <t>A water vehicle is pulling a man holding a rope.</t>
  </si>
  <si>
    <t>The guy begins to leave after making the last point.</t>
  </si>
  <si>
    <t>v_DFOoFr2H-24</t>
  </si>
  <si>
    <t>A man is seen playing an instrument while another watches in the background.</t>
  </si>
  <si>
    <t>He pauses to speak to a large group of boys and continues playing the instrument, blowing wind into their smoke.</t>
  </si>
  <si>
    <t>The boys watch in amazement and bends down closely to another boy.</t>
  </si>
  <si>
    <t>v_rP2MviNn52g</t>
  </si>
  <si>
    <t>People are playing a tag of war game.</t>
  </si>
  <si>
    <t>Children wave at their teammates.</t>
  </si>
  <si>
    <t>The children pull the adults to their side, the right side.</t>
  </si>
  <si>
    <t>The children let go the rope, jump up and down, plus cheer.</t>
  </si>
  <si>
    <t>v_07GFy_Z7Nuc</t>
  </si>
  <si>
    <t>A male gymnast walks up to the parallel bars and uses a spring board to jump up.</t>
  </si>
  <si>
    <t>Another man pulls the spring board out of the way.</t>
  </si>
  <si>
    <t>A large crowd watches from the stands in the gym.</t>
  </si>
  <si>
    <t>The gymnast does a parallel bar routine.</t>
  </si>
  <si>
    <t>Several other male gymnasts walk around in the background.</t>
  </si>
  <si>
    <t>The male gymnast completes his routine and runs off of the gym floor.</t>
  </si>
  <si>
    <t>v_6QhZNQlsGys</t>
  </si>
  <si>
    <t>People are balancing on a rope on the beach.</t>
  </si>
  <si>
    <t>A man in a white shirt does a hand stand on the rope.</t>
  </si>
  <si>
    <t>A person is swinging on a rope in the background.</t>
  </si>
  <si>
    <t>v_F99Suh6SvD8</t>
  </si>
  <si>
    <t>Two girls practice fencing in a school gym with protective gear on and a coach against the wall watching and coaching them as they fence.</t>
  </si>
  <si>
    <t>The two girls talk to the coach and then begin to fence with each other as the coach motions to where they should stand and navigate the space during the spar.</t>
  </si>
  <si>
    <t>Both girls end the spar and remove their head gear as they talk to the coach.</t>
  </si>
  <si>
    <t>v_LSvjzZHbetU</t>
  </si>
  <si>
    <t>A woman in a green sweater puts on a face mask.</t>
  </si>
  <si>
    <t>She paints a wooden fence.</t>
  </si>
  <si>
    <t>She puts news paper onto the fence.</t>
  </si>
  <si>
    <t>She pours a bucket of paint into a sprayer.</t>
  </si>
  <si>
    <t>She starts spraying the fence with a hose.</t>
  </si>
  <si>
    <t>v_PGNwd5bySwI</t>
  </si>
  <si>
    <t>Two men are talking in front of a helicopter.</t>
  </si>
  <si>
    <t>A man on a wake board is being pulled by a helicopter in and out of the water.</t>
  </si>
  <si>
    <t>He drops from the rope and pulls a parachute and lands on the ground.</t>
  </si>
  <si>
    <t>v_aq41GgfAlDo</t>
  </si>
  <si>
    <t>A man is seated on a bench in a park.</t>
  </si>
  <si>
    <t>He is playing an old accordian.</t>
  </si>
  <si>
    <t>He pushes it closed and open as he plays on the keyboard.</t>
  </si>
  <si>
    <t>v_rF1AqlLjECk</t>
  </si>
  <si>
    <t>A black screen appears and it has a lot of white words on it that include the name, height, weight, years games, points phone number and email for player #23.</t>
  </si>
  <si>
    <t>Various clips of different hockey games play and occassionaly a yellow arrow will appear pointing out the #23 player in each different hockey game clip.</t>
  </si>
  <si>
    <t>A black screen appears again and it's the same as the screen that was the intro that includes the same information on player #23.</t>
  </si>
  <si>
    <t>v_KptXzRFIvTw</t>
  </si>
  <si>
    <t>A person named Chad wearing a black and gray jacket is standing next to a Christmas tree and giving a tutorial on how to decorate it.</t>
  </si>
  <si>
    <t>He is holding a crystal star in his hands which he places on top of the tree.</t>
  </si>
  <si>
    <t>Then he takes some Christmas lights lights and twirls it around the branches of the tree.</t>
  </si>
  <si>
    <t>He takes a red garland and demonstrates how to wrap it around the tree.</t>
  </si>
  <si>
    <t>He then takes some red and gold ornaments and shows how to place them on the tree.</t>
  </si>
  <si>
    <t>He also takes a red ribbon and red berries to add to the tree.</t>
  </si>
  <si>
    <t>He stands next to the fully decorated tree as he completes his tutorial.</t>
  </si>
  <si>
    <t>v_53dqgEMV5e4</t>
  </si>
  <si>
    <t>A woman pours ice into a glass.</t>
  </si>
  <si>
    <t>She puts shots of alcohol into the glass.</t>
  </si>
  <si>
    <t>She shakes it and pours it into another glass.</t>
  </si>
  <si>
    <t>She puts a straw in it and holds it up.</t>
  </si>
  <si>
    <t>v_-Kmx-BCAsQc</t>
  </si>
  <si>
    <t>A man in orange waves then mounts a pommel horse.</t>
  </si>
  <si>
    <t>The man spins around and around on the pommel horse.</t>
  </si>
  <si>
    <t>A man on the right takes a photo.</t>
  </si>
  <si>
    <t>The man swings one leg at a time.</t>
  </si>
  <si>
    <t>The man does a handstand then dismounts.</t>
  </si>
  <si>
    <t>The man walks away as another walks to the pommel horse.</t>
  </si>
  <si>
    <t>The end screens are shown and the video ends.</t>
  </si>
  <si>
    <t>v_LAD4qVnywmA</t>
  </si>
  <si>
    <t>A man in a red shirt is clapping his hands.</t>
  </si>
  <si>
    <t>He runs down a track and jumps in the sand.</t>
  </si>
  <si>
    <t>People rake the sand out afterwards.</t>
  </si>
  <si>
    <t>v_WlFBWlCklm8</t>
  </si>
  <si>
    <t>An intro black screen appears and the word Poweriser flashes.</t>
  </si>
  <si>
    <t>A man named PRVNI KROKY is on metal stilts outside and he begins, walking, jumping, running and moving and doing various movements while on his stilts and people around him are either sitting or walking doing their own thing.</t>
  </si>
  <si>
    <t>When the man is done demonstrating what he can do on the stilts he stops in his original spot to talk some more, waves and then runs off.</t>
  </si>
  <si>
    <t>The outro appears and it's exactly like the intro.</t>
  </si>
  <si>
    <t>v_Ksbk5rtqVd0</t>
  </si>
  <si>
    <t>A woman in a white shirt is sitting down.</t>
  </si>
  <si>
    <t>She pours some product into her palm.</t>
  </si>
  <si>
    <t>She starts wiping the product onto her face.</t>
  </si>
  <si>
    <t>v_0PbmXOVIwGc</t>
  </si>
  <si>
    <t>A woman grooms the right body of a horse, she brush the neck,body and legs.</t>
  </si>
  <si>
    <t>Then, the woman goes to the left side of horse and kneel to groom the legs, and then she brush the other parts of the body.</t>
  </si>
  <si>
    <t>v_LoA7h0bZmDI</t>
  </si>
  <si>
    <t>A chef is giving detailed instructions on how to make a dish to another man in the kitchen.</t>
  </si>
  <si>
    <t>The man walks around him casually and picks up a piece of one of the ingredients and eats it.</t>
  </si>
  <si>
    <t>Meanwhile, the chef is putting ingredients and explaining the process of what he is doing and why into the pan.</t>
  </si>
  <si>
    <t>Once the sauce he is creating starts to come together he mixes in spaghetti and blends it all together.</t>
  </si>
  <si>
    <t>v_llcbN-s26vs</t>
  </si>
  <si>
    <t>A man in a red shirt walks around a ladder.</t>
  </si>
  <si>
    <t>He places his arm on the ladder.</t>
  </si>
  <si>
    <t>A woman places red wallpaper up against a wall.</t>
  </si>
  <si>
    <t>She smooths the red wall paper out with her hands and with a tool.</t>
  </si>
  <si>
    <t>She measures the wallpaper to make sure it's straight.</t>
  </si>
  <si>
    <t>The woman places a tool on the top and bottom of the wallpaper and removes any extra wallpaper.</t>
  </si>
  <si>
    <t>The man in the red shirt is talking.</t>
  </si>
  <si>
    <t>v_sCzauf2u4dc</t>
  </si>
  <si>
    <t>We see the emblem on the opening screen.</t>
  </si>
  <si>
    <t>We switch to images of two ladies with horses.</t>
  </si>
  <si>
    <t>We see one lady in a sunny field with a hose.</t>
  </si>
  <si>
    <t>We see a small dog on the back of the horse.</t>
  </si>
  <si>
    <t>We see the small dog, then two ladies and the small dog.</t>
  </si>
  <si>
    <t>The lady is sitting playing with the dog.</t>
  </si>
  <si>
    <t>We see a bunch of people in a stable with a horse.</t>
  </si>
  <si>
    <t>We see the end credit emblem.</t>
  </si>
  <si>
    <t>v_fdYyIOWkycU</t>
  </si>
  <si>
    <t>A man is seen standing ready holding a dart and looking off into the distance.</t>
  </si>
  <si>
    <t>The man then throws the dart in slow motion while the camera continues to follow him.</t>
  </si>
  <si>
    <t>v_I-C_fOUaknA</t>
  </si>
  <si>
    <t>A man places a tile onto the floor and pushes it down.</t>
  </si>
  <si>
    <t>He smooths it out with his hands.</t>
  </si>
  <si>
    <t>He moves the vent that is on the floor next to the tile.</t>
  </si>
  <si>
    <t>v_BC1VpNRFtXo</t>
  </si>
  <si>
    <t>A small group of men are seen sitting at a table playing various hand games with one another.</t>
  </si>
  <si>
    <t>Then moves their hands which are shown in slow motion and leads into one speaking on the phone and leaving the room.</t>
  </si>
  <si>
    <t>The camera pans around the other people as they laugh.</t>
  </si>
  <si>
    <t>v_X095EDl0-eU</t>
  </si>
  <si>
    <t>We see two men fencing in a stadium.</t>
  </si>
  <si>
    <t>A man throws his arms in the air.</t>
  </si>
  <si>
    <t>The left man falls to the ground.</t>
  </si>
  <si>
    <t>The left man throws his hand in the air.</t>
  </si>
  <si>
    <t>v_eFZufRRvIz4</t>
  </si>
  <si>
    <t>A woman is dancing and mopping in the kitchen.</t>
  </si>
  <si>
    <t>Another woman is recording her and laughing.</t>
  </si>
  <si>
    <t>The woman notices the camera and laughs, but continues dancing.</t>
  </si>
  <si>
    <t>v_5P-Xs2v6lis</t>
  </si>
  <si>
    <t>A technician walks along a roof and sprays it using a wand attached to a hose.</t>
  </si>
  <si>
    <t>The man turns off his hose then walks along the peak of the roof.</t>
  </si>
  <si>
    <t>The man sprays around the gutters with the wand.</t>
  </si>
  <si>
    <t>The water comes out of the gutter onto the cement below.</t>
  </si>
  <si>
    <t>v_DcoHV4WiHQk</t>
  </si>
  <si>
    <t>A woman is seen sitting on sand next to a girl.</t>
  </si>
  <si>
    <t>The woman looks away from the camera and looks down at the sand.</t>
  </si>
  <si>
    <t>The girl and woman then begin digging in the sand.</t>
  </si>
  <si>
    <t>v_8DZj0ggPr74</t>
  </si>
  <si>
    <t>A large group of players are lined up and seen speaking to one another.</t>
  </si>
  <si>
    <t>They then move out onto the ice and begin skating around.</t>
  </si>
  <si>
    <t>One man fist bumps another and ends by walking away.</t>
  </si>
  <si>
    <t>v_9J72KkOrAq4</t>
  </si>
  <si>
    <t>A person is seen running down a deck pushing a puck with a stick.</t>
  </si>
  <si>
    <t>She looks back and laughs to the camera while other people watch on the side.</t>
  </si>
  <si>
    <t>v_NMBu3DIn1eg</t>
  </si>
  <si>
    <t>A black dog is shown looking into the camera.</t>
  </si>
  <si>
    <t>A balding man appears who is standing next to a chair that seems to be in need of restoring.</t>
  </si>
  <si>
    <t>The chair is shown to have scratches.</t>
  </si>
  <si>
    <t>The man begins to apply a substance to the chair as the man rubs the substance all over the surfaces of the chair.</t>
  </si>
  <si>
    <t>The man then points at a scratch on the a part of the chair and begins to wipe it clean with the substance.</t>
  </si>
  <si>
    <t>The man then shows a leg of the chair and wipes it down as well.</t>
  </si>
  <si>
    <t>The man then seems to pour a substance into a can and dips the brush into it and polishes part of the leg.</t>
  </si>
  <si>
    <t>The man continues to wipe the chair as it is getting cleaner and cleaner.</t>
  </si>
  <si>
    <t>The man returns later after the chair dries with a yellow bottle and is now wearing a hat and glasses.</t>
  </si>
  <si>
    <t>The man begins to wipe the chair again using whatever was in the yellow bottle.</t>
  </si>
  <si>
    <t>After this is complete the cushion is put back onto the chair as it is wiped down one more time.</t>
  </si>
  <si>
    <t>v_fPbVku8Ssyw</t>
  </si>
  <si>
    <t>People make a hole on the shore of the beach using shovels.</t>
  </si>
  <si>
    <t>Then, people make a wall around the hole.</t>
  </si>
  <si>
    <t>v_BJuL-yK-I8g</t>
  </si>
  <si>
    <t>A man is talking while standing in front of a large river.</t>
  </si>
  <si>
    <t>A group of wild pigs are swimming behind the boat, trying to keep up.</t>
  </si>
  <si>
    <t>The man gets to shore, and he and a boat mate are running on the beach, trying to escape the pigs.</t>
  </si>
  <si>
    <t>v_x_luDzL03vw</t>
  </si>
  <si>
    <t>We then see two men practicing martial arts.</t>
  </si>
  <si>
    <t>The old man pushed the young to the ground.</t>
  </si>
  <si>
    <t>The older man flips the young one over.</t>
  </si>
  <si>
    <t>The old man pushes him forward.</t>
  </si>
  <si>
    <t>The young grabs the older head, and older pushes him down.</t>
  </si>
  <si>
    <t>Man in green is pushed across mat.</t>
  </si>
  <si>
    <t>Old man flip man in green.</t>
  </si>
  <si>
    <t>The Man in white is flipped.</t>
  </si>
  <si>
    <t>Older man pushes green man to ground.</t>
  </si>
  <si>
    <t>Older man rolls man in green.</t>
  </si>
  <si>
    <t>v_VkdPyMG-Gvo</t>
  </si>
  <si>
    <t>A man plays alone pool hitting balls with a pole while going around the pool table.</t>
  </si>
  <si>
    <t>Then, the man hit a ball that enters the basket.</t>
  </si>
  <si>
    <t>After, the man shake hands with people from the audience.</t>
  </si>
  <si>
    <t>v_0T1FKHx3yOk</t>
  </si>
  <si>
    <t>Two boys sits talking as they hold their cell phones.</t>
  </si>
  <si>
    <t>The boys are wrestling in Sumo costumes as two other boys films them with camera.</t>
  </si>
  <si>
    <t>One boy get and hits the other with a ladder and they hit each other.</t>
  </si>
  <si>
    <t>The boy in red grabs and hits the green boy on the ladder with a guitar.</t>
  </si>
  <si>
    <t>The red boy brings an ironing board and jumps on the other boy from the ladder.</t>
  </si>
  <si>
    <t>The green boy runs into the other boy with a minibike.</t>
  </si>
  <si>
    <t>A girl in a sum suit in thrown from a wheel barrow and the referee counts the match as finished.</t>
  </si>
  <si>
    <t>v__-4ngMPCA9A</t>
  </si>
  <si>
    <t>A woman stands in a kitchen talking.</t>
  </si>
  <si>
    <t>She walks over to a sink, puts on gloves and washes dishes.</t>
  </si>
  <si>
    <t>v_pp_J6AzUu4s</t>
  </si>
  <si>
    <t>A woman is standing in a kitchen.</t>
  </si>
  <si>
    <t>She puts ingredients into a glass bowl and mixes it together.</t>
  </si>
  <si>
    <t>She starts chopping food on a block.</t>
  </si>
  <si>
    <t>She combines all the ingredients into the bowl and mixes it together.</t>
  </si>
  <si>
    <t>She grates cheese onto the top of the food.</t>
  </si>
  <si>
    <t>She then puts salad on top of that.</t>
  </si>
  <si>
    <t>v_rR1R-x_UlOM</t>
  </si>
  <si>
    <t>A woman demonstrates from behind a standing bar counter inside of a bar, how to mix drinks using a shot glass and several bottles of alcohol.</t>
  </si>
  <si>
    <t>A woman standing behind a bar talks to the camera and pours a bottle of alcohol into a shot glass along with another bottle of alcohol.</t>
  </si>
  <si>
    <t>The woman then pulls a larger bottle of alcohol off of the bar top and pours that into the shot glass as well, The woman then pushes the shot glass forward toward the camera before the scene fades to black.</t>
  </si>
  <si>
    <t>v_Y75Fvr71aRQ</t>
  </si>
  <si>
    <t>A man is seen speaking to the camera while text appears on the screen.</t>
  </si>
  <si>
    <t>The man continues speaking and leads into him playing an instrument.</t>
  </si>
  <si>
    <t>He pauses his playing to hold up his hand while playing again and then stopping.</t>
  </si>
  <si>
    <t>v_N0mNYZaCJoQ</t>
  </si>
  <si>
    <t>A person pulls the rope of a camel that a man sits on.</t>
  </si>
  <si>
    <t>A man pulls a camel with two people in the desert.</t>
  </si>
  <si>
    <t>Two women are close to the camels.</t>
  </si>
  <si>
    <t>A car pass behind the camels.</t>
  </si>
  <si>
    <t>v_Kd3YFwF-2UM</t>
  </si>
  <si>
    <t>Several clips are shown of people throwing bowling balls down a lane as well as close ups of balls and pins.</t>
  </si>
  <si>
    <t>People continue bowling and the machine shows how the pins spin around and the balls returning to the back.</t>
  </si>
  <si>
    <t>v_03KTIy44yTo</t>
  </si>
  <si>
    <t>A bunch of brown leaves on green grass are blowing away together.</t>
  </si>
  <si>
    <t>The end of the leaf blower is closer to the grass and is blowing an even bigger area of brown leaves.</t>
  </si>
  <si>
    <t>The end of the leaf blower appears and disappears from view the whole time.</t>
  </si>
  <si>
    <t>v_zb2YYXs4gtw</t>
  </si>
  <si>
    <t>People are riding on the backs of camels.</t>
  </si>
  <si>
    <t>They get led down a trail by a person.</t>
  </si>
  <si>
    <t>People are standing behind a fence watching them.</t>
  </si>
  <si>
    <t>The camels lay down on the ground and the people step off of them.</t>
  </si>
  <si>
    <t>v_mfK2jcMGe1Y</t>
  </si>
  <si>
    <t>A girl in a bra is standing in her bathroom and brushing her hair.</t>
  </si>
  <si>
    <t>She does this for a while and continues to fix it.</t>
  </si>
  <si>
    <t>She then brushes it some more as it is very long.</t>
  </si>
  <si>
    <t>She turns around to get the back of it.</t>
  </si>
  <si>
    <t>v_5BYayNkmlBo</t>
  </si>
  <si>
    <t>A man is inside of a barn and is let out on a horse to catch a cow attached to the horse.</t>
  </si>
  <si>
    <t>As he throws his lasso,he misses the cow and runs to get something before going back to the cow.</t>
  </si>
  <si>
    <t>The man finally approaches the calf and another man comes out to assist him and he returns back to the horse.</t>
  </si>
  <si>
    <t>v_6LrY7uMj8Kg</t>
  </si>
  <si>
    <t>Three men sitting by the counter are sitting watching TV and then ladies in cheerdancing outfit started dancing as the men stare at them.</t>
  </si>
  <si>
    <t>The ladies started dancing, raising their arms up swinging their bodies.</t>
  </si>
  <si>
    <t>The girls play billiards and table football with the guys and they dance.</t>
  </si>
  <si>
    <t>v_DACWnbWrd18</t>
  </si>
  <si>
    <t>A large patch of grass is shown.</t>
  </si>
  <si>
    <t>A man is mowing the yard next to the bushes.</t>
  </si>
  <si>
    <t>He stops and talks to the camera.</t>
  </si>
  <si>
    <t>v_D707ZMWH7jQ</t>
  </si>
  <si>
    <t>A man in a red shirt begins talking in front of a wall of tool consisting of wrench,screws,ax and drills.</t>
  </si>
  <si>
    <t>He then holds up a small silver piece and begins sticking it into the chain of the bike.</t>
  </si>
  <si>
    <t>Next,he takes a black utensil,moves the pedals around and takes the chain completely off.</t>
  </si>
  <si>
    <t>He then takes a box with a new chain in it and puts it back on the bike and begins tightening the chain.</t>
  </si>
  <si>
    <t>v_y9xNMLhgTjY</t>
  </si>
  <si>
    <t>Several people riding skateboard are seen riding down a long hill while the camera follows them from behind.</t>
  </si>
  <si>
    <t>The cameraman continuously rides down a winding road past a group of trees and stops at the bottom to meet up with another.</t>
  </si>
  <si>
    <t>More riding is shown down the hill and ends with the camerman turning around.</t>
  </si>
  <si>
    <t>v_pvpfRBndHh8</t>
  </si>
  <si>
    <t>A lady in a gym punches both of her arms across her chest.</t>
  </si>
  <si>
    <t>The lady then kicks her left leg in the air and then the right one behind her.</t>
  </si>
  <si>
    <t>The lady repeats that sequence over and over.</t>
  </si>
  <si>
    <t>v_h15m87WsCHQ</t>
  </si>
  <si>
    <t>Hockey players are playing a hockey game on the ice.</t>
  </si>
  <si>
    <t>A crowd is watching them play.</t>
  </si>
  <si>
    <t>A man in yellow falls on the ice.</t>
  </si>
  <si>
    <t>A man in a suit is talking to hockey players.</t>
  </si>
  <si>
    <t>v_dkP1In7K63Y</t>
  </si>
  <si>
    <t>A man is spraying a sink with a pressure washer.</t>
  </si>
  <si>
    <t>The man sprays a toilet and then sprays the sink again.</t>
  </si>
  <si>
    <t>We see a title screen the man shows the machine and turns a dial and washer the floor, sink and toilet and mirror.</t>
  </si>
  <si>
    <t>The man uses a squeegee on the mirror.</t>
  </si>
  <si>
    <t>The man adjusts the machine and hooks up a hose and uses air to blow dry the sink and mops the floor.</t>
  </si>
  <si>
    <t>v_ZIFxB0gZ5tY</t>
  </si>
  <si>
    <t>We see a man swinging in a park.</t>
  </si>
  <si>
    <t>The man stands while holding onto the swing.</t>
  </si>
  <si>
    <t>The man stands again and we see a little girl.</t>
  </si>
  <si>
    <t>A lady tries to put the girl in the swing, but she ends up swinging alone.</t>
  </si>
  <si>
    <t>v_djgnHazfi2Y</t>
  </si>
  <si>
    <t>man is standing in stage doing gymnastics in a competition.</t>
  </si>
  <si>
    <t>man is holding a video recorder.</t>
  </si>
  <si>
    <t>v_UlGX-5x0Mak</t>
  </si>
  <si>
    <t>A boy holds an ice cream cone to a baby sitting in a high chair seat.</t>
  </si>
  <si>
    <t>The baby enjoys the ice cream cone.</t>
  </si>
  <si>
    <t>v_9Pv2hUyODK4</t>
  </si>
  <si>
    <t>A man in a black shirt is talking outside near a track and field.</t>
  </si>
  <si>
    <t>He then walks over to a student athlete from Florida State University.</t>
  </si>
  <si>
    <t>The athlete then begins talking and showing various techniques that she uses.</t>
  </si>
  <si>
    <t>Once finishes,she begins doing a triple jump into the pit,she tries again, and then the man interviewing her begins doing the same jump.</t>
  </si>
  <si>
    <t>The two come back to the camera and finish talking,she flashes her thumbs up and then leaves.</t>
  </si>
  <si>
    <t>v_1wiGNX_S8ZU</t>
  </si>
  <si>
    <t>Two people are seen doing flips and kicks around one another in a large circle surrounded by people.</t>
  </si>
  <si>
    <t>More people join in to the kicks and flips as others watch them on the side and clap.</t>
  </si>
  <si>
    <t>v_hhoewBggtuw</t>
  </si>
  <si>
    <t>We see a title over an image of a car.</t>
  </si>
  <si>
    <t>We see a man sitting next and talking about the car.</t>
  </si>
  <si>
    <t>The man puts a brick behind his tire and grabs his supplies to change his tire.</t>
  </si>
  <si>
    <t>The man loosens the bolts and jacks the car up and removes the tire.</t>
  </si>
  <si>
    <t>The man puts on his spare and lowers the car to the ground.</t>
  </si>
  <si>
    <t>The man puts his supplies away and drives away.</t>
  </si>
  <si>
    <t>The man stops near the camera and speaks before driving off.</t>
  </si>
  <si>
    <t>v_mzxz0EQy1pY</t>
  </si>
  <si>
    <t>A camera pans all around a heated pool and leads into a person climbing in a kayak and moving around the pool.</t>
  </si>
  <si>
    <t>Several people seen riding kayaks around the pool as well as people swimming around and watching on the sidelines.</t>
  </si>
  <si>
    <t>The men continue moving around in various angles as well as being shown swimming underwater and playing with one another.</t>
  </si>
  <si>
    <t>v_lIbRuIm9MxI</t>
  </si>
  <si>
    <t>Howcast logo is on the screen.</t>
  </si>
  <si>
    <t>Two men are sitting in the middle of drums and explaining about the instruments.</t>
  </si>
  <si>
    <t>The men begin playing the drums.</t>
  </si>
  <si>
    <t>The go back to talking about the drums.</t>
  </si>
  <si>
    <t>v_awqVlr-YDM4</t>
  </si>
  <si>
    <t>People are skiing down a hill and keep falling down and sliding down the hill.</t>
  </si>
  <si>
    <t>A person crashes into a fence.</t>
  </si>
  <si>
    <t>v_8rypSctbfjU</t>
  </si>
  <si>
    <t>A brush and two kinds of paint are on a table.</t>
  </si>
  <si>
    <t>A knitter's hoop is shown lying on cloth, and a woman paints a design into the cloth.</t>
  </si>
  <si>
    <t>She forms many leaves and flowers in orange shades.</t>
  </si>
  <si>
    <t>When she is done, she shows off the flower design.</t>
  </si>
  <si>
    <t>v_bCdIcqRYJvo</t>
  </si>
  <si>
    <t>A man sits and plays a black grand piano in an empty auditorium.</t>
  </si>
  <si>
    <t>We see three people in the front row watching and listening to the man as he plays and one person one row behind them.</t>
  </si>
  <si>
    <t>We see the three people, two women and one men.</t>
  </si>
  <si>
    <t>The player stands and plays.</t>
  </si>
  <si>
    <t>The player finishes and stands up.</t>
  </si>
  <si>
    <t>v_nShRXseBM4Y</t>
  </si>
  <si>
    <t>A person is slicing bread with a knife.</t>
  </si>
  <si>
    <t>They mix ingredients in a bowl.</t>
  </si>
  <si>
    <t>They cook the bread on a grill.</t>
  </si>
  <si>
    <t>They add a scoop of chocolate ice cream next to the sandwich.</t>
  </si>
  <si>
    <t>v_IFgEjS97Pmw</t>
  </si>
  <si>
    <t>A rustic static bike of wood is in a room.</t>
  </si>
  <si>
    <t>Then, a man pedal the bike while showing the handle.</t>
  </si>
  <si>
    <t>Then the man sits on the bike to pedal and then stands.</t>
  </si>
  <si>
    <t>v_XLsuG0cNl4o</t>
  </si>
  <si>
    <t>A man uses a beard trimmer to trim his cheeks and neck.</t>
  </si>
  <si>
    <t>The man strokes his goatee and examines it.</t>
  </si>
  <si>
    <t>The man trims his chin area to make a mustache.</t>
  </si>
  <si>
    <t>v_1iP5k9jHBRU</t>
  </si>
  <si>
    <t>A male is standing by the white door, he is holding rectangular wood, and on the other hand is a board that holds big chunk of brown clay.</t>
  </si>
  <si>
    <t>He pointed the wall and started to spread the brown clay on the wall, she spread it by rubbing it smoothly and in half circle way.</t>
  </si>
  <si>
    <t>He went near the ceiling, knocked on the ceiling, pushed it, knocked on it again, smoothen it using his fingers.</t>
  </si>
  <si>
    <t>v_PpbBWqlsbxk</t>
  </si>
  <si>
    <t>We see we an opening title screen.</t>
  </si>
  <si>
    <t>People stand in the woods holding paddles while wearing rafting gear.</t>
  </si>
  <si>
    <t>People walk to the lake with their rafts and get in.</t>
  </si>
  <si>
    <t>We see people riding rafts down a river.</t>
  </si>
  <si>
    <t>The people go over a small waterfall and their raft is overturned.</t>
  </si>
  <si>
    <t>People are plunged into the water as they go over a waterfall and a man pumps his fist.</t>
  </si>
  <si>
    <t>The camera pans up to show nature and fades to white.</t>
  </si>
  <si>
    <t>v_jsofzMPb0i4</t>
  </si>
  <si>
    <t>There's a basketball player demonstrating various types of basketball hoop shooting techniques on behalf of World of Hoops.</t>
  </si>
  <si>
    <t>He begins by showing the basic technique of the regular lay-up throw, he shoots the ball directly into the hoop.</t>
  </si>
  <si>
    <t>Then he shows another technique where he comes running and shoots the ball from very close to the hoop by jumping up high.</t>
  </si>
  <si>
    <t>He continues to show various other ways to shoot the basket as he runs and dunks the ball straight into the basket.</t>
  </si>
  <si>
    <t>He demonstrates different techniques of shooting the ball right into the hoop without missing a single basket.</t>
  </si>
  <si>
    <t>v_sTev5fWX3T8</t>
  </si>
  <si>
    <t>A teen is balancing on the higher uneven bar.</t>
  </si>
  <si>
    <t>Then, the teen flips and a man helps her to pass to the lower uneven bar.</t>
  </si>
  <si>
    <t>Two A girl exercise on the uneven bars behind the teen.</t>
  </si>
  <si>
    <t>v_IlzwpnsIRZM</t>
  </si>
  <si>
    <t>People are playing a game of ping pong.</t>
  </si>
  <si>
    <t>A man in a red shirt is playing with only one shoe on.</t>
  </si>
  <si>
    <t>v_EO_BnsrWMnI</t>
  </si>
  <si>
    <t>A man is seen wearing a funny uniform and walking out onto a large stage while intervening to speak to the camera.</t>
  </si>
  <si>
    <t>The man performs gymnastics moves around a beam in a silly manner and ends with the audience clapping and the man waving.</t>
  </si>
  <si>
    <t>v_63lmoqLxB8c</t>
  </si>
  <si>
    <t>People are playing a game of volleyball on a court.</t>
  </si>
  <si>
    <t>People are sitting along the benches against a wall watching.</t>
  </si>
  <si>
    <t>A boy serves the volleyball.</t>
  </si>
  <si>
    <t>v_xtmxgih0yIk</t>
  </si>
  <si>
    <t>A horse stands alone, attached to a wooden trunk.</t>
  </si>
  <si>
    <t>A man approaches the horse holding two brushes in his hands and speaks for a bit.</t>
  </si>
  <si>
    <t>He goes up to the horse and brushes the hair of the horse, removing the hair of the horse that attaches onto the brush.</t>
  </si>
  <si>
    <t>He pauses for a bit to speak.</t>
  </si>
  <si>
    <t>He goes back to removing the excess hair off the horse.</t>
  </si>
  <si>
    <t>He pauses again and speaks for a while.</t>
  </si>
  <si>
    <t>He returns to brushing the horse.</t>
  </si>
  <si>
    <t>He stops brushing the hair and speaks.</t>
  </si>
  <si>
    <t>v_u9oARzRT3fI</t>
  </si>
  <si>
    <t>A female gymnast mounts a high beam in a gym.</t>
  </si>
  <si>
    <t>She does lots of forward jumps, springs, and splits in the air.</t>
  </si>
  <si>
    <t>A boy in the background climbs a rope as she dismounts.</t>
  </si>
  <si>
    <t>v_JviFZ5Cliug</t>
  </si>
  <si>
    <t>A woman in a white shirt is standing by an exercise machine.</t>
  </si>
  <si>
    <t>She begins working out on the exercise machine.</t>
  </si>
  <si>
    <t>Information about the machine is placed on the screen.</t>
  </si>
  <si>
    <t>v_ZCZoL2b6euQ</t>
  </si>
  <si>
    <t>A man is throwing darts inside a room.</t>
  </si>
  <si>
    <t>Another man ducks so he doesn't get hit.</t>
  </si>
  <si>
    <t>The darts hit the dart board in slow motion.</t>
  </si>
  <si>
    <t>v_t0YXK4W_L7o</t>
  </si>
  <si>
    <t>A close up of a horse is seen followed by several people riding on a horses on a beach.</t>
  </si>
  <si>
    <t>One person is seen standing on the horse and the camera continues to follow the people riding along on the horses.</t>
  </si>
  <si>
    <t>v_WOonpO98TdQ</t>
  </si>
  <si>
    <t>A man and a woman in a garage style weight room demonstrate how to lift a weight bar with the woman exhibiting the lifting of the weights.</t>
  </si>
  <si>
    <t>A man in a black t-shirt and sandals stands next to a woman in a garage style weight room.</t>
  </si>
  <si>
    <t>The woman picks up a weight bar using the knees to bend as the man talks and points to her muscle groups.</t>
  </si>
  <si>
    <t>The woman hoists the bar above her head in a weight lifting move several times before lowering the bar back to the floor.</t>
  </si>
  <si>
    <t>v_vpvhtd7CqUA</t>
  </si>
  <si>
    <t>Some texts pops up on the screen.</t>
  </si>
  <si>
    <t>A video of bulls being hurt by people starts playing.</t>
  </si>
  <si>
    <t>Text pops up on the screen again.</t>
  </si>
  <si>
    <t>Images of people stabbed with arrows and full of blood are shown.</t>
  </si>
  <si>
    <t>More text with an anti bullfighting messages appear.</t>
  </si>
  <si>
    <t>Images of hurts bulls are shown.</t>
  </si>
  <si>
    <t>Anti animal cruelty text appears.</t>
  </si>
  <si>
    <t>A bull fighter is shown fighting a bull.</t>
  </si>
  <si>
    <t>A video is played of bullfighters getting gored.</t>
  </si>
  <si>
    <t>A new video showing dead animals plays.</t>
  </si>
  <si>
    <t>Condescending text appears in the video that chastises people for eating meat ane being cruel to animals.</t>
  </si>
  <si>
    <t>v_FfVfjZOHsl4</t>
  </si>
  <si>
    <t>A lawn mower is being pushed through grass.</t>
  </si>
  <si>
    <t>It is pushed along a sidewalk.</t>
  </si>
  <si>
    <t>It is pushed along a flower bed.</t>
  </si>
  <si>
    <t>v_pIUpJihiju0</t>
  </si>
  <si>
    <t>A person shows the bottom of a large dust mop.</t>
  </si>
  <si>
    <t>Then, the person cleans a gym with the large dust mop.</t>
  </si>
  <si>
    <t>v_HCub1SN4X20</t>
  </si>
  <si>
    <t>The girl in the swing is swinging and then she jumped on the ground.</t>
  </si>
  <si>
    <t>The camera turned around, then turned back to the girl swinging, she is twisting the chains of the swing, and she is swirling around with the swing.</t>
  </si>
  <si>
    <t>The girl in black shirt and black skirt and tights keeps swing so fast and high and then she jumped on the sandy ground.</t>
  </si>
  <si>
    <t>The girl climbed the climber, she put her feet up while her arms and hands are holding the bar.</t>
  </si>
  <si>
    <t>The girl fell down on the ground, she stood up, then went to the other side of the climber, reached for the bar and moved to the other next bar.</t>
  </si>
  <si>
    <t>The girl is sitting on blue bouncing chair while she look on her side, she stood up, continue to pull her weight forward and backward.</t>
  </si>
  <si>
    <t>The girl sat on top of the slide then slide down, put on her slippers then went back to the top of the slide and slide down.</t>
  </si>
  <si>
    <t>v_Oe1tNvkhrI8</t>
  </si>
  <si>
    <t>A blue backdrop is pictured with white words saying titling,"Mowing the Lawn May 2009".</t>
  </si>
  <si>
    <t>A middle aged man is outside,wearing a white muscle short and red shorts pushing a lawn mower in his yard.</t>
  </si>
  <si>
    <t>As the man turns the lawn mower to go in a different direction he begins to struggle and gets confused because the water fountain is in his way.</t>
  </si>
  <si>
    <t>Once,the male has become frustrated enough,he just decided to not mow it and goes back to his original place of cutting.</t>
  </si>
  <si>
    <t>v_OW5Tyr8MICg</t>
  </si>
  <si>
    <t>A close up of hands is shown followed by a girl brushing her hair and smiling to the camera.</t>
  </si>
  <si>
    <t>The girl continues brushing her hair and looking off into the distance.</t>
  </si>
  <si>
    <t>v_G4O_Ar7EO4Y</t>
  </si>
  <si>
    <t>A competitive sporting event is taking place in an outdoor arena and the competitors are on the ground while the spectators are in the stands.</t>
  </si>
  <si>
    <t>A man is now standing in a circle on the field and he's holding a ball and the banner display on the screen indicates his name is Krisztian PARS and that he's about to do a Hammer Throw M as he swings the ball that is attached to the rope, swings his body and then lets the rope go as it flies very far on the field.</t>
  </si>
  <si>
    <t>The man is very proud of his throw as he cheers and other competitors as well as people in the stands clap and cheer for him as well as he walks away from the area he was standing in and continues to cheer himself on a little more while giving a thumbs up to a group of camera men taking his picture.</t>
  </si>
  <si>
    <t>A replay of his throw starts again and then it ends with a wide angled shot of the entire arena.</t>
  </si>
  <si>
    <t>v_4d3RtnuVCV4</t>
  </si>
  <si>
    <t>A video of the UConn women's field hockey team is shown.</t>
  </si>
  <si>
    <t>The coach talks to the players and they have a practice.</t>
  </si>
  <si>
    <t>v_5qublDzEgsw</t>
  </si>
  <si>
    <t>Two men are shown playing soccer in a gym followed by a pan out showing more players.</t>
  </si>
  <si>
    <t>The man is white leads the ball down the gym several times and performing various tricks and goals.</t>
  </si>
  <si>
    <t>The game continues on with the men doing back and fourth playing with the soccer ball.</t>
  </si>
  <si>
    <t>v_4P0zJEfqCoM</t>
  </si>
  <si>
    <t>A woman gets her eyebrow clamped.</t>
  </si>
  <si>
    <t>A person pushes a needle through her eyebrow.</t>
  </si>
  <si>
    <t>They twist an earring into the eyebrow.</t>
  </si>
  <si>
    <t>They clean around the earring with a qtip.</t>
  </si>
  <si>
    <t>v_uwGcEaW3z3Q</t>
  </si>
  <si>
    <t>A man is trying to lift weights in a gym.</t>
  </si>
  <si>
    <t>He lifts the barbell up to his chest.</t>
  </si>
  <si>
    <t>He then lifts it over his head before dropping it to the ground.</t>
  </si>
  <si>
    <t>v_60yOoxs9AFc</t>
  </si>
  <si>
    <t>A band is seen playing several instruments on a stage while people dance around them.</t>
  </si>
  <si>
    <t>The band continues playing while lights flash all around them and people continue dancing.</t>
  </si>
  <si>
    <t>v_ko9efCldvgs</t>
  </si>
  <si>
    <t>A wooden outdoors stair case is shown outside of a white and brown horse.</t>
  </si>
  <si>
    <t>All of a sudden,a black dog comes around the corner and trots up the stairs and multiple replays are shown.</t>
  </si>
  <si>
    <t>Once the dog actually makes it to the top,he begins licking the person'a behind the camera shoe.</t>
  </si>
  <si>
    <t>v_BY5mz30u5_8</t>
  </si>
  <si>
    <t>A person is seen standing on a wake board point out and moving himself around.</t>
  </si>
  <si>
    <t>The camera follows him gliding out into the water gradually going further and further.</t>
  </si>
  <si>
    <t>v_jHyWtrhNTTk</t>
  </si>
  <si>
    <t>We see a black opening screen.</t>
  </si>
  <si>
    <t>We see a blue track with people running on it.</t>
  </si>
  <si>
    <t>We then see a man do a high jump at 5'9".</t>
  </si>
  <si>
    <t>We then see the man jump at 6'.</t>
  </si>
  <si>
    <t>We then see the man jump at 6'2" and he knocks the pole over.</t>
  </si>
  <si>
    <t>We see him try 6'2" again and not hit the pole.</t>
  </si>
  <si>
    <t>The man walks to the camera and turns it off.</t>
  </si>
  <si>
    <t>v_K9qWnvl8A1Q</t>
  </si>
  <si>
    <t>A little boy is holding a paintbrush in the yard.</t>
  </si>
  <si>
    <t>He is swiping a brush covered with water on the fence.</t>
  </si>
  <si>
    <t>He dips it in the bucket, continuing to pretend to paint.</t>
  </si>
  <si>
    <t>v_Ocd1VWIIeVs</t>
  </si>
  <si>
    <t>A man washes a car with a brush, while three people rinse the car with hoses.</t>
  </si>
  <si>
    <t>A man sprays detergent on a car.</t>
  </si>
  <si>
    <t>A person that wears a red t-shirt sprays detergent on a car, then two men rinse the car with hoses, while other cars are covered with white detergent.</t>
  </si>
  <si>
    <t>v_OrF46J3HmSw</t>
  </si>
  <si>
    <t>A young child is seen standing before a mat looking down at the floor.</t>
  </si>
  <si>
    <t>She then begins walking along the mat all the way to the end.</t>
  </si>
  <si>
    <t>She walks back and fourth again while looking to the camera.</t>
  </si>
  <si>
    <t>v_QZyR7yfp8hA</t>
  </si>
  <si>
    <t>A man is seen speaking to the camera next to a horse and leads into clips of him riding around on the horse and close ups of other horses.</t>
  </si>
  <si>
    <t>The host speaks to another man while more shots of horses are shown as well as a man hitting a ball.</t>
  </si>
  <si>
    <t>The men then ride horses and learn to play a sport and ends with the host speaking in a uniform.</t>
  </si>
  <si>
    <t>v_4E-RWxR6Xr0</t>
  </si>
  <si>
    <t>A guy rides an exercise bike.</t>
  </si>
  <si>
    <t>The guy adjusts the exercise bike seat.</t>
  </si>
  <si>
    <t>v_2Dlfwnvz76Q</t>
  </si>
  <si>
    <t>A woman is sitting at a desk.</t>
  </si>
  <si>
    <t>A man sitting in front of her is playing a harmonica.</t>
  </si>
  <si>
    <t>The woman is playing with her hair.</t>
  </si>
  <si>
    <t>v_mnMmGnnbvSk</t>
  </si>
  <si>
    <t>An array of shoe shining tools are shown including different kinds and colors of shoe polish, a polishing rag and a black shiny shoe.</t>
  </si>
  <si>
    <t>A group of adult students sit in a classroom style room and look to the front of the class as if attending a class and listening intensely.</t>
  </si>
  <si>
    <t>A shoe shine demonstration takes place with a man kneeling in front of a group of students and using a sample shoe as an example.</t>
  </si>
  <si>
    <t>Several people in aprons, then kneel before people wearing shoes and shine the people's shoes on red buckets with polishing clothes and polish.</t>
  </si>
  <si>
    <t>The shoes shiners then stand in unison, with their aprons, and bow and shake hands.</t>
  </si>
  <si>
    <t>v_hRMSh7vUmGY</t>
  </si>
  <si>
    <t>A man is lifting very heavy weight above his head and dropping it .</t>
  </si>
  <si>
    <t>He does this multiple time for repetition, this is a workout routine.</t>
  </si>
  <si>
    <t>He then walks away taking a break for a little bit and walks by people sitting and chatting.</t>
  </si>
  <si>
    <t>Once he is done with his break he continues back to his routine.</t>
  </si>
  <si>
    <t>v_q9T1GR6s0vI</t>
  </si>
  <si>
    <t>Two Sumo wrestlers are indoor fighting one another as the referee moves around them.</t>
  </si>
  <si>
    <t>One person is then thrown off of the mat and another set of people are shown.</t>
  </si>
  <si>
    <t>The smaller of the two then flips the big guy from in the air and then the match is over.</t>
  </si>
  <si>
    <t>The sequence continues and several other men are shown battling one another and giving each other wedgies.</t>
  </si>
  <si>
    <t>When the match is complete,two men are shown sitting at a desk with a phone number on a white board.</t>
  </si>
  <si>
    <t>v_yRjaK8wT4Rc</t>
  </si>
  <si>
    <t>A man is washing his hands in the sink.</t>
  </si>
  <si>
    <t>He takes a yellow rag and cleans the sink and faucet.</t>
  </si>
  <si>
    <t>A white bottle of cleaner is shown.</t>
  </si>
  <si>
    <t>v_RVKYgN2S9KA</t>
  </si>
  <si>
    <t>A girl wearing a bikini on the beach is shown doing several sits up on a ball and fixing her hair.</t>
  </si>
  <si>
    <t>She continues performing the exercise while smiling at the camera.</t>
  </si>
  <si>
    <t>v_HCsfxpQ8C1M</t>
  </si>
  <si>
    <t>A man holds a weigh on his back, then he kneels on the floor.</t>
  </si>
  <si>
    <t>After, he jumps from the floor to stand while the weigh is on his back.</t>
  </si>
  <si>
    <t>v_86lJVqKyj3A</t>
  </si>
  <si>
    <t>A woman demonstrates how to properly wrap a gift from behind the counter of a gift shop.</t>
  </si>
  <si>
    <t>A woman stands behind a sales counter in front of several wrapped gifts and gift wrapping materials.</t>
  </si>
  <si>
    <t>Gift wrapping materials are shown sitting on the counter including gift wrap, scissors, and ribbon.</t>
  </si>
  <si>
    <t>The woman talks to the camera and begins to wrap the box in gift wrapping paper using a pair of scissors to cut the gift wrapping paper and clear tape to tape the edges of the wrapping paper.</t>
  </si>
  <si>
    <t>The woman then wraps the gift with final ribbon and the camera closes up on the finishes, wrapped, product.</t>
  </si>
  <si>
    <t>v_57cM1GcKktw</t>
  </si>
  <si>
    <t>A heavy man in a blue shirt is playing the bag pipes.</t>
  </si>
  <si>
    <t>He blows into the pipe while making the notes with his fingers.</t>
  </si>
  <si>
    <t>He slightly dances as he plays.</t>
  </si>
  <si>
    <t>He adjusts the bag pipe and continues to play.</t>
  </si>
  <si>
    <t>He finishes his song and reaches to turn off the camera.</t>
  </si>
  <si>
    <t>v_x2DTmwZa8yE</t>
  </si>
  <si>
    <t>A man is sitting with a surgical mask on.</t>
  </si>
  <si>
    <t>He is cutting lemons up.</t>
  </si>
  <si>
    <t>v_lPYV3qFuXOI</t>
  </si>
  <si>
    <t>The video's title and credits are shown.</t>
  </si>
  <si>
    <t>A man rides a bicycle down a path with cars in the background.</t>
  </si>
  <si>
    <t>The man disassembles and repairs the bicycle.</t>
  </si>
  <si>
    <t>The man rides the bicycle down a stone paved path.</t>
  </si>
  <si>
    <t>The man rides the bicycle down a road alongside parked cars.</t>
  </si>
  <si>
    <t>v_jFp6ld_IGuY</t>
  </si>
  <si>
    <t>A man speaks on a microphone.</t>
  </si>
  <si>
    <t>Suddenly, a man jumps on the neck of a person and throw him to the floor.</t>
  </si>
  <si>
    <t>Other men competes wrestling, and one man jumps and land on the border of a wrestling ring.</t>
  </si>
  <si>
    <t>A wrestler jumps on the back of a man to stay upside down while the judge watch.</t>
  </si>
  <si>
    <t>A big man kicks another wrestler, then grabs his head a throw to the floor.</t>
  </si>
  <si>
    <t>A kid and a person jumps to celebrate.</t>
  </si>
  <si>
    <t>v_VbhCWRXsEHQ</t>
  </si>
  <si>
    <t>Parchment paper is placed on the baking sheet.</t>
  </si>
  <si>
    <t>Softened butter is placed in a mixing bowl.</t>
  </si>
  <si>
    <t>The mixer then begins to cream the butter.</t>
  </si>
  <si>
    <t>Sugar is added to the mixing bowl to be beaten in.</t>
  </si>
  <si>
    <t>Flour is measured, and combined with cornstarch which is measured then mixed into the bowl.</t>
  </si>
  <si>
    <t>Dough is measured out by spoonful, rolled up and placed on baking sheet.</t>
  </si>
  <si>
    <t>The dough is flattened and baked into cookies.</t>
  </si>
  <si>
    <t>The cookies are then placed on a baking sheet, then rack to cool with a spatula.</t>
  </si>
  <si>
    <t>The cookies are cooled to be enjoyed.</t>
  </si>
  <si>
    <t>v_wipGHu-nmNY</t>
  </si>
  <si>
    <t>A bartender is talking from behind a bar.</t>
  </si>
  <si>
    <t>He shows himself making several different drinks.</t>
  </si>
  <si>
    <t>Then he is shown making a specific red drink, shaking it before pouring it into a glass.</t>
  </si>
  <si>
    <t>v_0Bd8Js6Pf6E</t>
  </si>
  <si>
    <t>Two tam tams are in a living room.</t>
  </si>
  <si>
    <t>Then, A man comes and talks on front the tam tams.</t>
  </si>
  <si>
    <t>After, the man plays the tam tam in a living room.</t>
  </si>
  <si>
    <t>v_G3xayqdY0TY</t>
  </si>
  <si>
    <t>A man on the dock hands a rope to a water skier.</t>
  </si>
  <si>
    <t>A person water skis and does jumps over ramps in the water of a lake.</t>
  </si>
  <si>
    <t>The water skier falls but recovers then lets go of the rope and drifts over to the shoreline.</t>
  </si>
  <si>
    <t>v_2-xMWBQA7iM</t>
  </si>
  <si>
    <t>We see a man walk over and sits on a rowing machine.</t>
  </si>
  <si>
    <t>The man drink from his water.</t>
  </si>
  <si>
    <t>The man rows fast on the machine.</t>
  </si>
  <si>
    <t>We see a title screen.</t>
  </si>
  <si>
    <t>We see the man stop rowing and walks and gets the camera.</t>
  </si>
  <si>
    <t>The man then shows the screen on the rowing machine.</t>
  </si>
  <si>
    <t>The man kisses his fingers and the camera falls to the ground.</t>
  </si>
  <si>
    <t>v_nXVNITiaaTQ</t>
  </si>
  <si>
    <t>A man stands in front of a business logo and discusses.</t>
  </si>
  <si>
    <t>A rider goes around a turn and plants his foot in the dirt to stabilize.</t>
  </si>
  <si>
    <t>The rider accelerates out of a turn on his motorcycle.</t>
  </si>
  <si>
    <t>The rider goes over a jump on his motorcycle.</t>
  </si>
  <si>
    <t>v_YU0DjX7wvRA</t>
  </si>
  <si>
    <t>A cat is sitting on the floor looking up as his owner tried to grab him.</t>
  </si>
  <si>
    <t>The owner picks him up and sits down with him and begins to clip his nails.</t>
  </si>
  <si>
    <t>The cat is moving his head around wagging its tail around but not giving a hard time.</t>
  </si>
  <si>
    <t>The owner then begins to rub its belly and play with it's feet, before putting the cat back on the ground.</t>
  </si>
  <si>
    <t>v_Pi79Fa4YwDk</t>
  </si>
  <si>
    <t>We see men playing a game of cricket.</t>
  </si>
  <si>
    <t>The pitcher throws and men all start running.</t>
  </si>
  <si>
    <t>We see a man laying on the ground, with medics around.</t>
  </si>
  <si>
    <t>We see men walking on the field and A medic puts a ice pack on the man's head.</t>
  </si>
  <si>
    <t>We see in slow motion the collision which hurt the man.</t>
  </si>
  <si>
    <t>v_-YPp9kc3XDs</t>
  </si>
  <si>
    <t>man is sitting in a living room talking to the camera.</t>
  </si>
  <si>
    <t>man starts playing the flute and keep talknig.</t>
  </si>
  <si>
    <t>v_P3oTMGfwOOs</t>
  </si>
  <si>
    <t>Men use ladders to get on the roof to work.</t>
  </si>
  <si>
    <t>The men put a tarp around the house.</t>
  </si>
  <si>
    <t>The men are removing the roof pieces and throwing down onto the tarp.</t>
  </si>
  <si>
    <t>v_YAbfhT3fhac</t>
  </si>
  <si>
    <t>A gymnastic teams practices routines that involve jumping and flipping.</t>
  </si>
  <si>
    <t>They then switch to cheerleading outside.</t>
  </si>
  <si>
    <t>v_swOYvotIM1Y</t>
  </si>
  <si>
    <t>A woman and a man battle each other in a game of arm wrestling.</t>
  </si>
  <si>
    <t>She beats him and showcases her muscles.</t>
  </si>
  <si>
    <t>They do it again, she wins again, and shows off her muscles.</t>
  </si>
  <si>
    <t>v_KV0L45xelkE</t>
  </si>
  <si>
    <t>A female basketball coach is seen instructing a group of girl basketball players who are standing in line on a basketball court.</t>
  </si>
  <si>
    <t>The first girl passes to another coach and then runs to the net and takes a layup.</t>
  </si>
  <si>
    <t>The girls continue to do the drill on the right side.</t>
  </si>
  <si>
    <t>The girls move to the left side and perform the same drill on the left side of the court.</t>
  </si>
  <si>
    <t>v_8miqQQJEsO0</t>
  </si>
  <si>
    <t>woman is standing in a roofed gym lifting weight.</t>
  </si>
  <si>
    <t>coach is standing next to the gril coaching her and helping her.</t>
  </si>
  <si>
    <t>after a few advices the woman lift the weight again.</t>
  </si>
  <si>
    <t>v_wlYxVUJSJVI</t>
  </si>
  <si>
    <t>A group of kids are playing indoor soccer.</t>
  </si>
  <si>
    <t>The boys run, chasing the ball and fighting to get it away from each other.</t>
  </si>
  <si>
    <t>One boy kicks into the opposing team's goal.</t>
  </si>
  <si>
    <t>It is replayed in slow motion.</t>
  </si>
  <si>
    <t>The boys continue playing for the remainder of the game.</t>
  </si>
  <si>
    <t>On the final screen, an older man is shown holding a little boy in his arms.</t>
  </si>
  <si>
    <t>v_9uHffl5yny4</t>
  </si>
  <si>
    <t>A woman talks on a cordless phone while sitting on a throne, and while another woman kneels at her feet and wipes them down with her clothes.</t>
  </si>
  <si>
    <t>A woman in a purple sari kneels at the foot of another woman who is sitting on a gold throne and wearing a gold crown with red feathers in her hair.</t>
  </si>
  <si>
    <t>The woman on the throne sticks her foot out in front of the kneeling woman and the kneeling woman begins to wipe the woman's feet with her sari.</t>
  </si>
  <si>
    <t>The woman on the throne takes a phone call on black cordless phone and begins to talk before the scene finally fades to a blurry image of another woman talking on a phone.</t>
  </si>
  <si>
    <t>v_UpnFBPGFgnw</t>
  </si>
  <si>
    <t>A man is speaking while standing in front of a smart car.</t>
  </si>
  <si>
    <t>He gets in, continuing to talk as he shows the different component of the car, including the trunk.</t>
  </si>
  <si>
    <t>The man returns to the front of the vehicle, finishing with his final words.</t>
  </si>
  <si>
    <t>v_xuEhV19bVRI</t>
  </si>
  <si>
    <t>A compilation of professional wrestler Kevin Owens performing power bombs on many wrestlers, in the beginning of the video he enters the building with a confident look, as he proceeds to get in he performs multiple power bombs.</t>
  </si>
  <si>
    <t>The ending of the video has a subscriber message.</t>
  </si>
  <si>
    <t>v_H-yBxySDyTw</t>
  </si>
  <si>
    <t>A man in a office chair is sitting with some type of pen up.</t>
  </si>
  <si>
    <t>He talks about it for a little while and then put it in his mouth, turns out its an e-pen.</t>
  </si>
  <si>
    <t>It's a new technology that you can smoke like a cigarette.</t>
  </si>
  <si>
    <t>He holds it in his hands like a cigarette and puts it in his mouth and exhales smoke.</t>
  </si>
  <si>
    <t>v_uBkJa679ffE</t>
  </si>
  <si>
    <t>A woman with dark hair and silver framed glasses looks around pensively until her gaze lands on the camera and she feigns surprise at the presence of the camera and begins to talk to the camera.</t>
  </si>
  <si>
    <t>The woman begins to hold a pair of contact lenses and lens solution up to the camera and then proceeds to take the lenses out and talks to the camera alone again.</t>
  </si>
  <si>
    <t>The woman pours solution into her hand and cleans the lens in her hand before plopping two of them in her eyes and exhibiting completely black eyes to the camera while talking.</t>
  </si>
  <si>
    <t>The woman then takes the contact out of her eyes, then puts them back in on the fade out.</t>
  </si>
  <si>
    <t>v_9PuaRdU6ViM</t>
  </si>
  <si>
    <t>Two girls are seen speaking to the camera followed by a person laying fruit out and mixing it into a blender.</t>
  </si>
  <si>
    <t>The girls continue to put the fruit into a blender while taking bites on the side and pushing down further into the blender.</t>
  </si>
  <si>
    <t>v_14X-i7vqXWU</t>
  </si>
  <si>
    <t>A group of cheerleaders are seen yelling together all at once and leads into them performing a routine in front of a large audience.</t>
  </si>
  <si>
    <t>The people continue performing their routine on the mat while performing various flips and tricks and ends with them running off stage while the audience cheers.</t>
  </si>
  <si>
    <t>v_k3yRK68SEDE</t>
  </si>
  <si>
    <t>Two men are sitting at a table.</t>
  </si>
  <si>
    <t>The men engage in a game of arm wrestling.</t>
  </si>
  <si>
    <t>One of them beats the other.</t>
  </si>
  <si>
    <t>v_Rvqu079gCh0</t>
  </si>
  <si>
    <t>We see kids with feet on skateboards.</t>
  </si>
  <si>
    <t>We see the kids riding down the street from a skater pov.</t>
  </si>
  <si>
    <t>A kid crashes and has a hard time recovering.</t>
  </si>
  <si>
    <t>A boy loses his board and has to run after it.</t>
  </si>
  <si>
    <t>We see the person with a selfie stick fall in the grass.</t>
  </si>
  <si>
    <t>v_aEUbl9oT_0s</t>
  </si>
  <si>
    <t>Various shots are shown of athletes holding a pole in their hands and leaning backwards.</t>
  </si>
  <si>
    <t>This leads into several clips of more athletes throwing javelins off into the distance.</t>
  </si>
  <si>
    <t>More and more people are shown throwing javelins.</t>
  </si>
  <si>
    <t>v_kcPbEkv5UXE</t>
  </si>
  <si>
    <t>A girl plays a drum set in a city plaza for passing people.</t>
  </si>
  <si>
    <t>A lady walks up to watch the drummer play.</t>
  </si>
  <si>
    <t>The drummer plays a solo on the cymbal.</t>
  </si>
  <si>
    <t>The drummer ends the song and bows to the audience.</t>
  </si>
  <si>
    <t>v_6GGQUpJR5qs</t>
  </si>
  <si>
    <t>A person is lathering up a dog's fur with an purple shower head attached to a green hose.</t>
  </si>
  <si>
    <t>The dog shakes his fur.</t>
  </si>
  <si>
    <t>The person continues wetting the dog.</t>
  </si>
  <si>
    <t>v_KFk4ZpyYeuE</t>
  </si>
  <si>
    <t>A small child is seen standing on the ground and begins boxing with another.</t>
  </si>
  <si>
    <t>The boy uses boxing gloves to hit a man in front of him also wearing gloves.</t>
  </si>
  <si>
    <t>The two continue to go at it and leave with the man standing up.</t>
  </si>
  <si>
    <t>v_jRj8deMhPrQ</t>
  </si>
  <si>
    <t>A man in a black jacket is standing outside talking.</t>
  </si>
  <si>
    <t>People are skating on an ice rink.</t>
  </si>
  <si>
    <t>A man in a red hat is playing hockey and makes several goals.</t>
  </si>
  <si>
    <t>v_D_xht_r3n54</t>
  </si>
  <si>
    <t>An older man is shown cleaning off a car in front of a home with a snow scraper.</t>
  </si>
  <si>
    <t>The camera pans around the car while the older man continues to push snow off of it.</t>
  </si>
  <si>
    <t>v_mL7Ipu-HJ5M</t>
  </si>
  <si>
    <t>A woman is in a kitchen making a tomato sauce in the kitchen.</t>
  </si>
  <si>
    <t>The woman is showing the camera her plated food.</t>
  </si>
  <si>
    <t>The woman then grabs a green and a box of pasta.</t>
  </si>
  <si>
    <t>The lady then begins to stir the tomato sauce and puts greens into it.</t>
  </si>
  <si>
    <t>Lastly, the lady pours the pasta into the sauce.</t>
  </si>
  <si>
    <t>v_rFXOInUQjKo</t>
  </si>
  <si>
    <t>A window cleaner in sneakers and a beanie is hanging up and cleaning a window with a towel, with other cleaners behind him hard at work.</t>
  </si>
  <si>
    <t>He lowers himself down to another section of the window and wipes it with a blade.</t>
  </si>
  <si>
    <t>The camera person pans around the environment.</t>
  </si>
  <si>
    <t>v_wibcfckhRyU</t>
  </si>
  <si>
    <t>We see small boys playing tug of war in a field.</t>
  </si>
  <si>
    <t>A man in black walks past the kids.</t>
  </si>
  <si>
    <t>The kid in the white shirt lets go of the rope and puts his hands in the air.</t>
  </si>
  <si>
    <t>A lady walks up and talks to the kids.</t>
  </si>
  <si>
    <t>v_VTtRk9vvZoY</t>
  </si>
  <si>
    <t>A stack of sticks are shown in a pile followed by a person speaking and holding up an object.</t>
  </si>
  <si>
    <t>A person's hands are then seen lighting a match into the pile and creating a fire when he shows his face once more in the end.</t>
  </si>
  <si>
    <t>v_htfrXrKUIzg</t>
  </si>
  <si>
    <t>A man is seen standing behind a large animal holding a razor and speaking to the camera.</t>
  </si>
  <si>
    <t>The man then shaves all around the dog while stopping to speak to the camera and pet the dog.</t>
  </si>
  <si>
    <t>v_9khzc3a4zz0</t>
  </si>
  <si>
    <t>A woman is doing tricks with her jump rope.</t>
  </si>
  <si>
    <t>She does a hand stand while jump roping.</t>
  </si>
  <si>
    <t>She does a front flip while jump roping.</t>
  </si>
  <si>
    <t>She stops and walks forward.</t>
  </si>
  <si>
    <t>v_vnlxIMiHKRQ</t>
  </si>
  <si>
    <t>People are loading inflated tires into the body of water.</t>
  </si>
  <si>
    <t>People are floating on inflated tires.</t>
  </si>
  <si>
    <t>People are spraying elongated water guns.</t>
  </si>
  <si>
    <t>People are paddling canoes down the body of water.</t>
  </si>
  <si>
    <t>A guy present his can of beer.</t>
  </si>
  <si>
    <t>The speed of the video is accelerated.</t>
  </si>
  <si>
    <t>v_YDwHdB6MBrE</t>
  </si>
  <si>
    <t>Kids are playing lacrosse on a field.</t>
  </si>
  <si>
    <t>A woman in a blue jacket is standing on the field watching them.</t>
  </si>
  <si>
    <t>The kids are chasing around a yellow ball.</t>
  </si>
  <si>
    <t>v_EpLRCz5dwb0</t>
  </si>
  <si>
    <t>A woman starts running down a track.</t>
  </si>
  <si>
    <t>She throws a javelin onto the field.</t>
  </si>
  <si>
    <t>She gives someone behind her a high five.</t>
  </si>
  <si>
    <t>v_Rx9SIyFMfcY</t>
  </si>
  <si>
    <t>These people are shown exercising on the exercise bikes.</t>
  </si>
  <si>
    <t>These people are pedaling using only one leg and they're standing in the middle of the bike with the other one holding their hands up.</t>
  </si>
  <si>
    <t>Next they do a different exercise where they put one foot on the pedal, while they have one foot out and they bounce up and down.</t>
  </si>
  <si>
    <t>v_V-kMGMX-l2g</t>
  </si>
  <si>
    <t>A woman stands on front a young lady and talks.</t>
  </si>
  <si>
    <t>Then, the woman and the young lady perform fitness exercise while the woman talks.</t>
  </si>
  <si>
    <t>After, the woman and the young lady stop exercising, and the woman talks while making gestures with her hands.</t>
  </si>
  <si>
    <t>v_LVG7DLzI-GM</t>
  </si>
  <si>
    <t>A lady that works at a casino shows you how to play black jack.</t>
  </si>
  <si>
    <t>the lady deals out two card each 5 times and deals her self one card.</t>
  </si>
  <si>
    <t>the lady then explains what you are allowed to do with the cards that you where dealt with,she also deals out two more cards one each deck.</t>
  </si>
  <si>
    <t>finally she deals out two more cards to her self and shows the outcome from adding chips to the areas she dealt the card from the start.</t>
  </si>
  <si>
    <t>the lady then scoops up all the cards on the table and the round is over.</t>
  </si>
  <si>
    <t>v_oq54_GlzK6A</t>
  </si>
  <si>
    <t>The first clip of the video shows the title sequence.</t>
  </si>
  <si>
    <t>A man is then shown in a bowling store speaking to the camera.</t>
  </si>
  <si>
    <t>Another title slide introduces the next clip.</t>
  </si>
  <si>
    <t>As the man speaks to the camera, several clips are shown of a man rolling a bowling ball down the lane.</t>
  </si>
  <si>
    <t>The video ends with a clip showing the title logo and website information.</t>
  </si>
  <si>
    <t>v_M-PQajs86Bo</t>
  </si>
  <si>
    <t>A man pushes a child on the swing set of a large park area.</t>
  </si>
  <si>
    <t>The man holds the swing and brings the child to a stop.</t>
  </si>
  <si>
    <t>The man pushes the swing to get the child started again.</t>
  </si>
  <si>
    <t>v_MZ4yIxM6snw</t>
  </si>
  <si>
    <t>A man in a yellow construction top is inside painting the wall beige.</t>
  </si>
  <si>
    <t>He goes from the bottom up and grabs more paint on his tool.</t>
  </si>
  <si>
    <t>He is making progress across the wall pretty quickly the way he is doing it.</t>
  </si>
  <si>
    <t>He makes it half way across the wall but the bottom of the wall is still white.</t>
  </si>
  <si>
    <t>v_QvBG_Da97h8</t>
  </si>
  <si>
    <t>A graphic introduces the hand car wash video.</t>
  </si>
  <si>
    <t>The car is washed first gently with soap.</t>
  </si>
  <si>
    <t>Next, the tires are soaped and washed thoroughly.</t>
  </si>
  <si>
    <t>After that, the car's engine is steam cleaned.</t>
  </si>
  <si>
    <t>A final spot free rinse is applied and the car is dried.</t>
  </si>
  <si>
    <t>v_46D3Yvu-BL8</t>
  </si>
  <si>
    <t>A man is seen standing inside a large room and begins hitting a ball against a wall with a tennis racket.</t>
  </si>
  <si>
    <t>More shots of him hitting the ball are shown in the room and the ball rolls back to him in the end.</t>
  </si>
  <si>
    <t>v_NVeTGvwk8y0</t>
  </si>
  <si>
    <t>A glass of tequila sunrise is shown.</t>
  </si>
  <si>
    <t>A man is talking in front of a display of alcoholic drinks.</t>
  </si>
  <si>
    <t>He places the ingredients of alcohol and juice on a table, added the ingredients, as well as grenadine to a tall glass with ice.</t>
  </si>
  <si>
    <t>He displays the beautiful drink on the table.</t>
  </si>
  <si>
    <t>v_2vOBrR0jKgY</t>
  </si>
  <si>
    <t>A boy is talking in front of a camera in his room.</t>
  </si>
  <si>
    <t>He smokes a cigarette, then blows the smoke from his mouth.</t>
  </si>
  <si>
    <t>He begins making rings as he blows the smoke.</t>
  </si>
  <si>
    <t>v_yjUMopRteDc</t>
  </si>
  <si>
    <t>A woman is seated as a person with gloved hands inserts a hole into her tongue.</t>
  </si>
  <si>
    <t>The person clamps her tongue, then inserts a piercing.</t>
  </si>
  <si>
    <t>She is then shown smiling and showing off her stud.</t>
  </si>
  <si>
    <t>v_NQ51aXtD6Q0</t>
  </si>
  <si>
    <t>Several wrestlers are shown lined up in a game with a person choosing his characters.</t>
  </si>
  <si>
    <t>The game loads into people wrestling with one another in a ring.</t>
  </si>
  <si>
    <t>The men continue wrestling in the game and end by looking down at a player.</t>
  </si>
  <si>
    <t>v_EZZMYzY6Pug</t>
  </si>
  <si>
    <t>There's a man demonstrating how to melt wax and coat surfaces with wax using an iron.</t>
  </si>
  <si>
    <t>He melts a piece of wax against the heated surface of the iron.</t>
  </si>
  <si>
    <t>Then he smears the wax and coats on a surface.</t>
  </si>
  <si>
    <t>After the wax cools and solidifies, he scrapes it off the surface.</t>
  </si>
  <si>
    <t>v_IJER0EpbxW4</t>
  </si>
  <si>
    <t>A group of men are running across a gym.</t>
  </si>
  <si>
    <t>They run out into a ring together.</t>
  </si>
  <si>
    <t>They then engage in a wrestling match.</t>
  </si>
  <si>
    <t>v_RQajzyqAcQM</t>
  </si>
  <si>
    <t>A boy talks to the camera at a beach.</t>
  </si>
  <si>
    <t>A man walks from right to left in the background.</t>
  </si>
  <si>
    <t>The boy interacts with a man in front of a sand castle.</t>
  </si>
  <si>
    <t>A woman walks from right to left in the background.</t>
  </si>
  <si>
    <t>Several still images of the boy and the man, sometimes with other people, are shown in front of he sand castle at various stages of completion.</t>
  </si>
  <si>
    <t>The boy, now with two smaller children, interact with the man who is still working on the sand castle.</t>
  </si>
  <si>
    <t>More still images of various groups of people beside the sand castle are shown.</t>
  </si>
  <si>
    <t>v_TUhitcbJ5C4</t>
  </si>
  <si>
    <t>We see kids washing their hands in a class room at kid height sinks.</t>
  </si>
  <si>
    <t>We watch the boy try and get soap.</t>
  </si>
  <si>
    <t>The boy uses the soap dispenser again.</t>
  </si>
  <si>
    <t>The boy looks at the camera and talks.</t>
  </si>
  <si>
    <t>An adult grabs his hand when he attempts to get more soap.</t>
  </si>
  <si>
    <t>v_ZPLbrQ391jg</t>
  </si>
  <si>
    <t>An intro leads into several shots of a bike track as well as people moving along the track to race.</t>
  </si>
  <si>
    <t>The camera continues to capture the people riding around the track in slow motion with one person falling and several watching on the sides.</t>
  </si>
  <si>
    <t>The people then ride through the finish line an throw their arms up into the air.</t>
  </si>
  <si>
    <t>v_sFMa1EP7d2M</t>
  </si>
  <si>
    <t>A bicycle flipped upside down is up against the wall as an orange change is shown.</t>
  </si>
  <si>
    <t>A person then comes and removes the chain from the bike and places it on the ground.</t>
  </si>
  <si>
    <t>The man then takes out a yardstick and begins to measure certain parts of the bike.</t>
  </si>
  <si>
    <t>Pieces are then removed and tightened with the wrench and rings are placed inside by where the chain goes.</t>
  </si>
  <si>
    <t>v_uO9qoK8zGQc</t>
  </si>
  <si>
    <t>A man is doing Tai Chi moves on a beach alone in front of the sun.</t>
  </si>
  <si>
    <t>A group of people all dressed in white joins the man on the beach and does the martial arts moves.</t>
  </si>
  <si>
    <t>The man is alone again doing the moves.</t>
  </si>
  <si>
    <t>The people are with the man doing Tai Chi back on the beach.</t>
  </si>
  <si>
    <t>The man is alone on a hill doing the moves.</t>
  </si>
  <si>
    <t>The man is back on the beach doing the moves as the sun begins to set.</t>
  </si>
  <si>
    <t>The people are doing the moves with him on the beach.</t>
  </si>
  <si>
    <t>Words come across the screen.</t>
  </si>
  <si>
    <t>v_iF9jetQ7OTE</t>
  </si>
  <si>
    <t>A boy in a hat is talking.</t>
  </si>
  <si>
    <t>He smokes something and blows the smoke into the air.</t>
  </si>
  <si>
    <t>He continues talking to the camera.</t>
  </si>
  <si>
    <t>He smokes from the pipe again and blows the smoke out a few more times.</t>
  </si>
  <si>
    <t>v_XPcBV3UatRI</t>
  </si>
  <si>
    <t>A toddler iron a garment on a toy board.</t>
  </si>
  <si>
    <t>The toddler sprays the garment and folds, then she continues ironing it.</t>
  </si>
  <si>
    <t>Then, the toddler fold again the garment and iron it.</t>
  </si>
  <si>
    <t>v_Igm1Mx4Ng1k</t>
  </si>
  <si>
    <t>A person is seen wearing gear and wandering around a grassy area.</t>
  </si>
  <si>
    <t>The man uses a tool to cut along the grass.</t>
  </si>
  <si>
    <t>He continues moving along the grass and showing off the tool in the end.</t>
  </si>
  <si>
    <t>v_s5oN3d77e50</t>
  </si>
  <si>
    <t>A person is riding a dirt bike over a hill.</t>
  </si>
  <si>
    <t>Someone stands on top of a dirt hill.</t>
  </si>
  <si>
    <t>People are standing on the side of the hill.</t>
  </si>
  <si>
    <t>v_ZbS9R9faBQk</t>
  </si>
  <si>
    <t>A man is stirring a pot on a stove.</t>
  </si>
  <si>
    <t>A plate is brought over to the stove.</t>
  </si>
  <si>
    <t>He dishes out what was in the pan onto the plate.</t>
  </si>
  <si>
    <t>v_njPRhj-YgE0</t>
  </si>
  <si>
    <t>Many different women wearing many different shoes are walking a dog on the sidewalk, one wearing wedges walks up some stairs.</t>
  </si>
  <si>
    <t>A man begins to talk about what seems like a dog stylist parlor.</t>
  </si>
  <si>
    <t>There are many dogs being groomed and getting cute fancy hair cuts.</t>
  </si>
  <si>
    <t>One of them is wagging it's tails very excited enjoying the situation.</t>
  </si>
  <si>
    <t>v_NhM6jEV08s4</t>
  </si>
  <si>
    <t>Outside a lumbar jack is standing with an axe, he is dressed up in a coat to stay warm.</t>
  </si>
  <si>
    <t>There are plenty of logs piled up to the side of him.</t>
  </si>
  <si>
    <t>All cut and collected most likely by him for fires to keep the house warm during winter nights.</t>
  </si>
  <si>
    <t>He takes his axe and hits the branch with it.</t>
  </si>
  <si>
    <t>v_KnHUAc20WEU</t>
  </si>
  <si>
    <t>A large arena is shown with a large screen showing the athletes in the field.</t>
  </si>
  <si>
    <t>A man is then shown in a cage spinning around throwing a shot put that people begin to measure.</t>
  </si>
  <si>
    <t>Another man approaches the circle,repeats the action and begins to jump up in glee.</t>
  </si>
  <si>
    <t>More men approach the stand and it continues on until they have completed each of their turns then they turn to the audience and wave.</t>
  </si>
  <si>
    <t>v_wCG7f6naJsQ</t>
  </si>
  <si>
    <t>There's a man working a bicycle wheel with various tools.</t>
  </si>
  <si>
    <t>He starts off by turning the axle of the wheel with a pair of tongs to position the axle in the center.</t>
  </si>
  <si>
    <t>Then he fixes the center nut and uses a wrench to loosen it.</t>
  </si>
  <si>
    <t>Then he uses his hands to remove the axle out.</t>
  </si>
  <si>
    <t>He uses another tool to unscrew a washer out of the axle.</t>
  </si>
  <si>
    <t>Then he uses a tool with a magnetic end to remove tiny metal particles out of the axle.</t>
  </si>
  <si>
    <t>After that he cleans the inside rim of the greasy axle with his finger.</t>
  </si>
  <si>
    <t>Then he takes the washer and cleans it further to fix it back into the axle.</t>
  </si>
  <si>
    <t>v__hzMRy2_q4g</t>
  </si>
  <si>
    <t>A close up of fruit is seen sitting on a plate when a person's hand places them into a container.</t>
  </si>
  <si>
    <t>The person then pushes the fruit around the bowl with a spoon over and over again.</t>
  </si>
  <si>
    <t>The person drops the spoon in the mixture and ends with text across the screen.</t>
  </si>
  <si>
    <t>v_sHxzQu_4edY</t>
  </si>
  <si>
    <t>A woman is shown in a yard, talking to the camera.</t>
  </si>
  <si>
    <t>She is then on horseback, and a woman is shown in several scenes talking about technique.</t>
  </si>
  <si>
    <t>The girl rides the horse alone, then with other people down trails.</t>
  </si>
  <si>
    <t>v_MOOeHWuuxlo</t>
  </si>
  <si>
    <t>There's a man in a gym using an elliptical machine.</t>
  </si>
  <si>
    <t>He is wearing a pair of black track pants, black shirt and a cap.</t>
  </si>
  <si>
    <t>He demonstrates how to use the elliptical correctly to maintain a consistent speed.</t>
  </si>
  <si>
    <t>v_xW1M8k9A-gk</t>
  </si>
  <si>
    <t>A spoon is seen spinning around various foods and liquids and leads into a hand cutting up vegetables on a cutting board.</t>
  </si>
  <si>
    <t>A baby is seen watching from behind and the camera zooms in on various websites and foods present.</t>
  </si>
  <si>
    <t>Pasta is seen sitting in a pot and the person uses a spoon to spin it around.</t>
  </si>
  <si>
    <t>They pour ingredients into a pot to bowl and add more vegetables, ending with all the ingredients put together on a plate to present.</t>
  </si>
  <si>
    <t>v_RgaFRpTYYR4</t>
  </si>
  <si>
    <t>A close up of a man is seen holding an accordion and sitting in front of a camera.</t>
  </si>
  <si>
    <t>The man begins playing the instrument while looking to the camera.</t>
  </si>
  <si>
    <t>He pauses to speak for a moment then continues on playing.</t>
  </si>
  <si>
    <t>v_oOu5vC3EB5E</t>
  </si>
  <si>
    <t>A man wearing a yellow shirt and a man wearing a black shirt play racket ball.</t>
  </si>
  <si>
    <t>The man in black serves the ball.</t>
  </si>
  <si>
    <t>The man in yellow serves the ball.</t>
  </si>
  <si>
    <t>The man in yellow serves the ball again.</t>
  </si>
  <si>
    <t>The man in yellow plays alone while the man in black stands by.</t>
  </si>
  <si>
    <t>A hand covers the camera lens.</t>
  </si>
  <si>
    <t>v_8J_bB1vI0uE</t>
  </si>
  <si>
    <t>A man stands atop a rock formation.</t>
  </si>
  <si>
    <t>Several scenes of individuals rock climbing are shown from various angles and settings, interspersed with brief closeup shots of the climbers.</t>
  </si>
  <si>
    <t>Several credits are shown on a black screen.</t>
  </si>
  <si>
    <t>v_j_e8c6tOQG8</t>
  </si>
  <si>
    <t>Water is rushing between rocks in a river.</t>
  </si>
  <si>
    <t>Rafters appear, paddling through the rushing currents.</t>
  </si>
  <si>
    <t>The rafter continues as he navigates the river.</t>
  </si>
  <si>
    <t>v_e1TfVkNgitY</t>
  </si>
  <si>
    <t>A blue logo appears across the screen with white words in it.</t>
  </si>
  <si>
    <t>A young male gymnast is then shown in a room in front of a balance beam.</t>
  </si>
  <si>
    <t>The gymnast then begins using his hands to describe the motions he is about to do.</t>
  </si>
  <si>
    <t>After,the male grabs the two bars and pulls himself up and holds his body up before going into a hand stand,he comes down,and does another one.</t>
  </si>
  <si>
    <t>The gymnast does several more tricks and then does a flip off of the bars.</t>
  </si>
  <si>
    <t>v_7Ql7Hw6c1-o</t>
  </si>
  <si>
    <t>A woman dressed in a blue shirt and black apron begins talking behind the table.</t>
  </si>
  <si>
    <t>On the table,she has five different kinds of paint, brushes and other supplies needed to complete the task.</t>
  </si>
  <si>
    <t>She then begins talking as she leans on a wooden table stand next to her.</t>
  </si>
  <si>
    <t>The lady begins by taking a screwdriver and removing the knob from the drawer and wiping it down with a wet cloth.</t>
  </si>
  <si>
    <t>Next comes the brown paint as she begins putting various strokes on it to finish it.</t>
  </si>
  <si>
    <t>The stand is done but then goes back and starts add a finish on it.</t>
  </si>
  <si>
    <t>v_ImXRDdhcCgs</t>
  </si>
  <si>
    <t>We see logs in a pile in the woods.</t>
  </si>
  <si>
    <t>A man in a cowboy hat walks up and grabs an ax.</t>
  </si>
  <si>
    <t>The man then goes around hitting the logs with the ax and splitting them in two hits.</t>
  </si>
  <si>
    <t>The man drops the ax and turns off the camera.</t>
  </si>
  <si>
    <t>v_2gc7pCOg-NE</t>
  </si>
  <si>
    <t>A person is walking around a tennis court.</t>
  </si>
  <si>
    <t>Another man appears swinging around a tennis racket.</t>
  </si>
  <si>
    <t>He bounces a tennis ball on the floor while the other man walks into frame.</t>
  </si>
  <si>
    <t>They talk for a bit while walking around and preparing to play.</t>
  </si>
  <si>
    <t>The man run back and fourth and hit the ball off the wall to each other.</t>
  </si>
  <si>
    <t>v_ILARi15rMWI</t>
  </si>
  <si>
    <t>There's a man on stilts jumping and doing stunts in an indoor gym.</t>
  </si>
  <si>
    <t>There are several spectators and judges watching him perform.</t>
  </si>
  <si>
    <t>After the man finishes his stunts, he gets off the stilts and the judges write down the scores.</t>
  </si>
  <si>
    <t>v_RgWvaKWa7YU</t>
  </si>
  <si>
    <t>A band plays drums in a circle around a lead drummer.</t>
  </si>
  <si>
    <t>The female drummers spinner their sticks while playing.</t>
  </si>
  <si>
    <t>The drummers hold up their sticks after completing the song.</t>
  </si>
  <si>
    <t>v_axoyB4pypWY</t>
  </si>
  <si>
    <t>A couple of cages are on the ground.</t>
  </si>
  <si>
    <t>There are dogs sleeping in each cage.</t>
  </si>
  <si>
    <t>A man is shown on a field performing tricks with a dog and a bunch of frisbees.</t>
  </si>
  <si>
    <t>The dog catches, flips, and chases the frisbees.</t>
  </si>
  <si>
    <t>v_N1-TZnH0jy4</t>
  </si>
  <si>
    <t>There's a little baby wearing a purple bib seated on a high chair holding and sucking on a Popsicle.</t>
  </si>
  <si>
    <t>The baby licks the Popsicle several times and then throws it down.</t>
  </si>
  <si>
    <t>v_xx5TLuZmjcE</t>
  </si>
  <si>
    <t>woman wearing black clothes is playing squash in a small wooden room.</t>
  </si>
  <si>
    <t>man with a stripped shirt is standing in a court room playing squash.</t>
  </si>
  <si>
    <t>a man and a woman are standing ni a wooden court playing squash.</t>
  </si>
  <si>
    <t>v_CwvtmoTWNgQ</t>
  </si>
  <si>
    <t>A windsurfer rides along choppy water across a canal with other riders in the background.</t>
  </si>
  <si>
    <t>The makes a turn of direction on his windsurfing board and pumps back and forth to maneuver it.</t>
  </si>
  <si>
    <t>A group of windsurfers ride together around a small dingy boat.</t>
  </si>
  <si>
    <t>v_gwbRqyRZguM</t>
  </si>
  <si>
    <t>A group of children are swinging together on a piece of equipment.</t>
  </si>
  <si>
    <t>They are shown in groups, swinging back and forth on the platform.</t>
  </si>
  <si>
    <t>They are located in an outdoor park.</t>
  </si>
  <si>
    <t>v_oOURAJ7nraU</t>
  </si>
  <si>
    <t>A male athlete is standing outside on a field stretching preparing himself to run.</t>
  </si>
  <si>
    <t>After he is ready,the man takes off running and does several long jumps into the pit.</t>
  </si>
  <si>
    <t>As he ends his last jump,two people come to the pit and start to measure the distance.</t>
  </si>
  <si>
    <t>v_Mv2L6HxB2dk</t>
  </si>
  <si>
    <t>There are several people skating on the main road in the downtown area of a city at night.</t>
  </si>
  <si>
    <t>The street is lit up with street lights and stores along the sidewalk.</t>
  </si>
  <si>
    <t>The people skate through the road where there are no cars driving.</t>
  </si>
  <si>
    <t>v_BJGACTBaU_Y</t>
  </si>
  <si>
    <t>A man is seen walking closer to a pinata while a large group of people stand around him.</t>
  </si>
  <si>
    <t>The man misses the pinata and hits a person behind him, shown again in slow motion.</t>
  </si>
  <si>
    <t>v_ZOczr9WCVig</t>
  </si>
  <si>
    <t>There are many different tiles being shown and there is wooden floors being shown.</t>
  </si>
  <si>
    <t>First the man removes the baseboard, then he gets a drill and puts screws in the floor.</t>
  </si>
  <si>
    <t>Then he draws lines to put tiles on the floor.</t>
  </si>
  <si>
    <t>I then see him with a machine that cuts tiles in half and he puts half of a tile on the floor.</t>
  </si>
  <si>
    <t>Then he smears cement onto the floor and lies the tiles on top of it.</t>
  </si>
  <si>
    <t>He hammers the tiles a little to make them lie flat.</t>
  </si>
  <si>
    <t>Then floor is now finished and he wipes the tiles off making them shiny.</t>
  </si>
  <si>
    <t>v_ZnoSOqba2HM</t>
  </si>
  <si>
    <t>A baby is standing on the carpet.</t>
  </si>
  <si>
    <t>A person brushes the child's teeth with a blue toothbrush.</t>
  </si>
  <si>
    <t>The child reaches for the camera.</t>
  </si>
  <si>
    <t>v_q4M7SsGjFro</t>
  </si>
  <si>
    <t>We see a girl performing with batons.</t>
  </si>
  <si>
    <t>The girl throws her leg in the air and spins.</t>
  </si>
  <si>
    <t>The girl does a cartwheel.</t>
  </si>
  <si>
    <t>The girl kneels down and picks up a baton.</t>
  </si>
  <si>
    <t>The girls finishes and throws her arms in the air.</t>
  </si>
  <si>
    <t>The girl walks over and hugs her dad.</t>
  </si>
  <si>
    <t>v_um2h6O3zjGM</t>
  </si>
  <si>
    <t>A man is watching a game eating an ice cream cone.</t>
  </si>
  <si>
    <t>People are sitting behind a desk laughing.</t>
  </si>
  <si>
    <t>v_lGPUCwHjiK0</t>
  </si>
  <si>
    <t>A man is preparing to run and jump.</t>
  </si>
  <si>
    <t>He runs very quickly down the track.</t>
  </si>
  <si>
    <t>He takes a flying jump over the high bar onto a mat.</t>
  </si>
  <si>
    <t>v_-qtdjw3MYcY</t>
  </si>
  <si>
    <t>A girl is sitting down in a chair.</t>
  </si>
  <si>
    <t>Another person is standing behind her.</t>
  </si>
  <si>
    <t>The woman behind her begins braiding her hair.</t>
  </si>
  <si>
    <t>v_Pd9qzQ2MOE8</t>
  </si>
  <si>
    <t>Two men are seen kneeling and sitting before a wall with one speaking to the camera and beginning to lay metal down on the side.</t>
  </si>
  <si>
    <t>The two line it up as well as drill the metal into place while continuing to drill down more while the man speaks to the camera and shows more shots of his crew working in the end.</t>
  </si>
  <si>
    <t>v_2jpnkf-xgf0</t>
  </si>
  <si>
    <t>A woman bakes cookies on a silicone mat.</t>
  </si>
  <si>
    <t>The ingredients are prepared and cookies are cut.</t>
  </si>
  <si>
    <t>v_KmJFUfqGKZA</t>
  </si>
  <si>
    <t>An underwater coral reef is shown.</t>
  </si>
  <si>
    <t>The scuba diver rides a horse and then looks at rays.</t>
  </si>
  <si>
    <t>v_dffUIntKlGI</t>
  </si>
  <si>
    <t>A young child is seen running up and down a bricked area while standing in front of a hop scotch game drawn out.</t>
  </si>
  <si>
    <t>The girl then hops along the chalk while looking at the camera and holding her hair out of her face.</t>
  </si>
  <si>
    <t>In the end she gives the person holding the camera a high give.</t>
  </si>
  <si>
    <t>v_c9A384zijnk</t>
  </si>
  <si>
    <t>Various clips are shown of food close up as well as people speaking to the camera.</t>
  </si>
  <si>
    <t>Shots are shown of the outside of a restaurant as well as chefs cooking the food and people eating the food.</t>
  </si>
  <si>
    <t>v_8Tyu4-JnfDc</t>
  </si>
  <si>
    <t>A white screen appears with a green logo and green and gray words appear and it says "howdini get yourself a guru".</t>
  </si>
  <si>
    <t>A brunette woman standing in a kitchen is talking and the words on the screen say "Howdini Guru Cricket Azima Chef and Author", then a green screen appears quickly and it say's "Cookie Exchange Recipes", and goes back to the woman talking.</t>
  </si>
  <si>
    <t>Cookies on a plate are shown and the words on the screen say they are "Peanut Butter Blossoms", and begins to show the woman pouring all the ingredients into a bowl to make them, rolling them in sugar, putting them on a tray for baking, and then showing the final product when they're done baking and the website to go to to see the full recipe.</t>
  </si>
  <si>
    <t>The woman is talking again and the next cookie she is shown making is called "cookie snowballs" and it shows all the ingredients needed, a list on how long to cook it for, and she's demonstrating step by step until it's all baked and on a plate next to the other cookies.</t>
  </si>
  <si>
    <t>The video ends with more pictures of other cookies she wasn't shown making, then to a green screen that has white words that include a message to go to their website if you want to see more videos of their cookie recipes.</t>
  </si>
  <si>
    <t>v_F_uouNToDWo</t>
  </si>
  <si>
    <t>A lady on a rowing machine in a gym sits still.</t>
  </si>
  <si>
    <t>The lady leans forward and works out slowly on the machine.</t>
  </si>
  <si>
    <t>The lady starts to row a little faster and the screen fades to black.</t>
  </si>
  <si>
    <t>v_D4zZErqkD6A</t>
  </si>
  <si>
    <t>Two dancers are seen holding a pose in the middle of a large gymnasium and begin performing a routine using batons.</t>
  </si>
  <si>
    <t>The girls continue dancing and spinning around with the sticks and end by holding a pose.</t>
  </si>
  <si>
    <t>v_Th0SMArnWiY</t>
  </si>
  <si>
    <t>We see BMX racers on the field and in various locations and riding their bikes.</t>
  </si>
  <si>
    <t>Two men fall off their bikes.</t>
  </si>
  <si>
    <t>We see the races start high on a platform.</t>
  </si>
  <si>
    <t>A man holds a surfboard and a man carries a bike up steps.</t>
  </si>
  <si>
    <t>We see a laughing man holding a surfboard.</t>
  </si>
  <si>
    <t>A lady throws a hand sign to the camera.</t>
  </si>
  <si>
    <t>We see aerial shots of the fields.</t>
  </si>
  <si>
    <t>A man takes a photo and a man holds a New Zeland flag.</t>
  </si>
  <si>
    <t>A man fall off his bike hard.</t>
  </si>
  <si>
    <t>The video fades to black.</t>
  </si>
  <si>
    <t>v_YCrSiqY-TVw</t>
  </si>
  <si>
    <t>Various clips are shown of the inside and outside of an arena as well as the camera panning out from the ice and two people speaking to one another.</t>
  </si>
  <si>
    <t>Several shots are then shown of people curling and close ups of the pucks.</t>
  </si>
  <si>
    <t>More clips are shown of people playing the game as well as team mates watching.</t>
  </si>
  <si>
    <t>v_MldEr60j33M</t>
  </si>
  <si>
    <t>A man in a white shirt bends over and picks up a large weight.</t>
  </si>
  <si>
    <t>He lifts the weight up to his shoulders.</t>
  </si>
  <si>
    <t>He bends down and lifts the weight over his head.</t>
  </si>
  <si>
    <t>v_LtQTtCplKz0</t>
  </si>
  <si>
    <t>A man by the name of ALEX AL-AMEEN is smiling and talking and the words below his name say that he has been "SELECTED FOR COMMONWEALTH GAMES 2014 110 METRE HURDLES".</t>
  </si>
  <si>
    <t>A man is then shown on the track sitting on the ground prepping his feet for his shoes as he wraps tape around his foot.</t>
  </si>
  <si>
    <t>Three men are now walking to a track where various people are running and taking turns doing hop, skip and jumps.</t>
  </si>
  <si>
    <t>A man briefly stops and talks to the camera while he appears a little out of breath.</t>
  </si>
  <si>
    <t>Another man is now kneeling and applying tape next to the sandy area of the jump while he talks.</t>
  </si>
  <si>
    <t>The man is now standing at a bar bell with very heavy weights and he slowly starts to lift it, then drops it.</t>
  </si>
  <si>
    <t>A woman is now holding dumbbells while she steps on some stairs, and the man is show again but this time he's pulling on an exercise equipment.</t>
  </si>
  <si>
    <t>The white outro screen appears with their logo and the words saying to subscribe to their youtube channel.</t>
  </si>
  <si>
    <t>v_eudqfH7Vz_c</t>
  </si>
  <si>
    <t>Three boys play a game of croquet on a large green lawn with croquet mallets and croquet balls.</t>
  </si>
  <si>
    <t>The boy sit on a bench outside with a bag of croquet mallets and balls and talk to each other.</t>
  </si>
  <si>
    <t>The boys then enter the field and hurt themselves trying to untangle the croquet tools.</t>
  </si>
  <si>
    <t>The boys then start to play, talking to each other through it and end up chasing each other through the field and tackling each other on the ground.</t>
  </si>
  <si>
    <t>The boys finally look at a cell phone together from the field and then layer their croquet mallets on top of one another in a seeming attempt to get the balls through the croquet goal by guiding them through the holes in the layered mallets.</t>
  </si>
  <si>
    <t>v_yOFIXQCbSqc</t>
  </si>
  <si>
    <t>A large group of people are seen swimming around a pool with a man talking on the side.</t>
  </si>
  <si>
    <t>The group begin throwing the ball around while swimming around each other.</t>
  </si>
  <si>
    <t>The group continues swimming and playing ball with each other.</t>
  </si>
  <si>
    <t>v_jqRJM8b4pgE</t>
  </si>
  <si>
    <t>A man is sitting at a booth surrounded by pipes, talking and gesturing.</t>
  </si>
  <si>
    <t>The man holds up one end of the pipe.</t>
  </si>
  <si>
    <t>The man demonstrates how to smoke using the pipe, as he blows ringed smoke out of his mouth.</t>
  </si>
  <si>
    <t>He continues to talk and gesture.</t>
  </si>
  <si>
    <t>v_hg-wVv7XSFo</t>
  </si>
  <si>
    <t>picture of supplies that are needed to do hairstyle .</t>
  </si>
  <si>
    <t>Separate hair into two parts down the middle.</t>
  </si>
  <si>
    <t>French braiding hair from left to right all the way to the end.</t>
  </si>
  <si>
    <t>French braiding hair from the back going right to left all the way to the end.</t>
  </si>
  <si>
    <t>Connect the braids together using a bobby pin.</t>
  </si>
  <si>
    <t>Separate the braids all over to make braids look fuller to form a crown.</t>
  </si>
  <si>
    <t>v_DF9CGVGiKXY</t>
  </si>
  <si>
    <t>Five people are jump roping on a blue mat.</t>
  </si>
  <si>
    <t>They do flips and tricks while jump roping.</t>
  </si>
  <si>
    <t>They finish and hug each other before walking off.</t>
  </si>
  <si>
    <t>v_1fmaEo3wzxg</t>
  </si>
  <si>
    <t>A lady sits in a tattoo chair talking.</t>
  </si>
  <si>
    <t>The lady has a tattoo added to her back.</t>
  </si>
  <si>
    <t>The other lady sits in the chair.</t>
  </si>
  <si>
    <t>The second lady is being tattooed.</t>
  </si>
  <si>
    <t>We see the finished tattoos.</t>
  </si>
  <si>
    <t>v_pQQb2FP1ewE</t>
  </si>
  <si>
    <t>Two men push a small private helicopter out of its shed.</t>
  </si>
  <si>
    <t>They land on a beach, then fly it over the clear ocean water.</t>
  </si>
  <si>
    <t>They skydive, opening their parachutes as they get closer to the water.</t>
  </si>
  <si>
    <t>They then scuba dive to the bottom and put on scuba gear to explore the ocean floor.</t>
  </si>
  <si>
    <t>v_lKCDcLEby-Y</t>
  </si>
  <si>
    <t>A large group of people are seen standing around an area and lead into people playing tug of war.</t>
  </si>
  <si>
    <t>People in costume cheer them on as they continue to play as well as showing people dancing in the city.</t>
  </si>
  <si>
    <t>More pictures are shown of the event as well as people speaking to one another.</t>
  </si>
  <si>
    <t>v_6VD_qwIgTzU</t>
  </si>
  <si>
    <t>A tattoo artist is seen tattooing a girls foot and leads into a man speaking to the camera.</t>
  </si>
  <si>
    <t>The man continues speaking to the camera as well as pointing and looking away.</t>
  </si>
  <si>
    <t>v_vB00ah6E5E4</t>
  </si>
  <si>
    <t>A young boy plays the violin.</t>
  </si>
  <si>
    <t>He stops playing the violin.</t>
  </si>
  <si>
    <t>v_ElXkXNbsZac</t>
  </si>
  <si>
    <t>A man in white apron and pants stands on a ladder holding a pencil and wallpaper.</t>
  </si>
  <si>
    <t>The man applies a strip of wallpaper to a wall and smooths with his hand.</t>
  </si>
  <si>
    <t>The man uses a rag and then a brush to smooth out thee wall paper to the wall surface.</t>
  </si>
  <si>
    <t>The painter uses a spatula and blade to trim a straight line on the wallpapers edge along the ceiling.</t>
  </si>
  <si>
    <t>The man gets down from the ladder and unrolls the wallpaper to the floor.</t>
  </si>
  <si>
    <t>The man continues to smooth out the lower section of the wallpaper with a brush down to the floorboard.</t>
  </si>
  <si>
    <t>The man trims the lower edge of the wall paper with a blade against the floor board.</t>
  </si>
  <si>
    <t>The man trims the corner of the wall paper from the ceiling down the the floor.</t>
  </si>
  <si>
    <t>v_AWAMhmc08Cw</t>
  </si>
  <si>
    <t>Two children are seen sitting in a tub rubbing their faces and another person's hands interacting.</t>
  </si>
  <si>
    <t>The boy continues to rub water all over his face as well as play with toys and smile at the cameraman.</t>
  </si>
  <si>
    <t>v_PpC4kPd5KfA</t>
  </si>
  <si>
    <t>A man walks up to a lane in a bowling alley.</t>
  </si>
  <si>
    <t>He throws the ball and watches it glide down the lane multiple times.</t>
  </si>
  <si>
    <t>It knocks down all but two pins, which he misses the second time.</t>
  </si>
  <si>
    <t>v_8jJdHFW-lys</t>
  </si>
  <si>
    <t>little girl is in stage in a competition and do a jump into a parallel to do gymnastics and somersaults.</t>
  </si>
  <si>
    <t>peolpe is standing behind the stage talking.</t>
  </si>
  <si>
    <t>v_dx5VK79QWlg</t>
  </si>
  <si>
    <t>A woman is knitting in bed.</t>
  </si>
  <si>
    <t>The woman puts her arms down to catch the yarn.</t>
  </si>
  <si>
    <t>The woman shows what she was making.</t>
  </si>
  <si>
    <t>v_AGDsfpZQBIs</t>
  </si>
  <si>
    <t>People are standing on a field of grass.</t>
  </si>
  <si>
    <t>A man holds a ball near his neck and spins around.</t>
  </si>
  <si>
    <t>He throws it onto the field.</t>
  </si>
  <si>
    <t>v_t1MXansbY5s</t>
  </si>
  <si>
    <t>A woman opens a white closet door.</t>
  </si>
  <si>
    <t>She removes some shoes from the closet.</t>
  </si>
  <si>
    <t>She puts on the shoes.</t>
  </si>
  <si>
    <t>She then laces them up.</t>
  </si>
  <si>
    <t>v_X4P9YA6Oabg</t>
  </si>
  <si>
    <t>A young blonde lady is talking to the camera inside her room.</t>
  </si>
  <si>
    <t>She separates her hair into sections.</t>
  </si>
  <si>
    <t>She then shows how to braid the sections and pin it in place.</t>
  </si>
  <si>
    <t>v_NB4IBjUmrcI</t>
  </si>
  <si>
    <t>A man is indoors, wearing boxing gloves.</t>
  </si>
  <si>
    <t>He is kickboxing with a large punching bag, kicking and punching it over and over.</t>
  </si>
  <si>
    <t>v_NzL_uQyQjIw</t>
  </si>
  <si>
    <t>People walk holding surfboards, then they board a boat.</t>
  </si>
  <si>
    <t>A man water ski behind the boat jumping high and spinning.</t>
  </si>
  <si>
    <t>Then, a woman and a man water ski doing acrobatic jumps.</t>
  </si>
  <si>
    <t>A boat sails empty in the river.</t>
  </si>
  <si>
    <t>After, men water ski jumping and turning around.</t>
  </si>
  <si>
    <t>Next, a person surf on the waves created by the boat, after the man water ski jumping and flipping high.</t>
  </si>
  <si>
    <t>v_TYRDXDR5l9U</t>
  </si>
  <si>
    <t>A person is seen standing before a sink with running water and pushing their hands under the water.</t>
  </si>
  <si>
    <t>They then put soap into their hands, scrub for a bit, and then run their hands under the water.</t>
  </si>
  <si>
    <t>Finally she runs her hands under the water and dries her hand off with a paper towel.</t>
  </si>
  <si>
    <t>v_nv22QK8brp4</t>
  </si>
  <si>
    <t>On a river, people gather to watch people on donuts and boats kayaking rough waters.</t>
  </si>
  <si>
    <t>A couple of people on a kayak are flipped over and fall into the river.</t>
  </si>
  <si>
    <t>v_uwxuvGci98g</t>
  </si>
  <si>
    <t>A female with a long blonde pony tale begins running across a large green field throwing a ball.</t>
  </si>
  <si>
    <t>She then continues running across the field and begins looking at the bleachers and anticipating a softball game.</t>
  </si>
  <si>
    <t>As the action continues,she progresses through the bleachers and a url appears on the last screen to watch live cricket games.</t>
  </si>
  <si>
    <t>v_VbzzcpsAPo8</t>
  </si>
  <si>
    <t>A black and white video plays and one of the men is Bruce Lee and he's very skillfully and creatively hitting the ping pong ball back and forth to another man who is holding a ping pong paddle, while Bruce Lee hits the ping pong ball with nanchucks and the man with a paddle can't keep the ball on the table.</t>
  </si>
  <si>
    <t>Now there are two men at the end of the table who are both holding paddles and playing against Bruce Lee as they attempt to keep the ball on the table but ultimately fail.</t>
  </si>
  <si>
    <t>A black screen appears with white Asian lettering in the middle, then a website that say's "www lee35 come cn".</t>
  </si>
  <si>
    <t>v_8qIl-0XOguM</t>
  </si>
  <si>
    <t>The camera follows several people on a walkway from a first person perspective.</t>
  </si>
  <si>
    <t>The camera shows sliding down a snowy slope from a first person perspective alongside others.</t>
  </si>
  <si>
    <t>The camera shows sliding down a snowy slope from a first person perspective looking backwards.</t>
  </si>
  <si>
    <t>The camera shows another slide down the slope from a first person perspective alongside others.</t>
  </si>
  <si>
    <t>The camera watches as multiple other people slide down the slope.</t>
  </si>
  <si>
    <t>The camera catches another slide down the slope from a first person perspective while spinning.</t>
  </si>
  <si>
    <t>The camera catches more slides down the slope from a first person perspective while looking left and right.</t>
  </si>
  <si>
    <t>v_sg5z7jus30w</t>
  </si>
  <si>
    <t>A person is seen sitting in a chair with his arm out getting a tattoo from a male artist.</t>
  </si>
  <si>
    <t>The men speak back and fourth to one another and the camera zooms in on the arm being done.</t>
  </si>
  <si>
    <t>In the end pictures of the men standing together are shown as well as the tattoo.</t>
  </si>
  <si>
    <t>v_gBOWkZBlc8g</t>
  </si>
  <si>
    <t>A large group of people are seen swimming around an ocean while two men pass a soccer ball back and fourth to one another on the shore.</t>
  </si>
  <si>
    <t>More people walk in and out of frame as the men continue to kick the ball back and fourth to one another.</t>
  </si>
  <si>
    <t>v_kkjBLmM6KEg</t>
  </si>
  <si>
    <t>A woman speaks to the camera while holding a card.</t>
  </si>
  <si>
    <t>A couple appears on a professional stage under a spotlight and performs a dance routine.</t>
  </si>
  <si>
    <t>The pair finishes their routine, he kisses her hand and the audience applauds.</t>
  </si>
  <si>
    <t>v_lue8XE3MEe8</t>
  </si>
  <si>
    <t>A man dressed in black shorts, t-shirt, sneakers and red baseball cap walks into an orange walled room with hardwood floors and demonstrates an arm lift exercise with two metal black dumbbells.</t>
  </si>
  <si>
    <t>An orange walled room is empty except for two black dumbbells lying horizontal on the floor.</t>
  </si>
  <si>
    <t>The man walks into the room and stands in front of the dumbbells and then falls to his knees where he talks and shows his profile and then turns, on his knees, again, to face the camera head on.</t>
  </si>
  <si>
    <t>The man then picks up the dumbbells and begins lifting them directly over his head, facing the camera, and then again from a profile angle, before placing the dumbbells down, vertically, and leaving the room.</t>
  </si>
  <si>
    <t>v_Q-dFr9ZS29s</t>
  </si>
  <si>
    <t>A young girl talks to a video camera with a curler in her bangs, occasionally holding a cell phone up to her face and introducing a younger person in the room with her in the background.</t>
  </si>
  <si>
    <t>The girl with curler in her bang talks to camera in a closeup angle.</t>
  </si>
  <si>
    <t>The girl points to the curler in her bang and holds up a cell phone to throw light onto her face which she brings closer to the camera.</t>
  </si>
  <si>
    <t>The girl laughs when a younger girl in the room with a pink wig on is shown in the background, she laughs again when the younger girl puts her pink wig in the camera.</t>
  </si>
  <si>
    <t>v_s7HB851cCrg</t>
  </si>
  <si>
    <t>A bunch of men are inside a green colored gym.</t>
  </si>
  <si>
    <t>They are lobbing a tennis ball back and forth.</t>
  </si>
  <si>
    <t>They are engaged in a game of tennis.</t>
  </si>
  <si>
    <t>v_-JhWjGDPHMY</t>
  </si>
  <si>
    <t>A man is sitting on a roof.</t>
  </si>
  <si>
    <t>He starts pulling up roofing on a roof.</t>
  </si>
  <si>
    <t>A man walks up a ladder onto the roof.</t>
  </si>
  <si>
    <t>v_mo_PhyaQHh0</t>
  </si>
  <si>
    <t>A boy is seen kneeling down before a wall and begins using a tool on the carpet.</t>
  </si>
  <si>
    <t>The man rubs his hand along the carpet and continues cutting.</t>
  </si>
  <si>
    <t>The man continues to cut along the rug while rubbing his hand across.</t>
  </si>
  <si>
    <t>v_Mzt-E6pxuUI</t>
  </si>
  <si>
    <t>A young blonde boy is standing at a kitchen sink with a handheld sprayer in his hand and he's spraying all the dishes.</t>
  </si>
  <si>
    <t>The boy then puts the sprayer in a green pot on the counter and begins spraying the water in there.</t>
  </si>
  <si>
    <t>The boy drops the sprayer then takes a cup from the sink, fills it with water then pours the water into the pot, fills it again and pours it into a bowl on the counter.</t>
  </si>
  <si>
    <t>The boy then picks up a clear glass filled with red liquid, drinks some of it, puts it under the faucet and adds water to it, drinks it a few times then dumps it out into the sink.</t>
  </si>
  <si>
    <t>The boy then takes a dish from the sink that has the red juice and tries to pour it into the pot on the counter but instead it spills all over the counter instead and he gets a sponge and tries to clean it up.</t>
  </si>
  <si>
    <t>v_2qcdjyT7nDY</t>
  </si>
  <si>
    <t>We see cheerleaders standing on the stage.</t>
  </si>
  <si>
    <t>The cheerleaders perform a routine.</t>
  </si>
  <si>
    <t>Four girls are lifted and they hold one girl in between them laying down.</t>
  </si>
  <si>
    <t>Ladies hold ladies who hold and shake their pom poms.</t>
  </si>
  <si>
    <t>Four ladies are lifted and hold two other ladies then a seventh lady.</t>
  </si>
  <si>
    <t>the team finishes and hugs.</t>
  </si>
  <si>
    <t>We see ending credits and still shots.</t>
  </si>
  <si>
    <t>A quote and website appears on the screen.</t>
  </si>
  <si>
    <t>v_YTWXDIMEjpg</t>
  </si>
  <si>
    <t>Several shots of a lake are shown followed by a person climbing behind a boat on a wake board.</t>
  </si>
  <si>
    <t>The person rides the wake board along the water while several cameras capture his movements and jumps behind the boat.</t>
  </si>
  <si>
    <t>The camera captures the person driving the boat as well as following the wake boarder close behind the boat.</t>
  </si>
  <si>
    <t>In the end three boys are riding the boat and driving along.</t>
  </si>
  <si>
    <t>v_I0w8zmcO_Cw</t>
  </si>
  <si>
    <t>A man stops his bike on the sidewalk.</t>
  </si>
  <si>
    <t>He jumps down to look at the wheel, then uses a tool to press into the rubber.</t>
  </si>
  <si>
    <t>He continues talking about the tool before joining in a bike race, then going back to talking on the sidewalk.</t>
  </si>
  <si>
    <t>v_arhhcCWkAoM</t>
  </si>
  <si>
    <t>Men swing around with a hammer throw ball before releasing it.</t>
  </si>
  <si>
    <t>A man does pull ups on a bar.</t>
  </si>
  <si>
    <t>A man lifts a large weight on his shoulders and also shoulder presses it above his head.</t>
  </si>
  <si>
    <t>Two men run track together.</t>
  </si>
  <si>
    <t>v_4o1k3KUHz6E</t>
  </si>
  <si>
    <t>A flag waves on a pole in a field.</t>
  </si>
  <si>
    <t>We see a mascot roll a ball to home plate and fall when its kicked back and hits him.</t>
  </si>
  <si>
    <t>We then see the mascot kick the ball and run a home run.</t>
  </si>
  <si>
    <t>The mascot runs and catches a ball in the field.</t>
  </si>
  <si>
    <t>The mascot high fives a line of people and chest bumps the last man knocking him over.</t>
  </si>
  <si>
    <t>v_ahVeDMNS9ws</t>
  </si>
  <si>
    <t>A close up of sneakers is shown followed by a person holding up various objects and mixing them together in a bowl.</t>
  </si>
  <si>
    <t>The person then uses a tooth brush all around the shoe using the ingredients and showing off the shoe.</t>
  </si>
  <si>
    <t>v_M2ntxFBPaug</t>
  </si>
  <si>
    <t>A person explains holding a racket and making moves with a racket in a tennis court.</t>
  </si>
  <si>
    <t>Then a man wearing black clothes serves a tennis ball that is returned, and he sends it back.</t>
  </si>
  <si>
    <t>Then, the person talks holding two ball, after the man serves again and the person talks.</t>
  </si>
  <si>
    <t>After, the man continues talking.</t>
  </si>
  <si>
    <t>v_y0_lTTdKkro</t>
  </si>
  <si>
    <t>A goalie is seen in several clips running back and fourth and blocking balls from getting by.</t>
  </si>
  <si>
    <t>The player continues running back and fourth while another man sits in front of him.</t>
  </si>
  <si>
    <t>v_r2oMItb5EVM</t>
  </si>
  <si>
    <t>A young man puts in a pan oil, onions, tomatoes, green leaves and salt, then mix to cook the vegetables.</t>
  </si>
  <si>
    <t>After, the man puts aside the vegetables, and cooks an omelette in the pan.</t>
  </si>
  <si>
    <t>After, the man puts the vegetables over the omelette and folds it, then he serves the omelette.</t>
  </si>
  <si>
    <t>v_QLACTCzs0R0</t>
  </si>
  <si>
    <t>A large group of Navy soldiers are shown on a dock playing a game of tug of war.</t>
  </si>
  <si>
    <t>On one side of the rope is a team pulling as hard as they can while being cheered on.</t>
  </si>
  <si>
    <t>Another Navy soldier is shown taking pictures of the game.</t>
  </si>
  <si>
    <t>The other side of the rope is shown.</t>
  </si>
  <si>
    <t>One team is pulled over a red line on the ground, ending the game.</t>
  </si>
  <si>
    <t>The men stand up to relax.</t>
  </si>
  <si>
    <t>v_DQXJ8OU7Ox4</t>
  </si>
  <si>
    <t>An introduction comes onto the screen for a female weight lifting competition.</t>
  </si>
  <si>
    <t>One of the female weight lifters is shown on the screen as she goes through several increasing levels of lifts one by one.</t>
  </si>
  <si>
    <t>When she finally reaches a weight that is too heavy for her to lift, she leaves the challenge.</t>
  </si>
  <si>
    <t>v_4zFiORtQrlA</t>
  </si>
  <si>
    <t>A man in polo shirt stands with a bike on a rack and demonstrates it's different features in a bike shop.</t>
  </si>
  <si>
    <t>The man takes out a tool and makes an adjustment to the wheel sprocket then turns the wheel before adjusting more.</t>
  </si>
  <si>
    <t>The man adjusts a shifter on the handlebars.</t>
  </si>
  <si>
    <t>v_uZCov5TG-Y8</t>
  </si>
  <si>
    <t>A man is ironing a shirt on an ironing board.</t>
  </si>
  <si>
    <t>Bags are shown sitting on the bed.</t>
  </si>
  <si>
    <t>v_tQmsDeu1d6M</t>
  </si>
  <si>
    <t>A small group of people are seen swimming around the wall while the camera pans around and watches them.</t>
  </si>
  <si>
    <t>The kids continue to move around the water as adults walk by as well.</t>
  </si>
  <si>
    <t>More shots are shown of kids playing in the sand.</t>
  </si>
  <si>
    <t>v_GPWXB0wy5dY</t>
  </si>
  <si>
    <t>The video that is shot horizontally shows several people windsurfing in the ocean on a sunny day.</t>
  </si>
  <si>
    <t>One of the surfers is going at very high speed against the waves.</t>
  </si>
  <si>
    <t>One surfer on an orange surf comes at top speed and loses control and falls into the water.</t>
  </si>
  <si>
    <t>The surfer with blue sails manages to stay on board as he surfs in the ocean.</t>
  </si>
  <si>
    <t>v_NRhoHN8x_00</t>
  </si>
  <si>
    <t>An older woman is seen sitting before a drum set playing a set of drums.</t>
  </si>
  <si>
    <t>She spins the drums around through her finger tips and continues playing the instrument while the camera captures her.</t>
  </si>
  <si>
    <t>v_xR9VOguQeKM</t>
  </si>
  <si>
    <t>A man performs high jump with a pole, he jumps over three horizontal lines that touches two of them.</t>
  </si>
  <si>
    <t>The man attempts to jumps higher than while jumping with the pole.</t>
  </si>
  <si>
    <t>Again, the man attempt to jump higher but he makes fall the horizontal line.</t>
  </si>
  <si>
    <t>v_fJyxb59mA-A</t>
  </si>
  <si>
    <t>We see a man sitting on a couch.</t>
  </si>
  <si>
    <t>The man is playing the bagpipe.</t>
  </si>
  <si>
    <t>The man laughs and stops playing.</t>
  </si>
  <si>
    <t>The man starts playing the bagpipe again.</t>
  </si>
  <si>
    <t>The man laughs hard again.</t>
  </si>
  <si>
    <t>The man stops playing the bagpipe.</t>
  </si>
  <si>
    <t>The man waves his hand in front of the camera.</t>
  </si>
  <si>
    <t>v_q0L4clHNIbc</t>
  </si>
  <si>
    <t>A woman is outside shoveling with a robohandle.</t>
  </si>
  <si>
    <t>It is making the process much quicker because it is a decent size and picks up a lot of the snow at once.</t>
  </si>
  <si>
    <t>She is making a lot of progress in such a small window of time using this snow robohandle.</t>
  </si>
  <si>
    <t>The handle honestly just looks like two large shovels though.</t>
  </si>
  <si>
    <t>v_SLv4rEkiYaU</t>
  </si>
  <si>
    <t>Text appears on the screen briefly.</t>
  </si>
  <si>
    <t>An elephant rides past a cow.</t>
  </si>
  <si>
    <t>People are in a tube on a river.</t>
  </si>
  <si>
    <t>v_WRXSn7DyaoI</t>
  </si>
  <si>
    <t>People are dancing on a dance floor at a wedding.</t>
  </si>
  <si>
    <t>A woman in a wedding dress is dancing with a man in a tuxedo.</t>
  </si>
  <si>
    <t>A man in a purple shirt is dancing with a woman.</t>
  </si>
  <si>
    <t>v_6LX02yo9iGo</t>
  </si>
  <si>
    <t>People prepare for a BMX bike race.</t>
  </si>
  <si>
    <t>A person lines up and then goes.</t>
  </si>
  <si>
    <t>v_n33Uv--Lbl4</t>
  </si>
  <si>
    <t>A girl in a yellow shirt is brushing her teeth in a bathroom.</t>
  </si>
  <si>
    <t>A girl next to her in a blue shirt is also brushing her teeth.</t>
  </si>
  <si>
    <t>They are both looking in the mirror.</t>
  </si>
  <si>
    <t>v_ybFvomdhW2Y</t>
  </si>
  <si>
    <t>A woman is speedily riding a recumbent bike in the kitchen.</t>
  </si>
  <si>
    <t>She sits by the stove, cracking eggs into a pan and making an omelet while she rides.</t>
  </si>
  <si>
    <t>She stirs the egg, then plates it while still riding.</t>
  </si>
  <si>
    <t>She then eats while she continues to ride.</t>
  </si>
  <si>
    <t>v_1aCwFDS0j2A</t>
  </si>
  <si>
    <t>A woman is seen kneeling on a mat in a back yard and leads into her bending backwards using her hands.</t>
  </si>
  <si>
    <t>She then puts her hands all the way down on the ground while still continuing to look up.</t>
  </si>
  <si>
    <t>v_iPHZeElXYXU</t>
  </si>
  <si>
    <t>We see a white opening screen.</t>
  </si>
  <si>
    <t>We see a lady ironing a shirt on an ironing board and talking to the camera.</t>
  </si>
  <si>
    <t>The lady irons a sleeve.</t>
  </si>
  <si>
    <t>The lady irons the back of the shirt.</t>
  </si>
  <si>
    <t>The lady finishes and holds the shirt up.</t>
  </si>
  <si>
    <t>We see a bright title closing screen.</t>
  </si>
  <si>
    <t>v_3K62qZ2hGyw</t>
  </si>
  <si>
    <t>We see the title screen for Howcast.</t>
  </si>
  <si>
    <t>A lady is standing in a white room talking to the camera.</t>
  </si>
  <si>
    <t>The lady shows us how to belly dance by dancing.</t>
  </si>
  <si>
    <t>She shifts to her right then back and lifts her hips while belly dancing.</t>
  </si>
  <si>
    <t>The lady shows how to lift your hips one at a time.</t>
  </si>
  <si>
    <t>She pats her head and shakes her hips faster.</t>
  </si>
  <si>
    <t>The lady shakes her hips faster and waves her arms over her head.</t>
  </si>
  <si>
    <t>She stops dancing and stands still.</t>
  </si>
  <si>
    <t>The ending credits load on the screen.</t>
  </si>
  <si>
    <t>v_OEBSls79Ths</t>
  </si>
  <si>
    <t>A gymnast performs on the uneven bars while spectators watch the performance.</t>
  </si>
  <si>
    <t>The gymnast end the performance and great the audience, and then she join her friends to wait for the score.</t>
  </si>
  <si>
    <t>A woman watch the gymnast and applaud.</t>
  </si>
  <si>
    <t>v_u08gU4eQFHY</t>
  </si>
  <si>
    <t>A weight lifter is in a gym, and he lifts a barbell.</t>
  </si>
  <si>
    <t>He lifts it over his head, then drops it to the ground before walking away.</t>
  </si>
  <si>
    <t>v_7TOw39_59xo</t>
  </si>
  <si>
    <t>A close up of several cars are seen that leads into a person cleaning the cars.</t>
  </si>
  <si>
    <t>The person wipes down the front of the cars with a rag including along the tires.</t>
  </si>
  <si>
    <t>The cars are shown lined up afterwards and shown all cleaned off.</t>
  </si>
  <si>
    <t>v_u9JhQ0xSSJI</t>
  </si>
  <si>
    <t>A marching band parades down the street.</t>
  </si>
  <si>
    <t>People on both sides of the street watch the parade and applaud.</t>
  </si>
  <si>
    <t>v_yeUuZ9vk5gE</t>
  </si>
  <si>
    <t>A person is seen placing dough balls onto a pan and then placing them into an oven.</t>
  </si>
  <si>
    <t>She then takes them out of the oven and puts the cookies onto a plate.</t>
  </si>
  <si>
    <t>v_G_Nzm0WkGEI</t>
  </si>
  <si>
    <t>A young child is seen ironing a shirt on a table and looking into the camera.</t>
  </si>
  <si>
    <t>The boy continues pretending to iron the shirt and eventually puts a dress on the table to iron.</t>
  </si>
  <si>
    <t>He irons the dress and swings it around.</t>
  </si>
  <si>
    <t>v_AKQqaMyZtf8</t>
  </si>
  <si>
    <t>A man walks with a leaf blower.</t>
  </si>
  <si>
    <t>He blows leaves on the ground.</t>
  </si>
  <si>
    <t>The leaves move against the asphalt.</t>
  </si>
  <si>
    <t>The man blows another man with the blower.</t>
  </si>
  <si>
    <t>v_IAqNteMxXNk</t>
  </si>
  <si>
    <t>A man is seen standing behind a counter speaking to the camera and holding up cleaning products.</t>
  </si>
  <si>
    <t>He puts the products into a sink and begins scrubbing around the sides.</t>
  </si>
  <si>
    <t>He wipes down the counter and shows off the finished sink.</t>
  </si>
  <si>
    <t>v_SxIJ6MjcgnY</t>
  </si>
  <si>
    <t>A man throwing the frisbee to his dog and the dog catches.</t>
  </si>
  <si>
    <t>One owner does a hand stand a throws the frisbee to his dog, who is able to catch.</t>
  </si>
  <si>
    <t>Many owners and dogs throwing and catching frisbees and doing tricks while doing so.</t>
  </si>
  <si>
    <t>A woman opens her arms and her dogs jumps into them, she catches the dog.</t>
  </si>
  <si>
    <t>v_-YreL-4QCLg</t>
  </si>
  <si>
    <t>A guy holds a lacrosse stick and instructs.</t>
  </si>
  <si>
    <t>A guy moves a ball with the lacrosse stick.</t>
  </si>
  <si>
    <t>A guy tosses a ball into a goal.</t>
  </si>
  <si>
    <t>v_cA2ZLOZcCyc</t>
  </si>
  <si>
    <t>A person is riding the bike on the dirt road.</t>
  </si>
  <si>
    <t>The biker jumped into high ramps.</t>
  </si>
  <si>
    <t>The biker drove to the curve path then drive over the high ramp.</t>
  </si>
  <si>
    <t>v_lydctNDJZ5o</t>
  </si>
  <si>
    <t>There are two teams represented by the color green and color white playing lacrosse against each other in an outdoor field.</t>
  </si>
  <si>
    <t>The player from the green team begins running with his stick alongside his opponent to go towards the ball.</t>
  </si>
  <si>
    <t>The two team come head to head as they scramble to hit the ball in the goal.</t>
  </si>
  <si>
    <t>The green team players run fast to prevent the white team from getting the ball.</t>
  </si>
  <si>
    <t>The white team players try to keep up with their opponents and focus on hitting the ball in the goal.</t>
  </si>
  <si>
    <t>Two players from both team come running towards each other and fight for the ball, causing one of the green team players to fall down.</t>
  </si>
  <si>
    <t>They take a break to before they can restart the game as they walk towards the side of the field.</t>
  </si>
  <si>
    <t>v_DRHW4FvSKdw</t>
  </si>
  <si>
    <t>A dealer at a casino table deals out to several customers while there's a constant stream of activity in the background.</t>
  </si>
  <si>
    <t>One of the players starts laughing.</t>
  </si>
  <si>
    <t>v_NGvote9Y6gI</t>
  </si>
  <si>
    <t>We see cards sitting on table with chips.</t>
  </si>
  <si>
    <t>The dealer deals more cards.</t>
  </si>
  <si>
    <t>The dealer points at two cards.</t>
  </si>
  <si>
    <t>The dealer turns a card over and takes the man's chips.</t>
  </si>
  <si>
    <t>v__wHyOKf_fhc</t>
  </si>
  <si>
    <t>An advertisement display the presentation of two dancers.</t>
  </si>
  <si>
    <t>The couple is dancing holding hands turning both around.</t>
  </si>
  <si>
    <t>The woman turns around holding the hand of the man.</t>
  </si>
  <si>
    <t>v_lq-8Y-YLcNI</t>
  </si>
  <si>
    <t>women are walking on a lakeside and are putting their shoes and harness.</t>
  </si>
  <si>
    <t>women are climbing a rock wall attached to an harness.</t>
  </si>
  <si>
    <t>woman is going down and when is in the floor shake hands with he other woman.</t>
  </si>
  <si>
    <t>v_5rkAMBttgPc</t>
  </si>
  <si>
    <t>A woman is standing behind a counter holding a martini glass.</t>
  </si>
  <si>
    <t>She dumps some ice into the glass.</t>
  </si>
  <si>
    <t>She puts some ice into another glass and adds shots of alcohol.</t>
  </si>
  <si>
    <t>She shakes the drink in a black shaker.</t>
  </si>
  <si>
    <t>She pours the ice out of a martini glass.</t>
  </si>
  <si>
    <t>She pours the drink into the martini glass.</t>
  </si>
  <si>
    <t>She holds up the martini glass in her hand.</t>
  </si>
  <si>
    <t>v_UxhKb-zZoWE</t>
  </si>
  <si>
    <t>Two sumo wrestlers are seen fighting that leads into people walking in and others dancing together.</t>
  </si>
  <si>
    <t>More wrestlers bend down towards one another and begin wrestling while people drum on the side.</t>
  </si>
  <si>
    <t>More people are walked in and continue wrestling on the pit.</t>
  </si>
  <si>
    <t>v__OY-1VtINQQ</t>
  </si>
  <si>
    <t>A man is seen sitting on a piece of exercise equipment moving back and fourth.</t>
  </si>
  <si>
    <t>The man continues moving at different speeds and moving back.</t>
  </si>
  <si>
    <t>v_Cof9eHf7VCI</t>
  </si>
  <si>
    <t>A group of people are standing in the middle of a forest with a trail of pebbles separating them from a beautiful crystal clear body of water.</t>
  </si>
  <si>
    <t>The camera moves across the water and several people on boats and jet-skis are moving in the water near a large wave.</t>
  </si>
  <si>
    <t>More large waves begin to surface and a man begins surfing the waves.</t>
  </si>
  <si>
    <t>The forest is then shown and surf boards appear that are washed up against the banks of the water.</t>
  </si>
  <si>
    <t>v_iEqyqzKSEZ4</t>
  </si>
  <si>
    <t>A car is driving down the highway at a fast speed, he takes an exit to park.</t>
  </si>
  <si>
    <t>Then, they're at the gym and it's a class full of people jumping rope.</t>
  </si>
  <si>
    <t>A woman coach and a child jump rope one on one together, she goes around instructing some other students in the class.</t>
  </si>
  <si>
    <t>The class ends with pictures of the coach and her students.</t>
  </si>
  <si>
    <t>v_hvXMCjJcIqI</t>
  </si>
  <si>
    <t>A man drives a lawn mower over a lawn.</t>
  </si>
  <si>
    <t>The man turns to his left.</t>
  </si>
  <si>
    <t>A wagon behind the man is being pulled with children in tow.</t>
  </si>
  <si>
    <t>The man then circles the lawn.</t>
  </si>
  <si>
    <t>v_H7k8ATbTjzs</t>
  </si>
  <si>
    <t>A woman and a young girl are each walking a dog in a grassy area.</t>
  </si>
  <si>
    <t>They approach another woman sitting in a chair.</t>
  </si>
  <si>
    <t>She pets one of the dogs.</t>
  </si>
  <si>
    <t>Another woman is sitting behind the woman that pets the dog.</t>
  </si>
  <si>
    <t>The woman with the dog walks over and takes the leash of the second dog from the young girl and walks away with both dogs and the young girl still holding part of a leash.</t>
  </si>
  <si>
    <t>A man is standing off to the side watching.</t>
  </si>
  <si>
    <t>The woman and the young girl, each with a dog again, stop in the grassy area, talk and then continue walking.</t>
  </si>
  <si>
    <t>v_W5WfWmISKrk</t>
  </si>
  <si>
    <t>We see a dark title screen.</t>
  </si>
  <si>
    <t>We see titles in the screen and see the men.</t>
  </si>
  <si>
    <t>We see two men fighting MMA in a ring.</t>
  </si>
  <si>
    <t>The large man is losing his grip on the smaller man.</t>
  </si>
  <si>
    <t>The referee comes to the men and waves his arms.</t>
  </si>
  <si>
    <t>We see the outcome of the game on the screen.</t>
  </si>
  <si>
    <t>The smaller fighter hugs another man.</t>
  </si>
  <si>
    <t>We then see the closing ending credits.</t>
  </si>
  <si>
    <t>v_UZPSbNS1LU0</t>
  </si>
  <si>
    <t>A group of people are shown rollerblading in Paris.</t>
  </si>
  <si>
    <t>They are moving slowly and there are a lot of them as some of them look into the camera as they pass.</t>
  </si>
  <si>
    <t>The procession continues as spectators look onward.</t>
  </si>
  <si>
    <t>The video cuts to a side angle of the rollerbladers passing by.</t>
  </si>
  <si>
    <t>Another side shot is shown and a cop car and several escort vehicles come into view as the video fades to black.</t>
  </si>
  <si>
    <t>v_Vq0-j_C-kZc</t>
  </si>
  <si>
    <t>A person is video taping a bull fighting event from his television set.</t>
  </si>
  <si>
    <t>The bull fighting scene is in a large open arena which is filled with thousands of spectators who are cheering.</t>
  </si>
  <si>
    <t>The two raging bulls are butting heads constantly while the matadors are trying to contain the bulls within a specified zone.</t>
  </si>
  <si>
    <t>The crowd continues to cheer as the event goes on.</t>
  </si>
  <si>
    <t>v_i3uRumyN7mg</t>
  </si>
  <si>
    <t>An intro leads into a woman holding an accordion and a woman in a wedding dress beside her.</t>
  </si>
  <si>
    <t>The woman then begins to play the instrument while others stand around her and watch and others play along.</t>
  </si>
  <si>
    <t>v_b3e7PrPNb30</t>
  </si>
  <si>
    <t>A woman is smearing a white cream onto her forehead and cheeks.</t>
  </si>
  <si>
    <t>She spreads it around, smoothing it in.</t>
  </si>
  <si>
    <t>v_GHmxFOXP1Q0</t>
  </si>
  <si>
    <t>A man pierces a woman's cheek.</t>
  </si>
  <si>
    <t>She sticks her tongue out and then the process is completed.</t>
  </si>
  <si>
    <t>v_FtHP0PNqo2s</t>
  </si>
  <si>
    <t>A person is getting their legs waxed on a table.</t>
  </si>
  <si>
    <t>They rub some lotion onto their legs after.</t>
  </si>
  <si>
    <t>They show their clean waxed legs.</t>
  </si>
  <si>
    <t>v_55sP2yXNFxY</t>
  </si>
  <si>
    <t>A man is seen hosting a news segment that leads into him speaking with two other people.</t>
  </si>
  <si>
    <t>Shots are shown of a young man playing pool with his father watching on the side.</t>
  </si>
  <si>
    <t>The man continues to play while his father watches and speaks to the news host.</t>
  </si>
  <si>
    <t>v_ou45_7IdWCE</t>
  </si>
  <si>
    <t>A woman is seen walking to a swingset with a small boy and putting him on the swing.</t>
  </si>
  <si>
    <t>Several women with their children are seen swinging back and fourth with one another as well as dads playing with their kids.</t>
  </si>
  <si>
    <t>v_O-hUa9e9_DE</t>
  </si>
  <si>
    <t>A woman chef demonstrates, in a kitchen, in front of a kitchen counter top and ingredients, how to prepare a salad.</t>
  </si>
  <si>
    <t>A woman stands in front of a kitchen counter top with greens, cheese, vegetables and oils and talks to the camera.</t>
  </si>
  <si>
    <t>The woman begins to cut the greens and put them in a white bowl before turning to pull oven roasted brussel sprouts out of the oven.</t>
  </si>
  <si>
    <t>The woman then squeezes and orange and pours the orange juice on the salad with the brussell sprouts and oil before the scene fades out.</t>
  </si>
  <si>
    <t>v_vSAHWgFjQAY</t>
  </si>
  <si>
    <t>A man is seen dancing in a club and grabs onto a woman.</t>
  </si>
  <si>
    <t>The man and woman then begin dancing around each other in the middle of the club.</t>
  </si>
  <si>
    <t>They continue dancing around one another while other people dance beside them.</t>
  </si>
  <si>
    <t>v_sVk-Br0zfkA</t>
  </si>
  <si>
    <t>A close up of a woman is seen looking off into the distance and holding a dart.</t>
  </si>
  <si>
    <t>She throws the dart onto the board which is show up close.</t>
  </si>
  <si>
    <t>The woman then clenches her fists and her throw is shown again.</t>
  </si>
  <si>
    <t>v_4Rto4Aa6fxw</t>
  </si>
  <si>
    <t>Two teams play hurling in a stadium full of people.</t>
  </si>
  <si>
    <t>A player serves a ball with the stick, and the teams continue playing.</t>
  </si>
  <si>
    <t>Two players dispute the ball in the air, then they continue playing.</t>
  </si>
  <si>
    <t>v_cFJo7Nm2W3Y</t>
  </si>
  <si>
    <t>A large group of people are seen standing around a sand pit shaking hands and speaking with one another.</t>
  </si>
  <si>
    <t>The men then begin a soccer match with one another and cheering when they score a goal.</t>
  </si>
  <si>
    <t>The men continue to play against one another while the audience cheers and the ref stands on the side.</t>
  </si>
  <si>
    <t>v_vzxT-k8dsVs</t>
  </si>
  <si>
    <t>man is unning wearing stilts in a skaet park.</t>
  </si>
  <si>
    <t>another man is jumping along with the first man in the skate park.</t>
  </si>
  <si>
    <t>man in skate park is running while a car is passing in the street.</t>
  </si>
  <si>
    <t>v_VO49rhXzhk4</t>
  </si>
  <si>
    <t>A woman's hands are shown wrapping something.</t>
  </si>
  <si>
    <t>The woman talks to the camera.</t>
  </si>
  <si>
    <t>Closeups of the necessary equipment for this operation are shown.</t>
  </si>
  <si>
    <t>The woman wraps a book with tissue paper and tape.</t>
  </si>
  <si>
    <t>The woman cuts paper to shape for the book.</t>
  </si>
  <si>
    <t>The woman wraps the book with the paper and tape.</t>
  </si>
  <si>
    <t>The woman talks to the camera whole holding the wrapped and ribboned book.</t>
  </si>
  <si>
    <t>A closeup of the wrapped and ribboned book is shown.</t>
  </si>
  <si>
    <t>v_0DEF7Mp7ZP4</t>
  </si>
  <si>
    <t>A small group of people are seen sitting around a casino table speaking to one another and playing a game of poker.</t>
  </si>
  <si>
    <t>Many people watch on the sides while the dealer deals out cards and the people place their chips in the middle.</t>
  </si>
  <si>
    <t>More shots of the game are shown while the camera pans out to a person's face.</t>
  </si>
  <si>
    <t>v_B39pJK4FU1o</t>
  </si>
  <si>
    <t>A lady is talking in an office and holding a pink item.</t>
  </si>
  <si>
    <t>the lady throws the pink item on a game board on the floor.</t>
  </si>
  <si>
    <t>She then jumps hopscotch and picks up the pink item.</t>
  </si>
  <si>
    <t>She throws it again and jumps again and returns picking up the pink item.</t>
  </si>
  <si>
    <t>v_Z3noRsTXGt4</t>
  </si>
  <si>
    <t>A person is running on an excerise machine.</t>
  </si>
  <si>
    <t>The camera zooms in to the feet.</t>
  </si>
  <si>
    <t>The camera pans to the right slowly.</t>
  </si>
  <si>
    <t>v_CsCbJSnAhRs</t>
  </si>
  <si>
    <t>A man puts a chef hat on a girl while a chef teachers her how to cook.</t>
  </si>
  <si>
    <t>She mixes various ingredients together following the chef's orders and paying close attention to his instructions.</t>
  </si>
  <si>
    <t>The girl makes a lovely batch of cookies and finds herself enjoying them in the end, as well as the company of others.</t>
  </si>
  <si>
    <t>v_GKhuh6bha6U</t>
  </si>
  <si>
    <t>Several men stand together for the camera.</t>
  </si>
  <si>
    <t>Scenes of multiple people performing capoeira demonstrations are shown with audiences in the background and foreground.</t>
  </si>
  <si>
    <t>v_2vy0dMXhlWI</t>
  </si>
  <si>
    <t>An older man is shown chopping at a downed tree with an axe.</t>
  </si>
  <si>
    <t>he is trying very hard and not making much progress.</t>
  </si>
  <si>
    <t>He seems to be frustrated and is trying again and again to chop of the tree.</t>
  </si>
  <si>
    <t>He then looks at the camera and slightly smirks before continuing trying to cut the tree up.</t>
  </si>
  <si>
    <t>He stops again and stares at the camera.</t>
  </si>
  <si>
    <t>A closeup is shown of him trying again and again before zooming out.</t>
  </si>
  <si>
    <t>The camera then zooms back in to his face as he continues on.</t>
  </si>
  <si>
    <t>v_KPv8ZGrb78Y</t>
  </si>
  <si>
    <t>Three women show up on the screen doing a tribal dance in a workout studio.</t>
  </si>
  <si>
    <t>One of the women does a solo performance while the music plays in the background.</t>
  </si>
  <si>
    <t>The three women are shown again doing the dance on the stage while other people do the same dance in front of the stage.</t>
  </si>
  <si>
    <t>The trio of women come back onto the screen and continue the dance in the studio.</t>
  </si>
  <si>
    <t>They show up back on the stage doing the dance as the camera films them.</t>
  </si>
  <si>
    <t>The camera goes back and forth between them doing the dance on the stage and off the stage showing different angles.</t>
  </si>
  <si>
    <t>v_gg_F8EtNMW0</t>
  </si>
  <si>
    <t>Two men are inside an indoor gym.</t>
  </si>
  <si>
    <t>They are engaged in a martial art called kickboxing.</t>
  </si>
  <si>
    <t>They kick and punch at each other, trying to hit each other.</t>
  </si>
  <si>
    <t>v_lSX_yj2ohls</t>
  </si>
  <si>
    <t>Two dudes are talking silly into the camera with things wrapped around their heads.</t>
  </si>
  <si>
    <t>Then you see everyone playing beer pong having a great time outside joking and dancing.</t>
  </si>
  <si>
    <t>A group starts taking selfies and everyone is dressed really funny.</t>
  </si>
  <si>
    <t>One of the dudes flick off the camera and everyone continues to play bee pong and be wild enjoying their time.</t>
  </si>
  <si>
    <t>v_IGcalXmWUwA</t>
  </si>
  <si>
    <t>Several shots of people playing basketball are shown and leads into two men demonstrating a move.</t>
  </si>
  <si>
    <t>The same move is shown again from various angles and instructor the user how to do it.</t>
  </si>
  <si>
    <t>More tricks are shown as well as step by step instruction on how to properly do it.</t>
  </si>
  <si>
    <t>v_FwbnNQBzqHw</t>
  </si>
  <si>
    <t>A woman is standing behind an array of confections in a kitchen.</t>
  </si>
  <si>
    <t>Several different cake pops are being shown.</t>
  </si>
  <si>
    <t>Ingredients are displayed next to actions mixing ingredients.</t>
  </si>
  <si>
    <t>The woman crumbles the cake into a bowl, then adds frosting while she talks.</t>
  </si>
  <si>
    <t>She allows them to sit before melting candy coating, which she then dips the cake balls into.</t>
  </si>
  <si>
    <t>She decorates the cake ball in the final stages.</t>
  </si>
  <si>
    <t>A final array of cake pops are shown as she ends the segment.</t>
  </si>
  <si>
    <t>v_cFcrXdvfxoo</t>
  </si>
  <si>
    <t>A woman is lifting and squatting inside a gym with a barbell on her shoulders.</t>
  </si>
  <si>
    <t>She lifts then sits over and over again.</t>
  </si>
  <si>
    <t>v_nDbLtdY66dA</t>
  </si>
  <si>
    <t>A man in a black shirt is holding a saxophone.</t>
  </si>
  <si>
    <t>He begins playing the saxophone.</t>
  </si>
  <si>
    <t>He stops playing and continues talking.</t>
  </si>
  <si>
    <t>v_0-CYG7bH54A</t>
  </si>
  <si>
    <t>An intro leads into several shots of various ingredients laid out on a wooden board, followed by a set of hands cutting up certain ingredients.</t>
  </si>
  <si>
    <t>A person then grades some cheese into a bowl and breaks open the pasta.</t>
  </si>
  <si>
    <t>They put the pasta into a bowl as well as fry the shrimp and puts all the ingredients into one pan together.</t>
  </si>
  <si>
    <t>The person then serves the food onto a plate and text appears across the screen.</t>
  </si>
  <si>
    <t>v_NJQROeaBiVE</t>
  </si>
  <si>
    <t>The title appears and fades out.</t>
  </si>
  <si>
    <t>We see a man pulling weight close to his head.</t>
  </si>
  <si>
    <t>Three men pass by in the mirror.</t>
  </si>
  <si>
    <t>The camera zooms in on the main subject.</t>
  </si>
  <si>
    <t>A man in gray walks past in the mirror.</t>
  </si>
  <si>
    <t>The screen goes black and we see the end credits.</t>
  </si>
  <si>
    <t>v_EVfTWz5GRGw</t>
  </si>
  <si>
    <t>A bottle of deep cleansing gel is shown.</t>
  </si>
  <si>
    <t>A woman holds up the bottle, Then is shown using several different solutions that she lines up together on the counter.</t>
  </si>
  <si>
    <t>She uses each on her face, then rinses them off.</t>
  </si>
  <si>
    <t>v_l7QlSS_li6M</t>
  </si>
  <si>
    <t>We see a blue title screen with white letters.</t>
  </si>
  <si>
    <t>We see two girls standing in a room, then perform a flip.</t>
  </si>
  <si>
    <t>We see 2 different girls do different flips.</t>
  </si>
  <si>
    <t>One girl does a back flip.</t>
  </si>
  <si>
    <t>We then see four girls do a back flip together.</t>
  </si>
  <si>
    <t>v_vlIAZsrj6yk</t>
  </si>
  <si>
    <t>We see a black title screen.</t>
  </si>
  <si>
    <t>We see a man having his facial hair trimmed with an electric shaver.</t>
  </si>
  <si>
    <t>We see a man being shaved with a straight razor.</t>
  </si>
  <si>
    <t>We then see the closing screen.</t>
  </si>
  <si>
    <t>v_PUqHiigzb7A</t>
  </si>
  <si>
    <t>A man walks up to a barbell and bends over, lifting at the knees.</t>
  </si>
  <si>
    <t>He lifts the barbell up to his chest, rests for a moment, then lifts it over his head.</t>
  </si>
  <si>
    <t>He holds the pose for a few seconds before dropping it to the ground.</t>
  </si>
  <si>
    <t>v_qogdv5DWzkQ</t>
  </si>
  <si>
    <t>A shadow is seen in the smoky room.</t>
  </si>
  <si>
    <t>A woman is taking a shower and washing her hair.</t>
  </si>
  <si>
    <t>She pulls it apart in strands, putting conditioner on it.</t>
  </si>
  <si>
    <t>v_suWTtKXXkJU</t>
  </si>
  <si>
    <t>A woman is seen wearing a funny hat while speaking to the camera and sitting in a chair.</t>
  </si>
  <si>
    <t>the woman then knits in her chair while ending with another picture of her.</t>
  </si>
  <si>
    <t>v_tM0BAYylvLA</t>
  </si>
  <si>
    <t>A young boy sits in a chair with protective gown on and gets his hair cut with electric clippers by mom at home.</t>
  </si>
  <si>
    <t>The mother removes clipped hairs from the boys head with fingers.</t>
  </si>
  <si>
    <t>A girl is seen watching in the room.</t>
  </si>
  <si>
    <t>v_9lS5qpgrTmI</t>
  </si>
  <si>
    <t>A woman is seen speaking to the camera while holding up a bobby pin and then flips her hair down and begins braiding.</t>
  </si>
  <si>
    <t>The girl then puts her hair up into a pony tail and wraps her hair around to make a pun.</t>
  </si>
  <si>
    <t>She finally pins her hair down and then shows off her hair while pointing to the camera.</t>
  </si>
  <si>
    <t>v_P8M00PRbI3c</t>
  </si>
  <si>
    <t>A female news reporter is talking in a news room.</t>
  </si>
  <si>
    <t>We see several people riding on horses as a crowd watches.</t>
  </si>
  <si>
    <t>The people are hitting bags with sticks as they ride.</t>
  </si>
  <si>
    <t>The people are then interviewed about the game, and a man is shown shooting arrows.</t>
  </si>
  <si>
    <t>v_UtErhcCYBZk</t>
  </si>
  <si>
    <t>man is in roofed gym weightlifting.</t>
  </si>
  <si>
    <t>woman is walking behind the man watching the man.</t>
  </si>
  <si>
    <t>woman is lifting eights while he man sits to watch her.</t>
  </si>
  <si>
    <t>v_WDvsx_q2h-4</t>
  </si>
  <si>
    <t>A man is standing outside holding a violin.</t>
  </si>
  <si>
    <t>He begins to play the violin.</t>
  </si>
  <si>
    <t>He stops and sets the violin to his side.</t>
  </si>
  <si>
    <t>v_bXrdB5AASAM</t>
  </si>
  <si>
    <t>There are two men dressed in white shirts wearing hats doing freestyle wrestling in an indoor stadium.</t>
  </si>
  <si>
    <t>There are several spectators watching them, some sitting on chairs and some sitting on the ground.</t>
  </si>
  <si>
    <t>There are some people seated on chairs playing various hand instruments and singing to cheer the fighters.</t>
  </si>
  <si>
    <t>The two men continue wrestling in a non aggressive manner by taking turns to attack the opponent.</t>
  </si>
  <si>
    <t>They continue fighting as one man does a front flip.</t>
  </si>
  <si>
    <t>In the final round, they speed up the fight with faster kicks and motion.</t>
  </si>
  <si>
    <t>v_jYphKtLFIUk</t>
  </si>
  <si>
    <t>A group of boys chisel a name in sand on the beach with their hands.</t>
  </si>
  <si>
    <t>The boys leave the art piece leaving just one boy in a red t-shirt to work on it alone.</t>
  </si>
  <si>
    <t>Two boys returns with two balls of sand in circles and sit next to the art piece as they work on rounding out the balls of sand they have gathered while a group of children gather around to watch.</t>
  </si>
  <si>
    <t>v_-8FS4LbXAgE</t>
  </si>
  <si>
    <t>An intro leads into several shots of graffiti on a wall as well as people moving around and talking to one another.</t>
  </si>
  <si>
    <t>A rapper is then seen getting a tattoo from a man while the camera captures several angles and show art work.</t>
  </si>
  <si>
    <t>More people show off their tattoos and the rapper points to the camera and shows the finished tattoo and album cover.</t>
  </si>
  <si>
    <t>v_wz8d9DKMrTc</t>
  </si>
  <si>
    <t>A band is practicing in a gym.</t>
  </si>
  <si>
    <t>People are twirling flags while standing in a line.</t>
  </si>
  <si>
    <t>The drummers are marching around the gym.</t>
  </si>
  <si>
    <t>They get into a line and dance out of the gym.</t>
  </si>
  <si>
    <t>v_lCuMD23jOxo</t>
  </si>
  <si>
    <t>A person is seen speaking to the camera and smoking out of a hookah pipe.</t>
  </si>
  <si>
    <t>The camera pans around the area and continues to speak to the man and leads into a shot of a boat going by and a close fire.</t>
  </si>
  <si>
    <t>v_HoViId2LHl8</t>
  </si>
  <si>
    <t>A woman starts dancing next to a man in front of a gathered crowd.</t>
  </si>
  <si>
    <t>They spin in circles as they dance.</t>
  </si>
  <si>
    <t>She goes between his legs, sliding outward and injuring her neck.</t>
  </si>
  <si>
    <t>She gets up laughing and gives the man a hug.</t>
  </si>
  <si>
    <t>v_3ekMufBfUdw</t>
  </si>
  <si>
    <t>A woman is seen blow drying her hair while using a comb in various fashions and using different products.</t>
  </si>
  <si>
    <t>The woman continues to use the blow dryer on her hair and ends by showing off her finished hair.</t>
  </si>
  <si>
    <t>v_D7ZeRbotot0</t>
  </si>
  <si>
    <t>A man in yellow and black suit welds a steel.</t>
  </si>
  <si>
    <t>He stops the welding job.</t>
  </si>
  <si>
    <t>Then he moves away and inspect it.</t>
  </si>
  <si>
    <t>v_uTVjevTM6V0</t>
  </si>
  <si>
    <t>Three athletes of different countries compete weightlifting on front the jury, during the first round, all the athletes lift the weight successfully.</t>
  </si>
  <si>
    <t>In the second round, the athlete with blue uniform rise successfully and kiss the bar of the weight, also the other athletes are successful.</t>
  </si>
  <si>
    <t>On the third round, the Indian athlete let fall the weight.</t>
  </si>
  <si>
    <t>The athlete with red uniform is congratulated, then stand on the first place of the podium and talks.</t>
  </si>
  <si>
    <t>v_Y1Vop80R9b8</t>
  </si>
  <si>
    <t>A room is covered to avoid paint being splattered on objects in the room.</t>
  </si>
  <si>
    <t>A room is seen with blue tape on its borders and walls.</t>
  </si>
  <si>
    <t>The floors of the room also have bag over the carpet.</t>
  </si>
  <si>
    <t>The staircase of a house has bags over it to avoid paint damage.</t>
  </si>
  <si>
    <t>A sparkly ceiling is seen.</t>
  </si>
  <si>
    <t>v_mOrhfrmmxAQ</t>
  </si>
  <si>
    <t>A boat is seen riding along the water with a person riding on skis behind.</t>
  </si>
  <si>
    <t>The person does a flip and lands backwards into the water.</t>
  </si>
  <si>
    <t>v_2uMG44uNDJ8</t>
  </si>
  <si>
    <t>A woman and a man are inside a car talking, then the man turn his head.</t>
  </si>
  <si>
    <t>A young lady wash a car only wearing a bra and shorts, then she sprinkle water on her head a turn it.</t>
  </si>
  <si>
    <t>After, the man turns to see the angry woman and scream.</t>
  </si>
  <si>
    <t>v_jalqZE5ekho</t>
  </si>
  <si>
    <t>little kid is in the sand doing a castle using a small toy shovel kid leaves.</t>
  </si>
  <si>
    <t>little girl foes into the castle in the sand and start playing while the kid bring more water from the sea.</t>
  </si>
  <si>
    <t>v_E1-eVfnNfXI</t>
  </si>
  <si>
    <t>A woman is sitting with a baby in her arms.</t>
  </si>
  <si>
    <t>She takes licks of an ice cream cone, and the baby laughs hysterically each time.</t>
  </si>
  <si>
    <t>She offers him bites, pulling the cone away and making him laugh.</t>
  </si>
  <si>
    <t>v_sQtT9sUyUwE</t>
  </si>
  <si>
    <t>A man rows a canoe down a river.</t>
  </si>
  <si>
    <t>Several other people are rowing too.</t>
  </si>
  <si>
    <t>His canoe is colored red.</t>
  </si>
  <si>
    <t>He finally passes the point.</t>
  </si>
  <si>
    <t>v_Fia1JynWFBA</t>
  </si>
  <si>
    <t>A woman uses a rolling pin to roll out dough onto the counter.</t>
  </si>
  <si>
    <t>Another woman is taking something off of a baking sheet.</t>
  </si>
  <si>
    <t>v_sQZaEt-ssCs</t>
  </si>
  <si>
    <t>women are standing in a table doing arm wrestling in a competition.</t>
  </si>
  <si>
    <t>two referees on side of tables and watch each other.</t>
  </si>
  <si>
    <t>women are arm wrestling in the table again and at the end high each other.</t>
  </si>
  <si>
    <t>v_YAhMxt-3ciU</t>
  </si>
  <si>
    <t>People are playing croquet on a field of grass.</t>
  </si>
  <si>
    <t>A map of the world is shown.</t>
  </si>
  <si>
    <t>Trophies are shown on the screen.</t>
  </si>
  <si>
    <t>v_5Jo_AWt9fB0</t>
  </si>
  <si>
    <t>A man is wearing a hat and kneeling down on a blue mat.</t>
  </si>
  <si>
    <t>He starts pulling on a rope on a workout machine.</t>
  </si>
  <si>
    <t>v_hxluAHro9bQ</t>
  </si>
  <si>
    <t>A woman in pink top is holding a hoop and talking to the camera.</t>
  </si>
  <si>
    <t>The woman put the hoop to her waist and start to hoop.</t>
  </si>
  <si>
    <t>The woman paused and turned around and start shaking her hips, she changed her hoops into smaller one, but the small one keep falling, then changed the hoops to bigger one and she began shaking her hips with the hoops.</t>
  </si>
  <si>
    <t>v_-CS7U_XrkPI</t>
  </si>
  <si>
    <t>A group of men are inside a dark club.</t>
  </si>
  <si>
    <t>A man begins throwing darts at something off screen.</t>
  </si>
  <si>
    <t>He repeats this many times before giving up, shrugging, and turning the camera toward the dart board.</t>
  </si>
  <si>
    <t>We see that four of the darts have hit the exact same spot.</t>
  </si>
  <si>
    <t>v_WsqMDMOjuN4</t>
  </si>
  <si>
    <t>A small group of people are seen swimming around a pool and leads into several shots of a swimmer throwing a ball into a net.</t>
  </si>
  <si>
    <t>The goalie blocks a few shots and then switches with another team mate while the audience cheers.</t>
  </si>
  <si>
    <t>The people switch out continuously and leads to one team winning and celebrating all together in the water.</t>
  </si>
  <si>
    <t>v_4KqjBUpLQk8</t>
  </si>
  <si>
    <t>Several men are shown at different rodeos riding horses and capturing the calf attached to the string.</t>
  </si>
  <si>
    <t>As more locations are shown,more animals are captured and more people are shown watching the actions taking place.</t>
  </si>
  <si>
    <t>v_extd66Y1tJ8</t>
  </si>
  <si>
    <t>A young lady is making faces at the camera.</t>
  </si>
  <si>
    <t>She holds up a box that has barcodes and reads "Sterling Gray" on it.</t>
  </si>
  <si>
    <t>She shows a bottle of Renew and eye contact lens cases.</t>
  </si>
  <si>
    <t>She applies both of the contact lenses and cries.</t>
  </si>
  <si>
    <t>v_XKuD0F-p6YA</t>
  </si>
  <si>
    <t>man is opening a box with scissors and take out an unarmed bike.</t>
  </si>
  <si>
    <t>man is arming the bike inside a room with wooden floor.</t>
  </si>
  <si>
    <t>v_pHAIrx_cRFU</t>
  </si>
  <si>
    <t>The person holds a blade to sharpen it.</t>
  </si>
  <si>
    <t>The person takes the belt off the machine.</t>
  </si>
  <si>
    <t>The person puts a new belt on the machine.</t>
  </si>
  <si>
    <t>The person sharpents the blade on the second belt.</t>
  </si>
  <si>
    <t>The person takes the second belt off.</t>
  </si>
  <si>
    <t>The person puts on a third belt.</t>
  </si>
  <si>
    <t>The person sharpens the blade on the third belt.</t>
  </si>
  <si>
    <t>The person demonstrates the blade's edge.</t>
  </si>
  <si>
    <t>v_8rHY_Vt2FLA</t>
  </si>
  <si>
    <t>A car is seen driving around and leads into a man pumping air in the tire.</t>
  </si>
  <si>
    <t>The man puts a wire along the tire and continues to spin it around.</t>
  </si>
  <si>
    <t>He pumps more hair into the tire and takes off the jack driving it away.</t>
  </si>
  <si>
    <t>v_Zts8FynhoJs</t>
  </si>
  <si>
    <t>A woman is brushing her teeth in a bathroom.</t>
  </si>
  <si>
    <t>Someone is filming her behind her.</t>
  </si>
  <si>
    <t>She spits the toothpaste out into the sink in front of her.</t>
  </si>
  <si>
    <t>v_XOUyGnr6iTM</t>
  </si>
  <si>
    <t>A small group of men are seen standing around a room holding tennis rackets.</t>
  </si>
  <si>
    <t>The men then begin playing tennis with one another while hitting the ball around.</t>
  </si>
  <si>
    <t>The men continue to hit the ball around the room and ends with several walking out.</t>
  </si>
  <si>
    <t>v_TJ98vfFChfI</t>
  </si>
  <si>
    <t>A man in a white shirt is chopping a piece of wood with an ax.</t>
  </si>
  <si>
    <t>He swings at the wood and misses and hits the ground.</t>
  </si>
  <si>
    <t>Another man carrying a pot walks up behind him.</t>
  </si>
  <si>
    <t>v_KtUshVJ28us</t>
  </si>
  <si>
    <t>We see a young girl gymnast talking to the camera.</t>
  </si>
  <si>
    <t>We see the girl perform flips.</t>
  </si>
  <si>
    <t>The girl flips on a trampoline.</t>
  </si>
  <si>
    <t>She jumps and does a split in the air.</t>
  </si>
  <si>
    <t>We see the bloopers where she falls and a title screen.</t>
  </si>
  <si>
    <t>We then see the ending screens.</t>
  </si>
  <si>
    <t>v_pASyH2NPOOw</t>
  </si>
  <si>
    <t>We see a blue opening screen.</t>
  </si>
  <si>
    <t>We see a man flipping and performing Capoeira cut with blue title screens.</t>
  </si>
  <si>
    <t>The man does a spin kick.</t>
  </si>
  <si>
    <t>The man does a spin and duck.</t>
  </si>
  <si>
    <t>The man does a spin sweep on the floor.</t>
  </si>
  <si>
    <t>v_Cz2ut3p7nw0</t>
  </si>
  <si>
    <t>A small toddler is in the bathroom brushing his teeth.</t>
  </si>
  <si>
    <t>As he frantically brushes,a woman comes to assist him as he points to different things on the counter.</t>
  </si>
  <si>
    <t>The young boy keeps brushing and then they end up switching tooth brushes.</t>
  </si>
  <si>
    <t>Eventually,the woman puts toothpaste on the brush and the boy cleans his teeth.</t>
  </si>
  <si>
    <t>Once he is done,he is given a bar of soap and has to wash hands.</t>
  </si>
  <si>
    <t>Finally he is done and he grabs his toy and runs out of the bathroom.</t>
  </si>
  <si>
    <t>v_StvwTXdXG2U</t>
  </si>
  <si>
    <t>The video leads into several shots of people riding around on skateboards and performing tricks.</t>
  </si>
  <si>
    <t>Many more people riding are shown and leads into a young man speaking to the camera and a picture of a t-shirt.</t>
  </si>
  <si>
    <t>v_meAHw06Mh-Y</t>
  </si>
  <si>
    <t>A man is seen speaking to the camera and leads into him cutting tiles and measuring them along a wall.</t>
  </si>
  <si>
    <t>The man uses a saw to cut the wall as well as the tile while using various other tools to cut around the sides.</t>
  </si>
  <si>
    <t>More tiles are being shown cut out as the man continues to speak and lay them down on the floor.</t>
  </si>
  <si>
    <t>v_moxpALb09zU</t>
  </si>
  <si>
    <t>A girl is talking to the camera while using her hands.</t>
  </si>
  <si>
    <t>The camera does a blurred scene change.</t>
  </si>
  <si>
    <t>The girl points down and wipes her hair.</t>
  </si>
  <si>
    <t>The girl waves at the screen.</t>
  </si>
  <si>
    <t>The scene changes to the girl standing in a shower.</t>
  </si>
  <si>
    <t>The girl shaves her legs in the shower.</t>
  </si>
  <si>
    <t>She shows us her shave product in the can and on her hands.</t>
  </si>
  <si>
    <t>The girl shows us her razor then starts shaving.</t>
  </si>
  <si>
    <t>v_485DjSbjOV8</t>
  </si>
  <si>
    <t>Two people are seen standing up behind a set of drums looking at the camera.</t>
  </si>
  <si>
    <t>The two then begin playing the drums while a small girl walks in and out of frame.</t>
  </si>
  <si>
    <t>The two pause for a moment then continue playing with one stopping and letting the other finish.</t>
  </si>
  <si>
    <t>v_rnPfQuWS4Rk</t>
  </si>
  <si>
    <t>A man in a kilt prepares himself to toss a large hammer in a competition.</t>
  </si>
  <si>
    <t>After his preparations he swings the hammer around in a circle and tosses it as far as he can.</t>
  </si>
  <si>
    <t>v_snG89ed-64M</t>
  </si>
  <si>
    <t>A small group of people are seen playing lacrosse on a field running up and down the field and pushing one another.</t>
  </si>
  <si>
    <t>Several shots of players hitting one another is shown as well as players pushing other people.</t>
  </si>
  <si>
    <t>One team scores several goals and are immediately followed by teammates cheering.</t>
  </si>
  <si>
    <t>v_DWal5PJry6k</t>
  </si>
  <si>
    <t>A doctor went inside the room, then she wash her hands, wipe her hands with paper towel.</t>
  </si>
  <si>
    <t>A medical practitioner is washing her hand with soap and water, while the other medical practitioner in white coat is on her phone.</t>
  </si>
  <si>
    <t>A man in yellow coat is washing his hands, then the man in blue shirt is giving interview.</t>
  </si>
  <si>
    <t>v_EsOajUNpEzU</t>
  </si>
  <si>
    <t>A man talks while holding bagpipes.</t>
  </si>
  <si>
    <t>He then plays the bagpipes.</t>
  </si>
  <si>
    <t>The man moves his fingers to change the sound while he plays.</t>
  </si>
  <si>
    <t>v_YOLDcsX7EiA</t>
  </si>
  <si>
    <t>A person is skiing down a hill of snow.</t>
  </si>
  <si>
    <t>They go off of a jump and fly in the air.</t>
  </si>
  <si>
    <t>They land back on the snow and continue skiing down the hill.</t>
  </si>
  <si>
    <t>v_AtHnNOkaoUk</t>
  </si>
  <si>
    <t>A camera zooms in on a large truck that shows a person walking around from behind as well as another.</t>
  </si>
  <si>
    <t>The men begin pulling a rope and working from the back while the cameraman speaks to the camera.</t>
  </si>
  <si>
    <t>The man continues to pan around the snowy area and watch the men work from behind.</t>
  </si>
  <si>
    <t>v_teemFjum3oU</t>
  </si>
  <si>
    <t>A small child is seen sitting on top of a slide while looking over to another child playing.</t>
  </si>
  <si>
    <t>The boy rides down the slide several more times with the girl's assistance and a man standing holding a baby and watching.</t>
  </si>
  <si>
    <t>v_gU67yCVXHnQ</t>
  </si>
  <si>
    <t>A girl is looking at the camera.</t>
  </si>
  <si>
    <t>She turns around and is getting her hair brushed.</t>
  </si>
  <si>
    <t>She is looking at her phone.</t>
  </si>
  <si>
    <t>v_ifDsS6ZRsRM</t>
  </si>
  <si>
    <t>A woman's feet are shown as she warms up at ballet.</t>
  </si>
  <si>
    <t>A blonde woman is speaking to the camera, which pans out to her performing various dance moves while talking.</t>
  </si>
  <si>
    <t>She moves slowly at each step.</t>
  </si>
  <si>
    <t>She then stops and speaks her final words.</t>
  </si>
  <si>
    <t>v_-2VNLsk1s34</t>
  </si>
  <si>
    <t>A large man is seen stepping up into a circle and throws several shot puts off into the distance.</t>
  </si>
  <si>
    <t>Several more men are seen stepping up to the circle throwing a shot put off into the distance.</t>
  </si>
  <si>
    <t>People in the audience are seen cheering to one another as their scores are shown in the end.</t>
  </si>
  <si>
    <t>v_F_DHgp5hERs</t>
  </si>
  <si>
    <t>A man speaks to the camera while another man sits on a piece of exercise equipment behind him.</t>
  </si>
  <si>
    <t>The instructor continues moving around near the man and has him show how to machine works.</t>
  </si>
  <si>
    <t>He points to his body showing the muscles worked and walks around the man exercising.</t>
  </si>
  <si>
    <t>v_R8-iriCwcyE</t>
  </si>
  <si>
    <t>A gymnasts wipes chalk on his hands while getting ready.</t>
  </si>
  <si>
    <t>The gymnast stands on a platforms and swings himself onto a set of double bars.</t>
  </si>
  <si>
    <t>The gymnast does a double bar routine during a competition.</t>
  </si>
  <si>
    <t>The gymnast strikes his leg accidentally on the bars bringing him to a stop.</t>
  </si>
  <si>
    <t>The gymnast dismounts from the double bars and lands on the mat.</t>
  </si>
  <si>
    <t>A female gymnasts sits in a chair and waits for her turn.</t>
  </si>
  <si>
    <t>The female gymnasts stretches out her arms before the routine.</t>
  </si>
  <si>
    <t>A replay shows the highlights of the gymnasts routine on the double bars.</t>
  </si>
  <si>
    <t>v_mfENhAPlES8</t>
  </si>
  <si>
    <t>A man puts a black lens in his eye.</t>
  </si>
  <si>
    <t>Then, the man takes off the lens and after puts it again.</t>
  </si>
  <si>
    <t>v_92kGXXfm6ok</t>
  </si>
  <si>
    <t>A man is seen bending forward grabbing a large set of weights and lifting it on his shoulders.</t>
  </si>
  <si>
    <t>The man then lifts it up over his head and ends by throwing it back down.</t>
  </si>
  <si>
    <t>v_U_4goX5w_1c</t>
  </si>
  <si>
    <t>A black male athlete run in the field then hopped and jumped and landed on the sandy field.</t>
  </si>
  <si>
    <t>The athlete run around and cheered and kneel down and pray.</t>
  </si>
  <si>
    <t>The athlete run and ripped his shirt off, while he reach of the woman and give her a hug and cheered.</t>
  </si>
  <si>
    <t>v_sGTDKZuG1vE</t>
  </si>
  <si>
    <t>A man is kneeling down in front of a sink.</t>
  </si>
  <si>
    <t>He starts scrubbing the inside of the sink with a sponge.</t>
  </si>
  <si>
    <t>He takes a white towel and wipes off the counter and sink.</t>
  </si>
  <si>
    <t>He sprays the mirror with Windex and wipes the mirror off.</t>
  </si>
  <si>
    <t>v_tkmoslnsmwY</t>
  </si>
  <si>
    <t>A rapid river is running past a tree.</t>
  </si>
  <si>
    <t>A group of rafters don their gear, pushing their raft into the water.</t>
  </si>
  <si>
    <t>The paddle through the rapids, trying to stay upright and together.</t>
  </si>
  <si>
    <t>v_uatIP3FGQXk</t>
  </si>
  <si>
    <t>A large group of kids are seen standing around a field playing a game with one another.</t>
  </si>
  <si>
    <t>One boy throws a ball to another and the other kicks it off into the distance.</t>
  </si>
  <si>
    <t>The kids continue to play with one another as well as run along the field.</t>
  </si>
  <si>
    <t>v_CQweu0ZYNHU</t>
  </si>
  <si>
    <t>Three men stand together wearing heavily padded clothing with suspenders.</t>
  </si>
  <si>
    <t>The two men on the end strike the one in the middle below the belt and he falls to the ground in pain.</t>
  </si>
  <si>
    <t>One of the men is seen from behind walking in a hallway.</t>
  </si>
  <si>
    <t>The man sits on a bmx bike on the top of a ramp getting ready.</t>
  </si>
  <si>
    <t>the man drops into the ramp and falls hard slamming on the bottom.</t>
  </si>
  <si>
    <t>The man does tricks and jumps on the ramp riding a bike.</t>
  </si>
  <si>
    <t>One of the men in purple rides through a skate board park wearing the padded suit.</t>
  </si>
  <si>
    <t>Another man in grey shirt rides a skateboard on the half pipe ramp and does tricks.</t>
  </si>
  <si>
    <t>The three men ride together on the large ramp in formation.</t>
  </si>
  <si>
    <t>The man in purple falls and is struck in the face with his skateboard.</t>
  </si>
  <si>
    <t>v_w_OiqLfRJHI</t>
  </si>
  <si>
    <t>Two men are kneeling down holding paintball guns.</t>
  </si>
  <si>
    <t>They are walking down the street holding their paintball guns.</t>
  </si>
  <si>
    <t>They begin to play a game of paintballing.</t>
  </si>
  <si>
    <t>v_tVIY6uyH3aA</t>
  </si>
  <si>
    <t>A person is seen wearing a blue shirt and standing before a fence.</t>
  </si>
  <si>
    <t>The person bends down in front of the fence and begins spraying it down.</t>
  </si>
  <si>
    <t>The person continues spraying the fence while the camera captures from behind.</t>
  </si>
  <si>
    <t>v_caoMescJ1J4</t>
  </si>
  <si>
    <t>Three men are sitting on a couch with the man in the middle smiling, the man on the right playing a harmonica and the man on the far left holding his finger to his upper lip area and making a noise with his bottom lip by plucking it with his hand.</t>
  </si>
  <si>
    <t>The man on the right taps his foot as the two men play music.</t>
  </si>
  <si>
    <t>The camera pans to an onlooker standing on the side of the room watching and smiling.</t>
  </si>
  <si>
    <t>The two men stop playing and the man in the middle shrugs as the other two men smile.</t>
  </si>
  <si>
    <t>v_OKhVHhchsyI</t>
  </si>
  <si>
    <t>Three young children, 2 girls and a boy, are playing at a beach and piling sand onto a big pile as waves continue to go in and out.</t>
  </si>
  <si>
    <t>The camera person then pans around the beach to show the rest of the beach and various other people that are there.</t>
  </si>
  <si>
    <t>The camera person then focuses on two women talking and standing together.</t>
  </si>
  <si>
    <t>Then focuses back onto the children in the sand that are continuing to dig into the sand and pile sand into a big pile.</t>
  </si>
  <si>
    <t>One of the girls then runs out of the shot and the other girl and the only boy remain near their small pile of sand.</t>
  </si>
  <si>
    <t>v_j73Ks4r5tbg</t>
  </si>
  <si>
    <t>A girl with blonde hair and red nails sits in a chair in bedroom and talks to the camera while smoking and showing off a bottle of blue nailpolish.</t>
  </si>
  <si>
    <t>The girl rolls away from the camera in the chair to get a bottle of blue nail polish and hold it up to the screen.</t>
  </si>
  <si>
    <t>The girl then begins to smoke a cigarette in front of the camera while talking.</t>
  </si>
  <si>
    <t>The girl, finally, takes one long inhale and leans in to exhale into the camera before falling back.</t>
  </si>
  <si>
    <t>v_DgVo1IAVrDM</t>
  </si>
  <si>
    <t>A helmet camera is put on and then a man goes skateboarding.</t>
  </si>
  <si>
    <t>He zooms through the city and goes on a highway.</t>
  </si>
  <si>
    <t>He passes a truck and other people.</t>
  </si>
  <si>
    <t>v_OVRYoPA6h-Y</t>
  </si>
  <si>
    <t>A man stands in a field talking.</t>
  </si>
  <si>
    <t>He hits a bowling ball with a croquet mallet and then hold up a bowling ball with a big 8 on it.</t>
  </si>
  <si>
    <t>A woman with a large chalice is in the same field talking.</t>
  </si>
  <si>
    <t>Cars pass by and people walk around in the background.</t>
  </si>
  <si>
    <t>A bowling ball that is cut in half is on the ground.</t>
  </si>
  <si>
    <t>A couple of kids look at the half bowling ball.</t>
  </si>
  <si>
    <t>A man hits the "8" ball with a croquet mallet and does a little dance.</t>
  </si>
  <si>
    <t>A woman hits 1 bowling ball against another with a mallet.</t>
  </si>
  <si>
    <t>A different man hits a bowling ball with a mallet.</t>
  </si>
  <si>
    <t>A young girl hits the ball with the mallet.</t>
  </si>
  <si>
    <t>Another man hits a bowling ball and does a dance, The young girls play while a man dressed like a joker talks.</t>
  </si>
  <si>
    <t>The game ends and all of the materials for the game are gathered.</t>
  </si>
  <si>
    <t>The woman gives her chalice to the young girls who are very excited.</t>
  </si>
  <si>
    <t>v_RzlX3Ai9AH4</t>
  </si>
  <si>
    <t>Text states the video will show how to chalk paint.</t>
  </si>
  <si>
    <t>An armoire is shown, and a woman is holding one of the drawers.</t>
  </si>
  <si>
    <t>She sands down the wood before applying a coat of chalk paint with a brush.</t>
  </si>
  <si>
    <t>She holds the cans of paint as she talks about the finished product.</t>
  </si>
  <si>
    <t>The painted armoire is shown a final time.</t>
  </si>
  <si>
    <t>v_cV9xeDlKJok</t>
  </si>
  <si>
    <t>A show of a dumpster is shown as well as women in gear standing in front of it.</t>
  </si>
  <si>
    <t>The woman edges herself along the dumpster while other people walk into frame.</t>
  </si>
  <si>
    <t>The woman then moves herself around on roller blades while the camera follows her movements.</t>
  </si>
  <si>
    <t>v_UpmzSgLLj-s</t>
  </si>
  <si>
    <t>We see a quick title screen.</t>
  </si>
  <si>
    <t>We then see a man working on various things in a bike factory.</t>
  </si>
  <si>
    <t>The man puts a bike together quick, puts it in a box, then on a conveyor belt.</t>
  </si>
  <si>
    <t>We then see a person putting tools on the bike box.</t>
  </si>
  <si>
    <t>The man begins to take the pieces part and put the bike together.</t>
  </si>
  <si>
    <t>We see the factory briefly.</t>
  </si>
  <si>
    <t>We return to the man putting the bike together.</t>
  </si>
  <si>
    <t>He finishes and we see the customer service phone number.</t>
  </si>
  <si>
    <t>We then see the end title screen.</t>
  </si>
  <si>
    <t>v_ygHElEUxVwA</t>
  </si>
  <si>
    <t>A group of a man and three women are on a gym floor.</t>
  </si>
  <si>
    <t>They are dancing in unison, performing several moves.</t>
  </si>
  <si>
    <t>When they are done, one woman laughs and runs away.</t>
  </si>
  <si>
    <t>v_Jdtr90RIkHk</t>
  </si>
  <si>
    <t>A man is riding a skateboard indoors and rides it onto a short standing pole on the ground.</t>
  </si>
  <si>
    <t>The same man is now standing outside talking and the words on the bottom of the screen say his name is "Shawn Connelly" and he's the Founder- San Francisco Skate Club and while he's speaking various words appear at the bottom of the screen at various times as well as clips of him skateboarding showing different moves that the words mention.</t>
  </si>
  <si>
    <t>The man ends the video of just him talking, no text on the screen, and no other clips showing while he's talking.</t>
  </si>
  <si>
    <t>v_cc17BiSDn8w</t>
  </si>
  <si>
    <t>A man in a red kayak rolls into the water, and out of the water.</t>
  </si>
  <si>
    <t>He rolls into the water once more.</t>
  </si>
  <si>
    <t>He then is in a blue kayak and rolls into the water and out of the water.</t>
  </si>
  <si>
    <t>He does it once more.</t>
  </si>
  <si>
    <t>v_a7FNzxXWvgU</t>
  </si>
  <si>
    <t>A man wearing a black shirt opens a bag of bread and pulls out three slices of bread.</t>
  </si>
  <si>
    <t>The man raises an empty bottle of Miracle Whip and tosses it backhanded.</t>
  </si>
  <si>
    <t>The man then opens the refrigerator and pulls out a new bottle of Miracle Whip.</t>
  </si>
  <si>
    <t>He then uses a knife to scoop out the miracle whip on to the bread slices.</t>
  </si>
  <si>
    <t>The man then opens a bag of Swiss cheese and places a slice on each bread slice.</t>
  </si>
  <si>
    <t>The man then gets a container of Genoa Salami from the fridge and piles slices onto the bread slices.</t>
  </si>
  <si>
    <t>He then puts the bread slices on top of each other and completes the sandwich.</t>
  </si>
  <si>
    <t>v_RZurdKhOxk0</t>
  </si>
  <si>
    <t>We see a man and a woman standing foreheads together.</t>
  </si>
  <si>
    <t>The people then dance together.</t>
  </si>
  <si>
    <t>The lady holds her legs out at her side.</t>
  </si>
  <si>
    <t>The man swings the woman around.</t>
  </si>
  <si>
    <t>The lady shakes her hips.</t>
  </si>
  <si>
    <t>The lady bends down and the man wraps his arms around her.</t>
  </si>
  <si>
    <t>The people back up from each other.</t>
  </si>
  <si>
    <t>v_BoK5y7jdhzA</t>
  </si>
  <si>
    <t>A lacrosse player wearing a white jersey and holding a lacrosse stick is talking about the positions of lacrosse.</t>
  </si>
  <si>
    <t>He is standing in a field that is next to a busy road with many cars passing by.</t>
  </si>
  <si>
    <t>He is demonstrating the various positions and ways of using the lacrosse stick with another man.</t>
  </si>
  <si>
    <t>He explains how the goals are scored in lacrosse.</t>
  </si>
  <si>
    <t>v_uHmoFLB-PLc</t>
  </si>
  <si>
    <t>A boy holds a guitar in a room.</t>
  </si>
  <si>
    <t>He is sitting on a bed.</t>
  </si>
  <si>
    <t>He begins to play the guitar.</t>
  </si>
  <si>
    <t>Eventually he finishes the song.</t>
  </si>
  <si>
    <t>v_aKhD_bFB7MA</t>
  </si>
  <si>
    <t>There's a person walking on stilts on a sidewalk where several cars are parked.</t>
  </si>
  <si>
    <t>He is demonstrating how to walk on stilts.</t>
  </si>
  <si>
    <t>He is joined by two other men who also join him in the tutorial.</t>
  </si>
  <si>
    <t>The man on stilts shows how fast he can run while on the stilts as well as jump high up.</t>
  </si>
  <si>
    <t>While he's running on the stilts, his friend drives alongside him in a car.</t>
  </si>
  <si>
    <t>The man continues to do stunts on the stilts.</t>
  </si>
  <si>
    <t>v_eJvOgEahkys</t>
  </si>
  <si>
    <t>A young girl is seen standing at a ballet bar performing ballet moves.</t>
  </si>
  <si>
    <t>A girl is seen dancing on stage followed by a large group of girls warming up.</t>
  </si>
  <si>
    <t>The girls continue stretching and lead into the woman pointing her foot.</t>
  </si>
  <si>
    <t>v_gTh9bd9yV9E</t>
  </si>
  <si>
    <t>A teen puts make up to an man on his face.</t>
  </si>
  <si>
    <t>Then, the teen puts mascara, lip sticks and paint the eyelid with an eyeliner.</t>
  </si>
  <si>
    <t>Then, the teen puts color on the cheeks, then she eyeliners the eyelids.</t>
  </si>
  <si>
    <t>After, the teen paint the mouth and put lipstick on the cheeks and paint the eyelids.</t>
  </si>
  <si>
    <t>v_91Wdp_uaWrY</t>
  </si>
  <si>
    <t>Two people are fencing in a room.</t>
  </si>
  <si>
    <t>A person is standing next to a wall watching them.</t>
  </si>
  <si>
    <t>They stop fencing and walk away.</t>
  </si>
  <si>
    <t>v_hlFJj2dT3sU</t>
  </si>
  <si>
    <t>A boy is on a tennis court outside.</t>
  </si>
  <si>
    <t>He serves the ball with a racquet.</t>
  </si>
  <si>
    <t>He serves it a few more times, hitting it each time.</t>
  </si>
  <si>
    <t>v_LYOQ0gVySxE</t>
  </si>
  <si>
    <t>Coffee is ground up in an electric grinder.</t>
  </si>
  <si>
    <t>A cup of coffee and coffee press are set on a table.</t>
  </si>
  <si>
    <t>Milk is poured into the cup of coffee.</t>
  </si>
  <si>
    <t>The cup of coffee is picked up and set back down on the saucer.</t>
  </si>
  <si>
    <t>v_YvIfwsbuiKI</t>
  </si>
  <si>
    <t>A male figure is seen in a gym bending on mat and carrying out instructions to the camera on how to perform an exercise.</t>
  </si>
  <si>
    <t>He demonstrates on how to properly do exercises on an elastic band that is attached to a fixed pole.</t>
  </si>
  <si>
    <t>He grabs the elastic band and pulls it towards himself.</t>
  </si>
  <si>
    <t>Afterwards he pushes the band away from himself as he and demonstrates the proper use of the equipment .</t>
  </si>
  <si>
    <t>v_Vx6vP1oxiAg</t>
  </si>
  <si>
    <t>A woman is seen leading a camel around with two small children riding on the back.</t>
  </si>
  <si>
    <t>The kids waves to the camera while it pans around their ride and the camel spitting into the air.</t>
  </si>
  <si>
    <t>v_8Nv52hFr0tg</t>
  </si>
  <si>
    <t>A female gymnast stands idle while being watched by a crowd.</t>
  </si>
  <si>
    <t>A close up of a second woman saying something is shown.</t>
  </si>
  <si>
    <t>The gymnast performs a routine on a beam.</t>
  </si>
  <si>
    <t>The female gymnast finishes her routine and dismounts.</t>
  </si>
  <si>
    <t>People are shown applauding the gymnast.</t>
  </si>
  <si>
    <t>The gymnast walks away from the beam.</t>
  </si>
  <si>
    <t>v_kH8o0M69KGc</t>
  </si>
  <si>
    <t>A man is seen bending over a large set of weights with another walking behind him.</t>
  </si>
  <si>
    <t>The man lifts the bar up over his head and throws it back down.</t>
  </si>
  <si>
    <t>The man does this again while people watch on the sides.</t>
  </si>
  <si>
    <t>v_arbdFQpe0fk</t>
  </si>
  <si>
    <t>A pinata is seen swinging around the middle of people followed by a girl grabbing a stick.</t>
  </si>
  <si>
    <t>She moves all around the room swinging at the pinata as well as another girl swinging with her dad.</t>
  </si>
  <si>
    <t>A young boy walks up to try to hit it as well as another boy.</t>
  </si>
  <si>
    <t>v_k2gc3YcVjwM</t>
  </si>
  <si>
    <t>A guy waves and then speaks.</t>
  </si>
  <si>
    <t>A male approaches and grabs a plate.</t>
  </si>
  <si>
    <t>The male takes the plate to the sink.</t>
  </si>
  <si>
    <t>The male dips the plate into the water and uses a white rug to wash it.</t>
  </si>
  <si>
    <t>The male rinses the washed plate.</t>
  </si>
  <si>
    <t>The male soaks the white plate and then puts it on a dish drying rack.</t>
  </si>
  <si>
    <t>The male gives a thumbs up.</t>
  </si>
  <si>
    <t>v_6YmZNDXap64</t>
  </si>
  <si>
    <t>A man is seen spinning a rubix cube into his hands followed by more people attempting to solve the puzzle and speak to the camera.</t>
  </si>
  <si>
    <t>More people are shown attempting to solve the puzzle as well as speaking to the camera and smiling.</t>
  </si>
  <si>
    <t>v_YG_jr8Efdxk</t>
  </si>
  <si>
    <t>A large group of people are shown sitting on the sidelines as well as various shots of athletes preparing for an event.</t>
  </si>
  <si>
    <t>One woman is seen lifting a bar several times while her coach yells to encourage her.</t>
  </si>
  <si>
    <t>She finishes her set and walks away with several other people nearby.</t>
  </si>
  <si>
    <t>v_hx0WYKDa7PM</t>
  </si>
  <si>
    <t>A cameraman follows a man as he walks up a diving board.</t>
  </si>
  <si>
    <t>The diver gets to the edge of the board and stretches before falling forwards in the water.</t>
  </si>
  <si>
    <t>The diver dives into the water a second time.</t>
  </si>
  <si>
    <t>The diver gets out of the water and walks away as a cameraman follows him.</t>
  </si>
  <si>
    <t>v__yk7gjnHkjs</t>
  </si>
  <si>
    <t>A man swings and throws the hammer repeatedly.</t>
  </si>
  <si>
    <t>The man hops on one leg at the end and walks away.</t>
  </si>
  <si>
    <t>We switch to a man throwing shot put.</t>
  </si>
  <si>
    <t>Men on the sideline clap and jump.</t>
  </si>
  <si>
    <t>The man in red and blue raises a red flag.</t>
  </si>
  <si>
    <t>We see a man throw the hammer repeatedly.</t>
  </si>
  <si>
    <t>v_GZiG-aSzIJI</t>
  </si>
  <si>
    <t>There are two white cars that arrive in secluded area where there are warehouses.</t>
  </si>
  <si>
    <t>Four men get off the car and walk towards a man wearing a mask to cover his face.</t>
  </si>
  <si>
    <t>There are some people hiding behind trucks with guns in their hands.</t>
  </si>
  <si>
    <t>One of the men comes out and opens fire.</t>
  </si>
  <si>
    <t>He shoots his gun in the air.</t>
  </si>
  <si>
    <t>That provokes the other people and a huge gun fight breaks out.</t>
  </si>
  <si>
    <t>The men randomly begin shooting at each other.</t>
  </si>
  <si>
    <t>During that time, one of the men get shot in the head and he collapses and falls down.</t>
  </si>
  <si>
    <t>v_xgb-qIgWHw0</t>
  </si>
  <si>
    <t>A musician plays a set of drums on an elevated jumbo screen as a camera pans in and out on the performance.</t>
  </si>
  <si>
    <t>A musician with a headset attached to his ears and over his mouth, begins to play a set of drums.</t>
  </si>
  <si>
    <t>As the musician plays the drums the camera pans in for a closeup and then pans out.</t>
  </si>
  <si>
    <t>The musician ends the performance, stands, and waives both sticks at the audience.</t>
  </si>
  <si>
    <t>v_FrDKwP9XaOo</t>
  </si>
  <si>
    <t>Males pull a rope in a tag of war match.</t>
  </si>
  <si>
    <t>The males take steps to the right.</t>
  </si>
  <si>
    <t>The males are being pulled to the left.</t>
  </si>
  <si>
    <t>The males raise and let go of the rope now closer to the left.</t>
  </si>
  <si>
    <t>v_mouMMOraPyw</t>
  </si>
  <si>
    <t>A close up of a person is seen speaking to a person behind them and paddling along the water.</t>
  </si>
  <si>
    <t>The people continue riding along the water as the water splashes around them and the woman stops to wipe her face off.</t>
  </si>
  <si>
    <t>v_8dXbbJWFEJo</t>
  </si>
  <si>
    <t>A group of athletes row on canoes during a race in between buoys on a waterway.</t>
  </si>
  <si>
    <t>The men cross the final numbered buoys and glide while slowing down after the race.</t>
  </si>
  <si>
    <t>v_JJzBlV3p1Wc</t>
  </si>
  <si>
    <t>A woman in an outdoor environment teaches a young boy and girl how to wash clothes using a washboard and a metal bucket.</t>
  </si>
  <si>
    <t>A young boy pulls on a metal lever protruding from a metal bucket with a washboard in it.</t>
  </si>
  <si>
    <t>Two young girls watch as a woman in a white apron demonstrates to the boy and girl how to turn the lever and also hangs clothes on a clothes line.</t>
  </si>
  <si>
    <t>The young girl begins to pull the lever while the boy helps the woman hang clothes, and then all of the children take turns operating different parts of the washboard mechanism.</t>
  </si>
  <si>
    <t>v_eChLCFAGyx0</t>
  </si>
  <si>
    <t>The video takes place in a theater showing a symphony play a song.</t>
  </si>
  <si>
    <t>The video shows close ups of several of the symphony members as they play their instruments.</t>
  </si>
  <si>
    <t>The camera then pans out to show the audience.</t>
  </si>
  <si>
    <t>The symphony continues to play as the conductor leads.</t>
  </si>
  <si>
    <t>The video ends showing the entire symphony.</t>
  </si>
  <si>
    <t>v_XfF30DaqAGU</t>
  </si>
  <si>
    <t>A woman is seen standing before a bar and bends down in front of him.</t>
  </si>
  <si>
    <t>She grabs the weights and lifts it over her head and then back down.</t>
  </si>
  <si>
    <t>She continuously lifts the weight up over her head.</t>
  </si>
  <si>
    <t>v_B4LYBLihttQ</t>
  </si>
  <si>
    <t>The young female is standing in the kitchen talking to the camera.</t>
  </si>
  <si>
    <t>The female put the pasta in boiling water, chopped the garlic and pour olive oil in the pan, she shredded the orange peel and put in the pan and added tomatoes and seafood.</t>
  </si>
  <si>
    <t>The woman drain the pasta, and put it on the sauce and put them in the white bowls.</t>
  </si>
  <si>
    <t>v_txMaVvdALeM</t>
  </si>
  <si>
    <t>A large group of people are riding in a huge raft.</t>
  </si>
  <si>
    <t>They paddle down the rapids, trying to stay upright.</t>
  </si>
  <si>
    <t>They flip over, falling out of the raft.</t>
  </si>
  <si>
    <t>v_g6L-l5sgFEQ</t>
  </si>
  <si>
    <t>We see the title card and a pained dresser.</t>
  </si>
  <si>
    <t>A lady sits on the floor and discusses painting.</t>
  </si>
  <si>
    <t>The lady paints the dresser while talking about it.</t>
  </si>
  <si>
    <t>We see the painted end product.</t>
  </si>
  <si>
    <t>We see the end cards for the video.</t>
  </si>
  <si>
    <t>v_FKAlXR9NkKw</t>
  </si>
  <si>
    <t>A lady walks down a hall while carrying a bucket of cleaning supplies.</t>
  </si>
  <si>
    <t>A lady cleans a window with newspapers.</t>
  </si>
  <si>
    <t>The lady sprays the newspaper.</t>
  </si>
  <si>
    <t>The ingredients to make the spray is shown.</t>
  </si>
  <si>
    <t>The lady sprays the window.</t>
  </si>
  <si>
    <t>v_DTprdtsGCts</t>
  </si>
  <si>
    <t>Pipes are being shown on a rock.</t>
  </si>
  <si>
    <t>A man is walking on a trail.</t>
  </si>
  <si>
    <t>A large structure behind a fence is shown.</t>
  </si>
  <si>
    <t>A boat is in the water surrounding a rock.</t>
  </si>
  <si>
    <t>A man sits on top of a rock.</t>
  </si>
  <si>
    <t>A man starts playing an instrument.</t>
  </si>
  <si>
    <t>A large rock wall is shown.</t>
  </si>
  <si>
    <t>The man continues playing the instrument.</t>
  </si>
  <si>
    <t>v_fpIS8jWoK9w</t>
  </si>
  <si>
    <t>The camera watches a man in a hat talking with someone from a low angle.</t>
  </si>
  <si>
    <t>The setting changes and the man in the hat talks with another man while the two look at papers.</t>
  </si>
  <si>
    <t>The man in the hat sits down and talks to the camera.</t>
  </si>
  <si>
    <t>The man drinks from a bottle of water.</t>
  </si>
  <si>
    <t>A woman applies an ink pattern to the man's body.</t>
  </si>
  <si>
    <t>The man lays on his side as the woman tattoos over the ink pattern.</t>
  </si>
  <si>
    <t>Still images of the completed tattoo are shown.</t>
  </si>
  <si>
    <t>v_s6oXeM9OluM</t>
  </si>
  <si>
    <t>A woman is shown holding a cat while a dog stands by her feet.</t>
  </si>
  <si>
    <t>She talks to the camera and shows off her cat nails.</t>
  </si>
  <si>
    <t>She grabs a tool and begins cutting the cat's claws.</t>
  </si>
  <si>
    <t>She adjusts the cat a bit but finishes her nails and lets her go.</t>
  </si>
  <si>
    <t>v_TS-p15iwQPc</t>
  </si>
  <si>
    <t>A class of children dressed in white gi's are walking, kicking and punching in a classroom while their teacher walks around them.</t>
  </si>
  <si>
    <t>The class stops and the instructor talks and walks around them.</t>
  </si>
  <si>
    <t>The class then turns around and begins to walk, kick and punch in the direction they just came from.</t>
  </si>
  <si>
    <t>The class turns around when they get to the end, stops, and the instructor begins talking and demonstrating a kick and a punch to them, moves out of the way and the class resumes.</t>
  </si>
  <si>
    <t>When they reach the end they turn around again to walk, kick and punch back in the direction they came from and once again the instructor stops them to talk and demonstrate the moves and once again the class resumes their movements and when hey get to the end of the room they turn around and end their routine with their legs apart and arms in front of them.</t>
  </si>
  <si>
    <t>v_uMw7YplUbAM</t>
  </si>
  <si>
    <t>A man is seen holding an accordion while speaking to the camera and smiling.</t>
  </si>
  <si>
    <t>He then plays the instrument while looking at the camera and ends by speaking more to the camera.</t>
  </si>
  <si>
    <t>v_DjyO6zWUiDw</t>
  </si>
  <si>
    <t>A boy is standing on a stool in front of a kitchen sink.</t>
  </si>
  <si>
    <t>He is washing the dishes under the water.</t>
  </si>
  <si>
    <t>He puts the dishes into a black strainer.</t>
  </si>
  <si>
    <t>v_RINsqxGLQdQ</t>
  </si>
  <si>
    <t>Several shots of people riding around kite surfing are shown as well as people speaking to the camera.</t>
  </si>
  <si>
    <t>The kids attempt the wind surfing and are seen moving their arms and legs around and waving to the camera.</t>
  </si>
  <si>
    <t>Two girls are seen dancing as well as people speaking to the camera and kids looking at the camera.</t>
  </si>
  <si>
    <t>v_uE15Mhtj9nE</t>
  </si>
  <si>
    <t>A woman is explaining how to remove wallpaper.</t>
  </si>
  <si>
    <t>She turns around and bends over to pick up a steamer.</t>
  </si>
  <si>
    <t>She shows how to steam the wallpaper in sections.</t>
  </si>
  <si>
    <t>She steps off the ladder and continues to steam the wallpaper.</t>
  </si>
  <si>
    <t>She moves the ladder out of the way then she steams more wallpaper, all the way to the bottom, across and the middle.</t>
  </si>
  <si>
    <t>She moves the ladder, climbs up it and peels the wallpaper from the wall, picking the pieces that stick from the wall.</t>
  </si>
  <si>
    <t>She pulls the residue from the wall.</t>
  </si>
  <si>
    <t>She walks out of camera range and comes back with a scraper to remove the left pieces.</t>
  </si>
  <si>
    <t>She bends down again and walks out of camera range again.</t>
  </si>
  <si>
    <t>She has a sponge and is cleaning the wall.</t>
  </si>
  <si>
    <t>She does more scraping and scrubbing.</t>
  </si>
  <si>
    <t>She turns around and smiles.</t>
  </si>
  <si>
    <t>v_nGOEmEDesPI</t>
  </si>
  <si>
    <t>There are snowflakes falling over a forest.</t>
  </si>
  <si>
    <t>A man in an orange jacket snowmobiles across a snowy field.</t>
  </si>
  <si>
    <t>The man snowboards down the mountain.</t>
  </si>
  <si>
    <t>Two men snowmobile through the forest.</t>
  </si>
  <si>
    <t>A man in a dark jacket snowboards through a route filled with trees.</t>
  </si>
  <si>
    <t>The man in the orange jacket looks at the camera.</t>
  </si>
  <si>
    <t>The man in the orange jacket snowmobiles down a very steep mountain.</t>
  </si>
  <si>
    <t>The man in the orange jacket snowmobiles off a jump and does tricks.</t>
  </si>
  <si>
    <t>The man in the orange jacket starts a fire.</t>
  </si>
  <si>
    <t>The man in the dark jacket continues to ski through treacherous areas filled with trees.</t>
  </si>
  <si>
    <t>v_7wyt_-SoudU</t>
  </si>
  <si>
    <t>man is welding a machine in a dark room.</t>
  </si>
  <si>
    <t>man is welding a metal pot and smoke is spreading out of the pot.</t>
  </si>
  <si>
    <t>man is wearing welding mask in a dark room welding something.</t>
  </si>
  <si>
    <t>v_5aUWT0CmJlc</t>
  </si>
  <si>
    <t>A close up shots of a man riding around is shown and leads into him taking off part of his shows.</t>
  </si>
  <si>
    <t>He shows off several objects and pushes a puck along some ice while the camera sits on the object and the man follows behind.</t>
  </si>
  <si>
    <t>v_0cYB-WFrVxk</t>
  </si>
  <si>
    <t>A boat pulls a person out of the water.</t>
  </si>
  <si>
    <t>They stand up and start water skiing behind the boat.</t>
  </si>
  <si>
    <t>The person falls and lets go of the rope.</t>
  </si>
  <si>
    <t>v_AUwam1VhQm0</t>
  </si>
  <si>
    <t>A large slide is shown with dozens of children climbing up and going down.</t>
  </si>
  <si>
    <t>Children run up and down the side and continue to ride down the slide.</t>
  </si>
  <si>
    <t>The camera pans all around the slides and shows the kids going down.</t>
  </si>
  <si>
    <t>v_OJYajhN1RHs</t>
  </si>
  <si>
    <t>A woman does a hair dressing routine by brushing and blowdrying hair.</t>
  </si>
  <si>
    <t>The woman sits and has the hairdresser work her magic in under ten minutes.</t>
  </si>
  <si>
    <t>v_Jmip8PuILhM</t>
  </si>
  <si>
    <t>A woman paints a square frame with legs.</t>
  </si>
  <si>
    <t>She turns it and paints another side.</t>
  </si>
  <si>
    <t>The camera pans to flowers.</t>
  </si>
  <si>
    <t>v_Y6rHCVo28kM</t>
  </si>
  <si>
    <t>A person is seen sitting in a chair with a woman standing behind him cutting his hair.</t>
  </si>
  <si>
    <t>She continuously combs his hair and measures it along the side.</t>
  </si>
  <si>
    <t>She finally finishes the cut and fades away from his face.</t>
  </si>
  <si>
    <t>v_EBdkGs_jFDw</t>
  </si>
  <si>
    <t>A person cleans a window screen, and then puts detergent on the lower part of the window and brush.</t>
  </si>
  <si>
    <t>Then, the person cleans the borders of the window with a cloth, and shows the dirt in the cloth.</t>
  </si>
  <si>
    <t>After, the person takes a bottle from the sill and continues cleaning the borders of the window screen.</t>
  </si>
  <si>
    <t>v_L9gznB55hhE</t>
  </si>
  <si>
    <t>A young woman is sitting on a step and then a poster saying I can do it is shown.</t>
  </si>
  <si>
    <t>The girl comes back and continues talking about what she is about to do.</t>
  </si>
  <si>
    <t>She then brings up a knife and talks about it as the camera zooms in on it.</t>
  </si>
  <si>
    <t>She then starts cutting a stick and words are displayed at the bottom showing the steps needed to complete the fire.</t>
  </si>
  <si>
    <t>A pocket knife is pulled out and she begins cutting a small piece of tinder.</t>
  </si>
  <si>
    <t>v_xWIKFgygROg</t>
  </si>
  <si>
    <t>A man wearing an earring looks to the side.</t>
  </si>
  <si>
    <t>He is shown holding up a bow and arrow, aiming, then shooting at his target.</t>
  </si>
  <si>
    <t>The scene is repeated several times.</t>
  </si>
  <si>
    <t>v_uVcyJg_3Fj8</t>
  </si>
  <si>
    <t>A time lapse video is shown of people walking around a house.</t>
  </si>
  <si>
    <t>Later, they begin to put up a Christmas tree with two people involved in the process.</t>
  </si>
  <si>
    <t>They put lights on the tree and light them up.</t>
  </si>
  <si>
    <t>Next, they begin to put several different ornaments on the tree.</t>
  </si>
  <si>
    <t>Lastly, they put the skirt under the tree and end the video with a kiss.</t>
  </si>
  <si>
    <t>v_qz47x5-R-BU</t>
  </si>
  <si>
    <t>band is in stage and the front man is singing.</t>
  </si>
  <si>
    <t>woman is playing drums wearing a black cap.</t>
  </si>
  <si>
    <t>v_xRfSkg8j7Dg</t>
  </si>
  <si>
    <t>A garden is shown from the outside of a house.</t>
  </si>
  <si>
    <t>The camera turns to take in various plants and flowers.</t>
  </si>
  <si>
    <t>We then get a good look at the grass.</t>
  </si>
  <si>
    <t>v_wBiRGLLjFVU</t>
  </si>
  <si>
    <t>Boys balance on slack lines and do various tricks.</t>
  </si>
  <si>
    <t>People balances on a slack line in a park and slowly walks across the length of the rope between two trees.</t>
  </si>
  <si>
    <t>Boys balance across a slack line placed over a small pond at a park.</t>
  </si>
  <si>
    <t>v_Bnw54GNBKlU</t>
  </si>
  <si>
    <t>woman is sitting in a sidewalk talking to the camera next to a green bucket.</t>
  </si>
  <si>
    <t>woman is jumping on sidewalk playing trick.</t>
  </si>
  <si>
    <t>another woman is in the sidewalk jumping playing trick.</t>
  </si>
  <si>
    <t>v_xcworhtkwNY</t>
  </si>
  <si>
    <t>A band is seated outside on asphalt.</t>
  </si>
  <si>
    <t>They are playing a series of drums with sticks and their hands.</t>
  </si>
  <si>
    <t>Numerous people pass by on foot and bike.</t>
  </si>
  <si>
    <t>v_fxEcsM0EaA4</t>
  </si>
  <si>
    <t>People are jumping rope on a stage.</t>
  </si>
  <si>
    <t>They switch places and a different person starts jumping.</t>
  </si>
  <si>
    <t>A man stands and holds the jump rope.</t>
  </si>
  <si>
    <t>v_whcxrkF2hws</t>
  </si>
  <si>
    <t>The Province of Albay seal is shown.</t>
  </si>
  <si>
    <t>Several team members are on a court outdoors, playing volleyball.</t>
  </si>
  <si>
    <t>They lob the ball back and forth over the net in front of an audience.</t>
  </si>
  <si>
    <t>Afterward, they celebrate, laughing and smiling.</t>
  </si>
  <si>
    <t>v_LHe5cTzHB3o</t>
  </si>
  <si>
    <t>There are two men boxing in an indoor boxing room that has mirrors on one entire wall.</t>
  </si>
  <si>
    <t>There is another person standing in the same room who is video taping them fight.</t>
  </si>
  <si>
    <t>The boxer in the red shorts punches the boxer in the black shorts.</t>
  </si>
  <si>
    <t>The boxer in black falls down and lands on his back and groans.</t>
  </si>
  <si>
    <t>Then he stands right back up while the boxer in red walks around him.</t>
  </si>
  <si>
    <t>v__4CLYKFzmoY</t>
  </si>
  <si>
    <t>A young man is wearing headphones and standing in front of a microphone.</t>
  </si>
  <si>
    <t>He begins playing the violin.</t>
  </si>
  <si>
    <t>He closes his eyes, listening to himself as he plays.</t>
  </si>
  <si>
    <t>v_sYhUC2uQR7I</t>
  </si>
  <si>
    <t>A gym room with several large boxing bags aligned along the perimeter of the room is shown.</t>
  </si>
  <si>
    <t>A group of guys then come in the building and they start to run around the bags as a warm up.</t>
  </si>
  <si>
    <t>Once they are finished,the men pair up with one another and three groups are shown boxing one another.</t>
  </si>
  <si>
    <t>A bumper sticker then appears saying,"Keep your Eyes on the Prize" and then more pairs of men begin kick boxing.</t>
  </si>
  <si>
    <t>v_ejzgfj6QKB8</t>
  </si>
  <si>
    <t>A man is in a yard with a cricket bat.</t>
  </si>
  <si>
    <t>He flips the bat over and over again.</t>
  </si>
  <si>
    <t>He trips, then kicks the ball into the air, hitting it.</t>
  </si>
  <si>
    <t>v_AzNHZyeXHBM</t>
  </si>
  <si>
    <t>A woman is standing on a track talking.</t>
  </si>
  <si>
    <t>She jumps into a pile of sand.</t>
  </si>
  <si>
    <t>She is sprinting down the track.</t>
  </si>
  <si>
    <t>It shows her stretching and jumping into a pile of sand.</t>
  </si>
  <si>
    <t>v_2EfjOGiEeJs</t>
  </si>
  <si>
    <t>The camera pans around a large group of people wandering around and leads into people playing a soccer match.</t>
  </si>
  <si>
    <t>The players are shown watching on the side and show more shots of the people and the city.</t>
  </si>
  <si>
    <t>v_nHkVfEKklJA</t>
  </si>
  <si>
    <t>A young boy jokes around sitting at a drum set.</t>
  </si>
  <si>
    <t>A boy plays a drum set at home.</t>
  </si>
  <si>
    <t>The parents watch the boy play the drums.</t>
  </si>
  <si>
    <t>v_l4YcjFl6SDc</t>
  </si>
  <si>
    <t>A hand is rubbing a chalk to a blue tip.</t>
  </si>
  <si>
    <t>The man is concentrating on the pool table, slowly hit the ball with the billiard stick.</t>
  </si>
  <si>
    <t>An old man with beard is giving interview.</t>
  </si>
  <si>
    <t>The man is arranging the ball on the table and then hit them and they all went into the holes.</t>
  </si>
  <si>
    <t>v_GQzwzOM9db8</t>
  </si>
  <si>
    <t>The athlete who is wearing gray tights and black shirt with number 2 on it started go on the beam and started to swirl around.</t>
  </si>
  <si>
    <t>When he got of from the beam, he walked towards the yellow container that contains white powder, then went back to the beam and did his tricks by swirling around.</t>
  </si>
  <si>
    <t>v_jxAZc0VgG4w</t>
  </si>
  <si>
    <t>An athletic woman is shown running down a track and jumping into a large sand pit.</t>
  </si>
  <si>
    <t>Her jump is then shown again several times in slow motion and another runner takes a turn at the jump.</t>
  </si>
  <si>
    <t>Her jump is shown again in slow motion and she waves to the audience while smiling.</t>
  </si>
  <si>
    <t>v_ShT4biEuQDo</t>
  </si>
  <si>
    <t>A shirtless man is shoving snow outside at the curb.</t>
  </si>
  <si>
    <t>He waves his hands around and motions at the passing cars.</t>
  </si>
  <si>
    <t>He continues to wave and roll his hands in the air as more cars pass.</t>
  </si>
  <si>
    <t>He continues shoveling the snow.</t>
  </si>
  <si>
    <t>v_XU8FzYcRat4</t>
  </si>
  <si>
    <t>A small group of men are seen standing on a sandy field hitting a ball back and fourth.</t>
  </si>
  <si>
    <t>The men begin a game of volleyball and hit the ball all around the area.</t>
  </si>
  <si>
    <t>The men continue playing while the camera captures them moving around.</t>
  </si>
  <si>
    <t>v_c8LevTVQ5nk</t>
  </si>
  <si>
    <t>A young boy is seen opening up presents with another's help and various shots of him playing a drum he received.</t>
  </si>
  <si>
    <t>The mother is interviewed and shows more shots of the boy playing several different instruments.</t>
  </si>
  <si>
    <t>It finally shows the boy grown up and ends with information for a movie trailer.</t>
  </si>
  <si>
    <t>v_Z3NtsxP6w-g</t>
  </si>
  <si>
    <t>A man is seen speaking to the camera and leads into actors being interviewed about a film.</t>
  </si>
  <si>
    <t>Several shots of the film is shown as well as stills from other movies and appearances together.</t>
  </si>
  <si>
    <t>The couple is then shown performing a tango routine on a large stage and ends by posing on stage with the audience cheering.</t>
  </si>
  <si>
    <t>v_KHOTebb8UC8</t>
  </si>
  <si>
    <t>A woman is talking about an elliptical exercise machine specially designed for women.</t>
  </si>
  <si>
    <t>Alongside her is the pro fitness expert who is demonstrating how the machine works.</t>
  </si>
  <si>
    <t>He shows the buttons that need to be pressed in order to start the elliptical.</t>
  </si>
  <si>
    <t>After he gets the machine started, the lady hops onto the machine and begins using the elliptical.</t>
  </si>
  <si>
    <t>She continues to exercise on the machine as the fitness trainer gives her tips on how the machine will benefit her.</t>
  </si>
  <si>
    <t>v_r1x3hjFWGYM</t>
  </si>
  <si>
    <t>We see an intro screen with contact lenses.</t>
  </si>
  <si>
    <t>We see a man wash his hand and take a contact from a new package.</t>
  </si>
  <si>
    <t>The person holds their eye open and inserts the contact lens.</t>
  </si>
  <si>
    <t>The man smiles and we see his face .</t>
  </si>
  <si>
    <t>We are then shown how to remove the contact lens with instructions.</t>
  </si>
  <si>
    <t>v_Z-kXPcLsxBg</t>
  </si>
  <si>
    <t>A purple rope is attached to a blue one, which is then stretched between two trees.</t>
  </si>
  <si>
    <t>A man bounces and balances on the rope as three other men watch.</t>
  </si>
  <si>
    <t>The other men take turns, some falling and rebalancing.</t>
  </si>
  <si>
    <t>v_hQ4xkr6VpnA</t>
  </si>
  <si>
    <t>First the woman is shown tracing her finger down her neck.</t>
  </si>
  <si>
    <t>Then she moves a part of her hair out of her way and starts to braid a part of her hair.</t>
  </si>
  <si>
    <t>Then she braids another braid that is smaller than the first one, but she connects the hair, by using a couple of strands from the last braid.</t>
  </si>
  <si>
    <t>v_ehO8oXanK1Y</t>
  </si>
  <si>
    <t>A woman does a karate routine with a partner and throws a bunch which is blocked twice.</t>
  </si>
  <si>
    <t>The woman practices a karate chops to her partner who watches and lifts hands.</t>
  </si>
  <si>
    <t>The woman throws a blow to her partner who catches it and throws her to the ground.</t>
  </si>
  <si>
    <t>v_S7RWgSxlZ-M</t>
  </si>
  <si>
    <t>A couple of tools are sitting on the edge of a table.</t>
  </si>
  <si>
    <t>A man adjusts the position of the tools.</t>
  </si>
  <si>
    <t>He uses a knife in the crevices, sharpening the knife.</t>
  </si>
  <si>
    <t>v_r8ZIHLqFPfg</t>
  </si>
  <si>
    <t>Vassen cloud nine red colored contacts are in the container they belong in.</t>
  </si>
  <si>
    <t>A blondish haired woman with brown eyes places one of them in her eye.</t>
  </si>
  <si>
    <t>You can see the difference of the brown and the contact very clearly and it looks pretty great.</t>
  </si>
  <si>
    <t>She then put the other contact in so you are able to see how both lenses look at a distance.</t>
  </si>
  <si>
    <t>v_EzX0FZI6pCg</t>
  </si>
  <si>
    <t>A young man is standing in a netted green circular area.</t>
  </si>
  <si>
    <t>The man is holding a ball and begins to spin himself around and around multiple times and then throws the ball.</t>
  </si>
  <si>
    <t>After he throws the ball he falls hard and quickly onto the ground.</t>
  </si>
  <si>
    <t>v_4j7_nh61bvo</t>
  </si>
  <si>
    <t>The video by TMZ is showing several overweight men as part of the sumo destruction event.</t>
  </si>
  <si>
    <t>It shows a picture of singer George Michael too.</t>
  </si>
  <si>
    <t>There's a panel of people sitting in a studio talking about the event.</t>
  </si>
  <si>
    <t>They are reading a script and laughing.</t>
  </si>
  <si>
    <t>There are pictures of sumo wrestlers shown too.</t>
  </si>
  <si>
    <t>It also shows sumo wrestlers wrestling as spectators watch the event.</t>
  </si>
  <si>
    <t>v_mxZRW_Xy7ks</t>
  </si>
  <si>
    <t>three woman are walking next to a house in a parking lot.</t>
  </si>
  <si>
    <t>people are snowboarding between two fences in a small hall going down a small slope.</t>
  </si>
  <si>
    <t>people are standing in a snowy mountain in snowboards.</t>
  </si>
  <si>
    <t>people are eating sitting outside a tent.</t>
  </si>
  <si>
    <t>people are snwoboarding going down a snowy slope ad doing tricks in mountains.</t>
  </si>
  <si>
    <t>v_DMw9Cb_Xy2A</t>
  </si>
  <si>
    <t>A man shoots an arrow with his bow.</t>
  </si>
  <si>
    <t>He grabs another arrow and shoots again.</t>
  </si>
  <si>
    <t>Once more, he shoots an arrow.</t>
  </si>
  <si>
    <t>He finds another arrow and shoots.</t>
  </si>
  <si>
    <t>He takes another shot of an arrow.</t>
  </si>
  <si>
    <t>Another arrow is grabbed and he shoots.</t>
  </si>
  <si>
    <t>He takes another one and shoots it.</t>
  </si>
  <si>
    <t>He grabs another arrow from his waist and shoots again.</t>
  </si>
  <si>
    <t>He shoots an arrow once more.</t>
  </si>
  <si>
    <t>He grabs a final arrow and shoots.</t>
  </si>
  <si>
    <t>A person walks towards the hay where the arrows have been shot.</t>
  </si>
  <si>
    <t>v_tnXjdv_GM9g</t>
  </si>
  <si>
    <t>A man prepares to run down a track.</t>
  </si>
  <si>
    <t>He runs very fast down the path.</t>
  </si>
  <si>
    <t>He takes a giant leap, landing in the sand.</t>
  </si>
  <si>
    <t>v_7Nj1Y-fyq_c</t>
  </si>
  <si>
    <t>A man dressed in business attire enters a kitchen with some children behind him, he shakes a woman's hand, rubs her shoulder and then introduces the children to the woman, and the whole time black text on the top of the screen reads "'Lying' Ryan has a few minutes to kill before a flight".</t>
  </si>
  <si>
    <t>More clips continue to play of the man in the kitchen, talking, handling cleaning products, and washing dishes, but a lot of negative words about him are appearing on the screen.</t>
  </si>
  <si>
    <t>The man is out of the kitchen now and walking then stops to shake hands and talk to a man, but a negative message about him still appears on the screen.</t>
  </si>
  <si>
    <t>v_ofrkSTRhCE4</t>
  </si>
  <si>
    <t>A woman is seen running down a road while looking at her watch and pointing to things in front of her.</t>
  </si>
  <si>
    <t>She continues running down the street while other people applaud her and she keeps running.</t>
  </si>
  <si>
    <t>v_i-LI4TpJNQ8</t>
  </si>
  <si>
    <t>man is sitting in a kayak next to the sidewalk.</t>
  </si>
  <si>
    <t>man is taking out the kayak from the water.</t>
  </si>
  <si>
    <t>man is in the river holding the row and doing kayaking and other men are beside him.</t>
  </si>
  <si>
    <t>v_b8S0HFHh_p0</t>
  </si>
  <si>
    <t>A man is recording himself in a lever with another man.</t>
  </si>
  <si>
    <t>The ride goes up higher and the man with a hat is talking to the other.</t>
  </si>
  <si>
    <t>The ride reaches the top and the man holds out his arms.</t>
  </si>
  <si>
    <t>He counts down and drops the man down to bungee jump.</t>
  </si>
  <si>
    <t>The man makes it to the bottom safely and the ride comes back down.</t>
  </si>
  <si>
    <t>v_OrVgspx6Axs</t>
  </si>
  <si>
    <t>Outside in oak creek there is some bikers getting ready yo race down the dirt.</t>
  </si>
  <si>
    <t>When the gates go down they all go as fast as they can through the obstacle of dirt.</t>
  </si>
  <si>
    <t>There are a few people sitting by in the stands watching as the bikers go off.</t>
  </si>
  <si>
    <t>They even show some of the kids waiting and having a good time watching the race.</t>
  </si>
  <si>
    <t>v_4vdclFJFrdk</t>
  </si>
  <si>
    <t>A woman practices floor gymnastics while others engage in various activities in the background.</t>
  </si>
  <si>
    <t>A second woman practices floor gymnastics.</t>
  </si>
  <si>
    <t>The two women are shown performing the same action in turn.</t>
  </si>
  <si>
    <t>The first woman is shown practicing more floor gymnastics, with occasional slow motion replays of her action.</t>
  </si>
  <si>
    <t>The second woman is shown performing some sort of pose.</t>
  </si>
  <si>
    <t>The first woman is shown performing gymnastics once again.</t>
  </si>
  <si>
    <t>The second woman is shown stretching her leg in the air.</t>
  </si>
  <si>
    <t>The first woman is shown performing gymnastics once more.</t>
  </si>
  <si>
    <t>The second woman is shown in some sort of pose once again.</t>
  </si>
  <si>
    <t>The first woman is shown performing gymnastics yet again.</t>
  </si>
  <si>
    <t>v_fFWHlFZEm3M</t>
  </si>
  <si>
    <t>A humongous red, black and white ship is shown on the water, then a smaller ship is shown quickly approaching the boat that is filming and suddenly it crashes into the boat and it has black smoke coming from the top of it.</t>
  </si>
  <si>
    <t>A lot of people are shown on the boat with life vests moving quickly about the ship, and men are frantically pulling at rope.</t>
  </si>
  <si>
    <t>A man and a woman are now sweeping the area where the boat was hit and another man is helping to pick up broken pieces.</t>
  </si>
  <si>
    <t>v_VRS48f5tj_c</t>
  </si>
  <si>
    <t>A lady plays the harp and another plays the flute in an orchestra and we see the conductor and return to the flute lady.</t>
  </si>
  <si>
    <t>We see the whole orchestra playing and return to the flute lady and the orchestra cut back and forth.</t>
  </si>
  <si>
    <t>We watch the conductor as he works and see the orchestra.</t>
  </si>
  <si>
    <t>We see the harp again and the orchestra before returning to the harp.</t>
  </si>
  <si>
    <t>v_p2n_FtzA1gk</t>
  </si>
  <si>
    <t>A woman is sitting on the edge of a bath tub.</t>
  </si>
  <si>
    <t>She begins shaving her leg with a razor.</t>
  </si>
  <si>
    <t>She looks at the bottom of the razor.</t>
  </si>
  <si>
    <t>v_aT5S8PcnlXo</t>
  </si>
  <si>
    <t>There's an athlete doing the hammer throw in a large stadium with some spectators and few other players watching him.</t>
  </si>
  <si>
    <t>He begins by swinging the hammer string in his hands while rotating his body.</t>
  </si>
  <si>
    <t>Two people step forward to see where the athlete's ball has landed.</t>
  </si>
  <si>
    <t>The athlete does another hammer throw and the distance of his throw is measured annd his statistics are shown on screen.</t>
  </si>
  <si>
    <t>The spectators in the bleachers watch the sporting event.</t>
  </si>
  <si>
    <t>v_ejkGxGrEdO4</t>
  </si>
  <si>
    <t>A woman and dog are seen standing in a large field performing tricks with a frisbee.</t>
  </si>
  <si>
    <t>The woman and dog are shown in several more clips playing with the frisbee and performing tricks.</t>
  </si>
  <si>
    <t>The dog jumps up and down as well as chases after the frisbee while the woman watches on the side.</t>
  </si>
  <si>
    <t>v_j5WshG7CEYY</t>
  </si>
  <si>
    <t>Two pairs of females are in a room playing a game of Foosball.</t>
  </si>
  <si>
    <t>The girls on the left make two goals and they begin to cheer.</t>
  </si>
  <si>
    <t>v_bRXOj9Jm1_E</t>
  </si>
  <si>
    <t>A man runs and dives into the water on a beach.</t>
  </si>
  <si>
    <t>A man carrying a surf board walks on the beach.</t>
  </si>
  <si>
    <t>People are surfing in the water.</t>
  </si>
  <si>
    <t>A man is sitting in the sand.</t>
  </si>
  <si>
    <t>More people surf in the water.</t>
  </si>
  <si>
    <t>Two ladies in bikinis are on the beach.</t>
  </si>
  <si>
    <t>People are riding waves in the water surfing.</t>
  </si>
  <si>
    <t>v_1MQkI4UafqE</t>
  </si>
  <si>
    <t>The video leads into several clips of young children practicing gymnastic moves in a large gym.</t>
  </si>
  <si>
    <t>The video continues on with the kids flipping and jumping around on the mats.</t>
  </si>
  <si>
    <t>v_ByTL6_iHoIA</t>
  </si>
  <si>
    <t>man is scuba diving under water and saying hi to the camera.</t>
  </si>
  <si>
    <t>people are scuba diving watching the fishes are swimming between rocks.</t>
  </si>
  <si>
    <t>people are under the sea scuba diving recording everything.</t>
  </si>
  <si>
    <t>v_TlwJfzlZZsE</t>
  </si>
  <si>
    <t>A man spins and throws a ball onto the field.</t>
  </si>
  <si>
    <t>Another man spins and throws a ball on the field.</t>
  </si>
  <si>
    <t>People in the stands are huging the athlete.</t>
  </si>
  <si>
    <t>v_kzeKQBi6Rhg</t>
  </si>
  <si>
    <t>An introduction comes onto the screen for a video about how to play different songs on the violin.</t>
  </si>
  <si>
    <t>A man comes onto the screen with a violin and begins to explain different techniques for playing the violin.</t>
  </si>
  <si>
    <t>He moves closer to the camera so that you can see the detail of what he is doing with his hands.</t>
  </si>
  <si>
    <t>He begins to play different notes on the violin as he moves his fingers.</t>
  </si>
  <si>
    <t>The video ends with the closing credits shown across the screen.</t>
  </si>
  <si>
    <t>v_c9mrRiwmhZw</t>
  </si>
  <si>
    <t>A man is standing in front of the camera talking and then moves behind the table.</t>
  </si>
  <si>
    <t>On the table,he has wrapping paper,a yard stick,tape and a pencil and moves them to the other side of the box.</t>
  </si>
  <si>
    <t>The box is then picked up and placed on top of the wrapping paper and the man measures the wrapping paper.</t>
  </si>
  <si>
    <t>The wrapping paper is then taped and the rest is measured before it taped.</t>
  </si>
  <si>
    <t>v_orR865dd2l4</t>
  </si>
  <si>
    <t>A woman and man play shuffleboard outside.</t>
  </si>
  <si>
    <t>The woman goes first and then the man takes his turn.</t>
  </si>
  <si>
    <t>v_Cx6oTdEq40w</t>
  </si>
  <si>
    <t>A man is shown wearing a helmet and climbing up on a rock wall.</t>
  </si>
  <si>
    <t>He continues to work his way up the rock wall while the camera captures his movements and panning around the mountains and water around them.</t>
  </si>
  <si>
    <t>The climber checks his rope and shakes the clip off of his rope.</t>
  </si>
  <si>
    <t>v_pg-DMwEM3K4</t>
  </si>
  <si>
    <t>People load into orange canoes.</t>
  </si>
  <si>
    <t>People row canoes on a body of water.</t>
  </si>
  <si>
    <t>Two guys paddle their canoe.</t>
  </si>
  <si>
    <t>v_RDq85fMq41s</t>
  </si>
  <si>
    <t>A smiling girl wearing braces and glasses lifts a pink bag above her head as she's standing in front of the middle body of a horse, and the words "Grooming with Erin".</t>
  </si>
  <si>
    <t>Now the horse is fully visible and the girl reaches into her pink bag to grab a brush and begins brushing the horse all over its body from front to back and on each side.</t>
  </si>
  <si>
    <t>The girl goes back to the pink bag, grabs another brush and begins brushing the horse again from head to toe and all around its body on each side.</t>
  </si>
  <si>
    <t>The girl once again goes to the pink to return the brush she was using and grabs another brush where she once again begins to brush the horse from head to toe and on all sides.</t>
  </si>
  <si>
    <t>The girls to the bag to drop the brush and then grabs a green tool, walks over to the horses front left foot, picks it up and begins cleaning out the shoe, then walks around the horse and does the rest of its shoes.</t>
  </si>
  <si>
    <t>When the girl is done with cleaning out the shoes, she returns the tool back to the pink bag and grabs a brush from off camera, brushes the mane, kisses the horse, and then returns the brush back to the pink bag, walks towards the camera and smiles big into it.</t>
  </si>
  <si>
    <t>v_mxIsgAmJHsM</t>
  </si>
  <si>
    <t>A woman spins a rod on the air while spinning and dancing, then she throws the rod high and spins before to catch the rod.</t>
  </si>
  <si>
    <t>The woman continues spinning the rod around body, also throw the rod in the air.</t>
  </si>
  <si>
    <t>Then, the woman rolls the rod on her arms, then she throw the rod in the air and and does a cartwheel before catching the rod.</t>
  </si>
  <si>
    <t>Next, the woman rolls the rod on her neck graciously and end her performance.</t>
  </si>
  <si>
    <t>v_HWymkBdgm1M</t>
  </si>
  <si>
    <t>First the elderly woman goes to hug the young man and then a man in a blue shirt plays the piano beautifully of different melodies.</t>
  </si>
  <si>
    <t>Then two little boys run outside the door while the man who's standing by the door looks tired and pitiful.</t>
  </si>
  <si>
    <t>v_Zev1KxIua7o</t>
  </si>
  <si>
    <t>A large group of people are seen standing in a large field holding instruments.</t>
  </si>
  <si>
    <t>One man leads in front as the group walks away and begins playing as a band.</t>
  </si>
  <si>
    <t>The group continues playing together and ends by walking away.</t>
  </si>
  <si>
    <t>v_1OJa2iiFxfk</t>
  </si>
  <si>
    <t>A young man with a backpack is talking and walking through a station.</t>
  </si>
  <si>
    <t>There is a man sitting on the ground shining a shoe.</t>
  </si>
  <si>
    <t>He applies ointment to the shoe and resumes buffing the shoe.</t>
  </si>
  <si>
    <t>The customer moves his right foot down and places his left foot on the stand and the man starts polishing the shoe.</t>
  </si>
  <si>
    <t>Two men on either side of the shoe shiner is observing the crowd.</t>
  </si>
  <si>
    <t>The shiner continues to buff the left shoe.</t>
  </si>
  <si>
    <t>The train is moving along the station as a crowd walks by.</t>
  </si>
  <si>
    <t>The shiner returns to buffing the right shoe.</t>
  </si>
  <si>
    <t>The shiner wipes the shoe with a cloth.</t>
  </si>
  <si>
    <t>The man resumes buffing the left shoe.</t>
  </si>
  <si>
    <t>The man drops his block and resumes buffing.</t>
  </si>
  <si>
    <t>The man takes the cloth to shine the left shoe.</t>
  </si>
  <si>
    <t>The customer observes his shiny shoes.</t>
  </si>
  <si>
    <t>The customer steps away from the shoe shiner.</t>
  </si>
  <si>
    <t>v_dkG9YRNJllQ</t>
  </si>
  <si>
    <t>A man is seen wearing a reef blower and blowing all around a trampoline.</t>
  </si>
  <si>
    <t>Kids are seen jumping on the trampoline while the man blows around them.</t>
  </si>
  <si>
    <t>The man continues to blow as the kids jump around.</t>
  </si>
  <si>
    <t>v_XlR3u3bROWM</t>
  </si>
  <si>
    <t>A lacrosse team huddles and then practices.</t>
  </si>
  <si>
    <t>A baby is shown and then there are people interviewed.</t>
  </si>
  <si>
    <t>A helmet is shown and more interviews are conducted.</t>
  </si>
  <si>
    <t>v_8xm7fWZ0RmE</t>
  </si>
  <si>
    <t>An Asian man is standing by the keyboard, he is wearing a red shirt with black top inside.</t>
  </si>
  <si>
    <t>Two people, one girl and one boy are sitting, the girl is wearing a white top, while the boy is wearing a white stripe sweater.</t>
  </si>
  <si>
    <t>The man started playing on the keyboard, he has his hands shown, he is wearing a black bead bracelet, then he continue playing while the two people in white is listening.</t>
  </si>
  <si>
    <t>When the man finished playing his keyboard, people cheered for him.</t>
  </si>
  <si>
    <t>v__0IkiqDouX8</t>
  </si>
  <si>
    <t>A camera pans around a large body of water followed by people swimming in the water.</t>
  </si>
  <si>
    <t>Clips are shown of people surfing as well as swimming in the water and smiling to the camera.</t>
  </si>
  <si>
    <t>More clips are shown of people close up moving along the water.</t>
  </si>
  <si>
    <t>v_Fe-DUewB8ok</t>
  </si>
  <si>
    <t>A child boxes a gloved adult kneeing on the floor.</t>
  </si>
  <si>
    <t>The child also practices karate kicks.</t>
  </si>
  <si>
    <t>The adult and child high five with gloved hands.</t>
  </si>
  <si>
    <t>The adult starts to get off the floor.</t>
  </si>
  <si>
    <t>v_njsO-Nlwkmg</t>
  </si>
  <si>
    <t>A child plays with a vacuum attachment piece in a bedroom.</t>
  </si>
  <si>
    <t>The mother vacuums the floor of the bedroom.</t>
  </si>
  <si>
    <t>The child brings the vacuum attachment into the next bedroom.</t>
  </si>
  <si>
    <t>v_VFSSZXuMmgg</t>
  </si>
  <si>
    <t>People are rollerblading and doing tricks.</t>
  </si>
  <si>
    <t>A person is skateboarding at a skate park.</t>
  </si>
  <si>
    <t>A white car is in the street.</t>
  </si>
  <si>
    <t>v_DsUbSyRX-B4</t>
  </si>
  <si>
    <t>Outside at the playground a boy has climbed to the top of the swing set while other children are swinging.</t>
  </si>
  <si>
    <t>The boy at the top is just sitting casually while another child is being pushed by a friend on the swing.</t>
  </si>
  <si>
    <t>She is building up a lot of speed and is going really high.</t>
  </si>
  <si>
    <t>She jumps off but does not land very well at all, she crashed down into the grass.</t>
  </si>
  <si>
    <t>v_TQepyWudKYQ</t>
  </si>
  <si>
    <t>A man stands on a field.</t>
  </si>
  <si>
    <t>The crowd in the stadium cheers on.</t>
  </si>
  <si>
    <t>Players on the field prepare to start a game.</t>
  </si>
  <si>
    <t>The pitcher pitches the ball.</t>
  </si>
  <si>
    <t>The batter tries to hit the ball but misses.</t>
  </si>
  <si>
    <t>The pitchers team excitedly exits the field.</t>
  </si>
  <si>
    <t>v_5YsdlM3Stjo</t>
  </si>
  <si>
    <t>There's a brown horse tied in a stable.</t>
  </si>
  <si>
    <t>A woman in a green shirt and brown boots walks in and begins scrubbing the horse.</t>
  </si>
  <si>
    <t>She continues scrubbing and cleaning the horse on his stomach.</t>
  </si>
  <si>
    <t>She scrubs the horse's neck area and back area thoroughly.</t>
  </si>
  <si>
    <t>She then walks to the horse's other side and continues scrubbing.</t>
  </si>
  <si>
    <t>The horse begins moving his neck and head as she continues scrubbing.</t>
  </si>
  <si>
    <t>Then she goes in front of the horse and cleans his mouth.</t>
  </si>
  <si>
    <t>v_auxBRPzLiIo</t>
  </si>
  <si>
    <t>Three girls are riding stationary bikes.</t>
  </si>
  <si>
    <t>A man is standing in front of them holding a camera.</t>
  </si>
  <si>
    <t>Another man walks in front of them.</t>
  </si>
  <si>
    <t>v_cukeWRPJzf8</t>
  </si>
  <si>
    <t>An underwater view is being shown as a woman dressed like a mermaid is swimming.</t>
  </si>
  <si>
    <t>A large nurse whale swims alongside her.</t>
  </si>
  <si>
    <t>Multiple pictures of the swimming mermaid are shown.</t>
  </si>
  <si>
    <t>v_u-YaDbGZoPk</t>
  </si>
  <si>
    <t>A picture of a scrubber is shown followed by a man using the item on a set of windows.</t>
  </si>
  <si>
    <t>He then wipes down the glass with another rag and points to the window and closing it while credits roll.</t>
  </si>
  <si>
    <t>v_W5g1IIAOZqs</t>
  </si>
  <si>
    <t>People gather in an indoor exhibition.</t>
  </si>
  <si>
    <t>A man and a robot play ping pong in the exhibition.</t>
  </si>
  <si>
    <t>People wears lanyards and watch around the exhibits, while a man explains a person holding two discs.</t>
  </si>
  <si>
    <t>Other people sits in a eating area while reading and texting.</t>
  </si>
  <si>
    <t>v_7OcfzMIZsxA</t>
  </si>
  <si>
    <t>People are eating ice cream cones.</t>
  </si>
  <si>
    <t>A person puts ice cream into an ice cream cone.</t>
  </si>
  <si>
    <t>A woman in glasses talks to the camera.</t>
  </si>
  <si>
    <t>v_jbh_K0yyJFo</t>
  </si>
  <si>
    <t>Two very large men are in the middle of a ring wearing sumo wrestling outfits.</t>
  </si>
  <si>
    <t>They are getting in position and waiting for the referee to tell them to start the match.</t>
  </si>
  <si>
    <t>Once the ref says to start they begin the match both running towards one another immediately.</t>
  </si>
  <si>
    <t>The tan skinned man knocks the other man down tot the ground and he wins the match.</t>
  </si>
  <si>
    <t>v__Rcb5kuhn90</t>
  </si>
  <si>
    <t>A woman manipulates a Rubik's cube while a man watches on in a competitive setting.</t>
  </si>
  <si>
    <t>Two men walk through the camera frame in the background.</t>
  </si>
  <si>
    <t>The woman puts the solved Rubik's cube on the table before her.</t>
  </si>
  <si>
    <t>v_7IIi_92vRLo</t>
  </si>
  <si>
    <t>An intro leads into various pictures of girls with long hair as well as girls who have their hair braided together.</t>
  </si>
  <si>
    <t>A girl's hair length is measured followed by more pictures of her long hair and speaking to the camera.</t>
  </si>
  <si>
    <t>A set of hands is then seen cutting the girl's hair and showing her ponytail to the girl.</t>
  </si>
  <si>
    <t>More pictures of the girl's new hair is shown as well as old pictures of her.</t>
  </si>
  <si>
    <t>v_Zk4Ewz3v6aQ</t>
  </si>
  <si>
    <t>A man wearing a black shirt and black shorts is standing next to an exercise machine.</t>
  </si>
  <si>
    <t>He sits on the exercise machine and starts working out.</t>
  </si>
  <si>
    <t>He stops working out and releases the bar.</t>
  </si>
  <si>
    <t>v_jIb_BfiRsQ4</t>
  </si>
  <si>
    <t>A man fry vegetables in a pan and stir with a large spoon.</t>
  </si>
  <si>
    <t>Then the man brake eggs in a bowl and mix well, after the man add the eggs in the pan to do an omelette.</t>
  </si>
  <si>
    <t>He roll the omelette and flip it in the air, then the man serves the omelette on a dish.</t>
  </si>
  <si>
    <t>v_SbX8KDWMhio</t>
  </si>
  <si>
    <t>A woman is dancing along to some music while standing in front of a television.</t>
  </si>
  <si>
    <t>As she is dancing she begins to smoke a hookah pipe.</t>
  </si>
  <si>
    <t>The camera shows two other women in the room as they dance and smoke the hookah pipe with her.</t>
  </si>
  <si>
    <t>the camera turns to a man that is in the room with a camera taking pictures.</t>
  </si>
  <si>
    <t>v_IGcsVPa34Hc</t>
  </si>
  <si>
    <t>A small girl is making cookies with her mother in her kitchen.</t>
  </si>
  <si>
    <t>She wants her mom to pretend that she is Santa Claus.</t>
  </si>
  <si>
    <t>The laughs and rolls the cookie dough on the cutting board.</t>
  </si>
  <si>
    <t>The mother opens the oven and puts the tray full of cookie dough into the oven for baking.</t>
  </si>
  <si>
    <t>The mother then takes the cookie cutter and makes some more cookies for baking, Then both mother and daughter go through the cookie recipe as they place the cookie dough on the tray.</t>
  </si>
  <si>
    <t>After the cookies are baked, they decorate the cookies with sprinkles and frosting.</t>
  </si>
  <si>
    <t>The girl proudly shows the finished cookie after it's done.</t>
  </si>
  <si>
    <t>v_5ohc1_X2W80</t>
  </si>
  <si>
    <t>Two people are shown pushing around a lawn mower and cutting the lawn.</t>
  </si>
  <si>
    <t>The bump into each other when one turns around the other follows close behind.</t>
  </si>
  <si>
    <t>The male walks up to the house and continues coming back around towards the woman.</t>
  </si>
  <si>
    <t>v_n9teiB6FW84</t>
  </si>
  <si>
    <t>A person is seen riding along a bike trail while a person wearing a camera following from behind.</t>
  </si>
  <si>
    <t>More clips are shown of people riding bikes along the trail while the camera captures it from several angles.</t>
  </si>
  <si>
    <t>v_THOVGzbo8w8</t>
  </si>
  <si>
    <t>A close up of a lacrosse game is shown that leads into a man speaking to the camera.</t>
  </si>
  <si>
    <t>More shots are shown of the game with the players running up and down the field as well as many others speaking to the camera.</t>
  </si>
  <si>
    <t>v_Gp5Vos--_0k</t>
  </si>
  <si>
    <t>A man is seen wearing a helmet and kneeling down in a large room.</t>
  </si>
  <si>
    <t>Uses a torch on an object while another person walks into frame.</t>
  </si>
  <si>
    <t>In the end he zooms in on the object he torched.</t>
  </si>
  <si>
    <t>v_7j8cTyXi5a4</t>
  </si>
  <si>
    <t>A woman is standing behind a table.</t>
  </si>
  <si>
    <t>She picks up a rag and a bottle of oil.</t>
  </si>
  <si>
    <t>She puts oil onto the rag and starts to clean her boots with it.</t>
  </si>
  <si>
    <t>v_zdoGEZO5Ldc</t>
  </si>
  <si>
    <t>A boy sits at a table with a girl beside him.</t>
  </si>
  <si>
    <t>He is trying to solve a rubik's cube while she times him.</t>
  </si>
  <si>
    <t>A counter counts quickly as he tries his best to solve the puzzle.</t>
  </si>
  <si>
    <t>He finally solves the cube, and stands up from the table.</t>
  </si>
  <si>
    <t>v_ypf6WHYpeRU</t>
  </si>
  <si>
    <t>A man is helping a boy fly a kite.</t>
  </si>
  <si>
    <t>A woman is standing next to them.</t>
  </si>
  <si>
    <t>The kites are flying in the sky above water.</t>
  </si>
  <si>
    <t>The man walks up the hill.</t>
  </si>
  <si>
    <t>v_ok3Kpgv0PzE</t>
  </si>
  <si>
    <t>The female gymnast raised her arm as the judge raise the flag.</t>
  </si>
  <si>
    <t>The gymnast jump to the beam, balanced herself, did thumbling several times run and balanced herself and did thumbling.</t>
  </si>
  <si>
    <t>The girl jump of the beam landing to the blue mat.</t>
  </si>
  <si>
    <t>v_ZreBacTw5Hw</t>
  </si>
  <si>
    <t>A highway with signs overhead are shown before we see a beach scene and a set of trophies.</t>
  </si>
  <si>
    <t>A bunch of volleyball players gather to start a game.</t>
  </si>
  <si>
    <t>The game commences, the people trying their best to win.</t>
  </si>
  <si>
    <t>v_Tfqln6lL7q0</t>
  </si>
  <si>
    <t>A camera pans around person's faces on a snowy hill as well as them riding down a mountain.</t>
  </si>
  <si>
    <t>The people continue skiing down the snowy path moving back and fourth and ending by stopping at the bottom.</t>
  </si>
  <si>
    <t>v_WdX_4wwtkGg</t>
  </si>
  <si>
    <t>A man wearing a hat is seen holding up a harmonica and begins playing with his hands.</t>
  </si>
  <si>
    <t>He continues playing the instrument to the camera and ends with him putting the instrument down then holding it up again.</t>
  </si>
  <si>
    <t>v_9yktj7NCdFI</t>
  </si>
  <si>
    <t>Two small children are seen drawing with chalk on a side walk while they occasionally looking back to the camera.</t>
  </si>
  <si>
    <t>The girl is then seen play hop scotch jumping down the chalk while the boy watches from behind.</t>
  </si>
  <si>
    <t>A woman then helps the boy jump followed by the young girl helping.</t>
  </si>
  <si>
    <t>The boy jumps on his own and then leads into the two walking on a sidewalk beam.</t>
  </si>
  <si>
    <t>The girl swings her arms up and then the two jump down.</t>
  </si>
  <si>
    <t>v_vPZf3F3bNAA</t>
  </si>
  <si>
    <t>An athletic man steps up before a track while holding a javelin ad standing ready.</t>
  </si>
  <si>
    <t>The man runs down, throws the javelin, and walks back while his throw is shown again several times in slow motion.</t>
  </si>
  <si>
    <t>In the end he is seen celebrating and running around the field.</t>
  </si>
  <si>
    <t>v_yScYLIJ_txA</t>
  </si>
  <si>
    <t>Six people in helmets race on dirt bikes around a circular, paved track surrounded by grass, game tents and onlookers.</t>
  </si>
  <si>
    <t>The people start the race behind a closed and grated fence, which then opens and allows them to start racing from an elevated platform down onto the paved raceway.</t>
  </si>
  <si>
    <t>The racers pedal with one person in a white jacket in the lead.</t>
  </si>
  <si>
    <t>The race ends with the same person in the white jacket remaining in the lead until they approach the end of the track and an orange, white striped cone.</t>
  </si>
  <si>
    <t>v_GEHPJEgMm_I</t>
  </si>
  <si>
    <t>A young man is shown swinging a tennis racket over and over again while hitting a ball at the same time.</t>
  </si>
  <si>
    <t>He continues to perform this swing several times and hits the ball every time.</t>
  </si>
  <si>
    <t>v_s3OxuR2zsZM</t>
  </si>
  <si>
    <t>A grinder machine is shown on a patio.</t>
  </si>
  <si>
    <t>A man talks while he shows the parts of the machine.</t>
  </si>
  <si>
    <t>He then demonstrates how the machine is used.</t>
  </si>
  <si>
    <t>v_JWFJGkUKVfk</t>
  </si>
  <si>
    <t>A man is kneeling down in a garage looking at tools on the ground.</t>
  </si>
  <si>
    <t>He then grabs a metal mask and positions himself correctly on the floor.</t>
  </si>
  <si>
    <t>Once comfortable,the mask is held in position and he begins firing away at the object on the ground.</t>
  </si>
  <si>
    <t>Finally,he takes it off and begins to chisel the object and beating the rust off of it.</t>
  </si>
  <si>
    <t>v_ycYPyXN0CPg</t>
  </si>
  <si>
    <t>A person is seen wearing a mask over their face and holding a hose in their hand.</t>
  </si>
  <si>
    <t>The person then begins spraying down the fence with the hose.</t>
  </si>
  <si>
    <t>The person continuously sprays along the fence while the camera captures it's movements.</t>
  </si>
  <si>
    <t>v_NURIoQoKk1E</t>
  </si>
  <si>
    <t>An introduction comes onto the screen showing a girl who will demonstrate how she blow dries her hair.</t>
  </si>
  <si>
    <t>She puts some mousse into her hand and proceeds to work it through her hair.</t>
  </si>
  <si>
    <t>She takes out a brow dryer and begins to blow dry her hair from the back to the front.</t>
  </si>
  <si>
    <t>She sections her hair, takes out a brush, and begins to blow dry her hair with the brush.</t>
  </si>
  <si>
    <t>When she is finished, the closing credits for the video show on the screen.</t>
  </si>
  <si>
    <t>v_N1JcXEim40g</t>
  </si>
  <si>
    <t>a woman is standing outside a beam.</t>
  </si>
  <si>
    <t>She mounts the beam, then does several flips and hand springs over the bar.</t>
  </si>
  <si>
    <t>She dismounts, raising her arms in the air.</t>
  </si>
  <si>
    <t>v_tRatWgaZ-a0</t>
  </si>
  <si>
    <t>A person is shown swimming through a pool while others swim around her.</t>
  </si>
  <si>
    <t>The people pass a ball around in the water while another team of players play int eh background.</t>
  </si>
  <si>
    <t>v_7_xkhnbnI7M</t>
  </si>
  <si>
    <t>A lady holds a cat in her lap on the floor.</t>
  </si>
  <si>
    <t>The lady then clips the cats claws.</t>
  </si>
  <si>
    <t>The cat tries to escape and the person calms the cat with a hair holder.</t>
  </si>
  <si>
    <t>The cat tries hard to escape.</t>
  </si>
  <si>
    <t>The lady finishes an the cat runs off and we see another cat sitting on a bed surrounded by clutter.</t>
  </si>
  <si>
    <t>v_5yGj9JooT_Q</t>
  </si>
  <si>
    <t>Two men are fighting with bows and arrows in a room.</t>
  </si>
  <si>
    <t>A man jumps off a stack of mats.</t>
  </si>
  <si>
    <t>Another man does a flip off the wall.</t>
  </si>
  <si>
    <t>v_85HxidMLf5Y</t>
  </si>
  <si>
    <t>A man cleans a small board of wood with a cloth in a workshop.</t>
  </si>
  <si>
    <t>Then, the man uses flannel to polish the wood board thoroughly.</t>
  </si>
  <si>
    <t>v_o8n1YnT8ZZ8</t>
  </si>
  <si>
    <t>Lemons are juiced one at a time and then put in a pot with sugar.</t>
  </si>
  <si>
    <t>Sparkling water is added and then the mixture is added to this creating sparkling lemonade.</t>
  </si>
  <si>
    <t>v_2eep4G5Tgho</t>
  </si>
  <si>
    <t>A man is outside of a building.</t>
  </si>
  <si>
    <t>He is using commercial lawn mowing equipment.</t>
  </si>
  <si>
    <t>He walks back and forth as he mows the grass.</t>
  </si>
  <si>
    <t>v_8z8FprjMNbI</t>
  </si>
  <si>
    <t>An elderly woman wearing glasses is standing in front of a car.</t>
  </si>
  <si>
    <t>She walks over to the car, and cannot get the door open at first.</t>
  </si>
  <si>
    <t>She gets inside the car, then gets out and cleans the snow off the car before getting back in and driving away.</t>
  </si>
  <si>
    <t>v_QakbOSMJ0AA</t>
  </si>
  <si>
    <t>A close up of a man's face is seen followed by a razor on the side and the person combing it's hair.</t>
  </si>
  <si>
    <t>The person continues shaving and combing the mans hair as well as shaving his beard covering in shaving cream.</t>
  </si>
  <si>
    <t>The man wipes off the face when he's done and showing off the clean shave.</t>
  </si>
  <si>
    <t>v_1ezOsdHncXo</t>
  </si>
  <si>
    <t>Drawings of hand soap bottles and humans are shown.</t>
  </si>
  <si>
    <t>A little girl is standing next to a white sink, she opened the faucet, wash her hand, rub her hand with soap, rinse her hand thoroughly, turned off the water and smiled at the camera.</t>
  </si>
  <si>
    <t>v_ETZOazHvdZg</t>
  </si>
  <si>
    <t>We see a bowler in front of a crowd stand and hold the ball.</t>
  </si>
  <si>
    <t>the bowler throws a strike and the crowd claps, a lady holds her hands in front of her face and the bowler wipes his hands.</t>
  </si>
  <si>
    <t>The man throws another strike and falls.</t>
  </si>
  <si>
    <t>He rises from the ground as the crowd claps.</t>
  </si>
  <si>
    <t>the man throws a third strike and is seen laying on the ground.</t>
  </si>
  <si>
    <t>He gets up and shakes the hand of men around and we see a lady holding her hands in front of her face.</t>
  </si>
  <si>
    <t>We then see an older man talking alone in a room.</t>
  </si>
  <si>
    <t>v_N7ppHQNikv8</t>
  </si>
  <si>
    <t>There is a boy sitting on a beach building sand castles with a water bottle and a sand bucket.</t>
  </si>
  <si>
    <t>Another little boy wearing a pink float comes running and joins him.</t>
  </si>
  <si>
    <t>The boy pours some water on the sand castle.</t>
  </si>
  <si>
    <t>Then a girls wearing a pink floral bathing suit joins the boys and helps them build the sand castle.</t>
  </si>
  <si>
    <t>v_zTzF5R_VhGk</t>
  </si>
  <si>
    <t>A man in glasses and beret is talking.</t>
  </si>
  <si>
    <t>He is shown playing a harmonica while he also plays a keyboard.</t>
  </si>
  <si>
    <t>He talks about the mechanics of the hormonica in between playing.</t>
  </si>
  <si>
    <t>v_M6sXLVNtTSA</t>
  </si>
  <si>
    <t>A group of men, boys and camels are in a desert area.</t>
  </si>
  <si>
    <t>One man is sitting on a camel.</t>
  </si>
  <si>
    <t>The man explains the correct way to ride a camel.</t>
  </si>
  <si>
    <t>A man in the background holds a video camera.</t>
  </si>
  <si>
    <t>Another man hands the camels reigns to the man riding and the camel starts walking.</t>
  </si>
  <si>
    <t>The camel turns it's head around and yells at the man riding him.</t>
  </si>
  <si>
    <t>The man riding kicks the camel in the side and he starts walking again.</t>
  </si>
  <si>
    <t>v_1KKVWzCwRSA</t>
  </si>
  <si>
    <t>Several different men are seen trying to snow board but, falling down over and over.</t>
  </si>
  <si>
    <t>Many different people are in the background watching and doing different things in the snow.</t>
  </si>
  <si>
    <t>The man that were falling give up and stay in a sitting position.</t>
  </si>
  <si>
    <t>v_1Dpm9kvn3M8</t>
  </si>
  <si>
    <t>A man is seen speaking to the camera while holding up a cigarette.</t>
  </si>
  <si>
    <t>The man takes several puffs out of the cigarette while still looking back to the camera.</t>
  </si>
  <si>
    <t>He continues smoking and looking back up to the camera.</t>
  </si>
  <si>
    <t>v_3HHAEmr0Q34</t>
  </si>
  <si>
    <t>A man is seen standing on a court holding down a tennis racket.</t>
  </si>
  <si>
    <t>The man then bounces the racket down and hits the tennis ball balancing on top.</t>
  </si>
  <si>
    <t>His hit is shown again in slow motion.</t>
  </si>
  <si>
    <t>v_QGZN8aXpXHU</t>
  </si>
  <si>
    <t>We see a boy in a jacket standing outside and talking.</t>
  </si>
  <si>
    <t>The boy goes in a building .</t>
  </si>
  <si>
    <t>The boy sits in a chair and test a haircut.</t>
  </si>
  <si>
    <t>The lady then uses scissors.</t>
  </si>
  <si>
    <t>We see the kid with his new hair cut.</t>
  </si>
  <si>
    <t>The lady give the little boy a red balloon.</t>
  </si>
  <si>
    <t>We see the boy as he walks to the door.</t>
  </si>
  <si>
    <t>v_Xbk1XePzTIA</t>
  </si>
  <si>
    <t>A man introduces himself to the camera and says he will show how to build a fire.</t>
  </si>
  <si>
    <t>He begins to break his starting stick and put leaves at the bottom of his filled fire pit.</t>
  </si>
  <si>
    <t>He turns on the lighter and starts at the bottom with the leaves.</t>
  </si>
  <si>
    <t>We see the full fire at night.</t>
  </si>
  <si>
    <t>v_kgmcYBRYkAk</t>
  </si>
  <si>
    <t>A boy in red overalls is playing hopscotch.</t>
  </si>
  <si>
    <t>A woman walks behind him and sits down.</t>
  </si>
  <si>
    <t>The boy finishes and reaches for the person filming.</t>
  </si>
  <si>
    <t>v_8ao9LZLn0Hs</t>
  </si>
  <si>
    <t>Four little girls , dressed in white dresses with red sashes, stand in a line, on a stage and play the violin together.</t>
  </si>
  <si>
    <t>Four little girls begin to play violin on a stage on a stage with a pink backdrop.</t>
  </si>
  <si>
    <t>The girl play together using both hands to play the violin before ending the performance and taking a bow together.</t>
  </si>
  <si>
    <t>v_5x1diXJ8gME</t>
  </si>
  <si>
    <t>A small group of men are seen riding around on various horses holding sticks in their hand and preparing for a game.</t>
  </si>
  <si>
    <t>The men then throw the ball down and all ride around on horses attempting to hit the ball and one scores a goal.</t>
  </si>
  <si>
    <t>A person holds up a flag and shows other people watching on the sides.</t>
  </si>
  <si>
    <t>A person then scores two more goals and the goalies raise their flag each time.</t>
  </si>
  <si>
    <t>v_Rewtuc-f6wU</t>
  </si>
  <si>
    <t>a boy is holding a very long pole.</t>
  </si>
  <si>
    <t>The camera turns upright suddenly.</t>
  </si>
  <si>
    <t>the boy runs with the pole, vaulting over a bar and onto a mat.</t>
  </si>
  <si>
    <t>v_Rl6US0JizDs</t>
  </si>
  <si>
    <t>An introduction comes onto the screen for a video about mixing a drink called the "Yah Yah".</t>
  </si>
  <si>
    <t>She goes over all the ingredients needed for the drink.</t>
  </si>
  <si>
    <t>She begins by taking a glass and filling it with ice.</t>
  </si>
  <si>
    <t>She add all the ingredients to the glass over the ice.</t>
  </si>
  <si>
    <t>v_VRiUhsafjRM</t>
  </si>
  <si>
    <t>We see a person waving something.</t>
  </si>
  <si>
    <t>A white screen then two boys in the kitchen.</t>
  </si>
  <si>
    <t>We see a counter with ingredient.</t>
  </si>
  <si>
    <t>The boys then mix ingredients in a bowl.</t>
  </si>
  <si>
    <t>We see a person shift flour in a bowl.</t>
  </si>
  <si>
    <t>Someone stirs the cookie dough in a bowl.</t>
  </si>
  <si>
    <t>The dough is put on a sheet.</t>
  </si>
  <si>
    <t>A boy washes the dishes.</t>
  </si>
  <si>
    <t>The cookies are put in an oven.</t>
  </si>
  <si>
    <t>A boy plays a guitar the other boy sings.</t>
  </si>
  <si>
    <t>Each boy eats a cookie and we see them come out of the oven.</t>
  </si>
  <si>
    <t>A poked cookie breaks apart.</t>
  </si>
  <si>
    <t>A boy shakes his head yes and plays with a big black dog.</t>
  </si>
  <si>
    <t>v_61W153jXL3U</t>
  </si>
  <si>
    <t>A man is showing washing his face with water into a sink and putting lotion into his hand.</t>
  </si>
  <si>
    <t>He rubs the soap together in his hands and massages into his face thoroughly.</t>
  </si>
  <si>
    <t>He then wipes his face off with a towel and speaking to the camera and pouring more lotion.</t>
  </si>
  <si>
    <t>He once again presses the lotion into his face and a recap is shown of his face.</t>
  </si>
  <si>
    <t>v_LFiGhD1OEws</t>
  </si>
  <si>
    <t>A group of young people play field hockey on a field while a man watches from a fence bordering the playing field.</t>
  </si>
  <si>
    <t>A man in field hockey goal gear stands in the center of a semi circle formed by young people dressed in field hockey attire.</t>
  </si>
  <si>
    <t>The man interviews from the sidelines while the people play field hockey and at one point is presented with a burgundy jersey by the players.</t>
  </si>
  <si>
    <t>The man then plays a game of field hockey in which he ends standing in the semi circle again tossing a ball up and down and looking into the camera while surrounded by players.</t>
  </si>
  <si>
    <t>v_00Dk03Jr70M</t>
  </si>
  <si>
    <t>A man enters a room and piles plaster onto a base.</t>
  </si>
  <si>
    <t>The man adds swipes the plaster on the wall then gets more and adds it.</t>
  </si>
  <si>
    <t>The man gets more plaster and swipes it on the wall.</t>
  </si>
  <si>
    <t>The man then walks and turns off the camera.</t>
  </si>
  <si>
    <t>v_5xI8T41HejM</t>
  </si>
  <si>
    <t>man and woman are standing on top of a big rock jumping into a lake.</t>
  </si>
  <si>
    <t>wo guys are sitting on a side of the rock talking with a woman on the lake.</t>
  </si>
  <si>
    <t>v_d3crFny-e3E</t>
  </si>
  <si>
    <t>A large cliff is seen near the ocean.</t>
  </si>
  <si>
    <t>Several boats are nearby, and people are kayaking through the area.</t>
  </si>
  <si>
    <t>A man is rappeling up the side of the cliff.</t>
  </si>
  <si>
    <t>He stands triumphantly on the back of a small boat.</t>
  </si>
  <si>
    <t>v_ta4QlTBHTTw</t>
  </si>
  <si>
    <t>A man demonstrates Tai Chi combat with other person.</t>
  </si>
  <si>
    <t>The man performs Tai Chi while talking, then he shows the movements with the man.</t>
  </si>
  <si>
    <t>After, the man moves the body and the hands while explaining.</t>
  </si>
  <si>
    <t>v_pIv2jZdHP0k</t>
  </si>
  <si>
    <t>A pair of shoes is on the floor, and a man wearing socks stands behind them.</t>
  </si>
  <si>
    <t>He takes out a shoestring and begins lacing the shoes.</t>
  </si>
  <si>
    <t>He then puts the shoes on, and shows how they look.</t>
  </si>
  <si>
    <t>v_w1qa9NOiFbE</t>
  </si>
  <si>
    <t>Scenes of a small rural village under a heavy rainstorm are shown.</t>
  </si>
  <si>
    <t>A woman washes items by a container in the rain while other individuals stand around.</t>
  </si>
  <si>
    <t>A close up of a wash basin by the container is shown.</t>
  </si>
  <si>
    <t>v_jC1He93cebg</t>
  </si>
  <si>
    <t>A woman is seen standing on a piece of exercise equipment and moving herself around.</t>
  </si>
  <si>
    <t>The woman moves her feet on the machine as well as showing how the machine works.</t>
  </si>
  <si>
    <t>Another man is seen exercising and ends with text on the screen.</t>
  </si>
  <si>
    <t>v_kTSuw4T-_Nk</t>
  </si>
  <si>
    <t>A woman is seen sitting in a chair looking down with others beside her.</t>
  </si>
  <si>
    <t>The camera pans all around the people sitting and leads to one putting an objects on his leg.</t>
  </si>
  <si>
    <t>She rips off the object showing the hair as well as his leg and others laughing.</t>
  </si>
  <si>
    <t>v_2gV2apTrRHs</t>
  </si>
  <si>
    <t>A police officer spins around while dancing.</t>
  </si>
  <si>
    <t>The boy does a hand stand.</t>
  </si>
  <si>
    <t>The police officer does a disco John Travolta dance.</t>
  </si>
  <si>
    <t>The police officer does a break dancing routine.</t>
  </si>
  <si>
    <t>The group of children walk together on the grass.</t>
  </si>
  <si>
    <t>v_v-qFJJx0bTs</t>
  </si>
  <si>
    <t>A large group of people are seen standing on each side of a rope with many people watching on the sides.</t>
  </si>
  <si>
    <t>The men then begin a game of tug of war with one another with one man helping teams on the side and ends with one team falling down.</t>
  </si>
  <si>
    <t>v_dot-t-Nen_k</t>
  </si>
  <si>
    <t>A man is standing in front of a net.</t>
  </si>
  <si>
    <t>A man is standing in front of a wood fence.</t>
  </si>
  <si>
    <t>Men are playing lacrosse on a field.</t>
  </si>
  <si>
    <t>v_fzwNgtDwgKQ</t>
  </si>
  <si>
    <t>A man drives in circles a four wheels motorcycle in a field with high weeds while dust.</t>
  </si>
  <si>
    <t>Then, the man goes to another place to continue driving in circles.</t>
  </si>
  <si>
    <t>v_DPw74KWZzGY</t>
  </si>
  <si>
    <t>Two people are seen sitting in front of cameras playing instruments while the camera zooms in.</t>
  </si>
  <si>
    <t>The man then sings to the camera while playing his instrument and speaks to the camera, ending with the two playing again.</t>
  </si>
  <si>
    <t>v_4XavNhCs-Do</t>
  </si>
  <si>
    <t>There is man wearing a blue shirt and another man in black seated on a rock, talking about rock climbing.</t>
  </si>
  <si>
    <t>They are seated at a very high altitude in the mountains.</t>
  </si>
  <si>
    <t>The person in blue is demonstrating how the rope is fastened from the rocks.</t>
  </si>
  <si>
    <t>He is also showing tight rope walking from one end to another.</t>
  </si>
  <si>
    <t>Then the person in black also walks on a tight rope.</t>
  </si>
  <si>
    <t>v_Gi1N3FtCZGo</t>
  </si>
  <si>
    <t>a boy is inside a gym.</t>
  </si>
  <si>
    <t>He lifts a barbell up to his chest.</t>
  </si>
  <si>
    <t>He pauses, then lifts it over his head.</t>
  </si>
  <si>
    <t>v_P-YyUw0iuBQ</t>
  </si>
  <si>
    <t>A group of boys are seen sitting around talking to one another and playing various games.</t>
  </si>
  <si>
    <t>The men hit one another while they switch places and continue to play more games.</t>
  </si>
  <si>
    <t>v_xBO66pI09rE</t>
  </si>
  <si>
    <t>A family is shown doing mouthwash.</t>
  </si>
  <si>
    <t>One woman tries to laugh and is successful in not spitting it up.</t>
  </si>
  <si>
    <t>v_0hfKWxuVT5k</t>
  </si>
  <si>
    <t>Several bodies of water are shown and a man appears paddling a small boat.</t>
  </si>
  <si>
    <t>Several other people are then shown paddling throughout the city in a small boats,passing several trees and city buildings.</t>
  </si>
  <si>
    <t>As they continue there journey,they pass under bridges,restaurants and other landmarks and then there names appear across the screen.</t>
  </si>
  <si>
    <t>v_UEtVbSLGhfY</t>
  </si>
  <si>
    <t>A person leads a large dog on a leash back and fourth on a hard wood floor.</t>
  </si>
  <si>
    <t>The dog drags the woman person around behind him and looks out the door and smiles.</t>
  </si>
  <si>
    <t>v_wsmMniNThlI</t>
  </si>
  <si>
    <t>Two people are horseback riding on a snowy trail.</t>
  </si>
  <si>
    <t>As they are riding they pass a set of glass igloos planted on the estate.</t>
  </si>
  <si>
    <t>They reach a clearing where there is open land and several trees.</t>
  </si>
  <si>
    <t>v_2xmu01HHhKY</t>
  </si>
  <si>
    <t>We see a lady slowly playing a drum.</t>
  </si>
  <si>
    <t>We pan right and see a man on drums.</t>
  </si>
  <si>
    <t>We see a person in orange enter.</t>
  </si>
  <si>
    <t>The lady stops drumming and shows her hands.</t>
  </si>
  <si>
    <t>We then see the camera operator.</t>
  </si>
  <si>
    <t>The lady and the boy in orange struggle over an instrument.</t>
  </si>
  <si>
    <t>The lady pretends to bite the boy, then laughs.</t>
  </si>
  <si>
    <t>We see a man enter the room.</t>
  </si>
  <si>
    <t>v_ru7UAr2488M</t>
  </si>
  <si>
    <t>hockey players are getting out the dressers to a field.</t>
  </si>
  <si>
    <t>hockey players are skating in an ice court in a roofed gym.</t>
  </si>
  <si>
    <t>mani s welding something in a dark room and the players are in the court playing.</t>
  </si>
  <si>
    <t>men are sitting on bus looking at his phones and seeing though the window and in the dressers geting ready to play and in the field.</t>
  </si>
  <si>
    <t>v_qXQBHaML9Xg</t>
  </si>
  <si>
    <t>A person flips over another person and gets thrown into the bushes.</t>
  </si>
  <si>
    <t>A person in a red shirt starts running towards them.</t>
  </si>
  <si>
    <t>v_5LveCNjz_zg</t>
  </si>
  <si>
    <t>A woman is holding a black cat snuggled in a purple blanket.</t>
  </si>
  <si>
    <t>The cat is meowing as the woman holds her paws.</t>
  </si>
  <si>
    <t>there's another man with nail clippers, slipping the cat's nails.</t>
  </si>
  <si>
    <t>The cat meows loudly in pain and the woman kisses the cat to calm her down.</t>
  </si>
  <si>
    <t>The man continues to clip the cat's nails as the woman cajoles the cat and kisses the cat's ears.</t>
  </si>
  <si>
    <t>The man continues clipping the nails until he's done.</t>
  </si>
  <si>
    <t>v_BmZwZLKxHCY</t>
  </si>
  <si>
    <t>A little girl is sitting in a rocking chair.</t>
  </si>
  <si>
    <t>She puts on compact makeup from a case.</t>
  </si>
  <si>
    <t>She then applies eye shadow and lipstick.</t>
  </si>
  <si>
    <t>v_DHiFKO68gT8</t>
  </si>
  <si>
    <t>Several shots of riders standing around a sand pit are shown followed by many angles of people riding bikes over jumps.</t>
  </si>
  <si>
    <t>The camera captures several angles of the people riding along a bike track and interviewing them in between shots.</t>
  </si>
  <si>
    <t>In the end all the riders are shown on screen as well as being interviewed and jumping along one last time.</t>
  </si>
  <si>
    <t>v_0p34rFNYj_M</t>
  </si>
  <si>
    <t>An adult female and a young female is in the beach, the adult female is dumping the sand from the pail to the ground.</t>
  </si>
  <si>
    <t>The woman in polka dots is sitting on the ground and showing her pants.</t>
  </si>
  <si>
    <t>The young girl is pointing on to something and waving at the camera.</t>
  </si>
  <si>
    <t>v_zo8XBVxxkmo</t>
  </si>
  <si>
    <t>Three men are seen sitting on the ground speaking to one another and leading into them riding down a road.</t>
  </si>
  <si>
    <t>More shots are shown of people skateboarding down a road performing several tricks and walking away.</t>
  </si>
  <si>
    <t>v_AMU1mHpR6Os</t>
  </si>
  <si>
    <t>A close up of a razor is shown an leads into several clips of dogs getting their cut trimmed.</t>
  </si>
  <si>
    <t>Several tools are shown are then shown on cats and them laying down being pet.</t>
  </si>
  <si>
    <t>v_1FlnQzPzS2Q</t>
  </si>
  <si>
    <t>A man is running down a street.</t>
  </si>
  <si>
    <t>A white car is right behind him on the street.</t>
  </si>
  <si>
    <t>People are riding bicycles next to him.</t>
  </si>
  <si>
    <t>v_ZSLzzrc8pro</t>
  </si>
  <si>
    <t>A camera shows a closet that pans into two girls seen riding on an elliptical.</t>
  </si>
  <si>
    <t>One girl moves up and down on the machine while the other hangs on in front, leading to them jumping and speaking to the camera hiding in the closet.</t>
  </si>
  <si>
    <t>v_yxSBQXuOwuc</t>
  </si>
  <si>
    <t>A logo is shown with water drop sounds playing in the background.</t>
  </si>
  <si>
    <t>A man is then shown wearing scubba gear and giving various hand signals to the camera.</t>
  </si>
  <si>
    <t>The water sounds still play and the man shows you various moves and what they mean under water.</t>
  </si>
  <si>
    <t>The logo then reappears on the screen and the video ends.</t>
  </si>
  <si>
    <t>v_40Sf-iICgzw</t>
  </si>
  <si>
    <t>A small child is shown playing drums while a group of people behind him watch and smile.</t>
  </si>
  <si>
    <t>The boy continues to play the drums and a baby in the arms of a man behind him climbs off his lap.</t>
  </si>
  <si>
    <t>v_GuzLtwhxsxA</t>
  </si>
  <si>
    <t>A close up of a canoe is shown followed by a man pushing the canoe along in various areas.</t>
  </si>
  <si>
    <t>His paddling is slowed down to demonstrate how to properly paddle while more shots of the man paddling in fast motion are shown.</t>
  </si>
  <si>
    <t>The ending shows a beautiful picture of a sun set.</t>
  </si>
  <si>
    <t>v_e5rZPT7BJas</t>
  </si>
  <si>
    <t>A person is peeling a sticker off of a white shoe.</t>
  </si>
  <si>
    <t>They wipe the shoe with a towel.</t>
  </si>
  <si>
    <t>v_aVDVMN9hE8A</t>
  </si>
  <si>
    <t>A person takes out cheese from a box, then he takes a jar that puts on the counter with two napkins, then he opens the fridge.</t>
  </si>
  <si>
    <t>A man puts water on his face while holding a pail, then takes a sponge and throws over the table.</t>
  </si>
  <si>
    <t>The person puts two bottles and two slices of bread on the table, then he slices the cheese.</t>
  </si>
  <si>
    <t>After, the person puts the cheese and jam on the bread, then he eats the sandwich and drink soda from bottle.</t>
  </si>
  <si>
    <t>v_T84iinm8-V0</t>
  </si>
  <si>
    <t>A fencing match is taking place inside an auditorium.</t>
  </si>
  <si>
    <t>Two men in full fencing gear begin fighting.</t>
  </si>
  <si>
    <t>They stab and swing, fencing for the crowd.</t>
  </si>
  <si>
    <t>Several people are shown performing various sports in the closing images.</t>
  </si>
  <si>
    <t>v_HsfrvjsaIDU</t>
  </si>
  <si>
    <t>A man is shown holding a long trimmer.</t>
  </si>
  <si>
    <t>He uses the trimmer to weedeat the bushes.</t>
  </si>
  <si>
    <t>Leaves fall to the ground in droves as he trims.</t>
  </si>
  <si>
    <t>v_r10jGF9lQYM</t>
  </si>
  <si>
    <t>A man and boys standard sit on the snow and ice fish.</t>
  </si>
  <si>
    <t>We see a tittle screen and a plane flys overhead in the sky and we see the people on the ice and a truck in the distance.</t>
  </si>
  <si>
    <t>A kids walks over to the truck where a lady is cooking hot dogs in the truck bed full of food.</t>
  </si>
  <si>
    <t>We see a title screen and see frozen fish sitting in the snow.</t>
  </si>
  <si>
    <t>v_jkn6uvmqwh4</t>
  </si>
  <si>
    <t>A parade procession walks down the street in a parade.</t>
  </si>
  <si>
    <t>A group of members in green uniforms walks waving flags.</t>
  </si>
  <si>
    <t>Members of the procession walk down the street holding small horn brass instruments.</t>
  </si>
  <si>
    <t>A drum line passes by walking down the street playing their instruments.</t>
  </si>
  <si>
    <t>Members of the procession walk down the street holding large flared horn instruments.</t>
  </si>
  <si>
    <t>v_pSdlIsd_vZc</t>
  </si>
  <si>
    <t>The video is very poor quality and it shows a man holding the camera and he is at a park with other people that includes another adult and a small child that looks like a girl.</t>
  </si>
  <si>
    <t>The man climbs onto the park equipment with the little girl.</t>
  </si>
  <si>
    <t>The child and the man then appear on the slide and the little girl goes down the slide alone while smiling the whole time and the man remains at the top of the slide.</t>
  </si>
  <si>
    <t>v_dN9ZPc7NMVQ</t>
  </si>
  <si>
    <t>A woman and young boy are shown smiling and washing their hands in the sink when the woman begins washing his face.</t>
  </si>
  <si>
    <t>The boy smiles with the woman washing his face and the woman dries his face off with a paper towel.</t>
  </si>
  <si>
    <t>v_d0woFZ26Cx0</t>
  </si>
  <si>
    <t>A view is seen of a pool table, balls being triangled, and numerous people shooting the balls into the corner pockets during a competition.</t>
  </si>
  <si>
    <t>A woman walks around holding a scorecard as they play.</t>
  </si>
  <si>
    <t>v_yvzlX5St_Ok</t>
  </si>
  <si>
    <t>People are driving bumper cars on a brown floor.</t>
  </si>
  <si>
    <t>The bumper cars collide with each other.</t>
  </si>
  <si>
    <t>A girl laughs out loud.</t>
  </si>
  <si>
    <t>v_qJrJeICcevI</t>
  </si>
  <si>
    <t>A bunch of people ride camels.</t>
  </si>
  <si>
    <t>The camel gets down and kneels.</t>
  </si>
  <si>
    <t>v_1lu7Sbu3a6o</t>
  </si>
  <si>
    <t>We see a lady and a girl on a raft on a snowy hill.</t>
  </si>
  <si>
    <t>The lady and a man push people down the hill.</t>
  </si>
  <si>
    <t>The people slide in rafts down the hill.</t>
  </si>
  <si>
    <t>The little girl stands and looks behind her.</t>
  </si>
  <si>
    <t>v_j0Iv6dmSw0k</t>
  </si>
  <si>
    <t>A group of people are sitting and clapping while men standing up dressed in gi's along a mirrored wall go through different motions of karate.</t>
  </si>
  <si>
    <t>Elvis Presley is now dressed in his concert clothing, standing on stage doing his karate moves, and then it goes back to him standing in front of the mirrored wall and demonstrating his karate moves while he's wearing his gi.</t>
  </si>
  <si>
    <t>Once again Elvis Presley is back on stage in his concert clothing the video ends with him doing his karate moves on stage.</t>
  </si>
  <si>
    <t>v_ki2kGFwczMg</t>
  </si>
  <si>
    <t>An athlete wearing a white shirt and red shorts is running with a javelin in his hand in a stadium with several spectators.</t>
  </si>
  <si>
    <t>There is a person seated on a white bench wearing a blue uniform, tying his shoelaces.</t>
  </si>
  <si>
    <t>The javelin thrower runs and throws the javelin and falls to the ground.</t>
  </si>
  <si>
    <t>He gets up and raises his hands up high in victory.</t>
  </si>
  <si>
    <t>He comes running again and throws the javelin and falls to the ground.</t>
  </si>
  <si>
    <t>The third time, his action is repeated in slow motion.</t>
  </si>
  <si>
    <t>v_jE2jDJ9WHeE</t>
  </si>
  <si>
    <t>Player practice lacrosse in a field.</t>
  </si>
  <si>
    <t>Then, teams play lacrosse and a player score for his team.</t>
  </si>
  <si>
    <t>A coach takes notes, and then players train lacrosse.</t>
  </si>
  <si>
    <t>Then two teams play lacrosse in a field throwing the call with a stick.</t>
  </si>
  <si>
    <t>v_xT7eQmyr1-Y</t>
  </si>
  <si>
    <t>A man walks through his yard and retrieves a push leaf blower.</t>
  </si>
  <si>
    <t>The man walks the blower around the yard and blows leaves to the side.</t>
  </si>
  <si>
    <t>The man finishes and pushes the leaf blower beside the fence with the other machinery then walks away.</t>
  </si>
  <si>
    <t>v_gCf7wYa4AFA</t>
  </si>
  <si>
    <t>Woman in pink points to the goal.</t>
  </si>
  <si>
    <t>Girl in black shoots and score goal.</t>
  </si>
  <si>
    <t>Teammates congratulate the girl in black for the goal.</t>
  </si>
  <si>
    <t>Players get into their positions.</t>
  </si>
  <si>
    <t>Girl in black runs after the ball.</t>
  </si>
  <si>
    <t>Girl in black hits the ball to her teammate.</t>
  </si>
  <si>
    <t>Girls run after the ball.</t>
  </si>
  <si>
    <t>v_52tZGZGuWP4</t>
  </si>
  <si>
    <t>A man is sitting in a room with two congas in between his legs.</t>
  </si>
  <si>
    <t>One of them is slightly smaller than the other and he tends to play that one and only hitting the larger every couple of beats.</t>
  </si>
  <si>
    <t>His whole face appears in the frame and you can see him bobbing his head and focusing more on his sound.</t>
  </si>
  <si>
    <t>v_WdNtrGxSm1Y</t>
  </si>
  <si>
    <t>An intro leads into a woman holding a dog and frisbee and then throwing the fribee for the dog to catch.</t>
  </si>
  <si>
    <t>The dog brings it back and the girl throws the object several more times, with the dog chaseing and coming back each time.</t>
  </si>
  <si>
    <t>v_55FFh89yqVw</t>
  </si>
  <si>
    <t>The lady puts contents of a bottle in her palms, and the lady rubs it on her face.</t>
  </si>
  <si>
    <t>The lady makes funny faces.</t>
  </si>
  <si>
    <t>The lady washes her face.</t>
  </si>
  <si>
    <t>The lady towel dries her face.</t>
  </si>
  <si>
    <t>The lady puts spots of white lotion on her face and rubs it in.</t>
  </si>
  <si>
    <t>The lady presents a small tube product.</t>
  </si>
  <si>
    <t>v_gOUqdgxwNPw</t>
  </si>
  <si>
    <t>A young person is holding on to a rope as he is boogie boarding through the river.</t>
  </si>
  <si>
    <t>The young person then does a 360 flip in the water and keeps going and shortly after,he does another trick.</t>
  </si>
  <si>
    <t>Then another person is shown and begins doing more rigorous tricks in the water.</t>
  </si>
  <si>
    <t>Next,a series of pictures are shown of other people doing tricks.</t>
  </si>
  <si>
    <t>Next, a snowboarder is shown and then they young person comes back with a still image of him and his awards.</t>
  </si>
  <si>
    <t>v_19SHLOheCmo</t>
  </si>
  <si>
    <t>three women are standing in a park in a field doing yoga.</t>
  </si>
  <si>
    <t>man is running in the park behind the women.</t>
  </si>
  <si>
    <t>an old man is walking fast in the park.</t>
  </si>
  <si>
    <t>v_2l50doS2wB4</t>
  </si>
  <si>
    <t>A man is seen holding onto a pair of shoes while speaking to the camera and spraying them down.</t>
  </si>
  <si>
    <t>The man scrubs the shoes down with a rag while continuing to speak to the camera.</t>
  </si>
  <si>
    <t>In the end he holds up the shoes while still speaking and giving the camera a thumbs up.</t>
  </si>
  <si>
    <t>v_Y76yy0chbhU</t>
  </si>
  <si>
    <t>A couple of teams are on an open field.</t>
  </si>
  <si>
    <t>They are playing lacrosse together.</t>
  </si>
  <si>
    <t>They run around, trying to hit the ball.</t>
  </si>
  <si>
    <t>v_uvs1pb32xZM</t>
  </si>
  <si>
    <t>A small group of children are seen running around an indoor field kicking a soccer ball.</t>
  </si>
  <si>
    <t>The kids move up and down in between poles while still kicking the ball.</t>
  </si>
  <si>
    <t>The kids are then shown kicking balls into a goal one after the other.</t>
  </si>
  <si>
    <t>v_4DCxc6mO864</t>
  </si>
  <si>
    <t>A girl is standing in the back of a room that has paper air ballon, and she begins to dance moving her legs back and forth and slightly moving her arms.</t>
  </si>
  <si>
    <t>The girl then picks it up and begins to move more of her arms along with her legs and dances in a small area in the room while facing the camera.</t>
  </si>
  <si>
    <t>The girl then turns to her side and we see her dancing from the side, she turns to face the back and dances a bit that way, then turns again and again until we've seen her dance in all different directions.</t>
  </si>
  <si>
    <t>v_OgaurUPiWYI</t>
  </si>
  <si>
    <t>Four bikers at the start of the line are wearing different colors of uniforms and helmets, they are about to get start the race.</t>
  </si>
  <si>
    <t>The race started, the bikers bike and race in the race track where they jumped and hopped and went to the curb, the one player, when he reached the finish line, he fell on his side and stood up and walked towards the people.</t>
  </si>
  <si>
    <t>v_kbWQIXFOK54</t>
  </si>
  <si>
    <t>A camera pans around a dresser followed by several objects and ingredients being shown to the camera.</t>
  </si>
  <si>
    <t>A woman is then seen painting the dresser with several coats and sanding it down.</t>
  </si>
  <si>
    <t>She places the pieces together and ends by smiling to the camera.</t>
  </si>
  <si>
    <t>v_qAXE_vqt56g</t>
  </si>
  <si>
    <t>The cartoon of heroes fighting with an evil character.</t>
  </si>
  <si>
    <t>The heroes fight and then sit on front a log.</t>
  </si>
  <si>
    <t>v_qdMjXJTsX94</t>
  </si>
  <si>
    <t>A spinning logo with a purple background then text are seen on the screen.</t>
  </si>
  <si>
    <t>A woman in blue dress plays a drum set in a studio.</t>
  </si>
  <si>
    <t>v_eHxRr7Zhsek</t>
  </si>
  <si>
    <t>The video opens with the host using purple nail tape to create a pattern, slowly applying and making sure it is straight.</t>
  </si>
  <si>
    <t>Next a matte coat is applied over the nail and tape.</t>
  </si>
  <si>
    <t>The tape is gently peeled off the nail, and a top coat is applied to the intersection of lines.</t>
  </si>
  <si>
    <t>Next, a micro bead is placed where the lines meet.</t>
  </si>
  <si>
    <t>The next nail project features a white painted nail and host makes two black C's to mimic the Chanel logo.</t>
  </si>
  <si>
    <t>Gradually the logo is made bolder with more application.</t>
  </si>
  <si>
    <t>Finally a matte top coat is applied to finish it off.</t>
  </si>
  <si>
    <t>v_E6ePEI4UOtU</t>
  </si>
  <si>
    <t>A mop stands upright next to a bucket.</t>
  </si>
  <si>
    <t>A person absorbs all the water from a bowl using a mop.</t>
  </si>
  <si>
    <t>Water is poured into a large bucket.</t>
  </si>
  <si>
    <t>The mop in dunked in the bucket of water then spun dry in the tray.</t>
  </si>
  <si>
    <t>A soiled area of a hardwood floor is mopped clean.</t>
  </si>
  <si>
    <t>A mop is used around various furniture and appliances to get into corners of rooms.</t>
  </si>
  <si>
    <t>v_wrn5qM9aVeo</t>
  </si>
  <si>
    <t>A chef is seen speaking to the camera and leads into him holding a board followed by cutting up dough.</t>
  </si>
  <si>
    <t>The man peels the dough pieces with a machine and lays them flat to roll out dough.</t>
  </si>
  <si>
    <t>The man then rolls out the flattened dough and shows off his finished pasta.</t>
  </si>
  <si>
    <t>v_IvkpOoeCM3A</t>
  </si>
  <si>
    <t>This video shows people participating in the world artistic pool championship.</t>
  </si>
  <si>
    <t>Smooth, but suspenseful music is playing throughout the whole video as people shoot pool balls into the holes by themselves.</t>
  </si>
  <si>
    <t>Not everyone is participating, some people are just watching and others are walking around for some other reasons.</t>
  </si>
  <si>
    <t>v_RK8VF2pL72I</t>
  </si>
  <si>
    <t>A woman is sitting in a chair knitting.</t>
  </si>
  <si>
    <t>She looks up and talks to someone.</t>
  </si>
  <si>
    <t>She continues knitting in her hands.</t>
  </si>
  <si>
    <t>v_gk6NAPqfJoY</t>
  </si>
  <si>
    <t>A person skies and slides on a platform.</t>
  </si>
  <si>
    <t>A person falls on the ice.</t>
  </si>
  <si>
    <t>A person skies and does flips.</t>
  </si>
  <si>
    <t>A person puts their gloved hand on the camera.</t>
  </si>
  <si>
    <t>v_45ymM0irIIY</t>
  </si>
  <si>
    <t>A comedian is seen speaking to the camera and leads into a bull running into a pit and various clips of men fighting bulls.</t>
  </si>
  <si>
    <t>A close up of the bull fighting is shown and pans back to the comedian speaking to the camera.</t>
  </si>
  <si>
    <t>v_iJahVlx_yDE</t>
  </si>
  <si>
    <t>Two people are seen standing at the bottom of a snowy hill speaking to one another when a person comes riding down on a tube.</t>
  </si>
  <si>
    <t>More people are seen flying down the mountain with one crashing into another and the person getting out to drag the tubes.</t>
  </si>
  <si>
    <t>v_XNTy5ZTMqVU</t>
  </si>
  <si>
    <t>A woman is talking inside an office to the camera while displaying sign language.</t>
  </si>
  <si>
    <t>Two hands appear, demonstrating several signs indicating the rock, paper, scissors game.</t>
  </si>
  <si>
    <t>The woman continues talking about the game, then it shows several clips of various people using the game to win or make decisions.</t>
  </si>
  <si>
    <t>It cuts to an article regarding tricks for winning the game before concluding with the woman speaking on last time.</t>
  </si>
  <si>
    <t>v_gN_Kq57w72s</t>
  </si>
  <si>
    <t>An image shows a bag of m&amp;m's and a bag of Maltersers being suspended in midair, appearing to pour onto a cake.</t>
  </si>
  <si>
    <t>A woman bakes a round cake, frosting it and surrounding it by chocolate bars.</t>
  </si>
  <si>
    <t>She then pours maltesers and m&amp;ms into bowls.</t>
  </si>
  <si>
    <t>She prepares the bags, making them look neat before sprinkling the candies onto the top of the cake, completely covering it.</t>
  </si>
  <si>
    <t>She then places sticks into the cake, and runs frosting up the sides of the stucks before adhering the candlies to the sticks.</t>
  </si>
  <si>
    <t>She then balances the bags atop the sticks.</t>
  </si>
  <si>
    <t>v_rpDBtiySZ3o</t>
  </si>
  <si>
    <t>Several people are preparing to play volleyball on the beach.</t>
  </si>
  <si>
    <t>The camera zooms out and the people begin to play the game, tossing the ball back and forth to each other.</t>
  </si>
  <si>
    <t>v_aHKZIUD3wPI</t>
  </si>
  <si>
    <t>A man is seen standing before a hedge holding onto a tool.</t>
  </si>
  <si>
    <t>The man uses the tool all along the hedge while trimming the top.</t>
  </si>
  <si>
    <t>He continues pushing the tool over the hedge while walking away from the camera.</t>
  </si>
  <si>
    <t>v_MFx2omPfM2o</t>
  </si>
  <si>
    <t>A large group of people are seen riding in bumper cars and bumping into one another.</t>
  </si>
  <si>
    <t>The people continue crashing into one another while laughing and beginning to get out of the car.</t>
  </si>
  <si>
    <t>v_a1ltYmbbBYI</t>
  </si>
  <si>
    <t>Two men are sumo wrestling on a ring.</t>
  </si>
  <si>
    <t>A man in a robe is standing behind them.</t>
  </si>
  <si>
    <t>A man trips and falls into the audience.</t>
  </si>
  <si>
    <t>v_rgJ00nNS_r0</t>
  </si>
  <si>
    <t>A group of men play croquet on a large grass covered field at an outdoor social event.</t>
  </si>
  <si>
    <t>The men begin playing croquet with one man making a sexual reference with the croquet stick as people walk by on the grass.</t>
  </si>
  <si>
    <t>The group of men are accompanied by onlookers as they continue to maneuver the croquet ball with their mallets.</t>
  </si>
  <si>
    <t>One croquet goal is accomplished on the grass by one player in brown shoes and a blue pants in the final clip.</t>
  </si>
  <si>
    <t>v_S-4ftlylgig</t>
  </si>
  <si>
    <t>A measuring tape is shown up close.</t>
  </si>
  <si>
    <t>We see a track person preparing to run.</t>
  </si>
  <si>
    <t>He runs, taking a huge leap into the sand, landing on the number 18.</t>
  </si>
  <si>
    <t>v_hSq0yL5AB40</t>
  </si>
  <si>
    <t>Several clips of people are shown waving to the camera and watch people riding bikes.</t>
  </si>
  <si>
    <t>Many people are shown riding around on bikes around a long track and the camera panning around.</t>
  </si>
  <si>
    <t>v_Cb3IonOw0bs</t>
  </si>
  <si>
    <t>A lady sits in a tub and rubs her legs with water while wearing an exfoliater glove.</t>
  </si>
  <si>
    <t>The camera zooms out and we see it's a set with camera equipment around.</t>
  </si>
  <si>
    <t>The lady then shaves her legs with an electric shaver.</t>
  </si>
  <si>
    <t>We see the lady smile and continue to shave her legs.</t>
  </si>
  <si>
    <t>v_h-_dzZ3cCfc</t>
  </si>
  <si>
    <t>A man is shown talking to the camera while walking slowly onto the field with a group of players.</t>
  </si>
  <si>
    <t>Various players are shown one on one with several shots of stadium and cities are shown.</t>
  </si>
  <si>
    <t>The athletes prepare themselves for the match and are shown playing out on the field.</t>
  </si>
  <si>
    <t>The men cheer when they score a goal and sit on the bench after being tired.</t>
  </si>
  <si>
    <t>They run through stadiums and speak to the camera about being a professional athlete.</t>
  </si>
  <si>
    <t>v_n50dwUENM1E</t>
  </si>
  <si>
    <t>There's a woman in her kitchen demonstrating how to use Astra Clean composite sink cleaner She sprays the kitchen sink with the Astra Clean quirt bottle and then uses a brush to scrub the sink.</t>
  </si>
  <si>
    <t>After she's done, she looks impressed at the sparkly clean kitchen sink.</t>
  </si>
  <si>
    <t>She puts the bottle down on the sink and walks away.</t>
  </si>
  <si>
    <t>v_QX-uieRfKgg</t>
  </si>
  <si>
    <t>The man with black apron is brushing the counter.</t>
  </si>
  <si>
    <t>The man in apron smoothen the ski board, then brushed off the dust.</t>
  </si>
  <si>
    <t>The man put polish on the board and continue to scrape and brush the board.</t>
  </si>
  <si>
    <t>v_C8m_dPhMGbg</t>
  </si>
  <si>
    <t>An intro leads into several clips of a person riding down a snowy hill on a snowboard.</t>
  </si>
  <si>
    <t>The person continues riding down through the snow and falling at one point but cleaning off his goggles and speaking to others.</t>
  </si>
  <si>
    <t>v_r0685Fhcfjs</t>
  </si>
  <si>
    <t>A large yard is shown with leaves laid out front and a man speaking to the camera.</t>
  </si>
  <si>
    <t>The man pushes the leaves around the yard.</t>
  </si>
  <si>
    <t>The man holds up the leaves and speaks to the camera.</t>
  </si>
  <si>
    <t>v_46ac33Z6V4E</t>
  </si>
  <si>
    <t>person in a dog costome is walking in the outside of a snowy house.</t>
  </si>
  <si>
    <t>person in the costume and cross the street to a car.</t>
  </si>
  <si>
    <t>man sart cleaning he snow from the driver's window and the back window.</t>
  </si>
  <si>
    <t>v_6E4_XOsT89k</t>
  </si>
  <si>
    <t>A person is standing on top of a high diving board.</t>
  </si>
  <si>
    <t>They jump off and do flips into the water.</t>
  </si>
  <si>
    <t>The crowd watches the person dive.</t>
  </si>
  <si>
    <t>v_ROvaMfVEMSw</t>
  </si>
  <si>
    <t>A man is seen sitting on a horse and riding into a pit swinging a rope.</t>
  </si>
  <si>
    <t>The man throws the rope onto a calf and jumps off the horse.</t>
  </si>
  <si>
    <t>He ties up the calf and ends by running back to the horse.</t>
  </si>
  <si>
    <t>v_8qAdvUvNuts</t>
  </si>
  <si>
    <t>A view of the countryside is seen in multiple images, including buildings, trees, fields and flowers near the ocean.</t>
  </si>
  <si>
    <t>A man is shown mountain climbing up the side of a cliff.</t>
  </si>
  <si>
    <t>v_2n6MvpNewpI</t>
  </si>
  <si>
    <t>man is mopping the floor in a laundry room.</t>
  </si>
  <si>
    <t>man squeeze out the mop in a bucket.</t>
  </si>
  <si>
    <t>v_sFQ7AaId8zg</t>
  </si>
  <si>
    <t>A woman shows a little girl to turn a handle, then, the little girl peels an orange spinning the handle of the machine.</t>
  </si>
  <si>
    <t>The handle gets stuck and the woman tries to help the girl.</t>
  </si>
  <si>
    <t>After, the girl continues turning the handle to peel the orange.</t>
  </si>
  <si>
    <t>v_89S-sQUWIcg</t>
  </si>
  <si>
    <t>A large group of people are seen running around a field playing a game with one another while the camera pans around the area.</t>
  </si>
  <si>
    <t>The games continues on as people cheer on the sides and the men continue playing with one another.</t>
  </si>
  <si>
    <t>v_cqkcRy3k4v0</t>
  </si>
  <si>
    <t>people are riding camels in the sand, the camel kneel down and the man and the woman go down.</t>
  </si>
  <si>
    <t>camel in the back kneel down and people go down in the back are cars and people walking in the parking lot and taking pictures.</t>
  </si>
  <si>
    <t>men go on a camel and the camel stands up.</t>
  </si>
  <si>
    <t>v_bULG65Ec5fo</t>
  </si>
  <si>
    <t>A man is climbing up a mountain trying to find the right spots to pull himself up.</t>
  </si>
  <si>
    <t>He finds a good place to hang his rope on the mountain and starts to climb up again.</t>
  </si>
  <si>
    <t>He decides to move it up a little bit more to a better spot.</t>
  </si>
  <si>
    <t>Then, he starts climbing again struggling a bit before finally making it over the tough spot.</t>
  </si>
  <si>
    <t>v_3eQqgH3PJBo</t>
  </si>
  <si>
    <t>A man in a black shirt and white gloves places billiard balls on a pool table.</t>
  </si>
  <si>
    <t>A man with a light blue shirt inspects the position of the billiard balls up close.</t>
  </si>
  <si>
    <t>The man in the light blue shirt gets into position with the cue stick and breaks the billiards balls and the balls go in many directions.</t>
  </si>
  <si>
    <t>The man in the black shirt returns and inspects the table and then steps back.</t>
  </si>
  <si>
    <t>The man in the light blue shirt prepares for his next shot by walking from one side of the billiard table to the other looking for his next shot.</t>
  </si>
  <si>
    <t>He chalks the tip of the cue stick before taking his shot.</t>
  </si>
  <si>
    <t>He then prepares for his next shot walking around the billiard table.</t>
  </si>
  <si>
    <t>v_hOdSTik8_nw</t>
  </si>
  <si>
    <t>The coach is coaching his team.</t>
  </si>
  <si>
    <t>The guy in the black in the back walks off.</t>
  </si>
  <si>
    <t>The coach is then speaking to the parents.</t>
  </si>
  <si>
    <t>two new guys arrive in the back.</t>
  </si>
  <si>
    <t>The coach is on the field with the teams.</t>
  </si>
  <si>
    <t>the yellow bus drives past.</t>
  </si>
  <si>
    <t>the red team is listening to the coach.</t>
  </si>
  <si>
    <t>The kids are playing the game.</t>
  </si>
  <si>
    <t>The kids are listening to the coach.</t>
  </si>
  <si>
    <t>The game is on again.</t>
  </si>
  <si>
    <t>A white bus drives past.</t>
  </si>
  <si>
    <t>v_ekgfptN7tQk</t>
  </si>
  <si>
    <t>The word Surfer is on the screen.</t>
  </si>
  <si>
    <t>A surfer is taking to the camera.</t>
  </si>
  <si>
    <t>A surfer is walking on the beach.</t>
  </si>
  <si>
    <t>A man is surfing in the water while the man is taking again.</t>
  </si>
  <si>
    <t>There are a crowd of surfers on the island.</t>
  </si>
  <si>
    <t>Several surfers are in the water and the man is still being interviewed.</t>
  </si>
  <si>
    <t>v_03BMaaMEcNo</t>
  </si>
  <si>
    <t>Two people are seen sitting before a wave pool and one leads another out onto the water on a board.</t>
  </si>
  <si>
    <t>The person falls when another attempts to ride the board on the water.</t>
  </si>
  <si>
    <t>The person continues riding along the water and ends with the camera panning around the area and the boy falls.</t>
  </si>
  <si>
    <t>v_5gc896my38M</t>
  </si>
  <si>
    <t>Several couples are shown running outside and doing various activities outside in the sun.</t>
  </si>
  <si>
    <t>More and more people begin talking and each of them has a bottle of sun screen and starts to squirt it on their arms in effort to protect their skin.</t>
  </si>
  <si>
    <t>A small blue bottle of the sun screen is then shown and several more people begin talking about the product.</t>
  </si>
  <si>
    <t>The website to buy the product is shown and the whole video plays again as if its looped.</t>
  </si>
  <si>
    <t>v_EY4YIa-kNgs</t>
  </si>
  <si>
    <t>A young boy holds a dish scrub as he speaks.</t>
  </si>
  <si>
    <t>He turns to the sink behind him where there are dishes sitting in water.</t>
  </si>
  <si>
    <t>He drops the scrub into the sink and lays a glass down.</t>
  </si>
  <si>
    <t>He grabs a towel and cleans the glass and moves on to scrub the glass as well.</t>
  </si>
  <si>
    <t>He puts down the scrub and grabs the glass to place it in the right side of the sink where he wets the glass and puts it away in the dish rack.</t>
  </si>
  <si>
    <t>He moves to grab the towel and clean a dish.</t>
  </si>
  <si>
    <t>He soaks the dish in water and moves it to the dish rack.</t>
  </si>
  <si>
    <t>He returns to use the towel and clean a knife.</t>
  </si>
  <si>
    <t>He soaks the knife in the water and moves it to the dish rack, the boy goes back to clean a fork with the towel.</t>
  </si>
  <si>
    <t>He moves the fork to the water to rinse soap off it.</t>
  </si>
  <si>
    <t>The young boy stands in front of camera, speaking.</t>
  </si>
  <si>
    <t>v_WcQV3OzK_sc</t>
  </si>
  <si>
    <t>A man is seen recording a small child who is having her hair combed by a woman standing behind her.</t>
  </si>
  <si>
    <t>Several people and kids watch on the side and the woman puts the girls hair into ponytails.</t>
  </si>
  <si>
    <t>She speaks to the camera and cuts the girls hair when the dad puts the hair on his head and makes the kids laugh.</t>
  </si>
  <si>
    <t>The woman continues cutting her hair while others watch and speaks to the camera, followed by the woman straightening the hair and showing it off in slow motion.</t>
  </si>
  <si>
    <t>The girl holds her hair and screams in excitement at the camera.</t>
  </si>
  <si>
    <t>v_MNSDK-vCwTM</t>
  </si>
  <si>
    <t>Two girls are seen speaking to the camera while holding cups in their hands and laughing to one another.</t>
  </si>
  <si>
    <t>The camera zooms in on the cups and the girl continue laughing while finally drinking from the cup.</t>
  </si>
  <si>
    <t>They hold the liquid into their mouth and spit it out and laugh in the end.</t>
  </si>
  <si>
    <t>v_TNVdpnrtn5A</t>
  </si>
  <si>
    <t>A man is seen speaking to the camera as well as bowing to the camera.</t>
  </si>
  <si>
    <t>The man kneels down on his knees several times and bows again.</t>
  </si>
  <si>
    <t>He turns himself around still bowing and ends by standing up.</t>
  </si>
  <si>
    <t>v_Bg526A61c1w</t>
  </si>
  <si>
    <t>Before an Olympic weight lifting event, a Chinese competitor is shown preparing by working out in a gym.</t>
  </si>
  <si>
    <t>He then practices for the event by lifting the big Olympic sized weights.</t>
  </si>
  <si>
    <t>At the competition, he picks up the weights from a squatting position before rising up and then throwing the weights down on completion.</t>
  </si>
  <si>
    <t>Various successful lifts are shown and the competitor hugs his trainer.</t>
  </si>
  <si>
    <t>v_UgrOTFBD7tA</t>
  </si>
  <si>
    <t>Mountains are seen in the distance with clouds moving over top during the afternoon.</t>
  </si>
  <si>
    <t>Mountain climbers use ropes and hooks to metal clips up along cracks in a sheer rock face.</t>
  </si>
  <si>
    <t>The climber sets a metal round clips into the crack of the rock face.</t>
  </si>
  <si>
    <t>Clouds move over a mountain range at sunset.</t>
  </si>
  <si>
    <t>v_wJOHmxQZPR4</t>
  </si>
  <si>
    <t>A woman is seen hosting a news segment speaking to the camera and transitions into a group of men walking in a straight line.</t>
  </si>
  <si>
    <t>The people then perform in front of a large group of people and one performer is interviewed in between.</t>
  </si>
  <si>
    <t>The news segment then begins talking to other people in the studio who give their opinions and ends with the host laughing and smiling.</t>
  </si>
  <si>
    <t>v_HqxTRzf11tc</t>
  </si>
  <si>
    <t>A person is seen standing ready in front of a large track with people sitting and standing around watching him.</t>
  </si>
  <si>
    <t>The persons ticks their arms out and runs down the track into the sit pit and flips over.</t>
  </si>
  <si>
    <t>v_MKLoBzvca30</t>
  </si>
  <si>
    <t>A man in a white hat is holding a black ball and talking.</t>
  </si>
  <si>
    <t>People are playing a game of indoor soccer.</t>
  </si>
  <si>
    <t>A man in a white jacket is talking to the camera.</t>
  </si>
  <si>
    <t>v_GrqBqKMW4ps</t>
  </si>
  <si>
    <t>A man is doing a gymnastics routine on parallel bars.</t>
  </si>
  <si>
    <t>He dismounts and lands on a mat.</t>
  </si>
  <si>
    <t>He gives several people high fives as he walks off the mat.</t>
  </si>
  <si>
    <t>v_jl10JmELMqY</t>
  </si>
  <si>
    <t>An older woman is shown talking to the camera and begins knitting on a couch.</t>
  </si>
  <si>
    <t>She continues talking to the camera while the lens zoom in and out of her hands continuing to knit.</t>
  </si>
  <si>
    <t>She shows off her sweater and finally puts her knitting gear down.</t>
  </si>
  <si>
    <t>v_EQK_o1qHx7M</t>
  </si>
  <si>
    <t>There's a young boy standing in his kitchen with a jug of water, some lemons and some apples behind him on the counter.</t>
  </si>
  <si>
    <t>He is pointing to the lemons.</t>
  </si>
  <si>
    <t>His mother comes and helps him squeeze the juice out of the lemons.</t>
  </si>
  <si>
    <t>Both the mother and son use a lemon juicer to squeeze the juice and add it to the jug of water.</t>
  </si>
  <si>
    <t>The mother makes sure that all the juice is properly squeezed out of the lemons, so she uses her hands.</t>
  </si>
  <si>
    <t>Then she adds some food coloring to the lemonade and stirs it well.</t>
  </si>
  <si>
    <t>She then pours the lemonade in a glass with ice and gives it to her son.</t>
  </si>
  <si>
    <t>He takes a sip of the lemonade and smiles.</t>
  </si>
  <si>
    <t>v_L-A8RECKhtQ</t>
  </si>
  <si>
    <t>A picture of a man is seen and leads into a man bending down on a lawn and performing various dance moves.</t>
  </si>
  <si>
    <t>The man sings along while performing his routine and is then seen running across the yard with a lawn mower.</t>
  </si>
  <si>
    <t>More dancing and singing is seen, a picture of holding cards is shown, and ends with him cutting the grass and holding down with a friend.</t>
  </si>
  <si>
    <t>v_al_769KF6Qc</t>
  </si>
  <si>
    <t>A woman walks over to a flower bed and wheelbarrow as she talks.</t>
  </si>
  <si>
    <t>She demonstrates how to mulch, picking up the material and showing how to pack it around plants.</t>
  </si>
  <si>
    <t>v_ac1M42uRXS8</t>
  </si>
  <si>
    <t>Two girls are on an indoor basketball court.</t>
  </si>
  <si>
    <t>They are performing using batons and wearing purple dresses.</t>
  </si>
  <si>
    <t>They spin and toss, throwing the batons into the air as they perform.</t>
  </si>
  <si>
    <t>v_X3hQtXddMd4</t>
  </si>
  <si>
    <t>A camera and logo appear briefly.</t>
  </si>
  <si>
    <t>A person wake boards on a lake while being towed.</t>
  </si>
  <si>
    <t>They pass a person in the water.</t>
  </si>
  <si>
    <t>They come to a stop by a dock.</t>
  </si>
  <si>
    <t>v_sNQQ2Fpxbzw</t>
  </si>
  <si>
    <t>A black screen is shown with green words on it and then the screen moves to a white paper with black words.</t>
  </si>
  <si>
    <t>After, a green Lacrosse team appears and they begin to compete.</t>
  </si>
  <si>
    <t>Someone makes a goal and then the ball is placed back in the middle of the field.</t>
  </si>
  <si>
    <t>When they are finished still images from the game are shown.</t>
  </si>
  <si>
    <t>Finally,a black screen appears and the score is shown in blue and green writing.</t>
  </si>
  <si>
    <t>v_sYAGVE3luRo</t>
  </si>
  <si>
    <t>People are playing instruments marching down a street.</t>
  </si>
  <si>
    <t>They start marching in a circle in a room.</t>
  </si>
  <si>
    <t>A person holding a baton stands in front of the band.</t>
  </si>
  <si>
    <t>v_nfBBazBLQFk</t>
  </si>
  <si>
    <t>A man stands on the roof of a building, and two others appear.</t>
  </si>
  <si>
    <t>They are flying kites in the air over the brick building.</t>
  </si>
  <si>
    <t>The men make the kites dip and dive as they talk and interact.</t>
  </si>
  <si>
    <t>v_tJbScqVWPsU</t>
  </si>
  <si>
    <t>An outdoor scene by the beach shows a large crowd near a resort.</t>
  </si>
  <si>
    <t>They are cheering as several professional skateboarders perform stunts in a ramp pit.</t>
  </si>
  <si>
    <t>The flip and turn in the air, going up and down the ramp.</t>
  </si>
  <si>
    <t>The winners pose for photos with cakes when they are done.</t>
  </si>
  <si>
    <t>v_PUI2Qrn0qbE</t>
  </si>
  <si>
    <t>kids are driving on bumper cars spinning and bumping.</t>
  </si>
  <si>
    <t>kid is wearing blue shirt and clash with the fence holding the handles with both hands.</t>
  </si>
  <si>
    <t>girl is wearing a leather jacket spining in the bumper car in the amusement car.</t>
  </si>
  <si>
    <t>v_lhnhGI-rrzM</t>
  </si>
  <si>
    <t>There's a young man wearing a blue shirt and a black helmet skateboarding on a two way road.</t>
  </si>
  <si>
    <t>He is going at a steady and fast speed as he passes through a few cars and lots of trees.</t>
  </si>
  <si>
    <t>He also passes through some residential areas as he skateboards.</t>
  </si>
  <si>
    <t>He finally slows down as cameraman approaches a gray car.</t>
  </si>
  <si>
    <t>The cameraman gets into the car and takes the skateboard away.</t>
  </si>
  <si>
    <t>The skateboarder is kneeling on the side of the main road.</t>
  </si>
  <si>
    <t>He then gets up and walks away.</t>
  </si>
  <si>
    <t>v_PntiXZ692xM</t>
  </si>
  <si>
    <t>We see a magazine on a black background.</t>
  </si>
  <si>
    <t>People begin running on country roads in a marathon.</t>
  </si>
  <si>
    <t>We see them get drinks at a table.</t>
  </si>
  <si>
    <t>A man is running and holding a camera facing himself.</t>
  </si>
  <si>
    <t>The man who is running is seen again.</t>
  </si>
  <si>
    <t>We see a person point at a lake.</t>
  </si>
  <si>
    <t>We cross the finish line.</t>
  </si>
  <si>
    <t>A man is in a lake cooling off.</t>
  </si>
  <si>
    <t>v_2KYGAq5qQCI</t>
  </si>
  <si>
    <t>A close up is shown of a room with a window.</t>
  </si>
  <si>
    <t>a man is smoothing mud over the wall.</t>
  </si>
  <si>
    <t>He measures and cuts then spreads again.</t>
  </si>
  <si>
    <t>When he is done, the wall is completely smooth.</t>
  </si>
  <si>
    <t>v_W0EN9JeU66A</t>
  </si>
  <si>
    <t>A young child is moving back and fourth on a swing while laughing and smiling to the camera.</t>
  </si>
  <si>
    <t>The child continues pumping their legs and then is stiff while looking off into the distance.</t>
  </si>
  <si>
    <t>v_4w_46rTInXI</t>
  </si>
  <si>
    <t>A bunch of people are playing beer pong in different outfits.</t>
  </si>
  <si>
    <t>Then people bong a beer.</t>
  </si>
  <si>
    <t>A lot of dancing happens at the end.</t>
  </si>
  <si>
    <t>v_wVahCLOq4s0</t>
  </si>
  <si>
    <t>woman is sitting in front of a white table holding a halloween pumpkin.</t>
  </si>
  <si>
    <t>woman holds a knife and and cut the pumpkin head and remove all the seeds from the inside.</t>
  </si>
  <si>
    <t>woman daw the face with black markers and open the holes on the pumpkin.</t>
  </si>
  <si>
    <t>v_5zCY_vezHaU</t>
  </si>
  <si>
    <t>A man in black shirt is stalking in front of the camera, then the calendar and then drawing is shown.</t>
  </si>
  <si>
    <t>The blonde man is talking in front of the camera, while behind him is an empty ramp, then the man skateboard in a wooden ramp, then is is showing how to skateboard, then he skateboard and did tricks on a wooden ramp, then he continue to talk, and then skateboard again.</t>
  </si>
  <si>
    <t>v_PgfUSPHXluA</t>
  </si>
  <si>
    <t>woman wearing a red shirt is arm wretling again anothe woman laying on the floor.</t>
  </si>
  <si>
    <t>a blonde woman wearing grey shirt is arm wrestling with another woman on a room.</t>
  </si>
  <si>
    <t>the winner woman is making poses laying on the floor.</t>
  </si>
  <si>
    <t>v_grvzIljsqcI</t>
  </si>
  <si>
    <t>A young woman is seen looking at the camera while taking a drink and fixing her hair.</t>
  </si>
  <si>
    <t>The woman then holds up a pack of cigarettes and begins smoking a cigarette.</t>
  </si>
  <si>
    <t>The woman continuously smokes and drinks one after the other while continuing to look to the camera.</t>
  </si>
  <si>
    <t>v_LrputIUn4oY</t>
  </si>
  <si>
    <t>There are different athletes in the beginning of the video, but then 2 people are shown diving into the water while a huge crowd watches them.</t>
  </si>
  <si>
    <t>In the end, the men's 10m synchro platform is held.</t>
  </si>
  <si>
    <t>v_r40TuTkt9y4</t>
  </si>
  <si>
    <t>Various shots of landscapes are shown that interments with people riding in a large raft.</t>
  </si>
  <si>
    <t>At one point the raft flips over the men riding down the river.</t>
  </si>
  <si>
    <t>More shots of people riding down the river are shown as well as people speaking to the camera.</t>
  </si>
  <si>
    <t>v_mGsenLq9yEU</t>
  </si>
  <si>
    <t>A news woman is talking in a news room.</t>
  </si>
  <si>
    <t>Bullfighters are shown inside a ring.</t>
  </si>
  <si>
    <t>They are trying to entice the bull with capes.</t>
  </si>
  <si>
    <t>v_VVyE6rVJEuI</t>
  </si>
  <si>
    <t>Two people are dancing in a room.</t>
  </si>
  <si>
    <t>They turn to the side and continue dancing.</t>
  </si>
  <si>
    <t>They finish and pose at the end.</t>
  </si>
  <si>
    <t>v_kJrHvEECvEA</t>
  </si>
  <si>
    <t>A woman standing outside on the roof smoking a cigarette.</t>
  </si>
  <si>
    <t>She blows smoke and plays around with her hair.</t>
  </si>
  <si>
    <t>She keeps smoking and blowing smoking casually all by her lonesome.</t>
  </si>
  <si>
    <t>She exhales one last time and then put her cigarette out on a wall.</t>
  </si>
  <si>
    <t>v_PDaGlIxn6Pk</t>
  </si>
  <si>
    <t>A couple of teams are playing lacrosse on an open field.</t>
  </si>
  <si>
    <t>A crowd watches the game intently.</t>
  </si>
  <si>
    <t>The players run back and forth across the field, hitting the ball into goals.</t>
  </si>
  <si>
    <t>v_x-WGuz3_2Fc</t>
  </si>
  <si>
    <t>A man is seen speaking to the camera while peeling potatoes and looking to the camera.</t>
  </si>
  <si>
    <t>The camera pans around the man continuously as he continues to peel the potatoes and speak.</t>
  </si>
  <si>
    <t>v_IpFsz2xc3sY</t>
  </si>
  <si>
    <t>A woman is speaking to a webcam in her bedroom.</t>
  </si>
  <si>
    <t>She begins to play with her hair, separating part of it and braiding it.</t>
  </si>
  <si>
    <t>She places the first braid into her mouth while creating another one.</t>
  </si>
  <si>
    <t>She criss crosses the braids, and places a rubberband on it.</t>
  </si>
  <si>
    <t>She begins to do the same process with the other side of her hair.</t>
  </si>
  <si>
    <t>The video finishes by cutting a still image of the same girl and panning up and down.</t>
  </si>
  <si>
    <t>v_uHLEUps_ahs</t>
  </si>
  <si>
    <t>A man is standing in front of a white screen.</t>
  </si>
  <si>
    <t>He is talking about the saxophone in his hands and showing the proper hand positions.</t>
  </si>
  <si>
    <t>He demonstrates how to play the instrument.</t>
  </si>
  <si>
    <t>v_vb1CG5i1lEs</t>
  </si>
  <si>
    <t>A person wearing a large, white suit is shown spraying down a fence with water.</t>
  </si>
  <si>
    <t>The person is shown from various angles performing the task and makes the fence look brand new.</t>
  </si>
  <si>
    <t>v_qXUdnj4VN80</t>
  </si>
  <si>
    <t>A female seems to be doing tricks with a hula hooping while being very flexible with her body.</t>
  </si>
  <si>
    <t>the lady also rides a one wheel bike while hula hooping.</t>
  </si>
  <si>
    <t>the girl then hula hoops while standing on a mat then hula hoops with two hula hoops standing in the same spot.</t>
  </si>
  <si>
    <t>the girl then hula hoops hanging upside down,she also hula hoops around her hand while doing a split on a mat.</t>
  </si>
  <si>
    <t>the girl hula hoops a big tire hula hoop then hula hoops with three hula hoops using her two hands and one feet in the air.</t>
  </si>
  <si>
    <t>the girl then's try to hula hoop a lot of hula hoops at one time as other girls keep adding more to her.</t>
  </si>
  <si>
    <t>v_exzuzQLrv7g</t>
  </si>
  <si>
    <t>Three men dressed in fencing gear are standing in a gym.</t>
  </si>
  <si>
    <t>The man in the middle is talking and the other two remain still.</t>
  </si>
  <si>
    <t>The two men begin making movements as the man instructs them to, showing off the different fencing techniques.</t>
  </si>
  <si>
    <t>They fight slowly, showing each step before culminating into the man's final words onscreen.</t>
  </si>
  <si>
    <t>v_xcrGhwE7R5E</t>
  </si>
  <si>
    <t>A man is talking in his kitchen.</t>
  </si>
  <si>
    <t>He shows how to mix a sauce into pasta, and season it.</t>
  </si>
  <si>
    <t>He then shows how to plate and serve the food.</t>
  </si>
  <si>
    <t>v_81F42Yyw_iY</t>
  </si>
  <si>
    <t>A woman pole vaults over a tall bar.</t>
  </si>
  <si>
    <t>She lands on a yellow mat under her.</t>
  </si>
  <si>
    <t>v_D2IDRG8_6To</t>
  </si>
  <si>
    <t>A young man is talking the the camera.</t>
  </si>
  <si>
    <t>The man stands with a stick in his hand.</t>
  </si>
  <si>
    <t>The man points away from himself.</t>
  </si>
  <si>
    <t>The man takes the stick and pushes pucks around the ground.</t>
  </si>
  <si>
    <t>v_3cjtV-ldvto</t>
  </si>
  <si>
    <t>woman put an egg on a bowl and mix it with vanilla.</t>
  </si>
  <si>
    <t>quick oats and baking powder, cocoa powder and salt are mixed in a bowl.</t>
  </si>
  <si>
    <t>a chocolate bar are cut in pieces with nuts and put in a bowl.</t>
  </si>
  <si>
    <t>sugar and butter are mixed in a bowl till cream and put the vanilla and the powder ingredients with the chocolate and he nuts.</t>
  </si>
  <si>
    <t>themix is wrap and put in a refrigerator.</t>
  </si>
  <si>
    <t>batch is in a pan and ar ready to eat.</t>
  </si>
  <si>
    <t>v_gCxLG4hinNw</t>
  </si>
  <si>
    <t>A man is standing on a show playing bagpipes while other around him watch in amazement.</t>
  </si>
  <si>
    <t>The man continues to play and the audience claps when he finishes.</t>
  </si>
  <si>
    <t>He hands the instrument to a man walking in and gives the host a handshake.</t>
  </si>
  <si>
    <t>He talks to the host a bit and strikes a pose before the host finishes with the guest.</t>
  </si>
  <si>
    <t>v_yaWwad6WXVY</t>
  </si>
  <si>
    <t>A person practice dribbling and shooting the ball walking or running in the court, while a man watch the training.</t>
  </si>
  <si>
    <t>The man stands and leave the court.</t>
  </si>
  <si>
    <t>After, several men practice basketball in a court.</t>
  </si>
  <si>
    <t>v_-KjJxkFUhv4</t>
  </si>
  <si>
    <t>The word Happy is written in pebbles on the side of the sand.</t>
  </si>
  <si>
    <t>A large body of crystal blue water is shown and a large boat with people are in it.</t>
  </si>
  <si>
    <t>The individuals began dancing and jumping off the boat and enjoy themselves in the water.</t>
  </si>
  <si>
    <t>As the people continue,three or four people are in the water swimming with goggles on.</t>
  </si>
  <si>
    <t>v_XnctHnlJB4g</t>
  </si>
  <si>
    <t>A man in red stands on a stage.</t>
  </si>
  <si>
    <t>He lifts a barbell over his head.</t>
  </si>
  <si>
    <t>He drops the barbell on the ground.</t>
  </si>
  <si>
    <t>Several people cheer him on.</t>
  </si>
  <si>
    <t>v_x08PpU3uQ6Y</t>
  </si>
  <si>
    <t>The woman in white shirt is standing, then kneel down next to a big plastic bag on the ground.</t>
  </si>
  <si>
    <t>She opened the bag, put the content of the bag in the uneven hole on the ground, and flatten it using her gloved hand.</t>
  </si>
  <si>
    <t>She looked at the camera and talked while she's kneeling next to the plastic bags.</t>
  </si>
  <si>
    <t>She put another bag on the ground, flatten them using her hand until the area is covered.</t>
  </si>
  <si>
    <t>She walks forward, bend sideward to flatten some more dirt.</t>
  </si>
  <si>
    <t>v_xS-F-9E3xKk</t>
  </si>
  <si>
    <t>Two women are on a stand opposite one another at a table beginning to arm wrestle.</t>
  </si>
  <si>
    <t>There is a brief hold up before they begin,because their thumb positing is inaccurate.</t>
  </si>
  <si>
    <t>Once they finally begin,the girl on the left wins but she is quickly stopped and they have to restart and the same girl wins again.</t>
  </si>
  <si>
    <t>v_Kj2SF5bCxJ8</t>
  </si>
  <si>
    <t>A kid spreads peanut butter in two slices of bread.</t>
  </si>
  <si>
    <t>Then, the kid adds on top jelly.</t>
  </si>
  <si>
    <t>After, the kid gives a bite to the peanut butter and jelly sandwich.</t>
  </si>
  <si>
    <t>v_kBDTz-dwQ2k</t>
  </si>
  <si>
    <t>There is a woman in a white blouse along with a man in a white shirt in a studio practicing ballroom dancing.</t>
  </si>
  <si>
    <t>They are in a room with a wall full of mirrors.</t>
  </si>
  <si>
    <t>The lady is explaining the steps of the dance as they both demonstrate the moves and foot work involved in the dance.</t>
  </si>
  <si>
    <t>They go back and forth as they take their steps while holding each other's hands.</t>
  </si>
  <si>
    <t>v_ANB_IQfi9kA</t>
  </si>
  <si>
    <t>A man runs past an approaching storm.</t>
  </si>
  <si>
    <t>Surfers are seen in the water, and people are walking with their surfboards.</t>
  </si>
  <si>
    <t>A group of women gather, and a praying mantis is seen.</t>
  </si>
  <si>
    <t>Numerous surfers are then shown, going through and over various waves.</t>
  </si>
  <si>
    <t>v_qF3EbR8y8go</t>
  </si>
  <si>
    <t>woman is painting in a white paper green leaves in a chinese tree.</t>
  </si>
  <si>
    <t>a red paint is shown and woman put a stamp on the corner of the paper.</t>
  </si>
  <si>
    <t>woman is painting a blue ad purple chinese flower.</t>
  </si>
  <si>
    <t>a red and black flowers are painted on a white paper with very detail for the same woman in a dark room.</t>
  </si>
  <si>
    <t>woman used some black painting for make details, put the red stamp on the corner and finished the painting with yellow and reddetails on the flowers.</t>
  </si>
  <si>
    <t>v_gMV5Mso7758</t>
  </si>
  <si>
    <t>A close up of a man is shown followed by him asking a woman a question on the beach.</t>
  </si>
  <si>
    <t>He then is shown speaking to several different people holding a frisbee and playing a game.</t>
  </si>
  <si>
    <t>Many women laugh with the men and the man gives several of them a kiss.</t>
  </si>
  <si>
    <t>v_tzChPctqAP4</t>
  </si>
  <si>
    <t>Two men are seen jumping and kicking around one another performing various flips and tricks.</t>
  </si>
  <si>
    <t>The men continue spinning around one another as well as performing gymnastics moves in different locations.</t>
  </si>
  <si>
    <t>v_ivBgqENFmt0</t>
  </si>
  <si>
    <t>A planter of flowers is seen in front of a home.</t>
  </si>
  <si>
    <t>A roofer nails tiles into the roof beams of a home.</t>
  </si>
  <si>
    <t>The construction worker slides tiles into place on a roof.</t>
  </si>
  <si>
    <t>A crew of construction workers get tiles up onto a roof.</t>
  </si>
  <si>
    <t>A finished tile roof is seen when the job is done.</t>
  </si>
  <si>
    <t>A worker uses a spatula tool to apply grout in between tiles on the roof.</t>
  </si>
  <si>
    <t>v_YULJjXegG1w</t>
  </si>
  <si>
    <t>A basketball court is shown outdoors.</t>
  </si>
  <si>
    <t>A man runs up, and does several consecutive lay ups.</t>
  </si>
  <si>
    <t>He makes a few baskets, then tries again and again.</t>
  </si>
  <si>
    <t>Some kids run by, waving at the camera.</t>
  </si>
  <si>
    <t>v_Qf6gZtm9BIg</t>
  </si>
  <si>
    <t>A man is standing outside talking.</t>
  </si>
  <si>
    <t>He gets onto a slack line and starts to cross it.</t>
  </si>
  <si>
    <t>He falls off onto the grass.</t>
  </si>
  <si>
    <t>v_Lan3mtnCmlw</t>
  </si>
  <si>
    <t>We see a Santa clause underwater in the ocean.</t>
  </si>
  <si>
    <t>We see white and yellow fish swimming around the man.</t>
  </si>
  <si>
    <t>We sit above the man seeing his bubbles.</t>
  </si>
  <si>
    <t>The man swims under a rock arch.</t>
  </si>
  <si>
    <t>v__0CqozZun3U</t>
  </si>
  <si>
    <t>man is standing in the botom of a stairs and is cleaning the snow hil in the street a snowplow is passing and the man is cleaning the snow and doing a path.</t>
  </si>
  <si>
    <t>man is standing in front of a car and is cleaning the windshield and all the windows.</t>
  </si>
  <si>
    <t>v_FmRLElPPWV8</t>
  </si>
  <si>
    <t>People prepare to go canoeing and then launch their boats.</t>
  </si>
  <si>
    <t>People then go down the stream.</t>
  </si>
  <si>
    <t>v_Pp4U2Ql7bhY</t>
  </si>
  <si>
    <t>A man in a Batman shirt is sitting down talking.</t>
  </si>
  <si>
    <t>A person starts welding a piece of metal.</t>
  </si>
  <si>
    <t>He takes a brush and brushes off the piece of metal.</t>
  </si>
  <si>
    <t>He puts all the pieces in a black bag.</t>
  </si>
  <si>
    <t>v_BdAPzcdrk9g</t>
  </si>
  <si>
    <t>A small group of people are seen standing on two sides of a net.</t>
  </si>
  <si>
    <t>The people then begin playing a game of badminton with one another.</t>
  </si>
  <si>
    <t>They continue to hit the birdie around while serving it to the other side and hitting it back.</t>
  </si>
  <si>
    <t>v_fLCWIE8a4AU</t>
  </si>
  <si>
    <t>A crowd of about one thousand people are outside and in the stadium watching a bull fight.</t>
  </si>
  <si>
    <t>Three young men are in the center and begin to tamper with two black and white bulls.</t>
  </si>
  <si>
    <t>The two bulls are now fighting with one another and the crowd begins to close in on them to see the action.</t>
  </si>
  <si>
    <t>v_VOTBtV0CQ8c</t>
  </si>
  <si>
    <t>A camera pans around a lake and shows a boat moving along the water.</t>
  </si>
  <si>
    <t>A person is seen riding behind the boat on a pair of skis.</t>
  </si>
  <si>
    <t>More shots are shown of the boat riding around with a person skiing in the back.</t>
  </si>
  <si>
    <t>v_Lm7KLQgzQDk</t>
  </si>
  <si>
    <t>A large group of people are seen standing together dressed up with one man speaking into a mic and pointing.</t>
  </si>
  <si>
    <t>The man then busts out into song and dance with another man and pointing to the groom gradually.</t>
  </si>
  <si>
    <t>v_PLWeVDUH_Cw</t>
  </si>
  <si>
    <t>Business men walk through a busy crowd.</t>
  </si>
  <si>
    <t>A business man plays against a table tennis professional.</t>
  </si>
  <si>
    <t>Two businessmen play on a team against the table tennis pro.</t>
  </si>
  <si>
    <t>The match ends and the business men shake hands with the athlete.</t>
  </si>
  <si>
    <t>v_lMFp8FPeDHI</t>
  </si>
  <si>
    <t>A preteen boy is out in an open park filming challenges on monkey bars he points to the left.</t>
  </si>
  <si>
    <t>The camera pans over to the left to show the slide in another part of the jungle gym.</t>
  </si>
  <si>
    <t>The camera pans back to the monkey bars.</t>
  </si>
  <si>
    <t>The boy attempts to climb the monkey bars starting from the second from the top rung of the ladder on the inside and falls, he gets up and goes to the ladder.</t>
  </si>
  <si>
    <t>The boy attempts the climb again, this time from the top rung of the ladder on the inside and falls, he gets up and goes to the ladder again.</t>
  </si>
  <si>
    <t>The boy attempts to climb again, from the top bar on the inside and falls again, he gets up and goes to the ladder again.</t>
  </si>
  <si>
    <t>The boy attempts to climb again, this time he adjusts again standing on the second rung on the inside and falls again when he attempts to climb.</t>
  </si>
  <si>
    <t>The boy attempts to climb again using the same starting point and falls, he gets up and goes toward the ladder but decides he is done and says good-bye.</t>
  </si>
  <si>
    <t>v_zfi8f5NnYaY</t>
  </si>
  <si>
    <t>A man is seen riding around on a horse holding a stick and then pausing to sit.</t>
  </si>
  <si>
    <t>He is then seen again walking with a large group of people drinking water and then shakes hands of several people while walking back.</t>
  </si>
  <si>
    <t>v_kCD0iQFnHA4</t>
  </si>
  <si>
    <t>A close up of a dough is shown and leads into a person spreading frosting on a pastry.</t>
  </si>
  <si>
    <t>She puts the pastry onto the cake and continues putting frosting all around the cake.</t>
  </si>
  <si>
    <t>The camera zooms around the cake and shows the woman putting a face on the cake and showing off the finished result.</t>
  </si>
  <si>
    <t>v_4rv1uLmbyHA</t>
  </si>
  <si>
    <t>Two news anchors are talking in a room.</t>
  </si>
  <si>
    <t>A man is making food in a kitchen.</t>
  </si>
  <si>
    <t>He cooks mushrooms in a pan.</t>
  </si>
  <si>
    <t>He adds the food into a bowl.</t>
  </si>
  <si>
    <t>v_owLQzBg4olo</t>
  </si>
  <si>
    <t>A long colorful scarf is seen running over chairs.</t>
  </si>
  <si>
    <t>A woman is seen knitting the scarf in a purple dress.</t>
  </si>
  <si>
    <t>Three other woman sit together and knit a section of the scarf.</t>
  </si>
  <si>
    <t>v_C7so_y5I_9s</t>
  </si>
  <si>
    <t>We see images of a man opening blinds and carrying a boarding outside.</t>
  </si>
  <si>
    <t>We see a man riding jet skis and performing flips.</t>
  </si>
  <si>
    <t>We see a man sitting on the dock.</t>
  </si>
  <si>
    <t>We see the jet skier ride over a ramp.</t>
  </si>
  <si>
    <t>We see a shoe briefly.</t>
  </si>
  <si>
    <t>v_hf1JuvacaJc</t>
  </si>
  <si>
    <t>Individuals bowl at their lanes and knock down pins.</t>
  </si>
  <si>
    <t>A guy bowls a strike and open his mouth to express anguish.</t>
  </si>
  <si>
    <t>v_nyEcPLZQerc</t>
  </si>
  <si>
    <t>Students are interviewed and then run a race.</t>
  </si>
  <si>
    <t>Everyone seems happy to be involved with the College of Charleston.</t>
  </si>
  <si>
    <t>v_VyD5Z0S9tXU</t>
  </si>
  <si>
    <t>A chef demonstrates how to peel a potato using a potato peeler and a potato, in a kitchen in front of cutting board.</t>
  </si>
  <si>
    <t>The man talks to the camera and begins to peel the potato with the peeler peeling of slices of skin and gesturing at the table.</t>
  </si>
  <si>
    <t>The man peels the potato until it has no more skin on it.</t>
  </si>
  <si>
    <t>v_UmuWttAYfco</t>
  </si>
  <si>
    <t>Two men are standing together on a table with their fist up as the referee holds their wrist.</t>
  </si>
  <si>
    <t>The referee then lets go and almost instantly the arm wrestling match is over and a winner is declared,the winner moves on and several more matches begin to take place and they too are ended abruptly.</t>
  </si>
  <si>
    <t>Near the end however,the opponents finally match and it takes forever to declare a winner as they struggle to move their hands.</t>
  </si>
  <si>
    <t>v_XToVLTbQEm4</t>
  </si>
  <si>
    <t>men are playing basket in a roofed wooden court.</t>
  </si>
  <si>
    <t>man is alone doing lay ups to the basket.</t>
  </si>
  <si>
    <t>another man arrives to the court and start playing together.</t>
  </si>
  <si>
    <t>v_U9b8U-EymNw</t>
  </si>
  <si>
    <t>A company log is on the screen.</t>
  </si>
  <si>
    <t>A boat is floating on the water.</t>
  </si>
  <si>
    <t>A tube has water running through it and there are floats on the water.</t>
  </si>
  <si>
    <t>The camera is scanning the boat.</t>
  </si>
  <si>
    <t>Two women are sitting on the boat, one is poking the other.</t>
  </si>
  <si>
    <t>A plastic seat is inflated then a board is put into the water.</t>
  </si>
  <si>
    <t>A woman is on the board and holding on to a line attached to the boat.</t>
  </si>
  <si>
    <t>A woman is driving the boat while the other woman is boarding behind her.</t>
  </si>
  <si>
    <t>A woman is taking a selfie while on the boat.</t>
  </si>
  <si>
    <t>The woman is doing tricks with the board on the water.</t>
  </si>
  <si>
    <t>She let go of the line and floated freely.</t>
  </si>
  <si>
    <t>v_RA61jh8HwPI</t>
  </si>
  <si>
    <t>A woman is seen putting makeup on her face and leads into several pictures of makeup.</t>
  </si>
  <si>
    <t>Many more pictures of products are shown with text across the screen.</t>
  </si>
  <si>
    <t>More pictures of products are shown that end with more text and a woman pushing away makeup.</t>
  </si>
  <si>
    <t>v_-6prmNqkAN8</t>
  </si>
  <si>
    <t>A large snowy mountain is seen as people gather on the ice.</t>
  </si>
  <si>
    <t>They hit several pucks, sweeping them in a game.</t>
  </si>
  <si>
    <t>v_3sL7fLHM09c</t>
  </si>
  <si>
    <t>A female gymnast is demonstrating a gymnastics performance on bars.</t>
  </si>
  <si>
    <t>Other gymnasts and an instructor are watching the female gymnast perform.</t>
  </si>
  <si>
    <t>Another female gymnast is practicing in the background.</t>
  </si>
  <si>
    <t>v_Z9gstJONME4</t>
  </si>
  <si>
    <t>A man is lifting weights in the gym.</t>
  </si>
  <si>
    <t>The ball goes to the man's chest for the first time.</t>
  </si>
  <si>
    <t>The man takes a break.</t>
  </si>
  <si>
    <t>v_YAPkcWlWmYg</t>
  </si>
  <si>
    <t>A girl is seen listening to music and transitions into her performing a dance routine outside on a walk way.</t>
  </si>
  <si>
    <t>She continues dancing around while smiling to the camera and ends by walking away and giving two peace signs to the camera.</t>
  </si>
  <si>
    <t>v_gGYje5UGLdY</t>
  </si>
  <si>
    <t>A person is seen walking into frame in front of a pair of drums.</t>
  </si>
  <si>
    <t>He then begins playing the drums back and fourth.</t>
  </si>
  <si>
    <t>He continues to play on the drums and ends by turning the camera off.</t>
  </si>
  <si>
    <t>v_QBy64z68s0w</t>
  </si>
  <si>
    <t>A young girl performs her gymnastics routine on the balance beam.</t>
  </si>
  <si>
    <t>The young girl gets on the beam and continues her routine.</t>
  </si>
  <si>
    <t>The young girl falls off the beam.</t>
  </si>
  <si>
    <t>The young girl gets back on the beam and finishes her routine.</t>
  </si>
  <si>
    <t>v_KSu59HUet3E</t>
  </si>
  <si>
    <t>A man with white shirt is standing in front of a machine.</t>
  </si>
  <si>
    <t>He turned around and pointed the machine.</t>
  </si>
  <si>
    <t>The machine is being shown.</t>
  </si>
  <si>
    <t>A man who is wearing a white shirt keeps talking, while behind him a man in gray shirt walked and reach something in the machine.</t>
  </si>
  <si>
    <t>The man in gray shirt put a powdery stuff in the machine.</t>
  </si>
  <si>
    <t>He is shaking the bag.</t>
  </si>
  <si>
    <t>The man in white shirt is putting cement on the wall.</t>
  </si>
  <si>
    <t>The man is holding a blue long tube pointing on the wall.</t>
  </si>
  <si>
    <t>The man in gray uniform used the tube/pump and spray the cement on the wall.</t>
  </si>
  <si>
    <t>An old man is smoothing the cement on the wall.</t>
  </si>
  <si>
    <t>v_NiQaDgj8Z10</t>
  </si>
  <si>
    <t>A lady hula hoop with five hula hoops and one by one she takes on off of her and tosses it until she tossed away all five hula hoops she was hula hooping with.</t>
  </si>
  <si>
    <t>the lady then hula hoops with 300 hula hoops with will be a world record.</t>
  </si>
  <si>
    <t>the lady starts by putting the 300 hula hoops around her body as she bend over to get a good grip on them,she then stands straight up and starts to twirl all 300 hula hoops around her body.</t>
  </si>
  <si>
    <t>finally she manages to twirl all the hula hoop around her hole body and finishes with the hula hoops on the ground and she bows to the people who is watching her.</t>
  </si>
  <si>
    <t>v_NKQehrewXlM</t>
  </si>
  <si>
    <t>A man is seen jogging on the side of the road as well as speaking to the camera.</t>
  </si>
  <si>
    <t>Clips are shown of him warming up on the side and running up along mountainsides.</t>
  </si>
  <si>
    <t>He continues speaking to the camera while running around a neighborhood and people showing off his movements.</t>
  </si>
  <si>
    <t>v_06eyqLosXjU</t>
  </si>
  <si>
    <t>A man is standing behind two inverted drums.</t>
  </si>
  <si>
    <t>He begins to play them with small sticks.</t>
  </si>
  <si>
    <t>He finishes playing and walks away.</t>
  </si>
  <si>
    <t>v_8W-x068F4tE</t>
  </si>
  <si>
    <t>An athletic man is seen standing before a beam and begins performing a gymnastics routine.</t>
  </si>
  <si>
    <t>He swings himself around and around performing flips and tricks and ends by kissing the crowd and walking away.</t>
  </si>
  <si>
    <t>v_Zrv8_-Y-jSM</t>
  </si>
  <si>
    <t>A special effect intro screen appears which is mainly blue and white words in the middle of the screen appear and they read "ROPE SKIPPING".</t>
  </si>
  <si>
    <t>Behind the words there are 4 girls with their own jump ropes and they're all rope skipping separately and eventually they jump in unison.</t>
  </si>
  <si>
    <t>White words appear on the screen that read "Klasse 7c/Fr Leifels", the girls drop to the ground to end their routine and they smile and look around.</t>
  </si>
  <si>
    <t>v_VTFIAQVjHv8</t>
  </si>
  <si>
    <t>A man in a grey print hoodie is standing against a wall introducing himself and then explaining that he is going to give a tutorial for some tricks.</t>
  </si>
  <si>
    <t>A stop start animation with a desk calendar is shown with flip animation drawings blending into framed animation leading to the title of the group and the skateboard tutorial they are about to explain.</t>
  </si>
  <si>
    <t>Footage of a skateboarder doing a trick in front of a camera is followed by the man in the grey hoodie explaining that he is going to show how to do a frontside 180 on a skateboard and what it can be used for as well as the fundamentals befor learning the trick.</t>
  </si>
  <si>
    <t>He then goes into the explanation of how to do the trick in depth as well as footage being shown while he's talking about the trick.</t>
  </si>
  <si>
    <t>The camera pans up and a black screen appears with white letters and a website address followed by a film company and a site channel.</t>
  </si>
  <si>
    <t>v_rteN6_HkMkI</t>
  </si>
  <si>
    <t>A man is shown smoking a cigarette while walking several dogs attached to chains on his belt.</t>
  </si>
  <si>
    <t>A man is talking from behind a table.</t>
  </si>
  <si>
    <t>Several scenes are then shown of the actor while the news person talks about him.</t>
  </si>
  <si>
    <t>v_rojFvhZw_z8</t>
  </si>
  <si>
    <t>A woman is getting ready to bath her dog in her front yard.</t>
  </si>
  <si>
    <t>She takes a hose and wets the dog first.</t>
  </si>
  <si>
    <t>There is another little puppy running around the dog and a little kitten too.</t>
  </si>
  <si>
    <t>The woman takes some liquid soap and scrubs it on the dog.</t>
  </si>
  <si>
    <t>After she's done washing, she wipes him dry with a towel.</t>
  </si>
  <si>
    <t>then she bathes the little puppy the same way with soap and water.</t>
  </si>
  <si>
    <t>The dog is playing on a rug after the bath is over with wet fur on his body.</t>
  </si>
  <si>
    <t>The little puppy is running around the dog with wet fur too.</t>
  </si>
  <si>
    <t>v_aCSG6pfivy4</t>
  </si>
  <si>
    <t>A tray of cookies is shown, followed by butter being beaten in a bowl.</t>
  </si>
  <si>
    <t>Ingredients are added one at a time, mixing them all together.</t>
  </si>
  <si>
    <t>The dough is piped onto the tray, then baked.</t>
  </si>
  <si>
    <t>v_DuDF7hkrjYo</t>
  </si>
  <si>
    <t>A woman is standing in a room talking.</t>
  </si>
  <si>
    <t>She picks up a plastic bottle.</t>
  </si>
  <si>
    <t>She starts dusting a dresser.</t>
  </si>
  <si>
    <t>She wipes it off with a towel.</t>
  </si>
  <si>
    <t>She dumps olive oil onto a rag and rubs it onto the dresser.</t>
  </si>
  <si>
    <t>v_W34A9wUi-4g</t>
  </si>
  <si>
    <t>team is in a court playing futsal, running through the court, while people is siting on stands watchin the game.</t>
  </si>
  <si>
    <t>team are standing on sides charging a penalty.</t>
  </si>
  <si>
    <t>people are in a roofed gym playing and waching the game.</t>
  </si>
  <si>
    <t>v_ZoKZTceDTLA</t>
  </si>
  <si>
    <t>We see a man talking while walking through a house.</t>
  </si>
  <si>
    <t>We see another man working on the floor.</t>
  </si>
  <si>
    <t>We see a man laying tile in another room.</t>
  </si>
  <si>
    <t>Two men are in the same room working on different projects.</t>
  </si>
  <si>
    <t>We see the man talking to the camera again.</t>
  </si>
  <si>
    <t>v_eJnSC8C3OIw</t>
  </si>
  <si>
    <t>A website address is typed in.</t>
  </si>
  <si>
    <t>Skateboards skate and do tricks down stairs and on benches throughout a city.</t>
  </si>
  <si>
    <t>A skateboarder rides a concrete ramp in a skate park.</t>
  </si>
  <si>
    <t>Skateboarders ride the banks of a drainage ditch.</t>
  </si>
  <si>
    <t>Different skateboarders ride in a concrete ramp doing tricks.</t>
  </si>
  <si>
    <t>The city lights are seen at night with passing traffic in fast motion.</t>
  </si>
  <si>
    <t>v_vNyXwHA_k5A</t>
  </si>
  <si>
    <t>People are dancing on a stage.</t>
  </si>
  <si>
    <t>People in the audience are raising their hands.</t>
  </si>
  <si>
    <t>A man in a white shirt starts singing and dancing on the stage.</t>
  </si>
  <si>
    <t>v_KyDS9Zg76Jg</t>
  </si>
  <si>
    <t>A chef demonstrates how to cut and chop several vegetables as he prepares an asian inspired meal.</t>
  </si>
  <si>
    <t>A chef in a white chefs outfit in a kitchen, boils potatoes and onions in a pot.</t>
  </si>
  <si>
    <t>The chef talks to the camera and takes a series of vegetables and chops them up on a counter.</t>
  </si>
  <si>
    <t>The chef then puts the vegetables along with some oil into a bowl and sticks two large chopsticks in to showcase the finished product.</t>
  </si>
  <si>
    <t>v_x5MPJnwJrfE</t>
  </si>
  <si>
    <t>A woman is seen laying down on a table with a man tattooing her from behind.</t>
  </si>
  <si>
    <t>A woman watches on the side as the man continues tattooing and the woman having him stop.</t>
  </si>
  <si>
    <t>The woman continues trying to get the tattoo but stopping and speaking to the camera because it hurt so bad.</t>
  </si>
  <si>
    <t>v_N5J9Zb07uuQ</t>
  </si>
  <si>
    <t>A man is seen standing on a ladder and leads into several pictures of him on the ladder and then painting the wall with another.</t>
  </si>
  <si>
    <t>They're seen hanging up posters, climbing up and down ladders, and finally cutting carious foods on a large stick afterwards.</t>
  </si>
  <si>
    <t>v_qYpb_3oAM0k</t>
  </si>
  <si>
    <t>A man is sitting down on a chair.</t>
  </si>
  <si>
    <t>He starts playing an accordion in his lap.</t>
  </si>
  <si>
    <t>He stops playing and looks at the camera.</t>
  </si>
  <si>
    <t>v_QZCBVJHF81w</t>
  </si>
  <si>
    <t>A man is seen walking forward speaking to the camera and begins washing a car.</t>
  </si>
  <si>
    <t>The man scrubs all around the car while still speaking to the camera.</t>
  </si>
  <si>
    <t>He continues to wash the car and stops for a moment to speak to the camera.</t>
  </si>
  <si>
    <t>v_9_wuEvN2OnQ</t>
  </si>
  <si>
    <t>A woman is trying to play bad-mitten.</t>
  </si>
  <si>
    <t>She is hitting the shuttle cock.</t>
  </si>
  <si>
    <t>She is walking around the court, looking around.</t>
  </si>
  <si>
    <t>She is trying to play the game with not much effort.</t>
  </si>
  <si>
    <t>She hands another racket to a friend.</t>
  </si>
  <si>
    <t>She is not really playing.</t>
  </si>
  <si>
    <t>The other player is a more serious player as she serves.</t>
  </si>
  <si>
    <t>The game of bad-mitten continues as the first player missed again and again.</t>
  </si>
  <si>
    <t>People walk in front of the camera.</t>
  </si>
  <si>
    <t>The camera shows the other two players.</t>
  </si>
  <si>
    <t>The game goes on for a while longer before it ends.</t>
  </si>
  <si>
    <t>v_UoGoOznvKew</t>
  </si>
  <si>
    <t>A woman is seen looking at the camera and holding up a piece of makeup.</t>
  </si>
  <si>
    <t>She then takes out her contacts and holds up another container.</t>
  </si>
  <si>
    <t>She then puts another set of contacts in and smiles to the camera.</t>
  </si>
  <si>
    <t>v_FMUaey1tigI</t>
  </si>
  <si>
    <t>A man adjust his camera and captures a close up of his hand and face.</t>
  </si>
  <si>
    <t>A young child wearing a green shirt is playing some conga percussion instruments.</t>
  </si>
  <si>
    <t>An older boy wearing a burgundy shirt moves into the picture behind the child who is playing the Conga's and begins to dance.</t>
  </si>
  <si>
    <t>The boy in the burgundy shirt walks out of the picture as the young conga player also walks away as the camera follows him.</t>
  </si>
  <si>
    <t>The young child returns to continue playing the conga's as a child wearing a blue shirt walks behind the young conga player.</t>
  </si>
  <si>
    <t>v_4E40jmmc2N8</t>
  </si>
  <si>
    <t>A large man is seen sitting in the middle of a circle looking away from the camera.</t>
  </si>
  <si>
    <t>The man then spins himself around with a discuss in his hands.</t>
  </si>
  <si>
    <t>Finally he throws the object off into the distance.</t>
  </si>
  <si>
    <t>v_XCwPsQwzfiA</t>
  </si>
  <si>
    <t>A woman is pouring ingredients into a Kitchen aid.</t>
  </si>
  <si>
    <t>She turns it on and mixes the ingredients together.</t>
  </si>
  <si>
    <t>She pours the mixture into to cake pans.</t>
  </si>
  <si>
    <t>A piece of cake is shown on a plate.</t>
  </si>
  <si>
    <t>v_eECoZPqsTYI</t>
  </si>
  <si>
    <t>A man is seen playing drums on a set of buckets while several people walk past him and others record him.</t>
  </si>
  <si>
    <t>The man continues to play as the camera pans all around him and people continue to walk around him and show off the area.</t>
  </si>
  <si>
    <t>v_pcrNMrBmy1I</t>
  </si>
  <si>
    <t>Two teams are playing lacrosse outdoors.</t>
  </si>
  <si>
    <t>Players score and jump and run to celebrate the scores.</t>
  </si>
  <si>
    <t>A player take the ball on the stick and run to the goal to score, where a player scores.</t>
  </si>
  <si>
    <t>The board shows the winner.</t>
  </si>
  <si>
    <t>v_bKVrokdj7HM</t>
  </si>
  <si>
    <t>There's a man wearing s white shirt playing the drum set in a room.</t>
  </si>
  <si>
    <t>He begins by playing the snare drum and the bass drum.</t>
  </si>
  <si>
    <t>Then he continues playing by hitting the cymbals and the hi-hat.</t>
  </si>
  <si>
    <t>He stops for a bit and then resumes playing the drum set.</t>
  </si>
  <si>
    <t>He plays rhythmically as he picks up speed and plays the drum set.</t>
  </si>
  <si>
    <t>Then he stops and gets up to turn off the camera.</t>
  </si>
  <si>
    <t>v_8M_RipfsJI8</t>
  </si>
  <si>
    <t>A man is reaching into water and washing his face.</t>
  </si>
  <si>
    <t>A woman is working on the otherside of the water.</t>
  </si>
  <si>
    <t>The man splashes the worker with water.</t>
  </si>
  <si>
    <t>A woman looks on and laughs at the man.</t>
  </si>
  <si>
    <t>v_Da9uVKDLwVY</t>
  </si>
  <si>
    <t>A small collie is standing on top of a table.</t>
  </si>
  <si>
    <t>He is tied in place, and a man begins brushing him all over.</t>
  </si>
  <si>
    <t>He stands still as he is being groomed.</t>
  </si>
  <si>
    <t>v_ndGz8-hHSt4</t>
  </si>
  <si>
    <t>A person puts on a welding helmet.</t>
  </si>
  <si>
    <t>Then, the person weld a piece of metal.</t>
  </si>
  <si>
    <t>Then, the person finish to weld and rise his helmet but it folds down.</t>
  </si>
  <si>
    <t>v_BfSqo9ONd6g</t>
  </si>
  <si>
    <t>There's a dirt biking event going on which is sponsored by Monster energy drink.</t>
  </si>
  <si>
    <t>There are several contestants participating in the event.</t>
  </si>
  <si>
    <t>One of the contestants falls off his bike and seems like he's injured.</t>
  </si>
  <si>
    <t>He gets up right away and walks to the corner.</t>
  </si>
  <si>
    <t>v_dZMMhVx7yY4</t>
  </si>
  <si>
    <t>A man is seen speaking to the camera followed by him talking to random women on the beach.</t>
  </si>
  <si>
    <t>They play a game together and when he wins the girl gives him a kiss.</t>
  </si>
  <si>
    <t>When they lose the girl smacks him.</t>
  </si>
  <si>
    <t>Several girls laugh and play along while getting a kiss or slapping the man.</t>
  </si>
  <si>
    <t>v_Lg-mJS-BZZo</t>
  </si>
  <si>
    <t>A person is seen wearing a funny costume while holding onto a piece of machinery.</t>
  </si>
  <si>
    <t>The man pushes the machinery around the lawn while looking into the camera.</t>
  </si>
  <si>
    <t>The man continues using the machine while looking off into the camera.</t>
  </si>
  <si>
    <t>v_zUt53fHpqc8</t>
  </si>
  <si>
    <t>A group of men are shown cheering and jumping around in slow motion.</t>
  </si>
  <si>
    <t>Many people are present as trophies are displayed.</t>
  </si>
  <si>
    <t>A bunch of people gather to play beer pong and drink.</t>
  </si>
  <si>
    <t>Various shots of the action at different tables is shown and then the video cuts to an internet address to find out more information.</t>
  </si>
  <si>
    <t>v_KsKUIIHiMg0</t>
  </si>
  <si>
    <t>There are two women in a bathroom washing clothes in blue buckets filled with foamy soap water.</t>
  </si>
  <si>
    <t>The women soak the clothes in the soap water and rinse them out to clean them.</t>
  </si>
  <si>
    <t>Then she put the clothes in a large metal drum that spins rapidly to drain off excess water.</t>
  </si>
  <si>
    <t>They then go on top of their building in an open terrace where ropes are tied across the walls.</t>
  </si>
  <si>
    <t>They begin hanging the clothes on the clothesline for drying.</t>
  </si>
  <si>
    <t>v_UXc2y7lR5t0</t>
  </si>
  <si>
    <t>A boy hangs on monkey bars.</t>
  </si>
  <si>
    <t>He crosses the obstacle easily.</t>
  </si>
  <si>
    <t>He looks proud of himself.</t>
  </si>
  <si>
    <t>He smiles at the camera.</t>
  </si>
  <si>
    <t>v_hKE7vI--XGU</t>
  </si>
  <si>
    <t>A woman wearing a shawl stands in front of a tropical plant outdoors.</t>
  </si>
  <si>
    <t>A woman presents a band on stage for a performance.</t>
  </si>
  <si>
    <t>A flute player plays a part of a song during the performance.</t>
  </si>
  <si>
    <t>The band plays a song together during the performance.</t>
  </si>
  <si>
    <t>v_93jSVyXW5gc</t>
  </si>
  <si>
    <t>woman is standing in a shooting room holding a bow and throwing the arrow into a board.</t>
  </si>
  <si>
    <t>woman stands in a bg large field holding a bow and thowing arrow to baloons.</t>
  </si>
  <si>
    <t>woman is standing in a small court holding a bow and throwing an arow to an apple in a man's head.</t>
  </si>
  <si>
    <t>man is standing in a alrge green field showing a woman how to shoot an arrow and the woman pulls out a gun from the pockets and shot to the board.</t>
  </si>
  <si>
    <t>man is standing next to a tree holding a camera.</t>
  </si>
  <si>
    <t>woman is throwing arros to a watermelon.</t>
  </si>
  <si>
    <t>woman is throwing arrows to movie posters and talking to the camera.</t>
  </si>
  <si>
    <t>v_oLrkd6M2WRY</t>
  </si>
  <si>
    <t>man is talking to the camera standing next to a box.</t>
  </si>
  <si>
    <t>man is assembling a shuffleboard court in a sidewalk.</t>
  </si>
  <si>
    <t>man start playing the suffleboard hitting the pucks.</t>
  </si>
  <si>
    <t>v_CIJp-SG3sWE</t>
  </si>
  <si>
    <t>A girl walks to the edge of the diving board.</t>
  </si>
  <si>
    <t>The girl extends her hands.</t>
  </si>
  <si>
    <t>The girl dives into pool.</t>
  </si>
  <si>
    <t>The girl swims to the edge of the pool.</t>
  </si>
  <si>
    <t>v_5nvximBXhFI</t>
  </si>
  <si>
    <t>A tall garage building is shown in the dark and then several teen age boys appear skateboarding in the inside of it.</t>
  </si>
  <si>
    <t>As they come around the corner,they hold on to each others shirts and come down the slanted road in a single file line and a boy is shown holding a camera with a selfie stick recording the action.</t>
  </si>
  <si>
    <t>After,a black male appears talking in the car and the boys are then shown walking up a set of stairs.</t>
  </si>
  <si>
    <t>The action continues and all the boys join one another back in the garage and the male that was talking in the video is seen skating with the rest of the boys.</t>
  </si>
  <si>
    <t>v_WmQC309JCAI</t>
  </si>
  <si>
    <t>Men in a jerseys are standing around with their arms crossed just kind of staring into space.</t>
  </si>
  <si>
    <t>Then, you see them on the field playing a game and later talking a little bit about it.</t>
  </si>
  <si>
    <t>They each seem to recall their own memories of times they won medal and stare at their medals.</t>
  </si>
  <si>
    <t>they stand around in a small group talking and then you see an audience cheering and clapping.</t>
  </si>
  <si>
    <t>v_BaJwohtZMtA</t>
  </si>
  <si>
    <t>A person shows up on a stage dancing in the dark with an LED hula hoop.</t>
  </si>
  <si>
    <t>As the person dances the LED lights on the hula hoop begin to change colors.</t>
  </si>
  <si>
    <t>The closing credits show up on the screen as the video ends.</t>
  </si>
  <si>
    <t>v_NfjeG6AsoJA</t>
  </si>
  <si>
    <t>kids are playing on the playground in the school ground.</t>
  </si>
  <si>
    <t>kids are swingin in the swing on a side.</t>
  </si>
  <si>
    <t>little kid stands on the edge of the slide.</t>
  </si>
  <si>
    <t>v_rBsRSdPFOww</t>
  </si>
  <si>
    <t>A chef dressed in a white chef's outfit is demonstrating how to sharpen kitchen knives using a tool called Rada knife sharpener.</t>
  </si>
  <si>
    <t>He is standing in a kitchen in front of the counter that has a variety of raw vegetables displayed.</t>
  </si>
  <si>
    <t>He places a kitchen towel on the counter and then places the knife on top of it.</t>
  </si>
  <si>
    <t>He then demonstrates how to use the Rada sharpening tool to sharpen the kitchen knife by running iit back and forth in gentle and steady motion.</t>
  </si>
  <si>
    <t>v_HfpCQGe9eA0</t>
  </si>
  <si>
    <t>A guy rises to his feet.</t>
  </si>
  <si>
    <t>The guy walks on a tight rope.</t>
  </si>
  <si>
    <t>The guy turns to walk back.</t>
  </si>
  <si>
    <t>The guy walks backwards on the tight rope.</t>
  </si>
  <si>
    <t>The guy steps off the tight rope and smiles.</t>
  </si>
  <si>
    <t>v_hZRgO5Kd-rE</t>
  </si>
  <si>
    <t>A man is seen speaking to the camera and leads into various ingredients begin shown and a person slicing up cheese.</t>
  </si>
  <si>
    <t>The person mixes ingredients together and lays them on slices of bread to create a sandwich.</t>
  </si>
  <si>
    <t>The person presses the food into a presser and takes a large bite afterwards.</t>
  </si>
  <si>
    <t>v_EML3BvJxknA</t>
  </si>
  <si>
    <t>An older man is sitting in a tube while an older woman climbs on the back.</t>
  </si>
  <si>
    <t>The man in the tube is wearing skiis and eventually rides behind the boat with the woman on top.</t>
  </si>
  <si>
    <t>The couple continue riding on top of each other on the skis while the camera zooms in and out to capture the movement.</t>
  </si>
  <si>
    <t>v_3OGD7if0zs8</t>
  </si>
  <si>
    <t>A woman stands in a kitchen, staring at the camera.</t>
  </si>
  <si>
    <t>The person opens an oven and pulls out a tray of chocolate chip cookies.</t>
  </si>
  <si>
    <t>The woman stares at the cookies, and a second batch is checked.</t>
  </si>
  <si>
    <t>The woman scoops the cookies off the tray, loosening them.</t>
  </si>
  <si>
    <t>v_OVpvpvmV2pg</t>
  </si>
  <si>
    <t>A little boy is smiling close to the camera.</t>
  </si>
  <si>
    <t>He uses a wrench to remove the bolts from a kids' bike tires.</t>
  </si>
  <si>
    <t>When he is done, he laughs loudly.</t>
  </si>
  <si>
    <t>v_huI9TvxZxmM</t>
  </si>
  <si>
    <t>A man and woman dressed up on stage waiting to start their performance.</t>
  </si>
  <si>
    <t>The performance begins and the start dancing very beautifully.</t>
  </si>
  <si>
    <t>They work very well together, he picks her up on his shoulders.</t>
  </si>
  <si>
    <t>They use the chair as a prop and dance until it time to stop and then they hug.</t>
  </si>
  <si>
    <t>v_TADJh_DZOfE</t>
  </si>
  <si>
    <t>A female athlete claps her hands.</t>
  </si>
  <si>
    <t>The female athlete runs and elevates her body over a heighten hurdle.</t>
  </si>
  <si>
    <t>The female athlete rises and yells in joy.</t>
  </si>
  <si>
    <t>The female athlete dances and spins.</t>
  </si>
  <si>
    <t>The female athlete walks away.</t>
  </si>
  <si>
    <t>v_9o2iojC7gSw</t>
  </si>
  <si>
    <t>A indoor course is panned with camera in a warehouse setting.</t>
  </si>
  <si>
    <t>An athlete runs down a track and pole vaults over a high bar and onto a cushioned landing pad.</t>
  </si>
  <si>
    <t>The pole vaulter discusses events and sets down some wooden pools before use.</t>
  </si>
  <si>
    <t>The athlete discusses more and is seen on television screens doing previous pole vaults.</t>
  </si>
  <si>
    <t>The athlete sits with a coach and watches a tv screen.</t>
  </si>
  <si>
    <t>The athlete stands and talks on the track and does a warm up run jumping on the mats.</t>
  </si>
  <si>
    <t>The athlete lays on a mat next to a female athlete and stretches.</t>
  </si>
  <si>
    <t>The athlete does multiple pole vaults during practice onto the mat.</t>
  </si>
  <si>
    <t>The outside of the warehouse is seen in a city setting.</t>
  </si>
  <si>
    <t>v_x1Z_3-X49HY</t>
  </si>
  <si>
    <t>A close up of a cat is seen sitting in a person's lap.</t>
  </si>
  <si>
    <t>The person then grabs a pair of clippers and begins cutting the nails of the cat.</t>
  </si>
  <si>
    <t>He continues cutting the nails and shows off the cat paws in the end.</t>
  </si>
  <si>
    <t>v_MCnvxOLnbsg</t>
  </si>
  <si>
    <t>A silver car is parked in the street.</t>
  </si>
  <si>
    <t>A man power washes the car in the street.</t>
  </si>
  <si>
    <t>He then dries it off.</t>
  </si>
  <si>
    <t>The car is now completely clean.</t>
  </si>
  <si>
    <t>v_AyYpsQ4xOo8</t>
  </si>
  <si>
    <t>A woman talks to the camera in a street environment while pedestrians and cars pass by.</t>
  </si>
  <si>
    <t>The woman peeks out from behind a wall.</t>
  </si>
  <si>
    <t>The woman looks at a laptop screen with a man.</t>
  </si>
  <si>
    <t>The man applies a tattoo pattern to the woman's upper arm, with the video sometimes passing in accelerated time.</t>
  </si>
  <si>
    <t>The woman shows the completed tattoo while talking to the camera.</t>
  </si>
  <si>
    <t>v_O0uVjGlOW8M</t>
  </si>
  <si>
    <t>A vast ocean view is shown as a wave crashes in.</t>
  </si>
  <si>
    <t>This is repeated from several different angles.</t>
  </si>
  <si>
    <t>People are then shown surfing through the waves.</t>
  </si>
  <si>
    <t>v_ZeugCIqbsD4</t>
  </si>
  <si>
    <t>A man is standing in front of a table.</t>
  </si>
  <si>
    <t>He is holding a potato and peeler over a bowl.</t>
  </si>
  <si>
    <t>He peels the potato one strip at a time.</t>
  </si>
  <si>
    <t>v_YpA8T0ZjRIo</t>
  </si>
  <si>
    <t>Cars are getting washed at a car wash.</t>
  </si>
  <si>
    <t>A play room in the car wash is being shown.</t>
  </si>
  <si>
    <t>The outside of the car wash building is shown.</t>
  </si>
  <si>
    <t>v_vr0Wi359kWM</t>
  </si>
  <si>
    <t>An intro shows off the products of the video.</t>
  </si>
  <si>
    <t>The host shows off each product and how they help clean a shoe.</t>
  </si>
  <si>
    <t>First we see the sneaker get cleaned.</t>
  </si>
  <si>
    <t>A basketball shoe is cleaned next.</t>
  </si>
  <si>
    <t>Some ads play to close the video.</t>
  </si>
  <si>
    <t>v_j5cmc3cnLeU</t>
  </si>
  <si>
    <t>A couple dances in red outfits on a stage for a large audience on a stage lit with colorful lighting.</t>
  </si>
  <si>
    <t>A man and a woman passionately hold each other standing still in an embrace.</t>
  </si>
  <si>
    <t>The man dips his female partner down who does the splits at the end of the dance.</t>
  </si>
  <si>
    <t>v_08uNrWxxHGY</t>
  </si>
  <si>
    <t>A woman with long hair paints on a large panel in time lapse video.</t>
  </si>
  <si>
    <t>The woman is still painting the panel, but now with a change of clothing.</t>
  </si>
  <si>
    <t>The woman is still painting the panel, but with yet another change of clothing.</t>
  </si>
  <si>
    <t>The woman paints with a fourth different set of clothing.</t>
  </si>
  <si>
    <t>The woman continues to paint with a fifth different set of clothing.</t>
  </si>
  <si>
    <t>The woman continues to paint with a sixth different set of clothing.</t>
  </si>
  <si>
    <t>A closeup of the completed picture is shown.</t>
  </si>
  <si>
    <t>v_8Mdnvm8olC0</t>
  </si>
  <si>
    <t>An "IAAF" logo appears with the words "Long Jump Men".</t>
  </si>
  <si>
    <t>Several men run down a track and perform a long jump in a professional sports venue.</t>
  </si>
  <si>
    <t>A scoreboard graphic is shown for all the participating players.</t>
  </si>
  <si>
    <t>v_ScWdvpS6epQ</t>
  </si>
  <si>
    <t>People are standing on a blue mat.</t>
  </si>
  <si>
    <t>They begin doing a cheerleading routine on the mat.</t>
  </si>
  <si>
    <t>They hold up signs in front of the mat.</t>
  </si>
  <si>
    <t>v_xoXTlNWkC7w</t>
  </si>
  <si>
    <t>A black screen is shown and various white words are shown.</t>
  </si>
  <si>
    <t>After,a Caucasian man is shown playing the hand drums and stomping his foot.</t>
  </si>
  <si>
    <t>v_6YvF2YHee5I</t>
  </si>
  <si>
    <t>A shovel rakes along the snow covered ground of a yard.</t>
  </si>
  <si>
    <t>It pulls up the snow in large amounts.</t>
  </si>
  <si>
    <t>A man pulls up the shovel, and sets it aside.</t>
  </si>
  <si>
    <t>v_NurRl6_NLbg</t>
  </si>
  <si>
    <t>We see a blue intro screen.</t>
  </si>
  <si>
    <t>We see kids riding dirt bikes.</t>
  </si>
  <si>
    <t>We see another title screen and the intermediate riders are seen.</t>
  </si>
  <si>
    <t>We see the screen go blue again and we see the experts.</t>
  </si>
  <si>
    <t>Another title screen is shown and we see the credits.</t>
  </si>
  <si>
    <t>v_OixwThoO8z4</t>
  </si>
  <si>
    <t>A black screen appears and handwritten looking white text appears on the screen and it say's "Bart Rollin".</t>
  </si>
  <si>
    <t>A man is outdoors in a city skating with and without a shirt on in different locations, falling a few times and skating both at day and night while people look on at different locations, and sometimes he's alone.</t>
  </si>
  <si>
    <t>When the man is done skating the outro appears and it includes a screenshot of what looks like a bloody finger, a white screen with a male faintly drawn on it and black words scroll from bottom to top until just the white screen with the male drawing is only visible.</t>
  </si>
  <si>
    <t>v_3UOWHwwxczI</t>
  </si>
  <si>
    <t>A man is seen speaking to the camera and leads into clips of him climbing along a wall.</t>
  </si>
  <si>
    <t>The man continues climbing along the rock wall and ends by looking back to the camera.</t>
  </si>
  <si>
    <t>v_IJUokB_p3Yo</t>
  </si>
  <si>
    <t>Two boys are sitting in a booth inside a building.</t>
  </si>
  <si>
    <t>They are talking about doing clips.</t>
  </si>
  <si>
    <t>They then talk while eating bowls of vanilla ice cream.</t>
  </si>
  <si>
    <t>v_GsNyn-6DDJM</t>
  </si>
  <si>
    <t>A woman is sitting down in a chair.</t>
  </si>
  <si>
    <t>A boy is brushing her long hair.</t>
  </si>
  <si>
    <t>She laughs and covers her mouth with her hand.</t>
  </si>
  <si>
    <t>v_Z_F01eV0Iqw</t>
  </si>
  <si>
    <t>The video begins with a little boy in a motorcycle helmet, in a restaurant.</t>
  </si>
  <si>
    <t>The cameraman hands him skis.</t>
  </si>
  <si>
    <t>A woman and baby come sit near him and he attempts to walk, only to fall.</t>
  </si>
  <si>
    <t>Next are clips of the little boy skiing with his father down a snowy slope.</t>
  </si>
  <si>
    <t>At one point, he glides on a small ramp.</t>
  </si>
  <si>
    <t>He also faces a tumble.</t>
  </si>
  <si>
    <t>Soon the boy and his family load their vehicle to leave.</t>
  </si>
  <si>
    <t>The video ends with a picture of the little boy and his dad.</t>
  </si>
  <si>
    <t>v_3JNNjd9fv7U</t>
  </si>
  <si>
    <t>A woman is seen kneeling down next to a vacuum followed by several pictures of her vacuuming and moving around the carpet.</t>
  </si>
  <si>
    <t>More pictures are shown of the carpet as well as her kneeling down and she empties out a vacuum while still speaking to the camera.</t>
  </si>
  <si>
    <t>v_YnvefOl6a7k</t>
  </si>
  <si>
    <t>A man is shown standing next to a tree holding christmas decorations in his hands.</t>
  </si>
  <si>
    <t>He then hangs the decorations all around the tree while looking back and speaking to the camera.</t>
  </si>
  <si>
    <t>v_QvP8tPp8Wog</t>
  </si>
  <si>
    <t>There's a young man in a red shirt playing an acoustic guitar.</t>
  </si>
  <si>
    <t>He strums the guitar using his pick and moves his fingers along the chords.</t>
  </si>
  <si>
    <t>After he is done playing, he looks up and smiles.</t>
  </si>
  <si>
    <t>v_u3qNB8GDOzY</t>
  </si>
  <si>
    <t>A ladder is leaning against a house.</t>
  </si>
  <si>
    <t>A piece of wood goes up and down the ladder.</t>
  </si>
  <si>
    <t>v_dth916VxJUw</t>
  </si>
  <si>
    <t>A man stands in front of a set of pull up and double bars at a park.</t>
  </si>
  <si>
    <t>The man does shoulder dips on the set of parallel bars.</t>
  </si>
  <si>
    <t>The man does push ups with his feet up on the parallel bars.</t>
  </si>
  <si>
    <t>The man does pull ups on one of the bars.</t>
  </si>
  <si>
    <t>The man walks back up in front of the equipment after the routine.</t>
  </si>
  <si>
    <t>v_hOcP06xuKFg</t>
  </si>
  <si>
    <t>A person grabs a disk from a pile of disks.</t>
  </si>
  <si>
    <t>They throw it down a shuffle board.</t>
  </si>
  <si>
    <t>The continue to throw disks down the shuffleboard.</t>
  </si>
  <si>
    <t>v_gDexNGeZln0</t>
  </si>
  <si>
    <t>A person is seen speaking to the camera and leads into a close up of the ground and another person sitting on the side.</t>
  </si>
  <si>
    <t>More shots are shown of logs and sticks as well as a fire pit and a boy cutting a stick.</t>
  </si>
  <si>
    <t>v_YZacstLO0XA</t>
  </si>
  <si>
    <t>A man is demonstrating how to make a three egg omelette in his kitchen.</t>
  </si>
  <si>
    <t>He starts by cracking the eggs in a clear glass bowl.</t>
  </si>
  <si>
    <t>He then beats the eggs well and adds some butter into the saucepan.</t>
  </si>
  <si>
    <t>He pours the raw egg batter into the pan.</t>
  </si>
  <si>
    <t>He lifts the pan and moves it around to shuffle the eggs.</t>
  </si>
  <si>
    <t>He then tops is off with some grated cheese.</t>
  </si>
  <si>
    <t>He takes a fork and slides the omelette into a white plate.</t>
  </si>
  <si>
    <t>He then garnishes it with some greens on top for a healthy touch.</t>
  </si>
  <si>
    <t>v_z4qaGiWt-bo</t>
  </si>
  <si>
    <t>A team is on a field as a runner throws the ball, which the batter hits and is caught.</t>
  </si>
  <si>
    <t>The coach instructs the players as they continue the game.</t>
  </si>
  <si>
    <t>The players walk away, then a view of the ball coming at the bat is shown.</t>
  </si>
  <si>
    <t>v_mqa1ptnQWWo</t>
  </si>
  <si>
    <t>A wall is shown, covered in hanging tools.</t>
  </si>
  <si>
    <t>A man is in a workshop, talking about roofing shingles.</t>
  </si>
  <si>
    <t>He demonstrates how to apply glue, tile, and then hammer and nail the tiles into place.</t>
  </si>
  <si>
    <t>v_bQVMoeBK7XU</t>
  </si>
  <si>
    <t>A bottle of aging cream is shown and a woman begins to apply it on her face in her T-zone.</t>
  </si>
  <si>
    <t>Once it is evenly displayed,several paragraphs begin to show about the use of the product and what each week should be.</t>
  </si>
  <si>
    <t>After,a short sentence appears and tells you to go on their web page to get more details.</t>
  </si>
  <si>
    <t>v_ExMpLopi9ug</t>
  </si>
  <si>
    <t>Gymasts are standing in a competition room.</t>
  </si>
  <si>
    <t>A man mounts a beam.</t>
  </si>
  <si>
    <t>He begins to spin, flips, and do several tricks.</t>
  </si>
  <si>
    <t>He dismounts, raising his arms into the air and bowing.</t>
  </si>
  <si>
    <t>v_uzgIBU9arcU</t>
  </si>
  <si>
    <t>A baby is seen swinging back and fourth on a swing while laughing and smiling to the camera.</t>
  </si>
  <si>
    <t>The baby continues moving back and fourth while looking up to the camera and smiling.</t>
  </si>
  <si>
    <t>v_r9xmgB116dE</t>
  </si>
  <si>
    <t>An Asian woman is sitting, then she ride the skateboard and began skating on the empty road.</t>
  </si>
  <si>
    <t>The girl is skateboarding side to side, and while holding a selfie stick.</t>
  </si>
  <si>
    <t>The girl skateboard on the sidewalk, near the water, in a narrow path, and park.</t>
  </si>
  <si>
    <t>v_feYYvRmqCgI</t>
  </si>
  <si>
    <t>A group of people sitting on elevated bleachers, watch a man on a horse lasso a small black calf in a, dirt covered, indoor, rodeo ring.</t>
  </si>
  <si>
    <t>The man emerges into the ring from a floor level door, on a horse, chasing after a small black calf.</t>
  </si>
  <si>
    <t>The man simultaneously throws a rope around the calfs neck and dismounts the horse, while the horse is in motion.</t>
  </si>
  <si>
    <t>Upon landing on the ground after the dismount, the man runs to the calf and ties the calf up in the rope, and then walks back to the horse and mounts the horse again while two men enter the ring and grab for the tied up calf.</t>
  </si>
  <si>
    <t>v_iPXyExgGD5Q</t>
  </si>
  <si>
    <t>A man is shown in a bathroom choosing a toothbrush.</t>
  </si>
  <si>
    <t>He then brushes his teeth and sees blood.</t>
  </si>
  <si>
    <t>He uses listerine mouth wash for thirty seconds to kill the germs.</t>
  </si>
  <si>
    <t>v_NZ5iioSnCO8</t>
  </si>
  <si>
    <t>A close up of a table is shown as well as a man standing around the table and pointing to the side.</t>
  </si>
  <si>
    <t>Two men are watching on the side as the game continues and another man records on his phone.</t>
  </si>
  <si>
    <t>v_TlDkQ8SNG64</t>
  </si>
  <si>
    <t>A boy sits a top a camel.</t>
  </si>
  <si>
    <t>The camel begins to move with the help of a handler.</t>
  </si>
  <si>
    <t>People appear in the background.</t>
  </si>
  <si>
    <t>v_2WvbAEMG5DU</t>
  </si>
  <si>
    <t>A mother and child in swim suits build sand castles on the beach.</t>
  </si>
  <si>
    <t>The child destroys the sand castles.</t>
  </si>
  <si>
    <t>The mother throws the plastic mold frustrated.</t>
  </si>
  <si>
    <t>v_7KYj4FQUESo</t>
  </si>
  <si>
    <t>A person is shown vacuuming a large rug with a green vacuum cleaner.</t>
  </si>
  <si>
    <t>A caption comes up on the screen while the man continues to use the vacuum all over the rug.</t>
  </si>
  <si>
    <t>v_6Epn-R6sg5U</t>
  </si>
  <si>
    <t>A close up of a pool table is shown followed by a person walking around the sides.</t>
  </si>
  <si>
    <t>The person then hits a pool ball continuously around the table.</t>
  </si>
  <si>
    <t>The man then sinks the last ball and celebrates with a group of people.</t>
  </si>
  <si>
    <t>v_JUvqA51RX0Y</t>
  </si>
  <si>
    <t>A man throws a ball onto the sidewalk.</t>
  </si>
  <si>
    <t>He plays hopscotch to pick it up.</t>
  </si>
  <si>
    <t>A little kid runs around in front of him.</t>
  </si>
  <si>
    <t>v_7lNAmkaMyyg</t>
  </si>
  <si>
    <t>A man holding an ice scraper is pushing ice off of his car while the camera zoom in.</t>
  </si>
  <si>
    <t>The camera shows his hands mutiple times close up gradually pushing piece by piece of ice off.</t>
  </si>
  <si>
    <t>v_X7-1DRvX-LU</t>
  </si>
  <si>
    <t>A woman is in a living room in front of a fire.</t>
  </si>
  <si>
    <t>She cuts wrapping paper in strips, then wraps it neatly around a box.</t>
  </si>
  <si>
    <t>She tapes the box, then lays it down gently on the table.</t>
  </si>
  <si>
    <t>v_2Xfigl8xrXc</t>
  </si>
  <si>
    <t>A woman wearing a black shirt begins talking and then someone getting their legs waxed appears.</t>
  </si>
  <si>
    <t>As she talks,a layer of wax if placed on the leg and then a white piece of paper.</t>
  </si>
  <si>
    <t>v_8dhDEj0Dd5s</t>
  </si>
  <si>
    <t>A gymnast is standing at a pose waiting to begin her performance.</t>
  </si>
  <si>
    <t>She starts to twirl her baton and move her body a long with it doing flips and everything.</t>
  </si>
  <si>
    <t>She begins to do one handed cartwheels and swinging the baton around her neck.</t>
  </si>
  <si>
    <t>She does a stunning performance and once it is over she freezes in place.</t>
  </si>
  <si>
    <t>v_eoOzE3cpqVg</t>
  </si>
  <si>
    <t>A man in gear is shown pointing two guns.</t>
  </si>
  <si>
    <t>He is hiding behind rocks, sneaking up on other paintball players.</t>
  </si>
  <si>
    <t>They shoot at each other as he goes back behind the rocks to hide.</t>
  </si>
  <si>
    <t>v_FCFSLuCZKj4</t>
  </si>
  <si>
    <t>A person is using a large armed window washing mechanism to wash the exterior, front, glass window of a sandwich store.</t>
  </si>
  <si>
    <t>The person is a man with grey hair and glasses and he uses the tool to wash the very top of the window all the way to the base of the glass.</t>
  </si>
  <si>
    <t>The man continues to wash all four glass panes one by one using squiggly motions before leaving the window and walking away from the store.</t>
  </si>
  <si>
    <t>v_anO5Xhewrsw</t>
  </si>
  <si>
    <t>A little girl is sitting at a drum set with headphones on.</t>
  </si>
  <si>
    <t>She plays the drums and cymbals, keeping a fast beat.</t>
  </si>
  <si>
    <t>She bangs her head back and forth as she plays.</t>
  </si>
  <si>
    <t>v_MFfJ4V9Dqvg</t>
  </si>
  <si>
    <t>A little girl is playing in the sand.</t>
  </si>
  <si>
    <t>The girl grabs a shovel.</t>
  </si>
  <si>
    <t>A person walks in front of the camera.</t>
  </si>
  <si>
    <t>The camera pans to the water.</t>
  </si>
  <si>
    <t>The girl walks to the water.</t>
  </si>
  <si>
    <t>The girl walks into the water.</t>
  </si>
  <si>
    <t>v_RUv9YPd_0Zc</t>
  </si>
  <si>
    <t>An introduction comes onto the screen for a presentation about auto repair.</t>
  </si>
  <si>
    <t>The video displays several different parts of the car that is being worked on.</t>
  </si>
  <si>
    <t>The a dent fixing mechanism is attached to the cars to show how it works to repair one wheel.</t>
  </si>
  <si>
    <t>Then it shows another wheel being repaired by the same mechanism.</t>
  </si>
  <si>
    <t>Next, the closing credits for the video appear on the screen.</t>
  </si>
  <si>
    <t>v_Z4KErmUO3gw</t>
  </si>
  <si>
    <t>We see two ladies dancing in a field.</t>
  </si>
  <si>
    <t>We switch to ladies dancing around a bull in a rind.</t>
  </si>
  <si>
    <t>We see the ladies stand next to each other.</t>
  </si>
  <si>
    <t>We see the ladies on their knees in the field.</t>
  </si>
  <si>
    <t>We see three ladies on the field.</t>
  </si>
  <si>
    <t>We see two ladies dancing.</t>
  </si>
  <si>
    <t>We see the closing screens.</t>
  </si>
  <si>
    <t>v_r8MwPAJWPDk</t>
  </si>
  <si>
    <t>People are rock climbing up rocks.</t>
  </si>
  <si>
    <t>A person falls off of the rock into the water below.</t>
  </si>
  <si>
    <t>v_tg6HOGy0BBQ</t>
  </si>
  <si>
    <t>A man sits down with his leg on a chair.</t>
  </si>
  <si>
    <t>A person puts waxing strips on his leg and pulls off the hair.</t>
  </si>
  <si>
    <t>He puts his shirt over his face.</t>
  </si>
  <si>
    <t>v_SSldR9yOJq8</t>
  </si>
  <si>
    <t>A person wearing a costume is seen standing and posing inside a canoe and eventually pushes themselves down the river.</t>
  </si>
  <si>
    <t>The person moves in the canoe slowly and the camera follows him moving along the water in the canoe.</t>
  </si>
  <si>
    <t>v_ubR7XPBJQH8</t>
  </si>
  <si>
    <t>Two men are seen performing martial arts moves against one another and leads into a man speaking.</t>
  </si>
  <si>
    <t>The man then demonstrates several martial arts moves with another man while still speaking to the camera.</t>
  </si>
  <si>
    <t>The man continues these motions while stopping to demonstrate how it's properly done.</t>
  </si>
  <si>
    <t>v_KKEyKFmatq0</t>
  </si>
  <si>
    <t>People are playing a game of soccer in an indoor arena.</t>
  </si>
  <si>
    <t>A man picks up the ball and throws it someone else.</t>
  </si>
  <si>
    <t>People fall onto the arena floor.</t>
  </si>
  <si>
    <t>v_KujAY-AST9M</t>
  </si>
  <si>
    <t>Guys stand around in an indoor court.</t>
  </si>
  <si>
    <t>Two guys play relay soccer, an athlete touches the hands of his opponent and a goalie before he kicks a served ball.</t>
  </si>
  <si>
    <t>A player kicks the ball towards the goalie from center court.</t>
  </si>
  <si>
    <t>The guys pause for a short while.</t>
  </si>
  <si>
    <t>v_3X2CY79a0X8</t>
  </si>
  <si>
    <t>A man pushes a lawnmower cutting down a high patch of weeds in a yard.</t>
  </si>
  <si>
    <t>The man turns over the lawnmower on its side then clears out tangled grass.</t>
  </si>
  <si>
    <t>The man backs up and swings the lawnmower around in a circle and turns the lawnmower in the opposite direction.</t>
  </si>
  <si>
    <t>v_9g1omTdpoYs</t>
  </si>
  <si>
    <t>Various cupcakes are shown sitting on a plate and lettering comes up stating how to make them.</t>
  </si>
  <si>
    <t>Several ingredients are shown and the person mixing the ingredients together in a bowl.</t>
  </si>
  <si>
    <t>The person blends all the ingredients and puts them in a pan to cook.</t>
  </si>
  <si>
    <t>The cupcakes are finally cooked and set out on a plate to enjoy.</t>
  </si>
  <si>
    <t>v_s6pFNNnub80</t>
  </si>
  <si>
    <t>Several pictures are shown of nails close up and leads into a person painting text onto a nail.</t>
  </si>
  <si>
    <t>The person shows close ups of nail polish and continues painting on the nail.</t>
  </si>
  <si>
    <t>The woman finishes her design and shows off another picture of nails.</t>
  </si>
  <si>
    <t>v_2bEr09bbqAA</t>
  </si>
  <si>
    <t>A man sits in a kayak and holds his oar in a river showing how to use it properly.</t>
  </si>
  <si>
    <t>The man leans back in his kayak to show balance techniques.</t>
  </si>
  <si>
    <t>The kayak rider paddles into the white wash below a water fall and flips over then rights himself again.</t>
  </si>
  <si>
    <t>v_yyUmEgvq3B0</t>
  </si>
  <si>
    <t>A man is seen walking with a chair and puts it in the middle of a bowling lane.</t>
  </si>
  <si>
    <t>He high fives the audience and throws the ball over the chair and hits all the pins.</t>
  </si>
  <si>
    <t>He same shot is shown several times and he sits down in his chair laughing.</t>
  </si>
  <si>
    <t>v_5Z5DAI4Grb0</t>
  </si>
  <si>
    <t>A title page pans into hands holding a paint brush with a portrait in the background.</t>
  </si>
  <si>
    <t>She holds another picture beside her and pushes the brush into paint.</t>
  </si>
  <si>
    <t>She then begins painting the picture and adding more color to the portrait.</t>
  </si>
  <si>
    <t>v_6V6XB0KmYkk</t>
  </si>
  <si>
    <t>A large group of people are seen playing hockey around an arena performing various tricks with the puck.</t>
  </si>
  <si>
    <t>The men continue to hit the puck around one another as the camera captures them from several sides.</t>
  </si>
  <si>
    <t>The man push the puck around more over and under obstacles.</t>
  </si>
  <si>
    <t>v_2i_rotAjuoE</t>
  </si>
  <si>
    <t>First there is a screen shown for a small amount of time letting viewers know what this video is about.</t>
  </si>
  <si>
    <t>Then there is a man riding different horses in different settings where people watch them.</t>
  </si>
  <si>
    <t>In the first one, the horse runs with him on his back and he tries to jump over a wooden obstacle, but fails and there are many more fails.</t>
  </si>
  <si>
    <t>v_4wiLmu1yTZI</t>
  </si>
  <si>
    <t>A man with curly hair is seen speaking to the camera with a serious conviction.</t>
  </si>
  <si>
    <t>He then brushes through his hair with a dog in frame and shows off his poofy hair.</t>
  </si>
  <si>
    <t>He then is seen again with wet hair and closes his eyes to the camera.</t>
  </si>
  <si>
    <t>v_eyWerZITH1Y</t>
  </si>
  <si>
    <t>A man jumps onto a balance beam.</t>
  </si>
  <si>
    <t>They begin to do a gymnastics routine on the balance beam.</t>
  </si>
  <si>
    <t>They jump off onto a mat next to it.</t>
  </si>
  <si>
    <t>v_-4Q_zG9EChY</t>
  </si>
  <si>
    <t>A man is seen standing on a rope and begins walking across the rope.</t>
  </si>
  <si>
    <t>The man continues walking while the camera captures his movements.</t>
  </si>
  <si>
    <t>He walks all along the rope to the end and jumps off.</t>
  </si>
  <si>
    <t>v_hhHiBeL08-M</t>
  </si>
  <si>
    <t>A close up of a porch is shown with the camera panning all around.</t>
  </si>
  <si>
    <t>The camera walks to the end of the porch.</t>
  </si>
  <si>
    <t>The camera turns around while still looking at the porch.</t>
  </si>
  <si>
    <t>v_ZbFyGkfGFcE</t>
  </si>
  <si>
    <t>Children are playing on the beach.</t>
  </si>
  <si>
    <t>They are building a sand castle.</t>
  </si>
  <si>
    <t>A girl dumps a bucket full of sand in front of her.</t>
  </si>
  <si>
    <t>v_wIthr5w6RV4</t>
  </si>
  <si>
    <t>A man in a hat is talking to a camera.</t>
  </si>
  <si>
    <t>He is dressed up in a sumo wrestling outfit and playing curling.</t>
  </si>
  <si>
    <t>He is playing tennis on a tennis court.</t>
  </si>
  <si>
    <t>v_uaqcvxz_5fY</t>
  </si>
  <si>
    <t>A city view is seen from a skyscraper.</t>
  </si>
  <si>
    <t>Two men are shown cleaning windows on the side of the building.</t>
  </si>
  <si>
    <t>They squeegee and wipe down the glass professionally.</t>
  </si>
  <si>
    <t>They then check their work before finishing.</t>
  </si>
  <si>
    <t>v_ZGSi-QAkf5A</t>
  </si>
  <si>
    <t>There some geese flying in the sky above a park.</t>
  </si>
  <si>
    <t>A man is talking in his microphone as some men are playing cricket behind him in the park.</t>
  </si>
  <si>
    <t>It is a sunny day with geese walking around the park and people enjoying a casual game of cricket.</t>
  </si>
  <si>
    <t>There's a man hitting the ball with his cricket bat and another person trying to catch his ball.</t>
  </si>
  <si>
    <t>A squirrel is sitting on the park bench and enjoying the sunshine as well.</t>
  </si>
  <si>
    <t>v_CB0yYGVNcOk</t>
  </si>
  <si>
    <t>A man is seen playing a saxophone into the camera and leads into him speaking.</t>
  </si>
  <si>
    <t>More shots are shown of him playing the instrument while pausing to play more.</t>
  </si>
  <si>
    <t>He continues playing along and ends by smiling to the camera.</t>
  </si>
  <si>
    <t>v_fkUnZB6NTT8</t>
  </si>
  <si>
    <t>Several people are shown in photos, gathered together in winter gear in the snow.</t>
  </si>
  <si>
    <t>They ride in intertubes down a hill together, laughing and talking with each other.</t>
  </si>
  <si>
    <t>They are then shown in after even celebratory photos, posing together.</t>
  </si>
  <si>
    <t>v_s3HhNlysFDs</t>
  </si>
  <si>
    <t>A cross appears in the style of the tile under the water in a pool.</t>
  </si>
  <si>
    <t>A man in a swim cap swims through the water toward the camera.</t>
  </si>
  <si>
    <t>He is shown swimming from numerous angles.</t>
  </si>
  <si>
    <t>v_o4_Vi7asvxg</t>
  </si>
  <si>
    <t>Two people are dressed in all black riding their bicycles down the road.</t>
  </si>
  <si>
    <t>The two boys are then pictured on a split screen against each other putting on their helmets.</t>
  </si>
  <si>
    <t>The two then put on their green biking gloves and get back on the bikes.</t>
  </si>
  <si>
    <t>A skate park is then shown and one of the boys begin doing tricks over the bumps.</t>
  </si>
  <si>
    <t>Once completed,the bikes are walked over and the boys begin to shake each others hand.</t>
  </si>
  <si>
    <t>After the tricks continue and they keep jumping and doing tricks over the hills.</t>
  </si>
  <si>
    <t>v_Xr8zB1aIBzg</t>
  </si>
  <si>
    <t>People wait in an indoor gym as the instructor walks out.</t>
  </si>
  <si>
    <t>The class starts a stepercize class using black boxes.</t>
  </si>
  <si>
    <t>The class finishes by waving their arms and the instructor walks away.</t>
  </si>
  <si>
    <t>v_ZA_XYgP4fMA</t>
  </si>
  <si>
    <t>Two men are seen arm wrestling with one another while holding their arms down to the sides.</t>
  </si>
  <si>
    <t>They keep starting again until one of them eventually wins.</t>
  </si>
  <si>
    <t>v_y3Wfx-RvTpk</t>
  </si>
  <si>
    <t>A man is standing under a basketball goal.</t>
  </si>
  <si>
    <t>A group of boys is listening to the coach.</t>
  </si>
  <si>
    <t>They begin warming up by doing lay ups.</t>
  </si>
  <si>
    <t>The boys line up, prepared to play the game.</t>
  </si>
  <si>
    <t>v_OVpila9fAaQ</t>
  </si>
  <si>
    <t>people are in a lake wakeboarding being pulled by a boat.</t>
  </si>
  <si>
    <t>a lot of people are standing on a dock watching the wakeboarding competition.</t>
  </si>
  <si>
    <t>people are walking on the dock wearing winter clothes.</t>
  </si>
  <si>
    <t>v_ZXEc0cahpuw</t>
  </si>
  <si>
    <t>There is a woman whose wearing nothing but shorts and a tshirt.</t>
  </si>
  <si>
    <t>She is shown sitting on a rock while washing the little bit of clothes she has in the river.</t>
  </si>
  <si>
    <t>v_LOINRpWGrlw</t>
  </si>
  <si>
    <t>Someone is at the bowling alley on a lane with a red ball.</t>
  </si>
  <si>
    <t>He throws the ball, his foot goes up and the ball rolls to hit the pins.</t>
  </si>
  <si>
    <t>Multiple people take their turns doing the same stance and everything more or less.</t>
  </si>
  <si>
    <t>You never see the balls hit the pins just everyone throwing the ball.</t>
  </si>
  <si>
    <t>v_-1IlTIWPNs4</t>
  </si>
  <si>
    <t>A cameraman walks down a snowy driveway to capture a young child shoveling up snow.</t>
  </si>
  <si>
    <t>The boy speaks into the camera and continues pushing the snow around with a shovel.</t>
  </si>
  <si>
    <t>v_nYlAXMmPWw0</t>
  </si>
  <si>
    <t>Five women are in a room dancing.</t>
  </si>
  <si>
    <t>They dance around in a circle.</t>
  </si>
  <si>
    <t>They continue dancing together in the room.</t>
  </si>
  <si>
    <t>v_-ntEh6HpeX0</t>
  </si>
  <si>
    <t>A woman wearing gloves is in front of a sink.</t>
  </si>
  <si>
    <t>She sprays it down with a cleaning solution.</t>
  </si>
  <si>
    <t>She then scrubs the sink until it is clean.</t>
  </si>
  <si>
    <t>v_ct3uprBbPHw</t>
  </si>
  <si>
    <t>A man stands in front of the camera, then starts combing his hair forward.</t>
  </si>
  <si>
    <t>He then focuses on the sides and back of his hair, again combing down.</t>
  </si>
  <si>
    <t>He brings the brush all around his hair, adding his left hand to swipe along.</t>
  </si>
  <si>
    <t>v_NSegylr0MBg</t>
  </si>
  <si>
    <t>We see a man adjust the camera and shake his hair.</t>
  </si>
  <si>
    <t>We see commentary on the screen.</t>
  </si>
  <si>
    <t>The image is in color and the man blow drys his hair.</t>
  </si>
  <si>
    <t>The man uses a brush and instructions appear.</t>
  </si>
  <si>
    <t>We see more instructions on the screen.</t>
  </si>
  <si>
    <t>Instruction tell views to mold hair.</t>
  </si>
  <si>
    <t>More instructions appear on the screen.</t>
  </si>
  <si>
    <t>The man adds pomades to his hair.</t>
  </si>
  <si>
    <t>The man brushes his hair with a brush.</t>
  </si>
  <si>
    <t>We see the scene go dark and the writing appears on the screen.</t>
  </si>
  <si>
    <t>v_L-rPS8tlAy4</t>
  </si>
  <si>
    <t>A horse runs wild with a trainer chasing after it.</t>
  </si>
  <si>
    <t>A horse runs after and bucks a bull that charges it with its horns.</t>
  </si>
  <si>
    <t>The horse is let out of the coral by the cowboys.</t>
  </si>
  <si>
    <t>The horses intestines hang from its body from the injury.</t>
  </si>
  <si>
    <t>The horse lies on the ground having a seizure.</t>
  </si>
  <si>
    <t>A bull chases after a cowboy on a horse carrying a lasso.</t>
  </si>
  <si>
    <t>v_dm5WXFiQZUQ</t>
  </si>
  <si>
    <t>A motorcyclist is in the bed and is woken up by an alarm clock.</t>
  </si>
  <si>
    <t>The motorcyclist gets out of bed and prepares to leave by bathing using the bathroom and reading the newspaper.</t>
  </si>
  <si>
    <t>He rides the motorcycle down the hall and into the elevator.</t>
  </si>
  <si>
    <t>He exits the building and rides the motorcycle into a casino where he performs several tricks as people watch.</t>
  </si>
  <si>
    <t>He exits the casino and the closing credits show up on the screen.</t>
  </si>
  <si>
    <t>v_k7nuduqYOdQ</t>
  </si>
  <si>
    <t>A close up of a weight is shown.</t>
  </si>
  <si>
    <t>Several individuals are shown lifting barbells with weights in various ways in a gym while other individuals watch or exercise in the background.</t>
  </si>
  <si>
    <t>A screen with a logo and contact information is shown.</t>
  </si>
  <si>
    <t>v_HxenZkvSkPc</t>
  </si>
  <si>
    <t>We see a lady walking a dog.</t>
  </si>
  <si>
    <t>We see a man walking the dog.</t>
  </si>
  <si>
    <t>We return to the lady walking the dog.</t>
  </si>
  <si>
    <t>The dog pulls the lady down the street.</t>
  </si>
  <si>
    <t>We see the lady and the man talking.</t>
  </si>
  <si>
    <t>The man walks the dog up the stairs and in the driveway.</t>
  </si>
  <si>
    <t>We see the lady put a harness son the dog and walk him as the man watches.</t>
  </si>
  <si>
    <t>We then see the black closing screen.</t>
  </si>
  <si>
    <t>v_2b_hjshny54</t>
  </si>
  <si>
    <t>Female swimmer jump off into the water at a swim meet.</t>
  </si>
  <si>
    <t>They quickly race down the swim lanes.</t>
  </si>
  <si>
    <t>The swimmers repeatedly go back and forth down the swim lanes using various swimming techniques.</t>
  </si>
  <si>
    <t>v_RuBLAghI1vE</t>
  </si>
  <si>
    <t>There are some people curling in an indoor ice rink.</t>
  </si>
  <si>
    <t>There are some girls getting ready with the curling sticks and prepping the rink to play curling.</t>
  </si>
  <si>
    <t>Two girls dressed in black gear are playing the game as they go through the rink with their curling sticks pushing the rock.</t>
  </si>
  <si>
    <t>One of the players glides through the floor and pushes the rock to the end of the rink.</t>
  </si>
  <si>
    <t>The two players continue playing as they go through the rink and slide the rocks till the end of the line.</t>
  </si>
  <si>
    <t>Two other players wearing pink play the game as they slide the rocks through the rink.</t>
  </si>
  <si>
    <t>v_1FMjfLRpXwM</t>
  </si>
  <si>
    <t>The lady in black is doing a hairstyle tutorial and demonstrating on another woman who is seated next to her.</t>
  </si>
  <si>
    <t>She shows the hairspray that she has used on the model.</t>
  </si>
  <si>
    <t>She uses the hairspray on the model's hair and sprays it.</t>
  </si>
  <si>
    <t>She then takes a pair of scissors and cuts the rubber band off and spray her hair again.</t>
  </si>
  <si>
    <t>She pulls her braid apart and rubs her fingers over it.</t>
  </si>
  <si>
    <t>She then twists the braid and pins it up on the model's head.</t>
  </si>
  <si>
    <t>She twists it again and tightens it up and secures it with a pin again.</t>
  </si>
  <si>
    <t>She also makes a bun out of the braid to complete the hairstyle.</t>
  </si>
  <si>
    <t>She shows the hairspray bottle again that she has used on the model.</t>
  </si>
  <si>
    <t>v_jCw0kBph-v4</t>
  </si>
  <si>
    <t>A man and woman are standing in a starkly white room.</t>
  </si>
  <si>
    <t>They lay plastic on the ground and fill a tub with white paint.</t>
  </si>
  <si>
    <t>They then demonstrate how to hang a strip of wallpaper onto the wall.</t>
  </si>
  <si>
    <t>v_6azNzt8rXAs</t>
  </si>
  <si>
    <t>A man is seen practicing his ping pong abilities followed by him playing the game against another person.</t>
  </si>
  <si>
    <t>A man watches on the side as the men continue to play with more people stopping to watch.</t>
  </si>
  <si>
    <t>v_hKLDr9ZaDb8</t>
  </si>
  <si>
    <t>A woman in a bikini is standing in a room.</t>
  </si>
  <si>
    <t>She begins to hula hoop with a lit up hula hoop.</t>
  </si>
  <si>
    <t>The hula hoop is seen sitting next to a shirt.</t>
  </si>
  <si>
    <t>v_O67GDqPk_ug</t>
  </si>
  <si>
    <t>A person walks into frame holding a tool and cutting a tree up and down.</t>
  </si>
  <si>
    <t>The person continues using the tool on the tree and uses a small one to finish out the sides, presenting a small tree in the end.</t>
  </si>
  <si>
    <t>v_fKbrGn6c3us</t>
  </si>
  <si>
    <t>A woman is standing in front of an ironing board while talking.</t>
  </si>
  <si>
    <t>She shows off a white shirt, which she sprays with something in a can.</t>
  </si>
  <si>
    <t>She arranges the shirt on the ironing board, then begins to iron the shirt.</t>
  </si>
  <si>
    <t>After she irons the shirt, the screen goes to an advertisement for Expert Village.</t>
  </si>
  <si>
    <t>v_I8doQJXPqwo</t>
  </si>
  <si>
    <t>Two women are at the carwash.</t>
  </si>
  <si>
    <t>A car is covered in soap suds.</t>
  </si>
  <si>
    <t>The women begin to use a water hose to clean off the soap.</t>
  </si>
  <si>
    <t>They work the hose and brush all over the car.</t>
  </si>
  <si>
    <t>They finish hosing it off.</t>
  </si>
  <si>
    <t>v_dj_GBrR5N4E</t>
  </si>
  <si>
    <t>A young man prepares to complete a routine on the parallel bars.</t>
  </si>
  <si>
    <t>Many people are in bleachers in the background walking around, sitting and watching.</t>
  </si>
  <si>
    <t>The young man uses a spring board to mount the bars.</t>
  </si>
  <si>
    <t>A man standing nearby pulls the spring board out of the way.</t>
  </si>
  <si>
    <t>Several judges sit at a table in front of the bleachers watching.</t>
  </si>
  <si>
    <t>The young man completes his parallel bar routine.</t>
  </si>
  <si>
    <t>The young man then dismounts, lands and bows.</t>
  </si>
  <si>
    <t>He walks away as another man in the same uniform approaches.</t>
  </si>
  <si>
    <t>v_Lg6QZST92xo</t>
  </si>
  <si>
    <t>A close up of a log is seen and a person swinging an ax up and down.</t>
  </si>
  <si>
    <t>The person swings the ax against the dog and cuts it in half.</t>
  </si>
  <si>
    <t>The person performs this several more times.</t>
  </si>
  <si>
    <t>v_tydn-vo3DaY</t>
  </si>
  <si>
    <t>Various people are seen doing sit ups with other's help and transitions into several shots of people performing grueling tasks.</t>
  </si>
  <si>
    <t>One man climbs a wall and does push ups while another is interviewed by the camera and several people climb a wall.</t>
  </si>
  <si>
    <t>More shots of the people exercising are shown as well as climbing rock walls and several push ups.</t>
  </si>
  <si>
    <t>v_C6OmnTWhsEc</t>
  </si>
  <si>
    <t>A man wearing a white shirt and frog pattern headgear touches his nipples while holding a recorder.</t>
  </si>
  <si>
    <t>The man brings the recorder to his right nostril.</t>
  </si>
  <si>
    <t>The man begins to play the recorder.</t>
  </si>
  <si>
    <t>The scene cuts to the man, having finished playing, bowing while touching his nipples.</t>
  </si>
  <si>
    <t>v_bqA-WmqF19E</t>
  </si>
  <si>
    <t>People are playing pool in a room.</t>
  </si>
  <si>
    <t>A man shoots at the ball and makes it into the pocket.</t>
  </si>
  <si>
    <t>People are standing behind him playing pool on another table.</t>
  </si>
  <si>
    <t>v_OhpILjGpQTs</t>
  </si>
  <si>
    <t>We see the title card fade out.</t>
  </si>
  <si>
    <t>We see two kids on a camel at a carnival.</t>
  </si>
  <si>
    <t>The man leads the camel out of the pen as he smokes a cigarette.</t>
  </si>
  <si>
    <t>They pass the petting zoo.</t>
  </si>
  <si>
    <t>We see the mom taking pictures of the kids.</t>
  </si>
  <si>
    <t>The ending card is shown.</t>
  </si>
  <si>
    <t>v_5CtecK635eI</t>
  </si>
  <si>
    <t>There is one man who's in the room with two other men and he lifts up a weigh that weighs over 400 pounds.</t>
  </si>
  <si>
    <t>Next he lifts up a weight that is heavier than the last one.</t>
  </si>
  <si>
    <t>He gets, a handshake and a hug from an elderly man.</t>
  </si>
  <si>
    <t>Then someone gives him money and someone else who's sitting in a chair gives him a highfive.</t>
  </si>
  <si>
    <t>v_RO5WKh6dViA</t>
  </si>
  <si>
    <t>A group of children play on playground equipment watched by parents.</t>
  </si>
  <si>
    <t>A child swings across the monkey bars.</t>
  </si>
  <si>
    <t>The child gets to the other side bows and runs back to the monkey bars jumping and laughing.</t>
  </si>
  <si>
    <t>The child jumps around happily and falls down but get right back up.</t>
  </si>
  <si>
    <t>v_8874vqLm958</t>
  </si>
  <si>
    <t>A woman is seen on an elliptical trainer in an ad.</t>
  </si>
  <si>
    <t>Then we see the various components and options for using the machine.</t>
  </si>
  <si>
    <t>A woman scrolls through a digital screen, then is seen riding the elliptical.</t>
  </si>
  <si>
    <t>v_ZG4ApSk5iKw</t>
  </si>
  <si>
    <t>A man is doing various tasks while doing crunches.</t>
  </si>
  <si>
    <t>He raises the back on his work out machine and starts doing crunches again.</t>
  </si>
  <si>
    <t>He sits up and continues talking to the camera.</t>
  </si>
  <si>
    <t>v_FrVitupq7sQ</t>
  </si>
  <si>
    <t>Two men are seen standing on a tennis court holding rackets and speaking to the camera.</t>
  </si>
  <si>
    <t>Several slow motion scenes are shown performing a correct tennis serve with the men demonstrating right after.</t>
  </si>
  <si>
    <t>The men do this for several turns with one slow motion of a man performing the trick done afterwards.</t>
  </si>
  <si>
    <t>v_eUvvxpAK3_8</t>
  </si>
  <si>
    <t>A man is seen speaking to the camera and begins polishing a black shoe with a brush.</t>
  </si>
  <si>
    <t>He points around the shoe and flips the shoe around with his hands.</t>
  </si>
  <si>
    <t>v_HVmZOfkh8Pk</t>
  </si>
  <si>
    <t>A boy talks in a field, then he plays with a person using a stick to hit a ball.</t>
  </si>
  <si>
    <t>The boy throws the ball to the other boy and score.</t>
  </si>
  <si>
    <t>The boys talk in the field.</t>
  </si>
  <si>
    <t>v_AItKK-a8eEI</t>
  </si>
  <si>
    <t>We see people surfing in the ocean Two men are taking images.</t>
  </si>
  <si>
    <t>We see a title screen then two men stand on the beach with a camera.</t>
  </si>
  <si>
    <t>We see the surfers in the ocean.</t>
  </si>
  <si>
    <t>We see the third title screen and two men on the beach with a camera.</t>
  </si>
  <si>
    <t>We then see the surfers in the ocean.</t>
  </si>
  <si>
    <t>We see a man on a boat with a camera.</t>
  </si>
  <si>
    <t>We then see the closing title screen.</t>
  </si>
  <si>
    <t>v_7LhgGs4TrYA</t>
  </si>
  <si>
    <t>a man is seated, talking to the camera.</t>
  </si>
  <si>
    <t>He is wearing a suit and tie with a colorful background.</t>
  </si>
  <si>
    <t>He continues talking, using his hands as he goes.</t>
  </si>
  <si>
    <t>v_fruimvo90vA</t>
  </si>
  <si>
    <t>A woman is seen running down a long track and jumping into a pit.</t>
  </si>
  <si>
    <t>The camera watches her as she walks away and sticks her tongue out to another person.</t>
  </si>
  <si>
    <t>v__Yt94ffXcCE</t>
  </si>
  <si>
    <t>A boy welds a piece of metal in an indoor shop while wearing a protective coat, helmet, goggles and gloves.</t>
  </si>
  <si>
    <t>A boy in a shop talks to the camera while standing in front of a piece of metal and handling welding tools in preparation to weld.</t>
  </si>
  <si>
    <t>The boy begins to weld creating extreme sparks of fire like reactions in front of him over the material being welded.</t>
  </si>
  <si>
    <t>The boy shows a close up of the red hot tip of the tool, finishes welding, and pans the camera to another young boy dressed in the same protective welding gear behind him.</t>
  </si>
  <si>
    <t>v__AuJBnTClQ8</t>
  </si>
  <si>
    <t>Several close ups are shown of a razor that leads into a man shaving another's face.</t>
  </si>
  <si>
    <t>The man shows his face again with the shaver putting cream on and beginning to shave.</t>
  </si>
  <si>
    <t>The man uses various tools on the other to shave as well as speaks to the camera.</t>
  </si>
  <si>
    <t>v_iCveBOc8JzM</t>
  </si>
  <si>
    <t>A young lady shows a a beauty cream bottle.</t>
  </si>
  <si>
    <t>Then, the young girl puts cream on hrs finger and rubs her shoulder.</t>
  </si>
  <si>
    <t>v_v0NEZPgjcXI</t>
  </si>
  <si>
    <t>A video game for WWE professional wrestling starts, showing a three on one match.</t>
  </si>
  <si>
    <t>The player controlling Roman Reigns hits a big move on his opponent, and his team comes in for a big coordinated attack.</t>
  </si>
  <si>
    <t>v_S9KUHyvFuGc</t>
  </si>
  <si>
    <t>man is riding a horse inside a barn and with a rope catch a bull.</t>
  </si>
  <si>
    <t>man is standing on side of te barn.</t>
  </si>
  <si>
    <t>v_v7OW60YncY4</t>
  </si>
  <si>
    <t>A man is seen speaking to a camera and leads into he pouring liquid into a bowl and rubbing it into a wooden object.</t>
  </si>
  <si>
    <t>He then paints down the area with a brush and nails fabric to the back, creating a chair and having the camera pan down.</t>
  </si>
  <si>
    <t>v_z60D7p37Lws</t>
  </si>
  <si>
    <t>A woman spins a young boy in circles.</t>
  </si>
  <si>
    <t>The boy is holding a long stick and wearing a blindfold.</t>
  </si>
  <si>
    <t>The woman stops spinning the boy and aims him at a pinata hanging from the ceiling.</t>
  </si>
  <si>
    <t>The boy swings and hits the pinata once.</t>
  </si>
  <si>
    <t>He then swings and misses many times.</t>
  </si>
  <si>
    <t>The boy finally gives up and takes the blindfold off.</t>
  </si>
  <si>
    <t>A different woman walks in and stops near the pinata.</t>
  </si>
  <si>
    <t>v_eNq-jGrQuV0</t>
  </si>
  <si>
    <t>A small young boy is outside running across a green field,he then reappears wearing a green helmet and a stick in his hand that is shaped like a paddle.</t>
  </si>
  <si>
    <t>The boy then gathers with the rest of his team,they stand in a line, and begins scrimmaging against one another.</t>
  </si>
  <si>
    <t>As the game continues,the kids run back and forth across the field and the coaches trail behind them.</t>
  </si>
  <si>
    <t>v_l_36uVP3LnI</t>
  </si>
  <si>
    <t>A screen says triple jump on it.</t>
  </si>
  <si>
    <t>A man is standing in a field before running and jumping into a square of dirt.</t>
  </si>
  <si>
    <t>He walks away from the jump and talks to the camera.</t>
  </si>
  <si>
    <t>It is shown again in slow motion.</t>
  </si>
  <si>
    <t>v_-ux1hQSR1AM</t>
  </si>
  <si>
    <t>An athletic man dressed in blue approaches the gymnastic horse and stands there and stares at it for a few seconds.</t>
  </si>
  <si>
    <t>The man then approaches it and puts his two hands on it and begins doing various moves on it where he twists, turns and maneuvers his body very skillfully all around the gymnastic horse.</t>
  </si>
  <si>
    <t>The the man finishes the end of his routine and jumps off of the gymnastic horse landing on his two feet, holds his two arms up in the air, claps his hands once and then takes a bow.</t>
  </si>
  <si>
    <t>v_x7M1yRFtnxY</t>
  </si>
  <si>
    <t>People are running around obstacles playing a game of paintball.</t>
  </si>
  <si>
    <t>A boy looks around a corner and gets down on the ground.</t>
  </si>
  <si>
    <t>An American flag is shown on the screen.</t>
  </si>
  <si>
    <t>v_vF-XFROSmv4</t>
  </si>
  <si>
    <t>There's a man wearing a white colored vest and blue hard hat rowing in a yellow row boat with double sided oar.</t>
  </si>
  <si>
    <t>He is demonstrating the correct way to row the boat while staying afloat.</t>
  </si>
  <si>
    <t>He is in a water body that has some strong waves.</t>
  </si>
  <si>
    <t>He is showing how to do the strokes with the oars to go against the water current.</t>
  </si>
  <si>
    <t>He goes in circles as he demonstrates how to row against powerful waves.</t>
  </si>
  <si>
    <t>v_7ezC4N3ArmQ</t>
  </si>
  <si>
    <t>men are at sides of table playing beerpong.</t>
  </si>
  <si>
    <t>a man is sitting in a chair next to the table watching the men while are playing.</t>
  </si>
  <si>
    <t>the men are Accommodating the cups on the table.</t>
  </si>
  <si>
    <t>v_Marb8CMxPV0</t>
  </si>
  <si>
    <t>Various people are seen standing in an open area performing several tricks with their dogs.</t>
  </si>
  <si>
    <t>Many people watch on the sidelines and more people continue to show tricks with their dogs.</t>
  </si>
  <si>
    <t>Several people are interviewed by the camera and leads into even more tricks being shown.</t>
  </si>
  <si>
    <t>v_6ZUHLsyJ6yo</t>
  </si>
  <si>
    <t>A line of drummers play inside a superdome.</t>
  </si>
  <si>
    <t>Several bass drummers appear wearing jerseys.</t>
  </si>
  <si>
    <t>They all play a beat as people with cameras walk between them.</t>
  </si>
  <si>
    <t>v__gnMuU1UJnM</t>
  </si>
  <si>
    <t>A black screen appears with white words that read "SPORT BEZ BARIER CURLING NA WOZKACH".</t>
  </si>
  <si>
    <t>An ice cleaner is now riding on an ice rink, and then people on wheelchairs start wheeling onto the rink.</t>
  </si>
  <si>
    <t>A woman on a wheelchair begins speaking and the words on the screen say her name is "Agnieszka Kachel".</t>
  </si>
  <si>
    <t>The rink is shown again and it shows gray objects with colorful tops are being pushed on the ice with sticks that the people in wheelchairs are holding and it switches back and forth to the woman talking alone and to the people on the ice playing.</t>
  </si>
  <si>
    <t>A white outro screen appears with black letters that include a list of names, websites and logos.</t>
  </si>
  <si>
    <t>v_dXLhYjRSNcs</t>
  </si>
  <si>
    <t>A gymnast is seen climbing onto a set of uneven bars and performing a routine while many watch on the side.</t>
  </si>
  <si>
    <t>He performs various flips and tricks and ends by jumping down and putting his arms up.</t>
  </si>
  <si>
    <t>v_w_PJ9N8CMo8</t>
  </si>
  <si>
    <t>A man washes his face in front of a mirror.</t>
  </si>
  <si>
    <t>He laughs at the camera.</t>
  </si>
  <si>
    <t>He rubs his face some more.</t>
  </si>
  <si>
    <t>He bends into the sink to rinse it.</t>
  </si>
  <si>
    <t>v_iBpyYbLv1WU</t>
  </si>
  <si>
    <t>A man is strumming away on his guitar aggressively.</t>
  </si>
  <si>
    <t>Another man with a blue guitar is playing and knocking around all over his guitar.</t>
  </si>
  <si>
    <t>A man in a red shirt who has an electric guitar is tapping his foot keeping tempo and playing a tune.</t>
  </si>
  <si>
    <t>He plays up and down a scale or tune.</t>
  </si>
  <si>
    <t>v_azCsE98qwus</t>
  </si>
  <si>
    <t>A woman wearing a red outfit raises her hands and feet, alternating them in a slow and methodical fashion.</t>
  </si>
  <si>
    <t>She puts on a show on a stage, going back and forth fluidly.</t>
  </si>
  <si>
    <t>The woman turns in several different directions, providing different actions before standing straight and still as her finale.</t>
  </si>
  <si>
    <t>v_Z5lRHCRBA_E</t>
  </si>
  <si>
    <t>A black screen with white zooming text of a girls performance on the uneven bars.</t>
  </si>
  <si>
    <t>A gymnast strides to the uneven bars jumps off a board and grabs on to the bars and goes through her routine.</t>
  </si>
  <si>
    <t>There is text that appears on the screen describing what she has to do.</t>
  </si>
  <si>
    <t>She ends her routine and lands on the mat as the crowd cheers.</t>
  </si>
  <si>
    <t>A black screen with white text appears followed by the gymnasts score.</t>
  </si>
  <si>
    <t>v_IC-Rd7ouQmE</t>
  </si>
  <si>
    <t>A group of people are seen sitting on bikes and waiting before a track.</t>
  </si>
  <si>
    <t>A bar let's go and the men ride around a long track on the bikes behind one another.</t>
  </si>
  <si>
    <t>v_x3WVWHn3teI</t>
  </si>
  <si>
    <t>A man is seen standing in front of a bike speaking to the camera and leads into shots of him riding around.</t>
  </si>
  <si>
    <t>The man continues to speak to the camera as more shots are shown of him riding the dirt bike around a track.</t>
  </si>
  <si>
    <t>v__gO4UzCTqhk</t>
  </si>
  <si>
    <t>A woman is seen speaking to the camera in front of a large bush.</t>
  </si>
  <si>
    <t>The woman then uses a shovel along some dirt.</t>
  </si>
  <si>
    <t>The camera pans around the plant when she is finished.</t>
  </si>
  <si>
    <t>v_UIH5arBo3-Y</t>
  </si>
  <si>
    <t>An older man with glasses and gray hairs sits and sings as he plays the guitar.</t>
  </si>
  <si>
    <t>The man pauses for a second.</t>
  </si>
  <si>
    <t>The man finishes his song and stops.</t>
  </si>
  <si>
    <t>We see the ending title screen with a cat on it.</t>
  </si>
  <si>
    <t>v_cNCrFL2l83o</t>
  </si>
  <si>
    <t>A bald man is standing next to the counter with glass and stirrer in front of him.</t>
  </si>
  <si>
    <t>The man put ice in the glass, put clear liquid in the glass, added orange juice, he mix the contents as he pour the orange juice, then add red liquid that fell under the orange juice.</t>
  </si>
  <si>
    <t>v_FutaoYIC4Ok</t>
  </si>
  <si>
    <t>A young lady roller skate on the road in the forest.</t>
  </si>
  <si>
    <t>Then she arrives pass on front of an abandoned car.</t>
  </si>
  <si>
    <t>v_d1doBRc_hAM</t>
  </si>
  <si>
    <t>A man is seen riding on a treadmill followed by several images of the treadmill and a man taking pictures.</t>
  </si>
  <si>
    <t>A person undoes the machine and then rides on the machine and leads into more people taking pictures of the machine and people riding.</t>
  </si>
  <si>
    <t>v_LAU_pVRs9RQ</t>
  </si>
  <si>
    <t>Two men are sitting at the table with their arms on the table, they are positioned for arm wrestling.</t>
  </si>
  <si>
    <t>A in blue shirt is standing at the center holding both hands of the player.</t>
  </si>
  <si>
    <t>The man with the bear broke his arm after the other man push it down.</t>
  </si>
  <si>
    <t>v_iPPfX25MUQ0</t>
  </si>
  <si>
    <t>Tourists rides camels while people pull the camels with a rope.</t>
  </si>
  <si>
    <t>Men helps a couple to unload the camels and feed them.</t>
  </si>
  <si>
    <t>v_eD2SW7ibzmM</t>
  </si>
  <si>
    <t>Two men start dancing on a stage.</t>
  </si>
  <si>
    <t>They put their hands up next to their face.</t>
  </si>
  <si>
    <t>An album of a woman is shown on the screen.</t>
  </si>
  <si>
    <t>v_blCvgADz8LY</t>
  </si>
  <si>
    <t>A man bends down and picks up a large weight.</t>
  </si>
  <si>
    <t>He lifts it up over his head.</t>
  </si>
  <si>
    <t>He then drops it onto the ground.</t>
  </si>
  <si>
    <t>v_3792wPKkdXI</t>
  </si>
  <si>
    <t>a man and a woman are arm wrestling on top of a table in middle of stage and the woman wins.</t>
  </si>
  <si>
    <t>people are in stands around the stage watching the competition.</t>
  </si>
  <si>
    <t>v_tokwDYW6rS0</t>
  </si>
  <si>
    <t>A Howcast logo is the opening scene of the video.</t>
  </si>
  <si>
    <t>A woman is showing paintings of her work.</t>
  </si>
  <si>
    <t>An instructional slide is shown.</t>
  </si>
  <si>
    <t>The woman is explaining the materials used.</t>
  </si>
  <si>
    <t>She then describes the brushes she uses.</t>
  </si>
  <si>
    <t>She shows the paint pallet and various colors of paint.</t>
  </si>
  <si>
    <t>She explains the bottles of paint.</t>
  </si>
  <si>
    <t>She then instructs on how to clean the brushes with liquid and paper towels.</t>
  </si>
  <si>
    <t>The video ends with the same logo it started with.</t>
  </si>
  <si>
    <t>v_n04N7AuqZsY</t>
  </si>
  <si>
    <t>A group of girls in field hockey outfits walks onto a green field in a line.</t>
  </si>
  <si>
    <t>The girls are then seen in front of a male coach talking to them and pointing to spots on the field.</t>
  </si>
  <si>
    <t>Several girls are interviewed from the field and bleachers before and as video of the girls practicing field hockey are shown.</t>
  </si>
  <si>
    <t>The girls are then shown playing field hockey on a large green field interspersed with an interview from the coach.</t>
  </si>
  <si>
    <t>v_tww0AR8NanU</t>
  </si>
  <si>
    <t>man is standing talking to the camera showing a big metal piece.</t>
  </si>
  <si>
    <t>te man in the room is playing the harmonica.</t>
  </si>
  <si>
    <t>the man stops playing and keeps talking to the camera in a small white room.</t>
  </si>
  <si>
    <t>v_Scjxbdh6b54</t>
  </si>
  <si>
    <t>A white BMW 3 series is in a garage being cleaned by two men wearing safety jackets.</t>
  </si>
  <si>
    <t>Once the front is cleaned,the men move towards the back spraying the vehicle and come back to spray the rim and go back to the trunk to get all of the spots.</t>
  </si>
  <si>
    <t>v_1P_BTFhNZFo</t>
  </si>
  <si>
    <t>There are two girls wearing sparkly blue tank tops and black skirts doing a coordinated dance with sticks in their hands in a gym.</t>
  </si>
  <si>
    <t>They begin by facing their backs to the camera and break into a dance move by raising their sticks up in the air.</t>
  </si>
  <si>
    <t>Then they fling their sticks in the air and catch it and turn around to face the camera.</t>
  </si>
  <si>
    <t>They continue dancing in coordination by going in circles and twirling their bodies simultaneously.</t>
  </si>
  <si>
    <t>Then they do front flips together and continue twirling their bodies in circular motion.</t>
  </si>
  <si>
    <t>One of the dancers does a front flip while the other throws the stick in the air and catches it.</t>
  </si>
  <si>
    <t>They continue dancing as they fling their sticks and catch them in their hands as they coordinate themselves.</t>
  </si>
  <si>
    <t>After they're finished with the dancing, they stand together and wave to the camera.</t>
  </si>
  <si>
    <t>v_4WNso9fVJG8</t>
  </si>
  <si>
    <t>A woman with short hair is wearing an earphone and eyeglasses is showing two clips, then she clipped both sides of her hair, showed her blue and white contact lenses containers and removed her eyeglasses.</t>
  </si>
  <si>
    <t>She showed her hand, then showed a sclera lenses, and put it on her right eye pupil, went closer to the camera to show her eye, then removed the contact lens from her eye by pinching it.</t>
  </si>
  <si>
    <t>v_pT2fO9vlVn0</t>
  </si>
  <si>
    <t>A man is shown in a gym class leading at as the people step up and down on thier steppers.</t>
  </si>
  <si>
    <t>The man is very enthusiastically jumping up and down trying to keep the motivation going.</t>
  </si>
  <si>
    <t>He is very into it as is the class and they are dancing in sync with each other.</t>
  </si>
  <si>
    <t>They conclude the routine by clapping and celebrating their hard work.</t>
  </si>
  <si>
    <t>v_TZ9JbvClnZA</t>
  </si>
  <si>
    <t>A close up of a bowling lane is seen with a man standing in front.</t>
  </si>
  <si>
    <t>The man throws a ball down the lane and hits several pins.</t>
  </si>
  <si>
    <t>He finally walks back up the lane.</t>
  </si>
  <si>
    <t>v_TvlCdfubl9Y</t>
  </si>
  <si>
    <t>man wearing a green shirt is assembling a bicycle on the middle of a living room.</t>
  </si>
  <si>
    <t>another man wearing a blue sweater is helping the other man assembling the bicycles.</t>
  </si>
  <si>
    <t>men are assembling three bicycles on living room.</t>
  </si>
  <si>
    <t>v_8sTJGmY-SGQ</t>
  </si>
  <si>
    <t>A man is seen standing with his arms up and walks in between a set of uneven bars.</t>
  </si>
  <si>
    <t>The man then hopes up on the bars and begins spinning himself around.</t>
  </si>
  <si>
    <t>He continues spinning on the bars and ends by jumping down on the sides.</t>
  </si>
  <si>
    <t>v_5Chl3x_mx40</t>
  </si>
  <si>
    <t>The players are playing curling in an ice court.</t>
  </si>
  <si>
    <t>The players pushed the stone and two people are brushing the front of the stone until it reached the target.</t>
  </si>
  <si>
    <t>An Asian girl pushed the stone and the other girl is brushing the front of the stone until it hit other stones.</t>
  </si>
  <si>
    <t>v_gY-8BUnSgf4</t>
  </si>
  <si>
    <t>A Man is shown throwing a bowling ball down a lane.</t>
  </si>
  <si>
    <t>It then intercuts to a bunch of different throws of the ball towards the pins.</t>
  </si>
  <si>
    <t>A woman interview the professional bowler and put on an apparatus on his wrist.</t>
  </si>
  <si>
    <t>He then is shown gripping the ball and makes a throw in slow motion.</t>
  </si>
  <si>
    <t>This is shown several times from different angles.</t>
  </si>
  <si>
    <t>After a series of these action shots, the video then moves to a man speaking directly into the camera, with the logo of the show appearing as it ends.</t>
  </si>
  <si>
    <t>v_QNKjKB4k4D0</t>
  </si>
  <si>
    <t>A man on a horse goes through a rodeo fence.</t>
  </si>
  <si>
    <t>He dismounts, roping and tying a calf.</t>
  </si>
  <si>
    <t>When he is done, he walks back to his horse and gets back on.</t>
  </si>
  <si>
    <t>v_DlE6Rtuo__o</t>
  </si>
  <si>
    <t>A close up of a tattoo artist is seen drawing along a person's leg.</t>
  </si>
  <si>
    <t>The artist continues drawing all over the person's leg while looking up every once in a while to the camera.</t>
  </si>
  <si>
    <t>v_h1bdAd1cXSw</t>
  </si>
  <si>
    <t>A young child is seen walking to the end of a diving board and looking off into the camera.</t>
  </si>
  <si>
    <t>The boy then dives into the water and the camera captures him moving from underwater.</t>
  </si>
  <si>
    <t>v_wqThk38AdEA</t>
  </si>
  <si>
    <t>woman is standing in the middle of stage playing the flute.</t>
  </si>
  <si>
    <t>women are standing in sage behind the woman with the flute standing holding microphones.</t>
  </si>
  <si>
    <t>men are standing behind the women playing different instruments.</t>
  </si>
  <si>
    <t>v_nDggAkf1ulc</t>
  </si>
  <si>
    <t>There's a little girl in a pink shirt and black tights and pink shoes playing hop scotch in a playground.</t>
  </si>
  <si>
    <t>She jumps around on the colorful squares as she has fun.</t>
  </si>
  <si>
    <t>Then she goes around a small water fountain that is next to the hop scotch squares.</t>
  </si>
  <si>
    <t>She is enjoying herself running around in the playground.</t>
  </si>
  <si>
    <t>v_Tg1G0EtWw9s</t>
  </si>
  <si>
    <t>A man is seated at a black jack table.</t>
  </si>
  <si>
    <t>He is talking about the game and showing the cards and chips.</t>
  </si>
  <si>
    <t>He shows how to deal each hand, and how to dispense the chips to the winners.</t>
  </si>
  <si>
    <t>v_gtd2Ye-raxE</t>
  </si>
  <si>
    <t>A male gymnast hops up onto bars and begins performing a gymnastics routine.</t>
  </si>
  <si>
    <t>He swings around the bars over and over again while the judges watch and critique.</t>
  </si>
  <si>
    <t>The man eventually jumps off and the video fades away into an effect.</t>
  </si>
  <si>
    <t>v_fQDj7pnGdVY</t>
  </si>
  <si>
    <t>A man wearing boxing gloves is seen hitting a bag in an empty room.</t>
  </si>
  <si>
    <t>He continuously hits the bag over and over again while pausing in between punches to catch his breath.</t>
  </si>
  <si>
    <t>v_WlYhEPyLcBc</t>
  </si>
  <si>
    <t>Two couples play badminton in a court.</t>
  </si>
  <si>
    <t>A man enter in the court and goes to sit left the court with other person.</t>
  </si>
  <si>
    <t>v_h8cXVe6N6Oc</t>
  </si>
  <si>
    <t>There's a woman long black hair looking in a mirror and brushing her hair.</t>
  </si>
  <si>
    <t>There's another woman with blond hair that makes a face looking angry and disgusted.</t>
  </si>
  <si>
    <t>v_EsYsshh2CyA</t>
  </si>
  <si>
    <t>A bartender begins speaking to the camera and pours ice into a glass.</t>
  </si>
  <si>
    <t>She think instructs to mix rum and lemon juice into the glass and an ounce of different rum.</t>
  </si>
  <si>
    <t>Finally she mixes grenadine with some sweet and sour mix with soda water.</t>
  </si>
  <si>
    <t>Finally she mixes all the components together and creates a nice alcoholic beverage.</t>
  </si>
  <si>
    <t>v_Z3jo5hbPo1Q</t>
  </si>
  <si>
    <t>A young girl is standing on a stage in front of 4 judges that are sitting along a table and they are talking to her.</t>
  </si>
  <si>
    <t>The girl then begins her performance where she is dancing ballet and singing and when they pan to the judges and the audience they seem pleased with her performance.</t>
  </si>
  <si>
    <t>When the girl is done performing, she gets a standing ovation from the audience and some of the judges.</t>
  </si>
  <si>
    <t>The judges then take turns speaking with her expressing their approval, and the girl is very happy about it.</t>
  </si>
  <si>
    <t>The girl then runs off the stage and behind the curtains she gives a man who is possibly her dad, a kiss and a hug.</t>
  </si>
  <si>
    <t>v_FC5FsugGt8o</t>
  </si>
  <si>
    <t>A group of women are seen walking around a sandy area and begin playing a match of volleyball with one another.</t>
  </si>
  <si>
    <t>The girls continue playing the match while others watch on the sidelines and walk back slowly in the end.</t>
  </si>
  <si>
    <t>v_m210FwMsnTQ</t>
  </si>
  <si>
    <t>A girl does a balance beam routine and jumps around.</t>
  </si>
  <si>
    <t>After stretching, the woman does four flips.</t>
  </si>
  <si>
    <t>The woman dismounts and finishes the routine.</t>
  </si>
  <si>
    <t>v_oFtwNVuasmU</t>
  </si>
  <si>
    <t>On a river outside the boys are walking down the street as cars pass by.</t>
  </si>
  <si>
    <t>There are many people out doing many different activities on the water.</t>
  </si>
  <si>
    <t>Some of the boys do jumps off the bridge and other are riding behind a boat.</t>
  </si>
  <si>
    <t>it's a nice summer day to be out and enjoy fun in the sun by the water.</t>
  </si>
  <si>
    <t>v_fYQTAuBS7zw</t>
  </si>
  <si>
    <t>A guy shows you how to hold a small sharp ending stick in your hand and between your fingers to use as a weapon.</t>
  </si>
  <si>
    <t>The man shows you how to throw the sharp ended stick into the wall and make it stick from different distances.</t>
  </si>
  <si>
    <t>v_zKYqEsVfEnU</t>
  </si>
  <si>
    <t>Two men are seen standing together with one speaking to the camera and the other laying on the floor.</t>
  </si>
  <si>
    <t>The man kneels behind him and points to his body while the man laying door moves his arms and legs to demonstrate proper exercises.</t>
  </si>
  <si>
    <t>v_bj4nkWPdqIY</t>
  </si>
  <si>
    <t>A close up of a track is shown followed by a woman walking slowly away.</t>
  </si>
  <si>
    <t>Several shots are then shown of her performing long jumps in various places.</t>
  </si>
  <si>
    <t>She continues jumping in slow motion and ends with her landing in one last pit.</t>
  </si>
  <si>
    <t>v_Wm1CL_g91G4</t>
  </si>
  <si>
    <t>There's a lady in green sanding the counter giving out tickets to people who are purchasing them for snow tubing.</t>
  </si>
  <si>
    <t>Several people are out snow tubing down a snow caped slope.</t>
  </si>
  <si>
    <t>People are going downhill on their snow tubes wearing winter gear and goggles.</t>
  </si>
  <si>
    <t>Some of them are snow tubing in groups of threes.</t>
  </si>
  <si>
    <t>They are enjoying themselves coming down the slope rapidly.</t>
  </si>
  <si>
    <t>v_PXBcPu2_KOo</t>
  </si>
  <si>
    <t>An athlete climbs on the pommel horse to perform jumps and flips.</t>
  </si>
  <si>
    <t>The athlete flips backwards and then continues with her routine.</t>
  </si>
  <si>
    <t>The athlete stands on the border on the pommel horse and runs to jump, then flips and fall stand on the floor.</t>
  </si>
  <si>
    <t>v_dyLGepr7VR0</t>
  </si>
  <si>
    <t>Two men and a woman are seen walking up onto a stage while a group of people are seen behind them in mirrors.</t>
  </si>
  <si>
    <t>The three then perform a dance routine while the people in the audience follow from behind.</t>
  </si>
  <si>
    <t>The man pump up the crowd and continue dancing as the others follow along in the mirror.</t>
  </si>
  <si>
    <t>v_ShozMaLUS20</t>
  </si>
  <si>
    <t>Old man is raking leaves outside his home in the fall.</t>
  </si>
  <si>
    <t>Man is narrating the action.</t>
  </si>
  <si>
    <t>There is a bike parked next to the house.</t>
  </si>
  <si>
    <t>v_50MmJszF2XM</t>
  </si>
  <si>
    <t>A female coach and cheer director talks to the camera.</t>
  </si>
  <si>
    <t>She then spots a little girl through a backflip.</t>
  </si>
  <si>
    <t>She helps her do several different tasks, explaining the process as they go.</t>
  </si>
  <si>
    <t>v_7Ozl-ud1zTo</t>
  </si>
  <si>
    <t>A large group of people are seen standing on a beach looking off into the distance.</t>
  </si>
  <si>
    <t>Several shots are shown of people riding a surf board and others watching on the side.</t>
  </si>
  <si>
    <t>More people are seen riding the waves in various shots.</t>
  </si>
  <si>
    <t>v_7XGimCWcafc</t>
  </si>
  <si>
    <t>A large off-roading truck drives by along a dirt track next to a body of water and comes to a stop.</t>
  </si>
  <si>
    <t>Many spectators approach the vehicle, while the driver climbs out of the vehicle and attempts to remove a tire from the back of the truck.</t>
  </si>
  <si>
    <t>A worker and some assistants approaches the vehicle with a spare tire, and some men begin to jack up the rear of the truck to try to replace the rear passenger side tire.</t>
  </si>
  <si>
    <t>While the tire is being replaced, the driver climbs back into the truck, and a specator takes a picture of the vehicle.</t>
  </si>
  <si>
    <t>Other spectators come to the driver side to talk with the driver.</t>
  </si>
  <si>
    <t>The tire is replaced and the truck drives off.</t>
  </si>
  <si>
    <t>A detailed look at the tire that was replaced is shown.</t>
  </si>
  <si>
    <t>v_Uw_4gKpmAhI</t>
  </si>
  <si>
    <t>There are three contractors remodeling a house that is torn down for renovation.</t>
  </si>
  <si>
    <t>One of the contractors is cementing a brick wall.</t>
  </si>
  <si>
    <t>The other contractor is breaking an existing wall in the living room.</t>
  </si>
  <si>
    <t>The entire house is under renovation with furniture and boxes lying around the house with dust.</t>
  </si>
  <si>
    <t>v_5Q8ltS84BBg</t>
  </si>
  <si>
    <t>kid is sitting in a red room talkin to the camera.</t>
  </si>
  <si>
    <t>the kid grabs a guitar and start playing it and singing.</t>
  </si>
  <si>
    <t>kid is playing the guitar and talking to the camera in a small room.</t>
  </si>
  <si>
    <t>v_MOH9q_3Z9zg</t>
  </si>
  <si>
    <t>A little girl is shown in several images receiving a haircut.</t>
  </si>
  <si>
    <t>She is then shown in video form as her long hair is cut off in the style of a ponytail, meant to be donated to a group called Locks of Love.</t>
  </si>
  <si>
    <t>The girl is shown in various photos, holding the hair she is going to donate.</t>
  </si>
  <si>
    <t>v_J8Ziy8QR8WQ</t>
  </si>
  <si>
    <t>Guys throw balls on a field.</t>
  </si>
  <si>
    <t>A guy holds a few balls and talks.</t>
  </si>
  <si>
    <t>A man holding a flat bat walks across the field followed by a male holding one ball in each hand.</t>
  </si>
  <si>
    <t>Two men sit with one man holding a flat bat.</t>
  </si>
  <si>
    <t>Guys hit balls with the flat bat.</t>
  </si>
  <si>
    <t>v__9v34KLET0g</t>
  </si>
  <si>
    <t>A man is seen speaking to the camera behind a table with various ingredients and glasses laid out.</t>
  </si>
  <si>
    <t>The man mixes the ingredients into a glass together and juices a lime into the glass.</t>
  </si>
  <si>
    <t>He then pushes the ingredients around and pours liquids into the glass, creating an alcoholic drink.</t>
  </si>
  <si>
    <t>He presents the glass while the ingredients list is laid out and he walks away from the frame.</t>
  </si>
  <si>
    <t>v_n8gFxENOyR0</t>
  </si>
  <si>
    <t>A man is wearing a contraption which holds his small son on his back as he hikes in the woods.</t>
  </si>
  <si>
    <t>We see the boy playing in an indoor porch at the house.</t>
  </si>
  <si>
    <t>The boy runs into the yard and his dad puts a helmet on him and helps him skateboard.</t>
  </si>
  <si>
    <t>The dad skateboards and holds the boy.</t>
  </si>
  <si>
    <t>We then see the ending screen and switch to the boy sitting on a rock high five his dad and we return to the close screen.</t>
  </si>
  <si>
    <t>v_P4dx0xrr6fM</t>
  </si>
  <si>
    <t>An athlete walks onto a field.</t>
  </si>
  <si>
    <t>He spins in circles around a platform.</t>
  </si>
  <si>
    <t>He tosses a ball a great distance, and walks away.</t>
  </si>
  <si>
    <t>v_tuhEnqKmUKg</t>
  </si>
  <si>
    <t>There's a teenage boy wearing a black beanie hat skateboarding through the city streets.</t>
  </si>
  <si>
    <t>He skateboards wearing a white shirt while jumping over a small cement wall.</t>
  </si>
  <si>
    <t>Then he jumps over another wall while skateboarding.</t>
  </si>
  <si>
    <t>Then in a green shirt, he skateboards past a school, straight into a basketball court and then jumps over a metal railing.</t>
  </si>
  <si>
    <t>Then back in a white shirt, he tries stunts by jumping up to a metal hand rail on his skateboard.</t>
  </si>
  <si>
    <t>v_YAWoigyJ9sA</t>
  </si>
  <si>
    <t>A person is drinking from a coffee cup and looking away from the camera.</t>
  </si>
  <si>
    <t>His eyes pand up to the camera at the last second and he smiles.</t>
  </si>
  <si>
    <t>v_uWJUoJyvFF0</t>
  </si>
  <si>
    <t>A woman is sitting in a living room on a couch talking to the camera explaining what she is about to do.</t>
  </si>
  <si>
    <t>The camera pans down and the lady begins showing important aspects of the object she is knitting.</t>
  </si>
  <si>
    <t>When she is done,she grabs the needle,puts the thread in it and finishes knitting.</t>
  </si>
  <si>
    <t>v_0_GpcrCLdag</t>
  </si>
  <si>
    <t>First a boy is shown eating a thin waffle.</t>
  </si>
  <si>
    <t>then an elderly lady is shown drinking water from a small glass.</t>
  </si>
  <si>
    <t>Next there is a little boy shown dipping his hand into a parfait and then grabbing a spoon from another boy and then eating the parfait.</t>
  </si>
  <si>
    <t>Finally a boy is shown eating a spoonful of a milkshake from a glass that has waffles in it.</t>
  </si>
  <si>
    <t>v_Ygt3z-K-ZMQ</t>
  </si>
  <si>
    <t>Women mix a variety of alcoholic drinks for consumption.</t>
  </si>
  <si>
    <t>Steps are shown for a beautiful whiskey sour.</t>
  </si>
  <si>
    <t>v_tmBTO0cA_qw</t>
  </si>
  <si>
    <t>A man stands in front of a counter with his hands down in front of equipment.</t>
  </si>
  <si>
    <t>He uses the surface to rub a knife blade back and forth, sharpening it.</t>
  </si>
  <si>
    <t>When he is done, he checks the blade before lying the knife back down.</t>
  </si>
  <si>
    <t>v_o7z-u08tc-Y</t>
  </si>
  <si>
    <t>A small group of people are seen holding onto a rope and playing tug of war.</t>
  </si>
  <si>
    <t>The camera pans around the other team playing with the group while others watch on the side.</t>
  </si>
  <si>
    <t>The people continue playing back and fourth and end by smiling to the camera.</t>
  </si>
  <si>
    <t>v_W0dCIs9Y8yg</t>
  </si>
  <si>
    <t>The camera follows a small child on skis as he or she maneuvers past a crowd of people.</t>
  </si>
  <si>
    <t>The child skis down a slope with other people at various points along the trail.</t>
  </si>
  <si>
    <t>The child stops as the cameraperson approaches.</t>
  </si>
  <si>
    <t>v_R2qPyJVTUlI</t>
  </si>
  <si>
    <t>Women are dressed up in fancy clothing.</t>
  </si>
  <si>
    <t>A woman is putting something onto another woman's body.</t>
  </si>
  <si>
    <t>v_T8nteSe3U9Q</t>
  </si>
  <si>
    <t>A man and a woman stand outside while he sprays her with sunblock.</t>
  </si>
  <si>
    <t>They are both laughing and having a good time.</t>
  </si>
  <si>
    <t>She turns around so he can get her back thoroughly as they both playfully flirt with each other.</t>
  </si>
  <si>
    <t>He starts to spray her and she gives him directions as to where he missed applying it.</t>
  </si>
  <si>
    <t>She then turns around for him to get her arms, face and any of the other areas that he missed.</t>
  </si>
  <si>
    <t>v_OLRDf3vO8lw</t>
  </si>
  <si>
    <t>Family day at the beach, father and son are walking around and then they start to play in the sand.</t>
  </si>
  <si>
    <t>They have a sand in buckets trying to build sand castles.</t>
  </si>
  <si>
    <t>When they take the bucket up the sand isn't very stable at all.</t>
  </si>
  <si>
    <t>The little boy goes and kick down all the castle parts that they were creating.</t>
  </si>
  <si>
    <t>v_gvHQDDF7EGU</t>
  </si>
  <si>
    <t>A man is seen playing a saxophone and transitions from various locations of the person playing the instrument.</t>
  </si>
  <si>
    <t>The man is then seen side by side with himself and more shots of him playing in a room.</t>
  </si>
  <si>
    <t>v_30y8Uy0B_uk</t>
  </si>
  <si>
    <t>A man is hanging on a rock wall and talking to the camera.</t>
  </si>
  <si>
    <t>The man swings back and fourth and how to keep your balance when rock climbing.</t>
  </si>
  <si>
    <t>He begins climbing up the wall and talking about keeping straight arms.</t>
  </si>
  <si>
    <t>He continues climbing up the wall and where to position your feet and how to push.</t>
  </si>
  <si>
    <t>He finally makes it to the top of the rock wall and faces the camera.</t>
  </si>
  <si>
    <t>v_YED3l3gkrk4</t>
  </si>
  <si>
    <t>A tutorial is given on how to make a perfect french manicure.</t>
  </si>
  <si>
    <t>An advertisement is shown at the end.</t>
  </si>
  <si>
    <t>v_RGVDeXqN1ao</t>
  </si>
  <si>
    <t>A woman dressed in a black shirt representing the company Bents is standing in a garden and demonstrating how to use Cellophane to wrap a plant for gift purposes.</t>
  </si>
  <si>
    <t>She cuts a rectangular piece of the Cellophane and place the pot over it in the center.</t>
  </si>
  <si>
    <t>Then she brings to together the edges of the Cellophane towards the top of the plant.</t>
  </si>
  <si>
    <t>She takes a decorate piece of ribbon to tie the scrunched up cellophane together to make it look like a bow on top.</t>
  </si>
  <si>
    <t>v_vBdm15wRqig</t>
  </si>
  <si>
    <t>Boys get out a train and walk in the street holding surfboards.</t>
  </si>
  <si>
    <t>They, the boys surf in a choppy river in a city.</t>
  </si>
  <si>
    <t>A boy put his surfboard on the rives,jump on and surf, then fell, also other boys surf.</t>
  </si>
  <si>
    <t>After, the boys are inside a train.</t>
  </si>
  <si>
    <t>v_ysbUc6WS12k</t>
  </si>
  <si>
    <t>There's a bon fire lit in an open ground next to some tents and bikes.</t>
  </si>
  <si>
    <t>There's a person dressed in a biker's suit who comes up and sets fire to a pile of wood sticks.</t>
  </si>
  <si>
    <t>The fire begins to spread through the twigs and wood sticks and bursts into large flames.</t>
  </si>
  <si>
    <t>v_-YjGbsbDoxs</t>
  </si>
  <si>
    <t>A lady named Linda, creator of Paint Along is demonstrating how to do an acrylic painting.</t>
  </si>
  <si>
    <t>She starts with a one inch flat brush and yellow and white acrylic paint.</t>
  </si>
  <si>
    <t>She makes X patterns across the canvas with the yellow color.</t>
  </si>
  <si>
    <t>She continues the same pattern on the top part of the canvas.</t>
  </si>
  <si>
    <t>Then she draws straight lines across the canvas with an orange color.</t>
  </si>
  <si>
    <t>She then takes a liner brush to do some finer detailing on the painting such as branches of a tree.</t>
  </si>
  <si>
    <t>She takes a flatter brush to demonstrate a dabbing technique with excess paint to show flower petals.</t>
  </si>
  <si>
    <t>She ends the video with the abstract painting technique.</t>
  </si>
  <si>
    <t>v_jdAJ7cJBxnQ</t>
  </si>
  <si>
    <t>We see a man in a pool playing a game while a man in white stands on the sideline waving his arm.</t>
  </si>
  <si>
    <t>The ball is thrown and the goalie in front of the net jumps to stop the ball.</t>
  </si>
  <si>
    <t>The goalie then dips deep underwater.</t>
  </si>
  <si>
    <t>v_hHpcr5tYWso</t>
  </si>
  <si>
    <t>An Asian woman with black hair in beige jacket and printed blouse, is talking in front of the camera.</t>
  </si>
  <si>
    <t>Four black and white kites with blue and yellow diamond print on them are flying from the ground, a green octopus, dragons and other shapes of kites are flying in the sky, while men in red pull the kites.</t>
  </si>
  <si>
    <t>v_r5NqGSZsN0E</t>
  </si>
  <si>
    <t>A young woman is shown sitting down and speaking to the camera white holding a shirt.</t>
  </si>
  <si>
    <t>She ties the shirt around her arm and dips it into the water and scrubs it with her hands.</t>
  </si>
  <si>
    <t>v_bF55ewgaJLA</t>
  </si>
  <si>
    <t>A man is seated in a chair, holding a saxophone.</t>
  </si>
  <si>
    <t>He stands as he plays, his fingers moving up and down the instrument.</t>
  </si>
  <si>
    <t>The screen cuts to black and white text.</t>
  </si>
  <si>
    <t>v_hZD-CjWt0Rg</t>
  </si>
  <si>
    <t>A player's stats show on the screen.</t>
  </si>
  <si>
    <t>Montages of several indoor soccer games show.</t>
  </si>
  <si>
    <t>The stats of the player are shown again.</t>
  </si>
  <si>
    <t>v_8H3Wy96BwHM</t>
  </si>
  <si>
    <t>We see numbers slots on asphalt.</t>
  </si>
  <si>
    <t>We then see kids riding BMX bikes cut with scenes of other things.</t>
  </si>
  <si>
    <t>We see kids talking to the camera.</t>
  </si>
  <si>
    <t>We see a gate open and kids start riding.</t>
  </si>
  <si>
    <t>We see a coach standing with kids.</t>
  </si>
  <si>
    <t>We see another coach standing with kids.</t>
  </si>
  <si>
    <t>We see kids pass the finish line.</t>
  </si>
  <si>
    <t>We see the emblem on the screen with kids sitting on their bikes.</t>
  </si>
  <si>
    <t>We then see the close screen.</t>
  </si>
  <si>
    <t>v_OCQ9OyMKQKw</t>
  </si>
  <si>
    <t>A man wearing a hat is standing outside.</t>
  </si>
  <si>
    <t>He picks up a chainsaw off of the ground.</t>
  </si>
  <si>
    <t>He begins to chop down a bush next to him.</t>
  </si>
  <si>
    <t>v_YKzVHb16eUk</t>
  </si>
  <si>
    <t>There are a bunch of children standing around a table and the main focus is a boy who is cutting stuff on a blue tray.</t>
  </si>
  <si>
    <t>The boy walks away from the tray and an adult starts cutting.</t>
  </si>
  <si>
    <t>The adult stops cutting and another boy begins to cut the objects very slowly,the adult interrupts the child to demonstrate how to cut and the child walks away.</t>
  </si>
  <si>
    <t>v__f0S0vQZ9JM</t>
  </si>
  <si>
    <t>Two people are seen speaking to the camera followed by several drinks laid out.</t>
  </si>
  <si>
    <t>The people then begin mixing ingredients with one another and speaking to one another.</t>
  </si>
  <si>
    <t>The people continue mixing drinks with one another and presenting them to the camera.</t>
  </si>
  <si>
    <t>v_2gc5VDx2xY8</t>
  </si>
  <si>
    <t>There is a man on a horse waiting for the time to get going to start.</t>
  </si>
  <si>
    <t>Once the gates open a cow starts running and the man on the horse chases after it with a tassel.</t>
  </si>
  <si>
    <t>He swings the tassel in the air a few times and throws it catching the cow and then tying him down.</t>
  </si>
  <si>
    <t>There is an audience in the stands watching the man do this and there is another man on a different horse at the side waiting.</t>
  </si>
  <si>
    <t>v_lJeJ2LFna5o</t>
  </si>
  <si>
    <t>A crowd gathers watching a volleyball game.</t>
  </si>
  <si>
    <t>A volleyball player hits the ball.</t>
  </si>
  <si>
    <t>The player's teammate also hits the ball.</t>
  </si>
  <si>
    <t>The player hits the ball three more times.</t>
  </si>
  <si>
    <t>The players teammate hits the ball.</t>
  </si>
  <si>
    <t>The other player hits the ball over the net.</t>
  </si>
  <si>
    <t>The ball returns and one of the players hits the ball.</t>
  </si>
  <si>
    <t>The players teammate dives to hit the ball.</t>
  </si>
  <si>
    <t>The other player hits the ball to the other team.</t>
  </si>
  <si>
    <t>The ball returns and one of the players hits the ball out of bounds.</t>
  </si>
  <si>
    <t>v_aw89asgFHbs</t>
  </si>
  <si>
    <t>A girl does flips across a mat.</t>
  </si>
  <si>
    <t>The mat is black and red.</t>
  </si>
  <si>
    <t>Several girls watch her and clap.</t>
  </si>
  <si>
    <t>She then does some backflips.</t>
  </si>
  <si>
    <t>v_B2HIj_QWaG0</t>
  </si>
  <si>
    <t>A woman is playing a violin on the street while various people walk around here and behind her.</t>
  </si>
  <si>
    <t>She smiles into the camera while playing and continues playing the song while several people bend down to tip her and walk around her.</t>
  </si>
  <si>
    <t>v_Tv3v-UpBJ2Y</t>
  </si>
  <si>
    <t>A small group of people are seen standing on a field holding onto a rope.</t>
  </si>
  <si>
    <t>A man stands in front as the group begins pulling the rope to one side.</t>
  </si>
  <si>
    <t>The people continue pulling until one falls down afterwards.</t>
  </si>
  <si>
    <t>v_N_FbnDY_2j8</t>
  </si>
  <si>
    <t>A person ski on the pent of a hill covered with snow.</t>
  </si>
  <si>
    <t>Then, the person arrives to a flat area where there are four people.</t>
  </si>
  <si>
    <t>v_hXBeu7o9uUM</t>
  </si>
  <si>
    <t>A man is standing in a room holding a large instrument.</t>
  </si>
  <si>
    <t>He begins to play the instrument behind a microphone.</t>
  </si>
  <si>
    <t>A man in a green shirt is talking into a microphone.</t>
  </si>
  <si>
    <t>v_a9ItMklOTyE</t>
  </si>
  <si>
    <t>It looks like this is an arabic language that is being written or something.</t>
  </si>
  <si>
    <t>Then on a field there is men playing a game throwing the ball.</t>
  </si>
  <si>
    <t>Some coaches are walking around with hats to keep the sun out of their eyes.</t>
  </si>
  <si>
    <t>The game looks pretty intense, one man puts all of his might into one of the throws he make.</t>
  </si>
  <si>
    <t>v_Yp-NJgTAOCc</t>
  </si>
  <si>
    <t>The scene comes into focus showing the outside of a building, with some text at the bottom that says it is a school for breakdancing.</t>
  </si>
  <si>
    <t>A man is doing some paperwork while some other men are standing in the background next to a projector screen.</t>
  </si>
  <si>
    <t>A large number of kids inside a gym are practicing breakdancing.</t>
  </si>
  <si>
    <t>The kids are inside a classroom watching a presentation by the man seen earlier.</t>
  </si>
  <si>
    <t>The kids are seen once again inside the gym practicing their breakdancing moves.</t>
  </si>
  <si>
    <t>The screen goes black and a graphic appears on screen showing the company's logo and youtube channel information.</t>
  </si>
  <si>
    <t>v_qlbuekEsXL4</t>
  </si>
  <si>
    <t>A boy on a horse is released from a gate.</t>
  </si>
  <si>
    <t>He ropes a calf, dragging it to the ground.</t>
  </si>
  <si>
    <t>He dismounts, tying the calf with rope before getting back on his horse.</t>
  </si>
  <si>
    <t>v_UAgb3FEjBN8</t>
  </si>
  <si>
    <t>An intro leads into a small child riding a dirt bike on a dirt path.</t>
  </si>
  <si>
    <t>Several shots of the boy grown up are shown followed by more footage of the boy riding a dirt bike.</t>
  </si>
  <si>
    <t>v_iiyYRmc1YiA</t>
  </si>
  <si>
    <t>We see a crowd of people watching an event.</t>
  </si>
  <si>
    <t>The men fiddle with a metal handle.</t>
  </si>
  <si>
    <t>They hold hands in preparation for the match and the judge touches their hands.</t>
  </si>
  <si>
    <t>The men begin their arm wrestling match, and the guy on the right wins.</t>
  </si>
  <si>
    <t>The guys shake hands and hug.</t>
  </si>
  <si>
    <t>We see a shot of one of the contestants.</t>
  </si>
  <si>
    <t>v_517rgTzIobE</t>
  </si>
  <si>
    <t>Two men are playing racket ball in an indoor court.</t>
  </si>
  <si>
    <t>The two men, one in black and the other in a red shirt playing racket ball against each other.</t>
  </si>
  <si>
    <t>The man in black begins the first serve and the man in the red shirt returns his serve.</t>
  </si>
  <si>
    <t>They continue playing racket ball.</t>
  </si>
  <si>
    <t>Then the same players play racket ball on a different occasion wearing black and the other wearing a yellow shirt.</t>
  </si>
  <si>
    <t>They continue serving and hitting the ball against the wall.</t>
  </si>
  <si>
    <t>They play several rounds on the game.</t>
  </si>
  <si>
    <t>They are back again in the red and black shirts playing racket ball.</t>
  </si>
  <si>
    <t>They run to hit and the ball served by the opponent as they continue to play.</t>
  </si>
  <si>
    <t>v_mkF3Rlj3JSs</t>
  </si>
  <si>
    <t>A girl gives tips on how to brush your hair with a round brush.</t>
  </si>
  <si>
    <t>She strokes the hair in front of her, covering her face.</t>
  </si>
  <si>
    <t>She flips her hair up and then finishes what she needs to do.</t>
  </si>
  <si>
    <t>v_t04jE7d0Obw</t>
  </si>
  <si>
    <t>We see a man give a lady a rose.</t>
  </si>
  <si>
    <t>The man and the woman then perform a dance in front of a crowd.</t>
  </si>
  <si>
    <t>35 The man spins the lady making her dress flounce and looks at her chest.</t>
  </si>
  <si>
    <t>The dance repeats over and over again many times.</t>
  </si>
  <si>
    <t>The man bends the woman forward looking at her chest two times and almost puts his hand on her neck.</t>
  </si>
  <si>
    <t>v_bVMxBXeYMr0</t>
  </si>
  <si>
    <t>A black man caresses his beard and face in a loving way.</t>
  </si>
  <si>
    <t>The black man uses a clipper trimmer to trim his beard and face.</t>
  </si>
  <si>
    <t>The black man attaches an orange attachment to the clippers and continues trimming his beard.</t>
  </si>
  <si>
    <t>The black man washes his face and beard and displays an array of accessories and applies them to his face and beard.</t>
  </si>
  <si>
    <t>v_Gr5jGxLEp70</t>
  </si>
  <si>
    <t>A large group of people are seen wandering around a festival with shots of people speaking are shown as well as playing crochet.</t>
  </si>
  <si>
    <t>More people are seen playing the game as several others watch on the sidelines and critique.</t>
  </si>
  <si>
    <t>v_5Bo0gFXxDQk</t>
  </si>
  <si>
    <t>A person wearing a blue shirt is sitting on the floor welding.</t>
  </si>
  <si>
    <t>He is wearing protective gear to cover his face and eyes.</t>
  </si>
  <si>
    <t>He also has protective gloves on that are brown in color.</t>
  </si>
  <si>
    <t>He continues welding a long metal rod with welding tool directed towards the rod.</t>
  </si>
  <si>
    <t>v_s2PFIKG5PYI</t>
  </si>
  <si>
    <t>A large piece of machinery is seen sitting in a room.</t>
  </si>
  <si>
    <t>A robot arm then moves into frame attempting to push things around.</t>
  </si>
  <si>
    <t>The robot fails and pulls it's arm back in.</t>
  </si>
  <si>
    <t>v_iOpoR0UeJNg</t>
  </si>
  <si>
    <t>The scene transitions to various people training in gymnastics.</t>
  </si>
  <si>
    <t>Two women are interviewed on camera sequentially.</t>
  </si>
  <si>
    <t>The scene transitions to more gymnastic practice segments.</t>
  </si>
  <si>
    <t>v_2U_BUV8PLtk</t>
  </si>
  <si>
    <t>A pair of handlebars are detached from the bike and is laying down flat on a table.</t>
  </si>
  <si>
    <t>The man then picks up the handlebars and sticks them back into the bike tightening them with a key.</t>
  </si>
  <si>
    <t>v_toS-_4Ik5us</t>
  </si>
  <si>
    <t>A person is seen dealing cards as well as several shots of a casino table and poker chips being dealt.</t>
  </si>
  <si>
    <t>A band is playing, a person is seen smoking a cigarette, as well as people bartending and speaking to one another.</t>
  </si>
  <si>
    <t>In the end more people are seen enjoying the casino and moving around.</t>
  </si>
  <si>
    <t>v_tbOIyG1RCUI</t>
  </si>
  <si>
    <t>A blindfolded man wearing boxing gloves is seen hitting a punching bag while many watch him on the sides.</t>
  </si>
  <si>
    <t>He continues punching when a person on the roof pulls the bag up higher.</t>
  </si>
  <si>
    <t>v_UIZkQUo8VtA</t>
  </si>
  <si>
    <t>A truck is seen parked in front of a house with several shots of the house shown.</t>
  </si>
  <si>
    <t>A man is then seen standing on the roof hosing down the top and again standing in front of the house watering.</t>
  </si>
  <si>
    <t>The camera shows the truck parked out front again and the final product of the roof.</t>
  </si>
  <si>
    <t>v_8gKV8f3qSOg</t>
  </si>
  <si>
    <t>A woman in a purple dress is seated, speaking to the camera.</t>
  </si>
  <si>
    <t>She is shown massaging cream into her face, then rinsing it off with water and patting dry with a towel.</t>
  </si>
  <si>
    <t>She then speaks to the camera again.</t>
  </si>
  <si>
    <t>v_A-Oz6mBBBZQ</t>
  </si>
  <si>
    <t>Three girls are sitting on the beach, making a mound with sand and water.</t>
  </si>
  <si>
    <t>They use a bowl to form a mold.</t>
  </si>
  <si>
    <t>v_aHzNMe-VKfE</t>
  </si>
  <si>
    <t>A little boy is in the house playing in his shirt and diaper.</t>
  </si>
  <si>
    <t>He has a little hockey stick and he is using it to swing at a rolling back.</t>
  </si>
  <si>
    <t>The ball keeps coming toward him and he keeps swinging trying to hit it.</t>
  </si>
  <si>
    <t>He is having a lot of fun and staying entertained playing inside alone.</t>
  </si>
  <si>
    <t>v_xgIxKDm9M38</t>
  </si>
  <si>
    <t>The man walks out from his house and opens his car door on a snowy day.</t>
  </si>
  <si>
    <t>The man lifts up the windshield wipers of his car.</t>
  </si>
  <si>
    <t>The man uses a house broom to sweep snow off of his car.</t>
  </si>
  <si>
    <t>The dog plays with the owners.</t>
  </si>
  <si>
    <t>The man gets in his car and backs it towards the house into a parking spot.</t>
  </si>
  <si>
    <t>v_vFRSso8WQfY</t>
  </si>
  <si>
    <t>A woman is standing in a kitchen at the island in front of a blender and various ingredients.</t>
  </si>
  <si>
    <t>She places apples and sugar into the blender with ice, and blends them together.</t>
  </si>
  <si>
    <t>She then pours the mixture into two glasses while she continues talking.</t>
  </si>
  <si>
    <t>v_USCVBB97pOc</t>
  </si>
  <si>
    <t>A man has a tool he uses to trim cat claws, he messes around with it a little bit and then he gets up to find his cat.</t>
  </si>
  <si>
    <t>He pets the cat a little bit as to not make it so suspicious and scared.</t>
  </si>
  <si>
    <t>He gets the kitty in a good position and starts feeling for her claws and one by one starts to clip them.</t>
  </si>
  <si>
    <t>Then he moves her the other arms and pets her some more, showing the difference between her clawed and declawed nails.</t>
  </si>
  <si>
    <t>v_MhO48WnApoM</t>
  </si>
  <si>
    <t>There are people standing on a frozen body of water and are looking into a small hole that has a fishing wire in it and they watch it as it bobs up and down.</t>
  </si>
  <si>
    <t>The standing man pulls the pole and wire up higher and the man kneeling on the ice pulls the fish out of the ice water and puts it onto the ice.</t>
  </si>
  <si>
    <t>Another man takes a picture of the fish, the kneeling man unhooks it and the standing man picks it up, holds it by its gills and poses with it.</t>
  </si>
  <si>
    <t>v_LvbM6zv8XVc</t>
  </si>
  <si>
    <t>People are dancing on the beach.</t>
  </si>
  <si>
    <t>A woman is laying down on a red towel.</t>
  </si>
  <si>
    <t>A man is laying on a green towel.</t>
  </si>
  <si>
    <t>Two dogs are next to them on the beach.</t>
  </si>
  <si>
    <t>v_IV5llWEEfAw</t>
  </si>
  <si>
    <t>A sailboat sails through rough waters in the ocean.</t>
  </si>
  <si>
    <t>The skipper is seen manning the steering wheel at the back of the boat.</t>
  </si>
  <si>
    <t>The mast of the ship is seen in full view.</t>
  </si>
  <si>
    <t>v_o00AfbAIOlA</t>
  </si>
  <si>
    <t>The boy is opening the box.</t>
  </si>
  <si>
    <t>He then removes the bike.</t>
  </si>
  <si>
    <t>He is removing the packaging.</t>
  </si>
  <si>
    <t>He is assembling the bike.</t>
  </si>
  <si>
    <t>We see images of the bike.</t>
  </si>
  <si>
    <t>The Subscribe page shows up.</t>
  </si>
  <si>
    <t>v_g6tF83rCXh0</t>
  </si>
  <si>
    <t>A female weight lifter is preparing to lift a barbell.</t>
  </si>
  <si>
    <t>She lifts with her knees, raising the bar to her chest.</t>
  </si>
  <si>
    <t>She then stands, lifting it over her head before dropping the barbell back to the ground.</t>
  </si>
  <si>
    <t>v_okC18bPTils</t>
  </si>
  <si>
    <t>The man is standing above water before he goes scuba diving.</t>
  </si>
  <si>
    <t>He's underwater along with a few other people where there's shells and rocks in the sand.</t>
  </si>
  <si>
    <t>There is also wooden logs and small lobsters crawling around.</t>
  </si>
  <si>
    <t>v_JBnL0T2XzGs</t>
  </si>
  <si>
    <t>A group is playing ice hockey for fun in an indoor rink as a man speaks to the camera.</t>
  </si>
  <si>
    <t>Two women sweep, fighting over the puck, as a woman talks to the camera.</t>
  </si>
  <si>
    <t>v_FGKdmKX1z64</t>
  </si>
  <si>
    <t>A man is seen speaking to the camera wearing a microphone and begins wiping down a window.</t>
  </si>
  <si>
    <t>He uses several tools and objects to clean the glass and continues wiping down while looking at the camera.</t>
  </si>
  <si>
    <t>v_8EyYHnijfnI</t>
  </si>
  <si>
    <t>A woman sits in a chair.</t>
  </si>
  <si>
    <t>Another woman puts something up her nose.</t>
  </si>
  <si>
    <t>She then pierces it with a needle.</t>
  </si>
  <si>
    <t>She puts a piece of jewelry on it next.</t>
  </si>
  <si>
    <t>v_yjd9UOJdes8</t>
  </si>
  <si>
    <t>A girl is shown speaking to the camera as well as dancing and then is seen playing the violin.</t>
  </si>
  <si>
    <t>She plays the instrument while dancing at the same time and ends with her speaking to the camera.</t>
  </si>
  <si>
    <t>v_pULb9WvZwU4</t>
  </si>
  <si>
    <t>Multiple men are loaded onto a crane boom bucket.</t>
  </si>
  <si>
    <t>When three men are safely aboard, the crane begins to lift them up in the air slowly.</t>
  </si>
  <si>
    <t>Once they reach the top of the crane, the view switches and they can be seen looking over the landscape.</t>
  </si>
  <si>
    <t>The man that is preparing to bungee jump is at the edge of the boom looking around nervously.</t>
  </si>
  <si>
    <t>One at a time the men jump out of the boom and hang above a small body of water.</t>
  </si>
  <si>
    <t>There certificate of accomplishment ends the video.</t>
  </si>
  <si>
    <t>v_DPsa28MmdoI</t>
  </si>
  <si>
    <t>The words "The Shotover River In Flood" appear on screen.</t>
  </si>
  <si>
    <t>First person video shows a raft full of people heading down and extremely rough river in-between rocky cliffs.</t>
  </si>
  <si>
    <t>The words "Big thanks to River Guide J-Rod" appear on screen.</t>
  </si>
  <si>
    <t>v_JqFFXs0RAnI</t>
  </si>
  <si>
    <t>A person competes solving a cube puzzle behind a chronometer, while a woman takes notes and watch the person.</t>
  </si>
  <si>
    <t>The person solves the puzzle, then he stands, raise his arms and walk.</t>
  </si>
  <si>
    <t>The person shake hands with people in the room.</t>
  </si>
  <si>
    <t>Suddenly, the person runs making thumps up and pose for a picture.</t>
  </si>
  <si>
    <t>v_eypKc4FyZ2s</t>
  </si>
  <si>
    <t>A boy with a gardening pot is watering her bush outside in the yard.</t>
  </si>
  <si>
    <t>He and another boy get together and the other boy begins to start playing croquet while he talks.</t>
  </si>
  <si>
    <t>Another taller boy comes and joins them and talks about the game.</t>
  </si>
  <si>
    <t>Then, They start to hit balls rying to make it through the obstacles.</t>
  </si>
  <si>
    <t>v_ReOsTqcQBmY</t>
  </si>
  <si>
    <t>Three people are jumping rope and doing tricks.</t>
  </si>
  <si>
    <t>Other people sit and stand at tables in the background and watch or film the jump ropers.</t>
  </si>
  <si>
    <t>Four different people are now jumping rope and doing tricks.</t>
  </si>
  <si>
    <t>Another group of three people shows off their jump rope skills.</t>
  </si>
  <si>
    <t>Another group of three in red shorts jumps rope.</t>
  </si>
  <si>
    <t>People in the background walk around.</t>
  </si>
  <si>
    <t>A group of four girls jump rope.</t>
  </si>
  <si>
    <t>The first group of people jumps rope with a fourth person.</t>
  </si>
  <si>
    <t>A different group of four in red and black jump rope.</t>
  </si>
  <si>
    <t>A different team of jump ropers watches in the background.</t>
  </si>
  <si>
    <t>A team of four in black and yellow jump rope.</t>
  </si>
  <si>
    <t>v_IKeV3kdX-_I</t>
  </si>
  <si>
    <t>A cowboy in a horse ran towards the field and chase a cattle.</t>
  </si>
  <si>
    <t>The cowboy got off the horse and chase after the cattle, when he catched the cattle he tied the cattle.</t>
  </si>
  <si>
    <t>v_G7zChU3ma0M</t>
  </si>
  <si>
    <t>A man is standing in front of a lane with his legs spread apart, and then another man goes to roll a bowling ball between his legs and he does so, but he accidentally hits his fist into the man's private parts and they both begin to laugh.</t>
  </si>
  <si>
    <t>A blue screen appears and text on the screen appears and say's "Bowling Fails FailCorporation".</t>
  </si>
  <si>
    <t>Various clips of various different people falling while trying to roll the ball, laughing, and even accidentally throwing the ball into the ceiling plays.</t>
  </si>
  <si>
    <t>A blue screen appears with logos, and text that say "FailCorporation Subscribe Next video" appear.</t>
  </si>
  <si>
    <t>v_jCVi9xt3GUY</t>
  </si>
  <si>
    <t>A woman is washing dishes with soap and a scrub in her kitchen sink.</t>
  </si>
  <si>
    <t>She takes the scrub that is soaked in liquid soap and scrubs it on the bowl to thoroughly clean it.</t>
  </si>
  <si>
    <t>She places the plates and bowls on top of each other in the sink as she washes them.</t>
  </si>
  <si>
    <t>v_UCOn2HkJJt8</t>
  </si>
  <si>
    <t>A man rides a four wheeler in a field.</t>
  </si>
  <si>
    <t>The man stands up on the four wheeler and hits his break lights to inspect a target.</t>
  </si>
  <si>
    <t>A man holding a bow and arrow is talking and demonstrating features on the bow he's holding.</t>
  </si>
  <si>
    <t>A website scrolls across the screen while the man fires the bow at a target.</t>
  </si>
  <si>
    <t>The camera then zooms in on the target.</t>
  </si>
  <si>
    <t>The website scrolls across the screen again and the man fires three more arrows.</t>
  </si>
  <si>
    <t>The screen changes to gray and the man shows the brand of bow is a Bowtech.</t>
  </si>
  <si>
    <t>v_RztM-NVwV5o</t>
  </si>
  <si>
    <t>woman is in studio talking in the news holding a paintball gun and shot a wall.</t>
  </si>
  <si>
    <t>a man and a woman are in a field doing shots and playing with the small pain balls.</t>
  </si>
  <si>
    <t>they recharge the guns and are playing in a green backyard paintball practicing shots and wearing masks.</t>
  </si>
  <si>
    <t>v_bnItfkwBogY</t>
  </si>
  <si>
    <t>A woman performs a dance routine with a hoop on a stage.</t>
  </si>
  <si>
    <t>The woman performs the routine with two hoops.</t>
  </si>
  <si>
    <t>The woman returns to performing with one hoop.</t>
  </si>
  <si>
    <t>v__sgg_QEjcEE</t>
  </si>
  <si>
    <t>A black screen appears with red and white letters on it that say "DISCUS THROW Example of CORRECTION of a DELIVERY PROBLEM for a beginner".</t>
  </si>
  <si>
    <t>A young lady is now standing on a concrete circle and she begins swinging her red discus, then swings her body and then throws it.</t>
  </si>
  <si>
    <t>A black screen appears with white letters that say "Out of several faults we select ONE problem", and the video continues to show the problem and words appear on the screen to explain them.</t>
  </si>
  <si>
    <t>The same young lady is now standing in a different area holding a hand towel as she practices her swings and words on the screen give tips.</t>
  </si>
  <si>
    <t>The girl is back on the concrete circle swinging her disc and she then throws the disc.</t>
  </si>
  <si>
    <t>A black screen appears again with red and white words that say "OTHER SIMILAR EXERCISES ON THE SAME IDEA: FOCUS ON THE LOW POINT OF THE IMPLEMENT TRAJECTORY.</t>
  </si>
  <si>
    <t>A boy is now standing on the concrete circle and he's practicing his swings with a shirt.</t>
  </si>
  <si>
    <t>A man is now indoors and he's practicing his swings with a golf club.</t>
  </si>
  <si>
    <t>The outro screen is mainly white with a black design on it and the name of the company and a person.</t>
  </si>
  <si>
    <t>v_o8PA6XW32oI</t>
  </si>
  <si>
    <t>a person begins to solve a rubix cube.</t>
  </si>
  <si>
    <t>They start turning it in all directions.</t>
  </si>
  <si>
    <t>They have solved the rubix cube.</t>
  </si>
  <si>
    <t>v_M0ygYlmTHy4</t>
  </si>
  <si>
    <t>A group of people play water volleyball in an outdoor pool.</t>
  </si>
  <si>
    <t>The people begin to play competitively with volleyball in the water.</t>
  </si>
  <si>
    <t>the camera changes angle and catches the people playing from behind with the net between the people and the camera.</t>
  </si>
  <si>
    <t>v_U-mwyUsNOMU</t>
  </si>
  <si>
    <t>A person is seen kneeling down next to a hole of ice and reeling in a fish.</t>
  </si>
  <si>
    <t>The person continues reeling in on the rod while the camera zooms in on the hole.</t>
  </si>
  <si>
    <t>Finally the person grabs the fish and presents it to the camera.</t>
  </si>
  <si>
    <t>v_hW25ecQ1GUc</t>
  </si>
  <si>
    <t>A close up of a chair is seen followed by a woman walking into frame.</t>
  </si>
  <si>
    <t>The woman sits in the chair and begins putting a pair of shoes on.</t>
  </si>
  <si>
    <t>She puts both on and stands up to move her feet around.</t>
  </si>
  <si>
    <t>v_6WlnhNQOWFA</t>
  </si>
  <si>
    <t>A man is seen standing before a game of hopscotch drawn out and begins jumping down the path while others follow.</t>
  </si>
  <si>
    <t>The camera continues to follow the man as he jumps down the path and captures several others doing the same as well.</t>
  </si>
  <si>
    <t>v_TPqgLJpxyvY</t>
  </si>
  <si>
    <t>A person rolls over in bed and looks at their phone.</t>
  </si>
  <si>
    <t>They sit up on their bed and rub their face.</t>
  </si>
  <si>
    <t>They wash their hands and face.</t>
  </si>
  <si>
    <t>They start rollerblading and doing tricks.</t>
  </si>
  <si>
    <t>v_g1lqpONbOKY</t>
  </si>
  <si>
    <t>We see a girl gymnast on a balance beam performing.</t>
  </si>
  <si>
    <t>The girl prepares to do a flip and falls on the bar and hurts herself.</t>
  </si>
  <si>
    <t>The girl stands crying and a lady comes to help her.</t>
  </si>
  <si>
    <t>v_aSPPD0fDI3g</t>
  </si>
  <si>
    <t>Make up is shown on a table.</t>
  </si>
  <si>
    <t>A woman sits on her bed and applies makeup to her face.</t>
  </si>
  <si>
    <t>She uses a large brush to apply powder to her face.</t>
  </si>
  <si>
    <t>She puts a backpack on and walks out the door.</t>
  </si>
  <si>
    <t>v_UvIS1-hwgaQ</t>
  </si>
  <si>
    <t>A man approaches a large mountain, with friends, and climbs it while attached to a green rope until he reaches the top.</t>
  </si>
  <si>
    <t>A group of young people approach the base of a mountain and set down their things where they smile and prepare to climb the mountain.</t>
  </si>
  <si>
    <t>A long green rope is shown on a large rock after which a man in glasses begins to climb a mountain using metal hooks in the mountain and his feet to climb the mountain.</t>
  </si>
  <si>
    <t>The man smiles and gives the camera a thumbs up when he gets to the top of the mountain.</t>
  </si>
  <si>
    <t>v_Z_lah8-xYx8</t>
  </si>
  <si>
    <t>A man and woman walk out onto the pier of a boat.</t>
  </si>
  <si>
    <t>They are playing a sweeping game.</t>
  </si>
  <si>
    <t>The woman pushes the puck, which slides into the camera.</t>
  </si>
  <si>
    <t>The scene is repeated in slow motion.</t>
  </si>
  <si>
    <t>v_RmTDHszp1v0</t>
  </si>
  <si>
    <t>A man in a white shirt is standing next to parallel bars.</t>
  </si>
  <si>
    <t>A boy jumps onto the parallel bars and starts swinging back and forth.</t>
  </si>
  <si>
    <t>The boy starts doing a routine on the parallel bars.</t>
  </si>
  <si>
    <t>v_zNMLz9GIQLk</t>
  </si>
  <si>
    <t>A man is seen using a wet rag on a window and moving the cleaner all around the glass.</t>
  </si>
  <si>
    <t>He continuously dips the object in cleaner and cleans all around the glass while using a rag close behind.</t>
  </si>
  <si>
    <t>v_v8jzbjQqNhE</t>
  </si>
  <si>
    <t>A man holding his kayak talk to the camera.</t>
  </si>
  <si>
    <t>He is in his kayak paddling downstream.</t>
  </si>
  <si>
    <t>Another rower passes him and does a flip.</t>
  </si>
  <si>
    <t>He talks to the camera again.</t>
  </si>
  <si>
    <t>We see the parking lot off camera.</t>
  </si>
  <si>
    <t>Back in the water passing a waterfall.</t>
  </si>
  <si>
    <t>Talking head to camera again.</t>
  </si>
  <si>
    <t>Point of view shots from his kayak.</t>
  </si>
  <si>
    <t>Talking head as he very animatedly talks to the camera.</t>
  </si>
  <si>
    <t>Point of view from the boat following another rower.</t>
  </si>
  <si>
    <t>Talking head interspersed with shots from the water illustrating the technques he talks about in his talking head shots.</t>
  </si>
  <si>
    <t>v_Yh9eGll8fYQ</t>
  </si>
  <si>
    <t>Two people are seen speaking to one another and leads into a man standing on the edge and jumping.</t>
  </si>
  <si>
    <t>The man's jump is shown several times from different camera as he jumps off the side and back up again.</t>
  </si>
  <si>
    <t>v_l7nsRRyzD4k</t>
  </si>
  <si>
    <t>A group of people is building sand castles on the beach.</t>
  </si>
  <si>
    <t>A girl waves to the camera.</t>
  </si>
  <si>
    <t>A man is seen digging in the sand.</t>
  </si>
  <si>
    <t>A girl is seen looking through a beach bag.</t>
  </si>
  <si>
    <t>The girl finds what she is looking for.</t>
  </si>
  <si>
    <t>v_bTE3HEy_kVk</t>
  </si>
  <si>
    <t>We see two roof images side by side.</t>
  </si>
  <si>
    <t>We then see images of one roof.</t>
  </si>
  <si>
    <t>We see the roof up close and see moss growing on it.</t>
  </si>
  <si>
    <t>we see the insulation and the roof as it is being installed.</t>
  </si>
  <si>
    <t>A man is screwing the roof into place.</t>
  </si>
  <si>
    <t>We see the finished new roof.</t>
  </si>
  <si>
    <t>We see the ending screen credits.</t>
  </si>
  <si>
    <t>v_XSDIekFXkv0</t>
  </si>
  <si>
    <t>A person stands on his hands on a trampoline above a swimming pool, then the boy flips in the air and dives into the water.</t>
  </si>
  <si>
    <t>After, the boy stands on the trampoline with the back facing the pool, then jumps, flips and dive in the water.</t>
  </si>
  <si>
    <t>Now, the boy stands on the trampoline facing the pool, then jumps, flips and dive in the water, then do the same but this time with the back facing the pool.</t>
  </si>
  <si>
    <t>At the end, the boy enters the trampoline running and flip in the air, then he stands on the trampoline and flips and end diving in the water.</t>
  </si>
  <si>
    <t>v_7rd23-3wEyU</t>
  </si>
  <si>
    <t>A man is seen speaking to the camera while leading into various pictures of speaking as well as smoking.</t>
  </si>
  <si>
    <t>The man continues speaking while showing pictures intermittently of smoking and cigarettes close up.</t>
  </si>
  <si>
    <t>v_rzomS2gZGQ4</t>
  </si>
  <si>
    <t>A man stands by his ice ridden car.</t>
  </si>
  <si>
    <t>He rakes the entire sheet onto the ground, watching it shatter.</t>
  </si>
  <si>
    <t>v_YIb8sArOPww</t>
  </si>
  <si>
    <t>A gymnast performs a balance beam gymnastic routine in a professional sports event with an audience in the bleachers.</t>
  </si>
  <si>
    <t>A girl stands in front of a balance beam in a gymnast outfit and jumps on the beam where she begins to execute a gymnastic routine on the balance beam.</t>
  </si>
  <si>
    <t>The girl stands on the beam and performs back flips on the beam before landing one final back flip off of the beam where she lands on a mat and exits the area in front of an audience in bleachers.</t>
  </si>
  <si>
    <t>v_zyPisOj2Tdo</t>
  </si>
  <si>
    <t>A woman peforms before a court on a basketball gym.</t>
  </si>
  <si>
    <t>She is a majorette, flipping and throwing her baton into the air.</t>
  </si>
  <si>
    <t>The crowd watches as she flips, throws, and turns.</t>
  </si>
  <si>
    <t>v_jMQgOcM9vZA</t>
  </si>
  <si>
    <t>Multiple short clips play of different hockey moves and the names of the moves appear on the screen with it.</t>
  </si>
  <si>
    <t>When the clips are done in intro screen appears with a cloud and the hockey ground as backdrop, the NHL logo and the words "HOCKEY SKILLS".</t>
  </si>
  <si>
    <t>A group of people wearing all of their hockey gear are standing or kneeling on the ground while the look at a man who is standing and talking without a helmet on his head and the words on the screen say his name is "KEVIN WEEKES".</t>
  </si>
  <si>
    <t>The man begins to demonstrate multiple different moves near the goal and he continues to talk throughout all of the demonstrations as the rest of the people watch him.</t>
  </si>
  <si>
    <t>When the man is done talking and demonstrating other people in the group go up to the goal separately and they each do what they man was demonstrating.</t>
  </si>
  <si>
    <t>A screen appears with a backdrop of clouds on top and hockey rink at the bottom with the logo in the middle and the words "HOCKEY SKILLS".</t>
  </si>
  <si>
    <t>v_SaBcTNvRA6g</t>
  </si>
  <si>
    <t>A woman is seen showing off a glass of honey.</t>
  </si>
  <si>
    <t>She shows off the bottle of honey as well as a bowl of water and a towel.</t>
  </si>
  <si>
    <t>She shows her hair pulled back.</t>
  </si>
  <si>
    <t>She opens the bottle of honey and lathers it all over her face.</t>
  </si>
  <si>
    <t>She holds up a cat.</t>
  </si>
  <si>
    <t>She returns to lathering her face and waits in anticipation.</t>
  </si>
  <si>
    <t>While she waits, she plays some instruments and with her cat.</t>
  </si>
  <si>
    <t>Finally, she rinses her face with water and dries her face off with a towel.</t>
  </si>
  <si>
    <t>She proudly shows off her bottle of honey.</t>
  </si>
  <si>
    <t>v_V5MvrOzQWZo</t>
  </si>
  <si>
    <t>A gymnast is standing near a bar with her hands in the air.</t>
  </si>
  <si>
    <t>The girl gets on the bar and performs.</t>
  </si>
  <si>
    <t>The girl flips on the bar.</t>
  </si>
  <si>
    <t>The girl performs 2 flips and almost falls off the bar.</t>
  </si>
  <si>
    <t>The girl does 2 perfect flips.</t>
  </si>
  <si>
    <t>The girls flips, then runs, flips and dismounts.</t>
  </si>
  <si>
    <t>The cloud claps as she walks away.</t>
  </si>
  <si>
    <t>v_EwzkySgI6CQ</t>
  </si>
  <si>
    <t>A blonde woman is lying on a table as a tattoo artist is putting a design on her pelvis.</t>
  </si>
  <si>
    <t>She cringes in pain as he works.</t>
  </si>
  <si>
    <t>We see a temporary close up of her heaving abdomen as he continues.</t>
  </si>
  <si>
    <t>v_g_KbloQigw8</t>
  </si>
  <si>
    <t>Text is shown across the screen followed by a man kneeling down in dirt.</t>
  </si>
  <si>
    <t>The man using a torch to light a spark on the machine in front of him.</t>
  </si>
  <si>
    <t>He stops to look back at the camera.</t>
  </si>
  <si>
    <t>v_p6ea3QpXryw</t>
  </si>
  <si>
    <t>A dart board is shown against a wall.</t>
  </si>
  <si>
    <t>A man lifts his arm in slow motion, throwing darts one after another at the board.</t>
  </si>
  <si>
    <t>He walks up to the board and reaches for it.</t>
  </si>
  <si>
    <t>v_P-ENnGQ_FuU</t>
  </si>
  <si>
    <t>A red car is shown with the words Unique Car Wash.</t>
  </si>
  <si>
    <t>Men are shown inside a car garage, soaping down a car with a sponge.</t>
  </si>
  <si>
    <t>They are then seen using a sprayer to clean the tires and spray the residue off the vehicle.</t>
  </si>
  <si>
    <t>They use rags to wipe it clean and detail the inside of the car.</t>
  </si>
  <si>
    <t>v_jto8_gMKUjE</t>
  </si>
  <si>
    <t>The Pinta rowing team works together to make it down the whitewater.</t>
  </si>
  <si>
    <t>They have a refreshing dip under a waterfall to cool off.</t>
  </si>
  <si>
    <t>They pose together with other rafters.</t>
  </si>
  <si>
    <t>Falling underwater can be a scary undertaking.</t>
  </si>
  <si>
    <t>All in all it is a fun and relaxing time.</t>
  </si>
  <si>
    <t>v_MiTTWddOuaM</t>
  </si>
  <si>
    <t>Two men walk in the street holding a box, then they assemble a soccer table.</t>
  </si>
  <si>
    <t>People plays soccer table in the street.</t>
  </si>
  <si>
    <t>After, the men carry the table and enters a train where they continue playing.</t>
  </si>
  <si>
    <t>After the man carry the soccer table to a park and other places where people play and paint it.</t>
  </si>
  <si>
    <t>v_mW9iDH07j40</t>
  </si>
  <si>
    <t>A woman is seen putting on a jacket followed by her cutting parts of the vest off and holding up an iron.</t>
  </si>
  <si>
    <t>She then irons the shirts and finishes by putting the vest on.</t>
  </si>
  <si>
    <t>v_19fGZFUE7yE</t>
  </si>
  <si>
    <t>A man in a black tuxedo is speaking to the camera.</t>
  </si>
  <si>
    <t>A person walks by in the background.</t>
  </si>
  <si>
    <t>A group of people walk by in the background.</t>
  </si>
  <si>
    <t>We see a game of poker being played.</t>
  </si>
  <si>
    <t>An odd man appears in front of the camera.</t>
  </si>
  <si>
    <t>We see the first man, then cards being dealt and we fade to a black screen.</t>
  </si>
  <si>
    <t>v_KBfCXpgGhdw</t>
  </si>
  <si>
    <t>a lot of people are sitting on terraces in a big field and people is walking in the entrance of a big stadium.</t>
  </si>
  <si>
    <t>men are standing on a sandy area walking.</t>
  </si>
  <si>
    <t>man are talking to the camera standing on the sand.</t>
  </si>
  <si>
    <t>men are standing on motorbikes getting ready for a motocross competition.</t>
  </si>
  <si>
    <t>man is talking to the camera and standing on a podium.</t>
  </si>
  <si>
    <t>v_huo2ldsQHUI</t>
  </si>
  <si>
    <t>A bunch of people are inside a dimly lit gym.</t>
  </si>
  <si>
    <t>They are riding recumbent bikes while being led.</t>
  </si>
  <si>
    <t>They clap their hands and pedal quickly.</t>
  </si>
  <si>
    <t>v_ibDWgL2D2l4</t>
  </si>
  <si>
    <t>A young child is seen holding a stick and hitting the pinata with the stick.</t>
  </si>
  <si>
    <t>Older women the bring hr back and have her hand the stick to another child.</t>
  </si>
  <si>
    <t>v_JW5P5FdOrcw</t>
  </si>
  <si>
    <t>A woman is standing up talking and holding a blue mop.</t>
  </si>
  <si>
    <t>She is showing the bottom of the mop.</t>
  </si>
  <si>
    <t>A bottle of vinegar is shown on a table next to alcohol and soap.</t>
  </si>
  <si>
    <t>She begins mopping the hardwood floor.</t>
  </si>
  <si>
    <t>A dog is laying down on a bed.</t>
  </si>
  <si>
    <t>v_5AoshxUQv0U</t>
  </si>
  <si>
    <t>A man in a blue shirt picks up a child.</t>
  </si>
  <si>
    <t>He lifts him up to sit on his shoulder.</t>
  </si>
  <si>
    <t>He throws the kid on his back onto a bed.</t>
  </si>
  <si>
    <t>v_zLVNSgR4IoA</t>
  </si>
  <si>
    <t>The man is jumped to the two white poles and stand on his arms.</t>
  </si>
  <si>
    <t>The man in red shirt outside the court is watching the athlete as he swing on the pole.</t>
  </si>
  <si>
    <t>The athlete swing and then jumped of the pole and swing up and the air and landed on the mat.</t>
  </si>
  <si>
    <t>v_-h3NbdE8N9M</t>
  </si>
  <si>
    <t>A team is on a field, trying to get the ball from their opponents.</t>
  </si>
  <si>
    <t>They are playing a game of lacrosse.</t>
  </si>
  <si>
    <t>They fight over the ball, trying to get it into a goal.</t>
  </si>
  <si>
    <t>v_cudeag10U7Q</t>
  </si>
  <si>
    <t>A woman is riding a bike down the street, then others are shown as well.</t>
  </si>
  <si>
    <t>The people speak to the camera in between takes of riding their bikes on city roads.</t>
  </si>
  <si>
    <t>The bike is called an elliptico, enabling them to stand and pedal as they ride.</t>
  </si>
  <si>
    <t>v_R7vb6cuP6GE</t>
  </si>
  <si>
    <t>A person is seen speaking to the camera while holding a snowboard and leads into him riding down a snowy hill.</t>
  </si>
  <si>
    <t>The man continues riding the snowboard down the hill and ends with him stopping at the bottom.</t>
  </si>
  <si>
    <t>v_7VWp-Dfvqkg</t>
  </si>
  <si>
    <t>A man is seen speaking into a microphone with another man on stage.</t>
  </si>
  <si>
    <t>One man then leads into playing harmonica on the stage while others watch on the side.</t>
  </si>
  <si>
    <t>The man continues playing while others walk in and out of frame as well as play.</t>
  </si>
  <si>
    <t>v_dla6qDuAXTw</t>
  </si>
  <si>
    <t>An older man is shown standing behind a swing set while pushing a small girl back and fourth.</t>
  </si>
  <si>
    <t>He grabs and holds the girl and gives her several pushes while the girl sticks her head back and smiles.</t>
  </si>
  <si>
    <t>v_TgantuXBiJg</t>
  </si>
  <si>
    <t>A young girl is seen putting makeup on outside while other people on the side watch and also play with makeup.</t>
  </si>
  <si>
    <t>The girls continue to attempt to put makeup on as the camera pans back and fourth between the two.</t>
  </si>
  <si>
    <t>v_Ggw7rtn3J-8</t>
  </si>
  <si>
    <t>A commercial exhibits a varied array of welding equipment and demonstrates how to weld using the equipment.</t>
  </si>
  <si>
    <t>A welding helmet, clamps,welding kit and gloves are shown in line on a white background.</t>
  </si>
  <si>
    <t>A person begins to use the welding tools to weld inside of a car producing fire sparks as the welding takes place.</t>
  </si>
  <si>
    <t>a closeup of the welded area is shown before a marketing template presents across the screen.</t>
  </si>
  <si>
    <t>v_R6INcHHxlNs</t>
  </si>
  <si>
    <t>A person is seen shirtless standing in a kitchen and holding a mop.</t>
  </si>
  <si>
    <t>The man looks back and laughs to the camera while holding the mop.</t>
  </si>
  <si>
    <t>He continues to laugh and dance around while pushing the mop around.</t>
  </si>
  <si>
    <t>v_xTEXsZO-PVI</t>
  </si>
  <si>
    <t>A small sail boat with two men in it is pulling a water skier behind it.</t>
  </si>
  <si>
    <t>A wind surfer goes by.</t>
  </si>
  <si>
    <t>A man in the sail boat leans back to pull on the sail in the boat.</t>
  </si>
  <si>
    <t>Another wind surfer goes by.</t>
  </si>
  <si>
    <t>v_xAaHXwTz1Ug</t>
  </si>
  <si>
    <t>A kite is flying in the sky.</t>
  </si>
  <si>
    <t>A little girl is holding the string of the kite.</t>
  </si>
  <si>
    <t>She's walking backwards and talking to someone while watching the kite.</t>
  </si>
  <si>
    <t>v_P7lUYSLtErY</t>
  </si>
  <si>
    <t>A man is in a dance room that has mirrors along the walls, wooden floors, and he's dancing alone.</t>
  </si>
  <si>
    <t>There is a woman that is standing in the corner and recording him the whole time.</t>
  </si>
  <si>
    <t>When he moves more to the other side of the room as he's dancing, more people watching and recording him are revealed.</t>
  </si>
  <si>
    <t>The man does he last dance move, smiles, takes a few steps and then takes a bow.</t>
  </si>
  <si>
    <t>v_cNCkHqOnJV0</t>
  </si>
  <si>
    <t>The sky is shown that leads into a man speaking to the camera with his friend.</t>
  </si>
  <si>
    <t>Several people are then seen sitting in tubes riding down a river past one another.</t>
  </si>
  <si>
    <t>The people continuing riding down the river through tunnels and paths while the man still speaks to the camera.</t>
  </si>
  <si>
    <t>v_F4GwrEQUvDc</t>
  </si>
  <si>
    <t>An athlete runs with a stick, then he shoot the javelin and walks away in a stadium.</t>
  </si>
  <si>
    <t>Then, a man holds a javelin and runs to throw the javelin, then another athlete also shoot the javelin.</t>
  </si>
  <si>
    <t>v_lhdro5SnxU0</t>
  </si>
  <si>
    <t>A man is sitting on the stairs talking.</t>
  </si>
  <si>
    <t>He is standing over a sink.</t>
  </si>
  <si>
    <t>He sprays the sink with a cleaning agent.</t>
  </si>
  <si>
    <t>He takes a sponge and scrubs the inside of the sinks.</t>
  </si>
  <si>
    <t>He turns the water on and sprays the hose around the sink.</t>
  </si>
  <si>
    <t>He wipes the sink off with a towel.</t>
  </si>
  <si>
    <t>The man is sitting on the stairs again.</t>
  </si>
  <si>
    <t>v_SqfB4ohs2Ro</t>
  </si>
  <si>
    <t>We see an opening screen a map and still images.</t>
  </si>
  <si>
    <t>Men hammering roof tiles on a panel of roof inside.</t>
  </si>
  <si>
    <t>We see a man tap a hook into the wood.</t>
  </si>
  <si>
    <t>We see a title screen again.</t>
  </si>
  <si>
    <t>We see the men working on roofs.</t>
  </si>
  <si>
    <t>We see two screens with men working on roofs side by side.</t>
  </si>
  <si>
    <t>We see the ending title screens.</t>
  </si>
  <si>
    <t>v_IsVpeZoK5FI</t>
  </si>
  <si>
    <t>A large group of people are seen exercising in a class together with a man leading them in front.</t>
  </si>
  <si>
    <t>The group continues to move around together over a bar and ends with text across the screen.</t>
  </si>
  <si>
    <t>v_CbfgZlo0Ut4</t>
  </si>
  <si>
    <t>A man talks inside a car dealer.</t>
  </si>
  <si>
    <t>After, a car exits a car wash.</t>
  </si>
  <si>
    <t>A crew of people clean a car by hand.</t>
  </si>
  <si>
    <t>v_ggNmtMAdqe0</t>
  </si>
  <si>
    <t>A man welds a section of a steel beam in a workshop.</t>
  </si>
  <si>
    <t>The tip of the welding gun is adjusted using pliers.</t>
  </si>
  <si>
    <t>The man marks and measures pieces of plate metal in between making welds on it.</t>
  </si>
  <si>
    <t>The man demonstrates the angle to make a weld on the piece of plate metal.</t>
  </si>
  <si>
    <t>v_fVtiM88rOJI</t>
  </si>
  <si>
    <t>A telescopic view of multiple people dressed in biking gear is shown.</t>
  </si>
  <si>
    <t>The crowd spreads out, walking around with guns in hand.</t>
  </si>
  <si>
    <t>They aim at various objects.</t>
  </si>
  <si>
    <t>The men hide behind a wall, shooting at each other as they run by.</t>
  </si>
  <si>
    <t>v__1JGrGGCY9k</t>
  </si>
  <si>
    <t>A large group of people are seen wandering around a dance studio with a man in front.</t>
  </si>
  <si>
    <t>The man then begins to lead a dance class in front of the group of people.</t>
  </si>
  <si>
    <t>The people continue dancing around following the man and moving their arms and legs around.</t>
  </si>
  <si>
    <t>v_SID0y9y6Uk4</t>
  </si>
  <si>
    <t>Two men prepare for a fencing match.</t>
  </si>
  <si>
    <t>The video shows several highlights of people fencing each other in various matches.</t>
  </si>
  <si>
    <t>Some win the matches quite quickly.</t>
  </si>
  <si>
    <t>Two men constantly go back and fourth towards each other.</t>
  </si>
  <si>
    <t>The man wins over and over again.</t>
  </si>
  <si>
    <t>He is shown practicing for his upcoming matches against another.</t>
  </si>
  <si>
    <t>He seems to win over and over again.</t>
  </si>
  <si>
    <t>v_IaRYt0J7pHI</t>
  </si>
  <si>
    <t>people are standing in a hair salon sitting on chairs.</t>
  </si>
  <si>
    <t>woman is standing behind anoter drying her hair combing it and talking to the camera.</t>
  </si>
  <si>
    <t>woman is sitting on a chair while woman behind her is drying her hair.</t>
  </si>
  <si>
    <t>v_hWZ3B28_fAs</t>
  </si>
  <si>
    <t>The leads into a man playing a long guitar in front of a home while moving his fingers up and down.</t>
  </si>
  <si>
    <t>The man continues playing and the video leads out to text above his head.</t>
  </si>
  <si>
    <t>v_aR05GUXDiYg</t>
  </si>
  <si>
    <t>A male player in yellow and black shirt is carrying a small kid who is wearing the same shirt while they are being interviewed by the reporter who is wearing white shirt and holding a microphone.</t>
  </si>
  <si>
    <t>Different teams in different uniform colors are playing soccer in the table.</t>
  </si>
  <si>
    <t>v_MERZe5qdfWc</t>
  </si>
  <si>
    <t>Various shots of a snowy mountain are shown as well as a person riding up a hill.</t>
  </si>
  <si>
    <t>The person looks to others around him and is seen riding down mountain.</t>
  </si>
  <si>
    <t>The person rides down several times more with people attached on the sides.</t>
  </si>
  <si>
    <t>v_I58i4uJkHJ0</t>
  </si>
  <si>
    <t>A female Russian gymnast is on a mat in front of a large arena with several people watching her.</t>
  </si>
  <si>
    <t>The girl then starts doing a series of cartwheels and ends up jumping on the balance beam to do her routine.</t>
  </si>
  <si>
    <t>Once she is done,the girl ends doing several tricks and walks off to the side.</t>
  </si>
  <si>
    <t>People begin to cheer for her and her replay is shown,and her score of approximately 28 is shown across the bottom of the screen.</t>
  </si>
  <si>
    <t>v_EO9ZKeBSGSw</t>
  </si>
  <si>
    <t>A girl in a baseball uniform is standing at the end of a hopscotch game.</t>
  </si>
  <si>
    <t>A girl in a red shirt is playing hopscotch.</t>
  </si>
  <si>
    <t>A ball player is playing hopscotch.</t>
  </si>
  <si>
    <t>The girls laugh at each other.</t>
  </si>
  <si>
    <t>v_D-BRqQhL74Q</t>
  </si>
  <si>
    <t>Three girls are seen holding a rope with one walking away and two playing tug of war.</t>
  </si>
  <si>
    <t>Two girls switch places and the final two compete against one another playing tug of war back and fourth.</t>
  </si>
  <si>
    <t>v_Fhk2t6beztU</t>
  </si>
  <si>
    <t>A girl is seen rollerblading down a long road with several people walking around her.</t>
  </si>
  <si>
    <t>The camera zooms in on her face and shows all the people around the area followed by the cameraman's feet.</t>
  </si>
  <si>
    <t>v_8GJWokVCzUM</t>
  </si>
  <si>
    <t>This man is wearing a red tank top, black shorts, and shoes.</t>
  </si>
  <si>
    <t>He runs on the race track and the he does the triple jump in which he almost makes it to the end.</t>
  </si>
  <si>
    <t>v_JH-Q5JNTgwE</t>
  </si>
  <si>
    <t>A camera pans around a city and leads into several clips of people playing in a casino.</t>
  </si>
  <si>
    <t>A man is seen speaking to the camera as well as being interviewed by the news.</t>
  </si>
  <si>
    <t>More men are seen being interviewed while showing off clips of the casino.</t>
  </si>
  <si>
    <t>v_AHd87Cn-NkU</t>
  </si>
  <si>
    <t>A close up of a sink is seen with cleaner on top while the camera zooms in on the sink.</t>
  </si>
  <si>
    <t>A woman is then seen rubbing down the sink with a rag and shows off the sink in the end.</t>
  </si>
  <si>
    <t>v_MlkXsUDCoww</t>
  </si>
  <si>
    <t>A person is seen pushing a lawn mower all across the yard.</t>
  </si>
  <si>
    <t>The person pushes the mower along the edge of the grass and throughout the rest of the grass.</t>
  </si>
  <si>
    <t>The man then grabs a weed wacker and cuts the weeds along the edge.</t>
  </si>
  <si>
    <t>v_UGCn1zgYboQ</t>
  </si>
  <si>
    <t>One man is seen moving a fooseball table around quickly as possible while another man watches on the side.</t>
  </si>
  <si>
    <t>The men then play a game against one another while one continues to move the poles quickly.</t>
  </si>
  <si>
    <t>v_xsRNDo8Upys</t>
  </si>
  <si>
    <t>A large group of dancers are seen standing on a stage and beginning to perform a routine.</t>
  </si>
  <si>
    <t>The girls continue dancing with one another and ending by holding a pose.</t>
  </si>
  <si>
    <t>v_9qOfesI3bGE</t>
  </si>
  <si>
    <t>A man is seated with an accordian on his lap.</t>
  </si>
  <si>
    <t>He pulls it in and out as he plays the keyboard with his other hand.</t>
  </si>
  <si>
    <t>He is shown with two different accordians as he continues to play.</t>
  </si>
  <si>
    <t>v_w4QM4nztkkE</t>
  </si>
  <si>
    <t>A wrestler is in the middle of the ring waiting for his opponent.</t>
  </si>
  <si>
    <t>Once he comes in they grab a hold of a rope and begin to play tug of war with it, pulling each other.</t>
  </si>
  <si>
    <t>They struggle trying to beat the other when finally the red head wrestler makes the other fall.</t>
  </si>
  <si>
    <t>He gloats, jumping up and down and banging his hands against his chest.</t>
  </si>
  <si>
    <t>v_ctHNLEOtgPY</t>
  </si>
  <si>
    <t>A man crouches in a dance studio.</t>
  </si>
  <si>
    <t>He lifts himself onto his hands.</t>
  </si>
  <si>
    <t>He holds his feet up in the air.</t>
  </si>
  <si>
    <t>He then lays on his back on the ground.</t>
  </si>
  <si>
    <t>v_fmdG9uPnWHQ</t>
  </si>
  <si>
    <t>a blonde woman is playing with dogs, she is kissing them and giiving them a shower, the woman is holding a scissor and is cutting the dog's hair.</t>
  </si>
  <si>
    <t>blonde woman is with a beatiful white dog in a table a veterinarian's office.</t>
  </si>
  <si>
    <t>the woman is with the black dog and is styling the dog's hair.</t>
  </si>
  <si>
    <t>woman shows their diplomas and awards and is with a white puddle combing her hair.</t>
  </si>
  <si>
    <t>woman comb the black dog's hair and plays with it.</t>
  </si>
  <si>
    <t>woman holds the white dog paw and cut her nails.</t>
  </si>
  <si>
    <t>woman is with the black dog giving him a shower and styling his hair.</t>
  </si>
  <si>
    <t>woman is talking while in the bottom a blonde woman is combing a white puddle.</t>
  </si>
  <si>
    <t>blonde woman holds the white puddle and is talking to the camera giving the web adress to the dog salon white shows how comb and shower the dogs.</t>
  </si>
  <si>
    <t>v_8_RfK2rp2To</t>
  </si>
  <si>
    <t>An athlete is seen standing ready holding a pole and begins running down a large track over a beam.</t>
  </si>
  <si>
    <t>The woman then jumps over the beam and throws her arms in the air to celebrate and run around the field.</t>
  </si>
  <si>
    <t>The woman does flips on the mat while celebrating and ends with her jump shown again and her sitting in front of her score.</t>
  </si>
  <si>
    <t>v_FjZKKAEEHbY</t>
  </si>
  <si>
    <t>A young woman is seen standing next to a horse and speaking to a small group.</t>
  </si>
  <si>
    <t>She pushes the horse a bit and begins brushing it's tail while still speaking to the group.</t>
  </si>
  <si>
    <t>She stops brushing while speaking to the group and walking away.</t>
  </si>
  <si>
    <t>v_p1-APric9UM</t>
  </si>
  <si>
    <t>A slightly rotund man is shown standing in a kitchen while holding a can of drink.</t>
  </si>
  <si>
    <t>The man is laughing and speaking to the camera about the can in his hand.</t>
  </si>
  <si>
    <t>He pours the drink into a glass, and proceeds to drink it alongside a male friend.</t>
  </si>
  <si>
    <t>The two men drink the contents of their glasses while they talk.</t>
  </si>
  <si>
    <t>v_5MnHirHxqkA</t>
  </si>
  <si>
    <t>A woman is seen speaking to the camera and laying her hands across a pair of pants on an ironing table.</t>
  </si>
  <si>
    <t>She begins ironing the pants and ends by showing the crease she made in the middle.</t>
  </si>
  <si>
    <t>v_LSCQ1yqocHg</t>
  </si>
  <si>
    <t>There's a man standing in a kitchen and washing his hands in steel kitchen sink.</t>
  </si>
  <si>
    <t>He takes a pump from the liquid hand soap from the sink counter.</t>
  </si>
  <si>
    <t>He then turns on the water and and washes his hands.</t>
  </si>
  <si>
    <t>After he's done washing, he uses a white hand towel that is lying next to the sink on the counter.</t>
  </si>
  <si>
    <t>v_lgWH94ea3-U</t>
  </si>
  <si>
    <t>A man is using a hookah inside a room.</t>
  </si>
  <si>
    <t>He turns and blows a pillar of smoke.</t>
  </si>
  <si>
    <t>Another man takes the hookah and takes a hit as well.</t>
  </si>
  <si>
    <t>v_oN_5o1t_Lvk</t>
  </si>
  <si>
    <t>A girl demonstrates several advanced dance, and gymnastic moves in many different locations throughout a city.</t>
  </si>
  <si>
    <t>A girl stands on a grass covered field and paved sidewalk and performs several gymnastic flips and cheerleading moves.</t>
  </si>
  <si>
    <t>The girl then returns to the grass and does several more advanced backflips.</t>
  </si>
  <si>
    <t>The girl advances to a wooden walkway and performs dance moves and performs a walking handstand in another location.</t>
  </si>
  <si>
    <t>The video finally ends with the girl performing dance moves in a tunnel and sidewalk.</t>
  </si>
  <si>
    <t>v_nxs4o4S43oY</t>
  </si>
  <si>
    <t>A man is cutting his beard with scissors.</t>
  </si>
  <si>
    <t>He uses a shaver to shave off the beard.</t>
  </si>
  <si>
    <t>He collects the hair in the sink.</t>
  </si>
  <si>
    <t>He puts shaving cream on his face and uses a razor to finish shaving.</t>
  </si>
  <si>
    <t>He wipes his face with a towel.</t>
  </si>
  <si>
    <t>He smiles and gives a thumbs up.</t>
  </si>
  <si>
    <t>v_mYrTrVCYSY0</t>
  </si>
  <si>
    <t>A man runs down two streets in a marathon, in a city setting, as onlookers from the sideline cheer and clap.</t>
  </si>
  <si>
    <t>A man in black shorts with a number pinned to his chest is running down a city street in a marathon.</t>
  </si>
  <si>
    <t>People on the sidelines are clapping for the man and smiling as he continues to run.</t>
  </si>
  <si>
    <t>The man runs down another street where he runs for a short time behind a bicycler, and as a motorcyclist comes up from behind him near the sidewalk which has a metal barrier running the length of it.</t>
  </si>
  <si>
    <t>v_fwqDDFkOaCc</t>
  </si>
  <si>
    <t>A violinist, Lindsay Stirling is performing live with some other participants on a stage in front of an audience.</t>
  </si>
  <si>
    <t>She begins by playing the violin while the other performers dance in a choreographed fashion.</t>
  </si>
  <si>
    <t>The violinist dances as she plays the instrument along with five other dancers.</t>
  </si>
  <si>
    <t>They dance in a modern and hip hop style of dancing.</t>
  </si>
  <si>
    <t>Then only two of the dancers stay on the stage with the violinist and dance in a Salsa style.</t>
  </si>
  <si>
    <t>After they leave the stage, one of the male dancers does some modern style of dancing as he rotates on his knees.</t>
  </si>
  <si>
    <t>Then the entire dance team comes on stage and continues dancing in coordinated steps as the violinist plays and dances along with them.</t>
  </si>
  <si>
    <t>Then they leave the stage with only the violinist performing as she continues to dance and play the instrument.</t>
  </si>
  <si>
    <t>v_58he7Xcwfws</t>
  </si>
  <si>
    <t>A weightlifter prepares for his first lift.</t>
  </si>
  <si>
    <t>Friends are watching and one films.</t>
  </si>
  <si>
    <t>He squats and he lifts the bar.</t>
  </si>
  <si>
    <t>He holds it for a moment, then drops it.</t>
  </si>
  <si>
    <t>He starts all over again and completes a second lift.</t>
  </si>
  <si>
    <t>v_wUg9S2xx850</t>
  </si>
  <si>
    <t>A group of people are seen standing on a field when a man runs towards a woman with a soccer ball.</t>
  </si>
  <si>
    <t>one girls swing another around while a man grabs a ball and throws it to another.</t>
  </si>
  <si>
    <t>v_gEOVtyRAaFY</t>
  </si>
  <si>
    <t>A woman is holding a cat in her lap.</t>
  </si>
  <si>
    <t>The cat is slapping at the pair of trimmers in her hand.</t>
  </si>
  <si>
    <t>She uses the trimmers to cut the cat's nails, one at a time.</t>
  </si>
  <si>
    <t>v_LKeQMeUZFso</t>
  </si>
  <si>
    <t>A person walks up to a vacuum cleaner and picks up the wand.</t>
  </si>
  <si>
    <t>The person vacuums a carpet in the hallway of a home.</t>
  </si>
  <si>
    <t>The person turns off the vacuum then replaces the attachment with a larger one for carpets.</t>
  </si>
  <si>
    <t>The person adjusts a knob on the vacuum cleaner.</t>
  </si>
  <si>
    <t>v_ZWlh8sQE2Z4</t>
  </si>
  <si>
    <t>A man kneels on one knee in a room and talks to the camera.</t>
  </si>
  <si>
    <t>The man raises his right arm and reaches to the ground with his left hand.</t>
  </si>
  <si>
    <t>The man switches and does the other side.</t>
  </si>
  <si>
    <t>v_BCzsVKHrN5Y</t>
  </si>
  <si>
    <t>A large yard is seen covered in snow with a person walking into frame.</t>
  </si>
  <si>
    <t>The man is seen holding a shovel and begins pushing it around the area.</t>
  </si>
  <si>
    <t>The man clears out all the snow and shows off a path in the end.</t>
  </si>
  <si>
    <t>v_4BRCZaaITn0</t>
  </si>
  <si>
    <t>A man is mowing his lawn around a tree in front of his house.</t>
  </si>
  <si>
    <t>He walks back and forth, avoiding the rocks.</t>
  </si>
  <si>
    <t>He turns at the driveway and returns again.</t>
  </si>
  <si>
    <t>v_UFfi0gxL6_Y</t>
  </si>
  <si>
    <t>A woman in a dress holding a violin addresses an audience.</t>
  </si>
  <si>
    <t>The woman plays the violin as other musicians look on.</t>
  </si>
  <si>
    <t>The woman finishes her playing and everyone applauds.</t>
  </si>
  <si>
    <t>v_WmOTDAim7XM</t>
  </si>
  <si>
    <t>A man is holding a chain saw over his head.</t>
  </si>
  <si>
    <t>He starts clipping the top of the hedge.</t>
  </si>
  <si>
    <t>People are walking on the sidewalk behind him.</t>
  </si>
  <si>
    <t>v_7edBQl3VD1o</t>
  </si>
  <si>
    <t>A man in an orange jacket holding skis is walking on the snow to a hill.</t>
  </si>
  <si>
    <t>The person holding the camera puts their skis down and holds the poles.</t>
  </si>
  <si>
    <t>The man in the orange jacket skis down the hill.</t>
  </si>
  <si>
    <t>The man holding the camera follows.</t>
  </si>
  <si>
    <t>They ski down the snowy hill.</t>
  </si>
  <si>
    <t>The man in the orange jacket can be seen in front of him skiing.</t>
  </si>
  <si>
    <t>They both stop and talk to a lady at the bottom of the hill.</t>
  </si>
  <si>
    <t>He takes off his glove and pulls his cell phone out.</t>
  </si>
  <si>
    <t>A man in a blue coat walks up to them and talks to them.</t>
  </si>
  <si>
    <t>v_TmA7xnrULME</t>
  </si>
  <si>
    <t>A small group of kids are seen playing with two adults on a beach pushing sand into a pile.</t>
  </si>
  <si>
    <t>The kids continue grabbing water while the camera pans around the other people swimming in the area.</t>
  </si>
  <si>
    <t>v_GdrutQ4RrDs</t>
  </si>
  <si>
    <t>A woman is seated in front of a camera.</t>
  </si>
  <si>
    <t>Her hair is in spiral curlers.</t>
  </si>
  <si>
    <t>She demonstrates how to remove them, showing the final result.</t>
  </si>
  <si>
    <t>v_mQHY2uMOMP4</t>
  </si>
  <si>
    <t>The video instructor, Stephanie is talking about a hair tutorial.</t>
  </si>
  <si>
    <t>She is demonstrating how to cut long hair on men.</t>
  </si>
  <si>
    <t>Her model is seated in a chair next to her as she combs his wet hair.</t>
  </si>
  <si>
    <t>She shows how the hair is parted and sectioned before cutting the hair She uses scissors to point cut the tips of the model's hair.</t>
  </si>
  <si>
    <t>She continues the procedure on the model's hair.</t>
  </si>
  <si>
    <t>She then explains how to blow dry the hair to get the finished look on the model.</t>
  </si>
  <si>
    <t>She finally gives information about her website.</t>
  </si>
  <si>
    <t>v_2NAbdlHXcTI</t>
  </si>
  <si>
    <t>A man does a disk throw.</t>
  </si>
  <si>
    <t>He spins around and throws the disk.</t>
  </si>
  <si>
    <t>v_9YnYdsmjkIY</t>
  </si>
  <si>
    <t>A man sits in a chair and talks while holding a harmonica and occasionally playing it while sitting in a front of green cloth backdrop.</t>
  </si>
  <si>
    <t>A bald man sits in a wooden chair and talks to the camera while holding, pointing to and occasionally playing a harmonica in his hands.</t>
  </si>
  <si>
    <t>The camera zooms in for a tighter shot of the man as he talks and before the man pulls the harmonica directly up to his face and plays the harmonica briefly before pulling the harmonica away and looking into the camera.</t>
  </si>
  <si>
    <t>v_xICaX0kCCF4</t>
  </si>
  <si>
    <t>A man in Sesame Street costume is riding a recumbent bike.</t>
  </si>
  <si>
    <t>A man dressed as Ernie soon joins Bert.</t>
  </si>
  <si>
    <t>They bike together, as if in a race.</t>
  </si>
  <si>
    <t>They both get up and walk away.</t>
  </si>
  <si>
    <t>v_Aq2w52hpwig</t>
  </si>
  <si>
    <t>A person is seen sitting along the water with a close up of a paddle is shown.</t>
  </si>
  <si>
    <t>The camera pans around to another group of people sitting in a canoe across from them.</t>
  </si>
  <si>
    <t>More people are seen sitting in the water as well as boats along the water.</t>
  </si>
  <si>
    <t>v_ouv2veXexVw</t>
  </si>
  <si>
    <t>A group of soccer players await the return of a soccer ball to the field.</t>
  </si>
  <si>
    <t>One soccer player kicks the ball into the field.</t>
  </si>
  <si>
    <t>Another soccer player takes hold of the ball and passes it to another soccer player.</t>
  </si>
  <si>
    <t>The soccer players kicks it to the goalie.</t>
  </si>
  <si>
    <t>The goalie kicks it to a nearby soccer player.</t>
  </si>
  <si>
    <t>The soccer player kicks it to another soccer player.</t>
  </si>
  <si>
    <t>v_kr4RUFi1UGs</t>
  </si>
  <si>
    <t>Two men are rappeling up the side of a steep rock cliff.</t>
  </si>
  <si>
    <t>One of the men climbs about halfway up, before letting go and releasing himself back toward the ground.</t>
  </si>
  <si>
    <t>v_S-mMmPO6a9s</t>
  </si>
  <si>
    <t>A man pushes a lawnmower on a lawn.</t>
  </si>
  <si>
    <t>Two children help him push it.</t>
  </si>
  <si>
    <t>They make several passes on the lawn.</t>
  </si>
  <si>
    <t>Several cars drive by them.</t>
  </si>
  <si>
    <t>v_1RMNLqb8OWI</t>
  </si>
  <si>
    <t>man carrying a lawn blower is blowing the dust in the sidewalk walking in street.</t>
  </si>
  <si>
    <t>man is cleaning the sidewalk from the dry leaves pouring out the sidewalk.</t>
  </si>
  <si>
    <t>man is walking in sidewalk watching the man that is carrying the blower.</t>
  </si>
  <si>
    <t>v_G3cINUdHdGo</t>
  </si>
  <si>
    <t>A man in a red shirt speaks and demonstrates how to throw darts against a dart board while three other people in red shirts watch behind him.</t>
  </si>
  <si>
    <t>A man in a red shirt faces the camera and begins to talk while holding darts in his hand and while three men behind him watch.</t>
  </si>
  <si>
    <t>The man turns away from the camera, standing at a profile view and facing a dartboard attached to a wall, he starts aiming at the dartboard with the darts in his hand.</t>
  </si>
  <si>
    <t>The man then throws three darts against the dartboard, two of which stick to the board, the man goes to retrieve a dart from the board and gestures with his fist and a smile.</t>
  </si>
  <si>
    <t>v_WSGXoKV9vLs</t>
  </si>
  <si>
    <t>A hand is pouring liquid into a martini glass and white words on the left of the screen appear and they say "Girls Mixing Drinks dot com" and "Keylime Pie with Lee".</t>
  </si>
  <si>
    <t>A blonde woman appears at a bar and the website appears at random times while the woman is grabbing cups, alcohol and ice as she makes her drink in a martini glass.</t>
  </si>
  <si>
    <t>The woman fills the martini glass with ice and water.</t>
  </si>
  <si>
    <t>The woman then moves onto a large silver silver shaker and begins putting alcohol and other liquids in it, covers it with a small clear cup and begins shaking the contents.</t>
  </si>
  <si>
    <t>When she's done shaking the liquids, she empties the ice and water from the martini cup, then fills it with the liquid from the shaker, puts a lime on the edge, pushes the martini glass forward and smiles.</t>
  </si>
  <si>
    <t>The last screen appears with a red background and the website displayed in the middle.</t>
  </si>
  <si>
    <t>v_Sx3YbcKbuYk</t>
  </si>
  <si>
    <t>A pile of kindling flanked by rocks is shown.</t>
  </si>
  <si>
    <t>The kindling is lit with a torch.</t>
  </si>
  <si>
    <t>The fire is started, and we watch as it begins to burn.</t>
  </si>
  <si>
    <t>v_S24MDjduWIY</t>
  </si>
  <si>
    <t>A man is seen speaking to the camera while people practice basketball drills intermittently.</t>
  </si>
  <si>
    <t>The man ties a rope around a ball and continues having him perform layups on the court.</t>
  </si>
  <si>
    <t>More clips are shown of them practicing while the man speaks to the camera.</t>
  </si>
  <si>
    <t>v_10uSu442cOE</t>
  </si>
  <si>
    <t>A girl plays a brass flute standing on stage during a performance.</t>
  </si>
  <si>
    <t>The girl finishes the performance and lowers her instrument.</t>
  </si>
  <si>
    <t>v_mtC3trP8ahY</t>
  </si>
  <si>
    <t>Two teams of boys are in a grass field playing a game.</t>
  </si>
  <si>
    <t>They have little poles with nets that they use to catch the balls in and throw.</t>
  </si>
  <si>
    <t>One of the boys from the red team throws the ball over to the other side.</t>
  </si>
  <si>
    <t>Then one of the kids int he black uniform comes running back and throws the ball.</t>
  </si>
  <si>
    <t>v_2NITA0d4vqo</t>
  </si>
  <si>
    <t>Two men play pingpong using different tricks.</t>
  </si>
  <si>
    <t>A man shows off a camera box, and the ping pong player uses it.</t>
  </si>
  <si>
    <t>The box busts open so the player uses a camera part to play.</t>
  </si>
  <si>
    <t>He uses a battery to hit back, and then uses a different tool.</t>
  </si>
  <si>
    <t>Various strange objects are used to play the game.</t>
  </si>
  <si>
    <t>The man breaks an egg with the ball.</t>
  </si>
  <si>
    <t>More strange items including a bat, watch and candy bar are used.</t>
  </si>
  <si>
    <t>The man is filmed uploading the video to YouTube.</t>
  </si>
  <si>
    <t>v_674t-jyyKeg</t>
  </si>
  <si>
    <t>A woman tries to eat ice cream to a child, but the child refuses to eat the ice cream, then the woman eats the ice cream in the spoon.</t>
  </si>
  <si>
    <t>After, the woman gives ice cream to the child, and then the woman cleans the child's mouth.</t>
  </si>
  <si>
    <t>An old woman feeds a boy ice cream.</t>
  </si>
  <si>
    <t>v_PIGH5p2iMoI</t>
  </si>
  <si>
    <t>A marching band is playing on a field.</t>
  </si>
  <si>
    <t>A man in a trench coat is talking into a microphone.</t>
  </si>
  <si>
    <t>A team is playing lacrosse on a field of grass.</t>
  </si>
  <si>
    <t>v_zxm4KYn7r8c</t>
  </si>
  <si>
    <t>A man is seen speaking to the camera in various clips as well as shooting a bow and arrow.</t>
  </si>
  <si>
    <t>The man demonstrates several times how to properly shoot a bow in different locations while looking back to speak to the camera.</t>
  </si>
  <si>
    <t>v_-deoJLN27hE</t>
  </si>
  <si>
    <t>Two soccer teams play a game of soccer in front of a crowded audience in bleachers, in which the team with the blue and white uniforms makes a series of goals.</t>
  </si>
  <si>
    <t>The team with the yellow and blue uniforms wins a goal on the field against the black and white team and reacts by hugging and smiling each other.</t>
  </si>
  <si>
    <t>The yellow and blue team go on to make a series of goals, sometimes sliding after the final kick, with the audience standing for them each time a goal is made and wearing yellow shirts.</t>
  </si>
  <si>
    <t>A digital scoreboard is shown with the score as the yellow and blue team goes on to make more goals.</t>
  </si>
  <si>
    <t>v_BD4i-g3U5Kw</t>
  </si>
  <si>
    <t>An ice rink is shown with a hockey game in progress with the first long shot goal is made followed by a replay.</t>
  </si>
  <si>
    <t>A goal by the other team in red shows twice.</t>
  </si>
  <si>
    <t>A heated battle of two teams ends with an orange team player scoring.</t>
  </si>
  <si>
    <t>Two more teams make long scoring shots from left to right.</t>
  </si>
  <si>
    <t>A white teams scores after a player falls on the ice rink.</t>
  </si>
  <si>
    <t>Another few games and a second player falls before a goal.</t>
  </si>
  <si>
    <t>A higher aerial view is seen of the last game to show.</t>
  </si>
  <si>
    <t>v_7t666Y8cLGk</t>
  </si>
  <si>
    <t>A lady uses a Shisha pipe while sitting.</t>
  </si>
  <si>
    <t>The lady blows the smoke into a cut, soapy bottle half.</t>
  </si>
  <si>
    <t>The bubble pops releasing the smoke.</t>
  </si>
  <si>
    <t>The bubble float away with the smoke still enclosed and falls to the floor.</t>
  </si>
  <si>
    <t>v_QPKJDlQSO6c</t>
  </si>
  <si>
    <t>A camera pans all around a beer pong table as well as people talking and speaking into a microphone.</t>
  </si>
  <si>
    <t>More people step up to play the beer pong while a man raps into the mic and others react.</t>
  </si>
  <si>
    <t>Several shots are shown of people playing the game and cheering with one another.</t>
  </si>
  <si>
    <t>v_zJquKzopJuI</t>
  </si>
  <si>
    <t>A group of men standing beside each other are all bent forward chugging beer through very long straws.</t>
  </si>
  <si>
    <t>There are people in front of them watching them and pointing at them as they chug.</t>
  </si>
  <si>
    <t>They made it a game they are racing to see who can finish first.</t>
  </si>
  <si>
    <t>They all stop around the same time and the people watching continue to be very rowdy.</t>
  </si>
  <si>
    <t>v_-v-Zail6TNw</t>
  </si>
  <si>
    <t>An eight year old girl is playing a harmonica on a stage.</t>
  </si>
  <si>
    <t>The camera zooms in on the girl as the girl begins to play harder and harder, taking deeper and deeper breaths.</t>
  </si>
  <si>
    <t>The girl stops playing, takes a look to her left really quickly, then beings to smile while looking at the camera and clapping.</t>
  </si>
  <si>
    <t>v_ITVfOVR34Jo</t>
  </si>
  <si>
    <t>The army are lined up, they are divided into four groups, they started to do war practice by shooting by group with paint gun, they hide among the stone walls and vacant cars.</t>
  </si>
  <si>
    <t>The army grab their paint guns on the table and loaded them with paint balls.</t>
  </si>
  <si>
    <t>v_Ek2OvKMdvys</t>
  </si>
  <si>
    <t>A girl is dressed in a pink and black outfit talking in a room laying on a blue yoga mat.</t>
  </si>
  <si>
    <t>The lady then lays on her back and puts her hand across her chest.</t>
  </si>
  <si>
    <t>Before she begins,she talks about her stomach and how to put your hands behind your neck the correct way.</t>
  </si>
  <si>
    <t>Finally,she does about four crunches and shows that your head should be up and as well as your body before she finishes her crunches.</t>
  </si>
  <si>
    <t>v_TY4-gh8DV04</t>
  </si>
  <si>
    <t>A woman work out in a cardio machine pulling a handle in a gym.</t>
  </si>
  <si>
    <t>A person enters the gym.</t>
  </si>
  <si>
    <t>v_uZk7ciOa5aE</t>
  </si>
  <si>
    <t>A male and female dance duo are in the middle of a ballroom floor surrounded by people preparing to dance; however,the music doesn't start and they are delayed.</t>
  </si>
  <si>
    <t>They then begin to dance and shuffle their feet across the tile and spin each other around.</t>
  </si>
  <si>
    <t>The both then do a split,finish the routine and go out to mingle with the crowd.</t>
  </si>
  <si>
    <t>v_c4f6d1GRDEw</t>
  </si>
  <si>
    <t>A man is seen standing in front of a table holding up a bar of wax and other objects.</t>
  </si>
  <si>
    <t>He pushes the wax into a sander and begins using it on a ski board.</t>
  </si>
  <si>
    <t>He moves the sander all along the board and ends by showing it off to the camera.</t>
  </si>
  <si>
    <t>v_rua32XjJh54</t>
  </si>
  <si>
    <t>We see a man throwing a curling stone.</t>
  </si>
  <si>
    <t>We see a man, 2 girls, then an older man interviewed.</t>
  </si>
  <si>
    <t>We see a man throwing the stone.</t>
  </si>
  <si>
    <t>We see the older man interviewed.</t>
  </si>
  <si>
    <t>We see two boys talking in the rink.</t>
  </si>
  <si>
    <t>We see a young man with longer hair being interviewed followed by two girls.</t>
  </si>
  <si>
    <t>We see the boy curl, then be interviewed and a girl interviewed.</t>
  </si>
  <si>
    <t>We see the people curling, a girl speaks, and a group of girls talks before they walk away.</t>
  </si>
  <si>
    <t>v_99KPQLxH4cw</t>
  </si>
  <si>
    <t>Several shots are shown of various snow boarders grinding down rails into snow with one falling and hurting himself.</t>
  </si>
  <si>
    <t>More shots of people wiping out in the end are shown as well as people talking to one another in a circle.</t>
  </si>
  <si>
    <t>v_P00O62PPzNU</t>
  </si>
  <si>
    <t>A large group of people seen pulling a rope away from one another.</t>
  </si>
  <si>
    <t>More games are shown of people playing tug of war.</t>
  </si>
  <si>
    <t>People watch on the sides as the men continue to play with one another.</t>
  </si>
  <si>
    <t>v_CB41iJu4ZVY</t>
  </si>
  <si>
    <t>A gymnast is seen standing ready with her arms up in the air in front of a large crowd.</t>
  </si>
  <si>
    <t>The girl then jumps up onto a beam and begins performing gymnastic tricks.</t>
  </si>
  <si>
    <t>The girl continues flipping and spinning around and ends with her jumping off to the side.</t>
  </si>
  <si>
    <t>v_T5GVJRbvNb8</t>
  </si>
  <si>
    <t>A young man runs and jumps over a bar onto a mat multiple times.</t>
  </si>
  <si>
    <t>People run and walk around a track in the background.</t>
  </si>
  <si>
    <t>The same young man then jumps over the bar using a springboard landing on the mat several times.</t>
  </si>
  <si>
    <t>People walk around a field house near the track.</t>
  </si>
  <si>
    <t>v_SsW-IeF0bzE</t>
  </si>
  <si>
    <t>Several kids are driving bumper cars in a group at a fair.</t>
  </si>
  <si>
    <t>A younger girl gets stuck and a man walks over to help her.</t>
  </si>
  <si>
    <t>The groups time runs out and all of the kids stand up and exit the bumper car area.</t>
  </si>
  <si>
    <t>The kids all go down the stairs and back to the fair area.</t>
  </si>
  <si>
    <t>There are lots of people of all ages around doing different things at the fair.</t>
  </si>
  <si>
    <t>v_ggDfJLB8jTk</t>
  </si>
  <si>
    <t>Shooting targets are shown on the grass.</t>
  </si>
  <si>
    <t>A man uses a bow and arrow to hit the targets.</t>
  </si>
  <si>
    <t>A man shoots a bow behind a pile of sticks.</t>
  </si>
  <si>
    <t>v_B92SbWzu8yI</t>
  </si>
  <si>
    <t>A young child is seen standing behind a set of drums and then begins playing the drums.</t>
  </si>
  <si>
    <t>The boys continues playing on the drums and ends with him kissing his fingers and giving a peace sign.</t>
  </si>
  <si>
    <t>v_Jifw8dC5yTM</t>
  </si>
  <si>
    <t>A young man in blue t-shirt walks through small dance studio room.</t>
  </si>
  <si>
    <t>The young man sets his stereo down on a chair.</t>
  </si>
  <si>
    <t>The man young man warms up and does a one handed handstand.</t>
  </si>
  <si>
    <t>The man does a break dance routine doing hand stands and spins.</t>
  </si>
  <si>
    <t>End credits are shown with names written in cursive.</t>
  </si>
  <si>
    <t>v_Coctj-3Yzic</t>
  </si>
  <si>
    <t>There are people in a garage standing around a long wooden table that has a lot of red solo cups on it.</t>
  </si>
  <si>
    <t>They all start throwing ping pong balls in attempt to get them to land in a red solo cup.</t>
  </si>
  <si>
    <t>Suddenly, one of them falls backwards into the table and the table falls.</t>
  </si>
  <si>
    <t>All the men start laughing, pull the table off of the man, and only one of the men go to help the person up.</t>
  </si>
  <si>
    <t>v_tOiPx5Veyd8</t>
  </si>
  <si>
    <t>A man is seen interviewing another man on camera and leads into several groups of people playing shuffle board.</t>
  </si>
  <si>
    <t>The camera pans back to the man being interviewed and ends with the host having one final word to the camera.</t>
  </si>
  <si>
    <t>v_6iwKUJUUlaQ</t>
  </si>
  <si>
    <t>Two woman are outdoors outside of a building and are playing hopscotch on cemented ground.</t>
  </si>
  <si>
    <t>There is white text on the screen.</t>
  </si>
  <si>
    <t>The younger woman in shorts jumps on the squares and an older woman wearing a dress also jumps on the squares.</t>
  </si>
  <si>
    <t>The young girl falls over.</t>
  </si>
  <si>
    <t>The older woman walks and celebrates raising her arms.</t>
  </si>
  <si>
    <t>The two look at the camera and give a thumbs up.</t>
  </si>
  <si>
    <t>v_78UikTQkGgg</t>
  </si>
  <si>
    <t>A close up of subway is seen and leads into a woman speaking to the camera and cutting up a piece of bread.</t>
  </si>
  <si>
    <t>The woman then lays out various ingredients on the bread and rolls it up in a wrap.</t>
  </si>
  <si>
    <t>Several pictures are then shown in the end of the sandwich all ready and people enjoying the sandwich.</t>
  </si>
  <si>
    <t>v_1Xav7gMRCOQ</t>
  </si>
  <si>
    <t>A man is standing inside a gym.</t>
  </si>
  <si>
    <t>He jumps on and off an exercise stepper, front to back and side to side.</t>
  </si>
  <si>
    <t>He spins as he climbs on and off.</t>
  </si>
  <si>
    <t>v_G72bQBMZmzs</t>
  </si>
  <si>
    <t>Two sumo wrestlers are shown on a set with hundreds of people watching in the back taking pictures.</t>
  </si>
  <si>
    <t>The video continues to show several different athletes fighting in a ring and pulling the other down within a matter of seconds.</t>
  </si>
  <si>
    <t>v_xQcJ8gTPRSU</t>
  </si>
  <si>
    <t>Two people are seen speaking to the camera and leads into the man peel a pear and scoping out the sides.</t>
  </si>
  <si>
    <t>The man then cuts the fruit and presents it onto a plate while still speaking to the camera.</t>
  </si>
  <si>
    <t>v_UOF3w4T-bBE</t>
  </si>
  <si>
    <t>A group of guy friends are in the bathroom talking and having fun daring on of the boys to shave his leg.</t>
  </si>
  <si>
    <t>The camera pans over to the boy's leg showing one of his friends shaving the hair off his leg with an electric razor.</t>
  </si>
  <si>
    <t>v_-YVhOi8vt_Q</t>
  </si>
  <si>
    <t>A person places down a rubik's cube on a folder.</t>
  </si>
  <si>
    <t>The puzzle is then solved in 11 seconds.</t>
  </si>
  <si>
    <t>v_eGA5tbX8oH0</t>
  </si>
  <si>
    <t>A family is in the living room I'm trying to get out after being snowed in.</t>
  </si>
  <si>
    <t>A man opens the door and tries to jump over the snow that is in the way.</t>
  </si>
  <si>
    <t>He gets stuck in the snow and his family tries to help him get out.</t>
  </si>
  <si>
    <t>Once he gets out he throws them a shovel to shovel the snow on the floor.</t>
  </si>
  <si>
    <t>The video ends with the credits shown on the screen.</t>
  </si>
  <si>
    <t>v_Z1POv1Qeno0</t>
  </si>
  <si>
    <t>People are floating down a river in rafts.</t>
  </si>
  <si>
    <t>We then see people getting rafts at a building.</t>
  </si>
  <si>
    <t>A man is in a boat people floating in a raft.</t>
  </si>
  <si>
    <t>A bus sits in front of the rafting facility and men stack rafts as other men walk with their rafts.</t>
  </si>
  <si>
    <t>A man and a woman are floating down the river in separate rafts.</t>
  </si>
  <si>
    <t>v_TpB_zMG3XBA</t>
  </si>
  <si>
    <t>We see a lady and two men standing in a lake.</t>
  </si>
  <si>
    <t>The lady then jet skis.</t>
  </si>
  <si>
    <t>We see the head of the person on the boat on the left bob in and out of the shot.</t>
  </si>
  <si>
    <t>The boat turns and we no longer see land in the background.</t>
  </si>
  <si>
    <t>The lady falls off the ski.</t>
  </si>
  <si>
    <t>A man walks over to help the lady in the lake.</t>
  </si>
  <si>
    <t>v_SiqB6_9kNQU</t>
  </si>
  <si>
    <t>At the fair the bumper cars are being used.</t>
  </si>
  <si>
    <t>A bunch of different people are riding around bumping into each other.</t>
  </si>
  <si>
    <t>They are just driving around aimlessly in circles as they hit and get hot by other riders.</t>
  </si>
  <si>
    <t>This is innocent fun during summer nights when you're bored and the fair is in town.</t>
  </si>
  <si>
    <t>v_AnRYS02tvRA</t>
  </si>
  <si>
    <t>A man and woman play rock paper scissors.</t>
  </si>
  <si>
    <t>The woman wins and smiles.</t>
  </si>
  <si>
    <t>The woman puts a blind fold on.</t>
  </si>
  <si>
    <t>The woman gives the man a hug.</t>
  </si>
  <si>
    <t>v_k0w1lMRoqYk</t>
  </si>
  <si>
    <t>A young girl is seen talking to the camera and leads into her browsing the internet then raking up leads in a yard.</t>
  </si>
  <si>
    <t>The girl is then seen sitting in the leaves and transitions into speaking with her mother in the kitchen.</t>
  </si>
  <si>
    <t>She is shown speaking to the camera one more time and ends with various pictures of kids.</t>
  </si>
  <si>
    <t>v_XftM9eALPy0</t>
  </si>
  <si>
    <t>A large arena houses many people.</t>
  </si>
  <si>
    <t>Poles are set up in the arena.</t>
  </si>
  <si>
    <t>Gymnasts perform on the poles.</t>
  </si>
  <si>
    <t>They do many tricks on them.</t>
  </si>
  <si>
    <t>v_1Xt1gZfZ2Rw</t>
  </si>
  <si>
    <t>A man is brushing the bottom of a ski.</t>
  </si>
  <si>
    <t>He melts wax onto the bottom of the ski and irons it.</t>
  </si>
  <si>
    <t>He then scrapes the wax off with a tool.</t>
  </si>
  <si>
    <t>He uses a brush to brush the bottom of the ski.</t>
  </si>
  <si>
    <t>v_FRag7CCTP4k</t>
  </si>
  <si>
    <t>An athlete is shown warming up in front of a pole while several others in the background run around a track.</t>
  </si>
  <si>
    <t>The man eventually prepares for his jump and jumps over the pole.</t>
  </si>
  <si>
    <t>He swings his arms up to celebrate and others around him clap for him.</t>
  </si>
  <si>
    <t>v_3xEonDbWxTM</t>
  </si>
  <si>
    <t>A lady stands with a pot and shows an area of a wall.</t>
  </si>
  <si>
    <t>The wall is cleaned with a wet towel using the solution in the pot.</t>
  </si>
  <si>
    <t>The lady points to an area of the wall that is discolored.</t>
  </si>
  <si>
    <t>v__gJFrtUQDLw</t>
  </si>
  <si>
    <t>An image is shown of an album cover that leads into a young man playing a harmonica slowly.</t>
  </si>
  <si>
    <t>The man rocks back and fourth to the song and interments between pictures of a band and himself playing.</t>
  </si>
  <si>
    <t>v__wqhA-Ceqwc</t>
  </si>
  <si>
    <t>man is standing in front of a counter showing how to sharpening a knife.</t>
  </si>
  <si>
    <t>in the background man is cooking in the back counter.</t>
  </si>
  <si>
    <t>man is explaining and checking the areas of the knife.</t>
  </si>
  <si>
    <t>v_9Hw3xvJJTy0</t>
  </si>
  <si>
    <t>Three wrestlers were in the ring and crowd iswatching intently.</t>
  </si>
  <si>
    <t>One wrestler named, East of Angeles, back away and climb the ladder.</t>
  </si>
  <si>
    <t>Another wrestler, TandumisGreat, gets up and starts climbing the other side of the ladder.</t>
  </si>
  <si>
    <t>They started hitting each other on top of the ladder.</t>
  </si>
  <si>
    <t>TandumisGreat climb on the back of East of Angeles and they both fall off the ladder, knocking East of Angeles.</t>
  </si>
  <si>
    <t>TandumISGReat climbs once again on the top of the ladder and holds the hanging money bank.</t>
  </si>
  <si>
    <t>v_pZZVzBD8bZY</t>
  </si>
  <si>
    <t>Various shots are shown of large crowd celebrating in the distance and people riding motorcycles around.</t>
  </si>
  <si>
    <t>The people continue riding around in slow motion as the camera captures their movements.</t>
  </si>
  <si>
    <t>v_w83HV_L4AiU</t>
  </si>
  <si>
    <t>A cartoon animation is shown with various hands and lobsters and demonstrating how to play rock paper scissors.</t>
  </si>
  <si>
    <t>More text is shown as well as hands and animals and shows steps on how to play the game.</t>
  </si>
  <si>
    <t>v_OCT2h1kmZoA</t>
  </si>
  <si>
    <t>We see an animated opening sequence.</t>
  </si>
  <si>
    <t>We see men riding snowboards on a ski slope.</t>
  </si>
  <si>
    <t>We see a man riding on the back part of the snowboard.</t>
  </si>
  <si>
    <t>We see a person in a bright pink jacket .</t>
  </si>
  <si>
    <t>A man is snowboarding with bare arms.</t>
  </si>
  <si>
    <t>Another man with no coat on is snowboarding.</t>
  </si>
  <si>
    <t>We see the ending sequence.</t>
  </si>
  <si>
    <t>v_6koP53YFNjg</t>
  </si>
  <si>
    <t>People are throwing balls into plastic cups.</t>
  </si>
  <si>
    <t>A hand knocks over a red plastic cup and wastes the liquid inside.</t>
  </si>
  <si>
    <t>A male reaches for a ball that rolls under a table.</t>
  </si>
  <si>
    <t>A plastic cup has a white suspension inside.</t>
  </si>
  <si>
    <t>A man welds and machine carves a wooden board.</t>
  </si>
  <si>
    <t>A guy carries a lady as they gesture and cheer.</t>
  </si>
  <si>
    <t>v__Xydl5mYkQ8</t>
  </si>
  <si>
    <t>A counter is shown with beer cans on it.</t>
  </si>
  <si>
    <t>A man is in a bathroom, using a toilet.</t>
  </si>
  <si>
    <t>He flushes, then smiles and talks to the camera.</t>
  </si>
  <si>
    <t>v_w69pipCSlM4</t>
  </si>
  <si>
    <t>The skier adjusts the rope with his red and black skis extending in front of him over the water as he prepares to ski.</t>
  </si>
  <si>
    <t>The boat pulls him off the dock and into the water as he rests upright, his skis out in front of him.</t>
  </si>
  <si>
    <t>As the boat picks up speed, the skier rises, and holds onto the rope, steering left and right.</t>
  </si>
  <si>
    <t>He just seems to miss a buoy as he cuts through water and the boat's wake.</t>
  </si>
  <si>
    <t>The boat turns towards the land with large buildings coming into view, and slowly he is taken back to the dock.</t>
  </si>
  <si>
    <t>v_Wi9bm9omdoM</t>
  </si>
  <si>
    <t>A small group of children are seen playing hand games with one another and finally hitting the loser on the head with a bottle.</t>
  </si>
  <si>
    <t>The kids continue to play the hand game with one another that leads into the beating another with a bottle.</t>
  </si>
  <si>
    <t>v_RatbnDSuY7w</t>
  </si>
  <si>
    <t>A man claps after performing a high jump on the field.</t>
  </si>
  <si>
    <t>We are shown the instant replay in slow motion a couple of times.</t>
  </si>
  <si>
    <t>He walks onto the field, shaking hands with his competitors.</t>
  </si>
  <si>
    <t>v_uFtP9Z_K87U</t>
  </si>
  <si>
    <t>Several shots of people are shown in water as well as landscapes around an island and people riding and moving around a boat.</t>
  </si>
  <si>
    <t>More shots of people scuba diving are shown as well as fish swimming around and people in the ocean.</t>
  </si>
  <si>
    <t>In the end the camera shows several shots of the boat and people moving away on a smaller boat.</t>
  </si>
  <si>
    <t>v_B3YfGd4Wt24</t>
  </si>
  <si>
    <t>A group of kids are seen practicing various cheer leading moves in a gym as well as woman speaking to the camera.</t>
  </si>
  <si>
    <t>Several shots are shown of the girl's outfits as well as them demonstrating moves.</t>
  </si>
  <si>
    <t>v_-Q03gEypilg</t>
  </si>
  <si>
    <t>This woman is walking, jumping, and flipping on the balance beam.</t>
  </si>
  <si>
    <t>When she's done she walks off the stage and goes to her dad.</t>
  </si>
  <si>
    <t>v_MYWnPFGvxwQ</t>
  </si>
  <si>
    <t>A backyard is shown as a man sitting on an electric lawn mower begins to cut the grass.</t>
  </si>
  <si>
    <t>He makes it to the other side but then starts to run into the tree.</t>
  </si>
  <si>
    <t>After,he back up,runs into the tree again and cuts around it.</t>
  </si>
  <si>
    <t>v_VEXswbPrwxE</t>
  </si>
  <si>
    <t>A bull comes out of the gate at a rodeo and man in the ring jumps on then off his back.</t>
  </si>
  <si>
    <t>The man picks up his fallen hat in the ring.</t>
  </si>
  <si>
    <t>The man runs around dodging the charging bull.</t>
  </si>
  <si>
    <t>The man drops his hat in the ring.</t>
  </si>
  <si>
    <t>The man jumps on the wall to avoid the bull.</t>
  </si>
  <si>
    <t>Another man opens the gate and calls to the bull to enter the pin.</t>
  </si>
  <si>
    <t>v_m2DOej6tPNs</t>
  </si>
  <si>
    <t>We see people doing a dance routine in a basketball court.</t>
  </si>
  <si>
    <t>The people wave their hands in the air.</t>
  </si>
  <si>
    <t>The camera pans left to show others.</t>
  </si>
  <si>
    <t>The camera pans right and we see others.</t>
  </si>
  <si>
    <t>The lades stand still and wave their arms in the air.</t>
  </si>
  <si>
    <t>The camera pans down to the ground.</t>
  </si>
  <si>
    <t>v_8nj8tlvLyUo</t>
  </si>
  <si>
    <t>Someone is running on the beach towards so sand castle competitions.</t>
  </si>
  <si>
    <t>A dog jumps in some sand dirt and is so happy about it.</t>
  </si>
  <si>
    <t>There are so many awesome and different things being made out of sand, it looks like it takes a lot of time and energy.</t>
  </si>
  <si>
    <t>There are people walking around and looking at all of them.</t>
  </si>
  <si>
    <t>v_wBODR3P39Nw</t>
  </si>
  <si>
    <t>A few pictures of a high school field hockey team are shown.</t>
  </si>
  <si>
    <t>Two teams of young girls are playing field hockey.</t>
  </si>
  <si>
    <t>The goalie is shown falling to the ground while making a save.</t>
  </si>
  <si>
    <t>The goalie makes another sliding save.</t>
  </si>
  <si>
    <t>The goalie kicks the ball away from the net.</t>
  </si>
  <si>
    <t>The game ends and the girls give high fives.</t>
  </si>
  <si>
    <t>v_TLQFjTXZ58E</t>
  </si>
  <si>
    <t>A man is standing outside in his front lawn with his mower.</t>
  </si>
  <si>
    <t>He talks about different lengths of grass for a while and then bends down to his mower.</t>
  </si>
  <si>
    <t>He uses a ruler to show more detailed and then moves the mower to the sidewalk to talk some more.</t>
  </si>
  <si>
    <t>He starts mowing his lawn finally going up and down the lawn.</t>
  </si>
  <si>
    <t>v_ae-aDWHvAGc</t>
  </si>
  <si>
    <t>Two women are shown standing behind a shuffle board table when one pushes a puck across the board.</t>
  </si>
  <si>
    <t>The other woman prepares her push and send it to a man standing on the other side.</t>
  </si>
  <si>
    <t>They push the puck several more times while the camera follows their movements.</t>
  </si>
  <si>
    <t>v_xmAcpNTJUxo</t>
  </si>
  <si>
    <t>A person with a white mask and a sheet over his head walks back from the camera and grabs a pumpkin.</t>
  </si>
  <si>
    <t>The min then starts to carve the pumpkin and takes out the pumpkin sees.</t>
  </si>
  <si>
    <t>When they are all cleaned and taken out and placed in the oven as the man takes a sip of alcohol.</t>
  </si>
  <si>
    <t>v_onW5hJXnI5s</t>
  </si>
  <si>
    <t>This is a documentary on horseback riding.</t>
  </si>
  <si>
    <t>They explain the power, thrill, fun, grace, flying, friends, freedom, and love of horseback riding.</t>
  </si>
  <si>
    <t>They then show the difficulties of training horses, the dangers of riding them, and the downside of competition.</t>
  </si>
  <si>
    <t>Then they show the highlights of competitive riding.</t>
  </si>
  <si>
    <t>v_MLU2wreEGIg</t>
  </si>
  <si>
    <t>A small child is seen standing before a set of monkey bars.</t>
  </si>
  <si>
    <t>The boy then pushes himself along across the monkey bars.</t>
  </si>
  <si>
    <t>He jumps down in the end and begins walking across a bridge.</t>
  </si>
  <si>
    <t>v_sV6NoTdFaPE</t>
  </si>
  <si>
    <t>A young woman is seen speaking to the camera while holding onto a field hockey stick.</t>
  </si>
  <si>
    <t>The girl then hits the ball all around the yard while the camera follows.</t>
  </si>
  <si>
    <t>She continues to hit the ball around and stops to look at the camera.</t>
  </si>
  <si>
    <t>v_ibHRKaD5MbM</t>
  </si>
  <si>
    <t>A pinata is hanging from a tree, and a woman brings a girl with a stick over to it.</t>
  </si>
  <si>
    <t>She helps her whack the pinata several times.</t>
  </si>
  <si>
    <t>v_L61yQxW8HVE</t>
  </si>
  <si>
    <t>An intro screen appears that include a logo and the words "Expert Village Presents".</t>
  </si>
  <si>
    <t>A woman is now sitting and talking while holding a clarinet.</t>
  </si>
  <si>
    <t>The woman then puts the clarinet to her mouth and begins playing for a few seconds.</t>
  </si>
  <si>
    <t>The woman stops playing and resumes talking and using a lot of hand motioning, then resumes playing.</t>
  </si>
  <si>
    <t>The woman once again stops playing and begins talking while using her hands a lot and holding it in front of her face and etc.</t>
  </si>
  <si>
    <t>The woman begins playing once more until the outro of a white screen appears and it include a logo, and information for:copyright, rights and website.</t>
  </si>
  <si>
    <t>v_M_OPqcaCDYI</t>
  </si>
  <si>
    <t>A group of six are on a little boat sitting waiting for the whistle to blow.</t>
  </si>
  <si>
    <t>Once it is blown they begin to paddle as quickly as they possibly can, working very well together.</t>
  </si>
  <si>
    <t>They almost hit a wall of rocks but are able to turn in time not to and are able to continue in route.</t>
  </si>
  <si>
    <t>Waves, pick up and then they do hit a different wall of rock, where they turn around at to go back.</t>
  </si>
  <si>
    <t>v_fp0dd844oUU</t>
  </si>
  <si>
    <t>A man in gray long sleeves talks in a stage of Ultimate Guinness World Records.</t>
  </si>
  <si>
    <t>A young table tennis player is standing in front of table with spectators behind her.</t>
  </si>
  <si>
    <t>Two players play table tennis and continue playing for a minute and record 173 hits.</t>
  </si>
  <si>
    <t>The play is reviewed and the young player was introduced as Ai Fukuhara, with a record of most table tennis counter hits .</t>
  </si>
  <si>
    <t>The man in stage talks again while walking around the stage.</t>
  </si>
  <si>
    <t>v_s7ajQRC7w9w</t>
  </si>
  <si>
    <t>A woman is holding onto a wind surfboard in the water.</t>
  </si>
  <si>
    <t>She steps onto the board and starts wind surfing.</t>
  </si>
  <si>
    <t>She holds onto the kite of the wind surf.</t>
  </si>
  <si>
    <t>v_jmWtHelsblo</t>
  </si>
  <si>
    <t>A large group of people are shown performing a dance routine together with one woman leading in front.</t>
  </si>
  <si>
    <t>The people continue moving their arms and legs around together to move their bodies and obtain exercise.</t>
  </si>
  <si>
    <t>v_oNN6NE8fq0U</t>
  </si>
  <si>
    <t>A man talks to the audience while seated on stage before a performance.</t>
  </si>
  <si>
    <t>A man plays the keys of an accordion while opening and closing the air box.</t>
  </si>
  <si>
    <t>The man sings a few verses loudly with excitement.</t>
  </si>
  <si>
    <t>The man finishes the song and gathers up his notes from the podium.</t>
  </si>
  <si>
    <t>v_7AtINKDyH2Q</t>
  </si>
  <si>
    <t>There is a team of players playing hurling in an outdoor field.</t>
  </si>
  <si>
    <t>A person named Donal Cusack explains what hurling is and what is comprises of.</t>
  </si>
  <si>
    <t>The team players are playing a game of hurling with their bats as they try to hit the ball into the goal.</t>
  </si>
  <si>
    <t>v___c8enCfzqw</t>
  </si>
  <si>
    <t>A lady in black jacket is posing for the camera, then a man with medium length hair is shown, the man touched her hair to check on it, then the girl blow dry her hair.</t>
  </si>
  <si>
    <t>The lady sat at the center of the studio with her wet hair, she put a white cream on her hand then rub it on her hair.</t>
  </si>
  <si>
    <t>The girl blow dry her hair with white blower, sectioned her hair, brushed her hair with roller brush while blow drying it at the same time, she roll the brush downwards and upwards.</t>
  </si>
  <si>
    <t>She styled her hair by brushing and combing it to give more volume.</t>
  </si>
  <si>
    <t>v_tIaNvRDp0eE</t>
  </si>
  <si>
    <t>Several people are seen sitting in tubes at the top of a hill.</t>
  </si>
  <si>
    <t>The men speak to one another while one climbs in.</t>
  </si>
  <si>
    <t>The men all finally ride down the hill together while getting out in the end and laughing with one another.</t>
  </si>
  <si>
    <t>v_u0WgmhffTyI</t>
  </si>
  <si>
    <t>A male toddler is sitting on the floor near a female toddler and they are playing miniature floor foosball.</t>
  </si>
  <si>
    <t>The young male takes his hand and reaches inside to grab the soccer ball.</t>
  </si>
  <si>
    <t>As they keep playing, a set of feet appear and hold down the end of the board.</t>
  </si>
  <si>
    <t>Once they are removed,the two kids continue playing the game and moving the handles on the bars.</t>
  </si>
  <si>
    <t>The camera then zooms in on the boy and then the girl expressing their emotions.</t>
  </si>
  <si>
    <t>Each of them continues to play and adjust their body position as they become more focused.</t>
  </si>
  <si>
    <t>A goal is finally made and the girl goes into the goal and picks the ball out.</t>
  </si>
  <si>
    <t>v_Cul7VFkLTMc</t>
  </si>
  <si>
    <t>A group of surfers are on their boards surfing waves.</t>
  </si>
  <si>
    <t>One of the surfers is swallowed by one of the waves.</t>
  </si>
  <si>
    <t>Two surfers surf close to each other and are knocked down by a wave.</t>
  </si>
  <si>
    <t>A surfer is casually swimming when a wave crashes straight into him.</t>
  </si>
  <si>
    <t>A surfer attempts to surf but is quickly thrown off his board by a wave.</t>
  </si>
  <si>
    <t>v__LKFGLH8XxI</t>
  </si>
  <si>
    <t>A little girl is playing with a toy hair dryer.</t>
  </si>
  <si>
    <t>She continues playing with the toy hair dryer and talking.</t>
  </si>
  <si>
    <t>She picks up a toy curler and sets it down on the desk in front of her.</t>
  </si>
  <si>
    <t>v_TCFDMNSYTVw</t>
  </si>
  <si>
    <t>Two people are skiing, holding a rope.</t>
  </si>
  <si>
    <t>Waves are opened in their crest.</t>
  </si>
  <si>
    <t>They move under a small bridge.</t>
  </si>
  <si>
    <t>The boy in green bends over.</t>
  </si>
  <si>
    <t>The boy in green zooms out to the side.</t>
  </si>
  <si>
    <t>The boy moves to the side of the boat and then flips over the second skier.</t>
  </si>
  <si>
    <t>The boy leans back on his board and flips back over the other skier.</t>
  </si>
  <si>
    <t>The boy in green swings out again and flips over the skier giving him a high five.</t>
  </si>
  <si>
    <t>The two skiers have a conversation while riding.</t>
  </si>
  <si>
    <t>Both skiers swing out and swing to the other side of the boat.</t>
  </si>
  <si>
    <t>The boys continue to wave and talk.</t>
  </si>
  <si>
    <t>v_tEnhhhWqnWQ</t>
  </si>
  <si>
    <t>A woman does a dance with a hulahoop.</t>
  </si>
  <si>
    <t>She throws it up, catches it, and dances around the room.</t>
  </si>
  <si>
    <t>v_gPofktt3hUw</t>
  </si>
  <si>
    <t>A young man puts cement to the ceiling and even with a flat tool.</t>
  </si>
  <si>
    <t>the man wears stilts on his feet.</t>
  </si>
  <si>
    <t>The man puts cement on the empty spaces and strokes with the tool to even the ceiling.</t>
  </si>
  <si>
    <t>v_dxgeEdlt7do</t>
  </si>
  <si>
    <t>Dirt bikes race across a bumpy track.</t>
  </si>
  <si>
    <t>A rider falls off his bike and a trailing bike hits him and knocks him back to the ground.</t>
  </si>
  <si>
    <t>The words "2014 FIM MOTOCROSS WORLD CHAMPIONSHIP MXGP" appear on screen followed by social links.</t>
  </si>
  <si>
    <t>v_kBUDMFgWO9I</t>
  </si>
  <si>
    <t>A view of a very large diving platform with different heights is shown and people around the pool are walking.</t>
  </si>
  <si>
    <t>A person on one of the platforms dive into the pool.</t>
  </si>
  <si>
    <t>The diver hitting the pool causes a small splash.</t>
  </si>
  <si>
    <t>Video then freezes and there are no movements.</t>
  </si>
  <si>
    <t>v_YxUNzzrgJnI</t>
  </si>
  <si>
    <t>A car is driving down a road with passengers.</t>
  </si>
  <si>
    <t>The men gather on a bridge, adorning equipment.</t>
  </si>
  <si>
    <t>A man in a gorilla costume walks along the bridge.</t>
  </si>
  <si>
    <t>The men take turns bungee jumping from the bridge.</t>
  </si>
  <si>
    <t>The people wave as they drive away, then are shown posing for a picture.</t>
  </si>
  <si>
    <t>v_v05j8FVewPc</t>
  </si>
  <si>
    <t>A woman is talking and is excited.</t>
  </si>
  <si>
    <t>She pulls out a pink sweater to iron.</t>
  </si>
  <si>
    <t>She irons the pink sweater.</t>
  </si>
  <si>
    <t>v_9qNM5tNMxK4</t>
  </si>
  <si>
    <t>There are two players wearing a red and white shirt and the other wearing black and white shirt, playing racket ball in an indoor court with a few spectators.</t>
  </si>
  <si>
    <t>The player in red hits the ball with a front hand swing and his opponent leaps forward to return the ball.</t>
  </si>
  <si>
    <t>The player in red continues to swing his racket in a front hand as he never fails to miss a single shot.</t>
  </si>
  <si>
    <t>The player in black misses one shot, but he immediately grabs the ball and they continue to play again.</t>
  </si>
  <si>
    <t>Both the players continue on a great rally without missing a shot.</t>
  </si>
  <si>
    <t>The player in red runs swiftly across the court to hit the ball back.</t>
  </si>
  <si>
    <t>Then they play five rounds continuously using back hand swings until the player in black misses a shot.</t>
  </si>
  <si>
    <t>Then they begin their final round where the player in black and white ends the final shot.</t>
  </si>
  <si>
    <t>They end the game by shaking hands and walk out of the court.</t>
  </si>
  <si>
    <t>v_mwGs9TeYpM0</t>
  </si>
  <si>
    <t>A man is seen speaking to the camera in a large field while holding a lacrosse stick.</t>
  </si>
  <si>
    <t>He points to himself while holding up the stick and continues to speak to the camera and how to properly hold the stick.</t>
  </si>
  <si>
    <t>v_XuwqWdp-u2M</t>
  </si>
  <si>
    <t>A girl swings her stick away at a pinata.</t>
  </si>
  <si>
    <t>A group of people watch her from behind and cheer her on.</t>
  </si>
  <si>
    <t>She continues to swing away at the pinata and the object moves back and fourth in the wind.</t>
  </si>
  <si>
    <t>v_K8Fq9kjfK_U</t>
  </si>
  <si>
    <t>A camera pans around a large gymnasium and leads into two performers walking to the middle of the stage.</t>
  </si>
  <si>
    <t>The girls perform a dance routine use batons and end by holding a pose.</t>
  </si>
  <si>
    <t>v_MF3VcmCCgzY</t>
  </si>
  <si>
    <t>One woman and two men, wearing white pants, white shirt and black and white belts demonstrate martial arts moves, barefoot, on a large patch of grass in front of a body of water and a city scape of buildings.</t>
  </si>
  <si>
    <t>A woman with blonde hair in a ponytail and a black belt, demonstrates martial arts moves first exhibiting shoulder and arm moves and footwork.</t>
  </si>
  <si>
    <t>A man in a white belt demonstrates martial arts moves using knee bends.</t>
  </si>
  <si>
    <t>A third man in a black belt demonstrates martial arts moves exhibiting floor work, leg swipes and high kicks.</t>
  </si>
  <si>
    <t>v_LMxfRVcBrD8</t>
  </si>
  <si>
    <t>A woman chef is demonstrating how to make restaurant style pasta.</t>
  </si>
  <si>
    <t>She begins with adding spaghetti in a large pot of boiling water.</t>
  </si>
  <si>
    <t>She sautes chopped onions and some Italian dressing along with garlic on a saucepan.</t>
  </si>
  <si>
    <t>She then adds a cup of grape tomatoes.</t>
  </si>
  <si>
    <t>She checks the pasta for it's softness.</t>
  </si>
  <si>
    <t>She removes the cooked pasta off of the gas and pours it into a plate.</t>
  </si>
  <si>
    <t>Then she adds the cooked sauce right over the pasta.</t>
  </si>
  <si>
    <t>She chops fresh basil with a pair of scissors and garnishes it over the pasta along with some cheese Then she shows an Alfredo sauce recipe.</t>
  </si>
  <si>
    <t>She sprinkles grated Parmesan cheese over the Alfredo pasta to finish off.</t>
  </si>
  <si>
    <t>v_8HY9CPl9CqE</t>
  </si>
  <si>
    <t>A group of swimmers are getting ready to perform.</t>
  </si>
  <si>
    <t>The crowd watches the girls get ready.</t>
  </si>
  <si>
    <t>A girl dives off the diving board and people cheer.</t>
  </si>
  <si>
    <t>She climbs out of the pool while another swimmer gets ready to jump.</t>
  </si>
  <si>
    <t>v_2PCZkpF1_wU</t>
  </si>
  <si>
    <t>A large multilayer red velvet cake is shown, along with the multitude of ingredients.</t>
  </si>
  <si>
    <t>A hand turns on an oven, before mixing the ingredients together in a bowl.</t>
  </si>
  <si>
    <t>Throughout, some random tidbits and facts are shared.</t>
  </si>
  <si>
    <t>v_Z47Ig2AqKfg</t>
  </si>
  <si>
    <t>A man is on a stage amongst bright flashing lights and music.</t>
  </si>
  <si>
    <t>He is quickly playing a violin for the audience.</t>
  </si>
  <si>
    <t>He pauses to dance, then goes back to playing as they clap and cheer.</t>
  </si>
  <si>
    <t>v_wbrnTczxvVw</t>
  </si>
  <si>
    <t>There are two women dressed in black and blue tank tops demonstrating how to use the hula hoop.</t>
  </si>
  <si>
    <t>They both begin spinning with blue and silver hula hoops.</t>
  </si>
  <si>
    <t>They are in a spacious room with little furniture and hardwood floors.</t>
  </si>
  <si>
    <t>The woman in the blue tank top shows how to hula hoop in fast motion.</t>
  </si>
  <si>
    <t>Then both the women show how to twirl the hoop by raising it high up above their heads.</t>
  </si>
  <si>
    <t>They bend their backs to lower themselves down as the continue to hula hoop.</t>
  </si>
  <si>
    <t>They talk to each other as they share tips about ways to hula hoop.</t>
  </si>
  <si>
    <t>v_CF6Q5ojrAJo</t>
  </si>
  <si>
    <t>The men are taking turns chopping a log in two.</t>
  </si>
  <si>
    <t>The chop over and over again.</t>
  </si>
  <si>
    <t>The log breaks in two.</t>
  </si>
  <si>
    <t>v_D_zM6YmlUnw</t>
  </si>
  <si>
    <t>A woman wearing a tan apron is holding a knife and talking.</t>
  </si>
  <si>
    <t>She then shows an appliance on the table and tilts it upwards.</t>
  </si>
  <si>
    <t>She turns a dial on the appliance and sets it back down.</t>
  </si>
  <si>
    <t>She picks the knife back up and places it on the appliance.</t>
  </si>
  <si>
    <t>She turns the dial again on the appliance.</t>
  </si>
  <si>
    <t>She picks the knife back up and places it in the appliance and slowly draws it back several times.</t>
  </si>
  <si>
    <t>She slices a tomato on a wood block with the knife.</t>
  </si>
  <si>
    <t>She grabs a second knife and puts it in the appliance.</t>
  </si>
  <si>
    <t>v_pbTzltaBByk</t>
  </si>
  <si>
    <t>A close up of a hedge is shown followed by a man walking into frames with tools and beginning to cut the hedge.</t>
  </si>
  <si>
    <t>The man continues cutting all along the hedge while moving in and out of frame.</t>
  </si>
  <si>
    <t>v_woLR9wHe0Vs</t>
  </si>
  <si>
    <t>We see a man in a yard raking with a title on the screen.</t>
  </si>
  <si>
    <t>We see a tree trunk and leaves falling.</t>
  </si>
  <si>
    <t>We see the man talking and see the yard as he rakes.</t>
  </si>
  <si>
    <t>We then see the man as he blows it with a leaf blower and a vacuum.</t>
  </si>
  <si>
    <t>v_9-hrNWXnuY8</t>
  </si>
  <si>
    <t>Several images of dogs are shown outside in the field.</t>
  </si>
  <si>
    <t>A young woman then appears in a grassy field and play with her dog and throwing a red Frisbee to him.</t>
  </si>
  <si>
    <t>The girl then kneels down in the grass and holds the Frisbee over her head and congratulates her dog as the trick is completed and they continue to do it over and over again.</t>
  </si>
  <si>
    <t>v_lpZytCK-g1M</t>
  </si>
  <si>
    <t>A young boy kneels outside and washes his face and hands from small dishes, in front of him, filled with water and soap.</t>
  </si>
  <si>
    <t>A boy kneels in a corner of an outdoor patio in front of a row of bowls.</t>
  </si>
  <si>
    <t>The boy splashes water on his face and lathers his hands with soapy water from the dishes.</t>
  </si>
  <si>
    <t>The boy continues washing his face as a woman in a light colored dress garment walks past him.</t>
  </si>
  <si>
    <t>v_nT1-fINd4nA</t>
  </si>
  <si>
    <t>A person uses a leaf blows and blows leafs.</t>
  </si>
  <si>
    <t>The dog runs to the right and out of the path.</t>
  </si>
  <si>
    <t>The dog runs back and fort in front of the leaf blower.</t>
  </si>
  <si>
    <t>v_y7tActqdm9A</t>
  </si>
  <si>
    <t>Two wildebeests lock horns in a fight for dominance.</t>
  </si>
  <si>
    <t>The fight continues with the rest of the wildebeest herd looking on.</t>
  </si>
  <si>
    <t>The fight continues on as one wildabeast pushes the other away from the herd near a river.</t>
  </si>
  <si>
    <t>One wildebeest gives up and runs off as the other wildebeest chases.</t>
  </si>
  <si>
    <t>v_K7rfN2W0ts4</t>
  </si>
  <si>
    <t>A person's hands are seen at a poker table grabbing cards while another deals.</t>
  </si>
  <si>
    <t>The dealer continuously throws out cards while also putting chips in.</t>
  </si>
  <si>
    <t>The person playing does the same several times.</t>
  </si>
  <si>
    <t>v_cufmgoo7E_k</t>
  </si>
  <si>
    <t>An intro leads into a horse tied up to a calf with a man roping a rope around the animal.</t>
  </si>
  <si>
    <t>A man is then shown being interviewed on camera as well as an other woman beside him.</t>
  </si>
  <si>
    <t>v_oofh5aSJUSc</t>
  </si>
  <si>
    <t>A man wearing a ghost shirt is playing a game of beer pong.</t>
  </si>
  <si>
    <t>He lines up four cups, throwing the balls into the cups.</t>
  </si>
  <si>
    <t>He continues until all the balls have gone into the cups perfectly.</t>
  </si>
  <si>
    <t>v_r-rNYo8ju4k</t>
  </si>
  <si>
    <t>A group of men are all seen standing around one another on a beach while speaking and laughing to one another.</t>
  </si>
  <si>
    <t>Then men the begin putting sunscreen on one another down a line.</t>
  </si>
  <si>
    <t>v_p1pkFRHG7UY</t>
  </si>
  <si>
    <t>A tall building is shown with a tower.</t>
  </si>
  <si>
    <t>People are applauding for people that are jumping off of the top of the building.</t>
  </si>
  <si>
    <t>v_n5xfkpQ8PWM</t>
  </si>
  <si>
    <t>A woman wraps several Christmas gifts.</t>
  </si>
  <si>
    <t>A woman smiles and cuts a wrapping paper with a scissor.</t>
  </si>
  <si>
    <t>The woman places a teddy bear in a bowl.</t>
  </si>
  <si>
    <t>A woman puts two crystal presents in a white and pink box.</t>
  </si>
  <si>
    <t>A woman holds up a covered gift wrapped in silver wrapping paper.</t>
  </si>
  <si>
    <t>A woman places a jewelry box in a box.</t>
  </si>
  <si>
    <t>The woman presents a gold bowl.</t>
  </si>
  <si>
    <t>The woman holds out stacked, wrapped gifts with her hands.</t>
  </si>
  <si>
    <t>The woman blows glitter papers from the palm of her hand.</t>
  </si>
  <si>
    <t>The sponsor of the clips is introduced and displayed on the screen.</t>
  </si>
  <si>
    <t>v_bfZZdTPYmos</t>
  </si>
  <si>
    <t>There's a man wearing a white graphic shirt, sitting with bongo drums drumming a beat on the drums.</t>
  </si>
  <si>
    <t>He is wearing headphones as he drums a beat on the drums.</t>
  </si>
  <si>
    <t>He continues playing the drums.</t>
  </si>
  <si>
    <t>After a while he changes the beat after pausing for a little time.</t>
  </si>
  <si>
    <t>Then continues playing another beat on the drums.</t>
  </si>
  <si>
    <t>Then he stops for a little bit and rearranges the drums to play again.</t>
  </si>
  <si>
    <t>Another person is drumming beats on an electrical drum set that has several drums.</t>
  </si>
  <si>
    <t>v_kHyEIbBnzYM</t>
  </si>
  <si>
    <t>A man is seen walking over to a young girl who stands on a stage and begins performing martial arts.</t>
  </si>
  <si>
    <t>She performs several flips and tricks and bows to a man in the end while everyone claps for her.</t>
  </si>
  <si>
    <t>v_rBQO0Nf05vg</t>
  </si>
  <si>
    <t>The man in black shirt and blue jeans is rolling an old red carpet and vacuum the floor.</t>
  </si>
  <si>
    <t>He then unroll the new gray carpet, install it by cutting it and nailing the carpet on the floor, he removed the excess carpet on the wall, flattened it with a tool, then vacuum once the installation is complete.</t>
  </si>
  <si>
    <t>v_jXARa4T2G8o</t>
  </si>
  <si>
    <t>An intro leads into a camera panning around various snow locations with people moving and plows moving.</t>
  </si>
  <si>
    <t>The camera shows several different people stretching and warming up followed by two people falling over and standing up.</t>
  </si>
  <si>
    <t>Several clips are shown of snow boarders doing tricks on a mountain as well as jumps and grinds.</t>
  </si>
  <si>
    <t>v_8Yfm6gbKRho</t>
  </si>
  <si>
    <t>A man runs onto the field of a sporting game.</t>
  </si>
  <si>
    <t>Cricket players are pitched balls during a game in a large stadium.</t>
  </si>
  <si>
    <t>The cricket player hits a high pop fly that is caught.</t>
  </si>
  <si>
    <t>The cricket players pose for photos.</t>
  </si>
  <si>
    <t>The players all line up for a race on the adjacent track.</t>
  </si>
  <si>
    <t>v_xmGucghu2FI</t>
  </si>
  <si>
    <t>An intro of text leads into several clips of athletes throwing javelins off into the distance.</t>
  </si>
  <si>
    <t>The video continues with several more athletes being shown performing impressive throws with the Javelin.</t>
  </si>
  <si>
    <t>v_zh2Thxc6NVI</t>
  </si>
  <si>
    <t>A man in a red jacket is talking on a hockey rink.</t>
  </si>
  <si>
    <t>Several people start playing hockey on the ice.</t>
  </si>
  <si>
    <t>He gives another player a hug.</t>
  </si>
  <si>
    <t>v_3nLA8R3ULSE</t>
  </si>
  <si>
    <t>man is riding a motorbike in a dusty path inside a dome.</t>
  </si>
  <si>
    <t>motorbikes are riding bikes doing motocross in a field inside a dome.</t>
  </si>
  <si>
    <t>people are in bikes in a competition.</t>
  </si>
  <si>
    <t>v_5sYPXv0RkiM</t>
  </si>
  <si>
    <t>A man stands next to a pile of wood holding tools on his shoulders.</t>
  </si>
  <si>
    <t>The man uses a large ax to chop logs standing upright in a grassy forested area area.</t>
  </si>
  <si>
    <t>v_3dR4MEUDHa0</t>
  </si>
  <si>
    <t>Two men are playing ping pong together, one guy is wearing a black suit, the guy in the black suit has a unique style.</t>
  </si>
  <si>
    <t>The man in the black suit spikes the ping pong ball and celebrates.</t>
  </si>
  <si>
    <t>The camera scene switches to show the players from another perspective, the player in the black suit makes another spike on the ball.</t>
  </si>
  <si>
    <t>Now two players proceed to play the player in the black suit at once, he spiked the ball on both players.</t>
  </si>
  <si>
    <t>The man in the black suit is using nunchucks to play ping pong, they now have 4 players playing against him, the man in the black suit taunts them by reading a book while playing, he also pauses the ping pong balls, takes a sip of water and resumes The man starts laughing at them, and the men are frustrated.</t>
  </si>
  <si>
    <t>A final challenger arrives and walks towards him.</t>
  </si>
  <si>
    <t>The challenger spikes the ball so hard it kills him.</t>
  </si>
  <si>
    <t>v_MEwGjGcV_Ik</t>
  </si>
  <si>
    <t>Two people front to front push discs on the floor with a stick in a gym.</t>
  </si>
  <si>
    <t>A man pass on front a clock.</t>
  </si>
  <si>
    <t>v_FkQ1V0V_XCs</t>
  </si>
  <si>
    <t>A lady sits and discusses, indoors.</t>
  </si>
  <si>
    <t>The lady shows off her painted nails.</t>
  </si>
  <si>
    <t>The lady presents her nail polishes.</t>
  </si>
  <si>
    <t>The lady paints her fingernail.</t>
  </si>
  <si>
    <t>The puts nail polish on a folder and uses them to embellish her fingernail.</t>
  </si>
  <si>
    <t>The lady raises her foot and shows off her sock.</t>
  </si>
  <si>
    <t>v_OUY4TkdjnyA</t>
  </si>
  <si>
    <t>The topic of the video shows how to play foosball.</t>
  </si>
  <si>
    <t>It begins with a title screen.</t>
  </si>
  <si>
    <t>Then a clip is shown of a little boy who puts a ball shaped like an eyeball on a foosball table.</t>
  </si>
  <si>
    <t>A screen with words shows up.</t>
  </si>
  <si>
    <t>Then, a clip is shown of two boys playing with the foosball table, one of whom is reading a magazine while playing.</t>
  </si>
  <si>
    <t>Several additional clips appear showing the boys playing foosball in different ways.</t>
  </si>
  <si>
    <t>The video ends with one of the boys falling asleep while playing.</t>
  </si>
  <si>
    <t>v_tuhHQ-lHIs4</t>
  </si>
  <si>
    <t>A group of kids poses with the arms in the air.</t>
  </si>
  <si>
    <t>Another group of kids poses holding up peace signs.</t>
  </si>
  <si>
    <t>A third group of kids poses with their arms around each other.</t>
  </si>
  <si>
    <t>A fourth group of kids poses with their mouths open.</t>
  </si>
  <si>
    <t>A fifth group of kids poses smiling.</t>
  </si>
  <si>
    <t>A group of kids stands on a line in a gym.</t>
  </si>
  <si>
    <t>A girl flips across the gym.</t>
  </si>
  <si>
    <t>A young boy bounces a dodge ball.</t>
  </si>
  <si>
    <t>A group of kids in blue all run toward the center of the gym.</t>
  </si>
  <si>
    <t>A young boy aims a dodge ball at a group of kids on the opposite side of the gym and throws the ball hitting one of them.</t>
  </si>
  <si>
    <t>A young boy in blue celebrates.</t>
  </si>
  <si>
    <t>Another older boy in blue throws a dodge ball.</t>
  </si>
  <si>
    <t>A little boy runs to the line holding two balls and throws one of them.</t>
  </si>
  <si>
    <t>A boy in blue throws a ball while a boy behind him runs.</t>
  </si>
  <si>
    <t>A boy in pink throws a ball.</t>
  </si>
  <si>
    <t>A young boy in white dips down and a ball flies over his head.</t>
  </si>
  <si>
    <t>A boy in pink and then a girl in pink throw a ball.</t>
  </si>
  <si>
    <t>several kids in white celebrate.</t>
  </si>
  <si>
    <t>A group of kids runs toward the center of the gym.</t>
  </si>
  <si>
    <t>The white team plays and a very young player throws the ball.</t>
  </si>
  <si>
    <t>A boy in green throws the ball and the blue team runs to throw several balls back.</t>
  </si>
  <si>
    <t>Another boy and girl run and throw a ball at the same time.</t>
  </si>
  <si>
    <t>A boy in white throws a ball.</t>
  </si>
  <si>
    <t>A group of adults stands on the line on the gym floor.</t>
  </si>
  <si>
    <t>The adults play do0dge ball.</t>
  </si>
  <si>
    <t>A group of kids and adults hold up trophy's and wave.</t>
  </si>
  <si>
    <t>v_6Pj1Ocz8MUo</t>
  </si>
  <si>
    <t>A teen skateboard down a road while turning around and spinning.</t>
  </si>
  <si>
    <t>Another youth skateboard on the road while making turns.</t>
  </si>
  <si>
    <t>A boy holds a skateboard on his hand.</t>
  </si>
  <si>
    <t>A young man skateboard until a busy street, then the teen continue skateboarding.</t>
  </si>
  <si>
    <t>v_hzU9--vcDMY</t>
  </si>
  <si>
    <t>A man puts on paintball gear in a mirror grabs his gun and runs through the snow.</t>
  </si>
  <si>
    <t>Men duck behind trees, plywood walls and fences on a paintball field.</t>
  </si>
  <si>
    <t>Men shoot back and forth at each other.</t>
  </si>
  <si>
    <t>Men run and duck looking for a place to hide.</t>
  </si>
  <si>
    <t>The men sit on either side of the wall looking for each other then stand up and face each other.</t>
  </si>
  <si>
    <t>A man talks in front of a paintball park sign.</t>
  </si>
  <si>
    <t>v_QBlveXzAZsY</t>
  </si>
  <si>
    <t>Several bikes are in a shop lined up.</t>
  </si>
  <si>
    <t>We see people looking at the bikes, and a large box containing one.</t>
  </si>
  <si>
    <t>A man opens the box and removes the bike, He shows the pieces to the camera.</t>
  </si>
  <si>
    <t>v_OYMGPkucZYI</t>
  </si>
  <si>
    <t>Ehow and Style are on the screen.</t>
  </si>
  <si>
    <t>A woman is standing at a table with a shoe and a can of hairspray.</t>
  </si>
  <si>
    <t>The woman sprays hairspray on a scuff mark on the shoe and takes a cotton tip and rubs the scuff mark out.</t>
  </si>
  <si>
    <t>The scuff mark is gone and she talks to the camera.</t>
  </si>
  <si>
    <t>The video ends with a ehow promo.</t>
  </si>
  <si>
    <t>v_cTbkhIaj_Xc</t>
  </si>
  <si>
    <t>A group of men are standing a field and a man rolls a red ball to the other team and it is kicked out.</t>
  </si>
  <si>
    <t>After,the team switches and continue to play games of kickball.</t>
  </si>
  <si>
    <t>Now two more teams approach and the captains play Rock,Paper,Scissor to determine who will start the game.</t>
  </si>
  <si>
    <t>The woman loses and the men begin to play kicking the ball and running to the bases.</t>
  </si>
  <si>
    <t>v_xF7etZzLFbY</t>
  </si>
  <si>
    <t>A man walks alongside a boy who is mowing the lawn.</t>
  </si>
  <si>
    <t>He instructs the boy on how to turn the mower and go around a small tree.</t>
  </si>
  <si>
    <t>He continues walking and guiding the boy.</t>
  </si>
  <si>
    <t>v_RQwgREUcreI</t>
  </si>
  <si>
    <t>A woman holding a doll undoes curlers from the dolls hair.</t>
  </si>
  <si>
    <t>The woman shoes off the dolls hair.</t>
  </si>
  <si>
    <t>The woman turns the doll around to show off the back of the dolls head.</t>
  </si>
  <si>
    <t>The woman continues to show off the dolls hair.</t>
  </si>
  <si>
    <t>v_D1x5KVBdiuI</t>
  </si>
  <si>
    <t>A person is seen putting a weight on followed by a woman lifting a bar up over her head.</t>
  </si>
  <si>
    <t>Another person is seen after her lifting up a large set of weights over their heads.</t>
  </si>
  <si>
    <t>Several more people are seen lifting heavy weights over their heads while others watch on the side.</t>
  </si>
  <si>
    <t>v_J5xPmg3tmtg</t>
  </si>
  <si>
    <t>A man is seen speaking to the camera while holding sponge and a sander in each hand.</t>
  </si>
  <si>
    <t>The man then wets the sander and uses it along a set of skis.</t>
  </si>
  <si>
    <t>He guides it along the ski and stops to speak to the camera and smile.</t>
  </si>
  <si>
    <t>v_Yfg0bZbxjVg</t>
  </si>
  <si>
    <t>A lady sits on a bathtub and talks while playing with a dog.</t>
  </si>
  <si>
    <t>The lady puts the dog in the water and washes him.</t>
  </si>
  <si>
    <t>The lady adds more soap.</t>
  </si>
  <si>
    <t>The lady rinses the dog and wraps in him in a mustard orange towel.</t>
  </si>
  <si>
    <t>the lady sits and talks as the dog sits in her lap.</t>
  </si>
  <si>
    <t>The ending credits roll up the screen.</t>
  </si>
  <si>
    <t>v_P62B_iDlQXM</t>
  </si>
  <si>
    <t>A circle of green grass is shown with a trail of rocks surrounding it,a brick wall,and some trees.</t>
  </si>
  <si>
    <t>A man then comes and starts to cut the grass going around its perimeter.</t>
  </si>
  <si>
    <t>After,he takes the lawn mower and starts going vertically across the grass until the whole thing has been completed.</t>
  </si>
  <si>
    <t>v_-ucwgrxTBEg</t>
  </si>
  <si>
    <t>Two people are demonstrating Tai Chi.</t>
  </si>
  <si>
    <t>There is a garden with colorful flowers shown outside the Tai Chi school building.</t>
  </si>
  <si>
    <t>The instructors wearing blue robes are showing the basic moves used in Tai Chi.</t>
  </si>
  <si>
    <t>They are swaying their hands above their heads from left to right.</t>
  </si>
  <si>
    <t>Then the instructor demonstrates arm strength by tapping his right arm over his extended left arm.</t>
  </si>
  <si>
    <t>Both the instructors stand facing each other as they demonstrate slow and gradual hand movements.</t>
  </si>
  <si>
    <t>v_FbvTQ1-FCag</t>
  </si>
  <si>
    <t>A man is shooting a bow and arrow.</t>
  </si>
  <si>
    <t>The dart board that they are shooting at is shown.</t>
  </si>
  <si>
    <t>People are celebrating and clapping hands.</t>
  </si>
  <si>
    <t>v_j7rvKBvvvRg</t>
  </si>
  <si>
    <t>A man is on front a sink talking and wash a dish, then he puts it on the counter.</t>
  </si>
  <si>
    <t>The man put dish soap on a dish and scrub it while rinsing with water.</t>
  </si>
  <si>
    <t>Then the man shows his tattooed arms, then continues washing dishes.</t>
  </si>
  <si>
    <t>v_SNuH7bpgHuY</t>
  </si>
  <si>
    <t>The two bulls run into each other and they bump heads fighting until they knock each other down.</t>
  </si>
  <si>
    <t>Then the people run over to them and some are holding rope, while one checks on it's bloody head.</t>
  </si>
  <si>
    <t>v_16T82DHJClA</t>
  </si>
  <si>
    <t>The door opens and another man comes in and arm wrestles.</t>
  </si>
  <si>
    <t>They start fighting in the room.</t>
  </si>
  <si>
    <t>They arm wrestle again at the table.</t>
  </si>
  <si>
    <t>v_g0ns-bQ4PjE</t>
  </si>
  <si>
    <t>The lady in pink is belly dancing on the stage.</t>
  </si>
  <si>
    <t>The man is playing a keyboard, while the other man is playing the drum.</t>
  </si>
  <si>
    <t>The lady turned around, swirling around the stage and shake her hips.</t>
  </si>
  <si>
    <t>v_8GeLWWLIar4</t>
  </si>
  <si>
    <t>We see a dancing man on the cover of a book then on a street.</t>
  </si>
  <si>
    <t>We see the man sitting on the floor talking to a camera.</t>
  </si>
  <si>
    <t>We see the man illustrating break dance moves.</t>
  </si>
  <si>
    <t>The man is talking and sitting still.</t>
  </si>
  <si>
    <t>We see the man dance fast.</t>
  </si>
  <si>
    <t>We see the man perform a leg sweep move.</t>
  </si>
  <si>
    <t>We see an animated close scene and a subscribe page.</t>
  </si>
  <si>
    <t>v_kUxz_SPi72U</t>
  </si>
  <si>
    <t>A man is seen kneeling down beside a tire while holding up various tools.</t>
  </si>
  <si>
    <t>The man then takes off a hubcap and places it back on the tire.</t>
  </si>
  <si>
    <t>He turns to speak to the camera.</t>
  </si>
  <si>
    <t>v_xSMmdsV65Bc</t>
  </si>
  <si>
    <t>A White plastering tool is shown with a brown wooden handle on it.</t>
  </si>
  <si>
    <t>A person then picks it up and begins to bend it showing how the object works.</t>
  </si>
  <si>
    <t>After,the object is demonstrated on the corner of the walls and then the plaster is washed off in the grass.</t>
  </si>
  <si>
    <t>v_xr64cSwpNOM</t>
  </si>
  <si>
    <t>A man competes in a strong man competition and stands on a log chopping it with an ax in hand.</t>
  </si>
  <si>
    <t>The man finally splits the log below his feet.</t>
  </si>
  <si>
    <t>A second man in the competition in vest picks up and drops a large spherical weight on a tire repeatedly.</t>
  </si>
  <si>
    <t>A A man in red steps onto a log and receives an ax by a referee.</t>
  </si>
  <si>
    <t>v_wAt_OsQe-qM</t>
  </si>
  <si>
    <t>A man is talking inside a room in a house.</t>
  </si>
  <si>
    <t>He is holding a stick and violin.</t>
  </si>
  <si>
    <t>He then demonstrates how to play the violin.</t>
  </si>
  <si>
    <t>v_1G3rv9ssDY4</t>
  </si>
  <si>
    <t>Two professional bikers are biking at the Peckham BMX Club.</t>
  </si>
  <si>
    <t>The bikers are going over a curbed surface at full speed.</t>
  </si>
  <si>
    <t>There are several other bikers doing the same activity on another curved surface.</t>
  </si>
  <si>
    <t>There are five bikers wearing helmets standing ready to start a race.</t>
  </si>
  <si>
    <t>They begin racing at high speed over a curved road.</t>
  </si>
  <si>
    <t>Two more batches of racers start the same race.</t>
  </si>
  <si>
    <t>A single biker is going through the curved road at very high speed.</t>
  </si>
  <si>
    <t>v_hHxEBnhLsXs</t>
  </si>
  <si>
    <t>A person perform wake board holding a ski water rope.</t>
  </si>
  <si>
    <t>The man jumps an obstacle several times and lands in the water.</t>
  </si>
  <si>
    <t>Then, the man jumps the obstacle and spin around.</t>
  </si>
  <si>
    <t>Then, the man slides on ramps while flipping in the air.</t>
  </si>
  <si>
    <t>v_w8gNl6HWctA</t>
  </si>
  <si>
    <t>A man exercises by doing animated stretches in a doorway while holding a tennis racket.</t>
  </si>
  <si>
    <t>A woman approaches him and the two begin to talk.</t>
  </si>
  <si>
    <t>The man and woman begin to play tennis in a closed gym room by hitting the tennis ball against a wall with their tennis racket.</t>
  </si>
  <si>
    <t>The man becomes irate as he plays and begins stomping, yelling, wildly gesturing and pushing the woman down on the floor when she falls as they play the game.</t>
  </si>
  <si>
    <t>When the game ends the woman leaves, looking upset and the man looks satisfied as he begins doing wild stretches in front of the doorway and talking to another person.</t>
  </si>
  <si>
    <t>v__aEA1UuTai8</t>
  </si>
  <si>
    <t>A girl is standing on top of a balance beam.</t>
  </si>
  <si>
    <t>She does forward flips on the beam.</t>
  </si>
  <si>
    <t>She watches as other girls do the same.</t>
  </si>
  <si>
    <t>v_bAD_-DEgubk</t>
  </si>
  <si>
    <t>There's a young boy playing lacrosse in his front yard.</t>
  </si>
  <si>
    <t>he is holding a yellow lacrosse stick.</t>
  </si>
  <si>
    <t>He is excited as he plays the game while his mother cheers him up to play.</t>
  </si>
  <si>
    <t>He picks up the yellow ball and throws it across to his father.</t>
  </si>
  <si>
    <t>When his father throws the ball to him, he catches it with the lacrosse stick.</t>
  </si>
  <si>
    <t>His mother gets excited and shouts out for him.</t>
  </si>
  <si>
    <t>v_XFlWVBU4z9E</t>
  </si>
  <si>
    <t>A woman attempts to remove her coffee from a glove compartment, but it won't budge.</t>
  </si>
  <si>
    <t>She leans forward, waving away the camera man as she tries to take a drink.</t>
  </si>
  <si>
    <t>She finally is able to remove the cup.</t>
  </si>
  <si>
    <t>v_yE5euaQmcXw</t>
  </si>
  <si>
    <t>A man is seen grabbing a puck and curling along the ice in front of others.</t>
  </si>
  <si>
    <t>The people push the puck down the ice and celebrate with one another.</t>
  </si>
  <si>
    <t>People on the sidelines cheer and the men walk away.</t>
  </si>
  <si>
    <t>v_c7fu7RcM2iE</t>
  </si>
  <si>
    <t>A group of men do freestyle running jumps throughout the city.</t>
  </si>
  <si>
    <t>The men run together in a group.</t>
  </si>
  <si>
    <t>Each man does a set of multiple jumps in a continuous line.</t>
  </si>
  <si>
    <t>The filming is interrupted by building staff.</t>
  </si>
  <si>
    <t>v_wiflxvRl04M</t>
  </si>
  <si>
    <t>A woman is seen walking into frame and nodding at the camera that leads into her pouring mouthwash out and into her mouth.</t>
  </si>
  <si>
    <t>She rinses the mouthwash around, gurgles the liquid into her mouth, then spits it out and smiles.</t>
  </si>
  <si>
    <t>v_po_mfZ5LUVo</t>
  </si>
  <si>
    <t>A young man stands on the start line of a swimming pool.</t>
  </si>
  <si>
    <t>Then, the young man gets in the water and swims to the other side of the pull.</t>
  </si>
  <si>
    <t>After, the young man gets off the pool.</t>
  </si>
  <si>
    <t>v_wfUKi83iJCU</t>
  </si>
  <si>
    <t>Two men are showering in an outside shower.</t>
  </si>
  <si>
    <t>People are playing water polo in the water.</t>
  </si>
  <si>
    <t>They get out of the water and are walking next to the pool.</t>
  </si>
  <si>
    <t>v_fUivipdikFU</t>
  </si>
  <si>
    <t>A group of women are gathered in an indoor gym.</t>
  </si>
  <si>
    <t>They are being led by an instructor.</t>
  </si>
  <si>
    <t>They are doing zumba dances using steppers.</t>
  </si>
  <si>
    <t>v_g_qHPA0RkAY</t>
  </si>
  <si>
    <t>A line of knives and cutting utensils are on a table.</t>
  </si>
  <si>
    <t>A woman is cutting the top off of a pumpkin and raking the seeds into a bowl.</t>
  </si>
  <si>
    <t>Then she begins gutting the seeds from the pumpkin.</t>
  </si>
  <si>
    <t>She draws a face on the outside before using a knife to begin carving out the face of her pumpkin.</t>
  </si>
  <si>
    <t>Finally she places the top back in place, and puts a candle inside.</t>
  </si>
  <si>
    <t>v_fqOp0uhdEyM</t>
  </si>
  <si>
    <t>Michele Obama and another woman are hula hooping outside on a sunny day.</t>
  </si>
  <si>
    <t>As the camera zooms out a young boy and another woman to the side are also seen hula hooping while people behind run past.</t>
  </si>
  <si>
    <t>A closeup back to Michele Obama's face where she looks like she is getting quite the workout, making a smirk on her face.</t>
  </si>
  <si>
    <t>The camera angles down to just the two women's hips with the hula hoops as in the beginning and back up to mostly just seeing Michele's face.</t>
  </si>
  <si>
    <t>Michele now runs and jumps into a jumprope where she fails to successfully jump in the jump rope twice, both times looking embarrassed.</t>
  </si>
  <si>
    <t>The third time she prepares herself and runs towards the jump rope successfully jumping a couple times before being unable to do anymore.</t>
  </si>
  <si>
    <t>Now Michele is running through a foot course on the ground, while a young man trails behind.</t>
  </si>
  <si>
    <t>She is now going back and forth through another obstacle of sticks and runs towards the woods where she stops and points.</t>
  </si>
  <si>
    <t>She runs all the way back down the field, giving high fives to random people on the field at her arrival.</t>
  </si>
  <si>
    <t>v_YFIkhFEtD8w</t>
  </si>
  <si>
    <t>A person's hands are seen close up solving a rubix cube followed by a man speaking to the camera.</t>
  </si>
  <si>
    <t>The man then solves a rubix cube blind folded while a timer captures his score.</t>
  </si>
  <si>
    <t>He finishes the cube and takes off the headpiece in the end.</t>
  </si>
  <si>
    <t>v_i7L1KNGeEqU</t>
  </si>
  <si>
    <t>snowboarder is in big field in white snow.</t>
  </si>
  <si>
    <t>a cubicle in the mountain and slip down the mountain in snowboard.</t>
  </si>
  <si>
    <t>people is in cubicle and moving down the mountain in snowboard and pass by a parking lot.</t>
  </si>
  <si>
    <t>v_Is0_Qv6NLm0</t>
  </si>
  <si>
    <t>Two young guys stand together and hold up money.</t>
  </si>
  <si>
    <t>The young guys talk to a homeless man and shake his hand.</t>
  </si>
  <si>
    <t>The men talk with a homeless youth sitting outside a store.</t>
  </si>
  <si>
    <t>The group all walks together down a street.</t>
  </si>
  <si>
    <t>The men hold an arm wrestling contest standing on an outside patio.</t>
  </si>
  <si>
    <t>The man wins and both contestants are given prize money.</t>
  </si>
  <si>
    <t>v_99dCcB5Unmo</t>
  </si>
  <si>
    <t>A dancer's feet are shown in a classroom as well as a ballet class occurring in the background.</t>
  </si>
  <si>
    <t>The teacher instructs the girls how to perform proper ballet moves, as the students follow.</t>
  </si>
  <si>
    <t>The girls move their arms in the correct position and eventually turn to one side.</t>
  </si>
  <si>
    <t>Finally the instructor teaches the girls to extend their legs and perform a proper move.</t>
  </si>
  <si>
    <t>v_V1CX5B7ih6c</t>
  </si>
  <si>
    <t>Two men are on a padded surface, fighting.</t>
  </si>
  <si>
    <t>They jump and kick at each other.</t>
  </si>
  <si>
    <t>They roll around on the mat until one of them pins the other.</t>
  </si>
  <si>
    <t>v_-kAlrG4jS9M</t>
  </si>
  <si>
    <t>A man is shown bullfighting in front of a crowd.</t>
  </si>
  <si>
    <t>The man falls and is run over by the bull.</t>
  </si>
  <si>
    <t>The man is escorted out of the arena.</t>
  </si>
  <si>
    <t>The man falling over and being run over is replayed.</t>
  </si>
  <si>
    <t>Two people are shown reacting to the incident.</t>
  </si>
  <si>
    <t>Slow motion video and still images of the man's injury are shown.</t>
  </si>
  <si>
    <t>The video content repeats starting from the two people reacting.</t>
  </si>
  <si>
    <t>v_b82y7f7TFbw</t>
  </si>
  <si>
    <t>A woman talks about playing pool.</t>
  </si>
  <si>
    <t>She explains the right way to stand and how to shoot a ball when playing pool.</t>
  </si>
  <si>
    <t>v_y5wu5pysE14</t>
  </si>
  <si>
    <t>A guy runs and jumps over a pole without touching it and lands on mats,as some people in the back ground watch and others do there practices.</t>
  </si>
  <si>
    <t>the guy seems to be practicing how high he can jump by jumping over the pole many times,each time a person raises the pole higher and higher to see if the guy can jump over it.</t>
  </si>
  <si>
    <t>one jump the guy knocked the pole down when he tried to hump over it.</t>
  </si>
  <si>
    <t>the guy knock the pole down six time out of all his jumps.</t>
  </si>
  <si>
    <t>v_dpU5CcFqAPU</t>
  </si>
  <si>
    <t>Players are pulling the rope in a tug of war match.</t>
  </si>
  <si>
    <t>A man squats on the floor and rises.</t>
  </si>
  <si>
    <t>Guys pulling the left side of the rope falls to the ground.</t>
  </si>
  <si>
    <t>The guys let go of the rope, get off the lawn, and hug in celebration.</t>
  </si>
  <si>
    <t>v_tvzl11XL01k</t>
  </si>
  <si>
    <t>There's a woman dressed in a beige sweater demonstrating how to wrap Christmas gifts.</t>
  </si>
  <si>
    <t>she begins with cutting the gift wrapping paper neatly to fit the size of the box.</t>
  </si>
  <si>
    <t>She folds the paper evenly to cover the entire box.</t>
  </si>
  <si>
    <t>Then she uses scotch tape to seal the ends securely.</t>
  </si>
  <si>
    <t>She takes some decorative ribbon and other decorative items to top the box to add a special touch to the presents.</t>
  </si>
  <si>
    <t>v_MO8Dfz2Lp3w</t>
  </si>
  <si>
    <t>A group of young men play volleyball on a sandy beach in front of the ocean.</t>
  </si>
  <si>
    <t>A group of men in swim trunks and bikini briefs play volleyball in the sand at the beach in front of a tall green volley ball net.</t>
  </si>
  <si>
    <t>The men are competitive as they play using feet and head and chest to move the ball around.</t>
  </si>
  <si>
    <t>One man is lying on the sand and then gets up to play more volleyball.</t>
  </si>
  <si>
    <t>v_lO2Y1vkpyNc</t>
  </si>
  <si>
    <t>A man is seen hosting a news segment that leads into a player standing on a field.</t>
  </si>
  <si>
    <t>A person hits a ball and teammates cheer followed by more people playing the game.</t>
  </si>
  <si>
    <t>The sport continues on with people throwing balls an hitting them as well as teammates cheering and the host finishes speaking.</t>
  </si>
  <si>
    <t>v_iVGGeRlJekQ</t>
  </si>
  <si>
    <t>a stands woman by a ball and sets it in place.</t>
  </si>
  <si>
    <t>Another woman appears and they wrap the ball in wrapping paper.</t>
  </si>
  <si>
    <t>They finish wrapping and taping the ball.</t>
  </si>
  <si>
    <t>they take the camera and start to talk into it.</t>
  </si>
  <si>
    <t>v_ClE77VhGQsk</t>
  </si>
  <si>
    <t>A woman is seen speaking to the camera while people use exercise equipment around her.</t>
  </si>
  <si>
    <t>More shots are shown of people using the machine as well as people speaking to the camera and close ups of the machine.</t>
  </si>
  <si>
    <t>v_AJtJcV2_l1Q</t>
  </si>
  <si>
    <t>A construction man introduces the video and talks about placing shingles on a roof.</t>
  </si>
  <si>
    <t>He places some shingles down and nails them in.</t>
  </si>
  <si>
    <t>He nails in a metal piece that runs along the corner of the roof and building to help keep things in place.</t>
  </si>
  <si>
    <t>He repeats this process before closing the video.</t>
  </si>
  <si>
    <t>v_JAO5R6VA8r4</t>
  </si>
  <si>
    <t>A shot of a room is shown when a man walks into frame.</t>
  </si>
  <si>
    <t>The man then begins jump roping over and over again.</t>
  </si>
  <si>
    <t>He continues to jump rope and ends by walking out of frame.</t>
  </si>
  <si>
    <t>v_J8VMY1SPJaY</t>
  </si>
  <si>
    <t>A woman is seen speaking to the camera that leads into clips of people riding in kayaks and camels wandering around.</t>
  </si>
  <si>
    <t>More clips are shown of people riding around the water in a kayak.</t>
  </si>
  <si>
    <t>The person paddles themselves along the water with other people riding near him.</t>
  </si>
  <si>
    <t>v_35Xzs3Bz1hQ</t>
  </si>
  <si>
    <t>A working man carried a tray of coffee to a table with guest.</t>
  </si>
  <si>
    <t>Another man is talking to some reporters with the microphone.</t>
  </si>
  <si>
    <t>Another entrepreneur talks with the the reporters about the coffee business.</t>
  </si>
  <si>
    <t>Then they are in the coffee shop them making coffee and working around.</t>
  </si>
  <si>
    <t>v_ojQdrhHT_gE</t>
  </si>
  <si>
    <t>People are driving in bumper cars and bump into one another and are forced to stop.</t>
  </si>
  <si>
    <t>The three bumper cars break away and begin to drive in different directions as they continue to bump into one another.</t>
  </si>
  <si>
    <t>Two girls in a bumper car bump into a wall and briefliy have a hard time getting back to moving.</t>
  </si>
  <si>
    <t>People are constantly driving their bumper cars and bumping into things until the ride is over.</t>
  </si>
  <si>
    <t>v_kC8DS6b76yI</t>
  </si>
  <si>
    <t>There's a man wearing a black shirt and a green bandana demonstrating how to spray paint a microfiber sofa.</t>
  </si>
  <si>
    <t>He is using a red can of spray paint to demonstrate how to paints a cream colored sofa with red paint.</t>
  </si>
  <si>
    <t>He continues to spray paint the back and the arm rests of the sofa.</t>
  </si>
  <si>
    <t>He then places one unpainted of the seat cushions back on the sofa.</t>
  </si>
  <si>
    <t>v_coK0QVLhuj0</t>
  </si>
  <si>
    <t>Several shots of people grooming dogs are shown as well as a woman speaking to the camera in several settings.</t>
  </si>
  <si>
    <t>Dogs are seen being scrubbed, nails clipped, and brushed down with combs by several people and another woman showing off the collars they have in store.</t>
  </si>
  <si>
    <t>More shots of the store are shown as well as many dogs being groomed.</t>
  </si>
  <si>
    <t>v_5VHqMj5iikc</t>
  </si>
  <si>
    <t>A bike is pulled up to a stop in a park.</t>
  </si>
  <si>
    <t>A rider takes off from a gate on the dirt bike.</t>
  </si>
  <si>
    <t>He takes the turns and curves sharply, going over hills.</t>
  </si>
  <si>
    <t>v_eu3CLlQ9c2s</t>
  </si>
  <si>
    <t>A man replaces a tire on his bike rim using tools.</t>
  </si>
  <si>
    <t>The man reattaches the bicycle wheel to the frame of the bike.</t>
  </si>
  <si>
    <t>The sun goes down as the day gets later.</t>
  </si>
  <si>
    <t>The man stands up his bike and gets ready to depart.</t>
  </si>
  <si>
    <t>v_uZpVDAd7da8</t>
  </si>
  <si>
    <t>person with scissors kneels in the grass.</t>
  </si>
  <si>
    <t>We see the shadow of the cameraman over the person.</t>
  </si>
  <si>
    <t>The person is cutting grass with child proof scissors.</t>
  </si>
  <si>
    <t>v_hyv8OkQcgEA</t>
  </si>
  <si>
    <t>Men blows dead leaves pushing a leaf blower machine on the ground or holding a machine on the back.</t>
  </si>
  <si>
    <t>Then, a man explains how to operate a leaf blow machine while men continue blowing the leaves.</t>
  </si>
  <si>
    <t>Another man explains while other men vacuum and blows leaves.</t>
  </si>
  <si>
    <t>v_U2u9JboK97A</t>
  </si>
  <si>
    <t>We see an image and a title card.</t>
  </si>
  <si>
    <t>We see a man playing basketball.</t>
  </si>
  <si>
    <t>The shot he made is seen in reverse.</t>
  </si>
  <si>
    <t>We see a gym with teenagers shooting basketball.</t>
  </si>
  <si>
    <t>We see a title card on black.</t>
  </si>
  <si>
    <t>A man is shooting basketball in a gym.</t>
  </si>
  <si>
    <t>We see a man dunk the ball twice.</t>
  </si>
  <si>
    <t>We see the ending title card on black.</t>
  </si>
  <si>
    <t>v_9YxgMsdO9GE</t>
  </si>
  <si>
    <t>Two people are seen riding down a road with a dog.</t>
  </si>
  <si>
    <t>One person is riding a bike and the other a skateboard while the camera follows close behind.</t>
  </si>
  <si>
    <t>Several other dogs run by and the people continue riding down the road path.</t>
  </si>
  <si>
    <t>v_tTIsHfF0UgA</t>
  </si>
  <si>
    <t>man is holding a pole with an ice cream and giving it to a little child.</t>
  </si>
  <si>
    <t>people are standing and walking behind the boy in a amusement park.</t>
  </si>
  <si>
    <t>v_O9crPOB_9tE</t>
  </si>
  <si>
    <t>A man is surfing in rough ocean water, riding on and against, massive high waves while onlookers on motorboats watch and commentate.</t>
  </si>
  <si>
    <t>The man, in a wetsuit, is standing and riding on a yellow surfboard and a red surfboard first on a calm wave and then on a series of large and high waves.</t>
  </si>
  <si>
    <t>The man rides the rough waves on the surfboard with the waves at time covering his entire body and surfboard.</t>
  </si>
  <si>
    <t>The man hugs and shakes hands with people upon completing the rough surf episode and rides one last lone, high wave before fading to black.</t>
  </si>
  <si>
    <t>v_GZsplhHXQy0</t>
  </si>
  <si>
    <t>A man performs a kettle throw in front of an outdoor stadium filled with spectators in the audience.</t>
  </si>
  <si>
    <t>A man on a round dirt area on a field swings a ball around and around while standing in place.</t>
  </si>
  <si>
    <t>The man lets the ball go, where it flies in the air ahead of him.</t>
  </si>
  <si>
    <t>The man stops and bends with his knees as he watches the ball fly in the air.</t>
  </si>
  <si>
    <t>v_PG3f3Wkkptk</t>
  </si>
  <si>
    <t>A man guides a camel with kids riding on the back along a beach shoreline.</t>
  </si>
  <si>
    <t>Beach goers stand and walk along the shoreline in bathing suits.</t>
  </si>
  <si>
    <t>v_lAa8tS962Qg</t>
  </si>
  <si>
    <t>A teen explains how to flip and turn a surfboard with the feet.</t>
  </si>
  <si>
    <t>Then, the teen shows how to rise the tips of the surfboard.</t>
  </si>
  <si>
    <t>Then, the teen stands on the surfboard and demonstrates how to turn it to the side.</t>
  </si>
  <si>
    <t>After, the teen puts his hand in shoes on the surfboard and demonstrates a turn.</t>
  </si>
  <si>
    <t>Next, the teen make the turn with his feet.</t>
  </si>
  <si>
    <t>v_Quj1J31xQFM</t>
  </si>
  <si>
    <t>People are rowing down a body of water.</t>
  </si>
  <si>
    <t>A guy rinses his face with water from the body of water.</t>
  </si>
  <si>
    <t>The guy runs his water fingers through this hair.</t>
  </si>
  <si>
    <t>A man with a mustache leans over, wets his hand, and whips his face.</t>
  </si>
  <si>
    <t>v_EJr0qHpy77g</t>
  </si>
  <si>
    <t>A guy stands in a court holding a colorful stick and touches a pinata.</t>
  </si>
  <si>
    <t>A guy swings a stick at a pinata.</t>
  </si>
  <si>
    <t>The guy stops and puts the stick besides him.</t>
  </si>
  <si>
    <t>v_gXVjjjvjVf4</t>
  </si>
  <si>
    <t>A man is seated in front of a small canvas.</t>
  </si>
  <si>
    <t>He uses a long pointed brush to create an image.</t>
  </si>
  <si>
    <t>He then fills the image with paints.</t>
  </si>
  <si>
    <t>v_8v4NoUJMssI</t>
  </si>
  <si>
    <t>A man pours coffee into a mug.</t>
  </si>
  <si>
    <t>The man grabs open a beer bottle with the use of a jug.</t>
  </si>
  <si>
    <t>The man pours the beer into the mug.</t>
  </si>
  <si>
    <t>The man drinks the drink.</t>
  </si>
  <si>
    <t>v_rWoSJ9YBy5E</t>
  </si>
  <si>
    <t>We see a man talking to a camera then hold a curling stone then people laughing at the man.</t>
  </si>
  <si>
    <t>The man throws the curling stone as people sweep brooms in front of the stone.</t>
  </si>
  <si>
    <t>Three ladies throw the stone and slides down the track.</t>
  </si>
  <si>
    <t>We see people partying an lights flashing.</t>
  </si>
  <si>
    <t>Images flash of people curing again, and a group of people jump in the air.</t>
  </si>
  <si>
    <t>We see a title screen for curling.</t>
  </si>
  <si>
    <t>v_DuLweixeP8I</t>
  </si>
  <si>
    <t>Two people are sword fighting on a stage for an audience.</t>
  </si>
  <si>
    <t>A guy gestures the the result of each match.</t>
  </si>
  <si>
    <t>The audience members look on.</t>
  </si>
  <si>
    <t>v_HtuDZLsOK6M</t>
  </si>
  <si>
    <t>Various shots of scenery are shown and leads to a person scratching a dog and pulling a rope.</t>
  </si>
  <si>
    <t>More shots of people riding a boat are shown, seagulls flying, and people playing music.</t>
  </si>
  <si>
    <t>Next a person is seen drawing on a map and ends with an anchor and pictures of people.</t>
  </si>
  <si>
    <t>v_Kz6I9Zx5E_0</t>
  </si>
  <si>
    <t>A team of young cheerleaders are in a gym doing toss ups and flips.</t>
  </si>
  <si>
    <t>The owner then comes along and begins to talk as the video goes over the materials each person will need.</t>
  </si>
  <si>
    <t>After,three girls are shown standing in a straddle position and begins to clap and lunge with their right hand to the side and go down.</t>
  </si>
  <si>
    <t>The girls continue to do the cheer and when they are done, the owner joins in.</t>
  </si>
  <si>
    <t>Once the coach disappears,the girls continue the cheer and the video ends.</t>
  </si>
  <si>
    <t>v_SzLlB2SgtQo</t>
  </si>
  <si>
    <t>The video leads into several shots of different people riding around windsurfing while passing one another.</t>
  </si>
  <si>
    <t>A man is seen talking to the camera and leads into a shot of a person wind surfing and waving to the camera.</t>
  </si>
  <si>
    <t>More people are shown surfing and waving to the camera while moving around the ocean continuously.</t>
  </si>
  <si>
    <t>v_LHiui4s2X1s</t>
  </si>
  <si>
    <t>Two people are seen standing in front of a large crowd with one cheering and shoving his arms back and fourth.</t>
  </si>
  <si>
    <t>The men throw the ball back and fourth and switch places with another, ending with the same man cheering and hugging another.</t>
  </si>
  <si>
    <t>v_AjSFqqfzml0</t>
  </si>
  <si>
    <t>We see a play button on a screen.</t>
  </si>
  <si>
    <t>We sees a lady shave her legs with a pink razor.</t>
  </si>
  <si>
    <t>We then see the ending screen play button.</t>
  </si>
  <si>
    <t>v_N7z9_g196z0</t>
  </si>
  <si>
    <t>Titles in bold lettering are seen on the page against still images and a dark background.</t>
  </si>
  <si>
    <t>Men play a game of croquet in a grassy yard.</t>
  </si>
  <si>
    <t>Men kneels down and hits the croquet ball like a billiard shot.</t>
  </si>
  <si>
    <t>The man runs holding up his stick celebrating.</t>
  </si>
  <si>
    <t>A man skips on the grass holding his stick smiling.</t>
  </si>
  <si>
    <t>v_YLT7YEwUCwI</t>
  </si>
  <si>
    <t>A man is seen speaking to the camera and leads into him sitting still in a pool.</t>
  </si>
  <si>
    <t>The man then begins swimming around the pool back and fourth with others.</t>
  </si>
  <si>
    <t>Several shots are shown of him swimming around people as well as moving in the water.</t>
  </si>
  <si>
    <t>v_UyThFVEvNsI</t>
  </si>
  <si>
    <t>Two women are playing badminton on a stage.</t>
  </si>
  <si>
    <t>People are playing the game of the price is right.</t>
  </si>
  <si>
    <t>A woman wins and walks on the stage to give the host a hug.</t>
  </si>
  <si>
    <t>v_jDlF26-Uu2I</t>
  </si>
  <si>
    <t>Two girls are standing on a grass field.</t>
  </si>
  <si>
    <t>One of the girls starts doing cheerleading moves.</t>
  </si>
  <si>
    <t>The other girl stands next to her talking.</t>
  </si>
  <si>
    <t>v__I1DKeGg_w8</t>
  </si>
  <si>
    <t>A man is practicing throwing darts at his dart board.</t>
  </si>
  <si>
    <t>He throws them all and then he has to get over to get them all off.</t>
  </si>
  <si>
    <t>Once he has them all off he starts to throw them again.</t>
  </si>
  <si>
    <t>He repeats this cycle a few times over and over again.</t>
  </si>
  <si>
    <t>v_H5TETCI731k</t>
  </si>
  <si>
    <t>A man talks indoors, then a lady talks in a field while girls runs on her side.</t>
  </si>
  <si>
    <t>The lady talks with girls who plays a game hitting a ball with a stick.</t>
  </si>
  <si>
    <t>Girls take turns to talk, while other players practice shooting balls to the goal and display the city of Baltimore, the players of the Ravens and the roads of the city.</t>
  </si>
  <si>
    <t>v_r1ZhBGLfRWY</t>
  </si>
  <si>
    <t>A boy is twirled around and prepared to break a pinata.</t>
  </si>
  <si>
    <t>Instead he hits a girl in the face.</t>
  </si>
  <si>
    <t>v_kAmDOTsp5cs</t>
  </si>
  <si>
    <t>A man skip rope in a drive way, then the man jumps and skip rope.</t>
  </si>
  <si>
    <t>After, the man holds the rope on his left hand and skip while turning the rope.</t>
  </si>
  <si>
    <t>Next, the man alternate skipping rope and flip the rope side to side on front.</t>
  </si>
  <si>
    <t>Also, the man jump rope criss cross and jumps rope double.</t>
  </si>
  <si>
    <t>Then the man jumps rope doing squatting jumps and jump lunges.</t>
  </si>
  <si>
    <t>v_Tu1oKxyfHTs</t>
  </si>
  <si>
    <t>A male is wearing black and white swimming shorts, standing at the edge of a diving board, bounces a few times and then jumps out of view and into the water.</t>
  </si>
  <si>
    <t>An older shirtless man wearing black shorts begins to walk on the same board of the male who previously jumped but then stops.</t>
  </si>
  <si>
    <t>On a shorter board a male wearing blue swim underwear walks to the edge of the board jumps a few times, stops, turns around and walks back.</t>
  </si>
  <si>
    <t>The male walks to the edge of the board again, jumps a few times, then once again turns around and walks back.</t>
  </si>
  <si>
    <t>The male tries one more time and walks to the edge of the diving board and finally jumps and does a few flips before landing in the water and then swims to the edge of the pool.</t>
  </si>
  <si>
    <t>v_K-t4tUTq_Ik</t>
  </si>
  <si>
    <t>People are standing on a tennis court.</t>
  </si>
  <si>
    <t>They are playing a game of tennis.</t>
  </si>
  <si>
    <t>A man in a white shirt hits the tennis ball.</t>
  </si>
  <si>
    <t>v_vpu4Bwq-xHI</t>
  </si>
  <si>
    <t>There are lots of adults in the room (elderly or young) and they're all watching this girl play the clarinet.</t>
  </si>
  <si>
    <t>First the girl walks to the front of the classroom as she holds her clarinet and the man who plays the piano gets up from his seat to play the piano.</t>
  </si>
  <si>
    <t>Then he starts playing the piano and she plays the clarinet along with the piano, when she's done everyone claps for her.</t>
  </si>
  <si>
    <t>v_uqzy1FAUpPM</t>
  </si>
  <si>
    <t>A man gets ready to to preform an event.</t>
  </si>
  <si>
    <t>He begins to start running fast.</t>
  </si>
  <si>
    <t>He is running down the lane and the he jumps 3 times into the sand.</t>
  </si>
  <si>
    <t>He runs out of the pit happily.</t>
  </si>
  <si>
    <t>He continues to walk around cheering as it cuts to the crowd and announcers.</t>
  </si>
  <si>
    <t>He blows a kiss to the crowd.</t>
  </si>
  <si>
    <t>He goes and starts hugging fans.</t>
  </si>
  <si>
    <t>v_Nc71GzZhAHE</t>
  </si>
  <si>
    <t>cars are driving in a snowy highway.</t>
  </si>
  <si>
    <t>a sign to a sugar mountain is shown and peolpe practicing snowboard.</t>
  </si>
  <si>
    <t>people is snowboarding down a snowy hill.</t>
  </si>
  <si>
    <t>snowy cars are riding in snowy hill.</t>
  </si>
  <si>
    <t>men are snowboarding in a hill.</t>
  </si>
  <si>
    <t>v_FEGf7ejk8Fc</t>
  </si>
  <si>
    <t>A young child is seen sitting in a chair in front of a table with a large body.</t>
  </si>
  <si>
    <t>The hands are then seen writing a note and rubbing against the face while the child laughs and the hands continue moving.</t>
  </si>
  <si>
    <t>v_qbUQVhjQJ48</t>
  </si>
  <si>
    <t>A man pushes a disc in front of a hopscotch game.</t>
  </si>
  <si>
    <t>Another person pushes a disc towards the hopscotch.</t>
  </si>
  <si>
    <t>The first man makes a funny face.</t>
  </si>
  <si>
    <t>v_XzNMQl0EdEo</t>
  </si>
  <si>
    <t>A lone man in a room with a green screen backdrop performs a break dancing move on a patch of hardwood floors, using his back to spin.</t>
  </si>
  <si>
    <t>The man stops dancing and stands in front of the camera talking to it before demonstrating basic break dance moves including using the hands and knees to perform spins from the floor.</t>
  </si>
  <si>
    <t>The man continues to demonstrate break dance moves and talk to the camera until he gives a peace sign to the camera and the screen fades to a marketing graphic.</t>
  </si>
  <si>
    <t>v_M6i-5nzy5Bk</t>
  </si>
  <si>
    <t>Clips of women and men are pole vaulting indoors while a lot of people are moving about around them or just watching, and a banner at the bottom reads that it's at "Texas Elite Pole Vaulting Competition Bell County Expo Center on 12 28 13".</t>
  </si>
  <si>
    <t>As various clips of different people are pole vaulting, a man and woman are standing indoors next to one another and talking to the camera with the words at the bottom of the screen say their names are Kaitlin Petrillose &amp; Jack Chapman Competitor &amp; Chairman".</t>
  </si>
  <si>
    <t>The view blurs and white words on the screen appear in the middle and say "Killeen Daily Herald By Marianne Gish".</t>
  </si>
  <si>
    <t>v_Yd0q08-cpJU</t>
  </si>
  <si>
    <t>A curtain is seen, and a belly dancer walks onto the stage.</t>
  </si>
  <si>
    <t>She performs for the audience, shaking her hips and sucking her belly in and out.</t>
  </si>
  <si>
    <t>When she finishes, she throws her arms into the air and the screen goes black.</t>
  </si>
  <si>
    <t>v_lUrHCNqVl-A</t>
  </si>
  <si>
    <t>An athletic man is seen standing in a circle followed by spinning around and throwing an object off into the distance.</t>
  </si>
  <si>
    <t>More people are seen stepping up throwing the object while the camera watches.</t>
  </si>
  <si>
    <t>Several people watch on the sidelines.</t>
  </si>
  <si>
    <t>v_9peoWGfb9jc</t>
  </si>
  <si>
    <t>A man is seen putting tape on a set of skis on each end and begins rubbing wax on the ski.</t>
  </si>
  <si>
    <t>The man then takes a sander and runs it all along the length of the ski.</t>
  </si>
  <si>
    <t>The man then takes a board and rubs it along the ski and ends by taking it off.</t>
  </si>
  <si>
    <t>v_a7DEFV0_nCE</t>
  </si>
  <si>
    <t>A large beach is shown as well as people standing around on the beach and looking at the sky.</t>
  </si>
  <si>
    <t>People are seen flying kites up in the air while people look around and watch.</t>
  </si>
  <si>
    <t>More people are seen flying kites up in the air with some grabbing them off the ground.</t>
  </si>
  <si>
    <t>v_QHF28_yGOV8</t>
  </si>
  <si>
    <t>A man in a black wet suit and carrying a surfboard is talking to the camera man, about to get in the water.</t>
  </si>
  <si>
    <t>Dramatic music plays while showing various clips of surfers in the water, riding waves.</t>
  </si>
  <si>
    <t>The video ends as the man in the black wet suit comes on shore after riding a wave and smiling.</t>
  </si>
  <si>
    <t>v_-YMpwZkNc2A</t>
  </si>
  <si>
    <t>A man walks into frame and speaks to the camera while holding a razor and razor heads in his hands.</t>
  </si>
  <si>
    <t>A scene appears over the man's video and he is seen rubbing cream on his face and shaving off the hair.</t>
  </si>
  <si>
    <t>He leaves a bit of hair on his chin and is seen again speaking to the camera and walks away.</t>
  </si>
  <si>
    <t>v_x7lP6GKepco</t>
  </si>
  <si>
    <t>Various people are shown in a workshop working while pushing objects, driving machinery, working machinery and etcetera.</t>
  </si>
  <si>
    <t>A woman is shown putting a long metal piece into a large machinery and the words "TODAY'S TOPIC: WELDING" appears on the screen followed by a person wearing a mask and welding with a torch.</t>
  </si>
  <si>
    <t>A woman is now standing at a machine and she is grabbing various metal objects and putting them into a machine that welds them together.</t>
  </si>
  <si>
    <t>The outro appears and it's a white screen with a red and blue logo, website and hashtag information.</t>
  </si>
  <si>
    <t>v_bwcgMTHFRV8</t>
  </si>
  <si>
    <t>A large band is walking down a parade and there a lot of people walking alongside, and standing on the sidelines watching or taking photos and videos.</t>
  </si>
  <si>
    <t>The view changes to women carrying and swinging flags on a pole and then switches back to the large band that comes to a stop and continues to play for the crowd.</t>
  </si>
  <si>
    <t>The band resumes walking and so does the crowd around and behind them.</t>
  </si>
  <si>
    <t>v_G-xh30e4s8E</t>
  </si>
  <si>
    <t>A man sits in a room in front of a flag.</t>
  </si>
  <si>
    <t>He is playing a black wind instrument.</t>
  </si>
  <si>
    <t>His fingers position over the holes.</t>
  </si>
  <si>
    <t>He is wearing sunglasses as he plays.</t>
  </si>
  <si>
    <t>v_Jy9kiITFsjI</t>
  </si>
  <si>
    <t>People are in the stands of an arena.</t>
  </si>
  <si>
    <t>A bull gets drug out of the arena by horses.</t>
  </si>
  <si>
    <t>A woman is talking to the camera.</t>
  </si>
  <si>
    <t>v_CDWHstJThJA</t>
  </si>
  <si>
    <t>A group of young Asian men are indoors with a lot of spectators in the stands holding signs and cheering them on.</t>
  </si>
  <si>
    <t>Two young Asian men stand up with their bow and arrows and they each take turns at shooting at their bulls eye target while the crowd cheers them on after each shot is made, and occasionally 3 suited people are shown making commentaries.</t>
  </si>
  <si>
    <t>When the men are done shooting at the target,one of them raise their arm in victory, they shake each others hands,hug, take a bow and wave to the cheering crowd.</t>
  </si>
  <si>
    <t>v_zm8gZpwZkRE</t>
  </si>
  <si>
    <t>A woman is in a room with chairs.</t>
  </si>
  <si>
    <t>She is playing the violin.</t>
  </si>
  <si>
    <t>Two men are playing drums with her.</t>
  </si>
  <si>
    <t>The camera pans between them.</t>
  </si>
  <si>
    <t>v_dVLIfsEMD8Y</t>
  </si>
  <si>
    <t>A man is throwing darts on to a dart board.</t>
  </si>
  <si>
    <t>He throws one and makes it to the center of the board.</t>
  </si>
  <si>
    <t>He throws again and also makes it to the center.</t>
  </si>
  <si>
    <t>Every single shot makes it right in the center of the board.</t>
  </si>
  <si>
    <t>v_-cwPzzcNpGs</t>
  </si>
  <si>
    <t>Two men sit together at a booth and compete in an arm wrestling match.</t>
  </si>
  <si>
    <t>The friends gathered around watching make challenges with the arm wrestlers after the match.</t>
  </si>
  <si>
    <t>The men shake hands and talk after the match.</t>
  </si>
  <si>
    <t>v_I5N4rwhRa0o</t>
  </si>
  <si>
    <t>The title and logo appear on the screen.</t>
  </si>
  <si>
    <t>A man holding a saxophone plays and talks to the camera in between.</t>
  </si>
  <si>
    <t>A man holds the saxophone up to show the bottom.</t>
  </si>
  <si>
    <t>The man takes the mouthpiece off his saxophone, and replaces it.</t>
  </si>
  <si>
    <t>We see a closeup of the man playing the saxophone, it zooms out and in on him again.</t>
  </si>
  <si>
    <t>We see a closeup of the opening of the horn.</t>
  </si>
  <si>
    <t>The screen goes black and we see the end screen.</t>
  </si>
  <si>
    <t>v_uYLYJABDubw</t>
  </si>
  <si>
    <t>We see two ladies arm wrestling.</t>
  </si>
  <si>
    <t>The right lady looks at the camera.</t>
  </si>
  <si>
    <t>The right lady wins the match.</t>
  </si>
  <si>
    <t>The left lady drops her head to the table.</t>
  </si>
  <si>
    <t>The right lady throws her arms in the air and talks to the camera.</t>
  </si>
  <si>
    <t>v_wqM6TdjBCfs</t>
  </si>
  <si>
    <t>A man chops wood with an ax on the snow.</t>
  </si>
  <si>
    <t>A person stands behind the man.</t>
  </si>
  <si>
    <t>A person handles the spliced firewood to a man.</t>
  </si>
  <si>
    <t>The man continues chopping firewood with the ax.</t>
  </si>
  <si>
    <t>The ax gets stack in a piece of wood, but the man get it off and continues cutting the firewood.</t>
  </si>
  <si>
    <t>v_ZksAXEVmFrg</t>
  </si>
  <si>
    <t>An elderly white woman with short blonde hair and glasses begins talking in the corner of the gymnasium.</t>
  </si>
  <si>
    <t>The small girls then enter the gym and a male coach begins assisting them as they walk across the balance beam.</t>
  </si>
  <si>
    <t>v_fm4ZaId1sL0</t>
  </si>
  <si>
    <t>An Asian woman wearing a blue shirt and begins talking and throwing her hands up at the camera.</t>
  </si>
  <si>
    <t>She then grabs an iron and continues to iron a yellow piece of cloth on the ironing board.</t>
  </si>
  <si>
    <t>Once the front is finished,she grabs it and flips it over so she can complete the ironing.</t>
  </si>
  <si>
    <t>v_qPZwXF1Xcpw</t>
  </si>
  <si>
    <t>The camera pans over a grass field surrounded by a track, with people doing indistinct things in the background.</t>
  </si>
  <si>
    <t>A man is shown engaging in shot put.</t>
  </si>
  <si>
    <t>Judges measure the man's throw.</t>
  </si>
  <si>
    <t>The audience is shown clapping as the man receives congratulations from people nearby.</t>
  </si>
  <si>
    <t>A replay of the throw is shown.</t>
  </si>
  <si>
    <t>v_4aiE_-yQWZE</t>
  </si>
  <si>
    <t>Several people are dressed in sweatsuits rolling out mats in a large gym.</t>
  </si>
  <si>
    <t>After the mats are rolled out,other individuals begin walking across the floor dressed in fencing uniforms.</t>
  </si>
  <si>
    <t>The athletes then begin walking around and talking to each other as a small mascot walks across the mat.</t>
  </si>
  <si>
    <t>Finally,a match begins and once it is over about five of the individuals pose for a picture.</t>
  </si>
  <si>
    <t>The camera then speeds up and shows several teams and people entering and leaving the gym.</t>
  </si>
  <si>
    <t>Next,fencing matches are shown between about 12 pairs of people and they line up and give each other a high five before huddling up and having a talk with their coach.</t>
  </si>
  <si>
    <t>v_W8eqlIPRWCk</t>
  </si>
  <si>
    <t>A black screen appears with blue letters that say "Jayne Clarke Field Hockey Clips 2009".</t>
  </si>
  <si>
    <t>The clips begin to play and there are a series of small clips put together of the girl playing with a team, practicing alone, and practicing on a course.</t>
  </si>
  <si>
    <t>The video ends with the girl practicing alone on a empty and large blue indoor court.</t>
  </si>
  <si>
    <t>v_6tdIiKzMVcg</t>
  </si>
  <si>
    <t>We see strong men arm wrestling.</t>
  </si>
  <si>
    <t>We see two men hug after the match.</t>
  </si>
  <si>
    <t>A host in a white suit narrates.</t>
  </si>
  <si>
    <t>We see a camera man right behind the table.</t>
  </si>
  <si>
    <t>The final match starts and ends very quickly and the men hug.</t>
  </si>
  <si>
    <t>We see a mirage of images.</t>
  </si>
  <si>
    <t>v_R8RrOgz9hj8</t>
  </si>
  <si>
    <t>A large group of people are seen riding down multiple rafts down a rigorous river while paddling continuously.</t>
  </si>
  <si>
    <t>Several shots are shown of the people riding down while holding their sticks up into the air and ends with people stopping to eat.</t>
  </si>
  <si>
    <t>v_iODCh_DsGak</t>
  </si>
  <si>
    <t>A man in a suit and a woman in a dress are standing in front of an audience.</t>
  </si>
  <si>
    <t>They begin to dance on the floor.</t>
  </si>
  <si>
    <t>They finish dancing and the audience claps.</t>
  </si>
  <si>
    <t>v_WreRcthWXv8</t>
  </si>
  <si>
    <t>A person is holding onto a motorcycle wearing roller blades and being dug along a street.</t>
  </si>
  <si>
    <t>A man is standing by a fountain of water.</t>
  </si>
  <si>
    <t>People are doing roller skating tricks.</t>
  </si>
  <si>
    <t>v_7FtSO6hPcxU</t>
  </si>
  <si>
    <t>A man talks to the camera in a close up view.</t>
  </si>
  <si>
    <t>Scenes of the man's daily activities are shown.</t>
  </si>
  <si>
    <t>Scenes of the man getting serviced at a hair salon is shown, usually with other individuals in the background.</t>
  </si>
  <si>
    <t>Scenes of the man talking to the camera with various others are shown.</t>
  </si>
  <si>
    <t>More scenes from the hair salon are shown.</t>
  </si>
  <si>
    <t>v_47SHPAe0s0k</t>
  </si>
  <si>
    <t>Three men are seen riding on top of horses around one another and leads into a bull running in and chasing a man on a horse.</t>
  </si>
  <si>
    <t>The man rides around the bull and shows several more shots of the riders riding around the bull.</t>
  </si>
  <si>
    <t>At one point more men run into the pit and the bull lays down on it's side while the audience cheers and the man holds his arms up.</t>
  </si>
  <si>
    <t>v_CAa74sedG9A</t>
  </si>
  <si>
    <t>Kids are on a field, kicking a ball back and forth.</t>
  </si>
  <si>
    <t>A girl runs up and kicks at the boy.</t>
  </si>
  <si>
    <t>She runs down the sideline and tries to take the ball while other girls watch from the sidelines.</t>
  </si>
  <si>
    <t>The kids continue playing until the clip ends.</t>
  </si>
  <si>
    <t>v_WlsVDIIo2dk</t>
  </si>
  <si>
    <t>Several couples of men and women are shown performing a tango routine in front of a group of people.</t>
  </si>
  <si>
    <t>Many people watch on the sides and one couple laughs and walk away in the end.</t>
  </si>
  <si>
    <t>v_Ib1xMq2aUl0</t>
  </si>
  <si>
    <t>These 3 men are shown rollerblading outdoors in the middle of the street.</t>
  </si>
  <si>
    <t>They are dancing, going in circles, and spinning around.</t>
  </si>
  <si>
    <t>v__7JooVc_sCQ</t>
  </si>
  <si>
    <t>A group of bike riders are awaiting to start a race, eventually all falling down when the gate open.</t>
  </si>
  <si>
    <t>A close up shot of a bike is done while a man puts his gear on to ride.</t>
  </si>
  <si>
    <t>One rider is shown riding around while another does various tricks.</t>
  </si>
  <si>
    <t>Several different bikers are shown riding up and down tracks and flying through at record speeds.</t>
  </si>
  <si>
    <t>v__vVKdZM5Cy8</t>
  </si>
  <si>
    <t>A man is shown holding a volleyball talking to the camera and leads into showing various jumps.</t>
  </si>
  <si>
    <t>He continues talking to the camera and moving around the gym hitting the ball.</t>
  </si>
  <si>
    <t>v_gsfIHiBB6xE</t>
  </si>
  <si>
    <t>The men on the field grab their tools.</t>
  </si>
  <si>
    <t>We see men in a field cutting tall grass as other watch.</t>
  </si>
  <si>
    <t>The left man uses a sickle and takes the lead over the man with the weed wacker.</t>
  </si>
  <si>
    <t>The man with the sickle finishes.</t>
  </si>
  <si>
    <t>The crowd claps for the man.</t>
  </si>
  <si>
    <t>The shirtless man walks away.</t>
  </si>
  <si>
    <t>The camera pans right to show the other man working on the grass.</t>
  </si>
  <si>
    <t>v_xrbKvttgcMA</t>
  </si>
  <si>
    <t>A boy is standing on a court holding a racquet in his right hand, a ball comes his way and he hits it very hard.</t>
  </si>
  <si>
    <t>The boy walks towards the left and a man is there hitting the ball and he and the boy go back and forth taking turns hitting the ball very hard against the wall in front of them.</t>
  </si>
  <si>
    <t>The ball rolls on the ground, the boy picks it up and hits it to the wall and once more the man hits the ball and the camera points to the ground.</t>
  </si>
  <si>
    <t>v_WC3GCmEqCBc</t>
  </si>
  <si>
    <t>A chef is seen standing behind a counter speaking to the camera.</t>
  </si>
  <si>
    <t>The man is then seen holding up several tools and presenting them to the camera.</t>
  </si>
  <si>
    <t>The man then uses the tool in a bowl of salad and presents it to the camera.</t>
  </si>
  <si>
    <t>v_84g4J1rxkQc</t>
  </si>
  <si>
    <t>A man is in the woods, balancing on a tight rope.</t>
  </si>
  <si>
    <t>He walks back and forth on the rope, then jumps.</t>
  </si>
  <si>
    <t>v_rs7er4e67ec</t>
  </si>
  <si>
    <t>The video begins with details of a field hockey team's victory in the final championship game.</t>
  </si>
  <si>
    <t>The stadium shows the two teams competing in the game hockey.</t>
  </si>
  <si>
    <t>The crowd is loudly cheering as one team becomes victorious.</t>
  </si>
  <si>
    <t>The players jump on each other with joy as they celebrate.</t>
  </si>
  <si>
    <t>There is a stage of singers performing live music as they celebrate the victory of the winning team.</t>
  </si>
  <si>
    <t>v_0FTaJwbFdZI</t>
  </si>
  <si>
    <t>A woman is doing a dance routine on a stage.</t>
  </si>
  <si>
    <t>She twirls and kicks her legs around.</t>
  </si>
  <si>
    <t>She moves all around the stages and bends her body in numerous ways.</t>
  </si>
  <si>
    <t>She continues shaking her body for the audience to see.</t>
  </si>
  <si>
    <t>She shakes her hips back and fourth while moving her arms in various ways.</t>
  </si>
  <si>
    <t>v_mnS-nMZne3I</t>
  </si>
  <si>
    <t>A man walks onto a diving board.</t>
  </si>
  <si>
    <t>He jumps on the diving board several times and jumps into a pool.</t>
  </si>
  <si>
    <t>The man surfaces and stands up in the pool.</t>
  </si>
  <si>
    <t>v_rq-Xyoo5Rs0</t>
  </si>
  <si>
    <t>People are doing flips by running and jumping to the wall.</t>
  </si>
  <si>
    <t>boys do back flips on a blue mat.</t>
  </si>
  <si>
    <t>A kid jumps over several other kids laying on the mat.</t>
  </si>
  <si>
    <t>Two guys body roll with each other on the mat.</t>
  </si>
  <si>
    <t>v_BTtMoBOHrlQ</t>
  </si>
  <si>
    <t>Two men are posing in a photo for martial arts.</t>
  </si>
  <si>
    <t>A group is gathered inside a room, shown in various martial arts poses.</t>
  </si>
  <si>
    <t>They change movements, text on the screen showing what they are doing.</t>
  </si>
  <si>
    <t>It ends with an ad for the school.</t>
  </si>
  <si>
    <t>v_mwndGBRpOPg</t>
  </si>
  <si>
    <t>A person is seen riding a surfboard with a kite on top along the water.</t>
  </si>
  <si>
    <t>The person pushes themselves up into the air and flips back down.</t>
  </si>
  <si>
    <t>He continues riding along the water.</t>
  </si>
  <si>
    <t>v_CrCtYGvG9Uw</t>
  </si>
  <si>
    <t>A man is talking to a camera about his hair.</t>
  </si>
  <si>
    <t>Another man comes in and begins cutting the first boy's fair.</t>
  </si>
  <si>
    <t>He brushes his hair and cuts through it with a fine comb.</t>
  </si>
  <si>
    <t>The stylist performs various styles and techniques on the hair.</t>
  </si>
  <si>
    <t>The stylist puts gel in the hair and the boy is finished with his cut.</t>
  </si>
  <si>
    <t>v_fYuJdh9gqr0</t>
  </si>
  <si>
    <t>A man in a hard hat is looking at a building.</t>
  </si>
  <si>
    <t>A second man walks up and shakes the first mans hand.</t>
  </si>
  <si>
    <t>Both men acknowledge the building and discuss.</t>
  </si>
  <si>
    <t>Three men are spackling the wall as two comparisons are shown.</t>
  </si>
  <si>
    <t>The two men inspect the wall.</t>
  </si>
  <si>
    <t>Another man walks up and is introduced to the other man.</t>
  </si>
  <si>
    <t>The man walks away as the first two continue talking.</t>
  </si>
  <si>
    <t>v_vMdSEzQkRTg</t>
  </si>
  <si>
    <t>A person stands on front a wood fire in the woods.</t>
  </si>
  <si>
    <t>Then, the person light a match and throw it in the wood fire, then a fire lit.</t>
  </si>
  <si>
    <t>v_WsHzMciP5X8</t>
  </si>
  <si>
    <t>A large audience is seen watching a sports game and leads into a coin toss.</t>
  </si>
  <si>
    <t>The audience cheers more and leads into people throwing a ball and others hitting it.</t>
  </si>
  <si>
    <t>More shots of the game being played are shown as well as others watching on the sides.</t>
  </si>
  <si>
    <t>v_QBJelFFVJu0</t>
  </si>
  <si>
    <t>The harmonica is held up and shown.</t>
  </si>
  <si>
    <t>A person holds a harmonica between his hands a plays a song.</t>
  </si>
  <si>
    <t>The person finishes the song and holds up the harmonica.</t>
  </si>
  <si>
    <t>v_XgaEYidtX6E</t>
  </si>
  <si>
    <t>Walking down the street holding onto a skate board the boy puts his board down and begins to skate.</t>
  </si>
  <si>
    <t>Then three friends join him and they skate down the road.</t>
  </si>
  <si>
    <t>While on the board they bend down with their hands behind their backs to build up some more momentum.</t>
  </si>
  <si>
    <t>They ride around all over from one area to another enjoying their free time boarding.</t>
  </si>
  <si>
    <t>v_wqZzLAPmr9k</t>
  </si>
  <si>
    <t>An image is shown of a plate of sardine pasta, along with a list of ingredients.</t>
  </si>
  <si>
    <t>Water is salted and boiled for the pasta, and vegetables are sauteed in olive oil.</t>
  </si>
  <si>
    <t>Sardines are added, then mixed with the spaghetti noodles, creating a finished dish.</t>
  </si>
  <si>
    <t>v_YcxPoVlukf4</t>
  </si>
  <si>
    <t>A hockey player talks in an interview on tv.</t>
  </si>
  <si>
    <t>Several stills of him playing ice hockey are shown as he talks.</t>
  </si>
  <si>
    <t>He continues talking as the pictures flash across the screen.</t>
  </si>
  <si>
    <t>v_Y-1QkIGm81w</t>
  </si>
  <si>
    <t>The man wearing gray sweater is playing guitar.</t>
  </si>
  <si>
    <t>The man looked on the guitar.</t>
  </si>
  <si>
    <t>The man in blue shirt play his guitar, then poke the threads.</t>
  </si>
  <si>
    <t>v_zVMDHCnT-d4</t>
  </si>
  <si>
    <t>Two men are seated in a room in front of a robotic arm.</t>
  </si>
  <si>
    <t>One of the men is using a controller to make the arm pick up a bottle.</t>
  </si>
  <si>
    <t>The arm brings the bottle to the man's face, so he can take a drink.</t>
  </si>
  <si>
    <t>Then the robot returns the bottle to the table.</t>
  </si>
  <si>
    <t>v_cRBnLFujD3g</t>
  </si>
  <si>
    <t>Performers sings and dancers on a concert stage.</t>
  </si>
  <si>
    <t>A performer climbs down the stairs.</t>
  </si>
  <si>
    <t>Several performers pose, gesture, and point towards the audience.</t>
  </si>
  <si>
    <t>A performer break dances on stage.</t>
  </si>
  <si>
    <t>The break dancer lays on the stage floor.</t>
  </si>
  <si>
    <t>A performer raises the standing break dancer's hand in the air.</t>
  </si>
  <si>
    <t>The break dancer gives a performer five.</t>
  </si>
  <si>
    <t>A performer squats and gestures.</t>
  </si>
  <si>
    <t>v_M8aDrPK7D94</t>
  </si>
  <si>
    <t>A man jumps off of a bridge and bungee jumps.</t>
  </si>
  <si>
    <t>It shows him climbing back up onto the ledge.</t>
  </si>
  <si>
    <t>He jumps again off the bridge.</t>
  </si>
  <si>
    <t>v_b-p57jzkrQI</t>
  </si>
  <si>
    <t>A man in a chefs outfit is standing in a kitchen.</t>
  </si>
  <si>
    <t>He flips something that is in a pan.</t>
  </si>
  <si>
    <t>He uses a spoon to stir what is in the pan.</t>
  </si>
  <si>
    <t>v_gCxLSh-cgng</t>
  </si>
  <si>
    <t>An introduction comes onto the screen for a video about playing tennis.</t>
  </si>
  <si>
    <t>And man comes on to talk about the lessons that he will be teaching in the video.</t>
  </si>
  <si>
    <t>He swings the racket several times to demonstrate a good form for swinging the tennis racket.</t>
  </si>
  <si>
    <t>Another man comes onto the screen and performs the several tennis wings while the other man narrates.</t>
  </si>
  <si>
    <t>As the video ends the closing credits are displayed on the screen.</t>
  </si>
  <si>
    <t>v_nuqxJvTbG9w</t>
  </si>
  <si>
    <t>A woman is seen kicking a ball out into a field of people and then running back to the home plate.</t>
  </si>
  <si>
    <t>She then kicks the ball again while others around her run and grab the ball from the field.</t>
  </si>
  <si>
    <t>v_2j-DRUk2yCs</t>
  </si>
  <si>
    <t>A close up is shown of an image on a cell phone.</t>
  </si>
  <si>
    <t>A male gymnast runs, flipping back and forth across a mat.</t>
  </si>
  <si>
    <t>He is then shown flipping far into the air before standing before the cheering crowd.</t>
  </si>
  <si>
    <t>v_tV_1whw_S4g</t>
  </si>
  <si>
    <t>Two people are wrestling in a ring.</t>
  </si>
  <si>
    <t>A referee is standing on the side of the ring watching them.</t>
  </si>
  <si>
    <t>The crowd behind them is cheering.</t>
  </si>
  <si>
    <t>v_BMzspHz04Q8</t>
  </si>
  <si>
    <t>A gymnast in a pink outfit stretches before starting routine.</t>
  </si>
  <si>
    <t>She jumps on the balance beam and balances herself.</t>
  </si>
  <si>
    <t>She begins her balance beam routine.</t>
  </si>
  <si>
    <t>She does several flips and somersaults.</t>
  </si>
  <si>
    <t>She is getting ready to dismount.</t>
  </si>
  <si>
    <t>She flips several times in the air during her dismount and lands perfectly.</t>
  </si>
  <si>
    <t>v_Y1kCMRoDjWk</t>
  </si>
  <si>
    <t>A man stands by a row of hedges.</t>
  </si>
  <si>
    <t>He then begins to trim them with sheers.</t>
  </si>
  <si>
    <t>He trims the top of a bush.</t>
  </si>
  <si>
    <t>Several different groomed bushes are shown.</t>
  </si>
  <si>
    <t>v_8XB_0x_erho</t>
  </si>
  <si>
    <t>A little chinese boy sits in a room on the floor with books and toys around him while he looks into the camera.</t>
  </si>
  <si>
    <t>the little chinese boy then goes outside and start playing in a park,having fun by his self while the camera man record him.</t>
  </si>
  <si>
    <t>the boy little slides down the slide,climb steps while smiling and having fun.</t>
  </si>
  <si>
    <t>v_Ib3XqmBqy10</t>
  </si>
  <si>
    <t>Various shots of people are shown followed by several shots of kids jumping rope.</t>
  </si>
  <si>
    <t>A man then speakers to various kids on a court and shows more shots of the kids jumping rope together.</t>
  </si>
  <si>
    <t>The man then jumps rope while more kids perform tricks with their jump ropes and ends with the man speaking to one more jumper.</t>
  </si>
  <si>
    <t>v_PZjWkB_q2lE</t>
  </si>
  <si>
    <t>Cars are being washed at a car wash.</t>
  </si>
  <si>
    <t>A man in a red shirt talks to a man in a black shirt.</t>
  </si>
  <si>
    <t>The car is going through an automatic car wash.</t>
  </si>
  <si>
    <t>Someone is now scrubbing a car to wash it.</t>
  </si>
  <si>
    <t>They walk into a garage and inspect the cars.</t>
  </si>
  <si>
    <t>v_yNwdhK5UKec</t>
  </si>
  <si>
    <t>Four men in the studio are playing different instrument.</t>
  </si>
  <si>
    <t>The man with big guitar is singing while playing his guitar.</t>
  </si>
  <si>
    <t>The man playing harmonica stopped playing and looked at the man singing, then he continue to play his harmonica.</t>
  </si>
  <si>
    <t>Two men behind the four men are playing instruments.</t>
  </si>
  <si>
    <t>The man with guitar pull out a white cloth and wave it.</t>
  </si>
  <si>
    <t>v_WUTHTWQb-5g</t>
  </si>
  <si>
    <t>A young girl is standing in a room with a grey sweater,black tights,and pink shoes.</t>
  </si>
  <si>
    <t>In her hand she has a croquet stick and is fiddling with the small ball.</t>
  </si>
  <si>
    <t>She does it for quite some times keeping it still until eventually walking with the ball and ending the video.</t>
  </si>
  <si>
    <t>v_nFfMY4CQq50</t>
  </si>
  <si>
    <t>A guy standing in a bathroom speaks and gestures.</t>
  </si>
  <si>
    <t>A person shaving his chin is shown.</t>
  </si>
  <si>
    <t>A guy puts cream from a blue tube in his palm and applies it to his chin.</t>
  </si>
  <si>
    <t>A guy puts gel from a blue tube in his palm and applies it to his chin.</t>
  </si>
  <si>
    <t>A guy washes his face.</t>
  </si>
  <si>
    <t>v_Eh0OoXQDLVc</t>
  </si>
  <si>
    <t>A woman talks to the camera while young girls stand behind her.</t>
  </si>
  <si>
    <t>The woman continues to talk to the camera while demonstrating individual dance movements, as the young girls follow along.</t>
  </si>
  <si>
    <t>The woman leads the girls in practicing the entire sequence.</t>
  </si>
  <si>
    <t>The girls perform the sequence on their own.</t>
  </si>
  <si>
    <t>v_jsu65VwKf74</t>
  </si>
  <si>
    <t>A player of a read team performs a free shot on front a soccer goal, and the players scores.</t>
  </si>
  <si>
    <t>Again a player wearing red t-shirt scores, and the players jumps and hug to celebrate.</t>
  </si>
  <si>
    <t>Then, a player with white t-shirt scores, and the teams continue playing.</t>
  </si>
  <si>
    <t>The red team scores again, and people celebrate.</t>
  </si>
  <si>
    <t>v_7LmSZAoD6-c</t>
  </si>
  <si>
    <t>woman is running to make a high jump and start walking and the woman makes the same high jump 3 times.</t>
  </si>
  <si>
    <t>woman loose the hair sits on the floor and untie the shoes.</t>
  </si>
  <si>
    <t>v_n913aoCh1IQ</t>
  </si>
  <si>
    <t>People stand on a slack rope and cross it on a beach.</t>
  </si>
  <si>
    <t>A man falls off into the dirt.</t>
  </si>
  <si>
    <t>A man takes his shirt off and throws it on the sand.</t>
  </si>
  <si>
    <t>A man continues doing tricks on the slack rope.</t>
  </si>
  <si>
    <t>v_xhyCKLKaG0c</t>
  </si>
  <si>
    <t>Dragon ball z characters are yelling at one another standing in front of each other.</t>
  </si>
  <si>
    <t>They start to play paper scissors rock to see who will win.</t>
  </si>
  <si>
    <t>They have watchers standing by very stressed about how it will end up.</t>
  </si>
  <si>
    <t>They just keep playing and one of the other characters starts to get really angry.</t>
  </si>
  <si>
    <t>v_xbWAmySRE88</t>
  </si>
  <si>
    <t>Two women are standing behind a young woman who is sitting in a chair getting her hair done.</t>
  </si>
  <si>
    <t>The video begins with a title page showing that a video of a versatile sew-in is about to be done.</t>
  </si>
  <si>
    <t>First image,the braid pattern is shown on the individuals head as some of her hair is left out around the perimeter of her head.</t>
  </si>
  <si>
    <t>A lady then grabs weave, a needle and begins to sew in the hair.</t>
  </si>
  <si>
    <t>Once she shows how the sew-in is secured,the finished product is shown and the girl now has long curly hair.</t>
  </si>
  <si>
    <t>v_CEQqdt0vV0o</t>
  </si>
  <si>
    <t>A man is standing and talking inside a gym to the camera.</t>
  </si>
  <si>
    <t>He stands on the open surface, dancing back and forth.</t>
  </si>
  <si>
    <t>He demonstrates several moves as he goes.</t>
  </si>
  <si>
    <t>v_bay60VGnTls</t>
  </si>
  <si>
    <t>A woman in a tan suit is talking.</t>
  </si>
  <si>
    <t>A man in a green shirt is playing tennis while sitting on the ground.</t>
  </si>
  <si>
    <t>People walk along a sidewalk.</t>
  </si>
  <si>
    <t>The man in the green shirt is talking into a microphone.</t>
  </si>
  <si>
    <t>A man in a purple shirt then talks into the microphone.</t>
  </si>
  <si>
    <t>The man in green shirt continues to play tennis.</t>
  </si>
  <si>
    <t>v_6ciZ58xAV9I</t>
  </si>
  <si>
    <t>A gymnast wearing a red and white uniform prepares to mount a pommel horse for his exercise.</t>
  </si>
  <si>
    <t>The gymnast jumps onto the pommel horse and starts with scissor moves.</t>
  </si>
  <si>
    <t>The gymnast moves into a spinning exercise while on the pommel horse.</t>
  </si>
  <si>
    <t>The gymnast moves into a hand stand while walking with his hands.</t>
  </si>
  <si>
    <t>The gymnast goes from the hand stand to his dismount.</t>
  </si>
  <si>
    <t>v_ErEr4Sxdprw</t>
  </si>
  <si>
    <t>A man is in the gym in tight he bends over picks up a weight over his head and drops it back down.</t>
  </si>
  <si>
    <t>He walks back and loosens up before walking back up and doing it again adding more weight.</t>
  </si>
  <si>
    <t>He does this multiple times adding more and more weight to the rack.</t>
  </si>
  <si>
    <t>He finally lifts 374 pounds and calls it quits.</t>
  </si>
  <si>
    <t>v_8oI4xGqkzSE</t>
  </si>
  <si>
    <t>A man kicks a Frisbee to a dog.</t>
  </si>
  <si>
    <t>The dog does various tricks while catching the Frisbee.</t>
  </si>
  <si>
    <t>The dog jumps off the man to catch the toy.</t>
  </si>
  <si>
    <t>Several other dogs also do a tricks to catch the toy.</t>
  </si>
  <si>
    <t>A man swings a dog around on a toy.</t>
  </si>
  <si>
    <t>v_rYrO0KnZ7F0</t>
  </si>
  <si>
    <t>We see steps to carve a pumpkin.</t>
  </si>
  <si>
    <t>A person cleans a pumpkin.</t>
  </si>
  <si>
    <t>We see step and a person carves the pumpkin.</t>
  </si>
  <si>
    <t>We see another step and person uses carved bits to make cat ears.</t>
  </si>
  <si>
    <t>v_Tu9QF2ALd2s</t>
  </si>
  <si>
    <t>A close up of a blender is seen with various ingredients on the inside.</t>
  </si>
  <si>
    <t>A person's hand then blends the mixture together and moves their hand away from the camera.</t>
  </si>
  <si>
    <t>v_MEU83dUao4g</t>
  </si>
  <si>
    <t>A woman is seen with markings on her tongue and a person placing paper towels on her tongue.</t>
  </si>
  <si>
    <t>The man then pierces the girls tongue and she looks at the camera smiling.</t>
  </si>
  <si>
    <t>v_5TV-V6Cxero</t>
  </si>
  <si>
    <t>A shirtless man is standing on porch while instructing how to build a redneck fire.</t>
  </si>
  <si>
    <t>He shows a beer bottle and some other alcohol cans.</t>
  </si>
  <si>
    <t>He demonstrates a campfire that he has set up in a pit.</t>
  </si>
  <si>
    <t>There are three men standing near the campfire pit to demonstrate step three.</t>
  </si>
  <si>
    <t>One of the men picks up a gasoline can and ours some of it into the campfire pit.</t>
  </si>
  <si>
    <t>Another man lights the bonfire up to start the fire.</t>
  </si>
  <si>
    <t>The bonfire continues burning as the fireworks crackle in the pit.</t>
  </si>
  <si>
    <t>One of the instructors comes back and point to the redneck campfire.</t>
  </si>
  <si>
    <t>v_q2JRY6-riYA</t>
  </si>
  <si>
    <t>People are sitting in blue bumper cars.</t>
  </si>
  <si>
    <t>They drive around and bump into each other.</t>
  </si>
  <si>
    <t>A little boy in a hat waves at the camera.</t>
  </si>
  <si>
    <t>v_WE9Md637nbc</t>
  </si>
  <si>
    <t>A pair of dirty nike sneakers are seen on a counter.</t>
  </si>
  <si>
    <t>A man fills a bowl with water, then adds a cleaning solution.</t>
  </si>
  <si>
    <t>He uses a brush to scrub the shoes clean.</t>
  </si>
  <si>
    <t>v_6180cMhkWJA</t>
  </si>
  <si>
    <t>A man is seated in front of some video monitors and related equipment.</t>
  </si>
  <si>
    <t>He reminds us that when we were young we weren't afraid to try because we liked it.</t>
  </si>
  <si>
    <t>We then see some kids playing soccer along with some older players, obviously enjoying themselves.</t>
  </si>
  <si>
    <t>We see the man once again, who advises us not to ever grow up.</t>
  </si>
  <si>
    <t>v_t1s7ST4FRJc</t>
  </si>
  <si>
    <t>There are four women dancing to a choreographed dance to some Hip Hop music in a studio.</t>
  </si>
  <si>
    <t>They follow a synchronized and rhythmic beat to follow the same steps as the rest of the dancers.</t>
  </si>
  <si>
    <t>They continue following the steps one after the other in a structured manner where everybody is shaking their hands and legs rhythmically.</t>
  </si>
  <si>
    <t>Their dance moves change as the music changes and they slow down or move faster according to the beat of the song.</t>
  </si>
  <si>
    <t>v_Qs0hIRhHPVM</t>
  </si>
  <si>
    <t>A still picture of a man caught in mid-air about to attack a punching bag, a black and white picture of woman kicking the punching bag, two bare chested men in a boxing position, a silhouette of a man kicking a blurry person, two men in a boxing ring, two men holding a championship belt with their hand covered with boxing gloves.</t>
  </si>
  <si>
    <t>One man in blue shorts is kicking the kicking pad worn by the other man in black shorts.</t>
  </si>
  <si>
    <t>Two men that are barechested are boxing each other outside the boxing ring.</t>
  </si>
  <si>
    <t>v_D-y_N4u0uRQ</t>
  </si>
  <si>
    <t>A man enters a car holding a briefcase.</t>
  </si>
  <si>
    <t>Then, the man smokes a cigarette in office, and a nurse gives him papers.</t>
  </si>
  <si>
    <t>After, an elegant woman smokes and then smile.</t>
  </si>
  <si>
    <t>v_UbVTGLlR0L8</t>
  </si>
  <si>
    <t>People raft down a stony river on inflatable boats.</t>
  </si>
  <si>
    <t>Two men are in the water and other men help get in the boat.</t>
  </si>
  <si>
    <t>The men pass between high mountains.</t>
  </si>
  <si>
    <t>v_yslzj3NGuLU</t>
  </si>
  <si>
    <t>A woman removes the snow on the top of a car using a brush, also removes snow on the side windows and back window.</t>
  </si>
  <si>
    <t>After, the woman continues taking snow from the hood of the car and the front window that has a lot of snow.</t>
  </si>
  <si>
    <t>v_Eaq95CTpfZI</t>
  </si>
  <si>
    <t>A person is mixing drinks behind a bar.</t>
  </si>
  <si>
    <t>A person is playing a game of shuffleboard.</t>
  </si>
  <si>
    <t>v_7x5oY2Myd7I</t>
  </si>
  <si>
    <t>A team is playing ice hockey in front of a crowded stadium.</t>
  </si>
  <si>
    <t>The players are shown crashing into each other.</t>
  </si>
  <si>
    <t>A countdown of ten is being shown as we see bloopers from different sporting events, from hockey, to baseball, to football and basketball as people fall down and make mistakes.</t>
  </si>
  <si>
    <t>v_l5HNvNpRTpk</t>
  </si>
  <si>
    <t>Words are being displayed across the screen that read how to make the perfect sandwich.</t>
  </si>
  <si>
    <t>The ingredients you will need are bread, cheese, ham, turkey sub kit deli meat, kraft real mayo, spicy brown mustard, seasoning and a knife.</t>
  </si>
  <si>
    <t>Spread mayo on both slices of bread then put on mustard and cheese on both slices of bread put ham then turkey meat and add other seasoning to your taste.</t>
  </si>
  <si>
    <t>v_T98RJsOiQWc</t>
  </si>
  <si>
    <t>A small child is seen holding a stick and swinging at a pinata.</t>
  </si>
  <si>
    <t>A girl is seen blindfolding another while a man plays with the camera on the side.</t>
  </si>
  <si>
    <t>The man holds the stick and gestures to the girl on the side.</t>
  </si>
  <si>
    <t>v_uY0ngQlbIZc</t>
  </si>
  <si>
    <t>Two men that are matching each other are playing a game of racket ball.</t>
  </si>
  <si>
    <t>They are in an indoor enclosed court area playing the game.</t>
  </si>
  <si>
    <t>They are moving around all over the court trying to hit the ball.</t>
  </si>
  <si>
    <t>The bald man begins to walk out of the court smiling.</t>
  </si>
  <si>
    <t>v_mIi5fkvHDAo</t>
  </si>
  <si>
    <t>A female news anchor is talking about a clip that will be shown.</t>
  </si>
  <si>
    <t>Monkeys are skiing behind a boat in the water.</t>
  </si>
  <si>
    <t>Another monkey is seen driving a speed boat pulling a skiing monkey.</t>
  </si>
  <si>
    <t>Several people watch and take photos and video from the shore.</t>
  </si>
  <si>
    <t>The monkey driving the speed boat is shown again.</t>
  </si>
  <si>
    <t>The monkey circles the steering wheel with the boat moving.</t>
  </si>
  <si>
    <t>The monkey then drives the boat to a set of buoys where three people are waiting for him.</t>
  </si>
  <si>
    <t>Three news anchors discuss the monkeys.</t>
  </si>
  <si>
    <t>v_XRb38sJzuY4</t>
  </si>
  <si>
    <t>A young boy is seen grabbing a ball and walking forward speaking to the camera.</t>
  </si>
  <si>
    <t>He is then seen in a shot holding on a stick and hitting a ball.</t>
  </si>
  <si>
    <t>He continues hitting the ball into a goal wile looking back to the camera.</t>
  </si>
  <si>
    <t>v_RI-l0tK8Ok0</t>
  </si>
  <si>
    <t>A man and a woman are standing by a piano.</t>
  </si>
  <si>
    <t>The man and the woman play the piano together.</t>
  </si>
  <si>
    <t>They switch places and continue playing the piano.</t>
  </si>
  <si>
    <t>They switch places again, rapidly.</t>
  </si>
  <si>
    <t>They do it again, laughing away together.</t>
  </si>
  <si>
    <t>Finally they finish and walk away together happily.</t>
  </si>
  <si>
    <t>v_Xpb1Lup1GAU</t>
  </si>
  <si>
    <t>A woman sits by a window knitting a white piece.</t>
  </si>
  <si>
    <t>The woman holds up a pattern book with an image of the piece she is working on.</t>
  </si>
  <si>
    <t>The woman continues her knitting.</t>
  </si>
  <si>
    <t>The woman shows off her work so far and continues knitting.</t>
  </si>
  <si>
    <t>v_aK0238Rz6UA</t>
  </si>
  <si>
    <t>A large bow is laying on a table.</t>
  </si>
  <si>
    <t>The close up details of the archery set are being shown.</t>
  </si>
  <si>
    <t>A man is shown pulling back and arrow and letting it go.</t>
  </si>
  <si>
    <t>v_Q6XjxUlbP2M</t>
  </si>
  <si>
    <t>A group of people ride in bumper cars in a huge bumper car ride at an amusement park.</t>
  </si>
  <si>
    <t>Two yellow bumper cars are stuck in the middle of the track until they get bumped by another car.</t>
  </si>
  <si>
    <t>The rest of the bumper car drivers continue to follow the course.</t>
  </si>
  <si>
    <t>v_X6IoTFqaegc</t>
  </si>
  <si>
    <t>A woman's hand is shown wiping a glass screen followed by various objects sitting on a table.</t>
  </si>
  <si>
    <t>The woman sprays the glass and follows the object down the glass.</t>
  </si>
  <si>
    <t>She does this several times and shows where to plug in and how to use the tool.</t>
  </si>
  <si>
    <t>v_xcSWHI3K0KA</t>
  </si>
  <si>
    <t>A man is running on a track with a javelin.</t>
  </si>
  <si>
    <t>We see him throw again in slow motion.</t>
  </si>
  <si>
    <t>v_ZGnnFIDJjaY</t>
  </si>
  <si>
    <t>A man is sitting in a chair on the beach and is approached by another man, the first man gets up and applies lotion to the second man.</t>
  </si>
  <si>
    <t>A woman and a man are sitting on a towel at the beach and a man approaches.</t>
  </si>
  <si>
    <t>The sitting man gets up and puts lotion on the man who approached.</t>
  </si>
  <si>
    <t>Five guys are laying on the beach when a woman approaches them.</t>
  </si>
  <si>
    <t>One man gets up and applies lotion to the womans back.</t>
  </si>
  <si>
    <t>Five guys are laying on towels at the beach and a man approaches them.</t>
  </si>
  <si>
    <t>v_YkqO2oi9SIk</t>
  </si>
  <si>
    <t>A group of swimmers cliff dive into a body of water surrounded by onlookers, large rocks, buildings and boats, in a judged competition.</t>
  </si>
  <si>
    <t>The swimmers jump off a man made metal cliff wrapped in sponsored advertisement art and graphics.</t>
  </si>
  <si>
    <t>A group of judges hold up scorecards with numbers on them as car drive by on a nearby street and onlookers sit side by side on a raised wall watching.</t>
  </si>
  <si>
    <t>Two swimmers hug while one swimmer jumps up and down and three more hold up trophies.</t>
  </si>
  <si>
    <t>v_XB139ATiXuk</t>
  </si>
  <si>
    <t>A well attended classical concert is shown.</t>
  </si>
  <si>
    <t>The composer speaks to the audience about music.</t>
  </si>
  <si>
    <t>The crowd applauds and smiles.</t>
  </si>
  <si>
    <t>The composer talks about music and the orchestra behind him.</t>
  </si>
  <si>
    <t>One member comes out to play the saxophone for a solo as the crowd claps along.</t>
  </si>
  <si>
    <t>The orchestra gradually joins in for a full performance.</t>
  </si>
  <si>
    <t>The song slows and builds as the crowd joins back in with claps.</t>
  </si>
  <si>
    <t>The song ends and the crowd applauds thunderously.</t>
  </si>
  <si>
    <t>The saxophonist bows and returns to her seat.</t>
  </si>
  <si>
    <t>v_Vg5Vfb16Kb8</t>
  </si>
  <si>
    <t>A little girl wearing a pink blouse sits on a bed squinting her eyes.</t>
  </si>
  <si>
    <t>The little girl then puts on purple lipstick on her lips.</t>
  </si>
  <si>
    <t>The little girl continues putting on lipstick while speaking to the camera man about putting on makeup.</t>
  </si>
  <si>
    <t>v_KZ-6u3MUp44</t>
  </si>
  <si>
    <t>A game is in progress in front of a crowd.</t>
  </si>
  <si>
    <t>A man spins, throwing a disc through the air.</t>
  </si>
  <si>
    <t>He walks around the field afterward.</t>
  </si>
  <si>
    <t>v_J5wZTdD4XeU</t>
  </si>
  <si>
    <t>Two men are on a platform, fencing.</t>
  </si>
  <si>
    <t>They jab at each other with their swords.</t>
  </si>
  <si>
    <t>A woman watches as they parlay back and forth.</t>
  </si>
  <si>
    <t>v_uyp6t45rOD8</t>
  </si>
  <si>
    <t>An athlete performs high jump and lands on the mat while person takes notes.</t>
  </si>
  <si>
    <t>Then, the athlete performs high jump successfully.</t>
  </si>
  <si>
    <t>After, the man perform high jump but drops the horizontal pole.</t>
  </si>
  <si>
    <t>The athlete perform high jumps successfully.</t>
  </si>
  <si>
    <t>The athlete perform a high jump, but the pole falls.</t>
  </si>
  <si>
    <t>v_7A7XJLhRVVE</t>
  </si>
  <si>
    <t>A large pontoon boat is sailing across an ocean and runs into a large wave that covers the people as well as the boat in water.</t>
  </si>
  <si>
    <t>The people on the boat continue walking around but the water knocks them over and they start to hold onto the wheels to steer the boat back in the right direction.</t>
  </si>
  <si>
    <t>v_Dutm5TiFBqQ</t>
  </si>
  <si>
    <t>A very muscular shirtless man is about to arm wrestle with a man in an orange hoodie.</t>
  </si>
  <si>
    <t>Another man in a yellow hoodie comes over.</t>
  </si>
  <si>
    <t>They begin the match, the man in the orange hoodie looks to be struggling.</t>
  </si>
  <si>
    <t>The shirtless man wins and then wrestles the man in the yellow, he wins and they all stand around talking.</t>
  </si>
  <si>
    <t>v_p4cQt5On74M</t>
  </si>
  <si>
    <t>Several people are outside in a large field on segways playing a game.</t>
  </si>
  <si>
    <t>They continue to move around and hitting the ball with a long racket.</t>
  </si>
  <si>
    <t>As they game goes on,the referee walks on the field and watches them.</t>
  </si>
  <si>
    <t>v_JYh2Oejg_lQ</t>
  </si>
  <si>
    <t>A person with long hair shows a rubik's cube.</t>
  </si>
  <si>
    <t>The person begins to solve it .</t>
  </si>
  <si>
    <t>They toss it up and it is magically solved.</t>
  </si>
  <si>
    <t>v_fFu37ig0pkY</t>
  </si>
  <si>
    <t>A woman is dancing outside on the sidewalk.</t>
  </si>
  <si>
    <t>She grabs a baton and starts twirling it around.</t>
  </si>
  <si>
    <t>She starts juggling the batons in the air.</t>
  </si>
  <si>
    <t>She does a back flip and goes into the splits.</t>
  </si>
  <si>
    <t>v_OG7-gtjRaEg</t>
  </si>
  <si>
    <t>Several children stand in front of a cage.</t>
  </si>
  <si>
    <t>A women is inside with a tiger.</t>
  </si>
  <si>
    <t>The children pull on a rope that against the tiger.</t>
  </si>
  <si>
    <t>They let go of the rope at the end.</t>
  </si>
  <si>
    <t>v_SGdhHAZHwmI</t>
  </si>
  <si>
    <t>A woman in a suit is talking to a camera.</t>
  </si>
  <si>
    <t>A woman is putting contact lenses into her eyes.</t>
  </si>
  <si>
    <t>Contact lenses are shown on a hand.</t>
  </si>
  <si>
    <t>The woman in the suit continues talking to the camera.</t>
  </si>
  <si>
    <t>v_te1znGPS_Vw</t>
  </si>
  <si>
    <t>guys are having a paint ball fight with each other.</t>
  </si>
  <si>
    <t>A guy explain how to hide and protect yourself when in the filed,How to crawl ,where to place your foot and hands when crawling.</t>
  </si>
  <si>
    <t>v_wSGrM1nrWq4</t>
  </si>
  <si>
    <t>A hair dryer and advertisement are shown with some info about the dryer.</t>
  </si>
  <si>
    <t>A woman shows how to use the dryer with different brushes.</t>
  </si>
  <si>
    <t>The same woman then shows how to use the dryer with different attachments for different kinds of hair.</t>
  </si>
  <si>
    <t>The dryer and advertising info are shown again.</t>
  </si>
  <si>
    <t>v_lHVn-5OwXMw</t>
  </si>
  <si>
    <t>man is in a big stadium waking in the field.</t>
  </si>
  <si>
    <t>men are playing criquet in a field rnning on side to side with a lot of audience sitting on stands.</t>
  </si>
  <si>
    <t>v_hjtGItcwkQA</t>
  </si>
  <si>
    <t>A group of sail boats sail together through choppy water on a windy day.</t>
  </si>
  <si>
    <t>Two men pull on the rigging seated on the small sailboat.</t>
  </si>
  <si>
    <t>The sail boat makes a turn in front of the bow of another boat only partly seen.</t>
  </si>
  <si>
    <t>v_kzm9ckZ5gU0</t>
  </si>
  <si>
    <t>Two men on a ladder fight in a professional wrestling match.</t>
  </si>
  <si>
    <t>The men flip off the ladder on to the mat.</t>
  </si>
  <si>
    <t>The referee kneels near by.</t>
  </si>
  <si>
    <t>The man in red crawls to the man in blue and pins him winning the match.</t>
  </si>
  <si>
    <t>We see a replay of the match.</t>
  </si>
  <si>
    <t>v_d3VVwwVkJBs</t>
  </si>
  <si>
    <t>This elderly man is blowing the leaves out of the way using a leaf blower.</t>
  </si>
  <si>
    <t>First the camera is giving viewers a close up view only showing the man's face.</t>
  </si>
  <si>
    <t>Then the camera zooms out and shows the man blowing the leaves using a machine and when he's done half doing his job, he turns the leaf blower off.</t>
  </si>
  <si>
    <t>v_bV_vdBbOubE</t>
  </si>
  <si>
    <t>little kid is holding a red tennis racket close to her face but then put it on the floor and jump on top.</t>
  </si>
  <si>
    <t>little kid is standing in a small room playing in a Hopscotch.</t>
  </si>
  <si>
    <t>the girl is grabing toys from the floor.</t>
  </si>
  <si>
    <t>v_Xm23RMCpDd8</t>
  </si>
  <si>
    <t>A man stands on a field in an outdoor game surrounded by bleachers with people in them and performs a hammer throw.</t>
  </si>
  <si>
    <t>The man spins the hammer around many times and then lets the hammer go to fly into the hair and land in the field.</t>
  </si>
  <si>
    <t>A slow motion video of the hammer landing appears as the man looks happy with the score and dries off with a towel.</t>
  </si>
  <si>
    <t>v_IkXuooaGnCc</t>
  </si>
  <si>
    <t>Letters are shown on a screen.</t>
  </si>
  <si>
    <t>A blue bucket is put into a sink.</t>
  </si>
  <si>
    <t>A man starts mopping the hardwood floors.</t>
  </si>
  <si>
    <t>He mops the tile in the bathroom.</t>
  </si>
  <si>
    <t>v_d83YCo6xLkk</t>
  </si>
  <si>
    <t>A person is seen standing on a beach looking down at sand.</t>
  </si>
  <si>
    <t>The person then begins building a large sand castle in front of them.</t>
  </si>
  <si>
    <t>The person continues working around the sand and ends by walking out of frame.</t>
  </si>
  <si>
    <t>v_gNFrILoB8LY</t>
  </si>
  <si>
    <t>A man dances and pulls his pants, which are falling down, back up, as he sweeps a cafe floor.</t>
  </si>
  <si>
    <t>A man, with his back to an elevated camera, begins to dance while sweeping a coffee shop floor.</t>
  </si>
  <si>
    <t>The man begins to pulls his pants up as his blue underwear shows from the twisting of the dance, which has pulled down his pants.</t>
  </si>
  <si>
    <t>The man then turns to face the camera and smiles while pulling his pants up.</t>
  </si>
  <si>
    <t>v_SlT6OBmQqpc</t>
  </si>
  <si>
    <t>A young man is seen standing in front of the camera and begins spinning in circles.</t>
  </si>
  <si>
    <t>He continues spinning and then does several kicks and punches while also throwing darts.</t>
  </si>
  <si>
    <t>v_3DDo37BcChI</t>
  </si>
  <si>
    <t>An ax rests in a fallen tree.</t>
  </si>
  <si>
    <t>A man picks up the ax, and chops the trunk of the tree.</t>
  </si>
  <si>
    <t>He continues chopping until the log is in half, then walks away.</t>
  </si>
  <si>
    <t>v_QdTUPBtxAV0</t>
  </si>
  <si>
    <t>A smiling young boy slides down a red slide that has netting on each side and a brand name, website, email and telephone appear on the screen when he reaches the bottom.</t>
  </si>
  <si>
    <t>Then two other children behind him that are little girls slide down.</t>
  </si>
  <si>
    <t>Just as the girls are reaching the bottom of the slide boy gets up and leaves the slide and the girls follow right behind him.</t>
  </si>
  <si>
    <t>v_6BKkSQ7uGco</t>
  </si>
  <si>
    <t>We see the title card on black.</t>
  </si>
  <si>
    <t>We see a lady riding slowly on an elliptical machine and pulling the handles.</t>
  </si>
  <si>
    <t>We switch to the lady riding without holding the handles.</t>
  </si>
  <si>
    <t>We then see the bike in stair stepper mode and using the handles.</t>
  </si>
  <si>
    <t>We then see her using the bike in stair stepper mode without the handles.</t>
  </si>
  <si>
    <t>v_p-lwebxSYyo</t>
  </si>
  <si>
    <t>People are painting a wooden fence in a yard.</t>
  </si>
  <si>
    <t>A dog walks behind them.</t>
  </si>
  <si>
    <t>They continue painting the fence.</t>
  </si>
  <si>
    <t>v_cau489T9DLE</t>
  </si>
  <si>
    <t>woman is standing in a small room doing tricks with a baton.</t>
  </si>
  <si>
    <t>men are running on a side of the woman.</t>
  </si>
  <si>
    <t>women enter to a room.</t>
  </si>
  <si>
    <t>v_xbEI98IA-XU</t>
  </si>
  <si>
    <t>Title credits are shown on the screen.</t>
  </si>
  <si>
    <t>A woman talks to the camera in a gym.</t>
  </si>
  <si>
    <t>The woman demonstrates a lifting exercise.</t>
  </si>
  <si>
    <t>The woman turns back to the camera and talks again.</t>
  </si>
  <si>
    <t>End credits roll on the screen.</t>
  </si>
  <si>
    <t>v_uFMlVrTUoR8</t>
  </si>
  <si>
    <t>A man dumps a wheelbarrow of mulch on the lawn.</t>
  </si>
  <si>
    <t>He rakes it out over the ground.</t>
  </si>
  <si>
    <t>He brings another wheelbarrow full of mulch and rakes it out over the lawn.</t>
  </si>
  <si>
    <t>v_LE05u6TR9MI</t>
  </si>
  <si>
    <t>A large group of people are seen standing in a crowd yelling and playing a game of volleyball.</t>
  </si>
  <si>
    <t>The group of girls continue to play while people cheer on the sides as well as cheerleaders.</t>
  </si>
  <si>
    <t>v_1Y3BV0Awjuo</t>
  </si>
  <si>
    <t>We see an Asian script on the title screen.</t>
  </si>
  <si>
    <t>We see food on a table and a lady picking at a potato.</t>
  </si>
  <si>
    <t>The potato is cut, then dropped in a pot.</t>
  </si>
  <si>
    <t>It's transferred to cold water and the skin just slides off when pulled.</t>
  </si>
  <si>
    <t>We see a red illustration on a potato and a potato is mashed.</t>
  </si>
  <si>
    <t>Two more potatoes are peeled easily, Another potato is boiled and dropped in cold water.</t>
  </si>
  <si>
    <t>v_-ap649M020k</t>
  </si>
  <si>
    <t>Several clips are shown of people wandering around areas, looking to the camera, and skateboarding down a hill.</t>
  </si>
  <si>
    <t>Several more people are shown skateboarding own various areas as well as swimming, rolling joints, and and surfing on the water.</t>
  </si>
  <si>
    <t>The men perform tricks, get naked, swim underwater, cut open a watermelon, as well as various other activities that lead back into skateboarding.</t>
  </si>
  <si>
    <t>v_PfNtxlM1QHw</t>
  </si>
  <si>
    <t>A crowd of people are at a stadium watching a bull fight.</t>
  </si>
  <si>
    <t>A petite man is standing in front of the bull with a red cloth and taunting the bull.</t>
  </si>
  <si>
    <t>Once the bull moves,three more men come out with pink cloths and begin taunting the bulls and he hits them with his horns.</t>
  </si>
  <si>
    <t>The men finally leave the bull alone and he lays down on his side and they begin giving him something in the mouth.</t>
  </si>
  <si>
    <t>Once laid to rest, another man comes and wraps something around his mouth to secure him as another set of men walk out guiding horses.</t>
  </si>
  <si>
    <t>v_DpoIgaZ1m_U</t>
  </si>
  <si>
    <t>Two men spar in a karate practice match inside a gym studio.</t>
  </si>
  <si>
    <t>The instructor trips the student after catching the punches.</t>
  </si>
  <si>
    <t>The instructor does a sliding kick on the student.</t>
  </si>
  <si>
    <t>The instructor catches the kicks of the student.</t>
  </si>
  <si>
    <t>v_LpTVTiu8oro</t>
  </si>
  <si>
    <t>A shirtless man with a machete walks out into the front yard.</t>
  </si>
  <si>
    <t>He starts hitting the grass repeatedly over and over cutting the grass.</t>
  </si>
  <si>
    <t>Instead of using a lawnmower he is cutting the grass with a machete.</t>
  </si>
  <si>
    <t>He stands right up and walks up to a patch and then starts to use the machete towards it also.</t>
  </si>
  <si>
    <t>v_zlXvqnBqVvI</t>
  </si>
  <si>
    <t>The two people take shots with their pucks down the board.</t>
  </si>
  <si>
    <t>The person changes the score on the board posted on a pole.</t>
  </si>
  <si>
    <t>A player walks down the board to retrieve the pucks.</t>
  </si>
  <si>
    <t>Two people play a leisurely game of shuffle board on an outdoor court.</t>
  </si>
  <si>
    <t>v_F6BJoTLozoc</t>
  </si>
  <si>
    <t>An empty stage with four lights are shown as a crowd of people stand waiting for something to happen.</t>
  </si>
  <si>
    <t>A lady with a orange and yellow cape and skirt then comes out from the side and starts to belly dance.</t>
  </si>
  <si>
    <t>The woman then drops the cape and begins walking towards the crowd moving her chest and smiling at the people.</t>
  </si>
  <si>
    <t>v_B4zPg1ftxf4</t>
  </si>
  <si>
    <t>We see people playing paintball on a football field.</t>
  </si>
  <si>
    <t>The people take off and head out into the field.</t>
  </si>
  <si>
    <t>The man is crawling on the ground.</t>
  </si>
  <si>
    <t>He fills his gun with orange balls.</t>
  </si>
  <si>
    <t>A person walks up to the bag near the man.</t>
  </si>
  <si>
    <t>The man reloads his gun with blue balls.</t>
  </si>
  <si>
    <t>We see a man behind a fence and the man is walking.</t>
  </si>
  <si>
    <t>v_4FGdbFzq-8I</t>
  </si>
  <si>
    <t>A man is seen sitting in the back of a car waxing down a surf board and another man speaking to the camera.</t>
  </si>
  <si>
    <t>Slow motion shots of a man surfing are shown and the man continues speaking.</t>
  </si>
  <si>
    <t>v_GKpeX_lWMgg</t>
  </si>
  <si>
    <t>People are riding in sailboats from the view of a large ocean liner.</t>
  </si>
  <si>
    <t>A woman leans against the edge, watching the boats.</t>
  </si>
  <si>
    <t>v_krUhklOpyQU</t>
  </si>
  <si>
    <t>A man is filming inside of am apartment looking around at several different things.</t>
  </si>
  <si>
    <t>A little boy comes into the scene and quickly exits out of the view of the camera.</t>
  </si>
  <si>
    <t>The boy comes onto the camera again doing karate moves with a stick.</t>
  </si>
  <si>
    <t>The man gets a close up of the boy while he talks to the boy in another language.</t>
  </si>
  <si>
    <t>the boy does a bow and the video ends.</t>
  </si>
  <si>
    <t>v_iFTYM1Ez5ZM</t>
  </si>
  <si>
    <t>An athlete in a white and blue uniform prepares to compete in a Triple Jump competition in a track and field tournament.</t>
  </si>
  <si>
    <t>The competitor gradually begins by running slowly then picking up speed to a sprint and landing one foot on the white marker line and two more hops on each foot and then jumps over the sand course.</t>
  </si>
  <si>
    <t>The competitor skips and runs off of the track and goes to the spectator stands and celebrates his jump.</t>
  </si>
  <si>
    <t>A close up of the competitors foot position landing on the white marker line is shown on a close up and the jump is shown in slow motion and at regular speed multiple times.</t>
  </si>
  <si>
    <t>v_xGpaEqbVgBI</t>
  </si>
  <si>
    <t>The camera pans around a large group of people playing a soccer match on a field with many people watching on the sides.</t>
  </si>
  <si>
    <t>The players walk around the field a bit and lead into them playing the game.</t>
  </si>
  <si>
    <t>A person's hand then covers the camera and moves all around the area.</t>
  </si>
  <si>
    <t>v_SvM0twHYsus</t>
  </si>
  <si>
    <t>A woman looks through a large pile of clothing and begins throwing at the camera man.</t>
  </si>
  <si>
    <t>She miles his direction while talking and irons some clothes on the table.</t>
  </si>
  <si>
    <t>v_8leZKBY0B6I</t>
  </si>
  <si>
    <t>A person is seen turning her neck to the side and a person wearing gloves holding a needle.</t>
  </si>
  <si>
    <t>The person then pierces the ear of the girl sitting down.</t>
  </si>
  <si>
    <t>He puts an earring through the piercing and makes sure it's in place.</t>
  </si>
  <si>
    <t>v_1ILXipBgbTs</t>
  </si>
  <si>
    <t>There are several people dressed in safety vests and helmets sailing in a speed boat to go tubing in water.</t>
  </si>
  <si>
    <t>They travel through the lake and arrive at a spot where they get off the boat and jump into the water with their tubes.</t>
  </si>
  <si>
    <t>They get onto the yellow tubes and float along the water.</t>
  </si>
  <si>
    <t>v_tgnyGoKM2tM</t>
  </si>
  <si>
    <t>We see a man talking in a bike shop.</t>
  </si>
  <si>
    <t>The man touches the handle bars of a bike then grabs a wire off a table.</t>
  </si>
  <si>
    <t>The man strings the wire through the bikes brake system.</t>
  </si>
  <si>
    <t>The man adds a black plastic sheath over the wire and attaches it to the wheel brace.</t>
  </si>
  <si>
    <t>v_diZvvLb46O8</t>
  </si>
  <si>
    <t>The team in white and red uniform danced in the court.</t>
  </si>
  <si>
    <t>The team individually do jumping rope, danced on the ground.</t>
  </si>
  <si>
    <t>The team do jumping ropes where two females hold the end of the jumping rope, rotating them as the other team member jumped inside the rope and dance.</t>
  </si>
  <si>
    <t>v_6ITE3hona-4</t>
  </si>
  <si>
    <t>a person is assembling a vacuum on the carpet.</t>
  </si>
  <si>
    <t>They plug the vacuum in.</t>
  </si>
  <si>
    <t>They turn the vacuum on and begin vacuuming the floor.</t>
  </si>
  <si>
    <t>They take the attachment hose off and vacuum the base boards and stairs.</t>
  </si>
  <si>
    <t>They take the filter out and empty it.</t>
  </si>
  <si>
    <t>They unplug the vacuum and put it in the closet.</t>
  </si>
  <si>
    <t>v_nTsXn3oHf_8</t>
  </si>
  <si>
    <t>A small boy plays on a stair stepper in a store.</t>
  </si>
  <si>
    <t>We back up and see the boys legs.</t>
  </si>
  <si>
    <t>The camera zooms in on the boy again.</t>
  </si>
  <si>
    <t>v_E4AoMNfsuaw</t>
  </si>
  <si>
    <t>A little girl in a diaper uses a small vacuum.</t>
  </si>
  <si>
    <t>She is vacuuming dirt out from under a chair in a living room.</t>
  </si>
  <si>
    <t>She uses the brush to suck up dirt on the floor.</t>
  </si>
  <si>
    <t>v_xfyoEDb6kVg</t>
  </si>
  <si>
    <t>A boy spins around a gym with a tennis racket and pushes a ball around to another boy.</t>
  </si>
  <si>
    <t>The boys run back and fourth bouncing balls against a wall with their hands and a tennis racket.</t>
  </si>
  <si>
    <t>They slide around the floor pushing the ball and continue hitting the ball back and fourth across the gym.</t>
  </si>
  <si>
    <t>v_bMRx3vSVZUQ</t>
  </si>
  <si>
    <t>A man is seen in several shots looking off into the distance followed by others riding around on boards.</t>
  </si>
  <si>
    <t>The men gear up on the sides while speaking to the camera and ride around on the water.</t>
  </si>
  <si>
    <t>The people continue to ride around while others watch on the side.</t>
  </si>
  <si>
    <t>v_xs4MvE_uAtU</t>
  </si>
  <si>
    <t>A person uses a brush to scrub a shoe over a sink.</t>
  </si>
  <si>
    <t>They wipe the shoe off with a white towel.</t>
  </si>
  <si>
    <t>He lifts up the shoe to show the camera.</t>
  </si>
  <si>
    <t>v_q_eRxmeGJBY</t>
  </si>
  <si>
    <t>We see an image of a male gymnast in mid swing.</t>
  </si>
  <si>
    <t>We see a title card with a family on it.</t>
  </si>
  <si>
    <t>A man swings around on a pommel horse.</t>
  </si>
  <si>
    <t>A man in blue plan swing his legs back and forth.</t>
  </si>
  <si>
    <t>The man in red shorts is spinning wildly.</t>
  </si>
  <si>
    <t>He then spins on a round device.</t>
  </si>
  <si>
    <t>v_C2KzNljiTIU</t>
  </si>
  <si>
    <t>A woman is seated, brushing her hair with her back to the camera.</t>
  </si>
  <si>
    <t>She continues brushing with long strokes.</t>
  </si>
  <si>
    <t>She leans her head to one side, continuing to brush.</t>
  </si>
  <si>
    <t>v_vXOT_VXWOqo</t>
  </si>
  <si>
    <t>Several shots are shown of large groups of people running around a field.</t>
  </si>
  <si>
    <t>Audience members are seen cheering while people play soccer on the side.</t>
  </si>
  <si>
    <t>People continue playing up and down the field while others watch them play.</t>
  </si>
  <si>
    <t>v_UlddctIswqo</t>
  </si>
  <si>
    <t>A girl wearing an orange hoodie and a girl wearing a black blouse enter a home and go into the kitchen.</t>
  </si>
  <si>
    <t>The girls are preparing to bake cookies.</t>
  </si>
  <si>
    <t>The cell phone rings and both girls get excited.</t>
  </si>
  <si>
    <t>Some one is at the front door and the girl in the orange hoodie runs through the house to go answer the door.</t>
  </si>
  <si>
    <t>The girl in the black blouse is at the door disguised as a man.</t>
  </si>
  <si>
    <t>The girl in the orange hoodie squeezes a bar of butter and it falls to the floor and slams the door shut.</t>
  </si>
  <si>
    <t>The girl in the black blouse turns and walks away dejected.</t>
  </si>
  <si>
    <t>v_zCND0HJq6Iw</t>
  </si>
  <si>
    <t>A white man is on the stage with long dreads throwing up the piece sign to the audience.</t>
  </si>
  <si>
    <t>After their interaction,the man begins to play the wind pipes on his back as he walks back and forth across the stage.</t>
  </si>
  <si>
    <t>The crowd is shown and the camera goes back to the stage and several lights come on as the guitarist begins to play.</t>
  </si>
  <si>
    <t>v_3boxQwSpv-8</t>
  </si>
  <si>
    <t>A little girl smiles and talks to the camera.</t>
  </si>
  <si>
    <t>She and other children are then shown washing their hands at sinks.</t>
  </si>
  <si>
    <t>They talk about singing the birthday song or counting to know how long they should wash their hands.</t>
  </si>
  <si>
    <t>v_xM5OQYON59w</t>
  </si>
  <si>
    <t>We see a man with a ball he is preparing to throw shotput.</t>
  </si>
  <si>
    <t>The man lifts his arm.</t>
  </si>
  <si>
    <t>The man spins and throws the ball.</t>
  </si>
  <si>
    <t>We see men in the distance measure.</t>
  </si>
  <si>
    <t>We see the thrower grab his jacket and walk away.</t>
  </si>
  <si>
    <t>v_G-giwt-TN8A</t>
  </si>
  <si>
    <t>We see a tractor and a title screen.</t>
  </si>
  <si>
    <t>We see a tractor blowing leaves.</t>
  </si>
  <si>
    <t>We see the tractor up close.</t>
  </si>
  <si>
    <t>We then see flowers on trees.</t>
  </si>
  <si>
    <t>v_7tdlcmbuLOA</t>
  </si>
  <si>
    <t>A man is seen speaking to the camera that leads into several clips of people wake boarding.</t>
  </si>
  <si>
    <t>The man then speaks to a woman and helps demonstrate how to properly ride the wake board.</t>
  </si>
  <si>
    <t>The boat then takes off and helps the girl ride along while she falls the first time then successfully rides.</t>
  </si>
  <si>
    <t>v_nxNJNn8blDw</t>
  </si>
  <si>
    <t>An old man with eyeglasses is standing in front of model tiles talking to the camera.</t>
  </si>
  <si>
    <t>A group of men in black started to removed the first half of the carpet in the living room, then replaced it with lighter, newer carpet.</t>
  </si>
  <si>
    <t>The group of men in black shirts moved the couch from the wall to other side and removed the other half of the carpet, exposing the green floor.</t>
  </si>
  <si>
    <t>The group of men put the carpet on the floor, they measure it, cut it and taped it.</t>
  </si>
  <si>
    <t>When the new carpet is properly installed, the men vacuum the carpet while the lady walked in the living room.</t>
  </si>
  <si>
    <t>The men and the old man and the woman removed the TV from the wall and installed a wooden TV set furniture, while the other men and the lady arranged the couch and put the pillows on it.</t>
  </si>
  <si>
    <t>v_XBbSLB3Ov0w</t>
  </si>
  <si>
    <t>A group of eight people are white rafting in somewhat calm water as the two people in the back paddle them down the water.</t>
  </si>
  <si>
    <t>The two people in the back continue paddling and the camera zooms in on them but the water is too calm for them to get the full experience and nothing is happening.</t>
  </si>
  <si>
    <t>Lastly, a blue screen flashes and white words appear.</t>
  </si>
  <si>
    <t>v_2VYQ4q24D-4</t>
  </si>
  <si>
    <t>Two cars are parked on the side of the road as train passes by.</t>
  </si>
  <si>
    <t>All of a sudden,the angle shifts and a boy begins skateboarding down the hill and throughout the city.</t>
  </si>
  <si>
    <t>v_vOI3hJ45lag</t>
  </si>
  <si>
    <t>A man sits on a table with accordions.</t>
  </si>
  <si>
    <t>Then the man holds an accordion while touching the buttons and talking.</t>
  </si>
  <si>
    <t>v_iOgmO3MMeH4</t>
  </si>
  <si>
    <t>A woman plays piano in a room decorated with candles.</t>
  </si>
  <si>
    <t>Katty Perry walks with a man in street, they she plays the piano, then she talks with the man.</t>
  </si>
  <si>
    <t>v_-5KAycAQlC4</t>
  </si>
  <si>
    <t>A man is being pulled on a water ski as he floats in the water casually.</t>
  </si>
  <si>
    <t>He mounts the water ski and tears through the water at fast speeds.</t>
  </si>
  <si>
    <t>Two men are shown sitting in the boat, before cutting back to the turbulent water skiing.</t>
  </si>
  <si>
    <t>v_uR-o9wILN6U</t>
  </si>
  <si>
    <t>The man in blue shirt with cap is hitting the thick rope.</t>
  </si>
  <si>
    <t>The man get on the rope and the crowd applauded.</t>
  </si>
  <si>
    <t>The man in blue shirt started to bounced on the rope doing some tricks like sitting on the rope, bouncing on his chest, cartwheel and walking on the rope.</t>
  </si>
  <si>
    <t>v_Jk3oA2mhPD8</t>
  </si>
  <si>
    <t>A young girl is doing gymnastics on a blue mat.</t>
  </si>
  <si>
    <t>She does several back flips on a trampoline.</t>
  </si>
  <si>
    <t>She does a flip into a pile of foam pieces.</t>
  </si>
  <si>
    <t>v_MduMjuxuIac</t>
  </si>
  <si>
    <t>Men walk out on a stage clap and high five.</t>
  </si>
  <si>
    <t>The men perform a cheerleader routine.</t>
  </si>
  <si>
    <t>They hold five men in the air and flip them and flip four men in groups.</t>
  </si>
  <si>
    <t>One man is lifted high and swings two men on his arms to the other side then five men make a star like shape.</t>
  </si>
  <si>
    <t>the men kneel and dance and pose for the finish.</t>
  </si>
  <si>
    <t>The men jump and cheer as they leave the stage.</t>
  </si>
  <si>
    <t>A person in the front row stands in front of the camera.</t>
  </si>
  <si>
    <t>v_Ga-204sSRoc</t>
  </si>
  <si>
    <t>A man is seen kneeling of a roof while holding a piece of wood.</t>
  </si>
  <si>
    <t>He begins hammering down the piece of wood while the camera pans around.</t>
  </si>
  <si>
    <t>He continues hammering around and looks back at the camera.</t>
  </si>
  <si>
    <t>v_KeTYxQkYfQw</t>
  </si>
  <si>
    <t>A man is seen looking to the camera and snapping his fingers.</t>
  </si>
  <si>
    <t>This leads into a man playing an instrument while the camera watches.</t>
  </si>
  <si>
    <t>The man continues to play moving his hands up and down and looking back to the camera.</t>
  </si>
  <si>
    <t>v_rtJTJ10ppRc</t>
  </si>
  <si>
    <t>A group of people are outside at the beach playing sand volley ball.</t>
  </si>
  <si>
    <t>The ball falls and a fat boy with yellow shirts takes the ball and tries to serve it.</t>
  </si>
  <si>
    <t>However,the ball doesn't make it over the net,rolls back and he goes to get it.</t>
  </si>
  <si>
    <t>v_Cx1614E1Mgk</t>
  </si>
  <si>
    <t>A man is talking and playing drums in a split screen.</t>
  </si>
  <si>
    <t>As he explains the process, he uses his hands to beat out a tune.</t>
  </si>
  <si>
    <t>He continues talking and playing until it switches exclusively to him playing the drums.</t>
  </si>
  <si>
    <t>v_LlhgIOYsxsE</t>
  </si>
  <si>
    <t>People are sitting work out machines.</t>
  </si>
  <si>
    <t>They begin pulling a rope to work out.</t>
  </si>
  <si>
    <t>A woman is standing next to a work out machine.</t>
  </si>
  <si>
    <t>v_yRD0WDE5IG0</t>
  </si>
  <si>
    <t>Several people exercise in a room.</t>
  </si>
  <si>
    <t>The step on and off of a platform in rhythm.</t>
  </si>
  <si>
    <t>They are very dancing intensely.</t>
  </si>
  <si>
    <t>Some of them spin in circles.</t>
  </si>
  <si>
    <t>v__tPDUYSu1IQ</t>
  </si>
  <si>
    <t>There are two men elbow wrestling on a table.</t>
  </si>
  <si>
    <t>There are several people are watching them wrestle.</t>
  </si>
  <si>
    <t>In another scene, there are two more men elbow wrestling.</t>
  </si>
  <si>
    <t>There are a series of elbow wrestling events shown in the video where one man is more forceful than the other and ends up winning the wrestling game.</t>
  </si>
  <si>
    <t>There are some over dramatized scenes where people are elbow wrestling and over reacting to the game.</t>
  </si>
  <si>
    <t>There are also some referees seen acting as moderators in the elbow wrestling match.</t>
  </si>
  <si>
    <t>v_MO37MVz4uuA</t>
  </si>
  <si>
    <t>A brunette woman is sitting in a room and has her left arm raised and is looking at her armpit.</t>
  </si>
  <si>
    <t>The woman puts her arm down and talks into the camera and a black cat climbs on furniture behind her while she's still talking.</t>
  </si>
  <si>
    <t>The woman is now standing in her shower fully clothed and she's applying a lot of shaving cream to her right leg that's propped on a wall.</t>
  </si>
  <si>
    <t>The woman is now standing upright and has a lot of shaving cream on her left armpit and falls, then she's standing with shaving cream all over her and then claps her hands.</t>
  </si>
  <si>
    <t>The woman is back in the room talking, then appears back in the shower with a razor and shaving her legs.</t>
  </si>
  <si>
    <t>The woman is talking in the room again and her black cat goes up to her and the woman continues to talk and ends with a clip of her carefully getting out of the bathtub.</t>
  </si>
  <si>
    <t>v_MFvdMVCzfB0</t>
  </si>
  <si>
    <t>A girl wearing a red shirt and white shorts is standing in her bathroom at the sink with a toothbrush in her hand.</t>
  </si>
  <si>
    <t>She takes some toothpaste and puts it on her brush and begins brushing.</t>
  </si>
  <si>
    <t>She starts to dance as she brushes her teeth and wiggles her body too.</t>
  </si>
  <si>
    <t>She continues brushing and dances faster and laughs.</t>
  </si>
  <si>
    <t>Then she realizes that her mouth is full of toothpaste foam and that it is coming out, she spits it out in the sink.</t>
  </si>
  <si>
    <t>v_DZVJtWJrWTU</t>
  </si>
  <si>
    <t>A young woman with red and black hair is shown using a hair dryer.</t>
  </si>
  <si>
    <t>She uses a large round brush to brush her hair straight as it dries.</t>
  </si>
  <si>
    <t>When she is done, she rakes her hand through her hair and brushes it into place.</t>
  </si>
  <si>
    <t>v_sfeUXTuKMs8</t>
  </si>
  <si>
    <t>Photos of horses are shown followed by the "Equestrian Life" logo.</t>
  </si>
  <si>
    <t>A woman stands outside with a brown horse and puts on a helmet.</t>
  </si>
  <si>
    <t>The woman talks to the camera and mounts the horse.</t>
  </si>
  <si>
    <t>She continues to speak to the camera and then walks the horse in a circle.</t>
  </si>
  <si>
    <t>v_e9R62cyqW4A</t>
  </si>
  <si>
    <t>A person is seen riding a bike down a long road followed by a large camel off in the distance.</t>
  </si>
  <si>
    <t>The animal moves closer while the camera zooms in the three people riding on the top the camel and passing by more riding camels.</t>
  </si>
  <si>
    <t>v_tqanHyXTFFw</t>
  </si>
  <si>
    <t>A woman is seen speaking to the camera that leads into a man speaking to a group.</t>
  </si>
  <si>
    <t>Another man speaks to the camera while the demonstrator points to a bike and takes off a wheel.</t>
  </si>
  <si>
    <t>More people speak to the camera while the man demonstrates how to put air in a tire and well as taking it apart.</t>
  </si>
  <si>
    <t>v_XCejO7RyWdA</t>
  </si>
  <si>
    <t>A woman in a pink shirt is standing outside.</t>
  </si>
  <si>
    <t>A brown dog is playing with a frisbee.</t>
  </si>
  <si>
    <t>The dog is standing on the woman's back.</t>
  </si>
  <si>
    <t>v_l12QfUhRLLc</t>
  </si>
  <si>
    <t>stadium is shown with a lot of people in the audience sitting on stands watching a criquet game.</t>
  </si>
  <si>
    <t>men are being interviewed in the field.</t>
  </si>
  <si>
    <t>v_aQAAzVQ_gSA</t>
  </si>
  <si>
    <t>A man is standing at a toy machine before he looks up and runs, jumping over a counter.</t>
  </si>
  <si>
    <t>He grabs a bowling ball and begins bowling.</t>
  </si>
  <si>
    <t>The men do backflips and slide as they bowl, sometimes rolling the balls under each other.</t>
  </si>
  <si>
    <t>One is blindfolded before making a strike, then the other does hand stands on the equipment.</t>
  </si>
  <si>
    <t>v_5yqHTGQm2B0</t>
  </si>
  <si>
    <t>Men on these robotic looking pogo sticks are playing basketball inside of a court.</t>
  </si>
  <si>
    <t>They are walking on the pogo sticks and jumping a bit too.</t>
  </si>
  <si>
    <t>They try to get the ball in the hoop and continue bouncing around the court.</t>
  </si>
  <si>
    <t>A man in green does a flip in the air and shoots the ball into the hoop.</t>
  </si>
  <si>
    <t>v_kTJDylL6pCU</t>
  </si>
  <si>
    <t>A dog is seen standing in a bath tub chained to a tub and a woman walks into frame and grabs the dog.</t>
  </si>
  <si>
    <t>She hold up a bottle and sprays it around the dog, rubbing it into it's fur while speaking to the camera.</t>
  </si>
  <si>
    <t>She then takes a hose and sprays the dog with water and ends by looking back to the camera.</t>
  </si>
  <si>
    <t>v_yr_ZOq9ZB9E</t>
  </si>
  <si>
    <t>Three teenage boys carry their skateboards up a paved park trail.</t>
  </si>
  <si>
    <t>A camera mounted on the skateboard captures scenes of the young skaters cruising in different directions and performing different tricks.</t>
  </si>
  <si>
    <t>A skateboarder in a green hoodie skates on a narrow dirt trail lined with trees.</t>
  </si>
  <si>
    <t>v_U0mKdo2-Gfc</t>
  </si>
  <si>
    <t>A weather map is shown for a second, then two news women sitting at a desk.</t>
  </si>
  <si>
    <t>Several people are shown warming up for a race.</t>
  </si>
  <si>
    <t>A gun is fired, and the race begins.</t>
  </si>
  <si>
    <t>We go back to the women in the news room, talking.</t>
  </si>
  <si>
    <t>v_fBbjlXgtd50</t>
  </si>
  <si>
    <t>A woman wearing classes dances in front of the camera.</t>
  </si>
  <si>
    <t>The woman turns around while raising an arm.</t>
  </si>
  <si>
    <t>The woman turns around again.</t>
  </si>
  <si>
    <t>v_VLg5XqBRorY</t>
  </si>
  <si>
    <t>We see a chef at an omelette bar making multiple omelets at the same time.</t>
  </si>
  <si>
    <t>We see the man pour more egg into the pans.</t>
  </si>
  <si>
    <t>The man sprinkles seasonings on the omelets.</t>
  </si>
  <si>
    <t>The man pours the omelettes on plates.</t>
  </si>
  <si>
    <t>We see photos of the chef.</t>
  </si>
  <si>
    <t>v_zaPxNw11llc</t>
  </si>
  <si>
    <t>An individual stands behind a netted area.</t>
  </si>
  <si>
    <t>The individual begins to swing for a hammer throw.</t>
  </si>
  <si>
    <t>The individual releases the weight.</t>
  </si>
  <si>
    <t>v_QjKmQO_9TaA</t>
  </si>
  <si>
    <t>A man is dancing in a room.</t>
  </si>
  <si>
    <t>He steps up and down on a small black stepping stool.</t>
  </si>
  <si>
    <t>He then dances with a woman in the room.</t>
  </si>
  <si>
    <t>v_54VcTlhF2H8</t>
  </si>
  <si>
    <t>man is standing on a race track ready to make gymnastics in parallels in the midle of a stadium.</t>
  </si>
  <si>
    <t>a lot of people are sitting or walking on stands.</t>
  </si>
  <si>
    <t>the man lands in the floor, greets and people applauds.</t>
  </si>
  <si>
    <t>v_0vCynjlkM5A</t>
  </si>
  <si>
    <t>A green race car comes into a pit stop.</t>
  </si>
  <si>
    <t>The man with the jack lifts the car up.</t>
  </si>
  <si>
    <t>The pit crew begins to work on the car by changing the front and rear tires of the car.</t>
  </si>
  <si>
    <t>The jack man then takes the jack out as a man in a pink shirt comes in front of the camera.</t>
  </si>
  <si>
    <t>v_wOwWidUOaxc</t>
  </si>
  <si>
    <t>A man is seen kneeling down in a picture followed by two men bending down towards one another.</t>
  </si>
  <si>
    <t>They begin wrestling and one man pushes the other down and their clip is shown again.</t>
  </si>
  <si>
    <t>v_ZX8sFpq471A</t>
  </si>
  <si>
    <t>A man and a woman are in a room with several targets behind them talking.</t>
  </si>
  <si>
    <t>The lady is then shown in another room demonstrating the proper technique to be efficient in archery.</t>
  </si>
  <si>
    <t>Two pattern continues and then the girl comes back and is shown with bows behind her back before shooting at a target on the wall.</t>
  </si>
  <si>
    <t>v_W5jswt09V3s</t>
  </si>
  <si>
    <t>A group of men are playing instruments outside a building.</t>
  </si>
  <si>
    <t>Two men crouch in front of each other as they play.</t>
  </si>
  <si>
    <t>The men jump up, and begin doing martial arts moves around each other, simulating kicks and flips.</t>
  </si>
  <si>
    <t>v__n0cR3Oshxg</t>
  </si>
  <si>
    <t>A man sits on front a bowl, then a woman shows cookie dough in bowls, then review a cookbook.</t>
  </si>
  <si>
    <t>Then, the woman make dough balls and putsion a baking pan, also a teen makes dough balls and puts in baking pan.</t>
  </si>
  <si>
    <t>After, the man put the cookies in the oven.</t>
  </si>
  <si>
    <t>v_R2cL7miVEwA</t>
  </si>
  <si>
    <t>A large group of people are seen running along a field and leads into them playing a field hockey game.</t>
  </si>
  <si>
    <t>The game continues on with arrows pointing to various players as well as shots of people falling down.</t>
  </si>
  <si>
    <t>v_lx83HHNNrlc</t>
  </si>
  <si>
    <t>A man holds the handle of a cleaning tool.</t>
  </si>
  <si>
    <t>The man cleans the kitchen floor.</t>
  </si>
  <si>
    <t>A lady discusses with the man.</t>
  </si>
  <si>
    <t>The man takes the mop out of the red bucket and moves the bucket aside.</t>
  </si>
  <si>
    <t>The lady stands next to a male.</t>
  </si>
  <si>
    <t>The lady gestures with her hands.</t>
  </si>
  <si>
    <t>The man hands the mop to the lady and empties the red bucket in the sink.</t>
  </si>
  <si>
    <t>The male grabs alcohol, while the lady mops.</t>
  </si>
  <si>
    <t>The man hands the bucket and mop to the male.</t>
  </si>
  <si>
    <t>The man waves and salutes.</t>
  </si>
  <si>
    <t>The lady laughs out loud.</t>
  </si>
  <si>
    <t>The man washes his hand.</t>
  </si>
  <si>
    <t>v_uOmCwWVJnLQ</t>
  </si>
  <si>
    <t>A bar of exercise equipment is shown in a living room.</t>
  </si>
  <si>
    <t>The different details of the equipment are being shown.</t>
  </si>
  <si>
    <t>The man holds on to the bar of the machine as he talks about it.</t>
  </si>
  <si>
    <t>v_U6KrVIJSeDo</t>
  </si>
  <si>
    <t>A close up of an exercise equipment is shown followed by a man walking into frame and begins using the machine.</t>
  </si>
  <si>
    <t>The man moves back and fourth on the machine while the camera continues to capture his movements.</t>
  </si>
  <si>
    <t>v_UmU8dx36O9w</t>
  </si>
  <si>
    <t>A woman is seen sitting in front of the camera and begins putting a contact lens in her eyes.</t>
  </si>
  <si>
    <t>The woman keeps attempting to put the lens in her eye while looking around trying again.</t>
  </si>
  <si>
    <t>She succeeds the last time and is seen cheering to the camera.</t>
  </si>
  <si>
    <t>v_BsSZDCHPjtY</t>
  </si>
  <si>
    <t>A large lake is seen with a man sitting in a tube as well as others looking around the area.</t>
  </si>
  <si>
    <t>The men crash with one hitting up against a log and leads into the tube being moved around and the person sitting back on.</t>
  </si>
  <si>
    <t>v_5Ra6milBrOM</t>
  </si>
  <si>
    <t>An introduction animation is shown with the title of video.</t>
  </si>
  <si>
    <t>A female coach in sweats gives instructions to a group of students in a gym for a physical activity by acting out the routine.</t>
  </si>
  <si>
    <t>The students mimic the instructors motions.</t>
  </si>
  <si>
    <t>The coach points to different areas of the gym and individual groups of students.</t>
  </si>
  <si>
    <t>A student in black shorts runs across the gym.</t>
  </si>
  <si>
    <t>A group of students plays rock paper sissor.</t>
  </si>
  <si>
    <t>Students run around the perimeter of the gym to different stations.</t>
  </si>
  <si>
    <t>A student wearing a hat sits on the bench and looks sick.</t>
  </si>
  <si>
    <t>A animated page shows credits for the video.</t>
  </si>
  <si>
    <t>v_Bvry1S-bYXU</t>
  </si>
  <si>
    <t>A girl competes vault gymnastic in front the judges while spectators observe from the bleachers.</t>
  </si>
  <si>
    <t>The gymnast approach to her coaches to talk and then they leave.</t>
  </si>
  <si>
    <t>After, the a flashback of the performance of the gymnast is show.</t>
  </si>
  <si>
    <t>v_uThAYmmxBFk</t>
  </si>
  <si>
    <t>A large group of people are seen moving around a room performing an exercise routine.</t>
  </si>
  <si>
    <t>The people move up and down on beams while moving their arms around and a woman leading in front.</t>
  </si>
  <si>
    <t>The group continue dancing with one another and end by holding a pose.</t>
  </si>
  <si>
    <t>v_OyV4eki18GE</t>
  </si>
  <si>
    <t>A baby in a hat is sitting on a chair.</t>
  </si>
  <si>
    <t>A man is holding the baby playing with a ball.</t>
  </si>
  <si>
    <t>A baby is sleeping on a couch.</t>
  </si>
  <si>
    <t>v_D-XCWhvStd4</t>
  </si>
  <si>
    <t>We see the title screens for the video.</t>
  </si>
  <si>
    <t>We see a person skiing.</t>
  </si>
  <si>
    <t>We switch to a workshop and a list of tools.</t>
  </si>
  <si>
    <t>We see a man adds a band on a ski and the ski sits on a contraption.</t>
  </si>
  <si>
    <t>A man brushes and rubs the ski.</t>
  </si>
  <si>
    <t>We see colorful wax and a man turning a dial.</t>
  </si>
  <si>
    <t>The man pours wax and we get instructions before he irons the wax on the ski.</t>
  </si>
  <si>
    <t>The man scrapes the wax and brushes the ski.</t>
  </si>
  <si>
    <t>We get a ski fact and the video end card shows.</t>
  </si>
  <si>
    <t>v_SXwCedd4MKg</t>
  </si>
  <si>
    <t>A person is seen throwing a frisbee off into the distance and a dog chasing after it.</t>
  </si>
  <si>
    <t>Several shots are shown of dogs running after frisbees after their owner throws them.</t>
  </si>
  <si>
    <t>More dogs are seen chasing after the frisbees while the owner watches from behind.</t>
  </si>
  <si>
    <t>v_tQT-iQIv-KY</t>
  </si>
  <si>
    <t>A group of coaches, gymnasts and parents stand and sit around a gym while a few of the gymnasts perform or practice.</t>
  </si>
  <si>
    <t>A young girl in purple does a balance beam routine.</t>
  </si>
  <si>
    <t>A girl in the back ground does a floor routine.</t>
  </si>
  <si>
    <t>When the floor routine ends the crowd all claps and several young gymnasts get up and walk around.</t>
  </si>
  <si>
    <t>A woman hold up a sign that says 965.</t>
  </si>
  <si>
    <t>The girl on the balance beam ends her routine and walks over and hugs a woman in purple.</t>
  </si>
  <si>
    <t>v__zR5wVbz3xU</t>
  </si>
  <si>
    <t>A man jumps onto bars and starts swinging on them.</t>
  </si>
  <si>
    <t>He does a flip off them and lands on a mat.</t>
  </si>
  <si>
    <t>v_uXX2lSVAXq8</t>
  </si>
  <si>
    <t>A medical processional puts a device and needle in someones face.</t>
  </si>
  <si>
    <t>It is actually a piercing.</t>
  </si>
  <si>
    <t>He cleans it and then she gets up.</t>
  </si>
  <si>
    <t>v_YK5n3YTf8pI</t>
  </si>
  <si>
    <t>A group of photographers take pictures as a weight lifter shows up on stage and prepares his hands.</t>
  </si>
  <si>
    <t>He lifts a barbell at the knees, then pauses at his chest.</t>
  </si>
  <si>
    <t>He lifts the barbell over his head before dropping it back to the ground.</t>
  </si>
  <si>
    <t>v_COx5Bf0PsQs</t>
  </si>
  <si>
    <t>A platter with lemonade drinks sits on a counter top.</t>
  </si>
  <si>
    <t>A woman squeezes a lemon.</t>
  </si>
  <si>
    <t>She adds sugar to a large pitcher.</t>
  </si>
  <si>
    <t>She stirs the sugar with a large wooden spoon.</t>
  </si>
  <si>
    <t>She proceeds to add water to the pitcher in order to dilute.</t>
  </si>
  <si>
    <t>Afterwards, she adds more sugar to the pitcher.</t>
  </si>
  <si>
    <t>She pours the finished lemonade into a cup.</t>
  </si>
  <si>
    <t>The steps of making lemonade are presented once more.</t>
  </si>
  <si>
    <t>v_VFUk9WX8y5w</t>
  </si>
  <si>
    <t>A group of people holding skateboards stand on the start line, then people skateboard down the road.</t>
  </si>
  <si>
    <t>They get in a school bus, then, they skateboard on the road.</t>
  </si>
  <si>
    <t>A boy falls on the ground, and other people continue skateboarding.</t>
  </si>
  <si>
    <t>Two, people fall on the road.</t>
  </si>
  <si>
    <t>After, a man gives the start to people who skateboard on the road until reach the finish line to receive their trophies.</t>
  </si>
  <si>
    <t>A person skateboard jumping on a ramp.</t>
  </si>
  <si>
    <t>v_Rh2UGc42X0M</t>
  </si>
  <si>
    <t>A woman smiles before sledding down a hill on an intertube.</t>
  </si>
  <si>
    <t>She laughs and waves at the camera on the way down the hill.</t>
  </si>
  <si>
    <t>Several people are then shown sledding together before coming to a stop on a snowy slope.</t>
  </si>
  <si>
    <t>v_M0UsJ31h64U</t>
  </si>
  <si>
    <t>A large group of people are shown swimming around in a pool playing water polo.</t>
  </si>
  <si>
    <t>The match continues on with people passing the ball around the pool while many sit along the sidelines and watch.</t>
  </si>
  <si>
    <t>v_PUzd4mfmzqo</t>
  </si>
  <si>
    <t>A man in an outdoor basketball court explains how to do layup drills with both arms, over hand, underhand, right and left hand layup with two steps.</t>
  </si>
  <si>
    <t>He then goes to the hash marks on the court and shows various variations of a layup from various distances and how to do the drills for practice.</t>
  </si>
  <si>
    <t>He then comes back to the camera and explains what he did.</t>
  </si>
  <si>
    <t>v_W07hi9Y37Jg</t>
  </si>
  <si>
    <t>A man plays the accordion on a stage in front of a music stand while wearing a red suit jacket.</t>
  </si>
  <si>
    <t>A man sits on a chair on a stage and plays the accordion in front of a music stands.</t>
  </si>
  <si>
    <t>The man runs his fingers up and down the keys and pulls the accordion open and closed with a free hands before ending the performance and rubbing his hair with his hand.</t>
  </si>
  <si>
    <t>v_tJSF2GAp9TU</t>
  </si>
  <si>
    <t>A man jumps on parallel bars and does a gymnastics routine.</t>
  </si>
  <si>
    <t>The audience is watching him in the stands.</t>
  </si>
  <si>
    <t>He jumps off and lands on the mat with his hands raised.</t>
  </si>
  <si>
    <t>v_QePg4GKh3rw</t>
  </si>
  <si>
    <t>A gymnast is seen standing ready and waves one arm into the air.</t>
  </si>
  <si>
    <t>She jumps onto a set of uneven bars and performs a gymnastics routine consisting on flips and tricks.</t>
  </si>
  <si>
    <t>She jumps off the bars in the end and waves her arms in the air while her coach claps for her.</t>
  </si>
  <si>
    <t>v_CEEJ1gzdmAk</t>
  </si>
  <si>
    <t>Guys are playing hockey on an ice arena.</t>
  </si>
  <si>
    <t>Some players are laid out.</t>
  </si>
  <si>
    <t>A pile of players lay on a fallen athlete.</t>
  </si>
  <si>
    <t>A player gets knocked to the ice and his helmet too.</t>
  </si>
  <si>
    <t>A guy has a head injury and is blooding on the ice after he falls.</t>
  </si>
  <si>
    <t>v_6yD5jZn6SEs</t>
  </si>
  <si>
    <t>A gymnast is seen leaning over a long bar with a person standing next to her on the ground.</t>
  </si>
  <si>
    <t>The girl then hops herself up on the beam.</t>
  </si>
  <si>
    <t>Finally the girl begins to swing down around.</t>
  </si>
  <si>
    <t>v_UaiKJ_7mKIA</t>
  </si>
  <si>
    <t>A group stands at a train station.</t>
  </si>
  <si>
    <t>A man shovels snow from the sidewalk.</t>
  </si>
  <si>
    <t>A man in a wheelchair goes down a sidewalk on a cold winter day.</t>
  </si>
  <si>
    <t>A woman in snow jacket shovels snow from a sidewalk.</t>
  </si>
  <si>
    <t>A man breaks up ice with a spade.</t>
  </si>
  <si>
    <t>A man shovels snow from a sidewalk into a tree lined planter.</t>
  </si>
  <si>
    <t>v_mhqfGS59FG0</t>
  </si>
  <si>
    <t>Two people are seen holding tennis rackets and hitting a ball around in a small room.</t>
  </si>
  <si>
    <t>The men continue to hit the ball back and fourth to one another and run around the hit the ball.</t>
  </si>
  <si>
    <t>v_rIqITS6qMB0</t>
  </si>
  <si>
    <t>A guy stands in the fields and lights a piece of paper.</t>
  </si>
  <si>
    <t>A guy tosses the piece of paper towards stack wood and then runs.</t>
  </si>
  <si>
    <t>The wood catches on fire.</t>
  </si>
  <si>
    <t>The guy walks towards a man.</t>
  </si>
  <si>
    <t>v_HPv-d6qybdE</t>
  </si>
  <si>
    <t>A camera pans all around an indoor gym and leads into clips of people pole volting over a bar.</t>
  </si>
  <si>
    <t>Several people are shown running with a pole over a beam and onto a mat one after the other.</t>
  </si>
  <si>
    <t>More people take their turns while others walk around the gym and watch them on the sides.</t>
  </si>
  <si>
    <t>v_lRRBeGRTpdc</t>
  </si>
  <si>
    <t>the word BRENMAR is in the center of the screen going around, then change to the word UNiiQU3 and Hoola Hoop.</t>
  </si>
  <si>
    <t>three women wearing all black are standing holding a white hoola hoope on her hands.</t>
  </si>
  <si>
    <t>a man is bending on the floor srronded by hoola hoops.</t>
  </si>
  <si>
    <t>woman wearing black pants and white shirt starts dancing with a hoola hoop arond his neck.</t>
  </si>
  <si>
    <t>second woman with yellow hair starts dancing two people appears and a set of dancing women appears doing tricks with a hoola hoop while the man is watching them, woman with green jacket is singing the song.</t>
  </si>
  <si>
    <t>women appears in a dark room with brilliant hoola hoops dancing and doing tricks, woman with yellow hair keeps dancing alone.</t>
  </si>
  <si>
    <t>v_m6w3Skrc89s</t>
  </si>
  <si>
    <t>The man in black shirt is kneeling and reached for his back leg.</t>
  </si>
  <si>
    <t>The man slightly moved forward.</t>
  </si>
  <si>
    <t>The man paused forward while he is holding his ankle.</t>
  </si>
  <si>
    <t>v_NSi8DorB6L0</t>
  </si>
  <si>
    <t>This man is water skiing and he does it sitting down and standing up, except he's holding onto the handle bars backwards.</t>
  </si>
  <si>
    <t>While he's skiing he tries to around to stand forward like normal, but he goes flying when he tries to turn around.</t>
  </si>
  <si>
    <t>v_voaGOm-rl9Y</t>
  </si>
  <si>
    <t>A person is shoveling snow off their sidewalk.</t>
  </si>
  <si>
    <t>A dog is jumping in the snow he is throwing.</t>
  </si>
  <si>
    <t>Words come onto the screen.</t>
  </si>
  <si>
    <t>v_nQjxgOz1WYo</t>
  </si>
  <si>
    <t>A man is seen acting crazy towards a camera while sitting at a poker table with another man.</t>
  </si>
  <si>
    <t>The men stick their tongues out at the camera and the camera moves in on another table with people playing.</t>
  </si>
  <si>
    <t>In the end he faces the camera towards himself.</t>
  </si>
  <si>
    <t>v_4EQYvkfMUWw</t>
  </si>
  <si>
    <t>A teen holds a violin and then plays on front of other teens that talk and laugh.</t>
  </si>
  <si>
    <t>Teens talk and make comments and a woman laugh.</t>
  </si>
  <si>
    <t>Then people in the room applauds.</t>
  </si>
  <si>
    <t>v_rDlPcW_2nG0</t>
  </si>
  <si>
    <t>Two women standing in the kitchen, one girl is wearing a black top and the other one is wearing a beige top.</t>
  </si>
  <si>
    <t>The woman in beige showed a sandwich on the kitchen counter, then started peeing the green cucumber using a peeler, then start slicing the cucumber.</t>
  </si>
  <si>
    <t>She then spread butter on the bread, placed the sliced cucumber on the bread, sprinkle some salt, cut the edges of the bread then sliced it into triangle, then placed in on the white plate, then both of the women ate the sandwich.</t>
  </si>
  <si>
    <t>v_6w4OWjY6k_k</t>
  </si>
  <si>
    <t>A young child is seen walking forward with a stick in his hand and pushing a puck down a track.</t>
  </si>
  <si>
    <t>He walks back while another boy hits the puck and several people watch on the sidelines.</t>
  </si>
  <si>
    <t>The young boy continues to walk back and fourth.</t>
  </si>
  <si>
    <t>v_qJYp25ni6tg</t>
  </si>
  <si>
    <t>A man is seen speaking to the camera followed by various ingredients laid out and him chopping up vegetables.</t>
  </si>
  <si>
    <t>The man continues cutting and mixes the ingredients into a bowl.</t>
  </si>
  <si>
    <t>He pours liquid into the bowl and ends by presenting it on a plate.</t>
  </si>
  <si>
    <t>v_DR2sW3Wd8fo</t>
  </si>
  <si>
    <t>A video of the swan lake ballet is shown.</t>
  </si>
  <si>
    <t>They perform the act and interview some of the cast.</t>
  </si>
  <si>
    <t>v_-rJVr9sQ1h8</t>
  </si>
  <si>
    <t>The video leads into several shots of dogs walking around and leads into a woman petting a dogs fur.</t>
  </si>
  <si>
    <t>The woman continues brushing and shows clips of the dog running along a park.</t>
  </si>
  <si>
    <t>v_Q8Y9pmhvJqE</t>
  </si>
  <si>
    <t>Two adult men in helmets are teaching little boys how to play ice hockey.</t>
  </si>
  <si>
    <t>The boys gather in a circle, hitting their sticks on the ground.</t>
  </si>
  <si>
    <t>They then cheer and skate away.</t>
  </si>
  <si>
    <t>v_F1-PnXa9SwQ</t>
  </si>
  <si>
    <t>A woman in a white dress starts a lawn mower.</t>
  </si>
  <si>
    <t>She starts mowing the lawn.</t>
  </si>
  <si>
    <t>She turns around and goes back the other way.</t>
  </si>
  <si>
    <t>v_QQfH0FDsYPc</t>
  </si>
  <si>
    <t>A man is seen standing on a field and begins swinging an object around and around.</t>
  </si>
  <si>
    <t>He continues swinging and finishes by standing on the field.</t>
  </si>
  <si>
    <t>v_o1DCCTev0CQ</t>
  </si>
  <si>
    <t>A sign says superfresco easy on the screen.</t>
  </si>
  <si>
    <t>A man is shown painting a wall with grey paint.</t>
  </si>
  <si>
    <t>He uses broad sweeps to completely cover the wall.</t>
  </si>
  <si>
    <t>v_96krk6Ka9Vc</t>
  </si>
  <si>
    <t>Several views are seen from the inside of a stadium.</t>
  </si>
  <si>
    <t>A group of teams walk onto the field, cheering.</t>
  </si>
  <si>
    <t>The crowd cheers as the teams make goals during the game.</t>
  </si>
  <si>
    <t>v_pi4p4zdoqmw</t>
  </si>
  <si>
    <t>A man in surfing attire is featured with his name and size of his board.</t>
  </si>
  <si>
    <t>The video cuts to the beach and the man begins to surf.</t>
  </si>
  <si>
    <t>He catches waves but wipes out early on most of them.</t>
  </si>
  <si>
    <t>A bird appears to divebomb into the ocean.</t>
  </si>
  <si>
    <t>Other surfers further out appear.</t>
  </si>
  <si>
    <t>v_jwyLw2n_YVw</t>
  </si>
  <si>
    <t>A woman walks into the kitchen and turns the knobs on the oven.</t>
  </si>
  <si>
    <t>A blender is then put on the counter and the lever is pulled down followed by a tea bag being placed in a cup.</t>
  </si>
  <si>
    <t>The lady then moves to a counter and adds a piece of baking paper over two large racks.</t>
  </si>
  <si>
    <t>She then grabs the boiling hot water and pours it into the mug.</t>
  </si>
  <si>
    <t>She returns back to the counter and begins placing rolls of cookie dough on the racks.</t>
  </si>
  <si>
    <t>Its finally time for the cookies to be in put in the oven and she sets the timer on her phone so she won't burn them.</t>
  </si>
  <si>
    <t>After the time is up,she takes them out of the oven adds one on a plate and takes it to a girl down the hall.</t>
  </si>
  <si>
    <t>v_bNR0MmJ9d8I</t>
  </si>
  <si>
    <t>A man speaks to the camera.</t>
  </si>
  <si>
    <t>He rolls a big box into the room and proceeds to open a box where a bicycle sits inside.</t>
  </si>
  <si>
    <t>From the inside of the box, he takes out a small box full of tools for the use of assembling the bicycle.</t>
  </si>
  <si>
    <t>He's seen speaking to the camera again.</t>
  </si>
  <si>
    <t>He removes all of the boxes sitting around the bicycle and assembles the bike.</t>
  </si>
  <si>
    <t>Again, he speaks to the camera.</t>
  </si>
  <si>
    <t>He removes two pedals from bags and attaches both pedals onto the bicycle.</t>
  </si>
  <si>
    <t>He takes the bicycle for a ride.</t>
  </si>
  <si>
    <t>Briefly, he speaks to the camera.</t>
  </si>
  <si>
    <t>v_28GYivx4lyk</t>
  </si>
  <si>
    <t>We see two people playing foosball.</t>
  </si>
  <si>
    <t>A man in a black shirt leave the room and turns before leaving.</t>
  </si>
  <si>
    <t>A man puts his face in front of the camera.</t>
  </si>
  <si>
    <t>v_bkRQgwbP0WM</t>
  </si>
  <si>
    <t>A man is showing a boy trying to solve a rubix cube.</t>
  </si>
  <si>
    <t>A timer is going to time the boy and other people around him are trying as well.</t>
  </si>
  <si>
    <t>On lookers are going from table to table to watch.</t>
  </si>
  <si>
    <t>A boy grabs a pen and the man solves the puzzle.</t>
  </si>
  <si>
    <t>v_fU2mbWwVSXU</t>
  </si>
  <si>
    <t>A man in white uniform is standing at the kitchen counter.</t>
  </si>
  <si>
    <t>The man pull out a knife and sharpener, he touched the edge of the knife.</t>
  </si>
  <si>
    <t>The man hold the metal knife sharpener and slowly sharpen the knife from side to side.</t>
  </si>
  <si>
    <t>The man use different types of tools to sharpen the knife such as machine and water stone.</t>
  </si>
  <si>
    <t>v_wlO7PcigY-s</t>
  </si>
  <si>
    <t>A man drops a tennis racquet with ball then hits the ball.</t>
  </si>
  <si>
    <t>Another person does the same trick and then shows that he is from Serbia.</t>
  </si>
  <si>
    <t>v_TKGjHAmCaRo</t>
  </si>
  <si>
    <t>A man is playing with a dog on the grass.</t>
  </si>
  <si>
    <t>he then flips and throws a Frisbee.</t>
  </si>
  <si>
    <t>The dog runs side to side and chases it.</t>
  </si>
  <si>
    <t>He grabs two other Frisbees and tosses them around while the dog jumps.</t>
  </si>
  <si>
    <t>He throws the Frisbee some more while the dog runs.</t>
  </si>
  <si>
    <t>The dog continues jumping side to side and running in all directions as they get thrown.</t>
  </si>
  <si>
    <t>v_q23IYtwNOkE</t>
  </si>
  <si>
    <t>A man and an woman sip a blue liquid and rinse his mouth.</t>
  </si>
  <si>
    <t>Then, the woman bend and throw the liquid while the man continues rinsing his mouth.</t>
  </si>
  <si>
    <t>v__nBOWe_VhXg</t>
  </si>
  <si>
    <t>A woman is shown talking to the camera and leads into her beginning to paint a picture.</t>
  </si>
  <si>
    <t>She moves her brush back and fourth on the canvas and putting various colors and swirls around the sides.</t>
  </si>
  <si>
    <t>v_0wwx4wnHv-U</t>
  </si>
  <si>
    <t>A person is seen standing on a tennis court bouncing a ball.</t>
  </si>
  <si>
    <t>Another man is seen standing ready on the other side in front of a large audience.</t>
  </si>
  <si>
    <t>The man then hits the ball over the net and bounces back on the other side.</t>
  </si>
  <si>
    <t>v__kG3DxvGnnQ</t>
  </si>
  <si>
    <t>A girl is seen sitting in a chair with another person wiping her face and handing her a mirror to look in.</t>
  </si>
  <si>
    <t>He then pierces the girl's cheeks and the camera zooms in on the girl's face when he's done.</t>
  </si>
  <si>
    <t>v_9LraB2HBC0g</t>
  </si>
  <si>
    <t>A woman is seen speaking to the camera while standing in a shower and holding various objects.</t>
  </si>
  <si>
    <t>The woman then rubs lotions all over her legs and begins shaving her legs and ending by speaking to the camera.</t>
  </si>
  <si>
    <t>v__g2D5oXLCZI</t>
  </si>
  <si>
    <t>A man is seen speaking to the camera holding a basketball.</t>
  </si>
  <si>
    <t>The man then begins throwing the ball in the hoop several times.</t>
  </si>
  <si>
    <t>He walks back to the camera and continues speaking while moving his hands.</t>
  </si>
  <si>
    <t>v_2OPk79DNQdM</t>
  </si>
  <si>
    <t>A young woman is seen speaking to the camera and transitions into her with her hair in front of her face.</t>
  </si>
  <si>
    <t>She slowly brushes and parts her hair and flips her hair back in the end.</t>
  </si>
  <si>
    <t>v_3gc3nddr8TE</t>
  </si>
  <si>
    <t>A small group of girls are seen huddled up and begin moving around the field.</t>
  </si>
  <si>
    <t>More women are seen running around the large field playing field hockey.</t>
  </si>
  <si>
    <t>The girls continue to play against one another and end by waling away.</t>
  </si>
  <si>
    <t>v_6iTymXuGFhg</t>
  </si>
  <si>
    <t>A close up is shown of a young child moving around on a swing and people standing around him to push.</t>
  </si>
  <si>
    <t>The camera continues to follow the boy around the yard while the mom lays in the grass and then the daughter swinging around.</t>
  </si>
  <si>
    <t>The parents play with the kids more, give them a kiss, and the dad walks away with the daughter.</t>
  </si>
  <si>
    <t>v_jG1kgKJkf8c</t>
  </si>
  <si>
    <t>A street performer is sitting down on a crate and drumming on buckets and pans with drum sticks.</t>
  </si>
  <si>
    <t>He busts on of the buckets and in frustration, stabs it with the stick.</t>
  </si>
  <si>
    <t>He replaces the bucket and starts over in his beat as a crowd gathers.</t>
  </si>
  <si>
    <t>He rearranges the buckets once again and continues drumming.</t>
  </si>
  <si>
    <t>v_l0Sz7dqLzqs</t>
  </si>
  <si>
    <t>A large crowd is seen sitting in front of a pool followed by several shots of two people diving into a pool.</t>
  </si>
  <si>
    <t>More shots are shown of divers performing impressive stunts into the pool and ends with them walking away and their score being shown.</t>
  </si>
  <si>
    <t>A man speaks off into the distance and the divers stand together to get their medals.</t>
  </si>
  <si>
    <t>v_22n4w0uferc</t>
  </si>
  <si>
    <t>A screen appears with a snowy mountain with pine trees and an overlay on the screen of a logo and words that say "Efficient Hot Waxing Tips Reduces time material waste, cost and mess".</t>
  </si>
  <si>
    <t>A pair of skis are in a workshop and a man is doing some work on them that included rounds rubbing wax on the skis, ironing the skis, scraping skis while words on the bottom appear throughout the entire process as it explains what is being done.</t>
  </si>
  <si>
    <t>The man is now sharpening the edges of a file then begins to scrape the skis, then finishes up by ironing it with different clothes between the iron and skis.</t>
  </si>
  <si>
    <t>The outro screen appears and it's the exact picture like the intro but the words now say "Checkout our video Scraping &amp; Brushing" and it also includes the company logo.</t>
  </si>
  <si>
    <t>v_9K97gmkVbyQ</t>
  </si>
  <si>
    <t>A woman is seen speaking to the camera while grabbing various bags and laying them out.</t>
  </si>
  <si>
    <t>She puts and object into a bag while pointing to a box next to her.</t>
  </si>
  <si>
    <t>She stuffs paper into the bag and ends by tying a bow on top.</t>
  </si>
  <si>
    <t>v_r3H_75-lRjE</t>
  </si>
  <si>
    <t>A man plays the harmonica on front a microphone, then he ends and say goodbye.</t>
  </si>
  <si>
    <t>Then, a girl steps on the stage and speaks with the microphone.</t>
  </si>
  <si>
    <t>v_nJMS8jN3uU4</t>
  </si>
  <si>
    <t>There are four kids of varying ages playing kick ball in their backyard.</t>
  </si>
  <si>
    <t>The girl in pink kicks the ball to her brother in the orange shirt while the little kids run around and play.</t>
  </si>
  <si>
    <t>There's a little baby sitting on the ground in a baby bouncer watching them play.</t>
  </si>
  <si>
    <t>v_V2PhVadSbpQ</t>
  </si>
  <si>
    <t>A man talks to the camera while intermittently raking leaves.</t>
  </si>
  <si>
    <t>A closeup of a pile of leaves is shown.</t>
  </si>
  <si>
    <t>v_yDCZNNI3tDo</t>
  </si>
  <si>
    <t>A lady is talking to the camera then she laughs and looks down and the camera focuses elsewhere.</t>
  </si>
  <si>
    <t>The camera is back to the lady and a man is now cutting her hair as her mouth is open in disbelief and the man is laughing as he cuts her hair in one quick motion around her head.</t>
  </si>
  <si>
    <t>The lady is so in shock and drops hair from her lap and looks down at the ground at all the hair, touches her hair, stands up to look in the mirror, screams, cries, starts freaking out, sits back down and stands back up to look in the mirror.</t>
  </si>
  <si>
    <t>The lady looks in the mirror and is smiling but you can tell she's not happy.</t>
  </si>
  <si>
    <t>v_omuYi2Vhgjo</t>
  </si>
  <si>
    <t>A young boy is seen smiling and laughing into the camera and beginning to play piano.</t>
  </si>
  <si>
    <t>The boy plays furiously on the piano at a fast pace and leads into him wearing a different shirt and still playing.</t>
  </si>
  <si>
    <t>He finishes by putting his body onto the piano and then smiling into the camera.</t>
  </si>
  <si>
    <t>v_8UJ5PGzu1PE</t>
  </si>
  <si>
    <t>A man lays a Coca Cola bottle on a bundle of hay.</t>
  </si>
  <si>
    <t>The man shots an arrow from a bow.</t>
  </si>
  <si>
    <t>The arrow uncaps the bottle.</t>
  </si>
  <si>
    <t>v_mCdKLZGnKxk</t>
  </si>
  <si>
    <t>Someone is placing a vent on the roof of a house.</t>
  </si>
  <si>
    <t>They seal the vent with glue.</t>
  </si>
  <si>
    <t>v_jKPgBtesr74</t>
  </si>
  <si>
    <t>Two boys are standing behind a table.</t>
  </si>
  <si>
    <t>They have a glass and a lemon on the table.</t>
  </si>
  <si>
    <t>They pour it into a pitcher of water and make a drink.</t>
  </si>
  <si>
    <t>They pour the drink into two glasses.</t>
  </si>
  <si>
    <t>They both take a drink out of the straw.</t>
  </si>
  <si>
    <t>v_74MEdLMrXAQ</t>
  </si>
  <si>
    <t>Boys play indoor soccer while kicking the ball and passing it to playmates, then the referee enter to the center and gives instructions.</t>
  </si>
  <si>
    <t>Then, the referee puts the ball on the goal area and a boy kick the ball, but the goalkeeper stop the ball.</t>
  </si>
  <si>
    <t>The boys play shooting the ball to the goalkeeper stops the ball.</t>
  </si>
  <si>
    <t>After, a player scores and the teams continue playing.</t>
  </si>
  <si>
    <t>v_bpfak_VIJ8o</t>
  </si>
  <si>
    <t>Several shots of landscapes are shown that leads into a man and woman speaking to the camera.</t>
  </si>
  <si>
    <t>The couple walk onto a sandy pit and pan around a group of players.</t>
  </si>
  <si>
    <t>More people are seen speaking to the camera that shows shots of them playing volleyball and ending with the couple.</t>
  </si>
  <si>
    <t>v_NVnjzpoY1O8</t>
  </si>
  <si>
    <t>An elderly priest is sitting down in his chair indoors in a large building and 3 different men break dance on the ground in front of him as the people around him start clapping and lights go off from all the flashes.</t>
  </si>
  <si>
    <t>When the men are done dancing they stand up together in front of the people and the priest, and they take their bow to the priest and to the people.</t>
  </si>
  <si>
    <t>The men then walk over to the priest and each kiss his hand and white words appear on the screen and say "Bilder: Reuters Redigering: Malin Lagerlof".</t>
  </si>
  <si>
    <t>v_AU3_oU1_rfA</t>
  </si>
  <si>
    <t>An eHow intro comes onto the screen with music in the background.</t>
  </si>
  <si>
    <t>I man appears on the screen narrating the video about how to shave.</t>
  </si>
  <si>
    <t>A man is shown getting his skin moisturized and having shaving cream buffed onto his face.</t>
  </si>
  <si>
    <t>The video ends with the eHow closing credits.</t>
  </si>
  <si>
    <t>v_-0NfmccuL9Q</t>
  </si>
  <si>
    <t>A man has a few tools and is pumping his car up some so he can take off the tire.</t>
  </si>
  <si>
    <t>He uses the tool to take off all of the nuts one by one.</t>
  </si>
  <si>
    <t>Then he grabs the tire off and moves it over and he puts on another tire.</t>
  </si>
  <si>
    <t>He does everything he did before but the opposite, putting the nuts back on in place to tighten the tire on, he then brings the car back down.</t>
  </si>
  <si>
    <t>v_sFKOnFMJF2Q</t>
  </si>
  <si>
    <t>A teen skateboards in a road, then he walks with a friend holding his skateboard, then they skateboard.</t>
  </si>
  <si>
    <t>A car enters the street where the teen skateboard.</t>
  </si>
  <si>
    <t>A youth wearing a pink t-shirt skateboard on the street.</t>
  </si>
  <si>
    <t>The teen walks holding his skateboard.</t>
  </si>
  <si>
    <t>Teens skateboard in the street making tricks and turn.</t>
  </si>
  <si>
    <t>After, two teens walk in the street, and then they skateboard.</t>
  </si>
  <si>
    <t>v_l6a56j87obQ</t>
  </si>
  <si>
    <t>A man is standing on a stage at night time with a lot of stage lights, a band behind him, and a crowd in front of him and he's playing a bag pipe.</t>
  </si>
  <si>
    <t>Another man comes onto the stage playing the guitar and the lights go flashing.</t>
  </si>
  <si>
    <t>When the man is done playing the bagpipe another man runs on the stage to grab it from him, and the man who was playing the bagpipe gets something to drink, then grabs a mic and starts singing and waving his right arm in the air.</t>
  </si>
  <si>
    <t>v_EMgWolnolDg</t>
  </si>
  <si>
    <t>Two men outside in the woods while one man wearing a knit cap balances on a rope tied across two trees while one man with a black beard supports the man with the knit cap.</t>
  </si>
  <si>
    <t>The man with the beard releases the man on the rope and moves away.</t>
  </si>
  <si>
    <t>A man in a green hoodie balances on the rope while the man in the beard supports the man on the rope.</t>
  </si>
  <si>
    <t>A Man in a grey shirt pushes off of a man wearing a black shirt and performs a back somersault and lands firmly on the leaf covered ground.</t>
  </si>
  <si>
    <t>v_wlx5YuEHsO8</t>
  </si>
  <si>
    <t>A white intro screen appears with special effects and a lot of coloring that include words, numbers, and logos.</t>
  </si>
  <si>
    <t>Men are then shown in a dark room filled with people as they put on shirts, shakes hands with others, pose and then they begin a game of Foosball while images of their flag briefly show up on the screen and a lot of people around them watch as different men team up against one another.</t>
  </si>
  <si>
    <t>When they are done playing a man and a woman are standing and talking at a mic while one man hands over a box to another man and they walk off the stage.</t>
  </si>
  <si>
    <t>The same white screen from the beginning appears with special effects and lot of colored words then it fades to black.</t>
  </si>
  <si>
    <t>v_v79nh_3vpVk</t>
  </si>
  <si>
    <t>A man in a white shirt is talking to the camera.</t>
  </si>
  <si>
    <t>A girl then talks to the camera.</t>
  </si>
  <si>
    <t>Pink water bottles are in a box.</t>
  </si>
  <si>
    <t>They walk onto the field and start playing.</t>
  </si>
  <si>
    <t>v_mFSdzT5gXQs</t>
  </si>
  <si>
    <t>A computer generated game of a man, he starts spinning.</t>
  </si>
  <si>
    <t>He turns around quickly and lets go of the frisbee and the refs run up to mark where it lands.</t>
  </si>
  <si>
    <t>The man starts to do it again, he spins and throws again.</t>
  </si>
  <si>
    <t>The score shows up on the screen before he spins and throws again and then he cheers in excitment.</t>
  </si>
  <si>
    <t>v_Vp63nbOfxgs</t>
  </si>
  <si>
    <t>Some is carrying an instrument case walking around outside, they put the case down on the ground and take out a violin.</t>
  </si>
  <si>
    <t>The woman plays the violin everywhere she goes and she dances while she plays too.</t>
  </si>
  <si>
    <t>She does some movements of her body making her back bend down almost touching the ground while still jamming out on the violin.</t>
  </si>
  <si>
    <t>She is very intense about it, she plays and plays and when she is done she walks away casually.</t>
  </si>
  <si>
    <t>v_8729_qnILMM</t>
  </si>
  <si>
    <t>A woman plays flute sit on a piano while moving her feet.</t>
  </si>
  <si>
    <t>The woman finish playing bow and smiles.</t>
  </si>
  <si>
    <t>v_Ie7DREiXp08</t>
  </si>
  <si>
    <t>A woman is seen speaking to the camera and pouring out liquids into a case.</t>
  </si>
  <si>
    <t>She then pulls contacts into the case and then places one in each eye.</t>
  </si>
  <si>
    <t>She holds up the case in the end followed by her putting the contacts back into the case.</t>
  </si>
  <si>
    <t>v_AXA-G5DdNrU</t>
  </si>
  <si>
    <t>People raft down a rocky river.</t>
  </si>
  <si>
    <t>Suddenly, the boat turn over and all men fall in the water.</t>
  </si>
  <si>
    <t>Then, people reach the shore, while a man climbs a rock.</t>
  </si>
  <si>
    <t>After, persons in a boat rescue a man in the water and recover the boat.</t>
  </si>
  <si>
    <t>two men stand in the shore next to a ladder.</t>
  </si>
  <si>
    <t>Rafters are still in the water waiting.</t>
  </si>
  <si>
    <t>v_K-rEA43wOS0</t>
  </si>
  <si>
    <t>People play beer pong while other persons watch.</t>
  </si>
  <si>
    <t>People get happy when the ball get inside a cup.</t>
  </si>
  <si>
    <t>Then, a man throw a ball inside a cup, and a person drink the liquid in the cup.</t>
  </si>
  <si>
    <t>A man throw a ball inside a cup and people congratulates and hug the man.</t>
  </si>
  <si>
    <t>v_6VNFwlzQiuc</t>
  </si>
  <si>
    <t>A person is seen speaking to the camera and walking into a tattoo shop, followed by a person getting tattooed by an artist.</t>
  </si>
  <si>
    <t>The man continues speaking to the camera while another is being tattooed in the background and continues speaking to the camera.</t>
  </si>
  <si>
    <t>v_JKCwcCMAnxg</t>
  </si>
  <si>
    <t>We see a blue title card.</t>
  </si>
  <si>
    <t>A man and a woman begin dancing in a ballroom.</t>
  </si>
  <si>
    <t>They pause and the lady sweeps her leg.</t>
  </si>
  <si>
    <t>The man dips the lady.</t>
  </si>
  <si>
    <t>The lady slides to the ground.</t>
  </si>
  <si>
    <t>The lady does the splits.</t>
  </si>
  <si>
    <t>The man lifts the lady in the air.</t>
  </si>
  <si>
    <t>We switch and see people dancing in different locations.</t>
  </si>
  <si>
    <t>We see the blue ending screen.</t>
  </si>
  <si>
    <t>v_fhXVqPPDjN8</t>
  </si>
  <si>
    <t>A man is seen dancing in a nightclub with two women around him.</t>
  </si>
  <si>
    <t>The three continue dancing with one another while others dance on the side.</t>
  </si>
  <si>
    <t>The people dance around one another while the camera captures their movements.</t>
  </si>
  <si>
    <t>v_5RKzXZ-0xQ8</t>
  </si>
  <si>
    <t>A person paint nails to a woman using purple nail polish.</t>
  </si>
  <si>
    <t>A woman is looking down.</t>
  </si>
  <si>
    <t>v_PQgydNnSggw</t>
  </si>
  <si>
    <t>A woman is seen sitting in a chair speaking and waving to the camera and looks into a mirror showing her and the camera man.</t>
  </si>
  <si>
    <t>A tattoo artist then steps into frame and begins tattooing a symbol on the girl's neck.</t>
  </si>
  <si>
    <t>In the end pictures of the girl's tattoo are shown.</t>
  </si>
  <si>
    <t>v_ulJxGEx2r7o</t>
  </si>
  <si>
    <t>An intro leads to a small group of small children standing on a stage holding instruments.</t>
  </si>
  <si>
    <t>They begin playing the instruments while the camera zooms in out of each of them playing.</t>
  </si>
  <si>
    <t>v_BZK8b0xCkB0</t>
  </si>
  <si>
    <t>A woman wearing a santa hat is talking.</t>
  </si>
  <si>
    <t>She puts Christmas lights onto the tree.</t>
  </si>
  <si>
    <t>She puts ribbon around the tree.</t>
  </si>
  <si>
    <t>She strings decorations around the tree.</t>
  </si>
  <si>
    <t>She puts bulbs on the Christmas tree.</t>
  </si>
  <si>
    <t>She puts small stuffed animals on the tree.</t>
  </si>
  <si>
    <t>She puts candy canes on the tree.</t>
  </si>
  <si>
    <t>She puts a star on the tree.</t>
  </si>
  <si>
    <t>The star falls off the tree.</t>
  </si>
  <si>
    <t>She puts cotton underneath the tree.</t>
  </si>
  <si>
    <t>v_rkgeHZjFskY</t>
  </si>
  <si>
    <t>A young girl in a room talks to a camera and shows off her hair style.</t>
  </si>
  <si>
    <t>She then goes back to before it was braided and combs it out, sectioning it off.</t>
  </si>
  <si>
    <t>She then takes two sections and intertwines them, and grabs more lengths of hair as she goes down the braid.</t>
  </si>
  <si>
    <t>She then tucks the braid to the side and grabs lengths of hair to secure it to the side and incorporates lengths from the back of her hair.</t>
  </si>
  <si>
    <t>Her hair is succesfully braided and she shows off the finished look.</t>
  </si>
  <si>
    <t>v_pbeQcGC3nXY</t>
  </si>
  <si>
    <t>A man in fencing gear begins to talk about fencing gear getting ready to talk about his fencing experiences.</t>
  </si>
  <si>
    <t>He gets dressed in his gear and goes to the studio for practice.</t>
  </si>
  <si>
    <t>He and another man practice with one another while a timer is running.</t>
  </si>
  <si>
    <t>There is a certain stance and way you move your feet when you fence that helps with moving towards and from the opponet .</t>
  </si>
  <si>
    <t>v_uCLUexLKpnU</t>
  </si>
  <si>
    <t>A camera pans all around a sky showing kites in the air.</t>
  </si>
  <si>
    <t>A person is then seen riding a kite board on the water.</t>
  </si>
  <si>
    <t>The person continues to ride around while the camera watches.</t>
  </si>
  <si>
    <t>v_eeD2_hKG7zE</t>
  </si>
  <si>
    <t>A young girl is seen standing before a set of monkey bars and smiling while speaking to the camera.</t>
  </si>
  <si>
    <t>She then carries herself along the set of monkey bars and moves back and fourth on the play set.</t>
  </si>
  <si>
    <t>She makes her way back to the start and climbs down the ladder finally looking at the camera.</t>
  </si>
  <si>
    <t>v_TXq9MO-dYhI</t>
  </si>
  <si>
    <t>A woman talks on front the blinds.</t>
  </si>
  <si>
    <t>Then, the woman plays four tam-tams, she mainly plays the tam-tam on front her.</t>
  </si>
  <si>
    <t>Then, the woman stops playing and smile.</t>
  </si>
  <si>
    <t>v_28QW8P1x_LE</t>
  </si>
  <si>
    <t>A man and two women are doing an aerobic dance inside a building.</t>
  </si>
  <si>
    <t>They perform several moves, speeding up with time.</t>
  </si>
  <si>
    <t>They stop, clapping and wiping the hair out of their faces when they are done.</t>
  </si>
  <si>
    <t>v_tSR4Pj_muN0</t>
  </si>
  <si>
    <t>A man is walking in a field.</t>
  </si>
  <si>
    <t>We see his back and see blood and a harness in his skin and another two men one who has the skin harness.</t>
  </si>
  <si>
    <t>We see the men climbing and standing on a crane high in the sky.</t>
  </si>
  <si>
    <t>The men with the skin harness jump off a crane high above a forest.</t>
  </si>
  <si>
    <t>We see the ground below.</t>
  </si>
  <si>
    <t>v_Relgb880pRI</t>
  </si>
  <si>
    <t>A cartoon of an archway is shown and leads into a man placing tomatoes onto a plate.</t>
  </si>
  <si>
    <t>He puts onions and other ingredients onto a plate and cuts up several more ingredients.</t>
  </si>
  <si>
    <t>He places the final ingredients into the bowl while talking to the camera and pans out on the meal he made.</t>
  </si>
  <si>
    <t>v_cKFTf1vZQOw</t>
  </si>
  <si>
    <t>Two male kids are outside on a driveway talking to one another.</t>
  </si>
  <si>
    <t>Once they have finished their conversation,they begin skateboarding down the road into an open park.</t>
  </si>
  <si>
    <t>The two boys arrive at their destination stop and talk then one takes off and the other boy follows him and they keep rollerblading.</t>
  </si>
  <si>
    <t>v_WXMb7XF6k8o</t>
  </si>
  <si>
    <t>A series of women are shown in close up of their faces.</t>
  </si>
  <si>
    <t>A stylist is standing beside a girl seated in his chair.</t>
  </si>
  <si>
    <t>He gives instructions on how to style her hair.</t>
  </si>
  <si>
    <t>He uses a dryer to blow her hair, then clips it.</t>
  </si>
  <si>
    <t>v_v13d7g_uUXM</t>
  </si>
  <si>
    <t>A man is seen walking into frame bending down to grab a set of weights and begins to lift himself upward.</t>
  </si>
  <si>
    <t>He then lifts the weight up over his shoulder several times while jumping to give himself momentum.</t>
  </si>
  <si>
    <t>v_FBqtQ3HCk48</t>
  </si>
  <si>
    <t>A man carves a pumpkin and a piece of ice, then the man holds a carved pumpkin and put it on a bench.</t>
  </si>
  <si>
    <t>A young man takes pictures of artistic ice sculptures, while a person carves a piece of ice in the street.</t>
  </si>
  <si>
    <t>The man shows how to carve a pumpkin using carving tools to make faces.</t>
  </si>
  <si>
    <t>The carved pumpkins with scary faces and an ice sculptures are displayed in a room.</t>
  </si>
  <si>
    <t>v_EDEFxLnf_Wk</t>
  </si>
  <si>
    <t>People are spinning on exercise bikes.</t>
  </si>
  <si>
    <t>v_OOKHi7EBNKk</t>
  </si>
  <si>
    <t>An individual wearing face covering drags an inner tube type device along the snow, surrounded by other people doing the same thing.</t>
  </si>
  <si>
    <t>The individual walks towards another individual wearing a red jacket.</t>
  </si>
  <si>
    <t>The individual hands the rein for the device to the person in the red jacket and sits on the device.</t>
  </si>
  <si>
    <t>The person in the red jacket pulls the device downhill and the first individual rides down the slope.</t>
  </si>
  <si>
    <t>The first individual dismounts and resumes pulling the device.</t>
  </si>
  <si>
    <t>The individual pulls the device along some sort of covered walkway with a moving floor.</t>
  </si>
  <si>
    <t>v_ryZuSiZNN2o</t>
  </si>
  <si>
    <t>A field of two teams are shown fighting over a lacrosse ball in the middle of a large green field.</t>
  </si>
  <si>
    <t>They then get up and continue playing across the large field.</t>
  </si>
  <si>
    <t>Shortly after,a small brawl begins in the middle of the pool and a man in a black uniform nose begins to bleed and the game is at a halt and replays are shown.</t>
  </si>
  <si>
    <t>v__IlyE43ZUH8</t>
  </si>
  <si>
    <t>An ad for Beckon Call services appears.</t>
  </si>
  <si>
    <t>A man is standing in a backyard speaking.</t>
  </si>
  <si>
    <t>He picks up several window screens while he talks about them.</t>
  </si>
  <si>
    <t>He adds them to the stack and walks away.</t>
  </si>
  <si>
    <t>v_ll4HKY9ZBOA</t>
  </si>
  <si>
    <t>A marching band stands ready on a street while an audience watches.</t>
  </si>
  <si>
    <t>The conductor conducts the band.</t>
  </si>
  <si>
    <t>The band plays on the street while the audience watches.</t>
  </si>
  <si>
    <t>v_Tb875ldI6AY</t>
  </si>
  <si>
    <t>A young man is seen speaking to the camera and begins holding a cigarette.</t>
  </si>
  <si>
    <t>The man takes a puff from the cigarette while still speaking to the camera.</t>
  </si>
  <si>
    <t>The man continues smoking while looking off and speaking to the camera.</t>
  </si>
  <si>
    <t>v_AHXcJCpvkAQ</t>
  </si>
  <si>
    <t>A title screen leads into two women stepping up and down on a block.</t>
  </si>
  <si>
    <t>They perform several different exercises on the beam and move together in a synchronized motion.</t>
  </si>
  <si>
    <t>The girls spin round and round then hope back up and then down on the beam.</t>
  </si>
  <si>
    <t>v_VmD2k_dtddc</t>
  </si>
  <si>
    <t>Two teams are on a field with referees.</t>
  </si>
  <si>
    <t>They are involved in a game of lacrosse.</t>
  </si>
  <si>
    <t>They run across the field, trying to keep the ball out of the opponent's goal.</t>
  </si>
  <si>
    <t>v_p-JFdMUWVvU</t>
  </si>
  <si>
    <t>An older man is seen standing before two pucks while another person pushes them along the ice.</t>
  </si>
  <si>
    <t>The man bends down several times and then glides along the ice with the pucks.</t>
  </si>
  <si>
    <t>v_53tCYiyAyf0</t>
  </si>
  <si>
    <t>An intro leads into a man throwing darts onto a board.</t>
  </si>
  <si>
    <t>He looks closely off into the distance and continues throwing darts.</t>
  </si>
  <si>
    <t>The camera shows the board in the end and the man throwing it.</t>
  </si>
  <si>
    <t>v_38qpTblXDTw</t>
  </si>
  <si>
    <t>A woman sits on a riding lawnmower in the distance.</t>
  </si>
  <si>
    <t>The woman drives the lawnmower towards the camera.</t>
  </si>
  <si>
    <t>The woman begins to turn the mower at a fence corner.</t>
  </si>
  <si>
    <t>v_cMndipw7_As</t>
  </si>
  <si>
    <t>A person mends steel with a welding equipment.</t>
  </si>
  <si>
    <t>A person uses a hammer and a flat equipment to remove debris.</t>
  </si>
  <si>
    <t>A person uses a flat equipment to remove melted steel debris.</t>
  </si>
  <si>
    <t>The person places two dumbbell shaped steel in opening that he is welding.</t>
  </si>
  <si>
    <t>A person uses a flat equipment to clean the welded opening.</t>
  </si>
  <si>
    <t>A person uses a flat equipment to move the dumbbell shaped steels and then removes them with his hand.</t>
  </si>
  <si>
    <t>The credits of the video is shown.</t>
  </si>
  <si>
    <t>v_gmPoDbH-odg</t>
  </si>
  <si>
    <t>A woman hands from a red bar and does several arm pull ups.</t>
  </si>
  <si>
    <t>She then uncrosses her legs and jumps down with her hands at her side.</t>
  </si>
  <si>
    <t>A Life Fitness logo then flashes on the screen.</t>
  </si>
  <si>
    <t>v_LxwKUIJdt_4</t>
  </si>
  <si>
    <t>A person is seen blow leaves around a yard using a leaf blower sitting on his back.</t>
  </si>
  <si>
    <t>The camera follows him as the man moves up and down the yard blowing leaves all around the area.</t>
  </si>
  <si>
    <t>v_gOKkjA2yvGo</t>
  </si>
  <si>
    <t>A man is sitting on a cycle bike working out.</t>
  </si>
  <si>
    <t>A man is standing up next to him talking.</t>
  </si>
  <si>
    <t>A black and white logo comes onto the screen.</t>
  </si>
  <si>
    <t>v_KvscV2XxyTE</t>
  </si>
  <si>
    <t>Gymnast Micah Ross mounts the balance beam before a celebrated audience as the crowd cheers and shouts her name.</t>
  </si>
  <si>
    <t>Her routine begins with a flip, split, and summersault.</t>
  </si>
  <si>
    <t>She then performs two backwards flips and a pirouette.</t>
  </si>
  <si>
    <t>A forward flip and jump follows along with a sideways flip.</t>
  </si>
  <si>
    <t>After briefly wobbling on the bar, Micah regains her composure and performs a forward summersault.</t>
  </si>
  <si>
    <t>Ross successfully dismounts with a double flip to the applause of the audience.</t>
  </si>
  <si>
    <t>v_KX-vl2o8U1w</t>
  </si>
  <si>
    <t>A drummer is drumming, then the stick broke.</t>
  </si>
  <si>
    <t>A boy in blue shirt hit the drum, but the big drum keeps moving, then it fell.</t>
  </si>
  <si>
    <t>A boy with earphones is drumming and the stick got stuck in the instrument.</t>
  </si>
  <si>
    <t>The band is playing, while the man is singing, the drummer fell off the his chair.</t>
  </si>
  <si>
    <t>The marching band play their drums, then one of the drummers fell on the ground, a person came to help him.</t>
  </si>
  <si>
    <t>A drummer on stage fell of the stage.</t>
  </si>
  <si>
    <t>v_3am00ii0n-o</t>
  </si>
  <si>
    <t>A guy and a lady interact.</t>
  </si>
  <si>
    <t>The lady holds up papers and books.</t>
  </si>
  <si>
    <t>The guy claps and cheers.</t>
  </si>
  <si>
    <t>The lady plays a flute while looking down a the notes on the papers.</t>
  </si>
  <si>
    <t>The lady stops playing the flute and presents it.</t>
  </si>
  <si>
    <t>The guy plays a harmonica.</t>
  </si>
  <si>
    <t>The guy looks angry, and the lady look apologetic.</t>
  </si>
  <si>
    <t>The guy puts his head down.</t>
  </si>
  <si>
    <t>The guy and lady wave bye.</t>
  </si>
  <si>
    <t>The guy takes the flute from the lady and pretends to hit her on her chin.</t>
  </si>
  <si>
    <t>v_u7dfBgc_SqU</t>
  </si>
  <si>
    <t>A woman is standing in the sunlight, posing and modeling for the camera.</t>
  </si>
  <si>
    <t>She shows off her natural hair, then demonstrates how to style it using a blow out.</t>
  </si>
  <si>
    <t>v_xcDAjcRX93A</t>
  </si>
  <si>
    <t>A man is seen standing with his arms up and then begins a gymnasts routine.</t>
  </si>
  <si>
    <t>The man continues swinging around on the uneven bars and jumping off to finish.</t>
  </si>
  <si>
    <t>The man walks away while his score is shown and his routine is shown again in slow motion.</t>
  </si>
  <si>
    <t>v_a_EkYuPdaJ0</t>
  </si>
  <si>
    <t>A man talks stand on front a fence of a backyard.</t>
  </si>
  <si>
    <t>Then, the man talks a person in a paint shop, and the person shows him tools in a showcase.</t>
  </si>
  <si>
    <t>After, the man shows the buttons of the painting machine in the backyard.</t>
  </si>
  <si>
    <t>After, the man puts blue tape on the side of the fence and covers a rail.</t>
  </si>
  <si>
    <t>Then, the man paint the fence with the hose of the machine while wearing a mask.</t>
  </si>
  <si>
    <t>The man continues explaining on front the machine and buckets of paint.</t>
  </si>
  <si>
    <t>v_DjY-7jEpxZ0</t>
  </si>
  <si>
    <t>A group of kids are in a classroom like setting standing in a circle.</t>
  </si>
  <si>
    <t>In the middle of the circle,a woman is hitting a pinata wrapped in blue wall paper.</t>
  </si>
  <si>
    <t>v_q8mReXud6fE</t>
  </si>
  <si>
    <t>little kid is jumping on dry leaves.</t>
  </si>
  <si>
    <t>woman is raking dry leaves on a yard.</t>
  </si>
  <si>
    <t>kid kneels and grabs a dry leaf to put it in the trash bin.</t>
  </si>
  <si>
    <t>v_pKV8lrvbX6Q</t>
  </si>
  <si>
    <t>A little girl swings across the monkey bars on a play ground.</t>
  </si>
  <si>
    <t>She goes across each bar before jumping to the ground.</t>
  </si>
  <si>
    <t>She goes back to the beginning, and swings across the bars again.</t>
  </si>
  <si>
    <t>v_x99PS_O6JW8</t>
  </si>
  <si>
    <t>A young man is talking to the camera outside while taking puffs off of a hookah.</t>
  </si>
  <si>
    <t>He puts the pipe away and takes a swing out of an energy drink.</t>
  </si>
  <si>
    <t>He moves the camera to show another man and continues smoking the hookah next to the other man.</t>
  </si>
  <si>
    <t>Both look into the camera while smoking and the boy still continues drinking the energy drink.</t>
  </si>
  <si>
    <t>v_X-xQLFHZIOU</t>
  </si>
  <si>
    <t>a lot of people are sitting on stands on a bullring.</t>
  </si>
  <si>
    <t>bullfighters are holding red cloth nad running to a bull.</t>
  </si>
  <si>
    <t>v_Ly21QMQ4kGA</t>
  </si>
  <si>
    <t>Several awards are pictured over a fire place and then moves to the wall on the left.</t>
  </si>
  <si>
    <t>A table of food is shown and the person recording grabs a cookie and leaves the room.</t>
  </si>
  <si>
    <t>The next room he enters,there are several people standing around playing beer pong and he proceeds to walk through the house.</t>
  </si>
  <si>
    <t>v_yyvc2OSPx1Y</t>
  </si>
  <si>
    <t>A woman is shown in wal-mart, laughing and choosing earrings from a rack.</t>
  </si>
  <si>
    <t>She sits in a chair, and an employee shoots an earring into her lobe with a piercing gun.</t>
  </si>
  <si>
    <t>She cringes in pain as it enters her ear.</t>
  </si>
  <si>
    <t>v_6TxGVSw6Ayw</t>
  </si>
  <si>
    <t>We see three separate intro screens.</t>
  </si>
  <si>
    <t>We see a man making shots in hockey with title screens in between.</t>
  </si>
  <si>
    <t>A man shoots a shot at hockey and makes it and we see a slow motion recap.</t>
  </si>
  <si>
    <t>The man takes another shot and makes it and we see a recap of that as well.</t>
  </si>
  <si>
    <t>We see the shot from above, and a recap.</t>
  </si>
  <si>
    <t>v_FqlXey9KFZA</t>
  </si>
  <si>
    <t>A guy is operating a electric presser.</t>
  </si>
  <si>
    <t>A man is whipping with a dark rug.</t>
  </si>
  <si>
    <t>The guy is gesturing at the machine's work.</t>
  </si>
  <si>
    <t>v_xeFS0RuvVGA</t>
  </si>
  <si>
    <t>A group of boys play water catch with a yellow ball in an outdoor pool surrounded by a fence and tall trees and foliage.</t>
  </si>
  <si>
    <t>A group of boys play catch in an outdoor pool with a yellow ball , throwing the ball to each other and and then throwing the ball out of the pool to an unseen party.</t>
  </si>
  <si>
    <t>The ball is thrown back into the pool and the boys proceed to throw it back out again.</t>
  </si>
  <si>
    <t>v_mi6wetIKq2w</t>
  </si>
  <si>
    <t>An intro filled with special effects of different screens coming together appear and the end result is a square sign that reads "GETITSWEET GET IT SWEET 2014" and the color them is white, pink, dark pink, and brown with the effect of chocolate dripping from the top portion of the sign.</t>
  </si>
  <si>
    <t>A batch of cinnamon roll cookies on a tray appear and a quick list of the ingredients appear along with the actual ingredients in different bowls.</t>
  </si>
  <si>
    <t>The ingredients are now shown being poured into a large clear bowl getting mixed up with a hand mixer, and instructions occasionally pop up on the screen.</t>
  </si>
  <si>
    <t>When the ingredients are thoroughly mixed the person flattens it between plastic, cools it, then puts it on a cutting board to roll it out, then adds sugar and cinnamon to the flat surface.</t>
  </si>
  <si>
    <t>The person then rolls it and puts it on a piece of saran wrap that's next to the cutting board then wraps the saran wrap around it, rolls it a little where the instructions say to cool it for 30 minutes.</t>
  </si>
  <si>
    <t>Once it's done being cooled it's removed,sliced on the cutting board, placed on a cooking sheet, and then cooked.</t>
  </si>
  <si>
    <t>The cooked products are then shown on white plates with a cup of coffee and the person picks it up and bites it.</t>
  </si>
  <si>
    <t>The last screen is a youtube promotion of the person's channel that has 2 small videos you can click on, and wording encouraging you to subscribe.</t>
  </si>
  <si>
    <t>v_CzXF0CQn2Fk</t>
  </si>
  <si>
    <t>people are in a small room dancing doing a choreography.</t>
  </si>
  <si>
    <t>the man stops dancing and keep doing the choreography.</t>
  </si>
  <si>
    <t>man wearing red shorts and grey shirt leading the choreography in front of the people in the room.</t>
  </si>
  <si>
    <t>v_Z-gDuGMpClo</t>
  </si>
  <si>
    <t>A window on a car is tolled down and a shirtless man walks to the are.</t>
  </si>
  <si>
    <t>We see shirtless men in small tight underwear washing cars.</t>
  </si>
  <si>
    <t>The men walk in the parking lot in a line with only underwear on.</t>
  </si>
  <si>
    <t>A man shakes his wet hair.</t>
  </si>
  <si>
    <t>A man washes another man's butt.</t>
  </si>
  <si>
    <t>A man wipes the water back and looks at the camera.</t>
  </si>
  <si>
    <t>Men do dances in a line and scenes of washing the car.</t>
  </si>
  <si>
    <t>v_Rc_pWU_3WLk</t>
  </si>
  <si>
    <t>Two sumo wrestlers stand in an arena.</t>
  </si>
  <si>
    <t>One knocks the other one out.</t>
  </si>
  <si>
    <t>The winner stands tall on the arena.</t>
  </si>
  <si>
    <t>The crowd looks at the winner.</t>
  </si>
  <si>
    <t>v_WwDGutCfElc</t>
  </si>
  <si>
    <t>The video shows a man in glasses and headphones, wearing a brown hat and shirt doing a tutorial on how to play a PVC flute.</t>
  </si>
  <si>
    <t>He takes the flute in his hands and begins playing by moving his fingers along the holes as he blows into the flute.</t>
  </si>
  <si>
    <t>He continues playing the flute till he finishes the tune.</t>
  </si>
  <si>
    <t>v_BlfFKVGQbi8</t>
  </si>
  <si>
    <t>A man plays many games of shuffleboard in a room occupied by other people and many other shuffle boards.</t>
  </si>
  <si>
    <t>A man in a collared shirt and glasses plays shuffleboard with metal pucks and a long wooden shuffleboard in front of a lit scoreboard in a room.</t>
  </si>
  <si>
    <t>The man puts paper towels over his eyes and under his glasses to absorb sweat from the intensity of the shuffleboard game.</t>
  </si>
  <si>
    <t>The man continues to play shuffleboard with a few onlookers in a room with a final visual shot of all but one of the pucks off of the shuffleboard.</t>
  </si>
  <si>
    <t>v_OzjjQ4SZ8PY</t>
  </si>
  <si>
    <t>A woman wearing scuba diving gear is under the water.</t>
  </si>
  <si>
    <t>She explores the ocean floor, looking at the fish and wildlife as a man swims behind her.</t>
  </si>
  <si>
    <t>They give ok signals to the person with the camera.</t>
  </si>
  <si>
    <t>v_Yr6Oyltj6Eo</t>
  </si>
  <si>
    <t>An athletic woman is shown jumping in slow motion over a pole, followed by several more women attempting the same jump.</t>
  </si>
  <si>
    <t>Several more women follow behind performing the jump while the camera captures them in slow motion.</t>
  </si>
  <si>
    <t>v_0tJ7eW6TKKM</t>
  </si>
  <si>
    <t>The people are shown slowly jogging in this marathon.</t>
  </si>
  <si>
    <t>There is only one man who juggles white balls in his hands while jogging backwards throughout the whole thing.</t>
  </si>
  <si>
    <t>In the end, the number of people lessens and there is just one person running and the man who juggles balls.</t>
  </si>
  <si>
    <t>v_SLfZUqfyfjs</t>
  </si>
  <si>
    <t>A man is outside trying to shovel off snow off of their windshield.</t>
  </si>
  <si>
    <t>The man then goes inside and starts talking.</t>
  </si>
  <si>
    <t>Once finished,he walks outside from his garage and test the product of the IceScreen.</t>
  </si>
  <si>
    <t>v_uy7WAwrrNiA</t>
  </si>
  <si>
    <t>People are standing on a field looking up at kites in the sky.</t>
  </si>
  <si>
    <t>A kite is shown in the sky by a tree.</t>
  </si>
  <si>
    <t>A boy chases after the kite and catches is.</t>
  </si>
  <si>
    <t>v_KxWvKN_kGMY</t>
  </si>
  <si>
    <t>Various pictures show people bring canoes off a truck and loading them into the water.</t>
  </si>
  <si>
    <t>The people are then seen fishing as well as riding down the river shown in several pictures.</t>
  </si>
  <si>
    <t>v_WTOTYZOu3MQ</t>
  </si>
  <si>
    <t>The barefoot man serve the ball but missed it.</t>
  </si>
  <si>
    <t>The man served the ball and hit the wall but it just bounced so low that the man can't hit it.</t>
  </si>
  <si>
    <t>The man chase after the ball picke it up and hit, then a shirtless man came up to him and teach him how to serve the ball.</t>
  </si>
  <si>
    <t>v_eS445rQ9SBo</t>
  </si>
  <si>
    <t>A woman is smiling at the camera.</t>
  </si>
  <si>
    <t>The woman takes an iron and starts ironing a white shirt in small circular patterns.</t>
  </si>
  <si>
    <t>The woman uses both hands to push the iron.</t>
  </si>
  <si>
    <t>She resumes ironing with one hand in the same spot.</t>
  </si>
  <si>
    <t>The woman inspects the star on the shirt.</t>
  </si>
  <si>
    <t>The woman then resumes ironing the pattern.</t>
  </si>
  <si>
    <t>The woman peels the paper away from the pattern and then resumes ironing.</t>
  </si>
  <si>
    <t>The woman holds up the the shirt after she is done.</t>
  </si>
  <si>
    <t>v_Gl8HTsP7Jfk</t>
  </si>
  <si>
    <t>A boy speaks to a camera while holding a lacrosse stick and hitting balls into a net.</t>
  </si>
  <si>
    <t>The boy throws several balls into the net over and over again hitting directly into the net.</t>
  </si>
  <si>
    <t>v_I9HV59QQkNw</t>
  </si>
  <si>
    <t>A man is sitting on a couch, drinking a beer from a bottle.</t>
  </si>
  <si>
    <t>He drops the bottle from his mouth, smiling.</t>
  </si>
  <si>
    <t>v_pG0uYjcjBR8</t>
  </si>
  <si>
    <t>People are standing around in a circle.</t>
  </si>
  <si>
    <t>Two people begin fighting in the circle.</t>
  </si>
  <si>
    <t>A man is doing flips outside on the grass.</t>
  </si>
  <si>
    <t>They continue to flight inside the circle.</t>
  </si>
  <si>
    <t>A man is standing outside talking in front of a street.</t>
  </si>
  <si>
    <t>A man does several back flips on the grass.</t>
  </si>
  <si>
    <t>v_u4nL6NXfsak</t>
  </si>
  <si>
    <t>A woman stands talking to the camera, with a dog in front of her.</t>
  </si>
  <si>
    <t>The woman holds the dog's front leg as she talks.</t>
  </si>
  <si>
    <t>The woman brushes the dog with a blue brush.</t>
  </si>
  <si>
    <t>v_B_NQ_U2JEp4</t>
  </si>
  <si>
    <t>A ad for premier packaging appears.</t>
  </si>
  <si>
    <t>A woman is standing in an office in front of a basket filled with small gifts.</t>
  </si>
  <si>
    <t>She shows how she used cellophane and a hair dryer to shrink wrap the gifts in the basket and keep the safe and presentable.</t>
  </si>
  <si>
    <t>v_r1v5fEOypSM</t>
  </si>
  <si>
    <t>A person rides a wake board behind a boat through the choppy water.</t>
  </si>
  <si>
    <t>The wake boarder jumps over the wake of the boat and does flips.</t>
  </si>
  <si>
    <t>The wake boarder does a final jump and falls into the water.</t>
  </si>
  <si>
    <t>v_9N1525JmqZQ</t>
  </si>
  <si>
    <t>A close up of a fireplace is seen with the camera moving around the front.</t>
  </si>
  <si>
    <t>The camera zooms in on the pit and shows a man kneeling own in front.</t>
  </si>
  <si>
    <t>The man lays plaster out on the front and begins putting tiling down over the plaster.</t>
  </si>
  <si>
    <t>v_q7Pp1TAgv3I</t>
  </si>
  <si>
    <t>The video pans into several shots of people performing arm wrestling matches and screaming afterwards.</t>
  </si>
  <si>
    <t>Many people are seen playing with one another and screaming to the crowd after their performance.</t>
  </si>
  <si>
    <t>v_TwQQPCjT_A4</t>
  </si>
  <si>
    <t>A man and a woman are sitting behind a table.</t>
  </si>
  <si>
    <t>Players are playing soccer on dirt, outside.</t>
  </si>
  <si>
    <t>Fans and players cheer or celebrate.</t>
  </si>
  <si>
    <t>v_Uru0CastJqU</t>
  </si>
  <si>
    <t>A person is seen walking forward and jumping up and down and diving in a pool.</t>
  </si>
  <si>
    <t>The same person is shown several more times performing various dives off a high board while the camera captures him from several angles.</t>
  </si>
  <si>
    <t>v_1GXQLnTalcg</t>
  </si>
  <si>
    <t>A video tutorial plays with a woman talking in the background about how to brush your teeth.</t>
  </si>
  <si>
    <t>She lists out the tools you need and steps to brush.</t>
  </si>
  <si>
    <t>A man opens a bottle and puts toothpaste on it.</t>
  </si>
  <si>
    <t>He begins brushing his teeth following the woman's instructions.</t>
  </si>
  <si>
    <t>The man rinses his mouth out with water and smiles with the woman's voice.</t>
  </si>
  <si>
    <t>v_d1JA5V3hO3Q</t>
  </si>
  <si>
    <t>A man talks in a blue room then sprays a toy car and pretends to wash it.</t>
  </si>
  <si>
    <t>We see a title screen and people in suits wash cars as a joke.</t>
  </si>
  <si>
    <t>A man and a small boy with high powered hoses wash cars followed by cheerleaders.</t>
  </si>
  <si>
    <t>We see a black van with people getting out and a man in a top hat touch the car.</t>
  </si>
  <si>
    <t>The people get in the black van and drive away adn teh car owners stand on the street.</t>
  </si>
  <si>
    <t>We then see the ending scene.</t>
  </si>
  <si>
    <t>v_FsQWaEejutU</t>
  </si>
  <si>
    <t>A man is smoking a pipe and blowing smoke rings.</t>
  </si>
  <si>
    <t>The man uses profanity and flips the camera off.</t>
  </si>
  <si>
    <t>Another man is standing by watching him.</t>
  </si>
  <si>
    <t>v_ZwDfAhQVKLQ</t>
  </si>
  <si>
    <t>A person is seen walking into frame in a dark room and walks down a long set of stairs.</t>
  </si>
  <si>
    <t>A man is seen in the corner moving back and fourth on exercise equipment.</t>
  </si>
  <si>
    <t>A woman then speaks to the man as he continues rowing and showing a close up of the machine.</t>
  </si>
  <si>
    <t>v_aEyTdUOp-qs</t>
  </si>
  <si>
    <t>A man walks up with a mop and bucket.</t>
  </si>
  <si>
    <t>He takes them up out of the bucket and begins to mop the floor.</t>
  </si>
  <si>
    <t>After a moment she begins to pretend that he is dancing with the mop.</t>
  </si>
  <si>
    <t>v_jfnFrt9nfSo</t>
  </si>
  <si>
    <t>A man in a blue shirt is playing basketball on a court.</t>
  </si>
  <si>
    <t>He shoots at the hoop and misses it.</t>
  </si>
  <si>
    <t>A person in a white shirt is standing behind them on a tennis court.</t>
  </si>
  <si>
    <t>v_CCL8kqQMCRw</t>
  </si>
  <si>
    <t>A young boy attempts to break open a pinata at his birthday party inside a garage.</t>
  </si>
  <si>
    <t>Another boy nearly walks into the range of the boy's stick but is saved by an adult.</t>
  </si>
  <si>
    <t>The boy continues bashing the pinata before taking a break and handing the stick to another boy.</t>
  </si>
  <si>
    <t>v_M-IRMq2DmY0</t>
  </si>
  <si>
    <t>A brunette woman is sitting in a bubble bath with one leg out shaving it with a pink razor.</t>
  </si>
  <si>
    <t>The woman goes up one stroke of the razor and begins again.</t>
  </si>
  <si>
    <t>She repeats this process shaving up the leg and beginning again a few times around her leg.</t>
  </si>
  <si>
    <t>v__4wEUsTft44</t>
  </si>
  <si>
    <t>In a blue room two men are using tools and fixing up the carpet.</t>
  </si>
  <si>
    <t>It seems like they just put in new carpet and now they are making sure it is held down correctly.</t>
  </si>
  <si>
    <t>They use a nail gun of some type to nail the ends of the corner.</t>
  </si>
  <si>
    <t>One of the men walks around checking to see if anything is missed.</t>
  </si>
  <si>
    <t>v_ZLXhlWhrkno</t>
  </si>
  <si>
    <t>We see a clearing in the woods.</t>
  </si>
  <si>
    <t>We zoom in on a buck walking in the woods.</t>
  </si>
  <si>
    <t>The buck stops and looks left, then right.</t>
  </si>
  <si>
    <t>The buck is drinking from a puddle the runs off startled.</t>
  </si>
  <si>
    <t>The buck stands in the clearing.</t>
  </si>
  <si>
    <t>A man is working with a bow while another films the animal.</t>
  </si>
  <si>
    <t>The hunter shoots the animal with a bow and it dies slowly.</t>
  </si>
  <si>
    <t>The hunter is photographed with the dead animal.</t>
  </si>
  <si>
    <t>v_eCd8x8KqxKQ</t>
  </si>
  <si>
    <t>Several shots of a casino are shown as well as people getting passes and walking around the inside.</t>
  </si>
  <si>
    <t>The camera pans around several tables of games being played as well as slot machines and people playing with one another.</t>
  </si>
  <si>
    <t>v_ISJodiRZ_uo</t>
  </si>
  <si>
    <t>A girl with braided hair asks a worker at an equestrian center some questions.</t>
  </si>
  <si>
    <t>The woman responds and talks about horse care.</t>
  </si>
  <si>
    <t>The girl brushes the horse's mane.</t>
  </si>
  <si>
    <t>The two continue going over horse care.</t>
  </si>
  <si>
    <t>The girl and woman both work on brushing techniques.</t>
  </si>
  <si>
    <t>The woman brushes the horses tail is lots of care as the girl watches.</t>
  </si>
  <si>
    <t>v_xZdCmghMcvU</t>
  </si>
  <si>
    <t>A woman stands by watching a chef removing leaves from a piece of lettuce.</t>
  </si>
  <si>
    <t>The chef shows the woman how to cut some parts of the lettuce.</t>
  </si>
  <si>
    <t>The chef and the woman have a long conversation regarding the lettuce.</t>
  </si>
  <si>
    <t>v_AjohJX4RedM</t>
  </si>
  <si>
    <t>A woman is sitting on a rowing machine.</t>
  </si>
  <si>
    <t>The woman places her feet into the straps of the rowing machine.</t>
  </si>
  <si>
    <t>The woman holds onto the rowing cables and rows.</t>
  </si>
  <si>
    <t>The woman stops and demonstrates the motor area of the machine.</t>
  </si>
  <si>
    <t>Back sitting on the rowing machine, she rows one more time and places the cables down.</t>
  </si>
  <si>
    <t>The woman removes her feet from the straps.</t>
  </si>
  <si>
    <t>v_C4QrTmNDADY</t>
  </si>
  <si>
    <t>A man is seen laying on the floor and begins demonstrating how to properly perform dance moves as well as the wrong way to perform them.</t>
  </si>
  <si>
    <t>The man continues moving all around the floor and leads into several clips of people performing the move.</t>
  </si>
  <si>
    <t>v_dXTfrVz9A9o</t>
  </si>
  <si>
    <t>A man cleans the snow with a self lifted shovel that has a rod to impulse up the shovel.</t>
  </si>
  <si>
    <t>The man puts the shovel in the snow and it lifts and throws snow.</t>
  </si>
  <si>
    <t>The man shovel heavy hardened snow from the ground effortlessly.</t>
  </si>
  <si>
    <t>The person shows the shovel that has behind a weight lifter.</t>
  </si>
  <si>
    <t>v_TSVdiNxLu50</t>
  </si>
  <si>
    <t>Several shots are shown of people walking on a beach and leads into many people surfing on the water.</t>
  </si>
  <si>
    <t>Dozens of people are shown in various clips riding along waves in the water as well as people sitting in the water from behind.</t>
  </si>
  <si>
    <t>v_MMnTMB6AmuU</t>
  </si>
  <si>
    <t>A woman stands up and starts jump roping.</t>
  </si>
  <si>
    <t>The rest of the women stand up and join her jump roping.</t>
  </si>
  <si>
    <t>They do a hand stand on the ground in front of them.</t>
  </si>
  <si>
    <t>v_Lv6ypQZWIEg</t>
  </si>
  <si>
    <t>A young child walks across some sand carrying equipment around her waist.</t>
  </si>
  <si>
    <t>While on a school field, she throws a stick.</t>
  </si>
  <si>
    <t>Back on the sand, she continues walking with the equipment attached to her waist.</t>
  </si>
  <si>
    <t>She throws a pebble into the beach.</t>
  </si>
  <si>
    <t>On a school track, she throws a stick.</t>
  </si>
  <si>
    <t>She throws another stick in a grassy field, where her coaches watch on.</t>
  </si>
  <si>
    <t>A man gives her a medal.</t>
  </si>
  <si>
    <t>In a grassy field, she throws a stick.</t>
  </si>
  <si>
    <t>v_MXbwIfqSq_Q</t>
  </si>
  <si>
    <t>A picture of a man is shown and then drawings of human vertebrae.</t>
  </si>
  <si>
    <t>The man in gray out is standing in a room and started to rotate his hands forward and backward.</t>
  </si>
  <si>
    <t>The man is swaying side to side and move his arms in front of him.</t>
  </si>
  <si>
    <t>v_V9ktV85lA9E</t>
  </si>
  <si>
    <t>A man is standing in front of a cat who keeps walking on his wrapping paper.</t>
  </si>
  <si>
    <t>The man pushes the cat down on the paper and folds it around the cat.</t>
  </si>
  <si>
    <t>He then tapes the paper onto the cat, leaving only the head sticking out.</t>
  </si>
  <si>
    <t>He then places a bow on the cat's head.</t>
  </si>
  <si>
    <t>v_S1bEYnNyLZE</t>
  </si>
  <si>
    <t>A mother tries to brush a baby's teeth.</t>
  </si>
  <si>
    <t>The baby takes the toothbrush and tries herself.</t>
  </si>
  <si>
    <t>The baby spits out some of this toothpaste but keeps trying.</t>
  </si>
  <si>
    <t>v_E2sbaDQabkA</t>
  </si>
  <si>
    <t>A black and yellow jump rope lies on the floor while three people are in the background.</t>
  </si>
  <si>
    <t>The title, "Jump Rope Steffisburg", appears on the screen while several people in green shirts run behind.</t>
  </si>
  <si>
    <t>Two young women perform a somersault.</t>
  </si>
  <si>
    <t>A large group of people in green shirts perform various jump rope stunts in a large gymnasium.</t>
  </si>
  <si>
    <t>Someone picks up a yellow and black jump rope from the floor and walks off with it.</t>
  </si>
  <si>
    <t>v_kq7KVmvkYPc</t>
  </si>
  <si>
    <t>A black screen advertises the video.</t>
  </si>
  <si>
    <t>A man is shown lying down while someone shaves his beard.</t>
  </si>
  <si>
    <t>The blade is shown very close to the skin as the man shaves him carefully, rinsing between scrapings.</t>
  </si>
  <si>
    <t>The screen fades to black as the man finishes the shaving.</t>
  </si>
  <si>
    <t>v_sI7qq85QaA0</t>
  </si>
  <si>
    <t>Two males play table tennis in a small room.</t>
  </si>
  <si>
    <t>Another man walks in the background.</t>
  </si>
  <si>
    <t>v_kbK-9Me0BnA</t>
  </si>
  <si>
    <t>A group of women are standing around as one of them is on a camel .</t>
  </si>
  <si>
    <t>The camel lifts up an the trainers and other friends stare on.</t>
  </si>
  <si>
    <t>They seem to be having a great time as the camera pulls back to show them all.</t>
  </si>
  <si>
    <t>They move ahead with the camel very slowly an the lady riding it waves.</t>
  </si>
  <si>
    <t>The video then cuts, showing the camel come to a stop before dropping down to the ground to let the woman off.</t>
  </si>
  <si>
    <t>She pets it and the video ends.</t>
  </si>
  <si>
    <t>v_U-ApHGUtLMA</t>
  </si>
  <si>
    <t>Guys are standing around near a stall.</t>
  </si>
  <si>
    <t>A guy horseback riding chases a cattle.</t>
  </si>
  <si>
    <t>The guy lassoes the cattle and gets off his horse to tie up the cattle's legs.</t>
  </si>
  <si>
    <t>Two men remove the rope around the cattle's neck and legs.</t>
  </si>
  <si>
    <t>The cattle rises and runs away.</t>
  </si>
  <si>
    <t>v_8xYzQMbI5fM</t>
  </si>
  <si>
    <t>A person is seen making marks on a paper using a tool as well as a pencil.</t>
  </si>
  <si>
    <t>He then screws the tools in place of the holes and the camera pans down the finished area.</t>
  </si>
  <si>
    <t>He then wipes down the area, measures out more area, and then rolling the paper down over a tool.</t>
  </si>
  <si>
    <t>Finally he takes a sharp object and runs it all along the paper.</t>
  </si>
  <si>
    <t>v_kRMskyrrRcA</t>
  </si>
  <si>
    <t>A person in a holding a Rubik's Cube.</t>
  </si>
  <si>
    <t>The person starts to solve the Rubik's Cube.</t>
  </si>
  <si>
    <t>The person places the solved Rubik's Cube on the desk and hurriedly click something.</t>
  </si>
  <si>
    <t>The person shows his computer screen.</t>
  </si>
  <si>
    <t>The person picks up the Rubik's Cube and shows each face of the solved Rubik's Cube.</t>
  </si>
  <si>
    <t>v_rC24UspQv14</t>
  </si>
  <si>
    <t>The boy is standing under the tree with blindfold thing to hit the pinata but missed it.</t>
  </si>
  <si>
    <t>A man came up to him and assist him, the boy hit the pinata once.</t>
  </si>
  <si>
    <t>The man rotate the little girl and then let walk a little and the girl hit the pinata.</t>
  </si>
  <si>
    <t>A young man hit the pinata ad the kids are lined up to take their turns to hit the pinata.</t>
  </si>
  <si>
    <t>v_qcaaF0SqVss</t>
  </si>
  <si>
    <t>A wrestler in maroon brief is provoking the black man.</t>
  </si>
  <si>
    <t>The black man attacked the other wrestler but he was knocked down.</t>
  </si>
  <si>
    <t>The wrestler with maroon brief carried the black man and slam him on the floor.</t>
  </si>
  <si>
    <t>v_KNpeiKm3xyM</t>
  </si>
  <si>
    <t>There's a man sitting with the Olympics logo behind him, talking about sports.</t>
  </si>
  <si>
    <t>A group photograph of a many people of different age groups is shown.</t>
  </si>
  <si>
    <t>There are some people playing beach volley ball in the sand on a sunny day with several people watching them.</t>
  </si>
  <si>
    <t>One of the players hits the ball to his opponent by punching it with his fist.</t>
  </si>
  <si>
    <t>Another player returns the ball by kicking it across the net.</t>
  </si>
  <si>
    <t>The players continue playing the game by punching the ball across the net.</t>
  </si>
  <si>
    <t>v_8KxL1itwI3Q</t>
  </si>
  <si>
    <t>An open field is covered in snow and then suddenly a large bear appears on a table and is then put in a box.</t>
  </si>
  <si>
    <t>Martha Stewart then begins taping the box.</t>
  </si>
  <si>
    <t>The box is then placed on top of the counter and wrapping paper is put on both ends to about six inches up the box.</t>
  </si>
  <si>
    <t>More wrapping paper is then pulled out and wrapped around the now covered box in the center.</t>
  </si>
  <si>
    <t>After being taped,several red glitter bows are placed on top of the wrapping paper.</t>
  </si>
  <si>
    <t>On the counter,appears several more rows of rapping paper and tubes.</t>
  </si>
  <si>
    <t>The socks are then placed in a tube and covered in the silver wrapping paper.</t>
  </si>
  <si>
    <t>The woman then takes a circular shaped object and traces it with a pencil and makes squiggles in the middle of it.</t>
  </si>
  <si>
    <t>After they are cut out,they are placed on the end of the tubes and stacked together to give the illusion of fire wood.</t>
  </si>
  <si>
    <t>v_bKEvJveN6k4</t>
  </si>
  <si>
    <t>A group of kids are throwing balls at one another in a bouncy room where the floors are inflatable bounce platforms.</t>
  </si>
  <si>
    <t>The children on the right side of the room throw balls at the children on the left side of the room as balls come flying onto their side of the mat in an effort to hit them.</t>
  </si>
  <si>
    <t>The children hurl and dodge with one child in a blue t-shirt retreating into the far right corner of the bounce room to try to avoid a ball which comes hurling at him from the other side.</t>
  </si>
  <si>
    <t>v_zW_8T8w7304</t>
  </si>
  <si>
    <t>A young child is seen mopping a floor with a mop and moving around all areas of the room.</t>
  </si>
  <si>
    <t>He stops to play with the mop a bit and pushes a box back under a stand.</t>
  </si>
  <si>
    <t>v_a68k87VXX1c</t>
  </si>
  <si>
    <t>A woman in a black shirt is dancing in a room.</t>
  </si>
  <si>
    <t>A small dog on the floor next to her watches.</t>
  </si>
  <si>
    <t>She claps her hands together at the end.</t>
  </si>
  <si>
    <t>v_45Bscg4Qe-I</t>
  </si>
  <si>
    <t>A group of people go to a bowling alley and fail hilariously.</t>
  </si>
  <si>
    <t>A woman talks to the pins and figures out how the pins are set up and replaced.</t>
  </si>
  <si>
    <t>v_XptFota2__4</t>
  </si>
  <si>
    <t>A small group of people are seen sitting around a table speaking to one another while using a hookah and vapor pen at the same time.</t>
  </si>
  <si>
    <t>The men continue smoking and looking into the camera when one starts showing off his body and panning around the room.</t>
  </si>
  <si>
    <t>v_M1hPI8WvySo</t>
  </si>
  <si>
    <t>A tutorial on how to wrap a gift, first you put doe enough wrapping paper and place the gift on top of it to make sure it is a decent size.</t>
  </si>
  <si>
    <t>Then, You fold one of the corners of the wrapping paper into triangles and press it out repeatedly.</t>
  </si>
  <si>
    <t>You would then cut the edges and tape doen the outside of the wrapping so it sticks down.</t>
  </si>
  <si>
    <t>Finally, You put the gift inside of the paper and fold the paper around it nicely and tape it down and you have a pretty wrapped present.</t>
  </si>
  <si>
    <t>v__cZD6JN-SYg</t>
  </si>
  <si>
    <t>Various pictures of men are shown in the beginning of the video followed by several lines of text shown.</t>
  </si>
  <si>
    <t>The men are then seen kicking soccer balls into a goal while they save some and the goalie blocks.</t>
  </si>
  <si>
    <t>v_W4XaqnwD6gU</t>
  </si>
  <si>
    <t>A man is seen playing a violin while the camera pans all around him moving his arms up and down.</t>
  </si>
  <si>
    <t>The man continues to play while others play behind him and the violinist playing and looking at the audience.</t>
  </si>
  <si>
    <t>v_kl_JsmJ84PI</t>
  </si>
  <si>
    <t>A group of people are seen playing a game of soccer in an indoor field while a group of people watch on the sides.</t>
  </si>
  <si>
    <t>People shown fighting in the stands and players walk around watching the fight and the paramedics take a man away.</t>
  </si>
  <si>
    <t>v_L2MfC4jcRo0</t>
  </si>
  <si>
    <t>A screen with text gives details of an event.</t>
  </si>
  <si>
    <t>Boys faces are seen up close in an intense facial expression.</t>
  </si>
  <si>
    <t>Two boys play an intense game of table soccer.</t>
  </si>
  <si>
    <t>The boy wins the game and the other strikes him with a handle of the table tennis game.</t>
  </si>
  <si>
    <t>v_avBlEff5U5U</t>
  </si>
  <si>
    <t>A man is in his front yard going back and forth mowing his lawn.</t>
  </si>
  <si>
    <t>The video then shows him mowing the lawn in a different location than the first location.</t>
  </si>
  <si>
    <t>v_DfpUMDpSbS4</t>
  </si>
  <si>
    <t>A man is seen speaking to the camera while standing behind a set of weights and pointing to his body.</t>
  </si>
  <si>
    <t>The man then bends down and grabs the bar while still speaking to the camera.</t>
  </si>
  <si>
    <t>The man lifts the bar up then back down again while still speaking to the camera.</t>
  </si>
  <si>
    <t>v_yCPeF59MOEk</t>
  </si>
  <si>
    <t>A man in a white tuxedo is led to a pinata by a woman in a wedding dress.</t>
  </si>
  <si>
    <t>He hits at the pinata that keeps moving up and down.</t>
  </si>
  <si>
    <t>v_1RQOgX36Z2E</t>
  </si>
  <si>
    <t>A man is working inside a shop.</t>
  </si>
  <si>
    <t>He rolls a tire over to a piece of equipment.</t>
  </si>
  <si>
    <t>He shows how to mount the tire onto the equipment.</t>
  </si>
  <si>
    <t>v_xlPpP0eVL9A</t>
  </si>
  <si>
    <t>A woman is talking inside an office.</t>
  </si>
  <si>
    <t>She is shown giving a facial treatment to an older woman.</t>
  </si>
  <si>
    <t>She wipes her face down with substances and lotions.</t>
  </si>
  <si>
    <t>v_q53Ajkll_kw</t>
  </si>
  <si>
    <t>A woman in a black dress is playing a bag pipe on stage.</t>
  </si>
  <si>
    <t>The word "Ilbo" is in a red font and scrolls down on the left hand side of the screen.</t>
  </si>
  <si>
    <t>The camera zooms into the woman's fingers.</t>
  </si>
  <si>
    <t>The camera shifts to somebody playing a piano.</t>
  </si>
  <si>
    <t>A band is also playing musical instruments in the background.</t>
  </si>
  <si>
    <t>The camera zooms into the face of the woman playing the bag pipe.</t>
  </si>
  <si>
    <t>The woman finishes playing and the audience applause.</t>
  </si>
  <si>
    <t>v_hYBctolxeqQ</t>
  </si>
  <si>
    <t>a boy sits in his room behind a large drum set.</t>
  </si>
  <si>
    <t>He plays the drums and cymbals gently.</t>
  </si>
  <si>
    <t>He speeds up his tempo and strength as he builds confidence.</t>
  </si>
  <si>
    <t>v_ABMVo0NDhKo</t>
  </si>
  <si>
    <t>A guy is standing on a beach flying a kite.</t>
  </si>
  <si>
    <t>The guy continuously looks away from the kite's position.</t>
  </si>
  <si>
    <t>A man approaches the guy.</t>
  </si>
  <si>
    <t>v_T3XGYHEFVIQ</t>
  </si>
  <si>
    <t>A man is wearing protective gear.</t>
  </si>
  <si>
    <t>He is using a welder and creating a bright light as he works on metal.</t>
  </si>
  <si>
    <t>When he is done, he stops and looks at the camera, showing off the completed welding.</t>
  </si>
  <si>
    <t>v_It2fslENHXs</t>
  </si>
  <si>
    <t>An large outdoor sports field is shown.</t>
  </si>
  <si>
    <t>A man runs and does a successful pole vault.</t>
  </si>
  <si>
    <t>He stands up from the pad and picks up the pole.</t>
  </si>
  <si>
    <t>v_FT_34R0dZnA</t>
  </si>
  <si>
    <t>A camera pans around a park as well as a lake and a man speaking to the camera.</t>
  </si>
  <si>
    <t>The camera pans around a canoe filled with objects and leads into the man padding down and speaking to the camera.</t>
  </si>
  <si>
    <t>More shots are shown of animals nearby as well as a man and woman speaking to the camera.</t>
  </si>
  <si>
    <t>v_b02GzZM5iGI</t>
  </si>
  <si>
    <t>People are playing volleyball on a beach.</t>
  </si>
  <si>
    <t>A girl falls down onto the sand.</t>
  </si>
  <si>
    <t>A girl raises her hands in the air.</t>
  </si>
  <si>
    <t>v_IjKWgD0y4rc</t>
  </si>
  <si>
    <t>A white screen appears with black text that comes in twice on the screen and then scrolls off screen while fading out.</t>
  </si>
  <si>
    <t>Three children in life vests and two supervising adults are on a raft waiting to go rafting.</t>
  </si>
  <si>
    <t>The group rafting down a river with all it's bumps and water splashing.</t>
  </si>
  <si>
    <t>There is a yellow text that comes on screen showing the locations they are at.</t>
  </si>
  <si>
    <t>The children are at the destination as one young girl comes close to the cam and waves at it.</t>
  </si>
  <si>
    <t>A white screen appears and two words appear one in yellow at the top of the sceeen and one in blue at the bottom on the screen and both then move off screen.</t>
  </si>
  <si>
    <t>v_dQs2-z3TIes</t>
  </si>
  <si>
    <t>A woman is on stage speaking to a little girl while holding a microphone.</t>
  </si>
  <si>
    <t>The girl speaks into the microphone, then performs a ballet piece.</t>
  </si>
  <si>
    <t>She dances around the stage for the audience.</t>
  </si>
  <si>
    <t>She falls onto one knee as she completes her performance.</t>
  </si>
  <si>
    <t>v_uug0bhnLgHs</t>
  </si>
  <si>
    <t>A person stirs a large bowl of lemonade.</t>
  </si>
  <si>
    <t>A woman is chopping up a potato.</t>
  </si>
  <si>
    <t>She adds the potato to a large pot of water.</t>
  </si>
  <si>
    <t>She adds lemons and lettuce and cucumbers to the bowl.</t>
  </si>
  <si>
    <t>She mixes it all together in a bowl.</t>
  </si>
  <si>
    <t>v_bM7Tgb1mJfc</t>
  </si>
  <si>
    <t>We see a man instructing another man on shooting arrow.</t>
  </si>
  <si>
    <t>The mans first arrow misses.</t>
  </si>
  <si>
    <t>The man loads another arrow.</t>
  </si>
  <si>
    <t>We see the targets in front of a backdrop.</t>
  </si>
  <si>
    <t>The man hits the backdrop and it collapses.</t>
  </si>
  <si>
    <t>The people all stand around laughing.</t>
  </si>
  <si>
    <t>The instructor walks over to the targets.</t>
  </si>
  <si>
    <t>v_rJKrXQ4v-9s</t>
  </si>
  <si>
    <t>A plume of smoke is shown going across a pair of skis.</t>
  </si>
  <si>
    <t>A man is carving designs, burning them into the wood.</t>
  </si>
  <si>
    <t>He then rakes an iron across the boards, setting the image.</t>
  </si>
  <si>
    <t>v_yATxB9giT34</t>
  </si>
  <si>
    <t>A man is seen speaking into a mike that transitions into a close up of a beer pong table as well as people playing.</t>
  </si>
  <si>
    <t>Shots of beer are poured, people playing rock, paper, scissors, dealing money, and computer screens for music.</t>
  </si>
  <si>
    <t>More people are shown playing beer pong while being interviewed on camera and walking around a room.</t>
  </si>
  <si>
    <t>Several more shots are shown of people dancing, playing pong, fighting, and speaking to one another.</t>
  </si>
  <si>
    <t>v_veaxOUe_8HE</t>
  </si>
  <si>
    <t>Two people are seen speaking to the camera and leads into several clips of people playing volleyball with one another.</t>
  </si>
  <si>
    <t>The people continue to play the sport while others speak to the camera as well as watch on the sides and high five each other.</t>
  </si>
  <si>
    <t>v_WaWkDf6b_j4</t>
  </si>
  <si>
    <t>A man walks along a bare field while a woman walks around beside him.</t>
  </si>
  <si>
    <t>He walks back and fourth preparing to jump and eventually jumps over a pole.</t>
  </si>
  <si>
    <t>A girl claps for him and the same move is shown again in slow motion.</t>
  </si>
  <si>
    <t>v_DVZCBD8-y2I</t>
  </si>
  <si>
    <t>A video shows how to clean snow off a car.</t>
  </si>
  <si>
    <t>A person folds a blue cloth, wrapping it around a snow brush neatly.</t>
  </si>
  <si>
    <t>He then uses the brush to gently wipe snow off a vehicle.</t>
  </si>
  <si>
    <t>The video ends with an advertisement for an auto shop.</t>
  </si>
  <si>
    <t>v_q1e275n6R3c</t>
  </si>
  <si>
    <t>A pregnant lady prepares a pumpkin for decoration and carving.</t>
  </si>
  <si>
    <t>The lady places wax paper over the pumpkin and pokes holes over the wax paper drawing.</t>
  </si>
  <si>
    <t>The lady removes the wax paper and proceeds to cut out the the hole tracings of the mouth and eyes that was traced with the punched out holes from the wax paper.</t>
  </si>
  <si>
    <t>The completed carved pumpkins are displayed.</t>
  </si>
  <si>
    <t>v_IFmtu3Sd7iI</t>
  </si>
  <si>
    <t>Several scuba divers are seen swimming around the ocean while sharks move around them underneath.</t>
  </si>
  <si>
    <t>The camera continuously follows the sharks around the water and the scuba divers interact with one another while they move.</t>
  </si>
  <si>
    <t>v_aINlF3UDJ7s</t>
  </si>
  <si>
    <t>A blue screen appears and on the left side a clear bottle is pouring liquid into a clear martini glass and white words appear on the left side of the screen that say "Girls Mixing Drinks dot com Notre Dame Pick-Me-Up with Stacey".</t>
  </si>
  <si>
    <t>A brunette woman wearing all black is standing in a bar talking, she picks up a clear drinking glass, puts ice in it and touches all the ingredients she's going to use while talking about them.</t>
  </si>
  <si>
    <t>The woman then begins to measure out each alcohol into a shot glass, pours them into the cup, squirts liquid from a clear bottle into the cup, pours some soda from a can into the cup, pours juice from a box into the cup, then adds a straw to the cup and pushes the cup to the front of the counter.</t>
  </si>
  <si>
    <t>Throughout the whole time she's making the drink the website pops up from time to time at the bottom of the screen, then the outro screen appears with a two tone red diagonal background of thick stripes and the website in the middle reads www dot GirlsMakingDrinks dot com.</t>
  </si>
  <si>
    <t>v_1SQAnbh_lcM</t>
  </si>
  <si>
    <t>A woman is standing behind a counter sharpening a knife.</t>
  </si>
  <si>
    <t>She pours water on the knife sharpener and continues sharpening the knife.</t>
  </si>
  <si>
    <t>She picks up a knife sharpener and sharpens the knife.</t>
  </si>
  <si>
    <t>v_sCTmSj_tsDQ</t>
  </si>
  <si>
    <t>Men appear in a field with bulls and the words "Bullfight Laos" appear on screen.</t>
  </si>
  <si>
    <t>The men gather around the field where two bulls are.</t>
  </si>
  <si>
    <t>The bulls are encouraged to fight with their horns while the people watch.</t>
  </si>
  <si>
    <t>v_NK0WynwKc34</t>
  </si>
  <si>
    <t>A small baby hits a bongo in a room.</t>
  </si>
  <si>
    <t>The baby stops and takes something off his hand.</t>
  </si>
  <si>
    <t>The baby goes back to playing the drum.</t>
  </si>
  <si>
    <t>v_jGoW5WVAtX4</t>
  </si>
  <si>
    <t>We see the outside of a restaurant with a snow like graphic on the bottom.</t>
  </si>
  <si>
    <t>We see men inside the bar and one man speaking into a microphone.</t>
  </si>
  <si>
    <t>We then see ladies playing beer pong against a team of men.</t>
  </si>
  <si>
    <t>Two teams of men play beer pong together as a man stands behind them holding a camera in the air.</t>
  </si>
  <si>
    <t>We switch and see other teams in the room playing and see two ladies talking.</t>
  </si>
  <si>
    <t>We then see a lady toss a ball across a table.</t>
  </si>
  <si>
    <t>v_uavao6fYoMM</t>
  </si>
  <si>
    <t>A drawing of a court is shown on the screen.</t>
  </si>
  <si>
    <t>We see a game of soccer in progress on an outdoor field.</t>
  </si>
  <si>
    <t>The men are kicking the ball away from each other.</t>
  </si>
  <si>
    <t>They try to get the ball into the opposing goals.</t>
  </si>
  <si>
    <t>v_8C6iIFY47Kc</t>
  </si>
  <si>
    <t>Two wrestlers meet at a table inside a wrestling ring.</t>
  </si>
  <si>
    <t>They sit at the table and hold each other's hands, prepared to arm wrestle.</t>
  </si>
  <si>
    <t>The men try hard to beat each other, pushing hard on each side.</t>
  </si>
  <si>
    <t>One wins, then they get up and start fighting inside the ring.</t>
  </si>
  <si>
    <t>One is kicked out of the ring, leaving the giant as the victor.</t>
  </si>
  <si>
    <t>v_4bw6ocN0jGU</t>
  </si>
  <si>
    <t>A dog is running by a lake.</t>
  </si>
  <si>
    <t>A man is wake boarding behind a boat.</t>
  </si>
  <si>
    <t>A person is sitting in the water.</t>
  </si>
  <si>
    <t>v_k2vkwy2vdP4</t>
  </si>
  <si>
    <t>A man is riding a water motorboat in the ocean.</t>
  </si>
  <si>
    <t>Beside him appears a man on a surfboard.</t>
  </si>
  <si>
    <t>The man on the surfboard speeds past, leaving him in his wake.</t>
  </si>
  <si>
    <t>v_aS6Qv9N5mG0</t>
  </si>
  <si>
    <t>A small group of people are seen playing games with one another in a large gymnasium.</t>
  </si>
  <si>
    <t>Many people watch on the sidelines an the people pass a bad mitten back and fourth to one another.</t>
  </si>
  <si>
    <t>v_gCx-ucvPhDY</t>
  </si>
  <si>
    <t>A man in a black Speedo is standing on a diving board with his hand down on his sides.</t>
  </si>
  <si>
    <t>He then begins running and does two hops to get to the end of the board.</t>
  </si>
  <si>
    <t>Finally,he is at the end of the diving board and does a flip into the water as the crowd on the side watches.</t>
  </si>
  <si>
    <t>v_6dJrQV3Jzbw</t>
  </si>
  <si>
    <t>A large group of people are seen running down a field playing a game of lacrosse.</t>
  </si>
  <si>
    <t>The people hit the ball all along the field while a ref watches them on the side.</t>
  </si>
  <si>
    <t>The group continue to play together while the camera moves back and fourth.</t>
  </si>
  <si>
    <t>v_BNa85xIhNqA</t>
  </si>
  <si>
    <t>A large kite is seen flying over a beach with people wandering around on the sides.</t>
  </si>
  <si>
    <t>A man is seen flying the large kite while others watch him on the side.</t>
  </si>
  <si>
    <t>Another kite is shown flying beside his and leads into a show of the ocean.</t>
  </si>
  <si>
    <t>v_ZN9kbYULUtw</t>
  </si>
  <si>
    <t>A young boy is seen stretching in a circle while taking his shirt off and looking off into the distance.</t>
  </si>
  <si>
    <t>The boy then begins performing various martial arts in front of a large crowd.</t>
  </si>
  <si>
    <t>The boy continues kicking and spinning around while ending to bow to the camera.</t>
  </si>
  <si>
    <t>v_Gi9aPJOgn6M</t>
  </si>
  <si>
    <t>A car commercial begins with numerous people washing a vehicle as it goes through a professional car wash.</t>
  </si>
  <si>
    <t>The people stand in a group, waving their rags in the air at the camera, as if to say goodbye.</t>
  </si>
  <si>
    <t>Then it cuts to a final screen advertising the name of the service.</t>
  </si>
  <si>
    <t>v_N1c3C_Npr-E</t>
  </si>
  <si>
    <t>A police officer is riding a horse down the street very slowly.</t>
  </si>
  <si>
    <t>Many bystanders are walking by, cars are passing and casually moving along.</t>
  </si>
  <si>
    <t>its just a normal day riding down the street protecting serving, making sure no crimes are being committed.</t>
  </si>
  <si>
    <t>He rides with one of his hands on his gun and the other steering the horse.</t>
  </si>
  <si>
    <t>v_vjVtKL3xd8w</t>
  </si>
  <si>
    <t>We see a green opening screen.</t>
  </si>
  <si>
    <t>We see a ladies hair in a close up.</t>
  </si>
  <si>
    <t>A lady speaks while sitting on a couch.</t>
  </si>
  <si>
    <t>We see a lady putting a roller in her hair.</t>
  </si>
  <si>
    <t>We then see the finished product.</t>
  </si>
  <si>
    <t>v_yeQDfh6K6Sc</t>
  </si>
  <si>
    <t>A man turns on a camera.</t>
  </si>
  <si>
    <t>A man in a black shirt is squatting on a couch and smoking hookah.</t>
  </si>
  <si>
    <t>The man attempts to blow smoke rings.</t>
  </si>
  <si>
    <t>The man blows smoke directly at the camera.</t>
  </si>
  <si>
    <t>The man again proceeds to blow smoke directly at the camera.</t>
  </si>
  <si>
    <t>The man reaches to turn the camera off.</t>
  </si>
  <si>
    <t>v_QJmoA3byOzo</t>
  </si>
  <si>
    <t>The camera zooms in to show the car's front right wheel.</t>
  </si>
  <si>
    <t>The camera zooms out to show the man spraying the car with soap.</t>
  </si>
  <si>
    <t>The camera zooms in again to show the soap running down the back of the car, then the camera moves to show the left side of the car.</t>
  </si>
  <si>
    <t>Then two men spray water on the car to wash the soap off.</t>
  </si>
  <si>
    <t>v_J_SD_hhGET8</t>
  </si>
  <si>
    <t>A woman walks to the middle of the room.</t>
  </si>
  <si>
    <t>She performs belly dancing moves.</t>
  </si>
  <si>
    <t>She extends her fingers out and finishes her dancing.</t>
  </si>
  <si>
    <t>v_Us795clHJmw</t>
  </si>
  <si>
    <t>A woman spins a blindfold person holding a stick on front a piñata.</t>
  </si>
  <si>
    <t>Then, the person hits the strong, while the piñata is moving.</t>
  </si>
  <si>
    <t>The person laugh and the woman approach her.</t>
  </si>
  <si>
    <t>v_w8rTULZCkzk</t>
  </si>
  <si>
    <t>An introduction is shown for a video about how to clean running spikes.</t>
  </si>
  <si>
    <t>A guy explains that he will clean the spikes while showing the dirt on the spikes.</t>
  </si>
  <si>
    <t>He begins by brushing mud off the spikes into a sink.</t>
  </si>
  <si>
    <t>He puts a small amount of water into the sink and continues scrubbing.</t>
  </si>
  <si>
    <t>He takes them out of the sink and puts some newspaper inside the shows to help them dry.</t>
  </si>
  <si>
    <t>v_k5vE0ehf5TA</t>
  </si>
  <si>
    <t>An individual uses a vacuum cleaner hose to play with a dog.</t>
  </si>
  <si>
    <t>The camera switches to a more side view of the dog.</t>
  </si>
  <si>
    <t>The camera switches to a more top down view of the dog.</t>
  </si>
  <si>
    <t>v_cvuSpqwxRYE</t>
  </si>
  <si>
    <t>A man dips a sponge into a bucket.</t>
  </si>
  <si>
    <t>He uses the sponge to wipe black mud all over a boy.</t>
  </si>
  <si>
    <t>Other people are covering people in paint.</t>
  </si>
  <si>
    <t>They are preparing for the running of the bulls in spain.</t>
  </si>
  <si>
    <t>v_8ycO15nH8YM</t>
  </si>
  <si>
    <t>We see a title screen on white.</t>
  </si>
  <si>
    <t>A lady has a cake turned upside down she puts back in the tray.</t>
  </si>
  <si>
    <t>The lady slices parts of the cake and flips it again.</t>
  </si>
  <si>
    <t>The lady cuts the edges off the cake.</t>
  </si>
  <si>
    <t>The lady moves everything and brings it back.</t>
  </si>
  <si>
    <t>v_4EoFt8F3_nw</t>
  </si>
  <si>
    <t>A man is seen walking beside a hedge in a public area with a dog beside him.</t>
  </si>
  <si>
    <t>The dog is seen walking on it's two legs and hops down in the end.</t>
  </si>
  <si>
    <t>v_cjFHlsWZY4c</t>
  </si>
  <si>
    <t>Someone is drawing on tape and cutting it out.</t>
  </si>
  <si>
    <t>They dip a paint brush in paint and paint it put it on a sponge.</t>
  </si>
  <si>
    <t>They put that on their nail and put a top coat on.</t>
  </si>
  <si>
    <t>They put glitter over the heart on the nail.</t>
  </si>
  <si>
    <t>v_r8RJSDKy9iA</t>
  </si>
  <si>
    <t>A young girl has several people holding her eye open while another tries to put in a contact lens.</t>
  </si>
  <si>
    <t>They cannot get the lens in at the eye at first and try over and over again.</t>
  </si>
  <si>
    <t>They eventually succeed in getting the lens in but the girl stands up as thers laugh.</t>
  </si>
  <si>
    <t>v_4mRdgV8t4KY</t>
  </si>
  <si>
    <t>People are riding horses in an indoor arena.</t>
  </si>
  <si>
    <t>People are sitting outside the arena watching them.</t>
  </si>
  <si>
    <t>They stop the horses and the girl turns around.</t>
  </si>
  <si>
    <t>v_H8aW-6HhMBA</t>
  </si>
  <si>
    <t>A man and a woman are sitting in Hooters the restaurant,the female is an employee and the guy is a regular customer.</t>
  </si>
  <si>
    <t>He grabs a beer and then kisses the girls.</t>
  </si>
  <si>
    <t>He tries three more times and he is successful but the third girl was by accident and she hits the guy and becomes extremely upset by it.</t>
  </si>
  <si>
    <t>The male does it again and more girls in the restaurant begins to kiss him.</t>
  </si>
  <si>
    <t>v_hANXaoStVR0</t>
  </si>
  <si>
    <t>There's a man in the swimming pool playing water polo.</t>
  </si>
  <si>
    <t>He is in the pool playing water polo with a yellow ball and two other people.</t>
  </si>
  <si>
    <t>He throws the ball across and the people sitting by the pool and watching him play cheer loudly.</t>
  </si>
  <si>
    <t>v_6mrjcnKVJyY</t>
  </si>
  <si>
    <t>Two men are seen wearing boxing gloves and punching and kicking one another.</t>
  </si>
  <si>
    <t>The men continue going back and fourth with each other and a text appears at the end of the video.</t>
  </si>
  <si>
    <t>v_VshQp9mHeh4</t>
  </si>
  <si>
    <t>A boy runs into the shot and kicks a soccer ball.</t>
  </si>
  <si>
    <t>The ball lobs toward a crowd in a park.</t>
  </si>
  <si>
    <t>Few other boys try to catch the moving ball.</t>
  </si>
  <si>
    <t>One boy eventually kicks the ball back toward the camera.</t>
  </si>
  <si>
    <t>A girl comes in from the sidelines and kicks the ball back toward the crowd of boys and the kids continue this cycle of kicking.</t>
  </si>
  <si>
    <t>v_SOkS5d8GjZ4</t>
  </si>
  <si>
    <t>A man and a woman are shown sitting at a table with a cigarette in her mouth and their arms crossed at one another.</t>
  </si>
  <si>
    <t>They begin arm wrestles and the girl with the cigarette beats the man.</t>
  </si>
  <si>
    <t>v_ZVKUKjVYwF8</t>
  </si>
  <si>
    <t>A person is seen moving down a set of stairs and holding out various measuring items.</t>
  </si>
  <si>
    <t>The man kneels down and begins putting carpeting down on the floor as well as on the stairs.</t>
  </si>
  <si>
    <t>The man finishes putting the carpet down and the camera zooming in on his work.</t>
  </si>
  <si>
    <t>v_jNGa0jPAMjI</t>
  </si>
  <si>
    <t>A seated man looks at a clipboard.</t>
  </si>
  <si>
    <t>The man begins smoking from a large pipe.</t>
  </si>
  <si>
    <t>The camera pans down to show the various items on the table before him.</t>
  </si>
  <si>
    <t>The camera pans back up to the man.</t>
  </si>
  <si>
    <t>v_aEWVDbV76_Q</t>
  </si>
  <si>
    <t>People sail in a boat in a river, and a man pulls a string of a person that sets up to perform water ski.</t>
  </si>
  <si>
    <t>Then, the person water ski behind the boat while people watch.</t>
  </si>
  <si>
    <t>The person falls in the water, but stands again and continues doing water ski.</t>
  </si>
  <si>
    <t>A boat appears in the river behind the person, while the person water ski.</t>
  </si>
  <si>
    <t>The person falls again in the water, the people in the boat laugh and a man does thumbs up.</t>
  </si>
  <si>
    <t>v_1TWdrO8cCxA</t>
  </si>
  <si>
    <t>A girl with a jump rope is in athletic shorts and a t-shirt, holding a jump-rope.</t>
  </si>
  <si>
    <t>She begins to preform complicated stunts, such as hand-stands, flips, and the splits while jumping rope.</t>
  </si>
  <si>
    <t>She has a brief mishap as she drops the jump rope and then picks it up to resume her performance.</t>
  </si>
  <si>
    <t>Many people are sitting on the sidelines, some watching as an audience, some are judges, some are filming the event.</t>
  </si>
  <si>
    <t>v_p3LvCbxC_ZE</t>
  </si>
  <si>
    <t>A camera pans around a large yard to show two people moving a wooden bar.</t>
  </si>
  <si>
    <t>One man then steps on the bar and begins using a tool to cut down hedges.</t>
  </si>
  <si>
    <t>The man looks back to the speak to the camera and the men move the bar.</t>
  </si>
  <si>
    <t>v_cWU5059m_1Q</t>
  </si>
  <si>
    <t>We see a guy in a gym holding a jump rope.</t>
  </si>
  <si>
    <t>The guy does a jump rope routine.</t>
  </si>
  <si>
    <t>The guy does a flip with the rope.</t>
  </si>
  <si>
    <t>The guy does two push ups.</t>
  </si>
  <si>
    <t>The guys leg gets caught on the rope.</t>
  </si>
  <si>
    <t>The guy jumps high and the rope gets tangled again.</t>
  </si>
  <si>
    <t>The guy finishes and lays on the ground.</t>
  </si>
  <si>
    <t>The guy gets up and walks away.</t>
  </si>
  <si>
    <t>v_Qz_PtO18pXE</t>
  </si>
  <si>
    <t>A woman is posing on a diving board.</t>
  </si>
  <si>
    <t>She springs backward into the water in front of a watching group.</t>
  </si>
  <si>
    <t>v_IIAg_MFuCoY</t>
  </si>
  <si>
    <t>We see a couple dance on a dance floor in a club.</t>
  </si>
  <si>
    <t>We see a man looks in the camera and opens his mouth as a group of people walk past.</t>
  </si>
  <si>
    <t>A man in a black shirt walks past the camera and stands their for a moment.</t>
  </si>
  <si>
    <t>The lady shimmy's and bends down to the ground and back up.</t>
  </si>
  <si>
    <t>The man dips the woman and the smile at the camera.</t>
  </si>
  <si>
    <t>v_wEgt41AJaU4</t>
  </si>
  <si>
    <t>A small group of people are seen running around an outdoor arena and playing paintball with one another.</t>
  </si>
  <si>
    <t>One man runs forward and a large cloud of smoke spins around and a man waves his arms in the air while another helps.</t>
  </si>
  <si>
    <t>v_UaCSf-kW2Ho</t>
  </si>
  <si>
    <t>People are sitting down in chairs playing drums.</t>
  </si>
  <si>
    <t>People are walking past on the sidewalk.</t>
  </si>
  <si>
    <t>A person pushing a stroller walks behind them.</t>
  </si>
  <si>
    <t>v_Ac_8KQGAe0c</t>
  </si>
  <si>
    <t>A cat is standing on a table getting petted.</t>
  </si>
  <si>
    <t>A person takes the cats paw and starts clipping its nails.</t>
  </si>
  <si>
    <t>The person picks the cat up to clip their back paws.</t>
  </si>
  <si>
    <t>The person pets the cat after clipping its nails.</t>
  </si>
  <si>
    <t>v_cM67XJS7yM8</t>
  </si>
  <si>
    <t>A woman is seen looking at the camera then crying and hugging a group of people.</t>
  </si>
  <si>
    <t>Shots of people playing shuffle board are shown followed by people celebrating and the woman speaking to the camera.</t>
  </si>
  <si>
    <t>More shots of celebrating are shown and the team mates all hug one another.</t>
  </si>
  <si>
    <t>v_s4pnHlWlt5k</t>
  </si>
  <si>
    <t>A young boy is standing in the grass swinging a bat at a pinata.</t>
  </si>
  <si>
    <t>People are watching the boy.</t>
  </si>
  <si>
    <t>A girl in a blue swimsuit takes the bat and starts swinging at the pinata.</t>
  </si>
  <si>
    <t>v_fEsTL9tYOVc</t>
  </si>
  <si>
    <t>We see a GoPro and the title card.</t>
  </si>
  <si>
    <t>We see the water and a boat full of people riding on the water and put on wet suits and enter the water.</t>
  </si>
  <si>
    <t>We see the people underwater swimming around.</t>
  </si>
  <si>
    <t>A person is swimming in a crevasse.</t>
  </si>
  <si>
    <t>We see an animal on a rock.</t>
  </si>
  <si>
    <t>We see part of a ship.</t>
  </si>
  <si>
    <t>We are shown various sea life.</t>
  </si>
  <si>
    <t>We see the people near the ship.</t>
  </si>
  <si>
    <t>People are holding a large sea-slug.</t>
  </si>
  <si>
    <t>We see a large underwater turtle on the ground.</t>
  </si>
  <si>
    <t>Bubble float to the surface and the video ends.</t>
  </si>
  <si>
    <t>v_zX9DZ_x9rJ4</t>
  </si>
  <si>
    <t>A black intro screen with white words appear and it notes the location, the people, and the cake they are going to make.</t>
  </si>
  <si>
    <t>A man and woman wearing red aprons appear in a kitchen with a white kitchen aid mixer in front of them and a banner on the screen displaying all the ingredients.</t>
  </si>
  <si>
    <t>The view then changes to a shot from above to show what the man is doing, and the banner on the screen is still showing the ingredients that are being used.</t>
  </si>
  <si>
    <t>The view changes from front to a top angle as the man is mixing the ingredients.</t>
  </si>
  <si>
    <t>The view then changes back to a front view and the man moves the kitchen aid to the side and grabs from the counter behind them, a baked cake and a plate with a slice of cake on it.</t>
  </si>
  <si>
    <t>The outro includes a picture of the man and woman standing together, their names, the name of the cake they made, their address and the news station that aired it.</t>
  </si>
  <si>
    <t>The credits then begin to scroll from bottom to top on a black screen with white letters.</t>
  </si>
  <si>
    <t>v_2NAs35b7fck</t>
  </si>
  <si>
    <t>A group of men are playing soccer.</t>
  </si>
  <si>
    <t>One player kicks the ball into the goal before going for the opposing goal.</t>
  </si>
  <si>
    <t>They continue fighting over the ball for an extended period.</t>
  </si>
  <si>
    <t>v_DzCk5xjSF9o</t>
  </si>
  <si>
    <t>A lady in white stripes shirt is standing next to a young boy, they are standing at the counter, they cut the side of the bread, put spread on it, roll the bread in a plastic, cut the side of the bread, put meat on the bread, shredded the cheese, roll the bread in the plastic.</t>
  </si>
  <si>
    <t>The woman sliced the plastic with bread in it then put it in a rectangle plate.</t>
  </si>
  <si>
    <t>v_VOnP9N7FAT8</t>
  </si>
  <si>
    <t>A woman is sitting down in a chair playing an accordion.</t>
  </si>
  <si>
    <t>She stops playing and puts her arm down.</t>
  </si>
  <si>
    <t>Words flash onto the screen.</t>
  </si>
  <si>
    <t>v_ORVjNqVSLe0</t>
  </si>
  <si>
    <t>A person shaves the back legs of a man using a shaver while he is lying face down.</t>
  </si>
  <si>
    <t>Then the man turns face up, and the person starts to shave the legs.</t>
  </si>
  <si>
    <t>After, the person uses a machine on the legs, and then a picture shows the legs before and after shave.</t>
  </si>
  <si>
    <t>v_Tp4g0ErB2oQ</t>
  </si>
  <si>
    <t>A woman behind a fence watch a group of players in a field.</t>
  </si>
  <si>
    <t>An old lady pass behind the woman.</t>
  </si>
  <si>
    <t>People play hurling in a field.</t>
  </si>
  <si>
    <t>v_nxFbmoV3Idk</t>
  </si>
  <si>
    <t>A man puts a tire over a machine and rotates the rime.</t>
  </si>
  <si>
    <t>Then,the man uses a tool to loose the rime, then the machine removes the rubber tire.</t>
  </si>
  <si>
    <t>After, the man takes glue and brush the tire, and then using the machine he puts the rubber tire in the rim.</t>
  </si>
  <si>
    <t>v_YDz0pyc26Ss</t>
  </si>
  <si>
    <t>Several people are outdoors, one of which is riding and performing tricks on a skateboard.</t>
  </si>
  <si>
    <t>The man goes into a group of people before another man, then another are shown going downhill on the street riding their skateboards.</t>
  </si>
  <si>
    <t>They perform several tricks and flips as they go.</t>
  </si>
  <si>
    <t>The people clap as the winner is announced.</t>
  </si>
  <si>
    <t>v_7NMds32-lMc</t>
  </si>
  <si>
    <t>Men are lifting heavy weights over their head several times.</t>
  </si>
  <si>
    <t>A man in a blue shirt is watching one of the men.</t>
  </si>
  <si>
    <t>A man in a gray shirt is mimicking the person lifting the weight.</t>
  </si>
  <si>
    <t>v_lGRZ3F7tW2c</t>
  </si>
  <si>
    <t>A large group of kids are seen practicing basketball drills on a court and passing the ball quickly to one another.</t>
  </si>
  <si>
    <t>Several boys make baskets while still speaking to one another an the coach moves in and speaks to the boys.</t>
  </si>
  <si>
    <t>He walks away and more drills are shown with the boys.</t>
  </si>
  <si>
    <t>v_Tz3OXEWBSVA</t>
  </si>
  <si>
    <t>Several close ups of plants are shown with a man walking into frame and speaking to the camera.</t>
  </si>
  <si>
    <t>The man continues to speak while pointing to the camera and begins laying out mulch to put all over the plants.</t>
  </si>
  <si>
    <t>The man continues pushing dirt around and ends by watering all the plants.</t>
  </si>
  <si>
    <t>v_YoXZfvf5Teg</t>
  </si>
  <si>
    <t>The intro is a white screen, the website on the top left,the words "Howcast original" appear and afterwards another set of words describing the lesson appear and it reads "Vibrato Beginner Violin Lessons".</t>
  </si>
  <si>
    <t>A woman named Julie Artzt Becker is holding her violin is sitting and talking in front of a blue screen.</t>
  </si>
  <si>
    <t>The woman puts the violin up to her chin and continues to talk.</t>
  </si>
  <si>
    <t>The woman then puts her fingers onto the strings and with her other hand she touches and points on her fingers on the strings as well as taking the bow to her strings every now and then.</t>
  </si>
  <si>
    <t>The woman talks throughout the entire video as she's demonstrating her movements or pointing towards her finger motions.</t>
  </si>
  <si>
    <t>Eventually the woman stops talking and ends with a smile and the words "Howcast original" appear on the white screen.</t>
  </si>
  <si>
    <t>v_nUghBtcrTPA</t>
  </si>
  <si>
    <t>Two men are fighting in an asian art form outside.</t>
  </si>
  <si>
    <t>They are taking swings and hits as well as kicks at each other throughout.</t>
  </si>
  <si>
    <t>v_9IIcG8AiUnA</t>
  </si>
  <si>
    <t>A man is standing inside a kitchen in front of a small table.</t>
  </si>
  <si>
    <t>He shows and talks about olive oil and lemon juice.</t>
  </si>
  <si>
    <t>He uses the items to clean and polish the table of scratches.</t>
  </si>
  <si>
    <t>v_7Iy7Cjv2SAE</t>
  </si>
  <si>
    <t>An intro leads into a woman using a brush to push hair off a large dog.</t>
  </si>
  <si>
    <t>She continues brushing on several other dogs and giving them pets before sitting down and petting them.</t>
  </si>
  <si>
    <t>v_GAEavSUmQRk</t>
  </si>
  <si>
    <t>A man in glasses speaks to the camera.</t>
  </si>
  <si>
    <t>He demonstrates a key around his neck and points to his trumpet.</t>
  </si>
  <si>
    <t>He attaches the key to the trumpet and continues to speak and demonstrate important features of the trumpet.</t>
  </si>
  <si>
    <t>v_PQkambF3iEk</t>
  </si>
  <si>
    <t>Two people are seen fixing up a car and changing the tires on a vehicle.</t>
  </si>
  <si>
    <t>Another man walks into frame as well as several others recording the incident.</t>
  </si>
  <si>
    <t>A person climbs into the car and drives away with everyone watching.</t>
  </si>
  <si>
    <t>v_tPZYyaX63yE</t>
  </si>
  <si>
    <t>A person is holding a red leaf blower.</t>
  </si>
  <si>
    <t>They begin to blow the leaves in the yard.</t>
  </si>
  <si>
    <t>They show the leaf blower again.</t>
  </si>
  <si>
    <t>v_6lyXvR5VtTQ</t>
  </si>
  <si>
    <t>An older man and young woman are seen spinning around a stick while the girl is blindfolded and people sitting around her watch.</t>
  </si>
  <si>
    <t>The girl then swings the stick around the air aiming for the pinata and hitting the object several times.</t>
  </si>
  <si>
    <t>She continues to swing around the air until the end when she finally hits it.</t>
  </si>
  <si>
    <t>v_qZvP5BvVbcg</t>
  </si>
  <si>
    <t>Some people are skiing down a mountain and following each other.</t>
  </si>
  <si>
    <t>They finish by going faster and faster until they finish.</t>
  </si>
  <si>
    <t>v_RWir3muDHg0</t>
  </si>
  <si>
    <t>A lot of men are standing outdoors on a dirt field and there are two teams standing along a rope while a lot of people are standing around watching them.</t>
  </si>
  <si>
    <t>The men wearing yellow and blue shirts pick up the rope and are getting in position to play tug o war.</t>
  </si>
  <si>
    <t>Suddenly the men start pulling on the rope as other men are instructing them and the spectators are cheering.</t>
  </si>
  <si>
    <t>The men in the yellow and blue shirts are easily pulling the rope and they have won while the people around them cheer.</t>
  </si>
  <si>
    <t>v_S-VSs8o98Ho</t>
  </si>
  <si>
    <t>Cigarettes are placed down on a table.</t>
  </si>
  <si>
    <t>Someone shuffles cards onto the table.</t>
  </si>
  <si>
    <t>A man pushes a broom behind them.</t>
  </si>
  <si>
    <t>They continue playing cards at the table.</t>
  </si>
  <si>
    <t>v_tCkHrK6mRME</t>
  </si>
  <si>
    <t>A video leads into several clips of a man performing tricks with a dog.</t>
  </si>
  <si>
    <t>The man continues performing tricks with the dog as the camera captures him from several angles as well as others doing tricks with their dogs.</t>
  </si>
  <si>
    <t>v_Jy8JurvYlH4</t>
  </si>
  <si>
    <t>A little girl walks into a bathroom and starts talking to the camera.</t>
  </si>
  <si>
    <t>The bathroom transforms into a factory.</t>
  </si>
  <si>
    <t>The girl picks up a toothbrush and continues to talk.</t>
  </si>
  <si>
    <t>Toothpaste is applied to a tooth brush.</t>
  </si>
  <si>
    <t>The girl brushes her teeth and the factory changes back to a bathroom.</t>
  </si>
  <si>
    <t>v_HadTAlDM5YM</t>
  </si>
  <si>
    <t>A man is speaking into a microphone.</t>
  </si>
  <si>
    <t>A man wearing a black cape is getting his beard shaved.</t>
  </si>
  <si>
    <t>A person puts a white towel over the man's face.</t>
  </si>
  <si>
    <t>He puts shaving cream on the man's face.</t>
  </si>
  <si>
    <t>He then puts a towel over the mans face again.</t>
  </si>
  <si>
    <t>He then shaves the mans beard with a razor.</t>
  </si>
  <si>
    <t>The man puts a towel on the other man's face again.</t>
  </si>
  <si>
    <t>He takes the cape off and stands up.</t>
  </si>
  <si>
    <t>v_4L0mci9CTPg</t>
  </si>
  <si>
    <t>A couple dances on a ballroom floor with people seated at tables nearby.</t>
  </si>
  <si>
    <t>People nearby take photos of the couple.</t>
  </si>
  <si>
    <t>The couple finishes and leaves the dance floor.</t>
  </si>
  <si>
    <t>v_CbQPrRwG2BM</t>
  </si>
  <si>
    <t>A young girl shows his long hair until the waist.</t>
  </si>
  <si>
    <t>Then, a hairdresser cuts short the hair of the the young girl.</t>
  </si>
  <si>
    <t>After, the girl shows her short and long hair and two braids.</t>
  </si>
  <si>
    <t>v_IjBMVPd2Rcs</t>
  </si>
  <si>
    <t>There's a person dressed in a blue track suit demonstrating how to use a rowing machine.</t>
  </si>
  <si>
    <t>He sits on the bar of the machine and secures his feet into the foot rest.</t>
  </si>
  <si>
    <t>Then he begins by pulling the rope towards his chest while straightening his legs.</t>
  </si>
  <si>
    <t>Then he continues to use the machine in back and forth motion.</t>
  </si>
  <si>
    <t>Then comes to a rest by releasing the rope and leaning backwards.</t>
  </si>
  <si>
    <t>v_uqlErIm56Jg</t>
  </si>
  <si>
    <t>A close up of a sneaker is shown followed by a person turning on a faucet and letting the water run over the shoe.</t>
  </si>
  <si>
    <t>The person then takes show polish and begins scrubbing the shoe with a toothbrush while still running it under the water.</t>
  </si>
  <si>
    <t>The person turns off the water and presents the shoe in the sink.</t>
  </si>
  <si>
    <t>v_spAlIMm8jSg</t>
  </si>
  <si>
    <t>A woman jumps onto two bars and does a gymnastics routine.</t>
  </si>
  <si>
    <t>The audience is watching her perform.</t>
  </si>
  <si>
    <t>She jumps off the bars and lands on the mat with her hands in the air.</t>
  </si>
  <si>
    <t>A replay of her performance is shown.</t>
  </si>
  <si>
    <t>Words are then shown on the screen.</t>
  </si>
  <si>
    <t>v_8ohisLftwZ4</t>
  </si>
  <si>
    <t>Two men play squash in a room.</t>
  </si>
  <si>
    <t>A player goes to find the ball and throw it to his partner.</t>
  </si>
  <si>
    <t>Then, the two men continues playing squash.</t>
  </si>
  <si>
    <t>A man pick up a ball from the floor and continues squash.</t>
  </si>
  <si>
    <t>v__ucD-3rUWWE</t>
  </si>
  <si>
    <t>Two sets of people are in the middle of the woods kayaking,in vibrant white water surrounded by large rocks.</t>
  </si>
  <si>
    <t>They begin to move to their left and fall over the first hill of large rocks and meet in the corner and begin talking.</t>
  </si>
  <si>
    <t>The second person begins to kayak and goes ferociously down the next steep hill of rocks and waits.</t>
  </si>
  <si>
    <t>Shortly after,the man in the blue jacket follows suit and comes behind them.</t>
  </si>
  <si>
    <t>Lastly,they take two pictures with the forest as back drop near a brown sign with white words reading Great Falls Overlook.</t>
  </si>
  <si>
    <t>v_W8ILh7ickB4</t>
  </si>
  <si>
    <t>The person is squeezing the lemons in the squeezer.</t>
  </si>
  <si>
    <t>The person pour the lemon into the white spray bottle and added water.</t>
  </si>
  <si>
    <t>The person spray the lemon juice in a bow and rub the bowl with sponge.</t>
  </si>
  <si>
    <t>v_0xxl3iG3VKY</t>
  </si>
  <si>
    <t>An sportsman launch a javelin in a stadium.</t>
  </si>
  <si>
    <t>The javelin flies in the air and lands in the green track, then a man runs toward it.</t>
  </si>
  <si>
    <t>The sportsman walk raising his hands and clap his hands.</t>
  </si>
  <si>
    <t>A cameraman film the athlete.</t>
  </si>
  <si>
    <t>The gymnast launch a javelin in the stadium.</t>
  </si>
  <si>
    <t>v_ir759AX1EYY</t>
  </si>
  <si>
    <t>Several pictures are shown of people shining shoes for others in various locations using rags and brushes on their shoes.</t>
  </si>
  <si>
    <t>The video continues with many more pictures being shown of people shining shoes and a man standing with an apron in the end.</t>
  </si>
  <si>
    <t>v_keFBEoBy0zY</t>
  </si>
  <si>
    <t>A door with red signs are covering it.</t>
  </si>
  <si>
    <t>A fireman runs outside carrying a board.</t>
  </si>
  <si>
    <t>He sleds down the road behind a car, going around turns and falling down a few times.</t>
  </si>
  <si>
    <t>v_JGxSaJ7XoPQ</t>
  </si>
  <si>
    <t>A girl in a purple blouse sits on a fence post as she is brushing a horse who is tied to the fence.</t>
  </si>
  <si>
    <t>The girl stands on the fence post while reaching to brush the horses mane.</t>
  </si>
  <si>
    <t>The girl continues standing on the fence post leans onto the horses back and brushes the back of the horse as she smile at the camera.</t>
  </si>
  <si>
    <t>The girl mounts onto the horses back as she continues to brush the horses neck and mane.</t>
  </si>
  <si>
    <t>The girl in the purple blouse dismounts the horse and stands on the fence post brushes the horses hind quarter.</t>
  </si>
  <si>
    <t>v_bf3ac4bkIIo</t>
  </si>
  <si>
    <t>Various pictures of ingredients are shown with text across the screen and leads into a woman washing and peeling lemons.</t>
  </si>
  <si>
    <t>She rolls the lemons on a table and cut them into halves.</t>
  </si>
  <si>
    <t>Then she juices the lemon and pours the mixture into a large pot with sugar.</t>
  </si>
  <si>
    <t>She boils the pot and pours the final result into several glasses, enjoying a sip in the end.</t>
  </si>
  <si>
    <t>v_uvnrLngXHh8</t>
  </si>
  <si>
    <t>A boar bristle brush is shown, then a video dvd of how to shave.</t>
  </si>
  <si>
    <t>A man is lying down, lather on his face while a barber shaves his beard.</t>
  </si>
  <si>
    <t>The man then lathers his head and shaves it with a straight razor as well.</t>
  </si>
  <si>
    <t>An image of the dvd is shown again.</t>
  </si>
  <si>
    <t>v_xv6h1JNMX8g</t>
  </si>
  <si>
    <t>A man and a dog are standing in a field surrounded by a group of people.</t>
  </si>
  <si>
    <t>The dog goes on and then the man is seen walking off of the field.</t>
  </si>
  <si>
    <t>However,a lady remains and her and her dog begin doing Frisbee and tricks at the Purina Dog challenge.</t>
  </si>
  <si>
    <t>v_bFm6E4cz5tM</t>
  </si>
  <si>
    <t>A man water ski on front a glacier.</t>
  </si>
  <si>
    <t>The man watch a seal and a whale in the cold water.</t>
  </si>
  <si>
    <t>The man water ski in the water holding a rope pulled by a boat.</t>
  </si>
  <si>
    <t>The man bends to pass a glacier, then he pass over an iceberg.</t>
  </si>
  <si>
    <t>A whale swim in the ocean.</t>
  </si>
  <si>
    <t>After, the man passes over an iceberg and spins, then snowboard over a big iceberg.</t>
  </si>
  <si>
    <t>The man slide from an iceberg and falls in the water, and people stand to watch an iceberg falls.</t>
  </si>
  <si>
    <t>v_8rimo9x4qqw</t>
  </si>
  <si>
    <t>A snowboarder gives a tutorial for how to hit a jump.</t>
  </si>
  <si>
    <t>A few techniques are shown in four parts.</t>
  </si>
  <si>
    <t>v_jVM8v6uJx8c</t>
  </si>
  <si>
    <t>The intro comes onto the screen introducing a video about ho to climb rocks.</t>
  </si>
  <si>
    <t>A man appears on the screen hanging from a harness to give some instructions.</t>
  </si>
  <si>
    <t>The video cuts to him climbing the wall while he continues his narration.</t>
  </si>
  <si>
    <t>The video cuts to another person in a green shirt getting help to try to climb the wall.</t>
  </si>
  <si>
    <t>The video shows a split screen with two views of a man climbing the wall.</t>
  </si>
  <si>
    <t>Then, a woman is shown trying to climb the wall.</t>
  </si>
  <si>
    <t>A warning is displayed on the screen at the end of the video.</t>
  </si>
  <si>
    <t>v_8hrRE3_sWXo</t>
  </si>
  <si>
    <t>We see the opening credits on a black screen.</t>
  </si>
  <si>
    <t>We then see a man coaching a man in a garage and talking to the camera.</t>
  </si>
  <si>
    <t>The man in gray gets on his knee on the blue mat.</t>
  </si>
  <si>
    <t>The man stands and gets on both of his knees.</t>
  </si>
  <si>
    <t>The kneeling man stands up again.</t>
  </si>
  <si>
    <t>We see a title screen and see the kneeling man holding a machine which he pulls down and out.</t>
  </si>
  <si>
    <t>He releases the cord, The credits on the video run.</t>
  </si>
  <si>
    <t>v_rBCf1qjOwCc</t>
  </si>
  <si>
    <t>litle kids are standing in front of a ouse talking to the camera and making lemonade.</t>
  </si>
  <si>
    <t>the kid opens a pot and grab sugar and poured into a cup of water, lemon juice and mix it with a spoon.</t>
  </si>
  <si>
    <t>v_XgbTh1BCciA</t>
  </si>
  <si>
    <t>A man is seen standing ready with a set of bagpipes and begins playing them for the camera.</t>
  </si>
  <si>
    <t>The man continues playing and then stops to look at the camera.</t>
  </si>
  <si>
    <t>v_XqxJsWQqKRk</t>
  </si>
  <si>
    <t>A white screen with blue and white shapes and black words flash across the screen.</t>
  </si>
  <si>
    <t>A smiling black man is in a residential kitchen and he's wearing a santa hat and pouring ingredients into a large bowl.</t>
  </si>
  <si>
    <t>A hand pushes a clear bowl filled with dark figs and a cutting board appears immediately afterwards and the instructions on the screen say to cut the stems off of 1lb of figs and quarter them.</t>
  </si>
  <si>
    <t>While the list of ingredients are shown that include: 1lb Figs, 1lb Raisins, 1lb Cherries, 1lb Currants, 1lb Prunes, Port Wine and Angostura Bitters; they are all poured into a white bucket.</t>
  </si>
  <si>
    <t>Stirring begins immediately and the instructions on the screen say to let it soak for at least two weeks to up to 30 days.</t>
  </si>
  <si>
    <t>30 days later the contents are stirred and put into a food processor and turned into a paste.</t>
  </si>
  <si>
    <t>The man greases a 10x3 round cake pan and covers it with parchment paper.</t>
  </si>
  <si>
    <t>A list and bowls of more ingredients are prepared and poured into a large metal pot and stirred vigorously.</t>
  </si>
  <si>
    <t>A large rectangular metal pan appears with instructions that say to fill it with a pan of hot water.</t>
  </si>
  <si>
    <t>The circular cake pan that was previous greased appears, and the stirred contents are poured into it and placed into the pan of hot water where they're all placed into the oven.</t>
  </si>
  <si>
    <t>When it's done baking and cooled the cake is put on a plate where it's glazed, cut and a slice is put on another plate.</t>
  </si>
  <si>
    <t>v_e_X0K2t8API</t>
  </si>
  <si>
    <t>A blindfolded man swings at a pinata with a bat while others look on from nearby seats.</t>
  </si>
  <si>
    <t>The man succeeds in breaking the pinata.</t>
  </si>
  <si>
    <t>The man removes his blindfold as some of the others approach him.</t>
  </si>
  <si>
    <t>v_WUSEdPfHPoY</t>
  </si>
  <si>
    <t>two men enter a squash court to compete in a game of squash.</t>
  </si>
  <si>
    <t>One man is wearing a white shirt and the other man is wearing a dark shirt.</t>
  </si>
  <si>
    <t>The men begin playing while the game progresses each man serves from the serving box.</t>
  </si>
  <si>
    <t>The game finishes with a hand shake and a wave to the crowd.</t>
  </si>
  <si>
    <t>A girl in a pink blouse enters the squash court as another man enters the court.</t>
  </si>
  <si>
    <t>v_AAQp3iEJxJc</t>
  </si>
  <si>
    <t>Several pictures lead into clips of people riding down a river on canoes and kayaks.</t>
  </si>
  <si>
    <t>Several people are shown riding along the rough rivers while paddling themselves along.</t>
  </si>
  <si>
    <t>The people continue to push themselves along the water while the camera follows their movements.</t>
  </si>
  <si>
    <t>v_X1pGJqP89Nk</t>
  </si>
  <si>
    <t>Women sit outside in small chairs and hand wash clothes in plastic tubs.</t>
  </si>
  <si>
    <t>The lady scrubs a garment on a wooden board.</t>
  </si>
  <si>
    <t>The lady rings out the water from a garment then tosses it aside when done washing it.</t>
  </si>
  <si>
    <t>v_18k_K9cFFJg</t>
  </si>
  <si>
    <t>A boy is skating in a parking lot.</t>
  </si>
  <si>
    <t>He does several moves, dancing and talking.</t>
  </si>
  <si>
    <t>The boy skates around the parking lot on inline skates.</t>
  </si>
  <si>
    <t>v_Z3bPr9odxpw</t>
  </si>
  <si>
    <t>A large group of people are seen walking on a stage with a man speaking to the crowd and leads into the group dancing with one another.</t>
  </si>
  <si>
    <t>The people continue dancing together as the camera captures them from several angles.</t>
  </si>
  <si>
    <t>v_l7EktV5FYGk</t>
  </si>
  <si>
    <t>The camera focuses on a man piloting a sailboat in a harbor environment.</t>
  </si>
  <si>
    <t>The boat's sail dips into the water.</t>
  </si>
  <si>
    <t>The man rights the sailboat and continues.</t>
  </si>
  <si>
    <t>v_AdnLY0a6yn0</t>
  </si>
  <si>
    <t>A man is practicing indoors, he is doing intervals of jumping while running.</t>
  </si>
  <si>
    <t>Once he lands in the sand he goes back to start again.</t>
  </si>
  <si>
    <t>He does this over and over each time starting farther back.</t>
  </si>
  <si>
    <t>Then the practice is over and it's done.</t>
  </si>
  <si>
    <t>v_qRmaZNDyDhA</t>
  </si>
  <si>
    <t>A van drives down a country road and pulls to the side of the road with a flat tire.</t>
  </si>
  <si>
    <t>The driver fumbles with a hand jack and is frustrated.</t>
  </si>
  <si>
    <t>The driver then uses an electric car jack to lift the car wheel up instead.</t>
  </si>
  <si>
    <t>The woman plugs in a an electric hand drill that and uses it to remove the lug nuts.</t>
  </si>
  <si>
    <t>The woman puts a new tire on the car and bolts it in place.</t>
  </si>
  <si>
    <t>The woman lowers the car wheel off of the jack.</t>
  </si>
  <si>
    <t>A man points to the different tools in a tool box.</t>
  </si>
  <si>
    <t>The man hooks a charger up to the car battery.</t>
  </si>
  <si>
    <t>v_iKH8FgONbVw</t>
  </si>
  <si>
    <t>A man kneel on a ball and holds a rod.</t>
  </si>
  <si>
    <t>The man push her body forward pushing the rod.</t>
  </si>
  <si>
    <t>Then, the man bring his body to a straight position, then again bring his body forward.</t>
  </si>
  <si>
    <t>v_5sdUW55eS4M</t>
  </si>
  <si>
    <t>A woman is mopping the white tiled floor with a mop.</t>
  </si>
  <si>
    <t>The woman put the mop in a green bucket, and put it in a strainer to squeeze out the excess water, then she pushed the floor map handle as she squeeze out the water and began mopping the floor, and under the chairs, side of the couch, the liquid on the floor.</t>
  </si>
  <si>
    <t>v_56sQMnSUWaI</t>
  </si>
  <si>
    <t>A black woman does a routine on the balance beam.</t>
  </si>
  <si>
    <t>She spins, jumps, twirls, and flips.</t>
  </si>
  <si>
    <t>She falls off, finishes her routine, and them dismounts to a clapping audience.</t>
  </si>
  <si>
    <t>v_CSk99DHanfg</t>
  </si>
  <si>
    <t>People on a boat suit up in scuba gear then jump into the water.</t>
  </si>
  <si>
    <t>Scuba divers swim through a cave area.</t>
  </si>
  <si>
    <t>A tropical beach is seen.</t>
  </si>
  <si>
    <t>Sea turtles graze and swim in the ocean.</t>
  </si>
  <si>
    <t>Various fish are seen swimming through the reef.</t>
  </si>
  <si>
    <t>A manta ray swims in the ocean over a reef.</t>
  </si>
  <si>
    <t>v_X1E7i3ocxKY</t>
  </si>
  <si>
    <t>A tattoo parlor is shown from the outside then inside.</t>
  </si>
  <si>
    <t>An array of tattoo choices are shown on a wall.</t>
  </si>
  <si>
    <t>An artist is shown drawing and coloring in tattoos on a piece of paper.</t>
  </si>
  <si>
    <t>v_nYxjWwJrHwk</t>
  </si>
  <si>
    <t>A group of people are gathered on a snowy hill.</t>
  </si>
  <si>
    <t>They are walking around with intertubes.</t>
  </si>
  <si>
    <t>They ride the intertubes down the snowy mountainside.</t>
  </si>
  <si>
    <t>v_zqqiiZCmPLw</t>
  </si>
  <si>
    <t>A young ballerina wearing a tutu is seen standing at a ballet barr performing various ballet moves and moving to the floor.</t>
  </si>
  <si>
    <t>She continues moving around the floor dancing and leads to her holding a razor and putting lotion on her legs.</t>
  </si>
  <si>
    <t>She shaves her legs while moving her legs around and continues dancing with the razor in sight.</t>
  </si>
  <si>
    <t>v_vZVnMzH4pkc</t>
  </si>
  <si>
    <t>A man throws a ball into a cup.</t>
  </si>
  <si>
    <t>Another man throws a ball into a cup.</t>
  </si>
  <si>
    <t>The two men pick up a cup and drink it.</t>
  </si>
  <si>
    <t>v_yacDrjVTUak</t>
  </si>
  <si>
    <t>A man is standing in front of wires and puts on a welding helmet.</t>
  </si>
  <si>
    <t>He starts to weld the corner of the room.</t>
  </si>
  <si>
    <t>The man sands the corner where he was welding.</t>
  </si>
  <si>
    <t>He continues to weld in the same corner.</t>
  </si>
  <si>
    <t>The man pushes his helmet up and replaces the wires and sands the same area again.</t>
  </si>
  <si>
    <t>He places his gloves down and shows the weld he finished.</t>
  </si>
  <si>
    <t>v_4YGuIycW_IA</t>
  </si>
  <si>
    <t>A man stands outside holding a bottle of sun screen and talking.</t>
  </si>
  <si>
    <t>He sprays the sun screen on his arm and rubs it in.</t>
  </si>
  <si>
    <t>v_pZsHrSHAOqs</t>
  </si>
  <si>
    <t>A man wearing a blue shirt throws a bowling ball down a bowling alley.</t>
  </si>
  <si>
    <t>The ball strikes both pins and bounces into the adjoining alley striking the pin down there too.</t>
  </si>
  <si>
    <t>A seated man in a red shirt shakes his head.</t>
  </si>
  <si>
    <t>The man in the blue shirt walks back.</t>
  </si>
  <si>
    <t>v_sOL5ksIFX50</t>
  </si>
  <si>
    <t>An introduction comes onto the screen for a video about the winter sport curling.</t>
  </si>
  <si>
    <t>Curlers ar shown as they take different shot and sweep down the ice.</t>
  </si>
  <si>
    <t>The video ends with the closing credits and graphics.</t>
  </si>
  <si>
    <t>v_UO9bRJmfMzI</t>
  </si>
  <si>
    <t>A man scrapes snow off of the side of a car.</t>
  </si>
  <si>
    <t>He then scrapes snow off the hood.</t>
  </si>
  <si>
    <t>He then moves to the other side to remove more snow.</t>
  </si>
  <si>
    <t>Finally he finishes clearing the car.</t>
  </si>
  <si>
    <t>v_qlP8qKtGE7U</t>
  </si>
  <si>
    <t>A little baby boy is sitting in his high chair dipping a fork into a glass of chocolate milk being held by an adult.</t>
  </si>
  <si>
    <t>The adult takes several turn dipping the fork in the cup and licking it.</t>
  </si>
  <si>
    <t>Then he pauses for a minute and starts to play with the fork.</t>
  </si>
  <si>
    <t>v_aVHmi3Kjr_Q</t>
  </si>
  <si>
    <t>A christmas tree is shown followed by several people moving in fast motion hanging up a set of lights.</t>
  </si>
  <si>
    <t>The people move all around the house up and down the ladder and end by turning off the lights to see.</t>
  </si>
  <si>
    <t>v_kI6maggAugg</t>
  </si>
  <si>
    <t>A very slow playing video of a very strong man is shown as he picks up a barbell that has a lot of heavy weights on it, and he squats for a little bit with it at his chest.</t>
  </si>
  <si>
    <t>The man then stands up and holds the barbell to his chest.</t>
  </si>
  <si>
    <t>The man then tries to hold the barbell above his head while he squats but he ends up dropping the barbell and then looks at his hands as if they failed him.</t>
  </si>
  <si>
    <t>v_e1bHYT-G__8</t>
  </si>
  <si>
    <t>A special effect bowling theme intro appears and the text in the middle read "CHRIS HARDWICK'S ALL STAR Celebrity Bowling".</t>
  </si>
  <si>
    <t>There are four men posing in a bowling alley, all are wearing yellow shirts and their team name text say's "nerdist".</t>
  </si>
  <si>
    <t>A group of 4 people appear next and there are 3 men and 1 woman and the team name text say's "WWE Superstars".</t>
  </si>
  <si>
    <t>Clips begin to play and it includes various people bowling, talking, demonstrating bowling, giving interviews, hanging out, laughing, playing around, shaving facial hair, doing pushups, eating, feeding one another and etcetera.</t>
  </si>
  <si>
    <t>Large yellow words on the screen appear and it say's "Team Nerdist Wins!" and the entire team gets up and celebrates.</t>
  </si>
  <si>
    <t>A nerdist team member happily speaks into the camera, and then unhappy member from another team unhappily speaks to the camera.</t>
  </si>
  <si>
    <t>v_q-mpNUe0JNo</t>
  </si>
  <si>
    <t>We see a title card on a black screen.</t>
  </si>
  <si>
    <t>It changes to skateboarding performing tricks.</t>
  </si>
  <si>
    <t>We see a photographer taking pictures.</t>
  </si>
  <si>
    <t>A man jumps a fire hydrant.</t>
  </si>
  <si>
    <t>We see a man jump over stairs up close.</t>
  </si>
  <si>
    <t>A man rides with lots of cameras flashing.</t>
  </si>
  <si>
    <t>The camera slows down and the scene ends.</t>
  </si>
  <si>
    <t>We see a black screen and credits.</t>
  </si>
  <si>
    <t>v_U6Xnw2RGjsI</t>
  </si>
  <si>
    <t>A young man pumps up and down kneeling on both legs.</t>
  </si>
  <si>
    <t>The student jumps up from the kneeling position and lands on top of a stack of mat then lands on the ground.</t>
  </si>
  <si>
    <t>v_HIIUd1osd_I</t>
  </si>
  <si>
    <t>People and dogs are walking down a trail.</t>
  </si>
  <si>
    <t>Pink flowers on a bush are shown.</t>
  </si>
  <si>
    <t>People are walking dogs on leashes down a street.</t>
  </si>
  <si>
    <t>v_ojVY8I3GPa4</t>
  </si>
  <si>
    <t>A bull is in a ring, looking at the bullfighters on the outside.</t>
  </si>
  <si>
    <t>A bunch of fighters walk up behind it.</t>
  </si>
  <si>
    <t>They begin to fight with the bull, sometimes pulling his tail and waving the cape in front of him to make him charge.</t>
  </si>
  <si>
    <t>v_EsGpVb1-W0E</t>
  </si>
  <si>
    <t>A man is seen speaking to the camera while holding a tennis racket and begins hitting the ball against the wall.</t>
  </si>
  <si>
    <t>He continues speaking to the camera and transitions to him hitting the ball.</t>
  </si>
  <si>
    <t>v_eQ9cmxPKvT8</t>
  </si>
  <si>
    <t>A man in a gray sweat shirt is standing at a bus stop.</t>
  </si>
  <si>
    <t>He starts roller blading down a street and doing tricks.</t>
  </si>
  <si>
    <t>The man is skating backwards.</t>
  </si>
  <si>
    <t>v_r7E7cVoJ0JE</t>
  </si>
  <si>
    <t>A man in black pants is standing on a roof and nailing a long shingle onto the roof.</t>
  </si>
  <si>
    <t>A man in blue shorts appears on the right and is also nailing long shingles on the roof.</t>
  </si>
  <si>
    <t>The zoom goes in on the an wearing long black pants and he's nailing shingles onto the outside perimeter of the roof.</t>
  </si>
  <si>
    <t>v_AYhduTuI_zM</t>
  </si>
  <si>
    <t>A woman is seen playing a flute while a man speaks into a microphone and two people play the piano behind her.</t>
  </si>
  <si>
    <t>The woman pauses to speak to the man and the man takes the flute from her and plays.</t>
  </si>
  <si>
    <t>The man hands her back the flute to play and ends by still speaking to her.</t>
  </si>
  <si>
    <t>v_UCZGbQFg6io</t>
  </si>
  <si>
    <t>An athletic man is seen running down a track into a pit.</t>
  </si>
  <si>
    <t>Several more people are seen running down the track into a pit.</t>
  </si>
  <si>
    <t>One after another more people jump.</t>
  </si>
  <si>
    <t>v_9bFevj6bomQ</t>
  </si>
  <si>
    <t>A news anchor in white coat is talking in front of the camera.</t>
  </si>
  <si>
    <t>The player kicked the ball and hit the goal.</t>
  </si>
  <si>
    <t>Two players in the court started to argue and pushed each other and fight, one of the player threw the ball to the other person, the players started to chase and pushed each other, then team in blue uniforms walked away.</t>
  </si>
  <si>
    <t>Team in white uniforms stayed at the court and cheered.</t>
  </si>
  <si>
    <t>v_sN1MPx9hb1I</t>
  </si>
  <si>
    <t>An intro is shown of a woman knitting with her hands while various pictures of cats are shown in the background.</t>
  </si>
  <si>
    <t>Text on how to knit appears while her hands continue moving to demonstrate how to properly knit.</t>
  </si>
  <si>
    <t>v_SH0t2-GgwiQ</t>
  </si>
  <si>
    <t>A woman talks and lie down on the floor, then she bend her legs and lift both.</t>
  </si>
  <si>
    <t>Then, the woman lifts the two legs straight.</t>
  </si>
  <si>
    <t>After, the woman lifts only one leg and the other leg rest bend on the floor.</t>
  </si>
  <si>
    <t>v_JY-H1u1hJZw</t>
  </si>
  <si>
    <t>The little boy sits in the blue kayak holding paddles.</t>
  </si>
  <si>
    <t>Then someone else is shown paddling in the water and there are people standing on shore.</t>
  </si>
  <si>
    <t>The camera turns around a few times to show the trees and the sky.</t>
  </si>
  <si>
    <t>v_0z_dyY_89ys</t>
  </si>
  <si>
    <t>A female news woman is talking to the camera in a news room.</t>
  </si>
  <si>
    <t>Another woman shows off a series of cleaning supplies.</t>
  </si>
  <si>
    <t>She instructs on how to use them, but not to mix certain elements.</t>
  </si>
  <si>
    <t>She pours the liquids into cups and changes into a sprayer bottle for cleaning a kitchen.</t>
  </si>
  <si>
    <t>v_lmYmYYXs1mo</t>
  </si>
  <si>
    <t>A man is standing at a counter with a Smith knife.</t>
  </si>
  <si>
    <t>He demonstrates how to sharpen the knife.</t>
  </si>
  <si>
    <t>He pours oil on the sharpening tool and runs the knife over it.</t>
  </si>
  <si>
    <t>He cleans the tool and puts it away.</t>
  </si>
  <si>
    <t>v_YnFDzvuDJSQ</t>
  </si>
  <si>
    <t>A woman in red is standing beside a table explaining some things.</t>
  </si>
  <si>
    <t>she puts her hand on the christmas tree and talks some more about it.</t>
  </si>
  <si>
    <t>She grabs some red ribbon and begins to tie into a bow.</t>
  </si>
  <si>
    <t>She then goes to place it on to the christmas tree and continues to speak about it.</t>
  </si>
  <si>
    <t>v_MIAhrxkYadk</t>
  </si>
  <si>
    <t>Hair styling tools are shown in closeup.</t>
  </si>
  <si>
    <t>A woman walks down a street an into a salon.</t>
  </si>
  <si>
    <t>The woman interacts with a man in the salon.</t>
  </si>
  <si>
    <t>The man and woman look at pictures of hairstyles together.</t>
  </si>
  <si>
    <t>Scenes of the woman with her hair being cut and styled are shown.</t>
  </si>
  <si>
    <t>The man and woman interact as they examine her new style.</t>
  </si>
  <si>
    <t>A closeup of hair on the floor is shown.</t>
  </si>
  <si>
    <t>v_e5e16U5hnzY</t>
  </si>
  <si>
    <t>A man and women are talking to a camera and the girl demonstrates on how to properly hold a discuss.</t>
  </si>
  <si>
    <t>Secondly she shows the proper stance of throwing the item and throws the discuss how into the air.</t>
  </si>
  <si>
    <t>She demonstrates bending down and spinning with the disk and does one throw full out.</t>
  </si>
  <si>
    <t>The man then tries to throw how the woman did and attempts to throw more and get better.</t>
  </si>
  <si>
    <t>v_Epl3pExUuNs</t>
  </si>
  <si>
    <t>People are sitting in bumper cars crashing into each other.</t>
  </si>
  <si>
    <t>They stop and get out of the cars.</t>
  </si>
  <si>
    <t>A boy in a white shirt walks out with a boy in a blue shirt.</t>
  </si>
  <si>
    <t>v_sUrqd6Qn8Qw</t>
  </si>
  <si>
    <t>A woman is seen sitting on a piece of exercise equipment with her arms and legs strapped in.</t>
  </si>
  <si>
    <t>The woman is seen moving back and fourth on the machine while looking forward.</t>
  </si>
  <si>
    <t>The woman continues to move on the machine while the camera watches her movements.</t>
  </si>
  <si>
    <t>v_u0PEB9bXWpY</t>
  </si>
  <si>
    <t>A lady shows off her fingernails.</t>
  </si>
  <si>
    <t>The lady puts drops of white paint on her finger nails.</t>
  </si>
  <si>
    <t>The lady uses a toothpick and drags it through the white paint.</t>
  </si>
  <si>
    <t>She doe another fingernail with the same process.</t>
  </si>
  <si>
    <t>The lady shows us the flower designs on her nails.</t>
  </si>
  <si>
    <t>v_Mgy7IRETxSk</t>
  </si>
  <si>
    <t>The marching bands are in positioned in the field.</t>
  </si>
  <si>
    <t>Then The band started to play their instruments.</t>
  </si>
  <si>
    <t>The ladies with flags moved their flags up and down and rotate them as the band plays.</t>
  </si>
  <si>
    <t>v_uYqNIBbz4_Q</t>
  </si>
  <si>
    <t>A man is seen standing outside holding a rope and tying it around a tree bark.</t>
  </si>
  <si>
    <t>He then axes the log on the ground and breaks it into two.</t>
  </si>
  <si>
    <t>v_sWEbq5Ry63Q</t>
  </si>
  <si>
    <t>A man is shown point to a bicycle tire and cutting a piece of wire using pliers.</t>
  </si>
  <si>
    <t>He then moves to bars around and spinning the wheel followed by a stick pressing against the tire.</t>
  </si>
  <si>
    <t>He pushes a tube into the tire and adjusts the wires using a device.</t>
  </si>
  <si>
    <t>He tests the wheel out thoroughly and assures the bike is ready to go.</t>
  </si>
  <si>
    <t>v_HKkzII7ap7E</t>
  </si>
  <si>
    <t>A woman is talking to a camera.</t>
  </si>
  <si>
    <t>She picks up a flute and starts playing.</t>
  </si>
  <si>
    <t>She puts the flue down on her lap and continues talking.</t>
  </si>
  <si>
    <t>She puts the flute back up to her mouth and continues to play.</t>
  </si>
  <si>
    <t>She puts the flute back down and nods her head.</t>
  </si>
  <si>
    <t>She puts the flute back up to her lips and plays.</t>
  </si>
  <si>
    <t>v_8UvKQnfXnCk</t>
  </si>
  <si>
    <t>A person is water skiing behind a boat.</t>
  </si>
  <si>
    <t>Another boat is seen in the water behind them.</t>
  </si>
  <si>
    <t>They are going around yellow cones in the water.</t>
  </si>
  <si>
    <t>v_etWdTMJ9_To</t>
  </si>
  <si>
    <t>A man is seen walking down a field followed by several people running back and fourth.</t>
  </si>
  <si>
    <t>The men throw the ball around the yard and continue to run up and down on the grass.</t>
  </si>
  <si>
    <t>v_M0cKfbLMlSA</t>
  </si>
  <si>
    <t>Two pairs of men are getting ready to box.</t>
  </si>
  <si>
    <t>Both pairs of men are seen boxing.</t>
  </si>
  <si>
    <t>Another pair of men are seen talking and gesturing about boxing in the distance.</t>
  </si>
  <si>
    <t>The main pair of boxers take a short break.</t>
  </si>
  <si>
    <t>All groups stop boxing and begin to talk.</t>
  </si>
  <si>
    <t>One of the men begins hanging on a rope and swinging forwards and backwards.</t>
  </si>
  <si>
    <t>v_bCtiTOEf9KI</t>
  </si>
  <si>
    <t>A woman dressed in a black tank top and black tights is doing stomach crunches on a mat.</t>
  </si>
  <si>
    <t>She is exercising on a hardwood floor in the gym.</t>
  </si>
  <si>
    <t>She continues doing her stomach crunches.</t>
  </si>
  <si>
    <t>v_bW4AfWvteIo</t>
  </si>
  <si>
    <t>An intro leads into a close up of a fooseball table and panning around several specs of the table.</t>
  </si>
  <si>
    <t>Two people are seen playing with one another while the camera shows the table in several spots and the boys high fiving one another.</t>
  </si>
  <si>
    <t>v_NNuIaUFYGCE</t>
  </si>
  <si>
    <t>Various pictures of people painting are shown using several tools on hard walls.</t>
  </si>
  <si>
    <t>More pictures are shown of people plastering with various text images shown inside.</t>
  </si>
  <si>
    <t>v_YCHmXwLhs3A</t>
  </si>
  <si>
    <t>A man is assembling a bike on a table.</t>
  </si>
  <si>
    <t>He is putting training wheels on the back wheel of the bike.</t>
  </si>
  <si>
    <t>He puts the front tire on the bike.</t>
  </si>
  <si>
    <t>He puts the handlebars on the bike.</t>
  </si>
  <si>
    <t>He puts the pedals onto the bike.</t>
  </si>
  <si>
    <t>He puts the seat onto the bike.</t>
  </si>
  <si>
    <t>v_kYrztBFfaZ8</t>
  </si>
  <si>
    <t>A man swings a baseball bat.</t>
  </si>
  <si>
    <t>He hits a ball and it goes onto a roof.</t>
  </si>
  <si>
    <t>A man is running and throwing a ball.</t>
  </si>
  <si>
    <t>v_XZ1IuZjsk8A</t>
  </si>
  <si>
    <t>A woman is pouring shots of alcohol into a glass of ice.</t>
  </si>
  <si>
    <t>She shakes the glass and sets it down.</t>
  </si>
  <si>
    <t>She then pours it into another glass and sticks a straw in it.</t>
  </si>
  <si>
    <t>She holds up the drink while talking.</t>
  </si>
  <si>
    <t>v_p8uTRV3u3JM</t>
  </si>
  <si>
    <t>Two groups of men wearing uniforms, one with dark shirts and one with white shirts, are playing on an indoor volleyball court.</t>
  </si>
  <si>
    <t>The man in the darker jersey wearing number 17 dives to the ground to save the ball.</t>
  </si>
  <si>
    <t>A team member wearing a dark shirt spikes the ball but it goes out of bounds and the team with the lighter shirts cheer on while the guy who spiked the ball out of bounds bends over in disappointment.</t>
  </si>
  <si>
    <t>v_QuU6I9w1btI</t>
  </si>
  <si>
    <t>Two vacuums one taller and one is shorter is show.</t>
  </si>
  <si>
    <t>The vacuum is being use on the carpet, wooden floor, on the corner, under the table and on the side of the trash can and then the carpet.</t>
  </si>
  <si>
    <t>A hand is pulling out a tube, used the tube to vacuum the stairs and the corner of the ceiling, then a hand took out the tube and threw away the dust from the transparent tube.</t>
  </si>
  <si>
    <t>A woman is carrying the vacuum and put it in the storage.</t>
  </si>
  <si>
    <t>A woman is walking at the factory, then a person is drawing the vacuum in a white sheet.</t>
  </si>
  <si>
    <t>v_Cdiv-IzHcjQ</t>
  </si>
  <si>
    <t>A person irons a brown paper.</t>
  </si>
  <si>
    <t>The person flips the iron around and continues ironing.</t>
  </si>
  <si>
    <t>The peels the ironed paper off and lays it down.</t>
  </si>
  <si>
    <t>The person leaves the iron on a new brown paper.</t>
  </si>
  <si>
    <t>v_SbY68ygmuEA</t>
  </si>
  <si>
    <t>A crowd watches as several runners in a race jog past.</t>
  </si>
  <si>
    <t>They all keep jogging, coming in at the end of the race.</t>
  </si>
  <si>
    <t>v_m7cHlmcFk9Y</t>
  </si>
  <si>
    <t>A cat is in a woman's lap in the bathroom.</t>
  </si>
  <si>
    <t>She pulls a towel over the cat's head.</t>
  </si>
  <si>
    <t>She then gently tries to clip his claws one at a time.</t>
  </si>
  <si>
    <t>v_D9EQ6jCH0_M</t>
  </si>
  <si>
    <t>A woman is scrubbing a white chair with a yellow sponge.</t>
  </si>
  <si>
    <t>She is now pouring something onto a rag and washing a white table.</t>
  </si>
  <si>
    <t>She is spray painting the chair and table she just washed.</t>
  </si>
  <si>
    <t>The finished furniture is shown.</t>
  </si>
  <si>
    <t>v_Exu0qsz42fQ</t>
  </si>
  <si>
    <t>A young child is sitting playing on a drum set.</t>
  </si>
  <si>
    <t>Using his foot for the base and drumming on the snare like a natural.</t>
  </si>
  <si>
    <t>A woman is on a piano playing along with the child.</t>
  </si>
  <si>
    <t>They have a small audience sitting and watching them perform.</t>
  </si>
  <si>
    <t>v_Fdjw9ld-hbA</t>
  </si>
  <si>
    <t>A man dressed in a blue uniform is fighting against a male dressed in an all red uniform.</t>
  </si>
  <si>
    <t>The man in the red,picks him up and drops him down on the wrestling match.</t>
  </si>
  <si>
    <t>After,the referee drops down and pounds the mat counting down the end of the match.</t>
  </si>
  <si>
    <t>v_FLbTQGyoEMk</t>
  </si>
  <si>
    <t>A young woman speaks as she smiles.</t>
  </si>
  <si>
    <t>She squeezes the side of her right eye and pokes out a contact lens.</t>
  </si>
  <si>
    <t>She moves on to her left eye and pokes out a contact lens.</t>
  </si>
  <si>
    <t>v_rDADR0Lg4U8</t>
  </si>
  <si>
    <t>A group of female players walk onto a court behind their coach.</t>
  </si>
  <si>
    <t>They engage in a lacrosse game, fighting over the ball with their bats.</t>
  </si>
  <si>
    <t>The girls celebrate their win with flowers and hugs.</t>
  </si>
  <si>
    <t>v_YwUW6Qh_5TA</t>
  </si>
  <si>
    <t>A gymnast is seen standing with his arms out and hops on a board.</t>
  </si>
  <si>
    <t>He then begins spinning himself around while judges watch on the sides.</t>
  </si>
  <si>
    <t>He continues his routine and jumps down with his arms up.</t>
  </si>
  <si>
    <t>v_ZREM_AcXHX8</t>
  </si>
  <si>
    <t>A new segment leads into clips of a woman speaking to the camera and holding up a bow and arrow.</t>
  </si>
  <si>
    <t>The girl shoots the bow while still speaking to the camera and bending the bow.</t>
  </si>
  <si>
    <t>She continues speaking while using her hands and showing off pictures to the camera.</t>
  </si>
  <si>
    <t>v_XGj9lakgSic</t>
  </si>
  <si>
    <t>A girl dances as she sits in a booth.</t>
  </si>
  <si>
    <t>The girl mixes ingredients together in a pot.</t>
  </si>
  <si>
    <t>The girl adds dried ingredients to the pot.</t>
  </si>
  <si>
    <t>The girl adds tomato and eggs from a plate to the pot.</t>
  </si>
  <si>
    <t>The girls waves goodbye and leans back on the booth.</t>
  </si>
  <si>
    <t>v_iXLXRHHFp60</t>
  </si>
  <si>
    <t>There's a brown horse tied outside a polo club.</t>
  </si>
  <si>
    <t>There are several jockeys playing polo on the field in an event.</t>
  </si>
  <si>
    <t>There are also several spectators standing and watching the event.</t>
  </si>
  <si>
    <t>One of the polo players is trotting on the horse across the field.</t>
  </si>
  <si>
    <t>Another game of polo takes place where several spectators are watching.</t>
  </si>
  <si>
    <t>After the event is over, the judge hands awards to the winners.</t>
  </si>
  <si>
    <t>There's a British flag flying high in the field.</t>
  </si>
  <si>
    <t>v_OsiES8BiRac</t>
  </si>
  <si>
    <t>A belly dancer walks onto the stage from behind the curtains.</t>
  </si>
  <si>
    <t>The belly dancer dances on stage shaking her hips and body.</t>
  </si>
  <si>
    <t>The belly dancer spins in circles during the performance.</t>
  </si>
  <si>
    <t>The dancers turns with her back to the audience and dances.</t>
  </si>
  <si>
    <t>The dancer bows at the end of the performance.</t>
  </si>
  <si>
    <t>v_aXXes0e-eM0</t>
  </si>
  <si>
    <t>two kids are in a litle car watching a little kid holding a pole hitting a lightning mcqueen piñata.</t>
  </si>
  <si>
    <t>people are gathered around the little kid.</t>
  </si>
  <si>
    <t>v_tDG8VoRQTuM</t>
  </si>
  <si>
    <t>There are two people talking about stilts used by stunt men.</t>
  </si>
  <si>
    <t>They are standing on a street near several clubs and restaurants.</t>
  </si>
  <si>
    <t>One of the men is demonstrating how the stilts are used in stunts.</t>
  </si>
  <si>
    <t>Henry, the guy dressed in the white shirt is showing how high he can jump with the stilts and perform stunts.</t>
  </si>
  <si>
    <t>He shows numerous tricks on how he jumps up high and over benches and tables.</t>
  </si>
  <si>
    <t>He shows how he uses the Power Riser jumping skills on the streets and in the park.</t>
  </si>
  <si>
    <t>v_l7rzaG3aDyw</t>
  </si>
  <si>
    <t>A woman is seen performing a belly dancing routine on a stage with flowers hanging in the background.</t>
  </si>
  <si>
    <t>She continues performing her routine and ends by spinning around and posing.</t>
  </si>
  <si>
    <t>v_MNduaJtXy1A</t>
  </si>
  <si>
    <t>A large group of people are seen standing around and smiling to one another.</t>
  </si>
  <si>
    <t>They begin playing a set of drums while another man is seen playing the piano.</t>
  </si>
  <si>
    <t>More people are seen on the sides dancing to the music.</t>
  </si>
  <si>
    <t>v_drjYCuezfA8</t>
  </si>
  <si>
    <t>A woman in white shirt is standing next to a metal sink, she take out two white plates, silver container, strainer, spoons, and placed it on the metal container next to the sink.</t>
  </si>
  <si>
    <t>She then take a pan in the sink, put water, put liquid soap in a sponge, rub it on the plates, lid, container, spoons.</t>
  </si>
  <si>
    <t>She wiped the counter with her hand, then placed a green basket, rinse the plates, lid, container, pan, and put them in the basket.</t>
  </si>
  <si>
    <t>v_Aqx7rM9gZgg</t>
  </si>
  <si>
    <t>A woman in a blue shirt stands next to a brown horse.</t>
  </si>
  <si>
    <t>She holds onto the horses red lead.</t>
  </si>
  <si>
    <t>She is brushing the side of the horse.</t>
  </si>
  <si>
    <t>She steps away from the horse and bends down.</t>
  </si>
  <si>
    <t>She picks up a larger brush and begins brushing the horse again.</t>
  </si>
  <si>
    <t>She is brushing the horses face and neck.</t>
  </si>
  <si>
    <t>She is brushing the horses front leg in a downward motion.</t>
  </si>
  <si>
    <t>v_SXRSA62VbZg</t>
  </si>
  <si>
    <t>A tattoo salon has displayed a metallic blue motor cycle.</t>
  </si>
  <si>
    <t>there's a person sitting on the counter of the salon.</t>
  </si>
  <si>
    <t>A customer walks in and gives a child's picture to the tattoo artist.</t>
  </si>
  <si>
    <t>The tattoo artist traces the child's picture on a paper.</t>
  </si>
  <si>
    <t>Then he cleans the client's arms with alcohol.</t>
  </si>
  <si>
    <t>The artist wears a pair of latex gloves and begins tattooing the client's arm.</t>
  </si>
  <si>
    <t>He replicates the image traced from the picture on the client's arm along with some additional designs.</t>
  </si>
  <si>
    <t>He then takes a picture of the client's tattooed arm on a cellphone.</t>
  </si>
  <si>
    <t>v_kLflIBGCNrc</t>
  </si>
  <si>
    <t>A large group of people are seen swimming around a pool playing a game while the video pauses to show off players.</t>
  </si>
  <si>
    <t>The camera continues to pan around the players swimming all around the pool throwing a ball and others reacting on the sidelines.</t>
  </si>
  <si>
    <t>v_qAMf2UUH1xI</t>
  </si>
  <si>
    <t>A person jumps in the ocean and we see them being pulled on a line.</t>
  </si>
  <si>
    <t>We see divers underwater and see sealife and people on boats.</t>
  </si>
  <si>
    <t>A person with a camera on their head jumps from the boat into the water.</t>
  </si>
  <si>
    <t>Two men wave and we see sealife including a dolphin swimming next to the boat.</t>
  </si>
  <si>
    <t>A lady pretends to beat a man up by hitting him in the head while underwater.</t>
  </si>
  <si>
    <t>v_d7gTlJhEwrM</t>
  </si>
  <si>
    <t>A woman in a pink shirt sprints down a track and jumps into sand.</t>
  </si>
  <si>
    <t>A replay of her jump is shown several times.</t>
  </si>
  <si>
    <t>She walks away onto the grass.</t>
  </si>
  <si>
    <t>v_Fde_qSwXRzY</t>
  </si>
  <si>
    <t>Two boy scouts are seen standing and speaking to a large group of people and attempting to light a match.</t>
  </si>
  <si>
    <t>One cups his hands and creates a flame using oxygen and puts the flame into a pit.</t>
  </si>
  <si>
    <t>v_oZgyW8Yca_M</t>
  </si>
  <si>
    <t>A woman at a beach talks to the camera.</t>
  </si>
  <si>
    <t>The camera pans back and forth to show activity other beachgoers' activity around the woman.</t>
  </si>
  <si>
    <t>The woman dumps a bucket of sand on the beach.</t>
  </si>
  <si>
    <t>The woman combines sand and water in a bucket.</t>
  </si>
  <si>
    <t>The woman dumps the mixture out on the beach.</t>
  </si>
  <si>
    <t>v_-wcSkAAeOK8</t>
  </si>
  <si>
    <t>A woman is seen speaking to the camera while standing in front of an exercise bike.</t>
  </si>
  <si>
    <t>The woman continues speaking and begins climbing onto the bike.</t>
  </si>
  <si>
    <t>She spins herself around on the bike while sitting and standing and the camera panning around the girl.</t>
  </si>
  <si>
    <t>v_tLxv2E7gj5c</t>
  </si>
  <si>
    <t>Two people are seen running inside an indoor closed room and hitting a tennis ball around with rackets.</t>
  </si>
  <si>
    <t>The men continue running around hitting the ball off the wall.</t>
  </si>
  <si>
    <t>v_rmMCA60HqZ0</t>
  </si>
  <si>
    <t>A fat women and a thin woman talk face to face in a beauty salon.</t>
  </si>
  <si>
    <t>The fat woman talks and the thin woman wash and puts cream to her face.</t>
  </si>
  <si>
    <t>Then, the fat woman pass a device over the face of the thin woman.</t>
  </si>
  <si>
    <t>v_72PUOTjZpQU</t>
  </si>
  <si>
    <t>A large group of people are seen standing in a gymnasium with two people in front.</t>
  </si>
  <si>
    <t>The group then begins dancing with one another and leads into another large group of people.</t>
  </si>
  <si>
    <t>People are seen speaking to the camera and leads into them jumping up in the end.</t>
  </si>
  <si>
    <t>v_fqWjjWqsJPU</t>
  </si>
  <si>
    <t>A man speaks to the camera which follows an intro screen to him skating.</t>
  </si>
  <si>
    <t>He continues talking to the camera and performing various tricks on his board throughout the area.</t>
  </si>
  <si>
    <t>v_jEGTpBJrD4s</t>
  </si>
  <si>
    <t>This man is shown playing one drum in the beginning of the video and he says a few words.</t>
  </si>
  <si>
    <t>Then a man sits next to him and starts to play his guitar and the other man slowly joins to start playing the drums.</t>
  </si>
  <si>
    <t>The man who is sitting next to the man playing the drums is not only playing the guitar, but he's singing too.</t>
  </si>
  <si>
    <t>v_8eMjzrhxv2U</t>
  </si>
  <si>
    <t>We see a man walking on the ice.</t>
  </si>
  <si>
    <t>He moves a stick and pulls a fishing line out of a hole.</t>
  </si>
  <si>
    <t>The man pulls a fish out of the hole.</t>
  </si>
  <si>
    <t>He picks the fish up and shows us the fish.</t>
  </si>
  <si>
    <t>The man then throws the fish back into the hole.</t>
  </si>
  <si>
    <t>v_tzsgg_o6xHo</t>
  </si>
  <si>
    <t>A woman in man in black clothing stand in together and discuss a routine.</t>
  </si>
  <si>
    <t>The woman begins dancing and goes in a circle a few times while the man watches.</t>
  </si>
  <si>
    <t>The woman continues discussing the routine then holds hands with her partner and they begin dancing together.</t>
  </si>
  <si>
    <t>v_8ATFQNEWHL0</t>
  </si>
  <si>
    <t>A woman is talking about how to make a salad.</t>
  </si>
  <si>
    <t>She breaks up the lettuce into smaller parts.</t>
  </si>
  <si>
    <t>v_XxM72xEvsjE</t>
  </si>
  <si>
    <t>A man and young child are seen pushing a lawn mower across the yard while the boy smiles to the camera.</t>
  </si>
  <si>
    <t>The man and boy continue to push the lawn mower along the yard while stopping to look at the camera.</t>
  </si>
  <si>
    <t>v_XThYcZoFMMs</t>
  </si>
  <si>
    <t>All the ingredients you need to make butter cake are on the counter, someone is pointing at each ingredient and starts grabbing them.</t>
  </si>
  <si>
    <t>They use a mixer to mix some of the ingredients together.</t>
  </si>
  <si>
    <t>They add the eggs in one by one while the mixer is still mixing and then they turn it off and add some more in.</t>
  </si>
  <si>
    <t>They use a pan and and put a bottom in it and scoop out the mixture into it before finally getting ready to put it into the oven to bake.</t>
  </si>
  <si>
    <t>v_Y_dtU10XIsg</t>
  </si>
  <si>
    <t>A close up of a crack is seen.</t>
  </si>
  <si>
    <t>A woman is outside, shoveling snow.</t>
  </si>
  <si>
    <t>A dog wags his tail as he tries to help.</t>
  </si>
  <si>
    <t>v_ZUZ7EVzHS5E</t>
  </si>
  <si>
    <t>A group of men are outside in a large field on horses playing a game of polo.</t>
  </si>
  <si>
    <t>Player number three takes the ball all the way to the end of the field and he is then trailed by four other people.</t>
  </si>
  <si>
    <t>Once they leave the end of the field,they all begin trotting back to the middle by the referee on a horse.</t>
  </si>
  <si>
    <t>v_RAmQyeaBu-k</t>
  </si>
  <si>
    <t>Several shots are shown of signs and landscapes and leads into a person tying a rope.</t>
  </si>
  <si>
    <t>Several people are seen wandering around and smiling to the camera as well as climbing up a rock.</t>
  </si>
  <si>
    <t>More people are seen climbing up the rock as well as a man climbing down.</t>
  </si>
  <si>
    <t>v_QLbWA54l1Sg</t>
  </si>
  <si>
    <t>The two people hold out hands to begin an arm wrestling match.</t>
  </si>
  <si>
    <t>The women compete in an arm wrestling match seated at a table.</t>
  </si>
  <si>
    <t>The women switch hands and and arm wrestle with their left hands.</t>
  </si>
  <si>
    <t>The women have a rematch with their dominate hands.</t>
  </si>
  <si>
    <t>The two athletes flex their arms.</t>
  </si>
  <si>
    <t>v_j1oB2NAlYsQ</t>
  </si>
  <si>
    <t>There is a diver wearing yellow swim trunks is diving from a diving board in an indoor swimming pool.</t>
  </si>
  <si>
    <t>He jumps off of the diving board several times as some other people are leisurely swimming in the pool.</t>
  </si>
  <si>
    <t>He does the backward and forward diving moves as another young man watches him dive right into the pool.</t>
  </si>
  <si>
    <t>Then another young man dives from the same diving board.</t>
  </si>
  <si>
    <t>They both do the forward diving move.</t>
  </si>
  <si>
    <t>Another diver goes up much higher and dives right into to pool.</t>
  </si>
  <si>
    <t>v_HPyLSmDjsHY</t>
  </si>
  <si>
    <t>A young girl is seen sitting in front of a camera and presents various nail objects to the camera.</t>
  </si>
  <si>
    <t>She then begins painting all her nails thoroughly and ends the video with various pictures of her and her nails.</t>
  </si>
  <si>
    <t>v_2Vf8yqNHaGM</t>
  </si>
  <si>
    <t>A little boy in a yellow shirt is holding a yellow ruffled stick.</t>
  </si>
  <si>
    <t>He tries to hit the Batman pinata hanging, he missed then he hit him, he go around the pinata to hit it.</t>
  </si>
  <si>
    <t>v_q-FOdt9a7Js</t>
  </si>
  <si>
    <t>A person is pushing a snow plow through snow.</t>
  </si>
  <si>
    <t>They are clearing a path down a sidewalk.</t>
  </si>
  <si>
    <t>A white car dives by on the street.</t>
  </si>
  <si>
    <t>v_0fNBm46reNg</t>
  </si>
  <si>
    <t>A small group of people are seen pulling mulch into a bin when another is seen raking around the tree.</t>
  </si>
  <si>
    <t>They continue to scrape out of the mulch while measuring out the area and leads into one cutting the grass around the tree.</t>
  </si>
  <si>
    <t>They lay out more dirt evenly while some are grabbing bags behind them.</t>
  </si>
  <si>
    <t>v_Flh-37A4HWY</t>
  </si>
  <si>
    <t>A person holds a coffee mug in a pool of koi.</t>
  </si>
  <si>
    <t>The koi swim towards the coffee mug.</t>
  </si>
  <si>
    <t>v_IZCzbslH8jo</t>
  </si>
  <si>
    <t>A woman is on a court playing with a stick.</t>
  </si>
  <si>
    <t>She hits a ball on the court.</t>
  </si>
  <si>
    <t>She demonstrates how to swing and hit the ball.</t>
  </si>
  <si>
    <t>v_hUzsmIWojH0</t>
  </si>
  <si>
    <t>A man runs up to a beam and jumps over it several times.</t>
  </si>
  <si>
    <t>He makes at least six attempts.</t>
  </si>
  <si>
    <t>v_TPu-vPWJtIA</t>
  </si>
  <si>
    <t>Women in leotards dance together in a line.</t>
  </si>
  <si>
    <t>Women jump into the pool.</t>
  </si>
  <si>
    <t>Women synchronize dance in the pool.</t>
  </si>
  <si>
    <t>Announcers talk to the camera.</t>
  </si>
  <si>
    <t>Men in the side of pool talk.</t>
  </si>
  <si>
    <t>Man in yellow talks to the camera.</t>
  </si>
  <si>
    <t>Man in pink leotard jumps out of the pool.</t>
  </si>
  <si>
    <t>v_cRTsarldNlc</t>
  </si>
  <si>
    <t>a boy stands on a field with a shot put in hand.</t>
  </si>
  <si>
    <t>The boy begins to spin around.</t>
  </si>
  <si>
    <t>The boy throws the shot put.</t>
  </si>
  <si>
    <t>The spins and throws another shot put.</t>
  </si>
  <si>
    <t>v_Ou24uqaFRPg</t>
  </si>
  <si>
    <t>A furniture renovation company advertises their services by showing several homes and tools they have worked on and use and what type of work they do.</t>
  </si>
  <si>
    <t>A man in an apron carefully puts a colored substance on a plate.</t>
  </si>
  <si>
    <t>The man mixes two of the different colored substances with a paint brush.</t>
  </si>
  <si>
    <t>The man carefully touches the paint brush to an old table coloring portions of the table that have been damaged.</t>
  </si>
  <si>
    <t>A different man in an apron and face mask sands an old table.</t>
  </si>
  <si>
    <t>The man then puts polish on a rag and polishes the table.</t>
  </si>
  <si>
    <t>The man polishes a different old table.</t>
  </si>
  <si>
    <t>Information on how to reach the restoration company is displayed.</t>
  </si>
  <si>
    <t>v_p74gAY-kWaY</t>
  </si>
  <si>
    <t>A woman is seen standing beside a girl sitting down brushing her hair.</t>
  </si>
  <si>
    <t>A boy watches on the side as the woman continues to brush the hair.</t>
  </si>
  <si>
    <t>The woman speaks to the girl while running the brush all over her hair.</t>
  </si>
  <si>
    <t>v_LG7p5JrgMfE</t>
  </si>
  <si>
    <t>A man dressed in a black suit and woman dressed in a black dress are dancing together to Latino music.</t>
  </si>
  <si>
    <t>They are doing a combination of ball room dancing and waltz.</t>
  </si>
  <si>
    <t>They are dancing on the sidewalk of a city where there are several bystanders observing and watching them dance.</t>
  </si>
  <si>
    <t>They continue dancing hand in hand to the music.</t>
  </si>
  <si>
    <t>A group of people standing on the right begin to applaud them.</t>
  </si>
  <si>
    <t>The couple continues to swirl and twirl as the music plays and more people in the crowd applaud.</t>
  </si>
  <si>
    <t>The lady finally jumps into the man's arms as the music comes to an end.</t>
  </si>
  <si>
    <t>The crowd cheers and applaud's loudly at the couple.</t>
  </si>
  <si>
    <t>v_TtrDWeSW3mg</t>
  </si>
  <si>
    <t>How To Expo is demonstrating how to make a three bean salad with black beans, garbanzo beans and kidney beans.</t>
  </si>
  <si>
    <t>The presenter shows minced garlic, chopped onions and chopped red bell pepper, along with chopped parsley and one teaspoon of cumin.</t>
  </si>
  <si>
    <t>She also shows the dressing ingredients like olive oil, red wine vinegar and salt.</t>
  </si>
  <si>
    <t>Then she takes a large bowl and begins mixing all the ingredients together.</t>
  </si>
  <si>
    <t>She mixes everything with the three types of beans.</t>
  </si>
  <si>
    <t>She takes large spatula and mixes everything well.</t>
  </si>
  <si>
    <t>then she takes some olive oil and vinegar and mixes it together for the dressing.</t>
  </si>
  <si>
    <t>She pours the salad into a plate and tops is with the salad dressing.</t>
  </si>
  <si>
    <t>v_Vx4ZW7Xseyg</t>
  </si>
  <si>
    <t>A guy is diving off a diving board doing flips in the air and lands in a pool of water,the guy dives and do different flips many different times.</t>
  </si>
  <si>
    <t>the man seems to be practicing his dives and flips of the diving board.</t>
  </si>
  <si>
    <t>the guy is trying to jump his highest to get a better diving flip.</t>
  </si>
  <si>
    <t>v_KJQi_5e72lM</t>
  </si>
  <si>
    <t>A man is seen talking to the camera as he sets up a ski on a work bench inside of a Ski shop.</t>
  </si>
  <si>
    <t>After lining up the ski and securing it on the bench he uses a plastic card and goes over the bottom of the ski three times.</t>
  </si>
  <si>
    <t>Afterwards he uses a bristled brush and scrubs the bottom of the ski.</t>
  </si>
  <si>
    <t>Finally he uses a soft brush and runs it over the ski once more .</t>
  </si>
  <si>
    <t>v_H5kerJ_FoBU</t>
  </si>
  <si>
    <t>The video starts with a title screen shot.</t>
  </si>
  <si>
    <t>A man in a white shirt is showing applying plaster to a room.</t>
  </si>
  <si>
    <t>As he applies the plaster, a voice is describing the techniques used by the company.</t>
  </si>
  <si>
    <t>The video ends as the man reaches the end of the room.</t>
  </si>
  <si>
    <t>v_aIvWwX--xKw</t>
  </si>
  <si>
    <t>A woman is standing behind a counter in a kitchen.</t>
  </si>
  <si>
    <t>She takes the lid off of a pot of salad.</t>
  </si>
  <si>
    <t>She moves the salad into a new bowl.</t>
  </si>
  <si>
    <t>She takes the towel and puts it over the lettuce.</t>
  </si>
  <si>
    <t>She takes the lettuce and puts it in a wooden bowl.</t>
  </si>
  <si>
    <t>She tosses the salad with two spoons.</t>
  </si>
  <si>
    <t>v_zHzKPtrgv1k</t>
  </si>
  <si>
    <t>A set of kids are in bumper cars and begin driving and hitting each other.</t>
  </si>
  <si>
    <t>One of the young kids runs into wall and the males who are operating the ride assist the child.</t>
  </si>
  <si>
    <t>v_InA8Xbg-hvo</t>
  </si>
  <si>
    <t>The words how to apply mascara appear.</t>
  </si>
  <si>
    <t>A woman with long black hair is talking to the camera.</t>
  </si>
  <si>
    <t>She holds up a wand of mascara.</t>
  </si>
  <si>
    <t>She then shows how to apply it, one eye at a time.</t>
  </si>
  <si>
    <t>v_o8EOFXW5GJo</t>
  </si>
  <si>
    <t>Several shots of plates are shown with food leading into a man preparing food.</t>
  </si>
  <si>
    <t>The man then puts more food into a plate and spinning around ingredients.</t>
  </si>
  <si>
    <t>He continues to put food onto a plate and ends by presenting it to the camera.</t>
  </si>
  <si>
    <t>v_saMBbZcDAjM</t>
  </si>
  <si>
    <t>Two people are seen hitting a ping pong table back and fourth in the middle of an outdoor park.</t>
  </si>
  <si>
    <t>They drop the ball and pick it up and then continue playing again.</t>
  </si>
  <si>
    <t>v_u2hzK9YyIXY</t>
  </si>
  <si>
    <t>A person's shoe is seen sitting in a sink and the person scrubs the outside of the shoe with water running.</t>
  </si>
  <si>
    <t>The person turns the water off and let's the dirt from the shoe run down the sink.</t>
  </si>
  <si>
    <t>v_GdEKSyad_rk</t>
  </si>
  <si>
    <t>A man is water skiing on a river.</t>
  </si>
  <si>
    <t>He leans backward, still holding on.</t>
  </si>
  <si>
    <t>He also turns and lifts one foot in the air.</t>
  </si>
  <si>
    <t>v_j30ZbXEi8sc</t>
  </si>
  <si>
    <t>A large marching band are seen standing in the middle of a lawn.</t>
  </si>
  <si>
    <t>The middle of the group begin to play followed by the rest around them.</t>
  </si>
  <si>
    <t>The group take turns playing back and fourth and end by standing still.</t>
  </si>
  <si>
    <t>v_Lfj9JC7uWmE</t>
  </si>
  <si>
    <t>man are playing war of a tug in an open field in font of a lake.</t>
  </si>
  <si>
    <t>men are standing in sidewalk watching the men playing and taking pictures.</t>
  </si>
  <si>
    <t>men reunite and pose to a picture and a lot of camcorders are taking pictures.</t>
  </si>
  <si>
    <t>v_AuS32BoK0Bg</t>
  </si>
  <si>
    <t>A man is putting on a pair of shoes.</t>
  </si>
  <si>
    <t>He grabs his skies and boards a lift.</t>
  </si>
  <si>
    <t>He is then shown skiing down various hills and mountains.</t>
  </si>
  <si>
    <t>v_-pLiSHAz4fo</t>
  </si>
  <si>
    <t>A man talking about how to work out in a certain position.</t>
  </si>
  <si>
    <t>He explains it and shows in detail how it should be done.</t>
  </si>
  <si>
    <t>Then he grabs the bar and demonstrates like that also.</t>
  </si>
  <si>
    <t>He begins to do it in repetition a few times before finishing up.</t>
  </si>
  <si>
    <t>v_k4WHaby5jd8</t>
  </si>
  <si>
    <t>A man is in the garbage and he brings out a suitcase and takes a bike out of it.</t>
  </si>
  <si>
    <t>He begins to unravel the bike and start putting it all together.</t>
  </si>
  <si>
    <t>He screws in some pieces and put the hand bars on using a a pocket knife.</t>
  </si>
  <si>
    <t>He inflates the tires with air and finishes putting the rest together, and then he rides off.</t>
  </si>
  <si>
    <t>v_8ZyBER6U9Wc</t>
  </si>
  <si>
    <t>Three girls that are matching clothes are jumping rope at a competition.</t>
  </si>
  <si>
    <t>They start to switch places between jumpers, doing tricks while jumping.</t>
  </si>
  <si>
    <t>They move up and down the floor while never stopping.</t>
  </si>
  <si>
    <t>Then they drop their rope and bow.</t>
  </si>
  <si>
    <t>v_RrgUFU70PNQ</t>
  </si>
  <si>
    <t>A group of men are in a ring around a mat.</t>
  </si>
  <si>
    <t>Two crouch in front of each other before springing onto the mat, fighting and kicking.</t>
  </si>
  <si>
    <t>They are performing a type of martial arts, fighting their oponent as cameras flash.</t>
  </si>
  <si>
    <t>v_Q6SooTA1os4</t>
  </si>
  <si>
    <t>A dog runs around a house from room to room.</t>
  </si>
  <si>
    <t>Two men take the dog into the bathroom and get him in the bath tub.</t>
  </si>
  <si>
    <t>One of the men washes the dog.</t>
  </si>
  <si>
    <t>The other man records what is happening.</t>
  </si>
  <si>
    <t>The dog hops out of the tub and one of the men dries him off.</t>
  </si>
  <si>
    <t>One man holds the dogs mouth open while the other man brushes the dogs teeth.</t>
  </si>
  <si>
    <t>v_Jvxk68D3F2w</t>
  </si>
  <si>
    <t>A camera pans all around a paintball course and shows a closeup of a person speaking.</t>
  </si>
  <si>
    <t>Several clips are seen of people running around the course and shooting paintball at one another.</t>
  </si>
  <si>
    <t>More close ups are shown of a gun as well as a man speaking to the camera and others socializing with one another.</t>
  </si>
  <si>
    <t>v_WMxQ5hc4s78</t>
  </si>
  <si>
    <t>A small table sits atop another table.</t>
  </si>
  <si>
    <t>A man enters wearing a black hoodie.</t>
  </si>
  <si>
    <t>He opens a jar and pulls out something.</t>
  </si>
  <si>
    <t>He then varnishes the table.</t>
  </si>
  <si>
    <t>v_PT18KK_6jmU</t>
  </si>
  <si>
    <t>An intro of a black screen with a logo and the words CAMERON HANSEN GALLERY appear along with the website at the bottom right.</t>
  </si>
  <si>
    <t>A school of fish swimming in the ocean appears and the location and the description of the video is displayed.</t>
  </si>
  <si>
    <t>A series of many different videos begin and it includes footage from underwater with a snorkeler, many different sea life swimming and even an elephant swimming.</t>
  </si>
  <si>
    <t>The next set of clips include various different footage of people who are above water and the scenery around them.</t>
  </si>
  <si>
    <t>It then switches to caves and it shows the outside, inside, and then the snorkeler back under water holding a flashlight to see as it's very dark.</t>
  </si>
  <si>
    <t>The focus goes back to other clips where the elephant is swimming again, a still shot picture of the beach is displayed, and more clips from the water above.</t>
  </si>
  <si>
    <t>It ends with a picture of a large tree branch near the water and the words The Andaman Islands appear at the top and fades to an all black screen.</t>
  </si>
  <si>
    <t>v_-Pa52Pf_Raw</t>
  </si>
  <si>
    <t>A young woman is sitting in the doorway of a building.</t>
  </si>
  <si>
    <t>She is staring at the camera.</t>
  </si>
  <si>
    <t>She keeps taking puffs from a cigarette as she sits.</t>
  </si>
  <si>
    <t>v_hMUoeOFmquI</t>
  </si>
  <si>
    <t>A news segment begins and black and white picture of a smiling girl appears on the screen and the banner on the screen says "HENRICO TEEN DIES AFTER RACE FATHER RECOUNTS DAUGHTER'S FINAL MOMENTS".</t>
  </si>
  <si>
    <t>The newscaster appears with her parents talking about the girl while clips of the race play, and still shot pictures of the girl appear on the camera.</t>
  </si>
  <si>
    <t>When the pictures and video clips of the interview and race are over, the newscaster is speaking alone back at the news station.</t>
  </si>
  <si>
    <t>v_fkmYC91-biI</t>
  </si>
  <si>
    <t>Two little kids are sitting indian style on the carpet inside the house,they have a hookah and are smoking it.</t>
  </si>
  <si>
    <t>They take turns inhaling and exhaling the smoke.</t>
  </si>
  <si>
    <t>They exhale from their nose like they do it often and have been trained like little pros.</t>
  </si>
  <si>
    <t>It is very sad these children are allowed to do this like its normal, they seem to enjoy it too.</t>
  </si>
  <si>
    <t>v_TFkI_wKMypE</t>
  </si>
  <si>
    <t>Two girls are seen speaking to the camera with one giving a thumbs up.</t>
  </si>
  <si>
    <t>The girls then play a game of hop scotch with each other and high giving one another in the end.</t>
  </si>
  <si>
    <t>v_K757XUwinrc</t>
  </si>
  <si>
    <t>A woman is seen holding onto a brush and grabbing a brush.</t>
  </si>
  <si>
    <t>Another girl brushes through her hair while the camera pans her movements.</t>
  </si>
  <si>
    <t>She continues brushing the other's hair while looking to the camera.</t>
  </si>
  <si>
    <t>v_luDywPbDOEQ</t>
  </si>
  <si>
    <t>We see a white title screen.</t>
  </si>
  <si>
    <t>We then see a lady moping and wringing the mop by hand.</t>
  </si>
  <si>
    <t>We see a bucket which rings a round mop without touching it.</t>
  </si>
  <si>
    <t>A lady changes the mop head with her foot.</t>
  </si>
  <si>
    <t>Three ladies give endorsements and we see them using the mop.</t>
  </si>
  <si>
    <t>We then see more of the mop in action.</t>
  </si>
  <si>
    <t>v_oeSyeZqlC1g</t>
  </si>
  <si>
    <t>People sits on steps, after people are on boats in a river.</t>
  </si>
  <si>
    <t>An adult and several teen in canoes holds paddles.</t>
  </si>
  <si>
    <t>The man shows the teens how to move the oars.</t>
  </si>
  <si>
    <t>The teens follow the instructions of the man and row the oars.</t>
  </si>
  <si>
    <t>v_sax2PjbeLdk</t>
  </si>
  <si>
    <t>There are shoes placed on the floor just lying there.</t>
  </si>
  <si>
    <t>Someone puts their feet into one of their shoes very slowly.</t>
  </si>
  <si>
    <t>They begin to buckle the straps on the left shoe.</t>
  </si>
  <si>
    <t>Then they put their foot more securely into the right shoe, finally bucking the straps on that shoe too.</t>
  </si>
  <si>
    <t>v_f-r9g_-5huM</t>
  </si>
  <si>
    <t>A man and woman are talking.</t>
  </si>
  <si>
    <t>A man starts playing a harmonica.</t>
  </si>
  <si>
    <t>The crowd watches him play.</t>
  </si>
  <si>
    <t>v_RTIzzeNaH2Q</t>
  </si>
  <si>
    <t>A bike is being shown in the narrow walkway.</t>
  </si>
  <si>
    <t>An old man wearing gray shirt is putting on and screwing the black handle bars in the front of the bike, then put the front wheel of the bike, tighten the screw, and lastly he put the seat on.</t>
  </si>
  <si>
    <t>v_DOfpOkDHe_8</t>
  </si>
  <si>
    <t>A girl is standing in her home with her hands behind her back and her legs shoulder width apart.</t>
  </si>
  <si>
    <t>The girl then firmly drops her hands to her side, brings her feet together and does a bow and continues to do a routine of various karate moves.</t>
  </si>
  <si>
    <t>The girl ends her routing a little further from the point she started and firmly drops her hands to her side and does a little bow, then opens her legs shoulder length apart and goes back into the same position as she was in when she started.</t>
  </si>
  <si>
    <t>After she is done holding the position for a while the girl relaxes and then walks away.</t>
  </si>
  <si>
    <t>v_DxtISmKol2I</t>
  </si>
  <si>
    <t>Two people are seen kneeling down before a board and pushing down objects.</t>
  </si>
  <si>
    <t>Other people watch on the side as the two robots begin to attack one another.</t>
  </si>
  <si>
    <t>One pushes the other off the side and the men put the robots back to battle several more.</t>
  </si>
  <si>
    <t>v_ig8RaXkocJ0</t>
  </si>
  <si>
    <t>A man has his hands in the air.</t>
  </si>
  <si>
    <t>Two wrestlers are shown jumping into the ring.</t>
  </si>
  <si>
    <t>They collapse as different people do the same jump.</t>
  </si>
  <si>
    <t>v_-BVpaPkee2I</t>
  </si>
  <si>
    <t>An athletic woman is seen talking to the camera and leads into her teaching a cycling class with others.</t>
  </si>
  <si>
    <t>More shots of her leading are shown in different areas.</t>
  </si>
  <si>
    <t>v_VsFHNZHhNwI</t>
  </si>
  <si>
    <t>A lady sits in the shower washing a fluffy dog.</t>
  </si>
  <si>
    <t>The lady leans over the dog and washes his front paw on the left.</t>
  </si>
  <si>
    <t>v_SI0GumzxYt4</t>
  </si>
  <si>
    <t>A camera follows around a small boat that is moving along the water as well as landscapes.</t>
  </si>
  <si>
    <t>The camera zooms in on the boat and shows people riding inside.</t>
  </si>
  <si>
    <t>v_QHd9bJOuvIU</t>
  </si>
  <si>
    <t>A man is walking up a ladder to a roof.</t>
  </si>
  <si>
    <t>He is standing in front of a house talking.</t>
  </si>
  <si>
    <t>Men are putting new shingles onto a roof.</t>
  </si>
  <si>
    <t>v_4chhQzVxWkA</t>
  </si>
  <si>
    <t>A baby is swimming in a pool on its back.</t>
  </si>
  <si>
    <t>The baby is kicking its feet in the water.</t>
  </si>
  <si>
    <t>Someone's hand is holding that baby in the water.</t>
  </si>
  <si>
    <t>v_pjF6uBZHVRE</t>
  </si>
  <si>
    <t>The starting list for the men's pole vault event is displayed over the background of the competition area.</t>
  </si>
  <si>
    <t>Multiple vaulters attempt to vault, one after another, some successfully and some not.</t>
  </si>
  <si>
    <t>The camera cuts to a man wiping his face with a towel, then a quick shot of the last vault attempt, then a quick shot of another man walking away from the camera.</t>
  </si>
  <si>
    <t>Another man in white and blue vaults and is successful.</t>
  </si>
  <si>
    <t>The camera cuts to four other competitors watching.</t>
  </si>
  <si>
    <t>The camera cuts to a man in white and blue celebrating while holding a flag against his black.</t>
  </si>
  <si>
    <t>The man who celebrated is being interviewed.</t>
  </si>
  <si>
    <t>A different competitor, wearing red, is being interviewed.</t>
  </si>
  <si>
    <t>v_UMS4-qifK9A</t>
  </si>
  <si>
    <t>A man sits down in front of a bed.</t>
  </si>
  <si>
    <t>He starts to play an electric guitar.</t>
  </si>
  <si>
    <t>He finishes playing and stands up.</t>
  </si>
  <si>
    <t>v_xNiYjTyCTtg</t>
  </si>
  <si>
    <t>Two girls are standing in a shop and hug each other.</t>
  </si>
  <si>
    <t>The two girls acknowledge the girl holding the camera.</t>
  </si>
  <si>
    <t>They each show their ears that they are wanting to be pierced.</t>
  </si>
  <si>
    <t>The woman working in the shop straightens the girls head and marks her ear and pierces her right ear, as the girl makes faces.</t>
  </si>
  <si>
    <t>The woman looks shocked as the worker talks to her and holds the mirror for h er to see the ear.</t>
  </si>
  <si>
    <t>To be continued is shown on the screen.</t>
  </si>
  <si>
    <t>The girl shows her ear as she sits in the chair and tries not to cry as the camera zooms in on her ear.</t>
  </si>
  <si>
    <t>v_HrWr7FmBYn4</t>
  </si>
  <si>
    <t>A woman is seen speaking to a camera and leads into herself with wet hair and brushing it through.</t>
  </si>
  <si>
    <t>Her hair is snow dry and she puts clips into her hair and begins curling.</t>
  </si>
  <si>
    <t>She continues curling the ends of her hair and runs her fingers through in the end and smiles at the camera while giving a thumbs up.</t>
  </si>
  <si>
    <t>v_4S5ethZhgqs</t>
  </si>
  <si>
    <t>A big green garbage can is pushed up against a brick wall and a reindeer jumps out drinking from a coffee cup.</t>
  </si>
  <si>
    <t>The reindeer continues to drink out of the coffee cup and eventually falls out of over the garbage can.</t>
  </si>
  <si>
    <t>v_uPqh5uA1mhA</t>
  </si>
  <si>
    <t>The screen shows the words Shot Put Men.</t>
  </si>
  <si>
    <t>Kurt Roberts, in a yellow top, throws the ball and a man rushes to measure the throw.</t>
  </si>
  <si>
    <t>Kurt drinks from a Gatorade bottle.</t>
  </si>
  <si>
    <t>Reese Hoffa steps up and throws the ball and a man rushes to measure the throw.</t>
  </si>
  <si>
    <t>Reese adjusts his shirt and waits for his score.</t>
  </si>
  <si>
    <t>Davis Storl sits and is featured on the screen.</t>
  </si>
  <si>
    <t>He then throws the ball and the man rushes to measure the distance.</t>
  </si>
  <si>
    <t>He is shown standing with his team and an instant replay of the throw is shown.</t>
  </si>
  <si>
    <t>The score is shown on the screen.</t>
  </si>
  <si>
    <t>Fans are shown doing the wave.</t>
  </si>
  <si>
    <t>v_DJ5tenTs0A0</t>
  </si>
  <si>
    <t>A child ski on the snow holding two poles and wearing skies.</t>
  </si>
  <si>
    <t>Adults ski behind the child.</t>
  </si>
  <si>
    <t>Then the child stops, then start to walk until start sliding on the hill.</t>
  </si>
  <si>
    <t>v_2Mw-3jScc0M</t>
  </si>
  <si>
    <t>An aerial view of a field and animals is shown.</t>
  </si>
  <si>
    <t>People mill around a dartboard and then start doing lumberjack things with logs.</t>
  </si>
  <si>
    <t>A boat is prepared and the group starts water skiing, wakeboarding, and the like.</t>
  </si>
  <si>
    <t>At the end, people relax on the boat.</t>
  </si>
  <si>
    <t>v_yJ5zO0T9jgk</t>
  </si>
  <si>
    <t>People are playing badminton on a court.</t>
  </si>
  <si>
    <t>An audience is watching them play.</t>
  </si>
  <si>
    <t>A cartoon of people playing the game is shown.</t>
  </si>
  <si>
    <t>A man in a blue sweater is talking to the camera.</t>
  </si>
  <si>
    <t>v_m0_F34CgAco</t>
  </si>
  <si>
    <t>The baker is putting a safe ring on a silicone molder.</t>
  </si>
  <si>
    <t>The baker pour the batter in the purple molder, then he place a silicone tray in the oven and put the cake in the oven.</t>
  </si>
  <si>
    <t>The baker turn over the cake in the plate and put icing and fruits on top.</t>
  </si>
  <si>
    <t>The baker put safety ling on the molder, put jelly in it, then he put the jelly off the molder.</t>
  </si>
  <si>
    <t>The baker made popsicles and cake decorations and chocolates using the molder.</t>
  </si>
  <si>
    <t>v_Lh-cI4M0dNw</t>
  </si>
  <si>
    <t>A man is seen riding along on a horse and then ropes a calf while others watch.</t>
  </si>
  <si>
    <t>The man then ties up the calf and climbs up on the horse and others step into the ring.</t>
  </si>
  <si>
    <t>v_2_tzemKY72E</t>
  </si>
  <si>
    <t>A female gymnast is shown in a photograph.</t>
  </si>
  <si>
    <t>She is then shown preparing and then mounting a high beam.</t>
  </si>
  <si>
    <t>She flips and turns on the beam, changing between two beams.</t>
  </si>
  <si>
    <t>She dismounts, throwing her arms into the air triumphantly.</t>
  </si>
  <si>
    <t>v_Hg1tl2hFWGc</t>
  </si>
  <si>
    <t>a child is sitting on a counter with a container of water colors.</t>
  </si>
  <si>
    <t>She is using a paint brush to apply the paints to her face.</t>
  </si>
  <si>
    <t>She then starts putting the paint all over her chest.</t>
  </si>
  <si>
    <t>v_l8boztVhl7w</t>
  </si>
  <si>
    <t>A countdown is shown that leads into a person scoring a basket in a game.</t>
  </si>
  <si>
    <t>More text are shown counting down a list and showing another person scoring a point.</t>
  </si>
  <si>
    <t>Several more shots are shown of people performing impressive sport tactics while the list counts down.</t>
  </si>
  <si>
    <t>v_U2-GFZxIufw</t>
  </si>
  <si>
    <t>A boat goes on to a lake with a rope behind it.</t>
  </si>
  <si>
    <t>A boy grabs the rope and goes in the water after the boat.</t>
  </si>
  <si>
    <t>The boat begins to speed up.</t>
  </si>
  <si>
    <t>The boy is brought to his feet and begins to water ski.</t>
  </si>
  <si>
    <t>v_3MqnXsnEAkM</t>
  </si>
  <si>
    <t>A man walks onto a mat and lifts a large weight over his head.</t>
  </si>
  <si>
    <t>A man in a red shirt is sitting down.</t>
  </si>
  <si>
    <t>A man walks up and lifts a large weight over his head and drops it on the ground.</t>
  </si>
  <si>
    <t>Another man comes onto the mat and lifts a weight over their head.</t>
  </si>
  <si>
    <t>v_7VvcQNSAd24</t>
  </si>
  <si>
    <t>A man is seen standing in front of a mirror holding a razor.</t>
  </si>
  <si>
    <t>He then begins shaving his face while still looking in the mirror.</t>
  </si>
  <si>
    <t>He finishes shaving his face and looks back smiling at the camera.</t>
  </si>
  <si>
    <t>v_7ftCKS5SCCk</t>
  </si>
  <si>
    <t>little girl with long hair is dancing in a living room with a lot of boots and shoes on the floor, she put them on and take it off.</t>
  </si>
  <si>
    <t>girl is on skateboard in the living room and to the room again.</t>
  </si>
  <si>
    <t>little girl is in library and grab something and then starts dancing in the room.</t>
  </si>
  <si>
    <t>v_LGku-onF4VI</t>
  </si>
  <si>
    <t>People are sitting behind large drums.</t>
  </si>
  <si>
    <t>They start playing the drums with their hands.</t>
  </si>
  <si>
    <t>People stand on the street watching them.</t>
  </si>
  <si>
    <t>A man picks up his chair and turns it upside down on the drums.</t>
  </si>
  <si>
    <t>v_p8_hwwgyoZE</t>
  </si>
  <si>
    <t>A man and woman are on a stage together.</t>
  </si>
  <si>
    <t>They quickly play drums before a crowd.</t>
  </si>
  <si>
    <t>An older man is then seen also playing drums.</t>
  </si>
  <si>
    <t>v_vgO3mzJGbSI</t>
  </si>
  <si>
    <t>A camera pans around a shop and pans back to a girl talking.</t>
  </si>
  <si>
    <t>She points to her face multiple times and gives a little tour of her room.</t>
  </si>
  <si>
    <t>She continues talking to the camera and eventually shows footage of her getting her nose pierced.</t>
  </si>
  <si>
    <t>She apears back in the room with the pierced nose and shows off a drink and sushi.</t>
  </si>
  <si>
    <t>Finally she shows a book as well as a bag with white powder and herself in a pony tail.</t>
  </si>
  <si>
    <t>v__jT57LdAHUs</t>
  </si>
  <si>
    <t>A man talks on front the drummer and holding two sticks.</t>
  </si>
  <si>
    <t>The man pretends to play the drums, and then continues talking.</t>
  </si>
  <si>
    <t>v_modITAJlP_0</t>
  </si>
  <si>
    <t>A woman wearing light blue tank top and black shorts is exercising on an elliptical.</t>
  </si>
  <si>
    <t>She continues walking on the elliptical as she moves her hands forward and backwards.</t>
  </si>
  <si>
    <t>She then finishes her exercise routine, gets off the equipment and takes a drink of water from a blue water bottle.</t>
  </si>
  <si>
    <t>She walks away holding the bottle in her hand.</t>
  </si>
  <si>
    <t>v_Bdpqtvdx2T8</t>
  </si>
  <si>
    <t>We see a little girl painting a fence red.</t>
  </si>
  <si>
    <t>The girl puts more paint on her brush.</t>
  </si>
  <si>
    <t>The girl fills her brush again.</t>
  </si>
  <si>
    <t>We see the fence and an adult shows her how to paint.</t>
  </si>
  <si>
    <t>The adult points at a missed spot.</t>
  </si>
  <si>
    <t>v_qfCqVXhNPE8</t>
  </si>
  <si>
    <t>A woman with black hair is explaining something.</t>
  </si>
  <si>
    <t>The woman pulls out a container with hair rolls.</t>
  </si>
  <si>
    <t>The woman pulls out a bottle of shampoo.</t>
  </si>
  <si>
    <t>The woman rolls her hair and pins it in place and leaves it for ten minutes.</t>
  </si>
  <si>
    <t>The women removes the rolls from her hair.</t>
  </si>
  <si>
    <t>The woman takes out hair spray and sprays it on her hair.</t>
  </si>
  <si>
    <t>v_0IxId05Eo6k</t>
  </si>
  <si>
    <t>There are a lot of people indoors in a large building walking, or hanging out, and the banner below say's "WHAT IN THE WORLD? China's National Tug-of-War Championships" and he logo on the right say's "east SPORTS WEST".</t>
  </si>
  <si>
    <t>There are two sets of people along a rope and they are separated in the middle by referees.</t>
  </si>
  <si>
    <t>They take a bow, pick up the rope, and each team begins to tug on the rope until a winner is called.</t>
  </si>
  <si>
    <t>A woman referee is now standing with her two arms up and she lets them down to indicate that the two teams can start tugging on the rope, and they do until she blows a whistle to indicate the winner.</t>
  </si>
  <si>
    <t>Two short clips play and it shows a womens tug-of-war match, then a mens but it doesn't show much and then it goes straight to outdoor shots of the city and text on the screen appear with the network logo, website, and rights of the video.</t>
  </si>
  <si>
    <t>v_98MoyGZKHXc</t>
  </si>
  <si>
    <t>A man drives a car, the car stops with a flat tire.</t>
  </si>
  <si>
    <t>The man turn off the emergency lights, and then uses a repair kit to inflate the tire.</t>
  </si>
  <si>
    <t>Then, the man advance the car a little and the tire inflates.</t>
  </si>
  <si>
    <t>After, the man drives his car.</t>
  </si>
  <si>
    <t>v_6I1aP4O04R8</t>
  </si>
  <si>
    <t>A large pile of leaves are seen blowing around a yard as a person uses a tool to push them along.</t>
  </si>
  <si>
    <t>The camera continues to capture the man blowing the leaves and uses several camera effects on the frames.</t>
  </si>
  <si>
    <t>v_6qghJRLpHpo</t>
  </si>
  <si>
    <t>A small group of people are seen riding kayaks down a rough river with one person performing a flip in the water.</t>
  </si>
  <si>
    <t>The person performs several more flips with the camera captures him from far away.</t>
  </si>
  <si>
    <t>v_lZ2X-e33E0A</t>
  </si>
  <si>
    <t>We see the opening title screens.</t>
  </si>
  <si>
    <t>A man walks into a room and grabs a bucket and returns with it.</t>
  </si>
  <si>
    <t>We see a man in a bright shirt mix plaster in a bucket and spread it on a wall.</t>
  </si>
  <si>
    <t>The man adds more plaster to his base and spreads it on the wall.</t>
  </si>
  <si>
    <t>v_teZ99ahe1zY</t>
  </si>
  <si>
    <t>Various people are shown riding around on horses holding sticks in the air and riding around one another.</t>
  </si>
  <si>
    <t>People walk in and out of frame and the people continue moving around on horses.</t>
  </si>
  <si>
    <t>v_iTc3UCWgUF0</t>
  </si>
  <si>
    <t>A man sits down in a chair putting his sneakers on and points to a fox running in.</t>
  </si>
  <si>
    <t>The fox stands by the man and jumps up and down on his lap while he continues to put his shoes on.</t>
  </si>
  <si>
    <t>v__rs8dhCdI1w</t>
  </si>
  <si>
    <t>A person puts tape on a leather sofa to form a square.</t>
  </si>
  <si>
    <t>Then, the person apply foam to a sponge and cleans inside the square.</t>
  </si>
  <si>
    <t>After, the person clean with a cloth and peels the tape.</t>
  </si>
  <si>
    <t>Next, the person cleans all the sofa putting foam on a cloth and rubbing the sofa.</t>
  </si>
  <si>
    <t>v_9xtYwXpaiZ0</t>
  </si>
  <si>
    <t>A shoe polishing machine sits in a living room.</t>
  </si>
  <si>
    <t>A man walks up to the shoe polishing machine a turns it on.</t>
  </si>
  <si>
    <t>The man wearing blue jeans begins bushing his black shoes.</t>
  </si>
  <si>
    <t>The man then begins brushing and polishing his brown shoes.</t>
  </si>
  <si>
    <t>The man approaches the shoe polishing machine and brushes his grey sneakers.</t>
  </si>
  <si>
    <t>The man crouches down and pulls out a dust bin from under the polishing machine.</t>
  </si>
  <si>
    <t>v_fJMVz_TBWU0</t>
  </si>
  <si>
    <t>A large group of people are seen standing in a crowd when a man holding a set of bag pipes walks up and gives everyone the devil horns.</t>
  </si>
  <si>
    <t>They give the horns back and the man plays while walking up and down the stage.</t>
  </si>
  <si>
    <t>v_NVWk38z7f4U</t>
  </si>
  <si>
    <t>Several signs for tattoo shops are shown, along with a girl speaking to the camera.</t>
  </si>
  <si>
    <t>She shows off the tattoo she wants to get.</t>
  </si>
  <si>
    <t>The woman sits in a chair as a tattoo artist makes a snowflake on her arm.</t>
  </si>
  <si>
    <t>She talks to the camera the entire time as he inks her.</t>
  </si>
  <si>
    <t>Afterward, she shows off her completed tattoo and speaks about it.</t>
  </si>
  <si>
    <t>v_c-TD6-GESQk</t>
  </si>
  <si>
    <t>A man is standing in a gym.</t>
  </si>
  <si>
    <t>He bends down and picks up a large weight.</t>
  </si>
  <si>
    <t>He sets it down and talks to the camera.</t>
  </si>
  <si>
    <t>v_z93quI8Gxx4</t>
  </si>
  <si>
    <t>The woman is riding a camel as she talks to the camera.</t>
  </si>
  <si>
    <t>A man is guiding the camel and giving the camel food.</t>
  </si>
  <si>
    <t>The woman is reporting while she is on the back of the camel.</t>
  </si>
  <si>
    <t>v_rrNJt73BG_8</t>
  </si>
  <si>
    <t>A person opens a faucet and wet the hands.</t>
  </si>
  <si>
    <t>The person uses soap to rub vigorously the hands.</t>
  </si>
  <si>
    <t>After, the person rinse the hand thoroughly with plenty water.</t>
  </si>
  <si>
    <t>After the person dry the hands with a clean towel, and turns the the sink using the towel.</t>
  </si>
  <si>
    <t>v_q2-2jIQGfvg</t>
  </si>
  <si>
    <t>The words "speed cubing 53 sec" appear on a black screen.</t>
  </si>
  <si>
    <t>A young man sits at a table and starts playing with a Rubik's Cube.</t>
  </si>
  <si>
    <t>The man solves the puzzle completing all sides of the cube and the screen goes black.</t>
  </si>
  <si>
    <t>v_SFDvkbDZTjA</t>
  </si>
  <si>
    <t>A cat is scratching its paws on the carpet.</t>
  </si>
  <si>
    <t>A man holds the cats paw and starts clipping its nails.</t>
  </si>
  <si>
    <t>He holds the cat outside.</t>
  </si>
  <si>
    <t>v_TFdv2VQ8-Hg</t>
  </si>
  <si>
    <t>A group of people gather on a tarmac.</t>
  </si>
  <si>
    <t>They board the plane before taking off, showing the runway and clouds in the sky.</t>
  </si>
  <si>
    <t>They are in an airport, then driving down the road.</t>
  </si>
  <si>
    <t>Finally they are riding a boat in the coean, looking at a map and chartering the waters.</t>
  </si>
  <si>
    <t>They go surfing in the large waves.</t>
  </si>
  <si>
    <t>v_on2DKKcvWhE</t>
  </si>
  <si>
    <t>An introduction comes onto the screen for a video that will show a demo of some janitorial products.</t>
  </si>
  <si>
    <t>A man on the screen begins to describe a mop and bucket set that are used for cleaning floors.</t>
  </si>
  <si>
    <t>He then begins to demonstrate how to use the mop and bucket set.</t>
  </si>
  <si>
    <t>Next he shows the buckets close up and begins to describe how to use the buckets.</t>
  </si>
  <si>
    <t>At the end of the video the closing credits are shown.</t>
  </si>
  <si>
    <t>v_FBtrv1Vg8hU</t>
  </si>
  <si>
    <t>A young woman on a white horse is shown riding through the field.</t>
  </si>
  <si>
    <t>The lady is then shown exercising on a blue mat doing several yoga stretches.</t>
  </si>
  <si>
    <t>After,she is pictured in her home talking while sitting on the couch.</t>
  </si>
  <si>
    <t>Finally,the screen returns and she is shown in horseback riding in the field going through the stable.</t>
  </si>
  <si>
    <t>v_clUgEizjVkM</t>
  </si>
  <si>
    <t>A small group of people are seen skating around the ice playing a game of hockey against one another.</t>
  </si>
  <si>
    <t>One member scores as the camera pans around them and a man watching.</t>
  </si>
  <si>
    <t>v_PZ4miMXdjHE</t>
  </si>
  <si>
    <t>A man is seen standing in a large pit with a group of children and teaching them how to stand.</t>
  </si>
  <si>
    <t>The kids then get powder on their hands and the man chases them around and has fun.</t>
  </si>
  <si>
    <t>v_8NcRuVMSQLs</t>
  </si>
  <si>
    <t>The camera pans around an athletic woman standing ready and others watching her on the side.</t>
  </si>
  <si>
    <t>She jumps high over a pole and walks away as her jump is shown again in slow motion and another runner steps up.</t>
  </si>
  <si>
    <t>Several more women are shown jumping over the beam while their scores are shown immediately afterwards.</t>
  </si>
  <si>
    <t>v_nEv28s46Kvo</t>
  </si>
  <si>
    <t>We see an opening screen as a black and white film.</t>
  </si>
  <si>
    <t>We then see people putting on fencing gear.</t>
  </si>
  <si>
    <t>The two men fence in between title screens.</t>
  </si>
  <si>
    <t>The men switch from outdoors to indoors.</t>
  </si>
  <si>
    <t>We see a man's helmet.</t>
  </si>
  <si>
    <t>We see a men fighting in slow motion.</t>
  </si>
  <si>
    <t>The men finish and walk away from each other.</t>
  </si>
  <si>
    <t>v_HRjSOacCdWI</t>
  </si>
  <si>
    <t>A man picks up a heavy weight.</t>
  </si>
  <si>
    <t>He drops it to the ground.</t>
  </si>
  <si>
    <t>v_rX2tRvv2ZfU</t>
  </si>
  <si>
    <t>There's a woman dressed in a brown dress standing next to another lady in blue who is demonstrating a recipe.</t>
  </si>
  <si>
    <t>They are standing next to the kitchen counter that has several bowls filled with various ingredient in it.</t>
  </si>
  <si>
    <t>The chef is talking about the recipes that the ingredients are used for.</t>
  </si>
  <si>
    <t>There's a white plate with shredded meat on the kitchen counter.</t>
  </si>
  <si>
    <t>The chef then picks up the meat plate and gives it to the lady in brown.</t>
  </si>
  <si>
    <t>The presenter then empties the meat into a blue bowl.</t>
  </si>
  <si>
    <t>The chef continues to explain the recipe.</t>
  </si>
  <si>
    <t>Then they add some chopped cucumber to the blue bowl and mix it with a spoon.</t>
  </si>
  <si>
    <t>The chef shows the cucumbers she has used in the salad.</t>
  </si>
  <si>
    <t>Then they add chopped cherry tomatoes, followed by sliced white onions and some leafy greens.</t>
  </si>
  <si>
    <t>Then they add some more garnishing on top of the salad.</t>
  </si>
  <si>
    <t>v_ilE77hVgjjo</t>
  </si>
  <si>
    <t>A girl moves around an indoor playground.</t>
  </si>
  <si>
    <t>The girl slides down and climbs up a slide with boy.</t>
  </si>
  <si>
    <t>A finger touches the girls hair and head.</t>
  </si>
  <si>
    <t>v_VLQQVNIZQqo</t>
  </si>
  <si>
    <t>A man holds a hummer sits on the ground.</t>
  </si>
  <si>
    <t>Then, the man spins the hammer several times and throw it far.</t>
  </si>
  <si>
    <t>Other man perform the hammer throw while people watch.</t>
  </si>
  <si>
    <t>v_uWnlmM2uOs4</t>
  </si>
  <si>
    <t>There are many people in bathing suits standing in a lake with motor boats behind them.</t>
  </si>
  <si>
    <t>One girl wearing a bikini and holding a Coke can in her hand is rubbing sunscreen on another woman's chest.</t>
  </si>
  <si>
    <t>There are some men standing in swim trunks behind them, talking to each other.</t>
  </si>
  <si>
    <t>v_ZuHwSBCjfds</t>
  </si>
  <si>
    <t>News clippings of a water polo player are shown, as well as images and stills.</t>
  </si>
  <si>
    <t>We then see the water polo games in video, as the players try to lob the ball into a net.</t>
  </si>
  <si>
    <t>The people fight over the ball, and a small crowd claps and cheers.</t>
  </si>
  <si>
    <t>v_eXK0iVPl1j8</t>
  </si>
  <si>
    <t>A crowd is gathered around a black tiled area.</t>
  </si>
  <si>
    <t>A man in black does some breakdance moves.</t>
  </si>
  <si>
    <t>He then trades off with a man in white, Several breakdancers trade off displaying moves as the crowd looks on.</t>
  </si>
  <si>
    <t>Finally, the last breakdancer finishes his routine.</t>
  </si>
  <si>
    <t>v_MewROhYmQP0</t>
  </si>
  <si>
    <t>A polo match is being held outdoors in a field.</t>
  </si>
  <si>
    <t>A player on a horse hits the ball.</t>
  </si>
  <si>
    <t>A wide shot of the polo field action is shown.</t>
  </si>
  <si>
    <t>v_Mu8-AwcMqaw</t>
  </si>
  <si>
    <t>A young woman is seen speaking to the camera and leads into her showing off her hair then tying it into a ponytail.</t>
  </si>
  <si>
    <t>She sprays down her hair and then braids her bangs followed by pushing the braid back into a ponytail.</t>
  </si>
  <si>
    <t>She puts a bow in her hair in the end and smiles off to the camera.</t>
  </si>
  <si>
    <t>v_uzXbaoWOm5o</t>
  </si>
  <si>
    <t>A white screen appears and happy faces are displayed and black text words read "happyface Entertainment".</t>
  </si>
  <si>
    <t>There are two Asian women standing face to face very close to one another and talking about a can while subtitles show up at the bottom.</t>
  </si>
  <si>
    <t>The woman holding the bottle on the right tries to unscrew the bottle open and has a hard time so someone reaches in and opens it for her and hands it back.</t>
  </si>
  <si>
    <t>The women laugh, smell the contents in the bottle and the brunette tastes a little bit of it and they both laugh.</t>
  </si>
  <si>
    <t>v_li16LYa7us8</t>
  </si>
  <si>
    <t>A black screen appears with the white letters and numbers that say EXAM 2012.</t>
  </si>
  <si>
    <t>An outdoor of a two story older building is shown and the white letters on the screen say Bolshoi Ballet Academy.</t>
  </si>
  <si>
    <t>A blonde woman is shown sitting at a piano and as she begins to play a bunch of young women are shown dressed in their ballet gear and are dancing ballet on a stage while people watch them.</t>
  </si>
  <si>
    <t>Some of the girls are shown putting on tutus that stick straight out, they walk onto the stage and begin dancing as their tutus that stick straight out bounce with them.</t>
  </si>
  <si>
    <t>The women end their ballet routine, and they all walk to the side of the stage to grab the hand of the woman, they all routine to the stage, take a bow, and all the ballet dances celebrate their performance and give on another hugs.</t>
  </si>
  <si>
    <t>v_u024Wa07GNs</t>
  </si>
  <si>
    <t>A sandwich is sitting on a counter.</t>
  </si>
  <si>
    <t>There are many vegetables around the sandwich.</t>
  </si>
  <si>
    <t>A person puts cucumbers on top of the sandwich.</t>
  </si>
  <si>
    <t>v_en6lOb4wRUU</t>
  </si>
  <si>
    <t>A man is shown smoking a cigarette continuously blowing smoke out of his mouth and looking into the camera.</t>
  </si>
  <si>
    <t>He puts sunglasses on and continues taking puffs off the cigarette.</t>
  </si>
  <si>
    <t>He pans the camera to a crack in the floor and back to his face smoking outside.</t>
  </si>
  <si>
    <t>v_KCxa27MM7Cg</t>
  </si>
  <si>
    <t>Two small children as seen sitting at a table laughing with one another.</t>
  </si>
  <si>
    <t>One girl is seen painting another's nails while she looks off into the distance.</t>
  </si>
  <si>
    <t>The girl continues painting the others' nails while she laughs into the camera.</t>
  </si>
  <si>
    <t>v_fCE3Eo7_Nmw</t>
  </si>
  <si>
    <t>A person takes a knife and cut the ends of a potato, then the person peels the potato.</t>
  </si>
  <si>
    <t>After, the person cut the potato in squares.</t>
  </si>
  <si>
    <t>v_LnqAgjTpi0k</t>
  </si>
  <si>
    <t>We see a pink opening scene.</t>
  </si>
  <si>
    <t>A lady walks up stairs and people are gathered in a plaza outdoors.</t>
  </si>
  <si>
    <t>We see a race banner and people moving under the banner.</t>
  </si>
  <si>
    <t>Runners are running down a city street in a marathon.</t>
  </si>
  <si>
    <t>We see a stadium like structure a km 8.</t>
  </si>
  <si>
    <t>We see a fountain spraying water.</t>
  </si>
  <si>
    <t>A mariachi band sits on the sidewalk playing music followed by drummers.</t>
  </si>
  <si>
    <t>We see the end and a cup of coffee and a medal.</t>
  </si>
  <si>
    <t>A lady photo shops her picture in with the mariachi band.</t>
  </si>
  <si>
    <t>v_exPOJAoyG7Q</t>
  </si>
  <si>
    <t>There's a girl talking about cheer leading, gymnastics and tumbling.</t>
  </si>
  <si>
    <t>She is demonstrating how to do somersaults, cartwheels, round off and back and front walkover.</t>
  </si>
  <si>
    <t>She also shows various other moves like aerial, tic- toc and back handspring.</t>
  </si>
  <si>
    <t>She continues to demonstrate several other gymnastic moves by swiftly moving her body through front flips.</t>
  </si>
  <si>
    <t>v_4Xvn1xXvYdU</t>
  </si>
  <si>
    <t>A man in brown jacket is pulling out an arrow from the target board, then he was talking to the camera, then he pull out his bow and started to use it with his bow to hit the target board, he fired his bows several times.</t>
  </si>
  <si>
    <t>The man went to the target board and talked to the camera.</t>
  </si>
  <si>
    <t>v_5j6j4NJkUXA</t>
  </si>
  <si>
    <t>A boy is shown swinging on a piece of gymnastic equipment with others training in the background.</t>
  </si>
  <si>
    <t>The camera shows several shots of different boys swinging on the equipment around and around with the camera panning to different angles.</t>
  </si>
  <si>
    <t>v_Se7eQXlW-BA</t>
  </si>
  <si>
    <t>A man and woman are seen standing on a bowling lane with another reading in the distance.</t>
  </si>
  <si>
    <t>A woman walks in and speaks to the blonde woman and hands her some bowling shoes.</t>
  </si>
  <si>
    <t>The man speaks over and the girl throws the bowling ball with her heels on.</t>
  </si>
  <si>
    <t>v_5c1jHhHUwPI</t>
  </si>
  <si>
    <t>pitcher throw the ball to the batter playing criquet.</t>
  </si>
  <si>
    <t>the batter is fighing with the man and other people trye to calm him down.</t>
  </si>
  <si>
    <t>a lo of people wearing black unifroms are running in the field fighting.</t>
  </si>
  <si>
    <t>v_oEZToisRw4w</t>
  </si>
  <si>
    <t>Various women are seen walking around with shot puts in their hands followed by more shots of athletes walking around, throwing the ball, and waving to the crowd.</t>
  </si>
  <si>
    <t>The video continues on with several different shots of female athletes throwing shot puts as well as cheering to the crowd and moving around.</t>
  </si>
  <si>
    <t>v_KnI7IWbLWmE</t>
  </si>
  <si>
    <t>Two men play bagpipes, while being photographed at an outdoor military and police ceremony with a speaker at a podium surrounded by men in uniform and in front of a formally seated audience.</t>
  </si>
  <si>
    <t>Two men play bagpipes in front of a row of police officers and a man in a military uniform, all as a photographer takes their photo from below.</t>
  </si>
  <si>
    <t>The camera pans to a man in a suit standing at a podium in front of a group of people who are standing along with the rows of people in uniform behind the speaker.</t>
  </si>
  <si>
    <t>The camera then pans to three military planes flying overhead as part of the ceremony before returning to the people, who are standing, in front of the man at the podium.</t>
  </si>
  <si>
    <t>v_LnEed8TnWwk</t>
  </si>
  <si>
    <t>Shots of people standing on the sides are shown as well as a group of girls playing tug of war with one another.</t>
  </si>
  <si>
    <t>Several more shots are shown of girls playing tug of war against one another while people celebrate on the sides as well as with their team mates.</t>
  </si>
  <si>
    <t>v_SMhW9V-cJsQ</t>
  </si>
  <si>
    <t>A man wearing gloves is on his hands and knees using a power tool that is creating sparks.</t>
  </si>
  <si>
    <t>He continues using the object as the camera man watches and finishes burning the object.</t>
  </si>
  <si>
    <t>v_p31a9wkiSHA</t>
  </si>
  <si>
    <t>boy is standing in front of a door talking with other boys in front of a kitchen.</t>
  </si>
  <si>
    <t>man walks to the living room in front of a ping pong table.</t>
  </si>
  <si>
    <t>man are putting the shoes, grabs a skateboard and is skateboarding by a sidewalk with her friends.</t>
  </si>
  <si>
    <t>man is hanging from lianas on a tree on a park.</t>
  </si>
  <si>
    <t>v_lIb8_YksZyg</t>
  </si>
  <si>
    <t>A kid is standing with some men at a chair lift, dressed in ski gear.</t>
  </si>
  <si>
    <t>The boy skis down a hill, but falls down.</t>
  </si>
  <si>
    <t>He then is shown doing a flip in the air, followed by several ramp and flipping tricks.</t>
  </si>
  <si>
    <t>When they are done, they go inside a building.</t>
  </si>
  <si>
    <t>v_zIvC3Yytcv0</t>
  </si>
  <si>
    <t>Various groups of men are shown that leads into a man wearing a uniform and speaking to the camera.</t>
  </si>
  <si>
    <t>He then leads a group of people to play an instrument all together while the camera pans around.</t>
  </si>
  <si>
    <t>v_bESksIhdEvo</t>
  </si>
  <si>
    <t>A man is seen standing in front of a sink scrubbing it down with a sponge.</t>
  </si>
  <si>
    <t>The man continues wiping down the counter while occasionally looking at the camera.</t>
  </si>
  <si>
    <t>v_ynda_PQe_CM</t>
  </si>
  <si>
    <t>Several men are playing indoor soccer.</t>
  </si>
  <si>
    <t>A large crowd watches from the stands.</t>
  </si>
  <si>
    <t>A man wearing yellow kicks the ball into the goal and celebrates with his team before a replay of his goal is shown.</t>
  </si>
  <si>
    <t>The game continues and two men knock each other down before the red team scores a goal and a replay is shown.</t>
  </si>
  <si>
    <t>The yellow team tries to score and is blocked multiple times before finally scoring and a replay of this goal is shown twice.</t>
  </si>
  <si>
    <t>The game continues until the red team scores.</t>
  </si>
  <si>
    <t>A man from each team kicks the ball at the goal, each man gets the ball in the net and it flies back out.</t>
  </si>
  <si>
    <t>The same thing happens for one more man from each team.</t>
  </si>
  <si>
    <t>When the next red team member kicks, the goalie blocks the ball.</t>
  </si>
  <si>
    <t>Another man from each team scores before the goalie blocks a ball kicked by a man in yellow.</t>
  </si>
  <si>
    <t>Another ball from thew red team is blocked and two men from the sidelines in suits jump up and run on to the court and shake hands with a few players.</t>
  </si>
  <si>
    <t>The players celebrate some being followed by a camera.</t>
  </si>
  <si>
    <t>Men in suits hand a trophy to a man in yellow and he holds it over his head with everyone in the background celebrating.</t>
  </si>
  <si>
    <t>v_YW3mCNKVaa4</t>
  </si>
  <si>
    <t>A view is shown of steep mountain snow.</t>
  </si>
  <si>
    <t>Skiers are traveling on a lift.</t>
  </si>
  <si>
    <t>They are sledding on the snow down a steep hill.</t>
  </si>
  <si>
    <t>v_8NfYYT8d3EQ</t>
  </si>
  <si>
    <t>A text that reads "Deeba's Recipe" appears on the screen.</t>
  </si>
  <si>
    <t>The video then cuts to a woman standing behind a table filled with cooking ingredients.</t>
  </si>
  <si>
    <t>She speaks to the camera while showing some of what she has prepped for the dish.</t>
  </si>
  <si>
    <t>She places the various ingredients into a bowl and garnishes it very precisely.</t>
  </si>
  <si>
    <t>She then pours a sauce all over it.</t>
  </si>
  <si>
    <t>She then speaks to the camera some more to offer tips on how to make the dish.</t>
  </si>
  <si>
    <t>Another set of text showing "Deeba's" recipe is shown again.</t>
  </si>
  <si>
    <t>v_Me3ykrZobJE</t>
  </si>
  <si>
    <t>A person is seen holding a wrapped gift and begins wrapping paper around a box.</t>
  </si>
  <si>
    <t>The girl pushes it down on the sides and begins tapping the box.</t>
  </si>
  <si>
    <t>She finishes tapping all around the box and ends by presenting it to the camera.</t>
  </si>
  <si>
    <t>v_IQp6JF5v1qc</t>
  </si>
  <si>
    <t>The screen opens up with an ACDC promo.</t>
  </si>
  <si>
    <t>A little boy is speaking to the camera.</t>
  </si>
  <si>
    <t>The little boy begins to break dance and does many flips.</t>
  </si>
  <si>
    <t>He stands up and begins to rap.</t>
  </si>
  <si>
    <t>v_dHzX9NqyBZw</t>
  </si>
  <si>
    <t>man is standing behind a counte behind the pool.</t>
  </si>
  <si>
    <t>two men are standing on top of trampolines and make a Synchronized jump into the pool.</t>
  </si>
  <si>
    <t>man is going up the stairs to the trampoline.</t>
  </si>
  <si>
    <t>v_So4BX0I1VRI</t>
  </si>
  <si>
    <t>The person is shown knocking down 9 of the bowling pins, which means he has a spare.</t>
  </si>
  <si>
    <t>Next he knocks all of the pins down and gets a strike.</t>
  </si>
  <si>
    <t>v_a_sm5Hv7HNw</t>
  </si>
  <si>
    <t>Three kids are climbing up a mountain with out any rope.</t>
  </si>
  <si>
    <t>Then, they are hanging out in their room laughing and having fun.</t>
  </si>
  <si>
    <t>They're just three best friend doing everything together, walking, shopping, relaxing and climbing mountains.</t>
  </si>
  <si>
    <t>When they get to the top of the mountain they hug each other.</t>
  </si>
  <si>
    <t>v__-M4xNBhSEI</t>
  </si>
  <si>
    <t>A group is playing football on a large field.</t>
  </si>
  <si>
    <t>A green ball suddenly bounces across the fifty yard line.</t>
  </si>
  <si>
    <t>It comes to a stop, and the people back away.</t>
  </si>
  <si>
    <t>v_mc5XVTo5PVk</t>
  </si>
  <si>
    <t>A female gymnast mounts a high beam in front of her coach.</t>
  </si>
  <si>
    <t>She does several flips forward and backward.</t>
  </si>
  <si>
    <t>She dismounts, and he claps as she walks away.</t>
  </si>
  <si>
    <t>v_reit7blyxIo</t>
  </si>
  <si>
    <t>A man is lying in bed under the covers.</t>
  </si>
  <si>
    <t>He sits up on the edge of the bed, scratching his beard.</t>
  </si>
  <si>
    <t>He then stares at the shaver on his table, picking it up.</t>
  </si>
  <si>
    <t>The man shaves his bear, making it much shorter before lying down in bed, cuddling with the bag filled with his beard hair.</t>
  </si>
  <si>
    <t>v_5cTnHXcD7DE</t>
  </si>
  <si>
    <t>A large group of people are seen running down the street while many watch on the sides.</t>
  </si>
  <si>
    <t>Several people are seen speaking to the camera as more shots are shown of people running.</t>
  </si>
  <si>
    <t>People cheer others on on the sides as well as marching bands playing and people still running.</t>
  </si>
  <si>
    <t>v_Ayix_aDOrzs</t>
  </si>
  <si>
    <t>A girl is shown looking at several pictures of hairstyle and leads into another cutting one's hair.</t>
  </si>
  <si>
    <t>The kids sits patiently with a towel on her head and speaking to the camera.</t>
  </si>
  <si>
    <t>A goldfish is shown followed by a man cutting and styling her hair.</t>
  </si>
  <si>
    <t>The man cuts the girl's hair and styles it into an adorable look.</t>
  </si>
  <si>
    <t>The girl smiles and leaves the hair salon looking happy.</t>
  </si>
  <si>
    <t>v_4q7LmVSgIPk</t>
  </si>
  <si>
    <t>A person is talking on camera while showing various tools on the ground.</t>
  </si>
  <si>
    <t>A person is putting objects in front of a tire to move the car.</t>
  </si>
  <si>
    <t>A person drives the car over the object to move it.</t>
  </si>
  <si>
    <t>The tire is now sitting on top of an object and they take it off.</t>
  </si>
  <si>
    <t>A person brings out an old bike and talk about what needs to be done.</t>
  </si>
  <si>
    <t>v_W0RYvQUUNe0</t>
  </si>
  <si>
    <t>The person is parasailing the water.</t>
  </si>
  <si>
    <t>As the person sail, he started to bounce on the water.</t>
  </si>
  <si>
    <t>The person maneuver the sail to turn around.</t>
  </si>
  <si>
    <t>v_SvMIG1JlcMk</t>
  </si>
  <si>
    <t>Women are dancing on a stage.</t>
  </si>
  <si>
    <t>Women are waving flags around behind them.</t>
  </si>
  <si>
    <t>A woman is doing a belly dance in the middle of the stage.</t>
  </si>
  <si>
    <t>v_IeqBzYDyHGQ</t>
  </si>
  <si>
    <t>The video begins with shots of people cheering as well as several shots of players standing on a sand pit.</t>
  </si>
  <si>
    <t>The crowd is seen doing the wave and continues to cheer as the camera shows various clips of a soccer match going on.</t>
  </si>
  <si>
    <t>v_soDdkeamoMM</t>
  </si>
  <si>
    <t>A boy is swinging back and forth.</t>
  </si>
  <si>
    <t>The boy then falls on his face and cries.</t>
  </si>
  <si>
    <t>v_H2-rEH9TXR4</t>
  </si>
  <si>
    <t>A woman in blue shorts hands a man a dart.</t>
  </si>
  <si>
    <t>A man in a white hat throws a dart at a board.</t>
  </si>
  <si>
    <t>The woman walks up to the board.</t>
  </si>
  <si>
    <t>v_ztogHoQpE4A</t>
  </si>
  <si>
    <t>A man is working over the back of a trailer.</t>
  </si>
  <si>
    <t>He is welding the metal between two pieces of wood.</t>
  </si>
  <si>
    <t>Sparks fly as he works, crouching down on the sidewalk.</t>
  </si>
  <si>
    <t>v_rHWOESWciSc</t>
  </si>
  <si>
    <t>A man in a chef's outfit is talking in a kitchen while holding a potato.</t>
  </si>
  <si>
    <t>A man is working behind him as he peels the potato with a tool.</t>
  </si>
  <si>
    <t>He peels extremely fast, finishing in seconds.</t>
  </si>
  <si>
    <t>v_ZjbBmS8Q8kM</t>
  </si>
  <si>
    <t>First different kinds pool balls are shown lined up.</t>
  </si>
  <si>
    <t>Then the boy starts to play pool all by himself with the balls.</t>
  </si>
  <si>
    <t>v_kdQfR6oqJ_M</t>
  </si>
  <si>
    <t>There are several jockey riding brown horses in a stadium during a derby event.</t>
  </si>
  <si>
    <t>There crowd is cheering loudly as they stand with straw hats and umbrellas.</t>
  </si>
  <si>
    <t>The jockeys are getting ready to play polo as they move around with their sticks.</t>
  </si>
  <si>
    <t>A woman cheers loudly in the camera.</t>
  </si>
  <si>
    <t>The jockeys ride slowly around the field.</t>
  </si>
  <si>
    <t>v_fX3tcnTdAN4</t>
  </si>
  <si>
    <t>The boys lacrosse team is shown working out.</t>
  </si>
  <si>
    <t>They are then running drills on the gravel.</t>
  </si>
  <si>
    <t>Next, the team is in a scrimmage on the field.</t>
  </si>
  <si>
    <t>After that they were shown playing an actual game, running back and forth.</t>
  </si>
  <si>
    <t>Lastly a few members are at a professional game.</t>
  </si>
  <si>
    <t>v_1gradpCDbPU</t>
  </si>
  <si>
    <t>A woman is seen bending over a sink with a small child next to her.</t>
  </si>
  <si>
    <t>The woman and child stick their hands under a sink to wash them off.</t>
  </si>
  <si>
    <t>The woman dries the girls hands in the end and shows her putting lotion on.</t>
  </si>
  <si>
    <t>v_zgdT41KjjrE</t>
  </si>
  <si>
    <t>A guy stands next to horses with a clipboard.</t>
  </si>
  <si>
    <t>A guy walks under a horse fence.</t>
  </si>
  <si>
    <t>A person leads a horse.</t>
  </si>
  <si>
    <t>The guy gets on top of the horse.</t>
  </si>
  <si>
    <t>The guy pats the horse and goes horseback riding.</t>
  </si>
  <si>
    <t>People go horseback riding down a trail.</t>
  </si>
  <si>
    <t>v_aRurjtzwmS8</t>
  </si>
  <si>
    <t>A shot of a building leads into a 3d game of men sumo wrestling.</t>
  </si>
  <si>
    <t>The game continues on with the characters fighting and a ref watching on the side.</t>
  </si>
  <si>
    <t>The game ends and shows more pictures of men sumo wrestling and pointing.</t>
  </si>
  <si>
    <t>v_JMIvoKPtxRA</t>
  </si>
  <si>
    <t>A red, white and black intro has a logo and the words and letter W2K15.</t>
  </si>
  <si>
    <t>The video game begins and there are 3 characters against 1 character and they are wrestling in a rink performing numerous tricks like strangling, hitting, running into the character to make them fall, or picking them up and then slamming them down to the ground while the referee is standing in the corner.</t>
  </si>
  <si>
    <t>A new round begins with different characters wrestling and the referee tries to stop them but one of the characters picks the referee up and then slams him to the ground where he lays there for a few seconds.</t>
  </si>
  <si>
    <t>The referee gets up and then kicks one of the characters out of the rink then he drops on the ground to bang his hand on the rink to end the wresting round.</t>
  </si>
  <si>
    <t>The outro video begins and it's the same as the intro video.</t>
  </si>
  <si>
    <t>v_Zest0gXEWEc</t>
  </si>
  <si>
    <t>A logo for "The Galley" with the tagline "Reinventing the Kitchen" briefly appears.</t>
  </si>
  <si>
    <t>The scene is narrated by a female speaker.</t>
  </si>
  <si>
    <t>A woman with blond hair prepares a sink dishwashing station with a hanging sink and drying bars above a metal channel.</t>
  </si>
  <si>
    <t>The woman washes glasses, plates and knives and then places each on the racks to dry.</t>
  </si>
  <si>
    <t>The woman finishes by pulling the plug on the hanging sink allowing the water to flow away in the channel underneath.</t>
  </si>
  <si>
    <t>"The Galley" logo appears again.</t>
  </si>
  <si>
    <t>v_tETVZtWqdDs</t>
  </si>
  <si>
    <t>woman is in the news talking to the camera about a hand sunscreen.</t>
  </si>
  <si>
    <t>woman is holding a sunscreen tube and put it in her arms, hands and face and the woman in studio keeps talkin about the natural sunscreen.</t>
  </si>
  <si>
    <t>v_LmEUkoYh0nQ</t>
  </si>
  <si>
    <t>A text intro leads into several shots of a pumpkin as well as tools followed by a man carving the pumpkin.</t>
  </si>
  <si>
    <t>The man draws and cuts away all around the front of the pumpkin while moving in fast motion.</t>
  </si>
  <si>
    <t>The man finishes his pumpkin and the camera pans all around the side.</t>
  </si>
  <si>
    <t>v_KqOLTkf5ujs</t>
  </si>
  <si>
    <t>a man is standing outside with a paint pan.</t>
  </si>
  <si>
    <t>He talks as he demonstrates how to paint outdoor wood.</t>
  </si>
  <si>
    <t>He shows off a paint roller.</t>
  </si>
  <si>
    <t>He continues talking about the process as he stands there.</t>
  </si>
  <si>
    <t>v_1DvNkSGk-JA</t>
  </si>
  <si>
    <t>A man is holding onto a bar as he is standing on a water ski.</t>
  </si>
  <si>
    <t>He is being pulled through the water by a motor boat.</t>
  </si>
  <si>
    <t>He is water skiing over a long lake, trying to remain upright.</t>
  </si>
  <si>
    <t>v_WUYSGCwm6OM</t>
  </si>
  <si>
    <t>A woman in a bathrobe facing a mirror cleans her hands.</t>
  </si>
  <si>
    <t>The camera cuts to closeup scenes of her fingers picking up a contact lens and holding it up.</t>
  </si>
  <si>
    <t>The camera briefly cuts to the woman's face before returning.</t>
  </si>
  <si>
    <t>The woman puts the contact lens on her eye.</t>
  </si>
  <si>
    <t>The woman applies contact lens solution into her lens carrying case.</t>
  </si>
  <si>
    <t>The woman washes her hands.</t>
  </si>
  <si>
    <t>The woman removes the contact lens from her eye.</t>
  </si>
  <si>
    <t>The woman places the lens on her palm and, using solution, cleans it.</t>
  </si>
  <si>
    <t>The woman places the lens into the case and adds solution.</t>
  </si>
  <si>
    <t>The woman begins to leave the camera frame.</t>
  </si>
  <si>
    <t>v_XPN_PSadJ_A</t>
  </si>
  <si>
    <t>A person is seen sitting on a bike before a track looking down.</t>
  </si>
  <si>
    <t>The man then begins riding down the track with several others riding in front.</t>
  </si>
  <si>
    <t>The person rides all around the area and ends with a go pro logo.</t>
  </si>
  <si>
    <t>v_8TNzCiy8iaY</t>
  </si>
  <si>
    <t>A man wearing a suit in the city walks down the streets of new york and meets up with another man who likes just like him.</t>
  </si>
  <si>
    <t>The men compare items and then perform a dance routine in the center.</t>
  </si>
  <si>
    <t>The men grabs hands to end the routine then walk away from one another.</t>
  </si>
  <si>
    <t>v_MmYNcmba_Ps</t>
  </si>
  <si>
    <t>An athlete is seen walking forward while shaking her arms and legs around and adjusting her swim suit.</t>
  </si>
  <si>
    <t>The girl bends forward and performs a dive into the pool while the camera pans back to a scoreboard.</t>
  </si>
  <si>
    <t>v__5UtmlGMIUc</t>
  </si>
  <si>
    <t>A man has his foot up on the toilet.</t>
  </si>
  <si>
    <t>He starts shaving his leg with a shaver.</t>
  </si>
  <si>
    <t>He pulls up his pants and starts shaving his other leg.</t>
  </si>
  <si>
    <t>v_FhWxgGQtCJY</t>
  </si>
  <si>
    <t>A man is shoveling up some mulch into a wheel barrel.</t>
  </si>
  <si>
    <t>He brings the wheel barrel over and dumps it in a pile where a woman is using a rake to spread it evenly out.</t>
  </si>
  <si>
    <t>They continue to bring over loads of the mulch and a man dumps over a little tractor of dirt.</t>
  </si>
  <si>
    <t>He rides off on the little deer john tractor while the others continue raking.</t>
  </si>
  <si>
    <t>v_pKOwZrmQan4</t>
  </si>
  <si>
    <t>A person is seen walking around a field followed by several shots off the field and people watching on the sides.</t>
  </si>
  <si>
    <t>The video transitions into several shots of trainers doing tricks with their dogs using frisbees.</t>
  </si>
  <si>
    <t>The people continuously throw the frisbee around the field while the dog chases afterwards and runs around the field.</t>
  </si>
  <si>
    <t>v_n7AaZhEOJSY</t>
  </si>
  <si>
    <t>The video begins with a man performing various ballet moves while the camera follows and repeats in slow motion.</t>
  </si>
  <si>
    <t>The man interviews the camera and leads into another dancer performing steps.</t>
  </si>
  <si>
    <t>Several more people are seen performing dance moves and speaking to the camera.</t>
  </si>
  <si>
    <t>v_qi_6u0mMJQM</t>
  </si>
  <si>
    <t>A person shows a piece of furniture.</t>
  </si>
  <si>
    <t>Then, the person covers a wood box with carpet and cuts the leftovers.</t>
  </si>
  <si>
    <t>Then, the person fold the carpet on the borders and cut the parts not needed.</t>
  </si>
  <si>
    <t>v_MOBJ_kpzHc0</t>
  </si>
  <si>
    <t>A caucasion woman is standing in the kitchen talking to a toddler and they begin banging their fist on the island.</t>
  </si>
  <si>
    <t>A red screen appears with a picture of lemonade and the two reappear.</t>
  </si>
  <si>
    <t>The lady begins talking extremely energetic to the camera.</t>
  </si>
  <si>
    <t>The two then begin dumping ingredients into a blender,beginning with strawberries and ending with syrup.</t>
  </si>
  <si>
    <t>Lastly,the toddler dumps a cup of ice in the blender and the lady blends the ingredients.</t>
  </si>
  <si>
    <t>Once done,the lady grabs two cups and fills them up and the two of them enjoy a drink together.</t>
  </si>
  <si>
    <t>v_F54PZypvzCc</t>
  </si>
  <si>
    <t>A little boy is standing in a living room.</t>
  </si>
  <si>
    <t>He is throwing darts at a target.</t>
  </si>
  <si>
    <t>He walks over and removes the darts before trying again.</t>
  </si>
  <si>
    <t>v_GvRPOGpObyU</t>
  </si>
  <si>
    <t>Alcohol is shown being poured into a glass and leads into a woman holding up a glass and pouring ice into it.</t>
  </si>
  <si>
    <t>The woman then pours various alcohol mixes into the glass and ends by presenting the glass to the camera.</t>
  </si>
  <si>
    <t>v_p4KNKI2UZLc</t>
  </si>
  <si>
    <t>An American gymnast climbs the balance beam, the she performs four flips backwards and one flip forward.</t>
  </si>
  <si>
    <t>Then, the gymnast spins backward one time on her side, then she jumps and flips two times backwards.</t>
  </si>
  <si>
    <t>After the gymnast jumps, spins and turns.</t>
  </si>
  <si>
    <t>The gymnast stands on the end of the beam, then she runs and flips to times and end stand on the mat.</t>
  </si>
  <si>
    <t>After, the gymnast raise her arms and she is congratulated by people.</t>
  </si>
  <si>
    <t>The routine of the gymnast is repeated again.</t>
  </si>
  <si>
    <t>v_cqxrPBGP4nU</t>
  </si>
  <si>
    <t>A before and after picture of a sink is shown.</t>
  </si>
  <si>
    <t>A person is then shown putting cleaner on a sponge and scrubbing a sink.</t>
  </si>
  <si>
    <t>The cleaning products and the clean sink are then shown.</t>
  </si>
  <si>
    <t>v_9ntzCNcFTKM</t>
  </si>
  <si>
    <t>Six children wearing white clothing and orange belts are in a room with others watching.</t>
  </si>
  <si>
    <t>A man yells an order and the children demonstrate their Taekwondo.</t>
  </si>
  <si>
    <t>The man yells again and the children line up and bow.</t>
  </si>
  <si>
    <t>The children demonstrate poses as the man orders them.</t>
  </si>
  <si>
    <t>They then perform more martial arts moves.</t>
  </si>
  <si>
    <t>They return to the line they were standing in previously.</t>
  </si>
  <si>
    <t>They demonstrate additional moves including kicks and punches.</t>
  </si>
  <si>
    <t>They line up again and bow for a second time.</t>
  </si>
  <si>
    <t>v_K5X_ytiMuqc</t>
  </si>
  <si>
    <t>A girl talks to a camera shes holding on followed by shots of a store and her dog in a car.</t>
  </si>
  <si>
    <t>She records several items shown around the store and then herself in a bikini.</t>
  </si>
  <si>
    <t>She puts the lotion on herself standing in front of a lake and smiling into the camera.</t>
  </si>
  <si>
    <t>v_Mg8y0rgD16M</t>
  </si>
  <si>
    <t>Several pictures of various foods are shown and leads into a person cutting foods on a cutting board.</t>
  </si>
  <si>
    <t>More pictures are shown while the man cuts up vegetables and mixes them into a bowl.</t>
  </si>
  <si>
    <t>He stirs around the ingredients and more pictures of the foods are shown.</t>
  </si>
  <si>
    <t>v_yjQ-0AGqFS4</t>
  </si>
  <si>
    <t>We see a boy playing drums in an instrument store.</t>
  </si>
  <si>
    <t>We see a man across the room playing drums.</t>
  </si>
  <si>
    <t>We see a girl, another boy, and the dad.</t>
  </si>
  <si>
    <t>We see the man across the room, then the boy.</t>
  </si>
  <si>
    <t>The boy in stripes touches something on the drums.</t>
  </si>
  <si>
    <t>We see the boy and the man at the same time.</t>
  </si>
  <si>
    <t>The boy in the stripes shirt rocks back and forth.</t>
  </si>
  <si>
    <t>The boy finishes and looks at the camera.</t>
  </si>
  <si>
    <t>v_V3dTp7_NyiE</t>
  </si>
  <si>
    <t>a man is working outside in a garden.</t>
  </si>
  <si>
    <t>He uses trimmers to cut pieces of a plant.</t>
  </si>
  <si>
    <t>When he is done, the plant is fully trimmed.</t>
  </si>
  <si>
    <t>v_qBEdCDpoeTc</t>
  </si>
  <si>
    <t>A blue screen flashes with yellow writing with a title page and several paragraphs.</t>
  </si>
  <si>
    <t>A man then appears in a cage with a circle in it spinning in circles before he throws a shot put.</t>
  </si>
  <si>
    <t>The video replays and it stops as he makes the correct steps to throw the ball beginning with the shoulder and following through with the rest of the body.</t>
  </si>
  <si>
    <t>v_kQoGS3YjBXk</t>
  </si>
  <si>
    <t>A man is shown speaking to the camera and leads into him standing in front of a bike frame.</t>
  </si>
  <si>
    <t>He points to the frame while speaking to the camera and leads into him screwing objects into place.</t>
  </si>
  <si>
    <t>The person continues to screw the frame as well as the chain while turning and speaking to the camera.</t>
  </si>
  <si>
    <t>v_rFx-j3NhSgI</t>
  </si>
  <si>
    <t>An empty gymnasium is shown when a girl hits a button the computer and begins starting a routine.</t>
  </si>
  <si>
    <t>She twirls around the gym floor with a baton and moves her arms around.</t>
  </si>
  <si>
    <t>She kicks her legs continuously with her arms.</t>
  </si>
  <si>
    <t>v_gIzsM5cv7XM</t>
  </si>
  <si>
    <t>A young girl is standing in the room in a black cami and black and white legs preparing talking.</t>
  </si>
  <si>
    <t>She is then shown talking to a young girl with a pink sweater and black skirt and multiple games of rock paper scissors are being played between her and two other girls.</t>
  </si>
  <si>
    <t>The girl with the pink sweater wins and she sits on the girls face.</t>
  </si>
  <si>
    <t>Afterwards,the three girls stand together and start talking to the camera.</t>
  </si>
  <si>
    <t>v_L2J_QI2_qms</t>
  </si>
  <si>
    <t>women are making some gymnasic jumps in a hallway.</t>
  </si>
  <si>
    <t>men and women are in department stores doing gymnastics jumps.</t>
  </si>
  <si>
    <t>woman is making a hand stand ni a parking lot and on stores.</t>
  </si>
  <si>
    <t>man is sanding in a fence in a mall looking o the first floor.</t>
  </si>
  <si>
    <t>v_flfLCoLHm2k</t>
  </si>
  <si>
    <t>A girl waves to the camera and begins speaking followed by various ingredients laid out.</t>
  </si>
  <si>
    <t>The girl then puts the ingredients on a plate and puts saran wrap over the food.</t>
  </si>
  <si>
    <t>She mixes up the food with other ingredients followed by bread on top and cut into pieces.</t>
  </si>
  <si>
    <t>She takes a bite of the food and eventually leads to pictures of her food next to a cup of tea.</t>
  </si>
  <si>
    <t>v_LeSq1XE93mE</t>
  </si>
  <si>
    <t>A band is shown on a stage.</t>
  </si>
  <si>
    <t>A man is playing guitar, and the man to his right is playing the drums.</t>
  </si>
  <si>
    <t>The person in front of them is dancing and singing.</t>
  </si>
  <si>
    <t>v_l5xW6UZWwBs</t>
  </si>
  <si>
    <t>There two old men wearing straw hats, dressed in t-shirts and shorts getting ready to play shuffleboard.</t>
  </si>
  <si>
    <t>There two other men standing a few yards away with their cue sticks.</t>
  </si>
  <si>
    <t>A woman with gray hair and a yellow shirt is seen playing shuffleboard.</t>
  </si>
  <si>
    <t>There are two discs on the ground that get hit by another disc.</t>
  </si>
  <si>
    <t>Several spectators are watching a shuffleboard event where various people are competing and playing.</t>
  </si>
  <si>
    <t>One of the players adjusts his discs before hitting it with the cue stick.</t>
  </si>
  <si>
    <t>v_vJyJG6Lvy9Q</t>
  </si>
  <si>
    <t>White text appears on a blue background.</t>
  </si>
  <si>
    <t>A girl in makeup and cheerleading outfit is shown at a game.</t>
  </si>
  <si>
    <t>Then we see a gymnast doing flips across a mat before doing a back handspring in several different styles.</t>
  </si>
  <si>
    <t>v_j8bfR_d_TlM</t>
  </si>
  <si>
    <t>A person makes a jack o lantern.</t>
  </si>
  <si>
    <t>First they cut the top off of a green pumpkin and scoop the seeds and other stuff out.</t>
  </si>
  <si>
    <t>The remaining insides are cut and scraped off with an ice cream scoop.</t>
  </si>
  <si>
    <t>A design is drawn on the pumpkin and then cut out.</t>
  </si>
  <si>
    <t>The inside of the pumpkin gets sprayed with mold remover and patted dry.</t>
  </si>
  <si>
    <t>A candle is placed inside and lit and the lid is put back on.</t>
  </si>
  <si>
    <t>With the lights turned down the jack o lantern can be viewed.</t>
  </si>
  <si>
    <t>v_I8m878YGmU8</t>
  </si>
  <si>
    <t>The video leads into several shots of olympic runners completing long jumps into pits of sand.</t>
  </si>
  <si>
    <t>The video continues on showing several different runners completing their jumps and them cheering to the crowd afterwards.</t>
  </si>
  <si>
    <t>v_ZDlw4L7oNfs</t>
  </si>
  <si>
    <t>Two people are chilling out on their skateboards.</t>
  </si>
  <si>
    <t>They fix some of the parts and then go skating around.</t>
  </si>
  <si>
    <t>v_8B3qhnSB7U8</t>
  </si>
  <si>
    <t>A woman is seen sitting in a chair laughing while a man points in front of her.</t>
  </si>
  <si>
    <t>The man then holds a gun up to her nose and pierces her nose.</t>
  </si>
  <si>
    <t>A woman plays with the girls hair while speaking to the girl and showing off her nose piercing.</t>
  </si>
  <si>
    <t>v_1ZuUq5rVwPs</t>
  </si>
  <si>
    <t>A carpenter sprays a ceiling with paint.</t>
  </si>
  <si>
    <t>A second carpenter smooths out the paint on the ceiling.</t>
  </si>
  <si>
    <t>The first carpenter sprays paint all over the ceiling.</t>
  </si>
  <si>
    <t>A couple of carpenters smooth out the paint on the ceiling.</t>
  </si>
  <si>
    <t>One of the carpenters is seen spraying the ceiling and stops for a second to move a light.</t>
  </si>
  <si>
    <t>The painting continues as well as the smoothing out of the paint.</t>
  </si>
  <si>
    <t>v_kWh_zSLpZuQ</t>
  </si>
  <si>
    <t>Kids are shown playing basketball on a court.</t>
  </si>
  <si>
    <t>The coach is talking to them and trying to tell them how to play.</t>
  </si>
  <si>
    <t>The kids perform lay ups.</t>
  </si>
  <si>
    <t>v_Tm1ebIrDyz0</t>
  </si>
  <si>
    <t>We see a girl run and perform a high jump and make it over the bar.</t>
  </si>
  <si>
    <t>We then see a replay and and slow motion replay.</t>
  </si>
  <si>
    <t>v_agX22QLvOcU</t>
  </si>
  <si>
    <t>A man is dribbling a basketball.</t>
  </si>
  <si>
    <t>He jumps and shoots the basketball into the hoop.</t>
  </si>
  <si>
    <t>Words are shown on the screen at the end.</t>
  </si>
  <si>
    <t>v_G4mX4StOvQE</t>
  </si>
  <si>
    <t>A woman is kneeling down on a blue mat.</t>
  </si>
  <si>
    <t>A man stands behind her talking.</t>
  </si>
  <si>
    <t>The woman starts moving her legs and arms.</t>
  </si>
  <si>
    <t>v_u_RzyIJi8qc</t>
  </si>
  <si>
    <t>Two men are standing outside with a crowd of people lifting weights and exercising.</t>
  </si>
  <si>
    <t>Many people begin to film the guys on their phone,the weight lifting continues and several people come back to do interviews.</t>
  </si>
  <si>
    <t>More people are shown and then a logo comes that is sponsored by Reebok.</t>
  </si>
  <si>
    <t>v_osLHgm_yuMc</t>
  </si>
  <si>
    <t>People are running around playing paintball.</t>
  </si>
  <si>
    <t>A man falls into a large puddle of mud.</t>
  </si>
  <si>
    <t>A man falls down and another man runs up to check on him.</t>
  </si>
  <si>
    <t>v_EgPk-mmJyS8</t>
  </si>
  <si>
    <t>A woman is seen speaking to the camera and leads into her laying out a paid of shorts.</t>
  </si>
  <si>
    <t>She then demonstrates how to properly iron the clothing items.</t>
  </si>
  <si>
    <t>v_0dgmG3h9RLA</t>
  </si>
  <si>
    <t>A person is playing bagpipes out in a park.</t>
  </si>
  <si>
    <t>A man and two boys watching from a far.</t>
  </si>
  <si>
    <t>The camera shoots areas all around the park while the bagpipes play.</t>
  </si>
  <si>
    <t>v_8im-T1bsyHs</t>
  </si>
  <si>
    <t>An athlete is seen running down a large track and throwing a javelin into the air.</t>
  </si>
  <si>
    <t>Her throw is shown again in slow motion followed by several more athletes who take their turns.</t>
  </si>
  <si>
    <t>v_81w6SClSFMU</t>
  </si>
  <si>
    <t>We see an opening title screens.</t>
  </si>
  <si>
    <t>People are working on cameras in a workshop.</t>
  </si>
  <si>
    <t>We see them mount it to a tube.</t>
  </si>
  <si>
    <t>the lady then dances the hula hoop with the tube.</t>
  </si>
  <si>
    <t>We see a blonde man making adjustments to the tube.</t>
  </si>
  <si>
    <t>We see the closing end screen.</t>
  </si>
  <si>
    <t>v_NxnEKnqWLCI</t>
  </si>
  <si>
    <t>A camera pans around a group of people sitting at a table followed by a man holding a surf board.</t>
  </si>
  <si>
    <t>The man carries the board out onto the water and begins riding the water.</t>
  </si>
  <si>
    <t>The person continues to ride around following behind another person on the water.</t>
  </si>
  <si>
    <t>v_Sh8JODtAMhc</t>
  </si>
  <si>
    <t>Various shots of a theme park are shown including rides moving, people playing games, and other people interacting with one another.</t>
  </si>
  <si>
    <t>Two men are then shown driving around an area on bumper cars while laughing to the camera and others speaking to the camera.</t>
  </si>
  <si>
    <t>The men continue riding around and ends with a woman pulling down a cover for the game.</t>
  </si>
  <si>
    <t>v_9ZnJyY_-Hzw</t>
  </si>
  <si>
    <t>A man walks across a tightrope, as seen from the view of the underside of the rope.</t>
  </si>
  <si>
    <t>A pan out of the river and a ferry is seen in Hong Kong.</t>
  </si>
  <si>
    <t>A man puts on a show as he balances in several different positions on a tightrope for a small crowd.</t>
  </si>
  <si>
    <t>Another man joins him,and they balance,walk, and do push ups.</t>
  </si>
  <si>
    <t>v_lHnSteuHdZ4</t>
  </si>
  <si>
    <t>A person is walking slow on ice,trying to to crack it.</t>
  </si>
  <si>
    <t>the person made many mid size hole in the ice and have fishing line hanging deep in the water underneath.</t>
  </si>
  <si>
    <t>the person walking to one of the hole and checks the fishing line to see if he caught nay fish.</t>
  </si>
  <si>
    <t>the guy then pulls hard on the fishing line and drags it in.</t>
  </si>
  <si>
    <t>finally he uses a long metal hook to hook the fish he caught and brings it out the hole.</t>
  </si>
  <si>
    <t>he then unhooks the long hook and use his tools to unhook the small fishing hook the the fish mouth leaving the fish bloody.</t>
  </si>
  <si>
    <t>v__nvQDglPcmc</t>
  </si>
  <si>
    <t>water polo team is standing by the pool talking to the camera.</t>
  </si>
  <si>
    <t>man jumps in the water and is holding a ball and sart playing in the pool.</t>
  </si>
  <si>
    <t>v_I637SOXSbHY</t>
  </si>
  <si>
    <t>A man bends down and picks up two kettle bells.</t>
  </si>
  <si>
    <t>He raises and lowers the kettle bells.</t>
  </si>
  <si>
    <t>He puts them down on the grass in front of him.</t>
  </si>
  <si>
    <t>v__s20ZN8WZbo</t>
  </si>
  <si>
    <t>A man stands behind a bar with several mixed drinks.</t>
  </si>
  <si>
    <t>He pours ice into a glass and tops it with different liquors.</t>
  </si>
  <si>
    <t>He then adds a small straw.</t>
  </si>
  <si>
    <t>v_RlC3n0VSGOU</t>
  </si>
  <si>
    <t>An intro leads into clips of people riding surfboards on the water as well as jet skis.</t>
  </si>
  <si>
    <t>The camera pans around the area and continues to show more clips of people surfing.</t>
  </si>
  <si>
    <t>A close up of a surf board is shown followed by many more people surfing on the water.</t>
  </si>
  <si>
    <t>v_HfjvlIAEsJY</t>
  </si>
  <si>
    <t>A screen appears with bike spokes as the background and red words that read "Overhauling &amp; Adjusting Cup &amp; Cone Hubs" and a website in gray right under the red words.</t>
  </si>
  <si>
    <t>A man then enters and from behind he uses tools on the hub to take it apart, clean it thoroughly, grease it, then he puts it all back together and makes sure everything is secured tight.</t>
  </si>
  <si>
    <t>The outro is a spinning wheel with fast scrolling words going from the bottom to the top then it quickly fades to a black screen.</t>
  </si>
  <si>
    <t>v_ObU5as8-u-s</t>
  </si>
  <si>
    <t>To teams play hurling in a field while holding stick.</t>
  </si>
  <si>
    <t>A woman stand and a lady walk on front a bench.</t>
  </si>
  <si>
    <t>The referee extend his left arm.</t>
  </si>
  <si>
    <t>v_gK71Ut9XQ-Y</t>
  </si>
  <si>
    <t>Various shots of tools are shown that lead into a man sitting down holding a guitar.</t>
  </si>
  <si>
    <t>The man then strums the guitar for a bit and pauses.</t>
  </si>
  <si>
    <t>He is then shown playing again as well as more tools being shown.</t>
  </si>
  <si>
    <t>v_wfy5UXaAVnQ</t>
  </si>
  <si>
    <t>Multiple groups of people in boats are out exploring a river.</t>
  </si>
  <si>
    <t>Wind blows the trees in the Grand Canyon.</t>
  </si>
  <si>
    <t>A group of people on a white boat paddle away at the waters in the river.</t>
  </si>
  <si>
    <t>Multiple groups battle high violent waters.</t>
  </si>
  <si>
    <t>At one point, the violent waters seem to almost topple one of the groups.</t>
  </si>
  <si>
    <t>A brave, single kayaker paddles away at the waters.</t>
  </si>
  <si>
    <t>v_pExl_cwmT8M</t>
  </si>
  <si>
    <t>A middle aged man is standing in the street wearing rollerblades.</t>
  </si>
  <si>
    <t>The man precisely skates in-between a tight row of small cones.</t>
  </si>
  <si>
    <t>The man does a handstand after completing the course and goes back to the beginning.</t>
  </si>
  <si>
    <t>v_iH8eHkIHrg4</t>
  </si>
  <si>
    <t>Two men walk along the beach with their surfboards.</t>
  </si>
  <si>
    <t>They enter the water and the surfer with the white board catches a wave.</t>
  </si>
  <si>
    <t>White board catches another wave as the blue board opts out, more waves taken by white board are shown.</t>
  </si>
  <si>
    <t>The surfer on the blue board catches a few waves.</t>
  </si>
  <si>
    <t>The white board surfer is shown gliding across more waves, clearly like an expert.</t>
  </si>
  <si>
    <t>v_Bl2Hqx3h9Fw</t>
  </si>
  <si>
    <t>A series of screens appear with white and purple words in paragraph form.</t>
  </si>
  <si>
    <t>A person is then shown walking out to the car with a utensil taking the snow off of the glass.</t>
  </si>
  <si>
    <t>Then another screen appears with white words and displays a sentence and the location.</t>
  </si>
  <si>
    <t>v_iUOCQ9sE2_A</t>
  </si>
  <si>
    <t>Two people are seen standing on a mat and begin fighting one another.</t>
  </si>
  <si>
    <t>The men pause for a moment and continue fighting on while people watch on the side.</t>
  </si>
  <si>
    <t>The boys continue fighting and stop in the end.</t>
  </si>
  <si>
    <t>v_brrf2inGs7E</t>
  </si>
  <si>
    <t>A person is seen turning on a faucet and rubbing their hands under the water.</t>
  </si>
  <si>
    <t>The person pushes soap into their hands, watching the soap drip down, and then scrubs their hands.</t>
  </si>
  <si>
    <t>v_-ApIBtH_pVc</t>
  </si>
  <si>
    <t>There's a woman with a hand tattoo and red painted nails attaching and screwing a parts in the trunk of a car to attach the spare tire.</t>
  </si>
  <si>
    <t>Then she places the spare tire into the metal case.</t>
  </si>
  <si>
    <t>She takes the plastic dial and screws it in securely to fit the spare tire in the trunk.</t>
  </si>
  <si>
    <t>She places the cover over the tire inside the trunk.</t>
  </si>
  <si>
    <t>v_pON-g7IJKEY</t>
  </si>
  <si>
    <t>There are many kids ranging from toddlers to teenagers enjoying themselves at a backyard birthday party.</t>
  </si>
  <si>
    <t>There is a Disney princess piñata hanging from a tree.</t>
  </si>
  <si>
    <t>The kids are enjoying hitting the piñata with a blue stick.</t>
  </si>
  <si>
    <t>they kids take turns to hit the piñata.</t>
  </si>
  <si>
    <t>A little girl dressed in a purple skirt tries to tear the piñata by hitting it hard with the stick.</t>
  </si>
  <si>
    <t>v_Mil3AyFfjX4</t>
  </si>
  <si>
    <t>A young child is seen standing before a shuffleboard table holding a stick.</t>
  </si>
  <si>
    <t>The boy then pushes the puck across the game.</t>
  </si>
  <si>
    <t>The camera follows the pucks movements and leads back to the boy.</t>
  </si>
  <si>
    <t>v_4xmQoAK3QNc</t>
  </si>
  <si>
    <t>A man hits a ball with a bat.</t>
  </si>
  <si>
    <t>Three men stand on a field.</t>
  </si>
  <si>
    <t>One man throws a ball on the field.</t>
  </si>
  <si>
    <t>Three men flip a coin.</t>
  </si>
  <si>
    <t>v_0PnAEoMx-v0</t>
  </si>
  <si>
    <t>A person is playing an acoustic guitar.</t>
  </si>
  <si>
    <t>There is a Christmas tree behind him.</t>
  </si>
  <si>
    <t>A logo with words comes onto the screen.</t>
  </si>
  <si>
    <t>v_uINj6L2EEUs</t>
  </si>
  <si>
    <t>Different views around a city are seen.</t>
  </si>
  <si>
    <t>A large crowd is seen cheering inside a large auditorium.</t>
  </si>
  <si>
    <t>Athletes walk together through a hallway then stand on logs and chop through them in a competition.</t>
  </si>
  <si>
    <t>Two athletes walk through wearing green and orange jerseys then saw through large logs in a competition.</t>
  </si>
  <si>
    <t>The judge inspects the log and declares a winner to the crowds delight.</t>
  </si>
  <si>
    <t>Two athletes walk through a hallway then chop an upright log in a competition.</t>
  </si>
  <si>
    <t>Cheerleaders enter through a hallway then dance on stage.</t>
  </si>
  <si>
    <t>Two athletes enter through a hallway then use a hand saw to cut through a log.</t>
  </si>
  <si>
    <t>Two athletes enter through a hallway then place boards into a log to stand on while chopping it down.</t>
  </si>
  <si>
    <t>Athletes compete in a chainsaw competition and saw through large logs before congratulating each other.</t>
  </si>
  <si>
    <t>The winner is seen holding a trophy along with runners up and the crowd cheers.</t>
  </si>
  <si>
    <t>v_Xv2-EY_zKNM</t>
  </si>
  <si>
    <t>These 2 different teams are running on the field because they're playing shinty.</t>
  </si>
  <si>
    <t>Only half of the crowd is filled with people, while the other side is empty with no one there to watch anything.</t>
  </si>
  <si>
    <t>In the end, someone wins and people in the crowd clap and cheer.</t>
  </si>
  <si>
    <t>v_T3CHT7rQQVc</t>
  </si>
  <si>
    <t>A man is seated with an electric guitar.</t>
  </si>
  <si>
    <t>He is speaking to the camera, then he starts playing.</t>
  </si>
  <si>
    <t>Another man plays the chords on a table.</t>
  </si>
  <si>
    <t>v_P_b6_k2ocYw</t>
  </si>
  <si>
    <t>A woman in a hat and a vest stands buy a cart.</t>
  </si>
  <si>
    <t>She is crocheting something black and white.</t>
  </si>
  <si>
    <t>A car drives by the cart.</t>
  </si>
  <si>
    <t>Another person reaches into the car.</t>
  </si>
  <si>
    <t>v_OSw73cXwjR4</t>
  </si>
  <si>
    <t>A person wearing a hat is sitting no a couch.</t>
  </si>
  <si>
    <t>They begin playing an accordion.</t>
  </si>
  <si>
    <t>They are pointing at buttons on the accordion with a screwdriver.</t>
  </si>
  <si>
    <t>v_P5lLZ_jsA2o</t>
  </si>
  <si>
    <t>A gymnast is seen swinging around on a bar doing various flips and tricks across two sets of beams.</t>
  </si>
  <si>
    <t>She continues spinning around and ends with her hands up and her coach clapping.</t>
  </si>
  <si>
    <t>People watch on the sides and her scores are shown in the end.</t>
  </si>
  <si>
    <t>v_Zk4EvGw7cAw</t>
  </si>
  <si>
    <t>There are two high school students in the high school cafeteria standing next to a table where some students are sitting.</t>
  </si>
  <si>
    <t>One of the students is undressing and changing his shorts while the other student in a red shirt is watching him.</t>
  </si>
  <si>
    <t>After the student finishes changing, the boy in the red shirt makes fun of him.</t>
  </si>
  <si>
    <t>The student gets provoked and punches the boy in the red shirt on his face, causing him to fall on the ground on his head.</t>
  </si>
  <si>
    <t>v_ueKSGag6w4Q</t>
  </si>
  <si>
    <t>A woman walks around a stage holding a saxophone.</t>
  </si>
  <si>
    <t>She starts to play the saxophone as she dances.</t>
  </si>
  <si>
    <t>She stops and talks to the crowd again.</t>
  </si>
  <si>
    <t>She starts to play and dance again.</t>
  </si>
  <si>
    <t>v_XZCmkuDKltY</t>
  </si>
  <si>
    <t>A man is seen sitting before a table with a rubix cube on it and his hands on a platform.</t>
  </si>
  <si>
    <t>He then solves the rubix cube in a matter of seconds and shows off his time to the camera.</t>
  </si>
  <si>
    <t>v_96HJ_LqNdkg</t>
  </si>
  <si>
    <t>This girl is doing a video of how to make your white shoes become sparkly clean.</t>
  </si>
  <si>
    <t>You will need a toothbrush, baby powder, a glass cup or bowl, bleach, and q-tips, blowdryer, and water.</t>
  </si>
  <si>
    <t>First she adds water pours a little bit of baby powder into the small bowl and she mixes it up using the toothbrush.</t>
  </si>
  <si>
    <t>She puts the baby powder soaked toothbrush onto the shoe and starts to rub it there.</t>
  </si>
  <si>
    <t>Then she grabs the blowdryer and blowdrys the shoe and scrubs them again.</t>
  </si>
  <si>
    <t>Then she pours bleach into the small bowl that has baby powder in it and she puts the toothbrush in the bowl and rubs it on the shoe again.</t>
  </si>
  <si>
    <t>Finally she wets a cloth with water and wipes the shoe off.</t>
  </si>
  <si>
    <t>v_0ZzKrBk1ac8</t>
  </si>
  <si>
    <t>A man and a woman are arm wrestling on a table.</t>
  </si>
  <si>
    <t>A woman in a white shirt walks past them.</t>
  </si>
  <si>
    <t>The woman wins and walks away.</t>
  </si>
  <si>
    <t>v_AFnEr0_wStU</t>
  </si>
  <si>
    <t>A piercing artist removes a tissue from a woman's nose and wipes part of the nose.</t>
  </si>
  <si>
    <t>The woman holds piercing pliers up against a woman's nose.</t>
  </si>
  <si>
    <t>She pierces a needle through the nose and holds the pliers in place.</t>
  </si>
  <si>
    <t>She removes the pliers from the woman's nose.</t>
  </si>
  <si>
    <t>The woman sitting down speaks.</t>
  </si>
  <si>
    <t>The piercing artist touches the needle and the nose as she screws a nose ring on.</t>
  </si>
  <si>
    <t>The piercing artists arranges the piercing inside the nose with some pliers.</t>
  </si>
  <si>
    <t>The piercing artist touches the piercing.</t>
  </si>
  <si>
    <t>The piercing artists uses a tissue to collect blood around the piercing.</t>
  </si>
  <si>
    <t>A collection of artwork is seen on the wall.</t>
  </si>
  <si>
    <t>The piercing artist continually uses a tissue to wipe blood from the woman's nose.</t>
  </si>
  <si>
    <t>The woman stands up and waves.</t>
  </si>
  <si>
    <t>v_SX075xQ0j6c</t>
  </si>
  <si>
    <t>We see a book on a table.</t>
  </si>
  <si>
    <t>We see image in the book with videos of people knitting.</t>
  </si>
  <si>
    <t>We see a lady teaching two girls.</t>
  </si>
  <si>
    <t>We see a teacher teaching a boy to knit.</t>
  </si>
  <si>
    <t>We see a lady teaching a group of children to knit.</t>
  </si>
  <si>
    <t>v_RPKcM8q74FE</t>
  </si>
  <si>
    <t>A group of kids are in bumper cars.</t>
  </si>
  <si>
    <t>They ride around, trying to hit each other.</t>
  </si>
  <si>
    <t>They bump into the other cars as they go.</t>
  </si>
  <si>
    <t>v_WmPkqkqAxyc</t>
  </si>
  <si>
    <t>A man is seen standing in a large field holding onto a tool.</t>
  </si>
  <si>
    <t>The man then uses the tool on the grass in font of him quickly.</t>
  </si>
  <si>
    <t>The man continues to cut the grass while the camera captures his movement.</t>
  </si>
  <si>
    <t>v_b2uAgV5n3FU</t>
  </si>
  <si>
    <t>A man splits hardwood for use in wood stoves.</t>
  </si>
  <si>
    <t>There are two techniques used, one with an ax and one with a hammer and ax.</t>
  </si>
  <si>
    <t>v_0EDEA8dZeGo</t>
  </si>
  <si>
    <t>First the man sets his timer that's attached to his chest and he sits down and puts his leg onto the ski.</t>
  </si>
  <si>
    <t>Next he stands up while holding onto something and he starts water skiing as he gets pulled by the boat.</t>
  </si>
  <si>
    <t>But, he eventually falls off and is seen standing in the water.</t>
  </si>
  <si>
    <t>v_G6LjkB0xv2k</t>
  </si>
  <si>
    <t>A woman exercises at a machine.</t>
  </si>
  <si>
    <t>The camera focuses on and features specific parts of the machine.</t>
  </si>
  <si>
    <t>The woman demonstrates folding the machine for storage.</t>
  </si>
  <si>
    <t>The woman continues to exercise on the machine.</t>
  </si>
  <si>
    <t>v_0Zg9UgCp4a4</t>
  </si>
  <si>
    <t>A group of men are outside sitting around a fountain playing a game of oddly drawn hopscotch.</t>
  </si>
  <si>
    <t>One boy takes his turn and then they all begin talking again.</t>
  </si>
  <si>
    <t>Next,a boy tries to jump over the bricks but ends up falling.</t>
  </si>
  <si>
    <t>Another boy jumps after him and he is successful.</t>
  </si>
  <si>
    <t>However,the next boy jumps and has to stand on one foot and collect all of the pieces thrown behind him.</t>
  </si>
  <si>
    <t>v_MzqovHjEKE4</t>
  </si>
  <si>
    <t>A man is seen speaking to the camera and leads into him holding up a tool and pointing to several bushes.</t>
  </si>
  <si>
    <t>The man then trims along the bush while stopping to speak to the camera and holding up the tool.</t>
  </si>
  <si>
    <t>v_xMImWgn3owc</t>
  </si>
  <si>
    <t>A gymnast is seen standing on a beam and begins performing gymnastic moves on the beam.</t>
  </si>
  <si>
    <t>The girl spins and flips all along the beam while the camera captures her movements.</t>
  </si>
  <si>
    <t>She ends her routine but jumping down off the side with her arms up and walking away.</t>
  </si>
  <si>
    <t>v_kH50-giCeDM</t>
  </si>
  <si>
    <t>Two men walk to the barrel in a yard at a barbecue and the men both reach for the last beer in the barrel.</t>
  </si>
  <si>
    <t>The men do rock paper scissors and the right man hits the left with a rock, takes the beer and walks off.</t>
  </si>
  <si>
    <t>We see a beer poured in a glass.</t>
  </si>
  <si>
    <t>We see the injured man with his hand up and a man walks past and gives him a high five.</t>
  </si>
  <si>
    <t>v_1LrEiYVd3qg</t>
  </si>
  <si>
    <t>A man is seen speaking to the camera in front of a large trailer in he moods.</t>
  </si>
  <si>
    <t>The man is then seen kneeling over a fire and begins lighting a flame into a pit.</t>
  </si>
  <si>
    <t>A boy is seen walking around with a tennis racket and points to the ground while the man is still sitting in front of the fire.</t>
  </si>
  <si>
    <t>v_hniQpwn3Ob4</t>
  </si>
  <si>
    <t>An intro leads into several clips of different athletes performing shotput throws in a circle.</t>
  </si>
  <si>
    <t>More men continue to step up and throw the object while many watch on the sidelines.</t>
  </si>
  <si>
    <t>v_soHEsBIljbI</t>
  </si>
  <si>
    <t>A teen girl sits on the floor holding a shoe.</t>
  </si>
  <si>
    <t>She is then shown wiping the shoe down with a cleaning solution.</t>
  </si>
  <si>
    <t>She shows the shoe close up after she is done.</t>
  </si>
  <si>
    <t>v_gSOUhz7yQ-s</t>
  </si>
  <si>
    <t>A man is standing outside of a large window and begins to clean it with a long stick.</t>
  </si>
  <si>
    <t>One the window is wet,he takes the razor like stick and drags it up and down getting the water off.</t>
  </si>
  <si>
    <t>After the two top windows are complete,he leaves the other two untouched and walks away.</t>
  </si>
  <si>
    <t>v_0T7yANM5I5Y</t>
  </si>
  <si>
    <t>A man bends at the knees in front of a barbell.</t>
  </si>
  <si>
    <t>He lifts it slowly, bringing it to his chest.</t>
  </si>
  <si>
    <t>He pauses, then lifts it over his head before dropping it back to the ground.</t>
  </si>
  <si>
    <t>v_lAZIxuxjogI</t>
  </si>
  <si>
    <t>A man is standing on a ledge of a tower.</t>
  </si>
  <si>
    <t>He jumps off and bungee jumps.</t>
  </si>
  <si>
    <t>It is shown in slow motion.</t>
  </si>
  <si>
    <t>v_Wd8Kz1XRpdg</t>
  </si>
  <si>
    <t>The camera pans around several men drinking a large container of alcohol and the camera panning back to the beginning.</t>
  </si>
  <si>
    <t>The camera continues capturing the men drinking as well as talking to one another and one rubbing his eyes in the end.</t>
  </si>
  <si>
    <t>v_-aWU5Yj_OPw</t>
  </si>
  <si>
    <t>A young man is seated in a living room.</t>
  </si>
  <si>
    <t>He is playing an electronic keyboard.</t>
  </si>
  <si>
    <t>The keyboard is printing a document as he goes.</t>
  </si>
  <si>
    <t>v_sZf6ijFwPDs</t>
  </si>
  <si>
    <t>A lady explains drinks and the mixing of them,she grabs a cup with ice and add some liquor to it by using a shot glass to get the right measurement.</t>
  </si>
  <si>
    <t>the lady then mix another type of liquor to the first type she poured in the glass.</t>
  </si>
  <si>
    <t>finally she adds a type of juice to the drink with a sliced orange and straw.</t>
  </si>
  <si>
    <t>v_1Cdqwg7Giv4</t>
  </si>
  <si>
    <t>A man is spinning in circles and throwing a discuss for a competition.</t>
  </si>
  <si>
    <t>The video slows down and shows the same throw but in slow motion.</t>
  </si>
  <si>
    <t>Another man comes up to the plate and throws the discuss.</t>
  </si>
  <si>
    <t>Again the video slows down and shows the same throw in slow motion.</t>
  </si>
  <si>
    <t>A third player steps up and throws the discuss in slow motion.</t>
  </si>
  <si>
    <t>Several other players step up and take their turn throwing the disk.</t>
  </si>
  <si>
    <t>v_rKTpKq7bh_U</t>
  </si>
  <si>
    <t>We see an image of a lady and a child.</t>
  </si>
  <si>
    <t>The lady fades, the child plays a flute and we see a man.</t>
  </si>
  <si>
    <t>The man is crying as the child plays, We see the people in the sky.</t>
  </si>
  <si>
    <t>We see a man and woman embracing in the sky.</t>
  </si>
  <si>
    <t>We see images of nature.</t>
  </si>
  <si>
    <t>The people in the sky bow and dance.</t>
  </si>
  <si>
    <t>The man lays down in a prayer position.</t>
  </si>
  <si>
    <t>The child finishes playing the flute.</t>
  </si>
  <si>
    <t>v_5YVN5d8DkSk</t>
  </si>
  <si>
    <t>The camera pans around several pitting sitting at a bar as well as bartenders attending to people's needs.</t>
  </si>
  <si>
    <t>More shots are shown of people interacting in the restaurant and finally people speaking to the camera.</t>
  </si>
  <si>
    <t>v_eS1USHkyb2U</t>
  </si>
  <si>
    <t>A young woman is seen brushing her hair that leads into her speaking to the camera.</t>
  </si>
  <si>
    <t>She holds up several brushes while speaking to the camera as well as various objects.</t>
  </si>
  <si>
    <t>She uses scissors to get hair out of a brush as well as a toothbrush and bowl to clean out her brushes.</t>
  </si>
  <si>
    <t>v_Oi-atN4-Oqk</t>
  </si>
  <si>
    <t>A young man dance in a room moving his hands and putting behind his back.</t>
  </si>
  <si>
    <t>Then, the man put his hand behind his head.</t>
  </si>
  <si>
    <t>The reflection of the man is in the mirror.</t>
  </si>
  <si>
    <t>v_C1vhQIJtLsw</t>
  </si>
  <si>
    <t>A man is seen standing on stilts in a city square while other people around him roller blade.</t>
  </si>
  <si>
    <t>The man takes off running down the block and then runs back to where he started.</t>
  </si>
  <si>
    <t>v_f0JySdrM_l8</t>
  </si>
  <si>
    <t>A woman in a blue shirt spins around and throws a ball onto the field.</t>
  </si>
  <si>
    <t>Another person comes and throws a disk onto the field.</t>
  </si>
  <si>
    <t>People are standing at the side of the field is watching.</t>
  </si>
  <si>
    <t>v_x7yOoVf5-Do</t>
  </si>
  <si>
    <t>A business and the area around it is shown and the name on the business say's "LUMBERJACK NATIONALS" carved in a wooden sign, and the white text below say's "Columbia Basin BMX RICHLAND, WA".</t>
  </si>
  <si>
    <t>A boy dressed in biking gear is putting on a helmet while standing and text on the right side of the screen appear and say "@BryceBetts13Z CHASE STAYSTRONG" as the boy gets on his bike and pushes it out of screen.</t>
  </si>
  <si>
    <t>The boy is now on the curvy and twisty dirt bike track riding around very fast and occasionally other people are shown riding on the track, too.</t>
  </si>
  <si>
    <t>A special effect outro appears with the boy still riding around the track and other text and logos appear on the screen until it fades to a white screen that end with a clip art on the left and large words that read MENDO MEDIA on the right.</t>
  </si>
  <si>
    <t>v_hBT_SN8IGsQ</t>
  </si>
  <si>
    <t>Players on a field are running around playing a game.</t>
  </si>
  <si>
    <t>They get into a big fight on the field.</t>
  </si>
  <si>
    <t>The ref comes and breaks the fight up.</t>
  </si>
  <si>
    <t>A man in a yellow striped shirt is talking to the referee.</t>
  </si>
  <si>
    <t>v_wG0OD99mjdY</t>
  </si>
  <si>
    <t>Several clips are shown of people climbing up and down rock walls while many others speak to the camera.</t>
  </si>
  <si>
    <t>Several more people are shown climbing on the rocks while speaking to the camera and making their way up and down.</t>
  </si>
  <si>
    <t>v_VAKQMtYrl4I</t>
  </si>
  <si>
    <t>Several dogs walk down a street.</t>
  </si>
  <si>
    <t>They are on leashes held by their owners.</t>
  </si>
  <si>
    <t>The stream of them is endless.</t>
  </si>
  <si>
    <t>A woman holds her dog.</t>
  </si>
  <si>
    <t>v_4qONyTNaPOI</t>
  </si>
  <si>
    <t>A still shot picture of a body of water appears and yellow words appear on the screen and read "AMERICAN DISK" and include the website.</t>
  </si>
  <si>
    <t>A brunette woman is now speaking next to the water and she's smiling the whole time.</t>
  </si>
  <si>
    <t>Various clips of people play and they are all standing next to or in the water as well and they all appear happy.</t>
  </si>
  <si>
    <t>People are now on the water and doing various different things, with a large circular board that they're either standing, sitting, squatting, kneeling, riding or doing tricks on while they sometimes are getting pulled by a fast moving boat.</t>
  </si>
  <si>
    <t>A black screen appears and the yellow words are displayed on the screen and read "The Disk", and once again the brunette woman is speaking while standing by the water.</t>
  </si>
  <si>
    <t>The screen then goes to black and displays their website in yellow letters.</t>
  </si>
  <si>
    <t>v_iKJB-RU_PKY</t>
  </si>
  <si>
    <t>A close up of a table is shown that leads into several clip of a puck moving along the table from various angles.</t>
  </si>
  <si>
    <t>People push and look down towards the pucks as they move along and continue to play the game with one another back and fourth.</t>
  </si>
  <si>
    <t>v_4U13LEMIdi4</t>
  </si>
  <si>
    <t>A cat is sitting in a cat bed.</t>
  </si>
  <si>
    <t>It is licking its paw.</t>
  </si>
  <si>
    <t>It then wipes its paw on its ear.</t>
  </si>
  <si>
    <t>v_gXUm7nobsfU</t>
  </si>
  <si>
    <t>A woman in a sparkling green dress talks on a stage.</t>
  </si>
  <si>
    <t>A couple is shown dancing, kicking and swirling creatively.</t>
  </si>
  <si>
    <t>When they are done, they hold hands as the crowd cheers.</t>
  </si>
  <si>
    <t>They walk over to the woman in a green dress, hugging her before leaving the stage.</t>
  </si>
  <si>
    <t>v_mAfp5ABlKyM</t>
  </si>
  <si>
    <t>Two men are playing table tennis while two judges sit at either end.</t>
  </si>
  <si>
    <t>The men hit the ball back and forth.</t>
  </si>
  <si>
    <t>The winner raises his hands as the crowd cheers.</t>
  </si>
  <si>
    <t>The scene is replayed of his successful hit.</t>
  </si>
  <si>
    <t>v_cQ3pZhIBPHI</t>
  </si>
  <si>
    <t>A man is in a gym kneeling down holding a medium sized medicine ball.</t>
  </si>
  <si>
    <t>He then sits up and starts to throw the ball back and forth against the wall.</t>
  </si>
  <si>
    <t>After,a list of cues appear before showing off the venue and their youtube page.</t>
  </si>
  <si>
    <t>v_uLhOFVNmRu8</t>
  </si>
  <si>
    <t>A man in green sitting at the end of the sand square taking video, on the sides of the square are three men.</t>
  </si>
  <si>
    <t>The young athlete in blue uniform run in a narrow lane, hopped and jump on the sandy ground.</t>
  </si>
  <si>
    <t>v_7KT-z20qxI4</t>
  </si>
  <si>
    <t>Three people are in a news room, talking to the camera.</t>
  </si>
  <si>
    <t>A team is playing ice hockey, and celebrating as they win a game.</t>
  </si>
  <si>
    <t>The happy teammates smile for interviews in the locker room after.</t>
  </si>
  <si>
    <t>The news casters are shown holding number sticks and laughing.</t>
  </si>
  <si>
    <t>v_MWn4qozlaMs</t>
  </si>
  <si>
    <t>A woman is seen pulling food out of a fridge and speaking to a girl who walks downstairs.</t>
  </si>
  <si>
    <t>They women continue speaking when a man also walks down the stairs.</t>
  </si>
  <si>
    <t>The woman and man then speak and the other woman walks upstairs.</t>
  </si>
  <si>
    <t>v_D9A_9FH7e-A</t>
  </si>
  <si>
    <t>We see a ladies hands with nail polish on them.</t>
  </si>
  <si>
    <t>The lady puts tape on her finger around her nail and puts clear and white polish on them.</t>
  </si>
  <si>
    <t>The lady adds drops of nail polish to a glass of fluid and pulls it through.</t>
  </si>
  <si>
    <t>The lady puts her nail in the cup and uses a stick to remove the polish.</t>
  </si>
  <si>
    <t>The lady pulls the tape of then puts a clear coat over her fingernails.</t>
  </si>
  <si>
    <t>v_EqhnCfb5vEc</t>
  </si>
  <si>
    <t>A woman is on stage doing a belly dance routine, she is very passionate about it.</t>
  </si>
  <si>
    <t>She starts to spin in circles, her dress twirling along with her.</t>
  </si>
  <si>
    <t>Her dress comes up over head and then down to her shoulders, she continues to spin in circles and takes the dress off and holds it like a baby.</t>
  </si>
  <si>
    <t>She goes back to spinning around until her dance is over and then she drops to the floor.</t>
  </si>
  <si>
    <t>v_4rmo35vpG00</t>
  </si>
  <si>
    <t>A woman and girl are trying to get a dog into a shower.</t>
  </si>
  <si>
    <t>The dog keeps jumping back out.</t>
  </si>
  <si>
    <t>They finally give the dog a bath outdoors with a hose.</t>
  </si>
  <si>
    <t>v_2glmVDTPY44</t>
  </si>
  <si>
    <t>A man snowboards over snow covered slopes and hills and several other objects like railings, roofs, garages and tree stumps.</t>
  </si>
  <si>
    <t>A man snowboards over snow covered hill.</t>
  </si>
  <si>
    <t>The man then continues to snowboard off of a garage roof, a stair railing and several other places.</t>
  </si>
  <si>
    <t>The man does a complete spin in the snow in the final shot.</t>
  </si>
  <si>
    <t>v_0bbL30qENMg</t>
  </si>
  <si>
    <t>A boy rinses his face with water in a bathroom sink.</t>
  </si>
  <si>
    <t>The boys laugh and joke together in the bathroom.</t>
  </si>
  <si>
    <t>A boy rubs soap on his hands and then onto his face.</t>
  </si>
  <si>
    <t>The boy rinses the soap off from his face in the sink.</t>
  </si>
  <si>
    <t>The boy rolls up the towel and throws it in the corner of the room.</t>
  </si>
  <si>
    <t>v_VbWomrZXIus</t>
  </si>
  <si>
    <t>An old man flips an skateboard with his feet, then take it and throw to the floor and skate.</t>
  </si>
  <si>
    <t>After, the man hit the skateboard with his foot and it raise high, the man tries to catch the skateboard but he miss it.</t>
  </si>
  <si>
    <t>A boy almost get hit with a skateboard.</t>
  </si>
  <si>
    <t>Then the man skate on the park and then goes to a skateboard track.</t>
  </si>
  <si>
    <t>v_UJiQEkByWcM</t>
  </si>
  <si>
    <t>A young boy in a blue sweater jumps out from the side and stands in front of a dart board.</t>
  </si>
  <si>
    <t>Once he calms down,he turns around and begins throwing darts on the board.</t>
  </si>
  <si>
    <t>After all of the darts are thrown,the camera zooms in on the darts to show what he had done.</t>
  </si>
  <si>
    <t>v_4E8rMLHIpag</t>
  </si>
  <si>
    <t>A man in a black hat is talking to the camera.</t>
  </si>
  <si>
    <t>He starts playing a violin on his shoulder.</t>
  </si>
  <si>
    <t>He stops playing and puts the violin down to his side.</t>
  </si>
  <si>
    <t>v_Yd98o-oEGvI</t>
  </si>
  <si>
    <t>A man and a dog is out in a field and the dog holds the frisbee between his legs and the dog jumps over the person's back and fetches the frisbee.</t>
  </si>
  <si>
    <t>The game continues and the two continues to play with the frisbee while the owner puts his legs up for the dog to get.</t>
  </si>
  <si>
    <t>Now,the human has four or five frisbees and starts to throw them rapidly for the dog to get.</t>
  </si>
  <si>
    <t>v_2YE_8XDuDBI</t>
  </si>
  <si>
    <t>A view of a home is briefly shown.</t>
  </si>
  <si>
    <t>It pans to another room and it shows a small child sitting at a drum set, sucking on a pacifier and holding two drumsticks and hitting the drums.</t>
  </si>
  <si>
    <t>The child hits the cymbals a few times with his left hand then he grabs the drumsticks and starts hitting all of the drums.</t>
  </si>
  <si>
    <t>v_4ELWxQw0PPE</t>
  </si>
  <si>
    <t>Two men are seen holding hands with a ref holding them together and leads into an arm wrestling match.</t>
  </si>
  <si>
    <t>One man wins and then goes on to arm wrestle several more people.</t>
  </si>
  <si>
    <t>v_90cHokbZy6A</t>
  </si>
  <si>
    <t>a man is talking outside in a garden.</t>
  </si>
  <si>
    <t>He is holding a pocket knife in his hand.</t>
  </si>
  <si>
    <t>He uses a stone to sharpen the knife for the camera.</t>
  </si>
  <si>
    <t>v_xOGOd2UJaMY</t>
  </si>
  <si>
    <t>People are standing in a circle clapping.</t>
  </si>
  <si>
    <t>Two people start fighting in the circle.</t>
  </si>
  <si>
    <t>Women are dancing and holding sticks.</t>
  </si>
  <si>
    <t>v_v9vc_d-qFnk</t>
  </si>
  <si>
    <t>An athletic man is seen steeping up to a set of uneven bars and puts his arms up to present he's ready.</t>
  </si>
  <si>
    <t>The man continues to spin himself around performing flips and tricks on the uneven bars.</t>
  </si>
  <si>
    <t>The man continues to flip around and ends by wobbling but putts his hands up to finish.</t>
  </si>
  <si>
    <t>v_jJ5t3ZUxP7Y</t>
  </si>
  <si>
    <t>A man walks over to the end of a table that has a bunch of red cups arranged in a triangle.</t>
  </si>
  <si>
    <t>He begins to toss a ball into the cups.</t>
  </si>
  <si>
    <t>The video goes to black and a graphic appears to close the clip.</t>
  </si>
  <si>
    <t>v_GK_DCUGw5lM</t>
  </si>
  <si>
    <t>A woman in a black shirt is dancing.</t>
  </si>
  <si>
    <t>She is twirling a baton.</t>
  </si>
  <si>
    <t>She catches the baton and twirls.</t>
  </si>
  <si>
    <t>v_r3lN8kgtgw4</t>
  </si>
  <si>
    <t>A group travels to a river, getting into inflatable rafts.</t>
  </si>
  <si>
    <t>They paddle quickly down the river through the raging white rapids and over small waterfalls.</t>
  </si>
  <si>
    <t>They float slowly back as water sprays down on them from a fall.</t>
  </si>
  <si>
    <t>v_zuqNxHmtBD8</t>
  </si>
  <si>
    <t>We see a man's face up close with his name imposed over it as the man prepares to run on a track.</t>
  </si>
  <si>
    <t>The man runs down the track and performs a long jump and throws his arms in the air.</t>
  </si>
  <si>
    <t>We see another man stretching his arms.</t>
  </si>
  <si>
    <t>The jumper waits for the scores to appear on the screen and the man who jumped throws his hands in the air and runs away.</t>
  </si>
  <si>
    <t>A reply of the jump is played.</t>
  </si>
  <si>
    <t>v_mX3gbTBdbKY</t>
  </si>
  <si>
    <t>A group of men are on camera, singing in a video and talking.</t>
  </si>
  <si>
    <t>They are wearing sunglasses as they change from a lot to a paint covered warehouse.</t>
  </si>
  <si>
    <t>A man is covered in paint and wearing boxing gloves as he gloats to the camera.</t>
  </si>
  <si>
    <t>v_TiiSh9R89vM</t>
  </si>
  <si>
    <t>There are two people out on a snow tubing slope where one of them is video taping his experience of snow tubing with his friend.</t>
  </si>
  <si>
    <t>There's a woman who picks up some ice that's fallen o the ground.</t>
  </si>
  <si>
    <t>There are several people waiting in line to go snow tubing.</t>
  </si>
  <si>
    <t>After they reach the top of the slope, they get into their tubes and begin sliding downhill.</t>
  </si>
  <si>
    <t>They go down the snow covered slopes till they reach the bottom.</t>
  </si>
  <si>
    <t>v_3fAVDJyrSQs</t>
  </si>
  <si>
    <t>People are standing around a camp site chopping wood.</t>
  </si>
  <si>
    <t>A boy stands holding a stick.</t>
  </si>
  <si>
    <t>A man throws pieces of wood into a pile.</t>
  </si>
  <si>
    <t>Chairs at the camp site are shown.</t>
  </si>
  <si>
    <t>A man walks towards the camera talking.</t>
  </si>
  <si>
    <t>They continue chopping wood at the camp site.</t>
  </si>
  <si>
    <t>v_Jxhz1ln7UXk</t>
  </si>
  <si>
    <t>A person is seen walking around a yard as well as many people standing.</t>
  </si>
  <si>
    <t>The people then beginning playing a game with one another and running around the yard.</t>
  </si>
  <si>
    <t>The people huddle up together while leading into more shots of people playing the game and speaking to the camera.</t>
  </si>
  <si>
    <t>v_-gZjpAPEhR4</t>
  </si>
  <si>
    <t>A close up of a person's roller blades are shown with a man standing in frame.</t>
  </si>
  <si>
    <t>The person then lights up his blades and jumps in place.</t>
  </si>
  <si>
    <t>The person continues riding around and kicking his feet up while the sparks fly.</t>
  </si>
  <si>
    <t>v_9vzbohxkIKA</t>
  </si>
  <si>
    <t>A person's hand are seen dealing cards onto a table as well as several clips of a casino being shown.</t>
  </si>
  <si>
    <t>More shots are shown of people dealing cards to others as well as people cheering and continuing to deal cards.</t>
  </si>
  <si>
    <t>v_DXIHbnyfNGA</t>
  </si>
  <si>
    <t>A computer monitor sits on a desk.</t>
  </si>
  <si>
    <t>A boy puts on gloves.</t>
  </si>
  <si>
    <t>He then puts on a helmet.</t>
  </si>
  <si>
    <t>He then rides a longboard.</t>
  </si>
  <si>
    <t>v_nK7XMj4gYJs</t>
  </si>
  <si>
    <t>A man is demonstrating a gymnastics performance on two bars.</t>
  </si>
  <si>
    <t>There are spectators watching the performance.</t>
  </si>
  <si>
    <t>A person is photographing the performance.</t>
  </si>
  <si>
    <t>The gymnast jumps off the bars and another gymnast is running towards them.</t>
  </si>
  <si>
    <t>v_yNmV_c3rlLA</t>
  </si>
  <si>
    <t>A man is playing the hand drums in a living room.</t>
  </si>
  <si>
    <t>The man throws his head back.</t>
  </si>
  <si>
    <t>We zoom in on the man's hands.</t>
  </si>
  <si>
    <t>We zoom out and see the whole man.</t>
  </si>
  <si>
    <t>He finishes playing and takes a bow.</t>
  </si>
  <si>
    <t>v__nTjmHQ0-gQ</t>
  </si>
  <si>
    <t>A man springs on a track and jumps onto a dirt area.</t>
  </si>
  <si>
    <t>A second man does the same.</t>
  </si>
  <si>
    <t>A third man follows him.</t>
  </si>
  <si>
    <t>A fourth man goes after him.</t>
  </si>
  <si>
    <t>A fifth man starts to sprint as he holds a long bar.</t>
  </si>
  <si>
    <t>v_WLpjci5dN8s</t>
  </si>
  <si>
    <t>Words are written on the screen.</t>
  </si>
  <si>
    <t>A knife is put into a sharpener and moved back and forth and used on a circular sharpener.</t>
  </si>
  <si>
    <t>A pair of scissors is sharpened on the sharpener.</t>
  </si>
  <si>
    <t>The scissors cut a purple towel and a piece of paper.</t>
  </si>
  <si>
    <t>Words are shown on the screen again.</t>
  </si>
  <si>
    <t>v_lS_bztQjpGM</t>
  </si>
  <si>
    <t>A girl with long blond hair, wearing a blue robe is doing a tutorial on how to use hot rollers in her hair.</t>
  </si>
  <si>
    <t>There is another woman wearing white who is demonstrating how to section out her hair and start putting the rollers in the her one by one.</t>
  </si>
  <si>
    <t>After she's done putting the rollers all over the head, she uses a blow dryer to add some heat to the hair.</t>
  </si>
  <si>
    <t>Then she removes the rollers from the model's hair and starts to run her fingers through the hair.</t>
  </si>
  <si>
    <t>She then parts her hair gently with a brush.</t>
  </si>
  <si>
    <t>She shows how to finish off the look by running her fingers through her hair without using a brush.</t>
  </si>
  <si>
    <t>v_goXkohySkU8</t>
  </si>
  <si>
    <t>A man wearing a black vest holds white disc's in his hand while a border collie stands in front of him.</t>
  </si>
  <si>
    <t>The man steps froward and slaps the white discs on his thigh.</t>
  </si>
  <si>
    <t>The man steps forward switching each foot as the boarder collie runs between the mans legs.</t>
  </si>
  <si>
    <t>The man taps his head with the white disc he crouches and the boarder collie jumps on his back and balances their.</t>
  </si>
  <si>
    <t>The man tosses the the disc over his head and the boarder collie catches it and runs off.</t>
  </si>
  <si>
    <t>v_inw7wXFL9dw</t>
  </si>
  <si>
    <t>Various clips are shown of young people dancing and partying with one another as well as drinking and playing beer pong.</t>
  </si>
  <si>
    <t>More shots are shown of people looking and speaking to the camera while playing pong and drinking beer with one another.</t>
  </si>
  <si>
    <t>v_RpItv2ztook</t>
  </si>
  <si>
    <t>A video of skier on a snowy hill shoots video of themselves as skiing as other skiers go past.</t>
  </si>
  <si>
    <t>The skier goes past the ski lifts as they go around a corner and go past the lifts again.</t>
  </si>
  <si>
    <t>They then turn back around and go under the lift and travel further down hill on a path passing blue fences, a trail marker sign and ending at a lodge.</t>
  </si>
  <si>
    <t>v_zrXTMcKFa5E</t>
  </si>
  <si>
    <t>A child goes and plays in a playplace.</t>
  </si>
  <si>
    <t>She climbs, goes down slides, rocks back and forth, and has general merriment.</t>
  </si>
  <si>
    <t>v_A1k7CSI7aRs</t>
  </si>
  <si>
    <t>Outside as a group looks on, a man lifts a guy onto his shoulder and throws him on a table which breaks.</t>
  </si>
  <si>
    <t>Outside, a male back flips on a trampoline and lands on his face.</t>
  </si>
  <si>
    <t>Two men lay the male down and look at his face, and another person moves a laying individual to look at the male's face.</t>
  </si>
  <si>
    <t>v_cS19K2310Lc</t>
  </si>
  <si>
    <t>A picture is shown of a baby juxtaposed beside a little girl.</t>
  </si>
  <si>
    <t>A woman is seen with a young girl as she speaks.</t>
  </si>
  <si>
    <t>She then has the girl sit down as she proceeds to braid her hair in long, thick pieces.</t>
  </si>
  <si>
    <t>She pins the hair in place, then waves goodbye to the camera.</t>
  </si>
  <si>
    <t>v_Po6tK3rYE8E</t>
  </si>
  <si>
    <t>A man rolls out a sheet of wallpaper from a tube, then a large photo.</t>
  </si>
  <si>
    <t>He applies the sheet and photos to the wall, creating a real life photography mural.</t>
  </si>
  <si>
    <t>He wipes the images onto the wall cleanly.</t>
  </si>
  <si>
    <t>v_eil9mWGJB8E</t>
  </si>
  <si>
    <t>A crowd is gathered around two women who are arm wrestling.</t>
  </si>
  <si>
    <t>The women grab each others hands and push as hard as they can until one of them loses.</t>
  </si>
  <si>
    <t>They redo the arm wrestling.</t>
  </si>
  <si>
    <t>One of the girls lets her hand loose and the other girl opens her mouth in shock.</t>
  </si>
  <si>
    <t>v_XM3SktXBbHU</t>
  </si>
  <si>
    <t>A person is seen in the middle of a large gymnasium jumping around with another man in the middle raising his arms up.</t>
  </si>
  <si>
    <t>The person on silts then jumps over the person with their arms up as well as another.</t>
  </si>
  <si>
    <t>v_1nXLVjfupto</t>
  </si>
  <si>
    <t>Two men are seen standing behind a table speaking to the camera and then hold up various objects to the camera.</t>
  </si>
  <si>
    <t>They use tools on a tin can and then are seen sitting outside holding up more tools.</t>
  </si>
  <si>
    <t>v_YSO5CGeeTmE</t>
  </si>
  <si>
    <t>A band is marching down a street playing drums.</t>
  </si>
  <si>
    <t>A woman in a black hat is standing on the street watching them.</t>
  </si>
  <si>
    <t>People are standing up watching the band.</t>
  </si>
  <si>
    <t>v_JMJp9kFudNA</t>
  </si>
  <si>
    <t>A man is shown running around a field with a dog holding a frisbee into the hair.</t>
  </si>
  <si>
    <t>The man moves around the frisbee with the dog and performs several tricks in slow motion with the dog.</t>
  </si>
  <si>
    <t>He's shown in several more locations from various camera angles performing more and more tricks with the dog.</t>
  </si>
  <si>
    <t>v_Vm07Uu4_iCE</t>
  </si>
  <si>
    <t>A man is seen kneeling down to a tire an then places it on a machine.</t>
  </si>
  <si>
    <t>He continues to use the machine to take the rubber off of the tire and ends by placing it back down.</t>
  </si>
  <si>
    <t>v_zxzBoK5t0XY</t>
  </si>
  <si>
    <t>A horse is seen off in the distance followed by a man speaking to the camera in front of a large group of horses.</t>
  </si>
  <si>
    <t>Various people are then seen riding around on horses through different landscapes and being led by people.</t>
  </si>
  <si>
    <t>The men continue to lead people around on the horses through a large body of water.</t>
  </si>
  <si>
    <t>v_pyeTqpj2EPo</t>
  </si>
  <si>
    <t>A chef is working in a kitchen.</t>
  </si>
  <si>
    <t>He presses buttons on a digital screen.</t>
  </si>
  <si>
    <t>He prepares a large dish of pasta, which he cooks in the machine.</t>
  </si>
  <si>
    <t>v_BIL1t2eQrDU</t>
  </si>
  <si>
    <t>A man is shown talking to a camera followed by him and another woman standing near a volleyball net.</t>
  </si>
  <si>
    <t>The man throws the ball to the girl who bounces it back to him.</t>
  </si>
  <si>
    <t>He continues to speak and demonstrate various volleyball moves to do appropriately.</t>
  </si>
  <si>
    <t>v_1sp7zRy1Rxo</t>
  </si>
  <si>
    <t>A large group of people are sitting around a table and transitions into people sitting on a ski lift.</t>
  </si>
  <si>
    <t>They begin taking turns riding down the snowy mountain and several shots are shown of them riding the lift and down the mountain.</t>
  </si>
  <si>
    <t>v_UcnzlGqUEyA</t>
  </si>
  <si>
    <t>A person picks up a piece of fruit.</t>
  </si>
  <si>
    <t>A brush is shown on the screen.</t>
  </si>
  <si>
    <t>A man is shaving his beard.</t>
  </si>
  <si>
    <t>v_c2ejr7Lci8s</t>
  </si>
  <si>
    <t>A person is seen riding a unicycle in the middle of a forest while holding an instrument.</t>
  </si>
  <si>
    <t>The man continues riding down the path as the camera follows his movements.</t>
  </si>
  <si>
    <t>v_bXT72HACH4I</t>
  </si>
  <si>
    <t>A black screen appears with a red and white logo on the upper left, black and white words going diagonal on the upper middle that read "SOKOL DOBRIS" and the bottom have purple and white words that read "ROPE SKIPPING".</t>
  </si>
  <si>
    <t>Next shown is a still shot of black shirt with the logo on the upper left of the chest and the word "DOBRIS" under it and a red and white jump rope is on top of it.</t>
  </si>
  <si>
    <t>There are 4 different people standing on an indoor court, and 3 are holding ends of 2 different jump ropes and 1 person is rope jumping.</t>
  </si>
  <si>
    <t>Various clips of people rope jumping play and sometimes there's just 1 person jumping alone, but most times there are between 2 and 4 and a lot of times they are alternating between jumping and holding the rope.</t>
  </si>
  <si>
    <t>The clips of videos ends and various still shot pictures involving rope jumping are shown on the screen and a black screen appears when the pictures are done and the purple and white letters appear on the screen that say "ROPE SKIPPING".</t>
  </si>
  <si>
    <t>v_9MGnF59gZfM</t>
  </si>
  <si>
    <t>A man with a bow and arrow is practicing his aim and form.</t>
  </si>
  <si>
    <t>He shoots an arrow and grabs another one from behind hm and gets ready to shoot again.</t>
  </si>
  <si>
    <t>He pulls back the string on the bow and releases it along with the arrow.</t>
  </si>
  <si>
    <t>He continues this routine over and over, practicing for perfection.</t>
  </si>
  <si>
    <t>v_fGDVlbI90pw</t>
  </si>
  <si>
    <t>A young girl wearing a gray sweater with long red colored hair is brushing her hair.</t>
  </si>
  <si>
    <t>She is using a silver paddle brush to remove the knots from her hair and de-tangle it as she brushes it through.</t>
  </si>
  <si>
    <t>She suddenly begins to scream as she brushes her hair.</t>
  </si>
  <si>
    <t>v_OkMH4AlF8hQ</t>
  </si>
  <si>
    <t>A young child is seen holding an ice cream cone and speaking to the camera while smiling.</t>
  </si>
  <si>
    <t>She speaks to the camera man holding a doll in the other hand, then sits down on the ground.</t>
  </si>
  <si>
    <t>v_BUhpWV98EjM</t>
  </si>
  <si>
    <t>A woman and a man are standing outside doing some interesting techniques with one another.</t>
  </si>
  <si>
    <t>They seem to work well with one another moving in sync of or less never hitting the other.</t>
  </si>
  <si>
    <t>They are doing some type of karate or something.</t>
  </si>
  <si>
    <t>The one grabs the man intensely and hugs him it looked they wanted to kiss but they didn't.</t>
  </si>
  <si>
    <t>v_EE2nFMHRacg</t>
  </si>
  <si>
    <t>A group of elderly people are seated on chairs outside.</t>
  </si>
  <si>
    <t>A man is playing a tune using a stick and a saw.</t>
  </si>
  <si>
    <t>The men next to him are holding instruments, waiting their turn.</t>
  </si>
  <si>
    <t>v_xeOHoiH-dmo</t>
  </si>
  <si>
    <t>A playground is shown and a back yard as the camera pans over to a window on a roof.</t>
  </si>
  <si>
    <t>The video shows various pictures on how to fix a roof and the man pans over the window again with material.</t>
  </si>
  <si>
    <t>He places various objects around the window and shows more pictures of the roof with the finished product.</t>
  </si>
  <si>
    <t>v_NnW_1eQV9GU</t>
  </si>
  <si>
    <t>A rodeo rider comes out of the gate on a bull and gets thrown off.</t>
  </si>
  <si>
    <t>The rodeo clowns distract the bull as the rider gets to safety.</t>
  </si>
  <si>
    <t>A clown gets hurt and goes for treatment from a pretty lady.</t>
  </si>
  <si>
    <t>A group of men on horses talk and as they ride away, the clown restarts his job in the ring.</t>
  </si>
  <si>
    <t>The clown gets injured again as he jumps over a bulls head and the other clowns help him up.</t>
  </si>
  <si>
    <t>v_WWhL75t7p8A</t>
  </si>
  <si>
    <t>A large group of people are seen holding a rope while two more walk into frame and the camera closes in on the people.</t>
  </si>
  <si>
    <t>The camera continues to pan around the people and leads into a match of tug of war and the women celebrating.</t>
  </si>
  <si>
    <t>v_cYMweZa5J1I</t>
  </si>
  <si>
    <t>Guys stand or sit around their dirt bikes.</t>
  </si>
  <si>
    <t>Guys are riding their dirt bikes.</t>
  </si>
  <si>
    <t>A guy takes off his upper body armor while sitting on his dirt bike.</t>
  </si>
  <si>
    <t>v_sn1OtmEJxng</t>
  </si>
  <si>
    <t>A long line of bikers are shown in the dark at an event.</t>
  </si>
  <si>
    <t>A man is speaking onstage to the people as they prepare for the main event.</t>
  </si>
  <si>
    <t>The people run and jog past the cheering crowd, until the reach the finish line, where they stop to talk and hold up the rope they tore down.</t>
  </si>
  <si>
    <t>v_lzb6HHN59K4</t>
  </si>
  <si>
    <t>A dog owner takes three dogs to a dog cleaning service and company where the dogs are washed and dried.</t>
  </si>
  <si>
    <t>Three dogs are shown getting dirty by waking in mud puddles and through dirt and grass.</t>
  </si>
  <si>
    <t>The dogs are then loaded in a vehicle and taken to a dog washing company where they are placed in wash sinks.</t>
  </si>
  <si>
    <t>All three dogs are washed and dried by people after which the people are shown cleaning the area where the dogs were washed.</t>
  </si>
  <si>
    <t>v_UomiLRs--C8</t>
  </si>
  <si>
    <t>A man is begining to weld.</t>
  </si>
  <si>
    <t>He starts to weld a piece of metal onto a frame.</t>
  </si>
  <si>
    <t>He finishes his weld and backs away.</t>
  </si>
  <si>
    <t>v_Sfdj_kMDUh8</t>
  </si>
  <si>
    <t>A man is unrolling carpet onto the floor.</t>
  </si>
  <si>
    <t>He is on his knees cutting the carpet.</t>
  </si>
  <si>
    <t>He is putting glue onto the floor.</t>
  </si>
  <si>
    <t>He then lays the carpet down on top of it and smooths it out.</t>
  </si>
  <si>
    <t>He then vacuums the carpet when he is finished.</t>
  </si>
  <si>
    <t>v_gC4B1Az2Mk0</t>
  </si>
  <si>
    <t>A little boy is seated on the floor with a cup and a spoon.</t>
  </si>
  <si>
    <t>He is eating a white substance as his mother comes to check on him.</t>
  </si>
  <si>
    <t>He continues eating slowly as she walks past.</t>
  </si>
  <si>
    <t>v_iBEUNOMTr8M</t>
  </si>
  <si>
    <t>A couple of women are talking as they stand in a backyard.</t>
  </si>
  <si>
    <t>They are holding moss killer attached to hoses.</t>
  </si>
  <si>
    <t>The women spray the moss killer onto the roof of a shed, killing the growth with the liquid.</t>
  </si>
  <si>
    <t>They then hold up the moss killer strips in a box.</t>
  </si>
  <si>
    <t>v_a0hFDXB1RgY</t>
  </si>
  <si>
    <t>A man is sitting in a kayak in the river while speaking to the camera about his trip.</t>
  </si>
  <si>
    <t>He moves slowly in the water while giving instructions on how to properly move the kayak.</t>
  </si>
  <si>
    <t>He begins paddling up the stream and showing what to do if you get stuck.</t>
  </si>
  <si>
    <t>v_YDIRaWzfyYY</t>
  </si>
  <si>
    <t>man is talking to a camera and holding a knife and some magazines.</t>
  </si>
  <si>
    <t>man holds the knife and shavea small piece of his arm.</t>
  </si>
  <si>
    <t>man grabs some rocks from a cup of water and sharp the knife.</t>
  </si>
  <si>
    <t>man use the knife to cut the magazine.</t>
  </si>
  <si>
    <t>v_b7fs8OAJzQk</t>
  </si>
  <si>
    <t>A man is seen in the ocean waters.</t>
  </si>
  <si>
    <t>He is riding a pair of water skis.</t>
  </si>
  <si>
    <t>He is being drug by a boat as he skis through the waves.</t>
  </si>
  <si>
    <t>v_RMrL2txm79c</t>
  </si>
  <si>
    <t>A person washes and cuts open a pumpkin.</t>
  </si>
  <si>
    <t>The person cleans to the insides and draws a face on the pumpkin.</t>
  </si>
  <si>
    <t>They carve the face to make a jackolantern.</t>
  </si>
  <si>
    <t>We then see the carved pumpkin with a candle inside and the closing screen.</t>
  </si>
  <si>
    <t>v_TxLBvNWVk-4</t>
  </si>
  <si>
    <t>We see a series of bowling bloopers.</t>
  </si>
  <si>
    <t>We see a baby throw a ball and an adult fall.</t>
  </si>
  <si>
    <t>We see a lady fall while sitting on a bench.</t>
  </si>
  <si>
    <t>We see a man put a bowling ball in a cannon and shoot it across a field.</t>
  </si>
  <si>
    <t>v_0gm_g4rYCic</t>
  </si>
  <si>
    <t>A large group is inside a raft on a river.</t>
  </si>
  <si>
    <t>A man in a kayak is next to them.</t>
  </si>
  <si>
    <t>They float into the rapids, trying to go through them.</t>
  </si>
  <si>
    <t>v_tL90IPP3hbA</t>
  </si>
  <si>
    <t>A logo is seen and captions are shown on the screen.</t>
  </si>
  <si>
    <t>Trees and mulch are shown with a slight breeze.</t>
  </si>
  <si>
    <t>Several people are shown planting a tree.</t>
  </si>
  <si>
    <t>The people are spreading mulch around the tree.</t>
  </si>
  <si>
    <t>Several logos are shown on the screen.</t>
  </si>
  <si>
    <t>v_bghOBRA0z-Y</t>
  </si>
  <si>
    <t>A man gives a harmonica lesson with closeups and basically a way to tell about how to play the harmonica.</t>
  </si>
  <si>
    <t>The man introduces other types of harmonicas as well.</t>
  </si>
  <si>
    <t>v_yUHN5TIprwk</t>
  </si>
  <si>
    <t>A text intro leads into a person seen sitting on an exercise bike.</t>
  </si>
  <si>
    <t>The person speaks to a class she is speaking while peddling her feet.</t>
  </si>
  <si>
    <t>The woman continues moving her feet as well as others in the class.</t>
  </si>
  <si>
    <t>v_Lh50gF5l0dw</t>
  </si>
  <si>
    <t>A man wearing a blue shirt is throwing the shot put.</t>
  </si>
  <si>
    <t>He is going in a circular motion on a red circle painted on the ground.</t>
  </si>
  <si>
    <t>He throws the shot put into the air.</t>
  </si>
  <si>
    <t>Another man is swinging in circular motion, ready to throw the shot put.</t>
  </si>
  <si>
    <t>v_I9wra8bj2sg</t>
  </si>
  <si>
    <t>A horseman throws a rope to catch a calf while people watch.</t>
  </si>
  <si>
    <t>Intermediately, the man get down the horse and tie the calf.</t>
  </si>
  <si>
    <t>Men walks behind the horse.</t>
  </si>
  <si>
    <t>After, the man get in the horse.</t>
  </si>
  <si>
    <t>v_0-kEI13BtcY</t>
  </si>
  <si>
    <t>Ducks are swimming in the water.</t>
  </si>
  <si>
    <t>People are moving dirt around in a park.</t>
  </si>
  <si>
    <t>A woman in a black shirt and glasses talks to the camera.</t>
  </si>
  <si>
    <t>People are raking the dirt around.</t>
  </si>
  <si>
    <t>Different people are talking to the camera.</t>
  </si>
  <si>
    <t>The people continue to landscape at the park.</t>
  </si>
  <si>
    <t>v_C1kmoJttp4M</t>
  </si>
  <si>
    <t>A still shot picture of an omelette being poured out of a pan and onto a white plate appears and the white text on it say's "How to make an omelette".</t>
  </si>
  <si>
    <t>A white screen with a clipart of red lion wearing a crown appears and the blue words "British Lion Quality are around he lion.</t>
  </si>
  <si>
    <t>A woman is now in the kitchen standing in front of a pan on a stove, she turns the oven on, grabs a large measuring cup and begins cracking eggs into it then adds various other ingredients to the eggs, and then whisks it all up.</t>
  </si>
  <si>
    <t>The woman then puts butter in the pan, melts it all around, then pours her egg mix into the pan.</t>
  </si>
  <si>
    <t>The woman grabs her wooden spatula and starts manipulating the eggs in the pan making sure it doesn't stick and that it cooks thoroughly.</t>
  </si>
  <si>
    <t>The woman then takes the egg to the white plate and folds it onto it then adds a handful of greens next to it.</t>
  </si>
  <si>
    <t>A white screen appears with the red clipart lion in the middle and the blue words "British Lion Quality" going around it.</t>
  </si>
  <si>
    <t>v_ez9uLqGV7AA</t>
  </si>
  <si>
    <t>A man is skateboarding down a sidewalk.</t>
  </si>
  <si>
    <t>He does a flip on the skateboard.</t>
  </si>
  <si>
    <t>He falls off the skateboard onto the ground.</t>
  </si>
  <si>
    <t>v_tD30qafrkhM</t>
  </si>
  <si>
    <t>A man and woman are having sex and kissing inside a shower.</t>
  </si>
  <si>
    <t>She pushes him away and starts crying.</t>
  </si>
  <si>
    <t>A couple is having sex on a bed.</t>
  </si>
  <si>
    <t>The woman pulls out a feather and licks it.</t>
  </si>
  <si>
    <t>She rubs it on the mans face.</t>
  </si>
  <si>
    <t>She has a knife and rubs it down his chest.</t>
  </si>
  <si>
    <t>She looks up at him and lights a cigarette.</t>
  </si>
  <si>
    <t>She lays on her back and laughs.</t>
  </si>
  <si>
    <t>The woman is talking and laughing while holding a snake.</t>
  </si>
  <si>
    <t>The woman is talking to someone.</t>
  </si>
  <si>
    <t>A table with food on it is shown.</t>
  </si>
  <si>
    <t>A wine glass is given to a man by the woman.</t>
  </si>
  <si>
    <t>He denies the drink and she takes a sip.</t>
  </si>
  <si>
    <t>They begin to kiss each other.</t>
  </si>
  <si>
    <t>v_ZeUNeRiU6YY</t>
  </si>
  <si>
    <t>The camera follows a person in red pants snowboarding down a slope.</t>
  </si>
  <si>
    <t>The camera briefly pans away from the woman to focus on the slope.</t>
  </si>
  <si>
    <t>The camera pans away from the woman to focus on the slope.</t>
  </si>
  <si>
    <t>v_-K_cgWfJxiU</t>
  </si>
  <si>
    <t>A man is seen speaking to the camera holding a paddle and sitting in a kayak.</t>
  </si>
  <si>
    <t>The man then paddles himself around the area on the kayak flipping around and looking to the camera.</t>
  </si>
  <si>
    <t>v_injaml6fr7s</t>
  </si>
  <si>
    <t>A woman rides a horse in an indoor barn while playing a game of solo polo.</t>
  </si>
  <si>
    <t>A woman rides a horse in an indoor barn and plays polo while holding a polo stick and chasing a red ball in the indoor setting.</t>
  </si>
  <si>
    <t>The woman hits at the ball while riding the horse in circles.</t>
  </si>
  <si>
    <t>the woman rides the horse until the sun begins to set and the scene gets darker and darker.</t>
  </si>
  <si>
    <t>v_CUJJViubZ9c</t>
  </si>
  <si>
    <t>Wrestlers are fighting in a ring.</t>
  </si>
  <si>
    <t>A man is picked up and thrown down by other men.</t>
  </si>
  <si>
    <t>A man falls on a table and breaks it.</t>
  </si>
  <si>
    <t>v_8fLHaW3YvJY</t>
  </si>
  <si>
    <t>A man wearing glasses is standing outside in the snow with some gadgets talking.</t>
  </si>
  <si>
    <t>He brings forward the blue large shovel looking gadget, still talking and then grabs another shovel.</t>
  </si>
  <si>
    <t>He throws the shovel and then walks to demonstrate how to shovel up the snow.</t>
  </si>
  <si>
    <t>He continues to talk and then starts using the shovel gadget again.</t>
  </si>
  <si>
    <t>He shovels piles out some piles of snow.</t>
  </si>
  <si>
    <t>v_WkWCbz54JSU</t>
  </si>
  <si>
    <t>People are standing in a bull ring.</t>
  </si>
  <si>
    <t>A bull starts chasing a man holding a colorful blanket.</t>
  </si>
  <si>
    <t>Two horses are dragging a bull off the arena.</t>
  </si>
  <si>
    <t>v_Nd209mI-wq0</t>
  </si>
  <si>
    <t>man is sitting in a music store playing an acoustic guitar and talking to the camera showing the ibanez guitar.</t>
  </si>
  <si>
    <t>man starts playing the guitar showing how the guitar sounds connected to an amplifier.</t>
  </si>
  <si>
    <t>v_vmFfa1yv72k</t>
  </si>
  <si>
    <t>Several peoples outfits are being panned from the bottom up.</t>
  </si>
  <si>
    <t>Then a group of cups are on the table and they begin playing beer pong with a group of people.</t>
  </si>
  <si>
    <t>Several rooms and couples are shown and the ball is thrown in a cup.</t>
  </si>
  <si>
    <t>Once done,the camera pans out and you can see the couples are competing against each other in a room together.</t>
  </si>
  <si>
    <t>Couples come back and more beer pong games come back.</t>
  </si>
  <si>
    <t>v_e__FVkfXB-U</t>
  </si>
  <si>
    <t>A man is throwing a blue frisbee and a dog is chasing after it.</t>
  </si>
  <si>
    <t>The dog is jumping over the man kneeling down on the grass.</t>
  </si>
  <si>
    <t>They continue to play frisbee with the dog.</t>
  </si>
  <si>
    <t>v_hJI5PEg2UuA</t>
  </si>
  <si>
    <t>This elderly man is standing up cutting the red tomato into slices.</t>
  </si>
  <si>
    <t>He is in the kitchen cutting the tomato using a cheap knife.</t>
  </si>
  <si>
    <t>It looks hard for him trying to use a knife that barely does anything to try and cut the tomato, but the difference shows in good products.</t>
  </si>
  <si>
    <t>v_DLlooZTLPdI</t>
  </si>
  <si>
    <t>Several bikers are riding back and for the at a festival in the dessert.</t>
  </si>
  <si>
    <t>A man dressed in women's clothing comes onto the screen and begins to hula hoop while a camera is attached to the hula hoop.</t>
  </si>
  <si>
    <t>Several other people perform inside the hula hoop camera while the music plays.</t>
  </si>
  <si>
    <t>Then several people are shown waling up to the hula hoop camera getting ready to hula hoop.</t>
  </si>
  <si>
    <t>The man that is dressed as a woman gives some one a hug.</t>
  </si>
  <si>
    <t>The video ends with people riding on a bicycle while the camera is attached to the bike.</t>
  </si>
  <si>
    <t>v_lIqAkmaXnXg</t>
  </si>
  <si>
    <t>A woman is sitting on a chair while she pulls thin art foil pieces from a small table in front of her, and applies it to a small dresser that is also in front of her.</t>
  </si>
  <si>
    <t>The woman then takes her brush and begins brushing all of the pieces of foils on the top drawer while holding a hand under it to catch all the pieces that fall.</t>
  </si>
  <si>
    <t>The woman then closes the drawer and brushes it some more.</t>
  </si>
  <si>
    <t>v_N8nv95D4-pw</t>
  </si>
  <si>
    <t>A woman is in a gym talking.</t>
  </si>
  <si>
    <t>the woman demonstrates how to do an exercise with a step.</t>
  </si>
  <si>
    <t>v_j5Fq7Y8EJk8</t>
  </si>
  <si>
    <t>A man rides a jetski on a river with the camera at a distance.</t>
  </si>
  <si>
    <t>The man jetskis while holding the camera at arm's length.</t>
  </si>
  <si>
    <t>The man is shown waterskiing while pulled by the jetski.</t>
  </si>
  <si>
    <t>The man falls and is briefly submerged.</t>
  </si>
  <si>
    <t>v_9qgO4EQiQzI</t>
  </si>
  <si>
    <t>A person is seen placing a mat down on a floor with various tools laid out around him.</t>
  </si>
  <si>
    <t>He measures the floor with a ruler followed by him putting plaster down on the floor and putting the mat back down.</t>
  </si>
  <si>
    <t>v_RJ5U2y6ccvA</t>
  </si>
  <si>
    <t>A young baby is outside in murky water holding on to a white bar.</t>
  </si>
  <si>
    <t>Two men push him and he is shown riding a water vehicle being pulled by some type of thing.</t>
  </si>
  <si>
    <t>As he moves,a woman is on the side of him following him and stopping him along the way making sure he is okay.</t>
  </si>
  <si>
    <t>v_sbvk9FNaAH0</t>
  </si>
  <si>
    <t>A hand is seen playing with a machine followed by shots of a beach and a young boy carrying a wind sail.</t>
  </si>
  <si>
    <t>Many people stand on the beach walking around and leading into a man pulling up a sail on a boat and people preparing to wind surf.</t>
  </si>
  <si>
    <t>Several shots are shown of people riding along the water with a kite as well as people on a boat and various landscapes.</t>
  </si>
  <si>
    <t>In the end a shot of a sunset is shown.</t>
  </si>
  <si>
    <t>v_3xUAyMuqBrQ</t>
  </si>
  <si>
    <t>A man is putting ingredients into a pan.</t>
  </si>
  <si>
    <t>He stirs it together over a stove.</t>
  </si>
  <si>
    <t>He puts it on a plate and shows the camera.</t>
  </si>
  <si>
    <t>v_a6lCnOqNaMY</t>
  </si>
  <si>
    <t>A man is running down the track.</t>
  </si>
  <si>
    <t>He throws a javelin onto the field.</t>
  </si>
  <si>
    <t>The audience is behind him in the stands watching.</t>
  </si>
  <si>
    <t>v_eZ_IOp638kQ</t>
  </si>
  <si>
    <t>An athletic man is seen running to throw a ball and another person hits it into the audience.</t>
  </si>
  <si>
    <t>More clips are shown of people playing the game on the field with the audience cheers and players move around the field.</t>
  </si>
  <si>
    <t>v_FXb8rBMvol4</t>
  </si>
  <si>
    <t>People are coming off of a van holding snowboards.</t>
  </si>
  <si>
    <t>A man straps his snowboard on.</t>
  </si>
  <si>
    <t>Several people are snowboarding down a hill.</t>
  </si>
  <si>
    <t>A man in goggles talks.</t>
  </si>
  <si>
    <t>A woman holds a child up to kiss a man.</t>
  </si>
  <si>
    <t>People are snowboarding down a hill.</t>
  </si>
  <si>
    <t>A man talks to the camera.</t>
  </si>
  <si>
    <t>Several people do tricks on their snowboards.</t>
  </si>
  <si>
    <t>A man talks to the camera again.</t>
  </si>
  <si>
    <t>Several more people are snowboarding and talking.</t>
  </si>
  <si>
    <t>A man with a beard talks to the camera.</t>
  </si>
  <si>
    <t>A man takes off his snowboard.</t>
  </si>
  <si>
    <t>v_e2fXKrG2BkY</t>
  </si>
  <si>
    <t>Two boys in blue karate suits and red belts are standing on a stage in a school cafeteria and they are doing a karate routine in unison.</t>
  </si>
  <si>
    <t>When they are done, they turn to one another, bow, and do some karate matches that involve gently throwing one another to ground and when done with the matches they each take a bow facing the crowd.</t>
  </si>
  <si>
    <t>The boys then start another karate routine and they are doing various moves with their arms and legs while doing them in unison as much as possible.</t>
  </si>
  <si>
    <t>When done they both take a bow facing the crowd and they both run off the school stage.</t>
  </si>
  <si>
    <t>v_L_fvvmvV-Tc</t>
  </si>
  <si>
    <t>A man and a little boy are mowing a lawn.</t>
  </si>
  <si>
    <t>The man pushes the real mower back and forth.</t>
  </si>
  <si>
    <t>The little boy follows him with a toy mower.</t>
  </si>
  <si>
    <t>v_Z6xXj6tbMCo</t>
  </si>
  <si>
    <t>A man is seen doing various flips and tricks on a gym floor while others practice behind him.</t>
  </si>
  <si>
    <t>The man continues slipping around the room while people walking him stop and watch.</t>
  </si>
  <si>
    <t>v_nmUJ2GfVkKY</t>
  </si>
  <si>
    <t>An athlete performs a long jump at a professional sports event as onlookers watch and clap.</t>
  </si>
  <si>
    <t>A man in an athletic outfit and a paper number pinned to his chest paces on a sports field.</t>
  </si>
  <si>
    <t>The man runs a distance and performs a long jump.</t>
  </si>
  <si>
    <t>The man smiles and paces after the long jump as a British flag waves in the background and a template of his score goes across the screen along with slow motion re-inactments.</t>
  </si>
  <si>
    <t>The man takes his shoes off while sitting on a bench.</t>
  </si>
  <si>
    <t>v_Fp8e9dbWeSg</t>
  </si>
  <si>
    <t>A group of people are seen riding in bumper cars and running into one another.</t>
  </si>
  <si>
    <t>The people keep bumping into each other and driving around and then stop to climb out of the cars.</t>
  </si>
  <si>
    <t>v_qGf6earGAOc</t>
  </si>
  <si>
    <t>People are driving in a car down the street.</t>
  </si>
  <si>
    <t>A man is wake boarding in water full of berries.</t>
  </si>
  <si>
    <t>A van is driving on a road by the water.</t>
  </si>
  <si>
    <t>v_8j75QYV-iCg</t>
  </si>
  <si>
    <t>a young girl in a yellow outfit poses with a baton.</t>
  </si>
  <si>
    <t>She begins to dance, twirling the baton as she goes.</t>
  </si>
  <si>
    <t>The girl spins, sits, slides, and twirls as she performs.</t>
  </si>
  <si>
    <t>She falls to the ground in a pose and smiles as she finishes.</t>
  </si>
  <si>
    <t>v_Q_v6MdHJ7Go</t>
  </si>
  <si>
    <t>A man is seen kneeling on a floor and puts his hands behind his head.</t>
  </si>
  <si>
    <t>He then bends his body forward and performs several jumps onto his feet.</t>
  </si>
  <si>
    <t>v_OIA7lPraPSM</t>
  </si>
  <si>
    <t>Three people are riding skateboards on a road in a city and the text on the bottom left screen say "Three regulars Justice - New Jack" and they are skating fast going forward, turning, curving, bending down and doing other various tricks all throughout the city and not wearing any helmets or other safety gear.</t>
  </si>
  <si>
    <t>Two of the guys are stopped on a road and then all of a sudden one of them picks up a skateboard and throws it very hard against the wall.</t>
  </si>
  <si>
    <t>The guys are shown skateboarding again and this time they are wearing helmets as they skateboard down the roads in this city going very fast and doing multiple various tricks.</t>
  </si>
  <si>
    <t>v_9cD-Z6Aw7bE</t>
  </si>
  <si>
    <t>We see young ladies hug each other on a track.</t>
  </si>
  <si>
    <t>We then see replay from their run.</t>
  </si>
  <si>
    <t>A lady swings her arms as she finishes.</t>
  </si>
  <si>
    <t>We see a 4 ladies throwing the hammer.</t>
  </si>
  <si>
    <t>A lady hugs someone after her thrown.</t>
  </si>
  <si>
    <t>A lady hugs a woman and a man.</t>
  </si>
  <si>
    <t>v__dp7ZH3Upuw</t>
  </si>
  <si>
    <t>A small boy swings out off a large piece of playground equipment.</t>
  </si>
  <si>
    <t>He swings across the bars, trying to hold on.</t>
  </si>
  <si>
    <t>He makes it all the way to the end before jumping off.</t>
  </si>
  <si>
    <t>v_rSTXxDLYxTQ</t>
  </si>
  <si>
    <t>A close up of shoes are shown followed by a person holding the shoes and rubbing polish around the shoes.</t>
  </si>
  <si>
    <t>The man then rubs polish into the other shoe on the table as well as back to the one he started on.</t>
  </si>
  <si>
    <t>He takes a brush and uses it on the shoe, ending with him grabbing the camera.</t>
  </si>
  <si>
    <t>v_tYV23sjRgt8</t>
  </si>
  <si>
    <t>This woman is showing viewers how to make a whiskey sour.</t>
  </si>
  <si>
    <t>First she pours one ounce of whiskey over ice into the ross glass.</t>
  </si>
  <si>
    <t>Then she pours citrus into the glass and puts a straw into it.</t>
  </si>
  <si>
    <t>v_y47RXYfefvQ</t>
  </si>
  <si>
    <t>A man is in a snowy parking lot.</t>
  </si>
  <si>
    <t>He is using a brush to wipe snow off the back windshielf of his car.</t>
  </si>
  <si>
    <t>He glances at the camera, then keeps wiping.</t>
  </si>
  <si>
    <t>v_74qSBsksI-E</t>
  </si>
  <si>
    <t>A man is seen speaking to the camera and begins holding a razor up to his face.</t>
  </si>
  <si>
    <t>The man then shaves his face around the sides and ends by still speaking to the camera.</t>
  </si>
  <si>
    <t>v_JhiX65Okpt0</t>
  </si>
  <si>
    <t>A woman is performing partial arts moves with a man on a stage.</t>
  </si>
  <si>
    <t>A band plays instruments in the background.</t>
  </si>
  <si>
    <t>The two spin, flip, and kick, taking turns.</t>
  </si>
  <si>
    <t>v_rxwmIyvVVUU</t>
  </si>
  <si>
    <t>A lady plays pool alone indoors.</t>
  </si>
  <si>
    <t>The white ball falls off the pool table.</t>
  </si>
  <si>
    <t>The lady picks up the white ball from the floor.</t>
  </si>
  <si>
    <t>v_ilX9ntIzaoQ</t>
  </si>
  <si>
    <t>We see a man run and jump on a raft as it slides down a long snowy hill.</t>
  </si>
  <si>
    <t>The raft stops and the cameraman gets up and walks around while filming the ground.</t>
  </si>
  <si>
    <t>A hand then covers the camera.</t>
  </si>
  <si>
    <t>v_Q_Rufuciohg</t>
  </si>
  <si>
    <t>An older woman peels a potato over a table.</t>
  </si>
  <si>
    <t>She sets the knife down on the table.</t>
  </si>
  <si>
    <t>v_3VoIt9XkPEM</t>
  </si>
  <si>
    <t>People are floating down a river in tubes.</t>
  </si>
  <si>
    <t>A person's feet are shown on a tube.</t>
  </si>
  <si>
    <t>People are standing on the short next to their tubes.</t>
  </si>
  <si>
    <t>v_bdKB3QYNFbc</t>
  </si>
  <si>
    <t>men are in a dust racetrack riding bikes doing tricks.</t>
  </si>
  <si>
    <t>little kids are going down a slide in a dust pathway.</t>
  </si>
  <si>
    <t>v_wV2c3sdctbs</t>
  </si>
  <si>
    <t>A boy is explaining how to put on toes shoes on his left foot.</t>
  </si>
  <si>
    <t>Then, the boy raise the right foot and take out the toe shoe and continue explaining.</t>
  </si>
  <si>
    <t>v_9xOUoTQLea4</t>
  </si>
  <si>
    <t>A person makes a pot of coffee.</t>
  </si>
  <si>
    <t>The person then adds a bunch of sugary products to it.</t>
  </si>
  <si>
    <t>The man drinks it and then calls people from a smart phone.</t>
  </si>
  <si>
    <t>v_5iQsKA84vWo</t>
  </si>
  <si>
    <t>There two women boxers competing in kickboxing against each other in a boxing event.</t>
  </si>
  <si>
    <t>The referee is standing next to them.</t>
  </si>
  <si>
    <t>There are several spectators watching the boxers compete.</t>
  </si>
  <si>
    <t>After the referee gives a go, the contestants begin the match.</t>
  </si>
  <si>
    <t>The crowd cheers for them as they compete.</t>
  </si>
  <si>
    <t>The boxer in the black uniform punches the boxer in red and makes her fall down.</t>
  </si>
  <si>
    <t>The boxer in red kicks her opponent.</t>
  </si>
  <si>
    <t>The boxer in black strikes back at her opponent and the boxer in red punches her face.</t>
  </si>
  <si>
    <t>The referee declares the boxer in black as the winner and crowd applauds her victory.</t>
  </si>
  <si>
    <t>v_8B4M8AsGZmQ</t>
  </si>
  <si>
    <t>A camera pans around a person standing and leads into him looking off into the distance and carrying gear.</t>
  </si>
  <si>
    <t>The man suits up as the camera shows close ups of his board.</t>
  </si>
  <si>
    <t>The man is then seen doing numerous tricks over the water while following behind a boat.</t>
  </si>
  <si>
    <t>v_0ufZs4e24Xs</t>
  </si>
  <si>
    <t>Two men are boxing inside a gym.</t>
  </si>
  <si>
    <t>The two men kick and alternate blows with punches.</t>
  </si>
  <si>
    <t>v_dXdhOe0DPC4</t>
  </si>
  <si>
    <t>A woman is sanding a book shelf with a sander.</t>
  </si>
  <si>
    <t>She touches the sanded portion with her hand.</t>
  </si>
  <si>
    <t>She stands next to the shelf talking.</t>
  </si>
  <si>
    <t>v_LZ1142kuCnI</t>
  </si>
  <si>
    <t>A person is seen walking around a room carrying a broom.</t>
  </si>
  <si>
    <t>She pushes it along the wall beside her.</t>
  </si>
  <si>
    <t>In the end she turns around and pushes it back.</t>
  </si>
  <si>
    <t>v_SLPD1U5iDjY</t>
  </si>
  <si>
    <t>A woman is seen outside playing a game of beach volley ball serving it over the net in slow motion.</t>
  </si>
  <si>
    <t>It makes it over the net and the other team of two balls is able to hit it back over the net.</t>
  </si>
  <si>
    <t>Both pairs of people continue to play the game and eventually the side with the man and woman on the team end up winning.</t>
  </si>
  <si>
    <t>v_kMHMdqkGRB4</t>
  </si>
  <si>
    <t>A gymnast is seen standing before a large beam and putting his hands up in the air.</t>
  </si>
  <si>
    <t>He then performs a gymnasts routine while swinging himself all around the bar and ends by jumping down.</t>
  </si>
  <si>
    <t>v_cJyl4yqFuK0</t>
  </si>
  <si>
    <t>A young child is seen sitting next to a tub and bending over the side.</t>
  </si>
  <si>
    <t>A person speaks to her on the side while she looks back to the camera.</t>
  </si>
  <si>
    <t>She bends further into the sink then moves back to the camera to look.</t>
  </si>
  <si>
    <t>v_66BGqvwHbUw</t>
  </si>
  <si>
    <t>A camera zooms in on a person playing guitar and leads into a man speaking.</t>
  </si>
  <si>
    <t>Several more shots of people playing guitar and guitars on walls are shown as well as the same man speaking to the camera.</t>
  </si>
  <si>
    <t>v_erxnWYOO1ew</t>
  </si>
  <si>
    <t>We see a man jumping on jump stilts.</t>
  </si>
  <si>
    <t>We see a person sitting in the yard.</t>
  </si>
  <si>
    <t>The man on the stilts stops and turns around towards the camera.</t>
  </si>
  <si>
    <t>v_wO9DGYTAX70</t>
  </si>
  <si>
    <t>Slow motion shows of people riding horses over jumps are shown that lead into a woman speaking to the camera with a horse behind her.</t>
  </si>
  <si>
    <t>The woman then wears a glove and brushes the horse all over while the capture captures her movements and the horse.</t>
  </si>
  <si>
    <t>She brushes the back of it's tail and finishes around it's belly.</t>
  </si>
  <si>
    <t>v_Q2PC60uwjdY</t>
  </si>
  <si>
    <t>Beets are being chopped up on a chopping block.</t>
  </si>
  <si>
    <t>They are put in a pan and covered with water.</t>
  </si>
  <si>
    <t>Kale is being chopped up on a cutting board.</t>
  </si>
  <si>
    <t>It is tossed in salt for a few minutes.</t>
  </si>
  <si>
    <t>Carrots are grated over the kale.</t>
  </si>
  <si>
    <t>A tomato is diced and mixed with dressing.</t>
  </si>
  <si>
    <t>This is then poured over the kale.</t>
  </si>
  <si>
    <t>A man takes a bite of the salad.</t>
  </si>
  <si>
    <t>v_mgEX5A1o2jg</t>
  </si>
  <si>
    <t>A person is seen moving in fast motion unpacking a bag and piecing together parts of a tire.</t>
  </si>
  <si>
    <t>Many people stop to watch on the sidelines while the man continues to build the bike and finishes by packing everything up and holding his arms out while smiling.</t>
  </si>
  <si>
    <t>v_7pYrfYFoxdc</t>
  </si>
  <si>
    <t>A woman climbs into the back of a van with other people.</t>
  </si>
  <si>
    <t>Several men are standing together in a line before we see a person in a gorilla suit.</t>
  </si>
  <si>
    <t>Many people are dancing, falling off skateboards, and performing various tricks like tightrope walking and flips.</t>
  </si>
  <si>
    <t>The group walks out of the building together, making signs and faces at the camera.</t>
  </si>
  <si>
    <t>v_vWsPUB8dQMU</t>
  </si>
  <si>
    <t>A train goes by on a track, and several cars are seen driving on a wet road.</t>
  </si>
  <si>
    <t>A woman gets out, and crouches by a flat tire.</t>
  </si>
  <si>
    <t>She uses equipment to lift the car from the ground, then removes the tire.</t>
  </si>
  <si>
    <t>She replaces the bad tire with a spare.</t>
  </si>
  <si>
    <t>she then puts away her equipment and gives a thumbs up before driving safely away.</t>
  </si>
  <si>
    <t>v_ekzUyQo2R9Y</t>
  </si>
  <si>
    <t>There's a person wakeboarding in a lake.</t>
  </si>
  <si>
    <t>He is being pulled by a red rope that is fastened to a steamboat.</t>
  </si>
  <si>
    <t>He is going at a steady speed behind the steamboat.</t>
  </si>
  <si>
    <t>v_-jl_v7zi17A</t>
  </si>
  <si>
    <t>A woman is seen riding on a piece of exercise equipment followed by several shots of her adjusting the equipment and moving it around.</t>
  </si>
  <si>
    <t>More shots are shown of her riding the equipment and changing the settings on the front.</t>
  </si>
  <si>
    <t>v_JuC7EY32Spg</t>
  </si>
  <si>
    <t>An older women is shown sitting on a front step putting socks on with a small dog standing near her.</t>
  </si>
  <si>
    <t>She then puts her shoe on the foot and the dog looks off into the distance.</t>
  </si>
  <si>
    <t>v_GvDu_0ktsJ0</t>
  </si>
  <si>
    <t>A cooker shows ingredients to make salad pasta while talking.</t>
  </si>
  <si>
    <t>The cooker puts pasta on a square container and adds vegetables.</t>
  </si>
  <si>
    <t>Then, the cooker adds cheese, broth, white cream, salt and then he mix it.</t>
  </si>
  <si>
    <t>The man serves the pasta with a piece of tomato and he taste the salad.</t>
  </si>
  <si>
    <t>v_CZRkT9Lno3k</t>
  </si>
  <si>
    <t>An athletic woman is seen standing ready holding a pole in her hands and looking down and back.</t>
  </si>
  <si>
    <t>She then holds the stick up and pole volts herself onto a mat.</t>
  </si>
  <si>
    <t>She waves to the crowd and then walks away with others getting ready around her.</t>
  </si>
  <si>
    <t>v_rDYeRbucGt4</t>
  </si>
  <si>
    <t>A man is seated cross legged watching a show.</t>
  </si>
  <si>
    <t>A man is kneeling in front of the crowd, talking.</t>
  </si>
  <si>
    <t>He continues talking as the crowd is enraptured, listening to his every word.</t>
  </si>
  <si>
    <t>v_UjG_uHlFf3s</t>
  </si>
  <si>
    <t>A clip of the show top Gear is shown with one man sitting in a car speaking to the camera, and another speaking to the camera in a different car.</t>
  </si>
  <si>
    <t>Two men speak on walkie talkies on the side and the men drive the cars into one another.</t>
  </si>
  <si>
    <t>One pushes the car back and the men all get out and speak to one another.</t>
  </si>
  <si>
    <t>Another car is test with the men speaking to the camera and pushes the car back while others look in disbelief.</t>
  </si>
  <si>
    <t>v_QTfz_zprGcQ</t>
  </si>
  <si>
    <t>A BTRtv reporter visits a soul cycle studio and store, interviews a soul cycle instructor and takes a sample soul cycle class.</t>
  </si>
  <si>
    <t>A reporter holding a microphone, stands outside of a soul cycle store speaking to the camera, and then enters the store and interviews a soul cycle instructor.</t>
  </si>
  <si>
    <t>The reporter then changes clothes and takes a soul cycle class interspersed with video of instructor led soul cycle classes.</t>
  </si>
  <si>
    <t>The reporter returns to interviewing the soul cycle instructor with a final shot of rows of clothing hanging in the soul cycle store.</t>
  </si>
  <si>
    <t>v_Zk3JXtS2fOY</t>
  </si>
  <si>
    <t>An olympic fencing match is shown.</t>
  </si>
  <si>
    <t>Each side scores points and then a new match is shown.</t>
  </si>
  <si>
    <t>v_9sbiZgFefA4</t>
  </si>
  <si>
    <t>We see a title screen on black.</t>
  </si>
  <si>
    <t>We then see a woman skating down a street in a city.</t>
  </si>
  <si>
    <t>Cars begin to pass the lady.</t>
  </si>
  <si>
    <t>The lady passes parked cars.</t>
  </si>
  <si>
    <t>The lady talks as she stands in front of a building door.</t>
  </si>
  <si>
    <t>She talks near a highway.</t>
  </si>
  <si>
    <t>We see the ending screen on black.</t>
  </si>
  <si>
    <t>v_QQQ7jSVSG3A</t>
  </si>
  <si>
    <t>A group of belly dancers are posing onstage.</t>
  </si>
  <si>
    <t>They begin to dance, swirling their scarves around their bodies as they dance.</t>
  </si>
  <si>
    <t>They drop the scarves, focusing solely on the dance before dropping to the ground, then rising and dancing off stage.</t>
  </si>
  <si>
    <t>v_itlF0DEBetk</t>
  </si>
  <si>
    <t>A man is raking leaves in his yard.</t>
  </si>
  <si>
    <t>He has bagged several leaves as he rakes them out of a bird bath.</t>
  </si>
  <si>
    <t>He continues raking, then opens a bag to pour rocks around the bird bath.</t>
  </si>
  <si>
    <t>v_5pPQc85IXtU</t>
  </si>
  <si>
    <t>People competes bike cross in a field.</t>
  </si>
  <si>
    <t>People bike on a bumpy track where a crowd gather to watch the bike cross competition.</t>
  </si>
  <si>
    <t>A biker falls on the ground.</t>
  </si>
  <si>
    <t>The bikers arrive to the finish line.</t>
  </si>
  <si>
    <t>v_ZmoSxXei954</t>
  </si>
  <si>
    <t>A man is seen standing in a gym holding a racket while the camera pans out to show two men.</t>
  </si>
  <si>
    <t>The men move around one another in the gym hitting a ball off the wall.</t>
  </si>
  <si>
    <t>The two continue hitting the ball around and walking around to hit it.</t>
  </si>
  <si>
    <t>v_zB8kwWJqQ8Q</t>
  </si>
  <si>
    <t>men and women are in team playing foosball in a table in a basket court.</t>
  </si>
  <si>
    <t>referee is standing in front of table watching the game.</t>
  </si>
  <si>
    <t>people is sitting in terraces behind the court watching the game.</t>
  </si>
  <si>
    <t>v_GBdj6erXjDM</t>
  </si>
  <si>
    <t>A girl sits in the drivers seat of a car and enjoys a ice cream cone.</t>
  </si>
  <si>
    <t>The girl laughs while trying to eat the ice cream.</t>
  </si>
  <si>
    <t>The girl licks the ice cream cone with the tip of her tongue.</t>
  </si>
  <si>
    <t>v_crfrKqFp0Zg</t>
  </si>
  <si>
    <t>A man is seen standing in a black room and proceeds to play a flute while the camera captures him.</t>
  </si>
  <si>
    <t>The man continues to lay the instrument while moving his hands up and down and moving his head to the beat.</t>
  </si>
  <si>
    <t>v_3Vj0GcB_qh4</t>
  </si>
  <si>
    <t>Two young girls stand in front of a fireplace holding violins.</t>
  </si>
  <si>
    <t>The girls begin playing a piece of music on the violins and then bow at the end.</t>
  </si>
  <si>
    <t>Two younger children appear outdoors with a website address overlaid.</t>
  </si>
  <si>
    <t>v_o7O6XJYVDRE</t>
  </si>
  <si>
    <t>Supplies to wrap a gift is laying on a wooden table.</t>
  </si>
  <si>
    <t>A gift wrapped present is wrapped with a clear plastic and taped in place.</t>
  </si>
  <si>
    <t>Red ribbons are tied at each end.</t>
  </si>
  <si>
    <t>A scissor is used to cut off the excess clear plastic at each end.</t>
  </si>
  <si>
    <t>The final wrapped product is laying on the table.</t>
  </si>
  <si>
    <t>v_tnWmUCOEdFY</t>
  </si>
  <si>
    <t>A woman with long hair is seen looking deep into the camera and stroking her face.</t>
  </si>
  <si>
    <t>She then brushes her hair and ends the video by smiling.</t>
  </si>
  <si>
    <t>v_e9p0xmsU3h0</t>
  </si>
  <si>
    <t>A girl plays in a indoor plastic ball pool with a slide.</t>
  </si>
  <si>
    <t>The girl climbs up the stair case then slides down the slide.</t>
  </si>
  <si>
    <t>The girl climbs up a staircase then crawls through a tunnel.</t>
  </si>
  <si>
    <t>The girl slides down into a ball pool then climbs back up the slide.</t>
  </si>
  <si>
    <t>The girl plays with the tick-tack-toe board before sliding back down.</t>
  </si>
  <si>
    <t>The child swings on a swing set.</t>
  </si>
  <si>
    <t>The child walks into a trampoline room then jumps up and down.</t>
  </si>
  <si>
    <t>The child walks over a suspension bridge then then over a bridge with nets.</t>
  </si>
  <si>
    <t>The girl slides into the ball pool then climbs up onto the wall and jumps back in.</t>
  </si>
  <si>
    <t>the girl climbs up the slide railing.</t>
  </si>
  <si>
    <t>The girl slides down a steep orange slide.</t>
  </si>
  <si>
    <t>Balls are thrown at the girl and she throws them back laughing.</t>
  </si>
  <si>
    <t>v_0bXzFAKRoBU</t>
  </si>
  <si>
    <t>A man is seen playing the drums with another man beside him with several lights flash around his face.</t>
  </si>
  <si>
    <t>Another man is seen holding a guitar and several shots of a stage are shown.</t>
  </si>
  <si>
    <t>The musician grabs a microphone and the guitarist jumps on stage with a cigarette in his mouth.</t>
  </si>
  <si>
    <t>v_9lX18LyTuAQ</t>
  </si>
  <si>
    <t>A man holding a violin is speaking to the camera with a young boy who is also holding a violin.</t>
  </si>
  <si>
    <t>The boys talk back and fourth for a while and the man shows the boy how to properly play the violin.</t>
  </si>
  <si>
    <t>The boy then does exactly what the instructor taught him while the instructor corrects his playing.</t>
  </si>
  <si>
    <t>v_C7rGK81C7SU</t>
  </si>
  <si>
    <t>A persons hands are seen laying clay out onto a cake and begins painting objects on the side.</t>
  </si>
  <si>
    <t>The woman puts the decorations around the cake and continues decorating more objects on the side.</t>
  </si>
  <si>
    <t>She finishes the cake by adding the final decorations and presenting it to the camera.</t>
  </si>
  <si>
    <t>v_9dqz5ojw-ys</t>
  </si>
  <si>
    <t>People are in stands watching two teams in a pool play pool soccer.</t>
  </si>
  <si>
    <t>The players are yelling and then the ball is hit towards the goal and deflected as the crowd cheers them on.</t>
  </si>
  <si>
    <t>The ball is then thrown back into the pool.</t>
  </si>
  <si>
    <t>v_9wukG78Z0u8</t>
  </si>
  <si>
    <t>A man is kneeling inside a gym.</t>
  </si>
  <si>
    <t>He has a barbell resting on his shoulders as he hops up.</t>
  </si>
  <si>
    <t>He stands fully, then drops the weights.</t>
  </si>
  <si>
    <t>v_GWJw2jR2mTY</t>
  </si>
  <si>
    <t>A man wearing a white shirt stands in a kitchen with a mop.</t>
  </si>
  <si>
    <t>The man begins mopping the floor while standing in front of washing machines.</t>
  </si>
  <si>
    <t>The man mopping takes a few steps and slips as his left leg slides on the floor and he falls to the floor.</t>
  </si>
  <si>
    <t>v_9mL3eC5iizc</t>
  </si>
  <si>
    <t>Two trains drive along an elevated rail in a city.</t>
  </si>
  <si>
    <t>The camera pans to show a man playing a harmonica while sitting on a log beside a river.</t>
  </si>
  <si>
    <t>A woman walks near the train tracks while a train drives by.</t>
  </si>
  <si>
    <t>The woman sees the harmonica playing man in the distance.</t>
  </si>
  <si>
    <t>She watches him and listens to him playing.</t>
  </si>
  <si>
    <t>She walks away leaving the man.</t>
  </si>
  <si>
    <t>The man finishes playing and remains seated.</t>
  </si>
  <si>
    <t>v_o2mqzjWJJNw</t>
  </si>
  <si>
    <t>A man wearing a heavy apron, heavy gloves and large plastic mask over his face walks over to a tool sitting on a wooden table.</t>
  </si>
  <si>
    <t>The man picks up the tool and touches it to something on the table making sparks fly.</t>
  </si>
  <si>
    <t>A continuous spray of sparks shoots off of the tool.</t>
  </si>
  <si>
    <t>The man stops and and takes a step back while pulling his face mask up and looking at the item on the table.</t>
  </si>
  <si>
    <t>The man pulls his face mask back down and begins to use the tool again sending sparks flying again.</t>
  </si>
  <si>
    <t>The man pauses and backs away looking at the item on the table.</t>
  </si>
  <si>
    <t>He touches the tool to the item one more time.</t>
  </si>
  <si>
    <t>The man then looks at the tool he is using and shakes it a little before sitting it down on the table.</t>
  </si>
  <si>
    <t>The man then removes one of his gloves and walks away.</t>
  </si>
  <si>
    <t>v_PqrexMJ5ohk</t>
  </si>
  <si>
    <t>A close up of balls moving around a pool table are shown followed by a person walking around the table.</t>
  </si>
  <si>
    <t>Two men then hit the balls around the table back and fourth while many watch and react around them.</t>
  </si>
  <si>
    <t>v_qZIJRg7hJ0o</t>
  </si>
  <si>
    <t>A small group of people are seen sitting in bumper cars playing a game with one another.</t>
  </si>
  <si>
    <t>The people driving around in the cars while others watch on the sides.</t>
  </si>
  <si>
    <t>Another shot is shown of people playing bumper cars and crashing into one another.</t>
  </si>
  <si>
    <t>v_uIl5Tj74sLw</t>
  </si>
  <si>
    <t>a girl stands in front of a bathroom mirror and vigorously rubs her face.</t>
  </si>
  <si>
    <t>The girl turns on the faucet.</t>
  </si>
  <si>
    <t>The girl then splashes water on her face several times.</t>
  </si>
  <si>
    <t>The girl wipes her face with a towel.</t>
  </si>
  <si>
    <t>v_e5VrEH2X8LI</t>
  </si>
  <si>
    <t>An intro leads into a bearded man talking to the camera and presenting an object to the screen.</t>
  </si>
  <si>
    <t>He uses the tool to push a carpet area over and continues talking to the camera.</t>
  </si>
  <si>
    <t>v_GRGBMJG1Koc</t>
  </si>
  <si>
    <t>Several multi colored and shaped kites fly high in the air above a beach setting interspersed with images of people preparing to fly kites and onlookers.</t>
  </si>
  <si>
    <t>Several kites fly in the air, in a bright blue sky, over a sandy area.</t>
  </si>
  <si>
    <t>A man is seen kneeling over some equipment in the sand.</t>
  </si>
  <si>
    <t>More kites fly as people watch the varied styles of kite, including one kite shaped like a dog.</t>
  </si>
  <si>
    <t>v_otrk9uW9UjU</t>
  </si>
  <si>
    <t>A lady lays on a yoga mat in a carpeted room and does sit ups while talking.</t>
  </si>
  <si>
    <t>A finger enters the screen.</t>
  </si>
  <si>
    <t>The lady finishes and stops.</t>
  </si>
  <si>
    <t>v_BLmAF2wbTz8</t>
  </si>
  <si>
    <t>A bartender is shown speaking to the camera while pouring ice into a glass and various liquids into a blender.</t>
  </si>
  <si>
    <t>He pours more ice into the blender and mixes up the liquids all together.</t>
  </si>
  <si>
    <t>He pours out the liquid and places a straw into the glass while the camera pans around.</t>
  </si>
  <si>
    <t>v_ERVK6vQbor4</t>
  </si>
  <si>
    <t>A man in a gym is donning a pair of boxing gloves.</t>
  </si>
  <si>
    <t>He begins punching the bag, going around in circles as he does so.</t>
  </si>
  <si>
    <t>He continues punching, then we see a slight view of a man jumping rope.</t>
  </si>
  <si>
    <t>v_puwMWETdvL0</t>
  </si>
  <si>
    <t>We see a black opening logo.</t>
  </si>
  <si>
    <t>A man etches a pumpkin with a knife like tool.</t>
  </si>
  <si>
    <t>The man then carves a logo into the pumpkin.</t>
  </si>
  <si>
    <t>We see the pumpkin with a light inside of it.</t>
  </si>
  <si>
    <t>We then see the same logo as the open.</t>
  </si>
  <si>
    <t>v_waTjpd7yDkc</t>
  </si>
  <si>
    <t>A man and a woman wearing roller blades kneel facing each other on a basketball court.</t>
  </si>
  <si>
    <t>A dog runs by the man and woman.</t>
  </si>
  <si>
    <t>the man and woman rise together.</t>
  </si>
  <si>
    <t>The man and woman perform a paired roller blade routine.</t>
  </si>
  <si>
    <t>The man and woman finish the routine and move towards the camera.</t>
  </si>
  <si>
    <t>v_AElVyfjSHIo</t>
  </si>
  <si>
    <t>A man is seen speaking to the camera and leads into him playing on a set of drums.</t>
  </si>
  <si>
    <t>The man continues speaking to the camera with his hands and moving the sticks while looking around.</t>
  </si>
  <si>
    <t>v_drfE5oASHaU</t>
  </si>
  <si>
    <t>The host enters a gun store and dances around.</t>
  </si>
  <si>
    <t>Afterward the into plays for the show.</t>
  </si>
  <si>
    <t>He then goes on to talk for a while in the store and plays around with a gun on a few cuts.</t>
  </si>
  <si>
    <t>Afterward a outro for the segment plays with credits.</t>
  </si>
  <si>
    <t>v_NW42KGlKi_c</t>
  </si>
  <si>
    <t>A camera pans out away from a beach followed by hundreds of people rowing canoes.</t>
  </si>
  <si>
    <t>The people are seen running along the beach as well as rowing the canoes and a man sitting at a table.</t>
  </si>
  <si>
    <t>The man checks his phone and looks off into the distance and another shot of people canoeing are shown.</t>
  </si>
  <si>
    <t>v_nN1u9BVysQs</t>
  </si>
  <si>
    <t>We see the title on the black screen.</t>
  </si>
  <si>
    <t>We see instruments and the wall with the school name.</t>
  </si>
  <si>
    <t>People are shown warming up.</t>
  </si>
  <si>
    <t>We are then shown Capoeira technique.</t>
  </si>
  <si>
    <t>People are practicing Capoeira moves.</t>
  </si>
  <si>
    <t>The ladies are explaining why they chose Capoeira.</t>
  </si>
  <si>
    <t>We are shown the end card for the website.</t>
  </si>
  <si>
    <t>v_78WY5lXk42A</t>
  </si>
  <si>
    <t>A man spreads a white sheet onto a wall.</t>
  </si>
  <si>
    <t>He then presses a sheet with a photo printed onto it onto the white background.</t>
  </si>
  <si>
    <t>When he is finished, there is a photo of a yellow motorbike parked against a brick wall on a living room wall.</t>
  </si>
  <si>
    <t>v_SQiIQDKhnh0</t>
  </si>
  <si>
    <t>A man is standing in front of an armoire as he talks.</t>
  </si>
  <si>
    <t>There is a close up of the armoire, spanning up its length.</t>
  </si>
  <si>
    <t>The man touches several cracks and chips in the wood, talking about them.</t>
  </si>
  <si>
    <t>Several household items are individually shown on the screen.</t>
  </si>
  <si>
    <t>The man uses the items to scrape, clean, and cover the cracks and scratches.</t>
  </si>
  <si>
    <t>The finished product, free of cracks and scratches, is shown as the man says his final words to the camera.</t>
  </si>
  <si>
    <t>v_Q6tYENILn40</t>
  </si>
  <si>
    <t>a man is seated at a piano.</t>
  </si>
  <si>
    <t>He starts playing a tune, looking back and forth at the keys as he plays.</t>
  </si>
  <si>
    <t>He stops, turning his head and speaking.</t>
  </si>
  <si>
    <t>v_5o9iv0wC59g</t>
  </si>
  <si>
    <t>A man wearing a dark blue shirt and sporting a braid begins playing the bongos.</t>
  </si>
  <si>
    <t>He begins drumming on the bongos to a beat as he shakes his head rhythmically.</t>
  </si>
  <si>
    <t>He continues drumming on the bongos alternating between the two drums.</t>
  </si>
  <si>
    <t>He plays for some time and then stops drumming on the bongos.</t>
  </si>
  <si>
    <t>v_RG0wtfLnNrE</t>
  </si>
  <si>
    <t>A large group of people are seen sitting inside a raft and paddling themselves along a rough river.</t>
  </si>
  <si>
    <t>The camera pans all around to people sitting in the raft and continuing to move along and move under a bridge.</t>
  </si>
  <si>
    <t>v_rKnQNI9PNFI</t>
  </si>
  <si>
    <t>We see a newscaster speak.</t>
  </si>
  <si>
    <t>We see a man in a room then a fight and men in an office before more fighting in an action movie.</t>
  </si>
  <si>
    <t>We return to the newscaster as she discusses a superhero movie.</t>
  </si>
  <si>
    <t>Her screen changes to the title screen.</t>
  </si>
  <si>
    <t>v_5HEunlL4nF0</t>
  </si>
  <si>
    <t>A young woman is seen walking into frame hitting a ball around a room.</t>
  </si>
  <si>
    <t>The girl walks around the room back and fourth while holding a tennis racket and hitting a ball.</t>
  </si>
  <si>
    <t>The girl continues to hit the ball around while the camera watches.</t>
  </si>
  <si>
    <t>v_9voJIuym_f8</t>
  </si>
  <si>
    <t>There are two brown hot dog dogs standing at a gate that's at the end of a staircase.</t>
  </si>
  <si>
    <t>One of the dogs closest to the gate gets the gate open and both of the dogs go running up the stairs at a very fast pace while the camera person runs after them.</t>
  </si>
  <si>
    <t>The dogs are so fast that the camera person can't keep up with them and when they find them, the dogs are trying very hard to get into a bath tub that has water in it.</t>
  </si>
  <si>
    <t>The first dog succeeds in jumping in and starts swimming in the water, and the other dog can't get in and continues to jump and struggle until the camera person puts the dog in the tub and now both dogs are playing and swimming happily in the water.</t>
  </si>
  <si>
    <t>v_T8mTuW85NNo</t>
  </si>
  <si>
    <t>A tv news anchor reports on a story.</t>
  </si>
  <si>
    <t>A variety of people are shown watching their hands, as the report speaks on germs.</t>
  </si>
  <si>
    <t>A tv news anchor appears.</t>
  </si>
  <si>
    <t>v_V2QIntSKqhA</t>
  </si>
  <si>
    <t>People ride camels through the desert.</t>
  </si>
  <si>
    <t>A person carrying a camera or luggage walks with one of the groups.</t>
  </si>
  <si>
    <t>The first camel group begins walking back to the camera.</t>
  </si>
  <si>
    <t>v_r-GVVgxtoMk</t>
  </si>
  <si>
    <t>A group of little girls and boys are dressed like princesses and princes.</t>
  </si>
  <si>
    <t>One of the girls begins tapping a pinata with a baseball bat.</t>
  </si>
  <si>
    <t>She taps it over and over again, but doesn't break the pinata.</t>
  </si>
  <si>
    <t>v_TnYCazY5WEM</t>
  </si>
  <si>
    <t>A group is playing volleyball on a beach.</t>
  </si>
  <si>
    <t>The men volley ball back and forth over the net.</t>
  </si>
  <si>
    <t>One of the players falls on the sand.</t>
  </si>
  <si>
    <t>v_C4td7rprQGM</t>
  </si>
  <si>
    <t>A woman talks on front a hopscotch.</t>
  </si>
  <si>
    <t>Then, the woman hops n the hopscotch while talking.</t>
  </si>
  <si>
    <t>The woman turns when arrives to the end of the hopscotch and continues hopping.</t>
  </si>
  <si>
    <t>v_hXjxOvlNxQM</t>
  </si>
  <si>
    <t>A wrestler picks up another wrestler from the ground.</t>
  </si>
  <si>
    <t>The wrestler lifts him up into the air.</t>
  </si>
  <si>
    <t>Lastly, the wrestler drops him hard onto the floor.</t>
  </si>
  <si>
    <t>v_a25vC5zsf6A</t>
  </si>
  <si>
    <t>A large wheel is spinning nonstop on a stand.</t>
  </si>
  <si>
    <t>We get a close up of the truing stand, and the spokes.</t>
  </si>
  <si>
    <t>The bike wheel is then adjusted and fixed.</t>
  </si>
  <si>
    <t>v_nypZiLC1_Z8</t>
  </si>
  <si>
    <t>A close up of bicycle handlebars are shown as well as a person adjusting the handlebars.</t>
  </si>
  <si>
    <t>The camera zooms in on the bars and the person pours liquid into the side.</t>
  </si>
  <si>
    <t>The man continues working and ends by putting the handlebars back and riding away.</t>
  </si>
  <si>
    <t>v_JGRpVcxltKE</t>
  </si>
  <si>
    <t>A woman on screen talks about lemonade.</t>
  </si>
  <si>
    <t>She juices her lemons on a cutting board, with a knife and bowl.</t>
  </si>
  <si>
    <t>She strains her juice into a bigger cup.</t>
  </si>
  <si>
    <t>At an oven, she prepares simple sugar with water and sugar.</t>
  </si>
  <si>
    <t>She mixes all of her ingredients in a pitcher to make lemonade.</t>
  </si>
  <si>
    <t>She shows other lemonade recipes.</t>
  </si>
  <si>
    <t>v_cJiwi-wB1FY</t>
  </si>
  <si>
    <t>A man in a blue shirt lifts a kid onto a counter.</t>
  </si>
  <si>
    <t>The kid starts throwing darts at balloons on the wall.</t>
  </si>
  <si>
    <t>The woman behind the counter hands the boy a toy.</t>
  </si>
  <si>
    <t>v_S7ktlGGweeA</t>
  </si>
  <si>
    <t>Two women are seen speaking to one another and lead into a game of volleyball played by a large group of people.</t>
  </si>
  <si>
    <t>The people continue playing back and fourth while the audience cheers and stops to speak to one another.</t>
  </si>
  <si>
    <t>v_ZmVy3gSaKv0</t>
  </si>
  <si>
    <t>A man dives into a large pool repeatedly.</t>
  </si>
  <si>
    <t>A man sitting on the side middle takes photos while sitting.</t>
  </si>
  <si>
    <t>The sitting man stands and takes photos of the diver.</t>
  </si>
  <si>
    <t>The diver swims to the edge of the pool.</t>
  </si>
  <si>
    <t>v_fqoEZaCd7hU</t>
  </si>
  <si>
    <t>A person with no arms is seen sitting in a chair and playing the guitar with his feet.</t>
  </si>
  <si>
    <t>He continues playing while singing along and moving his feet up and down the guitar.</t>
  </si>
  <si>
    <t>v_yrvV4Ncqyf0</t>
  </si>
  <si>
    <t>A woman in a white dress walks into her house all happy only to be very disappointed when she see's the dishes in the sink.</t>
  </si>
  <si>
    <t>She changes out of her dress in to some comfortable clothing and gets in the kitchen ready to do the dishes.</t>
  </si>
  <si>
    <t>She is very childishly blowing bubbles with the soap and dancing around.</t>
  </si>
  <si>
    <t>She dries some of the dishes with a rag and put the rest in the dishwasher, once the dishes are done in the dish washer she takes them out and puts them all away.</t>
  </si>
  <si>
    <t>v_PHIZza_xVog</t>
  </si>
  <si>
    <t>A woman puts some lotion on her hand.</t>
  </si>
  <si>
    <t>She rubs the lotion onto her face.</t>
  </si>
  <si>
    <t>A cartoon demonstration is shown on the screen.</t>
  </si>
  <si>
    <t>v_WnLYDJ8Jwv8</t>
  </si>
  <si>
    <t>A girl is shown washing and scrubbing her face several times while speaking into the camera.</t>
  </si>
  <si>
    <t>She finishes by turning on the faucet and rinsing water through her face.</t>
  </si>
  <si>
    <t>v_LAkaYds-8X0</t>
  </si>
  <si>
    <t>A young man plays bowling with other man while throwing balls and pins.</t>
  </si>
  <si>
    <t>A ball exit form a container.</t>
  </si>
  <si>
    <t>A man holds a bowling ball on his hands.</t>
  </si>
  <si>
    <t>The young man goes to a room of the bowling facility, they he continues playing.</t>
  </si>
  <si>
    <t>v_w6Avae5on_0</t>
  </si>
  <si>
    <t>A child is hitting a ball over a net in a gym.</t>
  </si>
  <si>
    <t>A man stands on the other side, lobbing the ball back to him.</t>
  </si>
  <si>
    <t>They continue hitting the ball back and forth.</t>
  </si>
  <si>
    <t>v_z0vMpInrDqM</t>
  </si>
  <si>
    <t>A person is seen sitting before a camera and leads into him looking and holding up a contact lens.</t>
  </si>
  <si>
    <t>The person then holds their eye open and putting the lens in followed by looking back to the camera.</t>
  </si>
  <si>
    <t>v_-rx6D1uBsUU</t>
  </si>
  <si>
    <t>There are several workers packing many rafts in a truck to be hauled away.</t>
  </si>
  <si>
    <t>There's a fast flowing turbulent river flowing under a bridge.</t>
  </si>
  <si>
    <t>The scenic mountain view shows clouds blowing in the wind.</t>
  </si>
  <si>
    <t>There are many rafters outside a log cabin packing and getting ready for their rafting trip.</t>
  </si>
  <si>
    <t>The rafters begin their adventure in the wild and turbulent river water as they try to stay afloat.</t>
  </si>
  <si>
    <t>The river waves are so turbulent that it causes the raft to overturn and drown the rafters in the strong waves.</t>
  </si>
  <si>
    <t>The rafters try hard to stay in the raft as they fight the fierce waves of the river to stay afloat.</t>
  </si>
  <si>
    <t>The waves are so strong that it becomes hard for the rafters to in the raft.</t>
  </si>
  <si>
    <t>They are forcefully thrown out in the river as the raft overturns on them.</t>
  </si>
  <si>
    <t>One of the rafters smiles and talks about his experience as he walks back with his fellow rafters.</t>
  </si>
  <si>
    <t>v_XzbvKQ-o5Ow</t>
  </si>
  <si>
    <t>A large group of people are seen sitting around a gym when a girl runs in and performs a routine on the uneven bars.</t>
  </si>
  <si>
    <t>The girl continues swinging around and ends with her jumping off the side and waving to the audience.</t>
  </si>
  <si>
    <t>v_oYhVH1vIXFM</t>
  </si>
  <si>
    <t>This video shows you how to make spaghetti with sausage with a simple tomato sauce.</t>
  </si>
  <si>
    <t>First she puts the sausage on a baking sheet that has aluminum foil on it and she puts it in the oven.</t>
  </si>
  <si>
    <t>Next she pours tomatoes into a small blender and she blends them up.</t>
  </si>
  <si>
    <t>Then she pours crushed red peppers and garlic into the skillet and she pours the tomato sauce into it.</t>
  </si>
  <si>
    <t>Then she stirs it up and takes the sausage out to cut them into tiny pieces and she lets them cook some more.</t>
  </si>
  <si>
    <t>Finally she puts them into the skillet with the pasta and cooks everything together creating a nice meal.</t>
  </si>
  <si>
    <t>v_kGLMybXl5Kk</t>
  </si>
  <si>
    <t>A man is seen walking into frame and begins bending down in front of a set of weights.</t>
  </si>
  <si>
    <t>The man then lifts the weights up and down over his shoulders while the camera watches form behind.</t>
  </si>
  <si>
    <t>The man walks in and out of frame walking back towards the weights and another man coming into frame to lift.</t>
  </si>
  <si>
    <t>v_nEcOF04KK0g</t>
  </si>
  <si>
    <t>A man stirs shoe shine crafting materials into a jar.</t>
  </si>
  <si>
    <t>He prepares the shoe for shining.</t>
  </si>
  <si>
    <t>He explains his method of shoe shining.</t>
  </si>
  <si>
    <t>The man shines the top of a shoe and finishes by fixing the laces of the shoe.</t>
  </si>
  <si>
    <t>v_yXH7GcOduNo</t>
  </si>
  <si>
    <t>A woman is seen standing in the middle of a sand pit and begins swinging an object around.</t>
  </si>
  <si>
    <t>She spins this around herself several times then begins swinging herself around.</t>
  </si>
  <si>
    <t>She continues swinging and finishes by throwing it off into the distance.</t>
  </si>
  <si>
    <t>v_zdaD55zVNdQ</t>
  </si>
  <si>
    <t>A man throws a hammer throw in a judged sports performance, outside, on a grass covered field with a group of onlookers on the side lines.</t>
  </si>
  <si>
    <t>A man approaches a square, paved,white surface surrounded by black netting .</t>
  </si>
  <si>
    <t>The man spins in place to gain momentum and releases/throws the hammer ball.</t>
  </si>
  <si>
    <t>Two people emerge with a long tape measure to measure the distance the hammer ball was thrown.</t>
  </si>
  <si>
    <t>The athlete runs off jumping and smiling and chest bumps another player.</t>
  </si>
  <si>
    <t>v_u1ZFiwJJXSQ</t>
  </si>
  <si>
    <t>A woman stands talking on a yoga mat in a driveway area.</t>
  </si>
  <si>
    <t>The woman does an aerobic workout stepping back and forth and lifting arms on the mat.</t>
  </si>
  <si>
    <t>The woman jumps back and forth in a doing a more vigorous workout.</t>
  </si>
  <si>
    <t>v_yvTmIulkl7c</t>
  </si>
  <si>
    <t>A little girl is inside a covered porch.</t>
  </si>
  <si>
    <t>She swings a baton at a small pinata.</t>
  </si>
  <si>
    <t>She is blindfolded as she continues to swing again and again.</t>
  </si>
  <si>
    <t>v_EfQtRtIFGVo</t>
  </si>
  <si>
    <t>A woman shows off her nails followed by several clips of nails being painted by a brush.</t>
  </si>
  <si>
    <t>The brush makes several lines on the nails and shows celebrities with fashionable nails.</t>
  </si>
  <si>
    <t>The video speeds up and shows off several different designs for nail polish and examples.</t>
  </si>
  <si>
    <t>v_mt3G8TrI-uY</t>
  </si>
  <si>
    <t>A close up of a person's nails are shown followed by a person filing the nails of another.</t>
  </si>
  <si>
    <t>Several products are shown close up as well as a person's nails being painted and put under heat.</t>
  </si>
  <si>
    <t>The person continues painting the nails and puts on a gem in the end.</t>
  </si>
  <si>
    <t>v_r4oAhRg4H14</t>
  </si>
  <si>
    <t>We see shots of people playing soccer in an indoor arena.</t>
  </si>
  <si>
    <t>We see a man hop and deflect a ball from the net in slow motion.</t>
  </si>
  <si>
    <t>We see two men collide in slow motion.</t>
  </si>
  <si>
    <t>v_KoCjfxd302Q</t>
  </si>
  <si>
    <t>The little boy is at the sink brushing the pot.</t>
  </si>
  <si>
    <t>The boy lift the brush from the pot and brush the sink instead, then he put it in the pot.</t>
  </si>
  <si>
    <t>The boy brushes the lid of the pot, and an adult put plates in the pot and the boy took it out and dip the fork.</t>
  </si>
  <si>
    <t>v_xh8qQfCYDBY</t>
  </si>
  <si>
    <t>A person wearing safety gear holds a metal rod with a clamp.</t>
  </si>
  <si>
    <t>Then, the person weld on a surface.</t>
  </si>
  <si>
    <t>Smoke comes form the clamp.</t>
  </si>
  <si>
    <t>v_gc04Okw4DTs</t>
  </si>
  <si>
    <t>A painting of a cloudy sky over mountains is displayed on a canvas.</t>
  </si>
  <si>
    <t>A brush begins painting blue onto the canvas.</t>
  </si>
  <si>
    <t>A complete image is shown in brilliant colors of a beach before going back to the brush strokes in progress.</t>
  </si>
  <si>
    <t>The ocean is completed in the final scene.</t>
  </si>
  <si>
    <t>v_pleP5-tuJ_Q</t>
  </si>
  <si>
    <t>An old woman is knitting on a bed.</t>
  </si>
  <si>
    <t>A little girl is sitting on the floor knitting as well.</t>
  </si>
  <si>
    <t>She talks to the camera as she learns to knit.</t>
  </si>
  <si>
    <t>v_RnZ-icC6xbQ</t>
  </si>
  <si>
    <t>A young man is standing in an open doorway with his hands over his head palms facing towards him on a bar secured at the top of the doorway.</t>
  </si>
  <si>
    <t>The young man lifts himself up and places his feet in the gap between the bar and the top of the door frame.</t>
  </si>
  <si>
    <t>The young man lowers his body, extending himself the full length of the doorway, hands behind his head, elbows out.</t>
  </si>
  <si>
    <t>The young man does two sit ups.</t>
  </si>
  <si>
    <t>The camera shows the top of the doorway focusing on the bar and the young man's feet secured at the top of the doorway.</t>
  </si>
  <si>
    <t>The camera returns to the full view of the young man doing sit ups in the doorway.</t>
  </si>
  <si>
    <t>The young man does three more sit ups.</t>
  </si>
  <si>
    <t>v_dm5ZnhOeBBQ</t>
  </si>
  <si>
    <t>A woman is standing next to a vacuum.</t>
  </si>
  <si>
    <t>She dumps something onto the floor.</t>
  </si>
  <si>
    <t>She takes the vacuum and vacuums up the mess.</t>
  </si>
  <si>
    <t>She takes the hose off the vacuum and starts using that on the floor.</t>
  </si>
  <si>
    <t>v_CE93IieQkAg</t>
  </si>
  <si>
    <t>A man is driving a riding lawn mower.</t>
  </si>
  <si>
    <t>He starts mowing the lawn on the lawn mower.</t>
  </si>
  <si>
    <t>He raises his hand and continues mowing the lawn.</t>
  </si>
  <si>
    <t>v_0A-p1Q0rseE</t>
  </si>
  <si>
    <t>A mixologist is talking about how to make alcoholic drinks.</t>
  </si>
  <si>
    <t>She talks about the drinks she makes a lot of favorites.</t>
  </si>
  <si>
    <t>She starts with a voda soda and how to make one.</t>
  </si>
  <si>
    <t>The next drink she makes is vodka seven.</t>
  </si>
  <si>
    <t>Then she makes a screwdriver, a greyhound, and then mixed with cranberry juice.</t>
  </si>
  <si>
    <t>v_ZwIu2pPxB3Y</t>
  </si>
  <si>
    <t>A camera pans away from a set of exercise equipment and leads into a woman's feet moving along.</t>
  </si>
  <si>
    <t>The woman is then seen using the machine as well as adjusting the settings and continuing to run.</t>
  </si>
  <si>
    <t>v_JAEMwQqh51c</t>
  </si>
  <si>
    <t>A man dressed for cold weather is outside in the snow fumbling with a chain in his hands.</t>
  </si>
  <si>
    <t>The chain is then placed around a tree stump and the man picks up an ax.</t>
  </si>
  <si>
    <t>The man hits the stumps continuously until the stump is broken up into pieces and then he unchains it in the back of his truck.</t>
  </si>
  <si>
    <t>v_n0Az4cLruf4</t>
  </si>
  <si>
    <t>A man is inside a gym while speaking to the camera.</t>
  </si>
  <si>
    <t>Other men are working out behind him.</t>
  </si>
  <si>
    <t>He demonstrates via volunteer how to use a rowing machine.</t>
  </si>
  <si>
    <t>v_flneQOXwGxw</t>
  </si>
  <si>
    <t>Men are standing on a field talking.</t>
  </si>
  <si>
    <t>A man kicks another man.</t>
  </si>
  <si>
    <t>That man swings a bat at him.</t>
  </si>
  <si>
    <t>v_I5setZ8js9I</t>
  </si>
  <si>
    <t>A man is riding a surfboard in the ocean.</t>
  </si>
  <si>
    <t>He stands up on the board during a wave.</t>
  </si>
  <si>
    <t>He surfs through the wave, weaving in and out.</t>
  </si>
  <si>
    <t>v_hjaUbrqPe-w</t>
  </si>
  <si>
    <t>People are sitting in rafts going down a river.</t>
  </si>
  <si>
    <t>A man is standing on the side of a river taking a picture.</t>
  </si>
  <si>
    <t>People are getting out of the raft onto land.</t>
  </si>
  <si>
    <t>v_fjGqWAxenL0</t>
  </si>
  <si>
    <t>A person is welding a metal outside.</t>
  </si>
  <si>
    <t>The person stops welding the metal on the floor.</t>
  </si>
  <si>
    <t>The person moves the welding tool behind.</t>
  </si>
  <si>
    <t>v_vZmDiMGYCo0</t>
  </si>
  <si>
    <t>Two small kids sit in a box at the top of slide in an indoor play area.</t>
  </si>
  <si>
    <t>A little girl joins and plays on the slide.</t>
  </si>
  <si>
    <t>The girls leaves and the boys take turns going down the slide.</t>
  </si>
  <si>
    <t>The boys connect a slide to the first one and try out the new slide.</t>
  </si>
  <si>
    <t>Two kids run over and away.</t>
  </si>
  <si>
    <t>The last boy runs off and we see the slide ladder.</t>
  </si>
  <si>
    <t>v_9d8ttpHu3cc</t>
  </si>
  <si>
    <t>Two people are kayaking down a rough river.</t>
  </si>
  <si>
    <t>Now only one person can be seen going by the rocks.</t>
  </si>
  <si>
    <t>There is an edge of a porch with a pair of shoes and a pair of legs up on the edge of the porch.</t>
  </si>
  <si>
    <t>v_UciHec7xncc</t>
  </si>
  <si>
    <t>A young child is seen speaking to the camera and begins climbing across a set of monkey bars.</t>
  </si>
  <si>
    <t>She makes it to the other side smiling to the camera and then climbs down afterwards.</t>
  </si>
  <si>
    <t>v_nQM5LT1-ZRU</t>
  </si>
  <si>
    <t>We see a man in a room talking about a bike.</t>
  </si>
  <si>
    <t>We then see the man adjusting the handle bar of the bike.</t>
  </si>
  <si>
    <t>The man demonstrates how the levers sit and adjusts the brake levers.</t>
  </si>
  <si>
    <t>The man demonstrates the sitting positions and braking and screws them tight.</t>
  </si>
  <si>
    <t>The man then, and adjusts the shifter lever.</t>
  </si>
  <si>
    <t>We see a recap and the closing scene of the video.</t>
  </si>
  <si>
    <t>v_nwttSIR1qvs</t>
  </si>
  <si>
    <t>An introduction comes onto the screen for a video about how to fix a stinky sink.</t>
  </si>
  <si>
    <t>A man comes onto the screen and explain several days ago about getting the smell out of your sink.</t>
  </si>
  <si>
    <t>He first explain how you can use different chemicals and core them down the drain to get the smell out.</t>
  </si>
  <si>
    <t>Then he shows you how to remove bottom of the sink to clean it out which may help with the smell.</t>
  </si>
  <si>
    <t>The video it's with the closing credits shown on the screen.</t>
  </si>
  <si>
    <t>v_hCFCYe_Jp-k</t>
  </si>
  <si>
    <t>There's a woman in a gray shirt and black tights and very short hair performing tricks with a small stick in her backyard by the swing.</t>
  </si>
  <si>
    <t>She is juggling between two sticks in her hand and trying to catch one stick while throwing the other in the air.</t>
  </si>
  <si>
    <t>v_9AzESzqOtb0</t>
  </si>
  <si>
    <t>A man runs down a track outside.</t>
  </si>
  <si>
    <t>He is holding a long javelin.</t>
  </si>
  <si>
    <t>He pole vaults over a bar.</t>
  </si>
  <si>
    <t>He does the same thing again indoors.</t>
  </si>
  <si>
    <t>v_hY73M6hJqgU</t>
  </si>
  <si>
    <t>A person is seen beating eggs and mixing them into a bowl while separating the shells from the eggs.</t>
  </si>
  <si>
    <t>They mix the eggs around a bowl and place butter and milk into another bowl and mix them all together.</t>
  </si>
  <si>
    <t>They add several more ingredients to the mixture and show the end result of cookies sitting on a plate.</t>
  </si>
  <si>
    <t>v_4efxBizoKyQ</t>
  </si>
  <si>
    <t>A man is close up to the camera introducing the video.</t>
  </si>
  <si>
    <t>His wife is cleaning off a piece of white bedframe quickly.</t>
  </si>
  <si>
    <t>The man again shows his face and goes back to his wife.</t>
  </si>
  <si>
    <t>v_x_lN_QxbEjQ</t>
  </si>
  <si>
    <t>A black intro screen appears and it includes a lot of text in white, blue and green that include numbers and letters, and then a logo to the right side that's for QUICKSILVER and the clips will be from a surfing competition in PIHA, AUCKLAND NEW ZEALAND.</t>
  </si>
  <si>
    <t>The beach is shown and there are multiple people and tents and the people are watching and cheering on various different surfers who are surfing big and long waves.</t>
  </si>
  <si>
    <t>The outro appears and it's the same black screen with the logo and text as it was for the intro.</t>
  </si>
  <si>
    <t>v_VvbWwNDHJf4</t>
  </si>
  <si>
    <t>A woman is seen wearing roller blades and looking back to the camera.</t>
  </si>
  <si>
    <t>She attempts to ride around while another person beside her tries to help.</t>
  </si>
  <si>
    <t>Another person is seen holding sticks in the distance and walking towards the camera.</t>
  </si>
  <si>
    <t>v_tI87cD7sv-Y</t>
  </si>
  <si>
    <t>A teen talks, then he takes off a contact lens from the right eye.</t>
  </si>
  <si>
    <t>Then, teen puts the contact lens on the index finger and then puts again it in his right aye.</t>
  </si>
  <si>
    <t>After, the teen continues talking.</t>
  </si>
  <si>
    <t>v_sxZTPWMnyFY</t>
  </si>
  <si>
    <t>A person putting weights on is shown followed by a woman lifting weights on her back.</t>
  </si>
  <si>
    <t>She puts the weights down and another woman is shown lifting a heavy set of weights.</t>
  </si>
  <si>
    <t>Several more people are shown performing their lifting talents and ends with a logo of the gym shown.</t>
  </si>
  <si>
    <t>v_Ai6RYjJ97Zg</t>
  </si>
  <si>
    <t>A woman talks, then she puts slices of bread on a hot baking pan on the stove.</t>
  </si>
  <si>
    <t>Then, the woman puts cream cheese on the bread and cooks meat.</t>
  </si>
  <si>
    <t>When the meat is done, the woman puts sauerkraut and cheese on top, then cover it and make sandwiches.</t>
  </si>
  <si>
    <t>v_kVzojOj5_Zg</t>
  </si>
  <si>
    <t>A volleyball instructor is giving information about his volleyball skills in salt lake city.</t>
  </si>
  <si>
    <t>He plays with another instructor on the court.</t>
  </si>
  <si>
    <t>He just talks and talks for a while about all about it.</t>
  </si>
  <si>
    <t>You see the the volley ball net and then the coach continues to talk.</t>
  </si>
  <si>
    <t>v_OSjsVUg_wXA</t>
  </si>
  <si>
    <t>A marching band plays in a stadium while the cheerleaders perform on side.</t>
  </si>
  <si>
    <t>A team of football players gather behind the marching band.</t>
  </si>
  <si>
    <t>A cheerleader pass behind the marching band.</t>
  </si>
  <si>
    <t>The cheerleaders in the bleachers perform with pom poms.</t>
  </si>
  <si>
    <t>Then, the cheerleaders next to the band performs jumping and moving around.</t>
  </si>
  <si>
    <t>v_zGT6EplIOHY</t>
  </si>
  <si>
    <t>People kick a ball indoor between yellow cones on fake grass.</t>
  </si>
  <si>
    <t>A player kicks a ball over a guy's head.</t>
  </si>
  <si>
    <t>Players kick a ball that knocks down a yellow cone which they pick up.</t>
  </si>
  <si>
    <t>v_Tssba1kYoo4</t>
  </si>
  <si>
    <t>A person sits holding a laptop while a woman curls her hair.</t>
  </si>
  <si>
    <t>The woman takes a lock of hair and puts above the head, then she curls the hair with a curling iron.</t>
  </si>
  <si>
    <t>v_B0enQXEBfKk</t>
  </si>
  <si>
    <t>A man and a woman set up to dance before an audience.</t>
  </si>
  <si>
    <t>The man and woman dance before the audience.</t>
  </si>
  <si>
    <t>The camera shows three judges of the event standing and clapping or pointing.</t>
  </si>
  <si>
    <t>v_nhky9RGjzwc</t>
  </si>
  <si>
    <t>Two women are arm wrestling on a table.</t>
  </si>
  <si>
    <t>A woman in a referee uniform is standing behind them.</t>
  </si>
  <si>
    <t>One of the girls walks away.</t>
  </si>
  <si>
    <t>v_O36pn7cHNVc</t>
  </si>
  <si>
    <t>A group of elderly people are meeting in a park.</t>
  </si>
  <si>
    <t>They talk and do yoga together.</t>
  </si>
  <si>
    <t>They perform several yoga moves with the help of an instructor.</t>
  </si>
  <si>
    <t>They then say goodbye and go on their way.</t>
  </si>
  <si>
    <t>v_ZKo1lM6TJTY</t>
  </si>
  <si>
    <t>A gymnast holds a ball attached with a string and then spins holding the ball.</t>
  </si>
  <si>
    <t>Then, the gymnast throw the ball while spinning in the field.</t>
  </si>
  <si>
    <t>v_fsoAdigH0X4</t>
  </si>
  <si>
    <t>A man is mowing the lawn.</t>
  </si>
  <si>
    <t>He looks up and speaks to someone.</t>
  </si>
  <si>
    <t>The man continues to mow the lawn.</t>
  </si>
  <si>
    <t>v_-2dxp-mv2zo</t>
  </si>
  <si>
    <t>A female chef in white uniform shows a stack of baking pans in a large kitchen presenting them.</t>
  </si>
  <si>
    <t>The pans are filled with pastries and loaded into the oven.</t>
  </si>
  <si>
    <t>A knife is used to cut cylinder shaped dough into rounds.</t>
  </si>
  <si>
    <t>A tray of potatoes is loaded into the oven and removed.</t>
  </si>
  <si>
    <t>A large tray of cake is flipped over and placed on counter.</t>
  </si>
  <si>
    <t>A large tray of meat is prepared then it is removed from the oven by a helper when done.</t>
  </si>
  <si>
    <t>The woman chef stands behind the stack of tins and picks one up.</t>
  </si>
  <si>
    <t>v_HF_a81qOmVQ</t>
  </si>
  <si>
    <t>The man in yellow shirt is bouncing the ball on the paddle.</t>
  </si>
  <si>
    <t>The player almost hit the ball with the paddle.</t>
  </si>
  <si>
    <t>Two player as pushing each other.</t>
  </si>
  <si>
    <t>v_ZXm8ed-ZHRs</t>
  </si>
  <si>
    <t>A woman is seen speaking in the middle of a large gymnasium and leads into several different gymnasts performing one after the another on uneven bars.</t>
  </si>
  <si>
    <t>The gymnasts continue to move all around the bars and ends with one girl going over and over and everyone waving in the end.</t>
  </si>
  <si>
    <t>v_ktfxYSZjJyM</t>
  </si>
  <si>
    <t>woman is in a lake windsurfing with a red windsurf.</t>
  </si>
  <si>
    <t>other people are in the back windsurfing in the lake.</t>
  </si>
  <si>
    <t>sailboat is standing in the back of people windsurfing.</t>
  </si>
  <si>
    <t>v_pn1XDTlNMso</t>
  </si>
  <si>
    <t>Two women are seen speaking to the camera and lead into rubbing down furniture as well as showing off polish.</t>
  </si>
  <si>
    <t>The women continue speaking as they show off how the polish works as well as the scenery in the area and another woman speaking to the camera.</t>
  </si>
  <si>
    <t>v_h3uTJ7HknzA</t>
  </si>
  <si>
    <t>A person dance and flips Capoeira while a band play music.</t>
  </si>
  <si>
    <t>Then, a woman talks with the man, after the man dance in group with other people.</t>
  </si>
  <si>
    <t>After, the man dance in group and with a partner, then all say bye.</t>
  </si>
  <si>
    <t>v_hwP4uLVR-uc</t>
  </si>
  <si>
    <t>A band is on stage and a girl with a trumpet and boy beating the drums are playing.</t>
  </si>
  <si>
    <t>They have a little duet while the saxophones int he bank are paused.</t>
  </si>
  <si>
    <t>The trumpet player walks over and picks up a bell.</t>
  </si>
  <si>
    <t>Then it's just the drummer banging on the drums.</t>
  </si>
  <si>
    <t>v_QMFtjdg6d2A</t>
  </si>
  <si>
    <t>A man in a green shirt is waving a red towel.</t>
  </si>
  <si>
    <t>A brown bull knocks a person to the ground.</t>
  </si>
  <si>
    <t>People are standing on the sides watching.</t>
  </si>
  <si>
    <t>v_0MyaFtXcTKI</t>
  </si>
  <si>
    <t>A small child is seen wandering around a playground while the camera follows closely behind.</t>
  </si>
  <si>
    <t>The boy plays with several other kids on the playground and is seen climbing around the sides and going down the slide.</t>
  </si>
  <si>
    <t>More clips are shown of the kids playing with one another and laughing to the camera.</t>
  </si>
  <si>
    <t>v_sFQ343Qq4TE</t>
  </si>
  <si>
    <t>A man is seen walking away from the camera and begins an exercise routine while speaking to the camera.</t>
  </si>
  <si>
    <t>The man moves up and down a bar while swinging his arms around and walks to the camera in the end.</t>
  </si>
  <si>
    <t>v_HtZ0bvriAvQ</t>
  </si>
  <si>
    <t>A gymnast wearing a red and black uniform jumps on the horse bar.</t>
  </si>
  <si>
    <t>She comes running again and jumps on the horse bar and does a front flip.</t>
  </si>
  <si>
    <t>The the third time she jumps again on the horse bar and raises her left foot, does a front flip and gets off the bar.</t>
  </si>
  <si>
    <t>She repeats the same steps again and jumps off the horse bar.</t>
  </si>
  <si>
    <t>v_EVcn8N-YxtI</t>
  </si>
  <si>
    <t>Two people are seen performing tango moves slowly while text appears on the screen.</t>
  </si>
  <si>
    <t>The woman then does the same moves by herself while the man and woman's silhouette is shown beside them.</t>
  </si>
  <si>
    <t>Then the man performs his moves alone and leads into the couple performing again.</t>
  </si>
  <si>
    <t>v_fppEk17hs8M</t>
  </si>
  <si>
    <t>A team is on the ice, playing a game of hockey.</t>
  </si>
  <si>
    <t>They slide around, hitting the puck and trying to keep it away from their opponents.</t>
  </si>
  <si>
    <t>The goalie attemps to keep the puck from going into the goal.</t>
  </si>
  <si>
    <t>v_bqBJ1tcHCHk</t>
  </si>
  <si>
    <t>An intro leads into various pictures of horse tools and a woman speaking to the camera holding a brush.</t>
  </si>
  <si>
    <t>She then brushes the horse's mane thoroughly while still looking to the camera and speaking.</t>
  </si>
  <si>
    <t>v_mrqSaH_FIcs</t>
  </si>
  <si>
    <t>A man talks with a saleswoman who trims a plant in a pot, then the man put away the plant.</t>
  </si>
  <si>
    <t>After, the man puts a bush on front the saleswoman who trim it while the man points the plant and talks with the woman.</t>
  </si>
  <si>
    <t>v_-PbWrGLuHT8</t>
  </si>
  <si>
    <t>A person is seen riding a board along the water with a kite on top.</t>
  </si>
  <si>
    <t>More clips are shown of the person riding back and fourth on the board.</t>
  </si>
  <si>
    <t>The person continues to ride the board along the water.</t>
  </si>
  <si>
    <t>v_c8GFfLcwFrE</t>
  </si>
  <si>
    <t>A man is surfing on a large wave in the water.</t>
  </si>
  <si>
    <t>The water and the sky is red.</t>
  </si>
  <si>
    <t>Several people are surfing on the water.</t>
  </si>
  <si>
    <t>v_Bg_CMSihJl0</t>
  </si>
  <si>
    <t>A woman with glasses on is knitting.</t>
  </si>
  <si>
    <t>A girl in a black shirt is sitting down talking.</t>
  </si>
  <si>
    <t>The woman knitting talks back to the girl.</t>
  </si>
  <si>
    <t>v_2cYfV33Qw4Y</t>
  </si>
  <si>
    <t>A man talks to the camera as people begin going down a man made white water river on kayaks.</t>
  </si>
  <si>
    <t>The people get slightly stuck, then unstuck as they go down small waterfalls.</t>
  </si>
  <si>
    <t>A woman falls out, and is pulled back in by another person.</t>
  </si>
  <si>
    <t>We then see several images of people in kayaks on the rapids.</t>
  </si>
  <si>
    <t>v_6dc-fQCzOiw</t>
  </si>
  <si>
    <t>A person talks in the street, then the person skateboard on the road.</t>
  </si>
  <si>
    <t>Then, the person kicks the skateboard back.</t>
  </si>
  <si>
    <t>After the person jumps off it and the skateboard slides on the road.</t>
  </si>
  <si>
    <t>Next , the person practice skateboard dragging a foot, after the person use the grass to do tricks.</t>
  </si>
  <si>
    <t>v_K7oJNZsI1Cc</t>
  </si>
  <si>
    <t>woman is standing in a big room holding an épée and aman walks in and holds other épée and start fighting with the woman.</t>
  </si>
  <si>
    <t>kids enters in a room and run to the man and woman.</t>
  </si>
  <si>
    <t>man gives a black mask to the woman and wear it.</t>
  </si>
  <si>
    <t>v_Ocvdvqvu7I8</t>
  </si>
  <si>
    <t>A child in a stable brushing a horse hair.</t>
  </si>
  <si>
    <t>the child walks away from the horse while speaking to get a bottle of liquid then returns to brushing the horse hair.</t>
  </si>
  <si>
    <t>v_NuSM8LfLR90</t>
  </si>
  <si>
    <t>A camera zooms in on a person performing a routine on a large stage spinning a baton into the air.</t>
  </si>
  <si>
    <t>The person continues the routine and ends with a split and the audience applauding.</t>
  </si>
  <si>
    <t>v__akwfjIbsUA</t>
  </si>
  <si>
    <t>A young boy is seen standing on top of a slide and edging his way down.</t>
  </si>
  <si>
    <t>The boy rides all down the slide and the camera follows him walking around afterwards.</t>
  </si>
  <si>
    <t>v_kIjYdddY3Xk</t>
  </si>
  <si>
    <t>A boy stands at a sink in a kitchen.</t>
  </si>
  <si>
    <t>He is wiping his shoe down.</t>
  </si>
  <si>
    <t>He turns around and smiles at the camera.</t>
  </si>
  <si>
    <t>v_PV6OCwbp6nQ</t>
  </si>
  <si>
    <t>A woman is speaking to her class about jump roping.</t>
  </si>
  <si>
    <t>She puts the rope under her feet and starts demonstrating a little bit.</t>
  </si>
  <si>
    <t>She begins to jump rope going very quickly.</t>
  </si>
  <si>
    <t>She stops and continue to talk more before starting to jump again.</t>
  </si>
  <si>
    <t>v_OoyoTLkSOuY</t>
  </si>
  <si>
    <t>A woman is wearing a towel and standing next to a bath tub.</t>
  </si>
  <si>
    <t>She puts shaving cream on her leg and shaves her leg.</t>
  </si>
  <si>
    <t>v_xxvBR4zdV48</t>
  </si>
  <si>
    <t>A man in the tuxedo starts explaining black jack.</t>
  </si>
  <si>
    <t>A dealer deals cards to four players.</t>
  </si>
  <si>
    <t>Several close ups of cards are shown.</t>
  </si>
  <si>
    <t>The man in the tuxedo continues to explain the rules of blackjack.</t>
  </si>
  <si>
    <t>v_BHQasKzBDQU</t>
  </si>
  <si>
    <t>two women are standing no a table arm wrestling in the middle of stage.</t>
  </si>
  <si>
    <t>referee wearing black and white shirt is standing behind the girls.</t>
  </si>
  <si>
    <t>two hot women are arm wrestling on a table and referees are standing in front or sitting in the back.</t>
  </si>
  <si>
    <t>women are in a bar arm wrestling and a lot of people are around them watching them.</t>
  </si>
  <si>
    <t>v_EwoxOKwqUPI</t>
  </si>
  <si>
    <t>A woman plays a game of beer pong with a short man dressed as a leprechaun.</t>
  </si>
  <si>
    <t>A DJ plays spins a pair of turntables on stage for the crowd.</t>
  </si>
  <si>
    <t>The woman scores a shot and celebrates.</t>
  </si>
  <si>
    <t>The two players hug each other and raise the woman's arm in victory.</t>
  </si>
  <si>
    <t>v_fTQYGNJpSUk</t>
  </si>
  <si>
    <t>An animated new paper clipping is shown and the video consists of a bunch of letters in black block letters giving the title.</t>
  </si>
  <si>
    <t>Shortly after, a young female begins talking while and throws down a curling object.</t>
  </si>
  <si>
    <t>The young woman then walks over to a male dressed in all black and begins asking him questions about the game.</t>
  </si>
  <si>
    <t>While they are talking, a game is being played and the two watches them.</t>
  </si>
  <si>
    <t>After,the man begins teaching her various techniques used in the game and they begin to glide across the floor.</t>
  </si>
  <si>
    <t>Once they are finished,the woman comes back to the camera and begins talking about the sport.</t>
  </si>
  <si>
    <t>v_tkQK_2celDY</t>
  </si>
  <si>
    <t>A gray dog is walking outdoors, and the owner is young white male who is walking along with the dog outdoors and talking to the camera.</t>
  </si>
  <si>
    <t>A screen appears that displays two logos in the middel and the text above the logos read "BEHIND THE SCENES" and under the logo words read "PRESENTED BY:GEICO".</t>
  </si>
  <si>
    <t>A man is now dressed in protective gear and he is joined by many others who are dressed the same and clips of them playing paintball guns in an open area and on a course.</t>
  </si>
  <si>
    <t>A man is now standing on a very high platform looking down at a large group of people, and the words "COMIC-CON SAN DIEGO CA" are at the bottom right, and the man jumps onto a very large air mattress, he gets up and begins running along a very long obstacle course requiring him to do various different things and the view is from a camera that his is wearing around his neck.</t>
  </si>
  <si>
    <t>He completes the obstacle course and an outro screen appears with 3 small different video screens playing over the main screen and the top words on the screen say "PRESENTED BY GEICO".</t>
  </si>
  <si>
    <t>v_S2MHi_oC3Lg</t>
  </si>
  <si>
    <t>A girl is shown talking to the camera and showing various paints.</t>
  </si>
  <si>
    <t>She zooms in on products she owns and puts paint on a pallet.</t>
  </si>
  <si>
    <t>She dabs a brush in the paint and begins painting her nails.</t>
  </si>
  <si>
    <t>She performs several different styles on the nails and several pictures of finished nails.</t>
  </si>
  <si>
    <t>v_ik8uSCSBv1U</t>
  </si>
  <si>
    <t>A man stands on a tennis court preparing to serve the ball.</t>
  </si>
  <si>
    <t>The man hits the tennis ball across the court.</t>
  </si>
  <si>
    <t>The man turns and walks back to his basket and grabs a ball from his pocket.</t>
  </si>
  <si>
    <t>The man bounces the ball on the ground.</t>
  </si>
  <si>
    <t>v_vX0fg06e9co</t>
  </si>
  <si>
    <t>A woman is seen bending down to take a sip of water and leads into her spinning a hula hoop around herself.</t>
  </si>
  <si>
    <t>The woman continues spinning the hula hoop around while grabbing several more and performing tricks in the city center.</t>
  </si>
  <si>
    <t>v_n2sTs3k9G-U</t>
  </si>
  <si>
    <t>A man is seen hanging up a bicycle wheel and speaking to the camera.</t>
  </si>
  <si>
    <t>He begins adjusting the bike and unscrewing the settings on the back.</t>
  </si>
  <si>
    <t>He then puts on a pair of training wheels and showing how it moves.</t>
  </si>
  <si>
    <t>v_qp9OcGPufEc</t>
  </si>
  <si>
    <t>A dog is seen running around a man in the middle of an open field.</t>
  </si>
  <si>
    <t>The man performs tricks with the dog while the dog jumps on his back.</t>
  </si>
  <si>
    <t>He continues to roam around with the dog performing tricks with the dog and frisbee.</t>
  </si>
  <si>
    <t>v_4_3m_-SGzXw</t>
  </si>
  <si>
    <t>graphic about how to do digital wallpaper is shown.</t>
  </si>
  <si>
    <t>man is in a room with a digital paper machine and the machine is printing a sign.</t>
  </si>
  <si>
    <t>men are sticking the wallpaper to a white wall.</t>
  </si>
  <si>
    <t>v_gYvYh9aMohY</t>
  </si>
  <si>
    <t>A boy is jumping rope and doing tricks around in circles.</t>
  </si>
  <si>
    <t>Then, Another boy is jumping rope as well and swirling it around and he eventually throws his rope.</t>
  </si>
  <si>
    <t>There is a larger group of 5 that jump rope in sync and do a lot of cool tricks.</t>
  </si>
  <si>
    <t>Followed by a lot of videos of many different people jumping and in groups together doing it in competitions and for fun or practice.</t>
  </si>
  <si>
    <t>v_pPn5f_ked3s</t>
  </si>
  <si>
    <t>A woman clapping in the sidelines, cheering someone on.</t>
  </si>
  <si>
    <t>Coaches standing on the other side of the fence watching to rate.</t>
  </si>
  <si>
    <t>The runner runs down the turf super fast.</t>
  </si>
  <si>
    <t>He jumps at the end and lands smoothly into the sand, while one of the coaches pulls a string over.</t>
  </si>
  <si>
    <t>v_vZzl0RbIQPM</t>
  </si>
  <si>
    <t>The host greets the video and introduces her recipe.</t>
  </si>
  <si>
    <t>The ingredients list appears and the host talks about them.</t>
  </si>
  <si>
    <t>The host begins to make the drink by starting a syrup.</t>
  </si>
  <si>
    <t>Next lemons are sliced on a cutting board.</t>
  </si>
  <si>
    <t>The many lemons are juiced one by one.</t>
  </si>
  <si>
    <t>The host fills the container with ice and pours in the liquid ingredients, followed by basil and lemon slices.</t>
  </si>
  <si>
    <t>The host decorates some straws and finishes her drink.</t>
  </si>
  <si>
    <t>v_7EEpIeXhO54</t>
  </si>
  <si>
    <t>A large pool is seen followed by a person walking in and falling off a board.</t>
  </si>
  <si>
    <t>Another person is seen walking off a diving board and jumping into the water.</t>
  </si>
  <si>
    <t>Several more clips are shown of people attempting to dive in the water but failing.</t>
  </si>
  <si>
    <t>v__BWSmg81iMM</t>
  </si>
  <si>
    <t>A band wearing Scottish kilts plays bagpipes and other instruments in the front University auditorium.</t>
  </si>
  <si>
    <t>The crowd looks around and anticipates the event.</t>
  </si>
  <si>
    <t>The school sign is seen hanging above the podium.</t>
  </si>
  <si>
    <t>v_LvkqCFRC5Vk</t>
  </si>
  <si>
    <t>A man in a brown suit is talking.</t>
  </si>
  <si>
    <t>People are running around on a field playing lacrosse.</t>
  </si>
  <si>
    <t>v_KfX3APC8lp4</t>
  </si>
  <si>
    <t>A woman comes onto the screen kneeling down holding a stick.</t>
  </si>
  <si>
    <t>She begins to stretch deeper into the position while holding the stick for balance.</t>
  </si>
  <si>
    <t>She stops right before the video ends.</t>
  </si>
  <si>
    <t>v_bFPfj889BhU</t>
  </si>
  <si>
    <t>People are riding in sail boats on the water.</t>
  </si>
  <si>
    <t>People are standing on a bar on a boat.</t>
  </si>
  <si>
    <t>People take the sail down off the boat.</t>
  </si>
  <si>
    <t>v_SHzmpIt0Euw</t>
  </si>
  <si>
    <t>Man begins to rip up carpet underlay.</t>
  </si>
  <si>
    <t>He measures the slat to put between the door opening.</t>
  </si>
  <si>
    <t>Then he places materials underneath the carpet underlay.</t>
  </si>
  <si>
    <t>He puts a wooden slat in the door entrance.</t>
  </si>
  <si>
    <t>He picks the slat up.</t>
  </si>
  <si>
    <t>He cuts the slat.</t>
  </si>
  <si>
    <t>He lays the slat down again.</t>
  </si>
  <si>
    <t>He drills it into place.</t>
  </si>
  <si>
    <t>He then lays his hands on the top of the slat.</t>
  </si>
  <si>
    <t>v_9tks__Y0mqI</t>
  </si>
  <si>
    <t>A lady is feeding a baby ice cream in a car.</t>
  </si>
  <si>
    <t>The lady hands the ice cream to the lady next to her and feed the baby something else.</t>
  </si>
  <si>
    <t>The baby reaches for the food.</t>
  </si>
  <si>
    <t>The baby reaches for the food again.</t>
  </si>
  <si>
    <t>The lady wipes the babies face and stands her up.</t>
  </si>
  <si>
    <t>We see the ladies talking.</t>
  </si>
  <si>
    <t>v_YS3Q47uz3HI</t>
  </si>
  <si>
    <t>There's a lady doing a tutorial on how to make a cotton soft Ogura cake.</t>
  </si>
  <si>
    <t>She begins by mixing the ingredients in a large bowl placed on her kitchen counter.</t>
  </si>
  <si>
    <t>She adds some eggs to the flour along with vanilla essence.</t>
  </si>
  <si>
    <t>Then she uses a hand mixer to blend the ingredients together.</t>
  </si>
  <si>
    <t>She then whips up some cream and sugar to make frosting.</t>
  </si>
  <si>
    <t>She adds the frosting to the cake batter and mixes it well.</t>
  </si>
  <si>
    <t>Then she pours the mixture in a baking bowl.</t>
  </si>
  <si>
    <t>She places the bowl in a cookie sheet and places it on the oven rack.</t>
  </si>
  <si>
    <t>She bakes the cake and pulls it out when it's done.</t>
  </si>
  <si>
    <t>She also shows some other baked goodies that she has prepared.</t>
  </si>
  <si>
    <t>v_beejEQ04nkY</t>
  </si>
  <si>
    <t>A woman is seen hosting a news segment that leads into a clip of a dog jumping.</t>
  </si>
  <si>
    <t>People are shown doing tricks with their dogs and running all across a field.</t>
  </si>
  <si>
    <t>More clips are shown of people throwing frisbees and dogs following after.</t>
  </si>
  <si>
    <t>v_k-071peyck4</t>
  </si>
  <si>
    <t>Several people are outdoors, washing laundry in open basins.</t>
  </si>
  <si>
    <t>The women use a pump to bring in water into the basins.</t>
  </si>
  <si>
    <t>v_dxvKVBrNMDw</t>
  </si>
  <si>
    <t>A woman is seen speaking to the camera while holding a hula hoop and then proceeds to spin the object around her.</t>
  </si>
  <si>
    <t>She continues hula hooping over and over again and leads into pictures of people hula hooping in the end.</t>
  </si>
  <si>
    <t>v_WVJEFQpO5jg</t>
  </si>
  <si>
    <t>A man lifts a ball in the air and holds it against his neck and throws the ball far.</t>
  </si>
  <si>
    <t>The man holds the ball against his neck and twists his back and throws it.</t>
  </si>
  <si>
    <t>The man grabs the ball and takes a big step behind him and throws the ball.</t>
  </si>
  <si>
    <t>The man twists his body a few times as he holds the ball against his neck.</t>
  </si>
  <si>
    <t>The man does a 90 degree move around as he holds the ball against his neck.</t>
  </si>
  <si>
    <t>The man holds the ball against his neck as he does a full 180 degree rotation with his body.</t>
  </si>
  <si>
    <t>He pretends to hold the ball as he rotates his body into a 270 degree movement.</t>
  </si>
  <si>
    <t>v_SpwOzrXw9JU</t>
  </si>
  <si>
    <t>A man is seen speaking to the camera and leads into him holding several objects out on a table.</t>
  </si>
  <si>
    <t>The man then sharpens an object on a board and finishes by brushing off the board.</t>
  </si>
  <si>
    <t>v_YqB7UEdhKug</t>
  </si>
  <si>
    <t>A man is standing up playing a saxophone.</t>
  </si>
  <si>
    <t>A band is playing behind him.</t>
  </si>
  <si>
    <t>Blue and white words come onto the screen.</t>
  </si>
  <si>
    <t>v_CteuM2BUmHo</t>
  </si>
  <si>
    <t>We see the opening screen on gray.</t>
  </si>
  <si>
    <t>We then see a man on discs smoothing a concrete floor.</t>
  </si>
  <si>
    <t>The man removes concrete from his trowel.</t>
  </si>
  <si>
    <t>The man uses his hand to remove concrete.</t>
  </si>
  <si>
    <t>v_DDwBAbeGejE</t>
  </si>
  <si>
    <t>woman is sitting in studio giving the news.</t>
  </si>
  <si>
    <t>a person is in a yard sweeping dry leaves.</t>
  </si>
  <si>
    <t>old woman is being interviewed and is talking to the camera in a living room.</t>
  </si>
  <si>
    <t>a woman and a man are being interviewed and are talking to the camera while they are sweeping the leaves.</t>
  </si>
  <si>
    <t>old woman is agani alking and back in studio talking to the camera.</t>
  </si>
  <si>
    <t>v_pMXz0BKQOLQ</t>
  </si>
  <si>
    <t>A food attendant prepares an ice cream cone from a frozen yogurt dispenser.</t>
  </si>
  <si>
    <t>The man happily watches his ice cream being prepared.</t>
  </si>
  <si>
    <t>The man enjoys is ice cream eating it as fast as he can.</t>
  </si>
  <si>
    <t>The man rubs his head and is relieved.</t>
  </si>
  <si>
    <t>v_5iIlhXLDsf8</t>
  </si>
  <si>
    <t>A man is speaking inside a gym.</t>
  </si>
  <si>
    <t>He lies on the ground to do sit ups, talking about the mechanics of the act.</t>
  </si>
  <si>
    <t>The man demonstrates how to do sit ups over and over again.</t>
  </si>
  <si>
    <t>v_nSsll1A6Gxw</t>
  </si>
  <si>
    <t>A woman with long hair is seen sitting behind a piano and speaking to the camera.</t>
  </si>
  <si>
    <t>She places her hands around the piano and begins playing a song.</t>
  </si>
  <si>
    <t>She continues playing the instrument and pauses to speak to the camera a bit.</t>
  </si>
  <si>
    <t>She plays some more and ends with her still speaking to the camera.</t>
  </si>
  <si>
    <t>v_c8ntlBKuVmc</t>
  </si>
  <si>
    <t>A bench is shown in a backyard in front of bushes.</t>
  </si>
  <si>
    <t>A man is using a ladder to trim the hedges.</t>
  </si>
  <si>
    <t>He moves the bench, and walks around with the ladder, continuing to trim hedges.</t>
  </si>
  <si>
    <t>v_0Qed9-9yp9Q</t>
  </si>
  <si>
    <t>A man is seen hopping over bars as well as throwing an object in different locations.</t>
  </si>
  <si>
    <t>The men is then seen lifting weights as well as throwing the object around more and walking away from the camera.</t>
  </si>
  <si>
    <t>He continues practicing by throwing the object around and the camera following his movements.</t>
  </si>
  <si>
    <t>v_aZQWCEejbk8</t>
  </si>
  <si>
    <t>A girl walks up to a slide, sits down, then goes down the slide.</t>
  </si>
  <si>
    <t>She walks back to do it again.</t>
  </si>
  <si>
    <t>v_K1EW6wZDnOs</t>
  </si>
  <si>
    <t>A small horse is outside in a field being held by a rope that is attached to a belt wrapped around the horse's neck.</t>
  </si>
  <si>
    <t>The person with the rope in his hand has a torch like item in his right hand but it appears to only have air in it and begins moving it back and forth across the horses face and mouth.</t>
  </si>
  <si>
    <t>However,the horse doesn't seem to please and begins moving his lip trying to avoid the treatment.</t>
  </si>
  <si>
    <t>v_l9jSJaV0DA0</t>
  </si>
  <si>
    <t>A boy demonstrates how to ride a skateboard in the street through example.</t>
  </si>
  <si>
    <t>A boy stands, outdoors, holding a skateboard in his arms and then puts the board down and begins to step on it.</t>
  </si>
  <si>
    <t>The boy then stands on the board rocking back and forth on it.</t>
  </si>
  <si>
    <t>The boy then exhibits upper body twists while standing on the skateboard and eventually pushes off and rides into the street on the skateboard.</t>
  </si>
  <si>
    <t>The boy then returns to the curbside and puts one foot on the board and the other on the ground as he stands still.</t>
  </si>
  <si>
    <t>v_BIy2GQjWUsA</t>
  </si>
  <si>
    <t>We see a rubber glove on the floor.</t>
  </si>
  <si>
    <t>A person cuts the glove in half and puts a hole in the end.</t>
  </si>
  <si>
    <t>The person puts the glove on a dog with it's claw sticking through the hole.</t>
  </si>
  <si>
    <t>A person shows a clipping tool.</t>
  </si>
  <si>
    <t>The person then sands the dogs claw with an electric sander.</t>
  </si>
  <si>
    <t>v_yUSo_xjyGhM</t>
  </si>
  <si>
    <t>Two young boys are at a sink.</t>
  </si>
  <si>
    <t>One of the boys has no hands.</t>
  </si>
  <si>
    <t>He is washing the dishes.</t>
  </si>
  <si>
    <t>The other boy helps him clean.</t>
  </si>
  <si>
    <t>v_4qstg-tiRvQ</t>
  </si>
  <si>
    <t>Cheerleaders stand in a gym in the group.</t>
  </si>
  <si>
    <t>the girls then perform a routine.</t>
  </si>
  <si>
    <t>The girls break into three groups and the two on the sides kneel while the middle group squats.</t>
  </si>
  <si>
    <t>They kneel and throw their hands in the air at the finish.</t>
  </si>
  <si>
    <t>v_FsXl6whrCWk</t>
  </si>
  <si>
    <t>A woman in a black shirt is sitting on a bench.</t>
  </si>
  <si>
    <t>A man sits behind a desk.</t>
  </si>
  <si>
    <t>Two people are sitting on a bean bag chair.</t>
  </si>
  <si>
    <t>A man is drinking from a mug.</t>
  </si>
  <si>
    <t>v_DfiPwDSjjHE</t>
  </si>
  <si>
    <t>A woman in a pink shirt is talking.</t>
  </si>
  <si>
    <t>She picks up a clear box and opens it.</t>
  </si>
  <si>
    <t>She closes the box and puts it away.</t>
  </si>
  <si>
    <t>She picks up a large stuffed animal.</t>
  </si>
  <si>
    <t>She then picks up a small red bag.</t>
  </si>
  <si>
    <t>She picks up some different fabrics and ribbons.</t>
  </si>
  <si>
    <t>v_j4YrzUjxAp8</t>
  </si>
  <si>
    <t>Vacuum parts are displayed on the floor.</t>
  </si>
  <si>
    <t>A person vacuums the carpet.</t>
  </si>
  <si>
    <t>A person wets and vacuums the carpet.</t>
  </si>
  <si>
    <t>A person vacuums or soaks up coffee from the carpet.</t>
  </si>
  <si>
    <t>A person scrubs and dries a tiled floor with a vacuum.</t>
  </si>
  <si>
    <t>A person empties the contents of the vacuum in a white sink.</t>
  </si>
  <si>
    <t>Ways a vacuum can be used are showed in split screens.</t>
  </si>
  <si>
    <t>v_5MJmwr1cmnU</t>
  </si>
  <si>
    <t>A large wave is seen moving on the water followed by several people carrying surf boards and surfing along the water.</t>
  </si>
  <si>
    <t>The people continue riding along the water on surf boards and walking around on the beach.</t>
  </si>
  <si>
    <t>v_hXrNCak63u0</t>
  </si>
  <si>
    <t>A robot is sitting behind a piano in a room.</t>
  </si>
  <si>
    <t>Its hands are lighting up no the piano keys.</t>
  </si>
  <si>
    <t>v_2DvMNOas7jY</t>
  </si>
  <si>
    <t>A person is seen riding down a long street on a skateboard while the camera follows from behind.</t>
  </si>
  <si>
    <t>The person continues riding down the hill with the camera capturing scenery and cars as well as placing his hand on the boarder in front of him.</t>
  </si>
  <si>
    <t>In the end he passes by the boarder and makes a stop by the car.</t>
  </si>
  <si>
    <t>v_J959vSGFedM</t>
  </si>
  <si>
    <t>A man is lying on his back on a tile floor.</t>
  </si>
  <si>
    <t>He is trying to do sit ups, slowing down and grimacing as the effort becomes more difficult with each one.</t>
  </si>
  <si>
    <t>He stops, lying back and laughing.</t>
  </si>
  <si>
    <t>v_g-l5CI29DPQ</t>
  </si>
  <si>
    <t>A girl is playing hopscotch on a back porch.</t>
  </si>
  <si>
    <t>A person is sitting down on a picnic table watching them.</t>
  </si>
  <si>
    <t>The other person gets up and starts playing.</t>
  </si>
  <si>
    <t>v_bQa8S4Z-1cE</t>
  </si>
  <si>
    <t>A person is seen pulling items out of a box and present them to the camera.</t>
  </si>
  <si>
    <t>The man then rubs down a shoe with a rag and presents more items to the camera as it pans around.</t>
  </si>
  <si>
    <t>v_Wgr9YpWni30</t>
  </si>
  <si>
    <t>A person is seen tying their shoes and leads into several shots of people jumping and moving around on rope.</t>
  </si>
  <si>
    <t>Several shots of landscapes are shown as well as more people attempting jumps and tricks on a long rope tied to trees.</t>
  </si>
  <si>
    <t>v_nsdB1r31-70</t>
  </si>
  <si>
    <t>A woman and a little a boy are swinging on a tire swing.</t>
  </si>
  <si>
    <t>A person pushing a stroller is behind them.</t>
  </si>
  <si>
    <t>The boy turns away from the camera.</t>
  </si>
  <si>
    <t>v_xYW64moSLKg</t>
  </si>
  <si>
    <t>A woman is under water and she gracefully come up from underneath.</t>
  </si>
  <si>
    <t>She later is swimming with tom and jerry very pretty and oddly.</t>
  </si>
  <si>
    <t>Then a she is hanging from a hoop up above and jumps down into the water.</t>
  </si>
  <si>
    <t>She does a lot of different shows involving her dancing and swimming around in the water.</t>
  </si>
  <si>
    <t>v_Xueo66Jb8T4</t>
  </si>
  <si>
    <t>A white screen appears with a black brand name that say's "THE SHINGLE HOG" and it has a picture of a hog in the o of the word HOG.</t>
  </si>
  <si>
    <t>A quick picture of a red and black tool is shown, then a man is talking and clips of people removing shingles play in between moments shown when the man talks.</t>
  </si>
  <si>
    <t>The tool is now shown on its own and the brand and logo is displayed on the screen to the upper right.</t>
  </si>
  <si>
    <t>Now there are clips of people on the roof using the tool to remove shingles and once again the man appears talking in between clips.</t>
  </si>
  <si>
    <t>A black screen appears and it has a list with a lot of white words on it and the title is "Shingle Hog Savings".</t>
  </si>
  <si>
    <t>The man talking and the clips of the man using the shingle machine play until a white outro screen appears that include the brand name, logo, product info and website.</t>
  </si>
  <si>
    <t>v_WVM8itzRVjs</t>
  </si>
  <si>
    <t>Four men in sports uniforms are shown along with information about AIB.</t>
  </si>
  <si>
    <t>The first man introduces himself.</t>
  </si>
  <si>
    <t>The second man introduces himself.</t>
  </si>
  <si>
    <t>the third man introduces himself.</t>
  </si>
  <si>
    <t>Finally, the fourth man introduces himself.</t>
  </si>
  <si>
    <t>The first man is then shown practicing by trying to hit targets on the wall.</t>
  </si>
  <si>
    <t>The second man to introduce himself takes a turn trying to hit the targets on the wall.</t>
  </si>
  <si>
    <t>The man wearing white shorts then tries the practice wall out.</t>
  </si>
  <si>
    <t>And finally the man with red hair gives it a try.</t>
  </si>
  <si>
    <t>The first man to practice gives a comment on his performance.</t>
  </si>
  <si>
    <t>The last man to practice with red hair talks.</t>
  </si>
  <si>
    <t>Info about the AIB and the upcoming game are shown.</t>
  </si>
  <si>
    <t>v_MjHlAvy2qVY</t>
  </si>
  <si>
    <t>A large group of people are seen sitting on a beach with several putting sunscreen all over their bodies.</t>
  </si>
  <si>
    <t>Shots of scientists are shown making the sun screen while interacting with one another and speaking to the camera.</t>
  </si>
  <si>
    <t>Finally a man is seen packing up a fish in a shop.</t>
  </si>
  <si>
    <t>v_1fyxOUEihAQ</t>
  </si>
  <si>
    <t>kid is holding a blower and is blowing leaves from the street.</t>
  </si>
  <si>
    <t>the kid walks in a sidewalk and cleans the dry leaves with the blower and a man help him.</t>
  </si>
  <si>
    <t>old man is holding a rake raking the dry leaves.</t>
  </si>
  <si>
    <t>v_pc_QYeZG9GA</t>
  </si>
  <si>
    <t>a little boy is in a messy living room.</t>
  </si>
  <si>
    <t>He is using an electric toothbrush.</t>
  </si>
  <si>
    <t>He scrubs his teeth with the toothbrush while he smiles.</t>
  </si>
  <si>
    <t>v_pcFn1KBwn6Y</t>
  </si>
  <si>
    <t>A man in a light blue shirt breaks the pool balls to start the game.</t>
  </si>
  <si>
    <t>He walks around the table looking for a good spot to hit.</t>
  </si>
  <si>
    <t>Then he moves around the table again and makes it in again.</t>
  </si>
  <si>
    <t>He finally hits the black ball in and ends the game.</t>
  </si>
  <si>
    <t>v_9uitA8tmSfE</t>
  </si>
  <si>
    <t>A woman jumps into a pool.</t>
  </si>
  <si>
    <t>A woman is holding a large camera laughing.</t>
  </si>
  <si>
    <t>Several more women dive off diving boards into the water.</t>
  </si>
  <si>
    <t>v_Sw4QZTF7sOI</t>
  </si>
  <si>
    <t>A chef speaks to the camera.</t>
  </si>
  <si>
    <t>She moves on to cut a lot of mushrooms.</t>
  </si>
  <si>
    <t>She moves around the mushrooms she just cut up.</t>
  </si>
  <si>
    <t>v_rNQbSptv1cM</t>
  </si>
  <si>
    <t>We see the starting title card.</t>
  </si>
  <si>
    <t>A cheerleader jumps and a boy walks up and talks.</t>
  </si>
  <si>
    <t>We see the girl perform cheerleader jumps and arm maneuvers.</t>
  </si>
  <si>
    <t>We see her feet up close.</t>
  </si>
  <si>
    <t>The girl stretches by bending to the ground, and sits on the ground stretching.</t>
  </si>
  <si>
    <t>v_ICzctKJ6nqc</t>
  </si>
  <si>
    <t>The young woman with long blonde hair is showing her wrist that has a few scars from a surgery.</t>
  </si>
  <si>
    <t>Then she takes a neon green colored hula hoop and spins it around her body.</t>
  </si>
  <si>
    <t>She demonstrates how to effectively use the hula hoop by holding the hoop up towards her chest.</t>
  </si>
  <si>
    <t>Then she begins spinning with the hoop on her chest.</t>
  </si>
  <si>
    <t>She shows how to spin the hoop and rotate the hoop around her body without dropping it down.</t>
  </si>
  <si>
    <t>She continues showing how to properly rotate and spin the the hoop with her hands lowered next to her body.</t>
  </si>
  <si>
    <t>Then she stops and twirls the hoop in her hand.</t>
  </si>
  <si>
    <t>v_-vPshfXc1fc</t>
  </si>
  <si>
    <t>A man is welding a circular metal piece.</t>
  </si>
  <si>
    <t>A green light appears out of no where.</t>
  </si>
  <si>
    <t>The man continues welding the circular metal piece.</t>
  </si>
  <si>
    <t>v_a2Xwx37YbhE</t>
  </si>
  <si>
    <t>A black and white dog is at a dog park and the owner is bending down and moving in front of the dog as it watches him.</t>
  </si>
  <si>
    <t>The owner then walks more into the grass holding onto frisbees and is not only joined by the black and white dog but another dog that is brown and white.</t>
  </si>
  <si>
    <t>The man begins to throw the frisbees in the air and the dogs take turn catching them and doing tricks to get them that even include jumping on the man's back.</t>
  </si>
  <si>
    <t>v_Paj9y9YMSg0</t>
  </si>
  <si>
    <t>People are riding horses in a field.</t>
  </si>
  <si>
    <t>They are playing polo on horses.</t>
  </si>
  <si>
    <t>A person standing on the sidelines waves a white flag.</t>
  </si>
  <si>
    <t>v_j59UZGZtuNg</t>
  </si>
  <si>
    <t>Two girls walk up to a pool, ready to dive.</t>
  </si>
  <si>
    <t>One of them raises her arms into the air, then dives into the water before surfacing.</t>
  </si>
  <si>
    <t>v_SWbUJh4XuMQ</t>
  </si>
  <si>
    <t>A welding tool is applied to a surface.</t>
  </si>
  <si>
    <t>A guy that is holding a welding tool is wearing a helmet.</t>
  </si>
  <si>
    <t>Two gloved hands are using a welding gun and stick on an object.</t>
  </si>
  <si>
    <t>v_8d8juWOKb0c</t>
  </si>
  <si>
    <t>A man is dressed in dark medieval armor.</t>
  </si>
  <si>
    <t>Several instances of men dressed in different kinds of armor and holding various shields are showing jousting against one another.</t>
  </si>
  <si>
    <t>Ultimately, the man with the round shield is defeated when he tumbles to the ground and stabbed in the back.</t>
  </si>
  <si>
    <t>The winner now jousts against a man carrying a blue diamond shaped shield.</t>
  </si>
  <si>
    <t>They joust several times but the man with the blue shield is defeated when he is hit in the head and chest and falls on his back onto the other warrior's knees.</t>
  </si>
  <si>
    <t>A close up of the surviving warrior is shown, clearly satisfied with his victories.</t>
  </si>
  <si>
    <t>v_7DY1vm9RiIk</t>
  </si>
  <si>
    <t>The video begins with a title sequence and logo.</t>
  </si>
  <si>
    <t>Several clips begin playing of volleyball fields with spectators.</t>
  </si>
  <si>
    <t>The first clip shows the players celebrating.</t>
  </si>
  <si>
    <t>The video moves on to members of a band.</t>
  </si>
  <si>
    <t>It then continues to show clips of men playing volleyball.</t>
  </si>
  <si>
    <t>The video ends with a closeup of the audience and a title sequence.</t>
  </si>
  <si>
    <t>v_gRqvh21b8Hw</t>
  </si>
  <si>
    <t>People begin to dive into an empty pool and you see them underneath the water.</t>
  </si>
  <si>
    <t>Then, above from the dive board two swimmers are standing by and one of them dives in.</t>
  </si>
  <si>
    <t>A group of kids holding the camera film themselves diving in and doing cool tricks and flips into the pool.</t>
  </si>
  <si>
    <t>From very high above they record their view from the top to the water and the swim once they're in.</t>
  </si>
  <si>
    <t>v_ZbAfEWdGBzQ</t>
  </si>
  <si>
    <t>Two wrestling women are fighting in a ring.</t>
  </si>
  <si>
    <t>They do a suplex, and the referee counts to three as the dark haired woman wins.</t>
  </si>
  <si>
    <t>v_UOswYEzeJ-M</t>
  </si>
  <si>
    <t>A group of boys are playing ball on a court.</t>
  </si>
  <si>
    <t>They are being guided by their coach.</t>
  </si>
  <si>
    <t>They run with the balls, trying to make baskets.</t>
  </si>
  <si>
    <t>v_Pf8eE_zup_k</t>
  </si>
  <si>
    <t>A hand fills a cup with water.</t>
  </si>
  <si>
    <t>A woman puts two glasses on the counter.</t>
  </si>
  <si>
    <t>The woman puts beer and orange juice in a big glass, then she pours liquor in the small glass.</t>
  </si>
  <si>
    <t>After, the woman puts the small glass inside the big glass.</t>
  </si>
  <si>
    <t>v_M4DcibAnW_E</t>
  </si>
  <si>
    <t>A large wave is shown followed by a person standing up on a surf board.</t>
  </si>
  <si>
    <t>The person is shown surfing all along the water while the camera films from behind.</t>
  </si>
  <si>
    <t>The man continues surfing and paddles himself towards a boat.</t>
  </si>
  <si>
    <t>v_32-Bxdbf3mQ</t>
  </si>
  <si>
    <t>A man in a red shirt drives an orange tractor around the lawn.</t>
  </si>
  <si>
    <t>A dog runs around the yard.</t>
  </si>
  <si>
    <t>A woman drives the orange tractor.</t>
  </si>
  <si>
    <t>v_UiK3kYsvvQ8</t>
  </si>
  <si>
    <t>Two women are seen walking on stage and lead into them performing a belly dancing routine.</t>
  </si>
  <si>
    <t>The women dance all around the stage while lights flash around them.</t>
  </si>
  <si>
    <t>The women continue to dance around one another and end by laughing with one another.</t>
  </si>
  <si>
    <t>v_DJNmAoSQu6k</t>
  </si>
  <si>
    <t>A news woman is talking to a camera.</t>
  </si>
  <si>
    <t>She has a conversation with a man who is also a newscaster.</t>
  </si>
  <si>
    <t>Images of hand molds are shown in the background.</t>
  </si>
  <si>
    <t>v_cp4n_xpbBDs</t>
  </si>
  <si>
    <t>A black screen appears and the white words on it read "Rob Lane is the MillionaireMaintenance Man".</t>
  </si>
  <si>
    <t>A man wearing glasses appears outdoors in front of a fence and he's holding an air brush machine and talking.</t>
  </si>
  <si>
    <t>The man then turns around and walks to the fence and begins airbrushing onto it.</t>
  </si>
  <si>
    <t>The man stops airbrushing and starts talking again while hand motioning to the fence and to this airbrush machine.</t>
  </si>
  <si>
    <t>v_6YtaXJJKUKM</t>
  </si>
  <si>
    <t>A woman is seen speaking to the camera while a small fooseball table sits before her.</t>
  </si>
  <si>
    <t>The woman continues speaking as she spins around the game occasionally and leads into her playing with another girl.</t>
  </si>
  <si>
    <t>v_ARkMGkD2RDs</t>
  </si>
  <si>
    <t>A dumbell appears on screen with the words "Catalyst Athletics" overlaid.</t>
  </si>
  <si>
    <t>A man lifts weights over his head in a gym.</t>
  </si>
  <si>
    <t>A woman then lifts weights over her head.</t>
  </si>
  <si>
    <t>A "Catalyst Athletics" logo appears with social media links.</t>
  </si>
  <si>
    <t>v_jsfPXYQuikQ</t>
  </si>
  <si>
    <t>A boy is balanced on the end of a diving board.</t>
  </si>
  <si>
    <t>He dives, flipping backwards as he goes.</t>
  </si>
  <si>
    <t>He lands gracefully in the water.</t>
  </si>
  <si>
    <t>v_Z7BPvGPizYE</t>
  </si>
  <si>
    <t>A man uses a course brush and hand towel to prepare the ski to be worked on while it sits on a rack.</t>
  </si>
  <si>
    <t>The man melts a wax bar across the ski surface with an iron then uses it to blend in the wax.</t>
  </si>
  <si>
    <t>A man sharpens a flat edge then scrapes the outer layer of wax from the skis surface.</t>
  </si>
  <si>
    <t>The man uses a course brush then a towel to finish preparing the skis surface.</t>
  </si>
  <si>
    <t>v_74HRnmwIhfM</t>
  </si>
  <si>
    <t>A plate of creamy cabonara is shown and the ingredients appear in small clear dishes.</t>
  </si>
  <si>
    <t>Salt is then added to a pan and the spaghetti begins to boil.</t>
  </si>
  <si>
    <t>A bit of oil is then placed in a skillet and Canadian bacon and onions are being fried.</t>
  </si>
  <si>
    <t>Next,more ingredients are added with pasta and egg yolks.</t>
  </si>
  <si>
    <t>Finally,the sauce is done and all of the ingredients are compiled and cheese is added to the dish as it is positioned on the plate.</t>
  </si>
  <si>
    <t>After,more entrees are shown and the screen ends on the url of Ulampinoy's website.</t>
  </si>
  <si>
    <t>v_3PiN6rDgg_E</t>
  </si>
  <si>
    <t>A woman demonstrates how to use one container of powdered pigment to make many different hair, nail, and face makeup products.</t>
  </si>
  <si>
    <t>A woman talks to the camera in front of a counter filled with makeup.</t>
  </si>
  <si>
    <t>The camera shows different makeup pieces with accompanying descriptions cards in between cutting back to the woman talking.</t>
  </si>
  <si>
    <t>The woman begins to apply some of the makeup to her face, including lips and to her nails via nail polish.</t>
  </si>
  <si>
    <t>The woman uses some of the makeup to make hair streaks in another persons hair.</t>
  </si>
  <si>
    <t>The woman then uses the containers of powdered makeup to make foundation and eye shadow before smiling and displaying the entire line of colors and displaying a marketing graphic.</t>
  </si>
  <si>
    <t>v_Bs3OMhhUlY4</t>
  </si>
  <si>
    <t>A small group of boys are seen standing on the edge of a pool and grab one another by the sides.</t>
  </si>
  <si>
    <t>The boys then all jump into the pool together at once with some looking at the camera.</t>
  </si>
  <si>
    <t>v_GLsIq3P-J3A</t>
  </si>
  <si>
    <t>A man is seen speaking to the camera while the camera pans out to a card table and the man dealing cards.</t>
  </si>
  <si>
    <t>The man lays out several cards while flipping over more and pointing to objects laid out on the table.</t>
  </si>
  <si>
    <t>v_1ATBCBUgflA</t>
  </si>
  <si>
    <t>Various ingredients are laid out on a table and leads into a person pouring the ingredients into a bowl.</t>
  </si>
  <si>
    <t>The person stirs thoroughly and then wipes down a table with a cloth.</t>
  </si>
  <si>
    <t>v_PG-AK5fawJI</t>
  </si>
  <si>
    <t>A TV presenter and an actress are putting googles to play rock, paper and scissors pie on front a pie with white cream.</t>
  </si>
  <si>
    <t>After playing a while, the woman turn a handle that raise the pie that lands on the face of the actress.</t>
  </si>
  <si>
    <t>Then, the pie lands for the second time on the face of the actress, as well on the face of the TV presenter.</t>
  </si>
  <si>
    <t>The TV presenter stands holding ducks on both hands, then he pretends eats the duck on the right hand.</t>
  </si>
  <si>
    <t>v_LqBp5qgcwLY</t>
  </si>
  <si>
    <t>Several shots of a city are shown as well as people walking around and speaking to one another.</t>
  </si>
  <si>
    <t>People are then seen paving along walls as well as handing out pamphlets and speaking to one another.</t>
  </si>
  <si>
    <t>The people touch the materials on the walls and ends by speaking to the camera.</t>
  </si>
  <si>
    <t>v_r34VM4v0ShI</t>
  </si>
  <si>
    <t>Some supplies needed to shine shoes are shown.</t>
  </si>
  <si>
    <t>An older man shines a shoe and talks about how he shines shoes and how he learned to shine shoes as a child.</t>
  </si>
  <si>
    <t>The same man is shown shining another mans shoes.</t>
  </si>
  <si>
    <t>The same man shines shoes in a shop while other people sit or walk around.</t>
  </si>
  <si>
    <t>An old black and white photo is shown of a barber shop.</t>
  </si>
  <si>
    <t>The older man shines another shoe and talks about shining shoes.</t>
  </si>
  <si>
    <t>A different man is seen in the background walking away.</t>
  </si>
  <si>
    <t>v_nTNkGOtp7aQ</t>
  </si>
  <si>
    <t>man is standing in a trampoline and make a vig somersault into the pool.</t>
  </si>
  <si>
    <t>two men are sitting in the first floor of the trampoline watching the jump.</t>
  </si>
  <si>
    <t>man get outs the pool, grab a towel and dry his face.</t>
  </si>
  <si>
    <t>people are walking around the pool carrying bags.</t>
  </si>
  <si>
    <t>v_zc-RT9tpoBA</t>
  </si>
  <si>
    <t>A man is sitting inside a room.</t>
  </si>
  <si>
    <t>He is talking to the camera animatedly.</t>
  </si>
  <si>
    <t>He is talking about and demonstrating how to play a harmonica.</t>
  </si>
  <si>
    <t>v_WXQol1TisqE</t>
  </si>
  <si>
    <t>Several walking or horseriding individuals walk by the foreground while the camera focuses on a group of people in the background.</t>
  </si>
  <si>
    <t>A gate opens and a horseriding man chases a cow.</t>
  </si>
  <si>
    <t>The man lassos and secures the cow.</t>
  </si>
  <si>
    <t>Others run up to help with the cow.</t>
  </si>
  <si>
    <t>v_Zq9jr2S5wGM</t>
  </si>
  <si>
    <t>A woman in white and gray shirt is talking, then a glass and pitcher of lemonade with straw is shown.</t>
  </si>
  <si>
    <t>Two lemons is in small bowl, then the blonde woman talks in the camera, a hand cut the lemon, squeeze the lemon in the bowl, pour the lemon in the pitcher using a strainer.</t>
  </si>
  <si>
    <t>The woman talks then the pot is placed in the stove, added water, then added the sugar, added the zest of lemon and mixed the pot, the woman added yellow liquid in the pitcher, added the ice and sliced lemons and pour the juice in the glass.</t>
  </si>
  <si>
    <t>v_dXSlCw8AXv0</t>
  </si>
  <si>
    <t>A person is seen riding along the water on a surfboard as well as others speaking to one another.</t>
  </si>
  <si>
    <t>A man is seen speaking to the camera as well as more clips of people riding on the water.</t>
  </si>
  <si>
    <t>More people speak to one another as well as into the camera and end by riding away on the boards.</t>
  </si>
  <si>
    <t>v_-DaX_1bBNAo</t>
  </si>
  <si>
    <t>A woman wearing a bra is standing in a room.</t>
  </si>
  <si>
    <t>She throws a dart across the room.</t>
  </si>
  <si>
    <t>A man with a hat stands next to her.</t>
  </si>
  <si>
    <t>v_cgfJnog1WLE</t>
  </si>
  <si>
    <t>A young lady with broad shoulders and pig tails approaches a stage in prepares her mind.</t>
  </si>
  <si>
    <t>The lady cracks her knuckles and then bends down and tries to lift the weights.</t>
  </si>
  <si>
    <t>Too much weight is on the bar and the girls ends up twisting her arm in a circle,drops the bar and cries out in agony.</t>
  </si>
  <si>
    <t>Another girl then walks up and lifts the bar half way,realizes shes incapable and drops it.</t>
  </si>
  <si>
    <t>After she walks off she brushes her self off and attempts again and raises it over her head,drops it, and walks away congratulating herself.</t>
  </si>
  <si>
    <t>A screen of scores are then shown and a different girl attempts the weight.</t>
  </si>
  <si>
    <t>The second young lady comes back and does the same thing as well as the female who came after her.</t>
  </si>
  <si>
    <t>The girl comes back but realizes the weight is too heavy and gives up lifting it.</t>
  </si>
  <si>
    <t>However,the original girl comes back and continues to lift more and more weight with ease until the last time,she then bows and they walk up to an Olympic stage and receive their metal.</t>
  </si>
  <si>
    <t>v_LZ-Cy0GqCiU</t>
  </si>
  <si>
    <t>A photo is zoomed in on of a man being gored by a bull.</t>
  </si>
  <si>
    <t>A bull charges a man and knocks him around until people come out and distract him.</t>
  </si>
  <si>
    <t>It cuts to the man again being charged by the bull.</t>
  </si>
  <si>
    <t>He gets knocked around again until people come out to distract the bull.</t>
  </si>
  <si>
    <t>He is carried off out of the ring.</t>
  </si>
  <si>
    <t>Once again the bull charges the man and knocks him down.</t>
  </si>
  <si>
    <t>People come out and distract the bull.</t>
  </si>
  <si>
    <t>He is carried out for a last time.</t>
  </si>
  <si>
    <t>v_l_cjSGt5j40</t>
  </si>
  <si>
    <t>An older man is seen sitting on a log in a public space in front of a piano.</t>
  </si>
  <si>
    <t>The man then plays the piano while the camera captures him playing.</t>
  </si>
  <si>
    <t>The man sings to the camera while continuing to play and the camera moving around his movements.</t>
  </si>
  <si>
    <t>v_Mh-qSztuLtE</t>
  </si>
  <si>
    <t>A huge crowd is gathered outside.</t>
  </si>
  <si>
    <t>They are all performing an exercise dance known as zumba.</t>
  </si>
  <si>
    <t>v_LZ4dINjqX5U</t>
  </si>
  <si>
    <t>An athletic man is seen standing with his arms a up and begins performing a gymnastics routine.</t>
  </si>
  <si>
    <t>He spins himself round and round on the bar performing several flips and tricks and ends with him sticking his arms up into the air.</t>
  </si>
  <si>
    <t>v_Xd_xJnlUHm0</t>
  </si>
  <si>
    <t>A young boy is talking to the camera in his bedroom.</t>
  </si>
  <si>
    <t>He removes things from drawers, like lip gloss and puts it on for the camera.</t>
  </si>
  <si>
    <t>He applies messy makeup and poses for the camera.</t>
  </si>
  <si>
    <t>v_I5YCAQXHoFw</t>
  </si>
  <si>
    <t>A camera pans all around a beach showing water crashing on the waves.</t>
  </si>
  <si>
    <t>A person is then seen wearing gloves and painting down an arm chair.</t>
  </si>
  <si>
    <t>The person continues painting down the chair and showing it off in the end.</t>
  </si>
  <si>
    <t>v_jcX2QAiqP9U</t>
  </si>
  <si>
    <t>Kids are shown in side of a gym playing indoor soccer.</t>
  </si>
  <si>
    <t>One of the kids makes a great move to get around a defender and almost scores.</t>
  </si>
  <si>
    <t>He is then shown scoring on a different occasion before the video ends.</t>
  </si>
  <si>
    <t>v_v5O_Yfeqza4</t>
  </si>
  <si>
    <t>A young man is seen speaking to the camera and leads into him throwing darts onto a board.</t>
  </si>
  <si>
    <t>He holds his hands up in excitement as the camera zooms in on the darts.</t>
  </si>
  <si>
    <t>v_7AkyOhKkT6g</t>
  </si>
  <si>
    <t>Mj's mommy is playing around with her hair smoothing it out.</t>
  </si>
  <si>
    <t>She goes to the bathroom with clips in her hair and gets out treatments and shampoos.</t>
  </si>
  <si>
    <t>She begins to apply the hair things to her hair and combing it out, she starts to part her hair and put in curlers.</t>
  </si>
  <si>
    <t>She begins to talk about what she is doing with her hair while she waits to take out the curlers, when she takes them out her hair is perfectly curled.</t>
  </si>
  <si>
    <t>v_-tvhSol-wTs</t>
  </si>
  <si>
    <t>A man is seen talking to the camera while holding a tennis racket and begins demonstrating how to hit the ball.</t>
  </si>
  <si>
    <t>The man continues to speak and hit the ball while moving around the gym and gesturing to the camera.</t>
  </si>
  <si>
    <t>v_gQLH5G88ClE</t>
  </si>
  <si>
    <t>A close up of a christmas tree is shown followed by close ups of ornaments.</t>
  </si>
  <si>
    <t>Two people are then seen moving around the tree decorating as well as turning the lights off.</t>
  </si>
  <si>
    <t>They finish decorating the tree and playing with one another and laughing.</t>
  </si>
  <si>
    <t>In the end close ups of the trees are shown as well as a bear.</t>
  </si>
  <si>
    <t>v_1YGz5CQBflM</t>
  </si>
  <si>
    <t>A man is seen blowing a kiss as well as taking off his jacket and interacting with another man.</t>
  </si>
  <si>
    <t>The man prepares his arm as the other grabs his hand and he pretends to kick his head.</t>
  </si>
  <si>
    <t>More people step up to arm wrestle this man while food is being shown and the loser gets food all over him.</t>
  </si>
  <si>
    <t>v_fI12XNNqldA</t>
  </si>
  <si>
    <t>Two people are seen kneeling before a plant sitting on the ground and speaking to one another.</t>
  </si>
  <si>
    <t>The men continue to move dirt around the plant and end by standing next to the tree and pulling roots away and dumping more soil around it.</t>
  </si>
  <si>
    <t>v_xFqGY-y4OUg</t>
  </si>
  <si>
    <t>A close up is shown of a pool room.</t>
  </si>
  <si>
    <t>A man and woman enter the room, grabbing cues.</t>
  </si>
  <si>
    <t>They engage in a game of pool together, hitting the balls into the pockets.</t>
  </si>
  <si>
    <t>v_9i7ABIB99Ow</t>
  </si>
  <si>
    <t>Step by step instructions to make creamy pasta, first putting the pasta into boiling water and stirring it.</t>
  </si>
  <si>
    <t>Then in another pan adding sausage and onions and stirring it all together.</t>
  </si>
  <si>
    <t>Adding tomatoes and heavy cream to make it pasty.</t>
  </si>
  <si>
    <t>Finally adding the pasta to it, along with some cheese and parsley flakes and mixing it all together.</t>
  </si>
  <si>
    <t>v_7hDCO9fJb90</t>
  </si>
  <si>
    <t>A man stands next to a young girl dressed in a gymnastic outfit in a gym and talks to the camera.</t>
  </si>
  <si>
    <t>The man then coaches the girl on the gym bars in a gymnastic practice session as the girl swings on the bars in a gym filled with other children practicing gymnastics.</t>
  </si>
  <si>
    <t>The man then closes standing next to the girl again and talking into the camera.</t>
  </si>
  <si>
    <t>v_srR0M_HL3Ao</t>
  </si>
  <si>
    <t>A person surfboard in the choppy water of the ocean.</t>
  </si>
  <si>
    <t>A woman stands on front a swimming pool talking, then a slide show of pictures and a man talking in an event is shown.</t>
  </si>
  <si>
    <t>Then, the prince Harry of England sits in an event while people dance and perform.</t>
  </si>
  <si>
    <t>After, people play polo in a field riding horse an throwing a ball with a pole, also the woman and the man talks.</t>
  </si>
  <si>
    <t>v_n_CMnVD7kCg</t>
  </si>
  <si>
    <t>Several shots are shown of people performing impressive gymnastics flips in a large gymnasium.</t>
  </si>
  <si>
    <t>The people continuously perform flips and tricks onto the mats with some being shown in slow motion and in pictures.</t>
  </si>
  <si>
    <t>v_6d9z33GFEGo</t>
  </si>
  <si>
    <t>A man is holding a wine glass and talking.</t>
  </si>
  <si>
    <t>He takes a drink of the wine and sets the glass down.</t>
  </si>
  <si>
    <t>He shows bottles that are sitting on a counter.</t>
  </si>
  <si>
    <t>He pours oil into a pan on a stove.</t>
  </si>
  <si>
    <t>He adds seasonings to the pan.</t>
  </si>
  <si>
    <t>He stirs a pot that is on the stove.</t>
  </si>
  <si>
    <t>He takes a scoop of what's in the pot and adds it to the pan.</t>
  </si>
  <si>
    <t>He begins to stir the pasta that is in the pan.</t>
  </si>
  <si>
    <t>He scoops the pasta out of the pan onto a plate.</t>
  </si>
  <si>
    <t>He picks up his wine glass again.</t>
  </si>
  <si>
    <t>v_f4983HmCNiM</t>
  </si>
  <si>
    <t>A group of dirt bikers are waiting on a ramp.</t>
  </si>
  <si>
    <t>They take off when it opens, going around in circles on the track, racing each other.</t>
  </si>
  <si>
    <t>Some fall off their bikes.</t>
  </si>
  <si>
    <t>They make it through the finish line, ending the race.</t>
  </si>
  <si>
    <t>v_N4wKdmmX0lk</t>
  </si>
  <si>
    <t>A woman takes a few steps with a pair of jumping apparatus.</t>
  </si>
  <si>
    <t>The woman begins jumping around rapidly.</t>
  </si>
  <si>
    <t>The woman is joined by a man who is also jumping around in a pair of jumping apparatus.</t>
  </si>
  <si>
    <t>v_HjVQNiy4uuw</t>
  </si>
  <si>
    <t>A man is seen riding on a long river with another person riding behind.</t>
  </si>
  <si>
    <t>The camera transitions into several people riding in tubes and pushing themselves down a river.</t>
  </si>
  <si>
    <t>v_DzCVpvVJCo8</t>
  </si>
  <si>
    <t>A girl is seen laying down on a table while a man wearing gloves holds scissors to her belly button.</t>
  </si>
  <si>
    <t>He then pierces the girl's stomach and she sits up and walks away in the end smiling.</t>
  </si>
  <si>
    <t>v_XP5Oqr1giQ4</t>
  </si>
  <si>
    <t>A man is bull fighting =, he has a pink sheet and is running away backwards from the bull that is coming toward him.</t>
  </si>
  <si>
    <t>There are three men now and one of them gets completely trampled by the bull.</t>
  </si>
  <si>
    <t>Then about six more men stand in a line messing with the bull.</t>
  </si>
  <si>
    <t>It's very dangerous messing with a bull and teasing him, these people can seriously get hurt.</t>
  </si>
  <si>
    <t>v_oijpI0s_R04</t>
  </si>
  <si>
    <t>The colorful title screen is seen.</t>
  </si>
  <si>
    <t>Two people in a room dance slowly to the back.</t>
  </si>
  <si>
    <t>A title screen loads and we see the man dance alone.</t>
  </si>
  <si>
    <t>We see a title and the lady in the green room dancing alone.</t>
  </si>
  <si>
    <t>A title loads and we see the man's feet as he dances.</t>
  </si>
  <si>
    <t>A title loads and we see the ladies feet as she dances.</t>
  </si>
  <si>
    <t>v_aXm3sPITCKM</t>
  </si>
  <si>
    <t>A man is seen speaking to the camera while brushing his hair and looking around a bathroom.</t>
  </si>
  <si>
    <t>The man continues brushing his hair and begins playing with his facial hair.</t>
  </si>
  <si>
    <t>The man points the camera around his head showing off his hair and smiling to the camera.</t>
  </si>
  <si>
    <t>v_X5gh32tHdsc</t>
  </si>
  <si>
    <t>Men are playing indoor tennis inside a building while soccer is on the tv in the background.</t>
  </si>
  <si>
    <t>They hit the ball back and forth for a while.</t>
  </si>
  <si>
    <t>Other men in the room occasionally look up.</t>
  </si>
  <si>
    <t>v_Mo9-1cuMVtQ</t>
  </si>
  <si>
    <t>We see a newscaster in a studio talking.</t>
  </si>
  <si>
    <t>We then see a soccer game indoors.</t>
  </si>
  <si>
    <t>A man talks in front of the camera and we see the crowd.</t>
  </si>
  <si>
    <t>We see the game in progress.</t>
  </si>
  <si>
    <t>The man talks again and we see the game again.</t>
  </si>
  <si>
    <t>The man talks one more time and we return to the game.</t>
  </si>
  <si>
    <t>We see the newscaster in the studio again.</t>
  </si>
  <si>
    <t>v_nOvrsb0XyGk</t>
  </si>
  <si>
    <t>We see a number of men throwing darts and a woman keeping score.</t>
  </si>
  <si>
    <t>The man grabs the darts off the board and walks away.</t>
  </si>
  <si>
    <t>Another man shoots, grabs his darts and goes.</t>
  </si>
  <si>
    <t>A third guy shoots darts and goes.</t>
  </si>
  <si>
    <t>The fourth guy shoots and goes.</t>
  </si>
  <si>
    <t>the first guy returns for another chance.</t>
  </si>
  <si>
    <t>the second guy goes again.</t>
  </si>
  <si>
    <t>the third guy plays again.</t>
  </si>
  <si>
    <t>The fourth guy takes his turn.</t>
  </si>
  <si>
    <t>And we see them repeat.</t>
  </si>
  <si>
    <t>v_ERcMdKNF_pc</t>
  </si>
  <si>
    <t>A gymnast prepares to mount a beam.</t>
  </si>
  <si>
    <t>He mounts, then spins and flips several times.</t>
  </si>
  <si>
    <t>He dismounts, raising his arms into the air.</t>
  </si>
  <si>
    <t>v_mpj1rR1wXKU</t>
  </si>
  <si>
    <t>We see a couple of opening screens.</t>
  </si>
  <si>
    <t>We see a man in a blue shirt bowling talking in a bowling alley.</t>
  </si>
  <si>
    <t>The man picks purple ball from the dispenser and talks to the camera.</t>
  </si>
  <si>
    <t>The man holds the ball out then we see him putting his fingers in the ball and talks to the camera.</t>
  </si>
  <si>
    <t>The man puts the ball down and grabs another, then another and talks.</t>
  </si>
  <si>
    <t>We then see the man roll the ball down the aisle.</t>
  </si>
  <si>
    <t>v_PN99KIY7jRY</t>
  </si>
  <si>
    <t>A man serves a tennis ball with his racket.</t>
  </si>
  <si>
    <t>He brings the racket down to his side.</t>
  </si>
  <si>
    <t>v_3tfGg2rVv6o</t>
  </si>
  <si>
    <t>little girl is doing gymnastics in the middle of the court holding batons.</t>
  </si>
  <si>
    <t>pictures of woman are shown.</t>
  </si>
  <si>
    <t>v_0pGXfomqurw</t>
  </si>
  <si>
    <t>woman wearing sport clothing is climbing stairs and talking to the camera.</t>
  </si>
  <si>
    <t>woman is in gym talking on the camera and with other man while a woman is making exercise in an orbitrek.</t>
  </si>
  <si>
    <t>v_Jtlvh2w1aUM</t>
  </si>
  <si>
    <t>A person blows leaf off of a lawn and walkway using a leaf blower.</t>
  </si>
  <si>
    <t>The person begins by pointing the leaf blower towards leaves around a bush and near grass.</t>
  </si>
  <si>
    <t>The person blows leaves out of a tight corner and then progresses to a walkway.</t>
  </si>
  <si>
    <t>The person blows leaves from a walkway and across a lawn.</t>
  </si>
  <si>
    <t>v_XxbuqeqOGaM</t>
  </si>
  <si>
    <t>A chef in the kitchen wearing a chef hat is giving instructions on how to sharpen a knife.</t>
  </si>
  <si>
    <t>He brings the knife to a sharpener and begins slowly to demonstrate.</t>
  </si>
  <si>
    <t>He picks up the sharpening tool and talks about what he will do next and begins to sharpen again.</t>
  </si>
  <si>
    <t>Then he shows all of the pieces that come with the kit and talks about it all.</t>
  </si>
  <si>
    <t>v_wfFnIYdSjCI</t>
  </si>
  <si>
    <t>A small group of children are seen running around a lacrosse field playing a game with one another.</t>
  </si>
  <si>
    <t>The camera continues to follow the people around as they chase the ball and run up and down the field.</t>
  </si>
  <si>
    <t>v_WUcjqCvYfQ0</t>
  </si>
  <si>
    <t>A couple is sitting outside talking.</t>
  </si>
  <si>
    <t>They go in the house and gather supplies for shaving, which are listed on the screen.</t>
  </si>
  <si>
    <t>The woman lathers the man up, Then shaves his beard and mustache using a beaver boar brush and razor.</t>
  </si>
  <si>
    <t>She then rinses him clean, and applies aftershave.</t>
  </si>
  <si>
    <t>He is then shown giving her a shoulder rub.</t>
  </si>
  <si>
    <t>v_4MKbQ816r9A</t>
  </si>
  <si>
    <t>A tall thin male is standing in a bar surrounded by liquor.</t>
  </si>
  <si>
    <t>The male has a cup of ice in front of him that he pours into a regular glass that he then adds liquor into.</t>
  </si>
  <si>
    <t>Followed by two more shots of different clear liquors.</t>
  </si>
  <si>
    <t>He then takes two syrup like liquor and pour them in the cup.</t>
  </si>
  <si>
    <t>Once everything is in the glass,he puts the mixer on top of it and shakes it up.</t>
  </si>
  <si>
    <t>Finally,the drink is complete and he pours it into another glass and adds a straw for it to be served.</t>
  </si>
  <si>
    <t>v_Qtj7QFDjH1A</t>
  </si>
  <si>
    <t>A young man is seen standing in front of the camera playing a set of bagpipes.</t>
  </si>
  <si>
    <t>He continues playing the instrument and ends by holding it in his hands and a picture of him playing guitar.</t>
  </si>
  <si>
    <t>v_2ptdloHcTcs</t>
  </si>
  <si>
    <t>A person is seen riding a surf board through a wave and leads into several more people riding waves and sitting along the water.</t>
  </si>
  <si>
    <t>More shots of people surfing incredible waves are shown with some wiping out but overall riding along.</t>
  </si>
  <si>
    <t>v_f2fyhNjY3EA</t>
  </si>
  <si>
    <t>Boats are seen sailing through dark ocean water.</t>
  </si>
  <si>
    <t>We see a first person view of sailing on a boat.</t>
  </si>
  <si>
    <t>The boats are seen floating through the water.</t>
  </si>
  <si>
    <t>v_fgP3D3Gqn6U</t>
  </si>
  <si>
    <t>People sit on a bench at a rodeo.</t>
  </si>
  <si>
    <t>We see people standing around a fence.</t>
  </si>
  <si>
    <t>The gate open and calf and a man come out we see four men hogtie calf's.</t>
  </si>
  <si>
    <t>We see a calf running in the ring and another calf being hogtied.</t>
  </si>
  <si>
    <t>A man and a little boy are walking and holding the reins of a horse.</t>
  </si>
  <si>
    <t>We see an older man holding the reins of a horse.</t>
  </si>
  <si>
    <t>The camera points to the ground and the video ends.</t>
  </si>
  <si>
    <t>v_-cApkmTI3F8</t>
  </si>
  <si>
    <t>A man is seen drinking out of a cup held by a woman who is also drinking from a bottle.</t>
  </si>
  <si>
    <t>The two continue drinking as others record them and then stop immediately.</t>
  </si>
  <si>
    <t>v_YIYZHQUOtnA</t>
  </si>
  <si>
    <t>A groups of students exercise and cheers on a competition, then boys wearing red t-shirt throw bowling balls and throw all the pins and celebrates.</t>
  </si>
  <si>
    <t>Then, young people wearing green t-shirts are successful playing bowling.</t>
  </si>
  <si>
    <t>After, girls play bowling who throw all the pins with the bowling bowl.</t>
  </si>
  <si>
    <t>The winners of the competition receive closed envelopes and trophies.</t>
  </si>
  <si>
    <t>v_EbqurNRxneE</t>
  </si>
  <si>
    <t>A woman is kneeling on the sandy beach.</t>
  </si>
  <si>
    <t>She is helping a baby with suntan lotion.</t>
  </si>
  <si>
    <t>She rubs the lotion on the baby's skin.</t>
  </si>
  <si>
    <t>v_d4B9z_WJAKs</t>
  </si>
  <si>
    <t>Four men are playing bad mitten.</t>
  </si>
  <si>
    <t>There are clips of great shots from teams.</t>
  </si>
  <si>
    <t>The yellow team makes several points in a row.</t>
  </si>
  <si>
    <t>Denmark's team made several points.</t>
  </si>
  <si>
    <t>The clip ends with the yellow team holding trophies.</t>
  </si>
  <si>
    <t>v_ArT40PO05h8</t>
  </si>
  <si>
    <t>A man is playing a ukulele for a woman while a man watches from behind a curtain.</t>
  </si>
  <si>
    <t>Suddenly, the video cuts to several different people doing window washing tricks.</t>
  </si>
  <si>
    <t>The video ends with a man on the phone doing a comedy skit about windows.</t>
  </si>
  <si>
    <t>v_PRkEpM8ffak</t>
  </si>
  <si>
    <t>A person is seen using a piece of exercise equipment moving up and down on the machine.</t>
  </si>
  <si>
    <t>The camera pans all around the man using the machine and zooms all around the man moving around.</t>
  </si>
  <si>
    <t>v_H9ejAfleKUg</t>
  </si>
  <si>
    <t>A camera is seen zooming in on a building and leads into a man climbing up a large rock.</t>
  </si>
  <si>
    <t>The man continuously climbs up the rock while looking around and finally makes it to the top while the camera pans around.</t>
  </si>
  <si>
    <t>v_mB0MeZjjCmU</t>
  </si>
  <si>
    <t>A vanilla sponge cake is shown on the title screen.</t>
  </si>
  <si>
    <t>A white plate is then placed on a brown table alongside four brown eggs.</t>
  </si>
  <si>
    <t>They are then put in a silver bowl and they are whisked at a rapid pace as sugar is gradually added it and the whipping continues.</t>
  </si>
  <si>
    <t>After,milk,butter,flour,banana pudding,salt and vanilla extract are shown on a table.</t>
  </si>
  <si>
    <t>The milk and butter are heated up then added in a large bowl with the cake batter to be whisked.</t>
  </si>
  <si>
    <t>The vanilla is then added and poured into another bowl before the final product is shown.</t>
  </si>
  <si>
    <t>v_srARxP_ocyg</t>
  </si>
  <si>
    <t>A woman is seen kicking a man wearing gloves in his hands.</t>
  </si>
  <si>
    <t>The man then walks around the circle while people take turns hitting the man.</t>
  </si>
  <si>
    <t>The man continues walking around while they hit him.</t>
  </si>
  <si>
    <t>v_8NRv-75RlPI</t>
  </si>
  <si>
    <t>An elliptical trainer is shown, as well as its components.</t>
  </si>
  <si>
    <t>A woman is shown working out on the elliptical.</t>
  </si>
  <si>
    <t>She pedals and demonstrates the mechanics of the programming screen.</t>
  </si>
  <si>
    <t>v_w6P9JrTGRlE</t>
  </si>
  <si>
    <t>A dog is dressed in clothes and a human is behind him only showing his hands.</t>
  </si>
  <si>
    <t>As to look like the dog is part human and doing human like stuff.</t>
  </si>
  <si>
    <t>He is feeding himself breakfast and then wipes his face.</t>
  </si>
  <si>
    <t>After that he grabs a cup of coffee to drink.</t>
  </si>
  <si>
    <t>He struggles to grab another napkin to wipe his face again.</t>
  </si>
  <si>
    <t>v_lO1r4df9uUc</t>
  </si>
  <si>
    <t>A man is seen skiing behind a boat.</t>
  </si>
  <si>
    <t>He holds on tight as he is pulled through the water.</t>
  </si>
  <si>
    <t>The man is water skiing until the end of the clip.</t>
  </si>
  <si>
    <t>v_xE9anOqq2XQ</t>
  </si>
  <si>
    <t>An athletic man is seen standing ready while holding a javelin and then runs down the track and throws the pole into a field.</t>
  </si>
  <si>
    <t>He walks away with his hands on his hips and his same throw is shown again.</t>
  </si>
  <si>
    <t>Several more athletes step up to throw the javelin into the field followed by their same throw shown again and them laughing to the camera.</t>
  </si>
  <si>
    <t>v_x--RoqrwiLI</t>
  </si>
  <si>
    <t>A man in a large green field practices over seven hammer throws in the field with a measuring tape in front of him stretched along the ground.</t>
  </si>
  <si>
    <t>A bare chested man in black track pants spins a hammer throw around and around until he releases into a field in front of him.</t>
  </si>
  <si>
    <t>The man then goes on to perform at least six more hammer throws in the same way in the same location.</t>
  </si>
  <si>
    <t>v_-NndIs9BaS4</t>
  </si>
  <si>
    <t>man is standing in a gren field and start jumping the rope.</t>
  </si>
  <si>
    <t>man drops the rope and explain how to jump and holds the rope again.</t>
  </si>
  <si>
    <t>v_dUBkspFNj-E</t>
  </si>
  <si>
    <t>Guys are playing pool in front of an audience.</t>
  </si>
  <si>
    <t>A guy changes his pool stick.</t>
  </si>
  <si>
    <t>The two men stand close together and give an interview.</t>
  </si>
  <si>
    <t>A man puts his arm around his partner's shoulders, and his partner dances.</t>
  </si>
  <si>
    <t>A man sits on his pool game partner's lap after he makes his shot, .</t>
  </si>
  <si>
    <t>v_xpmXZBpYrM0</t>
  </si>
  <si>
    <t>A person applies leg lube to their leg and then proceeds to shave the leg and then wipe their leg down with a wet rag.</t>
  </si>
  <si>
    <t>A person in a bathroom, with one foot on top of a toilet cover rubs leg lube on their leg.</t>
  </si>
  <si>
    <t>The person then begins to shave the length of their leg with a blue razor.</t>
  </si>
  <si>
    <t>The person wipes their leg down with wet rag after holding the rag under the bathroom sink tap before holding a bottle of leg lube in their hand in a closeup view.</t>
  </si>
  <si>
    <t>v_bOp6pObPeZ4</t>
  </si>
  <si>
    <t>A woman and a man are dancing on a stage.</t>
  </si>
  <si>
    <t>There is a band playing behind them.</t>
  </si>
  <si>
    <t>There is an audience sitting in chairs clapping for them.</t>
  </si>
  <si>
    <t>v_C1djGYqkhYI</t>
  </si>
  <si>
    <t>A young girl in a green leotard begins twirling a baton and doing tricks.</t>
  </si>
  <si>
    <t>The girl begins to incorporate her arms and does a flip and continues to flip the baton over her hands and arms.</t>
  </si>
  <si>
    <t>As the young lady continues her performance, she twirls the baton between her legs and over her head,catches it and does a gallop.</t>
  </si>
  <si>
    <t>The rest of the young girl's performance is a set of twirls and twist and then she runs off the floor to finish her performance.</t>
  </si>
  <si>
    <t>v_lkCpF06uEmE</t>
  </si>
  <si>
    <t>A person lifts a 90 kg weight until the shoulder and then above the head, then the man drops the weight to the floor.</t>
  </si>
  <si>
    <t>Then, the man lifts 95 kg weight above his head.</t>
  </si>
  <si>
    <t>After, the man lifts a weight of 101 kg successfully.</t>
  </si>
  <si>
    <t>v_rjzQD0vwnP0</t>
  </si>
  <si>
    <t>A close up of a car is seen followed by a person holding a scraper.</t>
  </si>
  <si>
    <t>The person pushes ice all along the car while looking to the camera.</t>
  </si>
  <si>
    <t>The person continues clearing off ice with the scraper while the camera captures her movements.</t>
  </si>
  <si>
    <t>v_Tp6MFA0SbFU</t>
  </si>
  <si>
    <t>A female wrestler is holding another wrestler upside down.</t>
  </si>
  <si>
    <t>She slams her down onto the mat, on her back.</t>
  </si>
  <si>
    <t>v_JgfVp6Estgw</t>
  </si>
  <si>
    <t>Various shots of landscapes are shown including deer heads and tree houses and leads into a man shooting a bow and arrow.</t>
  </si>
  <si>
    <t>He hits the stuffed animal and leads into more shots of him and another using the bow and arrow.</t>
  </si>
  <si>
    <t>The camera pans around areas that they hit and shows one man walking away.</t>
  </si>
  <si>
    <t>v_aorWXCqqyJs</t>
  </si>
  <si>
    <t>Some people are surfing in rough ocean waves.</t>
  </si>
  <si>
    <t>They lay down on their boards, disappearing into the water.</t>
  </si>
  <si>
    <t>The girl just rides the surf with her father helping.</t>
  </si>
  <si>
    <t>v_y1CzJvvItrM</t>
  </si>
  <si>
    <t>A man is standing on a ladder wiping down a wall.</t>
  </si>
  <si>
    <t>A black bucket is sitting next to him.</t>
  </si>
  <si>
    <t>A man is standing up throwing mud at the wall.</t>
  </si>
  <si>
    <t>v_qD52CX0CSBs</t>
  </si>
  <si>
    <t>A woman is seen speaking to the camera while standing next to a horse and petting the horse on the side.</t>
  </si>
  <si>
    <t>The horse sniffs all around the woman while she pets him down and turns his head in the end.</t>
  </si>
  <si>
    <t>v_0xtS7g7vZLU</t>
  </si>
  <si>
    <t>A camera pans out a wooden table with a boy with glasses showing it off.</t>
  </si>
  <si>
    <t>The boy pushes various pucks across the wooden board to see where it ends up.</t>
  </si>
  <si>
    <t>The boy pushes several more pucks and the boy holding the camera walks to the end to show the results.</t>
  </si>
  <si>
    <t>v_BOqca4eckEs</t>
  </si>
  <si>
    <t>A girl is standing with a group of people on a long platform made of wood.</t>
  </si>
  <si>
    <t>She is attached to a rope and with several people behind her then she is pushed off of the stand participating in a free fall.</t>
  </si>
  <si>
    <t>The female falls then hangs down over the water for a long period of time.</t>
  </si>
  <si>
    <t>v_hFzMCWZ3Jps</t>
  </si>
  <si>
    <t>A woman is seen looking into the camera while brushing her hair and leads into her putting her hair into a ponytail.</t>
  </si>
  <si>
    <t>The girl then braids more hair into her and ends by waving to the camera.</t>
  </si>
  <si>
    <t>v_ULBhK8jXNws</t>
  </si>
  <si>
    <t>There is a truck being driven on the road in the beginning of the video.</t>
  </si>
  <si>
    <t>Then a man is shown sitting by the poolside, surfing in the water with other people.</t>
  </si>
  <si>
    <t>v_jAlYwQevBxA</t>
  </si>
  <si>
    <t>People are seen walking around a snowy area carrying boards in their hands and riding along the trail.</t>
  </si>
  <si>
    <t>The people ride down the snowy mountain continuously while looking back to the camera.</t>
  </si>
  <si>
    <t>The people continue to ride around while zooming in on their feet.</t>
  </si>
  <si>
    <t>v_EdJgTx0iFeE</t>
  </si>
  <si>
    <t>A woman is seen speaking to the camera holding a hula hoop and leads into her spinning around the hula hoop.</t>
  </si>
  <si>
    <t>The woman continues to push the object around her waist while spinning herself around as well as dancing in place.</t>
  </si>
  <si>
    <t>v_9u-wH-UBuRc</t>
  </si>
  <si>
    <t>A thin man and a fat man perform arm wrestling while a cameraman film them.</t>
  </si>
  <si>
    <t>The thin man win the arm wrestling competition.</t>
  </si>
  <si>
    <t>v_b_DY76Y6ekg</t>
  </si>
  <si>
    <t>People in harnesses walk on a platform with trees far below in the background.</t>
  </si>
  <si>
    <t>The man sits on a bench and is hooked to a large white rope.</t>
  </si>
  <si>
    <t>The man shakes a lady's hand.</t>
  </si>
  <si>
    <t>The man stands and walks to the edge of the platform assisted by two people.</t>
  </si>
  <si>
    <t>The lady then pushes the man off the edge and the camera pans down to watch the mans' bungee jump.</t>
  </si>
  <si>
    <t>A man with stick holds it out and the man catches it and they release the man from the rope.</t>
  </si>
  <si>
    <t>v_I-1UKECfQko</t>
  </si>
  <si>
    <t>Several people lay in tubes in the snow.</t>
  </si>
  <si>
    <t>More people are standing around them.</t>
  </si>
  <si>
    <t>Eventually some of them go down the hill.</t>
  </si>
  <si>
    <t>They reach the bottom of the hill.</t>
  </si>
  <si>
    <t>v_kxUkqmzS2wc</t>
  </si>
  <si>
    <t>A man puts shaving cream on his face.</t>
  </si>
  <si>
    <t>He starts shaving his face with a razor.</t>
  </si>
  <si>
    <t>He dries his face off with a towel.</t>
  </si>
  <si>
    <t>v_KjXvBqmh5C4</t>
  </si>
  <si>
    <t>A shot of a gym is shown followed by several clips of a person attempting to pole volt and others socializing.</t>
  </si>
  <si>
    <t>Several people speak to the camera and lead into them pole volting.</t>
  </si>
  <si>
    <t>More people are seen speaking to one another as well as the camera and using a pole to get over a bar.</t>
  </si>
  <si>
    <t>v_-b2lkhdJXf4</t>
  </si>
  <si>
    <t>A small white ball dashed out into the court and hits a player smack dab in the head.</t>
  </si>
  <si>
    <t>Another player then steals the ball and starts kicking it until its more into his control, and kicks it straight into the goal.</t>
  </si>
  <si>
    <t>A small replay shows how he managed to kick it in there.</t>
  </si>
  <si>
    <t>A short montage of similar moves, the player kicking a ball straight into the goal.</t>
  </si>
  <si>
    <t>A short amount of footage shows how the player reacts to his own shot.</t>
  </si>
  <si>
    <t>v_1oyWMusaDTI</t>
  </si>
  <si>
    <t>A man is kite surfing on the edge of the board.</t>
  </si>
  <si>
    <t>The camera zoom in and shows the board then zooms back out.</t>
  </si>
  <si>
    <t>We see the road in the distance and see cars driving.</t>
  </si>
  <si>
    <t>We see a second person kitesurfing.</t>
  </si>
  <si>
    <t>v_W06Ojnv-Wxg</t>
  </si>
  <si>
    <t>A gymnast is seen jumping onto a set of uneven bars and performing a gymnastics routine in front of others.</t>
  </si>
  <si>
    <t>The man continues flipping around the bars and ends with him jumping down and bowing to the crowd.</t>
  </si>
  <si>
    <t>v_IuntoXkEWPI</t>
  </si>
  <si>
    <t>A small child is seen climbing up a slide at a playground very slowly.</t>
  </si>
  <si>
    <t>She edges her way up to the top and then slides down the slide.</t>
  </si>
  <si>
    <t>v_wsrSku74OpM</t>
  </si>
  <si>
    <t>A close up of solo cups are shown followed by a man throwing balls.</t>
  </si>
  <si>
    <t>A person moves the cups alongside the table while the person continues throwing and the men switch place.</t>
  </si>
  <si>
    <t>The two continue taking turns while the camera captures their movements.</t>
  </si>
  <si>
    <t>v_cdb7VSVuUl8</t>
  </si>
  <si>
    <t>Two men in inflatable sumo wrestler costumes entertain the public by street performing in a public square.</t>
  </si>
  <si>
    <t>Two men in inflatable sumo wrestler outfits talk to the camera and begin to entertain the people passing by as they stand in a paved public square.</t>
  </si>
  <si>
    <t>The two men show a little boy how to use an automated scooter, perform mock sumo wrestling matches, and take pictures with the audience as well as dancing with the audience before ending the performance and speaking again to the camera.</t>
  </si>
  <si>
    <t>v_NmmFlMtvE68</t>
  </si>
  <si>
    <t>We see a person bring a dog into a shelter.</t>
  </si>
  <si>
    <t>We see a black screen with writing.</t>
  </si>
  <si>
    <t>We then see a lady use an electric shaver then scissors to groom a dog.</t>
  </si>
  <si>
    <t>The groomer kisses the puppy.</t>
  </si>
  <si>
    <t>We see shot of the dog after the grooming.</t>
  </si>
  <si>
    <t>We then see a black title screen.</t>
  </si>
  <si>
    <t>v_JZDTcGPKw2w</t>
  </si>
  <si>
    <t>woman is riding a horse in a barn and another woman is leading the horse with a rope.</t>
  </si>
  <si>
    <t>photos of various people riding horses are shown.</t>
  </si>
  <si>
    <t>woma is riding a horse in a barn and pictures of people riding horses.</t>
  </si>
  <si>
    <t>woman is riding a horse in a riding track.</t>
  </si>
  <si>
    <t>and a girl is jumping in the tracks too.</t>
  </si>
  <si>
    <t>childs are in a living room playing in front of a tv and pictues of theirs on the mood are shown.</t>
  </si>
  <si>
    <t>childs are in a bridge dancing and jumping into the pool.</t>
  </si>
  <si>
    <t>v_uowNtTu74nA</t>
  </si>
  <si>
    <t>The video leads into several shots of surfers moving along the water and riding waves past other people.</t>
  </si>
  <si>
    <t>Several shots are shown on how to properly surf and is followed by more shots shown in slow motion.</t>
  </si>
  <si>
    <t>v_t6iq95QPZIg</t>
  </si>
  <si>
    <t>The back of a speed boat is shown followed by feet jumping into water and looking around underwater.</t>
  </si>
  <si>
    <t>A person holds a stick out and grabs a fish and pokes at sharks.</t>
  </si>
  <si>
    <t>v_7YOV0kZQIAo</t>
  </si>
  <si>
    <t>A man plays a saxophone while facing the camera.</t>
  </si>
  <si>
    <t>The man finishes playing and smiles at his instrument.</t>
  </si>
  <si>
    <t>v_cCYLiE1fiEo</t>
  </si>
  <si>
    <t>A person steps on a tan mat several times.</t>
  </si>
  <si>
    <t>They take their shoes off and put a different pair of shoes on.</t>
  </si>
  <si>
    <t>They continue stepping on the mat in the new shoes.</t>
  </si>
  <si>
    <t>They take those shoes off and walk away.</t>
  </si>
  <si>
    <t>v_Bs3TR80BRco</t>
  </si>
  <si>
    <t>A man is in a forest, and his feet are shown with and without shoes.</t>
  </si>
  <si>
    <t>He mounts a tightrope and balances on it.</t>
  </si>
  <si>
    <t>He uses the tightrope to walk, showing the proper positions to maintain balance.</t>
  </si>
  <si>
    <t>v_MvKhjWRNTvI</t>
  </si>
  <si>
    <t>A woman pics up a bottle filled with red bullets.</t>
  </si>
  <si>
    <t>The cotton pad is removed, then a gun is loaded.</t>
  </si>
  <si>
    <t>She shoots the paint bullets at a target, spattering it red.</t>
  </si>
  <si>
    <t>Several targets are shown getting spattered.</t>
  </si>
  <si>
    <t>v_U8SmnfsEzOc</t>
  </si>
  <si>
    <t>A man is taking a bike apart on a subway.</t>
  </si>
  <si>
    <t>He is putting a tire back on the bike.</t>
  </si>
  <si>
    <t>v_jWzLhOqcGtE</t>
  </si>
  <si>
    <t>They run on the court and continue to dribble the ball.</t>
  </si>
  <si>
    <t>They jump up and make a basket.</t>
  </si>
  <si>
    <t>v_nqmw4BCi6io</t>
  </si>
  <si>
    <t>A mop's attributes are demonstrated through computer graphics close-ups of various parts.</t>
  </si>
  <si>
    <t>The mop is demonstrated in actual use.</t>
  </si>
  <si>
    <t>The preparation of the mop head is shown.</t>
  </si>
  <si>
    <t>More component closeups are shown.</t>
  </si>
  <si>
    <t>The mop head is demonstrated again.</t>
  </si>
  <si>
    <t>v_hs81dVKvvdw</t>
  </si>
  <si>
    <t>A person is sitting down getting their arm tattooed.</t>
  </si>
  <si>
    <t>They stand up and show the tattoo.</t>
  </si>
  <si>
    <t>v_5bZ2FdbAKiQ</t>
  </si>
  <si>
    <t>A gymnast is seen standing ready with her arms up and turns to face the beam.</t>
  </si>
  <si>
    <t>Just jumps up on the beam and begins perform a gymnastic routine until she falls off.</t>
  </si>
  <si>
    <t>She climbs back up on the beam and ends by flipping off the beam.</t>
  </si>
  <si>
    <t>v_ymEh5T11kSQ</t>
  </si>
  <si>
    <t>Two people are seen standing on a sandy beach with one kicking the ball and passing it to another.</t>
  </si>
  <si>
    <t>The boys continue passing the ball back and fourth while many people are seen walking around and playing in the water.</t>
  </si>
  <si>
    <t>v_FSfxYKauc9w</t>
  </si>
  <si>
    <t>Two teams of hockey players are inside of the rink playing a game.</t>
  </si>
  <si>
    <t>The puck is hit behind the goal and the team hits it back out and the game continues.</t>
  </si>
  <si>
    <t>After fighting for it,the players hit the puck down on the other end and it is blocked by the goalie.</t>
  </si>
  <si>
    <t>Each team rallies back and forth with the puck but neither of them are successful and they are blocked on both ends of the rink.</t>
  </si>
  <si>
    <t>v_7gRbYNWSUjk</t>
  </si>
  <si>
    <t>A man practice martial arts in a gym turning and spinning around.</t>
  </si>
  <si>
    <t>Then, the man leans on her hands to spin his body and make turns.</t>
  </si>
  <si>
    <t>After, the man stands on his hands and tilt his body to the sides and front.</t>
  </si>
  <si>
    <t>Next, the stands on his hands and rotates his body.</t>
  </si>
  <si>
    <t>v_Q43BuVI2r-s</t>
  </si>
  <si>
    <t>Two men are walking down planks with one rolling out paper and putting tape across.</t>
  </si>
  <si>
    <t>Other men lay down a green sheet of paper and continue taping down the paper.</t>
  </si>
  <si>
    <t>One last set of paper is laid across with tape and the men continue working.</t>
  </si>
  <si>
    <t>v_ACnOpQNrhqs</t>
  </si>
  <si>
    <t>We see a college volleyball game being played by women.</t>
  </si>
  <si>
    <t>A group of ladies passes.</t>
  </si>
  <si>
    <t>A lady falls and slides across the ground.</t>
  </si>
  <si>
    <t>Two ladies high five each other.</t>
  </si>
  <si>
    <t>Three ladies fall into the crowd on the left.</t>
  </si>
  <si>
    <t>A lady misses and falls.</t>
  </si>
  <si>
    <t>A person dangles a set of keys.</t>
  </si>
  <si>
    <t>v_vcl8rFSCH4w</t>
  </si>
  <si>
    <t>A close up of people are shown sitting on a snowy hill and looking to the camera.</t>
  </si>
  <si>
    <t>The people then all ride in tubes down the snowy trail with one moving around at the bottom.</t>
  </si>
  <si>
    <t>v_P3q6n0ZjumU</t>
  </si>
  <si>
    <t>A teen boy has a bunch of darts in his hands.</t>
  </si>
  <si>
    <t>He throws each dart, trying to hit his target on the wall.</t>
  </si>
  <si>
    <t>A cell phone camera above the dart board records as he throws, then gets hit by a dart before falling onto the carpet.</t>
  </si>
  <si>
    <t>v_6G1wS1p1ig0</t>
  </si>
  <si>
    <t>A large group of kids are seen dancing in a room followed by men moving around and laughing.</t>
  </si>
  <si>
    <t>More clips are shown of people jump roping in different rooms and laughing with one another.</t>
  </si>
  <si>
    <t>v_p377oL-EM_E</t>
  </si>
  <si>
    <t>A black screen appears with yellow writing on it.</t>
  </si>
  <si>
    <t>Once gone,a field is shown and a buff females throws a shot put into the field and a replay is shown.</t>
  </si>
  <si>
    <t>v_lGAK_3Jp2I8</t>
  </si>
  <si>
    <t>A man body slams another man on a ring.</t>
  </si>
  <si>
    <t>A referee taps on the ground several times.</t>
  </si>
  <si>
    <t>The crowd cheers for the people.</t>
  </si>
  <si>
    <t>v_QNsonWAaFk4</t>
  </si>
  <si>
    <t>Men snarl and we see the crowd and shots of volleyball play.</t>
  </si>
  <si>
    <t>We see ladies on the sidelines.</t>
  </si>
  <si>
    <t>A tall man is shown from the legs up as he jumps.</t>
  </si>
  <si>
    <t>A man misses a shot and looks behind him and two men look behind them.</t>
  </si>
  <si>
    <t>We see men cheer and jump.</t>
  </si>
  <si>
    <t>A shot is made and team hugs.</t>
  </si>
  <si>
    <t>v_Vc4NSwtI5jM</t>
  </si>
  <si>
    <t>A man cleans the rim of a wheel with a brush, then the man rinse the car with a hose.</t>
  </si>
  <si>
    <t>After, the man applies detergent with a washing scrub brush.</t>
  </si>
  <si>
    <t>Next, the car enters inside an automatic car wash machine.</t>
  </si>
  <si>
    <t>v_f98FHTGx64Q</t>
  </si>
  <si>
    <t>Two people arm wrestle and take off clothes.</t>
  </si>
  <si>
    <t>They get dressed up and go extreme kite flying in a hurricane.</t>
  </si>
  <si>
    <t>The kites crash into the people once.</t>
  </si>
  <si>
    <t>v_OUPEzXXawCs</t>
  </si>
  <si>
    <t>People are riding horses on a field.</t>
  </si>
  <si>
    <t>A dog and a person cross in front of the camera.</t>
  </si>
  <si>
    <t>The horses are running around on the field.</t>
  </si>
  <si>
    <t>v_J6T9pokWX1E</t>
  </si>
  <si>
    <t>The exterior of a business is shown and the blue and white sign on it say's "BORONIA DOG GROOMING &amp; PET SUPPLIES" with a picture of a dog in water and covered with suds and paw prints on the sides of it, and the word "DOG GROOMING" is along the front facing of the ledge that sticks out.</t>
  </si>
  <si>
    <t>A woman is talking and in between there are clips playing of groomers grooming dogs, customers, dogs walking in the store, products and dogs walking in the store.</t>
  </si>
  <si>
    <t>The same clip of the exterior of the building that was shown in the beginning, is the same exterior view that is shown at the end.</t>
  </si>
  <si>
    <t>v_roTIeCtx94Q</t>
  </si>
  <si>
    <t>woman puts butter in a bowl with sugar, and flour and mix it in a kitchen aid, adding eggs, vanilla and flour, when the mix is homogenous add chocolate chips.</t>
  </si>
  <si>
    <t>the dough is molded in balls and in a tray to the oven.</t>
  </si>
  <si>
    <t>v_NS8qkB39x9U</t>
  </si>
  <si>
    <t>A camera pans around a dark kitchen and leads to the person walking down a set of stairs.</t>
  </si>
  <si>
    <t>Clothes are seen on the floor followed by a woman in curlers smoking a cigarette and playing on the computer.</t>
  </si>
  <si>
    <t>She speaks to the camera and gets a shot of her and the camera man together.</t>
  </si>
  <si>
    <t>v_nHafujMomWg</t>
  </si>
  <si>
    <t>A man is in front of a cutting board covered in potatoes.</t>
  </si>
  <si>
    <t>He uses a peeler to peel the skin from a potato.</t>
  </si>
  <si>
    <t>He moves quickly, peeling until all the potatoes are bare.</t>
  </si>
  <si>
    <t>v_YPFk9ftkzl4</t>
  </si>
  <si>
    <t>A boy is sitting at a wooden table in a cafe.</t>
  </si>
  <si>
    <t>He lights a hookah, then pulls a drag on the smoke.</t>
  </si>
  <si>
    <t>He sits back, blowing smoke out of his mouth.</t>
  </si>
  <si>
    <t>v_ePqfnkzAQjQ</t>
  </si>
  <si>
    <t>A girl sits and endures pain as she gets a traditional Polynesian tattoo.</t>
  </si>
  <si>
    <t>The artists stop for a moment and clean off the area.</t>
  </si>
  <si>
    <t>They begin to continue tattooing her hand as she endures visibly the pain.</t>
  </si>
  <si>
    <t>v_6dNh6AxVLx8</t>
  </si>
  <si>
    <t>The video starts with several shots of bmx riders riding along a track with one taking a hard fall.</t>
  </si>
  <si>
    <t>Several more shots of people riding on a track are shown with many standing on the sidelines to watch.</t>
  </si>
  <si>
    <t>More falls are shown with a slow motion affect and more people continue to ride around.</t>
  </si>
  <si>
    <t>v_1bcm3LHTI_w</t>
  </si>
  <si>
    <t>A black screen appears with white,red,green and blue words that say "membrillo films" on one screen, "Mateo Bervelillo" ,and "Trillizos".</t>
  </si>
  <si>
    <t>A man is now outdoors, sits on a wooden box, and begins tapping his fingers onto the box and bouncing his feet on the ground.</t>
  </si>
  <si>
    <t>Another man who looks like the first man comes out of a door and sits on the chair outdoor near the first man and he begins hitting a bongo.</t>
  </si>
  <si>
    <t>A third man who looks like the two previous men before him, come out of a door and sit on the last chair and he plays on his bongo.</t>
  </si>
  <si>
    <t>v_UnZtNrtvSPA</t>
  </si>
  <si>
    <t>woman is standing in front of the camera in a white room playing with her hair.</t>
  </si>
  <si>
    <t>woman is sitting in a shair and a woman behind her start grabbing a small section of he hair doing a braid and anchoring it with a bobby pin and decorating it with hair pins.</t>
  </si>
  <si>
    <t>v_Qn61vl2khuo</t>
  </si>
  <si>
    <t>We see the black title screen.</t>
  </si>
  <si>
    <t>We see a lady and a man working on a machine.</t>
  </si>
  <si>
    <t>We see the people standing and talking about the product with shots of the machine.</t>
  </si>
  <si>
    <t>We see the display on the machine.</t>
  </si>
  <si>
    <t>The lady gets on, sets the time, and runs on the machine.</t>
  </si>
  <si>
    <t>We see just the man talking then using the machine.</t>
  </si>
  <si>
    <t>We return to the people talking together.</t>
  </si>
  <si>
    <t>We see the closing title screens.</t>
  </si>
  <si>
    <t>v_FMmrxy3OanA</t>
  </si>
  <si>
    <t>The video begins with a title sequence showing a girl throwing clothing at a man, and a title screen.</t>
  </si>
  <si>
    <t>The man and his family are in a backyard speaking to the camera.</t>
  </si>
  <si>
    <t>After he speaks, they cheer.</t>
  </si>
  <si>
    <t>The man and woman put on a tutu and blindfolds.</t>
  </si>
  <si>
    <t>They then begin to hula hoop until the woman loses.</t>
  </si>
  <si>
    <t>Afterward, they speak to the camera and wave goodbye.</t>
  </si>
  <si>
    <t>v_z-94IUxC4Xc</t>
  </si>
  <si>
    <t>Several shots of scenery are shown followed by a person performing a trick on a skateboard and others riding down a hill.</t>
  </si>
  <si>
    <t>Several shots are shown of people riding down the street on skateboards and doing several tricks while the camera zooms in.</t>
  </si>
  <si>
    <t>One man falls in the end and his board crashes along the side.</t>
  </si>
  <si>
    <t>v_2Ua6E2a6kT4</t>
  </si>
  <si>
    <t>A man is seen speaking to the camera while standing out in a back yard.</t>
  </si>
  <si>
    <t>He pans to a man spraying down a fence with a hose and another man watching on the side.</t>
  </si>
  <si>
    <t>The man continues to spray down the hose while another watches on the side and pans back to the camera man.</t>
  </si>
  <si>
    <t>v_ZsqjU0X3mxY</t>
  </si>
  <si>
    <t>A pale young woman in a white dress is standing in the forest with long curly brownish-reddish hair and begins skipping.</t>
  </si>
  <si>
    <t>Then she is shown with a black shirt and long hair and begins talking in a dark staircase.</t>
  </si>
  <si>
    <t>She stands up,flips her pony tail and the camera pans her outfit and she has on a black shirt and blue shorts and begins walking up the stairs.</t>
  </si>
  <si>
    <t>Next,she goes into a room and begins talking to a woman with a black shirt and blonde hair.</t>
  </si>
  <si>
    <t>The lady holds up a white index card with sketches of two heads.</t>
  </si>
  <si>
    <t>The lady washes her hairs and begins cutting it with a pair of shears to a very short length.</t>
  </si>
  <si>
    <t>The girl sits in the chair and begins shaking her ear length hair and holding up the cut off hair in her hands.</t>
  </si>
  <si>
    <t>The hairdresser begins blow drying her hair,cutting it and styling it.</t>
  </si>
  <si>
    <t>She continues to get her hair down while her hair is panned over on the counter and the floor.</t>
  </si>
  <si>
    <t>Then she sits on a bench and smiles at the thought of her short hair cut.</t>
  </si>
  <si>
    <t>v_1XicledQXng</t>
  </si>
  <si>
    <t>A person is seen walking into frame in front of a large closet.</t>
  </si>
  <si>
    <t>The woman then lets her hair down along her back.</t>
  </si>
  <si>
    <t>She brushes her hair continuously and ends by walking out of frame.</t>
  </si>
  <si>
    <t>v_2Tm_2wgv2Zs</t>
  </si>
  <si>
    <t>A small group of people are seen standing before a fooseball table grabbing onto poles.</t>
  </si>
  <si>
    <t>The men play against one another while taking breaks to get a drink and speak with team mates.</t>
  </si>
  <si>
    <t>The people shake hands with one another and hug friends and family.</t>
  </si>
  <si>
    <t>v_r4QPhlrqqP4</t>
  </si>
  <si>
    <t>A woman stands and talks in a garden next to a bed of herbs and plants and a wheelbarrow filled with mulch.</t>
  </si>
  <si>
    <t>A herb garden appears with a woman standing next to it in a large garden next to a wheelbarrow filled with mulch.</t>
  </si>
  <si>
    <t>The woman begins to talk to the camera while gesturing to the flowerbed and the mulch, before eventually picking up a handful of the mulch.</t>
  </si>
  <si>
    <t>The woman continues talking before the scene morphs into video of a small red potatoes on the ground pulled up by the root.</t>
  </si>
  <si>
    <t>v_dbLtukGqkhI</t>
  </si>
  <si>
    <t>People are standing on a roof top looking up.</t>
  </si>
  <si>
    <t>A woman in a green shirt eats chips.</t>
  </si>
  <si>
    <t>A man in a blue shirt is pointing to the sky and moving his hand in circles.</t>
  </si>
  <si>
    <t>There are many kites in the sky around them.</t>
  </si>
  <si>
    <t>v_ATBbNtNlBnY</t>
  </si>
  <si>
    <t>We see a man using an electric sander to sharpen a variety of things.</t>
  </si>
  <si>
    <t>He uses a caliper and ruler on a item.</t>
  </si>
  <si>
    <t>We see him sharpening more things and beveling a tool.</t>
  </si>
  <si>
    <t>The man adjust some screws and moves an arm.</t>
  </si>
  <si>
    <t>We see the item comes with a 7 year warranty.</t>
  </si>
  <si>
    <t>The man adds an oil to the item, and we see the packaging.</t>
  </si>
  <si>
    <t>We see the ending credits for the video.</t>
  </si>
  <si>
    <t>v_smJtFktW640</t>
  </si>
  <si>
    <t>A small group of women are seen dancing together doing choreography with one leading the group in the front.</t>
  </si>
  <si>
    <t>the woman continue dancing with one another and ends with a zumba logo shown in the background.</t>
  </si>
  <si>
    <t>v_epZjMuRRXLo</t>
  </si>
  <si>
    <t>A woman is seen standing in front of a mirror and begins jumping rope while smiling at the camera.</t>
  </si>
  <si>
    <t>She continues jumping over and over again swinging her arms and ends by stopping to smile at the camera.</t>
  </si>
  <si>
    <t>v_jaRSbVCkxlU</t>
  </si>
  <si>
    <t>woman is standing in a kitchen in front of a camera holding a door.</t>
  </si>
  <si>
    <t>woman cuts the door and spread chocolate cream on he top and put another layer of cake.</t>
  </si>
  <si>
    <t>the woman spread the chocolate cream again in the top and put another layer of cake and spread the cream on top and at sides.</t>
  </si>
  <si>
    <t>woman flatten the cream and varnish it.</t>
  </si>
  <si>
    <t>thw woman grabs white fondant and kneads it and then cover the cake with it with her hands and cuts the remaining, adds ornamens on top.</t>
  </si>
  <si>
    <t>v_iXaW8uyzBNs</t>
  </si>
  <si>
    <t>A man is riding a bike.</t>
  </si>
  <si>
    <t>He is talking on a cell phone in a kitchen.</t>
  </si>
  <si>
    <t>He is then talking on a phone near a garage.</t>
  </si>
  <si>
    <t>He starts painting a wooden fence.</t>
  </si>
  <si>
    <t>He sits down and eats food.</t>
  </si>
  <si>
    <t>He then finished painting the fence.</t>
  </si>
  <si>
    <t>He jumps in the air to celebrate.</t>
  </si>
  <si>
    <t>v_kW_2ihjROgw</t>
  </si>
  <si>
    <t>A baby is sitting at a tiny table outside.</t>
  </si>
  <si>
    <t>He is smoking a cigarette and waving at adults.</t>
  </si>
  <si>
    <t>He high fives a woman, then continues to smoke.</t>
  </si>
  <si>
    <t>v_x2uByejBIiY</t>
  </si>
  <si>
    <t>A woman is seen holding ingredients in their hands while speaking to the camera and boiling water.</t>
  </si>
  <si>
    <t>She fries nuts on a pan and pours them on a plate while mixing more ingredients into a pan and pouring it over the nuts.</t>
  </si>
  <si>
    <t>She mixes them all together and shows off several plates in the end.</t>
  </si>
  <si>
    <t>v_UcQ63-sQ9bI</t>
  </si>
  <si>
    <t>A close up of a guitar is seen followed by a person strumming the back.</t>
  </si>
  <si>
    <t>The person moves their hands up and down the neck of the guitar while moving it to play.</t>
  </si>
  <si>
    <t>The man continues to play the instrument and stops in the end.</t>
  </si>
  <si>
    <t>v_Vshvpb9eecg</t>
  </si>
  <si>
    <t>A woman is seen walking into frame while speaking to the camera and putting her face in cream.</t>
  </si>
  <si>
    <t>The woman then rubs the cream on her face while still speaking to the camera.</t>
  </si>
  <si>
    <t>The camera pans around the kitchen while the woman continues to rub her hands in the lotion.</t>
  </si>
  <si>
    <t>v_VVLeWYKoNUE</t>
  </si>
  <si>
    <t>We see a person jet-skiing behind a boat.</t>
  </si>
  <si>
    <t>The boat runs aground into some brush.</t>
  </si>
  <si>
    <t>The skier is laying in the lake.</t>
  </si>
  <si>
    <t>v_SA2GomtZkvE</t>
  </si>
  <si>
    <t>A man plays an accordion in the street.</t>
  </si>
  <si>
    <t>He is wearing a hoodie.</t>
  </si>
  <si>
    <t>He is sitting next to his bike.</t>
  </si>
  <si>
    <t>A man walks in the background.</t>
  </si>
  <si>
    <t>v_Y5qDKbTkCaY</t>
  </si>
  <si>
    <t>The words "The Shot Put" appear on screen over an athlete.</t>
  </si>
  <si>
    <t>"The Shot Put Introduction" appears on screen followed by several athletes performing the sport.</t>
  </si>
  <si>
    <t>The words "Thank you for Watching" appears on the screen.</t>
  </si>
  <si>
    <t>v_FjMeS0FCvas</t>
  </si>
  <si>
    <t>A man lifts up a large pitcher of beer and starts drinking it.</t>
  </si>
  <si>
    <t>People sitting around a table cheer him on.</t>
  </si>
  <si>
    <t>The man puts his hands in the air and laughs.</t>
  </si>
  <si>
    <t>The people around the table start pumping their hands in the air.</t>
  </si>
  <si>
    <t>The man claps his hands.</t>
  </si>
  <si>
    <t>v_rsJUOsr1u3o</t>
  </si>
  <si>
    <t>A man is standing over an oven cooking something in a pan.</t>
  </si>
  <si>
    <t>He bends down to check the flame.</t>
  </si>
  <si>
    <t>He tosses the pan a few times.</t>
  </si>
  <si>
    <t>He is adding seasonings to the pan.</t>
  </si>
  <si>
    <t>He pours a liquid into the pan.</t>
  </si>
  <si>
    <t>He shakes the pan again.</t>
  </si>
  <si>
    <t>v_Cq7Myyfbtn0</t>
  </si>
  <si>
    <t>A person helps another person walk on stilts on the sidewalk.</t>
  </si>
  <si>
    <t>The person walks by themselves.</t>
  </si>
  <si>
    <t>The man sits down in a chair.</t>
  </si>
  <si>
    <t>v_CXb3Ce7s6G0</t>
  </si>
  <si>
    <t>Several screens are shown of bright orange lettering on a black background.</t>
  </si>
  <si>
    <t>A man and a woman are standing upright in a pool, and the man is showing the woman swimming techniques.</t>
  </si>
  <si>
    <t>The woman begins to emulate the man's actions, moving her arms and dipping her head under the water.</t>
  </si>
  <si>
    <t>The man shows her how to swim outward by doing so himself.</t>
  </si>
  <si>
    <t>The woman watches as he swims away.</t>
  </si>
  <si>
    <t>v_RRIGf87R6jc</t>
  </si>
  <si>
    <t>A girl is pouring ingredients into a bowl and mixing them together.</t>
  </si>
  <si>
    <t>She uses a cookie cutter to cut shapes out of the dough.</t>
  </si>
  <si>
    <t>She is dipping the dough into a white glaze.</t>
  </si>
  <si>
    <t>v_12sz7NMvyfI</t>
  </si>
  <si>
    <t>A person is blowing leaves in the back of their yard.</t>
  </si>
  <si>
    <t>The kid is having some trouble but is generally doing an ok job.</t>
  </si>
  <si>
    <t>v_XSNenkxgryQ</t>
  </si>
  <si>
    <t>A news anchor presents a story behind a desk in a large newsroom.</t>
  </si>
  <si>
    <t>People are seen smoking regular cigarettes and electric cigarettes.</t>
  </si>
  <si>
    <t>The news anchor talks with a guest in the newsroom.</t>
  </si>
  <si>
    <t>Professionals are seen in there offices discussing the subject.</t>
  </si>
  <si>
    <t>Text is seen against a red background with a website and information.</t>
  </si>
  <si>
    <t>v_DthkauVLag0</t>
  </si>
  <si>
    <t>A man is shown smiling and talking into the camera and holding a young boy up on a sink.</t>
  </si>
  <si>
    <t>The man holds the boys eyes open while he laughs and brushes his teeth.</t>
  </si>
  <si>
    <t>v_GA8XzZTETPE</t>
  </si>
  <si>
    <t>A ballerina starts dancing on a stage.</t>
  </si>
  <si>
    <t>She does several spins on the stage.</t>
  </si>
  <si>
    <t>She does a leap on the stage.</t>
  </si>
  <si>
    <t>She lays down on the stage.</t>
  </si>
  <si>
    <t>v_TVeIcQOvMZI</t>
  </si>
  <si>
    <t>A man is seen speaking to the camera that leads into a person playing crochet.</t>
  </si>
  <si>
    <t>Several shots are shown of children hitting the balls as well as speaking to the camera.</t>
  </si>
  <si>
    <t>More kids and adults speak to the camera while showing how they hit the ball.</t>
  </si>
  <si>
    <t>v_g5-CU3qfSWY</t>
  </si>
  <si>
    <t>A person is seen running down a long track with a pole and attempting to push herself forward.</t>
  </si>
  <si>
    <t>Her run is shown again in slow motion as another person attempts to push over the pole and fails.</t>
  </si>
  <si>
    <t>More clips are shown of people attempting to jump over the wall and not making it high enough.</t>
  </si>
  <si>
    <t>v_dLLvpM-gB8Q</t>
  </si>
  <si>
    <t>Two kids are playing in the back of a truck.</t>
  </si>
  <si>
    <t>People are standing around a yellow ice cream truck.</t>
  </si>
  <si>
    <t>Two kids are sitting down on a sidewalk eating ice cream.</t>
  </si>
  <si>
    <t>v_2NyOIsFJ3Tw</t>
  </si>
  <si>
    <t>We then see a girl run and fall on a slip and slide.</t>
  </si>
  <si>
    <t>We see another title screen and watch the kids slide down slide and across their slip and slide.</t>
  </si>
  <si>
    <t>A kid slides down the slide on a raft.</t>
  </si>
  <si>
    <t>v_aQHGZzqZLxs</t>
  </si>
  <si>
    <t>A man is demonstrating how to kindle a small pit of fire.</t>
  </si>
  <si>
    <t>First, the man shows off the flint he has for the fire.</t>
  </si>
  <si>
    <t>He then puts the flint into a pile of wood.</t>
  </si>
  <si>
    <t>The man then lights the fire, which slowly spreads throughout the wood.</t>
  </si>
  <si>
    <t>The man then pokes the fire with pieces of flat wood to spread the fire.</t>
  </si>
  <si>
    <t>The man then shakes the twigs on the wood to further spread the fire.</t>
  </si>
  <si>
    <t>v_mOVPZhGyUrs</t>
  </si>
  <si>
    <t>There are two men playing ping pong in a basement.</t>
  </si>
  <si>
    <t>One of the players is wearing a black shirt and the other is a blue shirt.</t>
  </si>
  <si>
    <t>There is a mattress leaning against the basement wall.</t>
  </si>
  <si>
    <t>The players continue playing a smooth rally.</t>
  </si>
  <si>
    <t>Then the person in black misses the shot.</t>
  </si>
  <si>
    <t>They continue playing ping pong for a few more rounds.</t>
  </si>
  <si>
    <t>The person in blue hits the ball in the net.</t>
  </si>
  <si>
    <t>They continue playing more till the person in blue drops the ball on the ground.</t>
  </si>
  <si>
    <t>v_m22vOf2fw1M</t>
  </si>
  <si>
    <t>A person trims the top of a pink hedge using a hedge trimmer.</t>
  </si>
  <si>
    <t>Then, the man trim the sides of the pink hedge on front a house.</t>
  </si>
  <si>
    <t>v_-KbDXeEoQ1E</t>
  </si>
  <si>
    <t>Various pictures of shown of a girl and a horse and leads into a person riding a horse over jumps.</t>
  </si>
  <si>
    <t>More pictures are shown off the horse and person together followed by more clips of the girl riding the horse.</t>
  </si>
  <si>
    <t>In the end the horse is seen tied up to the stables and the girl wanders around him.</t>
  </si>
  <si>
    <t>v_p0_buoe9M7I</t>
  </si>
  <si>
    <t>A young woman is sitting on a red lounge chair as a tattoo artist begins doing his job.</t>
  </si>
  <si>
    <t>As he applies the needle,the girl fringes in her face but stays as still as possible.</t>
  </si>
  <si>
    <t>The tattoo is finally finished and the man dabs the rest of the tattoo on her foot.</t>
  </si>
  <si>
    <t>v_LNK_yYs6UOA</t>
  </si>
  <si>
    <t>A man walks into a circle on a field.</t>
  </si>
  <si>
    <t>He spins while holding a disc.</t>
  </si>
  <si>
    <t>He lets go of the disc, letting it fly through the air.</t>
  </si>
  <si>
    <t>v_r9X01daYa5o</t>
  </si>
  <si>
    <t>A man is sitting down in a chair.</t>
  </si>
  <si>
    <t>He is wearing a mask on his face.</t>
  </si>
  <si>
    <t>He is welding something in front of him.</t>
  </si>
  <si>
    <t>v_FuaxI8PkeHQ</t>
  </si>
  <si>
    <t>A young boy is seen sitting in a chair looking away with others walking by.</t>
  </si>
  <si>
    <t>The man then takes a sip of a drink and makes a funny face.</t>
  </si>
  <si>
    <t>v_F6cNWYlfUs8</t>
  </si>
  <si>
    <t>A large group of people are seen walking in the snow with several being interviewed on the camera.</t>
  </si>
  <si>
    <t>They're seen inside a shop sharpening skiis and laughing with one another.</t>
  </si>
  <si>
    <t>v_Zm32ORZly10</t>
  </si>
  <si>
    <t>A small group of people are seen standing around with one woman holding signs and leads into people playing tug of war.</t>
  </si>
  <si>
    <t>Several shots of the games are shown as well as a girl dancing and kids warming up.</t>
  </si>
  <si>
    <t>the kids play more tug of a war and a close up of a person's face is seen in slow motion.</t>
  </si>
  <si>
    <t>v_Tko7eefi1BI</t>
  </si>
  <si>
    <t>A woman is sitting outside on a white chair playing at accordion.</t>
  </si>
  <si>
    <t>There is a music stand sitting in front of her.</t>
  </si>
  <si>
    <t>v_S-8ogZOLiWU</t>
  </si>
  <si>
    <t>We see a man putting on gear and then hockey player walking to the rink.</t>
  </si>
  <si>
    <t>We see the crowd clapping.</t>
  </si>
  <si>
    <t>We see a game of hockey being played.</t>
  </si>
  <si>
    <t>We see people clapping in the crowd.</t>
  </si>
  <si>
    <t>A man's hand is shaken and see the whole team on the ice.</t>
  </si>
  <si>
    <t>v_5wchVLM0f5Y</t>
  </si>
  <si>
    <t>A man is seen solving a rubix cube was another sits beside him and watches.</t>
  </si>
  <si>
    <t>He solves the puzzle and puts it down on the table then smiles at the camera.</t>
  </si>
  <si>
    <t>v_vr7iD3pjmSU</t>
  </si>
  <si>
    <t>An archery competition montage video shows pitched battles taking place in fields, convention halls of hotels, indoor arenas, and warehouses.</t>
  </si>
  <si>
    <t>A logo for Archery Tag appears and an ad plays for another video and subscription.</t>
  </si>
  <si>
    <t>v_W4aPcuQSxFI</t>
  </si>
  <si>
    <t>A close up of a sink is shown followed by a person turning on a faucet and grabbing the camera.</t>
  </si>
  <si>
    <t>She faces a table and sprays down a rag followed by pushing the rag along the floor.</t>
  </si>
  <si>
    <t>The woman continues cleaning the floor and walks back to the camera.</t>
  </si>
  <si>
    <t>v_ZpuZEui-Bu0</t>
  </si>
  <si>
    <t>There are two little girls standing in an indoor court learning to play squash.</t>
  </si>
  <si>
    <t>They are standing with their racquets and trying to hit the ball against the wall.</t>
  </si>
  <si>
    <t>They attempt to hit the ball but end up brushing it on the floor.</t>
  </si>
  <si>
    <t>They run around the court trying to catch the ball with their racquets.</t>
  </si>
  <si>
    <t>they run around smiling with their oversized racquets and run to follow the ball around the court.</t>
  </si>
  <si>
    <t>v_55ziFpzx5oc</t>
  </si>
  <si>
    <t>Four young women and a man are on the stage, while one girl is playing the guitar.</t>
  </si>
  <si>
    <t>The lady in yellow began singing, then the lady in pink shirt.</t>
  </si>
  <si>
    <t>When the girls are finished singing the crowd cheered.</t>
  </si>
  <si>
    <t>v_PzNpPDd-VWE</t>
  </si>
  <si>
    <t>We see a man fall in the water in reverse.</t>
  </si>
  <si>
    <t>We watch people walk on a slackline over a body of water.</t>
  </si>
  <si>
    <t>We see a series of falls.</t>
  </si>
  <si>
    <t>A man makes it across.</t>
  </si>
  <si>
    <t>We see a man climb a tree and get a coconut.</t>
  </si>
  <si>
    <t>The pan puts a tap in the coconut and pours it in his mouth as he lays on the ground.</t>
  </si>
  <si>
    <t>The man sits up and smiles.</t>
  </si>
  <si>
    <t>v_AS1nLh3xfxI</t>
  </si>
  <si>
    <t>A close up of boots are seen as well as person digging a hole.</t>
  </si>
  <si>
    <t>The person lays out dirt and cut a hole into it while also putting a plant inside.</t>
  </si>
  <si>
    <t>The person waters the plant and ends by laying out more dirt.</t>
  </si>
  <si>
    <t>v_ZNsX4KYJlVQ</t>
  </si>
  <si>
    <t>A boy is standing at the counter facing backwards from the dart board.</t>
  </si>
  <si>
    <t>His mom is standing beside him and he is getting ready to throw his dart.</t>
  </si>
  <si>
    <t>He throws it and completely misses the dart board all together.</t>
  </si>
  <si>
    <t>He hits the top of the wall and he goes over to reach for it and take it out.</t>
  </si>
  <si>
    <t>v_8wNsOZHTsj0</t>
  </si>
  <si>
    <t>A man splits logs into using an ax in a grassy yard while his wife retrieves the pieces.</t>
  </si>
  <si>
    <t>A man splits logs in the yard by himself.</t>
  </si>
  <si>
    <t>The man sets his ax blade into the log and takes a brake.</t>
  </si>
  <si>
    <t>v_wv2baWJtSoc</t>
  </si>
  <si>
    <t>A man in a blue shirt is sitting down holding a bar on an exercise machine.</t>
  </si>
  <si>
    <t>He pushes off and uses the exercise machine.</t>
  </si>
  <si>
    <t>v_4Mo-IYfNKBo</t>
  </si>
  <si>
    <t>We see a man mopping a floor under women's feet.</t>
  </si>
  <si>
    <t>The middle lady uses her foot to move the mop.</t>
  </si>
  <si>
    <t>The left lady then moves the mop with her foot.</t>
  </si>
  <si>
    <t>The middle lady does it again then the man finishes mopping the floor.</t>
  </si>
  <si>
    <t>v_L6BxxvCbwpQ</t>
  </si>
  <si>
    <t>A guy is crawling on the ground.</t>
  </si>
  <si>
    <t>The guy is using a box knife to cut the carpet.</t>
  </si>
  <si>
    <t>The guy looks behind him.</t>
  </si>
  <si>
    <t>There are a lot of papers on the wall.</t>
  </si>
  <si>
    <t>v_4gQpW3zR-Aw</t>
  </si>
  <si>
    <t>A group of men are seen leading a camel around while a person rides on top of the camel.</t>
  </si>
  <si>
    <t>One man leads the camera around with the person on top and people recording them from the sides.</t>
  </si>
  <si>
    <t>The man lays the camel down for the person to climb off and the rider smiles and waves to the camera.</t>
  </si>
  <si>
    <t>v_xlOc6r6E08w</t>
  </si>
  <si>
    <t>A man is running down a pathway in the field in slow motion preparing to throw a javelin.</t>
  </si>
  <si>
    <t>As he comes closer,he begins to turn and run sideways and throws the javelin.</t>
  </si>
  <si>
    <t>Once it is released,he stumbles and has difficulty trying to catch his balance as the rest of the people surrounding him look to see his distance.</t>
  </si>
  <si>
    <t>v_eCzDH6PdtlE</t>
  </si>
  <si>
    <t>A gymnast performs on a pommel horse on front a crowd in the bleachers.</t>
  </si>
  <si>
    <t>Then, she flips backwards and lands stand on the foam mat.</t>
  </si>
  <si>
    <t>v_rQc7UhpiDU8</t>
  </si>
  <si>
    <t>A man is seen shooting a bow and arrow followed by another man taking a bow and aiming.</t>
  </si>
  <si>
    <t>Another man is seen kneeling down before bows and speaking to the camera.</t>
  </si>
  <si>
    <t>He points to various boxes and continues looking into the camera and speaking.</t>
  </si>
  <si>
    <t>v_wDlbcTFI90o</t>
  </si>
  <si>
    <t>The video is a tutorial about installing deck tiles.</t>
  </si>
  <si>
    <t>There's a contractor working on a deck.</t>
  </si>
  <si>
    <t>He begins installing the interlocking wooden tiles on a concrete deck surface.</t>
  </si>
  <si>
    <t>He covers the entire deck with the wooden tiles to evenly cover the surface area.</t>
  </si>
  <si>
    <t>v_HbXNXmCRFh4</t>
  </si>
  <si>
    <t>An older man is in a pool and he's holding a yellow ball in front of his face.</t>
  </si>
  <si>
    <t>The man throws it to a dog who is balancing on a blue floating device and the dog hits it back to the man using his nose.</t>
  </si>
  <si>
    <t>The man throws it back to the dog and the dog hits it back and then he slips off the floating device and splashes into the water.</t>
  </si>
  <si>
    <t>v_QbhMOqg9Tmg</t>
  </si>
  <si>
    <t>women are insisde a bathtub shving her legs with ceam and water.</t>
  </si>
  <si>
    <t>women are laughing in front of a mirror.</t>
  </si>
  <si>
    <t>v_T3rh5gQVFKA</t>
  </si>
  <si>
    <t>We see a wolf fall in the title screen.</t>
  </si>
  <si>
    <t>We see the landscape of a small town.</t>
  </si>
  <si>
    <t>A boy rides down a street on a skateboard.</t>
  </si>
  <si>
    <t>Four boys on skateboards ride past.</t>
  </si>
  <si>
    <t>We see a boy almost fall two times.</t>
  </si>
  <si>
    <t>We See the board on the curb.</t>
  </si>
  <si>
    <t>A group of boys walking up a hill.</t>
  </si>
  <si>
    <t>The end credits play and we see a boy on a bus.</t>
  </si>
  <si>
    <t>v_n9MONPwq7x0</t>
  </si>
  <si>
    <t>A man dressed in a black sweatshirt and black shorts, along with another person dressed in white athletic wear are standing in a tennis court near the net.</t>
  </si>
  <si>
    <t>They are both holding tennis rackets.</t>
  </si>
  <si>
    <t>The person in black is giving a tutorial on how to return a serve in tennis.</t>
  </si>
  <si>
    <t>There is a player demonstrating the serve as the coach explains.</t>
  </si>
  <si>
    <t>Then the person in white begins taking about more about the tennis serve and how to play effectively.</t>
  </si>
  <si>
    <t>The player continues to demonstrate the serves.</t>
  </si>
  <si>
    <t>v_SsAmEJvdpyU</t>
  </si>
  <si>
    <t>People are doing tricks on roller blades.</t>
  </si>
  <si>
    <t>A man jumps down a flight of stairs on roller blades.</t>
  </si>
  <si>
    <t>A man in a white shirt jumps down a flight of stairs.</t>
  </si>
  <si>
    <t>v_smGijLg8Cho</t>
  </si>
  <si>
    <t>Three men are set up to play darts.</t>
  </si>
  <si>
    <t>The man in the peach shirts throws a dart at the dart board.</t>
  </si>
  <si>
    <t>A man in blue hits a cue ball.</t>
  </si>
  <si>
    <t>The man in peach lines back up and shoots three darts at the dart board and removes them.</t>
  </si>
  <si>
    <t>He lines back up in front of the board and throws one more dart.</t>
  </si>
  <si>
    <t>More people gather around as two men remove the darts from the dartboards and walk back a distance.</t>
  </si>
  <si>
    <t>Both men throw a dart at the dartboard.</t>
  </si>
  <si>
    <t>The man in peach walks to remove the darts.</t>
  </si>
  <si>
    <t>A woman stands by the dart board and smiles.</t>
  </si>
  <si>
    <t>The man in peach throws three darts at the board again and smiles as he removes them.</t>
  </si>
  <si>
    <t>v_eqWQOAjF4-k</t>
  </si>
  <si>
    <t>We see a little boy standing on a platform on a jungle gym.</t>
  </si>
  <si>
    <t>The boy climbs across on the monkey bars.</t>
  </si>
  <si>
    <t>The boy reaches the other platform and turns and smiles for the camera.</t>
  </si>
  <si>
    <t>v_xlCOq0ryx-Y</t>
  </si>
  <si>
    <t>Two men sit in a room smoking cigarettes one playing guitar the other on keyboard.</t>
  </si>
  <si>
    <t>The man on guitar on the right takes his cigarette out of his mouth and puts it down.</t>
  </si>
  <si>
    <t>The man on the left takes his cigarette out and wipes mouth on his arm.</t>
  </si>
  <si>
    <t>They finish and the man on the left wipes his mouth and the right takes his cigarette out and blows smoke.</t>
  </si>
  <si>
    <t>v_XbSQ_7vh7yc</t>
  </si>
  <si>
    <t>An older woman and young child are seen washing dishes in a sink and speaking to one another.</t>
  </si>
  <si>
    <t>The people play in the water and the girl blows bubbles while the woman washes dishes.</t>
  </si>
  <si>
    <t>v_548xC74c6MQ</t>
  </si>
  <si>
    <t>A colorful hexagonal shaped kite is flying high in the air.</t>
  </si>
  <si>
    <t>The clear blue skies and the bright sun shinning make the kite look very colorful and radiant.</t>
  </si>
  <si>
    <t>v_0WVkoTBmhA0</t>
  </si>
  <si>
    <t>A cartoon animation video is shown with people wandering around and rockets being shot.</t>
  </si>
  <si>
    <t>Two men fight robots of evil and ends with a to be continued.</t>
  </si>
  <si>
    <t>v_xmb7j1e0wts</t>
  </si>
  <si>
    <t>A woman is seen speaking to the camera and leads into her laying out various food items and mixing ingredients into a blender.</t>
  </si>
  <si>
    <t>She pours more out more flours into the mixer and shows several shots of cookies being made.</t>
  </si>
  <si>
    <t>She lays out more ingredients, pours of spoonfuls of dough onto a pan, and then breaks apart a cooked cookie.</t>
  </si>
  <si>
    <t>v_ouEWLFNLLos</t>
  </si>
  <si>
    <t>An elderly man is walking and a large white bird is biting at his right foot.</t>
  </si>
  <si>
    <t>The man turns around and points and scolds the bird and continues to walk.</t>
  </si>
  <si>
    <t>The man then bends down near some stairs, wipes the outside of the building and the bird continues to attack the man.</t>
  </si>
  <si>
    <t>The man scolds the bird again and motions to the small dog that's also there that the dog and bird should interact but the bird keeps messing with the man and the dog stays out of it.</t>
  </si>
  <si>
    <t>v_FRX4LTw9650</t>
  </si>
  <si>
    <t>Various women are seen looking at the camera followed by a man speaking to the camera.</t>
  </si>
  <si>
    <t>Several tools are shown that lea into one woman brushing out her hair.</t>
  </si>
  <si>
    <t>Another woman brushes her hair and leads into more clips of women smiling and looking to the camera.</t>
  </si>
  <si>
    <t>v_4llkVfMzsN4</t>
  </si>
  <si>
    <t>Two people are playing wall ball in a room.</t>
  </si>
  <si>
    <t>A boy falls down diving for the ball.</t>
  </si>
  <si>
    <t>A person walks in front of the room.</t>
  </si>
  <si>
    <t>v_lMbDEY-CVwE</t>
  </si>
  <si>
    <t>A man is indoors, as he picks a frisbee off the ground.</t>
  </si>
  <si>
    <t>He then uses several frisbees to train and display the stunts of a medium sized collie dog.</t>
  </si>
  <si>
    <t>The dog runs off screen and brings back the frisbees.</t>
  </si>
  <si>
    <t>The scene ends with the dog trying desperately to remove a frisbee from the seated man's hand.</t>
  </si>
  <si>
    <t>v_6iBXtHrJ4gc</t>
  </si>
  <si>
    <t>An older man is seen walking towards the camera and points to various plants around him.</t>
  </si>
  <si>
    <t>The camera pans around the area with all the plants growing and shows the man holding a tool.</t>
  </si>
  <si>
    <t>The man then uses the tool along a hedge of bushes while looking back and smiling to the camera.</t>
  </si>
  <si>
    <t>v_ajYA9O6R-AY</t>
  </si>
  <si>
    <t>A young girl is seen speaking to the camera standing before a game of hop scotch drawn out.</t>
  </si>
  <si>
    <t>The girl then throws a rock and hops to end while grabbing it and hopping back.</t>
  </si>
  <si>
    <t>v_qVy_WDpLHRM</t>
  </si>
  <si>
    <t>A woman is standing behind a vacuum.</t>
  </si>
  <si>
    <t>She begins vacuuming the carpet.</t>
  </si>
  <si>
    <t>She takes off the hose attachment and cleans a lamp and the stairs.</t>
  </si>
  <si>
    <t>She empties the filter of the vacuum into the trash can.</t>
  </si>
  <si>
    <t>v_WKLLTGbDI7w</t>
  </si>
  <si>
    <t>The recipe for making limeade is shown.</t>
  </si>
  <si>
    <t>Limes are juiced and then combined with water and sugar.</t>
  </si>
  <si>
    <t>The whole thing is stirred.</t>
  </si>
  <si>
    <t>v_IkjulgI7gzg</t>
  </si>
  <si>
    <t>There are two body builders dressed in a black shirts demonstrating weightlifting in a gym.</t>
  </si>
  <si>
    <t>One of the bodybuilders is lifting the weights while the other is explaining the correct method of doing it.</t>
  </si>
  <si>
    <t>He bodybuilder lifts the weight gradually at first and then swiftly picks himself up to raise the weights.</t>
  </si>
  <si>
    <t>The other bodybuilder continues to explain the weightlifting strategies that is used professionally.</t>
  </si>
  <si>
    <t>v_5Eb_NVjFah0</t>
  </si>
  <si>
    <t>We see a title screen slide down the screen .</t>
  </si>
  <si>
    <t>We then watch an older boy and a boy bowl in a bowling alley.</t>
  </si>
  <si>
    <t>A small boy in an orange shirt rolls the ball down the aisle.</t>
  </si>
  <si>
    <t>We watch an older boy in a green shirt roll the ball 5 times and get 4 strikes.</t>
  </si>
  <si>
    <t>We see a title screen and a slow motion of one of the shots of the older boy.</t>
  </si>
  <si>
    <t>v_WttP_X-aCEA</t>
  </si>
  <si>
    <t>A man is shown outside in a kid park with grey shorts on a a pair of black and white Puma sneakers.</t>
  </si>
  <si>
    <t>He then pulls him self up on top of the monkey bars and stands on top of them and goes into a hand stand.</t>
  </si>
  <si>
    <t>Once he has got his balance,he travels across is and jumps off one he has gotten to the end.</t>
  </si>
  <si>
    <t>v_RJpWgi0EaUE</t>
  </si>
  <si>
    <t>Three individuals sit on stage and have a conversation.</t>
  </si>
  <si>
    <t>Two boys dance in the same fashion.</t>
  </si>
  <si>
    <t>An image of a man is incorporated into the screen with the dancers.</t>
  </si>
  <si>
    <t>The man cover his face with his hand.</t>
  </si>
  <si>
    <t>The man and woman gesture the dancers hand movements.</t>
  </si>
  <si>
    <t>This man gets off his seat and knees.</t>
  </si>
  <si>
    <t>The man gets of his knees and sits back down.</t>
  </si>
  <si>
    <t>The man and female touch hands while sitting.</t>
  </si>
  <si>
    <t>The man claps his hands together.</t>
  </si>
  <si>
    <t>The man waves at a man backstage to join them.</t>
  </si>
  <si>
    <t>A standing man who is backstage claps.</t>
  </si>
  <si>
    <t>The two boy dancers are shown extending one hand.</t>
  </si>
  <si>
    <t>A man walks from backstage.</t>
  </si>
  <si>
    <t>The man shake hands and hugs one of the man on stage.</t>
  </si>
  <si>
    <t>The female stands and also hugs the man.</t>
  </si>
  <si>
    <t>A man stand and then sits.</t>
  </si>
  <si>
    <t>The man in a black suit dances and then sits.</t>
  </si>
  <si>
    <t>The man in a brown suit returns to the backstage area.</t>
  </si>
  <si>
    <t>The man is shown while backstage.</t>
  </si>
  <si>
    <t>The show's name is shown.</t>
  </si>
  <si>
    <t>v_knY08LrNyHg</t>
  </si>
  <si>
    <t>Several shots are shown of people pushing sail boats into the water as well as riding them around one another.</t>
  </si>
  <si>
    <t>People are seen riding around on jet skis following the boat as well as close ups of the boats being shown as well as underwater.</t>
  </si>
  <si>
    <t>More people are seen riding on smaller boats and end by dragging a boat back to shore.</t>
  </si>
  <si>
    <t>v_5QZpCDyXNx4</t>
  </si>
  <si>
    <t>Kids are riding bicycles around a dirt track.</t>
  </si>
  <si>
    <t>One of them tips over and falls.</t>
  </si>
  <si>
    <t>They continue to go around the track.</t>
  </si>
  <si>
    <t>Another person crashes and falls.</t>
  </si>
  <si>
    <t>v_RcDEaYPwI6I</t>
  </si>
  <si>
    <t>A group of dancers in red outfits dance on stage.</t>
  </si>
  <si>
    <t>A group of cheerleaders in pink stand on a field while a group in white walk up to great the coach.</t>
  </si>
  <si>
    <t>A solo woman in a red blouse discusses the events in a room with lit up letters in the background.</t>
  </si>
  <si>
    <t>Both teams of women line up on the field together.</t>
  </si>
  <si>
    <t>Both groups of women dance together in unison with the coach leading in front.</t>
  </si>
  <si>
    <t>The women in pink uniforms dance on the field.</t>
  </si>
  <si>
    <t>The women in white uniforms dance on the field.</t>
  </si>
  <si>
    <t>v_Uot4XZns2b4</t>
  </si>
  <si>
    <t>We see a man prying shingles up around a pipe.</t>
  </si>
  <si>
    <t>The man then pushes the pipe down and nails it.</t>
  </si>
  <si>
    <t>The man add tar to the pipe base and nails shingles down around it.</t>
  </si>
  <si>
    <t>The man then puts tar under the top shingle.</t>
  </si>
  <si>
    <t>We see the house and a truck parked in the driveway.</t>
  </si>
  <si>
    <t>v_5aTek77vxBA</t>
  </si>
  <si>
    <t>A woman kneels outdoors on a concrete ground and rinses clothes out and washes them using a metal bucket for the rinsing and the ground as a washboard for the clothes.</t>
  </si>
  <si>
    <t>A little girl walks up to the woman and pours more water in the woman’s metal bucket then walks away to stand next to a well where another woman is kneeling and washing clothes in the same way.</t>
  </si>
  <si>
    <t>The first woman is shown again this time washing a large white sheet against the ground using the metal bucket again for the water supply.</t>
  </si>
  <si>
    <t>v_v7o9uSu9AVI</t>
  </si>
  <si>
    <t>A strong man is lifting his legs up and down across parallel bars.</t>
  </si>
  <si>
    <t>He begins to do shrugs on the bars.</t>
  </si>
  <si>
    <t>He starts to walk his body across with his hands.</t>
  </si>
  <si>
    <t>He circles around on the edge of the bars with his arms.</t>
  </si>
  <si>
    <t>He swings his legs and leaps with his arms across the parallel bars.</t>
  </si>
  <si>
    <t>A man does dips on the parallel bars.</t>
  </si>
  <si>
    <t>Another man does dips down to his elbows on the parallel bars.</t>
  </si>
  <si>
    <t>He then starts to do dips down to his armpits on the parallel bars called Russian Dips, while keeping his legs in the air.</t>
  </si>
  <si>
    <t>A man does dips with his body in front of the bar and legs swoops underneath the bar.</t>
  </si>
  <si>
    <t>He then does pushups on the parallel bars, by going down, pushing forward, then up.</t>
  </si>
  <si>
    <t>He begins to do pushups, with his knees tucked, with the parallel bars.</t>
  </si>
  <si>
    <t>A different man does leg dips, swings his legs up and around each parallel bar and pushes forward across the parallel bars.</t>
  </si>
  <si>
    <t>When he reaches the end, he tucks in his knees and lifts his body up and perpendicular to the bars.</t>
  </si>
  <si>
    <t>He then does knee and leg raises.</t>
  </si>
  <si>
    <t>A different man keeps his legs straight out and moves them across each bar.</t>
  </si>
  <si>
    <t>A different man brings his legs straight up into a V-shape on the bars.</t>
  </si>
  <si>
    <t>He then rests his elbows on the bars and swings his body perpendicular to the bars then parallel to the bars.</t>
  </si>
  <si>
    <t>He begins to do shoulder stands on the bars.</t>
  </si>
  <si>
    <t>He switches to doing a head stand and holds.</t>
  </si>
  <si>
    <t>A different man starts to swing his body from under the bars and presses himself up and over the bars.</t>
  </si>
  <si>
    <t>v_DzdNjXensv0</t>
  </si>
  <si>
    <t>A group of people are gathered outdoors at a market.</t>
  </si>
  <si>
    <t>People walk by looking at all the wares.</t>
  </si>
  <si>
    <t>A dog appears, as people continue to bustle.</t>
  </si>
  <si>
    <t>v_3j52keiQuiw</t>
  </si>
  <si>
    <t>A gymnast mounts a low beam in front of a crowd.</t>
  </si>
  <si>
    <t>She does bends, handsprings, and forward and back flips on the beam.</t>
  </si>
  <si>
    <t>She dismounts proudly, lifting her arms into the air.</t>
  </si>
  <si>
    <t>v_2OEa00knM9E</t>
  </si>
  <si>
    <t>A man is seen sitting on a horse with a rope in his hands.</t>
  </si>
  <si>
    <t>He then rides in on a horse and ropes up a calf with the rope.</t>
  </si>
  <si>
    <t>Several people are shown riding in and roping up cattle while others watch on the side.</t>
  </si>
  <si>
    <t>v_6h-WE-0eBlA</t>
  </si>
  <si>
    <t>A man is leaning over a pool table, hitting the ball with his cue.</t>
  </si>
  <si>
    <t>A woman in a pink bikini spins her cue as she waits her turn.</t>
  </si>
  <si>
    <t>Then she takes a shot at the ball, knocking them into the holes.</t>
  </si>
  <si>
    <t>v_1RJgvoFfbkI</t>
  </si>
  <si>
    <t>Two men are in the middle of the court fighting one another.</t>
  </si>
  <si>
    <t>They are practicing their moves while others stand by and watch.</t>
  </si>
  <si>
    <t>It's like a culture practiced by many who actually enjoy it and think it is a fun sport.</t>
  </si>
  <si>
    <t>They take it very seriously, some fight and some enjoy watching.</t>
  </si>
  <si>
    <t>v_O2Vd29Slt7g</t>
  </si>
  <si>
    <t>A young man on the roof of a tall building, with the backdrop of a city skyline, performs a series of dance moves, gymnastics moves, tumbling moves and high kicks.</t>
  </si>
  <si>
    <t>The man begins with his back to the camera and stands facing the city skyline from the roof top.</t>
  </si>
  <si>
    <t>The man then begins a series of high kicks, handless back flips, and breakdance moves.</t>
  </si>
  <si>
    <t>The dance moves end with more high kicks, head stands and semi martial art moves, as the camera circles the man, as the man finishes, and walks, with back to camera, to the edge of the roof again.</t>
  </si>
  <si>
    <t>v_rb-PUa4uGLQ</t>
  </si>
  <si>
    <t>A person wearing a costume is seen sitting in the middle of the street playing an accordion.</t>
  </si>
  <si>
    <t>The person continues playing while the camera zooms in and several cars and people move behind him.</t>
  </si>
  <si>
    <t>v_hRIXXCe0Hi0</t>
  </si>
  <si>
    <t>We see a man talking to a camera.</t>
  </si>
  <si>
    <t>We see shots of men and a crowd of people.</t>
  </si>
  <si>
    <t>The men play rock paper scissors.</t>
  </si>
  <si>
    <t>A lady in the crowd jumps up and down.</t>
  </si>
  <si>
    <t>We see the man high five each other.</t>
  </si>
  <si>
    <t>We see a lady in front a person in costume.</t>
  </si>
  <si>
    <t>The man in red raises his hands in triumph.</t>
  </si>
  <si>
    <t>Ladies bring a big check to the man in red.</t>
  </si>
  <si>
    <t>v_poERMbR_nY4</t>
  </si>
  <si>
    <t>People slides on inflatable sleds down the hill.</t>
  </si>
  <si>
    <t>People take turns to sled down the hills.</t>
  </si>
  <si>
    <t>Then people get together to sled on group.</t>
  </si>
  <si>
    <t>Also, people sled on on a line down the hill.</t>
  </si>
  <si>
    <t>v_q0P0EvJOfRQ</t>
  </si>
  <si>
    <t>A woman is seen dancing in the street placing an instrument while others watch on the side.</t>
  </si>
  <si>
    <t>The woman continues to play the instrument while moving her leg up and down and the people clap for her on the side.</t>
  </si>
  <si>
    <t>v_iNMxIXAcHYU</t>
  </si>
  <si>
    <t>First the man puts pink lipstick on his lips and he says he's a joker.</t>
  </si>
  <si>
    <t>Then he puts it on the side of his lips and the people laugh.</t>
  </si>
  <si>
    <t>Next he puts 2 thick lines of it under his eyes and he says something, he also attempts to put it on his chin, but the video ends.</t>
  </si>
  <si>
    <t>v_zacXKdNZHrI</t>
  </si>
  <si>
    <t>A text intro leads into a boy sitting on a stool holding an accordion.</t>
  </si>
  <si>
    <t>The boy then begins playing the instrument while looking away from the camera.</t>
  </si>
  <si>
    <t>The boy continues to play while looking around the room and pulling the accordion around.</t>
  </si>
  <si>
    <t>v_Zg7J_rLXbuk</t>
  </si>
  <si>
    <t>A girl lifts her arm and prepares to mount the balance beam in an arena.</t>
  </si>
  <si>
    <t>The girl get on and performs a routine on the balance beam.</t>
  </si>
  <si>
    <t>The girl is laying on the beam and does a flip to the standing position.</t>
  </si>
  <si>
    <t>The girl flips across the beam.</t>
  </si>
  <si>
    <t>The girl runs flips and dismounts the beam.</t>
  </si>
  <si>
    <t>The crowd cheers and claps for the girl as she lifts her hands.</t>
  </si>
  <si>
    <t>v_4taBobzpYNU</t>
  </si>
  <si>
    <t>A woman is seen speaking to the camera holding a sharpening tool in her hands.</t>
  </si>
  <si>
    <t>She then demonstrates how to properly cut the knife and placing the object down while speaking.</t>
  </si>
  <si>
    <t>v_e0-lO2jb8vo</t>
  </si>
  <si>
    <t>A baton twirler is standing on the gym floor.</t>
  </si>
  <si>
    <t>She begins her routine.</t>
  </si>
  <si>
    <t>She tosses the baton in the air.</t>
  </si>
  <si>
    <t>She does flips and twists.</t>
  </si>
  <si>
    <t>She continues to twirl the baton and dance.</t>
  </si>
  <si>
    <t>She drops her baton and goes after it.</t>
  </si>
  <si>
    <t>She is twirling, dancing and flipping again.</t>
  </si>
  <si>
    <t>She drops the baton again.</t>
  </si>
  <si>
    <t>She now has two batons and is twirling and dancing and throwing them in the air.</t>
  </si>
  <si>
    <t>She dropped it a third time.</t>
  </si>
  <si>
    <t>She picked it up and added a third baton and finished her routine.</t>
  </si>
  <si>
    <t>v_z9MMLl1isUk</t>
  </si>
  <si>
    <t>old man is holding a green pole hitting a piñata in the middle of a room.</t>
  </si>
  <si>
    <t>little kids are dancin and jumpin behind the man.</t>
  </si>
  <si>
    <t>man givs the pole to a kid and other kids stands behind him.</t>
  </si>
  <si>
    <t>v_ynpvos7UFZo</t>
  </si>
  <si>
    <t>There are some people knitting with yarn and knitting needles at a cultural center.</t>
  </si>
  <si>
    <t>A rack of knitted hats and sweaters is stacked up against the wall.</t>
  </si>
  <si>
    <t>A finished gray sweater with black embroidery is shown.</t>
  </si>
  <si>
    <t>A women representing The Daily news channel is talking about the sweater and then she wears it.</t>
  </si>
  <si>
    <t>There are people sitting and knitting with yarn and needles.</t>
  </si>
  <si>
    <t>There's a man named John George talking about his knitting experience in the class.</t>
  </si>
  <si>
    <t>He along with his other fellow knitters demonstrates how they knit.</t>
  </si>
  <si>
    <t>Another person named Charles Henry is talking about his knitting experience at the cultural center.</t>
  </si>
  <si>
    <t>Several people are seen at the cultural center sitting together and knitting as one of the organizers talks.</t>
  </si>
  <si>
    <t>The news reporter wears the gray sweater and looks very happy in it.</t>
  </si>
  <si>
    <t>v_J4WbF-bJ1T8</t>
  </si>
  <si>
    <t>Two people are fencing in a polka dot walled room, while dressed in fencing gear and fencing masks including a fencing weapon.</t>
  </si>
  <si>
    <t>An animated graphic populates displaying the physique of the two fencers in a grid pattern with the two animated figures exhibiting some fence/weapon movement.</t>
  </si>
  <si>
    <t>A cut away appears of several people interviewing and talking to the camera in front of an extreme fencing sign along with still images of people preparing to fence.</t>
  </si>
  <si>
    <t>The two people dressed in fencing outfits begin to fence in a demonstration.</t>
  </si>
  <si>
    <t>v_sx4zAnVDV9Y</t>
  </si>
  <si>
    <t>A CBS NEWS anchor reports on a story.</t>
  </si>
  <si>
    <t>A marching band appears on a large field performing.</t>
  </si>
  <si>
    <t>A student of the marching band gives an interview along with the marching band instructor.</t>
  </si>
  <si>
    <t>The marching band practices their performance.</t>
  </si>
  <si>
    <t>v_XnrQRuchl7E</t>
  </si>
  <si>
    <t>This young woman is in the studio playing the piano.</t>
  </si>
  <si>
    <t>No one else is in there with her and she looks very serious about what she's doing.</t>
  </si>
  <si>
    <t>She is wearing a pink t-shirt and flower colored leggings, then at some point she stops.</t>
  </si>
  <si>
    <t>v_i0jy3fjw8xQ</t>
  </si>
  <si>
    <t>A group of people are standing on an outdoor bridge.</t>
  </si>
  <si>
    <t>They are putting equipment around each other's bodies to protect them.</t>
  </si>
  <si>
    <t>The person jumps off the side of the bridge on a bungee cord, swinging over the water below.</t>
  </si>
  <si>
    <t>v_VIQG4W0vYxw</t>
  </si>
  <si>
    <t>a lot of people are gathered in a square.</t>
  </si>
  <si>
    <t>people start to run in the street and by the bay.</t>
  </si>
  <si>
    <t>v_Scv939uhNCc</t>
  </si>
  <si>
    <t>A group of young men are sitting at a table with Rubik cubes in front of them.</t>
  </si>
  <si>
    <t>The two boys to the right have already started and the two boys on the left are at a delay.</t>
  </si>
  <si>
    <t>In eight seconds,the boy solves his cube and the boys behind them jump up and begins to congratulate him as the others continue to solve their.</t>
  </si>
  <si>
    <t>v_smfBAiFujmE</t>
  </si>
  <si>
    <t>A person is seen sitting in the water with a pair of skis attached to his feet.</t>
  </si>
  <si>
    <t>The man then gets up on the skis and rides along the water behind a boat.</t>
  </si>
  <si>
    <t>v_5eM2Hcvj6R8</t>
  </si>
  <si>
    <t>A view of a wide berth of trees in a forest is shown.</t>
  </si>
  <si>
    <t>A woman walks out holding a hula hoop.</t>
  </si>
  <si>
    <t>She begins using the hoop seductively while dancing.</t>
  </si>
  <si>
    <t>She spins, flips, and does cartwheels while using the hoop.</t>
  </si>
  <si>
    <t>She finishes her performance with a frozen, upward staring pose.</t>
  </si>
  <si>
    <t>v_pRGlbeqRfM0</t>
  </si>
  <si>
    <t>man weaing a green shirt is standing next to a little girl.</t>
  </si>
  <si>
    <t>girl wearing glasses is talking to the camera.</t>
  </si>
  <si>
    <t>the man and the girl are drinking from a white cup.</t>
  </si>
  <si>
    <t>the girl holds the drink in her mouth and spit it on the grass and the man do the same.</t>
  </si>
  <si>
    <t>v_tSk1GWyofaU</t>
  </si>
  <si>
    <t>A girl walks to the end of a diving board and lifts her hands.</t>
  </si>
  <si>
    <t>The girl jumps on the diving board to prepare herself.</t>
  </si>
  <si>
    <t>The girl then does a backwards flipping dive into the pool.</t>
  </si>
  <si>
    <t>v_j6Kf_y7k-yU</t>
  </si>
  <si>
    <t>People watch competitors get ready near a red stage.</t>
  </si>
  <si>
    <t>The competitors put their robots down in the circle as the judge instructs them.</t>
  </si>
  <si>
    <t>The judge signals the beginning of the competition.</t>
  </si>
  <si>
    <t>The robots begin to move, and one of the robots is pushed out of the circle.</t>
  </si>
  <si>
    <t>The competitors walk back up to the stage and replace their robots.</t>
  </si>
  <si>
    <t>The judge signals for the competition to begin again and everyone applauds when one of them wins.</t>
  </si>
  <si>
    <t>v_X2GUUIGudxs</t>
  </si>
  <si>
    <t>A man stands in a room wearing blue.</t>
  </si>
  <si>
    <t>He is applying a picture to the wall.</t>
  </si>
  <si>
    <t>He uses a tool to smooth it out.</t>
  </si>
  <si>
    <t>He cuts the paper at the bottom.</t>
  </si>
  <si>
    <t>v_ThWgMXhkS2E</t>
  </si>
  <si>
    <t>A man standing outside of a building window cleaning with a large squeegee.</t>
  </si>
  <si>
    <t>He goes over the door window and then uses another gadget after to wipe down the soap.</t>
  </si>
  <si>
    <t>He starts all the way at the top making sure to get in the corners of the window.</t>
  </si>
  <si>
    <t>The window looks very clean and nice once he is down doing all of that.</t>
  </si>
  <si>
    <t>v_IhuwmiSPx0w</t>
  </si>
  <si>
    <t>A group of cheerleaders perform on stage while people watch.</t>
  </si>
  <si>
    <t>Then, the cheerleaders make a tower and then jump, then they do cartwheels.</t>
  </si>
  <si>
    <t>Two cheerleaders get up in a tower and then flips and fall on the arms of people.</t>
  </si>
  <si>
    <t>The girls do again a tower and then spin and jump.</t>
  </si>
  <si>
    <t>The cheerleaders raise the girls up and then flip down, then they continue performing.</t>
  </si>
  <si>
    <t>v__dFzOHyZSNk</t>
  </si>
  <si>
    <t>Two men are long boarding down a hill.</t>
  </si>
  <si>
    <t>He stops and puts his foot down on the ground.</t>
  </si>
  <si>
    <t>He is standing on his board upside down.</t>
  </si>
  <si>
    <t>A man in a green shirt is sitting on the ground with his long board in front of him.</t>
  </si>
  <si>
    <t>v_uqd8A4iJ6Bo</t>
  </si>
  <si>
    <t>The person is shown mixing the ingredients.</t>
  </si>
  <si>
    <t>The person rolls the dough and cuts it into little pieces and flattens the tiny balls out using their hands.</t>
  </si>
  <si>
    <t>The person uses a fork to put lines in the dough.</t>
  </si>
  <si>
    <t>Then the person puts the cookies on a baking sheet in a pan and bakes them for 15 minutes.</t>
  </si>
  <si>
    <t>Then takes the cookies out when they're done.</t>
  </si>
  <si>
    <t>v_rLlm6h0Nfvo</t>
  </si>
  <si>
    <t>A person flips and throw to the air a hula ring, then the woman pass the hula ring through her body.</t>
  </si>
  <si>
    <t>After, the woman pass the hula ring around her waist fast.</t>
  </si>
  <si>
    <t>Then, the woman does an exercise with her feet and body.</t>
  </si>
  <si>
    <t>v_drMXYzlmJQU</t>
  </si>
  <si>
    <t>grandma is talking with a little blond child sitting in a coach while is knitting in a red thread in a liing room.</t>
  </si>
  <si>
    <t>child holds the thread and run in the room pulling it and the woman is talking to him, the child grabs the thread from the floor and run in the living room.</t>
  </si>
  <si>
    <t>v_MwkRK7A46P4</t>
  </si>
  <si>
    <t>Several news logos are shown and then a male reporter shows up talking behind his desk.</t>
  </si>
  <si>
    <t>The camera then flips to a woman and she begins doing interviews with men who were playing a game of soccer.</t>
  </si>
  <si>
    <t>Many quarters are being played and after the goals are made,the players start to jump on each other's back and jump for joy and show their happiness.</t>
  </si>
  <si>
    <t>v_VzR7cskYnng</t>
  </si>
  <si>
    <t>Two men perform kick box in a room while a man supervise the moves.</t>
  </si>
  <si>
    <t>A person leans on the wall behind the men.</t>
  </si>
  <si>
    <t>A little child pass on front the men.</t>
  </si>
  <si>
    <t>A woman walks and stand on front the men.</t>
  </si>
  <si>
    <t>v_1hTqfvjis9E</t>
  </si>
  <si>
    <t>A large man is standing on a circular dome in a field.</t>
  </si>
  <si>
    <t>He holds a steel ball on a rope as he talks.</t>
  </si>
  <si>
    <t>He then shows how to stand before swinging the ball around his head in circles.</t>
  </si>
  <si>
    <t>He lets go, and the ball flies far across the field as he walks away.</t>
  </si>
  <si>
    <t>v_Nn4sVR3__DQ</t>
  </si>
  <si>
    <t>A mom is sitting at the top of a slide with her little baby.</t>
  </si>
  <si>
    <t>She is contemplating going down for a while.</t>
  </si>
  <si>
    <t>She finally slides down it with baby.</t>
  </si>
  <si>
    <t>When they reach the bottom she lets him go and he starts to walk around.</t>
  </si>
  <si>
    <t>v_YXl4cEB7E3Y</t>
  </si>
  <si>
    <t>A boy is standing in the middle of a parking lot.</t>
  </si>
  <si>
    <t>He is wearing a hat with a feather in it and sunglasses.</t>
  </si>
  <si>
    <t>He is playing a bagpipe.</t>
  </si>
  <si>
    <t>v_E3KLk-55yC0</t>
  </si>
  <si>
    <t>A man is seen kicking a soccer ball on his feet and gradually passing it to a wall.</t>
  </si>
  <si>
    <t>The man continues kicking the ball off of his foot and against the wall while the camera captures him.</t>
  </si>
  <si>
    <t>v_g0jF_Gh8c8g</t>
  </si>
  <si>
    <t>men are standing on ice fishing in a large ice region.</t>
  </si>
  <si>
    <t>man grabbed a fish from the ice and lay on the floor.</t>
  </si>
  <si>
    <t>v_n0Th8ZqMeGk</t>
  </si>
  <si>
    <t>A man is on a snowboard on a snowy hill.</t>
  </si>
  <si>
    <t>He glides over the thickly packed snow.</t>
  </si>
  <si>
    <t>He goes through a marker, and jumps over obstacles.</t>
  </si>
  <si>
    <t>v_Wg0xG-eRTho</t>
  </si>
  <si>
    <t>A standing pair of legs appear and the words "Summer Leg Routine" are displayed on the screen.</t>
  </si>
  <si>
    <t>The legs are now bent with the knee up from the ground and the girl rubs the mango scrub all over her legs, then wipes the excess off with a towel.</t>
  </si>
  <si>
    <t>On the upper right hand of the screen a small video plays and shows a VEET product while the girl takes two VEET wax strips and puts them on her leg, then removes them in the order they were put on.</t>
  </si>
  <si>
    <t>The girl then takes another VEET product which turns out to be wiping strips and wipes her legs down, then takes a towel to her legs.</t>
  </si>
  <si>
    <t>After she's done wiping her legs she takes Nivea lotion and rubs them all over her legs, stands up and then shows her legs to the camera at various angles.</t>
  </si>
  <si>
    <t>v_pJEOK1DbTfU</t>
  </si>
  <si>
    <t>A gymnast is doing flips and handsprings on a high bar.</t>
  </si>
  <si>
    <t>She goes forward and backward several times.</t>
  </si>
  <si>
    <t>The screen stops as she goes to the top of the beam.</t>
  </si>
  <si>
    <t>v_ipYVfTYZze8</t>
  </si>
  <si>
    <t>A camera pans around a large snowy hill as well as people sitting on a ski lift and riding around a mountain.</t>
  </si>
  <si>
    <t>The people do flips and tricks as well as follow one another down a hill and catch each other skiing from several angles.</t>
  </si>
  <si>
    <t>v_BMa9v2uZBp8</t>
  </si>
  <si>
    <t>A man in a coat is pulling a board up a hill of snow.</t>
  </si>
  <si>
    <t>He starts snowboarding down the hill.</t>
  </si>
  <si>
    <t>The man lifts the goggles off of his face and smiles.</t>
  </si>
  <si>
    <t>People are snowboarding down a hill together.</t>
  </si>
  <si>
    <t>v_Ar3eaYtLlKI</t>
  </si>
  <si>
    <t>A man puts dog treats into another man's hand.</t>
  </si>
  <si>
    <t>The man is walking a dog down the sidewalk.</t>
  </si>
  <si>
    <t>Someone else is walking behind them.</t>
  </si>
  <si>
    <t>v_INmaUkmVK24</t>
  </si>
  <si>
    <t>A man is seen kneeling down with a razor and looking up towards the camera.</t>
  </si>
  <si>
    <t>The man shaves off part of his leg and holds up an object while walking away.</t>
  </si>
  <si>
    <t>v_E0DbrJVJUho</t>
  </si>
  <si>
    <t>A black screen with a white banner at the bottom has various information that include a website, state, phone number and logo.</t>
  </si>
  <si>
    <t>A white screen follows and it includes a logo, name of the products and indicates that this is an "INSTRUCTIONAL VIDEO".</t>
  </si>
  <si>
    <t>Another white screen appears and a content list appears and there 1-5.</t>
  </si>
  <si>
    <t>On the next white screen a cardboard box is shown and then it begins to show the many different contents that come in the box, along with the names of them next to it.</t>
  </si>
  <si>
    <t>A woman is now standing in a hallway as she puts together her cleaning tool by screwing the top portion onto her pole and applying a cloth to the end, then she straps her spray bottle onto her hip.</t>
  </si>
  <si>
    <t>The woman then begins to spray the cloth on the cleaning tool and starts cleaning various different areas in the office including windows, elevator doors, TVs and changing out the clothes in between to suit the surface she is working on.</t>
  </si>
  <si>
    <t>The woman is now seen at a double glass door as she's now holding a cloth in her hand to clean the doors and other surfaces.</t>
  </si>
  <si>
    <t>The woman is then shown putting the different clothes into the washer and then hanging her cleaning tool up on the wall.</t>
  </si>
  <si>
    <t>A black screen appears and it includes the same white banner as it did in the very beginning.</t>
  </si>
  <si>
    <t>v_bTC_MdhURLg</t>
  </si>
  <si>
    <t>A man is rubbing his hands in a frantic manner as he stands next to a female.</t>
  </si>
  <si>
    <t>The camera shifts and you can see he is in a casino playing a game of Black Jack.</t>
  </si>
  <si>
    <t>Once the dealer has flipped over all of the cards,the two are shown again talking and smiling.</t>
  </si>
  <si>
    <t>v_HoQQlRzybmA</t>
  </si>
  <si>
    <t>A large choppy waterfall is shown.</t>
  </si>
  <si>
    <t>A man is laying on a slack line over the water.</t>
  </si>
  <si>
    <t>A person is playing the guitar sitting on a rock.</t>
  </si>
  <si>
    <t>v_m4ef0fCA2WU</t>
  </si>
  <si>
    <t>Children of different ages are playing on a playground.</t>
  </si>
  <si>
    <t>A couple of women are in the playground area talking.</t>
  </si>
  <si>
    <t>A young woman holding a baby walks to a swing and puts the baby in the swing.</t>
  </si>
  <si>
    <t>She then walks in front of the baby and sits in the adult seat attached to the baby swing.</t>
  </si>
  <si>
    <t>Another woman walks past with a few kids.</t>
  </si>
  <si>
    <t>The woman on the swing swings the baby while talking to him and making faces at him.</t>
  </si>
  <si>
    <t>v_C_bwHYiX-Vw</t>
  </si>
  <si>
    <t>A man shows how to change a tube in a tire.</t>
  </si>
  <si>
    <t>He takes the old tube out, puts the new one in, then pumps it up.</t>
  </si>
  <si>
    <t>v_mrT7FqQ0lCs</t>
  </si>
  <si>
    <t>Several shots of text are shown followed by a person walking into frame.</t>
  </si>
  <si>
    <t>The person then walks in and out of frame performing various dance moves on the ground.</t>
  </si>
  <si>
    <t>The person continues moving around on the ground and demonstrating how to perform moves.</t>
  </si>
  <si>
    <t>v_Vbkq1ldn3A8</t>
  </si>
  <si>
    <t>People are seen sitting at a table while a man stands beside them and taking a puff from a hookah.</t>
  </si>
  <si>
    <t>He hands the hose to a girl sitting who takes a few rips and the man is shown speaking to the camera.</t>
  </si>
  <si>
    <t>the girls hands the hose to other one sitting while she takes a few hits and passes it back to the other person.</t>
  </si>
  <si>
    <t>v_UAAk2SxqSvs</t>
  </si>
  <si>
    <t>Two boys skateboard through the streets at different times wearing helmets.</t>
  </si>
  <si>
    <t>A skateboarder in a blue t-shirt and black helmet skateboards through streets bordering countrysides and residential neighborhoods.</t>
  </si>
  <si>
    <t>A skateboarder wearing all black falls off of the skateboard onto the paved street, gets up and walks off.</t>
  </si>
  <si>
    <t>v_XbvlEwmvLko</t>
  </si>
  <si>
    <t>A man is seen with a rope in his mouth and rides in on a horse immediately roping a calf.</t>
  </si>
  <si>
    <t>He throws the calf down and ties him up, followed by several other men performing the same trick at different speeds.</t>
  </si>
  <si>
    <t>v_kzBTJEMgoj0</t>
  </si>
  <si>
    <t>A woman cleans a cafeteria floor with a mop while occasionally talking to the camera.</t>
  </si>
  <si>
    <t>The woman walks to and cleans a different part of the cafeteria floor.</t>
  </si>
  <si>
    <t>The woman plunges the mop head into a bucket.</t>
  </si>
  <si>
    <t>A number of people walk by in the background.</t>
  </si>
  <si>
    <t>v_vrWcBuRPDBw</t>
  </si>
  <si>
    <t>A man is standing next a brown horse.</t>
  </si>
  <si>
    <t>The horses are getting a drink of water.</t>
  </si>
  <si>
    <t>They continue walking along the trail on the horses.</t>
  </si>
  <si>
    <t>A picture of a brown house is shown.</t>
  </si>
  <si>
    <t>v__ENXbB6aaa4</t>
  </si>
  <si>
    <t>An intro begins for DX sports and shows two men skating down a road.</t>
  </si>
  <si>
    <t>The continue riding down the road while the camera follows them close behind down the winding road.</t>
  </si>
  <si>
    <t>The men eventually get to a car and their ride down the long road.</t>
  </si>
  <si>
    <t>v_3mymOHc5-Gs</t>
  </si>
  <si>
    <t>A man shows a boot and shining tools.</t>
  </si>
  <si>
    <t>Then, the man cleans the shoe with a cloth.</t>
  </si>
  <si>
    <t>After, the man points the tip of the shoe and applies black paint and shows insoles .</t>
  </si>
  <si>
    <t>Then, the man polish the shoes using a cream, after spray the shoes.</t>
  </si>
  <si>
    <t>v_fGA7nlbGmHU</t>
  </si>
  <si>
    <t>A kid is sitting behind a drum set.</t>
  </si>
  <si>
    <t>He starts playing the drums in front of him.</t>
  </si>
  <si>
    <t>He stands up and waves at the crowd.</t>
  </si>
  <si>
    <t>v_jfIcmcE320Q</t>
  </si>
  <si>
    <t>man is playing with a ball making balance with a lacrosse pole.</t>
  </si>
  <si>
    <t>little kid grab the ball from the floor with the pole.</t>
  </si>
  <si>
    <t>kid is playing with a ball in a green grassy field.</t>
  </si>
  <si>
    <t>v__Mz7KEe_mz0</t>
  </si>
  <si>
    <t>A forested area is seen and young men walk up the street.</t>
  </si>
  <si>
    <t>Groups of skateboarders race each other down a forested road and are pulled by trolley cars back to the top.</t>
  </si>
  <si>
    <t>Skateboarders ride down a forested street one after the other doing skids and hard turns as friends watch along the side.</t>
  </si>
  <si>
    <t>v_GQ1eaxmDlzQ</t>
  </si>
  <si>
    <t>A large group of people are seen sitting around a stage and leads into a man and woman hosting.</t>
  </si>
  <si>
    <t>The hosts lead into a large group of people on the stage performing a dance routine with one another.</t>
  </si>
  <si>
    <t>The people continue dancing around one another and end with the judges clapping and the host leading them off.</t>
  </si>
  <si>
    <t>v_zWA4Fb4fVmE</t>
  </si>
  <si>
    <t>little kid is playing saxophone in front of a wall.</t>
  </si>
  <si>
    <t>people are passing in front of the kid.</t>
  </si>
  <si>
    <t>old man kneels and put some coins in he hat of the kid.</t>
  </si>
  <si>
    <t>v_U9Ofeof4rlA</t>
  </si>
  <si>
    <t>An athletic man is seen standing in a circle with his arms out to the side.</t>
  </si>
  <si>
    <t>The man then begins swinging around an object around and around.</t>
  </si>
  <si>
    <t>The man continues to spin and ends by throwing it off into the distance.</t>
  </si>
  <si>
    <t>v_IJV7CwRhFvw</t>
  </si>
  <si>
    <t>There are three people playing racquetball on the enclosed court and the view is from the person wearing the camera.</t>
  </si>
  <si>
    <t>The camera person picks the ball up with racquet balances it on the racquet, rolls it off and then hits to the wall.</t>
  </si>
  <si>
    <t>The view changes to the door and there are two men standing at the door waiting to hit the ball.</t>
  </si>
  <si>
    <t>v_TVbPV7X49tw</t>
  </si>
  <si>
    <t>We see flashing images of motorcycle riding.</t>
  </si>
  <si>
    <t>We see a man talk standing high above a city.</t>
  </si>
  <si>
    <t>We then see motorcycle stunts.</t>
  </si>
  <si>
    <t>A bike jumps a group of people in a plaza.</t>
  </si>
  <si>
    <t>We see four bikes jump a ramp one after another.</t>
  </si>
  <si>
    <t>We see a man in red talking.</t>
  </si>
  <si>
    <t>A man jumps off his bike.</t>
  </si>
  <si>
    <t>A man kisses a woman on his bike.</t>
  </si>
  <si>
    <t>We see boy is talking.</t>
  </si>
  <si>
    <t>A bike is kicking up smoke.</t>
  </si>
  <si>
    <t>A man puts his arm in the air.</t>
  </si>
  <si>
    <t>We see a bike smash a bottle stop.</t>
  </si>
  <si>
    <t>v_1VAugQRO05g</t>
  </si>
  <si>
    <t>A black and white video is shown of a young marching band walking down the street in a parade.</t>
  </si>
  <si>
    <t>Several people in the band walk by then a close up of a boy playing the trumpet is shown and he is highlighted.</t>
  </si>
  <si>
    <t>The video continues and the majorette girls begin dancing.</t>
  </si>
  <si>
    <t>Now they are at a stand still and playing without marching as the little kids begin to watch them.</t>
  </si>
  <si>
    <t>v_x0tjkH_zfXA</t>
  </si>
  <si>
    <t>Two boys are raking leaves in a yard using large green and red rakes.</t>
  </si>
  <si>
    <t>A dog continuously runs through the leaves, messing them up.</t>
  </si>
  <si>
    <t>The boys laugh and keep trying to rake the leaves.</t>
  </si>
  <si>
    <t>v_KlxUgvLHP7M</t>
  </si>
  <si>
    <t>A large stage is seen that transitions to various angles of people performing jump roping tricks on a stage in slow motion.</t>
  </si>
  <si>
    <t>More shots are shown of various people performing incredible jump roping skills and ends with one group holding their arms up.</t>
  </si>
  <si>
    <t>v_AA1wvSZ4Mno</t>
  </si>
  <si>
    <t>A camera pans all around a yard and shows two dogs on leashes.</t>
  </si>
  <si>
    <t>The dogs move with the person as cars move in and out of frame.</t>
  </si>
  <si>
    <t>The camera pans around the sky in the end.</t>
  </si>
  <si>
    <t>v_P-6ITEpg0mw</t>
  </si>
  <si>
    <t>1 The opening of the video.</t>
  </si>
  <si>
    <t>2 a girl does a lot of flips on the bars.</t>
  </si>
  <si>
    <t>v_WMx0-3GZGUI</t>
  </si>
  <si>
    <t>A little girl is in a kitchen talking.</t>
  </si>
  <si>
    <t>The girl mixes several things from small bowls in a bigger bowl.</t>
  </si>
  <si>
    <t>An adult helps the girl spray her baking pans.</t>
  </si>
  <si>
    <t>The girl puts her mixture into the pans and puts them in an easy bake oven.</t>
  </si>
  <si>
    <t>The girl then removes what she made from the oven.</t>
  </si>
  <si>
    <t>A younger boy watches while eating a cupcake.</t>
  </si>
  <si>
    <t>The young girls cuts the desert she made and eats it.</t>
  </si>
  <si>
    <t>v_cfKMu6aeMwU</t>
  </si>
  <si>
    <t>A man is seen speaking to the camera while a woman works out on a machine in front of him and adjusts the settings.</t>
  </si>
  <si>
    <t>The man continues moving on the machine showing off it's different settings while the man continues to speak to the camera.</t>
  </si>
  <si>
    <t>v_x1Mb7cN8WgU</t>
  </si>
  <si>
    <t>A person is hammering nails into a roof.</t>
  </si>
  <si>
    <t>She slide tiles onto the roof and nail them into place.</t>
  </si>
  <si>
    <t>v_LTmYxVYBa90</t>
  </si>
  <si>
    <t>A group of people are sitting on camels in the sand beside a hill.</t>
  </si>
  <si>
    <t>A man reaches for the chain on the camels mouth as the camel sits.</t>
  </si>
  <si>
    <t>The man in light blue assists the man in dark blue to untie.</t>
  </si>
  <si>
    <t>The second camel holding the next couple starts to sit on the ground.</t>
  </si>
  <si>
    <t>v_vB2qMaP_JaI</t>
  </si>
  <si>
    <t>A woman braids her hair slowly.</t>
  </si>
  <si>
    <t>She then ties the braids together and ties the end together.</t>
  </si>
  <si>
    <t>v_K68iNoSnZMg</t>
  </si>
  <si>
    <t>A woman and a boy peel potatoes on front a trash can.</t>
  </si>
  <si>
    <t>Then, the boy puts the potato and the peeler over the counter, but again he takes it.</t>
  </si>
  <si>
    <t>The woman finishes to cut the potato.</t>
  </si>
  <si>
    <t>v_sJFgo9H6zNo</t>
  </si>
  <si>
    <t>A little boy playing on a jungle gym.</t>
  </si>
  <si>
    <t>He is climbing up a set of stairs.</t>
  </si>
  <si>
    <t>Now is sliding fast down a slide.</t>
  </si>
  <si>
    <t>Another boy is shown playing in the grass.</t>
  </si>
  <si>
    <t>Now the first boy is being picked up by a woman.</t>
  </si>
  <si>
    <t>Now he is going to go down the slide once again.</t>
  </si>
  <si>
    <t>The boy likes playing with a large wheel on the playground.</t>
  </si>
  <si>
    <t>Once again he goes down the slide, but with dad right behind him.</t>
  </si>
  <si>
    <t>He goes down the slide a 4th time but with another little boy.</t>
  </si>
  <si>
    <t>He goes down the slide several more times.</t>
  </si>
  <si>
    <t>v_ciIaZrpHqgs</t>
  </si>
  <si>
    <t>A group of teams are shown doing various sports events involving snow.</t>
  </si>
  <si>
    <t>The camera then shows handicap individuals playing a game where they are sitting in a wheelchair pushing puck like objects with handles.</t>
  </si>
  <si>
    <t>A man is then shown and begins talking describing the game that is taking place.</t>
  </si>
  <si>
    <t>v_HwYZEZYgeBI</t>
  </si>
  <si>
    <t>An intro leads into several tools laid out on a table and a women walking in an removing a plant.</t>
  </si>
  <si>
    <t>The woman then pulls out a rag and wipes off the table.</t>
  </si>
  <si>
    <t>She tend holds the rag again, sprays down the table, and wipes down the table in a proper motion.</t>
  </si>
  <si>
    <t>She is then shown again dusting over various areas and places the plant back on the table and pushing the chairs in.</t>
  </si>
  <si>
    <t>v_ekn9AFX2XX8</t>
  </si>
  <si>
    <t>A woman sits by the beach applying sunscreen to the top of her back.</t>
  </si>
  <si>
    <t>An air balloon flies through the air.</t>
  </si>
  <si>
    <t>A dj is seen spinning a disc.</t>
  </si>
  <si>
    <t>A woman walks her suitcase.</t>
  </si>
  <si>
    <t>Some graphic cars crash into each other.</t>
  </si>
  <si>
    <t>High orange flames are seen.</t>
  </si>
  <si>
    <t>v_U7OZcgwLRcc</t>
  </si>
  <si>
    <t>Three different women are shown in succession.</t>
  </si>
  <si>
    <t>Each woman is seated, playing drums and cymbals.</t>
  </si>
  <si>
    <t>They are billed as the top three female drummers in the world as they play continuously.</t>
  </si>
  <si>
    <t>v_C3BBG_9Vo48</t>
  </si>
  <si>
    <t>This video shows how to make a microwaved cake using Ganache frosting.</t>
  </si>
  <si>
    <t>First the woman adds 1 cup of sugar to 1/4 cup of vegetable oil and she puts it in a mixing bowl.</t>
  </si>
  <si>
    <t>then she mixes the sugar until it dissolves and he adds 1 whole cup of milk along with two teaspoons of lemon juice.</t>
  </si>
  <si>
    <t>Next she adds 1 teaspoon of vanilla extract and she mixes everything up, then she adds 1 1/4 cups of all purpose flour along with 1/4 cup of unsweetened cocoa powder and salt.</t>
  </si>
  <si>
    <t>Then she adds baking powder and baking soda and she whisks it until smooth.</t>
  </si>
  <si>
    <t>Finally, she pours the mix into a microwavable safe dish and it's done.</t>
  </si>
  <si>
    <t>She then let's the cake stand for 15 minutes.</t>
  </si>
  <si>
    <t>v_xZEl3yh0Cos</t>
  </si>
  <si>
    <t>A man wearing sunglasses is talking to the camera.</t>
  </si>
  <si>
    <t>He displays how to cut the strings on the front of a bike, and remove part of the tire.</t>
  </si>
  <si>
    <t>He replaces the part, explaining how the process is done as he goes.</t>
  </si>
  <si>
    <t>He then speaks to the camera further.</t>
  </si>
  <si>
    <t>v_WzAGE-xKDpw</t>
  </si>
  <si>
    <t>A man sitting on an exercise equipment.</t>
  </si>
  <si>
    <t>He put his feet on a holder, and put the strap on.</t>
  </si>
  <si>
    <t>He pull the bar, at the same time pushed his legs.</t>
  </si>
  <si>
    <t>He repeat the process several times.</t>
  </si>
  <si>
    <t>v_6KXVjADefBY</t>
  </si>
  <si>
    <t>A person vacuum dirt from a couch with a hand vacuum with a brush nozzle.</t>
  </si>
  <si>
    <t>Then, the person vacuum the crevasses of the couch using a crevasse noodle Then, the person uses a handle held vacuum to clean the top of the couch and the floor.</t>
  </si>
  <si>
    <t>After, the woman shows the battery of the vacuum and then she keeps it.</t>
  </si>
  <si>
    <t>v_ILeNuidJc00</t>
  </si>
  <si>
    <t>There's an outdoor swimming pool with a very high diving board.</t>
  </si>
  <si>
    <t>There's a woman in a green swim suit who dives down into the pool.</t>
  </si>
  <si>
    <t>She is doing various diving moves such as backward, forward and pike.</t>
  </si>
  <si>
    <t>She also does the hand stand before diving swiftly into the pool.</t>
  </si>
  <si>
    <t>She repeats her steps and dives several times into the pool.</t>
  </si>
  <si>
    <t>v_wVCDyGGog4I</t>
  </si>
  <si>
    <t>A small group of people are seen standing ready in a park with their arms and legs by their sides.</t>
  </si>
  <si>
    <t>The group then begins moving around with fans in their hands moving their arms and legs.</t>
  </si>
  <si>
    <t>The group continues moving around together and ends with them standing together and looking off into the distance.</t>
  </si>
  <si>
    <t>v_eT9oCTQUMhA</t>
  </si>
  <si>
    <t>A diver stretches out on a high dive platform bending at the waist.</t>
  </si>
  <si>
    <t>The diver towels off then tosses down her towel and approaches the end of the diving board for a first attempt.</t>
  </si>
  <si>
    <t>The diver makes multiple dives doing flips in the air before landing in the water.</t>
  </si>
  <si>
    <t>v_T4g31MwZ2ds</t>
  </si>
  <si>
    <t>Broken glass sits on the ground.</t>
  </si>
  <si>
    <t>A young man stretches in front of it.</t>
  </si>
  <si>
    <t>He then does break dancing moves.</t>
  </si>
  <si>
    <t>He puts his legs behind his head.</t>
  </si>
  <si>
    <t>v_zMrUSfQ_mzo</t>
  </si>
  <si>
    <t>A boy is seated at a table in a crowded room.</t>
  </si>
  <si>
    <t>He has a rubik's cube, and tries to solve the puzzle.</t>
  </si>
  <si>
    <t>He times himself as he finishes the cube, tossing it down on the table.</t>
  </si>
  <si>
    <t>v_KA6YYIl2z4E</t>
  </si>
  <si>
    <t>The video begins with various words and instructions on how to insert &amp; remove Halloween contact lenses.</t>
  </si>
  <si>
    <t>A contact lens container is then filled with contact solution and the contacts into both sides of the container.</t>
  </si>
  <si>
    <t>The woman then puts her thumb and finger into the left side and pulls out a white contact lens and inserts it into her right eye and blinks a few times as the words "featuring White Out contact lens" on the bottom of the screen.</t>
  </si>
  <si>
    <t>The woman reaches into the right side of the contact lens container and pulls out the other contact lens and inserts it into her left eye and then blinks multiple times.</t>
  </si>
  <si>
    <t>The woman then reaches back into her left eye first, then into her right to remove the contact lenses and a shot of them sitting in the contact lens container appears.</t>
  </si>
  <si>
    <t>Video ends with a screen telling you to subscribe to their YouTube channel for more helpful videos.</t>
  </si>
  <si>
    <t>v__8-4M5XVuwI</t>
  </si>
  <si>
    <t>A woman and man are raking leaves outside their home.</t>
  </si>
  <si>
    <t>They move the leaves into a firepit, burning them.</t>
  </si>
  <si>
    <t>v_jRnJRqvmZvk</t>
  </si>
  <si>
    <t>Boys arm wrestle in a match for a large crowd.</t>
  </si>
  <si>
    <t>The crowd congratulates the winner.</t>
  </si>
  <si>
    <t>The two boys shake hands after the match.</t>
  </si>
  <si>
    <t>v_Lme4KL45gwk</t>
  </si>
  <si>
    <t>A young boy is seen wearing a helmet, speaking to the camera, and holding up pads.</t>
  </si>
  <si>
    <t>The boy is then shown in various clips riding around on the board while also speaking to the camera.</t>
  </si>
  <si>
    <t>The boy demonstrates how to perform proper skating moves while bending down and grabbing his board.</t>
  </si>
  <si>
    <t>v_3zPoB-_JxEc</t>
  </si>
  <si>
    <t>A man talks on a telephone.</t>
  </si>
  <si>
    <t>The man puts a cigarette in his mouth.</t>
  </si>
  <si>
    <t>The man lights the cigarette.</t>
  </si>
  <si>
    <t>The man removes the cigarette from his mouth and holds it in his hand.</t>
  </si>
  <si>
    <t>v_K8W0PtyPlD4</t>
  </si>
  <si>
    <t>A group of adults plays a game of beach volleyball.</t>
  </si>
  <si>
    <t>Groups of children of kids play a game of beach volleyball.</t>
  </si>
  <si>
    <t>Rules are shown for the game.</t>
  </si>
  <si>
    <t>A group of girls play a volley ball game.</t>
  </si>
  <si>
    <t>A group of adults play a volleyball game on an overcast day.</t>
  </si>
  <si>
    <t>v_Le6fNx5IWRI</t>
  </si>
  <si>
    <t>A stadium is seen from above with a large audience.</t>
  </si>
  <si>
    <t>Gymnasts compete in an event and do stationary platform routine with hand grips.</t>
  </si>
  <si>
    <t>The medalists of the competition receive their awards and stand together waving.</t>
  </si>
  <si>
    <t>Athletes give interviews after the competition.</t>
  </si>
  <si>
    <t>v_I4B52tt3mNM</t>
  </si>
  <si>
    <t>woman is in front of a mirror make a yawn and drinks mouthwash and spit it in the handwash and smils at the camera.</t>
  </si>
  <si>
    <t>man stands in front of the mirror try to open the mouthwash bottle and drinks from it and is disgusted by it.</t>
  </si>
  <si>
    <t>v_ksyr3tHc0Vs</t>
  </si>
  <si>
    <t>Various text intro leads into a man holding a shot put and spinning himself around.</t>
  </si>
  <si>
    <t>The man throws the object off into the distance as the camera follows it's throw.</t>
  </si>
  <si>
    <t>v_SB08N4L6Ujw</t>
  </si>
  <si>
    <t>Several women are seen moving around a gym performing various exercises on a beam.</t>
  </si>
  <si>
    <t>The woman continue jumping up and down and leads into one moving a tire around as well as jumping up and down a punching a bag.</t>
  </si>
  <si>
    <t>The coach then speaks to the camera.</t>
  </si>
  <si>
    <t>v_D9eo9NfFhkg</t>
  </si>
  <si>
    <t>A bald man and a woman wearing handkerchief in her hair stand and wave next to a customized bus.</t>
  </si>
  <si>
    <t>The lady ads a scoop of ice cream to a sugar cone.</t>
  </si>
  <si>
    <t>The bald headed man places a menu on the side of the bus.</t>
  </si>
  <si>
    <t>The lady from the ice cream parlour bus hands an ice cream cone to a client.</t>
  </si>
  <si>
    <t>Multiple images and clips of many different people eating and showing their ice cream.</t>
  </si>
  <si>
    <t>The bald man and the lady inside of the ice cream parlour bus are shown working and picking up supplies as more images of patrons eat and show their ice cream treats.</t>
  </si>
  <si>
    <t>v_ttsZ4M-AKgY</t>
  </si>
  <si>
    <t>A group of bikers are going down a busy street filled with cars.</t>
  </si>
  <si>
    <t>They are seen with cameras mounted on skateboards before they start boarding in traffic.</t>
  </si>
  <si>
    <t>The man dismounts his board and takes off his helmet before running.</t>
  </si>
  <si>
    <t>v_JNr0oI927ng</t>
  </si>
  <si>
    <t>A woman is seen standing at the end of a diving board with her arms down and facing forward.</t>
  </si>
  <si>
    <t>The woman then begins jumping up and down on the board and diving back into the water.</t>
  </si>
  <si>
    <t>v_XeC4nqBB5BM</t>
  </si>
  <si>
    <t>A close up on the inside of a space ship is shown followed by a woman with crazy hair speaking into the microphone.</t>
  </si>
  <si>
    <t>She then plays a song on a flute with shots of another man in a different location playing a flute.</t>
  </si>
  <si>
    <t>The camera pans back and fourth between the two and ends with the man speaking to the camera, the woman waving back, and the man soluting.</t>
  </si>
  <si>
    <t>v_No2adeap68I</t>
  </si>
  <si>
    <t>A man is seen wiping down a door and then puts a large poster over the door.</t>
  </si>
  <si>
    <t>He puts the paper down and trims around the edges, ending with several pictures of posters shown and how to buy.</t>
  </si>
  <si>
    <t>v_KzK4sf7RmRM</t>
  </si>
  <si>
    <t>Bags of icing are sitting on a counter.</t>
  </si>
  <si>
    <t>Someone puts the icing in cake and muffin pans.</t>
  </si>
  <si>
    <t>They bake them in the oven.</t>
  </si>
  <si>
    <t>They put them on a plate and start to ice them.</t>
  </si>
  <si>
    <t>v_HDHS_7pOiDk</t>
  </si>
  <si>
    <t>A woman is shown outside high five two kids that are playing near her.</t>
  </si>
  <si>
    <t>The woman helps the girl down and jumps along the ground until she falls.</t>
  </si>
  <si>
    <t>v_UdBFm97tOJs</t>
  </si>
  <si>
    <t>A woman stares blankly at the camera.</t>
  </si>
  <si>
    <t>She takes a drink of tea.</t>
  </si>
  <si>
    <t>She repeats the same action exactly.</t>
  </si>
  <si>
    <t>She then takes another drink and makes a menacing face.</t>
  </si>
  <si>
    <t>v_F3tKnLz9YyE</t>
  </si>
  <si>
    <t>A boy and his dog are seen swimming under water in a large bowl.</t>
  </si>
  <si>
    <t>The two come above the surface and the dog runs around while the boy rubs his eyes.</t>
  </si>
  <si>
    <t>v_xijxN7XB4d8</t>
  </si>
  <si>
    <t>A man is standing in a bedroom practicing his violin.</t>
  </si>
  <si>
    <t>Another day passes by and it is now sunlight outside as the boy practices playing his instrument once more.</t>
  </si>
  <si>
    <t>The practicing continues on for several more days in the same room and finishes on until day 7.</t>
  </si>
  <si>
    <t>Finally,the man takes a set in the room and begins talking and demonstrating effective ways to hold the violin and play it efficiently.</t>
  </si>
  <si>
    <t>v_SOyOank50IY</t>
  </si>
  <si>
    <t>We see an opening screen on black.</t>
  </si>
  <si>
    <t>We see a man and woman washing dishes and talking.</t>
  </si>
  <si>
    <t>An image of a lady pops up on the screen.</t>
  </si>
  <si>
    <t>We see the ladies image again.</t>
  </si>
  <si>
    <t>The lady pops up in the subtitles.</t>
  </si>
  <si>
    <t>We see them from a darker, higher camera.</t>
  </si>
  <si>
    <t>We see them from the higher camera again.</t>
  </si>
  <si>
    <t>v_xH8l5rCWrMU</t>
  </si>
  <si>
    <t>woman is posing to the camera in a white game in a presentation.</t>
  </si>
  <si>
    <t>woman is standing in a kitchen talking to the camera and showing a plate of pasta and the ingedients.</t>
  </si>
  <si>
    <t>woman is chopping vegetables and saute vegetables in a pan.</t>
  </si>
  <si>
    <t>hen mix the vegetables with pasta.</t>
  </si>
  <si>
    <t>v_wz_kM0oBW5g</t>
  </si>
  <si>
    <t>We see a shuffle curling court.</t>
  </si>
  <si>
    <t>Arrows point to stones on the court.</t>
  </si>
  <si>
    <t>A lady walks off and returns.</t>
  </si>
  <si>
    <t>Arrows appear to point to the stones.</t>
  </si>
  <si>
    <t>We see two ladies, a different lady, then others.</t>
  </si>
  <si>
    <t>We see a team of player throw the stones.</t>
  </si>
  <si>
    <t>We see the crowd clap.</t>
  </si>
  <si>
    <t>We see the score appear on the screen.</t>
  </si>
  <si>
    <t>v_IRj0d3cLi6g</t>
  </si>
  <si>
    <t>A young child plays a bagpipe next to an adult bagpiper.</t>
  </si>
  <si>
    <t>The young bagpiper marches in place while playing his bagpipe while onlookers watch from behind.</t>
  </si>
  <si>
    <t>The adult bagpiper and the child stand next to each other while performing.</t>
  </si>
  <si>
    <t>The child finishes playing and walks forward to the camera.</t>
  </si>
  <si>
    <t>v_y80Jbcb5GWA</t>
  </si>
  <si>
    <t>A little boy is shown swinging on a swing on the public playground.</t>
  </si>
  <si>
    <t>He swings high into the air as someone pushes him.</t>
  </si>
  <si>
    <t>The boy smiles and talks to the person with the camera.</t>
  </si>
  <si>
    <t>v_7IW2BELXDHA</t>
  </si>
  <si>
    <t>Men are playing a sport n the sand.</t>
  </si>
  <si>
    <t>A man sits on the sand injured.</t>
  </si>
  <si>
    <t>v_nd5l829R8mw</t>
  </si>
  <si>
    <t>A marching band plays in the street.</t>
  </si>
  <si>
    <t>People walks behind the marching band.</t>
  </si>
  <si>
    <t>People pass on front a large window of a store.</t>
  </si>
  <si>
    <t>v_klqHoK_8ar8</t>
  </si>
  <si>
    <t>A man is painting the something on the floor green.</t>
  </si>
  <si>
    <t>She stroke up and down repeatedly trying to make sure he doesn't miss any spots in the area.</t>
  </si>
  <si>
    <t>He stands up a bit and looks at the piece for a little before dunking his brush back in the paint and starting again.</t>
  </si>
  <si>
    <t>He moves along to parts he hasn't yet gone over to paint.</t>
  </si>
  <si>
    <t>v_ewTlNriXY3c</t>
  </si>
  <si>
    <t>There is a competitive game of tug of war going on in an open field.</t>
  </si>
  <si>
    <t>Where a team wearing blue is competing against another team.</t>
  </si>
  <si>
    <t>The coach is giving directions to the team on how to pull the rope.</t>
  </si>
  <si>
    <t>He is encouraging them to not give and continue their efforts.</t>
  </si>
  <si>
    <t>There are spectators watching the event and cheering for the participants.</t>
  </si>
  <si>
    <t>There are few more rounds of tug of war played s the spectators watch and cheer for the players.</t>
  </si>
  <si>
    <t>The coach continues to encourage the players.</t>
  </si>
  <si>
    <t>After they win the tug of war, all the spectators run out and hug the players.</t>
  </si>
  <si>
    <t>A cameraman takes their pictures.</t>
  </si>
  <si>
    <t>The entire team poses for a team picture after their win.</t>
  </si>
  <si>
    <t>v__p0eoCHZ8BA</t>
  </si>
  <si>
    <t>A woman starts brushing a horse.</t>
  </si>
  <si>
    <t>She gets a pink brush and starts brushing the horse again.</t>
  </si>
  <si>
    <t>She gets a black brush and continues brushing the horse.</t>
  </si>
  <si>
    <t>She starts brushing the legs on the horse.</t>
  </si>
  <si>
    <t>She lifts up the horses foot and cleans the bottom of the foot.</t>
  </si>
  <si>
    <t>v_otGlbzsPIi0</t>
  </si>
  <si>
    <t>A man is seen speaking to the camera and leads into him holding a cooking pan out a hot stove.</t>
  </si>
  <si>
    <t>The man mixes ingredients together into a bowl and pours it into a pan while continuously stirring.</t>
  </si>
  <si>
    <t>He pours the food onto a plate and still holds the pan in his hand.</t>
  </si>
  <si>
    <t>v_HSEnmPWF5GY</t>
  </si>
  <si>
    <t>A montage of a priest is giving communion to people.</t>
  </si>
  <si>
    <t>Jesus and Mother Teresa are shown as a montage continues.</t>
  </si>
  <si>
    <t>v_DHfiz3MNbcc</t>
  </si>
  <si>
    <t>A young lady with burnette hair is standing behind a black counter in a bar with several alcohol on it.</t>
  </si>
  <si>
    <t>She then grabs a clear glass and puts ice in it.</t>
  </si>
  <si>
    <t>Next comes the liquor and she pours,orange juice and syrup in it and the drink is complete.</t>
  </si>
  <si>
    <t>v_FBL7iWMmTHU</t>
  </si>
  <si>
    <t>four men are standing on racquetball court.</t>
  </si>
  <si>
    <t>one man serves the ball.</t>
  </si>
  <si>
    <t>The men then begin to volley.</t>
  </si>
  <si>
    <t>One team scores a point.</t>
  </si>
  <si>
    <t>They all repeat the process.</t>
  </si>
  <si>
    <t>v_no9vPN7D-1s</t>
  </si>
  <si>
    <t>A person in an orange protective suit and a metal black mask solders something in an industrial setting.</t>
  </si>
  <si>
    <t>A person stands next to a black box in a metal helmet as fire sparks erupt from a wired box on the right.</t>
  </si>
  <si>
    <t>A large grey wheel spins behind the worker in the midst of the fire sparks and another worker walking by in a blue protective suit.</t>
  </si>
  <si>
    <t>v_Ch_qHjUtOpE</t>
  </si>
  <si>
    <t>Two women are standing on others' shoulders.</t>
  </si>
  <si>
    <t>They lift another woman into the air, balancing her between them before dropping her to be caught.</t>
  </si>
  <si>
    <t>However, the girls below are knocked to the ground.</t>
  </si>
  <si>
    <t>v_jIKAVLlyXIQ</t>
  </si>
  <si>
    <t>A man cuts into a piece of wood with an ax.</t>
  </si>
  <si>
    <t>Then, his action is replayed in slow motion.</t>
  </si>
  <si>
    <t>Next he takes a piece of the wood he cut an throws it into a pile.</t>
  </si>
  <si>
    <t>v_sDdgFSFaAdY</t>
  </si>
  <si>
    <t>An introduction comes onto the screen for a video about furniture repair.</t>
  </si>
  <si>
    <t>A woman is shown on the screen with gloves on and a cloth in her hand rubbing cream on a leather ottoman to repair the wear and tear.</t>
  </si>
  <si>
    <t>The video ends with the graphics for the closing credits at the end.</t>
  </si>
  <si>
    <t>v_jXORdfzz4oE</t>
  </si>
  <si>
    <t>man is standing in the court with a net behind he.</t>
  </si>
  <si>
    <t>men are playing volyball in a oofed court gym.</t>
  </si>
  <si>
    <t>v_lkSkFmHYdtI</t>
  </si>
  <si>
    <t>A young male athlete is standing in a field and turns backwards in a small circle.</t>
  </si>
  <si>
    <t>He then extends his arms and begins moving them back and forth.</t>
  </si>
  <si>
    <t>Once ready,he spins around and throws the discus out in the field,walks away and looks back at the distance.</t>
  </si>
  <si>
    <t>v_cvFFwMKFg7Q</t>
  </si>
  <si>
    <t>Two people are raking leaves in a park.</t>
  </si>
  <si>
    <t>The man in the rear turns his back to the camera.</t>
  </si>
  <si>
    <t>The lady on the left turns to the right.</t>
  </si>
  <si>
    <t>v_R6MnhM2omiE</t>
  </si>
  <si>
    <t>The man uses his match to set fire to the wooden logs.</t>
  </si>
  <si>
    <t>The fire is really small at first, but then it grows and gets bigger.</t>
  </si>
  <si>
    <t>After a while the video ends still showing the fire created by matches and tree branches.</t>
  </si>
  <si>
    <t>v_Y6UKk3t8Hj8</t>
  </si>
  <si>
    <t>The Livestrong website is showing a video on boxing.</t>
  </si>
  <si>
    <t>A woman boxer, Jolie Glassman is demonstrating how to properly punch and box the punching bag.</t>
  </si>
  <si>
    <t>She is in a gym demonstrating kicking and punching techniques.</t>
  </si>
  <si>
    <t>v_zrR9hGDeQhg</t>
  </si>
  <si>
    <t>A person is seen riding down a snowy hill close up as well as another person and child riding down the mountain.</t>
  </si>
  <si>
    <t>Several more clips are shown of people riding down the mountain from various angles with people yelling and cheering.</t>
  </si>
  <si>
    <t>v_QkqsI11OtC8</t>
  </si>
  <si>
    <t>We see a child playing hopscotch in a yard.</t>
  </si>
  <si>
    <t>An older girl the jumps.</t>
  </si>
  <si>
    <t>The first girl jumps back to the start location.</t>
  </si>
  <si>
    <t>The older girl then goes again.</t>
  </si>
  <si>
    <t>v_WnoJmKZC_qg</t>
  </si>
  <si>
    <t>A man demonstrates, through example how to play the recorder.</t>
  </si>
  <si>
    <t>A man stands in front of two windows covered in closed beige blinds, holding a wooden recorder instrument with both hands in front of him, while talking to the camera.</t>
  </si>
  <si>
    <t>The camera closes up on the body of the wooden recorder as the man begins to play lifting his fingers off of the various hole to make noise.</t>
  </si>
  <si>
    <t>The camera stays in a close up shot of just the man’s hands and the bottom of the recorder for the rest of the clip.</t>
  </si>
  <si>
    <t>v_qgQVbGtIn0M</t>
  </si>
  <si>
    <t>A group of rocks are shown washed up against the banks of a large blue river.</t>
  </si>
  <si>
    <t>The camera continues to span the river and a mountain range is shown.</t>
  </si>
  <si>
    <t>Another angle is shown and a small circle appears on the screen.</t>
  </si>
  <si>
    <t>Two hikers wearing backpacks are visible and show a rope.</t>
  </si>
  <si>
    <t>One man then gets in the water and tightens the ropes around a tree from one side of the water to another and sits on the rope.</t>
  </si>
  <si>
    <t>The man then stands up and attempts to tight rope across the water but falls into the water.</t>
  </si>
  <si>
    <t>v_U7SRRMoCGks</t>
  </si>
  <si>
    <t>A man is seen standing before an exercise beam and begins moving himself on the bars while others practice around him.</t>
  </si>
  <si>
    <t>The man continues to workout on the beam and pauses to speak to the camera while using his hands.</t>
  </si>
  <si>
    <t>v_brZ1m2qNUzc</t>
  </si>
  <si>
    <t>A person is seen wiping down a rag followed by several ingredients attached to her hip.</t>
  </si>
  <si>
    <t>She sprays down the rag and is then seen again washing various windows around an office.</t>
  </si>
  <si>
    <t>She wipes down door handles as well and then puts the rags into a washing machine, hanging up the pole in the end.</t>
  </si>
  <si>
    <t>v_z4B1JZQnHl4</t>
  </si>
  <si>
    <t>A group of skaters are going quickly around an outdoor track.</t>
  </si>
  <si>
    <t>A man who curls in a wheelchair speaks to the camera.</t>
  </si>
  <si>
    <t>A man is shown with a puck, performing.</t>
  </si>
  <si>
    <t>Several people alternate playing with talking to the camera.</t>
  </si>
  <si>
    <t>v_uc1RbyLfuSs</t>
  </si>
  <si>
    <t>A person is wind sailing through a body of water.</t>
  </si>
  <si>
    <t>The person passes someone swimming.</t>
  </si>
  <si>
    <t>The person turns on their board.</t>
  </si>
  <si>
    <t>v_xqYII12ta4E</t>
  </si>
  <si>
    <t>A group of cheerleaders are wearing dark red, white and black uniforms standing in formation getting ready to do their routine, and the words below on the screen say "Mill Creek HS Class AAAAA".</t>
  </si>
  <si>
    <t>The cheerleaders begin their routine and it includes a lot of jumping, cheering, flipping, either in sync or separetly, throwing and catching other cheerleaders, and many other moves.</t>
  </si>
  <si>
    <t>They end their routine, cheer themselves on and 2 women from the audience run up and hug some of the cheerleaders.</t>
  </si>
  <si>
    <t>v_HGK_K2XqhTA</t>
  </si>
  <si>
    <t>A teen shakes his hand on front a glass of water while a youth watch him.</t>
  </si>
  <si>
    <t>Then, the teen takes the glass shaking his hand and drinks the water while the laugh.</t>
  </si>
  <si>
    <t>After, the youth takes the glass, then holds a cup while the teen fold his right hand.</t>
  </si>
  <si>
    <t>Next, the teen takes a cup and pretend to drink while making gestures of pain.</t>
  </si>
  <si>
    <t>v_q7Ap96aMkZ8</t>
  </si>
  <si>
    <t>We see people jogging on a city street.</t>
  </si>
  <si>
    <t>We zoom in on a shirtless man juggling.</t>
  </si>
  <si>
    <t>We pan backwards towards the other runners.</t>
  </si>
  <si>
    <t>v_FwV1XbjLJHY</t>
  </si>
  <si>
    <t>A woman talks in a bar, then she puts ice in a stainless steel glass.</t>
  </si>
  <si>
    <t>Then the woman adds to the cup two measures of liquor, juice and sugar.</t>
  </si>
  <si>
    <t>After, the woman puts a cup on top and shake it, and serves in a cup with a slice of lemon.</t>
  </si>
  <si>
    <t>v_4CRacVTadPQ</t>
  </si>
  <si>
    <t>A woman in a yellow shirt is holding a bottle in her hand.</t>
  </si>
  <si>
    <t>She opens the bottle and pours it into a bucket on the ground.</t>
  </si>
  <si>
    <t>She puts a mop rag into the bucket and puts it on her mop.</t>
  </si>
  <si>
    <t>She then lifts the bucket out of the room.</t>
  </si>
  <si>
    <t>She starts mopping the tile on the floor.</t>
  </si>
  <si>
    <t>v_DU36SNYN-rw</t>
  </si>
  <si>
    <t>The tile screen plays with a picture of a long field.</t>
  </si>
  <si>
    <t>A man walks up with a disk and a dog hold onto it as he passes a few people.</t>
  </si>
  <si>
    <t>The man starts playing with the dog by throwing the think and having him bring it back.</t>
  </si>
  <si>
    <t>He then claps for the dog.</t>
  </si>
  <si>
    <t>The credits roll at the end.</t>
  </si>
  <si>
    <t>v_68m6uCPwwNo</t>
  </si>
  <si>
    <t>A red ball sits between two poles.</t>
  </si>
  <si>
    <t>A cricket bat begins swinging.</t>
  </si>
  <si>
    <t>Two shoes sit on either side.</t>
  </si>
  <si>
    <t>The bat strikes the ball.</t>
  </si>
  <si>
    <t>v_aWKZSqbOi2Q</t>
  </si>
  <si>
    <t>A large group of girls dressed in cheerleading outfits are standing in formation and at the same exact moment the girls do a flip in sync and they begin their very detailed routine that includes, jumps, flips, hand claps and etcetera.</t>
  </si>
  <si>
    <t>They break off into 5 different groups where all the girls huddle in each group and throw one girl in the air and hold her up, but suddenly the front group is unstable and the girl they are holding up drops, and the girls below all catch her and they just wait until the girls are done to resume their routine in sync.</t>
  </si>
  <si>
    <t>They are all standing still in formation when suddenly one of the girls pulls off her left shoe and throws it to the side and they all remain still for a few seconds.</t>
  </si>
  <si>
    <t>The girls resume their cheer and break up in 5 sections once again to hold a girl up in the air, but once again, the middle group loses the balance of the girl on top and they fail and she falls in their catch and they resume their routine that now include multiple flips from each girl until the finish.</t>
  </si>
  <si>
    <t>v_sz0GhFkkXYI</t>
  </si>
  <si>
    <t>A man leans forward as a baby in a swing tries to grab and chew on his hair.</t>
  </si>
  <si>
    <t>The baby laughs, swinging back and forth, then tries to grab the camera.</t>
  </si>
  <si>
    <t>v_xyZ87TEcDSI</t>
  </si>
  <si>
    <t>A few people go surfing on waves.</t>
  </si>
  <si>
    <t>They fall sometimes but are ok.</t>
  </si>
  <si>
    <t>v_KkBMOQOGTdk</t>
  </si>
  <si>
    <t>Band members in full dress stand in a yard.</t>
  </si>
  <si>
    <t>They are using a rake to rake leaves.</t>
  </si>
  <si>
    <t>A man walks by as they rake.</t>
  </si>
  <si>
    <t>v_VnBZR-yBLXA</t>
  </si>
  <si>
    <t>A woman is seen standing behind a counter speaking to the camera and then beginning to peel a potato.</t>
  </si>
  <si>
    <t>She continues to peel potatoes while pausing to speak to the camera and smile.</t>
  </si>
  <si>
    <t>v_EHVkkRI7mBQ</t>
  </si>
  <si>
    <t>Young men an a car talk and play around before arriving at the ski slope.</t>
  </si>
  <si>
    <t>We see men snowboarding over obstacles and ramps on the ski slope.</t>
  </si>
  <si>
    <t>A man jumps a ramp and falls to the ground.</t>
  </si>
  <si>
    <t>We see the boys standing in the parking lot and are shown their names.</t>
  </si>
  <si>
    <t>The last boy removes his helmet, shakes his hair and smiles at the camera.</t>
  </si>
  <si>
    <t>v_QjFioni0uCM</t>
  </si>
  <si>
    <t>A man is standing behind a woman sitting in a chair.</t>
  </si>
  <si>
    <t>He is putting a product into her hair.</t>
  </si>
  <si>
    <t>He begins to blow dry her hair.</t>
  </si>
  <si>
    <t>She starts to blow dry her hair herself.</t>
  </si>
  <si>
    <t>v_gJydcG-d1cs</t>
  </si>
  <si>
    <t>A woman holds a flute and practices the keys while lying down.</t>
  </si>
  <si>
    <t>A woman in a formal dress holds up a flute and gestures while talking.</t>
  </si>
  <si>
    <t>A woman plays the flute with exaggerated blowing.</t>
  </si>
  <si>
    <t>A woman plays a flute in a room with other instruments hanging in the background.</t>
  </si>
  <si>
    <t>The two women play flutes together.</t>
  </si>
  <si>
    <t>The woman shake their hands with a cramp.</t>
  </si>
  <si>
    <t>v_HK9tOFFF5II</t>
  </si>
  <si>
    <t>a scene from th big bang theory is shown and the man is lying down in a table in a tattoo room and a tattoo artist is standing by him.</t>
  </si>
  <si>
    <t>man in the bed stands and talk to a woman and remove the fake tattoo sleeves.</t>
  </si>
  <si>
    <t>v_rfxXEgc9RTQ</t>
  </si>
  <si>
    <t>A close up of a person's feet are shown followed by two men seen in an open room holding tennis rackets and hitting a ball.</t>
  </si>
  <si>
    <t>Then men hit the ball all around the room while running to each side to hit the ball.</t>
  </si>
  <si>
    <t>v_Cl0lsFUR5HE</t>
  </si>
  <si>
    <t>A vacant beach is visible and people began to pull their cars up against the coast.</t>
  </si>
  <si>
    <t>The sidewalk then appears and a boy begins to skateboard down the road near the beach.</t>
  </si>
  <si>
    <t>He continues doing tricks and skateboarding through the city passing people and cars.</t>
  </si>
  <si>
    <t>After a while,he sits down a takes a break and begins talking to another guy before he eventually gets back up to continue skateboarding.</t>
  </si>
  <si>
    <t>v_ptlSMte8xz0</t>
  </si>
  <si>
    <t>A guy is skiing with a camera on his helmet to show us what he is seeing as he ski.</t>
  </si>
  <si>
    <t>the guy ski down the hill and passes a guy that was in front of him.</t>
  </si>
  <si>
    <t>As the guy skis he start to come cross other skiers also skiing,finally the skier makes it to the end of down hill slop and comes to a stop.</t>
  </si>
  <si>
    <t>v_-0i3BpAQAgE</t>
  </si>
  <si>
    <t>A man and a woman are playing rock paper scissors.</t>
  </si>
  <si>
    <t>The man gets on his knee and pulls out a ring.</t>
  </si>
  <si>
    <t>They hug next to the swimming pool.</t>
  </si>
  <si>
    <t>They give each other a kiss.</t>
  </si>
  <si>
    <t>v_jwv7eQpeGW4</t>
  </si>
  <si>
    <t>A man is running down a track he jumps into a pile of sand.</t>
  </si>
  <si>
    <t>He runs down the track again and jumps into the sand several times.</t>
  </si>
  <si>
    <t>Scores are shown on the screen.</t>
  </si>
  <si>
    <t>v_-vKXPND_mD8</t>
  </si>
  <si>
    <t>A man wearing a green outfit is leading a camel.</t>
  </si>
  <si>
    <t>Two people are sitting on top of the camel.</t>
  </si>
  <si>
    <t>A man is walking next to the camel.</t>
  </si>
  <si>
    <t>v_lHsPZ49cpG8</t>
  </si>
  <si>
    <t>People are playing a game on a field using horses.</t>
  </si>
  <si>
    <t>The camera person rides near the parking lot on the right.</t>
  </si>
  <si>
    <t>The camera person rides near the parking lot again.</t>
  </si>
  <si>
    <t>The person slows down near the goal.</t>
  </si>
  <si>
    <t>v_4kriQ6h6ymI</t>
  </si>
  <si>
    <t>A graphic shows and then photos follow of a girl growing up with horseback riding.</t>
  </si>
  <si>
    <t>Three years after those photos the girl moves and she is shown riding horses.</t>
  </si>
  <si>
    <t>The girl is shown with other girls posing with some awards for horseback riding.</t>
  </si>
  <si>
    <t>Another video is shown of the girl riding the horse indoors.</t>
  </si>
  <si>
    <t>Photos of the girl taking care of her horses close out the video.</t>
  </si>
  <si>
    <t>v_RfsugL4sLso</t>
  </si>
  <si>
    <t>A woman is seen brushing her teeth and leads into toothpaste being spread on a toothbrush.</t>
  </si>
  <si>
    <t>Another girl brushes her teeth and shows several stills on how to properly brush teeth.</t>
  </si>
  <si>
    <t>More clips are shown of people brushing their teeth.</t>
  </si>
  <si>
    <t>v_sQo4gMcgfT4</t>
  </si>
  <si>
    <t>Several people are in bumper scooters moving around in a small entrapment.</t>
  </si>
  <si>
    <t>Finally,they get out of the big clump and start to move around the gym easier.</t>
  </si>
  <si>
    <t>The ride finally ends,and all of the people get out and a girl and boy walk up to the camera giving a thumbs up.</t>
  </si>
  <si>
    <t>v_09MaNbzc2TA</t>
  </si>
  <si>
    <t>A large group of people are seen wandering around a beached area followed by people dancing and enjoying the beach.</t>
  </si>
  <si>
    <t>Several clips are shown of a soccer match going on as well as fans celebrating to the camera.</t>
  </si>
  <si>
    <t>In the end the team all celebrates together while confetti falls from the sky.</t>
  </si>
  <si>
    <t>v_amCD-2TIKw0</t>
  </si>
  <si>
    <t>A woman is playing music on a stereo in a busy city.</t>
  </si>
  <si>
    <t>Another woman is standing on the sidewalk with headphones.</t>
  </si>
  <si>
    <t>They both smile at each other as they groove to the music.</t>
  </si>
  <si>
    <t>The woman picks up the stereo and starts walking.</t>
  </si>
  <si>
    <t>The other woman follows her on the same sidewalk.</t>
  </si>
  <si>
    <t>They walk together holding the stereo.</t>
  </si>
  <si>
    <t>A man in a red shirt starts dancing next to a car with another woman.</t>
  </si>
  <si>
    <t>They join the woman walking with the stereo in her hand.</t>
  </si>
  <si>
    <t>Several other people join them as they walk and dance to the music.</t>
  </si>
  <si>
    <t>All the people break into a synchronized dance right on the street.</t>
  </si>
  <si>
    <t>v_vH9gqDUaBQ0</t>
  </si>
  <si>
    <t>An old man talks next a sailboat in the shore, then the man carry the sailboat to the ocean.</t>
  </si>
  <si>
    <t>The old man sails the boat sitting on the border of the boat and pulling a handle.</t>
  </si>
  <si>
    <t>Then, the old man sits for awhile, and then continues sailing and stops when he talks.</t>
  </si>
  <si>
    <t>After, the old man stops and the boat turn over, then he pulls the boat to the shore.</t>
  </si>
  <si>
    <t>After, the old man continues sailing in the ocean.</t>
  </si>
  <si>
    <t>v_QKIkAfzncFc</t>
  </si>
  <si>
    <t>A person's hands are seen playing a set of bongo drums and pausing to talk to the camera.</t>
  </si>
  <si>
    <t>He presses a button on his phone and plays the drums again and ending with one final smack on the drum.</t>
  </si>
  <si>
    <t>v_dnJJWt0SBTc</t>
  </si>
  <si>
    <t>People are standing in a line holding swords.</t>
  </si>
  <si>
    <t>A man in a white jacket is talking into a microphone.</t>
  </si>
  <si>
    <t>Another older gentlemen is talking into a microphone.</t>
  </si>
  <si>
    <t>v_dGHCQVdC27c</t>
  </si>
  <si>
    <t>A man covers a wall with cement using a hose.</t>
  </si>
  <si>
    <t>A person works behind the wall.</t>
  </si>
  <si>
    <t>The person is covering the last section of the wall.</t>
  </si>
  <si>
    <t>v_UzmnkYD5YTA</t>
  </si>
  <si>
    <t>A person is seen walking into frame holding an instrument in front of a piano.</t>
  </si>
  <si>
    <t>He plays the instrument in front of the piano and walks back to the camera.</t>
  </si>
  <si>
    <t>v_CX5QUmM97DI</t>
  </si>
  <si>
    <t>The logo "FAB" appears with two crossed swords.</t>
  </si>
  <si>
    <t>The words "Meyerco Machete Cut Test" follow on screen.</t>
  </si>
  <si>
    <t>A man is trimming a damaged bush using a machette.</t>
  </si>
  <si>
    <t>The man continues chopping the cut branch on a deck.</t>
  </si>
  <si>
    <t>v_cpeevuvJKjE</t>
  </si>
  <si>
    <t>A group of ballet of dancers compete with a group of hip hop dancers.</t>
  </si>
  <si>
    <t>A boy dance hip hop, spins and make a flip.</t>
  </si>
  <si>
    <t>After, the boy climbs on a column to make a flip backward and stand on his hands, then a ballet dancer is raised by her friends.</t>
  </si>
  <si>
    <t>Then, a boy runs and break a door to enter to the other side where a girl is surprised.</t>
  </si>
  <si>
    <t>v_5OhIRnEFMyw</t>
  </si>
  <si>
    <t>A girl smiles at a camera holding a violin and pulls her hair behind her head.</t>
  </si>
  <si>
    <t>She continues talking to the camera followed by her playing the violin.</t>
  </si>
  <si>
    <t>She takes her hair down and continues talking to the camera and showing various violin moves while singing.</t>
  </si>
  <si>
    <t>She once again puts her hair up and continues with her playing.</t>
  </si>
  <si>
    <t>v_0kfJ7Lu4tvo</t>
  </si>
  <si>
    <t>A person turns on the emergency lights of a car and takes out the emergency tire.</t>
  </si>
  <si>
    <t>Then, the man loose the lug nuts of the tire, and then reads the manual.</t>
  </si>
  <si>
    <t>After, the man puts a jack below the car to raise it.</t>
  </si>
  <si>
    <t>Next, the man puts the emergency tire and tight the lug nuts.</t>
  </si>
  <si>
    <t>At the end, the man keeps the jack and the flat tire.</t>
  </si>
  <si>
    <t>v_Lou-YFz3kb0</t>
  </si>
  <si>
    <t>A woman is seen speaking to the camera while holding a violin.</t>
  </si>
  <si>
    <t>The woman continues speaking and them begins demonstrating how to play a song.</t>
  </si>
  <si>
    <t>She finishes playing the song and smiles to the camera.</t>
  </si>
  <si>
    <t>v_CV3pIbE8BnE</t>
  </si>
  <si>
    <t>A person is seen bending over his legs with a person putting shaving cream all over his leg.</t>
  </si>
  <si>
    <t>The person then grabs a razor and begins shaving the man's leg while dipping it into a sink.</t>
  </si>
  <si>
    <t>The woman continues shaving his leg while panning back to the sink and him having a drink.</t>
  </si>
  <si>
    <t>v_D32TzYSHM08</t>
  </si>
  <si>
    <t>A man ball rolls across a baseball field and a small boy in a green shirt kicks the ball and runs around the bases.</t>
  </si>
  <si>
    <t>The boy stops and looks at the camera then starts running again.</t>
  </si>
  <si>
    <t>A person runs in front of the camera.</t>
  </si>
  <si>
    <t>The boy makes it to home as a lady chases a ball to the fence.</t>
  </si>
  <si>
    <t>v_YmhbwAv0Xbc</t>
  </si>
  <si>
    <t>The boy in the red hat and the blue coat is being pulled in a red tube by a rope over some icy roads.</t>
  </si>
  <si>
    <t>A man in a black hat has his turn with the tube.</t>
  </si>
  <si>
    <t>A man in a grey hat hits a snow embankment with the tube.</t>
  </si>
  <si>
    <t>A man goes up a snow hill in the tube.</t>
  </si>
  <si>
    <t>More people begin sliding but this time it is with a small sled, not a tube.</t>
  </si>
  <si>
    <t>A man lets go of the rope and hits an embankment of snow.</t>
  </si>
  <si>
    <t>A group of friends sit on a couch together.</t>
  </si>
  <si>
    <t>v_OZpxc1X8Bsc</t>
  </si>
  <si>
    <t>A man wearing only black shorts, sandals and a gear belt, climbs a rock using a rope in a natural environment filled with trees and foliage.</t>
  </si>
  <si>
    <t>The man in the black shorts stands at the bottom of the rock and begins to climb the rock.</t>
  </si>
  <si>
    <t>The man climbs from the bottom using knees to gain balance and a rope to steady when losing grip with the rocks.</t>
  </si>
  <si>
    <t>The man reaches the top of the rock as the tan rope, behind, dangles.</t>
  </si>
  <si>
    <t>v_6gzU9P-5tqE</t>
  </si>
  <si>
    <t>A man falls down while trying bowl down a lane.</t>
  </si>
  <si>
    <t>A woman falls down trying to bowl.</t>
  </si>
  <si>
    <t>A man throws a bowling ball and it hits the ceiling.</t>
  </si>
  <si>
    <t>A man slips and falls as he's trying to bowl.</t>
  </si>
  <si>
    <t>v_v1ukgczEA5A</t>
  </si>
  <si>
    <t>A person flips a ski upside down.</t>
  </si>
  <si>
    <t>They melt onto onto the bottom of the ski.</t>
  </si>
  <si>
    <t>They run the iron over the top of the was on the ski.</t>
  </si>
  <si>
    <t>v_PSAfQ1qjtOA</t>
  </si>
  <si>
    <t>A gymnast stands and waves her arms before a performance.</t>
  </si>
  <si>
    <t>The gymnast hops up and mounts the balance beam.</t>
  </si>
  <si>
    <t>The gymnast does a routine on the balance beam doing flips and hand springs.</t>
  </si>
  <si>
    <t>The gymnast jump and does the splits in the air.</t>
  </si>
  <si>
    <t>The gymnast dismounts the balance beam onto the mat.</t>
  </si>
  <si>
    <t>v_wQHMoyzJx_w</t>
  </si>
  <si>
    <t>We see a white opening scene.</t>
  </si>
  <si>
    <t>We see a lady in a kitchen talking and cooking.</t>
  </si>
  <si>
    <t>The lady cuts a potato and puts it in the water.</t>
  </si>
  <si>
    <t>The lady puts the potato in cold water.</t>
  </si>
  <si>
    <t>The lady peels the skin off the potato easily.</t>
  </si>
  <si>
    <t>v_sx_npA4wRrw</t>
  </si>
  <si>
    <t>A chef is mixing water and vinegar in a glass bowl and adding dried chilies to it.</t>
  </si>
  <si>
    <t>Then in a blender, the chef mixes capers, garlic, anchovies and black olives along with some olive oil.</t>
  </si>
  <si>
    <t>The chef mashes the ingredients into a paste.</t>
  </si>
  <si>
    <t>The chef adds some garlic to oil in a saute pan and sautes it with some sun dried tomatoes.</t>
  </si>
  <si>
    <t>Then adds in the olive tapenade to the pan.</t>
  </si>
  <si>
    <t>The chef then chops some parsley and garlic together.</t>
  </si>
  <si>
    <t>Then he adds some spaghetti to boiling salt water and cooks it.</t>
  </si>
  <si>
    <t>He adds the chopped parsley to the spaghetti and mixes it well along with the olive tapenade.</t>
  </si>
  <si>
    <t>v_7yndv2xOmn0</t>
  </si>
  <si>
    <t>A person is putting black icing on a cake.</t>
  </si>
  <si>
    <t>They pour icing on the top out of a pot.</t>
  </si>
  <si>
    <t>They put strawberries, blueberries, raspberries and black berries on top of the cake.</t>
  </si>
  <si>
    <t>v_8Kj5Whf2JyA</t>
  </si>
  <si>
    <t>A large group of people are see bouncing around on trampolines throwing dodgeballs to one another.</t>
  </si>
  <si>
    <t>The camera pans around to the people on the outside and back onto the kids playing.</t>
  </si>
  <si>
    <t>v_ezugU3qibVQ</t>
  </si>
  <si>
    <t>A pink screen appears that have black numbers and words that read "handbagbuyer 82", then hearts appear to fade out the intro screen and a smiling blonde woman wearing green appears talking straight to the camera.</t>
  </si>
  <si>
    <t>The woman then picks up a tray with a cover that includes colorful curlers of different sizes and she continues talking while pointing at them.</t>
  </si>
  <si>
    <t>The woman then picks up a black bag and grabs a silver clip from it, puts it back in the bag and puts the bag on the side and continues to talk.</t>
  </si>
  <si>
    <t>The woman is now standing in a bathroom wearing a red sweater with hello kitty on the front and she's brushing her hair, rolling it in curlers and clipping each one individually with the silver clip and curlers she showed earlier.</t>
  </si>
  <si>
    <t>When she completes putting all the curlers that can fit on her entire head, she smiles to the camera and turns her head from side to side.</t>
  </si>
  <si>
    <t>The woman is now standing in the bathroom wearing green again and she has her hair down and she's talking and using her hands to move her hair around to show the curls.</t>
  </si>
  <si>
    <t>The outro screan is pink and ends with black words and then a black screen that has a clip art red pair of lips on it.</t>
  </si>
  <si>
    <t>v_xfOs5nRsSuQ</t>
  </si>
  <si>
    <t>woman is standing in a green field practicing balance a ball in a golf club.</t>
  </si>
  <si>
    <t>another woman is in the court and its practicing with the girl passing the ball from a golf club to another.</t>
  </si>
  <si>
    <t>in the background cars are parked in a parking lot.</t>
  </si>
  <si>
    <t>v_CrnNXizH0IQ</t>
  </si>
  <si>
    <t>A man is seen speaking to the camera while pointing to various tools and wooden objects in front of him.</t>
  </si>
  <si>
    <t>The man unhooks the side followed by sanding it down on the side.</t>
  </si>
  <si>
    <t>The man then takes a screwdriver and drills in holes while stopping to sand it and show it to the camera.</t>
  </si>
  <si>
    <t>v_CaDoaqs_5jE</t>
  </si>
  <si>
    <t>A camera pans all around a frozen lake with trees and leads into a group of people fishing around a hole.</t>
  </si>
  <si>
    <t>The men continue to sit around the holes with a pole speaking to one another and wandering around the ice.</t>
  </si>
  <si>
    <t>v_vUuC72xikqw</t>
  </si>
  <si>
    <t>A close up of a pumpkin is seen followed by a child scouping out the middle.</t>
  </si>
  <si>
    <t>Another child next to her is seen cutting out the pumpkin when an adults walks into frame.</t>
  </si>
  <si>
    <t>The adults helps the children with one smiling to the camera and holding up seeds while the camera pans around the room.</t>
  </si>
  <si>
    <t>v_28P5f3p_32g</t>
  </si>
  <si>
    <t>A man is shown holding a knife while taking to the camera and smiling.</t>
  </si>
  <si>
    <t>He begins cutting the tomato laid out on the table in various sections.</t>
  </si>
  <si>
    <t>He then sharpens the knife on the machine next to the vegetable and shows how much better it works.</t>
  </si>
  <si>
    <t>v_7MWDmMh3zyA</t>
  </si>
  <si>
    <t>A group of people are in tubes floating on top of murky water with huge rocks in it.</t>
  </si>
  <si>
    <t>The camera scans the crowd and people continuously paddle their way across the water.</t>
  </si>
  <si>
    <t>v_L3X8OmIbj2c</t>
  </si>
  <si>
    <t>Guys arm wrestle indoors in the presence of two referees.</t>
  </si>
  <si>
    <t>The referees point in the direction of the winner.</t>
  </si>
  <si>
    <t>The players give a dab handshake.</t>
  </si>
  <si>
    <t>v_83WXP5z80Y0</t>
  </si>
  <si>
    <t>Title screens are shown on the video.</t>
  </si>
  <si>
    <t>The woman demonstrates using a hula hoop in a large room while another person talks.</t>
  </si>
  <si>
    <t>Another person looks in through the window of the door.</t>
  </si>
  <si>
    <t>The woman stops hula hooping and takes a bow.</t>
  </si>
  <si>
    <t>The ending credits roll.</t>
  </si>
  <si>
    <t>v_X_9NiZmR2tQ</t>
  </si>
  <si>
    <t>Two people are playing tennis on a court.</t>
  </si>
  <si>
    <t>One person falls back on their back.</t>
  </si>
  <si>
    <t>v_cBCi-pOE5NQ</t>
  </si>
  <si>
    <t>A man has his sax around his neck and he is explaining about reeds and mouth pieces and how you should put your mouth on it or what nor.</t>
  </si>
  <si>
    <t>He talks for a while about this, demonstrates how you would move your tongue to make sound.</t>
  </si>
  <si>
    <t>He blows into the sax to demonstrate a little more.</t>
  </si>
  <si>
    <t>He even briefly puts his finger in mouth to try to explain a little better as well.</t>
  </si>
  <si>
    <t>v_rjgu0ucCW7U</t>
  </si>
  <si>
    <t>A man pushes a lawn mower around a grass lawn area with tents cutting the grass.</t>
  </si>
  <si>
    <t>The man cuts the tall grass around a tree.</t>
  </si>
  <si>
    <t>The man shuts down the lawnmower and takes a break.</t>
  </si>
  <si>
    <t>v_0Z_mhRoqG2E</t>
  </si>
  <si>
    <t>A close up of a landscape is shown followed by a woman climbing up a rock on it's side.</t>
  </si>
  <si>
    <t>The woman continues climbing and ends with her reaching the top and throwing her arms up.</t>
  </si>
  <si>
    <t>v_KDPa4AvVt0s</t>
  </si>
  <si>
    <t>A group of people is playing dodge ball in a court.</t>
  </si>
  <si>
    <t>People joke to the camera.</t>
  </si>
  <si>
    <t>v_fY2IeYSxY4U</t>
  </si>
  <si>
    <t>A white wall is shown with pegs poking out and strips of tape hanging down and a girl begins cliff climbing the wall as a man in a blue shirt begins to talk.</t>
  </si>
  <si>
    <t>The young lady continues progressing up the wall as the man continues to talk in a split screen.</t>
  </si>
  <si>
    <t>The man lifts his foot up to talk about a certain position and the girl demonstrates it as she begins getting off the plate.</t>
  </si>
  <si>
    <t>v_lC12SCZ_-1o</t>
  </si>
  <si>
    <t>A small car is covered in a thick layer of snow.</t>
  </si>
  <si>
    <t>A man appears with a sweeper.</t>
  </si>
  <si>
    <t>He uses it to rake all the snow off the vehicle.</t>
  </si>
  <si>
    <t>v_ZIBWRRBft8g</t>
  </si>
  <si>
    <t>man is kneeling on the floor talking to the camera and showing the tiles above the wooden floor.</t>
  </si>
  <si>
    <t>man is showing a place without the wooden floor and its putting the wooden pole in the floor measuring the space.</t>
  </si>
  <si>
    <t>the man puts a wood sheet in space and put floor tiles.</t>
  </si>
  <si>
    <t>v_pAAGm-KEFW0</t>
  </si>
  <si>
    <t>There is a boy sitting on the bed showing off his sunburn and putting cream on it.</t>
  </si>
  <si>
    <t>A friend is shaking his head because of the other guy's sunburn.</t>
  </si>
  <si>
    <t>The friend lifts his shirt to show his sunburn as well.</t>
  </si>
  <si>
    <t>The camera pans around room and back to the first guy.</t>
  </si>
  <si>
    <t>A girl walks by carrying a plate, puts it on the table and does a dance.</t>
  </si>
  <si>
    <t>The camera pans to a mirror with two men standing in it with a phone and waving.</t>
  </si>
  <si>
    <t>The camera looks over the balcony of the room.</t>
  </si>
  <si>
    <t>A woman puts a plate of food on a table and a man walks back inside.</t>
  </si>
  <si>
    <t>The sunburned man is taking his shirt off and laying it on the bed.</t>
  </si>
  <si>
    <t>His friends help him with cream on his sunburn.</t>
  </si>
  <si>
    <t>The woman is sitting at the table eating.</t>
  </si>
  <si>
    <t>v_QvM8SFUUvsw</t>
  </si>
  <si>
    <t>A man is shown solving a rubix rube at record speed while a timer is going and a man records him.</t>
  </si>
  <si>
    <t>Another player at a younger age is shown solving the rubix cube as well as a third patron shortly after.</t>
  </si>
  <si>
    <t>v_BJM1rUjXvkQ</t>
  </si>
  <si>
    <t>The candied fruits are in the bowl, then the woman pour liqueur in it and mixed them.</t>
  </si>
  <si>
    <t>The woman added brown sugar on the butter, then added eggs one by one and mixed and then cream, then flour, baking soda, cinnamon powder and mixed them well.</t>
  </si>
  <si>
    <t>The dried fruit mixture is added in the batter, and then shredded nuts and they were mixed well together.</t>
  </si>
  <si>
    <t>The batter is pour into the pan, smooth the batter and making sure that its evenly distributed.</t>
  </si>
  <si>
    <t>v_Y39LnzOipck</t>
  </si>
  <si>
    <t>A man is seen standing and looking around and then cleans off a bowling ball and stands before a lane.</t>
  </si>
  <si>
    <t>The man throws the ball down and hits several pins.</t>
  </si>
  <si>
    <t>v_I3WRp3QB8eg</t>
  </si>
  <si>
    <t>A girl is seen speaking to the camera and walks into a hair salon and shakes hands with an stylist.</t>
  </si>
  <si>
    <t>Several shots of an artist are shown and the man then begins cutting the girl's hair.</t>
  </si>
  <si>
    <t>He hands her the hair and washes her hair followed by more cuts and looking into a mirror.</t>
  </si>
  <si>
    <t>In the end her hair looks just like the artist and she is seen smiling and hugs a person, ending with a side by side picture of the artist and her.</t>
  </si>
  <si>
    <t>v__DiTdY1Mtj4</t>
  </si>
  <si>
    <t>A person is seen bending over near a crowd and begins playing a game of shuffleboard.</t>
  </si>
  <si>
    <t>The people continue playing back and fourth on the mat while other people playing around them and walk into frame.</t>
  </si>
  <si>
    <t>A man and woman are seen speaking to one another and is again shown pushing the pucks.</t>
  </si>
  <si>
    <t>v_RLdlDewtKbE</t>
  </si>
  <si>
    <t>An intro is shown for a cricket game.</t>
  </si>
  <si>
    <t>Several players begin to play a cricket game on a field.</t>
  </si>
  <si>
    <t>A man stumbles over one of the cricket posts.</t>
  </si>
  <si>
    <t>The players shake hands as the game ends.</t>
  </si>
  <si>
    <t>The results of the game a then shown on the screen.</t>
  </si>
  <si>
    <t>v_0EbXjHsMBmM</t>
  </si>
  <si>
    <t>At a store by the name of skinny ski's there is a table set up with things needed to saw down skis.</t>
  </si>
  <si>
    <t>A man uses some equipment to melt some wax over a ski, going over it a few times.</t>
  </si>
  <si>
    <t>He then directly uses the iron right on the ski too smoothen out the wax he just melted over it, going over it a few times.</t>
  </si>
  <si>
    <t>He then shows a package of dibloc low fluoro hot wax and information on how to contact for services.</t>
  </si>
  <si>
    <t>v_HVU5EmblAP8</t>
  </si>
  <si>
    <t>A man is playing the drums with is hands.</t>
  </si>
  <si>
    <t>The man pauses then plays again.</t>
  </si>
  <si>
    <t>The man pauses then plays slower.</t>
  </si>
  <si>
    <t>v_qb_5_9xDYqc</t>
  </si>
  <si>
    <t>An African American male is standing outside next to a tall rock wall.</t>
  </si>
  <si>
    <t>The man continues touching the rock and begins stretching.</t>
  </si>
  <si>
    <t>After, he begins to actively and ferociously climb the wall and come down on the other side but he does it without any ropes attached to him.</t>
  </si>
  <si>
    <t>v_MleQSQt6Utw</t>
  </si>
  <si>
    <t>A boy in a blue shirt is playing in the sand on the beach.</t>
  </si>
  <si>
    <t>A man in a white shirt is standing behind him helping him.</t>
  </si>
  <si>
    <t>A man in blue shorts is also helping the boy make the sand castle.</t>
  </si>
  <si>
    <t>v_GFQuGc1yY8o</t>
  </si>
  <si>
    <t>A man is shown with a woman dancing in front of a large crowd on a tv show.</t>
  </si>
  <si>
    <t>The woman spins around as the man leads her through the routine.</t>
  </si>
  <si>
    <t>She then is lifted up and spun around again.</t>
  </si>
  <si>
    <t>They dance very romantically and she is spun around various times before being tipped backwards by the man as they continue to dance.</t>
  </si>
  <si>
    <t>The two dancers reach out to one another and the routine ends.</t>
  </si>
  <si>
    <t>v_rML1aj5XW0M</t>
  </si>
  <si>
    <t>A wrestler is hoisted on a man's shoulders.</t>
  </si>
  <si>
    <t>The man throws the wrestler on a table.</t>
  </si>
  <si>
    <t>The other man hollers out loud.</t>
  </si>
  <si>
    <t>One of the other men stands over the injured man.</t>
  </si>
  <si>
    <t>v_1C0Ur7fen8s</t>
  </si>
  <si>
    <t>A group of boys are playing a game of foosball with girls.</t>
  </si>
  <si>
    <t>The two groups stand on either side of the machine.</t>
  </si>
  <si>
    <t>They use the little men to hit the ball back and forth.</t>
  </si>
  <si>
    <t>v_LlgGMRw16UY</t>
  </si>
  <si>
    <t>Teen compete skateboard down the road very fast.</t>
  </si>
  <si>
    <t>A teen falls face down from his skateboard on the ground.</t>
  </si>
  <si>
    <t>Another teen falls on the road.</t>
  </si>
  <si>
    <t>Other teens continue skating and some on them falls while skating.</t>
  </si>
  <si>
    <t>v_QXZkejzunpk</t>
  </si>
  <si>
    <t>People ride bikes on a bumpy track circuit.</t>
  </si>
  <si>
    <t>Then, they arrive to the finish line where people is washing the competition.</t>
  </si>
  <si>
    <t>v_XxMzH75Bhr8</t>
  </si>
  <si>
    <t>A large group of men are seen running around an indoor field when one scores a goal and the audience cheers.</t>
  </si>
  <si>
    <t>Several more shots of goals are shown followed by slowed down shots of each goal.</t>
  </si>
  <si>
    <t>Close up of players are shown and ends with a group of players all hugging and cheering with one another.</t>
  </si>
  <si>
    <t>v_aFlumCYsZgM</t>
  </si>
  <si>
    <t>A boy enjoys an ice cream cone.</t>
  </si>
  <si>
    <t>A girl eats licks and eats an ice cream cone.</t>
  </si>
  <si>
    <t>The boy finishes the ice cream cone.</t>
  </si>
  <si>
    <t>The girl lightly licks the ice cream cone.</t>
  </si>
  <si>
    <t>v_CkC1wxAaDjM</t>
  </si>
  <si>
    <t>An archery tournament begins and the montage shows the players hiding behind shields and firing back and forth.</t>
  </si>
  <si>
    <t>The parents of the children are shown watching the battle.</t>
  </si>
  <si>
    <t>v_gaNiULmtQg8</t>
  </si>
  <si>
    <t>A girl jumps onto a balance beam.</t>
  </si>
  <si>
    <t>She begins to do a routine on the balance beam.</t>
  </si>
  <si>
    <t>She dismounts and lands on the mat with her hands in the air.</t>
  </si>
  <si>
    <t>v_9XanCE5nX2Q</t>
  </si>
  <si>
    <t>There is a woman dancing on stage in front of a man in the beginning.</t>
  </si>
  <si>
    <t>There are many different women doing hip hop moves.</t>
  </si>
  <si>
    <t>v_Qg3Lih9PTBM</t>
  </si>
  <si>
    <t>Two sumos wrestle fiercely while a judge watch them.</t>
  </si>
  <si>
    <t>Then, the sumo wearing black slip pushed out of the ring the other sumo.</t>
  </si>
  <si>
    <t>Then, two sumo wrestle and trip with the judge, one of them falls.</t>
  </si>
  <si>
    <t>After, the sumosn continue wrestling and the sumo with black slip falls out the ring.</t>
  </si>
  <si>
    <t>v_QEfXMtnI6rw</t>
  </si>
  <si>
    <t>A man is seen speaking to the camera while holding up a piece of paper.</t>
  </si>
  <si>
    <t>The man also holds up a razor and begins writing on the paper.</t>
  </si>
  <si>
    <t>The man is then seen shaving his face and ending with credits.</t>
  </si>
  <si>
    <t>v_zyh16NahocQ</t>
  </si>
  <si>
    <t>We see a lady talking in the bathroom.</t>
  </si>
  <si>
    <t>She shows us her blow dryer box.</t>
  </si>
  <si>
    <t>She brings the blow dryer box back into view.</t>
  </si>
  <si>
    <t>The lady grabs and lifts her hair.</t>
  </si>
  <si>
    <t>The lady shows us dryer attachments and the dryer.</t>
  </si>
  <si>
    <t>The lady brushes hear hair and adds blow drys her hair.</t>
  </si>
  <si>
    <t>v_x9BN93AXNTQ</t>
  </si>
  <si>
    <t>A close up of a computer is shown followed by a man stepping into frame and singing into the microphone.</t>
  </si>
  <si>
    <t>The man continues singing while the camera captures him and fades to black in the end.</t>
  </si>
  <si>
    <t>v_5vlGKyxl22M</t>
  </si>
  <si>
    <t>An old woman talks before run in a marathon where there is a lot of people participate.</t>
  </si>
  <si>
    <t>Then, the woman cross the finish line and people help her.</t>
  </si>
  <si>
    <t>A cameraman films on front the finish line while people is arriving.</t>
  </si>
  <si>
    <t>A woman raise her arms when cross the finish line.</t>
  </si>
  <si>
    <t>v_3Z4b34lBnyU</t>
  </si>
  <si>
    <t>A very large man wearing a black speedo is standing in a wrestling rink huffing and puffing.</t>
  </si>
  <si>
    <t>A referee walks past the man, a man from the ground stands up and the very large man kicks him, picks him up, then slams him onto the rink.</t>
  </si>
  <si>
    <t>The man just lays there writhing in pain.</t>
  </si>
  <si>
    <t>v_memk6ryZCjE</t>
  </si>
  <si>
    <t>Two women are seen speaking to one another and leads into them performing martial arts against one another.</t>
  </si>
  <si>
    <t>The girls continue to fight and leads into one sitting down while the other continues to perform moves.</t>
  </si>
  <si>
    <t>v_qPZBSTNEl78</t>
  </si>
  <si>
    <t>A girl in red outfit serves the ball to her friend on an outdoor tennis match.</t>
  </si>
  <si>
    <t>The friend returns the ball and the two play a round of tennis.</t>
  </si>
  <si>
    <t>The ball is deflected by the net and the partner loses the round.</t>
  </si>
  <si>
    <t>v_IdEcXDZ4Cos</t>
  </si>
  <si>
    <t>Several men stand on a pier.</t>
  </si>
  <si>
    <t>One of the men is shirtless.</t>
  </si>
  <si>
    <t>They bring out some raw meat.</t>
  </si>
  <si>
    <t>One of the men gets on a board and does tricks.</t>
  </si>
  <si>
    <t>v_2zwUExKXw9s</t>
  </si>
  <si>
    <t>A group sits on horses as the stand and take a rest.</t>
  </si>
  <si>
    <t>The group rides on the horses along a trail.</t>
  </si>
  <si>
    <t>v_Ni7Lqloy5Qc</t>
  </si>
  <si>
    <t>A woman is seen speaking to the camera as well as other people in a car wit her.</t>
  </si>
  <si>
    <t>Shots of her and her friend are shown through a frame and leads into them looking at tattoos.</t>
  </si>
  <si>
    <t>They're shown singing in the car and waiting to get a tattoo down while still speaking to the camera.</t>
  </si>
  <si>
    <t>The girls are then each shown getting tattoos done and ends with pictures of their tattoos being shown off.</t>
  </si>
  <si>
    <t>v_Mk9n7isIyBs</t>
  </si>
  <si>
    <t>A woman wearing a pink and white shirt and black tights is standing in her front yard.</t>
  </si>
  <si>
    <t>She is holding two batons in her and twirling them.</t>
  </si>
  <si>
    <t>She twirls her body and turns around several times as she twirls the batons in both her hands.</t>
  </si>
  <si>
    <t>She also moves her foot back and forth and walks and lifts her foot as she twirls.</t>
  </si>
  <si>
    <t>She then throws the baton from underneath her leg and catches it with her other hand.</t>
  </si>
  <si>
    <t>she continues twirling the baton near a shady tree.</t>
  </si>
  <si>
    <t>she turns her entire body around as she twirls the batons.</t>
  </si>
  <si>
    <t>She finally bows down and holds the baton straight in her hand.</t>
  </si>
  <si>
    <t>v_zChDaAcfc2o</t>
  </si>
  <si>
    <t>We see water flowing over a river.</t>
  </si>
  <si>
    <t>A title appears on the screen.</t>
  </si>
  <si>
    <t>A person in a canoe goes over the waterfall.</t>
  </si>
  <si>
    <t>The person rides the rapids of the river.</t>
  </si>
  <si>
    <t>We see people on a rock on the riverbank watching the canoer.</t>
  </si>
  <si>
    <t>The person in the canoe smiles and talks to the camera.</t>
  </si>
  <si>
    <t>v_dL--vW-AJJo</t>
  </si>
  <si>
    <t>A close up of tires are shown followed by a man working on a tire as well as being interviewed on camera.</t>
  </si>
  <si>
    <t>The camera captures the tool on the tires from several angles as well as lifting up the car to work underneath.</t>
  </si>
  <si>
    <t>More shots of the men working as shown as one speaks to the camera and ends by fading to white.</t>
  </si>
  <si>
    <t>v_Qfi8dqC4E4s</t>
  </si>
  <si>
    <t>A man and woman wearing red jackets, the man was cheering, while the woman is taking video using her iPad, she has very serious look on her face, the woman handed the iPad to the man.</t>
  </si>
  <si>
    <t>A woman is picking up a pole, putting it inside the bigger pole, a man in blue jacket looked up from the ground.</t>
  </si>
  <si>
    <t>A male athlete wearing red and blue top, blue shorts ran, hopped and jumped, he fell on the #18 sand then got up walked around the grass and field towards the group of people.</t>
  </si>
  <si>
    <t>A male athlete wearing blue top ran to the lane, started hopping after passing the white line and jumped to the sand, hit the sandy ground then stood up, then walked to the track field.</t>
  </si>
  <si>
    <t>A male athlete in red and blue uniform started to run to the field, hopped when passed the white line then jumped towards bed of sandy ground, he hit the ground, fell on his side and stood up and walked towards the field.</t>
  </si>
  <si>
    <t>A woman in red top is shown.</t>
  </si>
  <si>
    <t>v_BnAG37ecNbA</t>
  </si>
  <si>
    <t>A woman is sitting on a hospital bed with a razor handle in her mouth and people around her are moving her hair out of her face.</t>
  </si>
  <si>
    <t>The woman then starts to pull the razor up and down the part of her left leg that she can reach with her bend.</t>
  </si>
  <si>
    <t>The woman then grabs the razor from her mouth with her right hand and starts shaving her left leg.</t>
  </si>
  <si>
    <t>The woman puts the razor handle back in her mouth and tries to shave again but it falls out of her mouth and she drops her head in frustration then leans back on the bed, laughs, and then crosses her arms.</t>
  </si>
  <si>
    <t>v_Et8xkGzQOTA</t>
  </si>
  <si>
    <t>A man in a black hat is standing on the street.</t>
  </si>
  <si>
    <t>A person starts dancing on the street.</t>
  </si>
  <si>
    <t>A man starts break dancing in front of a car.</t>
  </si>
  <si>
    <t>v_ghFOHoBiyD8</t>
  </si>
  <si>
    <t>A man wearing glasses is holding a book and talking.</t>
  </si>
  <si>
    <t>He is shown entering a bowling alley.</t>
  </si>
  <si>
    <t>The man interviews players and joins them in a game of bowling.</t>
  </si>
  <si>
    <t>A player explains the techniques he uses.</t>
  </si>
  <si>
    <t>v_rhfoyYzp93Q</t>
  </si>
  <si>
    <t>A person is paddling down a river in a canoe.</t>
  </si>
  <si>
    <t>The person turns and looks back.</t>
  </si>
  <si>
    <t>v_dUvZ6-IVo34</t>
  </si>
  <si>
    <t>A man is seen speaking to the camera while holding up an instrument.</t>
  </si>
  <si>
    <t>The man then begins playing the instrument in front of the camera.</t>
  </si>
  <si>
    <t>The man continues to play the instrument and stops to look at the camera.</t>
  </si>
  <si>
    <t>v_Cu8kOOnAjaw</t>
  </si>
  <si>
    <t>A dog is close to the camera, play fighting with another dog.</t>
  </si>
  <si>
    <t>They jump off a man's lap, then back on again as they continue to play.</t>
  </si>
  <si>
    <t>The man puts his glasses back on as the dogs calm down and lie down on his lap.</t>
  </si>
  <si>
    <t>v_eRh6V0bcBpU</t>
  </si>
  <si>
    <t>Inside a man and a woman are playing a game of raquet ball.</t>
  </si>
  <si>
    <t>She begins to talk about it for a little bit very causally.</t>
  </si>
  <si>
    <t>Then, she goes to practice hitting it by herself for a little bit.</t>
  </si>
  <si>
    <t>This is a game she really enjoys to play, its a hobby.</t>
  </si>
  <si>
    <t>v_X1bmeq4u6YE</t>
  </si>
  <si>
    <t>A video shows how to make curry toast.</t>
  </si>
  <si>
    <t>The curry is in a pan and the bread and butter are on a tray.</t>
  </si>
  <si>
    <t>The man applies the butter, then the curry to the bread before toasting it.</t>
  </si>
  <si>
    <t>A cartoon charicature of a stick person dances at the end.</t>
  </si>
  <si>
    <t>v_nuEK3POl9jA</t>
  </si>
  <si>
    <t>At the 2008 Olympics, a man prepares to lift a loaded barbell.</t>
  </si>
  <si>
    <t>He bends down and works his way up with great effort, finally lifting the barbell over his head.</t>
  </si>
  <si>
    <t>He drops the weights and they crash to the ground.</t>
  </si>
  <si>
    <t>He celebrates and we see that the Olympian has set a record.</t>
  </si>
  <si>
    <t>v_tp0L6sR1qts</t>
  </si>
  <si>
    <t>A man is seen rolling out a bike and begins checking the tires with another man.</t>
  </si>
  <si>
    <t>One man cuts a wire and checks more tires and another man spins the tires once more.</t>
  </si>
  <si>
    <t>v_JU_o9ZtH-VM</t>
  </si>
  <si>
    <t>A balded man is seen speaking to the camera with a head sitting behind him with a head full of hair.</t>
  </si>
  <si>
    <t>He then cuts the hair on the dummy in a certain fashion and the camera zooms in on the finished result in the end.</t>
  </si>
  <si>
    <t>v_5k0KMrksf8c</t>
  </si>
  <si>
    <t>Two teams are standing at the scrimmage line together waiting to play the game.</t>
  </si>
  <si>
    <t>The game begins and the two teams fight each ferociously in a game of Lacrosse.</t>
  </si>
  <si>
    <t>One person gets hit so bad,he is out and remains laying down on the field as the rest of the players take off down the field.</t>
  </si>
  <si>
    <t>v_z6IsPWucZnU</t>
  </si>
  <si>
    <t>A baby is shown floating upside down in a pool.</t>
  </si>
  <si>
    <t>Trainers are teaching the child how to stay afloat.</t>
  </si>
  <si>
    <t>He is learning how to swim, keeping himself above water.</t>
  </si>
  <si>
    <t>v__O6ONcIPR_s</t>
  </si>
  <si>
    <t>A wind kite is shown in the air.</t>
  </si>
  <si>
    <t>A man in a black shirt is controlling the wind kite and falls on the ground.</t>
  </si>
  <si>
    <t>Dogs are running around on the grass.</t>
  </si>
  <si>
    <t>v_qYN_YrwUCBs</t>
  </si>
  <si>
    <t>An introduction graphic comes onto the screen presenting a volleyball championship.</t>
  </si>
  <si>
    <t>A man comes onto the screen announcing the competition before it begins.</t>
  </si>
  <si>
    <t>Different girls are shown playing beach volley ball as the narrator tells the story of their road to the championship.</t>
  </si>
  <si>
    <t>Many of the team members are shown talking on the court and strategizing for the win.</t>
  </si>
  <si>
    <t>The video cuts to a conference room where there is a discussion about the volleyball players.</t>
  </si>
  <si>
    <t>The video ends with the graphics for the c losing credits.</t>
  </si>
  <si>
    <t>v_NKZzGiS5hv0</t>
  </si>
  <si>
    <t>men are siting in a dark room talking to the camera.</t>
  </si>
  <si>
    <t>sumo wrestlers are standing in stage ready to fight and people are gathered around them and sitting in he terraces.</t>
  </si>
  <si>
    <t>men are talking in the dark room and explaining their point of view.</t>
  </si>
  <si>
    <t>v_RQO61KXeBos</t>
  </si>
  <si>
    <t>A man starts running down with a stick he places it down and jumps over a really high obstacle, he lands and gloats.</t>
  </si>
  <si>
    <t>The next man takes his turn and he does the same using the stick to get over the obstacle and jumping up with excitement after landing.</t>
  </si>
  <si>
    <t>Then another man takes his turn and when he lands he throws off his helmet and yells and jumps for joy like the previous men.</t>
  </si>
  <si>
    <t>The audience is very thrilled too, they all take more turns trying to get the best score.</t>
  </si>
  <si>
    <t>v__nup1BwPnXc</t>
  </si>
  <si>
    <t>We see kids in purple pose for a photo.</t>
  </si>
  <si>
    <t>The kids then play tug of war as two girls stand nearby cheering.</t>
  </si>
  <si>
    <t>We switch to a girl and a boy cheering.</t>
  </si>
  <si>
    <t>We see two different kids cheering.</t>
  </si>
  <si>
    <t>We switch the cheering kids again.</t>
  </si>
  <si>
    <t>The kids win and an jump and cheer as one girl talks to a teacher.</t>
  </si>
  <si>
    <t>v_sA8fmJulHMs</t>
  </si>
  <si>
    <t>Several shirtless men are gathered in a room, one smokes a cigarette as the rest cheer him on.</t>
  </si>
  <si>
    <t>He sucks down the cigarette all the way down to the bud.</t>
  </si>
  <si>
    <t>He coughs a bit and then inhales it in his nose, pointing to the camera afterwards.</t>
  </si>
  <si>
    <t>v_eM-l2d8e-CA</t>
  </si>
  <si>
    <t>Pucks are seen sitting along the ice as well as a man speaking to the camera and people walking around.</t>
  </si>
  <si>
    <t>More clips are shown of people curling on the ice while also speaking to the camera.</t>
  </si>
  <si>
    <t>The people continue to push the puck along the ice while looking back to the camera as well as speaking to the camera.</t>
  </si>
  <si>
    <t>v_PgoRelvwBUI</t>
  </si>
  <si>
    <t>We see a tire well on a table in a clamp.</t>
  </si>
  <si>
    <t>A man puts a vice grip on the well.</t>
  </si>
  <si>
    <t>The man pushes and spins a tire over the wheel well.</t>
  </si>
  <si>
    <t>v_V3ZDyR7mVpc</t>
  </si>
  <si>
    <t>We see waterski and the side of a boat.</t>
  </si>
  <si>
    <t>We see a boy standing on a dock, people gas their boat then board.</t>
  </si>
  <si>
    <t>We see two boys playing.</t>
  </si>
  <si>
    <t>We see a person water skiing on a lake.</t>
  </si>
  <si>
    <t>We see the cars in the parking lot near the lake and a dog sniffs the camera.</t>
  </si>
  <si>
    <t>We see a shop then a person paddling on a kayak.</t>
  </si>
  <si>
    <t>A person jumps into the water and we see the water skier again.</t>
  </si>
  <si>
    <t>A boy on a trampoline in a shop, people on a raft and a boy jumps in the water.</t>
  </si>
  <si>
    <t>We see a boy on a toy bike, the water skier falls.</t>
  </si>
  <si>
    <t>A person on skis jumps a ramp.</t>
  </si>
  <si>
    <t>v_otWcr0Rxy5g</t>
  </si>
  <si>
    <t>a group of performers are standing on a stage.</t>
  </si>
  <si>
    <t>They turn, and begin playing the drums.</t>
  </si>
  <si>
    <t>They put on sunglasses while they play for the audience.</t>
  </si>
  <si>
    <t>v_uqAFtPVzEEs</t>
  </si>
  <si>
    <t>A news man is standing in front of a screen talking as it displays a volleyball game on the beach.</t>
  </si>
  <si>
    <t>Then we see the players, fighting over and kicking the ball, alternating with speaking to the camera individually before going back to scenes from the game.</t>
  </si>
  <si>
    <t>v_qpdREcmjhUw</t>
  </si>
  <si>
    <t>A young boy has a long stick in had and is pushing a puck across a white triangle with numbers in it.</t>
  </si>
  <si>
    <t>The puck goes to far down the board and the toddler chases after it.</t>
  </si>
  <si>
    <t>Once the puck is back on the board,he takes off running back down the board.</t>
  </si>
  <si>
    <t>v_9x7FyIJdVsI</t>
  </si>
  <si>
    <t>A male is shown deep underwater in a pool doing a breast stroke.</t>
  </si>
  <si>
    <t>As he is swimming,a man in an orange polo is standing on the outside describing his technique.</t>
  </si>
  <si>
    <t>v_DsnVkCHbEVM</t>
  </si>
  <si>
    <t>A series of screen flashes and it shows statistics about driving drunk and when to take breaks driving.</t>
  </si>
  <si>
    <t>After, a group of about forty individuals are in a large pool playing water polo.</t>
  </si>
  <si>
    <t>The people take turns going back and forth throwing the ball and a person finally makes a goal.</t>
  </si>
  <si>
    <t>v_wj0D-wiqEb0</t>
  </si>
  <si>
    <t>A man is playing a wooden instrument inext to another man, sitting inside a small room.</t>
  </si>
  <si>
    <t>When he is done, he lowers his instrument and smiles broadly.</t>
  </si>
  <si>
    <t>They appear to be riding inside a train.</t>
  </si>
  <si>
    <t>v_sbvdGKpHy2M</t>
  </si>
  <si>
    <t>The interior and supplies of an old fashioned barber shop are shown.</t>
  </si>
  <si>
    <t>A man sharpens a razor strap.</t>
  </si>
  <si>
    <t>He shows off the cream as he puts it on his client.</t>
  </si>
  <si>
    <t>He then gently and professionally gives the man a beard shave.</t>
  </si>
  <si>
    <t>The man lies still as he applies a cloth, then aftershave.</t>
  </si>
  <si>
    <t>A close up is shown of the clean shaven face.</t>
  </si>
  <si>
    <t>v_Ti3z17QofU8</t>
  </si>
  <si>
    <t>We see an opening scene on a black background.</t>
  </si>
  <si>
    <t>We see a man hammer a nail.</t>
  </si>
  <si>
    <t>The man shows us some bolts.</t>
  </si>
  <si>
    <t>We see the man screw a screw in.</t>
  </si>
  <si>
    <t>v_WYjtYDyHUxY</t>
  </si>
  <si>
    <t>Several shots are shown of paintball are shown followed by many pictures of guns.</t>
  </si>
  <si>
    <t>More pictures of guns are shown and ends with text across the screen.</t>
  </si>
  <si>
    <t>v_vLJz4a4NvRI</t>
  </si>
  <si>
    <t>We see an opening title screen and a man and lady look happy and the lady throws her hands in the air.</t>
  </si>
  <si>
    <t>We see a man dealing blackjack in front of a screen.</t>
  </si>
  <si>
    <t>We see a C emblem screen.</t>
  </si>
  <si>
    <t>We see the man continue to deal cards.</t>
  </si>
  <si>
    <t>v_v-mNvC8zVhE</t>
  </si>
  <si>
    <t>A young lady is in a room rolling down a piece of grey and white wallpaper on a wall.</t>
  </si>
  <si>
    <t>She is now on another wall and is using a utensil to smooth out the paper.</t>
  </si>
  <si>
    <t>Then,she is shown cutting the grey wallpaper and brushing it.</t>
  </si>
  <si>
    <t>Finally,she moves to another flower piece and begins to cut off the excess paper ensuring it is measured correctly.</t>
  </si>
  <si>
    <t>v_PzERiygIpkg</t>
  </si>
  <si>
    <t>A person is seen sticking their hands under a dink and rubbing soap on their hands.</t>
  </si>
  <si>
    <t>The person scrubs their hands thoroughly and then runs them under a faucet.</t>
  </si>
  <si>
    <t>She then grabs a paper towel to dry her hands and show them off.</t>
  </si>
  <si>
    <t>v_4WrU5OdkvY0</t>
  </si>
  <si>
    <t>A man is seen stretching on the floor followed by people fencing with one another.</t>
  </si>
  <si>
    <t>People move back and fourth around an arena fencing with one another and the camera capturing their movements.</t>
  </si>
  <si>
    <t>They continue fighting back and fourth and end by walking away.</t>
  </si>
  <si>
    <t>v_h2HRRkwHoKw</t>
  </si>
  <si>
    <t>There is a busy restaurant by the lakeside where nearly all the tables are occupied by guests dining there.</t>
  </si>
  <si>
    <t>The server fills in ice in the glasses and barista makes coffee.</t>
  </si>
  <si>
    <t>The customers are busy eating their food that is served.</t>
  </si>
  <si>
    <t>The bartender is mixing drinks to make various cocktails.</t>
  </si>
  <si>
    <t>The barista is making latte and cappuccino.</t>
  </si>
  <si>
    <t>A lady customer is seen enjoying her drinks.</t>
  </si>
  <si>
    <t>v_3_Gha8keu-A</t>
  </si>
  <si>
    <t>A group of women stand facing the camera.</t>
  </si>
  <si>
    <t>An older woman walks to the head of the group.</t>
  </si>
  <si>
    <t>The group dance together facing the camera.</t>
  </si>
  <si>
    <t>v_gHYcZYkrxxQ</t>
  </si>
  <si>
    <t>A man in a snow covered parking lot lined with tall street lamps scrapes hardened snow and ice off of his maroon sports car at night.</t>
  </si>
  <si>
    <t>The man begins by scraping ice and snow off of the bottom of his windshield and the hood of his car and front grill.</t>
  </si>
  <si>
    <t>The man then scrapes and kicks at ice chunks surrounding the area around the front passenger tire.</t>
  </si>
  <si>
    <t>Lastly, the man scrapes ice off of the trunk of the car and the rear passenger tire area before waiving and walking toward the camera.</t>
  </si>
  <si>
    <t>v_-s1MQAiOMeY</t>
  </si>
  <si>
    <t>A black template with scrolling print with white lettering goes across the screen in an upward motion.</t>
  </si>
  <si>
    <t>A motor boat with two canoe like hulls on either side of the sail, sails across an ocean, in daylight, with two people hanging on to the side.</t>
  </si>
  <si>
    <t>The image of the boat on the water changes to night vision with only green and white colors reflecting before the credits roll.</t>
  </si>
  <si>
    <t>v_MuOkEmd4Gp0</t>
  </si>
  <si>
    <t>There are four people participating the BMX dirt biking competition.</t>
  </si>
  <si>
    <t>They are doing incredible stunts on their bikes by jumping up high over ditches and steep terrain.</t>
  </si>
  <si>
    <t>One of the bikers takes a fall after he leaps over a hilly road.</t>
  </si>
  <si>
    <t>Several other bikers go in full speed over hilly terrain and steep hills.</t>
  </si>
  <si>
    <t>People are gathered to watch and participate in the BMX event.</t>
  </si>
  <si>
    <t>The bikers continue doing their stunts as they go over hilly terrain and hilltops.</t>
  </si>
  <si>
    <t>The winners of the race are awarded trophies and certificates.</t>
  </si>
  <si>
    <t>They proudly raise their trophies high up to show their accomplishment.</t>
  </si>
  <si>
    <t>v_xUHXFXela-0</t>
  </si>
  <si>
    <t>man is climbong a rock wall atached to harness.</t>
  </si>
  <si>
    <t>a group of friends are standing on the field and above them the man is climbing the rock wall.</t>
  </si>
  <si>
    <t>man is climbong the rock wall holding it and the other people on the floor is attached to harness ready to climb the wall too.</t>
  </si>
  <si>
    <t>v_wEwp63lUsrE</t>
  </si>
  <si>
    <t>A man wearing gloves is seen speaking to the camera while holding up various objects to the camera.</t>
  </si>
  <si>
    <t>He then puts the objects together to create a large flame and hammers down a tool in the end and shows the results.</t>
  </si>
  <si>
    <t>v_oYmE833AO2w</t>
  </si>
  <si>
    <t>A man in grey shirt applies plaster with a handheld spatula to the interior wall of a building.</t>
  </si>
  <si>
    <t>The main points to the corners of the room to show the line he is working.</t>
  </si>
  <si>
    <t>The man in applies more plaster the the wall and covers more area.</t>
  </si>
  <si>
    <t>The man in grey stops to discuss with his partner.</t>
  </si>
  <si>
    <t>The man in grey along with his partner begin to apply a coating on the wall together.</t>
  </si>
  <si>
    <t>The man in grey watches and gives tips to his friend.</t>
  </si>
  <si>
    <t>The man in grey and the friend both apply plaster together higher up on the wall and ceiling.</t>
  </si>
  <si>
    <t>v_R_HDifqMHSY</t>
  </si>
  <si>
    <t>A singer is shown standing on a piano on a large stage and talking into the mic while a drummer plays in the background.</t>
  </si>
  <si>
    <t>He continues singing to the audience followed by jumping off the piano and dancing around the stage.</t>
  </si>
  <si>
    <t>The drums continue to play and the lights flicker behind him while people shuffle other drums around the set.</t>
  </si>
  <si>
    <t>The two men then begin playing the drums back to back with each other while switching between drum kits and movements.</t>
  </si>
  <si>
    <t>v_l_R7AbA-d04</t>
  </si>
  <si>
    <t>A camera pans in on a television set that leads into a man holding a stick in front of a large crowd.</t>
  </si>
  <si>
    <t>He speaks to a woman and a shot of people playing shuffle board is shown in slow motion.</t>
  </si>
  <si>
    <t>v_ni6VySdH0XY</t>
  </si>
  <si>
    <t>A person is sharpening a knife behind a table.</t>
  </si>
  <si>
    <t>People are standing in front of the table watching.</t>
  </si>
  <si>
    <t>He picks up the knife sharpener and uses it to sharpen the knife.</t>
  </si>
  <si>
    <t>v_bXCOtMuaJf4</t>
  </si>
  <si>
    <t>A woman is seen washing dishes in a sink while a man speaks to the camera and zooms in on the dishes.</t>
  </si>
  <si>
    <t>The man continues to speak to the camera and demonstrate how to properly wash dishes.</t>
  </si>
  <si>
    <t>v_sbT8DfccM7I</t>
  </si>
  <si>
    <t>A person is seen standing in front of a picnic table speaking to the camera while holding a bike wheel.</t>
  </si>
  <si>
    <t>He then puts the tire on the ground, moving his hands around the make sure the tire is properly inflated.</t>
  </si>
  <si>
    <t>He paces the tire back onto the table then pulls out a rope to tie it with.</t>
  </si>
  <si>
    <t>v_Oheg1qwrESg</t>
  </si>
  <si>
    <t>Two people are seen moving back and fourth on a large mat while fencing with one another.</t>
  </si>
  <si>
    <t>The audience cheers as they finish and ends by showing the match again in slow motion.</t>
  </si>
  <si>
    <t>v_afL6f_pwgMs</t>
  </si>
  <si>
    <t>A person is seen sitting in a tube drinking a beer while other people are seen siting off in the distance.</t>
  </si>
  <si>
    <t>More shots are shown of the people riding along in tubes while drinking beers and speaking to one another.</t>
  </si>
  <si>
    <t>v_gLsHOCeeVUM</t>
  </si>
  <si>
    <t>A girl is seen speaking to the camera and leads into her holding bottles and washing her face.</t>
  </si>
  <si>
    <t>She wipes her face down with a towel and then puts lotion all over her face.</t>
  </si>
  <si>
    <t>v_4r0qYLCucEI</t>
  </si>
  <si>
    <t>A man dressed inn a black shirt and camouflage print shorts is demonstrating how to fix the rubber tires on a car wheel rim.</t>
  </si>
  <si>
    <t>He shows all the tools that are required to do the process.</t>
  </si>
  <si>
    <t>He takes the rubber tire and sprays it with a liquid.</t>
  </si>
  <si>
    <t>Then he fits the inner rim of the wheel into the tire.</t>
  </si>
  <si>
    <t>He uses a mallet to secure it in tightly.</t>
  </si>
  <si>
    <t>He then uses a tool to tighten the various screws that run across the entire diameter of the inner circle of the tire.</t>
  </si>
  <si>
    <t>Then he uses a torque wrench to tighten the screws further.</t>
  </si>
  <si>
    <t>He fills in air and checks the tire pressure.</t>
  </si>
  <si>
    <t>v_yEn-5y95DI0</t>
  </si>
  <si>
    <t>A group of girls are posing for a picture.</t>
  </si>
  <si>
    <t>They are then shown playing volleyall on a field in front of several tents.</t>
  </si>
  <si>
    <t>They lob the ball back and forth.</t>
  </si>
  <si>
    <t>A boy makes a hand gesture in front of the camera as he smiles.</t>
  </si>
  <si>
    <t>Again we are shown the group of girls posing in the photograph.</t>
  </si>
  <si>
    <t>v_lrM8LSnXmSw</t>
  </si>
  <si>
    <t>A woman is seen speaking to the camera while standing in front of a board.</t>
  </si>
  <si>
    <t>She begins moving up and down the board while spinning herself around and moving her body.</t>
  </si>
  <si>
    <t>She continues to move and stops to face the camera in the end.</t>
  </si>
  <si>
    <t>v_7lUaR1veDJU</t>
  </si>
  <si>
    <t>We see people playing water polo in a pool.</t>
  </si>
  <si>
    <t>A man in the rear on the right throws the ball to a player closer to the goal.</t>
  </si>
  <si>
    <t>That player then throws the ball across to a man on the left.</t>
  </si>
  <si>
    <t>A man grabs the ball and throws it in the goal.</t>
  </si>
  <si>
    <t>v_j_IJQAywTuU</t>
  </si>
  <si>
    <t>A young boy is seen riding along a skateboard followed by several more shots of people riding on boards.</t>
  </si>
  <si>
    <t>The boys perform several tricks while the camera pans into the sky and move up and down the track.</t>
  </si>
  <si>
    <t>v_rzZutQSmyJo</t>
  </si>
  <si>
    <t>A woman is playing a set of bagpipes in a room.</t>
  </si>
  <si>
    <t>She laughs as a man helps her adjust the pipes, and continues to play.</t>
  </si>
  <si>
    <t>v_hQIwXufRVGY</t>
  </si>
  <si>
    <t>A large black dog is walking down the street.</t>
  </si>
  <si>
    <t>He is holding the leash of another dog in his mouth.</t>
  </si>
  <si>
    <t>The second dog allows the first to lead him wherever he goes.</t>
  </si>
  <si>
    <t>v_afORRx0QZgI</t>
  </si>
  <si>
    <t>A woman lays on the floor in a room.</t>
  </si>
  <si>
    <t>Music starts to play and she gets up and begins belly dancing.</t>
  </si>
  <si>
    <t>As she dances, others watch.</t>
  </si>
  <si>
    <t>In the background, a child gives a woman a hug as they watch on.</t>
  </si>
  <si>
    <t>The music stops and the dancer walks off stage.</t>
  </si>
  <si>
    <t>v_izSjI7hH1-Y</t>
  </si>
  <si>
    <t>A young woman is sitting a chair extremely still as a pair of scissors are being put up her nose.</t>
  </si>
  <si>
    <t>The person who is piercing her septum continues to hold it and grabs the needle with the other hand.</t>
  </si>
  <si>
    <t>Once he pierces it,a drop of snot flies from her nose and the girl begins talking until the balls are on the end of the ring.</t>
  </si>
  <si>
    <t>v_iwHZqcYwZYU</t>
  </si>
  <si>
    <t>A man steps on a diving board and jumps.</t>
  </si>
  <si>
    <t>Then, the man flips three times and and dive in the pool.</t>
  </si>
  <si>
    <t>v_hR1HPLOmR1I</t>
  </si>
  <si>
    <t>A pinata is hanging from the ceiling.</t>
  </si>
  <si>
    <t>A boy is hitting the pinata with a stick.</t>
  </si>
  <si>
    <t>People are standing behind him watching.</t>
  </si>
  <si>
    <t>v_ThYidZUtnuo</t>
  </si>
  <si>
    <t>A worker removes moss from the top of a roof.</t>
  </si>
  <si>
    <t>Another worker sprays water all over the roof.</t>
  </si>
  <si>
    <t>The roof is then really clean.</t>
  </si>
  <si>
    <t>v_eC90hOqQ0yk</t>
  </si>
  <si>
    <t>Two men are seen kneeling before one another and begin wrestling one another.</t>
  </si>
  <si>
    <t>A large group of people are seen watching on the side while the men fight.</t>
  </si>
  <si>
    <t>The men continue fighting with one pushing the other out into the ring.</t>
  </si>
  <si>
    <t>v_--mFXNrRZ5E</t>
  </si>
  <si>
    <t>Two men are dressed in fencing gear.</t>
  </si>
  <si>
    <t>They are battling on a court with their swords.</t>
  </si>
  <si>
    <t>Green lines occasionally indicate the moves they are making.</t>
  </si>
  <si>
    <t>They stab at each other with the swords and jump about the stage.</t>
  </si>
  <si>
    <t>v_3IdaN49b9xg</t>
  </si>
  <si>
    <t>A person put objects in a pumpkin on a desk while looking inside it.</t>
  </si>
  <si>
    <t>When the man walks away, the pumpkin blast and turn on an light to see the a mouth and two eyes.</t>
  </si>
  <si>
    <t>v_894d9_pty3o</t>
  </si>
  <si>
    <t>A group of people are skiing down the side of a mountain.</t>
  </si>
  <si>
    <t>A group of moose are baying between scenes of lifts and helicopters overhead.</t>
  </si>
  <si>
    <t>People give each other high fives as they ski.</t>
  </si>
  <si>
    <t>v_6QImnhUemH0</t>
  </si>
  <si>
    <t>The man puts the mop into the blue mop bucket first and then he starts mopping.</t>
  </si>
  <si>
    <t>First he mops near the stove and the counter.</t>
  </si>
  <si>
    <t>Then he mops on the floor that between the refrigerator and another counter.</t>
  </si>
  <si>
    <t>Then he mops the center of the kitchen floor.</t>
  </si>
  <si>
    <t>v_7LvEI5zhENk</t>
  </si>
  <si>
    <t>We see a shot of a track and field arena.</t>
  </si>
  <si>
    <t>A lady in a blue shirt from Uzbekistan runs and performs a high jump and we see her score.</t>
  </si>
  <si>
    <t>We see a lady from china run and perform a high jump and see her score and we see her manager and a slow motion.</t>
  </si>
  <si>
    <t>An different lady from Uzbekistan performs a high jump and we see her score.</t>
  </si>
  <si>
    <t>The first lady performs again and knocks the bar over and looks disappointed.</t>
  </si>
  <si>
    <t>The lady from China has a second turn and also knocks over the bar and looks mad.</t>
  </si>
  <si>
    <t>The second lady from Uzbekistan performs and clears the bar and almost cries.</t>
  </si>
  <si>
    <t>We see the arena and scoreboard on the screen.</t>
  </si>
  <si>
    <t>v_UZNw4utsywI</t>
  </si>
  <si>
    <t>Several clips are shown of people riding around on skateboards in a park while looking back and smiling to the camera.</t>
  </si>
  <si>
    <t>The video continues with many more shots of people performing grinds and tricks on their skateboards and speaking to the camera.</t>
  </si>
  <si>
    <t>In the end they are seen driving around together in a car and laughing with one another.</t>
  </si>
  <si>
    <t>v_nxDAt9SkPoA</t>
  </si>
  <si>
    <t>A group of men and women are doing jump rope for aerobic exercise.</t>
  </si>
  <si>
    <t>They run in a circle, jumping as they run.</t>
  </si>
  <si>
    <t>They then lay out mats, and do several yoga cool down moves.</t>
  </si>
  <si>
    <t>v_WQXoBfyUpaY</t>
  </si>
  <si>
    <t>We see a man and a woman enter a bar room in costumes.</t>
  </si>
  <si>
    <t>The man and woman perform a dance.</t>
  </si>
  <si>
    <t>The man flips the woman and swings her around.</t>
  </si>
  <si>
    <t>The man picks up the woman and puts her on his shoulders.</t>
  </si>
  <si>
    <t>He then flips her off and onto the ground.</t>
  </si>
  <si>
    <t>The man puts the lady on his shoulder and flips her two times.</t>
  </si>
  <si>
    <t>The man spins the lady around and around and dips the lady.</t>
  </si>
  <si>
    <t>The crowd claps for the people.</t>
  </si>
  <si>
    <t>The man spins the lady around.</t>
  </si>
  <si>
    <t>The dances finish and take their bows and shake hands.</t>
  </si>
  <si>
    <t>v_S5Aj9b5T284</t>
  </si>
  <si>
    <t>Several men play table football while an audience watches on.</t>
  </si>
  <si>
    <t>A bald individual retrieves the ball and reinserts it into play.</t>
  </si>
  <si>
    <t>The bald individual reaches for the table for some reason.</t>
  </si>
  <si>
    <t>The bald individual retrieves the ball and reinserts it into play again.</t>
  </si>
  <si>
    <t>The players shake hands as the match ends.</t>
  </si>
  <si>
    <t>v_ursegSrjG1M</t>
  </si>
  <si>
    <t>A man is seen speaking to the camera and leads into clips of him moving dirt.</t>
  </si>
  <si>
    <t>Other men help plant the areas while moving around wheel barrows and planting plants while still speaking to the camera.</t>
  </si>
  <si>
    <t>v_IBte7CKOLSs</t>
  </si>
  <si>
    <t>A man throws a bowling balls and throws all the pins every time.</t>
  </si>
  <si>
    <t>Then, the man continues playing bowling successfully.</t>
  </si>
  <si>
    <t>The man miss one pin in the last play.</t>
  </si>
  <si>
    <t>v_LkA7hS3FBkQ</t>
  </si>
  <si>
    <t>A rests underneath a car in place but not lifting it off the ground.</t>
  </si>
  <si>
    <t>A man uses an electric drill to wind up the floor jack and lift the car tire off the ground.</t>
  </si>
  <si>
    <t>The man uses the electric drill again to mind down the floor jack and lower the car.</t>
  </si>
  <si>
    <t>v_PUHGXI6N0DA</t>
  </si>
  <si>
    <t>A male gymnast walks up to a beam, powdering his hands.</t>
  </si>
  <si>
    <t>He mounts the beam, then spins around it several times, changing between bars.</t>
  </si>
  <si>
    <t>He dismounts, then raises his arms into the air.</t>
  </si>
  <si>
    <t>v_a-6lVnhqU4w</t>
  </si>
  <si>
    <t>A young woman is holding a tablet to record a video of people running in a race and she is standing in the stands at a track filled with people.</t>
  </si>
  <si>
    <t>A man is running across the grass field with an orange shirt and a flag on the grass in the middle of the track.</t>
  </si>
  <si>
    <t>Another man in a black shirt runs towards the man in the orange shirt.</t>
  </si>
  <si>
    <t>The young woman continues to video the track with her tablet.</t>
  </si>
  <si>
    <t>The man in the orange shirt is running across the grass again.</t>
  </si>
  <si>
    <t>The young woman puts her tablet down after trying to video the game and looks off into the distance at the people on the track.</t>
  </si>
  <si>
    <t>Everyone starts clapping together in the stands.</t>
  </si>
  <si>
    <t>There is a photo with a guy wearing a track uniform.</t>
  </si>
  <si>
    <t>v_dzpsJQN4o-Y</t>
  </si>
  <si>
    <t>The door opens and two people wearing slippers enter the room.</t>
  </si>
  <si>
    <t>A logo briefly appears on the screen.</t>
  </si>
  <si>
    <t>Two men standing in front of a pair of bathroom sinks and mirrors remove the robes they're wearing to reveal spandex clothing, then turn to face the camera to speak.</t>
  </si>
  <si>
    <t>A large group of people ride bicycles down the road.</t>
  </si>
  <si>
    <t>A barefoot man stands in a bathroom.</t>
  </si>
  <si>
    <t>The title "How to Shave Your Legs" appears over a man performing that action.</t>
  </si>
  <si>
    <t>The men discuss and demonstrate using an electric razor to shave your legs.</t>
  </si>
  <si>
    <t>One then discusses how high your legs should be shaved.</t>
  </si>
  <si>
    <t>The man demonstrates how to lather up your legs.</t>
  </si>
  <si>
    <t>The two men demonstrate how to use a razor to shave your legs.</t>
  </si>
  <si>
    <t>They then demonstrate how to rinse your legs off.</t>
  </si>
  <si>
    <t>A man rides a bike down the road.</t>
  </si>
  <si>
    <t>The two men shave their other leg.</t>
  </si>
  <si>
    <t>v_Ye6_xb7h7jc</t>
  </si>
  <si>
    <t>two kids are standing in front of a christmas tree showing purple boots that are on the christmas tree hanging.</t>
  </si>
  <si>
    <t>the kids are pointing out the balls and the ornamens.</t>
  </si>
  <si>
    <t>the kids stands next to the three and say goodbye to the camera.</t>
  </si>
  <si>
    <t>v_bQ0L24YbGGI</t>
  </si>
  <si>
    <t>A person lifts them up in the air over them.</t>
  </si>
  <si>
    <t>Ballerinas are dancing on a stage.</t>
  </si>
  <si>
    <t>v_U7x4eGLBITE</t>
  </si>
  <si>
    <t>People are pulled up a hill on a tug rope sitting on inter tubes.</t>
  </si>
  <si>
    <t>A family pulls their inter tubes along by hand and the top of the hill.</t>
  </si>
  <si>
    <t>A person sits in an inter tube at the top of a hill then rides down the slope laughing.</t>
  </si>
  <si>
    <t>The family straps together the inter tubes in a circular grouping with the kids sitting in them.</t>
  </si>
  <si>
    <t>The family rides in a large grouping of inter tubes down a snowy slope.</t>
  </si>
  <si>
    <t>v_3kcGcDv0NOw</t>
  </si>
  <si>
    <t>An athletic man is seen spinning in circles and throwing a discuss long across a field.</t>
  </si>
  <si>
    <t>He steps up and throws several more balls in a circle while in the end wiping sweat off his face with his shirt.</t>
  </si>
  <si>
    <t>v_UNPQdg_tWh4</t>
  </si>
  <si>
    <t>A man is seen walking across a yard while holding a stick in his hand.</t>
  </si>
  <si>
    <t>The man is then seen playing a game of crochet while others watch on the side.</t>
  </si>
  <si>
    <t>The man continues to hit the ball around as well as bend down and measure out his shots.</t>
  </si>
  <si>
    <t>v_yHXZZEucV1I</t>
  </si>
  <si>
    <t>The credits of clip are shown.</t>
  </si>
  <si>
    <t>Limes are cut into pieces on a white cutting board.</t>
  </si>
  <si>
    <t>The cut limes are placed in a blender with a liquid and blended.</t>
  </si>
  <si>
    <t>The liquid is added to a pitcher with a strainer.</t>
  </si>
  <si>
    <t>The credits of video are shown.</t>
  </si>
  <si>
    <t>v_GLHsjvmOXRs</t>
  </si>
  <si>
    <t>A news woman sits at a desk, talking.</t>
  </si>
  <si>
    <t>We see numerous people running into water with kayaks, racing down a river of rapids.</t>
  </si>
  <si>
    <t>When they are done, several of the competitors are interviewed on camera, and others walk in the water on fake kayaks.</t>
  </si>
  <si>
    <t>v_eXUcFgDxslw</t>
  </si>
  <si>
    <t>We see a pregnant lady doing ballet in a studio.</t>
  </si>
  <si>
    <t>The lady spins and does a pliea.</t>
  </si>
  <si>
    <t>The people in the background clap for the lady.</t>
  </si>
  <si>
    <t>The lady then walks off camera while laughing.</t>
  </si>
  <si>
    <t>v_cht49ZCSDmY</t>
  </si>
  <si>
    <t>Two water faucets are running and show a persons hands under the sink.</t>
  </si>
  <si>
    <t>The man moves his hands around and then ends with him wiping his hands through his hair.</t>
  </si>
  <si>
    <t>v_PWriIL3pTWY</t>
  </si>
  <si>
    <t>A man in a pink suit talks to a man in a red suit and man not wearing a shirt.</t>
  </si>
  <si>
    <t>They play rock paper scissors.</t>
  </si>
  <si>
    <t>The man in the pink suit celebrates.</t>
  </si>
  <si>
    <t>The man not wearing a shirt chases the man in the pink suit.</t>
  </si>
  <si>
    <t>The man in the pink suit falls down.</t>
  </si>
  <si>
    <t>The man not wearing a shirt throws a white barrel at the man on the ground.</t>
  </si>
  <si>
    <t>A man in a black suit comes out from the bushes.</t>
  </si>
  <si>
    <t>He fights the man in the red suit.</t>
  </si>
  <si>
    <t>The man with out a shirt throws a barrel on the man in the black suit.</t>
  </si>
  <si>
    <t>v_uaIu2yDmhNU</t>
  </si>
  <si>
    <t>A jump runner warms up before going in for a long jump.</t>
  </si>
  <si>
    <t>He does the long jump, then immediately hops up and runs back, cheering and celebrating with the crowd.</t>
  </si>
  <si>
    <t>He beats his chest and hugs people.</t>
  </si>
  <si>
    <t>He then poses in front of a scoreboard while people take photographs.</t>
  </si>
  <si>
    <t>v_ODblEia5mcI</t>
  </si>
  <si>
    <t>A man makes repairs to a bicycle on the hardwood floors of a bedroom while two cats look on.</t>
  </si>
  <si>
    <t>A man enters a bedroom and takes a part a bicycle on his bedroom floor.</t>
  </si>
  <si>
    <t>The man then makes repairs using tools while two cats walk around the periphery watching and moving around.</t>
  </si>
  <si>
    <t>The man produces a lot of black dust while making the repairs to the bicycle, and he eventually leaves the room, comes back and then leaves again as one cat approaches the area the man was working from.</t>
  </si>
  <si>
    <t>v_Jt-DIHv8YK8</t>
  </si>
  <si>
    <t>A kid in a blue shirt is long boarding.</t>
  </si>
  <si>
    <t>He falls off and onto the street.</t>
  </si>
  <si>
    <t>He keeps going down the street on his long board.</t>
  </si>
  <si>
    <t>v_HoybOj2Ro7o</t>
  </si>
  <si>
    <t>A camera zooms in on various foods and ingredients as well as a pan on a stove.</t>
  </si>
  <si>
    <t>A person wearing gloves is seen spreading food onto a plate followed by a large pastry and spreading butter on it.</t>
  </si>
  <si>
    <t>The person continues making layers and then undoes the cake and shows off the solid cake.</t>
  </si>
  <si>
    <t>She takes tape out and then rolls out more dough and spreads it along the cake, showing off the finished result.</t>
  </si>
  <si>
    <t>v_L73C-2b0yEw</t>
  </si>
  <si>
    <t>A man stand on front a table full of objects while people listen to the man.</t>
  </si>
  <si>
    <t>A woman exhibit granola bars and explains to people around the table.</t>
  </si>
  <si>
    <t>Then, a person put wax on skis with an electric small machine in a room full of skis.</t>
  </si>
  <si>
    <t>v_nvsZFU73npI</t>
  </si>
  <si>
    <t>man is interviewing some people who is watching two women in bikini wrestling, the woman wins and start jumping.</t>
  </si>
  <si>
    <t>two women in bikini are standing with a dwarf and he is winning the fight while the interviewer is talking to people in the audience.</t>
  </si>
  <si>
    <t>women in bikini are preparing to wrest in the ring.</t>
  </si>
  <si>
    <t>some clips of youtube videos are shown.</t>
  </si>
  <si>
    <t>v_c21Y_pi3-Gg</t>
  </si>
  <si>
    <t>Several close ups of sandwiches are seen as well as a person cutting up meat and vegetables.</t>
  </si>
  <si>
    <t>The person cuts up bread following by laying various ingredients on the bread.</t>
  </si>
  <si>
    <t>The person closes the bread to make sandwiches followed by putting them in a french press and presenting them to the camera.</t>
  </si>
  <si>
    <t>v_xBtOxEIETtk</t>
  </si>
  <si>
    <t>A man is seen performing break dancing moves in the middle of a city square while people walk in and out of frame.</t>
  </si>
  <si>
    <t>The man continues to dance around and hold poses while looking back to the camera.</t>
  </si>
  <si>
    <t>v_12qgT1JASV4</t>
  </si>
  <si>
    <t>Two people does kick box in a boxing ring on front a crowd, while the referee turns around the boxers.</t>
  </si>
  <si>
    <t>The referee fix the helmet of the boxer.</t>
  </si>
  <si>
    <t>A stick fly and lands on the boxing ring.</t>
  </si>
  <si>
    <t>v_DyVqsDJYXdM</t>
  </si>
  <si>
    <t>A play the is part of a cricket game is shown on the screen.</t>
  </si>
  <si>
    <t>They players in the cricket game are shown celebrating and interacting with one another.</t>
  </si>
  <si>
    <t>A replay is shown and stats are then shown on the screen.</t>
  </si>
  <si>
    <t>The game continues with another play and a replay is shown of that play.</t>
  </si>
  <si>
    <t>Another play is shown and a replay of that play is shown as well.</t>
  </si>
  <si>
    <t>The next play is shown an the team begins to celebrate before a replay of that play is shown.</t>
  </si>
  <si>
    <t>The next play is shown and then the video ends.</t>
  </si>
  <si>
    <t>v_AdXXy6WTVi0</t>
  </si>
  <si>
    <t>A camera pans around a beach area followed by people walking with a surf board and proceeding to do tricks on the water.</t>
  </si>
  <si>
    <t>The camera captures the men performing different tricks as well as swimming in the ocean and moving in slow motion.</t>
  </si>
  <si>
    <t>v_M2pxaQiBbXA</t>
  </si>
  <si>
    <t>A water polo game is shown, with one player highlighted.</t>
  </si>
  <si>
    <t>A man dressed in white walks back and forth by the poolside in the background.</t>
  </si>
  <si>
    <t>A man dressed in white is shown standing in the foreground and gesturing.</t>
  </si>
  <si>
    <t>v_9yiXv7Hu5Lw</t>
  </si>
  <si>
    <t>A man dressed in yellow and black winter clothes ice fishes on a a frozen lake.</t>
  </si>
  <si>
    <t>The man is reeling in a fish for a long time.</t>
  </si>
  <si>
    <t>The mans catch finally reaches the surface.</t>
  </si>
  <si>
    <t>v_2cc7BoZHEJI</t>
  </si>
  <si>
    <t>People are playing a game of water polo in a swimming pool.</t>
  </si>
  <si>
    <t>A woman standing on the side of the pool is talking to the camera.</t>
  </si>
  <si>
    <t>A man blows a whistle on the side of the swimming pool.</t>
  </si>
  <si>
    <t>v_Y_QRRCIujIc</t>
  </si>
  <si>
    <t>A young man is shown in a room playing ping pong.</t>
  </si>
  <si>
    <t>At one point he shrugs his shoulders while waiting for his opponent to start.</t>
  </si>
  <si>
    <t>The video continues to show the man playing ping pong, and at times stopping due to the ball leaving the table.</t>
  </si>
  <si>
    <t>The video ends as the man comes up to the camera to turn it off.</t>
  </si>
  <si>
    <t>v_cYLIJC6QjQA</t>
  </si>
  <si>
    <t>There are several people in a park participating in outdoor activities.</t>
  </si>
  <si>
    <t>There is a person biking on a tight rope, trying to balance as he falls off towards the end of the rope.</t>
  </si>
  <si>
    <t>There are children running around on the ground.</t>
  </si>
  <si>
    <t>There's another man walking on the tight rope.</t>
  </si>
  <si>
    <t>There are also many people sitting on the ground as they watch the activities.</t>
  </si>
  <si>
    <t>One man continues to walk and jump and bounce on the tight rope, doing stunts as the people watch him.</t>
  </si>
  <si>
    <t>There is a bicycle fallen on the ground with its wheels turning fast.</t>
  </si>
  <si>
    <t>v_yqOW5LBA81w</t>
  </si>
  <si>
    <t>A man cuts the hedge of a house using a trimmer.</t>
  </si>
  <si>
    <t>The man stops cutting and pulls the wire of the trimmer and continues cutting.</t>
  </si>
  <si>
    <t>v_agIcVWDyeH0</t>
  </si>
  <si>
    <t>A young boy is seen sitting on a chair talking to the camera.</t>
  </si>
  <si>
    <t>He shows that his arm is in a cast and putting on his socks and shoes.</t>
  </si>
  <si>
    <t>He finally ties his shoes and looks back at the camera.</t>
  </si>
  <si>
    <t>v_9_7Z6Nhkzx8</t>
  </si>
  <si>
    <t>A few children are dressed up to go out on dirtbikes.</t>
  </si>
  <si>
    <t>The children do jumps and make fast turns.</t>
  </si>
  <si>
    <t>An onboard camera captures all of the fun.</t>
  </si>
  <si>
    <t>v_jCyrQzXK4eI</t>
  </si>
  <si>
    <t>A young man is painting the fence.</t>
  </si>
  <si>
    <t>A man in white shirt came up to the man in stripes and talk to him.</t>
  </si>
  <si>
    <t>The man in stripes painted the bread, then he is talking in his cellphone.</t>
  </si>
  <si>
    <t>v_MeGHSbUpM-U</t>
  </si>
  <si>
    <t>There are two people sailing on a speed boat through the ocean on a sunny day.</t>
  </si>
  <si>
    <t>They go through the ocean water steadily and at high speed.</t>
  </si>
  <si>
    <t>One of the sailors pulls a red rope as he wake boards on the steam boat.</t>
  </si>
  <si>
    <t>They speed through the water to catch up with another boat that is ahead of them.</t>
  </si>
  <si>
    <t>Several other steam boats pass by them as they sail through the ocean.</t>
  </si>
  <si>
    <t>v_a073aSPGTIw</t>
  </si>
  <si>
    <t>A woman is in a home gym, talking to the camera.</t>
  </si>
  <si>
    <t>She demonstrates how to use exercise equipment, pedalling and pulling ropes, even while sitting at a computer.</t>
  </si>
  <si>
    <t>She talks to the camera for an extended period, peppered with training on the equipment.</t>
  </si>
  <si>
    <t>v_rmGvgGOkqyk</t>
  </si>
  <si>
    <t>The audience look on at the games.</t>
  </si>
  <si>
    <t>A guy run with a thin, elongated stick and throws the stick.</t>
  </si>
  <si>
    <t>The guy sticks out his tongue.</t>
  </si>
  <si>
    <t>The guy holds his lips together and raises his hand.</t>
  </si>
  <si>
    <t>The guy smiles and puts a cloth down.</t>
  </si>
  <si>
    <t>v_k5lyc7zsox8</t>
  </si>
  <si>
    <t>The Scottish Archery Association has gathered in their range with several people ready to participate in an event.</t>
  </si>
  <si>
    <t>the participants take turns to use their bow and arrow to aim art the target board placed several feet away from them.</t>
  </si>
  <si>
    <t>The archers aim their arrows and shoot at the target to aim for the bulls eye.</t>
  </si>
  <si>
    <t>v_uJbM9KQBXak</t>
  </si>
  <si>
    <t>A person is walking along a slack line.</t>
  </si>
  <si>
    <t>They are moving back and forth on the slack line.</t>
  </si>
  <si>
    <t>He turns around and starts walking in the other direction.</t>
  </si>
  <si>
    <t>v_eAFFf5cSX5c</t>
  </si>
  <si>
    <t>A man and a woman perform various dance moves back and fourth in an empty room.</t>
  </si>
  <si>
    <t>The couple continue to spin and perform the tango routine while the man spins her around behind him.</t>
  </si>
  <si>
    <t>v_i3u27-oJzBY</t>
  </si>
  <si>
    <t>A man is seen speaking to the camera while holding a wire in his hands.</t>
  </si>
  <si>
    <t>He continues to speak while using his hands and stepping around a carpeted area.</t>
  </si>
  <si>
    <t>He then uses a vacuum on the floors while still speaking to the camera.</t>
  </si>
  <si>
    <t>v_bNGldPjMYHc</t>
  </si>
  <si>
    <t>A clip is shown of a bunch of people white water rafting down some pretty tough river streams.</t>
  </si>
  <si>
    <t>They work in unison and it is very rough.</t>
  </si>
  <si>
    <t>They almost hit a rock as they all paddle very hard.</t>
  </si>
  <si>
    <t>A still show of them after making it through is shown with them cheering.</t>
  </si>
  <si>
    <t>A shot of them in slow motion of the most difficult parts is then shown.</t>
  </si>
  <si>
    <t>The video shows some more slow motion and fast motion before coming to an end and showing ending credits and a youtube channel name.</t>
  </si>
  <si>
    <t>v_fpVaXCwccNk</t>
  </si>
  <si>
    <t>A lady is standing and holding a hammer.</t>
  </si>
  <si>
    <t>The lady spins with the hammer and throws the hammer.</t>
  </si>
  <si>
    <t>The lady leaves after releasing the hammer.</t>
  </si>
  <si>
    <t>v_ap2XL5wma4c</t>
  </si>
  <si>
    <t>children are playing in an olimpic pool and a woman is talking to camera.</t>
  </si>
  <si>
    <t>kid is using sunscreen and a woman is talking about coppertone sunscreen recommended for kids.</t>
  </si>
  <si>
    <t>v_ecVUPpBNpdA</t>
  </si>
  <si>
    <t>A man speaks holding a microphone, then the man performs arm wrestling with a person.</t>
  </si>
  <si>
    <t>The man grabs a weigh and practice weight lifting with his left hand.</t>
  </si>
  <si>
    <t>After, the man takes his watch off and performs arm wrestling with the person and wins, then he jumps happily.</t>
  </si>
  <si>
    <t>v_nlHN3bO_MOQ</t>
  </si>
  <si>
    <t>A drum line is happening on a city street.</t>
  </si>
  <si>
    <t>They get in formation then start marching down the street.</t>
  </si>
  <si>
    <t>v_oL1gGyMz79s</t>
  </si>
  <si>
    <t>A man is bowling and misses one pin with his first ball.</t>
  </si>
  <si>
    <t>He gets all strikes for the next six rounds.</t>
  </si>
  <si>
    <t>The man switches balls and bowls several more rounds getting mostly strikes.</t>
  </si>
  <si>
    <t>He changes his ball again and bowls two more strikes.</t>
  </si>
  <si>
    <t>A replay of the man bowling with each ball is shown.</t>
  </si>
  <si>
    <t>v_w2fsq9BOoZo</t>
  </si>
  <si>
    <t>People are in a city walking, talking and doing activities.</t>
  </si>
  <si>
    <t>Two men play in the street paper, scissors and stone on front other people.</t>
  </si>
  <si>
    <t>A man talks with people watching him.</t>
  </si>
  <si>
    <t>v_qnDHR-jYWf0</t>
  </si>
  <si>
    <t>a man is shown inside a swimming pool.</t>
  </si>
  <si>
    <t>He tosses a ball over and over to his dog.</t>
  </si>
  <si>
    <t>The dog continuously bounces the ball back with his nose.</t>
  </si>
  <si>
    <t>v_HbF6UM4jUDk</t>
  </si>
  <si>
    <t>A woman in a green shirt is standing outside holding a hula hoop.</t>
  </si>
  <si>
    <t>She starts hula hooping with the hula hoop.</t>
  </si>
  <si>
    <t>Words come up onto the screen at the end.</t>
  </si>
  <si>
    <t>v_l9mvKfKACio</t>
  </si>
  <si>
    <t>A group of people are outside a ski resort entitled Boulder ridge and they begin to wait in line with their tubes.</t>
  </si>
  <si>
    <t>As they are waiting,they can see several people going down the hill and tubing before it is finally their turn.</t>
  </si>
  <si>
    <t>Once they reach the bottom,they grab their tube and begin to walk off the slope.</t>
  </si>
  <si>
    <t>v_2vixXUJiNhk</t>
  </si>
  <si>
    <t>An intro video with a blue screen that has a picture of a drawn ship is in the background while yellow words scroll from the bottom to the top.</t>
  </si>
  <si>
    <t>A view from the water begins and a few houses and a lot of trees are shown on land.</t>
  </si>
  <si>
    <t>A person underwater in snorkeling gear is now swimming around the bottom of the water and meets up with another snorkeler and they both go into a ship that is underwater as they both hold their flashlights and cameras to explore the ship and everything else at the bottom of the water.</t>
  </si>
  <si>
    <t>A school of fishes appear and they're swimming and hanging around the boat.</t>
  </si>
  <si>
    <t>The focus goes back to the snorkelers as they continue to explore the area with their flashlights.</t>
  </si>
  <si>
    <t>The outro video appears and it's the same blue picture as the intro and includes some contact information on the video and the credits begin to roll with the text scrolling from bottom to top.</t>
  </si>
  <si>
    <t>v_CTmXCO7ha-Y</t>
  </si>
  <si>
    <t>A man is seated, playing a guitar.</t>
  </si>
  <si>
    <t>Close ups are occasionally shown of the instrument, then back to the man playing.</t>
  </si>
  <si>
    <t>v_PU6f-DcDngM</t>
  </si>
  <si>
    <t>People are playing a polo match in a field.</t>
  </si>
  <si>
    <t>The focus is on one man and horse who chase the ball.</t>
  </si>
  <si>
    <t>The camera stays on number 2 the whole time.</t>
  </si>
  <si>
    <t>v_XkTWEDKtP1A</t>
  </si>
  <si>
    <t>A man named bob is running and does a long jump.</t>
  </si>
  <si>
    <t>He does it again landing into some sand.</t>
  </si>
  <si>
    <t>He continues to do this run and jump again landing like a pro.</t>
  </si>
  <si>
    <t>Then another man named ralph is going to take his own turn next.</t>
  </si>
  <si>
    <t>v_q4jeW0iSA9Y</t>
  </si>
  <si>
    <t>Various text intros lead into several people running down a long track.</t>
  </si>
  <si>
    <t>The camera captures the runners from several angles and leads into them performing jumps.</t>
  </si>
  <si>
    <t>The runners continuously jump into the pit and end with text across the screen.</t>
  </si>
  <si>
    <t>v_eyfUkLbsixg</t>
  </si>
  <si>
    <t>A woman in a red suit is talking behind a desk.</t>
  </si>
  <si>
    <t>A man is standing up holding his foot behind is back.</t>
  </si>
  <si>
    <t>People are running down the sidewalk.</t>
  </si>
  <si>
    <t>A man in a blue shirt is talking to the camera.</t>
  </si>
  <si>
    <t>A woman in a black shirt is talking to the camera.</t>
  </si>
  <si>
    <t>People are running down a trail.</t>
  </si>
  <si>
    <t>v_oxcUr-Nlldo</t>
  </si>
  <si>
    <t>We see men walking down the street and a skateboarder fall.</t>
  </si>
  <si>
    <t>We see club kids and skateboarders with title screens.</t>
  </si>
  <si>
    <t>We see men skateboard down a street and stand around in groups.</t>
  </si>
  <si>
    <t>A man jumps over stairs and runs into the camera.</t>
  </si>
  <si>
    <t>A man falls and another runs into the camera.</t>
  </si>
  <si>
    <t>We see a man wave and another on a bull horn.</t>
  </si>
  <si>
    <t>The club lights flash and a band plays music as people dance.</t>
  </si>
  <si>
    <t>We see the credits and more skating.</t>
  </si>
  <si>
    <t>v_JRg3W4xKvJI</t>
  </si>
  <si>
    <t>An intro clip appears and it's an animation of a gray rocking chair rocking on a very light gray screen that have orange words that say "THE Strippers!" and the white letters M&amp;R in a dark blue oval.</t>
  </si>
  <si>
    <t>Clips of the shop exterior and interior are shown and it includes a person in an office, people in the shop working on the wood pieces, people being interviewed, wood supplies, and the finished wood pieces themselves.</t>
  </si>
  <si>
    <t>The outro appears and it's the video clip of the workers working on the wood pieces, and text appear on the screen that include the shops address, email, website and phone number, the exterior shop is shown again.</t>
  </si>
  <si>
    <t>The last screen is the light gray screen first shown and include the company name, number and the website.</t>
  </si>
  <si>
    <t>v_SOpFjnAT_SE</t>
  </si>
  <si>
    <t>A girl sits in front of a lap top.</t>
  </si>
  <si>
    <t>She is smoking a hookah with a red tip, and blowing the smoke out of her mouth.</t>
  </si>
  <si>
    <t>She laughs, then shares the hookah with another woman, who changes the tip and smokes as well.</t>
  </si>
  <si>
    <t>The women talk and smoke at the table for a long time.</t>
  </si>
  <si>
    <t>v_76RoR_LbIzQ</t>
  </si>
  <si>
    <t>Pictures of an office is shown.</t>
  </si>
  <si>
    <t>A woman is doing another woman's hair.</t>
  </si>
  <si>
    <t>People are doing hair in a hair salon.</t>
  </si>
  <si>
    <t>v_R7QwxoVTtE0</t>
  </si>
  <si>
    <t>A woman is seen speaking to the camera while holding various objects in her hands and begins spraying down a window in front of her.</t>
  </si>
  <si>
    <t>The woman wipes down the window with a rag as well as a scraper and continues to look back and speak to the camera.</t>
  </si>
  <si>
    <t>v_-06dWmCzbxY</t>
  </si>
  <si>
    <t>A person rides down a rapid on an inter tube in a group of friends on a rocky river.</t>
  </si>
  <si>
    <t>The people in the intertubes are helped along by a river guides in polo shirt.</t>
  </si>
  <si>
    <t>v_BetFWvm92nM</t>
  </si>
  <si>
    <t>A girl pours liquid from a bottle to a cup that holds a young lady, then they rinse their mouths while making gestures and laughing.</t>
  </si>
  <si>
    <t>After, the young lady spits the liquid and then she pock the cheek of the girl who spits.</t>
  </si>
  <si>
    <t>Next, the girl turns on the faucet of the bathtub and bend, after the girl turns off the faucet and clean her hands while speaking.</t>
  </si>
  <si>
    <t>v_YgrWck47C-g</t>
  </si>
  <si>
    <t>We see a man talking.</t>
  </si>
  <si>
    <t>The man wets his hands and adds soap.</t>
  </si>
  <si>
    <t>We see the man wash his hands.</t>
  </si>
  <si>
    <t>The man rinses his hands.</t>
  </si>
  <si>
    <t>The man drys his hands and turns the water off with the paper towel.</t>
  </si>
  <si>
    <t>v_xIAq1OdWQM0</t>
  </si>
  <si>
    <t>Several young men practice long jumps, and backward jumps inside of a gym with an American Flag hanging on the wall.</t>
  </si>
  <si>
    <t>A man practices a long jump inside of an indoor gym using a interior sandbox for landing and a drawn race track isle.</t>
  </si>
  <si>
    <t>Another man practices hurling himself backward over a pole onto a gym mat inside of the gym.</t>
  </si>
  <si>
    <t>Several more men practice long jumps and backward jumps inside of the gym using the sandbox and gym mats as landing tools.</t>
  </si>
  <si>
    <t>v_PziLzNjG2bI</t>
  </si>
  <si>
    <t>There are two contestants participating in the athletic jump competition.</t>
  </si>
  <si>
    <t>There are several spectators and judges watching them as they jump over the bar in a large indoor stadium.</t>
  </si>
  <si>
    <t>Both the contestants successfully jump over the bar.</t>
  </si>
  <si>
    <t>There is a slow motion video of the contestant jumping over the bar.</t>
  </si>
  <si>
    <t>v_3vs3ofTw1vY</t>
  </si>
  <si>
    <t>There are several people getting ready to ski.</t>
  </si>
  <si>
    <t>There's a person skiing downhill with full speed whose shadow can be seen.</t>
  </si>
  <si>
    <t>There are people sitting and waiting on top of a mountain waiting to start skiing.</t>
  </si>
  <si>
    <t>The skier going fast downhill is demonstrating how to turn and manage speed while going downhill.</t>
  </si>
  <si>
    <t>There are some people walking toward the ski mountain on a escalator.</t>
  </si>
  <si>
    <t>The skier continues to ski downhill steadily on steep and winding slopes.</t>
  </si>
  <si>
    <t>v_QrsOyEw4_7k</t>
  </si>
  <si>
    <t>There's a girl with light eyes and dark brown hair talking about a colored eye lenses.</t>
  </si>
  <si>
    <t>She is doing a tutorial on how to wear colored lenses in your eyes.</t>
  </si>
  <si>
    <t>She opens a small glass bottle that contains the colored lenses.</t>
  </si>
  <si>
    <t>She removes the lens out and places it on her finger.</t>
  </si>
  <si>
    <t>Then she gently wears the lens in her right eye first and then in her left eye.</t>
  </si>
  <si>
    <t>She shows the yellow colored lens that she has worn.</t>
  </si>
  <si>
    <t>v_L7Gt1NO1nx8</t>
  </si>
  <si>
    <t>We see the title over the scene.</t>
  </si>
  <si>
    <t>We see the reverse of a man is mowing his lawn with an electric mower.</t>
  </si>
  <si>
    <t>The man goes halfway up the yard and turns around.</t>
  </si>
  <si>
    <t>The ending title returns to the screen.</t>
  </si>
  <si>
    <t>v_nARkYpOZWyg</t>
  </si>
  <si>
    <t>A man rides on a small rail cart blowing leaves with a leaf blower.</t>
  </si>
  <si>
    <t>The man goes right on a fork in the tracks on a cart and around a bend.</t>
  </si>
  <si>
    <t>v_0zXTrkgUj0U</t>
  </si>
  <si>
    <t>A young child uses a toy vacuum cleaner on a wood floor.</t>
  </si>
  <si>
    <t>The mom comes and helps the child.</t>
  </si>
  <si>
    <t>v_EZZzVXqxG6U</t>
  </si>
  <si>
    <t>Multiple men begin to start turning their bodies as quickly as they possibly can.</t>
  </si>
  <si>
    <t>They each in different situations but all playing the same sport.</t>
  </si>
  <si>
    <t>They build up as much speed as possible so they can throw as far as possible.</t>
  </si>
  <si>
    <t>There are even audience for this sport that actually come to watch it.</t>
  </si>
  <si>
    <t>v_8klHUzPHtQw</t>
  </si>
  <si>
    <t>We see a BMX biker as he prepares to to ride.</t>
  </si>
  <si>
    <t>We see the gate open and see the field.</t>
  </si>
  <si>
    <t>The rider takes off down the course.</t>
  </si>
  <si>
    <t>We see riders perform jumps and people riding bikes.</t>
  </si>
  <si>
    <t>We see another start and a group of people take off in an indoor track.</t>
  </si>
  <si>
    <t>We see shots of men riding outdoors and another gate opens.</t>
  </si>
  <si>
    <t>We see a bike laying on it's side.</t>
  </si>
  <si>
    <t>v_7xLL5okHSIU</t>
  </si>
  <si>
    <t>A intro begins and shows a man holding a shovel and talking to the camera.</t>
  </si>
  <si>
    <t>He gradually rakes leaves and talks to the camera and shows several people also helping picking up leaves.</t>
  </si>
  <si>
    <t>Different people are interviewed on camera while several others are shown raking up the leaves.</t>
  </si>
  <si>
    <t>A man is seen sitting in his car and another puts his gloves on.</t>
  </si>
  <si>
    <t>The camera pans over the raked up leaves while several others discuss their hard work.</t>
  </si>
  <si>
    <t>v_kTStFRAp99E</t>
  </si>
  <si>
    <t>We see two girls one sitting the other bending over.</t>
  </si>
  <si>
    <t>The bending girl stands up.</t>
  </si>
  <si>
    <t>We see a person painting the sitting girls toe nails.</t>
  </si>
  <si>
    <t>v_QTD0vCdofTE</t>
  </si>
  <si>
    <t>little kid is in a parking playing hopscotch next to cars.</t>
  </si>
  <si>
    <t>man wearing shorts is standing next to the hopscotch game.</t>
  </si>
  <si>
    <t>litle blond kid is standing in street playing in font of a man.</t>
  </si>
  <si>
    <t>v_RX8YG2zlyUo</t>
  </si>
  <si>
    <t>There are horses, and they are getting off a trailer.</t>
  </si>
  <si>
    <t>They go to ride through the desert, through different portions of the desert.</t>
  </si>
  <si>
    <t>v_vfJnUQ9Tax0</t>
  </si>
  <si>
    <t>A woman is seen washing her hands under a sink with a light appearing in the water for temperature.</t>
  </si>
  <si>
    <t>The person continues scrubbing their hands and shakes them off in the end.</t>
  </si>
  <si>
    <t>v_4wIqgWw53XE</t>
  </si>
  <si>
    <t>People sail on sailboards in the ocean.</t>
  </si>
  <si>
    <t>A man sails on a sailboard passing on front other sailors.</t>
  </si>
  <si>
    <t>A plane fly above the beach where people sail.</t>
  </si>
  <si>
    <t>A woman takes picture of the city from a hill.</t>
  </si>
  <si>
    <t>v_BxyOAXTWkzk</t>
  </si>
  <si>
    <t>Several people are seen in different scenes, walking in public.</t>
  </si>
  <si>
    <t>A man helps a woman mount a horse in the woods.</t>
  </si>
  <si>
    <t>She feeds the horse apples as they ride through the wooded paths.</t>
  </si>
  <si>
    <t>v_BVzW_OoUmnU</t>
  </si>
  <si>
    <t>A boy is standing out in the woods holding a piece of bark and talking to the camera.</t>
  </si>
  <si>
    <t>A woman is seen making a stack of logs while the boy walks into frame.</t>
  </si>
  <si>
    <t>She continues lighting the stick until a flame begins and puts it into the fire.</t>
  </si>
  <si>
    <t>The fire gradually gets bigger and the woman puts more and more bark into it.</t>
  </si>
  <si>
    <t>v_aj2cioE_yG0</t>
  </si>
  <si>
    <t>A man is seen wearing a red shirt and standing next to a fooseball table.</t>
  </si>
  <si>
    <t>The man plays a bit followed by holding up a beer can and presenting it to the camera.</t>
  </si>
  <si>
    <t>The man then continues to play while the camera zooms in on the table.</t>
  </si>
  <si>
    <t>v_Zhfm2dWtnpc</t>
  </si>
  <si>
    <t>A man runs all around doing jump rope while the crowd cheers.</t>
  </si>
  <si>
    <t>Some people are crawling around in the background on the floor.</t>
  </si>
  <si>
    <t>The man finishes the routine and then runs over to hug a woman.</t>
  </si>
  <si>
    <t>v_t2wawfMaTzM</t>
  </si>
  <si>
    <t>Two kids are seen standing around in indoor room holding tennis rackets.</t>
  </si>
  <si>
    <t>The camera pans around to children hitting the ball holding tennis rackets.</t>
  </si>
  <si>
    <t>The kids continue to hit the ball around one another.</t>
  </si>
  <si>
    <t>v_Chj1_JbBc4A</t>
  </si>
  <si>
    <t>A small group of people are seen standing with one another and leads into them running and playing a game of paintball.</t>
  </si>
  <si>
    <t>The cameraman aims all around him from capturing others and shooting several times off into the distance.</t>
  </si>
  <si>
    <t>The game continues on with the man running around and stopping in the end.</t>
  </si>
  <si>
    <t>v_88Mt7VfUQBU</t>
  </si>
  <si>
    <t>A man is kneeling down on a blue mat.</t>
  </si>
  <si>
    <t>Another man kneels down on the ground next to him.</t>
  </si>
  <si>
    <t>The man lifts up one end of a weight and lifts it over his head.</t>
  </si>
  <si>
    <t>v_2DTwoKZsLMo</t>
  </si>
  <si>
    <t>A man wearing black socks is shown putting his black leather shoes on and tying his laces.</t>
  </si>
  <si>
    <t>There's another person wearing brown leather shoes on black socks.</t>
  </si>
  <si>
    <t>He ties the laces tightly to secure them.</t>
  </si>
  <si>
    <t>Then another scene shows a person wearing leather slip on shoes over black socks.</t>
  </si>
  <si>
    <t>Followed by several scenes showing the person wearing brown leather shoes with laces.</t>
  </si>
  <si>
    <t>He wears the shoes over black socks and ties the shoe laces securely.</t>
  </si>
  <si>
    <t>He then stands up after he's done wearing the brown leather shoes.</t>
  </si>
  <si>
    <t>v_3HUvtWSu4mA</t>
  </si>
  <si>
    <t>A person's hands are seen clipping the nails of a cat while the cat struggles a bit.</t>
  </si>
  <si>
    <t>More shots of her clipping the cat are shown and at one point he moves and she grabs him by the neck.</t>
  </si>
  <si>
    <t>v_i9t0zZzzbhE</t>
  </si>
  <si>
    <t>men are in a stadium cleaning te snow from the stands.</t>
  </si>
  <si>
    <t>men are riding horses in snowy field.</t>
  </si>
  <si>
    <t>men are puting boots and polo uniforms.</t>
  </si>
  <si>
    <t>women are standing in a field walking and sitting on stands.</t>
  </si>
  <si>
    <t>men are playing polo in snowy field while people is around watching them.</t>
  </si>
  <si>
    <t>v_GejFc4J2mfc</t>
  </si>
  <si>
    <t>A young man wearing a tie die shirt is seen speaking to the camera and then shows him picking out some clothes.</t>
  </si>
  <si>
    <t>He shows off his legs and then runs an electric razor down his legs shaving off the hair.</t>
  </si>
  <si>
    <t>He then puts shaving cream on his legs and shaves them, finally showing off his bare legs in the end and speaking to the camera.</t>
  </si>
  <si>
    <t>v_A9uBPwP7DQc</t>
  </si>
  <si>
    <t>We see astronauts floating in a ship.</t>
  </si>
  <si>
    <t>The man hands the lady the microphone.</t>
  </si>
  <si>
    <t>The middle man crosses his hands and has the microphone.</t>
  </si>
  <si>
    <t>The lady gets the microphone back and talks.</t>
  </si>
  <si>
    <t>The lady grabs flute and plays.</t>
  </si>
  <si>
    <t>v_bXp_reTHyHY</t>
  </si>
  <si>
    <t>A woman is seen walking with a horse and pans around to another girl walking away.</t>
  </si>
  <si>
    <t>More girls are seen holding a product and speaking to the camera and leads into the girls showing how to clean the horse and brushing the horse.</t>
  </si>
  <si>
    <t>v_PhioVMXx0yY</t>
  </si>
  <si>
    <t>A man is using an elliptical trainer while standing.</t>
  </si>
  <si>
    <t>Then a woman sits on it as she uses it in another fashion.</t>
  </si>
  <si>
    <t>It switches between the two as they exercise.</t>
  </si>
  <si>
    <t>A close up is shown as to how the machine works, and folds up for easy storage.</t>
  </si>
  <si>
    <t>v_AUSqTMtjD0Y</t>
  </si>
  <si>
    <t>A man and boy are outside on a driveway.</t>
  </si>
  <si>
    <t>They are competing to see how fast they can shovel snow off the driveway.</t>
  </si>
  <si>
    <t>They run back and forth as fast as they can.</t>
  </si>
  <si>
    <t>v_kgPvfYhmn54</t>
  </si>
  <si>
    <t>A group of people are floating on rafts on a river.</t>
  </si>
  <si>
    <t>They are paddling the rafts through harsh white water rapids.</t>
  </si>
  <si>
    <t>The people fall out, and are pulled back in by other rafters before continuing on their way.</t>
  </si>
  <si>
    <t>v_o9LZZeQZ-Zc</t>
  </si>
  <si>
    <t>A man is seen speaking to the camera while sitting in a kayak and holding a toy person on a kayak around in his lap.</t>
  </si>
  <si>
    <t>The man continues to speak to the camera while holding the object and leads into him riding around in the kayak.</t>
  </si>
  <si>
    <t>v_mXM5FOi_OoM</t>
  </si>
  <si>
    <t>A man is seen outside in front of a porch pushing a mower back and fourth.</t>
  </si>
  <si>
    <t>He runs the mower along the grass and moves up and down the lawn.</t>
  </si>
  <si>
    <t>v_iDofsMwceTo</t>
  </si>
  <si>
    <t>A man is wearing a suit and speaking and the words on the screen say that his name is Rich Noonan and that he's the host of Best of The Best Television.</t>
  </si>
  <si>
    <t>A series still shot pictures of homes, people, stucco work being done on a home, a list of stucco information begin to play and the opening words before the pictures start say "BEST OF THE BEST TELEVISION".</t>
  </si>
  <si>
    <t>When the pictures are done a dark gray screen appears that include the name of the stucco company, their phone number and their website.</t>
  </si>
  <si>
    <t>The host appears talking once again and it ends with the words a screen saying BEST OF THE BEST TELEVISION and then a screen naming the producer and his website.</t>
  </si>
  <si>
    <t>v_0z7qHOca3D4</t>
  </si>
  <si>
    <t>An introduction graphic is seen with title.</t>
  </si>
  <si>
    <t>A large empty beach is seen seen from the shore.</t>
  </si>
  <si>
    <t>A bird is seen walking along the shoreline.</t>
  </si>
  <si>
    <t>A group rides horses along the coast line together.</t>
  </si>
  <si>
    <t>Different species of flowers are seen.</t>
  </si>
  <si>
    <t>The group rides up along the bluffs.</t>
  </si>
  <si>
    <t>A female rider rides near the waters edge.</t>
  </si>
  <si>
    <t>The group rides through loose sand and the horses kick it up into the air.</t>
  </si>
  <si>
    <t>The group rides along a dune section and through some low vegetation.</t>
  </si>
  <si>
    <t>The group rides at a gallup through the water and along the beach.</t>
  </si>
  <si>
    <t>The riders ride slowly and then it becomes later in the day and the sun is getting low.</t>
  </si>
  <si>
    <t>The beach is seen from a distance as the sun has set.</t>
  </si>
  <si>
    <t>v_Yojuicji624</t>
  </si>
  <si>
    <t>Some white text on a black background explains that no humans were injured during this video.</t>
  </si>
  <si>
    <t>A young man is making some faces to the camera while standing in front of a rock.</t>
  </si>
  <si>
    <t>Some footage plays of other people tight rope walking and doing other tricks on the tight rope.</t>
  </si>
  <si>
    <t>An older man is riding a tiny bicycle inside a store.</t>
  </si>
  <si>
    <t>More footage is shown of tight rope walkers tripping and falling.</t>
  </si>
  <si>
    <t>Some graphics from the organizations who made the video are shown.</t>
  </si>
  <si>
    <t>v_1pOmOTz-bzk</t>
  </si>
  <si>
    <t>A person is seen riding along the water in a kayak.</t>
  </si>
  <si>
    <t>The person uses a paddle to push themselves around the water while looking off into the distance.</t>
  </si>
  <si>
    <t>The person continues riding around flipping in the water and moving away from the camera.</t>
  </si>
  <si>
    <t>v_QN2wHsiBEC0</t>
  </si>
  <si>
    <t>A man, with a saxophone around his neck, demonstrates how to play the saxophone in front of a green chalkboard and next to a brown piano.</t>
  </si>
  <si>
    <t>The man points to different sections of the saxophone as he talks to the camera.</t>
  </si>
  <si>
    <t>The man begins to play the saxophone briefly and then turns to the chalkboard and begins to write notes on it as he talks to the camera.</t>
  </si>
  <si>
    <t>The man points to notes written on the chalkboard before beginning to play as he reads the notes from the board, before returning to talking and playing in front of the camera.</t>
  </si>
  <si>
    <t>v_A_SU2jjfMJk</t>
  </si>
  <si>
    <t>A person walks into the view of the camera where there is an orange toy laying on the floor.</t>
  </si>
  <si>
    <t>The person begins to wipe their feet vigorously on the toy.</t>
  </si>
  <si>
    <t>The person kicks the toy away as the they finish wiping their feet on the toy.</t>
  </si>
  <si>
    <t>v_iKuBIzUHxYc</t>
  </si>
  <si>
    <t>A seated man is talking to a room full of soccer players.</t>
  </si>
  <si>
    <t>They kick the ball around in their locker room.</t>
  </si>
  <si>
    <t>The man talks to the camera about the game.</t>
  </si>
  <si>
    <t>He walks out, and a game is shown in progress as he discusses it longer.</t>
  </si>
  <si>
    <t>Men are shown talking, playing the game, and posing for a team photograph at the end.</t>
  </si>
  <si>
    <t>v_akMN3uX51Ws</t>
  </si>
  <si>
    <t>Teens skateboard on the road and a parking lot during the day.</t>
  </si>
  <si>
    <t>The teens skateboard in the street day and night.</t>
  </si>
  <si>
    <t>Teens skateboard in a busy street, then they skateboard on the rails of a building.</t>
  </si>
  <si>
    <t>After, the teens skateboard day and night in the street.</t>
  </si>
  <si>
    <t>v_NM4nBojCSwQ</t>
  </si>
  <si>
    <t>A man is seen holding up a shirt to the camera while the cameraman speaks and pans back to the man with the shirt.</t>
  </si>
  <si>
    <t>The man holding speaking and points to an iron near him.</t>
  </si>
  <si>
    <t>He picks up the iron waiting for it to get hot, then proceeds to iron his shirt while looking at the camera.</t>
  </si>
  <si>
    <t>v_2PAVJbmj2lQ</t>
  </si>
  <si>
    <t>A small group of people are seen standing around a gymnasium with one running down and shooting a basket.</t>
  </si>
  <si>
    <t>Several more people are seen running down the lane and shooting a basket above them.</t>
  </si>
  <si>
    <t>More girls run down to shoot a basket and end by walking back together.</t>
  </si>
  <si>
    <t>v_vdYFwqfqgJA</t>
  </si>
  <si>
    <t>A still image of a hockey team is shown and a number seven is shown across the screen.</t>
  </si>
  <si>
    <t>A circle then highlights the player and the game begins.</t>
  </si>
  <si>
    <t>As the game keeps going,the athlete is pictured several times when he does something spectacular.</t>
  </si>
  <si>
    <t>v_NwfosNrFnwk</t>
  </si>
  <si>
    <t>A man holding a pole runs quickly towards the finish line and throws it quite far.</t>
  </si>
  <si>
    <t>The athlete seems proud of his throw and his moment is shown again in slow motion.</t>
  </si>
  <si>
    <t>The commentator continues to discuss his technique while replaying the throw several times.</t>
  </si>
  <si>
    <t>v_C5KcdwGSvbw</t>
  </si>
  <si>
    <t>A person is pressing buttons on an oven.</t>
  </si>
  <si>
    <t>A girl pours ingredients into a bowl together.</t>
  </si>
  <si>
    <t>She mixes the ingredients using a mixer then puts more ingredients in the bowl.</t>
  </si>
  <si>
    <t>The mixes again and finally puts another small amount of ingredients in the bowl.</t>
  </si>
  <si>
    <t>She mixes a third time and adds chocolate chips, finally mixing one more time.</t>
  </si>
  <si>
    <t>The oven peeps and she prepares a pan with cookie dough.</t>
  </si>
  <si>
    <t>She puts the dough into the oven and presses bake options.</t>
  </si>
  <si>
    <t>After several minutes she takes out the pan and spread the cookies out.</t>
  </si>
  <si>
    <t>v_e1tC-0BSwV4</t>
  </si>
  <si>
    <t>Lemonade is seen being poured into a glass and a woman pouring out water.</t>
  </si>
  <si>
    <t>She mixes ingredients into a container and pours out more water.</t>
  </si>
  <si>
    <t>In the she she shows off her lemonade.</t>
  </si>
  <si>
    <t>v_G7kqlq8WhRo</t>
  </si>
  <si>
    <t>A large group of people is seen standing around several men holding a rope preparing to play tug of war.</t>
  </si>
  <si>
    <t>Another group of men is seen with pulling the rope while a crowd standing around cheers them on.</t>
  </si>
  <si>
    <t>A third group of men are seen playing tug of war with a crowd around them.</t>
  </si>
  <si>
    <t>A forth group of men is shown also playing tug of war in a crowd.</t>
  </si>
  <si>
    <t>A fifth group of men is shown playing tug of war in a crowd of people and dogs.</t>
  </si>
  <si>
    <t>A different group of men plays tug of war with a crowd watching.</t>
  </si>
  <si>
    <t>A seventh group of men is playing tug of war in a crowd.</t>
  </si>
  <si>
    <t>A different group of men is playing tug if war and appear to be winning while being cheered on by the crowd.</t>
  </si>
  <si>
    <t>Yet, another group of men is playing tug of war while a crowd watches on.</t>
  </si>
  <si>
    <t>Another group of men is shown playing tug if war up close while a crowd watches.</t>
  </si>
  <si>
    <t>Another group of men plays while people sit and stand in the background.</t>
  </si>
  <si>
    <t>A different group of men is seen playing while people sit and stand around them.</t>
  </si>
  <si>
    <t>A different group of men is shown up close while people sit and stand in the background.</t>
  </si>
  <si>
    <t>A group of men is shown up close playing tug of war with people around them.</t>
  </si>
  <si>
    <t>Another group of men is seen playing while people stand on the sidewalk watching.</t>
  </si>
  <si>
    <t>A group of men in all black plays tug of war while people stand around them.</t>
  </si>
  <si>
    <t>A different group of men plays tug of war among a large crowd cheering for them.</t>
  </si>
  <si>
    <t>Some of the men fall down as they win the game.</t>
  </si>
  <si>
    <t>Another group is seen up close with a crowd of people and a young girl screaming.</t>
  </si>
  <si>
    <t>v_sLtQvJXnrOE</t>
  </si>
  <si>
    <t>There's a guy wearing yellow rubber gloves demonstrating how to fix a tire on a car wheel.</t>
  </si>
  <si>
    <t>He is unscrewing the screws that hold the plates of the wheel.</t>
  </si>
  <si>
    <t>He loosens the screws to remove the tire.</t>
  </si>
  <si>
    <t>v_gY-TqRhcWY8</t>
  </si>
  <si>
    <t>A group of young men are inside a room.</t>
  </si>
  <si>
    <t>They are engaged in a game of foosball together.</t>
  </si>
  <si>
    <t>They laugh and kick the people back and forth.</t>
  </si>
  <si>
    <t>v_QRn9v8F8Nn0</t>
  </si>
  <si>
    <t>a sreet woth houses and cars covered by snow are shown.</t>
  </si>
  <si>
    <t>man is removing a thick layer of snow from a car.</t>
  </si>
  <si>
    <t>v_DfYDYCWkB-o</t>
  </si>
  <si>
    <t>A woman is seen speaking to the camera while sitting in a chair and leads to hear sitting in a shower holding a dog.</t>
  </si>
  <si>
    <t>She scrubs the dog down with soap and then rinses the dog off while speaking to the camera.</t>
  </si>
  <si>
    <t>She is then seen playing with the dog outside and intermittently speaking to the camera.</t>
  </si>
  <si>
    <t>v_rBEQh8V2TI8</t>
  </si>
  <si>
    <t>The words "Conga The Entertainers Dance Company Flemington New Jersey" appears on screen.</t>
  </si>
  <si>
    <t>Four young girls perform on stage at the "American Dance Championships.</t>
  </si>
  <si>
    <t>" The girls fall to the floor as part of the routine and continue to dance.</t>
  </si>
  <si>
    <t>v_rE2IiY5E8LQ</t>
  </si>
  <si>
    <t>A man stands around a giant ball.</t>
  </si>
  <si>
    <t>The man kneels down and takes hold of a ball.</t>
  </si>
  <si>
    <t>The man slides out with the ball, sliding the ball in front of him.</t>
  </si>
  <si>
    <t>A man is hit by the ball and falls down to the floor.</t>
  </si>
  <si>
    <t>The man stands up and starts walking.</t>
  </si>
  <si>
    <t>v_dNUZyM1gF1E</t>
  </si>
  <si>
    <t>Two teen boys are standing at a school playing rock, paper &amp; scissors and are surrounded by a large group of teens who are watching.</t>
  </si>
  <si>
    <t>A woman walks towards them to look at what they're doing then walks back out of the circle.</t>
  </si>
  <si>
    <t>A man then walks to the boys and stops them by putting his hands on each boy and walking them off.</t>
  </si>
  <si>
    <t>v_xI_XIVYtERk</t>
  </si>
  <si>
    <t>A moving cloudy sky with lightning appears before we see white text.</t>
  </si>
  <si>
    <t>Several people are shown close up, smoking cigarettes.</t>
  </si>
  <si>
    <t>Some talk to the camera.</t>
  </si>
  <si>
    <t>The video ends with the words South Beach Smoke.</t>
  </si>
  <si>
    <t>v_BFXSk5F0E_w</t>
  </si>
  <si>
    <t>A woman speaks to the camera, then it cuts to a little boy using a hula hoop.</t>
  </si>
  <si>
    <t>The woman shows colored tape used to wrap a hose around and create the tube herself.</t>
  </si>
  <si>
    <t>She shows off the final product, then the boy using the hula hoop again.</t>
  </si>
  <si>
    <t>v_9xC9rVAJHm8</t>
  </si>
  <si>
    <t>A woman is adjusting a camera in a bedroom.</t>
  </si>
  <si>
    <t>She is smoking a cigarette and ashing it into a tray.</t>
  </si>
  <si>
    <t>She grinds the cigarette into the tray when she is finished.</t>
  </si>
  <si>
    <t>v_UeH0TCDAbSU</t>
  </si>
  <si>
    <t>A woman doing a presentation on how to iron a shirt.</t>
  </si>
  <si>
    <t>She is discussing the shirt and brings out a startch spray.</t>
  </si>
  <si>
    <t>She begins to to use the spray on the shirt.</t>
  </si>
  <si>
    <t>She then rearranges the shirt.</t>
  </si>
  <si>
    <t>Next she demonstrates how to iron the shirt.</t>
  </si>
  <si>
    <t>She then shows how to get the harder creases out.</t>
  </si>
  <si>
    <t>Next she flips over the shirt and places the sleeve down.</t>
  </si>
  <si>
    <t>She then shows how to iron the sleeve.</t>
  </si>
  <si>
    <t>She then flips the shirt over.</t>
  </si>
  <si>
    <t>v_JLdp1Kz0naI</t>
  </si>
  <si>
    <t>A person is riding on a dirt bike.</t>
  </si>
  <si>
    <t>He sets up for a race.</t>
  </si>
  <si>
    <t>He starts racing on his dirt bike.</t>
  </si>
  <si>
    <t>Text appears on the screen as it fades.</t>
  </si>
  <si>
    <t>v_Iib8Qt_9HQc</t>
  </si>
  <si>
    <t>A man in a white shirt is standing in a gym.</t>
  </si>
  <si>
    <t>He sits on an exercise machine and starts working out.</t>
  </si>
  <si>
    <t>He finishes and puts the bar down.</t>
  </si>
  <si>
    <t>v__uTNqQhQA9w</t>
  </si>
  <si>
    <t>A lady dances and speaks indoors.</t>
  </si>
  <si>
    <t>The lady mixes all the ingredients and bakes colorful layers for a cake.</t>
  </si>
  <si>
    <t>The lady added a lot of colorful embellishment to the layered cake.</t>
  </si>
  <si>
    <t>The lady goes outside to a rabbit cage.</t>
  </si>
  <si>
    <t>v_B_-jPPr2RLA</t>
  </si>
  <si>
    <t>Two young boys stand on a residential driveway.</t>
  </si>
  <si>
    <t>The little boy plays hopscotch twice on the driveway.</t>
  </si>
  <si>
    <t>A little girl plays the game too and then follows the other children away from the driveway.</t>
  </si>
  <si>
    <t>v__BJqPK0NNZU</t>
  </si>
  <si>
    <t>The woman in the field is standing behind the net.</t>
  </si>
  <si>
    <t>The woman swirl around and threw a heavy metal towards the field.</t>
  </si>
  <si>
    <t>The field has people in the, a man is running.</t>
  </si>
  <si>
    <t>The athlete in pink top is walking forward.</t>
  </si>
  <si>
    <t>An athlete with Barrios tag on her shirt is standing behind the net.</t>
  </si>
  <si>
    <t>The woman raised the circular metal and she started to swirl around and threw the metal.</t>
  </si>
  <si>
    <t>The metal hit the field.</t>
  </si>
  <si>
    <t>A man is running towards the white circle on the ground.</t>
  </si>
  <si>
    <t>A woman is stretching behind the net.</t>
  </si>
  <si>
    <t>She swirl around and threw something towards the field.</t>
  </si>
  <si>
    <t>Two men running towards each other.</t>
  </si>
  <si>
    <t>The woman gave a hug to other woman.</t>
  </si>
  <si>
    <t>The green field has audiences on the sides of the field.</t>
  </si>
  <si>
    <t>v_lgXtDr9pNAk</t>
  </si>
  <si>
    <t>A man up on the roof putting up some metal pieces through the shingles.</t>
  </si>
  <si>
    <t>He's putting little metal pieces on the metal to keep them held.</t>
  </si>
  <si>
    <t>He talks about it a little bit jokingly.</t>
  </si>
  <si>
    <t>Then he tried to adjust it a little more.</t>
  </si>
  <si>
    <t>v_s-kFpQRPcyE</t>
  </si>
  <si>
    <t>Hair products and hair tools are displayed.</t>
  </si>
  <si>
    <t>The male stylist is does a client's hair with products, a clipper, and hair dryer.</t>
  </si>
  <si>
    <t>v_e6Ti5g_zQ_4</t>
  </si>
  <si>
    <t>At a pool place people are all gathered around some pool tables waiting for players to take their turns.</t>
  </si>
  <si>
    <t>A male takes hie turn and then another in red takes his hitting but bot making it in.</t>
  </si>
  <si>
    <t>No one makes it on their turn so they continue on to the next player.</t>
  </si>
  <si>
    <t>The game continues waiting for someone to make some shots.</t>
  </si>
  <si>
    <t>v_mvomkmq32vU</t>
  </si>
  <si>
    <t>A track athlete prepares and stretches out on a starting line.</t>
  </si>
  <si>
    <t>A track athlete runs down a track and high jumps over bar onto a mat.</t>
  </si>
  <si>
    <t>The athlete makes attempts at jumping over the bar but is unsuccessful knocking it down on the mat.</t>
  </si>
  <si>
    <t>v_ouqYXdtEuCI</t>
  </si>
  <si>
    <t>A girl is doing flips on a trampoline in a gymnasium.</t>
  </si>
  <si>
    <t>We then see a child dive backward into pool.</t>
  </si>
  <si>
    <t>We see the kid on the trampoline.</t>
  </si>
  <si>
    <t>We then see the kids diving again.</t>
  </si>
  <si>
    <t>We return to the kids practicing on the trampoline and back to them diving again.</t>
  </si>
  <si>
    <t>v_YynqCEoHKCk</t>
  </si>
  <si>
    <t>A woman is seen performing a dance routine on a stage in front of a large audience.</t>
  </si>
  <si>
    <t>The woman continues dancing all around the stage and ends with a bow and walking off stage.</t>
  </si>
  <si>
    <t>v_KYjWkaXVnbw</t>
  </si>
  <si>
    <t>A man is standing at a bar.</t>
  </si>
  <si>
    <t>We see the title screen on how to make a drink.</t>
  </si>
  <si>
    <t>The man pours three liquors and some lime soda in a glass.</t>
  </si>
  <si>
    <t>He stirs the glass with a metal tool.</t>
  </si>
  <si>
    <t>The man then drinks from the glass.</t>
  </si>
  <si>
    <t>The man points at the camera, we see the end sequence.</t>
  </si>
  <si>
    <t>v_WEohpavjsIY</t>
  </si>
  <si>
    <t>A pair of dancer begins preforming at the latin dance cup.</t>
  </si>
  <si>
    <t>The woman shows off cleavage.</t>
  </si>
  <si>
    <t>The dancers begin spinning around each other.</t>
  </si>
  <si>
    <t>The dancers begin to preform seperately.</t>
  </si>
  <si>
    <t>The dancers begins moving again together for a big finish.</t>
  </si>
  <si>
    <t>v_JK1Wn9sORbs</t>
  </si>
  <si>
    <t>A man is seen speaking to the camera outside while various objects and tools sit around him.</t>
  </si>
  <si>
    <t>The man continues speaking and leads into clips of him pushing around a low mower.</t>
  </si>
  <si>
    <t>He continues cutting the grass and leads into more clips of him speaking.</t>
  </si>
  <si>
    <t>v_Ke5MPiv-wrY</t>
  </si>
  <si>
    <t>The Awesomeness TV Network Logo Animation plays.</t>
  </si>
  <si>
    <t>A man is flipping and tumbling across a mat.</t>
  </si>
  <si>
    <t>The same man flips across the mat again, this time not wearing a shirt.</t>
  </si>
  <si>
    <t>The man is talking to the camera.</t>
  </si>
  <si>
    <t>A woman with a blue bow in hair walks across the screen behind the man and begins talking to another woman who exits the screen.</t>
  </si>
  <si>
    <t>The shirtless man is shown flipping and tumbling across the screen again, this time he does not land his final flip and he falls onto his side.</t>
  </si>
  <si>
    <t>He then starts walking towards a man on the side of the mat.</t>
  </si>
  <si>
    <t>The bystander points to his head and the gymnast also does the same to his own head.</t>
  </si>
  <si>
    <t>The gymnast is talking to the camera again explaining what happened during that routine.</t>
  </si>
  <si>
    <t>A small video pops up in the lower right replaying the moment he falls.</t>
  </si>
  <si>
    <t>He starts flipping across the mat again.</t>
  </si>
  <si>
    <t>The man is standing next to a couple of other guys, he jumps up in the air and does some kicks.</t>
  </si>
  <si>
    <t>Now he is doing back flips across the mat.</t>
  </si>
  <si>
    <t>He goes from a forward flip to back-flipping.</t>
  </si>
  <si>
    <t>Now he is standing on the side line getting ready to do flips.</t>
  </si>
  <si>
    <t>He is doing some more flips and landing on the red mat.</t>
  </si>
  <si>
    <t>Now he is flipping again and reverses and starts flipping the other way.</t>
  </si>
  <si>
    <t>This time he is wearing a yellow shirt and starts by doing a kick, then starts flipping backwards.</t>
  </si>
  <si>
    <t>Now he is walking across the mat slowly.</t>
  </si>
  <si>
    <t>v_UfrztSg9gf0</t>
  </si>
  <si>
    <t>A man is seen standing in on a large field performing various dog tricks with a dog.</t>
  </si>
  <si>
    <t>Another person watches in the distance as the man and dog continue to perform tricks and the dog running all around.</t>
  </si>
  <si>
    <t>v_3mlxwa9Ve5I</t>
  </si>
  <si>
    <t>A man looks around and grabs his face.</t>
  </si>
  <si>
    <t>He places a towel over his face.</t>
  </si>
  <si>
    <t>The man showcases a shaving unit and a balm.</t>
  </si>
  <si>
    <t>He shows a bowl and swivels the shaving brush around it.</t>
  </si>
  <si>
    <t>The man places shaving cream all over his face with the use of his shaving brush.</t>
  </si>
  <si>
    <t>He takes a razor and shaves.</t>
  </si>
  <si>
    <t>He grabs the bowl again and swivels the shaving brush around the inside.</t>
  </si>
  <si>
    <t>He smothers shaving cream over his face face.</t>
  </si>
  <si>
    <t>He shaves his face once more.</t>
  </si>
  <si>
    <t>He splashes his face and dries it with a purple towel.</t>
  </si>
  <si>
    <t>He rubs an oil over his face and excitedly shows off his muscles.</t>
  </si>
  <si>
    <t>v_AwoZxz8M8Jg</t>
  </si>
  <si>
    <t>A man in red turban stands in a kitchen.</t>
  </si>
  <si>
    <t>He pours some ingredients into a glass.</t>
  </si>
  <si>
    <t>He explains his methods holding a spoon.</t>
  </si>
  <si>
    <t>He then finishes the drink with a garnish.</t>
  </si>
  <si>
    <t>v_e0E2EVuhYu0</t>
  </si>
  <si>
    <t>A close up of an ocean floor is shown as well as a scuba diver and fish swimming around.</t>
  </si>
  <si>
    <t>The camera continues to capture the bottom of the floor as well as several fish and bottom feeders on the ground.</t>
  </si>
  <si>
    <t>The scuba diver moves a flashlight around to capture the bottom and watches the wildlife move around.</t>
  </si>
  <si>
    <t>v_NLTd7qCLT7o</t>
  </si>
  <si>
    <t>A man is walking on the grass wearing stilts.</t>
  </si>
  <si>
    <t>People are watching him next to a pond.</t>
  </si>
  <si>
    <t>He continues walking on the grass toward the people.</t>
  </si>
  <si>
    <t>v_xAPz4YOcIX0</t>
  </si>
  <si>
    <t>A close up of a painting is shown followed by a brush dipping into paint and moving all along the picture.</t>
  </si>
  <si>
    <t>The person continues painting bushes in the picture and ends with credits rolling above the screen.</t>
  </si>
  <si>
    <t>v_IAZV246DKis</t>
  </si>
  <si>
    <t>A close up of potatoes are shown followed by a woman speaking to the camera.</t>
  </si>
  <si>
    <t>The woman points to a pot and then begins peeling the potatoes and putting them into a pot.</t>
  </si>
  <si>
    <t>She mixes it with salt and dips the potatoes into ice water, watching them finish peeling.</t>
  </si>
  <si>
    <t>v_44htu_ovvLs</t>
  </si>
  <si>
    <t>A woman is seen looking off into the distance followed by shots of her riding a horse and looking off into the distance.</t>
  </si>
  <si>
    <t>The woman continues riding around on the horse and ends with her walking away and waving to the camera.</t>
  </si>
  <si>
    <t>v_bLpeUxij7YY</t>
  </si>
  <si>
    <t>A female weightlifter is attempting to lift a set of weights.</t>
  </si>
  <si>
    <t>She lifts at the knees slowly.</t>
  </si>
  <si>
    <t>She raises the bar to her chest, pausing.</t>
  </si>
  <si>
    <t>She then lifts it over her head before crouching beneath it.</t>
  </si>
  <si>
    <t>v_lsvZBtYMXZM</t>
  </si>
  <si>
    <t>Two people are standing face to face under a spotlight.</t>
  </si>
  <si>
    <t>The man wearing a black and white suit simulates a slap to the woman wearing a dress on the right.</t>
  </si>
  <si>
    <t>A man wearing a black tank top immediately runs into the spotlight to stand between the two and they all begin to dance as the room is lit up to show a large dancing area with people in the audience watching them.</t>
  </si>
  <si>
    <t>The three continue to dance until the man in the black tank top picks the woman up and throws her to the ground and leaves the dance floor.</t>
  </si>
  <si>
    <t>The man in the suit and the woman continue to dance alone.</t>
  </si>
  <si>
    <t>The man in the tank top returns to the dance floor and tries to punch the man in the suit, but the man in the suit dodges the punch and pushes the man in the tank top out of the dance floor.</t>
  </si>
  <si>
    <t>The man in the suit and the woman in the dress continue to dance alone and they end dramatically in a pose with her back on the ground and the man hovering above her.</t>
  </si>
  <si>
    <t>v_ShiBZnuxlmc</t>
  </si>
  <si>
    <t>A blond athletic girl with a serious face has her hands all chalked up and is standing next to a wooden balance beam, dressed in a black and white decorated bodysuit, and the banner on the bottom of the screen say's her name is SHAWN JOHNSON 1ST PLACE AFTER 2ND ROTATION.</t>
  </si>
  <si>
    <t>The girl rubs her hands together a few times, the audience claps, she smiles and raises her two arms in the air, smiles, turns to the horse and runs and jumps until she lands on the balance beam.</t>
  </si>
  <si>
    <t>The girl immediately begins her routine and it includes a lot of flips, walking, twirls, hand movements, spins and etcetera.</t>
  </si>
  <si>
    <t>The girl goes to the furthest end of the balance beam, stares at the other end, quickly flips on the balance beam, and then flips off of the balance beam a few times, lands on her feet, raises her two arms in the air and the crowd cheers.</t>
  </si>
  <si>
    <t>v_bMWWSk_YFY8</t>
  </si>
  <si>
    <t>An ox is held by a trainer in a city plaza.</t>
  </si>
  <si>
    <t>Two ox duel with horns in a corral while trainers guide them.</t>
  </si>
  <si>
    <t>The ox charge at the trainers lined up against the wall.</t>
  </si>
  <si>
    <t>Spectators watch and walk in the stands during the event.</t>
  </si>
  <si>
    <t>v_5vm6bjMeEN8</t>
  </si>
  <si>
    <t>People are working out in a room stepping on a step stools.</t>
  </si>
  <si>
    <t>A man in a white shirt is leading the group.</t>
  </si>
  <si>
    <t>He then walks off behind the camera.</t>
  </si>
  <si>
    <t>v_cgWhl3ZDuTQ</t>
  </si>
  <si>
    <t>A series of athletes are shown participating in a discus throw competition before a crowd.</t>
  </si>
  <si>
    <t>The crowd applauds the athletes as a man hands out prizes to the athletes.</t>
  </si>
  <si>
    <t>Journalists surround the athletes with cameras.</t>
  </si>
  <si>
    <t>More discus throw performances are shown.</t>
  </si>
  <si>
    <t>A camera crew focuses on a sweaty seated athlete.</t>
  </si>
  <si>
    <t>Yet another performance of discus throw is shown.</t>
  </si>
  <si>
    <t>Three people sit talking in front of an audience.</t>
  </si>
  <si>
    <t>v_C0F-xroK_Eg</t>
  </si>
  <si>
    <t>A man is talking about making a spicy pasta dish.</t>
  </si>
  <si>
    <t>The man takes sausage and cooks it in a pan.</t>
  </si>
  <si>
    <t>Parsley is added to the sausage.</t>
  </si>
  <si>
    <t>White wine is added to the mixture.</t>
  </si>
  <si>
    <t>Heavy cream is added to the meat along with a jar of marinara sauce.</t>
  </si>
  <si>
    <t>Water is shown boiling in the pot.</t>
  </si>
  <si>
    <t>Pasta and sauce are mixed together in the pot.</t>
  </si>
  <si>
    <t>The final pasta is added to a bowl and Parmesan cheese is added.</t>
  </si>
  <si>
    <t>v_F-jZv4hqYds</t>
  </si>
  <si>
    <t>A large group of people are sitting on horses near gated areas.</t>
  </si>
  <si>
    <t>The people are looking around in amazement as one horse riding catches a calf almost instantly.</t>
  </si>
  <si>
    <t>The man ropes of the calf and the crowd cheers him on as the announcer gives him his time.</t>
  </si>
  <si>
    <t>v_GqCS5MNl6a4</t>
  </si>
  <si>
    <t>Pictures of a town covered n snow is shown.</t>
  </si>
  <si>
    <t>A person is chipping the ice off of their car.</t>
  </si>
  <si>
    <t>v_tN8mcdcwCwc</t>
  </si>
  <si>
    <t>A cat is laying on its back in someone's lap.</t>
  </si>
  <si>
    <t>The person starts clipping the cats nails with a nail clipper.</t>
  </si>
  <si>
    <t>They finish and pet the cat's foot.</t>
  </si>
  <si>
    <t>v_hS7VEMlJ4N0</t>
  </si>
  <si>
    <t>A female is outside in a sports bra and bikini bottoms walking around prepping.</t>
  </si>
  <si>
    <t>She take her hair down and puts it back up in a ponytail.</t>
  </si>
  <si>
    <t>She spanks her butt and stands there getting ready to start her run.</t>
  </si>
  <si>
    <t>She starts her run and she jumps over the course and lands.</t>
  </si>
  <si>
    <t>v_U2aNQHCnVfI</t>
  </si>
  <si>
    <t>There are two young girls holding violins in their hands, standing with a music stand and a book with music notes behind them.</t>
  </si>
  <si>
    <t>The older girl is helping and teaching her younger sister to properly hold the violin by changing her head position.</t>
  </si>
  <si>
    <t>Then the older sister grabs her violin and tunes the strings of the violin.</t>
  </si>
  <si>
    <t>Then older sister begins playing the violin while the younger sister watches her.</t>
  </si>
  <si>
    <t>The older girl shows her sister how to play the violin.</t>
  </si>
  <si>
    <t>Then they both begin to play the violin together.</t>
  </si>
  <si>
    <t>v_aXnllTmgeqg</t>
  </si>
  <si>
    <t>A man is shown on a stage, playing drums.</t>
  </si>
  <si>
    <t>He beats the cymbals and drums very fast.</t>
  </si>
  <si>
    <t>He continues, making faces as he goes.</t>
  </si>
  <si>
    <t>v_E-bv464MTsQ</t>
  </si>
  <si>
    <t>A large group of people riding horses are walking around each other on a large field.</t>
  </si>
  <si>
    <t>One of them throws a ball onto the field and the people begin playing a game on their horses.</t>
  </si>
  <si>
    <t>v_hgTgOjkcvpc</t>
  </si>
  <si>
    <t>There's a man dressed in all white playing croquet in an open field.</t>
  </si>
  <si>
    <t>there are several chairs arranged in the field.</t>
  </si>
  <si>
    <t>He takes the mallet in his hand and hits the croquet ball to the hoop.</t>
  </si>
  <si>
    <t>He hits the ball and it lands straight into the hoop.</t>
  </si>
  <si>
    <t>v_NXFnVeZen1U</t>
  </si>
  <si>
    <t>A man picks up a ball with his racquet and swings it to his opponent over the net.</t>
  </si>
  <si>
    <t>The opponent serves the ball.</t>
  </si>
  <si>
    <t>The teams engage in rapid back and forth hitting of the ball.</t>
  </si>
  <si>
    <t>The game stops for a second and resumes with one of the teams serving the ball.</t>
  </si>
  <si>
    <t>They battle each other on the court, sending the ball back and forth over the net.</t>
  </si>
  <si>
    <t>The ball goes out of bounds.</t>
  </si>
  <si>
    <t>A man serves the ball and they engage in a brief back and forth of the ball before the ball falls to the ground.</t>
  </si>
  <si>
    <t>v_YVSD611Zpvo</t>
  </si>
  <si>
    <t>A man walks to a brick wall with a squeegee and shows us a bottle of windex.</t>
  </si>
  <si>
    <t>The man washes the window.</t>
  </si>
  <si>
    <t>The man sprays windex and washes off with squeegee.</t>
  </si>
  <si>
    <t>The man uses leaf blower to dry the window.</t>
  </si>
  <si>
    <t>The man finishes and talks about the window before walking off.</t>
  </si>
  <si>
    <t>v_88wc2an-eC4</t>
  </si>
  <si>
    <t>TWo children are doing mixed martial arts in front of a television.</t>
  </si>
  <si>
    <t>They are punching and kicking each other for sport.</t>
  </si>
  <si>
    <t>v_5HW6mjZZvtY</t>
  </si>
  <si>
    <t>A man is seen in several shots on a skateboard in a dark warehouse.</t>
  </si>
  <si>
    <t>The man then begins jumping on his board to demonstrate moves.</t>
  </si>
  <si>
    <t>He continues jumping around the room while the camera captures his movements.</t>
  </si>
  <si>
    <t>v_pbZVsdQNWNU</t>
  </si>
  <si>
    <t>We see a hockey goalie skating on the ice.</t>
  </si>
  <si>
    <t>The goalie blocks shots repeatedly.</t>
  </si>
  <si>
    <t>We see the goalie laying on the ice.</t>
  </si>
  <si>
    <t>A shot makes it past and the goalie has a tantrum.</t>
  </si>
  <si>
    <t>The goalie sits on the ground as a person makes their shot.</t>
  </si>
  <si>
    <t>v_j15g2ZTig1k</t>
  </si>
  <si>
    <t>A man wearing a black shirt and blue jeans is playing an acoustic guitar.</t>
  </si>
  <si>
    <t>He plays a riff as he moves his legs rhythmically.</t>
  </si>
  <si>
    <t>He continues playing the guitar as the camera focuses on his hands and the guitar only.</t>
  </si>
  <si>
    <t>He plays several different tunes one after the other as he strums the guitar with his pick.</t>
  </si>
  <si>
    <t>v_yslrb52Di5w</t>
  </si>
  <si>
    <t>A man is seen laughing and smiling to himself and leads into him playing a piano before him.</t>
  </si>
  <si>
    <t>The man pauses and looks off into the distance to see another man speaking to him as well as into a microphone.</t>
  </si>
  <si>
    <t>v_AKoregkLJgc</t>
  </si>
  <si>
    <t>A line of players are on a court together.</t>
  </si>
  <si>
    <t>They begin jumping rope in unison.</t>
  </si>
  <si>
    <t>They move alike, dancing and flipping through the ropes.</t>
  </si>
  <si>
    <t>v_czCM6ZNwHK8</t>
  </si>
  <si>
    <t>A guy prepares to play an instrument.</t>
  </si>
  <si>
    <t>The guy plays a saxophone and uses a microphone.</t>
  </si>
  <si>
    <t>The guy takes the saxophone out of his mouth and bents over.</t>
  </si>
  <si>
    <t>v_9-xf_gylOR0</t>
  </si>
  <si>
    <t>A person is painting a wooden fence.</t>
  </si>
  <si>
    <t>A cat's paws can be seen coming out from under the fence.</t>
  </si>
  <si>
    <t>A dog is looking at the cat's paws.</t>
  </si>
  <si>
    <t>v_IKrnz_OzqT8</t>
  </si>
  <si>
    <t>A man watches a performance on tv while playing a set of hand drums at home.</t>
  </si>
  <si>
    <t>The man looks forward and focuses while playing the drums.</t>
  </si>
  <si>
    <t>The man leans back and plays vigorously on the drums.</t>
  </si>
  <si>
    <t>v_oghT33khlYQ</t>
  </si>
  <si>
    <t>Many trees and deep water from a river is shown.</t>
  </si>
  <si>
    <t>A man is standing on the back of a speedboat.</t>
  </si>
  <si>
    <t>He places his board in the water and begins to water ski.</t>
  </si>
  <si>
    <t>He performs several tricks as he skis.</t>
  </si>
  <si>
    <t>v_ac1DjqY4xHs</t>
  </si>
  <si>
    <t>A young boy swings at a pinata without getting a good hit on it.</t>
  </si>
  <si>
    <t>The boy dodges the pinata that is swinging at him.</t>
  </si>
  <si>
    <t>The boy gives up and walks away.</t>
  </si>
  <si>
    <t>v_z8lxaUC1Shk</t>
  </si>
  <si>
    <t>A man walks into a room playing his bagpipes.</t>
  </si>
  <si>
    <t>He stops playing his bagpipes.</t>
  </si>
  <si>
    <t>v_FCKkV9mYuI4</t>
  </si>
  <si>
    <t>A group of men are talking in a room.</t>
  </si>
  <si>
    <t>Several fighting scenes are shown from a martial arts movie.</t>
  </si>
  <si>
    <t>They move quickly, pretending to fight for the camera.</t>
  </si>
  <si>
    <t>v_N84ci0Imc30</t>
  </si>
  <si>
    <t>A man is seen speaking to the camera and leads into shots of him walking down a hallway and getting a coffee.</t>
  </si>
  <si>
    <t>He grabs sugar, puts a lid over his coffee and then smiles off in the distance while walking away.</t>
  </si>
  <si>
    <t>v_Z8yKTJeRMOE</t>
  </si>
  <si>
    <t>A man professionally paints several pieces of furniture using a spray painter in a paint shop while wearing overalls, a denim shirt and a paint mask.</t>
  </si>
  <si>
    <t>The man begins by painting a wooden armchair metallic gray with a gold spray paint can.</t>
  </si>
  <si>
    <t>The man then paints a side table black with lights shining off of the black painted wood.</t>
  </si>
  <si>
    <t>The man ends with painting a dresser drawer pink before the scene fades to a black marketing graphic.</t>
  </si>
  <si>
    <t>v_SSLcbqaBiRM</t>
  </si>
  <si>
    <t>A man starts out riding a dirt bike and immediately crashes into the ground behind him.</t>
  </si>
  <si>
    <t>The video follows several more people attempting to race a dirt bike and instantly crashing on the path in front of them.</t>
  </si>
  <si>
    <t>v_5-ydqbn30kA</t>
  </si>
  <si>
    <t>A boy and a girl are sitting in their living room with colorful yarn and demonstrating how to knit.</t>
  </si>
  <si>
    <t>The boy is wearing a blue hoodie and the girl is wearing a white sweater with blue horizontal stripes.</t>
  </si>
  <si>
    <t>The mother who is not pictured in the video is taping them demonstrate.</t>
  </si>
  <si>
    <t>The boy holds the needles up and shows how he uses the yarn to knit.</t>
  </si>
  <si>
    <t>v_x164DXmWtRM</t>
  </si>
  <si>
    <t>A group of masked people, wearing all black, play an animated graphic game of paintball in a war field.</t>
  </si>
  <si>
    <t>An animated person runs through a field of black masked soldiers with a paint gun and begins shooting people, several people are wounded among a war field littered with empty stone shacks and abandoned cars.</t>
  </si>
  <si>
    <t>The fighting soldiers pass an animated dog on a leash with a person dressed in a black and white referee uniform holding the leash.</t>
  </si>
  <si>
    <t>The shooting continues among the masked soldiers until a "red team wins" letter box appears and the soldiers head to the right and thin out in numbers.</t>
  </si>
  <si>
    <t>v_4_MR2Tpc7SM</t>
  </si>
  <si>
    <t>A man is seen bending down while holding a crochet bat and hitting a ball through a hole.</t>
  </si>
  <si>
    <t>The man then holds his hands up and looks back to the camera and smiles.</t>
  </si>
  <si>
    <t>v_j_tKuqWYV-A</t>
  </si>
  <si>
    <t>Divers take turns diving from high dive platforms into a swimming pool.</t>
  </si>
  <si>
    <t>The crowd claps and watches the divers performance.</t>
  </si>
  <si>
    <t>A diver does a handstand dive from the highest platform into the swimming pool.</t>
  </si>
  <si>
    <t>v_yp1zqqLB57M</t>
  </si>
  <si>
    <t>A woman is belly dancing on a stage.</t>
  </si>
  <si>
    <t>There is a close up of her belly.</t>
  </si>
  <si>
    <t>She slows her dance down and turns circles.</t>
  </si>
  <si>
    <t>v_Wu3wa5Rc_Qw</t>
  </si>
  <si>
    <t>A large waterfall is shown outside near a rocky trail of water.</t>
  </si>
  <si>
    <t>All of a sudden,a person on a long raft comes paddling down the water and goes over the fall with ease.</t>
  </si>
  <si>
    <t>Once over,they continue paddling and sailing through the water as the people on the side watches.</t>
  </si>
  <si>
    <t>v_J7Q3b1uFHyc</t>
  </si>
  <si>
    <t>First the camera shows the three people who are snow tubing down the slippery snowy slide.</t>
  </si>
  <si>
    <t>Then one person is shown wearing glasses and other snow gear in the snow tubes.</t>
  </si>
  <si>
    <t>Then a great amount of other people are shown snow tubing next to each other.</t>
  </si>
  <si>
    <t>v_8K4cX9GfaII</t>
  </si>
  <si>
    <t>A person is seen painting a wall while the camera captures him moving quickly and others walking in and out of frame.</t>
  </si>
  <si>
    <t>The person continues painting along the wall with other people standing around and helping.</t>
  </si>
  <si>
    <t>v_2-h36nfbFK8</t>
  </si>
  <si>
    <t>A man is snowboarding down a very steep hill at a fast pace.</t>
  </si>
  <si>
    <t>The video intercuts with various angles showing this trip down the mountain in a very exciting way.</t>
  </si>
  <si>
    <t>The kid jumps off of a log intended for this purpose and continues down the hill.</t>
  </si>
  <si>
    <t>Another man in yellow does back-flips off of a small snow ramp while going down the mountain.</t>
  </si>
  <si>
    <t>Another man in blue does the same and there are various cuts going back and forth between the three of them.</t>
  </si>
  <si>
    <t>They are highly skilled and going down every obstacle they can find.</t>
  </si>
  <si>
    <t>The video then shows multiple people hiking up a very rocky mountain as they speak to the camera.</t>
  </si>
  <si>
    <t>The people who climbed is then snowboard down it in a daredevil like stunt.</t>
  </si>
  <si>
    <t>v_liK3LME0gNY</t>
  </si>
  <si>
    <t>A young girls is using a trowel on a wall and siting on the floor.</t>
  </si>
  <si>
    <t>She stands and wipes her trowel clean with a brush.</t>
  </si>
  <si>
    <t>She returns to the wall work.</t>
  </si>
  <si>
    <t>She stands and points and the wall.</t>
  </si>
  <si>
    <t>She she wipes the brush on the trowel again.</t>
  </si>
  <si>
    <t>She smooths the wall again.</t>
  </si>
  <si>
    <t>The girls uses a the brush to clean her tool.</t>
  </si>
  <si>
    <t>She wipes the wall again, then cleans her brush again twice.</t>
  </si>
  <si>
    <t>We are show the top of the wall and the girl as she works.</t>
  </si>
  <si>
    <t>v_mSPUMHD4F-E</t>
  </si>
  <si>
    <t>An intro screen appears with logos, company names and website.</t>
  </si>
  <si>
    <t>A woman bends down in front of 3 boxes and begins to pull out tiled carpet pieces from the top box.</t>
  </si>
  <si>
    <t>A bunch of tools appear on a tiled floor and they include: Carpet Tape,Knife, Sticky Tabs and a T-Square.</t>
  </si>
  <si>
    <t>The woman is on a tiled floor with a pile of tiled carpets in front of her and she begins to dust off the excess carpet pieces off of the front and back of the pieces.</t>
  </si>
  <si>
    <t>A screen appears with the words "Methods of Installation" and includes 3 different diagrams of layouts, and then shows different tiled carpets in each layout.</t>
  </si>
  <si>
    <t>A woman is now kneeling on a tiled piece of carpet and she's pulling double sided sticky tapes off of a sheet and places them onto the tiled carpets and sticks them onto the floor.</t>
  </si>
  <si>
    <t>A different woman appears near a wall and she's demonstrating how to cut tiles once a wall is reached and uses a long ruler to measure, cut, and break apart the carpet tile and places it back onto the floor.</t>
  </si>
  <si>
    <t>The outro is a white screen with the logos, company names, and website.</t>
  </si>
  <si>
    <t>v_Zzcj8Eea3Mc</t>
  </si>
  <si>
    <t>A man is seen walking forward and speaking to the camera while two people pull an object behind him.</t>
  </si>
  <si>
    <t>The man is then speaking while a woman exercises next to him.</t>
  </si>
  <si>
    <t>The man continues speaking and text is shown across the screen.</t>
  </si>
  <si>
    <t>v_b4KrsFjcj-o</t>
  </si>
  <si>
    <t>People stand around in a room.</t>
  </si>
  <si>
    <t>People do karate while some play the drums.</t>
  </si>
  <si>
    <t>The karate opponents shake hands and hug.</t>
  </si>
  <si>
    <t>v_N6y3yXiVo24</t>
  </si>
  <si>
    <t>A little girl/toddler stands outside, on a grass covered field, and hits, repeatedly, a pink pinata hanging from a tree.</t>
  </si>
  <si>
    <t>A little girl/toddler in a lime green hair bow and tutu stands outside under a tree and hits a pinata with a stick.</t>
  </si>
  <si>
    <t>The pinata flings around, and the girl hits the pinata again.</t>
  </si>
  <si>
    <t>The little girl turns to look at the camera in between hitting the pinata.</t>
  </si>
  <si>
    <t>v_5rtrGkZNfLo</t>
  </si>
  <si>
    <t>A standing man talks to the camera with two women seated beside him.</t>
  </si>
  <si>
    <t>The camera pans to focus on the two women.</t>
  </si>
  <si>
    <t>v_2syOa4jpZDU</t>
  </si>
  <si>
    <t>A person cuts the nails of the front legs of a cat.</t>
  </si>
  <si>
    <t>Then, the person cuts the nails of the back legs of a car.</t>
  </si>
  <si>
    <t>v_idACyRv-Sqk</t>
  </si>
  <si>
    <t>A man attempts to walk across a rope spread between two homemade pieces of wood.</t>
  </si>
  <si>
    <t>He balances on the rope, swinging back and forth.</t>
  </si>
  <si>
    <t>He loses his balance and jumps off the rope.</t>
  </si>
  <si>
    <t>v_FFUh8Fx4FsA</t>
  </si>
  <si>
    <t>There are two cars in the car wash and one parked in a spot.</t>
  </si>
  <si>
    <t>The owners of the cars are soaping them down and cleaning the tires very well.</t>
  </si>
  <si>
    <t>Inside of the car wash it it completely empty, no one is inside of it.</t>
  </si>
  <si>
    <t>One of the other car owners is rinsing his car off.</t>
  </si>
  <si>
    <t>v_OnfvTk_DECY</t>
  </si>
  <si>
    <t>A man is seen speaking to the camera followed by several shots of a celebrity and a dummy.</t>
  </si>
  <si>
    <t>The man then begins coming the dummy's hair and using scissors along the side.</t>
  </si>
  <si>
    <t>He continues cutting the dummy's hair and using hair gel in the end to spike it up.</t>
  </si>
  <si>
    <t>v_AH-3mF6wWhU</t>
  </si>
  <si>
    <t>A video on how to make a kite is shown.</t>
  </si>
  <si>
    <t>Materials are gathered and then the kite is assembled.</t>
  </si>
  <si>
    <t>v__7a80bvsbk8</t>
  </si>
  <si>
    <t>A few people are seen standing in a large pit with a bull inside and many watching on the sides.</t>
  </si>
  <si>
    <t>The man walks closer to the bull and the bull attacks several people while they also try to pull him down by his head and tail.</t>
  </si>
  <si>
    <t>They finally all break away at once.</t>
  </si>
  <si>
    <t>v_wqlEUeJzNVc</t>
  </si>
  <si>
    <t>A man is sitting in a gym with friends who make stupid signs at the camera.</t>
  </si>
  <si>
    <t>Then some dodgeball is played.</t>
  </si>
  <si>
    <t>v_F_EHrfbYsRE</t>
  </si>
  <si>
    <t>A graphic with some keywords forming the number '2' is shown.</t>
  </si>
  <si>
    <t>The scene switches to a black screen with some text about an upcoming marathon.</t>
  </si>
  <si>
    <t>A man is shown jogging through a city on some sidewalks, a bridge, some paths in a park, etc, with a counter on the side showing his progress in kilometers as he goes.</t>
  </si>
  <si>
    <t>v_Ym_hy49DaS4</t>
  </si>
  <si>
    <t>A person is covering her legs with soap while she is standing on the bathtub.</t>
  </si>
  <si>
    <t>Then, the person takes a blade to shave her legs while washing the blade under the faucet.</t>
  </si>
  <si>
    <t>After, the person, takes off the underwear and put it on the bathtub.</t>
  </si>
  <si>
    <t>v_8wKBvYGGldQ</t>
  </si>
  <si>
    <t>There is a fast motion video showing a family carving four pumpkins to make jack o lanterns in their kitchen.</t>
  </si>
  <si>
    <t>There is a little baby sitting on the dinning table watching the others carve the pumpkins.</t>
  </si>
  <si>
    <t>The two other girls are helping their parents carve the pumpkins and remove the seeds and pulp out of the pumpkin.</t>
  </si>
  <si>
    <t>v_UPZm0tx77Vw</t>
  </si>
  <si>
    <t>A man seated in front of a tennis net turns around and faces his opponent, with a coach and camera man looking on.</t>
  </si>
  <si>
    <t>As they both rise we see that they are actually heading to a table tennis game, the table on an actual tennis court.</t>
  </si>
  <si>
    <t>They being their match, one in a white tank top and green shorts, the other in an orange shirt and white shorts.</t>
  </si>
  <si>
    <t>They hit back and forth for some time, the enjoyment of the game seeming more important the winning, and they slap hands at the conclusion.</t>
  </si>
  <si>
    <t>v_h-A3CAx_eyU</t>
  </si>
  <si>
    <t>Two men are seen speaking to one another in front of the camera while moving their hands around to their voices.</t>
  </si>
  <si>
    <t>The men continue speaking with one another while acting crazy on the couch and pointing to one another.</t>
  </si>
  <si>
    <t>v_jw8yJ6tJXrA</t>
  </si>
  <si>
    <t>A man is seen kneeling down before a track while others watch on the sides.</t>
  </si>
  <si>
    <t>A person runs in on the side and jumps into a pit.</t>
  </si>
  <si>
    <t>The man sitting tracks his score and several more people are seen running in.</t>
  </si>
  <si>
    <t>v_Q5qIsUsM_-A</t>
  </si>
  <si>
    <t>A young man solves a rubix cube quickly in a digitally timed session.</t>
  </si>
  <si>
    <t>A man in a yellow shirt with a graphic of a man's face on it talks to the camera and holds up an unsolved rubix cube.</t>
  </si>
  <si>
    <t>A black digital timer appears on the screen in the lower right hand corner and begins to run time.</t>
  </si>
  <si>
    <t>The man begins to solve the rubix cube when the timer starts, and then solves the rubix cube with 00:34:08 time, at which point he holds the solved rubix cube in the air as demonstration.</t>
  </si>
  <si>
    <t>v_8uP35-qttBo</t>
  </si>
  <si>
    <t>Two men are seen speaking to the camera while each hold a bow and arrow.</t>
  </si>
  <si>
    <t>One man shows off his while clips are shown of people shooting the bow and shown in between.</t>
  </si>
  <si>
    <t>The other man shows off his bow while still showing off his specs.</t>
  </si>
  <si>
    <t>v_H8MY7XGrN6Q</t>
  </si>
  <si>
    <t>A person is seen roller balding around a street while many people are seen walking around him.</t>
  </si>
  <si>
    <t>A man is then being interviewed by reporters and ends with the camera panning away.</t>
  </si>
  <si>
    <t>v_PaPR1XQU0_A</t>
  </si>
  <si>
    <t>A person sets a piece of wall paper in place and lines it op with the other pieces.</t>
  </si>
  <si>
    <t>The wall paper is cut with sheers to the proper size.</t>
  </si>
  <si>
    <t>The man checks the wall paper then peels off an adhesive strip on the back.</t>
  </si>
  <si>
    <t>The wall paper is attached to the wall and smoothed down by hand.</t>
  </si>
  <si>
    <t>The person uses a towel to flatten out the wall paper.</t>
  </si>
  <si>
    <t>The wallpaper is cut at the bottom and creased against the floorboard.</t>
  </si>
  <si>
    <t>The wall paper is cut and creased along the ceiling.</t>
  </si>
  <si>
    <t>v_ul9kg5QdvJo</t>
  </si>
  <si>
    <t>A group of people are shown at a festival serving food and interacting with their crowd.</t>
  </si>
  <si>
    <t>The male continues,to play with the crowd and makes them work for their ice cream cone.</t>
  </si>
  <si>
    <t>Finally,the video ends,the man smiles,and the credits begin to roll.</t>
  </si>
  <si>
    <t>v_eMQ5sazq-q0</t>
  </si>
  <si>
    <t>People picks up piles of grass on a front yard.</t>
  </si>
  <si>
    <t>A dog walks in the yard where people pile grass.</t>
  </si>
  <si>
    <t>A man cut the grass using a hand cutter.</t>
  </si>
  <si>
    <t>The dogs smells on the ground.</t>
  </si>
  <si>
    <t>v_Vtnn6yJqHqM</t>
  </si>
  <si>
    <t>A pair of hands are shown playing piano.</t>
  </si>
  <si>
    <t>The piano player is shown playing with another person seated beside him.</t>
  </si>
  <si>
    <t>The playing is seen from a hand close up view again.</t>
  </si>
  <si>
    <t>The second man imitates the first man.</t>
  </si>
  <si>
    <t>The first man claps at the second man's imitation.</t>
  </si>
  <si>
    <t>v_8iQ_ZjJGQkE</t>
  </si>
  <si>
    <t>A man stands in front of the camera and then takes a puff of his cigarette.</t>
  </si>
  <si>
    <t>After,he appears with roller blades on and starts to jump on different blocks and boulders in the city.</t>
  </si>
  <si>
    <t>The man continues making his way through the city,passing cars,and jumping over rocks.</t>
  </si>
  <si>
    <t>v_nmMs1pWkiAU</t>
  </si>
  <si>
    <t>A woman and a man salute, and then they demonstrate karate moves in a gym.</t>
  </si>
  <si>
    <t>After, the woman and the man stand and salute.</t>
  </si>
  <si>
    <t>v_gee7iCW34_E</t>
  </si>
  <si>
    <t>A graphic is seen with drawings of mushrooms and plants.</t>
  </si>
  <si>
    <t>A tall pine tree is seen.</t>
  </si>
  <si>
    <t>A match is lit and a young man holds up another lit match along with sticks then blows it out.</t>
  </si>
  <si>
    <t>The young man builds a ring of rocks near a tent.</t>
  </si>
  <si>
    <t>The camper then shows various sized sticks in his hands and others that he breaks in two.</t>
  </si>
  <si>
    <t>The young man breaks sticks with his foot and carries them to the campsite.</t>
  </si>
  <si>
    <t>The young man builds a fire with the various sized sticks in the fire ring and lights it.</t>
  </si>
  <si>
    <t>The fire burns into the night.</t>
  </si>
  <si>
    <t>v_3N1tbv5Z6Kk</t>
  </si>
  <si>
    <t>A man in tuxedo and woman in party dress dance the tango in a ballroom surrounded by crowd in chairs during performance.</t>
  </si>
  <si>
    <t>The crowd cheers at the end and claps hands.</t>
  </si>
  <si>
    <t>v_rcqXzX-7ULg</t>
  </si>
  <si>
    <t>A woman is standing in front of a washer and dryer in a laundry room.</t>
  </si>
  <si>
    <t>Step by step instructions are given for ironing clothes.</t>
  </si>
  <si>
    <t>She shows how to prepare and iron clothing using a rag and steam.</t>
  </si>
  <si>
    <t>v_8GxWehFZVRE</t>
  </si>
  <si>
    <t>A woman is sitting next to a baby in a high chair.</t>
  </si>
  <si>
    <t>She is playing an accordian for the baby.</t>
  </si>
  <si>
    <t>The baby rocks back and forth, dancing to the music.</t>
  </si>
  <si>
    <t>v_iUIfmMljiOg</t>
  </si>
  <si>
    <t>A woman is giving instructions on how to make her lemonade.</t>
  </si>
  <si>
    <t>She shows all of the ingredients that she uses and starts to boil them and mix them on a pot on the stove.</t>
  </si>
  <si>
    <t>In a blender she blends some strawberries and lemon juice.</t>
  </si>
  <si>
    <t>She then starts to do more or less all of those steps again for all different types of other lemonades that she makes.</t>
  </si>
  <si>
    <t>v_FA4BDINxLmE</t>
  </si>
  <si>
    <t>A close up of a person walking on a rope is shown followed by and old man speaking to the camera and more shots of the person walking.</t>
  </si>
  <si>
    <t>More people are being interviewed while people walk behind them and show several more shots of people walking across a rope.</t>
  </si>
  <si>
    <t>v_Nn9qwOB-g34</t>
  </si>
  <si>
    <t>A small group of people are seen standing along an indoor with one player kicking the ball and scoring a goal.</t>
  </si>
  <si>
    <t>The audience cheers and the same shot is shown again several times and the player walking away.</t>
  </si>
  <si>
    <t>Many more shots of goals are shown during the game followed by the same shot shown again in slow motion.</t>
  </si>
  <si>
    <t>v_fHXgxSFDmJc</t>
  </si>
  <si>
    <t>We see man teasing a bull with a flag.</t>
  </si>
  <si>
    <t>The bull charges at the flag.</t>
  </si>
  <si>
    <t>The bull charges and goes after the flag.</t>
  </si>
  <si>
    <t>The bullfighter moves left and the bull follows him.</t>
  </si>
  <si>
    <t>v_uE3YXkZoV5c</t>
  </si>
  <si>
    <t>Two men walk holding sticks out in front of them.</t>
  </si>
  <si>
    <t>They arrange discs onto some numbers.</t>
  </si>
  <si>
    <t>One of the men throws a disc with his stick.</t>
  </si>
  <si>
    <t>The man in red throws his disc.</t>
  </si>
  <si>
    <t>The first man throws another disc.</t>
  </si>
  <si>
    <t>The man in the red shirt follows.</t>
  </si>
  <si>
    <t>The first man throws another disc and the man in the red shirt follows.</t>
  </si>
  <si>
    <t>They high five each other.</t>
  </si>
  <si>
    <t>v_vLEz1mHahdM</t>
  </si>
  <si>
    <t>A man in military uniform is standing in front of a group of soldiers.</t>
  </si>
  <si>
    <t>He is playing the bagpipes while the other soldiers stand and watch him.</t>
  </si>
  <si>
    <t>It may be a parade they are practicing for because they are standing and watching him on top of trailer.</t>
  </si>
  <si>
    <t>Once the soldier is done with his song on the bagpipe all the soldiers clap and cheer for him.</t>
  </si>
  <si>
    <t>v_yrf93aLQXBE</t>
  </si>
  <si>
    <t>An old video of people surfing is shown.</t>
  </si>
  <si>
    <t>People catch waves and the fat guy does a pretty good job.</t>
  </si>
  <si>
    <t>v_Jj7Xcisw62E</t>
  </si>
  <si>
    <t>A large black male and John Cena are in a wrestling ring arm wrestling.</t>
  </si>
  <si>
    <t>The black male is beginning to win but John Cena uses all of his might to not give in and gains enough strength to push the hand back the other way.</t>
  </si>
  <si>
    <t>After a certain amount of time,John Cena wins and someone jumps on his back and begins wrestling him and picks the black man up and drops him.</t>
  </si>
  <si>
    <t>As John Cena continues to celebrate the other guy begins talking trash and John Cena looks at him then talks back to the crowd.</t>
  </si>
  <si>
    <t>v_VqTyewe2R1A</t>
  </si>
  <si>
    <t>A marching band plays in a gym and people watch.</t>
  </si>
  <si>
    <t>Then, the marching band stops playing for a little bit, then it resumes.</t>
  </si>
  <si>
    <t>A woman pass on side the marching band.</t>
  </si>
  <si>
    <t>A young man drinks from a can.</t>
  </si>
  <si>
    <t>After, a child pass on front the Marching band.</t>
  </si>
  <si>
    <t>v_cxxiokwoVgg</t>
  </si>
  <si>
    <t>People in a home get ready to go sled on the street covered with snow.</t>
  </si>
  <si>
    <t>Two young men sled on the road pulled by a car.</t>
  </si>
  <si>
    <t>Splashes of snow falls on the young men who are covered with snow.</t>
  </si>
  <si>
    <t>A young man stands from the sled and enters the car and other person takes his place on the sled.</t>
  </si>
  <si>
    <t>A young men goes down the road sledding while snow splay on them.</t>
  </si>
  <si>
    <t>A young person snowboards holding a rope attached to a car, at the end he falls.</t>
  </si>
  <si>
    <t>v_UYzgXZIRUR8</t>
  </si>
  <si>
    <t>A boy skateboard on a road jumping and flipping the skateboard in the street.</t>
  </si>
  <si>
    <t>A skateboard leans on a tree.</t>
  </si>
  <si>
    <t>Then, the boy skateboard on small ramps and then continues skateboarding in the street.</t>
  </si>
  <si>
    <t>v_YJTz7mpI-mY</t>
  </si>
  <si>
    <t>A man places shaving cream on his face.</t>
  </si>
  <si>
    <t>A man spits some liquid out of his mouth.</t>
  </si>
  <si>
    <t>A man sharpens his razor blade.</t>
  </si>
  <si>
    <t>The man shaves his face with the razor.</t>
  </si>
  <si>
    <t>The man puts more shaving cream on his face.</t>
  </si>
  <si>
    <t>v_n6k21NjvqXE</t>
  </si>
  <si>
    <t>An intro appears and it has a logo and the words "outdoor interlaken +", and then yellow words and roman numerals appear.</t>
  </si>
  <si>
    <t>The outdoor shop appears and it quickly changes to the inside of the shop where people are all gathered to get instructions, get dressed in helmets and safety gear, and prepare for white water rafting.</t>
  </si>
  <si>
    <t>The people are then going outdoors where they practice on land on how to sit in the raft, paddle and etc.</t>
  </si>
  <si>
    <t>When they are done practicing the all walk to the water with their rafts and they are all seen in the very rough waters going down and paddling and in their rafts where they end up in calm waters and jump out of their rafts to celebrate their success.</t>
  </si>
  <si>
    <t>When they're done celebrating the people walk out of the water holding their raft and they end up in a vehicle where they are smiling and happy.</t>
  </si>
  <si>
    <t>The outro appears with contact information, website,logos and credits.</t>
  </si>
  <si>
    <t>v_0LebHO3TvzE</t>
  </si>
  <si>
    <t>Two people are seen sitting on shore while sitting in kayaks.</t>
  </si>
  <si>
    <t>One person inches himself closer to the water and begins riding along down the river.</t>
  </si>
  <si>
    <t>v_8J_erRJya-k</t>
  </si>
  <si>
    <t>Young men ride skateboards and do skidding turns in a city plaza.</t>
  </si>
  <si>
    <t>The skateboarder does a wheelie.</t>
  </si>
  <si>
    <t>The skateboarders ride along a sidewalk going somewhere.</t>
  </si>
  <si>
    <t>The boys walk around and go into a transportation station.</t>
  </si>
  <si>
    <t>v_JksdZ0YMkoQ</t>
  </si>
  <si>
    <t>A man in red in outside screwing in his rotors and putting his tire back on his truck.</t>
  </si>
  <si>
    <t>He grabs pieces to tighten it and begins to make sure they are on super tight.</t>
  </si>
  <si>
    <t>He does it repeatedly to make sure they all stay on well.</t>
  </si>
  <si>
    <t>Otherwise it would be dangerous to drive on if they are loose.</t>
  </si>
  <si>
    <t>v_KUorCsuIe2A</t>
  </si>
  <si>
    <t>We see a boy in a cap in a room laughing and sitting.</t>
  </si>
  <si>
    <t>We see the boy backstage talking to two men.</t>
  </si>
  <si>
    <t>The boy walks on the stage and talks to the judges.</t>
  </si>
  <si>
    <t>The boy performs a break dance.</t>
  </si>
  <si>
    <t>A judges mouth hangs open.</t>
  </si>
  <si>
    <t>The boy finises dancing and the judges give their feedback.</t>
  </si>
  <si>
    <t>The crowd lifts their arms in the air.</t>
  </si>
  <si>
    <t>The boy walks off stage and is interviewed.</t>
  </si>
  <si>
    <t>The boy walks away from the men.</t>
  </si>
  <si>
    <t>v_svZ7DPi7rLI</t>
  </si>
  <si>
    <t>A man is running throws a javelin.</t>
  </si>
  <si>
    <t>He puts his hands in the air and waves at the crowd.</t>
  </si>
  <si>
    <t>He grabs a towel and puts his hands in the air.</t>
  </si>
  <si>
    <t>v_xUDwlT5fw_o</t>
  </si>
  <si>
    <t>A man is standing at a bar and he begins pouring ice into a tall cup along with blue liquid, dark liquid, and a red liquid.</t>
  </si>
  <si>
    <t>The man then pours it into a shaker and shakes it until thoroughly mixed.</t>
  </si>
  <si>
    <t>When the man is finished shaking the drink he removes the cup from the shaker, pours the liquids into a smaller cup, and sticks a white straw in it.</t>
  </si>
  <si>
    <t>All while talking the man then picks up the cup, smells it, smiles and holds the drink up.</t>
  </si>
  <si>
    <t>v_2DCeEAz8iO8</t>
  </si>
  <si>
    <t>A camera pans around a person riding around on a horse.</t>
  </si>
  <si>
    <t>The person continues riding around the area and pauses to speak to the woman while she laughs and speaks to the camera.</t>
  </si>
  <si>
    <t>v_4-Xe_9Ywvd8</t>
  </si>
  <si>
    <t>A group of cheerleaders gather on a football field.</t>
  </si>
  <si>
    <t>They cheer and flip as they jog across the field.</t>
  </si>
  <si>
    <t>They then put on a performance, flipping and jumping.</t>
  </si>
  <si>
    <t>v_FGtoyNOi6gg</t>
  </si>
  <si>
    <t>An intro leads into several shots of a wooded area and several people bungee jumping off a bridge.</t>
  </si>
  <si>
    <t>Several shots of people jumping off the side and shown and many standing on the side and close ups of the jumpers.</t>
  </si>
  <si>
    <t>v_qhsK94t7x7w</t>
  </si>
  <si>
    <t>People in stands watch as two bulls walk around in a bullfighting ring, other people walk around in the ring taking pictures.</t>
  </si>
  <si>
    <t>The bulls lock horns, and are aggressive toward one another.</t>
  </si>
  <si>
    <t>One bull walks away from the other one, and then quickly turns to reengage in the fight.</t>
  </si>
  <si>
    <t>The bulls circle one another.</t>
  </si>
  <si>
    <t>The bulls begin to fight.</t>
  </si>
  <si>
    <t>v_w8PqH7bltJQ</t>
  </si>
  <si>
    <t>man is standing in a workshop standing in front of a bicycle talking to the camera.</t>
  </si>
  <si>
    <t>list of materials is shown in the screen.</t>
  </si>
  <si>
    <t>man is putting red tape on bicycle bars.</t>
  </si>
  <si>
    <t>the man is wrapping all the bar in the red tape.</t>
  </si>
  <si>
    <t>v_kM6v-XN8Ixo</t>
  </si>
  <si>
    <t>A man throws a frisbee on a field.</t>
  </si>
  <si>
    <t>A dog jumps and grabs the frisbee in the air.</t>
  </si>
  <si>
    <t>The man lays on his back and the dog stands on his feet.</t>
  </si>
  <si>
    <t>The man bends down and the dog jumps on his back.</t>
  </si>
  <si>
    <t>The dog runs and jumps into the mans arms and the man carries him.</t>
  </si>
  <si>
    <t>v_539ByIcbUPs</t>
  </si>
  <si>
    <t>A woman speaks to the camera.</t>
  </si>
  <si>
    <t>Many lemons fall onto a counter.</t>
  </si>
  <si>
    <t>The woman grabs a wooden bowl and pours brown sugar into it.</t>
  </si>
  <si>
    <t>She grabs a lemon and rubs brown sugar all over the lemon.</t>
  </si>
  <si>
    <t>She proceeds to rub two lemons onto the counter.</t>
  </si>
  <si>
    <t>With a knife, she cuts a lemon in half.</t>
  </si>
  <si>
    <t>She squeezes lemon juice into a bowl.</t>
  </si>
  <si>
    <t>She pours the squeezed lemon juice into a pitcher.</t>
  </si>
  <si>
    <t>She pours boiling water into the bowl with brown sugar in it.</t>
  </si>
  <si>
    <t>Shes pours the watered brown sugar into the pitcher and stirs.</t>
  </si>
  <si>
    <t>She breaks ice cubes by hitting them with a spoon.</t>
  </si>
  <si>
    <t>She places the ice into a glass and adds the lemonade.</t>
  </si>
  <si>
    <t>Lastly, she takes a sip of the lemonade she just made.</t>
  </si>
  <si>
    <t>v_047dUA_39x8</t>
  </si>
  <si>
    <t>A cowboy rides a horse out of a corral and enters into a fenced off area.</t>
  </si>
  <si>
    <t>The man rides his horse out of the fenced are and throws a rope around a cattle.</t>
  </si>
  <si>
    <t>The man is helped by other cowboys while tying up the cattle.</t>
  </si>
  <si>
    <t>v_cdHBwzbNI5Y</t>
  </si>
  <si>
    <t>A girl in a sparkling outfit marches onto the court followed by other girls.</t>
  </si>
  <si>
    <t>They are holding batons as they march.</t>
  </si>
  <si>
    <t>They then walk away, off the court.</t>
  </si>
  <si>
    <t>v_8eGaK2mVEhY</t>
  </si>
  <si>
    <t>An indoor track is shown as a male begins running with a pole vault but he isn't successful in his jump.</t>
  </si>
  <si>
    <t>Another person then comes behind the camera and begins talking.</t>
  </si>
  <si>
    <t>The athlete then does his jump several more times but he isn't successful.</t>
  </si>
  <si>
    <t>v_ZIbrxshdMu0</t>
  </si>
  <si>
    <t>Older people play croquet near the ocean.</t>
  </si>
  <si>
    <t>A group of people come and walk by in the background.</t>
  </si>
  <si>
    <t>The two groups play and interact with each other.</t>
  </si>
  <si>
    <t>v_Pw0ANcAM-zc</t>
  </si>
  <si>
    <t>A man l dead lifts a weight bar from the ground over his head in a gym.</t>
  </si>
  <si>
    <t>The man does repetitions lifting a weight bar up off the ground to waist level.</t>
  </si>
  <si>
    <t>v_r9vcB6tc1mM</t>
  </si>
  <si>
    <t>There are two men using defense techniques as a way of dance moves.</t>
  </si>
  <si>
    <t>They are in the middle of a circle of people, who are clapping.</t>
  </si>
  <si>
    <t>Two other men come in from the crowd to try and dance, but the video ends.</t>
  </si>
  <si>
    <t>v_REOP3JWB0yc</t>
  </si>
  <si>
    <t>A man is seen wearing sunglasses and speaking to the camera while holding a lacrosse stick.</t>
  </si>
  <si>
    <t>The man continues to speak to the camera while moving the stick all around.</t>
  </si>
  <si>
    <t>In the end is seen still speaking while moving his legs as well as showing how to properly throw the ball.</t>
  </si>
  <si>
    <t>v_xXRKrdnuZBQ</t>
  </si>
  <si>
    <t>A man is seen speaking to the camera and leads into clips of him hitting a ball around with a stick.</t>
  </si>
  <si>
    <t>The man continues speaking to the camera in several spots and as well as hitting the ball around an indoor area.</t>
  </si>
  <si>
    <t>v_jSxu2GOiBO0</t>
  </si>
  <si>
    <t>An introduction comes onto the screen for a video about how to ski.</t>
  </si>
  <si>
    <t>A man begins to talk about some key components of skiing and how to go about learning how to ski.</t>
  </si>
  <si>
    <t>The video then goes to video of people skiing down a slope while twisting and turning from side to side.</t>
  </si>
  <si>
    <t>A scene is shown of three men talking while riding up the ski lift.</t>
  </si>
  <si>
    <t>The closing credits and graphics are shown at the end.</t>
  </si>
  <si>
    <t>v_tSUzEX6ps0s</t>
  </si>
  <si>
    <t>A Subway employee is standing in the kitchen preparing sub.</t>
  </si>
  <si>
    <t>On a white piece is of paper is a foot long piece of bread and a row of ham,pepperoni,salami then cheese are added on the sub.</t>
  </si>
  <si>
    <t>Next,the man puts the sub in the oven to be toasted and moves a tray of cookies to the other side of the counter.</t>
  </si>
  <si>
    <t>As he waits,he begins talking to his friend and checking the cookies.</t>
  </si>
  <si>
    <t>Now,the sub is toasted a lettuce and tomatoes are added along with cucumbers,anchovies,oil,vinegar and mayo.</t>
  </si>
  <si>
    <t>The sub is finally finished cut in half,rolled in paper, and then totaled out on the register.</t>
  </si>
  <si>
    <t>v_MysxDDxgHNo</t>
  </si>
  <si>
    <t>Several boys are interacting in an ice rink.</t>
  </si>
  <si>
    <t>Two boys that are sliding on their knees towards each other collide and fall back.</t>
  </si>
  <si>
    <t>A boy releases a curling stone.</t>
  </si>
  <si>
    <t>Three boys walk together across on the ice.</t>
  </si>
  <si>
    <t>v_RhsCYNiAaV8</t>
  </si>
  <si>
    <t>Title cards flash across the screen.</t>
  </si>
  <si>
    <t>Images of rafts are shown.</t>
  </si>
  <si>
    <t>We see people sitting in their raft then start rowing.</t>
  </si>
  <si>
    <t>A waterfall spills into the raft.</t>
  </si>
  <si>
    <t>Two boats of rafters raft down a river.</t>
  </si>
  <si>
    <t>The first boat splashes the rear boat.</t>
  </si>
  <si>
    <t>The rafters splash each other.</t>
  </si>
  <si>
    <t>A raft turns over in the water and rafters float to the river bank.</t>
  </si>
  <si>
    <t>A van is then driving down the road.</t>
  </si>
  <si>
    <t>The end title card appears on the screen.</t>
  </si>
  <si>
    <t>v_aTl4KzTuJoU</t>
  </si>
  <si>
    <t>A man is in the ocean water, holding a rope.</t>
  </si>
  <si>
    <t>He is attached to a boat while he is on water skis.</t>
  </si>
  <si>
    <t>He lifts himself up, skiing in the waves.</t>
  </si>
  <si>
    <t>v_36lphp9tnMk</t>
  </si>
  <si>
    <t>A man is standing outside drinking beer.</t>
  </si>
  <si>
    <t>People are standing around watching him.</t>
  </si>
  <si>
    <t>He sets the beer glass down on a table.</t>
  </si>
  <si>
    <t>v_1y9s_l_DIEk</t>
  </si>
  <si>
    <t>A woman holds two big gloves where two little girls tap with both hands.</t>
  </si>
  <si>
    <t>Then, the woman puts the globes on front her chest.</t>
  </si>
  <si>
    <t>People practice karate in a room.</t>
  </si>
  <si>
    <t>v_PVAV7PdHhgE</t>
  </si>
  <si>
    <t>A person holds a boy that is on a swing rod, and then push the rod.</t>
  </si>
  <si>
    <t>Then, the boy swings on the rod to impulse his body to swing in circles until the rod loss force.</t>
  </si>
  <si>
    <t>After, a man helps stop the swing rod, while other people are fixing something.</t>
  </si>
  <si>
    <t>A young man wearing yellow t-shirt move his arms.</t>
  </si>
  <si>
    <t>v_npzRJiGHc9c</t>
  </si>
  <si>
    <t>A field hockey game is being played.</t>
  </si>
  <si>
    <t>As a team is trying to score,a player in a white shirt ducks as the puck flies over her head.</t>
  </si>
  <si>
    <t>After the puck goes through the goalie,the young lady smiles as she goes over to the sideline and is given a high five from her coach.</t>
  </si>
  <si>
    <t>v_R7uL6BvULN8</t>
  </si>
  <si>
    <t>Two people are carrying kite surf boards to the water and we see people riding them in the water.</t>
  </si>
  <si>
    <t>We see the board up close.</t>
  </si>
  <si>
    <t>We see a man riding and come to a stop.</t>
  </si>
  <si>
    <t>We see the board up close again.</t>
  </si>
  <si>
    <t>We see the man riding the board in the water again.</t>
  </si>
  <si>
    <t>v_h5fX5z-unJc</t>
  </si>
  <si>
    <t>A man wearing a white shirt is playing pool in a recreation room.</t>
  </si>
  <si>
    <t>There are some other players standing besides the pool table.</t>
  </si>
  <si>
    <t>The man playing pool hits the balls as he continues playing the game.</t>
  </si>
  <si>
    <t>v_bFHpaULTwsE</t>
  </si>
  <si>
    <t>A tree and mulching materials are show, then a man prepares the area around the tree.</t>
  </si>
  <si>
    <t>Then the man put mulch around the tree and gives form with a rack.</t>
  </si>
  <si>
    <t>v_K-E0UXNscjU</t>
  </si>
  <si>
    <t>A woman is seen throwing a dart to the board and looking back laughing while another watches from far away.</t>
  </si>
  <si>
    <t>She throws more darts onto the board while stopping to grab them and a man bending down beside her.</t>
  </si>
  <si>
    <t>v_9Tip00S7cFY</t>
  </si>
  <si>
    <t>A man is in an indoor racquetball court, talking as he holds a ball and racquet.</t>
  </si>
  <si>
    <t>He lobs the ball back and forth against the wall, interspersed with talking about the game.</t>
  </si>
  <si>
    <t>He speaks for a while longer before the video ends.</t>
  </si>
  <si>
    <t>v_tdHQb9Uwc4A</t>
  </si>
  <si>
    <t>Two men are standing on an indoor gym and in sync they both start jumping on their metal bouncy stits and they both do a backflip.</t>
  </si>
  <si>
    <t>Various clips of various different people also wearing the bouncy stilts play and they're all running, flipping and doing various tricks while landing onto blue mats in an indoor gym.</t>
  </si>
  <si>
    <t>Now there are a lot of people outdoors, both men and women, and they are all running, hopping, jumping, and doing flips outdoors.</t>
  </si>
  <si>
    <t>A large group of them all line up and a view from above show that they have formed the number 7.</t>
  </si>
  <si>
    <t>Various still shot pictures show and clips of more people outdoors in a different area play and they're all also jumping over poles, doing flips, jumps, running and etcetera.</t>
  </si>
  <si>
    <t>Now there are people jumping into the water with their bouncy stilts, then back in a large grassy area until a black screen appears and a lot of white words and websites scroll quickly from bottom to top.</t>
  </si>
  <si>
    <t>v_3ArMGKnxlcU</t>
  </si>
  <si>
    <t>People are canoeing down a river of water.</t>
  </si>
  <si>
    <t>They are going around poles in the water.</t>
  </si>
  <si>
    <t>They go under a bridge.</t>
  </si>
  <si>
    <t>v_Dty6AUdBdrE</t>
  </si>
  <si>
    <t>A little girl in gray and printed coat is standing at the center of dry leaves, she walked away from the pile of leaves, grab handful and put it on one side.</t>
  </si>
  <si>
    <t>A woman in gray sweater and blue pants walk from the girl's behind then towards her, the lady is carrying a rake.</t>
  </si>
  <si>
    <t>The little girl came up to her and try to reach for the rake.</t>
  </si>
  <si>
    <t>The woman adjusted the handle of the rake to make it shorter and handed to the girl.</t>
  </si>
  <si>
    <t>The little girl tried to rake but it wouldn't move so the woman sat beside the girl and take the rake from her, while the little girl got distracted by the kids running down the street.</t>
  </si>
  <si>
    <t>The little girl continue to rake, while the lady take a bigger rake and started to rake the leaves.</t>
  </si>
  <si>
    <t>v_h_Kt_rqmODs</t>
  </si>
  <si>
    <t>A person is walking along the street that has chalk on it.</t>
  </si>
  <si>
    <t>A person in a red shirt is hopping along the street with the chalk on it.</t>
  </si>
  <si>
    <t>They finish and smile at the camera.</t>
  </si>
  <si>
    <t>v_G4fSvtn1HAw</t>
  </si>
  <si>
    <t>This is a recipe for making chocolate chip cookies.</t>
  </si>
  <si>
    <t>Chocolate bars are cut up with a knife.</t>
  </si>
  <si>
    <t>Butter is microwaved and prepared with sugar and other ingredients.</t>
  </si>
  <si>
    <t>Everything is stirred and the chocolate is put in.</t>
  </si>
  <si>
    <t>The cookies are shaped and put in an oven.</t>
  </si>
  <si>
    <t>v_LIaNG_UliKk</t>
  </si>
  <si>
    <t>man is sitting in the driver's seat.</t>
  </si>
  <si>
    <t>people are in snowy mountain snowboarding.</t>
  </si>
  <si>
    <t>v_aFdYbgmbOeY</t>
  </si>
  <si>
    <t>Someone grabs a rubix cube off of their desk and begin to solve it.</t>
  </si>
  <si>
    <t>They are moving so fast, they put it down for a split second.</t>
  </si>
  <si>
    <t>They pick it back up quickly and get back to it, moving so fast again.</t>
  </si>
  <si>
    <t>When they finally solve the cube they show their time, it took them only 33,91 to solve the cube.</t>
  </si>
  <si>
    <t>v_PJvOR4ue3tU</t>
  </si>
  <si>
    <t>The man in black shirt is walking and then raised the ball up.</t>
  </si>
  <si>
    <t>The man put the ball on his neck and started to turn around and threw the ball.</t>
  </si>
  <si>
    <t>The man cheered and gave a high five to other man, then he is so happy he went to the ground on his stomach and he continue to cheer.</t>
  </si>
  <si>
    <t>v_yBjsQN4fzVY</t>
  </si>
  <si>
    <t>There's a woman in a pink dress sitting with a man in a gray shirt.</t>
  </si>
  <si>
    <t>They are talking about brushing teeth in underwear and how it is banned by Metacafe.</t>
  </si>
  <si>
    <t>The man has a script in his hand that he's reading.</t>
  </si>
  <si>
    <t>A man in folded pants is walking on the beach.</t>
  </si>
  <si>
    <t>He picks up a toothbrush from the sand and begins brushing his teeth.</t>
  </si>
  <si>
    <t>The woman in the bathroom is brushing her teeth and is attacked by a man with a knife.</t>
  </si>
  <si>
    <t>There is blood splattered all over the bathroom.</t>
  </si>
  <si>
    <t>The injured woman gets up and looks in the mirror only find out that she has the face of the man from the beach.</t>
  </si>
  <si>
    <t>The same man is now back on the beach, walking along the shore.</t>
  </si>
  <si>
    <t>v_6fjc0Brqa7A</t>
  </si>
  <si>
    <t>Various shots of landscapes are shown followed by a woman speaking to the camera, gearing up, and riding behind a vehicle.</t>
  </si>
  <si>
    <t>The person walks around and interacts with the driver and leads into more clips of the person riding a board behind a car.</t>
  </si>
  <si>
    <t>A man speaks into a walkie talkie and showing the speed of the car as well as people celebrating and the man receiving a plaque.</t>
  </si>
  <si>
    <t>v_h3GLEcwSvD4</t>
  </si>
  <si>
    <t>A group of men are in a room doing various hand movements and moving their feet.</t>
  </si>
  <si>
    <t>As they continue,the man in the back falls on the ground,gets up and continues moving in the back of the room.</t>
  </si>
  <si>
    <t>They finish,stand still and begin clapping and high-fiving one another.</t>
  </si>
  <si>
    <t>v_aBr9bdWrl0I</t>
  </si>
  <si>
    <t>blonde woman is raking dry leaves in a backyard and dog is playing with them running.</t>
  </si>
  <si>
    <t>dog is unning in the backyard and is drinkin water from a smal fountain and keep running through the field playing with the leaves while the woman keep raking.</t>
  </si>
  <si>
    <t>v_tnavaGow7BI</t>
  </si>
  <si>
    <t>Two people are standing behind a counter.</t>
  </si>
  <si>
    <t>One person is adding peppers to a salad.</t>
  </si>
  <si>
    <t>Another person is chopping the pepper on a board.</t>
  </si>
  <si>
    <t>v_LW8UDBQ1yJc</t>
  </si>
  <si>
    <t>The opening credits for a film appears on the screen.</t>
  </si>
  <si>
    <t>Several young men are shown performing various stunts on skateboards.</t>
  </si>
  <si>
    <t>They jump on tables, over fountains, and down stairs.</t>
  </si>
  <si>
    <t>v_-kky8-yaEPg</t>
  </si>
  <si>
    <t>A man is stirring something in a pot.</t>
  </si>
  <si>
    <t>The first man leaves the scene as a second man enters and stirs something in a bowl.</t>
  </si>
  <si>
    <t>The first man walks into and out of frame.</t>
  </si>
  <si>
    <t>The camera pans left to watch the first man working at an oven.</t>
  </si>
  <si>
    <t>v_hK3E6njydQA</t>
  </si>
  <si>
    <t>People in uniforms of various characters are shown running around a green field.</t>
  </si>
  <si>
    <t>Then, a lacrosse game begins and they compete against one another.</t>
  </si>
  <si>
    <t>The large yellow character attempts to get a goal but isn't successful and he falls to his knee in disappointment.</t>
  </si>
  <si>
    <t>v_ivivR6ZdgRM</t>
  </si>
  <si>
    <t>A man in a denim shirt and black baseball cap plays the harmonica at the beach in front of a sandy shore, ocean water and a grass and flower covered knoll.</t>
  </si>
  <si>
    <t>The man is standing at the top of a short wooden staircase, and, leaning against the railing the man begins to play the harmonica covering the entire instrument with both hands while playing.</t>
  </si>
  <si>
    <t>A beach goer in shorts walks past him in the distance on the wet sand of the beach.</t>
  </si>
  <si>
    <t>The man continues to play the harmonica ending by pulling the harmonica away from the mouth and wriggling a large, puffy, mustache dramatically.</t>
  </si>
  <si>
    <t>v_B6W_0AvgGTY</t>
  </si>
  <si>
    <t>A man and dog are seen standing in a field with the dog looking to the owner.</t>
  </si>
  <si>
    <t>The man throws a frisbee off into the distance and the dog chases after it.</t>
  </si>
  <si>
    <t>The dog grabs the frisbee and runs back to the man.</t>
  </si>
  <si>
    <t>v_XuFiQCgRsRo</t>
  </si>
  <si>
    <t>A young woman is in a gym.</t>
  </si>
  <si>
    <t>She sits on an exercise machine while speaking to the camera.</t>
  </si>
  <si>
    <t>Three other people are near her, also on exercise machines.</t>
  </si>
  <si>
    <t>The woman then begins to use the exercise machine.</t>
  </si>
  <si>
    <t>The video ends with the woman stopping the machine and smiling at the camera.</t>
  </si>
  <si>
    <t>v_6SWx37_Byzs</t>
  </si>
  <si>
    <t>A man and woman are seen performing a dancing routine on a floor with one another.</t>
  </si>
  <si>
    <t>The man and woman are also seen in shots dancing by themselves and leads into them dancing together again.</t>
  </si>
  <si>
    <t>v_ZREEgMgSz_o</t>
  </si>
  <si>
    <t>A girl stands in a bathroom talking to the camera as a man films her.</t>
  </si>
  <si>
    <t>The lady wipes her eye makeup off and washes her face.</t>
  </si>
  <si>
    <t>the lady rinses the soap off her face.</t>
  </si>
  <si>
    <t>The lady stands upright and wipes her face with her hands while smiling.</t>
  </si>
  <si>
    <t>v_cfwJd80WCZU</t>
  </si>
  <si>
    <t>A man walking on metal stilts is bouncing a basketball with his right hand as a man passes him on rollerblades in the opposite direction.</t>
  </si>
  <si>
    <t>The man on stilts turns around while still bouncing the ball, loses control for a little bit, but steps it up and bounces is again.</t>
  </si>
  <si>
    <t>The man then grabs the basketball with two hands and pretends that he's going to throw it towards the camera.</t>
  </si>
  <si>
    <t>v_7g3YO0-R4qk</t>
  </si>
  <si>
    <t>A swimming pool is shown in a room.</t>
  </si>
  <si>
    <t>Men are shown jumping into the pool and swimming laps.</t>
  </si>
  <si>
    <t>v_ir1jpnsK5p8</t>
  </si>
  <si>
    <t>Cars move on a road adjacent to a home.</t>
  </si>
  <si>
    <t>A person is power washing.</t>
  </si>
  <si>
    <t>The person is soaking up water and debris with a vacuum.</t>
  </si>
  <si>
    <t>A man is painting the wall, light blue.</t>
  </si>
  <si>
    <t>The man is painting the wall and floor of a roof, black.</t>
  </si>
  <si>
    <t>v_SZqwvjwqwK4</t>
  </si>
  <si>
    <t>A man is playing the drums while wearing earphones.</t>
  </si>
  <si>
    <t>We see the man's feet in the upper corner.</t>
  </si>
  <si>
    <t>the mans' feet return in the corner.</t>
  </si>
  <si>
    <t>We see a game being played before returning to the drummer.</t>
  </si>
  <si>
    <t>We see another scene from the game.</t>
  </si>
  <si>
    <t>The man throws and catches one of his drumsticks.</t>
  </si>
  <si>
    <t>We see a closing screen with a website on it.</t>
  </si>
  <si>
    <t>v_lzcVvTHZlQo</t>
  </si>
  <si>
    <t>A shot is seen of two men performing an arm wrestling match together while the audience cheers.</t>
  </si>
  <si>
    <t>One man beats the other and the two hold up their arms to cheer and everybody celebrates.</t>
  </si>
  <si>
    <t>One man in the audience looks disappointing and the winner holds up a boy.</t>
  </si>
  <si>
    <t>v_xcI2e5T_BL0</t>
  </si>
  <si>
    <t>A man is scooping out the inside of a watermelon.</t>
  </si>
  <si>
    <t>He eats a piece of the watermelon.</t>
  </si>
  <si>
    <t>He draws on the side of the watermelon.</t>
  </si>
  <si>
    <t>He starts cutting out portions of the watermelon to carve it.</t>
  </si>
  <si>
    <t>He pulls out a piece of the watermelon skin.</t>
  </si>
  <si>
    <t>He continues drawing and cutting the watermelon.</t>
  </si>
  <si>
    <t>He shows the carved watermelon.</t>
  </si>
  <si>
    <t>The lights turn off and he shows the carved watermelon.</t>
  </si>
  <si>
    <t>v_Isx1Q5wyJZg</t>
  </si>
  <si>
    <t>Two girls spin double jump ropes while a girl in a black skirt jumps and a crowd of spectators watches on.</t>
  </si>
  <si>
    <t>A girl in jeans enters the ropes and performs different jumping moves.</t>
  </si>
  <si>
    <t>A girl in a blue shirt enters the jump ropes and performs different moves while jumping.</t>
  </si>
  <si>
    <t>A girl enters the jump ropes going extra fast speed and performs fast jumps.</t>
  </si>
  <si>
    <t>v_s1E6EKs1MZw</t>
  </si>
  <si>
    <t>A man in a gorilla suit is playing a saxophone in the middle of a store.</t>
  </si>
  <si>
    <t>The employees look on and laugh at the person playing and use their phones to take pictures.</t>
  </si>
  <si>
    <t>The gorillas reaches out to grab one of the employees hands and the man is very embarrassed by it.</t>
  </si>
  <si>
    <t>They talk to each other a bit and the other employees begin to clap excitedly.</t>
  </si>
  <si>
    <t>The Gorilla suit man plays the sax some more as everyone is still laughing.</t>
  </si>
  <si>
    <t>He plays and plays to the camera as the video comes to an end.</t>
  </si>
  <si>
    <t>v_wC-k0Zfx-cM</t>
  </si>
  <si>
    <t>People are sumo wrestling on a mat.</t>
  </si>
  <si>
    <t>People are playing the drums.</t>
  </si>
  <si>
    <t>Sumo wrestlers are talking to the camera.</t>
  </si>
  <si>
    <t>v_nOm1JLcBD30</t>
  </si>
  <si>
    <t>A small group of people are seen riding around bumper cars and crashing into one another.</t>
  </si>
  <si>
    <t>The group continues driving around and passing one another.</t>
  </si>
  <si>
    <t>The people continue driving the cars and passing one another.</t>
  </si>
  <si>
    <t>v_BuaWU70q7cE</t>
  </si>
  <si>
    <t>A teenaged boy and his mother are sitting in bed dressed very relaxed and talking about how to wrap gifts.</t>
  </si>
  <si>
    <t>He gets side tracked on his phone and then gets back to business, they start cutting the wrapping paper.</t>
  </si>
  <si>
    <t>They put the presents in the middle of the paper and try to start wrapping.</t>
  </si>
  <si>
    <t>They seems to have different techniques as the son finishes much faster and mom's comes out looking a little bit better.</t>
  </si>
  <si>
    <t>v_mS7SAG1nW1o</t>
  </si>
  <si>
    <t>A woman is in a stable with a white horse.</t>
  </si>
  <si>
    <t>She shows a collection of brushes and grooming supplies.</t>
  </si>
  <si>
    <t>She pets the horse as she talks, and tries to keep him calm.</t>
  </si>
  <si>
    <t>She uses the brushes to groom him thoroughly, then cleans his hooves.</t>
  </si>
  <si>
    <t>v_cy3a8BJJ-YQ</t>
  </si>
  <si>
    <t>A small group of people are seen sitting around a poker table with a woman dealing cards in front.</t>
  </si>
  <si>
    <t>The woman deals cards to the people while they put their cards and chips in the middle.</t>
  </si>
  <si>
    <t>The dealer continues playing with the people and looking off into the distance.</t>
  </si>
  <si>
    <t>v_JZK-HJ-Tdw4</t>
  </si>
  <si>
    <t>We see an animated opening scene.</t>
  </si>
  <si>
    <t>We see see man run with a pole and perform a high jump.</t>
  </si>
  <si>
    <t>The man knocks the pole down and lays down in disappointment.</t>
  </si>
  <si>
    <t>We see the man holding his pole and make his 2nd attempt knocking over the pole.</t>
  </si>
  <si>
    <t>The man tries a third time and the poles stays up.</t>
  </si>
  <si>
    <t>The man raises his arms in the air.</t>
  </si>
  <si>
    <t>We then see attempt 1,2 and 3 again.</t>
  </si>
  <si>
    <t>The man raises his arms in the air for the crowd.</t>
  </si>
  <si>
    <t>The man throws his arms in the air and falls to the ground.</t>
  </si>
  <si>
    <t>v_cwVZNpqc-mQ</t>
  </si>
  <si>
    <t>A man in a black shirt is sitting down playing a drum set.</t>
  </si>
  <si>
    <t>He stops playing and starts talking into a microphone.</t>
  </si>
  <si>
    <t>v_hHiPEAiYKv0</t>
  </si>
  <si>
    <t>A man is shoveling snow off his driveway in a heavy snow storm.</t>
  </si>
  <si>
    <t>He is wearing winter clothing and his fully covered.</t>
  </si>
  <si>
    <t>Another man is also shoveling snow off of he walkway of the house is not wearing any winter gear.</t>
  </si>
  <si>
    <t>They both continue to shovel and clean the snow in the heavy snow storm.</t>
  </si>
  <si>
    <t>v_vbyMT7bdUX4</t>
  </si>
  <si>
    <t>A woman is sitting in front of a table covered in wrapping supplies.</t>
  </si>
  <si>
    <t>She shows off a mug filled with gifts.</t>
  </si>
  <si>
    <t>She places it in cut cellophane, the wraps it around the present.</t>
  </si>
  <si>
    <t>She then ties it off with colorful ribbons.</t>
  </si>
  <si>
    <t>v_FOlMVTmAeaQ</t>
  </si>
  <si>
    <t>A male athlete is shown and he spins around and throws the discus.</t>
  </si>
  <si>
    <t>Once complete,two people rush out to measure the distance.</t>
  </si>
  <si>
    <t>The sequence is then continued and other men are shown throwing the discus.</t>
  </si>
  <si>
    <t>v_k3MFZmhXynI</t>
  </si>
  <si>
    <t>A person is seen pushing a lawn mower all around a yard while moving around in fast motion.</t>
  </si>
  <si>
    <t>The person continues moving around to cut the grass and the camera captures his movements.</t>
  </si>
  <si>
    <t>v_3vVhq-v5-wM</t>
  </si>
  <si>
    <t>A person is seen grabbing a bowling ball and winding his arm while other people bowl around him.</t>
  </si>
  <si>
    <t>The man throws the ball and hits several pins while running back and cheering to the camera.</t>
  </si>
  <si>
    <t>v_14AnvDNV5BI</t>
  </si>
  <si>
    <t>A young man sits on a cardio machine.</t>
  </si>
  <si>
    <t>Then, the man grans the handle of the machine.</t>
  </si>
  <si>
    <t>After, the man pulls the handle of la machine to do abs.</t>
  </si>
  <si>
    <t>v_soE6TfvOiIo</t>
  </si>
  <si>
    <t>A news man is talking in front of an image of a bulldog puppy.</t>
  </si>
  <si>
    <t>Doors open to a store, with various images of people working on different projects.</t>
  </si>
  <si>
    <t>A man shows how he received prostetic legs for the dog.</t>
  </si>
  <si>
    <t>The dog is shown with his new legs as they heal.</t>
  </si>
  <si>
    <t>In the final scene, the dog is walking along with a leashed pet pig.</t>
  </si>
  <si>
    <t>v_68kccxCgbys</t>
  </si>
  <si>
    <t>A title screen appears and then several paragraphs begin to roll over the screen.</t>
  </si>
  <si>
    <t>Next,a man with average sized curly black hair dressed in a suit begins to talk.</t>
  </si>
  <si>
    <t>When he is finished,a man is shown playing the saxophone at a night time television show and then the man comes back to finish talking.</t>
  </si>
  <si>
    <t>v_WYyqptHdgkk</t>
  </si>
  <si>
    <t>The man is on his feet bouncing towards the camera while standing on a tight flat ribbon that is connected to two very tall rock walls.</t>
  </si>
  <si>
    <t>The man then turns around and starts bouncing on his backside then back and forth onto his feet and backside while holding and letting go of the ribbon.</t>
  </si>
  <si>
    <t>The man continues to do tricks on the tight ribbon until he gets off of the ribbon and walks away smiling.</t>
  </si>
  <si>
    <t>v_YaIuavIbk6A</t>
  </si>
  <si>
    <t>An introduction comes onto the screen for a video about a sporting competition.</t>
  </si>
  <si>
    <t>A woman is interviewing another woman about the competition and all the events.</t>
  </si>
  <si>
    <t>Several clips are shown of people enjoying different sports and activities.</t>
  </si>
  <si>
    <t>After the interview ends, the closing credits are shown with graphics.</t>
  </si>
  <si>
    <t>v_O8tsM_ilGx4</t>
  </si>
  <si>
    <t>A cowboy riding a horse exits a gate.</t>
  </si>
  <si>
    <t>He ropes a little calf with a lasso.</t>
  </si>
  <si>
    <t>He jumps down and ties up the calf.</t>
  </si>
  <si>
    <t>v_poI4vU4k1sY</t>
  </si>
  <si>
    <t>A cue ball rolls on a table slowly away from the pocket.</t>
  </si>
  <si>
    <t>A man stands holding a touch screen discussing.</t>
  </si>
  <si>
    <t>Men compete and play a games of billiards.</t>
  </si>
  <si>
    <t>v__79Qlv1SQ9k</t>
  </si>
  <si>
    <t>A leg wearing a blue pants with red and white lines is shown, it moves on the snow, the legs were crossed as the lifebuoy moves on the snow.</t>
  </si>
  <si>
    <t>A person from afar is on a lifebuoy sliding on the snow.</t>
  </si>
  <si>
    <t>v_8ErMpNsK3_c</t>
  </si>
  <si>
    <t>A little girl swings across the monkey bars on a playground.</t>
  </si>
  <si>
    <t>Her mother talks as she watches her slide to the ground and start again.</t>
  </si>
  <si>
    <t>v_UZIs0_W2Akw</t>
  </si>
  <si>
    <t>A close up of a horse is shown followed by a woman walking into frame and brushing the horse.</t>
  </si>
  <si>
    <t>She continues brushing the horse in various spots and ends with her feeding the horse.</t>
  </si>
  <si>
    <t>v_AJ_QqCET1iY</t>
  </si>
  <si>
    <t>He does a gymnastics routine on the balance beam.</t>
  </si>
  <si>
    <t>He dismounts and lands on a blue mat.</t>
  </si>
  <si>
    <t>He waves at the crowd and walks off.</t>
  </si>
  <si>
    <t>v_T3DSDybuBsU</t>
  </si>
  <si>
    <t>The camera pans around a large group of people holding bows and arrows followed by several shots of them shooting the arrows.</t>
  </si>
  <si>
    <t>Several man run across the field as they shoot arrows at them that lead into sword fights and people being injured.</t>
  </si>
  <si>
    <t>People throw sponges at a man, fist fight, and shoot more arrows at others.</t>
  </si>
  <si>
    <t>v_TxxUmibEy9Q</t>
  </si>
  <si>
    <t>A woman is standing and walking inside a store.</t>
  </si>
  <si>
    <t>She walks up to a man and shakes his hand.</t>
  </si>
  <si>
    <t>She walks away, perusing the items on the shelves before leaning onto the counter, flexing her biceps.</t>
  </si>
  <si>
    <t>The woman shows the man her biceps before engaging in arm wrestling with him.</t>
  </si>
  <si>
    <t>She sits beside the counter, continuing to talk with him for a while.</t>
  </si>
  <si>
    <t>v_qZTAv1s_eBQ</t>
  </si>
  <si>
    <t>man is running wearing stilts in a green grassy field.</t>
  </si>
  <si>
    <t>cars are parked on side of a street in the background.</t>
  </si>
  <si>
    <t>man get ous the grass and runs into a street.</t>
  </si>
  <si>
    <t>v_Nr49JFixNE4</t>
  </si>
  <si>
    <t>People are standing in a gymnasium talking.</t>
  </si>
  <si>
    <t>They start running and throwing balls at each other.</t>
  </si>
  <si>
    <t>v_XJ-knBky6S0</t>
  </si>
  <si>
    <t>A man is seen standing at the end of a dock and looking back to people partying.</t>
  </si>
  <si>
    <t>The man walks up and sees two people performing martial arts in the middle of a circle.</t>
  </si>
  <si>
    <t>The people continuing moving around while others watch on the side and the soldier joining in as well.</t>
  </si>
  <si>
    <t>v_EMOfWVKMqDM</t>
  </si>
  <si>
    <t>There's a young woman who is curling in a curling rink.</t>
  </si>
  <si>
    <t>There are several other players who are also curling.</t>
  </si>
  <si>
    <t>Various pictures of that same woman are being shown posing for some sort of photo shoot.</t>
  </si>
  <si>
    <t>The woman seems a bit distressed about the game.</t>
  </si>
  <si>
    <t>She is posing for a photo shoot with a curling rock.</t>
  </si>
  <si>
    <t>v_abWGVKYPffM</t>
  </si>
  <si>
    <t>A man is using a weed whacker to trim bushes.</t>
  </si>
  <si>
    <t>He turns away from the bushes and cuts weeds on the ground.</t>
  </si>
  <si>
    <t>v_q59X9izcjQc</t>
  </si>
  <si>
    <t>Various clips are shown of a woman standing and pointing on a beach that lead into her dragging along a board and and adjusting it on the water.</t>
  </si>
  <si>
    <t>The woman then grabs onto the board and moves around the water while demonstrating proper moves and the camera moving all around others.</t>
  </si>
  <si>
    <t>v_6Kbv1OpIpaA</t>
  </si>
  <si>
    <t>A boy is sitting in the room with three guitars and begins to play all three of them with a violin bow.</t>
  </si>
  <si>
    <t>The man then begins to play the one guitar that is on his lap with his fingers and finishes the song.</t>
  </si>
  <si>
    <t>v_cWdWucjUhks</t>
  </si>
  <si>
    <t>A person does a routine on parallel bars.</t>
  </si>
  <si>
    <t>He does his routine and then dismounts.</t>
  </si>
  <si>
    <t>v_cUEGoRjraxM</t>
  </si>
  <si>
    <t>Dog owner stand with and hold their dogs.</t>
  </si>
  <si>
    <t>People play with their dogs in a park with obstacles.</t>
  </si>
  <si>
    <t>A group holds signs with a dog on a city sidewalk.</t>
  </si>
  <si>
    <t>v_Q3cc0HlO7so</t>
  </si>
  <si>
    <t>A man and woman are seen standing on a stage with a spotlight shown on them.</t>
  </si>
  <si>
    <t>The duo begin playing instruments together while looking at one another as well as the camera.</t>
  </si>
  <si>
    <t>The two continue playing with one another and pause to look at the camera.</t>
  </si>
  <si>
    <t>v_Vi2gzCrS-fE</t>
  </si>
  <si>
    <t>A person is seen cutting up a tomato and demonstrating how the knife works on a piece of paper.</t>
  </si>
  <si>
    <t>The person then sharpens the blade on a coffee mug and cuts through the paper.</t>
  </si>
  <si>
    <t>v_IVHmmp3Nsd4</t>
  </si>
  <si>
    <t>The words "Abstract Birds/Oil Painting Katy Jade Dobson" appear on screen.</t>
  </si>
  <si>
    <t>Dobson sketches out a design on white canvas and starts painting it.</t>
  </si>
  <si>
    <t>She stands by her finished work as paint drips in lines down the canvas.</t>
  </si>
  <si>
    <t>v_SfiAcQAPpQ8</t>
  </si>
  <si>
    <t>A man is standing behind a bar.</t>
  </si>
  <si>
    <t>He puts ice into the glass and pours drinks into it.</t>
  </si>
  <si>
    <t>He stirs it with a straw.</t>
  </si>
  <si>
    <t>v_23ApAC123aQ</t>
  </si>
  <si>
    <t>The scene opens up with a carwash and and advertisement.</t>
  </si>
  <si>
    <t>Two men are talking while one is sitting in his car.</t>
  </si>
  <si>
    <t>A man is cleaning a car and talking to the camera.</t>
  </si>
  <si>
    <t>The car is dried and vacuumed, then on to the next car.</t>
  </si>
  <si>
    <t>The customer is handed his keys and he is on his way with a clean car.</t>
  </si>
  <si>
    <t>Two men are messing around while cleaning the car.</t>
  </si>
  <si>
    <t>A sign shows the services they offer.</t>
  </si>
  <si>
    <t>v_Tm0jUAQf6zY</t>
  </si>
  <si>
    <t>A young girl is standing in her living room holding a baton horizontal to her neck while a cat on the ground is moving about.</t>
  </si>
  <si>
    <t>The girl then unbends her arm, lets the baton roll to her hands then begins to do a series of twirling the baton.</t>
  </si>
  <si>
    <t>The cat below walks in and out of the screen while she's twirling the baton and even throws it up in the air, catches it then continues to twirl it.</t>
  </si>
  <si>
    <t>v_6YmUCNIMpB4</t>
  </si>
  <si>
    <t>A man bends on front a hedge holding an electric cutter.</t>
  </si>
  <si>
    <t>The man cuts a long hedge of a garden using an electric cutter.</t>
  </si>
  <si>
    <t>Then, the man removes leaves on top the hedge with his hand.</t>
  </si>
  <si>
    <t>v_GhvNhbL2ivg</t>
  </si>
  <si>
    <t>man is sitting in a room playing congas.</t>
  </si>
  <si>
    <t>keyboard is behind the man playing congsa in a room.</t>
  </si>
  <si>
    <t>man is playing salsa in congas in a music room.</t>
  </si>
  <si>
    <t>v_Vcxv3nyZpSs</t>
  </si>
  <si>
    <t>A girl is riding on a yellow riding lawn mower on a very large yard filled with green grass.</t>
  </si>
  <si>
    <t>When the girl reaches the end of the yard she makes a turn and drives up in the same direction she just came from.</t>
  </si>
  <si>
    <t>When she reaches that end, she makes a turn but it's too tight and she reverses a little.</t>
  </si>
  <si>
    <t>The girl then makes her turn in the opposite direction once again and when she reaches half way down the yard she turns once again and heads up the direction she just came from.</t>
  </si>
  <si>
    <t>v_eMkBTRYwBAU</t>
  </si>
  <si>
    <t>A man in ski jacket on a snowboard holds onto a rope attached to a truck.</t>
  </si>
  <si>
    <t>The truck starts driving and the man is pulled behind on the tow rope.</t>
  </si>
  <si>
    <t>The man maneuvers to pull up parallel with the truck and alternates going back and forth behind the truck.</t>
  </si>
  <si>
    <t>The man slows down before he lets go of the tow rope and comes to a stop.</t>
  </si>
  <si>
    <t>v_xFDQTAemadA</t>
  </si>
  <si>
    <t>A guy is on a horse with a white long rope that has a big circle tied at the end and seems to be waiting for some blue gates to open.</t>
  </si>
  <si>
    <t>The blue gates open and a little bull runs out and the guy on the horse chase it down.</t>
  </si>
  <si>
    <t>the guy the tosses the rope and catch the bull around the neck while the or end of the rope is tied to the horse.</t>
  </si>
  <si>
    <t>The guy then jumps off the horse,runs to the bull and flip it on his back then tie the bulls legs together.</t>
  </si>
  <si>
    <t>the guy then gets back on his horse while two other guys free the bull from the rope tie and take it away.</t>
  </si>
  <si>
    <t>v_r1dvt537JQU</t>
  </si>
  <si>
    <t>The man is kneeled down to the floor, but he stands up to raise his arm and get on the bars to perform his act.</t>
  </si>
  <si>
    <t>When he's done he flips off and bows, next a girl is shown sitting in the chair and then he is shown performing again but in slow motion.</t>
  </si>
  <si>
    <t>Next, a girl is shown swinging on the uneven bars and when she's done she goes to sit down and talk about what she does.</t>
  </si>
  <si>
    <t>v_pmbHoeudjKc</t>
  </si>
  <si>
    <t>A lady is walking across a lawn.</t>
  </si>
  <si>
    <t>A guy runs and stops on the lawn.</t>
  </si>
  <si>
    <t>A man is standing on a track.</t>
  </si>
  <si>
    <t>The man runs on the track, jumps, and lands in a sand box.</t>
  </si>
  <si>
    <t>The man gets up, falls to the ground, and lays there.</t>
  </si>
  <si>
    <t>v_OJJMEEsOdPQ</t>
  </si>
  <si>
    <t>girl us hanging from a pole in a roofed gym and make a jump to the land pool.</t>
  </si>
  <si>
    <t>woman wwearing a red shirt is standing in front of the pole.</t>
  </si>
  <si>
    <t>little girl is walking in front of he girl doing gymnastics.</t>
  </si>
  <si>
    <t>v_9029wVyGkvg</t>
  </si>
  <si>
    <t>A man stands in front of the camera before being shown playing a game of basketball while punching a man with a pair of boxing gloves.</t>
  </si>
  <si>
    <t>The two men shake hands.</t>
  </si>
  <si>
    <t>v_NWbWuVtgt9Y</t>
  </si>
  <si>
    <t>A man is seen sitting on a bench holding a guitar and speaking to the camera.</t>
  </si>
  <si>
    <t>He points to microphones in front of him and begins strumming the guitar.</t>
  </si>
  <si>
    <t>The man continues to play while moving his hands all around and stopping to look at the camera.</t>
  </si>
  <si>
    <t>v_Oz4q98BhqKo</t>
  </si>
  <si>
    <t>We see people standing in an aerobics class.</t>
  </si>
  <si>
    <t>The teacher starts and the class follows.</t>
  </si>
  <si>
    <t>While standing on the step the people swing their hands.</t>
  </si>
  <si>
    <t>The class swings their arms again.</t>
  </si>
  <si>
    <t>The man in red walks off to the left.</t>
  </si>
  <si>
    <t>The class finishes and stop dancing.</t>
  </si>
  <si>
    <t>The teacher walks to turn off the camera.</t>
  </si>
  <si>
    <t>v_OW_iCiS_U4Y</t>
  </si>
  <si>
    <t>A female swimmer is standing on a diving board in a black swim suit and she jumps off doing multiple flips.</t>
  </si>
  <si>
    <t>She is then shown on ground level talking and wiping her face with a towel.</t>
  </si>
  <si>
    <t>All of a sudden,she returns back to the diving board and does a crazy flip where her knees are tucked in and she's doing several flips and then men applaud her and there's an instant replay.</t>
  </si>
  <si>
    <t>The routine continues and the girl attempts to do more flips and the people react the same way and she puts her hand up to her mouth in awe.</t>
  </si>
  <si>
    <t>v_mlUg8iMtew0</t>
  </si>
  <si>
    <t>Various text intros lead into pictures of a girl and paint close up.</t>
  </si>
  <si>
    <t>A person is then seen painting on a piece of paper using different colors.</t>
  </si>
  <si>
    <t>The person continues painting with text shown and blending in the paint.</t>
  </si>
  <si>
    <t>v_xUKQWr2aLTU</t>
  </si>
  <si>
    <t>The video is about Bristol BMX Club holding a biking event.</t>
  </si>
  <si>
    <t>There's a man drawing a white starting line on the ground for the race.</t>
  </si>
  <si>
    <t>The bikers get ready to begin their race.</t>
  </si>
  <si>
    <t>They start the race and go through ramps and bumps.</t>
  </si>
  <si>
    <t>The bikers are from various age groups ranging from teenagers to adults.</t>
  </si>
  <si>
    <t>The races continue as the bikers make their way through the obstacle course of going over ramps and bumps.</t>
  </si>
  <si>
    <t>v_NogC2IkaaAI</t>
  </si>
  <si>
    <t>A couple of sumo wrestlers are on a stage.</t>
  </si>
  <si>
    <t>They engage in a wrestling match together.</t>
  </si>
  <si>
    <t>A please stand by sign appears as technical problems are encountered.</t>
  </si>
  <si>
    <t>v_jHbf_E8aY1k</t>
  </si>
  <si>
    <t>A white screen is shown and various logos are shown on top of the screen as it goes to a black screen.</t>
  </si>
  <si>
    <t>A sun is rising and men are walking up a hill,pulling a rope,and reading a book.</t>
  </si>
  <si>
    <t>They continue to do various hobbies in the mountains and a man comes back and starts talking as the credits begin rolling.</t>
  </si>
  <si>
    <t>v_qnozppP4rm0</t>
  </si>
  <si>
    <t>A young girl is outside at the park talking to what appears to be her older brother.</t>
  </si>
  <si>
    <t>The two begin a face off and they drop down to the sidewalk drawing a long game of hopscotch.</t>
  </si>
  <si>
    <t>Once complete,they stand up,throw their chalk and the girl moves to the right of the game.</t>
  </si>
  <si>
    <t>The boy starts the game off and the girl begins her turn moving forward and backwards down the game.</t>
  </si>
  <si>
    <t>To show her up,the boy begins to dance across the pavement and the girl returns it by flipping down the game.</t>
  </si>
  <si>
    <t>Now its the boy's turn and he tries to flip but ends up falling and the girl starts to laugh at him.</t>
  </si>
  <si>
    <t>The young girl wins and the boy gives her his Xbox as a result.</t>
  </si>
  <si>
    <t>v_woRQ2JxcVHA</t>
  </si>
  <si>
    <t>A man dressed in black plays a saxophone on a pool patio.</t>
  </si>
  <si>
    <t>The saxophone player glances over to his keyboard player.</t>
  </si>
  <si>
    <t>The camera pans over to the keyboard player playing a Korg electric piano.</t>
  </si>
  <si>
    <t>v_ofrX4WyAM-0</t>
  </si>
  <si>
    <t>The lady talks to the camera.</t>
  </si>
  <si>
    <t>We then see a pot.</t>
  </si>
  <si>
    <t>We see spaghetti in a box.</t>
  </si>
  <si>
    <t>We see salt in a cup.</t>
  </si>
  <si>
    <t>The water is boiling in the bot.</t>
  </si>
  <si>
    <t>She adds salt to the pot.</t>
  </si>
  <si>
    <t>She adds pasta to the water.</t>
  </si>
  <si>
    <t>We see the pasta box up close.</t>
  </si>
  <si>
    <t>We see the lady set the timer.</t>
  </si>
  <si>
    <t>She takes the pasta out of the pot.</t>
  </si>
  <si>
    <t>She talks and waves bye to the camera.</t>
  </si>
  <si>
    <t>v_biAQgXDFskw</t>
  </si>
  <si>
    <t>A man and woman are seen standing in the middle of a floor with a woman speaking to the camera and leading into her dancing with the man.</t>
  </si>
  <si>
    <t>The two spin and dance around one another and ends by walking away from each other.</t>
  </si>
  <si>
    <t>v_PcGzPNEnVD0</t>
  </si>
  <si>
    <t>A man is seen speaking to the camera while standing next to a car with an open trunk.</t>
  </si>
  <si>
    <t>The man then unscrews a tire and lifts the car with a jack.</t>
  </si>
  <si>
    <t>The man takes the tire off and puts a new one on, ending by screwing it into place.</t>
  </si>
  <si>
    <t>He takes off the jack and finishes by speaking to the camera.</t>
  </si>
  <si>
    <t>v_p6jip892RdM</t>
  </si>
  <si>
    <t>a bicycle is shown in a dark room.</t>
  </si>
  <si>
    <t>man is wearing motobike clothes and is riding a motorbike in a field.</t>
  </si>
  <si>
    <t>man is doing high jumps on the motorbike practicig motocross in a dusty field.</t>
  </si>
  <si>
    <t>v_opCMfcAl7yw</t>
  </si>
  <si>
    <t>A large group of flags is shown.</t>
  </si>
  <si>
    <t>Several swimmers are swimming in the pool.</t>
  </si>
  <si>
    <t>They swim competitively, shown from underneath.</t>
  </si>
  <si>
    <t>v_b2eonKWCocE</t>
  </si>
  <si>
    <t>A man is shown speedily raking leaves in his front yard.</t>
  </si>
  <si>
    <t>Several cars go by as he continues raking.</t>
  </si>
  <si>
    <t>He rakes around the bushes and tree in his yard.</t>
  </si>
  <si>
    <t>A woman appears and helps him rake and bag the leaves.</t>
  </si>
  <si>
    <t>They take the bags away when they are done.</t>
  </si>
  <si>
    <t>They stand in front of the camera and pose with the rake.</t>
  </si>
  <si>
    <t>v_RJus6sogyiM</t>
  </si>
  <si>
    <t>A person is walking in a yard while recording it with a camera.</t>
  </si>
  <si>
    <t>The person gets a tray of white paint and paints a fence.</t>
  </si>
  <si>
    <t>v_nd50oUKdygI</t>
  </si>
  <si>
    <t>A man talks to the camera from a kitchen.</t>
  </si>
  <si>
    <t>The man demonstrates sharpening a knife with several sharpening tools.</t>
  </si>
  <si>
    <t>The man talks to the camera again.</t>
  </si>
  <si>
    <t>The man sharpens and then holds up a knife.</t>
  </si>
  <si>
    <t>Several types of knife storage options are displayed.</t>
  </si>
  <si>
    <t>The man talks to the camera some more.</t>
  </si>
  <si>
    <t>v_OKTxSQMS560</t>
  </si>
  <si>
    <t>We see an opening screen with a dog.</t>
  </si>
  <si>
    <t>We see a lady in a nurse shirt talking and two dogs in a kitchen.</t>
  </si>
  <si>
    <t>The lady has a small wet dog she is vacuuming on table and is brushing the dog.</t>
  </si>
  <si>
    <t>We see the dogs running around on the kitchen floor.</t>
  </si>
  <si>
    <t>We see the lady shave a dogs fur and brush the dog.</t>
  </si>
  <si>
    <t>We then see the dogs on the floor again.</t>
  </si>
  <si>
    <t>We see the lady and her contact info over her face.</t>
  </si>
  <si>
    <t>v_eQnwUWfah9w</t>
  </si>
  <si>
    <t>An ad for football appears on the screen.</t>
  </si>
  <si>
    <t>Several men are playing football indoors.</t>
  </si>
  <si>
    <t>They kick the ball back and forth while some people watch on the sidelines.</t>
  </si>
  <si>
    <t>v_xCplsH6deic</t>
  </si>
  <si>
    <t>A baseball player hits a run on a sporting field and runs the bases making a home run.</t>
  </si>
  <si>
    <t>Players kick a ball and run the bases on a baseball field.</t>
  </si>
  <si>
    <t>The catcher has fun while dancing.</t>
  </si>
  <si>
    <t>A kick is caught midair by the baseman and the player is out.</t>
  </si>
  <si>
    <t>v_8lhODyltF2Q</t>
  </si>
  <si>
    <t>A person is riding a lawnmower with an umbrella through the rain.</t>
  </si>
  <si>
    <t>A light colored sedan passes on the road.</t>
  </si>
  <si>
    <t>The person on the mower drives up to the roadway.</t>
  </si>
  <si>
    <t>v_P7kSJ8SRNHQ</t>
  </si>
  <si>
    <t>A small child is seen sitting in a swing.</t>
  </si>
  <si>
    <t>The child moves back and fourth on the swing while a laughing.</t>
  </si>
  <si>
    <t>A person's hand is seen pushing the child as she moves back and fourth.</t>
  </si>
  <si>
    <t>v_CCMtNNSzHw8</t>
  </si>
  <si>
    <t>A lady is wiping her face.</t>
  </si>
  <si>
    <t>A little girl is applying makeup to her face.</t>
  </si>
  <si>
    <t>The mother does the girls makeup.</t>
  </si>
  <si>
    <t>The girls admires her reflection.</t>
  </si>
  <si>
    <t>The girl grabs her toothbrush.</t>
  </si>
  <si>
    <t>v_BtKLAioC21g</t>
  </si>
  <si>
    <t>A man wearing ski goggles adjusts the camera.</t>
  </si>
  <si>
    <t>Several people are seen skiing down a steep slope.</t>
  </si>
  <si>
    <t>They continue skiing faster and faster as they go downhill.</t>
  </si>
  <si>
    <t>v_VToS7Ma-V4g</t>
  </si>
  <si>
    <t>The woman is positioned to take off on the race track and the man moves out of the way for her to go.</t>
  </si>
  <si>
    <t>Then she speeds off and does the triple jump into the sand making it all the way to the end of the 16 inch ruler.</t>
  </si>
  <si>
    <t>Next she is shown standing off the track smiling with her arms raised in the air filled with joy.</t>
  </si>
  <si>
    <t>v_kCOMyIb7f0Q</t>
  </si>
  <si>
    <t>People are skiing in doors in between each other.</t>
  </si>
  <si>
    <t>A button is pushed on a machine.</t>
  </si>
  <si>
    <t>People walk into a cabin.</t>
  </si>
  <si>
    <t>A person is trying on skis.</t>
  </si>
  <si>
    <t>Other people are practicing skiing on a motor belt.</t>
  </si>
  <si>
    <t>v_KBxE7NIOkf8</t>
  </si>
  <si>
    <t>Men stand on a steel platform high in the area and an instructor talks.</t>
  </si>
  <si>
    <t>A man is seated on the edge of the platform and holds onto large ropes.</t>
  </si>
  <si>
    <t>A patron runs and jumps from the platform wearing a budgie cord and he bounces on it as he reaches the bottom.</t>
  </si>
  <si>
    <t>v_mdv8UW_871g</t>
  </si>
  <si>
    <t>We see a boat pulling out of the dock.</t>
  </si>
  <si>
    <t>We see the boat driving as a person jet skis behind it.</t>
  </si>
  <si>
    <t>We see the skier without the boat.</t>
  </si>
  <si>
    <t>We see the boat from above again.</t>
  </si>
  <si>
    <t>The skier falls into the water.</t>
  </si>
  <si>
    <t>We see the skier ski and perform 4 flips.</t>
  </si>
  <si>
    <t>We see the skier ski.</t>
  </si>
  <si>
    <t>We see the skier swim towards the boat.</t>
  </si>
  <si>
    <t>A person in the boat raises their hands in the air.</t>
  </si>
  <si>
    <t>v_MPolPBO-K-Y</t>
  </si>
  <si>
    <t>The man in black shirt is playing guitar in the studio.</t>
  </si>
  <si>
    <t>The man is strumming the guitar.</t>
  </si>
  <si>
    <t>The man is pressing the thread on the guitar keys as he strum the guitar.</t>
  </si>
  <si>
    <t>v_AlLg4ZaxDoQ</t>
  </si>
  <si>
    <t>A person cooks on a wood cooker, then a person rafts in a river.</t>
  </si>
  <si>
    <t>Young men unpack a car and then carry raft boats in the jungle and pass a rope bridge.</t>
  </si>
  <si>
    <t>Young men raft in a narrow choppy river on individual boats.</t>
  </si>
  <si>
    <t>The young men falls from small cascades in the rocky river.</t>
  </si>
  <si>
    <t>v_84uYA9rFoSw</t>
  </si>
  <si>
    <t>A woman bends over in a ballet pose.</t>
  </si>
  <si>
    <t>She then faces the camera talking.</t>
  </si>
  <si>
    <t>She displays more ballet moves.</t>
  </si>
  <si>
    <t>She finishes with the low fifth position.</t>
  </si>
  <si>
    <t>v_N3UOyPU2t0E</t>
  </si>
  <si>
    <t>Several pairs of shoes are shown as well as a large group of people socializing and pouring alcohol into glasses.</t>
  </si>
  <si>
    <t>The glasses are laid out on a table and several shots are shown of people playing beer pong.</t>
  </si>
  <si>
    <t>More shots are shown of people speaking to one another as well as playing beer pong in several locations and partying with one another.</t>
  </si>
  <si>
    <t>In the end medals are handed out and people wear them while celebrating in different spots.</t>
  </si>
  <si>
    <t>v_WiGOn6O-S1g</t>
  </si>
  <si>
    <t>There are several swimmers standing on the tallest diving board of a swimming pool.</t>
  </si>
  <si>
    <t>The divers are getting ready to dive into the pool.</t>
  </si>
  <si>
    <t>One of the divers dives and jumps into the pool from a great height.</t>
  </si>
  <si>
    <t>v_bDTQVC0ASbE</t>
  </si>
  <si>
    <t>A man in a red apron is talking.</t>
  </si>
  <si>
    <t>He is rubbing something on a board and ironing it.</t>
  </si>
  <si>
    <t>He's scraping the top of the board he ironed.</t>
  </si>
  <si>
    <t>v_m7wfcL6YSMY</t>
  </si>
  <si>
    <t>A woman is seen riding on a camel behind another man on a camel.</t>
  </si>
  <si>
    <t>She looks back and smiles to the camera while it pans around the area.</t>
  </si>
  <si>
    <t>Another person is seen riding from behind while people hold onto the camels.</t>
  </si>
  <si>
    <t>v_-xQvJmC2jhk</t>
  </si>
  <si>
    <t>Two women in a child are shown in a canoe while a man pulls the canoe while standing in the water, with other individuals visible in the background.</t>
  </si>
  <si>
    <t>The child and a different man sit in a canoe while the man paddles.</t>
  </si>
  <si>
    <t>The camera pans to show the first man in the foreground.</t>
  </si>
  <si>
    <t>The child and the first man are in a canoe while the first man paddles.</t>
  </si>
  <si>
    <t>A series of still images of the various people shown during the video are shown.</t>
  </si>
  <si>
    <t>v_NEKcJ0whvkg</t>
  </si>
  <si>
    <t>A person rolls in the grass after a fall and gets up to join a game of lacrosse.</t>
  </si>
  <si>
    <t>We see gear in the grass and a man speaking to the camera.</t>
  </si>
  <si>
    <t>Men play lacrosse and ladies cheer on the side.</t>
  </si>
  <si>
    <t>We see a man interviewed and a team huddle and see men play.</t>
  </si>
  <si>
    <t>A man in interviewed and we see the men play lacrosse.</t>
  </si>
  <si>
    <t>A man in red is interviewed and the teams shake hands, hold up their trophy and pose for photos.</t>
  </si>
  <si>
    <t>v_NiaE7amNW7s</t>
  </si>
  <si>
    <t>A young female gymnast wearing red prepares for her balance beam routine in the Olympics.</t>
  </si>
  <si>
    <t>The female gymnast runs to the springboard and jumps from it to the balance beam.</t>
  </si>
  <si>
    <t>The female gymnast then does her tumbling routine on the balance beam while commentators explain what she is doing and how difficult it is.</t>
  </si>
  <si>
    <t>A huge crowd watches and cheers the gymnast on.</t>
  </si>
  <si>
    <t>An Asian man walks to the balance beam and pulls the springboard away from the beam.</t>
  </si>
  <si>
    <t>The gymnast performs a difficult tumbling sequence and the crowd cheers louder than before.</t>
  </si>
  <si>
    <t>People in the crowd that is watching the gymnast enter the gym and find seats while others stand up and exit the gym.</t>
  </si>
  <si>
    <t>Another female gymnast walks past the balance beam in the background.</t>
  </si>
  <si>
    <t>The female gymnast prepares for her dismount.</t>
  </si>
  <si>
    <t>The female gymnast runs and completes a tumbling sequence to exit the balance beam.</t>
  </si>
  <si>
    <t>The female gymnast lands perfectly and throws her arms straight up in the air with a huge smile on her face Other gymnasts in the background watch and clap.</t>
  </si>
  <si>
    <t>A large group of photographers watch and take photographs of the gymnast.</t>
  </si>
  <si>
    <t>The gymnast waves while spinning in a circle and then runs to the side of the gym floor.</t>
  </si>
  <si>
    <t>Three Asian gymnasts in yellow watch and clap without smiling.</t>
  </si>
  <si>
    <t>The gymnast in red hugs and talks to her other teammates and her coach while several photographers take photos of her.</t>
  </si>
  <si>
    <t>The commentators replay several of the gymnasts more difficult tumbling sequences and her dismount in slow motion while explaining what she is doing.</t>
  </si>
  <si>
    <t>The female gymnast hugs another coach and another one of her teammates while a man films them with a large camera.</t>
  </si>
  <si>
    <t>All of the gymnasts on the United States team and their coaches walk through the gym while the crowd cheers very loudly.</t>
  </si>
  <si>
    <t>Several gymnasts from other teams also walk past.</t>
  </si>
  <si>
    <t>The female gymnast talks with her team while waiting for her score to be displayed.</t>
  </si>
  <si>
    <t>v_cSCskKqO7CE</t>
  </si>
  <si>
    <t>A little girl demonstrates how to apply make up using a mini makeup kit as a makeup source, all while talking to the camera.</t>
  </si>
  <si>
    <t>A little girl talks to the camera and then leans into the camera in a close up shot.</t>
  </si>
  <si>
    <t>The little girl pulls out a colorful make up palette and shows the camera the inside of the palette before beginning to apply some of the make up to her eyes.</t>
  </si>
  <si>
    <t>The girl then applies black mascara to her eyelashes and some eyeshadow and lip gloss taking breaks after the applications to talk to the camera.</t>
  </si>
  <si>
    <t>The little girl gives a final thumbs up and blows kisses to the camera before talking more and smiling as the scene fades out.</t>
  </si>
  <si>
    <t>v_RpyRgnHdUXc</t>
  </si>
  <si>
    <t>A man sits on a rowing machine in a gym and talks to the camera while demonstrating how to use a rowing exercise machine.</t>
  </si>
  <si>
    <t>The man begins to exercise on the machine slowly , all while talking to the camera, eventually building up to a more fast paced work out on the same machine.</t>
  </si>
  <si>
    <t>The man begins to demonstrate how to use the digital panel on the exercise machine by pointing at it and talking to the camera.</t>
  </si>
  <si>
    <t>v_8QbHeaXOJOA</t>
  </si>
  <si>
    <t>A kite is shown high in the air.</t>
  </si>
  <si>
    <t>A man is holding the kite before letting it go.</t>
  </si>
  <si>
    <t>It spins high into the air and flips in circles and angles, bouncing off the ground.</t>
  </si>
  <si>
    <t>v_9YYypM0JvUM</t>
  </si>
  <si>
    <t>A man is standing in a gym holding up a large bicycle wheel moving his hands along the tube inside the rubber.</t>
  </si>
  <si>
    <t>The man continuously performs the action as he moves the circle around on his knee.</t>
  </si>
  <si>
    <t>After, the man picks up a yellow object and starts to tighten the spokes on the wheel and sealing the lifting the rubber up.</t>
  </si>
  <si>
    <t>v_IRz9PYgpb8U</t>
  </si>
  <si>
    <t>A man uses a trimmer to trim the leaves on a tree in a backyard, starting in the middle.</t>
  </si>
  <si>
    <t>He moves to his left to continue trimming the tree.</t>
  </si>
  <si>
    <t>v__Y4czVoIxvE</t>
  </si>
  <si>
    <t>Two women are standing inside a house.</t>
  </si>
  <si>
    <t>They show off a canvas tile.</t>
  </si>
  <si>
    <t>They then show how they made the tile and laid it out on the ground, piecing it together like a puzzle.</t>
  </si>
  <si>
    <t>They sit on top talking about it before moving the furniture back in place on top of it.</t>
  </si>
  <si>
    <t>v_ZNVhz7ctTq0</t>
  </si>
  <si>
    <t>A fluffy dog is standing on a sidewalk with a child behind it.</t>
  </si>
  <si>
    <t>The dog begins walking on the sidewalk and closely behind him a child is riding on a scooter as the dog walks.</t>
  </si>
  <si>
    <t>v_V7C34-4tBok</t>
  </si>
  <si>
    <t>A sink is shown full of dirty dishes and leads into various products shown off.</t>
  </si>
  <si>
    <t>A person then scrubs the dishes and begins putting some of them into a bucket.</t>
  </si>
  <si>
    <t>They wash the dishes continuously while stacking them in a rack off to the side.</t>
  </si>
  <si>
    <t>v_ze6Bu0bcNbg</t>
  </si>
  <si>
    <t>A Phillips three headed razor is shown and then un-boxed on a red table.</t>
  </si>
  <si>
    <t>Next,the razor is assembled and place on its charge to charge once it is plugged in.</t>
  </si>
  <si>
    <t>Once fully charged,the man rinses the razors,applies shaving cream to this beard area and start to shave.</t>
  </si>
  <si>
    <t>As he is shaving,the man continues to talk and his face begins to turn a little big razor and the razor is then placed back on the charger.</t>
  </si>
  <si>
    <t>v_uRcVktMzlUc</t>
  </si>
  <si>
    <t>A man is standing on a stage in front of an american flag while reading into a microphone from a piece of paper.</t>
  </si>
  <si>
    <t>He then is shown in front of a crowd as they scream behind him.</t>
  </si>
  <si>
    <t>The men walk out, and begin competing in a dart throwing challenge.</t>
  </si>
  <si>
    <t>The winner is interviewed afterward.</t>
  </si>
  <si>
    <t>v_b_v5uGSheEw</t>
  </si>
  <si>
    <t>The Bali River tubing information is shown on the screen.</t>
  </si>
  <si>
    <t>There's a yellow and red tube shown with the name Bali River printed on it.</t>
  </si>
  <si>
    <t>There are several people wearing protective helmets tubing in the river.</t>
  </si>
  <si>
    <t>There's a man standing under a pipe with fast flowing water.</t>
  </si>
  <si>
    <t>There are some tubers paddling through the water with their hands.</t>
  </si>
  <si>
    <t>There's a man relaxing in his tube giving a thumbs up.</t>
  </si>
  <si>
    <t>The tubers continue tubing through the river.</t>
  </si>
  <si>
    <t>v_KlmlCbJup5A</t>
  </si>
  <si>
    <t>A man is seen wearing a mask and pushing an object along a wall.</t>
  </si>
  <si>
    <t>The man is then seen laying out paper across a table.</t>
  </si>
  <si>
    <t>He shortly after puts wallpaper up on the wall.</t>
  </si>
  <si>
    <t>v_buhaBimF4M0</t>
  </si>
  <si>
    <t>A woman on roller blades moves backwards, falls on the grass and laughs.</t>
  </si>
  <si>
    <t>A friend is talking with the fallen woman as she tries to get up.</t>
  </si>
  <si>
    <t>A friend talks to her while holding the camera and offers her a hand to get up.</t>
  </si>
  <si>
    <t>Two women hold hand and start rollerblading, while the girl in the red shirt learns how.</t>
  </si>
  <si>
    <t>The girl in the red shirt falls and they all laugh.</t>
  </si>
  <si>
    <t>v_7UrJuhFvlQ4</t>
  </si>
  <si>
    <t>A leaf blower is shown blowing a large pile of leaves across a green lawn in front of residential houses.</t>
  </si>
  <si>
    <t>The leaves fly up in the air but stick largely together as the the leaf blower wipes the ground clean of brown leaves and starts to form piles on the lawn.</t>
  </si>
  <si>
    <t>The camera occasionally and finally settles on a yellow riding lawn mower sitting in the yard beyond the piles of leaves.</t>
  </si>
  <si>
    <t>v_vxJlOKF1VB4</t>
  </si>
  <si>
    <t>We see a girl with purple hair talking to the camera.</t>
  </si>
  <si>
    <t>We see the girl looking down at the camera.</t>
  </si>
  <si>
    <t>We see the girl pretend to brush and spray her hair.</t>
  </si>
  <si>
    <t>She holds 2 bottle to the camera.</t>
  </si>
  <si>
    <t>The girl brushes her hair and puts it in a ponytail.</t>
  </si>
  <si>
    <t>The girl adds products to her hair.</t>
  </si>
  <si>
    <t>The girl points at the camera.</t>
  </si>
  <si>
    <t>The girl gives the camera a thumbs up.</t>
  </si>
  <si>
    <t>v_rAL6jEy54Tk</t>
  </si>
  <si>
    <t>man is standing on a room playing dart.</t>
  </si>
  <si>
    <t>man is throwing darts into a dartboard.</t>
  </si>
  <si>
    <t>the man grabs the darts from the board and talks to the camera.</t>
  </si>
  <si>
    <t>v_pMCPCsvxRBw</t>
  </si>
  <si>
    <t>There are people working in a drink food stand filling cups, shaking cups, holding cups or just walking around.</t>
  </si>
  <si>
    <t>A young man fills a clear cup with liquid, puts it on the counter, covers it with a paper cup, shakes it vigorously, and when he's done he puts the paper cup down and pours all the contents into it, puts a yellow straw into it and hands it to the person waiting.</t>
  </si>
  <si>
    <t>Next to him another boy was also shaking a cup, and then preparing to transfer the contents to a paper cup.</t>
  </si>
  <si>
    <t>v_cmzEDurFcwI</t>
  </si>
  <si>
    <t>A man in a blue shirt talks next to a air hockey table game in a showcase room, interspersed with video of four men demonstrating a game of air table hockey.</t>
  </si>
  <si>
    <t>A man begins speaking from a showroom, while standing in front of a air hockey table game.</t>
  </si>
  <si>
    <t>The camera cuts away to show four men playing a game of air hockey with the table game.</t>
  </si>
  <si>
    <t>The man speaks again, next to the table game, until the camera pans away again to the men playing air hockey until the scene fades to an elaborate Gold Standard Games marketing graphic.</t>
  </si>
  <si>
    <t>v_AoRk69eieek</t>
  </si>
  <si>
    <t>A man stands by a pole vault rig while a series of vaulters is shown attempting the vault with varying degrees of success.</t>
  </si>
  <si>
    <t>A group of people wearing white uniforms walk by in the background.</t>
  </si>
  <si>
    <t>Two people walk by in the background.</t>
  </si>
  <si>
    <t>v_PPXrVuZAb74</t>
  </si>
  <si>
    <t>A woman is closing her eyes standing on a diving board.</t>
  </si>
  <si>
    <t>She does a flip and dives into the water.</t>
  </si>
  <si>
    <t>She swims to the surface.</t>
  </si>
  <si>
    <t>v_54K2F3zAZ0o</t>
  </si>
  <si>
    <t>A band is playing on a stage.</t>
  </si>
  <si>
    <t>A man and woman kiss.</t>
  </si>
  <si>
    <t>A man in a yellow shirt plays the saxophone.</t>
  </si>
  <si>
    <t>v_i-G50GikqTg</t>
  </si>
  <si>
    <t>A young man sits down and pulls a drum close to him.</t>
  </si>
  <si>
    <t>He picks up his sticks and hits them together.</t>
  </si>
  <si>
    <t>He starts to count and drum.</t>
  </si>
  <si>
    <t>He drums faster as he looks away and then stops to adjust a few drums.</t>
  </si>
  <si>
    <t>He gets up and moves the camera to show a lever he moves and then he taps on the top of a drum over and over.</t>
  </si>
  <si>
    <t>He gives a thumbs up and peace sign.</t>
  </si>
  <si>
    <t>v_pZ8QqpYu-H8</t>
  </si>
  <si>
    <t>A man is seated at a piano, playing and singing into a microphone.</t>
  </si>
  <si>
    <t>When he finishes, he looks up and smiles.</t>
  </si>
  <si>
    <t>v_4hmJfJo6UI8</t>
  </si>
  <si>
    <t>A female athlete runs quickly down a track.</t>
  </si>
  <si>
    <t>She plows into the sand before getting up and walking away.</t>
  </si>
  <si>
    <t>The scene is repeated three times before ending with her cheering and clapping.</t>
  </si>
  <si>
    <t>v_0VHUSC4YFT4</t>
  </si>
  <si>
    <t>A person is seen hanging on the side of a beam going down while another man holds him.</t>
  </si>
  <si>
    <t>He then pulls the other man up and watches him jump off on the side on a bungee cord.</t>
  </si>
  <si>
    <t>v_ADbp9ObJVxE</t>
  </si>
  <si>
    <t>A man is in a worship, talking in front of a piece of wood.</t>
  </si>
  <si>
    <t>He sands the piece of wood down, then wipes sealant or stain onto the wood.</t>
  </si>
  <si>
    <t>v_qq1wRySmDTc</t>
  </si>
  <si>
    <t>a man is crouching in the woods next to a pile of stones.</t>
  </si>
  <si>
    <t>He is explaining the building of a fire.</t>
  </si>
  <si>
    <t>He lights the wood, creating a fire.</t>
  </si>
  <si>
    <t>v_8AP2he781Cw</t>
  </si>
  <si>
    <t>People are playing hockey on an ice rink.</t>
  </si>
  <si>
    <t>A person falls over onto the ice.</t>
  </si>
  <si>
    <t>A person runs after a puck and falls over again.</t>
  </si>
  <si>
    <t>He begins hitting the puck and falls again.</t>
  </si>
  <si>
    <t>v_wNwwiK6znIE</t>
  </si>
  <si>
    <t>We see a man in a shop holding a ski.</t>
  </si>
  <si>
    <t>The man shows us a can of product he this sprays on and wipes down a ski.</t>
  </si>
  <si>
    <t>The man then holds the ski for us to see.</t>
  </si>
  <si>
    <t>We see two ski products and an ending screen.</t>
  </si>
  <si>
    <t>v_-kmomJph-6E</t>
  </si>
  <si>
    <t>Two kids with extremly long hair are outside near a group of sheds.</t>
  </si>
  <si>
    <t>The shorter boy begins pulling the other guys hair and pulling him by it.</t>
  </si>
  <si>
    <t>However,the boy lets the guys hair go and the guy begins to knee him in the private area,pick him up over his head and drop him on a piece of wood.</t>
  </si>
  <si>
    <t>v_YnsusYE6i_0</t>
  </si>
  <si>
    <t>There are a lot of dressed up people sitting in a large dining area at a reception.</t>
  </si>
  <si>
    <t>A brunette woman taps a blonde woman on her back, points to something on the ground, and the women smile with the blonde woman leans over and picks up her sweater that was on the ground.</t>
  </si>
  <si>
    <t>A woman dressed in a blue flowing dress with a blue bodysuit underneath is standing up, and she begins to do a ballet dance routine in the middle of the large dancing floor while the people in the reception area are watching her every move, taking picture and videoing her.</t>
  </si>
  <si>
    <t>When the woman is done dancing she stands there with her arms crossed on her chest and the crowds applauds, and gives her a standing ovation while she takes a few bows.</t>
  </si>
  <si>
    <t>v_aKJKZHvP53E</t>
  </si>
  <si>
    <t>woman is standing in front of a poker tokens and cards.</t>
  </si>
  <si>
    <t>she turn around the cards and mixing it.</t>
  </si>
  <si>
    <t>cards are in a stack and split them in 4 and mixing it.</t>
  </si>
  <si>
    <t>cards are in a stack and other person split it in two and put them in a transparent box.</t>
  </si>
  <si>
    <t>v_7dx3MobORY0</t>
  </si>
  <si>
    <t>A girl shows how to bake cookies from scratch.</t>
  </si>
  <si>
    <t>Ingredients are added, stirred, and then the mixture is put in the oven.</t>
  </si>
  <si>
    <t>v_rzsp_r9fq_A</t>
  </si>
  <si>
    <t>There's a woman in a black raincoat standing next to a wooden fence.</t>
  </si>
  <si>
    <t>She is joined by a little girl wearing a polka dotted jacket who brings her some green paint.</t>
  </si>
  <si>
    <t>The woman begins painting the fence with a bush.</t>
  </si>
  <si>
    <t>There are several other people in the neighborhood who are seen volunteering to paint the fence with green paint.</t>
  </si>
  <si>
    <t>The volunteers are being interviewed.</t>
  </si>
  <si>
    <t>There are two boys dressed in Batman costumes standing there.</t>
  </si>
  <si>
    <t>The volunteers continue to paint the fence.</t>
  </si>
  <si>
    <t>Some people from the community gather around the parking lot.</t>
  </si>
  <si>
    <t>The people continue painting the fence.</t>
  </si>
  <si>
    <t>v_EPCb-f6yQxA</t>
  </si>
  <si>
    <t>Various mountain scenery is shown from different angles.</t>
  </si>
  <si>
    <t>A soldier plays a bagpipe in a mountain scene.</t>
  </si>
  <si>
    <t>v_YmAIoN4uuz0</t>
  </si>
  <si>
    <t>Various clips are shown of landscapes as well as people riding along on boats and a man speaking to the camera.</t>
  </si>
  <si>
    <t>The man dives into the water and is shown in several clips swimming around and fish moving along as well.</t>
  </si>
  <si>
    <t>The man gives hand gestures to the camera and swims to the surface when another man grabs his gear and he speaks to the camera.</t>
  </si>
  <si>
    <t>More men speak to the camera as he jumps in.</t>
  </si>
  <si>
    <t>v_-C9mAKWi9Ho</t>
  </si>
  <si>
    <t>An intro leads into two men fencing in a field.</t>
  </si>
  <si>
    <t>Several shots are shown of the men sticking swords to one another and the other blocking.</t>
  </si>
  <si>
    <t>In between clips are shown of the men boxing.</t>
  </si>
  <si>
    <t>v_U7MAQwyFeDQ</t>
  </si>
  <si>
    <t>Walking through the airport, flying on a plane and driving down the highway they get to where they are going.</t>
  </si>
  <si>
    <t>A man in a white mask is getting ready to go bungee jumping off a very high cliff, he stands with his arms out like they are wings on the edge.</t>
  </si>
  <si>
    <t>Then he jumps down, falling from a very high height, another man follows after him, and then the camera man himself takes the leap recording the entire fall.</t>
  </si>
  <si>
    <t>They all take turns jumping, one of them even goes down backwards.</t>
  </si>
  <si>
    <t>v_x2ztI3YNu9o</t>
  </si>
  <si>
    <t>A camera pans around a snowy area and leads into a man holding an accordion and beginning to play.</t>
  </si>
  <si>
    <t>The man continues to play the instrument while the camera shows off more scenery of snowy areas and the man continuing to play.</t>
  </si>
  <si>
    <t>v_BRApK7rWSAk</t>
  </si>
  <si>
    <t>A Capri Sun wrapper in a pile of rocks on the ground with a pile of sawdust on it.</t>
  </si>
  <si>
    <t>We see a pile of sticks to the left and see a flint.</t>
  </si>
  <si>
    <t>The person strikes the flint and a flame sits on he sawdust.</t>
  </si>
  <si>
    <t>The person then puts a handful of twigs on the fire.</t>
  </si>
  <si>
    <t>The fire grows and the cameraman backs up to show the rocks surrounding the fire.</t>
  </si>
  <si>
    <t>v_UWusSRe8Whg</t>
  </si>
  <si>
    <t>Two men are sitting in a room with four congos in front of them playing.</t>
  </si>
  <si>
    <t>They are both in unison and they're using their body parts as part of their routine to make different sounds.</t>
  </si>
  <si>
    <t>The men take an extremely brief pause before rapidly hitting the congo and end by pointing their finger at each other.</t>
  </si>
  <si>
    <t>v_GNzaxjYL0TM</t>
  </si>
  <si>
    <t>Two people are seen sitting on dirt bikes speaking to the camera with one shoveling dirt and the other riding along.</t>
  </si>
  <si>
    <t>Several shots are then shown of the two riding dirt bikes along a trail while stopping to gesture to the camera every now and then.</t>
  </si>
  <si>
    <t>v_G8-soqkFiI8</t>
  </si>
  <si>
    <t>A woman on a beach begins to build a sand castle.</t>
  </si>
  <si>
    <t>A man comes over and begins to build the sand castle with her.</t>
  </si>
  <si>
    <t>Several people walk by as they continue to build the castle.</t>
  </si>
  <si>
    <t>v_eaR8oEBlYWk</t>
  </si>
  <si>
    <t>A woman in a jacket is washing clothes in a sink.</t>
  </si>
  <si>
    <t>She pours water into a blue bowl.</t>
  </si>
  <si>
    <t>She puts clothes into the buckets of water that are in the sink.</t>
  </si>
  <si>
    <t>A white washing machine that is unplugged is shown.</t>
  </si>
  <si>
    <t>The woman continues to wash the clothes in the sink.</t>
  </si>
  <si>
    <t>She walks over and takes the lid off of a large bucket of water on the ground.</t>
  </si>
  <si>
    <t>She dips a pot into the bucket and dumps the water into the sink.</t>
  </si>
  <si>
    <t>v_qgJzdtHCebM</t>
  </si>
  <si>
    <t>A bull runs around a pen and tries to hit the clown with their horns.</t>
  </si>
  <si>
    <t>A guy jumps over a fence to get away from the bull.</t>
  </si>
  <si>
    <t>A clown is hiding behind a red barrel.</t>
  </si>
  <si>
    <t>The man falls onto the ground being chased by the bull.</t>
  </si>
  <si>
    <t>v_BzhREL6ncq4</t>
  </si>
  <si>
    <t>A gymnast exercise on the parallel bars while the coach give directions and fix a mat.</t>
  </si>
  <si>
    <t>Then, the gymnast spins on the high bar , then flip and fall stand on the mat.</t>
  </si>
  <si>
    <t>v_Kd_qpMbvRtI</t>
  </si>
  <si>
    <t>We see a title on a dark gray screen, We see a boat on a lake from different angles.</t>
  </si>
  <si>
    <t>A person riding a surfboard behind the boat does a flip.</t>
  </si>
  <si>
    <t>, We are shown the interior of the the boat.</t>
  </si>
  <si>
    <t>We see the interior then the outside of the boat intermittently.</t>
  </si>
  <si>
    <t>We see people on a raft being pulled by the boat.</t>
  </si>
  <si>
    <t>A girl grabs something form a cabinet then jumps in the water.</t>
  </si>
  <si>
    <t>We see the end credit scenes.</t>
  </si>
  <si>
    <t>v_qOi_E_uYCIo</t>
  </si>
  <si>
    <t>Vodka is shown being poured into a martini glass.</t>
  </si>
  <si>
    <t>A woman is behind a bar, showing off bottles of alcohol.</t>
  </si>
  <si>
    <t>She mixes the ingredients together, then shakes them up before pouring into a glass filled with ice.</t>
  </si>
  <si>
    <t>v_jdfe-CV_cpE</t>
  </si>
  <si>
    <t>Three men sit together on a couch.</t>
  </si>
  <si>
    <t>A man gets up and walks into a barber shop.</t>
  </si>
  <si>
    <t>He sits down and gets his hair cut.</t>
  </si>
  <si>
    <t>He is sleeping in the chair.</t>
  </si>
  <si>
    <t>He wakes up and looks in a mirror.</t>
  </si>
  <si>
    <t>Him and the man start fighting.</t>
  </si>
  <si>
    <t>The man pulls a gun and points it at the other man.</t>
  </si>
  <si>
    <t>He runs into another mans arms and they walk out the door.</t>
  </si>
  <si>
    <t>v_gCku1WVr608</t>
  </si>
  <si>
    <t>The video shows how to get discounts on amazon for a category of dog supplies.</t>
  </si>
  <si>
    <t>Then it shows a woman shaving a dog.</t>
  </si>
  <si>
    <t>v_CneLYCPg7Es</t>
  </si>
  <si>
    <t>A lady holds a toothbrush as a child sits on a counter.</t>
  </si>
  <si>
    <t>The lady brushes the boys teeth.</t>
  </si>
  <si>
    <t>She finishes and the little boy smiles.</t>
  </si>
  <si>
    <t>the lady backs away and the child puts a pacifier in his mouth.</t>
  </si>
  <si>
    <t>v_D5iU1Qfy-wk</t>
  </si>
  <si>
    <t>A man sits in a room laughing.</t>
  </si>
  <si>
    <t>The man joins a woman and man at a table eating.</t>
  </si>
  <si>
    <t>The man sees a bobble doll and pushes it.</t>
  </si>
  <si>
    <t>The man hits the doll and bounces a ball around the room knocking all the food off the table and making a mess.</t>
  </si>
  <si>
    <t>The people laugh and the man cleans up and creates a whirlpool in the well which breaks and he ball smashes walls.</t>
  </si>
  <si>
    <t>The man works out in a field.</t>
  </si>
  <si>
    <t>Dust rises from the man and leafs fly through the sky.</t>
  </si>
  <si>
    <t>v_uDqnGmLJyao</t>
  </si>
  <si>
    <t>She shows how to hang a border along a wall in a living room.</t>
  </si>
  <si>
    <t>She then goes back to talking to the camera.</t>
  </si>
  <si>
    <t>v_o4zmTkyTu8g</t>
  </si>
  <si>
    <t>A group is playing volleyball in a swimmming pool.</t>
  </si>
  <si>
    <t>They bounce the ball back and forth over the net as a golden retriever joins it, hitting the ball with his nose.</t>
  </si>
  <si>
    <t>v_6OLIr7E0eHA</t>
  </si>
  <si>
    <t>A boy plays the drums on front people.</t>
  </si>
  <si>
    <t>A man sings holding a microphone next to the drummer.</t>
  </si>
  <si>
    <t>A person pass on front the boy.</t>
  </si>
  <si>
    <t>v_hQeDWu5NOj8</t>
  </si>
  <si>
    <t>A small group of people are seen riding in a raft down a rough river.</t>
  </si>
  <si>
    <t>The people use paddles to move themselves along the water and under tunnels.</t>
  </si>
  <si>
    <t>The group continue riding down the river and end with text across the screen.</t>
  </si>
  <si>
    <t>v_7coVNZXiU6U</t>
  </si>
  <si>
    <t>A woman gets her hair cut very short in a kitchen by a woman with a pair of scissors.</t>
  </si>
  <si>
    <t>A man, wearing glasses, talks into the camera in a close up shot before the camera pans to a woman seated in a soft chair and focuses on her upper arm.</t>
  </si>
  <si>
    <t>The camera pans into a kitchen area and a seated woman holding up a lock of her own hair while another woman behind her ( the woman who was formerly seated) begins to cut her hair with a pair of scissors.</t>
  </si>
  <si>
    <t>The camera pans to a close up of the woman in the kitchen chair who has had most of her hair cut off and now how a very short haircut.</t>
  </si>
  <si>
    <t>The camera cuts again to the man who first appears in the film and a shot of a digital clock displaying the time.</t>
  </si>
  <si>
    <t>v_5P_Scs7Vo2c</t>
  </si>
  <si>
    <t>A young woman is seen kneeling in a tub with clothes all around her.</t>
  </si>
  <si>
    <t>She steps on the clothes and bends down again to scrub them while the camera pans around her.</t>
  </si>
  <si>
    <t>She holds up the clothes and continues to wash them as well as a man stepping into frame to help.</t>
  </si>
  <si>
    <t>v_BgsxbT9RCeg</t>
  </si>
  <si>
    <t>A woman ballerina dressed in a pink skirt and white blouse is standing in pose with her back bent forward and hands on her sides on a stage.</t>
  </si>
  <si>
    <t>A man in blue jeans and a white shirt walks in and strokes her back with a yellow cloth.</t>
  </si>
  <si>
    <t>Then a little girl ballerina comes and bumps into the woman.</t>
  </si>
  <si>
    <t>The woman breaks into a dance every time the little girl ballerina taps her.</t>
  </si>
  <si>
    <t>The little girl picks up a pair of wings and tries to put it on her back.</t>
  </si>
  <si>
    <t>The woman starts doing some ballet moves.</t>
  </si>
  <si>
    <t>She continues to dance to ballet moves as the little girl walks away.</t>
  </si>
  <si>
    <t>The woman ballerina twists and twirls on her toes as she dances to music.</t>
  </si>
  <si>
    <t>The crowd applauds and the man in the white shirt and blue jeans lifts her up and walks off the stage.</t>
  </si>
  <si>
    <t>v_2jHMUtvWP_0</t>
  </si>
  <si>
    <t>A camera pans around a room with a freshly painted wall and a man painting the wall on a stool is seen.</t>
  </si>
  <si>
    <t>The camera pans over the skylight and finishes by looking behind the area.</t>
  </si>
  <si>
    <t>v_OPqqbxGKp6E</t>
  </si>
  <si>
    <t>We see a person in a kitchen cooking on the stove.</t>
  </si>
  <si>
    <t>The person has skillet with butter they add eggs to.</t>
  </si>
  <si>
    <t>The person flips the eggs.</t>
  </si>
  <si>
    <t>A fire starts on the eye the person blow it out.</t>
  </si>
  <si>
    <t>The person flips the eggs with a spatula.</t>
  </si>
  <si>
    <t>The eggs are poured into a plate and salt and pepper are added.</t>
  </si>
  <si>
    <t>The person walks away from the stove.</t>
  </si>
  <si>
    <t>v_Ve0Ufrv-T0s</t>
  </si>
  <si>
    <t>A dog urinates consistently, without stopping, and while walking on its forelegs only, down and around a paved sidewalk all while a person is walking them on a yellow leash.</t>
  </si>
  <si>
    <t>The pug dog starts urinating on a stone curb along a low stone mini wall, lands on all four legs to turn around, and then proceeds to start walking on its two forelegs only.</t>
  </si>
  <si>
    <t>The dog begins urinating while walking on its forelegs only with the yellow leash following behind as an unseen person walks the dog from the background.</t>
  </si>
  <si>
    <t>The dog continues to urinate in this way, past more sidewalk and grass, and finally starts using three legs, stops and urinates more while stationary on three legs.</t>
  </si>
  <si>
    <t>v_VZ2CPdIPa30</t>
  </si>
  <si>
    <t>A man secures a seated woman in a bungee harness while others stand by.</t>
  </si>
  <si>
    <t>The woman talks to the camera in a close up view.</t>
  </si>
  <si>
    <t>Several shots of the scenery are shown interspersed with the woman waiting.</t>
  </si>
  <si>
    <t>The man finishes with the equipment.</t>
  </si>
  <si>
    <t>The woman carefully walks out to the jumping platform while one of the men stands behind her and an audience watches.</t>
  </si>
  <si>
    <t>The woman bungees off the platform.</t>
  </si>
  <si>
    <t>A replay of the woman bungeeing off the platform is shown.</t>
  </si>
  <si>
    <t>v_wBij_rEXdCk</t>
  </si>
  <si>
    <t>We see a table covered with papers and a laptop as a man works.</t>
  </si>
  <si>
    <t>The man leaves and goes to a graffiti covered garage and turns on a boombox.</t>
  </si>
  <si>
    <t>The man break dances then sees there is a man across the room.</t>
  </si>
  <si>
    <t>The men then take turns break dancing.</t>
  </si>
  <si>
    <t>The men stand face to face and break dance together.</t>
  </si>
  <si>
    <t>v_zkR_t6p3lto</t>
  </si>
  <si>
    <t>A person's skis are shown close up as they move continuously down a snowy hill moving quickly past trees.</t>
  </si>
  <si>
    <t>The person continues moving down the trail at a fast pace and meeting up with others at the bottom.</t>
  </si>
  <si>
    <t>v_H-PhEsI9njQ</t>
  </si>
  <si>
    <t>people are standing in a court playing shufleboard while people is in the terraces are watching the game.</t>
  </si>
  <si>
    <t>a lot of people wearing red uniforms are walking and sitting around the court.</t>
  </si>
  <si>
    <t>v_KEWlDtEt2cQ</t>
  </si>
  <si>
    <t>A man in a suit and a lady in a sparking dress stand on stage.</t>
  </si>
  <si>
    <t>The people then ballroom dance as people watch.</t>
  </si>
  <si>
    <t>The man spins the woman in the air in front of him.</t>
  </si>
  <si>
    <t>The man dips the lady and she kicks her feet in the air.</t>
  </si>
  <si>
    <t>They finish and the crowd claps as they walk off stage.</t>
  </si>
  <si>
    <t>v_BUmS918SyLA</t>
  </si>
  <si>
    <t>Two girls are seen holding a pose in the middle of a large gymnasium while others watch around them.</t>
  </si>
  <si>
    <t>The girls begin performing a dance routine while using batons.</t>
  </si>
  <si>
    <t>The girls continue to dance around and end by holding a pose.</t>
  </si>
  <si>
    <t>v_oAyygdg493M</t>
  </si>
  <si>
    <t>A woman is walking on the beach carrying a surfboard.</t>
  </si>
  <si>
    <t>She starts surfing in the water.</t>
  </si>
  <si>
    <t>v_sY7m7E-sAYc</t>
  </si>
  <si>
    <t>A woman is washing in a sink and shows a little bottle.</t>
  </si>
  <si>
    <t>Then, the woman add several potatoes in a steaming pot.</t>
  </si>
  <si>
    <t>After, the woman put the potatoes in a bowl and then peel a potatoes easily.</t>
  </si>
  <si>
    <t>v_5DhbyYavYp4</t>
  </si>
  <si>
    <t>There is a garden with many trees and shrubs.</t>
  </si>
  <si>
    <t>There is a man using a hedging and trimming equipment trimming the bushes.</t>
  </si>
  <si>
    <t>Another man is giving instructions on lawn and garden care.</t>
  </si>
  <si>
    <t>The man climbs up a tall ladder to trim the trees and bushes several times.</t>
  </si>
  <si>
    <t>He goes around the entire side to trim the hedges.</t>
  </si>
  <si>
    <t>The instructor continues talking about the gardening process, The man trims the hedges that form a barrier near a house.</t>
  </si>
  <si>
    <t>The instructor explains the process again to the viewers.</t>
  </si>
  <si>
    <t>The scene changes to a strange looking statue in a busy city and ends with a thank you for watching message.</t>
  </si>
  <si>
    <t>v_ynispYtdDq8</t>
  </si>
  <si>
    <t>A woman in lingerie is sitting on a couch waving at the camera.</t>
  </si>
  <si>
    <t>She opens a pack of cigarettes and lights up.</t>
  </si>
  <si>
    <t>She continues sitting and smoking while looking at the camera.</t>
  </si>
  <si>
    <t>v_PI1ZaFQ28Ao</t>
  </si>
  <si>
    <t>A lady discusses while standing in a kitchen adjacent to a sink.</t>
  </si>
  <si>
    <t>The lady is holding a sponge while the sink water is running.</t>
  </si>
  <si>
    <t>The lady is soaking dishes in soapy water.</t>
  </si>
  <si>
    <t>v_4-BW75h1D1A</t>
  </si>
  <si>
    <t>A woman in a white dress belly dances outside near columns and trees.</t>
  </si>
  <si>
    <t>The woman shakes her hips as she dances.</t>
  </si>
  <si>
    <t>Credits appear on the screen.</t>
  </si>
  <si>
    <t>v_YEZrwxz0Ysk</t>
  </si>
  <si>
    <t>A shot glass is shown, filled with three colors of liquid.</t>
  </si>
  <si>
    <t>Several bottles of different colored alcohols are shown.</t>
  </si>
  <si>
    <t>The liquids are poured one at a time into the glasses, forming the tricolored drink.</t>
  </si>
  <si>
    <t>v_jmmOBfS3JIg</t>
  </si>
  <si>
    <t>A man in dress shirt taps his cloth on the spout of a glass container to get it damp.</t>
  </si>
  <si>
    <t>The man uses his cloth wrapped around his index and middle finer to polish a shoe.</t>
  </si>
  <si>
    <t>The man rubs his cloth in a shoe polish tin for more of the substance.</t>
  </si>
  <si>
    <t>The man continues to polish the show around the toe of the shoe.</t>
  </si>
  <si>
    <t>The man again rubs his cloth in the tin for more polish.</t>
  </si>
  <si>
    <t>The man continues to polish the show around the toe of the shoe near the toe in a circular motion.</t>
  </si>
  <si>
    <t>v_by8QQWbyimw</t>
  </si>
  <si>
    <t>Two girls are acting silly and throwing signs at a camera.</t>
  </si>
  <si>
    <t>They then take turns doing cartwheels across the lawn.</t>
  </si>
  <si>
    <t>They do front and back flips, then run toward the camera.</t>
  </si>
  <si>
    <t>v_OhgsnOwo4b4</t>
  </si>
  <si>
    <t>A man is standing inside a kitchen in front of ingredients and tools for cooking.</t>
  </si>
  <si>
    <t>He shows dressing being poured onto a cabbage salad.</t>
  </si>
  <si>
    <t>He explains how to cut a melon, creating slices that go into his salad.</t>
  </si>
  <si>
    <t>Then he shreds a carrot, and moves the salad into a bowl before drizzling it with dressing.</t>
  </si>
  <si>
    <t>v_7TgvbmIn03A</t>
  </si>
  <si>
    <t>A black screen appears with white words that read "GoPro Hero3+Black Making everyday tasks fun 'Mowing The Lawn' Resolution: 1080p superwide.</t>
  </si>
  <si>
    <t>A view from the top of a lawn mower shows a woman pulling onto the pull handle of the lawn mower.</t>
  </si>
  <si>
    <t>The view change to the view of the lawn mower and the mower is moving along a yard filled with green grass.</t>
  </si>
  <si>
    <t>The view changes back and forth from lawn mower view and the view of the whole woman mowing the lawn.</t>
  </si>
  <si>
    <t>v_tgPjcWP7Vig</t>
  </si>
  <si>
    <t>A large group of people are seen sitting on bicycles exercising with one another.</t>
  </si>
  <si>
    <t>A woman speaks to the camera while more shots are shown of people riding.</t>
  </si>
  <si>
    <t>A woman leads the class as well as speaks to the camera and others riding around.</t>
  </si>
  <si>
    <t>v_j4vMVBSfyu0</t>
  </si>
  <si>
    <t>A hand is showing a curved blade knife, and then he showed an ice pick with white paper at the end of it.</t>
  </si>
  <si>
    <t>The man threw the blade on the plywood, then he threw the ice pick.</t>
  </si>
  <si>
    <t>v_C6DH4l7fop0</t>
  </si>
  <si>
    <t>A boy puts freshly baked cookies on a cooling rack.</t>
  </si>
  <si>
    <t>One gets stuck and he licks the spatula.</t>
  </si>
  <si>
    <t>v_KxY2z_xDsO8</t>
  </si>
  <si>
    <t>A person's hand is seen pushing various marbles down a long track and watching where they land.</t>
  </si>
  <si>
    <t>They push several more marbles while the camera moves up and down to catch the action.</t>
  </si>
  <si>
    <t>v_5XiBb9XGsg8</t>
  </si>
  <si>
    <t>A young man is seen speaking to the camera and leads into him trying to solve a rubix cube.</t>
  </si>
  <si>
    <t>The boy then solves the cube and pans the camera back to show his time.</t>
  </si>
  <si>
    <t>v_HrBa_UraJvc</t>
  </si>
  <si>
    <t>A man is seen using a hookah and blowing smoke out into the air and leads into him scraping tobacco and driving around.</t>
  </si>
  <si>
    <t>He speaks to the camera and pans back to a hookah and begins smoking out of it.</t>
  </si>
  <si>
    <t>v_c-3ed17J3F8</t>
  </si>
  <si>
    <t>A man is standing in a shed behind a crafts table talking to the camera.</t>
  </si>
  <si>
    <t>Next,a man in a navy uniform begins walking down the road and ends up in the room with the man.</t>
  </si>
  <si>
    <t>The two of them begin polishing a pair of boots together with a white cloth and a green brush.</t>
  </si>
  <si>
    <t>As they finish,the man in the green shirt is given a patch and a screen of tips come on the screen for properly caring for your boots.</t>
  </si>
  <si>
    <t>v_8SMXK2uOvk0</t>
  </si>
  <si>
    <t>People are biking down a path.</t>
  </si>
  <si>
    <t>A person is trying to start a fire.</t>
  </si>
  <si>
    <t>The person feeds the fire and moves it to a hole.</t>
  </si>
  <si>
    <t>v_HqGWA16ECWE</t>
  </si>
  <si>
    <t>A girl in a dress is crossing monkey bars.</t>
  </si>
  <si>
    <t>She gets to the end and steps on a rock.</t>
  </si>
  <si>
    <t>A boy in a blue shirt stands behind her.</t>
  </si>
  <si>
    <t>v_vygPNS-eAYM</t>
  </si>
  <si>
    <t>A father and daughter are playing hop scotch on their tiled porch.</t>
  </si>
  <si>
    <t>The girl is wearing a blue sleeveless shirt and shorts and the father is wearing a gray shirt and shorts.</t>
  </si>
  <si>
    <t>They take turns to jump on the squares.</t>
  </si>
  <si>
    <t>Then she little girl is joined by her mother who begins hopping on the squares.</t>
  </si>
  <si>
    <t>She gives the daughter a high five.</t>
  </si>
  <si>
    <t>then the girl begins to hop and jump across the squares.</t>
  </si>
  <si>
    <t>v_OtMNVvCSxVo</t>
  </si>
  <si>
    <t>A man stands on front a sink.</t>
  </si>
  <si>
    <t>Then, the man puts soap on a cloth.</t>
  </si>
  <si>
    <t>After, the man wash the pot outside and inside.</t>
  </si>
  <si>
    <t>Next, the man turns and dry his hands.</t>
  </si>
  <si>
    <t>v_UA_RDwuO47s</t>
  </si>
  <si>
    <t>The word funkin is on the screen and underneath it says Bacardi cocktail.</t>
  </si>
  <si>
    <t>A man in a funkin shirt talks about and demonstrates how to make the Bacardi cocktail from behind a bar.</t>
  </si>
  <si>
    <t>The man is showing people how to make a drink in a martini glass.</t>
  </si>
  <si>
    <t>The man puts ingredients in a regular glass while showing the bottles of ingredients he is using.</t>
  </si>
  <si>
    <t>The word funkin is on the screen.</t>
  </si>
  <si>
    <t>v_SQs7o8LeU6A</t>
  </si>
  <si>
    <t>A man stands in a rustic living room and plays a bagpipe in his socks.</t>
  </si>
  <si>
    <t>We see a man tapping his foot as he plays.</t>
  </si>
  <si>
    <t>The man switches to his other foot tapping.</t>
  </si>
  <si>
    <t>the man finishes playing and wipes his face.</t>
  </si>
  <si>
    <t>v_ZKtjyZhRB6E</t>
  </si>
  <si>
    <t>A group of older people are seen sitting on a bus speaking to one another.</t>
  </si>
  <si>
    <t>The camera pans around the bus to show more people sitting and speaking.</t>
  </si>
  <si>
    <t>A woman is seen speaking to a man next to her while he knits.</t>
  </si>
  <si>
    <t>v_8IlwMnM_n38</t>
  </si>
  <si>
    <t>Guys are break dancing on a stage in front of an audience.</t>
  </si>
  <si>
    <t>A guy breaks dance right off the stage and exits.</t>
  </si>
  <si>
    <t>v_64JprLAtnzg</t>
  </si>
  <si>
    <t>A group of girls are dancing along a ledge.</t>
  </si>
  <si>
    <t>Each girl dances on the ledge gracefully.</t>
  </si>
  <si>
    <t>The screen fades away to black.</t>
  </si>
  <si>
    <t>v_2YeImloBCA8</t>
  </si>
  <si>
    <t>We see people working out on exercise steps in an aerobics class.</t>
  </si>
  <si>
    <t>The leader puts her hand in the air.</t>
  </si>
  <si>
    <t>The lady in back left gets lost and stops.</t>
  </si>
  <si>
    <t>Rear right gets lost and throws out her arms.</t>
  </si>
  <si>
    <t>The instructors arm is in the air again.</t>
  </si>
  <si>
    <t>The lady second on right stops trying.</t>
  </si>
  <si>
    <t>v_hpU50i4WBK8</t>
  </si>
  <si>
    <t>Two people are on a boat getting ready to dive into the ocean.</t>
  </si>
  <si>
    <t>They dive in and are able to look at all the beautiful corals and see fish and other things.</t>
  </si>
  <si>
    <t>They find a cockpit that they begin to observe and look around also running into a jelly fish.</t>
  </si>
  <si>
    <t>They begin to explore the outside of the plane where they are also able to see more fish and other marine life around it.</t>
  </si>
  <si>
    <t>v_Eeq-noKrGwY</t>
  </si>
  <si>
    <t>A girl in an orange shirt takes a drink of mouth wash.</t>
  </si>
  <si>
    <t>She swishes it around in her mouth and spits it out into a sink.</t>
  </si>
  <si>
    <t>v_sYKtWOfH6VQ</t>
  </si>
  <si>
    <t>There's a lady doing a tutorial on how to wash hands in her kitchen.</t>
  </si>
  <si>
    <t>She walks towards the sink and turns on the tap.</t>
  </si>
  <si>
    <t>Then she takes some liquid soap in her hands and rubs her hands on the top, the palms and in between her fingers.</t>
  </si>
  <si>
    <t>She demonstrates how to properly rub the palms and the wrist area to ensure a clean wash.</t>
  </si>
  <si>
    <t>Then she turns the tap back on to wash off the soap.</t>
  </si>
  <si>
    <t>Then she uses her right elbow to turn off the tap to avoid touching it directly.</t>
  </si>
  <si>
    <t>Then she takes a paper towel from the window sill and wipes her hands dry.</t>
  </si>
  <si>
    <t>v__gDw8q2sRLk</t>
  </si>
  <si>
    <t>Three people are seen walking out onto a large gymnasium floor and lead into the three performing a jump roping routine.</t>
  </si>
  <si>
    <t>The three continue to jump around the floor while many watch and end with their arms up.</t>
  </si>
  <si>
    <t>v_bDf_xpUpdmU</t>
  </si>
  <si>
    <t>A falls off a skateboard in an awkward way.</t>
  </si>
  <si>
    <t>Then we see several other boys as they trip and fall.</t>
  </si>
  <si>
    <t>They take sharp turns on suburban roads, trying to stay on their boards.</t>
  </si>
  <si>
    <t>v_gKkk82LG8H0</t>
  </si>
  <si>
    <t>Group play the bongos while a young woman dances.</t>
  </si>
  <si>
    <t>A couple walks past the group.</t>
  </si>
  <si>
    <t>The drummer gives the camera a thumbs up gesture.</t>
  </si>
  <si>
    <t>Lots of people pass in the background.</t>
  </si>
  <si>
    <t>A small group are looking on at the musicians.</t>
  </si>
  <si>
    <t>The dancer poses with 2 other women.</t>
  </si>
  <si>
    <t>v_sjpWwjzCbrw</t>
  </si>
  <si>
    <t>A health professional washers her hands with soap in a sink.</t>
  </si>
  <si>
    <t>The woman scrubs between the fingers thoroughly.</t>
  </si>
  <si>
    <t>The hands are dried with a paper towel in between the fingers thoroughly.</t>
  </si>
  <si>
    <t>The woman throws the paper towel in a designated waste bin.</t>
  </si>
  <si>
    <t>The medical professional shuts off the water faucet using her elbow and also the paper towel.</t>
  </si>
  <si>
    <t>v_Mnhg-VEP69U</t>
  </si>
  <si>
    <t>A man is seen assembling a tire on a lift and taking the rubber off using a machine.</t>
  </si>
  <si>
    <t>He then puts the rubber back on using the machine and ends by moving back from the tire.</t>
  </si>
  <si>
    <t>v_3xoIXUMqmqA</t>
  </si>
  <si>
    <t>He pulls down on a rope and works out.</t>
  </si>
  <si>
    <t>He lowers the bar and starts pulling the rope in the other direction.</t>
  </si>
  <si>
    <t>v_KWeZbXoX8Ys</t>
  </si>
  <si>
    <t>There is a very tall and steep slide running through some trees in a large open ground.</t>
  </si>
  <si>
    <t>There is a rubber surface running lengthwise at the bottom end of the slide to protect people from getting hurt as they land down.</t>
  </si>
  <si>
    <t>A young boy wearing black shorts and a shirt comes sliding down in full force.</t>
  </si>
  <si>
    <t>He lands far from the slide as he tumbles down and off of the slide.</t>
  </si>
  <si>
    <t>v_HCZpS7mhvrE</t>
  </si>
  <si>
    <t>A man in a hat talks at a press conference.</t>
  </si>
  <si>
    <t>We see cabins and trailers in a snowy area.</t>
  </si>
  <si>
    <t>Three men re waxing skis in a workshop and we see the man at the press conference.</t>
  </si>
  <si>
    <t>A man runs behind trailers and two men walk on the snow before we see the press conference again.</t>
  </si>
  <si>
    <t>We see the men skiing.</t>
  </si>
  <si>
    <t>The man at the press conference and a men puts a mask on in the workshop and a machine sits in the field.</t>
  </si>
  <si>
    <t>Two men pose holding rifles in the snow.</t>
  </si>
  <si>
    <t>v_iHzyX1djHU4</t>
  </si>
  <si>
    <t>A man is seen sitting in a chair as well as shots of people riding wake boards and clips of a dock.</t>
  </si>
  <si>
    <t>The man continues speaking to the camera while more shots of people wake boarding are shown as well as doing flips and tricks.</t>
  </si>
  <si>
    <t>v_XJQlO4G5Fns</t>
  </si>
  <si>
    <t>We see a lady holding the camera and blow drying her hair.</t>
  </si>
  <si>
    <t>The lady sits the camera on the floor, and continues blow drying her hair.</t>
  </si>
  <si>
    <t>The lady throws her hair back and picks up the phone.</t>
  </si>
  <si>
    <t>v_jqEpQ-cRGFk</t>
  </si>
  <si>
    <t>We see a sleeping lady in a hospital.</t>
  </si>
  <si>
    <t>A person begins combing the hair of a sleeping elderly lady in a hospital.</t>
  </si>
  <si>
    <t>The camera moves to the top of the ladies head.</t>
  </si>
  <si>
    <t>The camera then moves to the front of the ladies face.</t>
  </si>
  <si>
    <t>v_1mksQqxFtv4</t>
  </si>
  <si>
    <t>A man in shorts is in a gym.</t>
  </si>
  <si>
    <t>He is jumping rope in there.</t>
  </si>
  <si>
    <t>He speeds up his jumping.</t>
  </si>
  <si>
    <t>He is doing it in front of a mirror.</t>
  </si>
  <si>
    <t>v_FRFjdn_pjYk</t>
  </si>
  <si>
    <t>An older man is shown standing on a piece of exercise equipment.</t>
  </si>
  <si>
    <t>He talks to the camera and holds a remote up and continues moving on the machine.</t>
  </si>
  <si>
    <t>v_5MpJCKOxRVs</t>
  </si>
  <si>
    <t>First, the person is seen unscrewing the handle bars.</t>
  </si>
  <si>
    <t>Then he unscrews the base to level it out to his liking.</t>
  </si>
  <si>
    <t>Then he sits on the bike seat to achieve the best results.</t>
  </si>
  <si>
    <t>Then he adjusts the handle bars again and makes sure they are firmly in place.</t>
  </si>
  <si>
    <t>v_Qm-XTJ-uG5s</t>
  </si>
  <si>
    <t>Two men are in a room with three walls and a set of glass doors behind them hitting a ball back and fourth against the wall with tennis rackets.</t>
  </si>
  <si>
    <t>As they continue,one boy falls to the ground and they have to start over.</t>
  </si>
  <si>
    <t>v_kUlwaBYvyBI</t>
  </si>
  <si>
    <t>We see a man standing in front of a workbench in a workshop and talking.</t>
  </si>
  <si>
    <t>The man shows a piece of wood and a sander.</t>
  </si>
  <si>
    <t>The man wipes a substance from a jug on the wood and the sander and sands the wood.</t>
  </si>
  <si>
    <t>The man shows us the finished product.</t>
  </si>
  <si>
    <t>v_LBC8Fa1oCGI</t>
  </si>
  <si>
    <t>Several people parasail on a body of water surrounded by other boats, foliage and houses in the distance.</t>
  </si>
  <si>
    <t>Several people in swim trunks sail in a body of water with multi colored parasails.</t>
  </si>
  <si>
    <t>A person in the foreground in blue swim trunks flips the sail over but the sail twists and lands on the bottom so that the person and the sail land on their feet.</t>
  </si>
  <si>
    <t>v_3hp7kPpZDhs</t>
  </si>
  <si>
    <t>On a track, a runner gets ready to perform.</t>
  </si>
  <si>
    <t>He runs and skips along the way, jumping high at the end.</t>
  </si>
  <si>
    <t>He walks along the track after being finished.</t>
  </si>
  <si>
    <t>The man runs and jumps again.</t>
  </si>
  <si>
    <t>The runner talks to someone.</t>
  </si>
  <si>
    <t>v_FKQIdqjY9nI</t>
  </si>
  <si>
    <t>A man plays the bagpipes on stage while wearing a Scottish skirt.</t>
  </si>
  <si>
    <t>Then, the man ends playing and holds the bagpipes on his left arm.</t>
  </si>
  <si>
    <t>v_zogfsf4O3Vg</t>
  </si>
  <si>
    <t>A man in yellow opens a beer.</t>
  </si>
  <si>
    <t>A man in gray grabs the beer, adjusts his clothes then sits on the floor holding the beer.</t>
  </si>
  <si>
    <t>The man puts one arm behind his back and adjusts himself to try and pick the bottle up with his mouth.</t>
  </si>
  <si>
    <t>The man then quickly drinks and puts the bottle down.</t>
  </si>
  <si>
    <t>We see a countdown clock.</t>
  </si>
  <si>
    <t>v_LB1A7BobPwg</t>
  </si>
  <si>
    <t>We see the white title screen.</t>
  </si>
  <si>
    <t>We then see a bartender talking to two people in a bar.</t>
  </si>
  <si>
    <t>The man puts his arm behind his back.</t>
  </si>
  <si>
    <t>The bartender puts two cards on the bar.</t>
  </si>
  <si>
    <t>They push their cards and drink beer, then pull cards and drink beer.</t>
  </si>
  <si>
    <t>The bartender spits the beer back in the glass.</t>
  </si>
  <si>
    <t>The bartender looks at the camera and speaks.</t>
  </si>
  <si>
    <t>We see the end title screen.</t>
  </si>
  <si>
    <t>v_6O8QXbjvYKs</t>
  </si>
  <si>
    <t>A little boy picks up a bowling ball.</t>
  </si>
  <si>
    <t>He sets it on a rail and pushes it down a lane.</t>
  </si>
  <si>
    <t>A woman with a baby strapped to her chest bowls a ball down a lane.</t>
  </si>
  <si>
    <t>v_G_kJ-Af89ew</t>
  </si>
  <si>
    <t>A man in plaid shirt hit the ball with stick, the ball scattered on the table.</t>
  </si>
  <si>
    <t>The man in gray sweater lean on the table and look at the ball, he then hit the white ball and hit the yellow ball, while the man in plaid shirt sat on the chair.</t>
  </si>
  <si>
    <t>The man in gray sweater continue to play the billiard, making the balls shoot in the holes.</t>
  </si>
  <si>
    <t>v_mTDRTiTnsjQ</t>
  </si>
  <si>
    <t>A hand is pushing a grass blower machine.</t>
  </si>
  <si>
    <t>The machine spit out dry leaves from a black pole.</t>
  </si>
  <si>
    <t>The machine turned in a curve towards the house.</t>
  </si>
  <si>
    <t>v_Z56Xq8Ud4I0</t>
  </si>
  <si>
    <t>A woman is seen speaking to the camera and then takes her ring off to run her hands under some water.</t>
  </si>
  <si>
    <t>She scrubs her hands with soap and then runs her fingers under the water.</t>
  </si>
  <si>
    <t>In the end people perform a little dance with showing how to properly wash your hands.</t>
  </si>
  <si>
    <t>v_G_npKjzxQLk</t>
  </si>
  <si>
    <t>We see people deep sea diving.</t>
  </si>
  <si>
    <t>We see the surface of the ocean.</t>
  </si>
  <si>
    <t>We see people holding hands underwater.</t>
  </si>
  <si>
    <t>People are throwing up hand signs.</t>
  </si>
  <si>
    <t>We see a man throw a hand sign and we see people standing in the water.</t>
  </si>
  <si>
    <t>A man goes under the water slowly.</t>
  </si>
  <si>
    <t>v_7qjiHcYuq2Y</t>
  </si>
  <si>
    <t>A small group of people are seen standing on a beach playing a game of volleyball.</t>
  </si>
  <si>
    <t>One person hits it to the other and they hit the ball game.</t>
  </si>
  <si>
    <t>The game continues on while people are seen watching on the sides.</t>
  </si>
  <si>
    <t>v_RkCSfz8GeNg</t>
  </si>
  <si>
    <t>A man is seen playing with her hair in front of the camera and leads into her brushing her hair.</t>
  </si>
  <si>
    <t>She then ties her hair up and proceeds to blow dry her hair while a comb.</t>
  </si>
  <si>
    <t>Then takes her hair down and runs lotion through her hair while still looking to the camera.</t>
  </si>
  <si>
    <t>v_2fp9Ni7Ms6A</t>
  </si>
  <si>
    <t>A shot of a board is shown followed by various groomers grooming dogs on tables.</t>
  </si>
  <si>
    <t>The people continue grooming the dogs on tables and the video ends with text across the screen.</t>
  </si>
  <si>
    <t>v_R4ouBBtg-B4</t>
  </si>
  <si>
    <t>Various people are shown smiling into a camera and being interviewed about a question.</t>
  </si>
  <si>
    <t>Several other questions are asked to the same people as well as shots of people doing activities around the beach on a string.</t>
  </si>
  <si>
    <t>v_DVlDRG0SxG8</t>
  </si>
  <si>
    <t>The front of a yellow kayak is seen as the boat floats through turbulent white waters of a river.</t>
  </si>
  <si>
    <t>It passes a rock and numerous trees before slowing down.</t>
  </si>
  <si>
    <t>v_586OlQMU420</t>
  </si>
  <si>
    <t>A young blonde boy is shown in several still images, including several while skiing.</t>
  </si>
  <si>
    <t>He is then seen skiing down a large hill from multiple angles and videos.</t>
  </si>
  <si>
    <t>He lands on top of a small hill, falling over.</t>
  </si>
  <si>
    <t>We then see an image of him sleeping on a couch.</t>
  </si>
  <si>
    <t>v_41xqneu4_RA</t>
  </si>
  <si>
    <t>A man is inside a room in a house.</t>
  </si>
  <si>
    <t>He is using a racquet to hit a tennis ball back and forth against a wall.</t>
  </si>
  <si>
    <t>He continues hitting the ball until he is finished playing the game.</t>
  </si>
  <si>
    <t>v_VA8SXILXTj0</t>
  </si>
  <si>
    <t>A couple of lemons are seen sitting on a table with glasses and plates and leads into a person putting the lemons in a container.</t>
  </si>
  <si>
    <t>He mixes ingredients with the lemons and shakes them up in another glass.</t>
  </si>
  <si>
    <t>He finishes the lemonade and presents it to the camera while also taking a sip.</t>
  </si>
  <si>
    <t>v_lJRwUE12drE</t>
  </si>
  <si>
    <t>People are seen walking around a gymnasium and leads into one standing in between bars.</t>
  </si>
  <si>
    <t>The gymnast then moves himself around the bars and jumps down afterwards.</t>
  </si>
  <si>
    <t>Another man steps up to the bars and attempts to spin around.</t>
  </si>
  <si>
    <t>v_O9qI26TB3R0</t>
  </si>
  <si>
    <t>A toddler wash a dog in a bathtub pouring water with the shower hose.</t>
  </si>
  <si>
    <t>The toddler rise the tail of the horse and wash the butt.</t>
  </si>
  <si>
    <t>After, the toddler, grab a brush and scrub and wash the dog.</t>
  </si>
  <si>
    <t>v_YtKUxxMo6Cs</t>
  </si>
  <si>
    <t>A man is riding a pair of water skis while attached to a boat.</t>
  </si>
  <si>
    <t>He swerves from side to side in the water, holding on.</t>
  </si>
  <si>
    <t>He jumps into the air as a stunt, then loses his balance and falls into the water.</t>
  </si>
  <si>
    <t>v_Hc7A90HiA28</t>
  </si>
  <si>
    <t>Two teams are playing a tug of war, while the referee is at the center and on the side are people taking pictures.</t>
  </si>
  <si>
    <t>The referee gave a go signal for the team to start pulling, the players are pulling the rope with all of their might until the blue team won, on the other side of the lane another team are playing tug of war, and the camera pans to the audiences who are watching the game.</t>
  </si>
  <si>
    <t>v_adz3kDJLCF4</t>
  </si>
  <si>
    <t>A woman is using a pink brush to brush her teeth.</t>
  </si>
  <si>
    <t>She is brushing very fast and vigorously.</t>
  </si>
  <si>
    <t>She is brushing her upper and lower teeth.</t>
  </si>
  <si>
    <t>She sticks her tongue out to clean the toothpaste.</t>
  </si>
  <si>
    <t>She checks her teeth to see if they're clean enough.</t>
  </si>
  <si>
    <t>While she continues brushing, she opens her mouth.</t>
  </si>
  <si>
    <t>Some of the toothpaste falls down.</t>
  </si>
  <si>
    <t>She starts brushing her tongue thoroughly.</t>
  </si>
  <si>
    <t>Then she continues brushing her upper and lower teeth again.</t>
  </si>
  <si>
    <t>She then sticks her tongue out and scrapes it against her teeth.</t>
  </si>
  <si>
    <t>She spits out some toothpaste.</t>
  </si>
  <si>
    <t>Some of the toothpaste falls on her chin making it look like a white beard.</t>
  </si>
  <si>
    <t>She pretends to be Santa Claus and says, ho, ho, Merry Christmas.</t>
  </si>
  <si>
    <t>Then she laughs as she shows her teeth with a wide smile.</t>
  </si>
  <si>
    <t>v_b0bM4vKxoXQ</t>
  </si>
  <si>
    <t>A large group of people are seen sitting around in a circle and 2 bulls standing in the pit.</t>
  </si>
  <si>
    <t>The animals and people continue to walk around one another and lead into the bulls fighting one another.</t>
  </si>
  <si>
    <t>v_bp1wsvCaiB0</t>
  </si>
  <si>
    <t>A logo appears then the word fencing.</t>
  </si>
  <si>
    <t>People begin to fence together.</t>
  </si>
  <si>
    <t>People gear up to fence and are shown fencing in a variety of ways.</t>
  </si>
  <si>
    <t>v_0Yb2EQlAEYM</t>
  </si>
  <si>
    <t>The bottom of a murky river is shown and then it flashes to the name of the springs.</t>
  </si>
  <si>
    <t>A group of people are shown and they begin to get floats and play and float throughout the springs.</t>
  </si>
  <si>
    <t>Two kids are on the rocks together and they catch a dragonfly.</t>
  </si>
  <si>
    <t>After,various group of people are shown and a couple floats together with a dog sitting on the male's lap.</t>
  </si>
  <si>
    <t>v_jcqRPdvb18w</t>
  </si>
  <si>
    <t>First the man pushes a tire and he steps inside of it.</t>
  </si>
  <si>
    <t>He then starts hula hooping inside of the tire with it around his waist.</t>
  </si>
  <si>
    <t>v_-t_Zhm1b0FI</t>
  </si>
  <si>
    <t>People playing instruments are on the stage.</t>
  </si>
  <si>
    <t>A man in a suit walks on the stage and starts talking.</t>
  </si>
  <si>
    <t>The band keeps playing in the background.</t>
  </si>
  <si>
    <t>v_59nQKYriHQc</t>
  </si>
  <si>
    <t>A woman is seen kneeling down on the floor speaking to the camera while a dog lays next to her.</t>
  </si>
  <si>
    <t>The woman is then seen running soap and water all over a dog in the sink and ending by cleaning him off and watching him run around and be excited.</t>
  </si>
  <si>
    <t>v_D5hsFA2ZrIQ</t>
  </si>
  <si>
    <t>A man is shown working in an outdoor garden.</t>
  </si>
  <si>
    <t>He is using tools as he works.</t>
  </si>
  <si>
    <t>He trims a long row of hedges, then cleans up the debris.</t>
  </si>
  <si>
    <t>v_Kmk0IVi2Xu4</t>
  </si>
  <si>
    <t>We see a set of drums and a man standing behind the drums talking and holding a drink.</t>
  </si>
  <si>
    <t>the man drinks from the drink and puts it down.</t>
  </si>
  <si>
    <t>the man plays the drums with his hands.</t>
  </si>
  <si>
    <t>The man stops and talks before playing the drums again.</t>
  </si>
  <si>
    <t>The man stands on the drums and dances.</t>
  </si>
  <si>
    <t>We see two men sitting and the first man is clapping his hands.</t>
  </si>
  <si>
    <t>We see the man playing the maracas as a lady dances nearby the man stops and the lady turns away.</t>
  </si>
  <si>
    <t>v_QeIsJBPG8EM</t>
  </si>
  <si>
    <t>There's a young boy dressed in a black shirt and black shorts in a field playing with a hockey stick.</t>
  </si>
  <si>
    <t>He is hitting the ball into the goal with his stick.</t>
  </si>
  <si>
    <t>He swings the stick when another person throws the ball to him and aims it towards the goal.</t>
  </si>
  <si>
    <t>v_HWkGANOfqQE</t>
  </si>
  <si>
    <t>The man is showing how he plays the guitar.</t>
  </si>
  <si>
    <t>Then he shows us how he plays flute.</t>
  </si>
  <si>
    <t>v_Yr2unlRQZa0</t>
  </si>
  <si>
    <t>A woman and a man performs cardiovascular fitness holding handles of a machine while running.</t>
  </si>
  <si>
    <t>A person adjust the angle of the pedal and continues running.</t>
  </si>
  <si>
    <t>The screen of the machine shows relevant information, and is show the audio input jack of the machine and the muscle profile while the man and the woman continues exercising.</t>
  </si>
  <si>
    <t>v_6_uxd3nj2d0</t>
  </si>
  <si>
    <t>A woman leans over a boy, dabbing his face with a substance.</t>
  </si>
  <si>
    <t>He laughs and struggles as she continues.</t>
  </si>
  <si>
    <t>He grabs her by the hair, eating the piece of food she had been rubbing on him.</t>
  </si>
  <si>
    <t>v_MTC0fs4QyEY</t>
  </si>
  <si>
    <t>There is an old man doing Tai Chi on a sidewalk while pedestrians walk by.</t>
  </si>
  <si>
    <t>The man continues doing Tai Chi on the sidewalk as several people walk by him.</t>
  </si>
  <si>
    <t>He then stands next to some well pruned shrubs and continues his exercise in the open while it rains heavily.</t>
  </si>
  <si>
    <t>He then takes his shirt and walks away after he is done with his Tai Chi exercise.</t>
  </si>
  <si>
    <t>v_EZsumzBA68I</t>
  </si>
  <si>
    <t>A man is seen standing before a large fence holding a spray hose in his hand.</t>
  </si>
  <si>
    <t>The man sprays paint all along the wall while the camera captures his movements.</t>
  </si>
  <si>
    <t>The man continues to spray the wall while the camera follows him from behind.</t>
  </si>
  <si>
    <t>v_znIFzXChO1M</t>
  </si>
  <si>
    <t>A girl in a white dress is hitting a pinata with a bat.</t>
  </si>
  <si>
    <t>A man is standing behind her watching.</t>
  </si>
  <si>
    <t>Two girls are standing by the house watching.</t>
  </si>
  <si>
    <t>v_G6qOkn-K6aw</t>
  </si>
  <si>
    <t>It is dark in the room and colorful lights come on.</t>
  </si>
  <si>
    <t>People continue dancing on the dance floor.</t>
  </si>
  <si>
    <t>v_l1oh52tqdPo</t>
  </si>
  <si>
    <t>A small white, medium size Christmas tree is standing in front of two green doors.</t>
  </si>
  <si>
    <t>A lady is carrying a bag that has a "SNO-BOND FLOCK #1" written on it.</t>
  </si>
  <si>
    <t>The lady put the sno-bond flock in a strainer and grab a water spray bottle.</t>
  </si>
  <si>
    <t>She started to sift the white stuff on the tree.</t>
  </si>
  <si>
    <t>After sifting she spray the dust towards the tree.</t>
  </si>
  <si>
    <t>v_d-cxJQcmBzA</t>
  </si>
  <si>
    <t>A man is buffing the floor with a blue buffer.</t>
  </si>
  <si>
    <t>Another man stands next to him watching.</t>
  </si>
  <si>
    <t>He goes over the tile with the buffer.</t>
  </si>
  <si>
    <t>v_jX26w60MxmU</t>
  </si>
  <si>
    <t>Two men are seen sitting in a canoe in low motion and then tips the canoe a bit with a paddle.</t>
  </si>
  <si>
    <t>The men do this several times followed by instructions and locations written in text.</t>
  </si>
  <si>
    <t>v_Vq2mQvMp_c4</t>
  </si>
  <si>
    <t>Someone is riding a horse across a grassy field and comes upon other people on horseback.</t>
  </si>
  <si>
    <t>We soon see the riders are part of a group, and we follow the group across a parking lot and into a stream.</t>
  </si>
  <si>
    <t>Celebratory cheers are heard as the group is enjoying riding across the stream.</t>
  </si>
  <si>
    <t>Then we see a couple of riders, one of them standing up in his saddle.</t>
  </si>
  <si>
    <t>v_Kb8SPjD121k</t>
  </si>
  <si>
    <t>two guys beginning a arm wrestling match,the guy in the back shirt wins the first match.</t>
  </si>
  <si>
    <t>the men switched hands and starts a new match.</t>
  </si>
  <si>
    <t>the finally match was won by the same guy with the back shirt.</t>
  </si>
  <si>
    <t>v_Oh83skxSJkQ</t>
  </si>
  <si>
    <t>A close up of a piano is seen followed by a person walking into frame.</t>
  </si>
  <si>
    <t>The person then stretches out their nails and begins playing the piano.</t>
  </si>
  <si>
    <t>The person continues playing on the instrument and stops to turn off the camera.</t>
  </si>
  <si>
    <t>v_0rDLcTmgzGQ</t>
  </si>
  <si>
    <t>The men riding the horses are playing polo in the field.</t>
  </si>
  <si>
    <t>The men are chasing the ball and hitting with mallet.</t>
  </si>
  <si>
    <t>A player hit the ball and then ran after it, behind him are other players.</t>
  </si>
  <si>
    <t>v_xr0tV2KNqgI</t>
  </si>
  <si>
    <t>A crowd of people watch as two bulls fight each other in a competition.</t>
  </si>
  <si>
    <t>The camera pans over to show many people in the crowd watching the show.</t>
  </si>
  <si>
    <t>A man walks by the camera.</t>
  </si>
  <si>
    <t>Several people are getting close to the bull trying to catch the action.</t>
  </si>
  <si>
    <t>The bulls begin to chase each other around the field.</t>
  </si>
  <si>
    <t>v_1JeK3U_nUUc</t>
  </si>
  <si>
    <t>Several shots are shown of people wandering on a beach that lead into clips of a soccer match and people celebrating.</t>
  </si>
  <si>
    <t>More people are seen dancing around as well as playing soccer and gesturing to the camera.</t>
  </si>
  <si>
    <t>v_VE-zu8cdL44</t>
  </si>
  <si>
    <t>A dog who is missing his front legs is walking across a lawn.</t>
  </si>
  <si>
    <t>He is following the camera man, then breaks into a hopping run.</t>
  </si>
  <si>
    <t>He returns, and does the same again.</t>
  </si>
  <si>
    <t>v_-IkL9Kq9zfQ</t>
  </si>
  <si>
    <t>A man in cold weather clothing is kayaking on a river.</t>
  </si>
  <si>
    <t>The shot pans out to show several kayaks, and the man stuck on a small waterfall.</t>
  </si>
  <si>
    <t>He finally gets himself unstuck, pulling away from the falls.</t>
  </si>
  <si>
    <t>v_KnF56TCKPYw</t>
  </si>
  <si>
    <t>A dog sniffs the feet of a man and a woman.</t>
  </si>
  <si>
    <t>The couple walk the dog down to a lake.</t>
  </si>
  <si>
    <t>There are other owners and dogs, and they play at the water's edge.</t>
  </si>
  <si>
    <t>v_BtGrWzfvmP0</t>
  </si>
  <si>
    <t>A girl is seen smiling and waving to the camera followed by her holding up a contact lens and cleanser.</t>
  </si>
  <si>
    <t>She mixes the two together followed by putting the contact lens in her eyes.</t>
  </si>
  <si>
    <t>She finally shows off her eyes in the end and gives the camera a thumbs up.</t>
  </si>
  <si>
    <t>v_hnwZmUR1FUw</t>
  </si>
  <si>
    <t>There are two men indoors and playing racquetball in an indoor court as they quickly hit the ball against the wall and take turns.</t>
  </si>
  <si>
    <t>One of the men wearing a green shirt looks angrily at the camera and throws the racquet at the camera.</t>
  </si>
  <si>
    <t>The camera person turns the camera to himself and he is running and laughing while looking in the camera.</t>
  </si>
  <si>
    <t>v_Y97KgwAmdrU</t>
  </si>
  <si>
    <t>Various ingredients are laid out on a counter and are all mixed together in a bowl.</t>
  </si>
  <si>
    <t>The person is then shown placing dough balls into the oven and pressing a button.</t>
  </si>
  <si>
    <t>Then person then takes the cookies out and they disappear, all in stop animation.</t>
  </si>
  <si>
    <t>v_EKyV_WFsJH0</t>
  </si>
  <si>
    <t>A man is seen speaking to the camera while a shot of a person playing basketball shows behind.</t>
  </si>
  <si>
    <t>The man continues speaking as more shots are shown of the boy playing basketball.</t>
  </si>
  <si>
    <t>The man continues speaking and ends with text across the screen.</t>
  </si>
  <si>
    <t>v_E5uAH7_WTFs</t>
  </si>
  <si>
    <t>A professional swimmer wipes his eyes before engaging in the competition.</t>
  </si>
  <si>
    <t>He takes off, swimming as he tries to beat the two competitors on either side of him.</t>
  </si>
  <si>
    <t>v_DEVD2oszH48</t>
  </si>
  <si>
    <t>A gymnast gets ready and stretches out before an event.</t>
  </si>
  <si>
    <t>The gymnast runs then tumbles down a platform during an Olympic game finally landing on a padded mat.</t>
  </si>
  <si>
    <t>A large crowd applauds the performance.</t>
  </si>
  <si>
    <t>Other gymnast look on and nod with approval.</t>
  </si>
  <si>
    <t>A replay shows the gymnasts performance in slow motion.</t>
  </si>
  <si>
    <t>The gymnast sits with her coach and is congratulated.</t>
  </si>
  <si>
    <t>v_-lV2zo5XsCg</t>
  </si>
  <si>
    <t>A close up of a horse is seen standing in a fenced in area.</t>
  </si>
  <si>
    <t>A person is then seen brushing the horse from the side.</t>
  </si>
  <si>
    <t>The person continues brushing as a close up of the horse is shown.</t>
  </si>
  <si>
    <t>v_Jo2-IPbuapw</t>
  </si>
  <si>
    <t>A person's hands are seen places in the middle of a paper and begins drawing along the picture.</t>
  </si>
  <si>
    <t>The person then paints a large tree while still moving around quickly on the painting.</t>
  </si>
  <si>
    <t>The person finishes the painting and signs their name and shows a picture of themselves.</t>
  </si>
  <si>
    <t>v_rWVpotNVeyM</t>
  </si>
  <si>
    <t>A black screen appears with with white words reading, Winter Sedona,AZ.</t>
  </si>
  <si>
    <t>A man begins walking through a field of trees and shrubs,wearing a yellow hat,cardigan,boots,and a bag.</t>
  </si>
  <si>
    <t>He then stops and begins playing a wooden recorder.</t>
  </si>
  <si>
    <t>The camera zooms in and he continues playing the recorder and various forms of the surrounding landscape is shown.</t>
  </si>
  <si>
    <t>v_7IfBJgi3WCE</t>
  </si>
  <si>
    <t>The camera moves in on two cars parked on the street facing one another.</t>
  </si>
  <si>
    <t>A young man is then seen riding a tractor along the lawn to cut the grass and moves all around the camera man.</t>
  </si>
  <si>
    <t>v_ikHGZpkhfNc</t>
  </si>
  <si>
    <t>Five people carrying skateboards are walking towards the light.</t>
  </si>
  <si>
    <t>The young people are skateboarding in a subdivision while sitting down using their hands as a break.</t>
  </si>
  <si>
    <t>The young people skateboard in a ramp, then to the parking lot, then to the subdivision, one of the skateboarders fell off their skateboards.</t>
  </si>
  <si>
    <t>v_JO_CW4PR3I8</t>
  </si>
  <si>
    <t>A man is holding a wooden case.</t>
  </si>
  <si>
    <t>He puts a towel through the case.</t>
  </si>
  <si>
    <t>He begins to shine his shoe with the towel.</t>
  </si>
  <si>
    <t>v_Y3j1uDKRpPU</t>
  </si>
  <si>
    <t>A man is seen wearing a suit and walk away.</t>
  </si>
  <si>
    <t>The man walks up to a large chair and sits down.</t>
  </si>
  <si>
    <t>Another man is seen standing in front of the chair and begins looking down at the man's feet.</t>
  </si>
  <si>
    <t>v_cxFt88Cs-fs</t>
  </si>
  <si>
    <t>Two men are outside on the side of a bridge talking to each other as several people are walking by talking to them and shaking their hands.</t>
  </si>
  <si>
    <t>After,the man that is in the harness grabs on to the shoulders of two men as they help him stand up on top of the bridge.</t>
  </si>
  <si>
    <t>Finally,the man does a free fall off of the bridge and a orange ball is thrown to him.</t>
  </si>
  <si>
    <t>v_rBnygEUFOvE</t>
  </si>
  <si>
    <t>A gymnast wearing red leotards is performing gymnastics on uneven bars in a large stadium with a several spectators.</t>
  </si>
  <si>
    <t>She is doing front flips and back flips with swift motion without falling down.</t>
  </si>
  <si>
    <t>After she's done, she gets off the uneven bars and walks off as she gives a high five to her coach.</t>
  </si>
  <si>
    <t>v_5jaIcPomOuM</t>
  </si>
  <si>
    <t>Two women are seen speaking to the camera with one holding a cat in her lap.</t>
  </si>
  <si>
    <t>The woman then proceeds to hold the cat's claws and cut the nails while pointing to the cat and looking to the camera.</t>
  </si>
  <si>
    <t>v_eOsASILOUZM</t>
  </si>
  <si>
    <t>A woman stands on a diving board.</t>
  </si>
  <si>
    <t>She jumps off of the diving board.</t>
  </si>
  <si>
    <t>She dives into the pool of water.</t>
  </si>
  <si>
    <t>She swims under the water.</t>
  </si>
  <si>
    <t>v_oZjx7F1doGs</t>
  </si>
  <si>
    <t>Two men exhibit and demonstrate the use of an automated tennis ball server on a tennis ball court.</t>
  </si>
  <si>
    <t>An animation graphic appears exhibiting two gold cylinders inside of a metal bracket.</t>
  </si>
  <si>
    <t>The animated graphic morphs into a real and actual version of the graphic, appearing on a outdoor tennis court and flanked by two men.</t>
  </si>
  <si>
    <t>The two men standing next to the machinery place tennis balls into the machine, which in turn spits out the balls acting as an automated tennis ball server for a player who is standing on the other side of the tennis court with a tennis racket.</t>
  </si>
  <si>
    <t>v_HqpflYNEI7o</t>
  </si>
  <si>
    <t>A pumpkin is sitting on a counter.</t>
  </si>
  <si>
    <t>A knife is carving a face into the pumpkin.</t>
  </si>
  <si>
    <t>The lights are turned off and the pumpkin is lit up.</t>
  </si>
  <si>
    <t>v_7-5sFmNf4i4</t>
  </si>
  <si>
    <t>There are band members talking about their concert in Canada.</t>
  </si>
  <si>
    <t>They are seated on a stage as they talk about their experience about surprising a fan.</t>
  </si>
  <si>
    <t>They surprise a fan who is the winner of a contest.</t>
  </si>
  <si>
    <t>The band members go bowling with the surprised fan and play at the bowling alley.</t>
  </si>
  <si>
    <t>After the bowling game is over, they further surprise the fan by inviting her to their concert ans sound check party.</t>
  </si>
  <si>
    <t>v_f5Ja983oTMw</t>
  </si>
  <si>
    <t>A man mounts a pommel horse and starts spinning.</t>
  </si>
  <si>
    <t>A gymnast in the background falls mid performance.</t>
  </si>
  <si>
    <t>The main performer dismounts and throws his arms in the air.</t>
  </si>
  <si>
    <t>The main performer walks away.</t>
  </si>
  <si>
    <t>v_ljxNDSS_AcA</t>
  </si>
  <si>
    <t>A man is standing in a room talking.</t>
  </si>
  <si>
    <t>Another man is painting the walls of the room.</t>
  </si>
  <si>
    <t>The man sets his paint can and his towel down next to him.</t>
  </si>
  <si>
    <t>v_hLyHeVmMDGU</t>
  </si>
  <si>
    <t>A tether rope rises up on a bar.</t>
  </si>
  <si>
    <t>Athletes prepare for an event getting poles ready and chalking hands.</t>
  </si>
  <si>
    <t>Athletes pole vault over a high bar in a competition.</t>
  </si>
  <si>
    <t>Athletes and fans meet after the event talking and signing autographs.</t>
  </si>
  <si>
    <t>A graphic is seen of event sponsors and website on the screen with black backround.</t>
  </si>
  <si>
    <t>v_KFIxTdJtXAE</t>
  </si>
  <si>
    <t>One group of adults are in a raft, paddling through the water with big waves.</t>
  </si>
  <si>
    <t>The group hit each other's paddle like a high five and then continue to paddle through the river.</t>
  </si>
  <si>
    <t>Other group of people are riding the rafts and stopped at the side of the river.</t>
  </si>
  <si>
    <t>v_QJKFphS_3UQ</t>
  </si>
  <si>
    <t>A woman is seen speaking to the camera holding an instrument and leads into her playing the flute.</t>
  </si>
  <si>
    <t>The camera continues to zoom in on her playing the instrument while she intervenes by speaking to the camera.</t>
  </si>
  <si>
    <t>v_5BuDj1xkpiI</t>
  </si>
  <si>
    <t>We see a bottle of face wash.</t>
  </si>
  <si>
    <t>We see a person holding face wash then putting it on their face.</t>
  </si>
  <si>
    <t>They rinse the face and add the face wash with a brush.</t>
  </si>
  <si>
    <t>We see an illustration on how to add the wash using a brush.</t>
  </si>
  <si>
    <t>v_lu7viu9nf6g</t>
  </si>
  <si>
    <t>Various clips of a large group of people are seen standing together leading into clips of people shooting bows and arrows.</t>
  </si>
  <si>
    <t>More clips are shown of people speaking to the camera are shown as well as people celebrating and shooting more bows and dancing.</t>
  </si>
  <si>
    <t>v_aKLKf4Qd_4U</t>
  </si>
  <si>
    <t>A close up of a house is seen when a person walks into frame.</t>
  </si>
  <si>
    <t>The person is seen grabbing lawn mower and pulling it to the side.</t>
  </si>
  <si>
    <t>The person then pushes the lawn mower all around the house.</t>
  </si>
  <si>
    <t>v_FSU0YVLCoSc</t>
  </si>
  <si>
    <t>A person's hands are seen close up on a tool and begins moving the handle around and taking the tool apart.</t>
  </si>
  <si>
    <t>The person unscrews some items and tightens the inside and moves the screwdriver around while holding the tool.</t>
  </si>
  <si>
    <t>v_ot7hBY4lQ2c</t>
  </si>
  <si>
    <t>A group of men have gathered indoors.</t>
  </si>
  <si>
    <t>Two of them crouch in the center.</t>
  </si>
  <si>
    <t>They flip to the center of the circle, doing ornate kickboxing stunts.</t>
  </si>
  <si>
    <t>Several more clips of other fighters are shown, flipping, rolling, and kicking.</t>
  </si>
  <si>
    <t>The two men hug at the end.</t>
  </si>
  <si>
    <t>v_mHe2twk5BDE</t>
  </si>
  <si>
    <t>Various still shot pictures of different men, different ages, different races and different sizes appear with white text names appearing over each of their faces.</t>
  </si>
  <si>
    <t>A blue screen then appears and white text words appear and say "WAIT!! SO WHAT IS WATER POLO??".</t>
  </si>
  <si>
    <t>Various clips of many men playing water polo in a pool start to play and it shows them splashing in the water, fighting for the ball, swimming, and trying to make a goal at the net that's at the end of a pool.</t>
  </si>
  <si>
    <t>Another blue screen appears and it has white text that say's "OK then so heres us in action" and numerous still shot pictures display of people playing water polo in the pool, or just hanging out are displayed.</t>
  </si>
  <si>
    <t>When the pictures are done a blue screen appears with a lot of white words on it that basically say that if you're interested in what you just saw, you just need to contact one of them.</t>
  </si>
  <si>
    <t>v_rYXmAD8u7N8</t>
  </si>
  <si>
    <t>Several people are talking into microphones on the stage.</t>
  </si>
  <si>
    <t>One of the men starts playing a violin.</t>
  </si>
  <si>
    <t>He gives the violin to another man who plays it.</t>
  </si>
  <si>
    <t>The audience starts clapping for them.</t>
  </si>
  <si>
    <t>v_Xj--zKhm6k4</t>
  </si>
  <si>
    <t>A large man is dancing inside a dark room.</t>
  </si>
  <si>
    <t>People behind him laugh and clap.</t>
  </si>
  <si>
    <t>He is throwing darts at a target in the distance.</t>
  </si>
  <si>
    <t>v_xi4puZ1ulP4</t>
  </si>
  <si>
    <t>A woman is seen with seen wearing a tanktop with introduction text.</t>
  </si>
  <si>
    <t>The woman have hair tied back and applies eye make up to eyes using various brushes and colors.</t>
  </si>
  <si>
    <t>The woman begins to puts eye liner on with a fine pencil.</t>
  </si>
  <si>
    <t>The women takes cloth ties out of here hair and lets her hair down which is now curled.</t>
  </si>
  <si>
    <t>The woman uses a comb and hairspray to straighten parts of here hair then ties it back.</t>
  </si>
  <si>
    <t>Messages of tex are shown on the end of the video.</t>
  </si>
  <si>
    <t>v_U8m-9nmAfGU</t>
  </si>
  <si>
    <t>A person fixes a strap on a guy.</t>
  </si>
  <si>
    <t>The guy moves closer to the edge.</t>
  </si>
  <si>
    <t>Two men places hooks on the guy.</t>
  </si>
  <si>
    <t>A man release a rope.</t>
  </si>
  <si>
    <t>The guy jumps of the edge or bungee jumps.</t>
  </si>
  <si>
    <t>v_gS4dNLjHouo</t>
  </si>
  <si>
    <t>A marching band parades down the street, playing drums and other instruments.</t>
  </si>
  <si>
    <t>People on both sides of the street watch the band perform.</t>
  </si>
  <si>
    <t>v_Pl4zAGveukQ</t>
  </si>
  <si>
    <t>A woman with long hair speaks to the camera.</t>
  </si>
  <si>
    <t>She holds up a long brush.</t>
  </si>
  <si>
    <t>She demonstrates how to use the brush to scrape snow off a car.</t>
  </si>
  <si>
    <t>When she is done, she continues talking about the brush.</t>
  </si>
  <si>
    <t>v__EKqIcXdW04</t>
  </si>
  <si>
    <t>A lady knees, while a guy walks and instructs.</t>
  </si>
  <si>
    <t>The lady places both hands behind her head.</t>
  </si>
  <si>
    <t>v_gDhfInESf_E</t>
  </si>
  <si>
    <t>A lady is brushing her hair.</t>
  </si>
  <si>
    <t>The lady brushes her hair from underneath.</t>
  </si>
  <si>
    <t>115 The lady runs her hand through her hair.</t>
  </si>
  <si>
    <t>The lady finishes and sits upright.</t>
  </si>
  <si>
    <t>v_7Lkcan0X5VA</t>
  </si>
  <si>
    <t>A person's hands are shown playing piano.</t>
  </si>
  <si>
    <t>A close up of a trumpet shows a man playing.</t>
  </si>
  <si>
    <t>The video fades to the people playing on stage.</t>
  </si>
  <si>
    <t>The camera zooms in on the trumpet player.</t>
  </si>
  <si>
    <t>A girl is shown playing piano.</t>
  </si>
  <si>
    <t>The duo continue playing until the song ends.</t>
  </si>
  <si>
    <t>v_rI-Iq496Sgk</t>
  </si>
  <si>
    <t>A man has climbed a large ladder outside.</t>
  </si>
  <si>
    <t>He is using trimmers to cut and trim large trees.</t>
  </si>
  <si>
    <t>He reaches up, cutting the branches and twigs.</t>
  </si>
  <si>
    <t>v_HdgVytIzu4s</t>
  </si>
  <si>
    <t>A man is seen holding a tennis racket and begins hitting a ball around a room.</t>
  </si>
  <si>
    <t>Another man is in frame also holding a tennis racket and hitting a ball around.</t>
  </si>
  <si>
    <t>The men continue to play with one another around the room while the camera follows their movements.</t>
  </si>
  <si>
    <t>v_RNqJj9tt3F0</t>
  </si>
  <si>
    <t>Several NHL players are playing a hockey game in a hockey stadium.</t>
  </si>
  <si>
    <t>One of the player is shown expressing his anger at the game.</t>
  </si>
  <si>
    <t>A news caster comes onto the screen to announce a a segment about hockey meltdowns.</t>
  </si>
  <si>
    <t>The top ten hockey melt downs are then shown.</t>
  </si>
  <si>
    <t>v_Ka0Rtjfi9fI</t>
  </si>
  <si>
    <t>A man trims a large hedge with a pole trimmer.</t>
  </si>
  <si>
    <t>There are several close ups of the tool in action.</t>
  </si>
  <si>
    <t>Several extensions are shown for it.</t>
  </si>
  <si>
    <t>The man trims a tree with it.</t>
  </si>
  <si>
    <t>v_VFOpGMVouVg</t>
  </si>
  <si>
    <t>A woman is seen speaking to the camera and leads into her playing with her hair and pining it up.</t>
  </si>
  <si>
    <t>She ten begins braiding her hair in various places while speaking to the camera.</t>
  </si>
  <si>
    <t>She ties her hair back around her head and ends by speaking to the camera.</t>
  </si>
  <si>
    <t>v_eQMT-WmxKM8</t>
  </si>
  <si>
    <t>a girl is holding a baton her hand.</t>
  </si>
  <si>
    <t>She tosses it to a boy beside her.</t>
  </si>
  <si>
    <t>They take turns throwing it into the air and catching it.</t>
  </si>
  <si>
    <t>v_a42c_maArv4</t>
  </si>
  <si>
    <t>The camera shakes on an image of an indoor volleyball court.</t>
  </si>
  <si>
    <t>A woman races back from the net to hit the incoming volleyball.</t>
  </si>
  <si>
    <t>A fellow team member also hits the ball and sends it across the net.</t>
  </si>
  <si>
    <t>v_e60HGAzBOvo</t>
  </si>
  <si>
    <t>The man is wearing an apron as he walks into the works space and the words "Conti Ski-Boots Service Presents Race Operation" is overlayed onto the screen as he grabs a ski pole and picks up a drill and uses it on the top of the ski.</t>
  </si>
  <si>
    <t>The man then grabs the ski and puts it into the green machinery that is located behind him and runs it through the machine a few times then removes it and stars to work on the backside of the ski which appears to look like he is sanding, taping and pouring some type of clear finish onto it.</t>
  </si>
  <si>
    <t>The man then runs a device over the sky that looks like an iron, and continues to sand it, clear it off, scrape it, and use the ironing device again.</t>
  </si>
  <si>
    <t>The man then removes the tape and turns the ski onto it's side to scrape at it.</t>
  </si>
  <si>
    <t>When he's finished he grabs the ski and puts it into a compartment that is located above the green machine.</t>
  </si>
  <si>
    <t>v_0rDb-zfhH0E</t>
  </si>
  <si>
    <t>A boy and girl in a karate uniform are playing in front of a camera.</t>
  </si>
  <si>
    <t>They talk about how they earned their karate uniforms and what they like about karate.</t>
  </si>
  <si>
    <t>The girl talks about her brother and more about karate.</t>
  </si>
  <si>
    <t>The girl plays effects on her brother.</t>
  </si>
  <si>
    <t>The girl does various karate moves for the camera.</t>
  </si>
  <si>
    <t>Then the brother does several different karate moves for the camera.</t>
  </si>
  <si>
    <t>v_MzYA5oo-mzk</t>
  </si>
  <si>
    <t>A man is in a screened area standing on a concrete circle and swings a ball on a rope around two times above his head.</t>
  </si>
  <si>
    <t>The man then quickly starts spinning himself along with swinging the ball on the rope.</t>
  </si>
  <si>
    <t>After numerous and quick swings and spins the man lets the rope go and the ball goes flying.</t>
  </si>
  <si>
    <t>v_DsqNpc9JChY</t>
  </si>
  <si>
    <t>A person wash the dishes using a brush in a sink.</t>
  </si>
  <si>
    <t>Then, the person wash the utensils while cleaning with the brush.</t>
  </si>
  <si>
    <t>After, the person pours dishwasher in a glass and a cup, then brush and rinse.</t>
  </si>
  <si>
    <t>v_BshSmo_rRII</t>
  </si>
  <si>
    <t>A man watch through a window two bears copulate while brushing a shoe.</t>
  </si>
  <si>
    <t>A girl enters the room and see the bears, then she leaves the room.</t>
  </si>
  <si>
    <t>v_g-KEU43sCt4</t>
  </si>
  <si>
    <t>Children perform martial arts moves in a dojo as adults watch.</t>
  </si>
  <si>
    <t>A girl flips and takes her turn then flips out of the center.</t>
  </si>
  <si>
    <t>A teen does a flip to the other side of the room.</t>
  </si>
  <si>
    <t>One of the teachers moves to the middle of the floor.</t>
  </si>
  <si>
    <t>The teen talks to another one of the children and send the boy in when it's his turn.</t>
  </si>
  <si>
    <t>the teen attempts to have a scared boy take a turn but the boy refuses.</t>
  </si>
  <si>
    <t>The children all run to the floor.</t>
  </si>
  <si>
    <t>v_2SnFlGUHKnc</t>
  </si>
  <si>
    <t>A woman is dancing in the middle of the street with a baton.</t>
  </si>
  <si>
    <t>She twirls and throws the baton while a small crowd watches.</t>
  </si>
  <si>
    <t>She continues down the road, performing with the baton.</t>
  </si>
  <si>
    <t>v_KRfdZgxLZPY</t>
  </si>
  <si>
    <t>In the snow, various young men perform snowboard tricks before the camera.</t>
  </si>
  <si>
    <t>A man in a blue sweatshirt jumps down a staircase.</t>
  </si>
  <si>
    <t>A young man in a black outfit performs a double trick by grinding down one railing and jumping down a staircase.</t>
  </si>
  <si>
    <t>A man in a purple sweatshirt grinds down a staircase railing.</t>
  </si>
  <si>
    <t>A man in a purple and black striped sweatshirt jumps down a staircase.</t>
  </si>
  <si>
    <t>The man in the blue sweatshirt grinds down a railing and lands stylishly on the floor.</t>
  </si>
  <si>
    <t>v_lxNV7FI-LQQ</t>
  </si>
  <si>
    <t>A shot of a sunset leads into a large group of people riding camels along the beach.</t>
  </si>
  <si>
    <t>Many people are seen riding the camels one after another on the sand.</t>
  </si>
  <si>
    <t>The video continues on showing more people riding the camels and others leading in the front.</t>
  </si>
  <si>
    <t>v_zCijq4G1B3Q</t>
  </si>
  <si>
    <t>A man is painting the wood with brush, the wood is being shown.</t>
  </si>
  <si>
    <t>The man is painting the fence with brown paint, then painting the table.</t>
  </si>
  <si>
    <t>The man mixed the paint and then began painting the wooden table, then he clean up the floor and brush it.</t>
  </si>
  <si>
    <t>v_4XX5rcqpOXA</t>
  </si>
  <si>
    <t>A person is seen sitting at a table followed by two people dancing with one another and others sitting around watch.</t>
  </si>
  <si>
    <t>The people continue dancing around one another and end by stopping and having other two dancing beside them.</t>
  </si>
  <si>
    <t>v_J80e9M4AQ5w</t>
  </si>
  <si>
    <t>We see an opening screen with a black background.</t>
  </si>
  <si>
    <t>We see a lot of people moving snow with shovel, brooms, pots, and bowls.</t>
  </si>
  <si>
    <t>A man is shoveling with a dist pan followed by ladies with a hoe and plate.</t>
  </si>
  <si>
    <t>A man throws snow on a lady.</t>
  </si>
  <si>
    <t>A man throws snow on people.</t>
  </si>
  <si>
    <t>A person is stuck in the snow is buried by others.</t>
  </si>
  <si>
    <t>A lady talks to the camera and it goes black and white.</t>
  </si>
  <si>
    <t>People are mainge snow angels.</t>
  </si>
  <si>
    <t>We see the closing credits of the video.</t>
  </si>
  <si>
    <t>v___dXUJsj3yo</t>
  </si>
  <si>
    <t>A middle age woman is shown squatting down picking up snow and dumping it in pile.</t>
  </si>
  <si>
    <t>She then walks towards the camera and sticks her tongue out.</t>
  </si>
  <si>
    <t>v_UIrn2ziRgEM</t>
  </si>
  <si>
    <t>a woman lights a cigarette in front of the camera.</t>
  </si>
  <si>
    <t>She takes a big pull off the cigarette.</t>
  </si>
  <si>
    <t>She blows smoke at the camera and smiles.</t>
  </si>
  <si>
    <t>She takes another pull of the cigarette and blows smoke out.</t>
  </si>
  <si>
    <t>She plays with her hair.</t>
  </si>
  <si>
    <t>Then she continues to smoke the cigarette while looking around.</t>
  </si>
  <si>
    <t>v_oGwn4NUeoy8</t>
  </si>
  <si>
    <t>A small group of people are seen on a stage getting their instruments ready.</t>
  </si>
  <si>
    <t>A woman begins playing the drums while another plays piano and the others watch.</t>
  </si>
  <si>
    <t>The two continue to play their instruments and others on the side watch.</t>
  </si>
  <si>
    <t>v_dukaFaotZGc</t>
  </si>
  <si>
    <t>Two men quickly dismantle a red chimney.</t>
  </si>
  <si>
    <t>One man puts wood over the gaping hole.</t>
  </si>
  <si>
    <t>The man then covers the wood with shingles.</t>
  </si>
  <si>
    <t>v_nIpT_lGpjck</t>
  </si>
  <si>
    <t>We see a person chopping a fruit.</t>
  </si>
  <si>
    <t>The person then cuts off the chopped portion.</t>
  </si>
  <si>
    <t>The person chops the fruit again and cuts off the chopped bit.</t>
  </si>
  <si>
    <t>The person picks up a slice from the bowl and cuts it.</t>
  </si>
  <si>
    <t>We then see the person chop and cut more.</t>
  </si>
  <si>
    <t>The person picks up bits off their pants.</t>
  </si>
  <si>
    <t>v_P17kaxPrbdc</t>
  </si>
  <si>
    <t>A boy is seen holding a stick while other people watch and clap on the sidelines.</t>
  </si>
  <si>
    <t>The boy holding the stick performs a martial arts routine in front of the people and ends with a pose while everyone around him claps.</t>
  </si>
  <si>
    <t>v_S2VKbwm0uE8</t>
  </si>
  <si>
    <t>A man is seen giving the camera a piece sign while others around him talk and gear up.</t>
  </si>
  <si>
    <t>One man is then seen stepping up on a platform and jumping off the side.</t>
  </si>
  <si>
    <t>v_QF7wNOCJpMU</t>
  </si>
  <si>
    <t>A man competes in a canoe in a river moving the oar very fast.</t>
  </si>
  <si>
    <t>Then, the man pass turbulent waters.</t>
  </si>
  <si>
    <t>v_SXlSHYVNcvM</t>
  </si>
  <si>
    <t>The word ehow appears on the screen.</t>
  </si>
  <si>
    <t>We see a woman dressed in red standing in a room of a house.</t>
  </si>
  <si>
    <t>She is talking about a table in front of her.</t>
  </si>
  <si>
    <t>She picks up some furniture polish, and applies it to the wood, polishing it with a sock she has put over her hand.</t>
  </si>
  <si>
    <t>v_lwo7fssfLiw</t>
  </si>
  <si>
    <t>A woman is seen speaking to the camera while holding onto a piece of exercise equipment with her arms.</t>
  </si>
  <si>
    <t>She moves the machine back and fourth while still laughing and smiling to the camera.</t>
  </si>
  <si>
    <t>v_HEfOp_pz_j4</t>
  </si>
  <si>
    <t>In a dark crystal ball, an alien looking thing is looking at the characters inside.</t>
  </si>
  <si>
    <t>Three men are playing paper, scissor, stick and stone while creatures with different colors are watching them with shock.</t>
  </si>
  <si>
    <t>One character won by using scissor, he then talked to the people around him.</t>
  </si>
  <si>
    <t>v_8JKK6JayDeA</t>
  </si>
  <si>
    <t>A woman bends down and lifts a heavy weight over her head.</t>
  </si>
  <si>
    <t>People are sitting behind them on benches.</t>
  </si>
  <si>
    <t>Several more people keep lifting the weights.</t>
  </si>
  <si>
    <t>v_vRf9sof3dwU</t>
  </si>
  <si>
    <t>A woman is seen speaking to the camera in an aggressive manner and leads into her holding up a hula hoop.</t>
  </si>
  <si>
    <t>The woman attempts to hula hoop several times and succeeds by using it on her neck and bending down to the camera.</t>
  </si>
  <si>
    <t>v_R2izNBHhctM</t>
  </si>
  <si>
    <t>A woman in pink dress is clipping the right paw of a white cat who is sitting on her lap.</t>
  </si>
  <si>
    <t>She took the left paw to clip, the cat looked up and the woman looked down and gave her a quick kiss on the head.</t>
  </si>
  <si>
    <t>The cat looked up while the woman is clipping the right back paw of the cat.</t>
  </si>
  <si>
    <t>While the woman is clipping the left back paw, the cat was blinking to the camera.</t>
  </si>
  <si>
    <t>v_GN0TdqHETvc</t>
  </si>
  <si>
    <t>Two men are seen standing in a room and speaking to the camera while holding rackets.</t>
  </si>
  <si>
    <t>The two then continuously hit the ball around the closed area back and fourth and point to the camera with a racket and run around.</t>
  </si>
  <si>
    <t>v_l866oFamRY4</t>
  </si>
  <si>
    <t>A group of numerous people are walking down a public street.</t>
  </si>
  <si>
    <t>One couple is walking a pit bull on a leash.</t>
  </si>
  <si>
    <t>We see smoke billowing from a building as the people walk away.</t>
  </si>
  <si>
    <t>v_OVf4tUiUqA0</t>
  </si>
  <si>
    <t>Two workers are shown at a shop outdoors.</t>
  </si>
  <si>
    <t>They are washing down cars with soap, including the Maserati's tires.</t>
  </si>
  <si>
    <t>They then rinse the cars and wipe them clean.</t>
  </si>
  <si>
    <t>The final product is shown as a clean, shiny italian car.</t>
  </si>
  <si>
    <t>v_G02h5bFOpCE</t>
  </si>
  <si>
    <t>A man is holding a surf board.</t>
  </si>
  <si>
    <t>Birds fly into the sky above the water.</t>
  </si>
  <si>
    <t>He surfs the waves in the water.</t>
  </si>
  <si>
    <t>He is in the car talking.</t>
  </si>
  <si>
    <t>He surfs in the water some more.</t>
  </si>
  <si>
    <t>The birds are flying over the water again.</t>
  </si>
  <si>
    <t>v_JjUQ6dWZIL0</t>
  </si>
  <si>
    <t>A large flag is flowing in the wind.</t>
  </si>
  <si>
    <t>A man is on a street, hitting a stick with another stick.</t>
  </si>
  <si>
    <t>Two men engage in martial arts kick boxing, kicking and swinging and flipping.</t>
  </si>
  <si>
    <t>v_Xfu6WQuFEks</t>
  </si>
  <si>
    <t>A man is chopping wood in a snowy yard.</t>
  </si>
  <si>
    <t>There is a pile of snow behind him.</t>
  </si>
  <si>
    <t>The log split in two with one strike.</t>
  </si>
  <si>
    <t>v_cqgecSy943o</t>
  </si>
  <si>
    <t>A man bends over to talk to the camera.</t>
  </si>
  <si>
    <t>The man then skateboards on a ramp.</t>
  </si>
  <si>
    <t>He tries to run up the ramp without a skateboard.</t>
  </si>
  <si>
    <t>A child slides down the ramp on her butt.</t>
  </si>
  <si>
    <t>The man's skateboard gets away from him.</t>
  </si>
  <si>
    <t>The man chases his skareboard.</t>
  </si>
  <si>
    <t>The man talks to the camera.</t>
  </si>
  <si>
    <t>v_1WR4jgFCqRw</t>
  </si>
  <si>
    <t>An older gentleman in a blue shirt is painting a wooden fence.</t>
  </si>
  <si>
    <t>He picks up the paint bucket and walks up the sidewalk.</t>
  </si>
  <si>
    <t>v_6tzQ5-VBgVU</t>
  </si>
  <si>
    <t>A man is seen riding around on roller blades in a park and performs a grind while the camera slows down.</t>
  </si>
  <si>
    <t>Several more roller bladers are shown grinding around a park in various locations as well as showing several more tricks.</t>
  </si>
  <si>
    <t>The camera man holds the camera close to his face and zooms in on a man sitting and smoking.</t>
  </si>
  <si>
    <t>v_a2Y7AK4VD0o</t>
  </si>
  <si>
    <t>A girl plays a wind box instrument inside of a house.</t>
  </si>
  <si>
    <t>The woman laughs then resumes playing the song on the instrument.</t>
  </si>
  <si>
    <t>v_sNeT1WZ9UwA</t>
  </si>
  <si>
    <t>A small group of people are seen sitting on horses and leads into them riding down along a dirt path.</t>
  </si>
  <si>
    <t>The camera follows the people riding along on the horses and leads to them back at the stables.</t>
  </si>
  <si>
    <t>v_FDTkn9SFPfs</t>
  </si>
  <si>
    <t>A person holding a cat straightens the cat's paw.</t>
  </si>
  <si>
    <t>The person cuts the cat's claws with a scissor shape clipper.</t>
  </si>
  <si>
    <t>The cat attacks the the cutter.</t>
  </si>
  <si>
    <t>v_Cw5NDI8NnZU</t>
  </si>
  <si>
    <t>People are surfing on a large wave in the water.</t>
  </si>
  <si>
    <t>A boat is in the water.</t>
  </si>
  <si>
    <t>A large wave crashes in the water.</t>
  </si>
  <si>
    <t>v_s0Pw7vKtqpo</t>
  </si>
  <si>
    <t>Two people are shown and then several boats are advertised.</t>
  </si>
  <si>
    <t>After,the two people in the water surfing over large huge waves together.</t>
  </si>
  <si>
    <t>Next,people on the boat comes into the water as well as on jet skis as a man stands on top of a large cliff over the water.</t>
  </si>
  <si>
    <t>v_b1RAYvxWawA</t>
  </si>
  <si>
    <t>A camera pans all around a lake showing the trees and mountains as well as the canoe sitting in front of him.</t>
  </si>
  <si>
    <t>Another boy is seen riding along the water in a canoe as well as several others paddling by.</t>
  </si>
  <si>
    <t>More shots are shown of people riding in their canoes and capturing the scenery around them.</t>
  </si>
  <si>
    <t>v_Sma-ydx49eQ</t>
  </si>
  <si>
    <t>A man starts jump roping on a stage.</t>
  </si>
  <si>
    <t>People are in the audience watching him.</t>
  </si>
  <si>
    <t>Two men stand behind cameras filming him.</t>
  </si>
  <si>
    <t>v_snPtOKtIEA4</t>
  </si>
  <si>
    <t>A team of basketball players are shown on the right side of the court doing lay-ups.</t>
  </si>
  <si>
    <t>After several turns,they move to the left side of the court and begin practicing the lay ups once more.</t>
  </si>
  <si>
    <t>As they are going,a chair sits in front of them to serve as the marker and a man walks back and forth watching them go.</t>
  </si>
  <si>
    <t>v_Zhf052cWrv8</t>
  </si>
  <si>
    <t>A man is standing and walking in the gym.</t>
  </si>
  <si>
    <t>The man sat on the rowing machine and put his feet on the pedal.</t>
  </si>
  <si>
    <t>The man began to pull the belt.</t>
  </si>
  <si>
    <t>v_6SHSstpZN1I</t>
  </si>
  <si>
    <t>We see kids on dirt bikes on a dirt field with adults standing over them.</t>
  </si>
  <si>
    <t>The kids take off and start down the dirk track.</t>
  </si>
  <si>
    <t>The kids have a hard time turning to come up the dirt track.</t>
  </si>
  <si>
    <t>One of the boys has fallen and dropped his bike.</t>
  </si>
  <si>
    <t>We see the kids high fiveing men and women on the sidelines.</t>
  </si>
  <si>
    <t>v_i5kuZ8zlhMg</t>
  </si>
  <si>
    <t>The video is about girls varsity water polo.</t>
  </si>
  <si>
    <t>There are several girls getting ready to go to a water polo sport event.</t>
  </si>
  <si>
    <t>They are holding their backpacks and gear.</t>
  </si>
  <si>
    <t>They are traveling to the event together and check into a hotel.</t>
  </si>
  <si>
    <t>The entire team spends time together before the event.</t>
  </si>
  <si>
    <t>Two of the team members talk about their experience with the water polo event.</t>
  </si>
  <si>
    <t>The team members talk about the competition and how they fared in the sport.</t>
  </si>
  <si>
    <t>The screen shows all the final wins and loses in the girls varsity water polo.</t>
  </si>
  <si>
    <t>v_apPeChgjzs4</t>
  </si>
  <si>
    <t>A shirtless man is playing bongo drums in front of a microphone.</t>
  </si>
  <si>
    <t>There are other sets of drums to his left.</t>
  </si>
  <si>
    <t>To his right is a green bag and a hat situated on a table.</t>
  </si>
  <si>
    <t>v_0WJX2A6PSnA</t>
  </si>
  <si>
    <t>Cleaning supplies (and the list of names appear on the screen) are on an island in a kitchen.</t>
  </si>
  <si>
    <t>A woman walks in, grabs the supplies, starts spraying the sink and begins scrubbing with a sponge.</t>
  </si>
  <si>
    <t>The woman then starts rinsing the sink with the hand held sprayer until it's all clean.</t>
  </si>
  <si>
    <t>The cleaning spray is on the edge of the counter and text on the screen below it read "For tough stains repeat as necessary.</t>
  </si>
  <si>
    <t>v_g2GZd1160m4</t>
  </si>
  <si>
    <t>Two young boys perform martial arts dances.</t>
  </si>
  <si>
    <t>A group of boys around them watches on.</t>
  </si>
  <si>
    <t>Behind the performs sits a group of men playing music for the performance.</t>
  </si>
  <si>
    <t>The performers return to their seats.</t>
  </si>
  <si>
    <t>v_dB4SbhaQQV8</t>
  </si>
  <si>
    <t>A bunch of kids are standing on a soccer field and a girl is talking.</t>
  </si>
  <si>
    <t>The girl is ready to kick a red ball rolled on the ground.</t>
  </si>
  <si>
    <t>The young woman wearing blue shorts and a t-shirt runs and kicks the ball.</t>
  </si>
  <si>
    <t>The young girl slides into the first water slide.</t>
  </si>
  <si>
    <t>The girl then gets up and then slides into the second water slide.</t>
  </si>
  <si>
    <t>v_6diEN8nUqsI</t>
  </si>
  <si>
    <t>A man catch a fish from a hole in the ice.</t>
  </si>
  <si>
    <t>Then, the man holds the fish that moves on the ice.</t>
  </si>
  <si>
    <t>After, the man put a metal rod on the mouth of the fish.</t>
  </si>
  <si>
    <t>v_5SzzJMuyC_M</t>
  </si>
  <si>
    <t>A person is seen throwing plaster onto a wall while the camera follows the person close behind.</t>
  </si>
  <si>
    <t>The person gradually throws more and more onto the wall and the camera pans over the finished product.</t>
  </si>
  <si>
    <t>v_2pJTak2Qz8Q</t>
  </si>
  <si>
    <t>Lots of people are seen walking by in the beginning of the video.</t>
  </si>
  <si>
    <t>Then different people are shown skiing up ramps to do cool tricks.</t>
  </si>
  <si>
    <t>v_F79Tzy2i7bI</t>
  </si>
  <si>
    <t>A baby eats bread in a high chair.</t>
  </si>
  <si>
    <t>A person puts something in the baby's eyes.</t>
  </si>
  <si>
    <t>A person messes with the baby's hair.</t>
  </si>
  <si>
    <t>v_sYphlW-m1pU</t>
  </si>
  <si>
    <t>A young boy is sitting in front of a desktop as he plays with a Rubik cube.</t>
  </si>
  <si>
    <t>He finishes the cube and sets it on the desk and quickly stops a timer.</t>
  </si>
  <si>
    <t>He grabs the cube again and begins to complete it.</t>
  </si>
  <si>
    <t>He finishes again and starts another game of the cube.</t>
  </si>
  <si>
    <t>v_DYahQgHG1Gk</t>
  </si>
  <si>
    <t>An intro appears on the screen for a video bout a man who will be playing the rums.</t>
  </si>
  <si>
    <t>The man begins to play the drums as the camera records him.</t>
  </si>
  <si>
    <t>He pauses and people are laughing and enjoying the music.</t>
  </si>
  <si>
    <t>He pauses again and waits for a reaction from the crowd.</t>
  </si>
  <si>
    <t>the camera turns to show the people that are enjoying the music.</t>
  </si>
  <si>
    <t>v_bzHSF5GJc8o</t>
  </si>
  <si>
    <t>A group of women are wearing volleyball team uniforms standing in an indoor gym, and a young woman that has a number 10 on her shirt is bouncing the volleyball and getting ready to serve.</t>
  </si>
  <si>
    <t>The woman serves the ball and a game ensues as all the women keep the ball in the area and hit it over the net multiple times trying to keep it in bounds.</t>
  </si>
  <si>
    <t>The same woman that served the ball spikes the ball very hard ,the other team misses it and her team mates cheer.</t>
  </si>
  <si>
    <t>The same woman that served earlier serves the volleyball once again and the other team quickly spikes the ball that sends the opposing team member rolling on the ground in an attempt to save the ball from hitting the ground.</t>
  </si>
  <si>
    <t>v_9A0BwCxAKAg</t>
  </si>
  <si>
    <t>A man is seen talking to the camera and leads into him rubbing down a window.</t>
  </si>
  <si>
    <t>He streaks the window with cleaner and shows several methods on how to use a wiper properly.</t>
  </si>
  <si>
    <t>The window is all clean in the end and he is still seen talking to the camera.</t>
  </si>
  <si>
    <t>v_L6Uf3epn3zA</t>
  </si>
  <si>
    <t>Several canoes are sen laid out that leads into shots of people riding in the canoes.</t>
  </si>
  <si>
    <t>A man is seen speaking to the camera as well as riding in a canoe with another woman.</t>
  </si>
  <si>
    <t>More people are seen riding down the river in canoes while the man continues to speak.</t>
  </si>
  <si>
    <t>v_YYpeT1sH_m0</t>
  </si>
  <si>
    <t>Fit guys stand on a bleach.</t>
  </si>
  <si>
    <t>The guys play beach soccer.</t>
  </si>
  <si>
    <t>A man gives an interview.</t>
  </si>
  <si>
    <t>A player juggles two soccer balls.</t>
  </si>
  <si>
    <t>v_Ox51OBhM5Ak</t>
  </si>
  <si>
    <t>A girl in a yellow shirt is eating an ice cream cone.</t>
  </si>
  <si>
    <t>A boy in a striped shirt is sitting across from her eating an ice cream cone.</t>
  </si>
  <si>
    <t>A man next to him looks back at her.</t>
  </si>
  <si>
    <t>v_rHMMgJBUWh8</t>
  </si>
  <si>
    <t>A guy spins a ball attached to a rope.</t>
  </si>
  <si>
    <t>The guy releases the ball and rope attachment to the area behind him.</t>
  </si>
  <si>
    <t>The guy spins the ball attached to a rope and falls to the ground.</t>
  </si>
  <si>
    <t>v_9A9wnSoXs48</t>
  </si>
  <si>
    <t>A man in white shirt and white lifevest is sitting in a single orange raft.</t>
  </si>
  <si>
    <t>The man in a raft is going against the water waves, he paddles and the raft is turning in circle.</t>
  </si>
  <si>
    <t>v_ZpwXqrCxcGg</t>
  </si>
  <si>
    <t>An empty room is shown with yellow tile.</t>
  </si>
  <si>
    <t>A man in a white shirt is painting a wall.</t>
  </si>
  <si>
    <t>He turns around and looks at the camera.</t>
  </si>
  <si>
    <t>v_-9B2XtqICFw</t>
  </si>
  <si>
    <t>We see a series of title screens.</t>
  </si>
  <si>
    <t>We then see a badminton match.</t>
  </si>
  <si>
    <t>We see a illustration of badminton.</t>
  </si>
  <si>
    <t>We then see a lady and a man playing indoors.</t>
  </si>
  <si>
    <t>We see animations as the man hits the ball.</t>
  </si>
  <si>
    <t>We see a illustration of the man.</t>
  </si>
  <si>
    <t>A man is talking in a green room.</t>
  </si>
  <si>
    <t>v_zGDecqEw9AU</t>
  </si>
  <si>
    <t>Two people are seen playing a fooseball table and cheering with one another.</t>
  </si>
  <si>
    <t>The people continue playing and pausing to cheer ending with a handshake.</t>
  </si>
  <si>
    <t>v_w4CiGbHLTBg</t>
  </si>
  <si>
    <t>A green paint brush holder is shown.</t>
  </si>
  <si>
    <t>The brush of the paint brush is being shown on a person's finger.</t>
  </si>
  <si>
    <t>They are painting with the brush.</t>
  </si>
  <si>
    <t>They are dropping thinner into the paint with a dropper.</t>
  </si>
  <si>
    <t>There is a model airplane sitting on the table.</t>
  </si>
  <si>
    <t>The airplane is being painted a gold color.</t>
  </si>
  <si>
    <t>A green paint brush is being shown and turned around.</t>
  </si>
  <si>
    <t>v_73zt29iKyL4</t>
  </si>
  <si>
    <t>A person is seen walking along the snow and pulling a sled behind him.</t>
  </si>
  <si>
    <t>The person cuts a hole in the ice as well as bait and finally catches a fish.</t>
  </si>
  <si>
    <t>The man cuts the fish, cooks it, and is then seen eating it and walking away.</t>
  </si>
  <si>
    <t>v_y76trNI6U0Y</t>
  </si>
  <si>
    <t>A lady is washing a small dog in a sink.</t>
  </si>
  <si>
    <t>The lady puts shampoo on the dog.</t>
  </si>
  <si>
    <t>The lady picks the dog up again.</t>
  </si>
  <si>
    <t>The lady takes the dog over to a table and stands him up.</t>
  </si>
  <si>
    <t>She drapes the dog over a rolled up towel.</t>
  </si>
  <si>
    <t>She then picks up the dog.</t>
  </si>
  <si>
    <t>v_UJebyFqxDXI</t>
  </si>
  <si>
    <t>A man is seen speaking to the camera holding various objects and transitions into him cutting the edge of a lawn.</t>
  </si>
  <si>
    <t>He is then shown mowing lawns and trimming hedges while speaking to the camera as well as blowing leaves out of a yard.</t>
  </si>
  <si>
    <t>v_9pJZsi04xBk</t>
  </si>
  <si>
    <t>Two teams play a game of indoor field hockey.</t>
  </si>
  <si>
    <t>Teams take shots on a goal keeper that are blocked.</t>
  </si>
  <si>
    <t>The referee starts and stops the game.</t>
  </si>
  <si>
    <t>v_Lr0Vm9zBXKE</t>
  </si>
  <si>
    <t>snowy mountain range is shown and people are doing snowboarding.</t>
  </si>
  <si>
    <t>helicopter is in the air landing in a mountain leaving people in the top of the mountain.</t>
  </si>
  <si>
    <t>people are inside the helicopter talking between them.</t>
  </si>
  <si>
    <t>people start going down the slope snowboarding in the mountain.</t>
  </si>
  <si>
    <t>peolpe inside the helicopter are talking and puting the winter clothes and talking to the camera.</t>
  </si>
  <si>
    <t>v_iKnRiVXMMGg</t>
  </si>
  <si>
    <t>Scenes of women using various methods to curl their hair are shown.</t>
  </si>
  <si>
    <t>A computer graphics sequence shows one particular device's functionality.</t>
  </si>
  <si>
    <t>Several women display their curled hair.</t>
  </si>
  <si>
    <t>The curling product is once again demonstrated by several women.</t>
  </si>
  <si>
    <t>One woman's before and after pictures are shown.</t>
  </si>
  <si>
    <t>v_yGO1YnMQNRI</t>
  </si>
  <si>
    <t>A man in a green shirt throws a disc onto a field.</t>
  </si>
  <si>
    <t>A man in a blue shirt throws a disc onto the field.</t>
  </si>
  <si>
    <t>A man in a purple shirt throws a disc onto the field.</t>
  </si>
  <si>
    <t>v_8DIfyvX7H8Y</t>
  </si>
  <si>
    <t>A man works on a kite.</t>
  </si>
  <si>
    <t>Another man holding a baby holds up the kite's spool.</t>
  </si>
  <si>
    <t>A third man works on a similar kite while the second man holds a spool.</t>
  </si>
  <si>
    <t>The men fly the kites from a rooftop.</t>
  </si>
  <si>
    <t>The scene changes to a nighttime view of the sky with some unidentified light.</t>
  </si>
  <si>
    <t>v_RsHk6sq_9IY</t>
  </si>
  <si>
    <t>An advertising screen appears momentarily as the video begins.</t>
  </si>
  <si>
    <t>A group of men are shown kicking a ball back and forth in a stadium.</t>
  </si>
  <si>
    <t>The men run after the ball, attempting to capture it from the opposing team.</t>
  </si>
  <si>
    <t>A yellow circle is shown around a particular player.</t>
  </si>
  <si>
    <t>v_YJ4ynq5Adg0</t>
  </si>
  <si>
    <t>A group of kids are standing around wearing lifejackets as the camera pans around a lake.</t>
  </si>
  <si>
    <t>A man is seen sitting in a boat and the camera continues panning around the area.</t>
  </si>
  <si>
    <t>The kids wander into the boats and beginning paddling down the river.</t>
  </si>
  <si>
    <t>The water becomes more furious and the kids splash the camera man playfully.</t>
  </si>
  <si>
    <t>The continue riding down the treacherous waves as the camera watches them from afar.</t>
  </si>
  <si>
    <t>v_Te1d8H4VWYw</t>
  </si>
  <si>
    <t>A small group of people are seen swimming around a pool grabbing a ball and throwing it back and fourth.</t>
  </si>
  <si>
    <t>The people continue playing with one another and throw the ball around.</t>
  </si>
  <si>
    <t>v_JgHubY5Vw3Y</t>
  </si>
  <si>
    <t>A man and woman are talking in a room.</t>
  </si>
  <si>
    <t>A person is riding a bike down the street.</t>
  </si>
  <si>
    <t>Someone falls over after riding a bike.</t>
  </si>
  <si>
    <t>The man and woman are talking in a room.</t>
  </si>
  <si>
    <t>A bike is leaning against a fence.</t>
  </si>
  <si>
    <t>A man puts a lock around the tire of his bike.</t>
  </si>
  <si>
    <t>v_HW9c7WFW6q8</t>
  </si>
  <si>
    <t>A shot of a sunset set is shown followed by peaking smoking and walking around a paint ball pit.</t>
  </si>
  <si>
    <t>The men speak to one another and lead into running around and playing paint ball.</t>
  </si>
  <si>
    <t>They pauses for a few moments to speak to one another and the camera captures the shooters from different angles.</t>
  </si>
  <si>
    <t>v_W01QffZYsxQ</t>
  </si>
  <si>
    <t>A small child is seen laying down on a rug while the camera records them.</t>
  </si>
  <si>
    <t>The child then covers their eyes with their hands and moves their head up and down.</t>
  </si>
  <si>
    <t>Finally they smile to the camera in the end.</t>
  </si>
  <si>
    <t>v_hYgheCsbtco</t>
  </si>
  <si>
    <t>A close up is seen of chords and numbers scrolling next to the top of a guitar.</t>
  </si>
  <si>
    <t>Instructions are being given for playing the instrument.</t>
  </si>
  <si>
    <t>The person's fingers move up and down on the chords as they are shown.</t>
  </si>
  <si>
    <t>v_k6pU9VaFsZ8</t>
  </si>
  <si>
    <t>man is wearing stils and is making high jumps above a trasher bin in a parking lot.</t>
  </si>
  <si>
    <t>man is doing high jumps inf ront of the las vegas sign in the street and above a stoned wall in the street.</t>
  </si>
  <si>
    <t>v_XQ0_P0LpCFM</t>
  </si>
  <si>
    <t>Two teams are shown on a field and the man is running playing lacrosse and runs directly into the other opponent.</t>
  </si>
  <si>
    <t>Another play starts and this time another person is ran into except it is more fragrant and the person lays on the ground hurt for quite some time.</t>
  </si>
  <si>
    <t>After consulting with the referee and seeking help,the male finally gets up and the rest of the game continues.</t>
  </si>
  <si>
    <t>v_m_ST2LDe5lA</t>
  </si>
  <si>
    <t>Two people wearing scuba gear are underwater.</t>
  </si>
  <si>
    <t>They look at each other, remove their mouth pieces, then kiss.</t>
  </si>
  <si>
    <t>The man places his mouth piece back in.</t>
  </si>
  <si>
    <t>v_R3YoG3Hi4iI</t>
  </si>
  <si>
    <t>A person jumps off a boat into the water.</t>
  </si>
  <si>
    <t>A boy is long boarding down a street.</t>
  </si>
  <si>
    <t>They stop and sit on a park bench.</t>
  </si>
  <si>
    <t>A person is riding an escalator up.</t>
  </si>
  <si>
    <t>v_eZdao9O8jrw</t>
  </si>
  <si>
    <t>She shows a bottle in her hand.</t>
  </si>
  <si>
    <t>She pours some of the lotion onto her hands and rubs it on her face.</t>
  </si>
  <si>
    <t>She uses a towel to dry her face.</t>
  </si>
  <si>
    <t>v_FjfWqx-NL_w</t>
  </si>
  <si>
    <t>A little boy is in an outdoor parking lot.</t>
  </si>
  <si>
    <t>He is trying to roll around on a pair of inline skates.</t>
  </si>
  <si>
    <t>He tries to balance on a small piece of wood.</t>
  </si>
  <si>
    <t>v_gusezUdYfNA</t>
  </si>
  <si>
    <t>A man is seen speaking to the camera while holding a toilet paper roll and begins blowing smoke into the roll.</t>
  </si>
  <si>
    <t>The man continues to take several drags off a pipe and blow it out into the toilet paper roll.</t>
  </si>
  <si>
    <t>v__3lgJ6yp7o8</t>
  </si>
  <si>
    <t>A person is seen sitting in a kayak and moving himself down a rough river.</t>
  </si>
  <si>
    <t>The person continues riding down the river while another people watches on the side.</t>
  </si>
  <si>
    <t>v_XSu5dteR2Ko</t>
  </si>
  <si>
    <t>A man in a black shirt is playing a harmonica.</t>
  </si>
  <si>
    <t>Another man sits on a porch of a house.</t>
  </si>
  <si>
    <t>A woman in a white scarf turns a lantern off.</t>
  </si>
  <si>
    <t>v_-fLJHBqizNM</t>
  </si>
  <si>
    <t>A man is shown on parallel bars doing a routine on them.</t>
  </si>
  <si>
    <t>He is very focused and flipping and rocking back and forth.</t>
  </si>
  <si>
    <t>The athlete then dismounts the bars and lands on his feet.</t>
  </si>
  <si>
    <t>Various shots of the same routine are shown with pauses in between and notes as to proper technique are shown.</t>
  </si>
  <si>
    <t>v_yJN4jnk_S1U</t>
  </si>
  <si>
    <t>A woman is seen walking onto a stage performing a belly dancing routine in front of an audience.</t>
  </si>
  <si>
    <t>The woman continues dancing around the stage and ends with her posing.</t>
  </si>
  <si>
    <t>v_CIQ-mnURg9E</t>
  </si>
  <si>
    <t>woman is standing in front of a screenboard.</t>
  </si>
  <si>
    <t>man is cooking chopping carrots and sautee the vegetables in a fying pan and serving it in bowls abd out the dressing and cheese while pople behind him are watching him cook.</t>
  </si>
  <si>
    <t>v_rRoRvt4p2LU</t>
  </si>
  <si>
    <t>A small group of people are seen riding down a rough river past others while many watch on the side.</t>
  </si>
  <si>
    <t>The group continues to paddle along and meeting up with other groups at the bottom.</t>
  </si>
  <si>
    <t>v_xbWSMxwcP_8</t>
  </si>
  <si>
    <t>A young girl is seen sitting on a couch next to an adult looking down at their feet.</t>
  </si>
  <si>
    <t>The girl plays with a toy iron and moves the item up and down on a shirt.</t>
  </si>
  <si>
    <t>v_F03y7m3Nwuw</t>
  </si>
  <si>
    <t>A German man is throwing a discus in competition.</t>
  </si>
  <si>
    <t>He drops the discus and then walks away.</t>
  </si>
  <si>
    <t>A replay is shown and he looks sad.</t>
  </si>
  <si>
    <t>v_YdfWewUrcTw</t>
  </si>
  <si>
    <t>We see a man talking to two other men outside a warehouse.</t>
  </si>
  <si>
    <t>Inside the warehouse we see a box the men ride their skateboards over.</t>
  </si>
  <si>
    <t>The man falls off his skateboard repeatedly.</t>
  </si>
  <si>
    <t>He flips the skateboard, and we see it in slow motion.</t>
  </si>
  <si>
    <t>The man gets a hat, and we see the end screen.</t>
  </si>
  <si>
    <t>A man jumps on a pile of boxes and we see the end screen again.</t>
  </si>
  <si>
    <t>v_gYBIX_tGaXo</t>
  </si>
  <si>
    <t>Betty Heidler competes in the Olimpic games in the women's hammer category.</t>
  </si>
  <si>
    <t>Betty Haidler seems really focused and determined to go home with a prize.</t>
  </si>
  <si>
    <t>Betty Heidler starts spinning and then with all the momentum tossed the hammer really far away.</t>
  </si>
  <si>
    <t>Betty Heidler classified to the next round as the toss was successfull.</t>
  </si>
  <si>
    <t>Someone interviews Betty Heidler and she's really happy about qualifying to the next rounds of the game.</t>
  </si>
  <si>
    <t>v_o8wdvkauJQQ</t>
  </si>
  <si>
    <t>People workout on a fitness machine pulling a strings on a rod and going back and forth.</t>
  </si>
  <si>
    <t>A man folds a fitness machine in a gym.</t>
  </si>
  <si>
    <t>Then, a man make workouts in a fitness machine.</t>
  </si>
  <si>
    <t>v_IPehEfMBLM0</t>
  </si>
  <si>
    <t>A woman in blue shirt is chopping the wood, when she chopped the wood in half, she put them aside then she take another log and chopped it in half.</t>
  </si>
  <si>
    <t>The woman try to chop the wood in half but it won't get chopped in half, then it fell on ground and she put it back on the chopping board, and she continue to chop the wood, after several attempts she finally chopped the wood in half.</t>
  </si>
  <si>
    <t>v_uy9Z2i8AmyY</t>
  </si>
  <si>
    <t>Various picnic tables are shown on a field followed by a man putting on gear and others running through the forest.</t>
  </si>
  <si>
    <t>Several people are seen playing a paintball match with one another and continuously moving around the forest and holding up a gun.</t>
  </si>
  <si>
    <t>The person then runs through an area holding his gun up and shooting when a person arrives.</t>
  </si>
  <si>
    <t>v_YufXlj-WpEw</t>
  </si>
  <si>
    <t>The video leads into several shots of people running down a long track and jumping into a sand pit.</t>
  </si>
  <si>
    <t>More women are shown running down the track and landing into the sand pit as others watch.</t>
  </si>
  <si>
    <t>v_xmvwhxB1q30</t>
  </si>
  <si>
    <t>A man and two children paddle down a river.</t>
  </si>
  <si>
    <t>Two canoes are tied together.</t>
  </si>
  <si>
    <t>The water gets choppier as they go on.</t>
  </si>
  <si>
    <t>The river is lined with many trees.</t>
  </si>
  <si>
    <t>v_iC1C5wfb0iU</t>
  </si>
  <si>
    <t>A group of men play foosball outdoors.</t>
  </si>
  <si>
    <t>The men on the right win and shake hands and hung.</t>
  </si>
  <si>
    <t>One man high fives a child held up by a lady behind them.</t>
  </si>
  <si>
    <t>v_ihMn28mft2s</t>
  </si>
  <si>
    <t>A man sporting a beard and mustache and wearing a white shirt is giving a tutorial on volleyball safety.</t>
  </si>
  <si>
    <t>He then wears a black sweatshirt and demonstrates how to do stretching exercises.</t>
  </si>
  <si>
    <t>He continues to explain what gear to wear while playing and warming up for volleyball.</t>
  </si>
  <si>
    <t>There are some athletes playing volleyball as he talks.</t>
  </si>
  <si>
    <t>There is a game of volleyball shown where players are in an indoor gym.</t>
  </si>
  <si>
    <t>v_Sk1RSHPavBU</t>
  </si>
  <si>
    <t>We see men playing soccer in the sand.</t>
  </si>
  <si>
    <t>The ball enters and everyone runs towards the ball.</t>
  </si>
  <si>
    <t>A man on the right kicks the ball into the goal.</t>
  </si>
  <si>
    <t>The men in red all high five.</t>
  </si>
  <si>
    <t>v_zM1-aiWdPvY</t>
  </si>
  <si>
    <t>A woman is seen speaking to the camera while standing next to a horse and holding a brush.</t>
  </si>
  <si>
    <t>She begins brushing all along the horse while still speaking to the camera.</t>
  </si>
  <si>
    <t>She pauses for a moment to end while speaking to the camera.</t>
  </si>
  <si>
    <t>v_8WJWtfmEipI</t>
  </si>
  <si>
    <t>A car is stopped at a red light and there's a view of a small town that has some snow on the ground.</t>
  </si>
  <si>
    <t>The light turns green and the car drives down the street and there's no people walking on the sidewalk and just one truck parked.</t>
  </si>
  <si>
    <t>On the right side there's someone shoveling ice from the road and the car passes him.</t>
  </si>
  <si>
    <t>v_uxsZFuXKs3A</t>
  </si>
  <si>
    <t>A man is outdoors standing on a 4 step tool and swipes his hedge cutter to the right.</t>
  </si>
  <si>
    <t>The man then lifts the cutters up and begins cutting more towards his left side.</t>
  </si>
  <si>
    <t>The man stops cutting and begins to step down from the ladder.</t>
  </si>
  <si>
    <t>v_fvUckFYBQks</t>
  </si>
  <si>
    <t>A woman starts braiding her hair.</t>
  </si>
  <si>
    <t>Directions come up on the side of the screen.</t>
  </si>
  <si>
    <t>The woman turns to the side to show her braid.</t>
  </si>
  <si>
    <t>v_T3ngvDyxYiE</t>
  </si>
  <si>
    <t>Two teams are on either side of a field.</t>
  </si>
  <si>
    <t>They are holding a rope, getting ready to pull.</t>
  </si>
  <si>
    <t>The two teams begin pulling, trying to win the competition as a crowd watches.</t>
  </si>
  <si>
    <t>The yellow group begin to be pulled forward against their will.</t>
  </si>
  <si>
    <t>v_EM0N4dzewIg</t>
  </si>
  <si>
    <t>The front of a building called Giant is seen.</t>
  </si>
  <si>
    <t>Technicians are shown inside, working on bicycles.</t>
  </si>
  <si>
    <t>They work in teams, trying to build and repair.</t>
  </si>
  <si>
    <t>v_trV2ycq9rkU</t>
  </si>
  <si>
    <t>Two men are shown on the side of a building roof.</t>
  </si>
  <si>
    <t>One turns to the side, using a piece of equipment.</t>
  </si>
  <si>
    <t>They appear to be building a roof.</t>
  </si>
  <si>
    <t>v_2bnO6YWXCiU</t>
  </si>
  <si>
    <t>A man is spreading mulch around plants.</t>
  </si>
  <si>
    <t>A man is sitting at a table reading a newspaper.</t>
  </si>
  <si>
    <t>A well manicured yard is shown.</t>
  </si>
  <si>
    <t>v_8LB2tdMOZ6g</t>
  </si>
  <si>
    <t>a football game is showing and a man in the news is talking about a voleyball game.</t>
  </si>
  <si>
    <t>the set is shown with the voleyball game and some women in bikini playing white the spectators are on the grades clapping.</t>
  </si>
  <si>
    <t>back to the studio are three commentators talking.</t>
  </si>
  <si>
    <t>v_-rKS00dzFxQ</t>
  </si>
  <si>
    <t>A man and a woman stand by a table speaking to the camera.</t>
  </si>
  <si>
    <t>A recipe of mashed potatoes sits on the table.</t>
  </si>
  <si>
    <t>The man peels and cuts potatoes before throwing them into a yellow pot.</t>
  </si>
  <si>
    <t>The man throws in three handfuls of salt into the yellow pot.</t>
  </si>
  <si>
    <t>The man cuts up some garlic.</t>
  </si>
  <si>
    <t>Into the pot, the man throws the garlic along with two leaves.</t>
  </si>
  <si>
    <t>The woman joins the man at the table and she cuts butter in half.</t>
  </si>
  <si>
    <t>The woman throws the butter into a saucepan.</t>
  </si>
  <si>
    <t>The man speaks to her briefly and the woman proceeds to pour some milk into the saucepan.</t>
  </si>
  <si>
    <t>The man places the yellow pot and the saucepan on the stove.</t>
  </si>
  <si>
    <t>The man grabs the pot's lid and covers the pot.</t>
  </si>
  <si>
    <t>Back at the table, the man removes the lid from the pot and removes the leaves.</t>
  </si>
  <si>
    <t>The man mashes the potatoes.</t>
  </si>
  <si>
    <t>The man throws in a pinch of salt onto the potatoes.</t>
  </si>
  <si>
    <t>The man resumes mashing the potatoes.</t>
  </si>
  <si>
    <t>The man pours in the milk from the saucepan into the pot.</t>
  </si>
  <si>
    <t>The man mashes the potatoes some more.</t>
  </si>
  <si>
    <t>The man grabs some pepper and throws it onto the potatoes.</t>
  </si>
  <si>
    <t>The man adds some more milk.</t>
  </si>
  <si>
    <t>The man returns to mashing the potatoes and stirring them as they have thoroughly become soft.</t>
  </si>
  <si>
    <t>The man pauses for a second to throw in some water and resumes to stirring the potatoes.</t>
  </si>
  <si>
    <t>The finished mashed potatoes dish is left on a counter.</t>
  </si>
  <si>
    <t>v_45v95EtrJX0</t>
  </si>
  <si>
    <t>A close up of a board with shown with several pucks sitting around the side.</t>
  </si>
  <si>
    <t>Suddenly another puck is pushed down and knocked into others while people watch.</t>
  </si>
  <si>
    <t>v_iPc-u9aU_SQ</t>
  </si>
  <si>
    <t>Two men are crouched beside a car, and a third stands.</t>
  </si>
  <si>
    <t>They remove the tire while another man takes pictures.</t>
  </si>
  <si>
    <t>The two men change the tire, putting on a spare.</t>
  </si>
  <si>
    <t>v_RmwaWeIPX70</t>
  </si>
  <si>
    <t>A woman carry a heavy ball and stands on a circle.</t>
  </si>
  <si>
    <t>Then, the woman spins the weight.</t>
  </si>
  <si>
    <t>Then, the woman throw the weight.</t>
  </si>
  <si>
    <t>v_hog7gGdk4i4</t>
  </si>
  <si>
    <t>the kids are on the swing while one kid stand and push a little dog on the swing.</t>
  </si>
  <si>
    <t>three bikers are riding there bike in the parking lot passing the swing area.</t>
  </si>
  <si>
    <t>A women then jogs on the sidewalk passing the swing area as well.</t>
  </si>
  <si>
    <t>v_WL4iqWa_1Z0</t>
  </si>
  <si>
    <t>Two young males are sitting at a desk behind two microphones and two computers.</t>
  </si>
  <si>
    <t>One boy leaves and the other guys stays to gather his belongings.</t>
  </si>
  <si>
    <t>As he is packing up,a young woman walks in and begins shutting off the equipment and cleaning up around the radio station.</t>
  </si>
  <si>
    <t>Once everything is packed up,the boy leaves and begins blowing kisses to the camera.</t>
  </si>
  <si>
    <t>v_jzl0Ar3H5f8</t>
  </si>
  <si>
    <t>A man dressed in black walks through a long hall in a palace.</t>
  </si>
  <si>
    <t>Two men in dressed in white practice stretching and prepare for a fencing match while a coach dressed in black looks on with a butler in the rear stands by.</t>
  </si>
  <si>
    <t>The two men dressed in white put on their fencing masks and begin a fencing match.</t>
  </si>
  <si>
    <t>The coach dressed in black begins critiquing the two fencers and holds the tips of the swords in his hand.</t>
  </si>
  <si>
    <t>The coach turns and walks to the butler and begins conversing.</t>
  </si>
  <si>
    <t>v_Oj_PLXsWxL4</t>
  </si>
  <si>
    <t>A weightlifter stands on a wooden platform in a gym room and lifts heavily weighted bar bells above his head, several times while surrounded by onlookers.</t>
  </si>
  <si>
    <t>A weightlifter lifts over three bar bells above his head squatting under the weight as other gym attendees look on as he hoists the weight above his head and then allows the bell to fall to the floor.</t>
  </si>
  <si>
    <t>The man performs several more lifts of the bell bending at the knees first and then hoisting the bell to the shoulders before throwing the weight on the floor.</t>
  </si>
  <si>
    <t>The man shakes hands and hugs the onlookers when through with the demonstration.</t>
  </si>
  <si>
    <t>v_fM4pJeHb8hQ</t>
  </si>
  <si>
    <t>A woman is sitting down in a chair with a woman standing behind her.</t>
  </si>
  <si>
    <t>The woman begins to brush the woman's hair.</t>
  </si>
  <si>
    <t>She starts to braid the hair.</t>
  </si>
  <si>
    <t>v_iM8ZD2PwKDg</t>
  </si>
  <si>
    <t>There is a group of ladies in a gym dressed in workout tops and tights.</t>
  </si>
  <si>
    <t>They are all participating in a structured aerobics class.</t>
  </si>
  <si>
    <t>They are coordinating their steps and synchronizing their moves as they step on and off of the platform.</t>
  </si>
  <si>
    <t>They are dancing as they exercise to music.</t>
  </si>
  <si>
    <t>After they're done, they stop and raise remove the platforms.</t>
  </si>
  <si>
    <t>v_L9cxYlPkUYs</t>
  </si>
  <si>
    <t>An d for About dot com starts with a man in white speaking to the camera in front of a white background.</t>
  </si>
  <si>
    <t>The video then shows a series of professionals working hard and then cuts to two women running on the beach.</t>
  </si>
  <si>
    <t>A shot of a cyclist is shown and then it cuts back to the same man in white speaking.</t>
  </si>
  <si>
    <t>A woman is shown running and the man continues speaking about fitness tips.</t>
  </si>
  <si>
    <t>v_ymwMEUuXygs</t>
  </si>
  <si>
    <t>A man with a blue shirt is outside walking up a stair case into a building.</t>
  </si>
  <si>
    <t>As he walks in ,he walks down a row of several bicycles and sets up a camera.</t>
  </si>
  <si>
    <t>The man then enters another room with three other males and they begin to unbox and assemble several bicycles together.</t>
  </si>
  <si>
    <t>Once they are secured,the men get on them,testing them out and making the final touches on them.</t>
  </si>
  <si>
    <t>The bikes are finally finished and the man lifts it up to the camera and begins riding it down the sidewalk.</t>
  </si>
  <si>
    <t>v_EOvotFy4YX0</t>
  </si>
  <si>
    <t>A man is seen riding a camel that has a cart attached to the back with two passengers.</t>
  </si>
  <si>
    <t>The people in the back have a conversation while riding through several people watching on the sidelines.</t>
  </si>
  <si>
    <t>The man riding the camel smiles and waves to the camera.</t>
  </si>
  <si>
    <t>v_wZEf-Bs__sU</t>
  </si>
  <si>
    <t>A group of athletes are on a track outside.</t>
  </si>
  <si>
    <t>A man walks down the path, then runs.</t>
  </si>
  <si>
    <t>He takes a giant leap into a sand pit.</t>
  </si>
  <si>
    <t>v_pI-rY6fLM1Q</t>
  </si>
  <si>
    <t>A group of people ice fish on an ice covered lake on an overcast day.</t>
  </si>
  <si>
    <t>A man walks on a snow covered lake and pulls a fish out of a fishing hole.</t>
  </si>
  <si>
    <t>A woman and a man then run on the ice and pull another fish out of another hole in the lake.</t>
  </si>
  <si>
    <t>A third fish is pulled out of another hole in the ice and then thrown back into the hole.</t>
  </si>
  <si>
    <t>v_BN3ejP3RbkQ</t>
  </si>
  <si>
    <t>A man is sitting on a street.</t>
  </si>
  <si>
    <t>He is playing an instrument next to an open instrument case.</t>
  </si>
  <si>
    <t>People are passing on the sidewalk in front of him.</t>
  </si>
  <si>
    <t>v_D4LoDBsIFjw</t>
  </si>
  <si>
    <t>A boy watches as a semi truck drives through the desert.</t>
  </si>
  <si>
    <t>A man puts on his helmet and pushes off into the river on a kayak.</t>
  </si>
  <si>
    <t>A man paddles on rapids and down a river on a kayak.</t>
  </si>
  <si>
    <t>A man fishes from a beach on the shore of a river.</t>
  </si>
  <si>
    <t>A group prepares a picnic on the shore.</t>
  </si>
  <si>
    <t>A man flips over on his kayak from being turned over in the water.</t>
  </si>
  <si>
    <t>v_uHPrH22rPgU</t>
  </si>
  <si>
    <t>A guy is throwing darts across the room.</t>
  </si>
  <si>
    <t>The speed of the clip is quickened.</t>
  </si>
  <si>
    <t>v_7LkHBg_eAfU</t>
  </si>
  <si>
    <t>A man and woman are standing in a dance position.</t>
  </si>
  <si>
    <t>They then shift, showing different steps slowly.</t>
  </si>
  <si>
    <t>They continue dancing, showing how to perform different moves.</t>
  </si>
  <si>
    <t>v_p2RMXdo5avw</t>
  </si>
  <si>
    <t>A shuffleboard is sitting against a wall.</t>
  </si>
  <si>
    <t>Someone throws a ball down it.</t>
  </si>
  <si>
    <t>A green ball gets through down after it.</t>
  </si>
  <si>
    <t>v_dh4bxvmrCNs</t>
  </si>
  <si>
    <t>The girl is shoot the arrow.</t>
  </si>
  <si>
    <t>Five young people are shooting arrows.</t>
  </si>
  <si>
    <t>The young people removed the arrows from the target boards.</t>
  </si>
  <si>
    <t>v_tYZJ4O5Hsz4</t>
  </si>
  <si>
    <t>A little girl plays softly the drums holding two sticks while she is singing on a microphone.</t>
  </si>
  <si>
    <t>The, the girl plays more fast the drums.</t>
  </si>
  <si>
    <t>v_WBRQ4vHBFMY</t>
  </si>
  <si>
    <t>A woman is laying down in a chair as a man with gloves works.</t>
  </si>
  <si>
    <t>He places clamps on various parts of her nose.</t>
  </si>
  <si>
    <t>He then inserts a rod before creating a piercing.</t>
  </si>
  <si>
    <t>v_xZOzVaTezm8</t>
  </si>
  <si>
    <t>A person in a green jacket walks around on the snow.</t>
  </si>
  <si>
    <t>A young girl lays in a tube on the snow.</t>
  </si>
  <si>
    <t>She is then pushed down the ramp.</t>
  </si>
  <si>
    <t>Eventually she comes to a stop.</t>
  </si>
  <si>
    <t>v_VCg6_fuipp8</t>
  </si>
  <si>
    <t>An athletic man is seen standing ready in front of a large crowd and then runs down the track and jumps over a beam.</t>
  </si>
  <si>
    <t>The man celebrates with other people and his same jump is shown several times in slow motion.</t>
  </si>
  <si>
    <t>v_mRe2xY_amWw</t>
  </si>
  <si>
    <t>The video leads into various text shown across the screen followed by cheerleaders performing a routine.</t>
  </si>
  <si>
    <t>Several shots of cheer leading performers are shown completing impressive stunts and moving across a stage while others watch.</t>
  </si>
  <si>
    <t>v_VEDRmPt_-Ms</t>
  </si>
  <si>
    <t>women are in a gymnastics competition doing high jumps in a roofed gym with a lot of people gathered around them watching them.</t>
  </si>
  <si>
    <t>participants are on the podium receiveng thei medals.</t>
  </si>
  <si>
    <t>v_ggGw9EGSMs8</t>
  </si>
  <si>
    <t>A man paints a fence as the man next to him waters the fence.</t>
  </si>
  <si>
    <t>Both of them go over the fence a second time.</t>
  </si>
  <si>
    <t>They do it a third time.</t>
  </si>
  <si>
    <t>And they do it a fourth time.</t>
  </si>
  <si>
    <t>They do it a fifth time.</t>
  </si>
  <si>
    <t>v_mi_zRluISrE</t>
  </si>
  <si>
    <t>A construction worker named Dave begins to show you how to grout.</t>
  </si>
  <si>
    <t>He starts on the wall and begins to explain what he is doing and why he is doing.</t>
  </si>
  <si>
    <t>Once the grout begins to dry he informs you that you should wipe it down with a sponge various times.</t>
  </si>
  <si>
    <t>With a finer sponge you go over it again and get it out while wet so it doesn't ruin the tile and all the work you have done.</t>
  </si>
  <si>
    <t>v_R4aCl2dLS1w</t>
  </si>
  <si>
    <t>A man is seen wearing boxing gloves and hitting a bag in the middle of a large room.</t>
  </si>
  <si>
    <t>The man continues to hit the bag while several others are seen hitting bags in the background.</t>
  </si>
  <si>
    <t>He kicks and punches the bag and ends by walking towards the camera.</t>
  </si>
  <si>
    <t>v_O2vrVwjqktg</t>
  </si>
  <si>
    <t>A volleyball is spinning on a ledge.</t>
  </si>
  <si>
    <t>We then see a game being played of table tennis, the players showing the mechanics of the paddle, ball, and table as they play.</t>
  </si>
  <si>
    <t>v_byO53jHoAwI</t>
  </si>
  <si>
    <t>A man standing in a yard and playing bagpipes.</t>
  </si>
  <si>
    <t>The man is taking deep breaths and moving the keys.</t>
  </si>
  <si>
    <t>v_vrMWYB0UuGM</t>
  </si>
  <si>
    <t>Two individuals play squash together in an indoor court.</t>
  </si>
  <si>
    <t>One of the individuals recovers the ball and serves.</t>
  </si>
  <si>
    <t>The same individual recovers the ball and serves again.</t>
  </si>
  <si>
    <t>v_cB5ozEChN5Q</t>
  </si>
  <si>
    <t>People ride a line up a hill in a tubing resort.</t>
  </si>
  <si>
    <t>A person rides a tube down a hill.</t>
  </si>
  <si>
    <t>We watch the people walking up the hill holding their tubes and watch people go down the hill.</t>
  </si>
  <si>
    <t>We watch as the camera man goes down the hill.</t>
  </si>
  <si>
    <t>v_u3nOmvgcs84</t>
  </si>
  <si>
    <t>A girl stands by a counter with various food items placed out on the counter.</t>
  </si>
  <si>
    <t>She holds up the ingredients and instructs what you'll need to make a sandwich.</t>
  </si>
  <si>
    <t>She begins chopping the vegetables and putting the dressing on the bread.</t>
  </si>
  <si>
    <t>She spreads around the dressing and puts the other ingredients on the sandwich to finish.</t>
  </si>
  <si>
    <t>v_Irmh66trRY4</t>
  </si>
  <si>
    <t>We see the title go across the screen.</t>
  </si>
  <si>
    <t>We see baking supplies and ingredients.</t>
  </si>
  <si>
    <t>Someone stirs cookie dough and puts cookies on a sheet.</t>
  </si>
  <si>
    <t>The cookies go into the oven and bake for 9 minutes, and a new batch is put in the oven.</t>
  </si>
  <si>
    <t>The warm cookies are put on a cooling rack.</t>
  </si>
  <si>
    <t>The person washes, and drys the silicone baking sheet.</t>
  </si>
  <si>
    <t>They roll the baking sheet up and show us the finished cooling cookies.</t>
  </si>
  <si>
    <t>v_MfSdXqOC-f0</t>
  </si>
  <si>
    <t>A man is standing on an open field outdoors.</t>
  </si>
  <si>
    <t>He uses an archery set to pull back and arrow at a flying disc.</t>
  </si>
  <si>
    <t>He hits the discs with the arrow every time.</t>
  </si>
  <si>
    <t>v_Ft3SzVtUsKA</t>
  </si>
  <si>
    <t>A camera is shown sitting on the side of a pool capturing bubble underneath.</t>
  </si>
  <si>
    <t>More bubbles are shown followed by a man jumping in.</t>
  </si>
  <si>
    <t>The man jumps all the way into the pool and the camera captures his movements.</t>
  </si>
  <si>
    <t>v_QaNQrUpmmgo</t>
  </si>
  <si>
    <t>A woman in an orange shirt is sitting on an exercise machine.</t>
  </si>
  <si>
    <t>People are walking past a window behind her.</t>
  </si>
  <si>
    <t>v__zAfwnDt4VE</t>
  </si>
  <si>
    <t>A man is kneeling down in the dirt over a a silver bowl that is full of soap.</t>
  </si>
  <si>
    <t>In the large bowl,he begins to move a white shirt as if he is washing it.</t>
  </si>
  <si>
    <t>Finally,he stops and takes a hose to finish rinsing the water.</t>
  </si>
  <si>
    <t>v_XoCvj2IbVGE</t>
  </si>
  <si>
    <t>A person;s hand is seen turning a knob followed by their foot stepping on a button and a man holding up an iron.</t>
  </si>
  <si>
    <t>He adjusts more settings While testing the iron and begins ironing a shirt on a table.</t>
  </si>
  <si>
    <t>The men continues to flip around the shirt and iron and en by showing off the ironing machine to the camera.</t>
  </si>
  <si>
    <t>v_ItFq_6cIByw</t>
  </si>
  <si>
    <t>A man sits behind a drum set.</t>
  </si>
  <si>
    <t>The man starts playing the drum set.</t>
  </si>
  <si>
    <t>The man keeps playing the drums.</t>
  </si>
  <si>
    <t>v_980U7SiE0Nk</t>
  </si>
  <si>
    <t>Two girls are seen standing on a gymnasium floor in front of a large crowd.</t>
  </si>
  <si>
    <t>The girls then begin dancing around the area while twirling batons in their hands.</t>
  </si>
  <si>
    <t>They continue to spin around one another and end by holding a pose.</t>
  </si>
  <si>
    <t>v_N-92_rikI8U</t>
  </si>
  <si>
    <t>There's a man skiing down a very steep mountain slope.</t>
  </si>
  <si>
    <t>The man is going down very fast and steadily while fully dressed in ski gear and goggles.</t>
  </si>
  <si>
    <t>He then falls down to the ground as he reaches the bottom of the slope.</t>
  </si>
  <si>
    <t>He gets right back up and dusts off the snow from his clothes.</t>
  </si>
  <si>
    <t>He talks to another person through a hands free device attached on his coat to let him know he's okay.</t>
  </si>
  <si>
    <t>v_mcS9LX_P4BA</t>
  </si>
  <si>
    <t>an image of a girl with her vlog asking people to subscribe.</t>
  </si>
  <si>
    <t>a girl wearing red hirt with her face is sitting on a living room and is reading tweets and talking about them.</t>
  </si>
  <si>
    <t>girl holds a small pumpkin and a knife and cut the pumpkin while talking.</t>
  </si>
  <si>
    <t>the pumkkin is slice in two and is shown the inside while the girl keps talking and reading tweets.</t>
  </si>
  <si>
    <t>v_8ltNqT5N-xs</t>
  </si>
  <si>
    <t>A woman is seen belly dancing on a large stage while people watch her on the side.</t>
  </si>
  <si>
    <t>She moves her hips all around while a band plays instruments behind her.</t>
  </si>
  <si>
    <t>The woman continues dancing and ends by holding a pose and flipping back her hair.</t>
  </si>
  <si>
    <t>v_k4a5XXRYKK4</t>
  </si>
  <si>
    <t>A game of lacrosse of being shown with a large group of people running around a field.</t>
  </si>
  <si>
    <t>Several people watch on the sidelines as the game continues and a ref steps in to make a call.</t>
  </si>
  <si>
    <t>v_q_DajTs5gIA</t>
  </si>
  <si>
    <t>A person holds and pet a hairless cat.</t>
  </si>
  <si>
    <t>The person cleans and cuts the nails of the front legs of the cat.</t>
  </si>
  <si>
    <t>v_Fi_ja3Urdtg</t>
  </si>
  <si>
    <t>A man is talking from behind a bar.</t>
  </si>
  <si>
    <t>He shows off several kinds of bottles and taps.</t>
  </si>
  <si>
    <t>He shows how to mix a drink which he serves to a woman.</t>
  </si>
  <si>
    <t>v_XFZ5_uNU7jE</t>
  </si>
  <si>
    <t>A person peels potatoes in a sink, suddenly a cat jumps to the bench to watch the woman.</t>
  </si>
  <si>
    <t>The cat touch the sink with his mouth and intend to pass to the other side of the sink but the woman prevents it.</t>
  </si>
  <si>
    <t>Then, the cat drinks water from the sink and cat continues watching the woman.</t>
  </si>
  <si>
    <t>After, the cat touch the potato peeler with a leg while the person continue peeling the potatoes.</t>
  </si>
  <si>
    <t>v_86S2O0fpX4g</t>
  </si>
  <si>
    <t>A woman is lying on equipment in a gym.</t>
  </si>
  <si>
    <t>She has her feet tied with chain to a machine.</t>
  </si>
  <si>
    <t>She holds her head as she pulls her feet back and forth.</t>
  </si>
  <si>
    <t>v_JrRtv8puAZI</t>
  </si>
  <si>
    <t>A guy holds a light cloth.</t>
  </si>
  <si>
    <t>A guy gets a white basin from beneath the sink and fills it with water in a sink.</t>
  </si>
  <si>
    <t>The guy puts down the light cloth and adds dish soap to the basin.</t>
  </si>
  <si>
    <t>The guy gets a rack from beneath the sink and places it on the counter top.</t>
  </si>
  <si>
    <t>The guy adds utensils and a dish to the white basin and washes them with a red rug.</t>
  </si>
  <si>
    <t>A boy watches from behind.</t>
  </si>
  <si>
    <t>The guy rinses the dishes and puts them in a rack.</t>
  </si>
  <si>
    <t>The guy dries the dish with the light cloth.</t>
  </si>
  <si>
    <t>v_vSpl69BWMKI</t>
  </si>
  <si>
    <t>A man in gray shirt and jeans with orange helmet is trimming the hedges, he is standing in a ladder to reach the top of the hedge and trim it, the man continue to trim the hedge.</t>
  </si>
  <si>
    <t>A man in white shirt and orange helmet is trimming the burned hedges.</t>
  </si>
  <si>
    <t>v_2u1gdf_53C0</t>
  </si>
  <si>
    <t>A person in a protective white suit and goggles sprays a surface with purple paint using a spray gun in a room with white walls and floors.</t>
  </si>
  <si>
    <t>The person then spins the surface around on a spinning table and paints the sides.</t>
  </si>
  <si>
    <t>The finishes matte product is shown, dried, in the plain white room where the painting happened.</t>
  </si>
  <si>
    <t>v_C8hdbmjUMRc</t>
  </si>
  <si>
    <t>man is standing in a room mixing cement on a bucket.</t>
  </si>
  <si>
    <t>the man grabs the mix and spread it in the floor and put white tiles.</t>
  </si>
  <si>
    <t>the man sweeps the floor and spread cement again to put the tiles in the remaining part of the room.</t>
  </si>
  <si>
    <t>v_uX-UwKfRvJY</t>
  </si>
  <si>
    <t>The video begins with four pictures of contracted human abdomens.</t>
  </si>
  <si>
    <t>There's a young girl dressed in a blue tank top and black tights demonstrating the proper way to do planks and crunches.</t>
  </si>
  <si>
    <t>She is laying on a blue Yoga mat as she does crunches.</t>
  </si>
  <si>
    <t>Then she lays on her stomach by raising herself up on her elbows to show how to do planks.</t>
  </si>
  <si>
    <t>v_P0N68OQDhNs</t>
  </si>
  <si>
    <t>An athlete in black shirt gives instructions for a practice drill while standing on a large sporting field.</t>
  </si>
  <si>
    <t>The man sets up for an exercise and squats up and down for practice.</t>
  </si>
  <si>
    <t>The man jumps multiple times and goes further each jump.</t>
  </si>
  <si>
    <t>The man bends down and touches the ground while twisting.</t>
  </si>
  <si>
    <t>The man gives more instructions on a practice run while giving hand gestures.</t>
  </si>
  <si>
    <t>The man sets up on the edge of a line and jumps with one foot, then repeats.</t>
  </si>
  <si>
    <t>The man gives a final set of instructions while breathing heavy.</t>
  </si>
  <si>
    <t>A set of text is seen with information.</t>
  </si>
  <si>
    <t>v_OdLcbH2H_zI</t>
  </si>
  <si>
    <t>An arrow graphic is seen and title text.</t>
  </si>
  <si>
    <t>A woman stands on a dark lit room holding an accordion and demonstrating how to play it.</t>
  </si>
  <si>
    <t>The woman begins to play a song pressing in the keys.</t>
  </si>
  <si>
    <t>The woman pauses to discuss then plays more of the song.</t>
  </si>
  <si>
    <t>The woman finishes and closes the accordion.</t>
  </si>
  <si>
    <t>v_Mgvj2B6MyjI</t>
  </si>
  <si>
    <t>A girl is nervous on the edge of a diviing board.</t>
  </si>
  <si>
    <t>She falls in after standing up and then squatting again.</t>
  </si>
  <si>
    <t>v_eWG5T3TC_cg</t>
  </si>
  <si>
    <t>A marching band walk in the street playing instruments while a woman on front holds a flag.</t>
  </si>
  <si>
    <t>A boy on front the band holds a rode and raise and spin around.</t>
  </si>
  <si>
    <t>Then, band arrives and pass a traffic light.</t>
  </si>
  <si>
    <t>v_k1WnO7UeBJ8</t>
  </si>
  <si>
    <t>Two people are shown walking around with a rug over their shoulders and walk inside a building.</t>
  </si>
  <si>
    <t>They open the rug then pull out measuring tape and hammer down the rug.</t>
  </si>
  <si>
    <t>They then put plaster all over the floor and present the finished product of the rug by shaking hands with the owners and smiling for pictures.</t>
  </si>
  <si>
    <t>v_AffS41W1Jgg</t>
  </si>
  <si>
    <t>A man is seen speaking to the camera and leads into him laying up wallpaper on the wall.</t>
  </si>
  <si>
    <t>He continues speaking to the camera while still spreading paper on the wall.</t>
  </si>
  <si>
    <t>v_iGOGz6M_zcE</t>
  </si>
  <si>
    <t>A woman is washing her face in a sink.</t>
  </si>
  <si>
    <t>She looks in a mirror in front of her.</t>
  </si>
  <si>
    <t>She continues wiping her face.</t>
  </si>
  <si>
    <t>v_LYrqEz_vttQ</t>
  </si>
  <si>
    <t>A dog is sitting on an orange couch.</t>
  </si>
  <si>
    <t>A dog is sitting in a bath tub getting a bath.</t>
  </si>
  <si>
    <t>A person is drying the dog with a towel.</t>
  </si>
  <si>
    <t>The dog is getting blow dried with a hair dryer.</t>
  </si>
  <si>
    <t>v_h61C_KfvG0Y</t>
  </si>
  <si>
    <t>The logo "Weldy" appears over a photo of welding tools.</t>
  </si>
  <si>
    <t>The words "energy 1600" and the Weldy website address appears.</t>
  </si>
  <si>
    <t>A man is working on a white rooftop with one of the Weldy tools.</t>
  </si>
  <si>
    <t>"energy 1600" and the website appears on screen again.</t>
  </si>
  <si>
    <t>v_PeMJjLrDjhQ</t>
  </si>
  <si>
    <t>A woman is seen speaking to the camera while turning on a faucet.</t>
  </si>
  <si>
    <t>She then pumps soap off and scrubs her hands.</t>
  </si>
  <si>
    <t>She runs her hands under the sink and ends by drying her hands and walking out to put hand sanitizor on.</t>
  </si>
  <si>
    <t>v_uOxKf-kNEyg</t>
  </si>
  <si>
    <t>A woman is using polish in a container to polish a black shoe.</t>
  </si>
  <si>
    <t>She talks to the camera as she works.</t>
  </si>
  <si>
    <t>Black polish is shown dripping onto her legs.</t>
  </si>
  <si>
    <t>v_JyjONoyBr4Q</t>
  </si>
  <si>
    <t>There is a lady dog trainer dressed in a blue hoodie playing with a black and white dog in a park.</t>
  </si>
  <si>
    <t>She is throwing a Frisbee to the dog and makes the dog fetch it for her.</t>
  </si>
  <si>
    <t>The dog runs every time she throws the Frisbee at a distance and fetches it for her.</t>
  </si>
  <si>
    <t>The doh jumps high up to grab the Frisbee off her hand.</t>
  </si>
  <si>
    <t>He dog even jumps over the lady when she is laying on the ground.</t>
  </si>
  <si>
    <t>He continues to run and fetch the Frisbee for the lady as she throws multiple Frisbee.</t>
  </si>
  <si>
    <t>The same lady is now wearing an orange shirt and is throwing the Frisbee to the dog.</t>
  </si>
  <si>
    <t>The dog continues to jump and catch the Frisbee in his mouth.</t>
  </si>
  <si>
    <t>v_qmOYKPkURiw</t>
  </si>
  <si>
    <t>A young boy is standing outside watching another person play their bag pipes.</t>
  </si>
  <si>
    <t>Several people walk by and a lady stops and throws money into the person's case.</t>
  </si>
  <si>
    <t>v_35DlDj_hzvg</t>
  </si>
  <si>
    <t>A man is seen bending forward and holding onto a set of weights while gripping tightly.</t>
  </si>
  <si>
    <t>The man then lifts the weight over his end and throws it down in the end.</t>
  </si>
  <si>
    <t>v_6-P9SRNbwac</t>
  </si>
  <si>
    <t>Two young friends are together on a sandy beach.</t>
  </si>
  <si>
    <t>First the girl on the right speaks, and then her friend in a purple t-shirt speaks next.</t>
  </si>
  <si>
    <t>She finishes by turning to her friend and they get up, grabbing hands, and exit the scene to the right.</t>
  </si>
  <si>
    <t>Next we see them again seated on the sand facing each other as they begin to build something in the sand.</t>
  </si>
  <si>
    <t>The focus is shifted to one girl, who speaks, and finishes by writing something in the sand.</t>
  </si>
  <si>
    <t>v_1Om21fCH1sI</t>
  </si>
  <si>
    <t>Various clips are shown of people riding around on bikes as well as sitting on bikes ready to race.</t>
  </si>
  <si>
    <t>Several clips are shown of people up close as well as them riding around on bikes.</t>
  </si>
  <si>
    <t>v_yiFKPKXevOU</t>
  </si>
  <si>
    <t>A man puts a wood upright on a tree stump.</t>
  </si>
  <si>
    <t>A guy is splitting wood into halves.</t>
  </si>
  <si>
    <t>A guy repeatedly tries to cut a wood.</t>
  </si>
  <si>
    <t>v_zqXJkZgKmSk</t>
  </si>
  <si>
    <t>A ball flies through he air on a baseball field.</t>
  </si>
  <si>
    <t>The person with the camera takes off running.</t>
  </si>
  <si>
    <t>The runner stops on the home base and turns around.</t>
  </si>
  <si>
    <t>We see the people at the back of the field.</t>
  </si>
  <si>
    <t>v_3pBldeB3uaE</t>
  </si>
  <si>
    <t>A large group of people are seen standing around a pool as well as people writing on paper and speaking to one another.</t>
  </si>
  <si>
    <t>More people are seen diving on a board and jumping off onto the side.</t>
  </si>
  <si>
    <t>Several people are seen watching on the side as the kids continue to dive.</t>
  </si>
  <si>
    <t>v_O_bDLIcx5k0</t>
  </si>
  <si>
    <t>A drawing of airplanes and machineries are being use, then pictures of men and a woman.</t>
  </si>
  <si>
    <t>A man in blue shirt is brushing a paint to an airplane model, then he paint a different color to make the plane looks like a camouflage.</t>
  </si>
  <si>
    <t>v_pOIJeK3YZr8</t>
  </si>
  <si>
    <t>A man is sitting next to several small trees.</t>
  </si>
  <si>
    <t>He pulls some leaves off of the trees.</t>
  </si>
  <si>
    <t>He takes scissors and cuts some leaves off the tree.</t>
  </si>
  <si>
    <t>v_LdAT5MEBkuQ</t>
  </si>
  <si>
    <t>A man water skiis at a river.</t>
  </si>
  <si>
    <t>A long haired man operates a boat and the boat drags a man water skiing across the water.</t>
  </si>
  <si>
    <t>A guy holding onto a rope attached to a boat water skiis.</t>
  </si>
  <si>
    <t>The man in the glasses appears again, speaking to the camera and points to a man water skiing on the river.</t>
  </si>
  <si>
    <t>The water skiier glides back and forth on the water of the river.</t>
  </si>
  <si>
    <t>The man in glasses talks about the water skiis.</t>
  </si>
  <si>
    <t>v_0ys4fnsu9Jc</t>
  </si>
  <si>
    <t>A small child is seen standing on a trampoline and throwing a ball off into the distance.</t>
  </si>
  <si>
    <t>More kids are seen picking up balls and throwing them to the other side.</t>
  </si>
  <si>
    <t>More kids are seen throwing balls and playing dodgeball with one another.</t>
  </si>
  <si>
    <t>v_VqZr2oZk4z4</t>
  </si>
  <si>
    <t>Various shots are shown of scuba divers moving along the water as well as people riding and riding boats.</t>
  </si>
  <si>
    <t>More clips are shown of people getting ready on land as well as swimming around the ocean.</t>
  </si>
  <si>
    <t>v_mU3ujj4Z7lE</t>
  </si>
  <si>
    <t>A small dog is seen standing in snow and a person pushing snow with a shovel.</t>
  </si>
  <si>
    <t>The dog follows the person shoveling while biting at the shovel and barking at the camera man.</t>
  </si>
  <si>
    <t>v_ESsUwNlkJoo</t>
  </si>
  <si>
    <t>The letters RPM appear on the screen.</t>
  </si>
  <si>
    <t>A room is filled with people riding exercise bikes.</t>
  </si>
  <si>
    <t>They go as fast as they can, advertising a fitness gym.</t>
  </si>
  <si>
    <t>v_krqxyYFHzBI</t>
  </si>
  <si>
    <t>People start fighting outside on the ground.</t>
  </si>
  <si>
    <t>They knock a man onto the ground.</t>
  </si>
  <si>
    <t>They lift him up in the air and slam him back on the ground.</t>
  </si>
  <si>
    <t>v_ivkkCEynzPs</t>
  </si>
  <si>
    <t>A man wears a welding helmet and holds a rod.</t>
  </si>
  <si>
    <t>Then, the man use the road to held a piece of metal on the floor.</t>
  </si>
  <si>
    <t>v_U-N92yQynQA</t>
  </si>
  <si>
    <t>There is a badminton ladies double match taking place in an indoor court.</t>
  </si>
  <si>
    <t>There are several spectators watching the match as the doubles partners hit the shuttlecock with their rackets.</t>
  </si>
  <si>
    <t>The crowd cheers on as the match goes on and the players hit with their rackets back and forth.</t>
  </si>
  <si>
    <t>v_GXEuuWhEMCY</t>
  </si>
  <si>
    <t>A man stands, screaming loudly as he lifts a barbell.</t>
  </si>
  <si>
    <t>He lifts a weight above his head.</t>
  </si>
  <si>
    <t>Another man is shown lifting a weight as a crowd watches.</t>
  </si>
  <si>
    <t>Several weight lifters continue lifting barbells.</t>
  </si>
  <si>
    <t>A man is shown lying down as he is injured.</t>
  </si>
  <si>
    <t>v_HJws_Cwu3qE</t>
  </si>
  <si>
    <t>Two men are seen standing around a room and begin hitting a ball while others watch.</t>
  </si>
  <si>
    <t>More men appear in the room and are seen chasing around a tennis ball and hitting it.</t>
  </si>
  <si>
    <t>v_A1U24_iC6ww</t>
  </si>
  <si>
    <t>Cement is being made in the cement mixer.</t>
  </si>
  <si>
    <t>Three Hispanic men are laying the foundation of the pool with a cement gun.</t>
  </si>
  <si>
    <t>A man that is dressed in white is doing the cement finish as the other men lay the cement with a gun.</t>
  </si>
  <si>
    <t>Once the cement is done all the men start to do finish.</t>
  </si>
  <si>
    <t>v_dgXPoqHrKRM</t>
  </si>
  <si>
    <t>Skiers walk and stand on skis at the bottom of the hill at of a ski resort.</t>
  </si>
  <si>
    <t>Kids ride on inflatable tubes down lanes on a ski slope.</t>
  </si>
  <si>
    <t>Snowboarders and skiers ride down ski runs while other groups sit on the ski lift.</t>
  </si>
  <si>
    <t>A group hangs onto a tow rope on inter tubes and throws snowballs.</t>
  </si>
  <si>
    <t>v_Zsaa3XXIAhk</t>
  </si>
  <si>
    <t>A man plays a song on an acoustic guitar in a studio.</t>
  </si>
  <si>
    <t>The man resets his hands and finishes the song.</t>
  </si>
  <si>
    <t>v_Nb87GFizCB8</t>
  </si>
  <si>
    <t>A woman walks through a snowy parking lot, looking for her car.</t>
  </si>
  <si>
    <t>She is seen using a mop in an attempt to wipe the snow off her car.</t>
  </si>
  <si>
    <t>Snow begins to fall as she continues cleaning.</t>
  </si>
  <si>
    <t>v_oXPgInpuHDA</t>
  </si>
  <si>
    <t>A group of cheerleaders perform in the middle of a basketball court while an audience watches.</t>
  </si>
  <si>
    <t>A man walks through the bottom of the frame.</t>
  </si>
  <si>
    <t>The cheerleaders finish, and a group of younger cheerleaders replace them.</t>
  </si>
  <si>
    <t>v_oHDeMg1ZFp8</t>
  </si>
  <si>
    <t>A man is talking and standing in a kitchen wearing a white robe and a lot of colorful vegetables in front of him.</t>
  </si>
  <si>
    <t>Now the vegetables are gone and the man is now scooping something from a little bowl onto a white plate that is sitting on a wooden cutting board.</t>
  </si>
  <si>
    <t>The man then begins to break the contents up with his utensil and then his hands until they are into separate pieces.</t>
  </si>
  <si>
    <t>v_4Y94njisJd0</t>
  </si>
  <si>
    <t>A young man in a black shirt hits a small ball against the wall.</t>
  </si>
  <si>
    <t>A man in a red shirt hands the ball to him with his racket.</t>
  </si>
  <si>
    <t>The young man hits the ball against the wall again.</t>
  </si>
  <si>
    <t>A group of men walk around trying to hit the ball.</t>
  </si>
  <si>
    <t>The young man in the black shirt hands the ball to the man in the red shirt.</t>
  </si>
  <si>
    <t>The man in the red shirt hits the ball against the wall.</t>
  </si>
  <si>
    <t>The group of men run around the court, swinging their rackets and trying to catch the ball.</t>
  </si>
  <si>
    <t>v_whwserG3XGc</t>
  </si>
  <si>
    <t>team wearing yellow uniform are running in a field.</t>
  </si>
  <si>
    <t>photographers are standing in he ield taking pictures of the yellow and blue team.</t>
  </si>
  <si>
    <t>teams start to pla lacrosse in a big gren grassy field.</t>
  </si>
  <si>
    <t>v_bXEG4X7pRds</t>
  </si>
  <si>
    <t>The lady picks up a brush and scissors.</t>
  </si>
  <si>
    <t>She sweeps the base of the stand.</t>
  </si>
  <si>
    <t>She brushes the dogs right leg.</t>
  </si>
  <si>
    <t>She then clips the hair on this paw.</t>
  </si>
  <si>
    <t>She brushes the fur upwards.</t>
  </si>
  <si>
    <t>She then clips the fur on the paw again.</t>
  </si>
  <si>
    <t>She brushes his paw again.</t>
  </si>
  <si>
    <t>She then clips the fur on the paw another time.</t>
  </si>
  <si>
    <t>She then combs the cut hair off the paw.</t>
  </si>
  <si>
    <t>She clips the hair off the back of the paw.</t>
  </si>
  <si>
    <t>Fade to black, and the credits occur.</t>
  </si>
  <si>
    <t>v_fRLDhkPqrTE</t>
  </si>
  <si>
    <t>A lady looks behind her with delight.</t>
  </si>
  <si>
    <t>The lady plays a black piano.</t>
  </si>
  <si>
    <t>The lady looks to her side.</t>
  </si>
  <si>
    <t>v_qwBFQf5STBA</t>
  </si>
  <si>
    <t>Colorful zebra nails are shown and a colorful screen appears with colorful text that say's "Acid Zebra Nail Art by professionalDQ", and then followed by a lot of other words that include a list of supplies needed.</t>
  </si>
  <si>
    <t>A still shot of six different solid colors of nail polish are shown and some are rounded bottles and some are square bottles.</t>
  </si>
  <si>
    <t>The demonstration begins and it shows someone is sponge painting various colors onto a long white painted nail.</t>
  </si>
  <si>
    <t>A colorful screen briefly appears with colorful text and it say's "Then added a coat of sparkle flakes Awesome",shows the bottle of sparkle nail polish, then more text appears on a colorful screen.</t>
  </si>
  <si>
    <t>A black paint bottle is shown then the person paints a thin black line unto the sparkly and multi colored nail and paints them in the pattern of zebra stripes.</t>
  </si>
  <si>
    <t>A colorful screen along with colorful text appears and it has instructions to "Finish with topcoat And now you're an invincible Nyan Zebra!!".</t>
  </si>
  <si>
    <t>The finished nails are modeled and shown at different angles and a colorful screen with colorful letters appear and it say's "Don't forget your tail!" and then it shows the person holding a furry pink and black, long tail.</t>
  </si>
  <si>
    <t>A colorful screen with colorful text appears and it say's "Thanks for watching SWOOSH!" and more still shots of the finished colorful zebra nails are displayed in different positions and angles.</t>
  </si>
  <si>
    <t>v_W40iaV960sw</t>
  </si>
  <si>
    <t>The camel is sitting on the ground, but then the man puts on his glasses while he's sitting on the camel as it lifts up bringing the man forward a little bit.</t>
  </si>
  <si>
    <t>Then someone grabs the rope on the camel to guide the camel to the right place.</t>
  </si>
  <si>
    <t>Finally the man pulls the camel the man is sitting on while the other 2 camels walk behind the camel in the front.</t>
  </si>
  <si>
    <t>v_wHxB-5jKjbQ</t>
  </si>
  <si>
    <t>People sail in canoes rowing with a paddle in a choppy river.</t>
  </si>
  <si>
    <t>Two men in a canoe sail near the bank of the river, but then sail in the river.</t>
  </si>
  <si>
    <t>The men spins the canoe an pass near an arch of the canoe course.</t>
  </si>
  <si>
    <t>The two men cross a person alone in a canoe.</t>
  </si>
  <si>
    <t>The men continue sailing down the river passing between arches.</t>
  </si>
  <si>
    <t>Men in a canoes are on the border of the river.</t>
  </si>
  <si>
    <t>After, continue sailing straight in the river.</t>
  </si>
  <si>
    <t>v_PLvg8riZZVw</t>
  </si>
  <si>
    <t>A man is holding a fishing pole over an ice fishing hole.</t>
  </si>
  <si>
    <t>He gently tries to pull up and then reel the fishing line out of the hole.</t>
  </si>
  <si>
    <t>He dips and lowers while taking a break.</t>
  </si>
  <si>
    <t>He tries to reel the line out again.</t>
  </si>
  <si>
    <t>He removes his gloves and gets to his knees and back up as he tries to pull the line out of the hole repeatedly.</t>
  </si>
  <si>
    <t>He steps around the hole and continually gently pulls the line from the water as another man pulls the fish out of the water.</t>
  </si>
  <si>
    <t>v_Ktxr4ZiqO3o</t>
  </si>
  <si>
    <t>A person is shaving their beard with an electric shaver.</t>
  </si>
  <si>
    <t>They are slowly moving the shaver up their chin.</t>
  </si>
  <si>
    <t>v_hjDGz9OhwvM</t>
  </si>
  <si>
    <t>A young girl is showing sitting on a floor talking to the camera and pretending to iron.</t>
  </si>
  <si>
    <t>She prays the bottle of water onto the clothes and irons doing this several times.</t>
  </si>
  <si>
    <t>She flips over the shirt to continue ironing and looks off into the distance.</t>
  </si>
  <si>
    <t>v_oXqzXQRqAhI</t>
  </si>
  <si>
    <t>Two kids are seen sitting in a bath tub with one holding a bucket and the holding smiling and laughing.</t>
  </si>
  <si>
    <t>The boy pours the bucket over his face and a hand gives him a towel while the girl also splashes her face.</t>
  </si>
  <si>
    <t>The sprays water again with the bucket and rubs his eyes.</t>
  </si>
  <si>
    <t>v_HaprTZfP4sQ</t>
  </si>
  <si>
    <t>A gold ornament is shown hanging from a christmas tree.</t>
  </si>
  <si>
    <t>Two women are on the floor, wrapping presents.</t>
  </si>
  <si>
    <t>They cut the paper and tape it around boxes before adding bows.</t>
  </si>
  <si>
    <t>We then see the completed tree, adorned with a ring of wrapped presents at the base.</t>
  </si>
  <si>
    <t>v_sanasW2azw4</t>
  </si>
  <si>
    <t>A young boy wearing sunglasses is shown pushing a long a lawn mower across a lawn.</t>
  </si>
  <si>
    <t>The camera continuously follows him as he moves back and fourth with the mower on the lawn.</t>
  </si>
  <si>
    <t>Finally a picture of him sleeping on the couch is shown.</t>
  </si>
  <si>
    <t>v_zxOcSuLSrU4</t>
  </si>
  <si>
    <t>A woman is seen pushing a lawn mower along some tall grass while moving back and fourth.</t>
  </si>
  <si>
    <t>The woman continues pushing the machine around the yard and turns her back towards the camera to mow the back.</t>
  </si>
  <si>
    <t>v_jETKNHeojN8</t>
  </si>
  <si>
    <t>The woman says a few words in the beginning while the dancer stands silently.</t>
  </si>
  <si>
    <t>First the dancer makes sure her legs are positioned correctly.</t>
  </si>
  <si>
    <t>Then the ballet dancer brings one foot into a coupe.</t>
  </si>
  <si>
    <t>Next she straightens both legs and puts one leg in the front and brings it back down.</t>
  </si>
  <si>
    <t>She then repeats those 3 steps over again.</t>
  </si>
  <si>
    <t>v_73ZdOEJcsUw</t>
  </si>
  <si>
    <t>An old lady knits with a red needle and red wool.</t>
  </si>
  <si>
    <t>An old lady stops knitting and talks continuously.</t>
  </si>
  <si>
    <t>The old lady knits again and examines her creation.</t>
  </si>
  <si>
    <t>v_WSpfyZuoi3A</t>
  </si>
  <si>
    <t>A little girl sled in an inflatable boat hold to a string on front a man, suddenly she falls in a hollow.</t>
  </si>
  <si>
    <t>People carry sled boats and the little girl is in a sled boat.</t>
  </si>
  <si>
    <t>After a group of people sled do down the hill until meet other persons.</t>
  </si>
  <si>
    <t>v_fevlUD03yCM</t>
  </si>
  <si>
    <t>A young girl is applying sunscreen to her face.</t>
  </si>
  <si>
    <t>A beach is crowded with people while a motoroboat speeds across the water.</t>
  </si>
  <si>
    <t>A doctor from the Cleveland Clinic named Jennifer Lucas speaks.</t>
  </si>
  <si>
    <t>People apply sunblock to each other outdoors.</t>
  </si>
  <si>
    <t>v_aEopPs2eY-Q</t>
  </si>
  <si>
    <t>A girl names Ashley dressed in all purple walks up slowly, then it turns to nature view of dirt and flowers.</t>
  </si>
  <si>
    <t>Ashley comes out getting dressed in her motor cross gear and slowly walks her bike out.</t>
  </si>
  <si>
    <t>She goes out and starts riding through the dirt, catching some air really high after hitting little mountain hills.</t>
  </si>
  <si>
    <t>She speaks in sign language with another rider for a little but before returning toe the dirt to ride some more.</t>
  </si>
  <si>
    <t>v_tn8YmTHinZc</t>
  </si>
  <si>
    <t>woman is standing in kitchen talking to the camera and showing ingredients that are on top of a counter.</t>
  </si>
  <si>
    <t>woman holds a lemon and squeeze it in a plastic water jar and mix it with sugar.</t>
  </si>
  <si>
    <t>woman holds a knife and chop the lemons in small pieces and add soda to the jar and the chopped lemons along with strawberries.</t>
  </si>
  <si>
    <t>v_QFWxdR_C71M</t>
  </si>
  <si>
    <t>A woman uses a piece of chalk on a canvas.</t>
  </si>
  <si>
    <t>She then uses several colors of paint to create an image.</t>
  </si>
  <si>
    <t>When she is done, we see a still life image of an orange on a counter.</t>
  </si>
  <si>
    <t>v_BWanQWn1OYQ</t>
  </si>
  <si>
    <t>A small group of girls are seen walking out onto a lake holding tubes and leads into others riding along in tubes.</t>
  </si>
  <si>
    <t>The people continue riding along the river on the tubes and the camera pans around the large group.</t>
  </si>
  <si>
    <t>The walk off shore and speak to one another followed by the tubes hung up and the bus parked.</t>
  </si>
  <si>
    <t>v_Z7zc7zs5Zj8</t>
  </si>
  <si>
    <t>A woman is seen walking down a set of stairs and begins performing a routine in front of a large audience.</t>
  </si>
  <si>
    <t>The woman continues dancing around the stage while a group of people play instruments behind her.</t>
  </si>
  <si>
    <t>v_j5SX_9JKtfs</t>
  </si>
  <si>
    <t>cleaning materials sit next to a double sink, then a person puts a bottle with blue liquid next to the cleaning materials.</t>
  </si>
  <si>
    <t>After, the person pours a little bit of blue liquid in the sink and scrubs the sinks with a sponge.</t>
  </si>
  <si>
    <t>After, the person rinse the sinks with water and dries with a cloth.</t>
  </si>
  <si>
    <t>v_cMeMbnjX-pg</t>
  </si>
  <si>
    <t>A man is skating on an indoor rink with a sweeper as people watch.</t>
  </si>
  <si>
    <t>He cleans the floor as people try to talk to him.</t>
  </si>
  <si>
    <t>A man falls and slides, and another grabs him in a fight.</t>
  </si>
  <si>
    <t>v_JFupxdGxgPQ</t>
  </si>
  <si>
    <t>Several men stand in a dirt arena.</t>
  </si>
  <si>
    <t>Several other men sit on horses.</t>
  </si>
  <si>
    <t>A gate opens and a calf runs out closely followed by a man on a horse.</t>
  </si>
  <si>
    <t>The man on the horse throws a lasso around the calf's neck yanking the calf back to land on it's back.</t>
  </si>
  <si>
    <t>The man jumps from his horse and runs over and ties up the calf.</t>
  </si>
  <si>
    <t>The man gets up and walks back to get on his horse.</t>
  </si>
  <si>
    <t>Several men run over to free the calf as it gets up and runs away.</t>
  </si>
  <si>
    <t>v_8L1xXJvKuv4</t>
  </si>
  <si>
    <t>A group of people are swimming in an indoor pool with other swimmers standing on the side of the pool watching.</t>
  </si>
  <si>
    <t>The children on the sidelines are jumping up and down with swim caps and swimsuits on as they watch the people who are already in the pool swim.</t>
  </si>
  <si>
    <t>A person walks by the camera as the shaky camera focuses on the people who are already in the pool swimming.</t>
  </si>
  <si>
    <t>v_AkeJ-lJLNkw</t>
  </si>
  <si>
    <t>Two people are seen performing various kicks and tricks around one another while a large group of people watch on the sides.</t>
  </si>
  <si>
    <t>More continue kicking around one another in the middle of the circle while others watch and react on the side.</t>
  </si>
  <si>
    <t>v_f00gW6PbWDE</t>
  </si>
  <si>
    <t>A young man wearing blue jeans and a blue and white plaid long sleeved button up shirt is sitting on the ground with his legs wide opened on a board that has numbers on it in a triangular shape.</t>
  </si>
  <si>
    <t>There are two elderly women holding sticks, and they are getting ready to hit the disks across the board into the man's crotch while 5 men are standing alongside the board watching and cringing.</t>
  </si>
  <si>
    <t>The woman shoves the disk across the board and it hits the man in the crotch, the second woman shoves the disc across the board and it hits the man in the crotch very hard and the guys all laugh and gringe then help the guy up.</t>
  </si>
  <si>
    <t>v_NfVL1o5HMEo</t>
  </si>
  <si>
    <t>A gymnast is seen rubbing his hands together and walks over to a set of uneven bars and raises his hands up.</t>
  </si>
  <si>
    <t>The man performs a routine on the bars while hundreds of people watch on the sidelines.</t>
  </si>
  <si>
    <t>He jumps down, waves his arms in the air, and walks over to high five his coach afterwards.</t>
  </si>
  <si>
    <t>v_x0cSfzhQRAs</t>
  </si>
  <si>
    <t>A man walks across a rope suspended between two mountains high in the air using his arms for balance.</t>
  </si>
  <si>
    <t>A man walks across a suspended rope high in the air, losing balance at one point and holding on to the rope with his hands and feet wrapped around the rope.</t>
  </si>
  <si>
    <t>The man then is able to hoist himself back enough on the rope to sit on it with the rope between his legs.</t>
  </si>
  <si>
    <t>v_NqYEX8tUjYg</t>
  </si>
  <si>
    <t>A person is seen performing a trick on a snowboard followed by more a woman speaking to the camera.</t>
  </si>
  <si>
    <t>Several more clips are shown of people riding snowboards and performing tricks on a board.</t>
  </si>
  <si>
    <t>More people are seen riding on a board and speaking to the camera.</t>
  </si>
  <si>
    <t>v_Tbo7I63oIms</t>
  </si>
  <si>
    <t>A person ski over a ski rail and spins in the air, then land stand on the snow.</t>
  </si>
  <si>
    <t>The person ski over a ramp and fly in the air very high.</t>
  </si>
  <si>
    <t>Then, the person ski over the rails of a home turning ans spinning and then land on the street.</t>
  </si>
  <si>
    <t>Then, a person ski over the fence of a walking bridge and also ski on the stairs.</t>
  </si>
  <si>
    <t>v_6S9NCdsUxfE</t>
  </si>
  <si>
    <t>A man is seen waxing a set of skis while looking back to speak to the camera.</t>
  </si>
  <si>
    <t>The man continues moving his arms up and down the skis while looking up to speak at the camera every once and a while.</t>
  </si>
  <si>
    <t>v_uM6ErLnAGW4</t>
  </si>
  <si>
    <t>Carved pepper jack-o-lanterns are seen prepared.</t>
  </si>
  <si>
    <t>A woman uses a knife to carve out the center and facial features of a bell pepper then places in a dish.</t>
  </si>
  <si>
    <t>The woman adds chopped vegetables, salsa, and eggs to a large bowl.</t>
  </si>
  <si>
    <t>The woman uses a spatula to mix everything together.</t>
  </si>
  <si>
    <t>A spoon is used to add ingredients into the hollow bell peppers.</t>
  </si>
  <si>
    <t>Cheese is added to the tops of the bell peppers and the tops are placed back on them.</t>
  </si>
  <si>
    <t>The bell peppers are removed from the dish and put on a plate.</t>
  </si>
  <si>
    <t>the finished bell peppers are seen on the cutting board.</t>
  </si>
  <si>
    <t>A woman adds ingredients to a casserole dish.</t>
  </si>
  <si>
    <t>v_lxlXHOHSOlk</t>
  </si>
  <si>
    <t>Ships are shown in the water.</t>
  </si>
  <si>
    <t>Men are walking on a street.</t>
  </si>
  <si>
    <t>A man in a yellow shirt is riding on a boat.</t>
  </si>
  <si>
    <t>People watching the men in the boat are applauding.</t>
  </si>
  <si>
    <t>v_w24Pub_hNSw</t>
  </si>
  <si>
    <t>A woman is seated, a man is standing, and a little girl is climbing on playground equipment.</t>
  </si>
  <si>
    <t>She drops down, hanging from the monkey bars as she pretends to kick the man.</t>
  </si>
  <si>
    <t>She swings to the end, and lands in another man's arms.</t>
  </si>
  <si>
    <t>v_8slE1UskRS4</t>
  </si>
  <si>
    <t>Three people are standing outside under a very large concrete gazebo and briefly the white word "MARANHAO" is on the right side of the screen.</t>
  </si>
  <si>
    <t>A man with an instrument starts walking towards the three people and he begins to adjust his instrument.</t>
  </si>
  <si>
    <t>Two of the people start dancing, the woman starts singing, then all the people are now holding instruments and are smiling as they start playing their instruments, dancing, and singing together.</t>
  </si>
  <si>
    <t>v_zwQYVBQnn4o</t>
  </si>
  <si>
    <t>This man is shown lifting a very heavy weight in the beginning of the video.</t>
  </si>
  <si>
    <t>Then another man does the same thing and he lifts it successfully.</t>
  </si>
  <si>
    <t>When he's done, someone comes on stage and gives him a hug.</t>
  </si>
  <si>
    <t>He is then given a medal.</t>
  </si>
  <si>
    <t>v_v8Dqgro-f-U</t>
  </si>
  <si>
    <t>We see a gym filled with people watching as people jump rope.</t>
  </si>
  <si>
    <t>We see the outside of the building and a man is interviewed with shots of the inside cut in.</t>
  </si>
  <si>
    <t>We watch girl perform see ladies serving snacks and watch another person perform.</t>
  </si>
  <si>
    <t>We see girls interviewed outside the main room and scenes from inside the gym.</t>
  </si>
  <si>
    <t>We see people on bleachers and kids jumping.</t>
  </si>
  <si>
    <t>We then see the blue ending screen.</t>
  </si>
  <si>
    <t>v_DCKwTvFrA6Q</t>
  </si>
  <si>
    <t>The woman introduces herself in the beginning of the video and then different pictures are shown.</t>
  </si>
  <si>
    <t>She also talks about the fun you can have in Chicago and her big production of being the black widow.</t>
  </si>
  <si>
    <t>v_5Qav3tLfiZA</t>
  </si>
  <si>
    <t>The man in dark blue shirt is kneeling with one knee.</t>
  </si>
  <si>
    <t>The man is dribbling the blue ball.</t>
  </si>
  <si>
    <t>The man is dribbling the ball on his side.</t>
  </si>
  <si>
    <t>v_5sUctxaAFrw</t>
  </si>
  <si>
    <t>Several pictures are shown in the beginning of old roofs as well as new roofs and people working on top of these roofs.</t>
  </si>
  <si>
    <t>More shots are shown of people spraying down the roofs and looking away from the camera.</t>
  </si>
  <si>
    <t>v_ZL7xefcDWYc</t>
  </si>
  <si>
    <t>A gymnast is performing on the bars while a crowds is watching.</t>
  </si>
  <si>
    <t>At the end, the gymnast flips around the bars and jump on the mattress.</t>
  </si>
  <si>
    <t>v_sd2MhdKdQTo</t>
  </si>
  <si>
    <t>A woman is seen sitting on stage while singing into a microphone and people sitting behind her playing instruments.</t>
  </si>
  <si>
    <t>The girl continues singing with the band and ending by speaking to the audience.</t>
  </si>
  <si>
    <t>v_rWfi4xN3XQI</t>
  </si>
  <si>
    <t>A woman stands next to a horse in a field.</t>
  </si>
  <si>
    <t>"HJCTV presents: Grooming your horse 101" is overlaid.</t>
  </si>
  <si>
    <t>A woman stands in a stall with a horse with a grooming brush, she starts brushing it.</t>
  </si>
  <si>
    <t>Two girls stand outdoors with another horse and brush it.</t>
  </si>
  <si>
    <t>The first woman returns with a new brush and allows children to help brush the horse.</t>
  </si>
  <si>
    <t>v_0PLaN0hmMDY</t>
  </si>
  <si>
    <t>A person holds a ring in a small box.</t>
  </si>
  <si>
    <t>Then, the man wraps the box with gift paper.</t>
  </si>
  <si>
    <t>After, the man tries to find the end of a scotch tape roll, but he can not find it.</t>
  </si>
  <si>
    <t>The man cuts the excess of paper and put take on the gift.</t>
  </si>
  <si>
    <t>v_l3k_7ydV74A</t>
  </si>
  <si>
    <t>Four men perform a wrestling stunt in costume while standing on an elevated, lit, stage in front of a seated audience.</t>
  </si>
  <si>
    <t>Two men in black lift one man in a blue shiny outfit, up, on their shoulders.</t>
  </si>
  <si>
    <t>The two men in black place the man in blue's legs around the neck of another man, the biggest man on the stage, who is also dressed in black.</t>
  </si>
  <si>
    <t>The large man in black then takes the man in blue and slams him down, off the stage and onto a table next to the stage, at which point the man lands with a force that breaks the table in two causing the man to fall to the floor under the table.</t>
  </si>
  <si>
    <t>v_j82E082KJSw</t>
  </si>
  <si>
    <t>There are two teams playing volley ball in an indoor stadium in front of a large number of spectators.</t>
  </si>
  <si>
    <t>The green and yellow team is playing against the red team.</t>
  </si>
  <si>
    <t>The players dive up high to throw the ball across the net to their opposing team.</t>
  </si>
  <si>
    <t>Then the green and yellow team plays against the blue team.</t>
  </si>
  <si>
    <t>The red team is back to play with the green and yellow team.</t>
  </si>
  <si>
    <t>Then the blue team returns to play against the green and yellow team.</t>
  </si>
  <si>
    <t>The volley ball game continues as the red team and blue team alternately play with their opponents.</t>
  </si>
  <si>
    <t>v_d6uMS_ZgMg4</t>
  </si>
  <si>
    <t>A camera pans all around a piece of exercise equipment followed by a woman riding on it.</t>
  </si>
  <si>
    <t>A person is seen adjusting the settings of the bike as well as riding around and drinking water.</t>
  </si>
  <si>
    <t>More shots are shown of the woman adjusting the machine as well as rolling it away and continuing to ride.</t>
  </si>
  <si>
    <t>v_QESBvmN1hcM</t>
  </si>
  <si>
    <t>A small group of people are seen swimming around a pool and lead into several clips of people playing the game as well as celebrating.</t>
  </si>
  <si>
    <t>Various people are then seen speaking to the camera followed by more clips of the game being shown and people celebrating.</t>
  </si>
  <si>
    <t>v_yzmPtZyuo4s</t>
  </si>
  <si>
    <t>An African American male athlete is walking preparing himself to run.</t>
  </si>
  <si>
    <t>The male then begins to run from an angle towards the mat and does a high jump clearing the bar.</t>
  </si>
  <si>
    <t>A replay is shown and the crowd begins to cheer for him.</t>
  </si>
  <si>
    <t>v_Z9pWpZK4k2M</t>
  </si>
  <si>
    <t>Two men, a woman, and a toddler are walking down the road but all of the adults have on Kangaroo shoes.</t>
  </si>
  <si>
    <t>People continue to walk pass them and the two males begin jumping extremely high as the lady walks away with the child.</t>
  </si>
  <si>
    <t>The four individuals then move in front of a building and start hoping around then eventually to a set of steps in what looks to be a court yard.</t>
  </si>
  <si>
    <t>v_-V00wKlFJA0</t>
  </si>
  <si>
    <t>A man is seen standing in a garage and proceeds to play a set of bagpipes.</t>
  </si>
  <si>
    <t>The man continues playing the instrument while moving his hands around and stops in the end to turn off the camera.</t>
  </si>
  <si>
    <t>v_bVOD0M4LCEY</t>
  </si>
  <si>
    <t>Several pairs of people are out in the desert holding a selfie stick as they travel around on camels.</t>
  </si>
  <si>
    <t>As they continue,some people come around and begin to film the people with their own camera.</t>
  </si>
  <si>
    <t>Now,a line of people are in the sand just standing around watching them as the people on the camel begin to talk back to them.</t>
  </si>
  <si>
    <t>v_9-XGzUTSsuI</t>
  </si>
  <si>
    <t>A white screen appears and green letters appear in the middle of the screen and read "eHow"and changes to a blue screen that has a large white word that reads "health" under a small white square that contains the green eHow.</t>
  </si>
  <si>
    <t>A man wearing athletic clothing is standing in an indoor gym doing some fighting exercises and when he stops to talk, a banner on the bottom left say his name is Steve Hess and he's a Personal Trainer.</t>
  </si>
  <si>
    <t>While talking the man is also doing arm and leg movements and the camera is zoomed out to show his whole body.</t>
  </si>
  <si>
    <t>When the man is done the same blue screen from the beginning appears and ends with the same white screen with the green eHow written in the middle.</t>
  </si>
  <si>
    <t>v_paY7wXmzcTQ</t>
  </si>
  <si>
    <t>A person is seen standing on a pair of skis while others move around an area.</t>
  </si>
  <si>
    <t>One person sits on a tube while others walk from behind.</t>
  </si>
  <si>
    <t>A person then kicks the person n the tube down the hill.</t>
  </si>
  <si>
    <t>v_aeEMrTpNUss</t>
  </si>
  <si>
    <t>A man steps up to a set of uneven bars while a man does flips behind him and begins performing a gymnastics routine.</t>
  </si>
  <si>
    <t>The man flips and spins himself around on the bars and ends by jumping down and waving his hands up.</t>
  </si>
  <si>
    <t>v_FFZOmzFc_us</t>
  </si>
  <si>
    <t>A man is seen wearing an apron in front of sink stacked with many dishes.</t>
  </si>
  <si>
    <t>The man begins washing the dishes in a quick motion and throwing them into a pile.</t>
  </si>
  <si>
    <t>The man continues washing the dishes while looking back to the camera.</t>
  </si>
  <si>
    <t>v_n1LmL6_vxKs</t>
  </si>
  <si>
    <t>A man is seen bending down before a large weight while looking off into the distance.</t>
  </si>
  <si>
    <t>He then picks the weight up over his head.</t>
  </si>
  <si>
    <t>Finally he throws the weight down on the floor.</t>
  </si>
  <si>
    <t>v_PAF5AIQNXhs</t>
  </si>
  <si>
    <t>A baby is seated in a swing, rocking gently.</t>
  </si>
  <si>
    <t>A little girl is seen swinging herself back and forth.</t>
  </si>
  <si>
    <t>Then a toddler and baby look at each other as they continue to lightly swing.</t>
  </si>
  <si>
    <t>v_1V0TqgcXSVk</t>
  </si>
  <si>
    <t>A woman is standing in a room, surrounded by yoga gear.</t>
  </si>
  <si>
    <t>She then shows how to use a stepper to exercise, stepping on and off, side to side.</t>
  </si>
  <si>
    <t>She talks a little longer about the exercise.</t>
  </si>
  <si>
    <t>v_Wzpyu5NEqZ4</t>
  </si>
  <si>
    <t>Men are playing wall ball in a room against each other.</t>
  </si>
  <si>
    <t>A man in a red shirt and glasses is talking.</t>
  </si>
  <si>
    <t>A man in a black shirt talks to a man in a red shirt.</t>
  </si>
  <si>
    <t>Papers are being shown on the screen.</t>
  </si>
  <si>
    <t>The man continues to talk to the microphone.</t>
  </si>
  <si>
    <t>A man in a black shirt is talking.</t>
  </si>
  <si>
    <t>The men are playing more wall ball.</t>
  </si>
  <si>
    <t>v_UCBAyJpXuCw</t>
  </si>
  <si>
    <t>People are on a stage playing instruments.</t>
  </si>
  <si>
    <t>A man in a black shirt is playing a drum set.</t>
  </si>
  <si>
    <t>A man in a green shirt plays a guitar at the front of the stage.</t>
  </si>
  <si>
    <t>v_xq7Gr0FUwpo</t>
  </si>
  <si>
    <t>Two scientist throws stones in the water while talking.</t>
  </si>
  <si>
    <t>Scientist writes a formula on a board, then the scientists run and jumps in the water.</t>
  </si>
  <si>
    <t>Then, people water ski in the water pulling by a boat.</t>
  </si>
  <si>
    <t>A woman water ski while two men explains the movements made by the girl.</t>
  </si>
  <si>
    <t>After, a man water ski holding a water sky rope tie to a pole while a person watch, then he falls in the water.</t>
  </si>
  <si>
    <t>After, a person water ski and then falls in the water.</t>
  </si>
  <si>
    <t>v_5HLW2AI1Ink</t>
  </si>
  <si>
    <t>A swimmer is shown putting on his goggles and spreading his hands out before he dives into a pool.</t>
  </si>
  <si>
    <t>A side view of the man is shown as he does the side stroke underneath the water.</t>
  </si>
  <si>
    <t>The male continues to swim and several techniques of his are highlighted such as the way his hand is cuffed and the position of his legs.</t>
  </si>
  <si>
    <t>v_I4mFeQwqjnE</t>
  </si>
  <si>
    <t>The credits of the clips are shown.</t>
  </si>
  <si>
    <t>People in black play dodge ball on a court.</t>
  </si>
  <si>
    <t>A guy dives to the ground to prevent ball from hitting him.</t>
  </si>
  <si>
    <t>v_UsqhZb0co6o</t>
  </si>
  <si>
    <t>A man is laying in bed and looks at his phone.</t>
  </si>
  <si>
    <t>He runs into a room and gets dressed.</t>
  </si>
  <si>
    <t>He sits down on his bed and puts shoes on.</t>
  </si>
  <si>
    <t>He stands up and runs out the door.</t>
  </si>
  <si>
    <t>v_czh5nNO_Eow</t>
  </si>
  <si>
    <t>A black screen appears with white words that read "How to Paint a Paneled Door".</t>
  </si>
  <si>
    <t>A man then appears in front of a red door that is leaning up against a wall that has plastic on it, and he's talking and touching the door.</t>
  </si>
  <si>
    <t>The man then grabs a paint brush and begins painting on paints various parts of the door while continuing to talk.</t>
  </si>
  <si>
    <t>The man stops painting, and begins talking as he points at a few things on the door.</t>
  </si>
  <si>
    <t>A black screen appears with white words that include a website if someone wants more information.</t>
  </si>
  <si>
    <t>v_eL4Ce4WPI0Y</t>
  </si>
  <si>
    <t>A woman is seen wiping off her feet and stepping into a circle pit.</t>
  </si>
  <si>
    <t>The woman then spins around and throws a discuss off into the air while the camera follows her.</t>
  </si>
  <si>
    <t>v_ItpDcSURusI</t>
  </si>
  <si>
    <t>A professional diver named Pandelela Rinong is getting ready to dive in a competition.</t>
  </si>
  <si>
    <t>She goes forward on the diving board and does a backward dive into the pool from several feet.</t>
  </si>
  <si>
    <t>She twists her body as she dives down into the pool.</t>
  </si>
  <si>
    <t>After she's done, she smiles and walks out of the pool.</t>
  </si>
  <si>
    <t>v_JGStyHrlN2U</t>
  </si>
  <si>
    <t>Several player on horseback are playing cricket on a field.</t>
  </si>
  <si>
    <t>All players ride their horses to one side of the field.</t>
  </si>
  <si>
    <t>The ride around and around as the try to hit the cricket ball.</t>
  </si>
  <si>
    <t>The ball is hit into the middle of the field away from all the players.</t>
  </si>
  <si>
    <t>v_CJCONq_i1cQ</t>
  </si>
  <si>
    <t>We see a man in a driveway cleaning snow from his car.</t>
  </si>
  <si>
    <t>The man cleans the snow under his windshield wipers.</t>
  </si>
  <si>
    <t>We see the building behind the car.</t>
  </si>
  <si>
    <t>We do a 360 spin to see the parking lot.</t>
  </si>
  <si>
    <t>The man opens the doors on his car and gets in.</t>
  </si>
  <si>
    <t>The man backs out and and gets out of the car.</t>
  </si>
  <si>
    <t>v_ZluOmpTPdWw</t>
  </si>
  <si>
    <t>A group of people seen running around a sandy field playing a soccer match in front of a large crowd.</t>
  </si>
  <si>
    <t>The people continue kick the ball around with several more balls being thrown in as well.</t>
  </si>
  <si>
    <t>v_E2KlBkQJyzU</t>
  </si>
  <si>
    <t>Two people are seen sitting on a ski bench putting on gear and leads into people pushing a puck around a hockey rink.</t>
  </si>
  <si>
    <t>Several shots are shown of the players skating around the ice and playing the sport of hockey.</t>
  </si>
  <si>
    <t>In the end they all kneel down next to one another and skate away.</t>
  </si>
  <si>
    <t>v_tlNpR7CkM-4</t>
  </si>
  <si>
    <t>A man is shown inside a church.</t>
  </si>
  <si>
    <t>He is playing a set of bagpipes while wearing a kilt.</t>
  </si>
  <si>
    <t>He continues to play, not moving.</t>
  </si>
  <si>
    <t>v_az-UGTdlbaA</t>
  </si>
  <si>
    <t>A woman in a black top and shorts wears boxing gloves.</t>
  </si>
  <si>
    <t>She spares with a man in black.</t>
  </si>
  <si>
    <t>She kicks and hits at him.</t>
  </si>
  <si>
    <t>She does several different exercises.</t>
  </si>
  <si>
    <t>v_K0XdsHfUpco</t>
  </si>
  <si>
    <t>Players play croquet in a lawn.</t>
  </si>
  <si>
    <t>A guy plays a bag pipe on the croquet field.</t>
  </si>
  <si>
    <t>Players shake hands to demonstrate sportsmanship.</t>
  </si>
  <si>
    <t>Players carry a huge check.</t>
  </si>
  <si>
    <t>A guy steps out of a line and charges at the camera.</t>
  </si>
  <si>
    <t>v_QWXzDdMjZOw</t>
  </si>
  <si>
    <t>A man holds a saxophone, then he takes out the neck and blows the mouthpiece while talking.</t>
  </si>
  <si>
    <t>Then, the man puts on the neck in the saxophone and shows the keys while talking.</t>
  </si>
  <si>
    <t>Then, the man plays the saxophone while explaining.</t>
  </si>
  <si>
    <t>v_4KgCkxpsN2g</t>
  </si>
  <si>
    <t>People are in a large yellow raft going down a water fall.</t>
  </si>
  <si>
    <t>A man in a boat is going down the river.</t>
  </si>
  <si>
    <t>Several pictures of rafters are displayed on the screen.</t>
  </si>
  <si>
    <t>Rafters are going down a rough hill and hitting the rocks.</t>
  </si>
  <si>
    <t>v_rHD_vDxPpDA</t>
  </si>
  <si>
    <t>A shoe is cleaned with a toothbrush by a sink.</t>
  </si>
  <si>
    <t>The counter is wiped with a towel.</t>
  </si>
  <si>
    <t>The shoe is cleaned more with the toothbrush and a towel.</t>
  </si>
  <si>
    <t>v_IB068eD8A7Y</t>
  </si>
  <si>
    <t>We see a man and a small boy holding a bow and arrow in a field.</t>
  </si>
  <si>
    <t>The boy shoots the arrow stretches and shoots more arrows.</t>
  </si>
  <si>
    <t>We see the man shoot three arrows and see the target.</t>
  </si>
  <si>
    <t>We see the boy as he tries to shoot balloons on the target and misses them all.</t>
  </si>
  <si>
    <t>The boy walks away and we see lady shoot two arrows and turn and kiss her hand.</t>
  </si>
  <si>
    <t>v_M_hfBH8xEig</t>
  </si>
  <si>
    <t>Blue text talks about the description of the video.</t>
  </si>
  <si>
    <t>Some boys are shown performing backetball layups, one after the other.</t>
  </si>
  <si>
    <t>One boy continuously does layups until the end.</t>
  </si>
  <si>
    <t>v_ZzarNWOJnro</t>
  </si>
  <si>
    <t>A man picks up an ax.</t>
  </si>
  <si>
    <t>He swings it at a piece of wood on a stump.</t>
  </si>
  <si>
    <t>He picks another one up and chops it.</t>
  </si>
  <si>
    <t>v_17ODXa4CEmI</t>
  </si>
  <si>
    <t>A person puts slices of lemon over two glasses of lemonade with ice.</t>
  </si>
  <si>
    <t>Then, the person pours water and adds sugar in a pot to make syrup.</t>
  </si>
  <si>
    <t>The person press hard a lemon, and then cuts the lemmons and squeeze them using an electric citrus juicer.</t>
  </si>
  <si>
    <t>next, the person pours a glass of water in a jar, then adds the syrup, the lemon juice, slices of lemon and ice.</t>
  </si>
  <si>
    <t>Then the person serves the lemonade.</t>
  </si>
  <si>
    <t>v_P49Ci0Ph8eU</t>
  </si>
  <si>
    <t>A gymnast stands before a large crowd in an arena and puts his hands up.</t>
  </si>
  <si>
    <t>He begins his routine that involves many flips and rotations.</t>
  </si>
  <si>
    <t>The crowd sits silently while he does this.</t>
  </si>
  <si>
    <t>He does a handstand and a series of more rotations and flips before dismounting.</t>
  </si>
  <si>
    <t>He claps as the crowd cheers him on after his routine is over.</t>
  </si>
  <si>
    <t>v_GYh4XH7jUL4</t>
  </si>
  <si>
    <t>A person dives off a board into a pool.</t>
  </si>
  <si>
    <t>They come up from under the water.</t>
  </si>
  <si>
    <t>v_xH_1O0mckTU</t>
  </si>
  <si>
    <t>man is standing in street holding a board and skateboarding through the street.</t>
  </si>
  <si>
    <t>man is walking in a yard and doing jumps and talking to a microphone.</t>
  </si>
  <si>
    <t>v_U01xasUtlvw</t>
  </si>
  <si>
    <t>a man is outside wearing a superman shirt.</t>
  </si>
  <si>
    <t>He spins in circles, looking around.</t>
  </si>
  <si>
    <t>He finds a broken bike, and repairs it while an angry man yells at him.</t>
  </si>
  <si>
    <t>v_6LOfAoP4Mg8</t>
  </si>
  <si>
    <t>A man is shown sanding a wall and laying out a large piece of water paper across the wall.</t>
  </si>
  <si>
    <t>He continues pushing the paper into the wall and sanding it from behind.</t>
  </si>
  <si>
    <t>v_XQ4owd3yQ_4</t>
  </si>
  <si>
    <t>A man pushes a table into the sand.</t>
  </si>
  <si>
    <t>He is then shown surfing on the bottom of the table in the ocean, gliding across a wave.</t>
  </si>
  <si>
    <t>Another angle is shown with the surfer effortlessly riding a wave on a table.</t>
  </si>
  <si>
    <t>He crashes along with the wave.</t>
  </si>
  <si>
    <t>v_x_BIktHkEc4</t>
  </si>
  <si>
    <t>A man wearing headphones is in a studio, speaking into a microphone.</t>
  </si>
  <si>
    <t>Other men are shown, one of which begins playing a harmonica.</t>
  </si>
  <si>
    <t>He stops playing and says something that makes the DJ laugh.</t>
  </si>
  <si>
    <t>v_pv6CNBFhgCU</t>
  </si>
  <si>
    <t>A machine draws a face on a pumpkin.</t>
  </si>
  <si>
    <t>The lights turn off and it shows the carved pumpkin turned on.</t>
  </si>
  <si>
    <t>It shows the pumpkin in the light.</t>
  </si>
  <si>
    <t>v_HVhLOYGU9E4</t>
  </si>
  <si>
    <t>A large semi truck is driving in the rain.</t>
  </si>
  <si>
    <t>Then we see boys riding skateboards outside a house.</t>
  </si>
  <si>
    <t>They perform several stunts on a board in the driveway.</t>
  </si>
  <si>
    <t>v_d4prmED8v-w</t>
  </si>
  <si>
    <t>A pole vaulter runs up and launches himself over the bar.</t>
  </si>
  <si>
    <t>The vaulter introduces his challenge to the camera, which is to make it over ten times in a row in 20 minutes.</t>
  </si>
  <si>
    <t>He launches himself over 10 times successfully and easily gets under the 20 minute limit.</t>
  </si>
  <si>
    <t>v_6AwS8vWMwSA</t>
  </si>
  <si>
    <t>We see a man and a woman playing competitive rock paper scissors cut with scenes of the crowd.</t>
  </si>
  <si>
    <t>We see a man with a mustache clapping.</t>
  </si>
  <si>
    <t>The lady wins and the man in the suit raises her hand.</t>
  </si>
  <si>
    <t>The man and the woman shake each others hands.</t>
  </si>
  <si>
    <t>The man in the game shakes his head as he turns around.</t>
  </si>
  <si>
    <t>v_jBKlpn2mE8I</t>
  </si>
  <si>
    <t>A woman walks into a backyard, and flips her hair forward.</t>
  </si>
  <si>
    <t>She brushes her hair for a long time, smoothing and tossing it.</t>
  </si>
  <si>
    <t>She then walks away from the camera, continuing to brush.</t>
  </si>
  <si>
    <t>She stands upright, then bends over to brush some more.</t>
  </si>
  <si>
    <t>v_icOO9whIgX8</t>
  </si>
  <si>
    <t>A yellow frame with girls playing Lacross opens up the video.</t>
  </si>
  <si>
    <t>A game of girls Lacross is going on as different slides are shown.</t>
  </si>
  <si>
    <t>The game ends with a penalty shot.</t>
  </si>
  <si>
    <t>v_-G-sh-NhYtk</t>
  </si>
  <si>
    <t>A person in a black coat is shoveling show from a driveway.</t>
  </si>
  <si>
    <t>A man is being shown standing in a garage.</t>
  </si>
  <si>
    <t>v_r7Z5Pm3pKMA</t>
  </si>
  <si>
    <t>We see a man and people entering a stadium.</t>
  </si>
  <si>
    <t>We switch to people on teams, and military marching in a yard.</t>
  </si>
  <si>
    <t>People are playing a game with sticks.</t>
  </si>
  <si>
    <t>We see a group of people on a team standing in a a circle.</t>
  </si>
  <si>
    <t>We see a man walking down the street then a person sitting on the sidewalk.</t>
  </si>
  <si>
    <t>v_BdKxwCdax_w</t>
  </si>
  <si>
    <t>A man is standing in a room in front of a mirror talking.</t>
  </si>
  <si>
    <t>He gets down on his knees and stands on his head.</t>
  </si>
  <si>
    <t>He moves around in a circle on his head and spins.</t>
  </si>
  <si>
    <t>v_fgEMvRrOCRI</t>
  </si>
  <si>
    <t>There are players, one in yellow and the other in red hurling in an open air stadium.</t>
  </si>
  <si>
    <t>They are part of a team that is playing in the large stadium with several spectators.</t>
  </si>
  <si>
    <t>The video is demonstrating how to catch the ball and scoop it up with the stick.</t>
  </si>
  <si>
    <t>It also demonstrates how to balance the ball on the stick as the player runs.</t>
  </si>
  <si>
    <t>The players are showing all the steps in the tutorial where the one of the player shoots the ball bravely for a point.</t>
  </si>
  <si>
    <t>There's a player in a blue and white uniform shooting the ball for a point and scoring a goal.</t>
  </si>
  <si>
    <t>v_x2CZHFxoZaM</t>
  </si>
  <si>
    <t>A man is crossing the finish line of a race.</t>
  </si>
  <si>
    <t>Lots of people are running in a race.</t>
  </si>
  <si>
    <t>People are running down a dirt road.</t>
  </si>
  <si>
    <t>v_EEaLID3z9tM</t>
  </si>
  <si>
    <t>A group of four young girls are standing beside each other in the bathroom and they chug something.</t>
  </si>
  <si>
    <t>They are swishing it in their mouths and almost all of them have their hands over their mouths.</t>
  </si>
  <si>
    <t>One of them spits it out in the sink and the other three are trying to carry on.</t>
  </si>
  <si>
    <t>They are having a really hard time and eventually they all spit out and one girl wins.</t>
  </si>
  <si>
    <t>v_jvQU6RyhY7I</t>
  </si>
  <si>
    <t>A woman has a bandana tied around her eyes.</t>
  </si>
  <si>
    <t>She uses a stick to swing at a pinata.</t>
  </si>
  <si>
    <t>She hits the pinata numerous times.</t>
  </si>
  <si>
    <t>v_TMnmi7WJr_o</t>
  </si>
  <si>
    <t>A man is standing outside a tattoo and piercing parlor.</t>
  </si>
  <si>
    <t>He lies down on a bench while a tattoo artist works on a tattoo on his back.</t>
  </si>
  <si>
    <t>He shows a close up of his work, which says thuglife.</t>
  </si>
  <si>
    <t>The man looks at the work in the mirror.</t>
  </si>
  <si>
    <t>v_MhWIIdVyWVs</t>
  </si>
  <si>
    <t>A martial arts artists performs slow moves with her arms and legs simultaneously.</t>
  </si>
  <si>
    <t>A man speaks to the camera after the woman finishes her martial arts routine.</t>
  </si>
  <si>
    <t>v_O8TIRkB99Lo</t>
  </si>
  <si>
    <t>A man stands in a doorway talking.</t>
  </si>
  <si>
    <t>The man climbs a ladder and adds a piece of wallpaper to the wall.</t>
  </si>
  <si>
    <t>The man uses a tool before turning to speak then smooths it out.</t>
  </si>
  <si>
    <t>The man speaks and uses another tool to cut a piece off then wipes the ceiling.</t>
  </si>
  <si>
    <t>v_5kdiJ2cC5_w</t>
  </si>
  <si>
    <t>A woman stands holding a violin against herself.</t>
  </si>
  <si>
    <t>The woman plays the violin.</t>
  </si>
  <si>
    <t>The woman stops playing the violin.</t>
  </si>
  <si>
    <t>v_jkmbAc9BWaE</t>
  </si>
  <si>
    <t>There's a man in a red shirt and a checked shirt over it, standing in a park.</t>
  </si>
  <si>
    <t>He throws a rubber tire on the ground.</t>
  </si>
  <si>
    <t>He is standing near a park bench with a skateboard in his hand.</t>
  </si>
  <si>
    <t>He is demonstrating how to do stunts on the skateboard by jumping up on the park bench.</t>
  </si>
  <si>
    <t>He repeats the same stunt over and over again.</t>
  </si>
  <si>
    <t>He falls off the skateboard a couple times but is successful most of the time.</t>
  </si>
  <si>
    <t>Then he holds the skateboard in his hand as he talks while pointing to the bench.</t>
  </si>
  <si>
    <t>v_aOrDnKEJAwQ</t>
  </si>
  <si>
    <t>An "eesa" logo is shown on screen.</t>
  </si>
  <si>
    <t>Two men wearing scuba diving gear in an indoor pool talk to the camera.</t>
  </si>
  <si>
    <t>The camera follows one of the men underwater where numerous manmade obstacles are present.</t>
  </si>
  <si>
    <t>Other men dressed like astronauts are underwater with them.</t>
  </si>
  <si>
    <t>The scuba divers wave goodbye and credits roll.</t>
  </si>
  <si>
    <t>v_BPpq8m93LSI</t>
  </si>
  <si>
    <t>We see balls and paddle and a blue table then a man talks and two men playing table tennis.</t>
  </si>
  <si>
    <t>We see an instructional title screen.</t>
  </si>
  <si>
    <t>The man demonstrates hitting a ball and we see him in play hitting the ball.</t>
  </si>
  <si>
    <t>v_sjyZWmvTGA4</t>
  </si>
  <si>
    <t>Several men are blowing leaves in front of a home.</t>
  </si>
  <si>
    <t>One man is going all throughout the yard to blow the leaves.</t>
  </si>
  <si>
    <t>He clears out in front of the home.</t>
  </si>
  <si>
    <t>He also clears out by the shed.</t>
  </si>
  <si>
    <t>Another man is shown wandering through the yard.</t>
  </si>
  <si>
    <t>v_ckzLOLHjP44</t>
  </si>
  <si>
    <t>We see men on a lacrosse field playing a game.</t>
  </si>
  <si>
    <t>A man hits the ball and the men run on the field.</t>
  </si>
  <si>
    <t>We see a man in red run on the screen and walk back.</t>
  </si>
  <si>
    <t>v_smk2WJV1Zmo</t>
  </si>
  <si>
    <t>woman is in a gym doing leg exercise and abs.</t>
  </si>
  <si>
    <t>thw woman is sitting in a terrace talking to the camera.</t>
  </si>
  <si>
    <t>woman is walking in a sidewalk with a white small dog and enters in a house.</t>
  </si>
  <si>
    <t>the woman is again in the terrace talking to the camera.</t>
  </si>
  <si>
    <t>v_xxXspvK4tEY</t>
  </si>
  <si>
    <t>An elderly woman is sitting on the couch with a young girl, showing her how to thread yard onto a knitting hook.</t>
  </si>
  <si>
    <t>The girl smiles and laughs as she figures out how to handle it.</t>
  </si>
  <si>
    <t>v_SwXGVQXyXkQ</t>
  </si>
  <si>
    <t>A man sits in a barber chair.</t>
  </si>
  <si>
    <t>The barber begins to shave his head.</t>
  </si>
  <si>
    <t>He shaves stars into his head.</t>
  </si>
  <si>
    <t>The design is intricately done.</t>
  </si>
  <si>
    <t>v_S2jbh7QMrKc</t>
  </si>
  <si>
    <t>People surf in the choppy waters of the ocean while a cat sits on a rock.</t>
  </si>
  <si>
    <t>One person surfs on a big wave going to the right, while other surfer gets in a wave to surf and falls but get on the surfboard again.</t>
  </si>
  <si>
    <t>A man surfs on a wave going to the left while other people surfs in the ocean.</t>
  </si>
  <si>
    <t>Suddenly, a man appears rowing a canoe.</t>
  </si>
  <si>
    <t>v_legHHtPK5fA</t>
  </si>
  <si>
    <t>A group of men are standing in a row.</t>
  </si>
  <si>
    <t>They are throwing darts at targets.</t>
  </si>
  <si>
    <t>The people converse as they try to hit their targets.</t>
  </si>
  <si>
    <t>v_QV2QXt6eDdI</t>
  </si>
  <si>
    <t>A young child is seen washing various dishes in a sink while wearing gloves and running them under water.</t>
  </si>
  <si>
    <t>The boy continues to stick a bowl under the water while the camera pans around his movements.</t>
  </si>
  <si>
    <t>v_0_BvBpwDMpU</t>
  </si>
  <si>
    <t>A gymnast is seen raising his arm in the air and climbing on top a gymnastics beam.</t>
  </si>
  <si>
    <t>He spins himself around performing various tricks on the beam and finishes by jumping down and smiling to the applauding audience.</t>
  </si>
  <si>
    <t>v_PmyAt4zuLRY</t>
  </si>
  <si>
    <t>a woman wearing butterflies wings costume playing beerpong.</t>
  </si>
  <si>
    <t>a woman is wearing a catty costume is standing behind the table.</t>
  </si>
  <si>
    <t>woman is sitting in front of the table and dance when the woman fails the ball.</t>
  </si>
  <si>
    <t>v_E4PIKUW4v0k</t>
  </si>
  <si>
    <t>A man and a woman stand on a street talking on front a window.</t>
  </si>
  <si>
    <t>A person passes on front the man and the woman.</t>
  </si>
  <si>
    <t>People pass on front the woman and the man.</t>
  </si>
  <si>
    <t>v_F8pv5rFrEm4</t>
  </si>
  <si>
    <t>We see gymnasts in a gym on each other shoulders.</t>
  </si>
  <si>
    <t>They then begin an aerobic dance.</t>
  </si>
  <si>
    <t>The people walk to their steps and step on them.</t>
  </si>
  <si>
    <t>The people moves the steps to the center of the room.</t>
  </si>
  <si>
    <t>A lady does a split on the floor and they finish.</t>
  </si>
  <si>
    <t>The ending title appears on the screen.</t>
  </si>
  <si>
    <t>v_FzdLe1mjk7c</t>
  </si>
  <si>
    <t>There is a wall of paintings then the scene fades out.</t>
  </si>
  <si>
    <t>People are standing on a balcony over looking a soccer event and the screen says Wuzler Cup Finale.</t>
  </si>
  <si>
    <t>Two rows of people are playing table soccer.</t>
  </si>
  <si>
    <t>The ball jumped off the table and a woman put it back into play and a goal was made.</t>
  </si>
  <si>
    <t>There are cheerleaders for this event.</t>
  </si>
  <si>
    <t>The red team won and are showing off their tshirts.</t>
  </si>
  <si>
    <t>The scene changes to a reported behind a desk.</t>
  </si>
  <si>
    <t>v_PxEu0AAH9LI</t>
  </si>
  <si>
    <t>A group of women wearing blue dresses are dancing on a stage in sync they dropped to the ground and the screen fades to black.</t>
  </si>
  <si>
    <t>A woman alone then appears on the stage with white words on the bottom left that say "BALLET D'ORIENT",and a special effect background and she begins to belly dance, then other women join her.</t>
  </si>
  <si>
    <t>The spotlight fades as the routine ends and the screen fades to black.</t>
  </si>
  <si>
    <t>v_f0lxilPpXeM</t>
  </si>
  <si>
    <t>A man and woman are sitting behind a desk talking.</t>
  </si>
  <si>
    <t>A doctor is performing surgery in a room.</t>
  </si>
  <si>
    <t>A woman in a red shirt is standing at a counter talking.</t>
  </si>
  <si>
    <t>A woman wipes her mouth with a napkin.</t>
  </si>
  <si>
    <t>v_YeNlYRWhFzE</t>
  </si>
  <si>
    <t>An intro leads into several shots of a man riding a large wave of a surf board from various angles.</t>
  </si>
  <si>
    <t>One man is then interviewed by the cameraman and is shown again riding large waves in the ocean.</t>
  </si>
  <si>
    <t>Another man is interviewed by the camera and shows off his surfing skills on his board.</t>
  </si>
  <si>
    <t>v_k8ZXFB6xqZs</t>
  </si>
  <si>
    <t>A man is outside in a tennis court talking while he is holding a tennis racket.</t>
  </si>
  <si>
    <t>He goes on the court and with the racket and a ball from his pocket and hits it.</t>
  </si>
  <si>
    <t>He gives some very detailed information a for a while, tennis seems to be something he knows about very well.</t>
  </si>
  <si>
    <t>He shows how you should hit the ball properly and goes on talking some more.</t>
  </si>
  <si>
    <t>v_tkHJgKq3jTs</t>
  </si>
  <si>
    <t>woman is in an offece talking to a men that are decorating a christmas tree.</t>
  </si>
  <si>
    <t>man talks to the one who was standing by the tree and gives him a barbie.</t>
  </si>
  <si>
    <t>man walks to a woman and start talking in te corner of the room.</t>
  </si>
  <si>
    <t>man is holding a ball next to the christmas tree putting the balls.</t>
  </si>
  <si>
    <t>v_0IN40z63WAU</t>
  </si>
  <si>
    <t>A man is shown working out on several different pieces of exercise equipment as well as adjusting the settings.</t>
  </si>
  <si>
    <t>The man puts in a USB and continues to ride around on the machines.</t>
  </si>
  <si>
    <t>He adjusts more settings as well as watches tv when he works out and close ups of his feet and body shown.</t>
  </si>
  <si>
    <t>v_bWquUXC2Te8</t>
  </si>
  <si>
    <t>A man is seen looking to the camera wile holding a razor.</t>
  </si>
  <si>
    <t>He begins shaving his face while looking into the mirror.</t>
  </si>
  <si>
    <t>He points to the razor and continues shaving his face and looking to the camera.</t>
  </si>
  <si>
    <t>v_GSXP6BYeS-o</t>
  </si>
  <si>
    <t>1 A guy shows the tools to clip his cats nails.</t>
  </si>
  <si>
    <t>2 The guy wraps up the cat.</t>
  </si>
  <si>
    <t>3 The Guy cut the cats nails and the cat tries to bite him a few times.</t>
  </si>
  <si>
    <t>4 The guy lets the cat go.</t>
  </si>
  <si>
    <t>v_etqiXPKlthk</t>
  </si>
  <si>
    <t>A young man drinks six bottles of beer while a person stand on front him holding a chronometer.</t>
  </si>
  <si>
    <t>Then, the young man spits beer on the person who fall on the ground.</t>
  </si>
  <si>
    <t>After, the person stand sand take off his pants and t-shirt, then he crowls on the grass.</t>
  </si>
  <si>
    <t>v_l0aksT_7wKo</t>
  </si>
  <si>
    <t>A man is seen laying on the floor while speaking out loud and crossing his arms overs his chest.</t>
  </si>
  <si>
    <t>The man then does several crunches in various ways and ends by speaking to the camera.</t>
  </si>
  <si>
    <t>v_VcyO9tZ3NkY</t>
  </si>
  <si>
    <t>A roof is repaired by PVC.</t>
  </si>
  <si>
    <t>The roof is cleaned and the seal is made again.</t>
  </si>
  <si>
    <t>v_Q7R3ajucvyE</t>
  </si>
  <si>
    <t>The boy holds open his eyelids and places in a contact lens.</t>
  </si>
  <si>
    <t>The man tilts back his head and closes his eyes to adjust the contact lens.</t>
  </si>
  <si>
    <t>The man rubs his eyes then opens them wide to show the contacts.</t>
  </si>
  <si>
    <t>v_nDGhaYCgRiI</t>
  </si>
  <si>
    <t>people is in a gym doing exercise some push ups and stretching.</t>
  </si>
  <si>
    <t>men start settle the gym and bring some mats and strings to ge gym.</t>
  </si>
  <si>
    <t>people are balancing on the srings on the gym and jumping in the elastic bed in gym class.</t>
  </si>
  <si>
    <t>men and women are balancing on th string and doing tricks making jumps.</t>
  </si>
  <si>
    <t>v_PKdQIdYuXo8</t>
  </si>
  <si>
    <t>man is standing holding an harmonica while is playing the guitar and its reading the music sheet.</t>
  </si>
  <si>
    <t>man is teaching how to play the harmonica in the key of A and its talking and playing the guitar.</t>
  </si>
  <si>
    <t>v_ha40KZvmcEo</t>
  </si>
  <si>
    <t>Several clips are shown of people riding in water on kayaks.</t>
  </si>
  <si>
    <t>The people perform flips in the water while text is shown.</t>
  </si>
  <si>
    <t>More clips are shown of people riding in the water and doing flips in the kayaks.</t>
  </si>
  <si>
    <t>v_YApgx2YL9wM</t>
  </si>
  <si>
    <t>A firefighter is shown walking on a tight rope in his gear very slowly.</t>
  </si>
  <si>
    <t>He moves along the rope towards the end and walks back to the start until he fails.</t>
  </si>
  <si>
    <t>v_7vXt9RxeXWY</t>
  </si>
  <si>
    <t>A man is standing up behind him talking.</t>
  </si>
  <si>
    <t>The man on the mat has a brown belt around his waist.</t>
  </si>
  <si>
    <t>v_16Mq9vM7Nck</t>
  </si>
  <si>
    <t>Two people are seen walking out of a building and leads into them playing crochet with one another.</t>
  </si>
  <si>
    <t>The men continue hitting the ball around the yard while speaking to one another and measuring out the ball.</t>
  </si>
  <si>
    <t>The men continue playing and one holding out his arm and end by walking away.</t>
  </si>
  <si>
    <t>v_78je-JBAqxQ</t>
  </si>
  <si>
    <t>A man is blowing a whislet in front of a room filled with people.</t>
  </si>
  <si>
    <t>They are playing beer pong with several red solo cups, drinking in between plays.</t>
  </si>
  <si>
    <t>A blonde woman watches as a man wins the game, hugging the woman next to him.</t>
  </si>
  <si>
    <t>v_w5J3Gt5WLwU</t>
  </si>
  <si>
    <t>A water polo match is shown and a person scores goals.</t>
  </si>
  <si>
    <t>This is a recruiting video.</t>
  </si>
  <si>
    <t>v_HCraAphAW1A</t>
  </si>
  <si>
    <t>A person in a black t-shirt clips the nails on the front paws of a brown and tan speckled cat.</t>
  </si>
  <si>
    <t>A brown and tan speckled cat is lying on a white cushion when a person walks in holding a pair of red handled nail clippers.</t>
  </si>
  <si>
    <t>The person cuts the forepaws of the cat as the cat watches on.</t>
  </si>
  <si>
    <t>The person finishes cutting the cat's nails and pets the cats head and shows the clippers close to the camera before walking away.</t>
  </si>
  <si>
    <t>v_f0Z-qud2N74</t>
  </si>
  <si>
    <t>Two boys are wrestling in a bedroom.</t>
  </si>
  <si>
    <t>One boy is picked up and thrown on the bed.</t>
  </si>
  <si>
    <t>The boy turns off the camera.</t>
  </si>
  <si>
    <t>v_rrXdhD3WDy4</t>
  </si>
  <si>
    <t>A piercing artist inserts a bar into a woman's nipple.</t>
  </si>
  <si>
    <t>The man screws on hardware to the end of the piercing.</t>
  </si>
  <si>
    <t>The woman wearing a costume sits up and shows her new piercings.</t>
  </si>
  <si>
    <t>v_Sn8IRyUFNac</t>
  </si>
  <si>
    <t>A woman smoking a cigarette speaks to another about how much they need smoking.</t>
  </si>
  <si>
    <t>They continue talking about their smoking habit and what they can do to continue smoking if they please.</t>
  </si>
  <si>
    <t>v_aVDyPmUgHU0</t>
  </si>
  <si>
    <t>A man comes onto the screen to introduce a video about him trimming trees.</t>
  </si>
  <si>
    <t>He picks up a trimming saw and starts the engine.</t>
  </si>
  <si>
    <t>He climbs the ladder and begins trimming the tree.</t>
  </si>
  <si>
    <t>He looks back to the camera and smiles.</t>
  </si>
  <si>
    <t>v_FYv-2ehoGWo</t>
  </si>
  <si>
    <t>A blonde woman wearing a dress has two, side by side shots of her playing a violin.</t>
  </si>
  <si>
    <t>She plays two different melodies on the violin and finishes together at the same time, smiling at the camera.</t>
  </si>
  <si>
    <t>v_UIZN2F8pjzE</t>
  </si>
  <si>
    <t>A man is standing outside in the dark smoking a cigarette in front of a green garage.</t>
  </si>
  <si>
    <t>After,an image of a lung is shown and shows how cigarettes affect your organs.</t>
  </si>
  <si>
    <t>v_KKbfCtmIE0o</t>
  </si>
  <si>
    <t>A woman demonstrates how to do Tai Chi outside on the grass.</t>
  </si>
  <si>
    <t>The same woman demonstrates Tai Chi indoors on a stage.</t>
  </si>
  <si>
    <t>A second woman joins the first woman to help demonstrate.</t>
  </si>
  <si>
    <t>v_VeU_EBE-YPE</t>
  </si>
  <si>
    <t>There are several Seagull brand acoustic guitars are shown displayed in a store.</t>
  </si>
  <si>
    <t>A man dressed in black, seated on a stool is playing the acoustic guitar in the store where the guitars are displayed.</t>
  </si>
  <si>
    <t>The man continues playing the guitar.</t>
  </si>
  <si>
    <t>v_4CTczKzaPa4</t>
  </si>
  <si>
    <t>Several men stand around a pinata.</t>
  </si>
  <si>
    <t>A man spins a blindfolded man around.</t>
  </si>
  <si>
    <t>The blindfolded man takes a few swings at the pinata.</t>
  </si>
  <si>
    <t>A woman in red shirt laughs.</t>
  </si>
  <si>
    <t>v_DDZFQKi1v2U</t>
  </si>
  <si>
    <t>A woman is seen laying on the couch with another girl sitting above her.</t>
  </si>
  <si>
    <t>The girl is then shown piercing the nipple of the girl laying down.</t>
  </si>
  <si>
    <t>She finishes the piercing and ends by smiling to the camera.</t>
  </si>
  <si>
    <t>v_7c5vvEn3uLk</t>
  </si>
  <si>
    <t>A cowboy is riding on a horse in a large arena and is swinging his rope.</t>
  </si>
  <si>
    <t>The view changes to show a group of men with their horses and they're each holding onto their ropes and doing various things with them like tying and swinging them.</t>
  </si>
  <si>
    <t>The focus switches to a man talking whose name is Trevor Brazile and it flashes from him talking and then to clips of him riding his horse in different arenas as he is also wrangling a small calf.</t>
  </si>
  <si>
    <t>Another man by the name of Stran Smith is now talking and clips of him riding his horse in different arenas as he wrangles a calf also plays.</t>
  </si>
  <si>
    <t>Clips of both of men talking and clips of them riding horses and wrangling calves play and rotate between the two of them.</t>
  </si>
  <si>
    <t>The outro video begins and it shows a hanging banner at the arena that reads "CALGARY STAMPEDE", a woman riding a horse and holding a red flag that say's "1912-2012 Calgary Stampede",and a calf is running across a dirt field.</t>
  </si>
  <si>
    <t>v_hS4L3PMfYqA</t>
  </si>
  <si>
    <t>A person sings on front a crowd dressed on hip hop clothes.</t>
  </si>
  <si>
    <t>A man dance hip hop doing acrobatics moves with his hands and legs on the floor on front a crowd.</t>
  </si>
  <si>
    <t>People takes pictures and film the man who are behind the man.</t>
  </si>
  <si>
    <t>v_-5xWaBSwnjY</t>
  </si>
  <si>
    <t>woman is in a large green field holding a yellow frisbee and playing with a dog.</t>
  </si>
  <si>
    <t>a lot of acrs are parked in the street behind the alrge field.</t>
  </si>
  <si>
    <t>woman is throwing the frisbee to the dog.</t>
  </si>
  <si>
    <t>v_DxNIzbD6uD4</t>
  </si>
  <si>
    <t>A woman is seen speaking to the camera in front of a large exercise bar and begins standing on the equipment while speaking and using her hands.</t>
  </si>
  <si>
    <t>The woman continues to demonstrate how to properly execute the exercises while moving her arms and legs back and fourth.</t>
  </si>
  <si>
    <t>v_S4ppfXBp5o0</t>
  </si>
  <si>
    <t>There are three body builders exercising and working out in a small gym with weightlifting equipment.</t>
  </si>
  <si>
    <t>One of the body builders lifts the weight bar several times and then drops it down while the other two body builders watch him.</t>
  </si>
  <si>
    <t>Then he goes and wipes off his sweat with a towel and lifts the weight bar again and drops it.</t>
  </si>
  <si>
    <t>He then wears an abdominal belt and lifts the weight bar again and drops it.</t>
  </si>
  <si>
    <t>He struggles to lift the weight bar, lifts it slightly and then drops it down.</t>
  </si>
  <si>
    <t>v_Hujj6Q1Et3k</t>
  </si>
  <si>
    <t>A man wearing headphones stands behind a pair of large drums.</t>
  </si>
  <si>
    <t>The man plays drums with his palms.</t>
  </si>
  <si>
    <t>The man ceases playing the drums and turns away.</t>
  </si>
  <si>
    <t>v_Mcutz37Bowg</t>
  </si>
  <si>
    <t>A man lays out a scarf and puts some accessories in the middle of it.</t>
  </si>
  <si>
    <t>He ties the end and folds it into double knots.</t>
  </si>
  <si>
    <t>He opens it again and puts something else into the middle of it.</t>
  </si>
  <si>
    <t>Then pulls it together and it closes, he made a little bag out of a scarf.</t>
  </si>
  <si>
    <t>v_Lbdp-HCjWw8</t>
  </si>
  <si>
    <t>An introduction comes onto the screen for a video about how to play squash.</t>
  </si>
  <si>
    <t>Two men are shown on a squash court playing a game of squash.</t>
  </si>
  <si>
    <t>Text shows up on the screen showing the things you will need for the game.</t>
  </si>
  <si>
    <t>An indication shows on the screen letting you know the different lines.</t>
  </si>
  <si>
    <t>Tips for the game also show up on the screen.</t>
  </si>
  <si>
    <t>At the end of the video a text box shows up with a fun fact about squash.</t>
  </si>
  <si>
    <t>v_Vvco5y9PUFM</t>
  </si>
  <si>
    <t>A man cross a parking lot bouncing with bouncing shoes.</t>
  </si>
  <si>
    <t>There are car in the paring lot.</t>
  </si>
  <si>
    <t>v_YpXe04ALJw4</t>
  </si>
  <si>
    <t>Several people are outdoors enjoying the beach.</t>
  </si>
  <si>
    <t>In the middle of the sand however,there are a group of men playing a game of beach volley ball.</t>
  </si>
  <si>
    <t>After several hits,one man decides to kick the ball over the net and another man takes off running from the other side and tackles him in the dirt.</t>
  </si>
  <si>
    <t>v_dtT0BzjTStw</t>
  </si>
  <si>
    <t>A coach gives instructions to boys in a basketball court.</t>
  </si>
  <si>
    <t>Then, two young men demonstrate the boys how to pass and shoot the ball in the basket.</t>
  </si>
  <si>
    <t>After, the young man helps the boys throw the ball in the basket, while by two run passing the ball to shoot in a basket.</t>
  </si>
  <si>
    <t>Then, the boys practice basketball defense taking turns while running to the other side of the court.</t>
  </si>
  <si>
    <t>v_5t_hQVg9NsE</t>
  </si>
  <si>
    <t>Old clips are shown of a man drawing a picture and two children watching.</t>
  </si>
  <si>
    <t>The kids are then shown in several clips performing dives off a board and walk along the sides climbing back to the top.</t>
  </si>
  <si>
    <t>v_P14X14uarj0</t>
  </si>
  <si>
    <t>A person is seen passing a basketball all around a court to others and ending by shooting a basket.</t>
  </si>
  <si>
    <t>The group continues to pass the ball around to one another performing drills while the coach instructs.</t>
  </si>
  <si>
    <t>v_B0jASjqZl7s</t>
  </si>
  <si>
    <t>A man is seen speaking to the camera and leads of a clip of people riding down a snowy hill on tubes.</t>
  </si>
  <si>
    <t>More people are seen riding down the hill while pointing to one another.</t>
  </si>
  <si>
    <t>The group continues riding down the hill while also stopping to talk to the camera.</t>
  </si>
  <si>
    <t>v_qiw2I1oQIVQ</t>
  </si>
  <si>
    <t>Several black and white photos are being shown of people who played drums.</t>
  </si>
  <si>
    <t>A group of drum players gather, playing in a room.</t>
  </si>
  <si>
    <t>Their playing is interspersed with images of sheet music, then returns to their performance.</t>
  </si>
  <si>
    <t>v_Y5puaQ9oNVw</t>
  </si>
  <si>
    <t>The gymnasts run to and then did cartwheel and thumbling as he go through the end of the mat.</t>
  </si>
  <si>
    <t>The player jumped and cartwheel high.</t>
  </si>
  <si>
    <t>The male gymnast rotate up in the air and then he landed on the end of the mat.</t>
  </si>
  <si>
    <t>v_CBDFNn15G90</t>
  </si>
  <si>
    <t>Several shots are shown of forests that lead into a person gearing up and riding in a kayak.</t>
  </si>
  <si>
    <t>The person paddles themselves along the rough river as well as showing other people riding along.</t>
  </si>
  <si>
    <t>They move past rough waters along the river and end by sitting near one another.</t>
  </si>
  <si>
    <t>v_aJsAuChVmlY</t>
  </si>
  <si>
    <t>A woman is seen inside a bathroom.</t>
  </si>
  <si>
    <t>She is using a dryer to blow dry her hair.</t>
  </si>
  <si>
    <t>She occasionally uses a brush to help speed the process.</t>
  </si>
  <si>
    <t>v_k67UWfSt-iE</t>
  </si>
  <si>
    <t>A small group of people are seen playing a game of volleyball while people watch along the sidelines.</t>
  </si>
  <si>
    <t>The players hit the ball several times over the net as well as chasing after the ball.</t>
  </si>
  <si>
    <t>The continue to play the game while others cheer and high five one another after.</t>
  </si>
  <si>
    <t>v_mJQS2T-IVWc</t>
  </si>
  <si>
    <t>A man in a hard hat walks across a yard to a metal structure.</t>
  </si>
  <si>
    <t>He adjusts a ladder and leans it up against the structure, walks back to look, and adjusts it a couple more times.</t>
  </si>
  <si>
    <t>When satisfied, he tightens a strap, and grabs a second ladder.</t>
  </si>
  <si>
    <t>He climbs up, taking this one with him.</t>
  </si>
  <si>
    <t>v_LLD4SapVrgQ</t>
  </si>
  <si>
    <t>BMX waiting at the gate for the gate to come down and the race to begin.</t>
  </si>
  <si>
    <t>They take off on the track going really fast through it really fast.</t>
  </si>
  <si>
    <t>Florida has several locations for BMXing if you love to do it and don't know where to go, they have 1500 licensed riders and 30 sponsored teams.</t>
  </si>
  <si>
    <t>They even have some bikes for mini riders that want to be like their daddy's.</t>
  </si>
  <si>
    <t>v_TJFl99tLNWk</t>
  </si>
  <si>
    <t>Different shades of nail polish bottles are seen.</t>
  </si>
  <si>
    <t>Pieces of taper are wrapped around the tips of fingers around the nails.</t>
  </si>
  <si>
    <t>Different shades of nail polish are applied to a foam pad then dabbed on the finger nails.</t>
  </si>
  <si>
    <t>A clear coating is coating is applied onto the nails.</t>
  </si>
  <si>
    <t>The tape is removed and the edges are cleaned up with nail polish remover solution.</t>
  </si>
  <si>
    <t>v_5zPTTiJiXUY</t>
  </si>
  <si>
    <t>A woman is sitting in a car barefoot, trying to drive.</t>
  </si>
  <si>
    <t>She lights a cigarette as she drives.</t>
  </si>
  <si>
    <t>v_mQCFphhDFw8</t>
  </si>
  <si>
    <t>A man in yellow shirt and black tights, walked towards the bike, bend over and unscrew the screw.</t>
  </si>
  <si>
    <t>The man in yellow shirt took out his tools from his pocket, he took off the bike wheel from the bike, pull out a yellow tool, insert it between the rubber and metal, removed the rubber inside the tire, tried to find the hole, took a square cloth, wipe the tire, then put the sticker, he pumped the rubber then put it back in the tire.</t>
  </si>
  <si>
    <t>The person screw the wheel back to the bike.</t>
  </si>
  <si>
    <t>v_WWip1_lFvGg</t>
  </si>
  <si>
    <t>A person holds their eye open.</t>
  </si>
  <si>
    <t>They put a contact lens in the eye.</t>
  </si>
  <si>
    <t>They then take the contact lens out of their eye.</t>
  </si>
  <si>
    <t>v_c4GQ3WTOeAA</t>
  </si>
  <si>
    <t>A small child is seen sitting on a coach opening a present.</t>
  </si>
  <si>
    <t>The camera pans all around her while she opens the present and smiles to the camera.</t>
  </si>
  <si>
    <t>She continues to try to open the box while looking and smiling.</t>
  </si>
  <si>
    <t>v_k_z03d9w_Mk</t>
  </si>
  <si>
    <t>A woman and man wearing matching green color dance on stage during a performance.</t>
  </si>
  <si>
    <t>The man spins his partner during the dance.</t>
  </si>
  <si>
    <t>The dancers kick up there feet while dancing.</t>
  </si>
  <si>
    <t>v_qknJO39WUGk</t>
  </si>
  <si>
    <t>A boy talks to the camera.</t>
  </si>
  <si>
    <t>The boy scrubs a metal sink with a brush.</t>
  </si>
  <si>
    <t>The boy switches his grip on the brush.</t>
  </si>
  <si>
    <t>v_aaMrQi25WHc</t>
  </si>
  <si>
    <t>Three people sit on front the ocean.</t>
  </si>
  <si>
    <t>A man surfs on a small wave, then fly in the air and lands on the shore.</t>
  </si>
  <si>
    <t>A person takes picture to the surfer.</t>
  </si>
  <si>
    <t>The man continues surfing, spinning and jumping, after he takes his surfboard and walks on the beach.</t>
  </si>
  <si>
    <t>A surfer turn over in a wave.</t>
  </si>
  <si>
    <t>v_8K_gkiWH5EI</t>
  </si>
  <si>
    <t>A surfer is standing in the ocean current.</t>
  </si>
  <si>
    <t>A couple of other surfers join him as they surf into the waves.</t>
  </si>
  <si>
    <t>They rides the waves to the shore together.</t>
  </si>
  <si>
    <t>v_kIIAJsYMjyc</t>
  </si>
  <si>
    <t>A man is seen sitting on the floor and jumping to a standing position.</t>
  </si>
  <si>
    <t>he then goes back in to a kneeling position and jumps to his feet again.</t>
  </si>
  <si>
    <t>The same man does this two more times.</t>
  </si>
  <si>
    <t>v_MRt7pz2OY5M</t>
  </si>
  <si>
    <t>A black intro screen appears and it has the words SUPER WASH in the middle.</t>
  </si>
  <si>
    <t>A red car and a car behind it is at a car wash and both of them are being worked on by two sets of people at each car.</t>
  </si>
  <si>
    <t>Now there are 3 cars visible and the same men are working on washing the red car while another man starts working on the 3rd car that's to the side of the red car and all the cars continue to get washed.</t>
  </si>
  <si>
    <t>The red car is parked outside of the building and it's clean, dry and very shiny.</t>
  </si>
  <si>
    <t>v_i69NhEDno_M</t>
  </si>
  <si>
    <t>People are driving a car down a street.</t>
  </si>
  <si>
    <t>They are paddling in a boat down a river.</t>
  </si>
  <si>
    <t>A man is standing in the water holding an oar.</t>
  </si>
  <si>
    <t>v_rwUlqI6HWyY</t>
  </si>
  <si>
    <t>A chef in a white chef’s uniform stands in an empty commercial kitchen and demonstrates how to make an omelette.</t>
  </si>
  <si>
    <t>A chef stands in a kitchen talks to the camera before taking an egg and pouring it into a mini black skillet.</t>
  </si>
  <si>
    <t>The chef maneuvers the egg over the stove with a fork gently prodding it.</t>
  </si>
  <si>
    <t>The chef then fold the egg in half in the skillet and plates it on a white plate before turning to the camera and talking again.</t>
  </si>
  <si>
    <t>v_RWTLd_0BeAg</t>
  </si>
  <si>
    <t>Two girls are dancing and twirling batons on a gym floor.</t>
  </si>
  <si>
    <t>One of the girls leaves and the other girl continues dancing alone.</t>
  </si>
  <si>
    <t>She starts throwing the batons in the air.</t>
  </si>
  <si>
    <t>The second girl joins her again and they finish dancing.</t>
  </si>
  <si>
    <t>v_b2YyPJ02NNQ</t>
  </si>
  <si>
    <t>We see a babies and kids playing.</t>
  </si>
  <si>
    <t>Kids walk on silts in circles.</t>
  </si>
  <si>
    <t>The kids walk in lines on their stilts.</t>
  </si>
  <si>
    <t>A man helps a girl walk on slits.</t>
  </si>
  <si>
    <t>A kid on stilts falls to their knees.</t>
  </si>
  <si>
    <t>Kids walk in a circle on their stilts.</t>
  </si>
  <si>
    <t>I see a closing screen and it fade to black.</t>
  </si>
  <si>
    <t>v_jJNDLjhemaE</t>
  </si>
  <si>
    <t>We see an indoor hockey game.</t>
  </si>
  <si>
    <t>The goalie blocks a shot and a handful of players fight over the puck.</t>
  </si>
  <si>
    <t>The puck hits the referee and knocks him over.</t>
  </si>
  <si>
    <t>The goalie blocks a shot.</t>
  </si>
  <si>
    <t>v_BahcBS2r0es</t>
  </si>
  <si>
    <t>Several children sit along a pool.</t>
  </si>
  <si>
    <t>They are all wearing flippers.</t>
  </si>
  <si>
    <t>A girl is underwater wearing scuba gear.</t>
  </si>
  <si>
    <t>Several children practice wearing scuba gear.</t>
  </si>
  <si>
    <t>v_j-FGgYaQVio</t>
  </si>
  <si>
    <t>A woman in an office is holding a pair of grooming clippers while standing next to a black dog who is standing on a table next to her while tethered to a metal pole on the table.</t>
  </si>
  <si>
    <t>The woman begins to groom the dogs face with the clippers.</t>
  </si>
  <si>
    <t>The woman then begins to groom under the dogs front legs.</t>
  </si>
  <si>
    <t>Finally, the woman grooms the dogs back legs and tail before a blue and white advertising sign populates.</t>
  </si>
  <si>
    <t>v_WJ4tCIdAgVo</t>
  </si>
  <si>
    <t>A girl is tying a blind fold around another while several children on look and an adult holds the girl in place.</t>
  </si>
  <si>
    <t>The girl is then handed a bat and attempts to break open a pinata.</t>
  </si>
  <si>
    <t>The girl succeeds in breaking the pinata and the children get very excited.</t>
  </si>
  <si>
    <t>v_MDdCBN1o2sE</t>
  </si>
  <si>
    <t>A camera pans all around the sky and shows a close up of a kite.</t>
  </si>
  <si>
    <t>A person is seen standing on the ground and pans back to the kite.</t>
  </si>
  <si>
    <t>The kite continues to move in the air while a person continue flying it.</t>
  </si>
  <si>
    <t>v_fZ729TTJq8g</t>
  </si>
  <si>
    <t>We see a bike tire and a man interviews BMX bike riders.</t>
  </si>
  <si>
    <t>We see the riders names and countries.</t>
  </si>
  <si>
    <t>The men wait then take off riding around the track.</t>
  </si>
  <si>
    <t>A man falls off his bike and the bike slides.</t>
  </si>
  <si>
    <t>Another man falls off his bike and is almost run over.</t>
  </si>
  <si>
    <t>The man interviews two men after the race and the screen goes green.</t>
  </si>
  <si>
    <t>v_zEyFuCsJh3Y</t>
  </si>
  <si>
    <t>People are working out on cycle bikes in a gym.</t>
  </si>
  <si>
    <t>A woman in the front stands up and pedals on the bike.</t>
  </si>
  <si>
    <t>A banner hanging on the wall is shown.</t>
  </si>
  <si>
    <t>v_3nvVkcxxaJ4</t>
  </si>
  <si>
    <t>A man in black is sitting and playing at a piano while a man in red is standing near drums.</t>
  </si>
  <si>
    <t>As the man in black plays, the man in red is rolling up a wire.</t>
  </si>
  <si>
    <t>The man in red begins bobbing his head to the beat of the piano music.</t>
  </si>
  <si>
    <t>The man then places the wire down.</t>
  </si>
  <si>
    <t>v_N6vpa6BarX4</t>
  </si>
  <si>
    <t>A boat is seen riding along the water with people sitting on the sides and watching.</t>
  </si>
  <si>
    <t>A young boy is then seen swimming underwater that leads into people riding the boat and driving around a city.</t>
  </si>
  <si>
    <t>The camera continues to pan around the city as well as the nightlife.</t>
  </si>
  <si>
    <t>v_ujWG6rjlN3s</t>
  </si>
  <si>
    <t>woman are practicing jumps in a cheerlading team.</t>
  </si>
  <si>
    <t>woman is laying down in a bed and a man is assisting her.</t>
  </si>
  <si>
    <t>v_0gkxTQGR6zI</t>
  </si>
  <si>
    <t>There are two people dressed in red shirts and blue shorts playing ping pong in a large stadium with lots of spectators watching them.</t>
  </si>
  <si>
    <t>The players play a long round of ping pong as they continue to maintain a great rally.</t>
  </si>
  <si>
    <t>The player on the right slices the ball across the ping pong table as he returns the ball to his opponent.</t>
  </si>
  <si>
    <t>The opponent manages to return the ball without missing it.</t>
  </si>
  <si>
    <t>They continue to play a great rally as one of the players literally jumps on the ping pong table to return the ball.</t>
  </si>
  <si>
    <t>The other player falls down on the ground trying to hit the ball back to his opponent.</t>
  </si>
  <si>
    <t>v_Va3NsrY1DJ8</t>
  </si>
  <si>
    <t>A man is on a tighrope in the snowy woods.</t>
  </si>
  <si>
    <t>He bounches high into the air, off the rope and back on.</t>
  </si>
  <si>
    <t>He continues this action throughout the video.</t>
  </si>
  <si>
    <t>v_GVn7MSMHXxk</t>
  </si>
  <si>
    <t>A teen boy is running on the beach.</t>
  </si>
  <si>
    <t>A dog is chasing him, trying to catch his frisbee.</t>
  </si>
  <si>
    <t>He throws the frisbee, and the dog jumps into the air to catch it.</t>
  </si>
  <si>
    <t>v__0sDAdyMtnk</t>
  </si>
  <si>
    <t>We see a man conducting an orchestra.</t>
  </si>
  <si>
    <t>We see a lady in a blue dress is playing in front of the other players.</t>
  </si>
  <si>
    <t>We see the lady from the back, and we see the other players.</t>
  </si>
  <si>
    <t>We see a shot of the whole orchestra.</t>
  </si>
  <si>
    <t>We see the basoon players playing.</t>
  </si>
  <si>
    <t>We fade to black and the video ends.</t>
  </si>
  <si>
    <t>v_bd3Df5_QMNw</t>
  </si>
  <si>
    <t>A picture of a dog in shown in a tub and leads into hands holding tools and a dog wandering around a tub.</t>
  </si>
  <si>
    <t>The person puts toothpaste onto a brush and brushes the dog's teeth back and fourth.</t>
  </si>
  <si>
    <t>Finally she puts gel in the dog's mouth and the dog is seen sitting on a bed waving to the camera.</t>
  </si>
  <si>
    <t>v_X5_KlfVvi6E</t>
  </si>
  <si>
    <t>Two woman are seen performing on a stage with one playing a flute and the other playing the piano.</t>
  </si>
  <si>
    <t>The women play a song while the camera zooms in on the flute player and them bowing and leaving in the end.</t>
  </si>
  <si>
    <t>v_NtX9Q0QX3sw</t>
  </si>
  <si>
    <t>A man cleans a window using a soft squeegee with detergent while explaining, then the man takes a steel wiper to clean the detergent on the window.</t>
  </si>
  <si>
    <t>Then, the man applies more detergent with the soft squeegee, then clean with the steep wiper.</t>
  </si>
  <si>
    <t>After, the man wash again the window using the soft squeegee and the steel wipe while explaining the procedure.</t>
  </si>
  <si>
    <t>v_TfFVoogTDJY</t>
  </si>
  <si>
    <t>The bikers are biking on the ramp, while on the starting line the group of bikers are in positioned.</t>
  </si>
  <si>
    <t>The small fence was put down the the bikers went bike racing over the big ramps.</t>
  </si>
  <si>
    <t>The spectators are on the side of the tracks.</t>
  </si>
  <si>
    <t>v_a6Wwa7qvlrA</t>
  </si>
  <si>
    <t>A man holds an iron that pass on top a painting.</t>
  </si>
  <si>
    <t>A man snowboard down a hill holding a stick.</t>
  </si>
  <si>
    <t>Snow flying in the air lands on the face of the man, then the man continue snowboarding.</t>
  </si>
  <si>
    <t>After, the man arrives to the ski station.</t>
  </si>
  <si>
    <t>v_cyJAifECfH0</t>
  </si>
  <si>
    <t>A man is seen bending down before a heavy set of weights.</t>
  </si>
  <si>
    <t>The man then bends down and lifts the weights over his head.</t>
  </si>
  <si>
    <t>He continues to hold the weights up and throws them down in the end while walking away.</t>
  </si>
  <si>
    <t>v_2QeU2xYPdWE</t>
  </si>
  <si>
    <t>A woman prepares for a shot put throw swinging her arms on a sporting field.</t>
  </si>
  <si>
    <t>The athlete winds back her shoulders than spins her body throwing a shot put.</t>
  </si>
  <si>
    <t>v_Paus1tL8KjE</t>
  </si>
  <si>
    <t>Several young men board a small powered boat on a very nice and sunny day.</t>
  </si>
  <si>
    <t>The slowly back the boat out to go water skiing.</t>
  </si>
  <si>
    <t>The boat leaves the dock and they're off.</t>
  </si>
  <si>
    <t>After picking up speed on the powered boat, their friends jump off and have a great time.</t>
  </si>
  <si>
    <t>A line of rope is thrown out for them to grab onto and it begins.</t>
  </si>
  <si>
    <t>They pick up speed and a young woman is skiing on the water at a very brisk pace.</t>
  </si>
  <si>
    <t>She goes back and forth and side to side in slow motion.</t>
  </si>
  <si>
    <t>The friends look back to see how she is doing.</t>
  </si>
  <si>
    <t>A young man is shown skiing on the water and is doing a great job.</t>
  </si>
  <si>
    <t>After he is done he lets go of the line and continues to ski on the water, only to fall back.</t>
  </si>
  <si>
    <t>v_kF7p6irju1Q</t>
  </si>
  <si>
    <t>A couple of women are shown inside a gym.</t>
  </si>
  <si>
    <t>One woman talks to the camera while another shows off dance moves.</t>
  </si>
  <si>
    <t>She demonstrates different ballet moves and positions.</t>
  </si>
  <si>
    <t>v_NrKBxbZXXg4</t>
  </si>
  <si>
    <t>People are rafting down a choppy river.</t>
  </si>
  <si>
    <t>A blue raft goes down a high waterfall.</t>
  </si>
  <si>
    <t>v_VkJ03vm8FJk</t>
  </si>
  <si>
    <t>Two men are holding a flute while one blows and the other moves his hands.</t>
  </si>
  <si>
    <t>An orchestra shows behind the men while they continue playing on the same instrument.</t>
  </si>
  <si>
    <t>The men continue playing until the song is finished and take a bow as the band claps.</t>
  </si>
  <si>
    <t>v_eCNng1eGQ_0</t>
  </si>
  <si>
    <t>We see the title screen on a red background.</t>
  </si>
  <si>
    <t>We see women playing lacrosse.</t>
  </si>
  <si>
    <t>We see the players through the net of a goal.</t>
  </si>
  <si>
    <t>We see a lady in pink talking to the camera.</t>
  </si>
  <si>
    <t>We then see a lady in a blue shirt talking.</t>
  </si>
  <si>
    <t>A lady in a backpack talks to the camera.</t>
  </si>
  <si>
    <t>We then see the ending screen and black.</t>
  </si>
  <si>
    <t>v_NAl-SP-92dI</t>
  </si>
  <si>
    <t>A "Monkeysee com" logo appears on screen with the tagline "See how the experts do it.</t>
  </si>
  <si>
    <t>" A young man stands in the foreground speaking while a female cheerleader stands behind him performing routines.</t>
  </si>
  <si>
    <t>The copyright and logo screen appears on a black screen.</t>
  </si>
  <si>
    <t>v_VOxaxr5LPiQ</t>
  </si>
  <si>
    <t>A shop attendant holds up the hula hoop and shows how to grip it.</t>
  </si>
  <si>
    <t>The woman drops the hoop and lets it spin around her body to the ground.</t>
  </si>
  <si>
    <t>The woman drops the hula hoop and lets it spin around her body then catches it.</t>
  </si>
  <si>
    <t>The woman practices swinging the hoop between two legs.</t>
  </si>
  <si>
    <t>The woman catches the spinning hula hoop as it falls between her legs.</t>
  </si>
  <si>
    <t>The woman spins the hoop upwards around her body.</t>
  </si>
  <si>
    <t>v_ck05xSh9-ig</t>
  </si>
  <si>
    <t>A guy is wiping a car tire.</t>
  </si>
  <si>
    <t>A female walks from driver side lightly rubbing a black cloth on the join the guy.</t>
  </si>
  <si>
    <t>The female throws the black cloth on a car directly above the tire the man is cleaning.</t>
  </si>
  <si>
    <t>The man picks up the black cloth, drops the rug on the sidewalk, and uses it to wipe the tire.</t>
  </si>
  <si>
    <t>v_zE1l4avJZaU</t>
  </si>
  <si>
    <t>A person is making a bow out of ribbon.</t>
  </si>
  <si>
    <t>They tie the ribbon onto a wrapped package.</t>
  </si>
  <si>
    <t>They tape the bow they made onto the package.</t>
  </si>
  <si>
    <t>v_y3Ll1puxM8c</t>
  </si>
  <si>
    <t>A black screen appears and the white words read "Nevena &amp; Goran Rodry-Go! El Mambo del Tra".</t>
  </si>
  <si>
    <t>A man and woman appear outdoors on a concrete brick deck and they begin dancing a routine in unison that include arm movements, steps, spins and various other dance moves.</t>
  </si>
  <si>
    <t>They stop dancing and the woman walks closer to the camera and sings to it while the man behind her dances along.</t>
  </si>
  <si>
    <t>She stops singing and they both laugh and walk away.</t>
  </si>
  <si>
    <t>v_wxoe1M2L4Qo</t>
  </si>
  <si>
    <t>A camera records a shop with two people standing inside, eventually leading over to a group of people standing by docks.</t>
  </si>
  <si>
    <t>A man walks down the docks while another holds a bucket and the camera pans to a woman talking.</t>
  </si>
  <si>
    <t>The woman puts on a vest and goggles and walks down into a boat.</t>
  </si>
  <si>
    <t>She talks to the camera while adjusting her goggles and is led over to the water wearing a tank.</t>
  </si>
  <si>
    <t>She hops in the water with the man and climbs back into the boat talking to the camera.</t>
  </si>
  <si>
    <t>v_Z8yNbpjUSLc</t>
  </si>
  <si>
    <t>A woman is in a kitchen talking about how to make lemonde.</t>
  </si>
  <si>
    <t>She presents various ingredients that you need to have.</t>
  </si>
  <si>
    <t>She blends all the juices together into a grinder to make a mixture.</t>
  </si>
  <si>
    <t>She then pours the mixture into a glass and drinks the juice.</t>
  </si>
  <si>
    <t>v_3zT7x5jZEfI</t>
  </si>
  <si>
    <t>Several shots of an audience cheering are shown as well as many clips of impressive sports events happening.</t>
  </si>
  <si>
    <t>People hit volleyballs back and fourth to one another while also showing clips of the people celebrating with their team mates.</t>
  </si>
  <si>
    <t>v_DXG4djsPk7s</t>
  </si>
  <si>
    <t>A person is wind surfing out on a lake.</t>
  </si>
  <si>
    <t>Other windsurfers pass behind him.</t>
  </si>
  <si>
    <t>v_lrxLP-R_ILw</t>
  </si>
  <si>
    <t>A girl does a tutorial on how to pack a bag.</t>
  </si>
  <si>
    <t>She then gives ballerina tips, especially on how to treat one's feet right.</t>
  </si>
  <si>
    <t>v_LFbW1KVHT8s</t>
  </si>
  <si>
    <t>a elder man is on water standing on a jet ski.</t>
  </si>
  <si>
    <t>The man begins to jet ski.</t>
  </si>
  <si>
    <t>The man takes on hand off of the handle.</t>
  </si>
  <si>
    <t>The man places both hands back on the handle and jet skis.</t>
  </si>
  <si>
    <t>v_gjyT6Rt985k</t>
  </si>
  <si>
    <t>A man walking very slowly toward a woman as she walks slowly towards him.</t>
  </si>
  <si>
    <t>They meet up and begin their dance, it is very intense and very well done, they work very well together,when they are done they bow and high five each other while the audience cheers for them.</t>
  </si>
  <si>
    <t>Then one of the judges stands up and speaks to them, causing them to smile and be more ecstatic.</t>
  </si>
  <si>
    <t>Another female judge critics them and the woman dancer runs up and hugs them, then the final judge tells them what he thinks of their performance.</t>
  </si>
  <si>
    <t>v_7PSicg5Q2ZI</t>
  </si>
  <si>
    <t>A woman in a green shirt stands in a kitchen.</t>
  </si>
  <si>
    <t>She stands in front of several ingredients.</t>
  </si>
  <si>
    <t>She cuts a lemon in half.</t>
  </si>
  <si>
    <t>She laughs a lot throughout the video.</t>
  </si>
  <si>
    <t>v_ze4292jVUcQ</t>
  </si>
  <si>
    <t>A group of people in swim caps are playing volleyball in an outdoor pool, surrounded by a spattering of onlookers, and an upright digital scoreboard.</t>
  </si>
  <si>
    <t>A yellow ball flies into the right side of the pool and the people in the pool swim and move it to the left side of the pool, while a man in all white tracks them from the side of the pool on a raised cement border.</t>
  </si>
  <si>
    <t>A person in the front spikes the yellow ball against a blue goal and past a goal blocker in the pool.</t>
  </si>
  <si>
    <t>A person on the far left of the pool throws the ball into the right side of the pool where all of the players swim to follow it.</t>
  </si>
  <si>
    <t>v_A7PBp9PDW80</t>
  </si>
  <si>
    <t>A young boy is seen looking off into the distance as well as a girl.</t>
  </si>
  <si>
    <t>People are seen walking inside followed by clips of people fencing.</t>
  </si>
  <si>
    <t>More shots are shown of people practicing and a girl bumping into an older man.</t>
  </si>
  <si>
    <t>v_X2LI_I_qw-A</t>
  </si>
  <si>
    <t>A group of kids are hanging out by a picnic table.</t>
  </si>
  <si>
    <t>A young girl peels potatoes.</t>
  </si>
  <si>
    <t>A young boy cuts the potatoes.</t>
  </si>
  <si>
    <t>v_7uumfT4aGLU</t>
  </si>
  <si>
    <t>A male gymnast is in an arena full of people and grabs two bars to begin his routine.</t>
  </si>
  <si>
    <t>After he is on the bars,he does several flips and turns before landing his performance and leaving the mat.</t>
  </si>
  <si>
    <t>v_RAaRFD5M8h4</t>
  </si>
  <si>
    <t>A close up of a dog is seen with a person holding a razor.</t>
  </si>
  <si>
    <t>The person then holds up the dogs face and begins trimming around it's eyes.</t>
  </si>
  <si>
    <t>The person continues shaving and ends by combing it's face.</t>
  </si>
  <si>
    <t>v_R586XlFT7Go</t>
  </si>
  <si>
    <t>A woman is seen speaking to the camera and leads into a woman running and interviewing other runners.</t>
  </si>
  <si>
    <t>She interviews two twins while running and the news shows off other runners in the area.</t>
  </si>
  <si>
    <t>v_M96TST6CN4M</t>
  </si>
  <si>
    <t>A large man is seen bending down on his knees moving his arms around and looking off into the distance.</t>
  </si>
  <si>
    <t>The man continues moving all around on the mat performing various martial arts moves and moving back and fourth to the camera.</t>
  </si>
  <si>
    <t>v_7QvvqWJRwNo</t>
  </si>
  <si>
    <t>People are sliding down a snowy slope with inflated tires.</t>
  </si>
  <si>
    <t>A child stands in the tire and jumps for joy.</t>
  </si>
  <si>
    <t>An adult gets up and pulls both tires.</t>
  </si>
  <si>
    <t>v_3VkqckKyshc</t>
  </si>
  <si>
    <t>A man dressed in a camouflaged suit is standing in a large grassy field with other people and he's pulling on a string we can barely see.</t>
  </si>
  <si>
    <t>There are a lot of other people moving around on the field doing their own thing.</t>
  </si>
  <si>
    <t>The camera angles are changing and when we get a close up of the man we can finally see the string he is pulling on.</t>
  </si>
  <si>
    <t>v_V90aT-d_FKo</t>
  </si>
  <si>
    <t>A woman is bathing two white colored puppies in an orange tub filled with water.</t>
  </si>
  <si>
    <t>She is joined by a man wearing a wrist watch, who helps the woman bathe the two puppies.</t>
  </si>
  <si>
    <t>One of the puppies tries to step out of the tub and the man holds him and puts him back in.</t>
  </si>
  <si>
    <t>The woman continues washing the puppies.</t>
  </si>
  <si>
    <t>v_OM0jqPYx700</t>
  </si>
  <si>
    <t>A man in black shirt wipe the table with white cloth.</t>
  </si>
  <si>
    <t>The white lights are reflected on the table.</t>
  </si>
  <si>
    <t>The man wipe the edge of the table with white rag.</t>
  </si>
  <si>
    <t>v__0mR06FcftE</t>
  </si>
  <si>
    <t>A woman is doing a tutorial on how to clean a kitchen sink with baking soda, a toothbrush and cloth rag.</t>
  </si>
  <si>
    <t>She first takes some baking soda on the rag and scrubs it on the sink.</t>
  </si>
  <si>
    <t>Then she takes the toothbrush and dips it in the baking soda.</t>
  </si>
  <si>
    <t>she brushes the toothbrush on the sink edges to clean it.</t>
  </si>
  <si>
    <t>She turns on the tap and washes the baking soda off of the sink.</t>
  </si>
  <si>
    <t>Then she takes some vinegar on the wash cloth and wipes the sink down with it.</t>
  </si>
  <si>
    <t>v_wlAnWPxnQ8k</t>
  </si>
  <si>
    <t>girlwearnig a purple body is in fornt of a balance pole and make a jump to stands on top.</t>
  </si>
  <si>
    <t>the girl is doing gymnastics on top of balance beam.</t>
  </si>
  <si>
    <t>people in the stands around the court are watching the kid doing gymnastics.</t>
  </si>
  <si>
    <t>the girl make a big somersault and lands on the floor.</t>
  </si>
  <si>
    <t>v_jEN2smSwZ-o</t>
  </si>
  <si>
    <t>A man with tattoed arms swabs the ear of young lady with an ear swab.</t>
  </si>
  <si>
    <t>The lady stand up and looks at herself in the mirror.</t>
  </si>
  <si>
    <t>She lays down on a black medical chair and the man pierces her ear's tragus with medical tools.</t>
  </si>
  <si>
    <t>The lady looks at herself and her new piercing in the mirror, smiles and gives two thumbs up.</t>
  </si>
  <si>
    <t>The words "If you want to know anything else about piercing just comment or message me:) New beauty videos along with a makeup collection will be up soon Bveeees&lt;3" appear on screen.</t>
  </si>
  <si>
    <t>v_RW7LEc-Ykh8</t>
  </si>
  <si>
    <t>A gymnast walks up to a beam, preparing himself.</t>
  </si>
  <si>
    <t>He mounts the beam, then does several acts around it, including spinning and flipping.</t>
  </si>
  <si>
    <t>He dismounts and walks away.</t>
  </si>
  <si>
    <t>v_SthTqCtPg7s</t>
  </si>
  <si>
    <t>A camera captures a net in front of the sky and shows two people preparing ropes for bungee jumping.</t>
  </si>
  <si>
    <t>The camera man jumps off the ledge and shows his feet while spinning around.</t>
  </si>
  <si>
    <t>Another camera captured his jump from the bottom and leads into several people waiting at the bottom and driving away.</t>
  </si>
  <si>
    <t>v_uC27rJLCn70</t>
  </si>
  <si>
    <t>A young boy in a blue jacket pulls onto a donut snow tube.</t>
  </si>
  <si>
    <t>Two young kids watch him.</t>
  </si>
  <si>
    <t>The whole group goes down the snow.</t>
  </si>
  <si>
    <t>v_pYUqRy9Ujaw</t>
  </si>
  <si>
    <t>man is wearing a back wetsuit doing windsurf in a lake.</t>
  </si>
  <si>
    <t>man is windsurfing in a lake doing tricks.</t>
  </si>
  <si>
    <t>he man windsurfing say hi to the camera.</t>
  </si>
  <si>
    <t>v_ObqrS-ZONKM</t>
  </si>
  <si>
    <t>A couple is seen performing a tango routine with one another in a small room.</t>
  </si>
  <si>
    <t>The people continue spinning and dancing all around the room and ends with them stopping and facing the camera.</t>
  </si>
  <si>
    <t>v_s3JuGKwna6o</t>
  </si>
  <si>
    <t>A group sits at a cafe table and enjoys cafe and pastries.</t>
  </si>
  <si>
    <t>The women pass condiments to each other.</t>
  </si>
  <si>
    <t>A small group sits on a balcony and talk.</t>
  </si>
  <si>
    <t>v_VEzhpSPnBrY</t>
  </si>
  <si>
    <t>A man is kneeling down on the ground.</t>
  </si>
  <si>
    <t>He is pulling on a cord that is attached to the wall.</t>
  </si>
  <si>
    <t>He continues pulling on the cord and working out.</t>
  </si>
  <si>
    <t>v_M4IUb6kp2yo</t>
  </si>
  <si>
    <t>A man walks up to a hedge carrying a large pair of hedge trimmers.</t>
  </si>
  <si>
    <t>He shows how to trim the hedges neatly, going down them a little at a time.</t>
  </si>
  <si>
    <t>He stops, talking to the camera as he goes.</t>
  </si>
  <si>
    <t>v_gzuLIo5ZR9A</t>
  </si>
  <si>
    <t>We see a little girl holding the leash for a big dog.</t>
  </si>
  <si>
    <t>The little girl falls and drops the leash.</t>
  </si>
  <si>
    <t>The little girl then follows the dog to get the leash.</t>
  </si>
  <si>
    <t>She gets the leash and walks the dog.</t>
  </si>
  <si>
    <t>v_wuZkli4TSZQ</t>
  </si>
  <si>
    <t>A woman is seen standing before pinata and swinging a bat.</t>
  </si>
  <si>
    <t>People watch on the side as the woman continue to hit the object.</t>
  </si>
  <si>
    <t>The woman swings over and over and a man comes into frame to kick it.</t>
  </si>
  <si>
    <t>v_DlJPKOVd0bA</t>
  </si>
  <si>
    <t>A group of children are standing outside a building.</t>
  </si>
  <si>
    <t>Adults supervise them as an officer walks by.</t>
  </si>
  <si>
    <t>The kids perform various exercises led by the adults.</t>
  </si>
  <si>
    <t>v_AS0hqTk_mIs</t>
  </si>
  <si>
    <t>In 2009, a man is shown sitting at a table.</t>
  </si>
  <si>
    <t>He has two rubik's cubes in front of him.</t>
  </si>
  <si>
    <t>As a timer runs, he solves the puzzle using only one hand.</t>
  </si>
  <si>
    <t>He jumps up in victory after only 17 seconds.</t>
  </si>
  <si>
    <t>v_DrigU09Wf7k</t>
  </si>
  <si>
    <t>The person is climbing on the stairs as the waves hit them, the surfers are surfing over the strong waves.</t>
  </si>
  <si>
    <t>Two people carrying their surfboards are climbing on the stairs.</t>
  </si>
  <si>
    <t>The people behind fence are watching the surfers as the run before the big wave hit them.</t>
  </si>
  <si>
    <t>v_o_Davs3OrOw</t>
  </si>
  <si>
    <t>A little boy wearing goggles jumps into a pool.</t>
  </si>
  <si>
    <t>He dives down to the bottom and picks something up off the bottom of the pool.</t>
  </si>
  <si>
    <t>He swims back to the top and above water.</t>
  </si>
  <si>
    <t>v_wZgSzWl5Hgg</t>
  </si>
  <si>
    <t>A line of people pick up a rope.</t>
  </si>
  <si>
    <t>They begin playing a game of tug of war.</t>
  </si>
  <si>
    <t>One side falls over and the crowd cheers.</t>
  </si>
  <si>
    <t>v_VIjOP5ZBvHg</t>
  </si>
  <si>
    <t>A black screen appears with the words,"Ticas Grooming Purse" along with their url.</t>
  </si>
  <si>
    <t>A dog is then shown hanging from a silver pole with two straps on him.</t>
  </si>
  <si>
    <t>A human then begins grabbing the dogs paws as the little dog tries to bite her.</t>
  </si>
  <si>
    <t>The grooming continues and then the dog is eventually put back down on the ground.</t>
  </si>
  <si>
    <t>v_OMYnLCWTdEA</t>
  </si>
  <si>
    <t>A man is squatting down in a big open room talking.</t>
  </si>
  <si>
    <t>The man demonstrates how to do a dance move.</t>
  </si>
  <si>
    <t>He then does the move several times and hops up to his feet.</t>
  </si>
  <si>
    <t>v_8JgckTuL1WA</t>
  </si>
  <si>
    <t>People are playing a game of badminton on a court.</t>
  </si>
  <si>
    <t>People are sitting behind them watching the game.</t>
  </si>
  <si>
    <t>A girl in a pink shirt picks up the ball.</t>
  </si>
  <si>
    <t>v_Ouy1exEw_dI</t>
  </si>
  <si>
    <t>A man prepares himself on a dock to go water skiing.</t>
  </si>
  <si>
    <t>He launches into the water as the boat guns off.</t>
  </si>
  <si>
    <t>The man holds onto the rope while gliding through the water, looking very confident and skilled.</t>
  </si>
  <si>
    <t>The boat is tied up on the dock and the man is finished for the day.</t>
  </si>
  <si>
    <t>v_LublNVXGH5I</t>
  </si>
  <si>
    <t>A man points to and picks up a pressurized spray can to display it.</t>
  </si>
  <si>
    <t>The man then picks up a roll of paper towels.</t>
  </si>
  <si>
    <t>The man shakes the pressurized spray can.</t>
  </si>
  <si>
    <t>The man sprays the window where the stain is and wipes the area with a paper towel.</t>
  </si>
  <si>
    <t>sprays the glass cleaner on the middle of the window in multiple spots and wipes them off.</t>
  </si>
  <si>
    <t>v_rZmNsUX-7SU</t>
  </si>
  <si>
    <t>A girl and a dog are on the swing set.</t>
  </si>
  <si>
    <t>They swing up and back down.</t>
  </si>
  <si>
    <t>They swing up and back down again.</t>
  </si>
  <si>
    <t>v_0xJPQ1I8-e0</t>
  </si>
  <si>
    <t>The man in blue helmet is paddling through the water current.</t>
  </si>
  <si>
    <t>Two rafts are stuck in running water.</t>
  </si>
  <si>
    <t>The people are paddling through the water but they are stuck in one spot.</t>
  </si>
  <si>
    <t>v_6Bm-_hI5A9A</t>
  </si>
  <si>
    <t>A man is shown playing a violin in front of a video game being played on tv.</t>
  </si>
  <si>
    <t>The man continues playing the instrument while the tv in the background shows a game being played.</t>
  </si>
  <si>
    <t>v_pF-r_m8LVPs</t>
  </si>
  <si>
    <t>A large group of people are seen standing at the bottom of a snowy hill speaking to one another.</t>
  </si>
  <si>
    <t>The people are then seen riding in tubes and going down a snowy trail.</t>
  </si>
  <si>
    <t>Several shots are shown of people riding down the mountain while looking and smiling to the camera.</t>
  </si>
  <si>
    <t>v_HnM44lX65cQ</t>
  </si>
  <si>
    <t>A seated man is using a sharpener to sharpen a large knife.</t>
  </si>
  <si>
    <t>He scrapes it along the surface and underbelly of the knife, sharpening it.</t>
  </si>
  <si>
    <t>v_L1XpfS1RCzE</t>
  </si>
  <si>
    <t>The person is riding a blue single raft.</t>
  </si>
  <si>
    <t>The man is paddling through the strong current of water.</t>
  </si>
  <si>
    <t>The man fell in the small falls.</t>
  </si>
  <si>
    <t>v_34cQhizPKfc</t>
  </si>
  <si>
    <t>A video of back country skiing is shown.</t>
  </si>
  <si>
    <t>The group prepares its equipment and then looks at its yurt.</t>
  </si>
  <si>
    <t>They then show skiing videos.</t>
  </si>
  <si>
    <t>v_lUw8OA9R4mQ</t>
  </si>
  <si>
    <t>A large group of people are seen standing around a room with a woman in front grabbing a drink.</t>
  </si>
  <si>
    <t>The woman puts her drink down and begins leading a group of people dancing around.</t>
  </si>
  <si>
    <t>The group continues to dance around while the camera captures their movements.</t>
  </si>
  <si>
    <t>v_HM3Rd5ZcME8</t>
  </si>
  <si>
    <t>A girl wearing a white ski jacket runs along the ski slope pulling an orange inner tube.</t>
  </si>
  <si>
    <t>A tubing attendant assists a group of kids load up on their inner tubes.</t>
  </si>
  <si>
    <t>The kids slide down the slope together in their inner tubes.</t>
  </si>
  <si>
    <t>The kids climb back up the tubing slope and slide down on their inner tubes once again.</t>
  </si>
  <si>
    <t>v_27e4y89XeyI</t>
  </si>
  <si>
    <t>An older black male is standing in the kitchen ironing a dark grey t-shirt.</t>
  </si>
  <si>
    <t>The man then pauses his ironing and looks at the person who is filming him and continues to put on his shirt.</t>
  </si>
  <si>
    <t>v__il2j9UtSe4</t>
  </si>
  <si>
    <t>A man is seen with messy hair and looking off in the distance.</t>
  </si>
  <si>
    <t>He holds up a coffee cup and turns towards the camera.</t>
  </si>
  <si>
    <t>He then gives a big smile while looking to the camera.</t>
  </si>
  <si>
    <t>v_jIQFVSymHQs</t>
  </si>
  <si>
    <t>An inflatable ball bounces on the grass as kids watch playing a game.</t>
  </si>
  <si>
    <t>A young boy in blue shirt and jeans retrieves the ball and runs towards the group.</t>
  </si>
  <si>
    <t>v_cP2LVnGxiww</t>
  </si>
  <si>
    <t>This man is shown holding a pumpkin in the beginning of the video then he carves the top off and gets the seeds and everything else out of the pumpkin.</t>
  </si>
  <si>
    <t>Someone gives one of the snow dogs a piece of the pumpkin.</t>
  </si>
  <si>
    <t>Then he puts the stencil on the pumpkin and carves a snow dog into the pumpkin.</t>
  </si>
  <si>
    <t>v_rBVbsbJJcyM</t>
  </si>
  <si>
    <t>An introduction comes onto the screen for a fine linen company.</t>
  </si>
  <si>
    <t>A woman explains that she will describe how to fold cloth napkins.</t>
  </si>
  <si>
    <t>She starts by pressing the napkin with a hot iron.</t>
  </si>
  <si>
    <t>She folds the napkin and continues to press it some more.</t>
  </si>
  <si>
    <t>v_Wr7YbcQ_Q9g</t>
  </si>
  <si>
    <t>A young boy mows the front lawn in a suburban residential neighborhood.</t>
  </si>
  <si>
    <t>A young boy in t-shirt and shorts maneuvers a lawn moves back and forth across a small patch of lawn as he mows the lawn.</t>
  </si>
  <si>
    <t>The boy then walks the mower down a longer stretch of lawn near the corner across from a stop sign.</t>
  </si>
  <si>
    <t>v_R_ffZ9kGeTI</t>
  </si>
  <si>
    <t>A large open outdoor area is shown by a moving camera.</t>
  </si>
  <si>
    <t>A man wearing a helmet is shown riding a skateboard with a long wooden plan base in various outdoors locations.</t>
  </si>
  <si>
    <t>A second rider joins the first rider on the skateboard.</t>
  </si>
  <si>
    <t>A clip of a man not wearing a helmet and riding another skateboard is shown.</t>
  </si>
  <si>
    <t>The helmeted man with the plank as a skateboard is shown again.</t>
  </si>
  <si>
    <t>Several other individuals riding other skateboards are shown.</t>
  </si>
  <si>
    <t>The original skateboarder is shown again.</t>
  </si>
  <si>
    <t>v_QjaqFPDoImc</t>
  </si>
  <si>
    <t>A man is running through a concrete sidewalk with steps in his Kangaroo shoes.</t>
  </si>
  <si>
    <t>More people appear and they too begin to jump throughout crowds of people.</t>
  </si>
  <si>
    <t>v_H0gSWEElh6A</t>
  </si>
  <si>
    <t>There's a man demonstrating how to use a hand setting tool.</t>
  </si>
  <si>
    <t>He is hammering nails into a wooden bar.</t>
  </si>
  <si>
    <t>He uses the tool to properly align the nails before hammering it in.</t>
  </si>
  <si>
    <t>He then demonstrates how the hammering process would look without using the alignment tool.</t>
  </si>
  <si>
    <t>Then he uses the alignment tool to show thew difference it makes to hammer a nail into wood when the tool is used.</t>
  </si>
  <si>
    <t>v_0-auIBOTx9E</t>
  </si>
  <si>
    <t>A skinny man,is talking on the phone bowling and knocks down all the bowling pins.</t>
  </si>
  <si>
    <t>Next,he has to go through several obstacles to roll the ball down and he ends up making it anyways.</t>
  </si>
  <si>
    <t>Some of them include,bowling with pins in the lane,standing from behind a chart,and even doing it with his eyes covered.</t>
  </si>
  <si>
    <t>v_dsCJ4xdRq-Q</t>
  </si>
  <si>
    <t>A group of four boys are at a table.</t>
  </si>
  <si>
    <t>As a timer counts, a boy is trying to solve a rubik's cube.</t>
  </si>
  <si>
    <t>He solves the cube, and shakes hands with the other boys.</t>
  </si>
  <si>
    <t>v_Q711Ki5aFHw</t>
  </si>
  <si>
    <t>A group dances in a spotlight wearing traditional chines robes and hats.</t>
  </si>
  <si>
    <t>The men pretend to pull imaginary ropes.</t>
  </si>
  <si>
    <t>The men crouch down one after the other and thrust there hips.</t>
  </si>
  <si>
    <t>The men stand back to back in a partial circle and dance.</t>
  </si>
  <si>
    <t>The men hold up there arms like a Hindu goddess.</t>
  </si>
  <si>
    <t>v_WwcbpTANbeU</t>
  </si>
  <si>
    <t>A view is seen of a deep canyon with a lift above it.</t>
  </si>
  <si>
    <t>A man is dressed in bungee gear by another man.</t>
  </si>
  <si>
    <t>He jumps out, then swings back and forth over the thin waters.</t>
  </si>
  <si>
    <t>v_bV4xdc71azY</t>
  </si>
  <si>
    <t>man is in a kichen holding a pan on stove and preparing an omelette.</t>
  </si>
  <si>
    <t>man is holding a bag and holds the pan, grab some cheese fom he bag and bend the omelette.</t>
  </si>
  <si>
    <t>v_PTkNBVyhUuo</t>
  </si>
  <si>
    <t>A group of people are seen standing around bow and arrows then the camera camera down a long line of people shooting bows.</t>
  </si>
  <si>
    <t>A man is then seen speaking to the camera followed by Several shots of random people shooting the arrows to a target.</t>
  </si>
  <si>
    <t>Many people watch on the sidelines and is followed by more shots of people shooting bows.</t>
  </si>
  <si>
    <t>v_JlgDwIT9KLI</t>
  </si>
  <si>
    <t>A red bowl contains a spoon and tuna fish in chunks.</t>
  </si>
  <si>
    <t>Someone pours mayonnaise into the tuna, as well as seasoning.</t>
  </si>
  <si>
    <t>The substance is mixed together, then spread onto the bread to make a sandwich.</t>
  </si>
  <si>
    <t>v_PUGP8PSlJEA</t>
  </si>
  <si>
    <t>A man is rock climbing on a wall next to a rock.</t>
  </si>
  <si>
    <t>He gets to the top and releases himself to fall to the bottom.</t>
  </si>
  <si>
    <t>v_LHu41OIGw7Q</t>
  </si>
  <si>
    <t>A camera pans around a lake area and leads into a person climbing into a kayak.</t>
  </si>
  <si>
    <t>The person then begins paddling along the water while moving underneath bridges.</t>
  </si>
  <si>
    <t>The person continues paddling all along the water and looking up to the camera.</t>
  </si>
  <si>
    <t>v_5kXIZCs22l8</t>
  </si>
  <si>
    <t>woman is posing to a camera in a white room.</t>
  </si>
  <si>
    <t>man is standing behind the wmoan cutting her hair with a scissor and the model is posing.</t>
  </si>
  <si>
    <t>v_YamDoDK71Ds</t>
  </si>
  <si>
    <t>A woman in a belly dancing outfit is dancing moving her body very strategically.</t>
  </si>
  <si>
    <t>She has her hands up in the air moving as she moves her hips very quickly.</t>
  </si>
  <si>
    <t>She talks about her love for belly dancing and stuff.</t>
  </si>
  <si>
    <t>Then you see her a different purple belly dancing outfit dancing outside.</t>
  </si>
  <si>
    <t>v_IvkpJMxlRKc</t>
  </si>
  <si>
    <t>A man was peeling a potato using a green peeler.</t>
  </si>
  <si>
    <t>He peeled the middle part one more time.</t>
  </si>
  <si>
    <t>Thrown it in the container.</t>
  </si>
  <si>
    <t>v_JguB9cLEXGY</t>
  </si>
  <si>
    <t>A person is seen holding up a stick followed by several clips of people throwing a javelin.</t>
  </si>
  <si>
    <t>More shots are shown of athletes throwing the javelin great distances while screaming each time after their throw.</t>
  </si>
  <si>
    <t>v_lBfyQsXSvUk</t>
  </si>
  <si>
    <t>A man is sitting in a chair.</t>
  </si>
  <si>
    <t>He is getting a tattoo on his arm.</t>
  </si>
  <si>
    <t>A man watches him get the tattoo.</t>
  </si>
  <si>
    <t>He gets his tattoo wraps with saran wrap.</t>
  </si>
  <si>
    <t>v_9PvtW0Uvnl0</t>
  </si>
  <si>
    <t>A camera pans away from a road and shows a person's feet moving around.</t>
  </si>
  <si>
    <t>Several shots are shown of people tying their shoes, hitting a button, and checking a watch.</t>
  </si>
  <si>
    <t>People are then seen running down the road one at a time followed by many more following.</t>
  </si>
  <si>
    <t>v_pRzFL4_I-cE</t>
  </si>
  <si>
    <t>Several shots of a casino is shown that includes close ups of poker tables and people sitting at a table playing.</t>
  </si>
  <si>
    <t>Many shots are shown of the dealer dealing cards while turning them around and the audience reacting.</t>
  </si>
  <si>
    <t>v_UyqM2sglj1s</t>
  </si>
  <si>
    <t>A person is snowboarding on a mountain.</t>
  </si>
  <si>
    <t>There is a montage of roads leading to a mountain and a chairlift.</t>
  </si>
  <si>
    <t>People jump on ramps and halfpipes.</t>
  </si>
  <si>
    <t>v_sZbkKa2iKrM</t>
  </si>
  <si>
    <t>A text intro leads into a wrestler slamming down another wrestler in a ring.</t>
  </si>
  <si>
    <t>The video continues with more shots of the man pinning down wrestlers.</t>
  </si>
  <si>
    <t>Several more shots are shown and ends with a subscribe option.</t>
  </si>
  <si>
    <t>v_vY77rUOOgwg</t>
  </si>
  <si>
    <t>The man in brown shirt is talking to the camera.</t>
  </si>
  <si>
    <t>The man placed a tool on the carpet with long pole.</t>
  </si>
  <si>
    <t>The man used the stretcher to flatten the carpet on the floor.</t>
  </si>
  <si>
    <t>v_AY2usHrPYL0</t>
  </si>
  <si>
    <t>We see a store, maps, and people on a bus.</t>
  </si>
  <si>
    <t>We see people at the beach.</t>
  </si>
  <si>
    <t>We see people in the lake and in rafts.</t>
  </si>
  <si>
    <t>We see a dog on the raft.</t>
  </si>
  <si>
    <t>We see a person paddling a raft.</t>
  </si>
  <si>
    <t>We see a dog swimming in the river.</t>
  </si>
  <si>
    <t>We see the ending screen in blue.</t>
  </si>
  <si>
    <t>v_GMwV9roiBYo</t>
  </si>
  <si>
    <t>A man is skating on a hockey rink and goes to make a goal.</t>
  </si>
  <si>
    <t>He shoots and makes a point and the crowd cheers.</t>
  </si>
  <si>
    <t>He makes another point and the crowd cheers.</t>
  </si>
  <si>
    <t>A team of yellow jerseys rushes onto the ice to congratulate him.</t>
  </si>
  <si>
    <t>They are lined up on the court while a man in a suit walks away from them.</t>
  </si>
  <si>
    <t>The man in the suit stops and talks to another man.</t>
  </si>
  <si>
    <t>He waves and walks back towards the players.</t>
  </si>
  <si>
    <t>The team beings skating towards the people.</t>
  </si>
  <si>
    <t>They skate across the ice and a man stands on the stands and holds up a trophy.</t>
  </si>
  <si>
    <t>v_eC4l8AuAmKw</t>
  </si>
  <si>
    <t>A large group of people are dancing in pairs on a dance floor.</t>
  </si>
  <si>
    <t>People watch from tables all around the dance floor.</t>
  </si>
  <si>
    <t>A man with a microphone stands on the dance floor.</t>
  </si>
  <si>
    <t>v_tRAntV9Om2o</t>
  </si>
  <si>
    <t>A man wearing a hat is seen putting on gloves and starting up a machine in some tall grass.</t>
  </si>
  <si>
    <t>The man then moves the machine all along the grass to cut it down.</t>
  </si>
  <si>
    <t>He pauses for a moment to speak to the camera and raises his hands up.</t>
  </si>
  <si>
    <t>v_9S9hPRDwi24</t>
  </si>
  <si>
    <t>A stick is being held from the ground.</t>
  </si>
  <si>
    <t>A man uses the croquette bat to hit a ball, then places it back to the ground.</t>
  </si>
  <si>
    <t>v_-t2ikmhg9_w</t>
  </si>
  <si>
    <t>A woman is seated on the floor, talking about a vacuum cleaner.</t>
  </si>
  <si>
    <t>She demonstrates how to apply powder to the carpet, and vacuum it up.</t>
  </si>
  <si>
    <t>She then shows how to clean the vacuum out, and the mechanics of the machine.</t>
  </si>
  <si>
    <t>v_KaGXQh-UHVU</t>
  </si>
  <si>
    <t>A group of people are in a house.</t>
  </si>
  <si>
    <t>A man is mopping the floor with a mop.</t>
  </si>
  <si>
    <t>Another boy attempts to walk through where he is mopping.</t>
  </si>
  <si>
    <t>The man takes a drink of beer and complains to the camera.</t>
  </si>
  <si>
    <t>He mops through the room in between the people.</t>
  </si>
  <si>
    <t>He stops mopping and speaks to the camera.</t>
  </si>
  <si>
    <t>v_1LdbczjQPII</t>
  </si>
  <si>
    <t>A globe is turning with writing in front of it.</t>
  </si>
  <si>
    <t>A man throws a bowling ball into various pins.</t>
  </si>
  <si>
    <t>He bounces it off of trampoline and knocks pins down.</t>
  </si>
  <si>
    <t>The throws a bowling ball off a bridge.</t>
  </si>
  <si>
    <t>A woman throws the ball down at pins.</t>
  </si>
  <si>
    <t>A man catches the bowling ball and throws it to pins.</t>
  </si>
  <si>
    <t>A man bounces it off a car and hits pins.</t>
  </si>
  <si>
    <t>Another trampoline trick is shown.</t>
  </si>
  <si>
    <t>A man throws a bowling ball down a slide and a person catches it at the bottom.</t>
  </si>
  <si>
    <t>A man throws a bowling ball up a hill and it rolls back down and hits pins.</t>
  </si>
  <si>
    <t>Two men bounce balls off trampolines to hit pins.</t>
  </si>
  <si>
    <t>A remote control car drives the bowling ball to hit pins.</t>
  </si>
  <si>
    <t>Two men high five after knocking pins down.</t>
  </si>
  <si>
    <t>A man standing on top of a building throws a ball down and hits pins.</t>
  </si>
  <si>
    <t>v_57J-q04z1Hs</t>
  </si>
  <si>
    <t>Two dancers dance in the center of the floor where there aren't many people watching.</t>
  </si>
  <si>
    <t>They're both wearing black decor and they're turning the batons in many different ways and music is playing.</t>
  </si>
  <si>
    <t>Many people are cheering, some are standing and others are sitting.</t>
  </si>
  <si>
    <t>v_k_bvz0NHKBo</t>
  </si>
  <si>
    <t>Two boys and two girls compete beer pong while other persons watch.</t>
  </si>
  <si>
    <t>Almost all the balls throw by the boys land in the cups, only one ball is missed.</t>
  </si>
  <si>
    <t>The girls talk each other while looking the boys.</t>
  </si>
  <si>
    <t>v_yFOZHa2pn1g</t>
  </si>
  <si>
    <t>A guy is putting a cloth shackles on a lady's ankles.</t>
  </si>
  <si>
    <t>The guy positions the lady at the edge.</t>
  </si>
  <si>
    <t>The lady bungee jumps when the guy removes his hand.</t>
  </si>
  <si>
    <t>v_YUN8d87DNNY</t>
  </si>
  <si>
    <t>A woman is sweeping in front of a barn.</t>
  </si>
  <si>
    <t>Chickens are on the ground behind her.</t>
  </si>
  <si>
    <t>She is shoveling dirt into a wheel barrow.</t>
  </si>
  <si>
    <t>Men are sweeping in front of the barn.</t>
  </si>
  <si>
    <t>A woman is brushing a horse with a brush.</t>
  </si>
  <si>
    <t>v_SzCK4QuEG3c</t>
  </si>
  <si>
    <t>A set of knifes rest on top of pin cones.</t>
  </si>
  <si>
    <t>A pocket knife is taken from wooden box and held with a clamp.</t>
  </si>
  <si>
    <t>The man uses sharpening stones on the blade of the knife.</t>
  </si>
  <si>
    <t>The man cuts through pieces of paper to show the knifes sharpness.</t>
  </si>
  <si>
    <t>A still shot of a hot open fire pit is seen.</t>
  </si>
  <si>
    <t>v_f0rWFvJ7uTk</t>
  </si>
  <si>
    <t>A group of boys line up in a baseball field then run to chase the ball.</t>
  </si>
  <si>
    <t>A woman rolls a kick ball on the field.</t>
  </si>
  <si>
    <t>The ball is returned to the field by someone on the sideline.</t>
  </si>
  <si>
    <t>A boy runs around the bases on the field.</t>
  </si>
  <si>
    <t>The group of boys point and signal to other players on the field.</t>
  </si>
  <si>
    <t>A boy kicks the ball and the other players run around the bases.</t>
  </si>
  <si>
    <t>v_NDvp3JeVWcM</t>
  </si>
  <si>
    <t>There is large indoor gym where a gymnastic event is being held.</t>
  </si>
  <si>
    <t>There is a girl gymnast who is performing on the bars.</t>
  </si>
  <si>
    <t>There are spectators watching her as she swings swiftly.</t>
  </si>
  <si>
    <t>She gets off the bars and is congratulated by her coach.</t>
  </si>
  <si>
    <t>The awards are then presented to the winners of the competition.</t>
  </si>
  <si>
    <t>the winners stand on stage to receive their medals of victory.</t>
  </si>
  <si>
    <t>The score board shows the names of all the winners.</t>
  </si>
  <si>
    <t>v_0-igBOtXYeE</t>
  </si>
  <si>
    <t>Several different wrestling battles are shown with many different wrestlers showcased.</t>
  </si>
  <si>
    <t>A man is hoisted onto the shoulders of another man and is then thrown down onto a table, which breaks in half with the force of his weight.</t>
  </si>
  <si>
    <t>Several more wrestlers are thrown violently onto ring floors and flat surfaces and tables, with one dark and long haired man appearing several times throughout the clip screaming in an animated way.</t>
  </si>
  <si>
    <t>A red haired man talks to a camera near the end of the clip.</t>
  </si>
  <si>
    <t>v_asyXgaH1Sro</t>
  </si>
  <si>
    <t>Two men are talking on the sidewalk.</t>
  </si>
  <si>
    <t>An orange fork lift goes by behind them.</t>
  </si>
  <si>
    <t>One of the men is brushing the other mans hair.</t>
  </si>
  <si>
    <t>The man in the red shirt plays with his hair.</t>
  </si>
  <si>
    <t>v_-L-LiCO1v-s</t>
  </si>
  <si>
    <t>A man standing in front of orange flowers talks.</t>
  </si>
  <si>
    <t>A small dog is laying on the ground.</t>
  </si>
  <si>
    <t>A shower head is shown.</t>
  </si>
  <si>
    <t>A woman is sitting on a bed with the dog.</t>
  </si>
  <si>
    <t>Her and the dog are in the shower.</t>
  </si>
  <si>
    <t>She is spraying the dog with water.</t>
  </si>
  <si>
    <t>A bottle is being held up to be shown.</t>
  </si>
  <si>
    <t>She dries the dog off with a white towel.</t>
  </si>
  <si>
    <t>A robot is dancing on the screen.</t>
  </si>
  <si>
    <t>v_LjfF72Hwpyg</t>
  </si>
  <si>
    <t>A snow piled lawn is shown.</t>
  </si>
  <si>
    <t>A man on a tractor is pulling a kid on a tube over mounds of snow over and over.</t>
  </si>
  <si>
    <t>It ends with the boy close up, and another eating cereal from the top of a staircase.</t>
  </si>
  <si>
    <t>v_V3uCGRAWG2M</t>
  </si>
  <si>
    <t>A representative of the GCN Network is talking and demonstrating how to use tools to fix bike wheels.</t>
  </si>
  <si>
    <t>He is standing near an elevated blue bike with several tools displayed on a wall behind him.</t>
  </si>
  <si>
    <t>He is using an Allen key to lever the bike tire.</t>
  </si>
  <si>
    <t>He rotates the bike tire and then uses the Allen key to adjust the screws.</t>
  </si>
  <si>
    <t>Then he resets the pistons of the wheel to realign them.</t>
  </si>
  <si>
    <t>Then he precisely fits in the attachment into the wheel.</t>
  </si>
  <si>
    <t>v_JtQSDGSKnsY</t>
  </si>
  <si>
    <t>A person uses a vacuum cleaner the clean the carpet of debris in a room sweeping it back and forth.</t>
  </si>
  <si>
    <t>The vacuum cleaner collecting bucket is moved in order to reach a new area of carpet.</t>
  </si>
  <si>
    <t>The person vacuums the carpet area around the couch.</t>
  </si>
  <si>
    <t>The person lifts up the head of the vacuum and examines the wheels underneath.</t>
  </si>
  <si>
    <t>v_ifmHO5lQq18</t>
  </si>
  <si>
    <t>A blonde woman runs and does a high jump repeatedly.</t>
  </si>
  <si>
    <t>A woman in white in the background does a high jump.</t>
  </si>
  <si>
    <t>A black lady walks past the camera.</t>
  </si>
  <si>
    <t>The black lady appears again and adjusts something on the ground.</t>
  </si>
  <si>
    <t>A man raises a red flag.</t>
  </si>
  <si>
    <t>v_tjUuEqmLGeI</t>
  </si>
  <si>
    <t>A girl in her dance uniform is standing with her mom talking waiting for her turn to come up, when it's her turn she and her partner walk on stage.</t>
  </si>
  <si>
    <t>They begin to do their routine with their batons.</t>
  </si>
  <si>
    <t>They work well together and one of the girls does a flip while the other girl holds her, they continue on with the rest of their routine.</t>
  </si>
  <si>
    <t>They end their routine, one of them kneeling and the other behind her and get up and walk off the stage.</t>
  </si>
  <si>
    <t>v_x1wy8QmHZL8</t>
  </si>
  <si>
    <t>A girl in a blue and sparkly costume is standing on a court while holding two batons.</t>
  </si>
  <si>
    <t>The girl begins her baton routine and starts her routine and twirls the batons and her body.</t>
  </si>
  <si>
    <t>Judges at a table watch her the whole time while they also write on a piece of paper.</t>
  </si>
  <si>
    <t>The girl drops her baton, picks it up and then continues on with her routine.</t>
  </si>
  <si>
    <t>v_7iuU-zsauOY</t>
  </si>
  <si>
    <t>A man is deep water scuba diving with some type of machine as if he is searching for something.</t>
  </si>
  <si>
    <t>In the midst,he begins playing with a small fish before continuing on his search.</t>
  </si>
  <si>
    <t>The man continues traveling through the water at a slow pace but he isn't finding anything.</t>
  </si>
  <si>
    <t>v_dI6TWaB6tls</t>
  </si>
  <si>
    <t>Two dancers engage in a ballroom dance in front of a live band and a full televised audience.</t>
  </si>
  <si>
    <t>A woman in a ballroom outfit approaches a man in a ballroom dance, when the two meet they begin to dance across the floor using elaborate footwork during the dance.</t>
  </si>
  <si>
    <t>A phone number inviting people to call in and vote for them appears on the screen along with the network logo.</t>
  </si>
  <si>
    <t>The two continue to dance exhibiting slides, pickups, a last kiss and slides on the dance floor as the people in the audience clap.</t>
  </si>
  <si>
    <t>v_55bimE5eU9E</t>
  </si>
  <si>
    <t>A man and a woman stand by each other as the man speaks.</t>
  </si>
  <si>
    <t>The woman reaches down and lifts a bar.</t>
  </si>
  <si>
    <t>She makes small lifts against her thighs.</t>
  </si>
  <si>
    <t>She continues the small lifts and adds a variance of big lifts.</t>
  </si>
  <si>
    <t>She lifts the bar over her head and brings it down to her thigh area to continue the small lifts.</t>
  </si>
  <si>
    <t>She brings the bar back over her head and drops it down to the ground.</t>
  </si>
  <si>
    <t>v_3HP2E_a9xrU</t>
  </si>
  <si>
    <t>A small child is seen swinging at a pinata with a large group of children behind them.</t>
  </si>
  <si>
    <t>More kids stand up to take a swing at the pinata as parents walk around the kids.</t>
  </si>
  <si>
    <t>One last girl attempts to break the pinata in the end.</t>
  </si>
  <si>
    <t>v_g_T8qK7qTFI</t>
  </si>
  <si>
    <t>People in traffic in a city look irritated as a cop directs traffic.</t>
  </si>
  <si>
    <t>A man sticks something in his ears.</t>
  </si>
  <si>
    <t>A man in a green shirt mocks a cop and people laugh and clap.</t>
  </si>
  <si>
    <t>The cop gives the man a Pepsi.</t>
  </si>
  <si>
    <t>We see the man on the cricket field throwing a ball.</t>
  </si>
  <si>
    <t>The man drinks the Pepsi and we see the closing screen.</t>
  </si>
  <si>
    <t>v_t_D9MYkEPEo</t>
  </si>
  <si>
    <t>an audience claps as a couple appears on stage.</t>
  </si>
  <si>
    <t>They dance gracefully, spinning and twirling.</t>
  </si>
  <si>
    <t>The couple bow as they finish their routine.</t>
  </si>
  <si>
    <t>v__BHoMDR2ZVg</t>
  </si>
  <si>
    <t>A man wearing glasses is seen speaking to the camera in a tattoo shop.</t>
  </si>
  <si>
    <t>The man is laying on a table and waving to the camera.</t>
  </si>
  <si>
    <t>He shows his outline and a man begins tattooing his leg.</t>
  </si>
  <si>
    <t>v_X1WExPnfJjE</t>
  </si>
  <si>
    <t>A young girl is seen sitting in front of the camera running a brush down her long hair.</t>
  </si>
  <si>
    <t>She suddenly jumps and screams towards the camera while smiling and setting the brush down.</t>
  </si>
  <si>
    <t>v_aFVthcfDK9Q</t>
  </si>
  <si>
    <t>A city next a river is displayed on a screen.</t>
  </si>
  <si>
    <t>Reporters talk in a TV set where other people are working.</t>
  </si>
  <si>
    <t>A man wearing white shirt clean his face while looking a mirror.</t>
  </si>
  <si>
    <t>v_pD-zyfLtC6w</t>
  </si>
  <si>
    <t>A biker seated on a bike revs the engine.</t>
  </si>
  <si>
    <t>Another biker is shown seated on a bike, making a gesture with both arms.</t>
  </si>
  <si>
    <t>Scenes of various bikers failing stunt jumps are shown, with occasional crowd reaction and aftermath shots.</t>
  </si>
  <si>
    <t>v__wo35butdOc</t>
  </si>
  <si>
    <t>A lady stands raising a metal disk in one hand.</t>
  </si>
  <si>
    <t>The lady spins with the disk and releases the disk.</t>
  </si>
  <si>
    <t>The lady places a towel around her back.</t>
  </si>
  <si>
    <t>v_zkLld95_bhg</t>
  </si>
  <si>
    <t>Between clips of a man on a catamaran moving in the ocean, black screens appear and different times with different words describing each movement the catamaran makes.</t>
  </si>
  <si>
    <t>The man is now standing on the boat and is pulling on ropes that move on the boat and then is shown once again as the boat is moving.</t>
  </si>
  <si>
    <t>The outro appears and it's a white screen with a picture of the boat and the words "MULTIHULL CENTRAL".</t>
  </si>
  <si>
    <t>v_3AWvyAJv20g</t>
  </si>
  <si>
    <t>A woman folds towels on an ironing board at home.</t>
  </si>
  <si>
    <t>Different clothing items are seen such as shirts, socks, and ties.</t>
  </si>
  <si>
    <t>The woman adds a tag to a piece of clothing and irons it in place.</t>
  </si>
  <si>
    <t>The tag is shown close up.</t>
  </si>
  <si>
    <t>v_HddRC-twMLc</t>
  </si>
  <si>
    <t>There's man dressed in a blue shirt and blue shorts shooting darts in a room that has beige walls.</t>
  </si>
  <si>
    <t>He has two darts in his hands which he aims and shoots at a target.</t>
  </si>
  <si>
    <t>v_-yn3D1fOfr0</t>
  </si>
  <si>
    <t>A woman in a black shirt is talking in front of a Christmas tree.</t>
  </si>
  <si>
    <t>She begins putting decorations on the Christmas tree.</t>
  </si>
  <si>
    <t>She places a gold bow on the top of the tree.</t>
  </si>
  <si>
    <t>Three women are talking in front of the tree.</t>
  </si>
  <si>
    <t>v_CIcVR4m7nOc</t>
  </si>
  <si>
    <t>Several people stand outside of cars.</t>
  </si>
  <si>
    <t>They get in a river on tubes.</t>
  </si>
  <si>
    <t>They float near a large bridge.</t>
  </si>
  <si>
    <t>The water gets a little choppy.</t>
  </si>
  <si>
    <t>v_JVfhBvlv0IY</t>
  </si>
  <si>
    <t>An athletic man is seen standing ready and runs down a long track into a sand pit.</t>
  </si>
  <si>
    <t>The man walks away while looking into the audience followed by another man running into the pit.</t>
  </si>
  <si>
    <t>Several more men take turns running down with their run showed again afterwards.</t>
  </si>
  <si>
    <t>v_efaYmJsTDJc</t>
  </si>
  <si>
    <t>A camera ia seen showing the outside of a home followed by a girl sitting in a tub.</t>
  </si>
  <si>
    <t>She looks to the mirror and has a friend hand her a solo cup.</t>
  </si>
  <si>
    <t>She runs throughout the house outside and shows a close up of mouth wash.</t>
  </si>
  <si>
    <t>v_gLPJ7_VhWVU</t>
  </si>
  <si>
    <t>A young lady explains how to put makeup on the eye lid using a brush.</t>
  </si>
  <si>
    <t>The young lady use an eyeliner to paint the border of the top lid.</t>
  </si>
  <si>
    <t>Then, she puts mascara to her eyelashes, and paint the the lower lid.</t>
  </si>
  <si>
    <t>After, she brush her cheek and put lipstick on the lips.</t>
  </si>
  <si>
    <t>v_xC5RVs9mXyM</t>
  </si>
  <si>
    <t>A large marching band are seen standing in the middle of a big crowd.</t>
  </si>
  <si>
    <t>The band then begins playing with one another in the circle.</t>
  </si>
  <si>
    <t>The people continuing playing with one another while people watch on the sides.</t>
  </si>
  <si>
    <t>v_zFb7PKk_-vA</t>
  </si>
  <si>
    <t>A woman is seen speaking to the camera while a group of people sit in tubes around her.</t>
  </si>
  <si>
    <t>The other people smile and wave to the camera while showing off the other tubes.</t>
  </si>
  <si>
    <t>The people continue to ride around the water while the camera pans all around their movements.</t>
  </si>
  <si>
    <t>v_s24-UW2mnjM</t>
  </si>
  <si>
    <t>This man is roller blading through the streets extremely fast.</t>
  </si>
  <si>
    <t>He jumps over a closed off area and keeps on skating passed people into the streets.</t>
  </si>
  <si>
    <t>He is skating in the streets of paris along with another skater, still skating past people and going down into the subway.</t>
  </si>
  <si>
    <t>He hold on to the back of someones motorcycle and uses it to catch speed and then continues back out of the subway back on to the sidewalks.</t>
  </si>
  <si>
    <t>v_U_Pb3Wm_pb4</t>
  </si>
  <si>
    <t>An orange rope is tied to a tree and dangling in the wind.</t>
  </si>
  <si>
    <t>A man steps up on the rope and begins to walk across it.</t>
  </si>
  <si>
    <t>The man jumps down off of the rope and starts at the beginning to walk across it.</t>
  </si>
  <si>
    <t>The man jumps off again and gets back on the rope and jumps off.</t>
  </si>
  <si>
    <t>The man tightens the rope.</t>
  </si>
  <si>
    <t>The camera shows the ground.</t>
  </si>
  <si>
    <t>v_Uo9q4riquHM</t>
  </si>
  <si>
    <t>It is raining outside while a man is on a lawn mower mowing his lawn.</t>
  </si>
  <si>
    <t>The camera focuses on water dripping down.</t>
  </si>
  <si>
    <t>The man rearranges himself on the mower.</t>
  </si>
  <si>
    <t>He continues to mow the lawn.</t>
  </si>
  <si>
    <t>The camera focuses on the running water again.</t>
  </si>
  <si>
    <t>Then switches back to the running water.</t>
  </si>
  <si>
    <t>v_QosVN26lb1g</t>
  </si>
  <si>
    <t>We see a woman hitting a pinata.</t>
  </si>
  <si>
    <t>The lady pauses to line up her shot.</t>
  </si>
  <si>
    <t>The lady holds the pinata as she hits it.</t>
  </si>
  <si>
    <t>A man takes the bat from the ladies hands.</t>
  </si>
  <si>
    <t>v_ivmBrbO32Qo</t>
  </si>
  <si>
    <t>a man in a lab coat uses a swiffer broom.</t>
  </si>
  <si>
    <t>He rakes it across a floor with cleaning solution.</t>
  </si>
  <si>
    <t>The floor shines as it comes clean beneath his feet.</t>
  </si>
  <si>
    <t>v_HzmT-lvHrpM</t>
  </si>
  <si>
    <t>A man stands with a bicycle on a rack and shows its different parts and features including the wheels.</t>
  </si>
  <si>
    <t>The man turns the crank and the wheel spins on the bike.</t>
  </si>
  <si>
    <t>The man spins the front wheel by hand.</t>
  </si>
  <si>
    <t>The man tightens a screw with his hand tool.</t>
  </si>
  <si>
    <t>v_HafSt7EDin0</t>
  </si>
  <si>
    <t>A basketball is focused on as it sits on a grass.</t>
  </si>
  <si>
    <t>Then it zooms out and a small girl is standing at the beginning of a hopscotch written in chalk, and a man is standing at the end and he throws a piece of chalk her way, it breaks, he hops to pick it up, she picks up the other piece and returns it to the chalk container off to the side.</t>
  </si>
  <si>
    <t>The girl returns to the beginning of the hopscotch and takes her turn, and they go back and forth and play taking turns jumping up and down the hopscotch.</t>
  </si>
  <si>
    <t>v_WhEdTfs7U5E</t>
  </si>
  <si>
    <t>At beach, several volleyball nets in different colors are set up, while people are standing or sitting on the side off the nets.</t>
  </si>
  <si>
    <t>Different teams, with combination of males and females played the beach volleyballs in the nets assigned to them.</t>
  </si>
  <si>
    <t>v_PMy2EyktRmo</t>
  </si>
  <si>
    <t>People are working out on exercise bikes.</t>
  </si>
  <si>
    <t>A man in a blue shirt is standing in front of them running around.</t>
  </si>
  <si>
    <t>v_lj-VovhJcPA</t>
  </si>
  <si>
    <t>A reporter talks in a TV set, then a reporter talks in a park, then a map of London is shown.</t>
  </si>
  <si>
    <t>A man shows a bag with a cigarette and then it is show next of papers.</t>
  </si>
  <si>
    <t>After, the man is in a backyard explaining to the reporter.</t>
  </si>
  <si>
    <t>People are in a park walking, a person with a pet and mother with a child.</t>
  </si>
  <si>
    <t>A man and a woman talk with the reporter.</t>
  </si>
  <si>
    <t>v_avxSMcGBdG8</t>
  </si>
  <si>
    <t>Individuals play croquet, with the camera only showing their lower legs an the balls and mallets.</t>
  </si>
  <si>
    <t>A group of people in witch costumes stand together as one talks.</t>
  </si>
  <si>
    <t>More small videos of people playing croquet are shown.</t>
  </si>
  <si>
    <t>The group of people in witch costumes are shown again.</t>
  </si>
  <si>
    <t>A series of croquet teams are shown, with some of them wearing costumes.</t>
  </si>
  <si>
    <t>The group of people in witch costumes is shown once more.</t>
  </si>
  <si>
    <t>Yet more small videos of people playing croquet are shown.</t>
  </si>
  <si>
    <t>And ending title screen is shown.</t>
  </si>
  <si>
    <t>v_n9P4ltD0g2k</t>
  </si>
  <si>
    <t>He starts cutting up fruit and putting it in the glass.</t>
  </si>
  <si>
    <t>He starts mashing the fruit with a stick.</t>
  </si>
  <si>
    <t>He adds ice to the glass and pours alcohol in.</t>
  </si>
  <si>
    <t>He shakes the drink and pours it into a tall glass.</t>
  </si>
  <si>
    <t>He adds some liquid and stirs it with a straw.</t>
  </si>
  <si>
    <t>v_tEAEFVJGGG0</t>
  </si>
  <si>
    <t>A man trims the bush on the lawn with a electric cutter.</t>
  </si>
  <si>
    <t>v_I9ZeyASdgTk</t>
  </si>
  <si>
    <t>A person turn on a button of a device with a long road next to a wood box.</t>
  </si>
  <si>
    <t>Then, the man put the rod in a hole and sparks come out, after the man end doing sparkles.</t>
  </si>
  <si>
    <t>v_nnWON1EzK0o</t>
  </si>
  <si>
    <t>A person is seen riding on a horse into a pit chasing down a baby calf.</t>
  </si>
  <si>
    <t>The man ropes the calf and jumps off the horse to tie him up then walks back to the horse.</t>
  </si>
  <si>
    <t>v_9ZGy24Geu5k</t>
  </si>
  <si>
    <t>A man is seen in the ocean on a surf board.</t>
  </si>
  <si>
    <t>The man glides towards an on coming wave.</t>
  </si>
  <si>
    <t>The man then jumps over the wave.</t>
  </si>
  <si>
    <t>The man then rides the inside of a new wave.</t>
  </si>
  <si>
    <t>v_maXU1lGguxs</t>
  </si>
  <si>
    <t>A beautiful young woman holding a violin in hand begins to motion back and forth against the strings with the bow to play a song that she has practiced.</t>
  </si>
  <si>
    <t>The nicely dressed woman in black with white sleeves continues playing and smiling intermittently while eloquently holding down different chords and notes in the corner of the room next to a piano dancing back and forth as she plays.</t>
  </si>
  <si>
    <t>The woman stops playing and smiles once more before walking out of view of the camera putting the violin down and ending the song.</t>
  </si>
  <si>
    <t>v_EfJIu_moZaE</t>
  </si>
  <si>
    <t>A person goes sailing by another boat in the water.</t>
  </si>
  <si>
    <t>Several scenes are shown of people sailing on the boats.</t>
  </si>
  <si>
    <t>A man is standing and talking to the camera.</t>
  </si>
  <si>
    <t>v_TjMdEjgAKLw</t>
  </si>
  <si>
    <t>A man stands on metal stilts an pulls a large straight edge over a ceiling to flatten out the plaster.</t>
  </si>
  <si>
    <t>The man reaches the nearest side and then turns around to continue.</t>
  </si>
  <si>
    <t>The man reaches the far side of the room and turns around to continue.</t>
  </si>
  <si>
    <t>The man finishes and lowers the straight edge tool smiling.</t>
  </si>
  <si>
    <t>v_ykcLgz3DlYg</t>
  </si>
  <si>
    <t>We see half a cake on a form with a person hand pointing to things.</t>
  </si>
  <si>
    <t>We see the person spins the cake with the cardboard above it.</t>
  </si>
  <si>
    <t>A person scrapes wax paper over the cake.</t>
  </si>
  <si>
    <t>We see a whole globe covered in chocolate.</t>
  </si>
  <si>
    <t>v_WP8YccCA2Jc</t>
  </si>
  <si>
    <t>Man scraps the ice from his windshield.</t>
  </si>
  <si>
    <t>The man in black puts a piece of cardboard on his windshield.</t>
  </si>
  <si>
    <t>Man pours hot water mixture on his cold windshield.</t>
  </si>
  <si>
    <t>v_YNVK-pb7fWM</t>
  </si>
  <si>
    <t>Two women are seen sitting in a park with one behind the other.</t>
  </si>
  <si>
    <t>One girl begins braiding the hair of another while sitting behind.</t>
  </si>
  <si>
    <t>The girl finishes the hair while the other looks back to the camera.</t>
  </si>
  <si>
    <t>v_eEfvYiuGULM</t>
  </si>
  <si>
    <t>Athletes throw a javelin across the field during a competition in a stadium.</t>
  </si>
  <si>
    <t>The athlete is not pleased with his throw and slaps his legs in frustration.</t>
  </si>
  <si>
    <t>The athlete is moderately pleased with his throw and claps his hands walking away and nods his head.</t>
  </si>
  <si>
    <t>A scoreboard is seen with the results of the competition.</t>
  </si>
  <si>
    <t>v_nDRaXY5ddPs</t>
  </si>
  <si>
    <t>A person is using a mop to mop the floor.</t>
  </si>
  <si>
    <t>A small dog is chasing the mop.</t>
  </si>
  <si>
    <t>They continue to mop with the dog on the mop.</t>
  </si>
  <si>
    <t>v_ZKo3_ifK2tQ</t>
  </si>
  <si>
    <t>A toy bear wearing red and white overalls pours a cup of coffee into a yellow coffee cup.</t>
  </si>
  <si>
    <t>The camera man zooms in on the toy bear from a side view to a front view.</t>
  </si>
  <si>
    <t>The camera man pans out and moves to a side view of the toy bear and zooms out.</t>
  </si>
  <si>
    <t>v_D_GSISuQw3Y</t>
  </si>
  <si>
    <t>There's a girl wearing a brown Cheers shirt doing a demonstration on how to paint her nails.</t>
  </si>
  <si>
    <t>She shows a bottle of magenta nail polish that she has already used on her nails.</t>
  </si>
  <si>
    <t>Then she takes a strip of rhinestones that she meticulously places and glues on her painted fingernails.</t>
  </si>
  <si>
    <t>Then she coats her nails and the rhinestones with a layer of neutral polish to secure the rhinestones.</t>
  </si>
  <si>
    <t>She talks in the camera as two boys stand behind her trying to participating in the video tutorial.</t>
  </si>
  <si>
    <t>v_nD4VObLUOuE</t>
  </si>
  <si>
    <t>We see a man in an orange shirt twirl and spin to throw the hammer over 80km .</t>
  </si>
  <si>
    <t>Next we see a man in a blue shirt throw 73km.</t>
  </si>
  <si>
    <t>We see a man in a white shirt throw 75km.</t>
  </si>
  <si>
    <t>The man in orange goes again and throws 81km.</t>
  </si>
  <si>
    <t>v_9WXl-2sINno</t>
  </si>
  <si>
    <t>A young girl giving a make up tutorial.</t>
  </si>
  <si>
    <t>She begins with the eye shadow.</t>
  </si>
  <si>
    <t>She gets a little bit distracted and starts talking to someone else in the room.</t>
  </si>
  <si>
    <t>She then finishes her other eye and laughs a little bit.</t>
  </si>
  <si>
    <t>v_U4ua-VD7hNM</t>
  </si>
  <si>
    <t>A person is seen laying on a long wire and walks his way all the way to end.</t>
  </si>
  <si>
    <t>He attempts to flip across the string again but fails and hurts himself.</t>
  </si>
  <si>
    <t>Several more men are seen watching from the sides when one slides across again.</t>
  </si>
  <si>
    <t>Another man is seen doing a flip on a rock and more shots people walking and jumping onto the string are shown.</t>
  </si>
  <si>
    <t>v_1gM0xfKN-Kc</t>
  </si>
  <si>
    <t>Several men and women are outside on a silver adult monkey bars climbing across it.</t>
  </si>
  <si>
    <t>After they all finish,the people get off and run back to do another set on the monkey bars.</t>
  </si>
  <si>
    <t>In the distance,more people are coming from the trail and a young boy is shown going across the bars before a group of images of them doing different activities are shown.</t>
  </si>
  <si>
    <t>v_zoSNO_k9RoM</t>
  </si>
  <si>
    <t>A person puts a contact lens in his right eye.</t>
  </si>
  <si>
    <t>Then, the person puts a contact lens in his left eye.</t>
  </si>
  <si>
    <t>v_ytvIoI5uwFA</t>
  </si>
  <si>
    <t>A man is standing in front of another man while someone adjusts the table between them.</t>
  </si>
  <si>
    <t>The men lock arms, and begin to arm wrestle.</t>
  </si>
  <si>
    <t>They push and pull hard, trying to win.</t>
  </si>
  <si>
    <t>They suddenly begin punching each other, breaking out in a fight.</t>
  </si>
  <si>
    <t>One begins to fall after a punch.</t>
  </si>
  <si>
    <t>v_M5UrBI13R3s</t>
  </si>
  <si>
    <t>A white intro screen appears and red letters in a foreign language appear flashing on the screen.</t>
  </si>
  <si>
    <t>A white bowl filled with water and 3 potatoes appear in one bowl, and ice cubes are in another white bowl.</t>
  </si>
  <si>
    <t>A hand then grabs the top potato, the bowl of ice cubes and pours the cubes into a bigger white bowl that already has water in it.</t>
  </si>
  <si>
    <t>The two hands now drop the potato into the larger bowl with the ice cubes and water and the fingers begin to peel off all of the skin under the water and when all the peels are gone the potato is placed onto a clean white plate.</t>
  </si>
  <si>
    <t>The white outro screen appears and more foreign red letters appear.</t>
  </si>
  <si>
    <t>v_VFVAkH9zPIM</t>
  </si>
  <si>
    <t>We see the title introducing us to Jesse.</t>
  </si>
  <si>
    <t>Jesse the dog runs and catches Frisbee.</t>
  </si>
  <si>
    <t>We see Jesse close up in the camera.</t>
  </si>
  <si>
    <t>Jesse is running around catching the Frisbee the lady throws.</t>
  </si>
  <si>
    <t>We see five still shots of Jesse jumping in the air.</t>
  </si>
  <si>
    <t>Jesse continues to run around with his Frisbee.</t>
  </si>
  <si>
    <t>We see the end credits on a black screen.</t>
  </si>
  <si>
    <t>v_We0DJIKCBOw</t>
  </si>
  <si>
    <t>A woman is shown preparing to lift a barbell into the air.</t>
  </si>
  <si>
    <t>She lifts it into the air and above her head.</t>
  </si>
  <si>
    <t>She drops the barbell to the ground.</t>
  </si>
  <si>
    <t>She bows for the crowd and blows them a kiss.</t>
  </si>
  <si>
    <t>She then walks off stage.</t>
  </si>
  <si>
    <t>v_zBg0FEtpC-o</t>
  </si>
  <si>
    <t>A man in a black knit hat talks to the camera while standing in front of a table with items on it and in front of a yellow truck with a black star on the door.</t>
  </si>
  <si>
    <t>The man picks up an orange packet from the table and later a smaller yellow packet and an orange device, all while talking.</t>
  </si>
  <si>
    <t>The man then places the yellow packet and orange device on the table next to each other on a metal table.</t>
  </si>
  <si>
    <t>The man then takes a metal plate, puts it upside down and starts a fire on top of it using the materials in the packet, before returning to talk to the camera again.</t>
  </si>
  <si>
    <t>v_6RxF2UHMYQM</t>
  </si>
  <si>
    <t>A person picks up a paint brush and can of varnish on an outside lawn.</t>
  </si>
  <si>
    <t>The person paints a coat various boards leaning up against an exterior wall of home.</t>
  </si>
  <si>
    <t>v_yWvyLG3kq2I</t>
  </si>
  <si>
    <t>A large water fall is shown.</t>
  </si>
  <si>
    <t>A person goes over the water fall in a green kayak.</t>
  </si>
  <si>
    <t>People are standing on the rocks above the water watching.</t>
  </si>
  <si>
    <t>v_KkpQ347Ceak</t>
  </si>
  <si>
    <t>A person is putting food into a bowl.</t>
  </si>
  <si>
    <t>They crack a nut and put that into the bowl.</t>
  </si>
  <si>
    <t>They crack another nut over a black tray.</t>
  </si>
  <si>
    <t>v_-HKsU_uFUWo</t>
  </si>
  <si>
    <t>woman is kneeling down in the floor talking to the camera holding a bend slide and opens it in the living room.</t>
  </si>
  <si>
    <t>dog is walking behind th woman.</t>
  </si>
  <si>
    <t>baby is walking to the woman and climb to the slide.</t>
  </si>
  <si>
    <t>v_Q9UovyMsTLc</t>
  </si>
  <si>
    <t>Three girls are seen standing behind a counter speaking to the camera with one spreading butter around a pan.</t>
  </si>
  <si>
    <t>Another mixes ingredients into a bowl with another girl's help and the girls lick the spoon used afterwards.</t>
  </si>
  <si>
    <t>They pour the mixture into a pan, put it in the oven, then shortly take it out some time after.</t>
  </si>
  <si>
    <t>Frosting is then seen all over the cake and the girl's spread it around and serve pieces onto a plate, followed by them eating on in a living room.</t>
  </si>
  <si>
    <t>v_7CNEttu-t7g</t>
  </si>
  <si>
    <t>A large exercise machine is shown.</t>
  </si>
  <si>
    <t>A man sits down and starts working out on the exercise machine.</t>
  </si>
  <si>
    <t>v_weeD4A7gl2A</t>
  </si>
  <si>
    <t>A car is seen sitting inside a car wash on a security camera with rags moving up and down the vehicle.</t>
  </si>
  <si>
    <t>A man then opens his door which is followed by the machine taking off the door and the car driving away.</t>
  </si>
  <si>
    <t>v_jx7_0MRlScw</t>
  </si>
  <si>
    <t>People are driving around playing bumper cars.</t>
  </si>
  <si>
    <t>A man has to help get cars unstuck.</t>
  </si>
  <si>
    <t>v_G0g7vEwI0z8</t>
  </si>
  <si>
    <t>Two people are cooking in pans on the oven.</t>
  </si>
  <si>
    <t>Two plates of food are on the counter.</t>
  </si>
  <si>
    <t>v_p3-tF0riSpQ</t>
  </si>
  <si>
    <t>A man is first seen speaking to the camera with text questions being asked to him.</t>
  </si>
  <si>
    <t>He is then seen putting a cleaner on his teeth and taking a bit of food.</t>
  </si>
  <si>
    <t>He continues speaking to the camera while occasionally eating food.</t>
  </si>
  <si>
    <t>v_hQl2eeYX3IY</t>
  </si>
  <si>
    <t>There's a man in a red shirt and brown hat blowing leaves off his driveway with a leaf blower.</t>
  </si>
  <si>
    <t>He begins by blowing the leaves off from near the front lawn.</t>
  </si>
  <si>
    <t>Then he moves towards where his white van is parked.</t>
  </si>
  <si>
    <t>He walks all around the driveway and blow the leaves, making sure he covers the entire driveway.</t>
  </si>
  <si>
    <t>Then he goes towards the corner of the garage and blow off a large pile of leaves that is lying there in a heap.</t>
  </si>
  <si>
    <t>v_MVVhOW7t3u0</t>
  </si>
  <si>
    <t>A track athlete walks down the path.</t>
  </si>
  <si>
    <t>A female participant prepares to run.</t>
  </si>
  <si>
    <t>She runs with a javelin over her shoulder, throwing it as far as she can.</t>
  </si>
  <si>
    <t>She then runs away from the spot on the track.</t>
  </si>
  <si>
    <t>v_zYN_cbLO3MU</t>
  </si>
  <si>
    <t>Several people surf with paddles in ocean water navigating rough waves as onlookers watch from boats and kayaks.</t>
  </si>
  <si>
    <t>A man is paddle rowing on a surfboard in a body of water, when he begins to surf the ocean waves using the paddle to navigate and guide the surfboard.</t>
  </si>
  <si>
    <t>Another man is shown in a red outfit performing the same feat with the paddle along with yet another man in a green shirt.</t>
  </si>
  <si>
    <t>Another man in is paddle surfboarding in a clear blue type of water before the scene switches again to another several more people navigating large and rough waves with surfboard and paddles.</t>
  </si>
  <si>
    <t>v_g9sYWTE6LTg</t>
  </si>
  <si>
    <t>A large group of people are sitting around while two men bring out a table and a man and woman stand on it.</t>
  </si>
  <si>
    <t>The man and woman speak to the crowd and perform a tango routine while standing on the table the entire time.</t>
  </si>
  <si>
    <t>The people step off the table and bow to the audience clapping and the camera panning around.</t>
  </si>
  <si>
    <t>v_kt_sGN-1prU</t>
  </si>
  <si>
    <t>Various text shown leads into several clips of people swinging around on uneven bars.</t>
  </si>
  <si>
    <t>More and more gymnasts are shown jumping off of a beam and onto uneven bars.</t>
  </si>
  <si>
    <t>Several woman are shown back to back performing these tricks.</t>
  </si>
  <si>
    <t>v_x06fLYM58wM</t>
  </si>
  <si>
    <t>A female ballet dancer is in a studio room by herself wearing a purple leotard with a skirt attached to it.</t>
  </si>
  <si>
    <t>She begins gracefully dancing throughout the room doing a series of turns and kicks all while on the tip of her toes.</t>
  </si>
  <si>
    <t>Finally,she begins doing a series of tiny backward steps and finishes in the position she started in.</t>
  </si>
  <si>
    <t>v_cXw6os9Xk5c</t>
  </si>
  <si>
    <t>A man on the side of the street drumming away on an actual drum set.</t>
  </si>
  <si>
    <t>People are standing around waiting an watching him.</t>
  </si>
  <si>
    <t>Cars are passing by and he just continues to drum like it's normal.</t>
  </si>
  <si>
    <t>He jams out using the cymbals and everything.</t>
  </si>
  <si>
    <t>v_6x3qs7jQQko</t>
  </si>
  <si>
    <t>A woman is styling the hair of a mannequin.</t>
  </si>
  <si>
    <t>She rolls the hair into curlers on top of the head of the mannequin.</t>
  </si>
  <si>
    <t>She takes the curlers out of the hair and styles it.</t>
  </si>
  <si>
    <t>v_x7PDVqDFw6c</t>
  </si>
  <si>
    <t>Film strips appear to roll across the screen.</t>
  </si>
  <si>
    <t>A man is using a telescoping pole by the side of a building.</t>
  </si>
  <si>
    <t>He stretches it upward, then cleans the side of the building with it.</t>
  </si>
  <si>
    <t>He uses it to clean the windows tha are highest.</t>
  </si>
  <si>
    <t>v_dIlpPraDc-I</t>
  </si>
  <si>
    <t>The man in red jacket is skiing on the slope.</t>
  </si>
  <si>
    <t>The man in is skiing down slope with is knees bend down.</t>
  </si>
  <si>
    <t>The man is skiing down the mountain.</t>
  </si>
  <si>
    <t>v_mhHoL-9mY1E</t>
  </si>
  <si>
    <t>We see a person sitting in front of a shoe holding a can with brush.</t>
  </si>
  <si>
    <t>The man takes the top off and sprays the shoes.</t>
  </si>
  <si>
    <t>The man uses the brush on the shoe to rub the shoe.</t>
  </si>
  <si>
    <t>The man puts the top back on the can.</t>
  </si>
  <si>
    <t>The man gets up and grabs the camera.</t>
  </si>
  <si>
    <t>v_VEihQG2UWKE</t>
  </si>
  <si>
    <t>People are flying kites on grass.</t>
  </si>
  <si>
    <t>The kites are shown in the sky.</t>
  </si>
  <si>
    <t>A woman is holding a purple umbrella.</t>
  </si>
  <si>
    <t>People are walking around in a park.</t>
  </si>
  <si>
    <t>v_hpoReoD1vD0</t>
  </si>
  <si>
    <t>A white plate is sitting on a white table in a kitchen.</t>
  </si>
  <si>
    <t>A child places turkey slices on two pieces of white bread, then adds a slice of cheese.</t>
  </si>
  <si>
    <t>Finally, she adds a layer of miracle whip.</t>
  </si>
  <si>
    <t>She leans forward, taking a large bite of the sandwich.</t>
  </si>
  <si>
    <t>v_8fqxUtHLyoE</t>
  </si>
  <si>
    <t>Two women are on a court with jump ropes.</t>
  </si>
  <si>
    <t>They do several stunts while jumping the ropes.</t>
  </si>
  <si>
    <t>They flip forward, backward and sideways in unison.</t>
  </si>
  <si>
    <t>v_IjmeHBgFb3g</t>
  </si>
  <si>
    <t>A gymnast is seen sitting before a beam and begins performing a routine with another person attached to his lower half.</t>
  </si>
  <si>
    <t>The two present to be one gymnast on a bar and end with them jumping off with their arms up.</t>
  </si>
  <si>
    <t>v_h9YbUJuYzLk</t>
  </si>
  <si>
    <t>A male stylist talks as he smooths a woman's hair.</t>
  </si>
  <si>
    <t>He then demonstrates how to cut and style her hair, clipping it as he goes.</t>
  </si>
  <si>
    <t>When he is done, he blows her hair dry and gives it it's final styling.</t>
  </si>
  <si>
    <t>v_XNzQVEmoJrY</t>
  </si>
  <si>
    <t>We see finger in front of the camera.</t>
  </si>
  <si>
    <t>A man in green walks unto a squash court.</t>
  </si>
  <si>
    <t>The light goes out and the room is dark.</t>
  </si>
  <si>
    <t>The man in green walks to the middle of the court and hits the ball back and forth.</t>
  </si>
  <si>
    <t>The man finishes and walks towards the camera.</t>
  </si>
  <si>
    <t>v_deU1mGcNh1Q</t>
  </si>
  <si>
    <t>A young child is seen sitting on the floor grabbing ice cream with it's hands.</t>
  </si>
  <si>
    <t>The child then grabs a spoon and continues to use his hands to eat.</t>
  </si>
  <si>
    <t>v_wEI_iPEfLNk</t>
  </si>
  <si>
    <t>A woman is seen speaking to the camera and leads into her holing up a jar of honey.</t>
  </si>
  <si>
    <t>She continues speaking and leads into her rubbing honey on her face.</t>
  </si>
  <si>
    <t>She dries off the mask and continues speaking while smiling to the camera.</t>
  </si>
  <si>
    <t>v_085A7Iv6xzA</t>
  </si>
  <si>
    <t>A view is shown of a man removing a paddle from a fence.</t>
  </si>
  <si>
    <t>We see his face as he speaks, before he kayaks down a very thin stream into open waters.</t>
  </si>
  <si>
    <t>He uses his phone as another person arrives, then videos others shooting down the passageway.</t>
  </si>
  <si>
    <t>v_FtAQcl1h7O8</t>
  </si>
  <si>
    <t>People are riding spin bikes in a gym.</t>
  </si>
  <si>
    <t>Two women are working out on exercise bikes.</t>
  </si>
  <si>
    <t>Yellow words come on the screen.</t>
  </si>
  <si>
    <t>v_v1hQ0vf66QY</t>
  </si>
  <si>
    <t>A countdown of text is shown that leads into clips of sumo wrestlers performing impressive throws.</t>
  </si>
  <si>
    <t>The video continues counting down as more shots are shown of sumo wrestlers fighting one another and people watching on the side.</t>
  </si>
  <si>
    <t>v_ILwwD00q1ZY</t>
  </si>
  <si>
    <t>A person in a furniture store is talking about popular furniture made from reclaimed wood.</t>
  </si>
  <si>
    <t>He shows rustic, contemporary and traditional type of furniture that is in his store.</t>
  </si>
  <si>
    <t>He shows the high quality reclaimed wood and the different furniture made from it.</t>
  </si>
  <si>
    <t>v_jkWqhnD8hyQ</t>
  </si>
  <si>
    <t>We see a title in the upper left corner.</t>
  </si>
  <si>
    <t>The man drills the cabinets apart and wipes and paints them.</t>
  </si>
  <si>
    <t>The cabinets dry and the man wipes them.</t>
  </si>
  <si>
    <t>We see a person applying a product over the paint.</t>
  </si>
  <si>
    <t>We see the cabinet faces put back on the cabinets.</t>
  </si>
  <si>
    <t>v_5BAvlsHfTLk</t>
  </si>
  <si>
    <t>Santa Cruz Nomad Bike company is demonstrating how to install a bike.</t>
  </si>
  <si>
    <t>The company representative is putting together the bike parts piece by piece.</t>
  </si>
  <si>
    <t>He starts with the main body and then goes to attach the wheels, the handle and the pedals.</t>
  </si>
  <si>
    <t>Then he goes ahead and attaches the rubber tires.</t>
  </si>
  <si>
    <t>After that he fixes the handles of the bike with black rubber tops.</t>
  </si>
  <si>
    <t>He finally reinforces all the parts and ensures the bike is ready for use.</t>
  </si>
  <si>
    <t>when he's done, he gets on the bike and rides it.</t>
  </si>
  <si>
    <t>v_q0buJ1CKj-Y</t>
  </si>
  <si>
    <t>A person is seen sitting in front of a desk holding a guitar in his hands.</t>
  </si>
  <si>
    <t>The man then begins playing the instrument moving his hands up and down.</t>
  </si>
  <si>
    <t>The person continues playing on the guitar and looking off into the distance.</t>
  </si>
  <si>
    <t>v_m5T_w1mhWgY</t>
  </si>
  <si>
    <t>A person is seen riding down a snowy hill followed by a man working on a machine and pulling paper out.</t>
  </si>
  <si>
    <t>The camera zooms in on the machine and the man takes a ski and runs the ski over the machine.</t>
  </si>
  <si>
    <t>He shows off the ski while continuing to use them on the machine and showing off how they look.</t>
  </si>
  <si>
    <t>v_KEUJ7ulD-_A</t>
  </si>
  <si>
    <t>The video opens up with an intro segment for a BMX race.</t>
  </si>
  <si>
    <t>The racers are shown at the gate getting ready for the race.</t>
  </si>
  <si>
    <t>Several racers are introduced with their names shown on the screen.</t>
  </si>
  <si>
    <t>The race starts and the racers race around the track.</t>
  </si>
  <si>
    <t>v_Mvw0hvMeM-w</t>
  </si>
  <si>
    <t>The video begins with the annual BMX biking event where several participants are gathered to begin their competitive event.</t>
  </si>
  <si>
    <t>Several bikers begin biking on their bikes on curved slopes in the open air arena.</t>
  </si>
  <si>
    <t>The bikers go over bumpy and hilly slopes in their gears and helmets.</t>
  </si>
  <si>
    <t>There are several bikers beginning a race from the top of the biking slope.</t>
  </si>
  <si>
    <t>They show off their stunts and skills as they speed through the obstacle course of the biking arena.</t>
  </si>
  <si>
    <t>v_bUCMSDMB7MU</t>
  </si>
  <si>
    <t>Two side by side videos are shown of a man in slow motion playing frisbee and doing tricks with a dog.</t>
  </si>
  <si>
    <t>The same man is shown again performing various tricks with his dog that are shown in real time as well as slow motion.</t>
  </si>
  <si>
    <t>v_ziJaskA3588</t>
  </si>
  <si>
    <t>People are in a boat while a person is attached to the back and waterboarding.</t>
  </si>
  <si>
    <t>As a large splash of water flies into the air white words appear in the middle of the screen that say "Wipeout Bay of Plenty".</t>
  </si>
  <si>
    <t>The person is shown from different angles waterboarding and then falling hard into the water multiple times.</t>
  </si>
  <si>
    <t>v_8UyB9XigBXM</t>
  </si>
  <si>
    <t>A young girl is seen brushing her hair as well as spraying product into her hair.</t>
  </si>
  <si>
    <t>She takes her hair in parts and begins braiding her hair.</t>
  </si>
  <si>
    <t>She finishes braiding her hair and ends by a picture of the braid.</t>
  </si>
  <si>
    <t>v_VmjCJxgPSiE</t>
  </si>
  <si>
    <t>A campfire is surrounded by stones.</t>
  </si>
  <si>
    <t>A person adds browned leafs to the campfire.</t>
  </si>
  <si>
    <t>A person uses a stick to move the leaves inside the fire.</t>
  </si>
  <si>
    <t>A person moves backwards away from the fire.</t>
  </si>
  <si>
    <t>A person moves forward towards the fire.</t>
  </si>
  <si>
    <t>v_kLpYpfT5bok</t>
  </si>
  <si>
    <t>Two people are fighting on the ground.</t>
  </si>
  <si>
    <t>People are sitting around them watching.</t>
  </si>
  <si>
    <t>People are sitting on chairs playing drums.</t>
  </si>
  <si>
    <t>v_9jFyJhik9VM</t>
  </si>
  <si>
    <t>A person goes windsurfing on a lime green board in a body of water.</t>
  </si>
  <si>
    <t>The person does a few spins.</t>
  </si>
  <si>
    <t>v_do_AQlxV9SI</t>
  </si>
  <si>
    <t>A large man is doing behind the neck shoulder presses.</t>
  </si>
  <si>
    <t>He is holding his breath doing them and then he stands up and starts to walk.</t>
  </si>
  <si>
    <t>He gets back on the bench and does a few more pf the shoulder presses again.</t>
  </si>
  <si>
    <t>Then, he goes outside and practices spinning and throwing.</t>
  </si>
  <si>
    <t>v_yUC6HXP9S8A</t>
  </si>
  <si>
    <t>A boy is standing outside on top of ice fishing out of a small hole in the ice.</t>
  </si>
  <si>
    <t>The boy struggles to get the fish out and someone comes and takes it out for him.</t>
  </si>
  <si>
    <t>Now there are four men visible and they all begin to fish out of the ice pond.</t>
  </si>
  <si>
    <t>Eventually,a man grabs a chair and starts fishing and taking his fish off of his line.</t>
  </si>
  <si>
    <t>v_1zyyumIi0iQ</t>
  </si>
  <si>
    <t>An intro leads into a group of cheerleaders performing several moves as a team and girls being interviewed on camera.</t>
  </si>
  <si>
    <t>They perform a routine shown by several videos and pictures and continue showing various tricks backstage and on stage.</t>
  </si>
  <si>
    <t>The girls speak to one another back stage with their coach and many people interact with them in the audience.</t>
  </si>
  <si>
    <t>v_i3H8cucgXEc</t>
  </si>
  <si>
    <t>A person is seen riding around on roller blades and performing a grind on a bar.</t>
  </si>
  <si>
    <t>Several more clips are shown of the person performing grinds with roller blades as well as other flips and tricks.</t>
  </si>
  <si>
    <t>v_XN7mRI1qGlQ</t>
  </si>
  <si>
    <t>woman is holding a hairdryer and dying a little kid hair.</t>
  </si>
  <si>
    <t>little kid in the back is standing and laughing.</t>
  </si>
  <si>
    <t>v_UeN7XgwLkOU</t>
  </si>
  <si>
    <t>man is standing in a room opening the blinds.</t>
  </si>
  <si>
    <t>men are skating on sidewalks by the street with a lot of people around.</t>
  </si>
  <si>
    <t>v_aMexiSP5Vjc</t>
  </si>
  <si>
    <t>A young child is seen using an elliptical while watching a computer video in front of her.</t>
  </si>
  <si>
    <t>The girl controls the moves on the video using the machine while the camera zooms in and out of the area.</t>
  </si>
  <si>
    <t>v_TIfAkOBMf5A</t>
  </si>
  <si>
    <t>People run out onto a stage.</t>
  </si>
  <si>
    <t>They begin to dance and work out on the stage.</t>
  </si>
  <si>
    <t>An audience is watching them perform.</t>
  </si>
  <si>
    <t>v_qwJhmfZKdNQ</t>
  </si>
  <si>
    <t>A man wearing a purple sweater is demonstrating how to use garden shears.</t>
  </si>
  <si>
    <t>He is trimming the hedges and bushes in the yard.</t>
  </si>
  <si>
    <t>He shows how the shears can be used effectively in hard to reach places.</t>
  </si>
  <si>
    <t>v_g9bIJ1MIvPk</t>
  </si>
  <si>
    <t>A roll of shingles is shown lying on a roof.</t>
  </si>
  <si>
    <t>A man holds up a sheet of the shingles.</t>
  </si>
  <si>
    <t>He uses pliers to remove damaged shingles before replacing them with new ones.</t>
  </si>
  <si>
    <t>v_e34P8tr-Mi4</t>
  </si>
  <si>
    <t>Three men are applying plaster to the ceiling of an unfinished room while another man watches.</t>
  </si>
  <si>
    <t>One of the men climbs a ladder to reach the ceiling.</t>
  </si>
  <si>
    <t>One man performs a short dance.</t>
  </si>
  <si>
    <t>The camera moves to reveal that the man dancing and another one of the men are using stilts to reach the ceiling.</t>
  </si>
  <si>
    <t>v_e-44ig51evc</t>
  </si>
  <si>
    <t>We see a title screen for the video.</t>
  </si>
  <si>
    <t>We then see little boys playing soccer in a couple of gymnasiums.</t>
  </si>
  <si>
    <t>We watch the boy in the white shirt score a goal.</t>
  </si>
  <si>
    <t>We see a boy kick a goal and the goalie reaches to stop the ball but misses.</t>
  </si>
  <si>
    <t>We see the boy in white score a goal and his Teammates hug him.</t>
  </si>
  <si>
    <t>3:10 The white ream number 10 scores and a teammate gives him a high five.</t>
  </si>
  <si>
    <t>v_zVOj9aaq4L0</t>
  </si>
  <si>
    <t>A woman is shown, playing with her hair.</t>
  </si>
  <si>
    <t>A salon artist appears, and his tools are shown on a table.</t>
  </si>
  <si>
    <t>The woman blows her hair dry before posing, and is shown step by step creating curls in her hair with his tools.</t>
  </si>
  <si>
    <t>She adjusts and brushes her hair, then shows off the final result.</t>
  </si>
  <si>
    <t>v__CYdiU1sMwc</t>
  </si>
  <si>
    <t>A man is using a leaf blower to blow the leaves off the grass.</t>
  </si>
  <si>
    <t>A car drives by on the road at a decent speed.</t>
  </si>
  <si>
    <t>He continues to blow the leaves mindlessly.</t>
  </si>
  <si>
    <t>The leaves are all falling on the road making the grass look so much better.</t>
  </si>
  <si>
    <t>v_cDV1vDdAT1w</t>
  </si>
  <si>
    <t>Several people are seen riding around on surf board with kites on the top.</t>
  </si>
  <si>
    <t>They continue riding around and a small child is seen up close.</t>
  </si>
  <si>
    <t>More shots are shown of them riding around one another and riding along the water.</t>
  </si>
  <si>
    <t>v_CiryRTSYkC4</t>
  </si>
  <si>
    <t>A person is seen gearing up while speaking to the camera and leads into him doing push ups.</t>
  </si>
  <si>
    <t>The man walks down a hallway with a women being introduced and leads into the two playing ping pong.</t>
  </si>
  <si>
    <t>The two continue playing and leads into the man holding up a basketball and the woman shocked.</t>
  </si>
  <si>
    <t>v_W2Wjbhsuacw</t>
  </si>
  <si>
    <t>Outside in a bucket there is some wood and someone come out and starts to blow something on it.</t>
  </si>
  <si>
    <t>He is blowing fire on to it with some kind of fire contraption that looks like a gardening tool.</t>
  </si>
  <si>
    <t>It is catching nicely and the woods is burning quick.</t>
  </si>
  <si>
    <t>The fire dies down a little but is still burning.</t>
  </si>
  <si>
    <t>v_rkDuiu5H8JY</t>
  </si>
  <si>
    <t>A woman demonstrates how to create a braided hairstyle using a young woman as a model for the style in a hands on tutorial.</t>
  </si>
  <si>
    <t>The hairstylist begins by parting the hair in four sections with a comb before braiding each section and clipping a hairpin on the ends of each braid.</t>
  </si>
  <si>
    <t>The woman then pulls each braid across the front of the models hairline.</t>
  </si>
  <si>
    <t>The model showcases the look while sitting in the chair and the camera captures her hairstyle from different angles before and image of three women on a sofa with a fly away helium balloon appears.</t>
  </si>
  <si>
    <t>v_3kEAg-JtDBY</t>
  </si>
  <si>
    <t>A woman is wearing a white robe and a black belt.</t>
  </si>
  <si>
    <t>She does karate moves in her room.</t>
  </si>
  <si>
    <t>She kicks her legs up several times.</t>
  </si>
  <si>
    <t>She finishes and stands up right with her arms by her side and bows.</t>
  </si>
  <si>
    <t>v_HdNOiIdGqvE</t>
  </si>
  <si>
    <t>A man in a white lab coat is seen talking to the camera and showing various tools in a laboratory.</t>
  </si>
  <si>
    <t>Towel are seen sitting in a sink and the man shows the proper hand washing tools.</t>
  </si>
  <si>
    <t>He puts his hands under the sink with soap and washes his hand thoroughly.</t>
  </si>
  <si>
    <t>He dries his hands and continues talking to the camera how why this is important.</t>
  </si>
  <si>
    <t>v_FyxltEKCfZ0</t>
  </si>
  <si>
    <t>We see nurses giving children shots.</t>
  </si>
  <si>
    <t>We see a laboratory with a scientist.</t>
  </si>
  <si>
    <t>We see a person in an MRI and we see a doctor looking at the results.</t>
  </si>
  <si>
    <t>Coffee is poured into a white mug.</t>
  </si>
  <si>
    <t>Coffee beans are spilling on each other.</t>
  </si>
  <si>
    <t>We see people making coffee in a coffee shop.</t>
  </si>
  <si>
    <t>v__NwkwvaC7Bg</t>
  </si>
  <si>
    <t>The scene transitions into a bunch of young people carrying pieces of wood to an open area outdoors.</t>
  </si>
  <si>
    <t>They begin to attempt to chop the wood, but have trouble getting the axe out at first.</t>
  </si>
  <si>
    <t>A woman finally gets the axe out and they start chopping the wood.</t>
  </si>
  <si>
    <t>The camera pans around to the spectators as a woman in a bandanna successfully chops the wood and takes a bow.</t>
  </si>
  <si>
    <t>The scene returns to the woman at that was at the beginning of the video.</t>
  </si>
  <si>
    <t>The video ends with the women around the wood startled as something falls.</t>
  </si>
  <si>
    <t>v_lQP65cm11FA</t>
  </si>
  <si>
    <t>A person puts on safety glasses and walks through a gate into a courtyard.</t>
  </si>
  <si>
    <t>The person blows the leaves from a driveway using an electric blower.</t>
  </si>
  <si>
    <t>The person blows the leaves from a grass area using the blower.</t>
  </si>
  <si>
    <t>The blower is seen up close with different attachments and settings featured.</t>
  </si>
  <si>
    <t>v_Qm7AL0RjHxI</t>
  </si>
  <si>
    <t>A man step on a square drawn in the beach and turns the body back and forth.</t>
  </si>
  <si>
    <t>Then, the man step on the triangle and does hand movements, after the man joint the hands.</t>
  </si>
  <si>
    <t>v_alcSAjjsH9w</t>
  </si>
  <si>
    <t>a man wearing an apron is laughing over a table.</t>
  </si>
  <si>
    <t>He is shown with a large bowl and several cracked eggs.</t>
  </si>
  <si>
    <t>He talks to a group of people about what to do with the eggs.</t>
  </si>
  <si>
    <t>He creates an omelette, then plates it.</t>
  </si>
  <si>
    <t>v_nt9tMdFVQ1c</t>
  </si>
  <si>
    <t>A group of men are playing volleyball on the beach, 3 on one side, and 2 on the other side.</t>
  </si>
  <si>
    <t>One team attempts to serve and it crashes into the net.</t>
  </si>
  <si>
    <t>The other (shorthanded) team sends its own serve, a simple lob, but the opposing team knock their return out of bounds.</t>
  </si>
  <si>
    <t>v_f2W1Mt04CIM</t>
  </si>
  <si>
    <t>People rides bumper cars in a carnival.</t>
  </si>
  <si>
    <t>An old man rides a small bumper car.</t>
  </si>
  <si>
    <t>Several people get stuck with other bumper cars.</t>
  </si>
  <si>
    <t>There are a lot of people in the carnival.</t>
  </si>
  <si>
    <t>v_9UGNhbRWM14</t>
  </si>
  <si>
    <t>A girl and a man are practicing boxing in a gym.</t>
  </si>
  <si>
    <t>There is a punching bag swinging in the background.</t>
  </si>
  <si>
    <t>The girl and man move around the floor swinging at each other.</t>
  </si>
  <si>
    <t>v_wyARf3xHOgs</t>
  </si>
  <si>
    <t>Children practice gymnastics in a room.</t>
  </si>
  <si>
    <t>A woman helps a child do a flip.</t>
  </si>
  <si>
    <t>Some children kick off of a wall.</t>
  </si>
  <si>
    <t>Some other kids do more flips.</t>
  </si>
  <si>
    <t>v_VcthLhKIntA</t>
  </si>
  <si>
    <t>A man wearing a hat is talking on a stage.</t>
  </si>
  <si>
    <t>A woman enters, and she begins to dance.</t>
  </si>
  <si>
    <t>The woman lights a hula hoop on fire, dancing with the hoop.</t>
  </si>
  <si>
    <t>v_9XyrLUWZl40</t>
  </si>
  <si>
    <t>A boy puts together a rubix cube and excitedly drops it.</t>
  </si>
  <si>
    <t>He jumps up and claps his hands together so happy about it.</t>
  </si>
  <si>
    <t>Another boy is doing it with only his feet.</t>
  </si>
  <si>
    <t>It's a competition, the audience is watching as the people competing are being timed.</t>
  </si>
  <si>
    <t>v_BG4QxmqBaS4</t>
  </si>
  <si>
    <t>Screens begin to appear with white words on them describing events that are about to take place.</t>
  </si>
  <si>
    <t>A still image is then shown before a guy attempts to do several pole vault jumps.</t>
  </si>
  <si>
    <t>Another black screen appears and a different person tries to do the jump but he too hits the pole.</t>
  </si>
  <si>
    <t>Once he is done, a different man attempts to do it but he isn't successful either.</t>
  </si>
  <si>
    <t>v_Pi5fonaOYTI</t>
  </si>
  <si>
    <t>A woman is talking to the camera while standing against a white background.</t>
  </si>
  <si>
    <t>She holds up a hula hoop while she talks.</t>
  </si>
  <si>
    <t>She then shows how to utilize the hula hoop while doing exercises and yoga poses, sometimes inserting parts of her body into the hoop.</t>
  </si>
  <si>
    <t>v_CXP20cVQN30</t>
  </si>
  <si>
    <t>People walk past the camera .</t>
  </si>
  <si>
    <t>The camera zooms in to show people swimming in the pool and some playing volleyball in the pool.</t>
  </si>
  <si>
    <t>One person gets out of the pool and walks away.</t>
  </si>
  <si>
    <t>A person throws the ball at someones face.</t>
  </si>
  <si>
    <t>People throw the balls so far that they go out of the pool.</t>
  </si>
  <si>
    <t>v_zDBpa2miW8A</t>
  </si>
  <si>
    <t>An intro starts entitled how to cut the grass.</t>
  </si>
  <si>
    <t>A man walks out wearing funny attire and showing off to the camera with a lawn mower.</t>
  </si>
  <si>
    <t>The man then walks around and blows the leaves off still wearing the funny outfit.</t>
  </si>
  <si>
    <t>v_79gvzh0wn0Q</t>
  </si>
  <si>
    <t>A woman in white karate uniform does a demonstration of a routine on the mat for judges during event.</t>
  </si>
  <si>
    <t>The woman bows and walks off the mat.</t>
  </si>
  <si>
    <t>A woman in black uniform shakes hands with judges.</t>
  </si>
  <si>
    <t>A woman in white uniform walks up and greets judges shaking their hands.</t>
  </si>
  <si>
    <t>v_TfIGKODkpPY</t>
  </si>
  <si>
    <t>There are people flying kites collectively in a huge parking lot where several cars and mini vans are parked.</t>
  </si>
  <si>
    <t>There's a man in a blue striped shirt standing with another man in a brown shirt, both getting ready to fly their orange kite.</t>
  </si>
  <si>
    <t>They pull the strings out of the spool and begin flying the kite.</t>
  </si>
  <si>
    <t>v_Y5VEl3e9Hbo</t>
  </si>
  <si>
    <t>Two boys are polishing shoes with brushes.</t>
  </si>
  <si>
    <t>Then, one boy takes a shoe up to play.</t>
  </si>
  <si>
    <t>A little boy put his leg in a big shoe and polish with a brush.</t>
  </si>
  <si>
    <t>Then, the other boy put his hand in the shoe to polish it.</t>
  </si>
  <si>
    <t>v_5rO2DwFhdwo</t>
  </si>
  <si>
    <t>Two men are on an indoor racquetball court.</t>
  </si>
  <si>
    <t>They pick the ball up and continue competing.</t>
  </si>
  <si>
    <t>v_3GgQdXjJfEU</t>
  </si>
  <si>
    <t>man wearing black shorts is running on race track and make a javelin throw.</t>
  </si>
  <si>
    <t>men are sitting on a side of the race track.</t>
  </si>
  <si>
    <t>man is standing in a dusty diamond behind green net.</t>
  </si>
  <si>
    <t>thee men are standing next to a green net watching the javelin throw.</t>
  </si>
  <si>
    <t>referees wearing green shirts are standing on the field.</t>
  </si>
  <si>
    <t>v_c6wINALtTvs</t>
  </si>
  <si>
    <t>woman is in a kitchen talking to the camera and showing how to prepare cookies.</t>
  </si>
  <si>
    <t>woman is mixing ingredients ni a kitchen aid and making balls and putnig them in a pan and on the oven.</t>
  </si>
  <si>
    <t>v_2QO41PbOUJ0</t>
  </si>
  <si>
    <t>A woman is seen looking off into the distance while smoking a cigarette.</t>
  </si>
  <si>
    <t>She speaks to someone out of frame while taking puffs from her cigarette.</t>
  </si>
  <si>
    <t>She continues smoking while the camera captures her movements.</t>
  </si>
  <si>
    <t>v_7jGKlEvH_uw</t>
  </si>
  <si>
    <t>A woman is seen spinning two hoops around her hands while looking back to the camera and speaking.</t>
  </si>
  <si>
    <t>She continues spinning around the hoops while pausing inbetween to hold them and speak.</t>
  </si>
  <si>
    <t>v_31KEa5VhvPs</t>
  </si>
  <si>
    <t>A group of spectators are gathered in a gym.</t>
  </si>
  <si>
    <t>A man and his teammates are pushing a puck.</t>
  </si>
  <si>
    <t>They are engaged in a game of curling on the ice.</t>
  </si>
  <si>
    <t>v_Xc2CUi0Rnpw</t>
  </si>
  <si>
    <t>The camera zooms in on several players and leads into a small group of people playing soccer against one another.</t>
  </si>
  <si>
    <t>Coaches and audience members react as they watch the game and the players continue kicking the ball up and down the field.</t>
  </si>
  <si>
    <t>v_nt8MurhX7HY</t>
  </si>
  <si>
    <t>A small group of people are seen standing on each side of a rope wile putting their hands up.</t>
  </si>
  <si>
    <t>The men then grab onto the rope and pull against one another.</t>
  </si>
  <si>
    <t>Men watch on the side as one team wins.</t>
  </si>
  <si>
    <t>v_YH3571KWDpM</t>
  </si>
  <si>
    <t>A large group of people are seen standing around an indoor gym behind one another.</t>
  </si>
  <si>
    <t>The group then begins dancing with one another performing the same moves.</t>
  </si>
  <si>
    <t>The people continue to dance around the room while the camera records their movements.</t>
  </si>
  <si>
    <t>v_ZmUk9OQ1zfk</t>
  </si>
  <si>
    <t>Several team members from a volleyball games are interviewed.</t>
  </si>
  <si>
    <t>They are shown playing on the beach, kicking the ball.</t>
  </si>
  <si>
    <t>v_hN9diyaOK4E</t>
  </si>
  <si>
    <t>A man competes solving a puzzle cube.</t>
  </si>
  <si>
    <t>A person pass behind the man.</t>
  </si>
  <si>
    <t>A hand extends a sheet on front the player.</t>
  </si>
  <si>
    <t>After finish, the man puts on his glasses.</t>
  </si>
  <si>
    <t>v_l-YtPYZ_534</t>
  </si>
  <si>
    <t>We see two men sitting then shaking their heads.</t>
  </si>
  <si>
    <t>We see tools and tips for croquet.</t>
  </si>
  <si>
    <t>The two men argue about the game.</t>
  </si>
  <si>
    <t>We see the men playing croquet.</t>
  </si>
  <si>
    <t>We see a diagram on the screen.</t>
  </si>
  <si>
    <t>The man has his foot on a red ball.</t>
  </si>
  <si>
    <t>We see a man laugh and dance while another is upset.</t>
  </si>
  <si>
    <t>v_ghWwS5ev6xk</t>
  </si>
  <si>
    <t>A man is seen sitting in a kayak while speaking to the camera and holding a paddle.</t>
  </si>
  <si>
    <t>The man then moves himself around on the kayak while demonstrating how to properly move.</t>
  </si>
  <si>
    <t>He continues to spin around while looking up at the camera.</t>
  </si>
  <si>
    <t>v_HVD8N0bbPVo</t>
  </si>
  <si>
    <t>A man in sunglasses is standing outside a building.</t>
  </si>
  <si>
    <t>He is then seen inside an elevator, acting strangely as he punches the air with different people riding.</t>
  </si>
  <si>
    <t>He is intentionally trying to scare and worry them.</t>
  </si>
  <si>
    <t>v_Ogx1hUoOSrE</t>
  </si>
  <si>
    <t>Four girls are shown looking into the camera.</t>
  </si>
  <si>
    <t>A girl up front begins waving a bottle of mouthwash.</t>
  </si>
  <si>
    <t>The girl then takes a cup of the mouthwash and drinks it.</t>
  </si>
  <si>
    <t>The cup of mouthwash is passed around until all the girls drink from it.</t>
  </si>
  <si>
    <t>v_PofMK_beoR8</t>
  </si>
  <si>
    <t>Several people begin walking into a room wearing Kangaroo shoes and bouncing around.</t>
  </si>
  <si>
    <t>On the left side of the room,there is a bar on two poles that is about five feet high that each person takes turns jumping over.</t>
  </si>
  <si>
    <t>v_qt-0mo_8ufU</t>
  </si>
  <si>
    <t>Skiers ride up a ski lift.</t>
  </si>
  <si>
    <t>A man in yellow skis down a slope.</t>
  </si>
  <si>
    <t>Several tricks are done by skiers.</t>
  </si>
  <si>
    <t>They jump over several ramps.</t>
  </si>
  <si>
    <t>v_kcB7HQPxzDM</t>
  </si>
  <si>
    <t>Lithuanian Zinaida Sendriute throws the discus 64 meters to lead out for her third throw, waving to the camera as she walks off.</t>
  </si>
  <si>
    <t>Cuban Yarelis Barrios is next and unleashes a mighty 67 meter toss with a thunderous scream.</t>
  </si>
  <si>
    <t>Croatian Sandra Perkovic out distances both of the previous throwers with a 69 meter toss to claim the lead.</t>
  </si>
  <si>
    <t>v_p35FXT4drA0</t>
  </si>
  <si>
    <t>An athletic man is seen stepping up to a circle and throwing an object off into the distance.</t>
  </si>
  <si>
    <t>His throw is shown again while others measure his throw on the side.</t>
  </si>
  <si>
    <t>The man grabs a flag and walks around the arena.</t>
  </si>
  <si>
    <t>v_Y_ITwC4_pEY</t>
  </si>
  <si>
    <t>A large screen is shown followed by a band playing on stage.</t>
  </si>
  <si>
    <t>A man wearing a mickey costume and playing the drums.</t>
  </si>
  <si>
    <t>The man continues playing the drums and ends with the curtain closing.</t>
  </si>
  <si>
    <t>v_YMsyF-g2TqE</t>
  </si>
  <si>
    <t>We see a carved pumpkin and a title screen.</t>
  </si>
  <si>
    <t>A man draws a face on a pumpkin.</t>
  </si>
  <si>
    <t>A man then carves a pumpkin into a snarling old man.</t>
  </si>
  <si>
    <t>The man takes an image of the pumpkin with a phone.</t>
  </si>
  <si>
    <t>The man tilts the pumpkin back into the light.</t>
  </si>
  <si>
    <t>We see still shots of the carved pumpkin.</t>
  </si>
  <si>
    <t>We see the ending screen with a website.</t>
  </si>
  <si>
    <t>v_OkCu0QymO10</t>
  </si>
  <si>
    <t>A man is seen standing on a ladder and working on a roof while the camera captures his movements.</t>
  </si>
  <si>
    <t>The man then sprays down the roof and moves back and fourth.</t>
  </si>
  <si>
    <t>v_FRsHew2Pcko</t>
  </si>
  <si>
    <t>A young boy is seated in front of a drum set.</t>
  </si>
  <si>
    <t>He is rapidly playing the drums in front of him.</t>
  </si>
  <si>
    <t>He also hits the cymbals several times.</t>
  </si>
  <si>
    <t>v_fkgojk18K0E</t>
  </si>
  <si>
    <t>We see a lady in a dancing costume.</t>
  </si>
  <si>
    <t>She points at her hips and waist.</t>
  </si>
  <si>
    <t>She begins to belly dance slowly.</t>
  </si>
  <si>
    <t>She picks up speed and spins her hands.</t>
  </si>
  <si>
    <t>She goes slower then goes fast again.</t>
  </si>
  <si>
    <t>The lady finishes her dance, stops and bows.</t>
  </si>
  <si>
    <t>v_c5Io6wg8D60</t>
  </si>
  <si>
    <t>A man is standing by a desk talking with some coaches about something.</t>
  </si>
  <si>
    <t>He begins to walk backwards and get himself ready to start running.</t>
  </si>
  <si>
    <t>He starts running and builds up speed pretty quickly.</t>
  </si>
  <si>
    <t>He lands into the sand and when he is done and man come behind him to smooth the sand out.</t>
  </si>
  <si>
    <t>v_88qqQjRPFUQ</t>
  </si>
  <si>
    <t>A camera shows a young child walking up a playground set with a dog wandering in the back.</t>
  </si>
  <si>
    <t>The child climbs up a set of stairs and slides down a slide.</t>
  </si>
  <si>
    <t>v_wdecG9VSAl0</t>
  </si>
  <si>
    <t>A young man is seen paddling a canoe down a river.</t>
  </si>
  <si>
    <t>He talks to the camera as he approaches.</t>
  </si>
  <si>
    <t>He gets out, continuing to talk about canoeing.</t>
  </si>
  <si>
    <t>v_V50vtrHboIE</t>
  </si>
  <si>
    <t>A woman is seen moving a hula hoop close up in front of the camera.</t>
  </si>
  <si>
    <t>The girl then speaks to the camera and leads into her spinning a hula hoop around.</t>
  </si>
  <si>
    <t>The woman continues speaking to the camera while spinning the hoop and demonstrating how to perform proper moves.</t>
  </si>
  <si>
    <t>v_BJWL_X79HRc</t>
  </si>
  <si>
    <t>Several men dreassed in lacrosse gear run onto a field.</t>
  </si>
  <si>
    <t>The opposing teams are shown in several clips, fighting and hitting the ball into each other's goals.</t>
  </si>
  <si>
    <t>v_6kUeZVukTEI</t>
  </si>
  <si>
    <t>Several clips are shown of people lifting heavy weights as well as jumping on a track.</t>
  </si>
  <si>
    <t>People are seen jumping over poles, squatting with weights, as well as performing various other exercises.</t>
  </si>
  <si>
    <t>In the end more people are seen jumping over a pole.</t>
  </si>
  <si>
    <t>v_fzHg9PhhlAg</t>
  </si>
  <si>
    <t>Several men from different places are outside on a large field playing cricket.</t>
  </si>
  <si>
    <t>Men come to the middle of the field and stand around a small rectangle and begin hitting the ball extremely far.</t>
  </si>
  <si>
    <t>As the ball goes to the outfield,the teammates begin jumping up and down and cheering for their team.</t>
  </si>
  <si>
    <t>Finally,a man is shown holding up a large silver award.</t>
  </si>
  <si>
    <t>v_SHT08nPhIb4</t>
  </si>
  <si>
    <t>A man is shooting a basketball into a hoop.</t>
  </si>
  <si>
    <t>Another man starts shooting a basketball into the hoop.</t>
  </si>
  <si>
    <t>The first man watches the second man.</t>
  </si>
  <si>
    <t>v_btMVEIvr0oc</t>
  </si>
  <si>
    <t>We see kids playing dodge ball in a trampoline park.</t>
  </si>
  <si>
    <t>We see a boy hit with the ball and throw it back.</t>
  </si>
  <si>
    <t>We see a boy in green throw the ball hard.</t>
  </si>
  <si>
    <t>The boy in striped shirt joins the game and the boy in red is out.</t>
  </si>
  <si>
    <t>A girl walks past the camera waving her hand.</t>
  </si>
  <si>
    <t>A boy in a yellow shirt walks towards the camera.</t>
  </si>
  <si>
    <t>v_xaMEGQCxddY</t>
  </si>
  <si>
    <t>Old videos are shown of track meets.</t>
  </si>
  <si>
    <t>A man is shown multiple times as he throws a discus.</t>
  </si>
  <si>
    <t>He spins in circles, then throws the disc as far as he can.</t>
  </si>
  <si>
    <t>v_f1HMhfSlPSw</t>
  </si>
  <si>
    <t>Gymnasts do tumbling routines with flips and spins on a mat inside of a gym.</t>
  </si>
  <si>
    <t>Men swings on hand rings as part of his tumbling routine.</t>
  </si>
  <si>
    <t>The man falls on the ground while swinging on the rings.</t>
  </si>
  <si>
    <t>The gymnast plays around a bit batting his ear and waiting for another person to clear the mat.</t>
  </si>
  <si>
    <t>v_ptY-0n53uq0</t>
  </si>
  <si>
    <t>A little boy is inside a garage room.</t>
  </si>
  <si>
    <t>He is playing a large drum set while wearing headphones.</t>
  </si>
  <si>
    <t>He hits the cymbals and drums hard with the sticks.</t>
  </si>
  <si>
    <t>v_G-EDozcMT_4</t>
  </si>
  <si>
    <t>An intro leads into several shots of skateboarders riding around on rails in a large city.</t>
  </si>
  <si>
    <t>The camera follows these borders closely as they perform tricks up stairs and over benches.</t>
  </si>
  <si>
    <t>The men continue skating on and ends with a police woman smiling and giving a thumbs up to the camera.</t>
  </si>
  <si>
    <t>v_qWdjYyFfrTM</t>
  </si>
  <si>
    <t>A production graphic is shown along with a link for more media.</t>
  </si>
  <si>
    <t>This fades into a man starting to play the saxophone in his living room up to a microphone.</t>
  </si>
  <si>
    <t>The man is now wearing sunglasses while playing, grooving to the music.</t>
  </si>
  <si>
    <t>The man is shown back without the sunglasses.</t>
  </si>
  <si>
    <t>Another window displaying the performer is shown in the corner of the video.</t>
  </si>
  <si>
    <t>v_KaGGtAhiH64</t>
  </si>
  <si>
    <t>A group of young men are seated at tables at a rubiks cube competition.</t>
  </si>
  <si>
    <t>An official removes a slip of paper from a rubiks cube sitting in front of a young man at the end of a table after which the competitor solves the cube and celebrates by banging his hands on the table.</t>
  </si>
  <si>
    <t>An official lifts a cup to reveal a rubiks cube that the same man then solves.</t>
  </si>
  <si>
    <t>A young man wearing a beige shirt solves a cube and presses his hands to his face before standing up.</t>
  </si>
  <si>
    <t>An official removes a piece of paper from on top of a cube as the young man in the black sweatshirt solves another cube.</t>
  </si>
  <si>
    <t>The young man solves two more cubes in front of an official before moving to get up.</t>
  </si>
  <si>
    <t>v_gIFI03m-ATM</t>
  </si>
  <si>
    <t>A large paint ball arena is shown with a group of people standing off to the side.</t>
  </si>
  <si>
    <t>The people then begin running around the course shooting guns at one another.</t>
  </si>
  <si>
    <t>The people continue running around and stop i the end to speak to one another.</t>
  </si>
  <si>
    <t>v_Jz2xJx1ICCM</t>
  </si>
  <si>
    <t>Some kids in class are about to start arm wrestling, they get their arms in place to start.</t>
  </si>
  <si>
    <t>The other kid on the side feels on one of the wrestlers muscles.</t>
  </si>
  <si>
    <t>He's writing things down keeping score and what not.</t>
  </si>
  <si>
    <t>The female arm wrestler wins bringing down the other guys arm.</t>
  </si>
  <si>
    <t>v_n7dHbqoEiek</t>
  </si>
  <si>
    <t>A man trims a wall of foliage outdoors, while wearing shorts and a pair of noise canceling headphones with a tree trimming motorized tool.</t>
  </si>
  <si>
    <t>The man takes a break and then climbs a ladder and uses the tool with an extended arm to trim the top of the wall from the top of the ladder.</t>
  </si>
  <si>
    <t>The man then moves the ladder down the length of the wall to continue trimming the foliage.</t>
  </si>
  <si>
    <t>v_mXb1tduBEj8</t>
  </si>
  <si>
    <t>A man is seen speaking to the camera holding a volleyball and leads into shots of him hitting the ball.</t>
  </si>
  <si>
    <t>He continues speaking to the camera while holding the ball and looking off into the distance.</t>
  </si>
  <si>
    <t>v_8Zgys8Vn-4Y</t>
  </si>
  <si>
    <t>A person is shown on skis riding behind a boat on water performing various tricks.</t>
  </si>
  <si>
    <t>The man continues doing several different tricks on the skis and the boat moving a lot faster.</t>
  </si>
  <si>
    <t>v_ywl6JVt7-7I</t>
  </si>
  <si>
    <t>A person is seen riding around on a lawn mower cutting the grass in a large field.</t>
  </si>
  <si>
    <t>The young boy moves closer to the camera while still driving around and cutting the grass.</t>
  </si>
  <si>
    <t>v_6iA4RXGAR_k</t>
  </si>
  <si>
    <t>Two ballroom dances are shown performing a routine in a large auditorium.</t>
  </si>
  <si>
    <t>The couple spin multiple times while the audience cheers them on loudly.</t>
  </si>
  <si>
    <t>They continue performing their dance routine and several people on look using phones and cameras.</t>
  </si>
  <si>
    <t>The couple does one last spin and eventually takes a bow.</t>
  </si>
  <si>
    <t>v_xIB7VSLKvaM</t>
  </si>
  <si>
    <t>A man is shown mowing his lawn with a push mower.</t>
  </si>
  <si>
    <t>He turns and goes back and forth, leaving marks on the lawn.</t>
  </si>
  <si>
    <t>A man talks in the corner of the screen about the process.</t>
  </si>
  <si>
    <t>v__j5JUQzOCtc</t>
  </si>
  <si>
    <t>An Olympic logo is seen with the 5 rings.</t>
  </si>
  <si>
    <t>A young boy wearing striped shirt in a gym lifts a weight bar over his head.</t>
  </si>
  <si>
    <t>A young man in blue shorts lifts a weight bar over his head in a crowded gym.</t>
  </si>
  <si>
    <t>Professional athletes in competitions lift large heavily weighted bars overhead for judging.</t>
  </si>
  <si>
    <t>v_r-xtiGmrKxA</t>
  </si>
  <si>
    <t>A man is standing in the gym alone and begins talking to the camera.</t>
  </si>
  <si>
    <t>He then puts his fist up and begins shadow boxing as he moves around the room.</t>
  </si>
  <si>
    <t>Next,he adds his feet and starts to kick the air and does twist as if someone is there hitting him.</t>
  </si>
  <si>
    <t>Finally,he comes back to the screen slightly out of breath to end the video.</t>
  </si>
  <si>
    <t>v_RZFU1gXLqDs</t>
  </si>
  <si>
    <t>A small group of people are seen sitting in bumper car and begin driving around crashing into one another.</t>
  </si>
  <si>
    <t>The camera follows around a woman he cannot seem to move the car and others on the side instruct her on how to drive as others crash into her.</t>
  </si>
  <si>
    <t>v_TbFqsEFrCB4</t>
  </si>
  <si>
    <t>A man is seen speaking to the camera in front of a large pool while using his hands with enthusiasm.</t>
  </si>
  <si>
    <t>The man continues to speak while using his hands and pans to the man swimming around the pool and back to talking.</t>
  </si>
  <si>
    <t>v_koSLx0E23gU</t>
  </si>
  <si>
    <t>We see an arena from out doors.</t>
  </si>
  <si>
    <t>We see people on trampoline performing flips in the arena.</t>
  </si>
  <si>
    <t>We see a person almost fall after flipping.</t>
  </si>
  <si>
    <t>The person lands and almost falls.</t>
  </si>
  <si>
    <t>A person flips multiple times down a strip on the ground.</t>
  </si>
  <si>
    <t>We see a man jump and land on the trampoline in slow motion.</t>
  </si>
  <si>
    <t>v_jrXoqceGS-k</t>
  </si>
  <si>
    <t>We see an animated opening screen.</t>
  </si>
  <si>
    <t>A man is driving then gets out of his car.</t>
  </si>
  <si>
    <t>We see a man rollerblading in a plaza and a skate park.</t>
  </si>
  <si>
    <t>We see the man's feet in the blades then a man's face.</t>
  </si>
  <si>
    <t>We see the man standing on an elevated sidewalk then skating on the railing.</t>
  </si>
  <si>
    <t>We see the man skate across a bench then put on sunglasses.</t>
  </si>
  <si>
    <t>We see the man turn and click a button and a car blows up.</t>
  </si>
  <si>
    <t>v_zq621OgpFFk</t>
  </si>
  <si>
    <t>A man services a tennis ball across the court.</t>
  </si>
  <si>
    <t>The man turns to talk to the camera.</t>
  </si>
  <si>
    <t>v_XWG_-4VMTcA</t>
  </si>
  <si>
    <t>A wrestler, standing at the top of a ladder, with another man on the ladder with him, but in front of him, jumps off the ladder from the top and takes the other person with him.</t>
  </si>
  <si>
    <t>A man in a wrestling costumer stands at the top of a ladder in the middle of a ring with a referee and people in the audience.</t>
  </si>
  <si>
    <t>The man jumps off the ladder as people in the audience clap for him and the other man falls off as well.</t>
  </si>
  <si>
    <t>v_43OU5XCzLzo</t>
  </si>
  <si>
    <t>People sails in a rocky river on inflatable individual boats.</t>
  </si>
  <si>
    <t>The boats pass with difficulty between the rocks.</t>
  </si>
  <si>
    <t>Then, people enters in more troubled waters.</t>
  </si>
  <si>
    <t>v_e4ZTZDDFtYY</t>
  </si>
  <si>
    <t>kids are standing in the opening of a cartoon.</t>
  </si>
  <si>
    <t>woman is talking in front of a micropone in front of a big audience.</t>
  </si>
  <si>
    <t>mmen are in the middle of an arena in a big stadium fighting between them.</t>
  </si>
  <si>
    <t>v_99A2KqvfBLI</t>
  </si>
  <si>
    <t>A man walks onto the stage to join a band.</t>
  </si>
  <si>
    <t>A man plays up front of a band with a harmonica.</t>
  </si>
  <si>
    <t>The keyboardist plays a spirited solo during the song.</t>
  </si>
  <si>
    <t>The man congratulates and gives a high five to the keyboardist at the end of the song.</t>
  </si>
  <si>
    <t>v_jgHYzuDU2Iw</t>
  </si>
  <si>
    <t>A man in tan khakis and a button down shirt sweeps a floor with a wide broom.</t>
  </si>
  <si>
    <t>A man walks and sweeps a floor walking to the left of the room pushing the wide broom in front of him.</t>
  </si>
  <si>
    <t>The man then walks to the right side of the room with the same wide broom.</t>
  </si>
  <si>
    <t>The man then finishes sweeping, lleans the broom in the corner of the room and stands against the wall in front of a window.</t>
  </si>
  <si>
    <t>v_sqEsAtdFfrg</t>
  </si>
  <si>
    <t>A young child is seen standing ready holding a pole and then runs down a long track and throws the pole.</t>
  </si>
  <si>
    <t>He walks back around the track when another person is seen running down and throwing the stick.</t>
  </si>
  <si>
    <t>Finally one last boy steps up to the track to throw the javelin and then walks back to the others.</t>
  </si>
  <si>
    <t>v_KIOvUY8S2pQ</t>
  </si>
  <si>
    <t>An intro with text is shown across the screen followed by two cartoon characters.</t>
  </si>
  <si>
    <t>The characters speak to one another and lead into them playing a game.</t>
  </si>
  <si>
    <t>One character loses the game and then disappears.</t>
  </si>
  <si>
    <t>v_1Cf8TkmsbMU</t>
  </si>
  <si>
    <t>We see a young man speaking in a news studio.</t>
  </si>
  <si>
    <t>We see a man riding a stationary bike and see a photo of the man holding a cake.</t>
  </si>
  <si>
    <t>We see the man being interviewed cut with scenes of the man working out.</t>
  </si>
  <si>
    <t>We see the man in the image holding the cake again and see the man in the shirt which no longer fits and is too big.</t>
  </si>
  <si>
    <t>We see the man working out again.</t>
  </si>
  <si>
    <t>We see three newscasters in the studio.</t>
  </si>
  <si>
    <t>v_DRK5oUhjwTg</t>
  </si>
  <si>
    <t>A pilates instructor on skates explains how to strap your risk protectors tight and shows that you need knee pads to protect your knees.</t>
  </si>
  <si>
    <t>The lady then explains the skates movement and how to use the breaks that is in the back of the skates.</t>
  </si>
  <si>
    <t>finally the lady shows you the right way to skate to have fun.</t>
  </si>
  <si>
    <t>v_E5bRptEXtq8</t>
  </si>
  <si>
    <t>Kids are sitting in bumper cars.</t>
  </si>
  <si>
    <t>They begin crashing into each other.</t>
  </si>
  <si>
    <t>They stop and start getting out of their cars.</t>
  </si>
  <si>
    <t>v_tnk1skdLN0Q</t>
  </si>
  <si>
    <t>A strong young man is standing in a large open green field preparing to throw a shot put.</t>
  </si>
  <si>
    <t>Once he throws the ball,a man runs out to mark the distance and he walks to the tent and takes the tape off of his wrist.</t>
  </si>
  <si>
    <t>Another man who is slightly shorter and larger approaches the circle and does the same thing followed by another person.</t>
  </si>
  <si>
    <t>All three of the men are finished and there scores shown.</t>
  </si>
  <si>
    <t>v_cDnJjAQtf-g</t>
  </si>
  <si>
    <t>Three men discuss the topic of playing water polo with kayaks.</t>
  </si>
  <si>
    <t>The scene changes to show a display of water polo with kayaks.</t>
  </si>
  <si>
    <t>Two boats crash as two men try to paddle their way to the ball, The men commentate over the scene, they players look severely injured.</t>
  </si>
  <si>
    <t>The display changes back to the men talking about the water polo, they are very intrigued and shocked.</t>
  </si>
  <si>
    <t>The scene reverts back to the water polo accident, the show banner concludes the video.</t>
  </si>
  <si>
    <t>v_G0vkQmcalvk</t>
  </si>
  <si>
    <t>A woman plays the drums and sings on stage.</t>
  </si>
  <si>
    <t>The camera pulls back on the scene.</t>
  </si>
  <si>
    <t>The woman finishes and stands up.</t>
  </si>
  <si>
    <t>v_3HEJb83Wm_I</t>
  </si>
  <si>
    <t>We see a green title screen.</t>
  </si>
  <si>
    <t>A lady in a bathroom talks to the camera.</t>
  </si>
  <si>
    <t>We see her pour baking soda and vinegar on her sink drain and talks and moves her hands while the solution foams.</t>
  </si>
  <si>
    <t>The lady turns the water on to rinse the solution down the drain.</t>
  </si>
  <si>
    <t>v_Kq115s7yL3I</t>
  </si>
  <si>
    <t>A window cleaning commercial demonstrates all the materials and techniques need to clean a house window.</t>
  </si>
  <si>
    <t>The commercial begins with a closeup up a two story house and the interior of the house including a line of large windows.</t>
  </si>
  <si>
    <t>Images of a person cleaning a window, soap, a bucket and sponge are showed along with a chalkboard with ingredients needed to clean a window.</t>
  </si>
  <si>
    <t>A person cleans a window using all of the tools, including removing screens to clean them and removing stickers on windows.</t>
  </si>
  <si>
    <t>v_oqX-n2KHWAM</t>
  </si>
  <si>
    <t>A man is talking as he stands in a kitchen.</t>
  </si>
  <si>
    <t>The man boils milk and adds fresh vanilla and pours the solution into a bowl with other ingredients.</t>
  </si>
  <si>
    <t>The man cooks the custard and pours into a bowl and freezes to make ice cream.</t>
  </si>
  <si>
    <t>The man cuts and cooks rubarb in sugar on the stove.</t>
  </si>
  <si>
    <t>He eats the ice cream over the cooked rubarb.</t>
  </si>
  <si>
    <t>We see a shot of London and fade out.</t>
  </si>
  <si>
    <t>v_uMAjCPUZfp0</t>
  </si>
  <si>
    <t>Several clips are shown of various people fencing with one another.</t>
  </si>
  <si>
    <t>The people continue moving back and fourth while the camera zooms in on the people playing.</t>
  </si>
  <si>
    <t>v_CV9n0jgThLY</t>
  </si>
  <si>
    <t>A person is in the basket of crane on a roof of a barn, while a man stands on the truck holding a rope.</t>
  </si>
  <si>
    <t>Smoke comes near a table.</t>
  </si>
  <si>
    <t>People stand on front the barn watching, also two women and two children stand on front the barn.</t>
  </si>
  <si>
    <t>v_exxji9vqjSw</t>
  </si>
  <si>
    <t>Various shots are shown of snowy mountains that transition in between shots of people skiing and snowboarding down the mountain.</t>
  </si>
  <si>
    <t>The people are seen performing various flips and tricks down the mountain while the camera captures them from many angles as well as the mountain.</t>
  </si>
  <si>
    <t>v_RZkwDTyxMZI</t>
  </si>
  <si>
    <t>We enter a room and see a boy putting a shirt on an ironing board.</t>
  </si>
  <si>
    <t>The boy begins ironing the tank top with an unplugged iron.</t>
  </si>
  <si>
    <t>The little boy irons a gray shirt and sits the iron on the board next to it.</t>
  </si>
  <si>
    <t>The little boy walks away smiling.</t>
  </si>
  <si>
    <t>The boy shows two fingers and walks around the room with the iron.</t>
  </si>
  <si>
    <t>v_EeGunBjmpFw</t>
  </si>
  <si>
    <t>A man in a jacket talks in front of house as men stand on the roof.</t>
  </si>
  <si>
    <t>A man throws shingles off the roof in the background.</t>
  </si>
  <si>
    <t>The men continue to throw the shingles off the roof.</t>
  </si>
  <si>
    <t>The man holding the camera turns and climbs the ladder and stands on the rooftop.</t>
  </si>
  <si>
    <t>The man turns the camera on himself and continues to talk.</t>
  </si>
  <si>
    <t>v_-5K3KZ6fHuI</t>
  </si>
  <si>
    <t>A group of friends are seated on sleds at the top of the hill.</t>
  </si>
  <si>
    <t>The two friends are pushed down the hill and they slide to the bottom.</t>
  </si>
  <si>
    <t>The two friends are stopped by rubber mats at the bottom of the hill.</t>
  </si>
  <si>
    <t>v_Yg6jFRYIyXw</t>
  </si>
  <si>
    <t>An Aurora Borealis is seen over a northern landscape.</t>
  </si>
  <si>
    <t>A man shovels snow from his porch with a snow shovel.</t>
  </si>
  <si>
    <t>The man shovels snow from a stair case with a snow shovel.</t>
  </si>
  <si>
    <t>The man finishes the job and shows his muscles.</t>
  </si>
  <si>
    <t>v_zQFC5vNZ_Qs</t>
  </si>
  <si>
    <t>A little girl is crossing the monkey bars.</t>
  </si>
  <si>
    <t>A woman is helping her standing under her.</t>
  </si>
  <si>
    <t>The girl drops and the woman catches her.</t>
  </si>
  <si>
    <t>v_y3LlQBDXAHI</t>
  </si>
  <si>
    <t>An athlete is seen standing in a circle and spinning herself around and around.</t>
  </si>
  <si>
    <t>She throws an object off in the distance and is shown again in slow motion.</t>
  </si>
  <si>
    <t>She walks back while cheering and others hold up a flag.</t>
  </si>
  <si>
    <t>v_eFq3gsEi9yI</t>
  </si>
  <si>
    <t>Two white pegs are shown in the wall with a red bed on the side and someone hitting it with a large block of wood.</t>
  </si>
  <si>
    <t>Another angle is shown and the person takes 21 shots at the balls.</t>
  </si>
  <si>
    <t>For the 22nd shot,a man is standing in a large field of white pegs and begins to hit all three balls at the same time in different directions.</t>
  </si>
  <si>
    <t>v_tr8JRPrfAN0</t>
  </si>
  <si>
    <t>A woman cleans the carpet and the floor with a vacuum, after the vacuum picks up dirt from the carpet.</t>
  </si>
  <si>
    <t>Then, the woman takes out the canister of the vacuum and continues cleaning the floor, the wall, the sofa and the floor.</t>
  </si>
  <si>
    <t>After, the woman cleans the frames of picture and pick up hair from a pillow.</t>
  </si>
  <si>
    <t>Next, the woman rewinds the wire of the canister and drops the trash in the trash can.</t>
  </si>
  <si>
    <t>v_drVqGhjI558</t>
  </si>
  <si>
    <t>A man is seen sitting at several tables and peeling potatoes while the camera looks around in fast motion.</t>
  </si>
  <si>
    <t>Another person is seen peeling potatoes and the man walks back over to the table to continue peeling.</t>
  </si>
  <si>
    <t>v_zu960Glpzo4</t>
  </si>
  <si>
    <t>Two men film themselves in an arm wrestling match that someone asked them to make.</t>
  </si>
  <si>
    <t>Two men are sitting in a room next to each other while one man reads off a laptop then they both grab one another's hand to motion what is about to happen.</t>
  </si>
  <si>
    <t>One man sets up the camera to film the match.</t>
  </si>
  <si>
    <t>The men get prepared at the corner of a table, grab hands and then countdown from three.</t>
  </si>
  <si>
    <t>The two men arm wrestle as the make jokes and laugh while doing it.</t>
  </si>
  <si>
    <t>One man gives up and both of the men talk and laugh about the match.</t>
  </si>
  <si>
    <t>One man grunts and throws his hands up in victory.</t>
  </si>
  <si>
    <t>v_YrS64TBX798</t>
  </si>
  <si>
    <t>A young girl is seen moving quickly around a horse brushing it's sides.</t>
  </si>
  <si>
    <t>She brushes all over the horse while another horse walks in and out of frame.</t>
  </si>
  <si>
    <t>She continues to brush the horse while the camera captures her movements.</t>
  </si>
  <si>
    <t>v_6B7fKzdJAbo</t>
  </si>
  <si>
    <t>women are standing in a wooden court in a roofed gym playing voleyball while public is in teraces watching the game.</t>
  </si>
  <si>
    <t>the ball hits a woman for the red team and people run to her.</t>
  </si>
  <si>
    <t>v_aEnq40UPxJ0</t>
  </si>
  <si>
    <t>They are playing a game of water polo.</t>
  </si>
  <si>
    <t>A woman throws the ball into the net and it's caught by the goalie.</t>
  </si>
  <si>
    <t>v_LITdMW0xh7o</t>
  </si>
  <si>
    <t>A man is outside in the good with an ax attempting to cut down a tree.</t>
  </si>
  <si>
    <t>Finally,the tree comes down and the man begins to hit the tree with the ax.</t>
  </si>
  <si>
    <t>v_L9MTwigRhmk</t>
  </si>
  <si>
    <t>BMX biker going down a track practicing in his lane by himself.</t>
  </si>
  <si>
    <t>Then there is another biker too, they're probably racing, They're going super fast down the track turning and hitting high bumps that make them go high up in the air.</t>
  </si>
  <si>
    <t>The track opens again and they start another race.</t>
  </si>
  <si>
    <t>Two bikers are dancing around before getting back on their bikes to get back on the track for another little race.</t>
  </si>
  <si>
    <t>v_YoJxVl_hUWg</t>
  </si>
  <si>
    <t>A man is underneath an RV trying to fix the wheel as a man stands on the outside helping.</t>
  </si>
  <si>
    <t>The wheel is then taken off and the other group of people crowd around to find the problem.</t>
  </si>
  <si>
    <t>As they are talking,the man remains underneath the RV and begins smiling as he holds the rig.</t>
  </si>
  <si>
    <t>v_p-uTwZ9Ph-A</t>
  </si>
  <si>
    <t>A man serves a ball to play squash with a partner.</t>
  </si>
  <si>
    <t>The men hit the ball to the wall.</t>
  </si>
  <si>
    <t>The man bounce the ball on the floor.</t>
  </si>
  <si>
    <t>v_tD-wp39rjnE</t>
  </si>
  <si>
    <t>A man holding a javelin runs down a track.</t>
  </si>
  <si>
    <t>The man throws the javelin.</t>
  </si>
  <si>
    <t>The man falls to the ground.</t>
  </si>
  <si>
    <t>We see the javelin flying through the air.</t>
  </si>
  <si>
    <t>We see people run to measure the distance of the javelin.</t>
  </si>
  <si>
    <t>The man pumps his arms and we see happy people in the crowd.</t>
  </si>
  <si>
    <t>we then see a reply of the man's toss.</t>
  </si>
  <si>
    <t>v_PVAHm5MjHdw</t>
  </si>
  <si>
    <t>A group of baton twirlers are practices their routine for an upcoming competition.</t>
  </si>
  <si>
    <t>The news announcer is commenting on the events.</t>
  </si>
  <si>
    <t>The coach is then interviewed stating what the girls are working on.</t>
  </si>
  <si>
    <t>Multiple twirlers are interviewed for their point of view on why they are working so hard.</t>
  </si>
  <si>
    <t>The coach states what she loves about the process and what is most important.</t>
  </si>
  <si>
    <t>The commentator announces where the competition will be help and states her name.</t>
  </si>
  <si>
    <t>v_OOcsprnRCQQ</t>
  </si>
  <si>
    <t>Three people are walking on a bridge on a lagoon.</t>
  </si>
  <si>
    <t>We see a man on a boat and a lady putting on scuba gear.</t>
  </si>
  <si>
    <t>The man and the woman are underwater looking at sea life.</t>
  </si>
  <si>
    <t>We see a man holding an underwater animal he hands to a lady.</t>
  </si>
  <si>
    <t>We see a man and a lady on a tropical patio talking and laughing.</t>
  </si>
  <si>
    <t>v_y2MSbfOsukM</t>
  </si>
  <si>
    <t>A woman is seen bending forward while sitting on a bed and holding a brush in her hands.</t>
  </si>
  <si>
    <t>She then runs the brush through her hair over and over again.</t>
  </si>
  <si>
    <t>She continues to run the brush through her hair and ends by smiling to the camera.</t>
  </si>
  <si>
    <t>v_diBZlwUO8rc</t>
  </si>
  <si>
    <t>We see a lady in a chefs coat in a kitchen talking.</t>
  </si>
  <si>
    <t>A lady sharpens a knife on a rod.</t>
  </si>
  <si>
    <t>The lady puts water on a black sharpener block.</t>
  </si>
  <si>
    <t>The lady then sharpens the knife.</t>
  </si>
  <si>
    <t>She then returns to the rod.</t>
  </si>
  <si>
    <t>Then back to the black block.</t>
  </si>
  <si>
    <t>We see a closing title screen.</t>
  </si>
  <si>
    <t>v_j_YetAlzwbk</t>
  </si>
  <si>
    <t>A child is standing on a stool filling a cup up with water in the sink.</t>
  </si>
  <si>
    <t>The child puts purple gloves on.</t>
  </si>
  <si>
    <t>They take the gloves off and set them in the sink.</t>
  </si>
  <si>
    <t>v_RtbfdVDciWQ</t>
  </si>
  <si>
    <t>A man wiggles his toes while seated in a room barefoot.</t>
  </si>
  <si>
    <t>The man puts on his shoes and ties the laces.</t>
  </si>
  <si>
    <t>The man dances his feet around while seated.</t>
  </si>
  <si>
    <t>v_-JqLjPz-07E</t>
  </si>
  <si>
    <t>Three men are presenting an instructional video for Slikhaar Studios.</t>
  </si>
  <si>
    <t>The man in the center is demonstrating a hairstyle on the person wearing the blue shirt.</t>
  </si>
  <si>
    <t>The man in the blue shirt sits on the chair next to the sink.</t>
  </si>
  <si>
    <t>The other man begins washing his hair.</t>
  </si>
  <si>
    <t>He scrubs in the shampoo and then washes it off.</t>
  </si>
  <si>
    <t>He then combs it and blow dries his hair after styling it with gel.</t>
  </si>
  <si>
    <t>He uses an electric clipper to groom the sideburns and the temples.</t>
  </si>
  <si>
    <t>He also trims the back and sides of his head with the clippers.</t>
  </si>
  <si>
    <t>He uses scissors to trim the hair and give it a finished look.</t>
  </si>
  <si>
    <t>The model uses some hair gel to style his hair after the haircut.</t>
  </si>
  <si>
    <t>The host of the show then explains how the hair was cut and styled and gives information about his website.</t>
  </si>
  <si>
    <t>v_gF0ymMmpS_M</t>
  </si>
  <si>
    <t>A woman is shown standing in front of an elliptical trainer, talking.</t>
  </si>
  <si>
    <t>She flips through a booklet before walking over to the trainer.</t>
  </si>
  <si>
    <t>She begins to demonstrate how to prepare the trainer for use.</t>
  </si>
  <si>
    <t>She climbs onto the trainer and shows how it is used by pedaling with her feet.</t>
  </si>
  <si>
    <t>A close up of the display screen is then shown.</t>
  </si>
  <si>
    <t>The trainer is folded to show compaction and ease of storage.</t>
  </si>
  <si>
    <t>v_hThdSxhMhDo</t>
  </si>
  <si>
    <t>A grey bunny is standing on a bed on a black towel eating something in his hand.</t>
  </si>
  <si>
    <t>As he eats,the bunny begins to grabs his ears and shakes its head.</t>
  </si>
  <si>
    <t>Struggling more,the bunny bends down and keeps eating something before looking out.</t>
  </si>
  <si>
    <t>v_5_UEjPqtnE0</t>
  </si>
  <si>
    <t>A young child is seen sitting before a fooseball table when one hands her the ball and she puts it into the game.</t>
  </si>
  <si>
    <t>The man then helps the girl play on the table by moving the poles all around and pushing the people.</t>
  </si>
  <si>
    <t>v_PmWF-HawRw0</t>
  </si>
  <si>
    <t>Athletes run down a track and throw a javelins across the field.</t>
  </si>
  <si>
    <t>A referees runs out to check the javelin position.</t>
  </si>
  <si>
    <t>A leader board is shows scores of athletes.</t>
  </si>
  <si>
    <t>v_5sl-E-AwptI</t>
  </si>
  <si>
    <t>A field hockey player dribbles a ball on the field between his legs.</t>
  </si>
  <si>
    <t>Th field hockey play dribble the ball back and forth in front of him.</t>
  </si>
  <si>
    <t>The field hockey player hits up while juggling the ball in the air and balances on his stick.</t>
  </si>
  <si>
    <t>The players dribble through a set of cones and takes shots on the goal.</t>
  </si>
  <si>
    <t>v_hrN0hOmQrD4</t>
  </si>
  <si>
    <t>People are driving a car with rafts on the back.</t>
  </si>
  <si>
    <t>They get in the rafts and are rafting down a river.</t>
  </si>
  <si>
    <t>They go to a hot dog stand and get food.</t>
  </si>
  <si>
    <t>They continue rafting down the river.</t>
  </si>
  <si>
    <t>v_ILgkiTHnGVI</t>
  </si>
  <si>
    <t>A man shows up on the screen wearing a martial arts uniform showing people how to do a side kick.</t>
  </si>
  <si>
    <t>He sways from side to side to show how to control your balance.</t>
  </si>
  <si>
    <t>He lifts his knees, one after alternating from left to right to show how to begin the kick.</t>
  </si>
  <si>
    <t>He continues to show how to finish the side kick with a follow through.</t>
  </si>
  <si>
    <t>Then he demonstrates how to do the kick from several angles.</t>
  </si>
  <si>
    <t>v_mGgidUE8drE</t>
  </si>
  <si>
    <t>We see an opening white screen.</t>
  </si>
  <si>
    <t>We then see a man pushing a bike brake and adjusting it.</t>
  </si>
  <si>
    <t>The man pulls a cord on the bike near the tire.</t>
  </si>
  <si>
    <t>The men then adjusts the bake lever again.</t>
  </si>
  <si>
    <t>We then see the man talking to the camera.</t>
  </si>
  <si>
    <t>v_KKAPxOMogDE</t>
  </si>
  <si>
    <t>woman that is sitting in a chair is holding a cup in the dog's mouth so the fog can lick the cup.</t>
  </si>
  <si>
    <t>black dog is standing in a living oom licking water from a cup.</t>
  </si>
  <si>
    <t>a woman is standing in a living with a black dog in a white carpet.</t>
  </si>
  <si>
    <t>v_tB_B3HVdO2I</t>
  </si>
  <si>
    <t>A boy is swinging across monkey bars in a park.</t>
  </si>
  <si>
    <t>A man is doing something behind him.</t>
  </si>
  <si>
    <t>The boy makes his way all the way across.</t>
  </si>
  <si>
    <t>v_KPfKLVV-HCQ</t>
  </si>
  <si>
    <t>A large group of people are seen moving around together in a large gymnasium.</t>
  </si>
  <si>
    <t>The people move up and down on a beam kicking their legs up and moving around.</t>
  </si>
  <si>
    <t>The people continue moving all around the board while the camera captures their movements.</t>
  </si>
  <si>
    <t>v_OhXBMlKOHMI</t>
  </si>
  <si>
    <t>There are a lot of people in an opened court area and they look to be mostly elderly people playing some kind of sport.</t>
  </si>
  <si>
    <t>A man and a woman begin to walk across the court together and they stop to watch a man with a stick who hits something across the court using his stick.</t>
  </si>
  <si>
    <t>Another man then walks up to the court to take his turn while the man who just had a turn moves out of his way.</t>
  </si>
  <si>
    <t>v_RW-nnJiVPsU</t>
  </si>
  <si>
    <t>A man puts on welding safety gear.</t>
  </si>
  <si>
    <t>The man starts welding something on a metal table.</t>
  </si>
  <si>
    <t>He stops welding, lifts his face mask and adjusts things in the table.</t>
  </si>
  <si>
    <t>He then lowers his face mask and starts welding again.</t>
  </si>
  <si>
    <t>He stops and lifts his mask again.</t>
  </si>
  <si>
    <t>He uses a tool to hit something on the table before sanding it.</t>
  </si>
  <si>
    <t>The man pulls off his gloves while walking to the camera.</t>
  </si>
  <si>
    <t>He brings the camera to the table to show the work he has done.</t>
  </si>
  <si>
    <t>v_mpyN1mrMl3U</t>
  </si>
  <si>
    <t>A woman is pouring ingredients into a mixer.</t>
  </si>
  <si>
    <t>She then makes the dough into balls and puts them on a cookie sheet.</t>
  </si>
  <si>
    <t>She places them in the oven.</t>
  </si>
  <si>
    <t>v_xAxax-pfZsk</t>
  </si>
  <si>
    <t>A man is sitting down on the ground and has a skate show on one foot and a prosthetic leg for the other.</t>
  </si>
  <si>
    <t>The man then puts the roller blade over his prosthetic and then follows with the other foot.</t>
  </si>
  <si>
    <t>Once they are both on,he scoots to the grass and someone assists him as he gets up.</t>
  </si>
  <si>
    <t>After he is steady,he gets up and goes rollerblading down the sidewalk before coming back and sitting on the pavement.</t>
  </si>
  <si>
    <t>v_ZjuM-Xv_jqY</t>
  </si>
  <si>
    <t>Several items are seen laid out on a table followed by a person presenting each item to the camera.</t>
  </si>
  <si>
    <t>The person dips a brush into water followed by a cleaner and rubbing a rag across the brush.</t>
  </si>
  <si>
    <t>The person scrubs down the shoes with the brush and wipes off the side with a rag.</t>
  </si>
  <si>
    <t>He waits a certain amount of time and rubs the shoes again and presents them.</t>
  </si>
  <si>
    <t>v_HdOylJP08Lk</t>
  </si>
  <si>
    <t>man is walking in a casino watching the pople and the machines.</t>
  </si>
  <si>
    <t>woman is sitting in a black jack table and is talking to men.</t>
  </si>
  <si>
    <t>woman is smiling and stretching her arm behind her back.</t>
  </si>
  <si>
    <t>man sits in a table and start playing black jack in a casino.</t>
  </si>
  <si>
    <t>v_IgEc5mY9L44</t>
  </si>
  <si>
    <t>A foreman wear blue colored gloves before he begins welding metal.</t>
  </si>
  <si>
    <t>He continues welding the metal with his torch and protective gear on.</t>
  </si>
  <si>
    <t>He welds the metal for a very long time.</t>
  </si>
  <si>
    <t>Then switches off the welding torch and puts the equipment away.</t>
  </si>
  <si>
    <t>v_O4LdjwlsGKI</t>
  </si>
  <si>
    <t>A young man in a brown hoodie and cargo pants is standing on a road in a forested area, instructing viewers as he holds onto the end of a skateboard.</t>
  </si>
  <si>
    <t>After demonstrating a stance on the board, he picks it up and walks back several yards, and places the skateboard on the ground, tiling it up with one foot on the end.</t>
  </si>
  <si>
    <t>He puts it down flat, and begins to skate forward on the board.</t>
  </si>
  <si>
    <t>He flips around on the board, doing a tricky move, and then heads back to where he began to skate.</t>
  </si>
  <si>
    <t>60 After speaking for a little longer, and gesturing to the board, he repeats the move again, heading back once again to the spot he started from.</t>
  </si>
  <si>
    <t>v_yWfTd8pRLgM</t>
  </si>
  <si>
    <t>A girl is doing back flips on a blue mat.</t>
  </si>
  <si>
    <t>A girl does the splits in the air.</t>
  </si>
  <si>
    <t>People are laying down on the mat next to her.</t>
  </si>
  <si>
    <t>She does several flips on a trampoline.</t>
  </si>
  <si>
    <t>v_Imui46JTe7s</t>
  </si>
  <si>
    <t>We see a fitness center sign.</t>
  </si>
  <si>
    <t>We then see a man talking to the camera and sitting and laying on a exercise ball.</t>
  </si>
  <si>
    <t>The man performs sits ups while on the ball and talking.</t>
  </si>
  <si>
    <t>The man sits up and talks to the camera.</t>
  </si>
  <si>
    <t>The end screen is seen on a black background.</t>
  </si>
  <si>
    <t>v_aCiN9mqkXoA</t>
  </si>
  <si>
    <t>Ingredients are prepared and poured into a large mixing bowl.</t>
  </si>
  <si>
    <t>A woman washes a bowl in a kitchen sink with a sponge.</t>
  </si>
  <si>
    <t>The woman smells the bowl to make sure it is clean.</t>
  </si>
  <si>
    <t>The woman places the bowl into a dish washer and shows the proper placement.</t>
  </si>
  <si>
    <t>A woman washes a plate in a kitchen sink with a sponge.</t>
  </si>
  <si>
    <t>The woman smells the plate to make sure it is clean.</t>
  </si>
  <si>
    <t>The woman places the plate into a dish washer and shows the proper placement.</t>
  </si>
  <si>
    <t>A woman washes glass cups in a kitchen sink with a sponge.</t>
  </si>
  <si>
    <t>The woman smells the glass cups to make sure they are clean.</t>
  </si>
  <si>
    <t>The woman places the glass cups into a dish washer and shows the proper placement.</t>
  </si>
  <si>
    <t>End credits are seen for the film.</t>
  </si>
  <si>
    <t>v_aMQVH3dF0QM</t>
  </si>
  <si>
    <t>An introduction appears on the screen for a video about galloping along the beach.</t>
  </si>
  <si>
    <t>Several images are shown of people riding on horseback along the beach.</t>
  </si>
  <si>
    <t>The images turn into a video of several people going along the sand dunes.</t>
  </si>
  <si>
    <t>The video then alternates between images and video of people enjoying the beach ride.</t>
  </si>
  <si>
    <t>The video ends with text displayed showing more information about the trip.</t>
  </si>
  <si>
    <t>v_xmK2kbPSGUs</t>
  </si>
  <si>
    <t>A woman demonstrates how to make a mixed drink in a bar at a bar countertop in front of a countertop filled with alcohol.</t>
  </si>
  <si>
    <t>The woman begins by talking to the camera and pulling out a bottle of alcohol next to a mason jar prepped with a slice of lemon and mint in it.</t>
  </si>
  <si>
    <t>The woman pours ice in the glass and a few shots of alcohol and then pours lemonade in the glass with a mint sprig and lemon wedge on the rim.</t>
  </si>
  <si>
    <t>The woman takes a sip of the drink before the scene fades.</t>
  </si>
  <si>
    <t>v_iZImXrduFlA</t>
  </si>
  <si>
    <t>a man is outside in his yard.</t>
  </si>
  <si>
    <t>He is using a pressure washer to wash the leaves off his lawn.</t>
  </si>
  <si>
    <t>He sprays them up and down, pushing them down an incline.</t>
  </si>
  <si>
    <t>v_UYhKDweME3A</t>
  </si>
  <si>
    <t>A man fills a pot with water and adds salt and oil, and then boil the water while talking.</t>
  </si>
  <si>
    <t>Then, the man puts the spaghetti in the bowling pot.</t>
  </si>
  <si>
    <t>After, the man taste the spaghetti and drain it.</t>
  </si>
  <si>
    <t>Next, the man adds grated cheese and oil on the spaghetti.</t>
  </si>
  <si>
    <t>v_f1YrGAkQd0U</t>
  </si>
  <si>
    <t>There are 3 men and 1 woman.</t>
  </si>
  <si>
    <t>Each of them show and tell you their way of bowling to earn strikes and get perfect scores on the high scoreboard.</t>
  </si>
  <si>
    <t>v_Mvl-TR0rDdA</t>
  </si>
  <si>
    <t>We see the title for Kyla Ross on the parallel bars.</t>
  </si>
  <si>
    <t>The girls lifts, then lowers her arms.</t>
  </si>
  <si>
    <t>Kyla then jumps onto the short bar.</t>
  </si>
  <si>
    <t>She transfers to the tall bar, then back to the short one.</t>
  </si>
  <si>
    <t>She spins back to the tall one and spins.</t>
  </si>
  <si>
    <t>She flips to the short bar, then back to the tall and flips.</t>
  </si>
  <si>
    <t>She dismounts and hugs her coach.</t>
  </si>
  <si>
    <t>We see her final score on a black screen.</t>
  </si>
  <si>
    <t>v_K9cQxJ37xzA</t>
  </si>
  <si>
    <t>A woman in a white tank top is riding an exercise bike in a room.</t>
  </si>
  <si>
    <t>She is doing push ups on a black mat.</t>
  </si>
  <si>
    <t>She is back to riding the exercise bike.</t>
  </si>
  <si>
    <t>She is lifting weights up and down at her sides.</t>
  </si>
  <si>
    <t>She is riding on the exercise bike again.</t>
  </si>
  <si>
    <t>v_jafEh82XETQ</t>
  </si>
  <si>
    <t>A man is demonstrating how to cook a friend bologna sandwich in his kitchen.</t>
  </si>
  <si>
    <t>He takes two slices of sandwich bread and puts them in the toaster.</t>
  </si>
  <si>
    <t>Then he takes a little butter and bologna in a frying pan and fries it.</t>
  </si>
  <si>
    <t>He flips the bologna to fry it on both sides.</t>
  </si>
  <si>
    <t>Then he takes two slices of American cheese.</t>
  </si>
  <si>
    <t>He takes the bologna out of the pan and places it on the toast along with the cheese slices.</t>
  </si>
  <si>
    <t>He shows the finished sandwich with the bologna and cheese.</t>
  </si>
  <si>
    <t>v_yfeKtTU0aOE</t>
  </si>
  <si>
    <t>A man is sitting on a weight machine and grabbing onto handle bars.</t>
  </si>
  <si>
    <t>He pulls the handlebars back and fourth as the seat he's moving on continuously moves.</t>
  </si>
  <si>
    <t>He performs this set several times and eventually pauses to let the instruction end.</t>
  </si>
  <si>
    <t>v_5l2_BVOqQX8</t>
  </si>
  <si>
    <t>A bald man in gray shirt is standing at the playground, he walked towards the monkey bars and started to pull himself up and down, he walked towards a lower pole and started to pull himself up while his legs are stretched down.</t>
  </si>
  <si>
    <t>He walked back to the monkey bar and pull himself up and down, his legs are moves from side to side then pull him up and down.</t>
  </si>
  <si>
    <t>v_9Ds9DvdPQkM</t>
  </si>
  <si>
    <t>A woman is talking while holding a saxophone.</t>
  </si>
  <si>
    <t>She begins to play the saxophone.</t>
  </si>
  <si>
    <t>v_fULvroAfMAo</t>
  </si>
  <si>
    <t>A guy raises a metal ball above his head, spins with a metal ball, and releases the metal ball.</t>
  </si>
  <si>
    <t>A guy cheers after releasing the metal ball.</t>
  </si>
  <si>
    <t>The score board is shown.</t>
  </si>
  <si>
    <t>v_dDYQNtOtb-Q</t>
  </si>
  <si>
    <t>A little boy is riding in a car drinking a drink and playing with his phone.</t>
  </si>
  <si>
    <t>He begins to have a conversation with an older man who is recording him in the car.</t>
  </si>
  <si>
    <t>v_VOLBBe1br3Q</t>
  </si>
  <si>
    <t>A man runs out on a professional stadium and throws a ball at a batter.</t>
  </si>
  <si>
    <t>Two women watching the game cheer after the batter hits the ball with his plank.</t>
  </si>
  <si>
    <t>One of the women exposes her bare chest to the camera, a black bar is overlaid.</t>
  </si>
  <si>
    <t>The camera returns to action on the field.</t>
  </si>
  <si>
    <t>v_WjX-xi2Ocbo</t>
  </si>
  <si>
    <t>A dirt clodden rodea is shown, as a man on a horse is released from a gate.</t>
  </si>
  <si>
    <t>He ropes a calf, dismounted to tie it up.</t>
  </si>
  <si>
    <t>Another man rides on screen momentarily.</t>
  </si>
  <si>
    <t>v_PPJ6gSuk33o</t>
  </si>
  <si>
    <t>A man is seen standing in a bathroom with a woman and looking back to speak to the camera.</t>
  </si>
  <si>
    <t>The man then moves all around the bathroom while continuing to speak and the camera zooms in.</t>
  </si>
  <si>
    <t>v_AuVL_nkYXw0</t>
  </si>
  <si>
    <t>A man is seen speaking to the camera while standing in front of exercise equipment.</t>
  </si>
  <si>
    <t>He continues speaking and leads into clips of a person's feet moving on the machine.</t>
  </si>
  <si>
    <t>The man the uses the machine continuously while pointing to his body and showing off his legs.</t>
  </si>
  <si>
    <t>v_daSrmaPxaZA</t>
  </si>
  <si>
    <t>A set of black boots are shown on a small table along with a bottle oil and a rag in front of a woman.</t>
  </si>
  <si>
    <t>The woman then grabs the rag and puts olive oil on it and begins polishing the boots.</t>
  </si>
  <si>
    <t>She then pauses with the rags and starts talking.</t>
  </si>
  <si>
    <t>v_PRTcRz--03E</t>
  </si>
  <si>
    <t>A person is seen walking into frame and begins playing on a set of bongo drums.</t>
  </si>
  <si>
    <t>The man continues playing on the drums while the camera doesn't move and ends with him hitting them once and walking away.</t>
  </si>
  <si>
    <t>v_J9OSz5iCwNU</t>
  </si>
  <si>
    <t>A young boy roller blades off a ramp and onto another ramp.</t>
  </si>
  <si>
    <t>The boy speeds off onto a ramp and jumps off it, landing on the cement.</t>
  </si>
  <si>
    <t>Later, the boy roller blades onto another ramp.</t>
  </si>
  <si>
    <t>The young boy is seen in another outfit, performing spins at the end of his roller blading.</t>
  </si>
  <si>
    <t>The boy roller blades criss cross style around some orange cones.</t>
  </si>
  <si>
    <t>The boy does it again, this time weaving in and out of the cones.</t>
  </si>
  <si>
    <t>v_5Z-78AmLjFo</t>
  </si>
  <si>
    <t>A man is using a welding tool on a pile of random metal indoors.</t>
  </si>
  <si>
    <t>Another man is holding up a shield to protect himself.</t>
  </si>
  <si>
    <t>The man holds up a shield to his face as he welds.</t>
  </si>
  <si>
    <t>v_oyljZJZJ7IA</t>
  </si>
  <si>
    <t>A man demonstrates how to use a special dog collar and harness on a dog using both a stuffed toy dog and real dogs.</t>
  </si>
  <si>
    <t>A man standing in front of a wooden fence holds a stuffed dog with a red collar/harness and holds the dog up while talking and demonstrating features of the collar harness.</t>
  </si>
  <si>
    <t>Two hands are showcased holding the red collar by itself and demonstrating the features of the collar harness with still graphics to accompany the hand showcase.</t>
  </si>
  <si>
    <t>The man stands, now, with a real dog and demonstrates how to put the harness on the real dog, then goes back to demonstrating with the stuffed dog before finally ending with petting the collared, real, tan, dog as a black Labrador Retriever wanders into the final shot.</t>
  </si>
  <si>
    <t>v_OMGTFZ9csg0</t>
  </si>
  <si>
    <t>A camera zooms in on a backyard that contains a volkswagon and other various items.</t>
  </si>
  <si>
    <t>A man is shown putting skis together at a rapid pace.</t>
  </si>
  <si>
    <t>The man finishes up the skis and leaves his hat on top of the skis.</t>
  </si>
  <si>
    <t>v_JA-B3KK9A-I</t>
  </si>
  <si>
    <t>An underwater view of blue water appear at the deep end of the pool.</t>
  </si>
  <si>
    <t>In slow motion someone splashes into the water.</t>
  </si>
  <si>
    <t>Various clips of men appear doing different dives into the pool and from different heights.</t>
  </si>
  <si>
    <t>A man goes into the water feet first, lands at the bottom of the deep pool, then drops to do a push up and then quickly shoots up.</t>
  </si>
  <si>
    <t>One guys jumps on the diving board but instead of diving he loses his footing and falls into the water.</t>
  </si>
  <si>
    <t>A boy is standing at a wall pressing a button and talking into an intercom then stops and laughs.</t>
  </si>
  <si>
    <t>v_3zMCxmdkcRY</t>
  </si>
  <si>
    <t>A man and woman are dancing on a roof top of a building in a city.</t>
  </si>
  <si>
    <t>He lifts the woman up into the air.</t>
  </si>
  <si>
    <t>The camera pans up to a tall building in the background.</t>
  </si>
  <si>
    <t>v_Qlh-VSBxcJs</t>
  </si>
  <si>
    <t>An intro leads into a belly dancer performing a routine in front of a mirror.</t>
  </si>
  <si>
    <t>She continues dancing around while moving all around the floor whipping her hair and grabbing her skirt.</t>
  </si>
  <si>
    <t>She finishes by sitting down on the floor and looking into the mirror.</t>
  </si>
  <si>
    <t>v_JYRVSy54UUY</t>
  </si>
  <si>
    <t>A woman is seen speaking to the camera while holding onto an accordion.</t>
  </si>
  <si>
    <t>She begins moving the instrument slowly while looking to the camera.</t>
  </si>
  <si>
    <t>She continues playing the accordion while speaking and looking away.</t>
  </si>
  <si>
    <t>v_NoVa1C5KBno</t>
  </si>
  <si>
    <t>A young teenaged boy is standing outside of the house with a tennis ball and racket.</t>
  </si>
  <si>
    <t>He goes to the tennis court and begins to talk about the game of tennis.</t>
  </si>
  <si>
    <t>He does some stretches for a little but and then gets ready to hit the ball over to the other side of the court.</t>
  </si>
  <si>
    <t>He talks about it on the court and then he leaves to go home.</t>
  </si>
  <si>
    <t>v_L35c6QI1l_0</t>
  </si>
  <si>
    <t>A scene of sand dunes leading to a beach shoreline.</t>
  </si>
  <si>
    <t>A girl in a blue blouse walks and poses in the sand.</t>
  </si>
  <si>
    <t>A man wearing a safari hat leads a group of camels with riders in a single file.</t>
  </si>
  <si>
    <t>The camera pans a close up of the camels lying in the sand with their riding saddles on.</t>
  </si>
  <si>
    <t>A rider captures the view of the sand dunes leading to the ocean.</t>
  </si>
  <si>
    <t>The camel caravan arrives to a camp on the beach.</t>
  </si>
  <si>
    <t>v_SlogVhfmTVs</t>
  </si>
  <si>
    <t>A boy sprays shaving cream into his hand from a can in his bathroom.</t>
  </si>
  <si>
    <t>The boy applies the shaving cream to his face.</t>
  </si>
  <si>
    <t>A man has shaving cream on his face and reads a label on a pressurized can and discusses it.</t>
  </si>
  <si>
    <t>A man rubs his smooth face.</t>
  </si>
  <si>
    <t>The man holds up a metal oil can.</t>
  </si>
  <si>
    <t>The man applies a medicine dropper with liquid to a razor and demonstrates how to use it.</t>
  </si>
  <si>
    <t>v_G9m5zxl2f08</t>
  </si>
  <si>
    <t>A person is seen putting their hands in a sink full of dirty water and pressing his face up against the water.</t>
  </si>
  <si>
    <t>The man continues wiping the mud off of his face as the mud drips down into the sink.</t>
  </si>
  <si>
    <t>v_J3qC2hqRhPc</t>
  </si>
  <si>
    <t>Elmo from Sesame Street is presenting how to brush teeth along with singer Bruno Mars.</t>
  </si>
  <si>
    <t>Elmo pulls out a toothbrush and begins dancing while Bruno Mars appears brushing his teeth on the mirror.</t>
  </si>
  <si>
    <t>Elmo is singing along as Bruno Mars continues to brush his teeth and the multicolored lights on the mirror flicker.</t>
  </si>
  <si>
    <t>Elmo and Bruno Mars continue to dance along as they teach little kids the importance of brushing teeth.</t>
  </si>
  <si>
    <t>v_pmIJcJiydpk</t>
  </si>
  <si>
    <t>A small child is seen standing with her hands on her hips and between jumping down a hop scotch outline.</t>
  </si>
  <si>
    <t>She jumps all the way down and speaks to the camera in the end.</t>
  </si>
  <si>
    <t>v_QdvC8Xt-ym0</t>
  </si>
  <si>
    <t>Two teams on horses ride around on a field.</t>
  </si>
  <si>
    <t>Using cricket bats they hit a ball back and forth.</t>
  </si>
  <si>
    <t>A team finally makes a goal.</t>
  </si>
  <si>
    <t>The scoring team then rides around in victory.</t>
  </si>
  <si>
    <t>v_rBmFxH3BUOw</t>
  </si>
  <si>
    <t>A man points to some products for the usage of waxing skis.</t>
  </si>
  <si>
    <t>The man cleans the ski with a towel.</t>
  </si>
  <si>
    <t>The man grabs one of the products and rubs it all over the ski, letting the product sit there for a while.</t>
  </si>
  <si>
    <t>After some time has passed, the man grabs another product and rubs it all over the ski.</t>
  </si>
  <si>
    <t>v_UU8a7vp6tgY</t>
  </si>
  <si>
    <t>A woman is puts a rod in a base.</t>
  </si>
  <si>
    <t>She then puts a skirt over the rod on the floor.</t>
  </si>
  <si>
    <t>She puts a fake Christmas tree up on the rod.</t>
  </si>
  <si>
    <t>A close up of the bow of the Christmas tree is shown.</t>
  </si>
  <si>
    <t>She fixes the bow on the tree.</t>
  </si>
  <si>
    <t>v_Rte9HqaQ1tw</t>
  </si>
  <si>
    <t>A white wall on the interior of a room is shown.</t>
  </si>
  <si>
    <t>A hand holding a lit match lights a candle.</t>
  </si>
  <si>
    <t>A man sets the candle beside a sink and begins to wash dishes.</t>
  </si>
  <si>
    <t>v_u713piB4VWk</t>
  </si>
  <si>
    <t>A close up of people sweeping is shown followed by people walking around an arena.</t>
  </si>
  <si>
    <t>Two wrestlers then bend down and walk around the pit a bit followed by wrestling one another.</t>
  </si>
  <si>
    <t>One man throws the other down and leads into clips of the city.</t>
  </si>
  <si>
    <t>v_Wh-Q13ZAffE</t>
  </si>
  <si>
    <t>A person is seen riding a sled down a hill followed by several people climbing up the hill and sliding back down again.</t>
  </si>
  <si>
    <t>An adult and child ride down as the person pulls the child out of the sled followed by more people riding down and walking up again.</t>
  </si>
  <si>
    <t>v_ognXkeWL7h8</t>
  </si>
  <si>
    <t>A toddler paint her lips with a lipstick.</t>
  </si>
  <si>
    <t>Then, the toddler applies make up to her eyelids on front a blue mirror.</t>
  </si>
  <si>
    <t>Next, the toddle takes more make up from a palette to continues applying to her eyelids.</t>
  </si>
  <si>
    <t>v_KVaTsulE5Z0</t>
  </si>
  <si>
    <t>A man is crossing a slack line.</t>
  </si>
  <si>
    <t>He puts something in the trunk of a car.</t>
  </si>
  <si>
    <t>He crosses the slack line onto the other side.</t>
  </si>
  <si>
    <t>v_ZdgWC6Jk2Nk</t>
  </si>
  <si>
    <t>A close up of a lawn mower is seen with a person's shoes walking behind.</t>
  </si>
  <si>
    <t>A camera pans out of a dirt hole and shows a man placing it down next to a tree.</t>
  </si>
  <si>
    <t>The camera pans around the tree and shows the man checking up on the dirt.</t>
  </si>
  <si>
    <t>v_dSOVaLk3ZmU</t>
  </si>
  <si>
    <t>A man sitting in a kayak pushing himself around swirling water using his paddles for support.</t>
  </si>
  <si>
    <t>The man flips several times in the water attempting to break free and he eventually does.</t>
  </si>
  <si>
    <t>v_Po6rrhjsS8g</t>
  </si>
  <si>
    <t>A man is talking in the camera, while another man with scarf is behind him, then they went in the building and sat on two couches, a woman came over to give them water.</t>
  </si>
  <si>
    <t>The man in sweater checked his phone then get two rackets in the bag, handed one to the guy, the guy standing bounced the ball on the racket.</t>
  </si>
  <si>
    <t>The two men started playing tennis while they are sitting.</t>
  </si>
  <si>
    <t>Then they moved the couches and started playing on the wall, then play in the area where people where working.</t>
  </si>
  <si>
    <t>A bald man went down on the stairs and went to the two men who were playing tennis on the wall.</t>
  </si>
  <si>
    <t>v_XpFkoI5hz7s</t>
  </si>
  <si>
    <t>A woman is seen working out with a man and leads into her speaking to the camera.</t>
  </si>
  <si>
    <t>She then steps back and fourth on a board moving her legs around and continuing to speak to the camera.</t>
  </si>
  <si>
    <t>She then hops around the camera and bit and ends by still speaking to the camera.</t>
  </si>
  <si>
    <t>v_0vIFg1eE7Tw</t>
  </si>
  <si>
    <t>A woman blowing kisses at the camera, then inserting her contact lenses.</t>
  </si>
  <si>
    <t>She begins to put eye shadow on her eyelids and rubbing it in.</t>
  </si>
  <si>
    <t>She adds eyelash extensions on her eyes.</t>
  </si>
  <si>
    <t>Then, she begins to contour her entire face little by little patting it down as she goes along.</t>
  </si>
  <si>
    <t>v_ECjumI_otNw</t>
  </si>
  <si>
    <t>A group of cheerleaders perform doing a tower, then the cheerleaders jump down.</t>
  </si>
  <si>
    <t>After, the cheerleaders jump, flip and does cartwheels.</t>
  </si>
  <si>
    <t>Next, the cheerleaders form human towers and dance together.</t>
  </si>
  <si>
    <t>v_pA8QJ2ZoeBM</t>
  </si>
  <si>
    <t>A woman is working out on an elliptical machine.</t>
  </si>
  <si>
    <t>The woman is sitting on a couch in heels.</t>
  </si>
  <si>
    <t>She continues to work out on the machine.</t>
  </si>
  <si>
    <t>v_LlpV8R-EaDQ</t>
  </si>
  <si>
    <t>A girl is sitting in the sand.</t>
  </si>
  <si>
    <t>She is putting sand in a blue bucket in front of her.</t>
  </si>
  <si>
    <t>Two people walk along the beach in front of her.</t>
  </si>
  <si>
    <t>v_lnieKUxnxuY</t>
  </si>
  <si>
    <t>A man walks into a room and puts his hand on a ladder while talking.</t>
  </si>
  <si>
    <t>We see a man putting orange tiles on a floor.</t>
  </si>
  <si>
    <t>We see aa man tiling a shower.</t>
  </si>
  <si>
    <t>We see the man putting the tiles on a floor again.</t>
  </si>
  <si>
    <t>We return to the man talking near the ladder and a website appears on the screen.</t>
  </si>
  <si>
    <t>v_kbRciA51ouY</t>
  </si>
  <si>
    <t>A newsman in a suit is talking.</t>
  </si>
  <si>
    <t>Older women are behind sewing machines sewing blankets.</t>
  </si>
  <si>
    <t>v_kZXVFSjRt5g</t>
  </si>
  <si>
    <t>A few people are sitting down indian style with life vest on watching a man inside of a float boat talk.</t>
  </si>
  <si>
    <t>They get ins the boat with paddles and some others next to them in a kayak.</t>
  </si>
  <si>
    <t>They use the paddle to try to control the boat, but get splashed by the very brown water.</t>
  </si>
  <si>
    <t>Another little boat comes and bumps into them, they paddle until they are about to reach back to land.</t>
  </si>
  <si>
    <t>v_ZHVzukkU9sk</t>
  </si>
  <si>
    <t>Two cookies are shown on a plate.</t>
  </si>
  <si>
    <t>The ingredients are mixed into a bowl one at a time, adding eggs, sugar, and butter.</t>
  </si>
  <si>
    <t>The cookies are cut out of the dough.</t>
  </si>
  <si>
    <t>They are then baked and assembled.</t>
  </si>
  <si>
    <t>v_blMN_9ZtxsY</t>
  </si>
  <si>
    <t>People are dressed up playing ping pong.</t>
  </si>
  <si>
    <t>People are standing next to the table watching.</t>
  </si>
  <si>
    <t>They continue to play and two of the men high five.</t>
  </si>
  <si>
    <t>v_2VvCuSFicyA</t>
  </si>
  <si>
    <t>A person is seen riding on a bicycle down a street with a dog tied next to him.</t>
  </si>
  <si>
    <t>The camera is shown in various angles the man riding the bike with the dog.</t>
  </si>
  <si>
    <t>The man continues riding around with the dog.</t>
  </si>
  <si>
    <t>v_0X34KkUlCAI</t>
  </si>
  <si>
    <t>A man with a whistle holds the middle of the rope.</t>
  </si>
  <si>
    <t>Two men are at each end of the rope pulling in their own direction over the mud.</t>
  </si>
  <si>
    <t>The red rope is leaning toward the man in blue as he nearly sits on the ground.</t>
  </si>
  <si>
    <t>The referee is on his knee observing.</t>
  </si>
  <si>
    <t>The competitor is taking short breaths as he stares.</t>
  </si>
  <si>
    <t>A man with a beard gives a wink and grins.</t>
  </si>
  <si>
    <t>Each man continues to pull as they lean back in the mud.</t>
  </si>
  <si>
    <t>It shows 6 minutes has passed as they continue to pull.</t>
  </si>
  <si>
    <t>It shows 8 minutes and 30 seconds have passed.</t>
  </si>
  <si>
    <t>The man in red stands up and runs backwards pulling the other man across the line.</t>
  </si>
  <si>
    <t>The two men shake hands and hug and walk away.</t>
  </si>
  <si>
    <t>The man in blue puts his arms around two men and walk away.</t>
  </si>
  <si>
    <t>v_Nkcc9kLDQz8</t>
  </si>
  <si>
    <t>People are standing on a hill of snow.</t>
  </si>
  <si>
    <t>People are skiing down a hill.</t>
  </si>
  <si>
    <t>The skiiers stop at the bottom and talk.</t>
  </si>
  <si>
    <t>v_p1yEPOr467M</t>
  </si>
  <si>
    <t>A group of men are pulled on an inflatable hot dog which make a swift turn causing them to fall of.</t>
  </si>
  <si>
    <t>People on water skis and inter tubes have comical crashes while being pulled along in the water.</t>
  </si>
  <si>
    <t>A boy on skis holds onto a tug rope on a dock and is pulled over falling in the water.</t>
  </si>
  <si>
    <t>A large group on inter tubes are pulled on tug ropes in the water then hit a large wave and flip into the air.</t>
  </si>
  <si>
    <t>A man on a boat jumps ship after an item with the boat still moving.</t>
  </si>
  <si>
    <t>v_S7MZle1gPzI</t>
  </si>
  <si>
    <t>A man lays back in ocean water as he holds onto a bar.</t>
  </si>
  <si>
    <t>He is drug by a boat filled with people.</t>
  </si>
  <si>
    <t>He gains his balance, and is water skiing quickly behind the boat.</t>
  </si>
  <si>
    <t>v_mG8h5rX3OnU</t>
  </si>
  <si>
    <t>Several people are captured decorating a Christmas tree in a living room in a fast forward, speed motion video.</t>
  </si>
  <si>
    <t>A Christmas tree stands undecorated in a living room.</t>
  </si>
  <si>
    <t>Two people decorate the tree with a light cord.</t>
  </si>
  <si>
    <t>Three people decorate the tree with blue and silver balls.</t>
  </si>
  <si>
    <t>The tree lights are turned on and wrapped gifts are placed under the tree as people start to sit under the tree and a dog casually walks by the tree.</t>
  </si>
  <si>
    <t>v_PdNb0g36a6U</t>
  </si>
  <si>
    <t>A guy is standing, gesturing, and instructing in a gym.</t>
  </si>
  <si>
    <t>A man demonstrates a gymnastic stunt on a hand platform.</t>
  </si>
  <si>
    <t>The man poses with his hands extended in the air.</t>
  </si>
  <si>
    <t>v_96kej9yK8To</t>
  </si>
  <si>
    <t>There's man dressed in a black sweater playing the violin in a church.</t>
  </si>
  <si>
    <t>There's a woman standing next to him, also dressed on black holding a violin in her hands.</t>
  </si>
  <si>
    <t>There's a statue of Jesus Christ right behind them.</t>
  </si>
  <si>
    <t>After the man stops playing the violin, the woman joins in and begins playing her violin.</t>
  </si>
  <si>
    <t>there are a few people seated in the front row, watching the woman play.</t>
  </si>
  <si>
    <t>v_IrO7Fgr102M</t>
  </si>
  <si>
    <t>A group of men on donkeys play a form of polo on a dirt field.</t>
  </si>
  <si>
    <t>The camera pans to people watching the game.</t>
  </si>
  <si>
    <t>The camera returns to the people riding the donkeys.</t>
  </si>
  <si>
    <t>v_1sA-lEbrgak</t>
  </si>
  <si>
    <t>A close up of a score board is shown followed by a man lifting a heavy set of weights.</t>
  </si>
  <si>
    <t>The man lifts it over his head and his score his shown afterwards.</t>
  </si>
  <si>
    <t>He does this several more times.</t>
  </si>
  <si>
    <t>v_uPyciwjOz3E</t>
  </si>
  <si>
    <t>Several dogs are at a park.</t>
  </si>
  <si>
    <t>Their owners talk about the.</t>
  </si>
  <si>
    <t>Several vendors are set up in tents.</t>
  </si>
  <si>
    <t>The ownders walk the dogs around.</t>
  </si>
  <si>
    <t>v_JbAvSsIaI8g</t>
  </si>
  <si>
    <t>A man is sitting behind a laptop.</t>
  </si>
  <si>
    <t>He takes a contact out of his eye.</t>
  </si>
  <si>
    <t>He rubs his eye before putting it back in.</t>
  </si>
  <si>
    <t>v_AWPlbtK7afY</t>
  </si>
  <si>
    <t>A group of people is learning how to rollerblade.</t>
  </si>
  <si>
    <t>Some peeople go in groups, but generally they are slow and awkward.</t>
  </si>
  <si>
    <t>v_Bc0_vvpfMAE</t>
  </si>
  <si>
    <t>A woman is shown talking in her kitchen.</t>
  </si>
  <si>
    <t>She fills a bowl with butter, flour and sugar, and adds eggs.</t>
  </si>
  <si>
    <t>She creates a dough, and then makes and bakes a batch of cookies.</t>
  </si>
  <si>
    <t>v__bj64aqyIyk</t>
  </si>
  <si>
    <t>A girl is crossing the monkey bars.</t>
  </si>
  <si>
    <t>A girl in a yellow shirt is standing on the ground watching.</t>
  </si>
  <si>
    <t>A girl on a blue shirt is standing on a playground.</t>
  </si>
  <si>
    <t>v_Il0IelOoXa4</t>
  </si>
  <si>
    <t>A woman is seen sitting in a canoe when a man pushes her along and climbs in back.</t>
  </si>
  <si>
    <t>The man is seen riding around and looking at her surroundings while the man behind paddles.</t>
  </si>
  <si>
    <t>The woman continues sitting and looking around her at the trees and sights.</t>
  </si>
  <si>
    <t>v_jSHcj_pXiI4</t>
  </si>
  <si>
    <t>A man is getting his ear pierced by another individual who only has his or her hands in frame.</t>
  </si>
  <si>
    <t>The second individual pushes a cart behind the first individual.</t>
  </si>
  <si>
    <t>The camera focus on the first individual.</t>
  </si>
  <si>
    <t>The second individual pierces the first man's other ear.</t>
  </si>
  <si>
    <t>v_AG2g8djPKV0</t>
  </si>
  <si>
    <t>We see a lady washing clothes by hand outdoors.</t>
  </si>
  <si>
    <t>The lady pours water on the clothes from a bowl.</t>
  </si>
  <si>
    <t>The lady pushes her hair back.</t>
  </si>
  <si>
    <t>The lady pours more water on the clothes.</t>
  </si>
  <si>
    <t>v_A49K-WtIzsY</t>
  </si>
  <si>
    <t>A man is outside scraping the ice off of the windows of his car.</t>
  </si>
  <si>
    <t>Once he is finished,he puts the tool in the back of his seat and gets in the car.</t>
  </si>
  <si>
    <t>v_T9jiC2SRLJQ</t>
  </si>
  <si>
    <t>A person is seen making a drink close up followed by him speaking to others on a mountain.</t>
  </si>
  <si>
    <t>More shots are shown of the man having a drink as well as speaking to others.</t>
  </si>
  <si>
    <t>The man has another drink and plays pool followed by a picture of them.</t>
  </si>
  <si>
    <t>v_RVOBQBamjDA</t>
  </si>
  <si>
    <t>A lady is sitting and playing the piano.</t>
  </si>
  <si>
    <t>A guy is standing and playing a saxophone.</t>
  </si>
  <si>
    <t>The lady and guy are performing on the same stage, together.</t>
  </si>
  <si>
    <t>The lady and guy stop playing.</t>
  </si>
  <si>
    <t>v_z31xpHUGgO0</t>
  </si>
  <si>
    <t>A man and a little boy play badminton in an indoor court.</t>
  </si>
  <si>
    <t>The little boy serves and returns the ball well.</t>
  </si>
  <si>
    <t>The little boy miss a ball that ends in the net, then the man recovers the ball and they continue playing.</t>
  </si>
  <si>
    <t>v_KCOzA0Suy5U</t>
  </si>
  <si>
    <t>Two young motorcycle riders sit on the bikes and wave on a dirt trail.</t>
  </si>
  <si>
    <t>The boys ride their bikes over jumps on the trails.</t>
  </si>
  <si>
    <t>A young rider jumps a ramp and clutches the handlebars with his feet.</t>
  </si>
  <si>
    <t>The boy does heal clicks and kicks his feet to the side of the motor bike in mid air.</t>
  </si>
  <si>
    <t>v_x9VlxLDK-VM</t>
  </si>
  <si>
    <t>A young girl with messy curly hair is standing in front of the sink cleaning a dish with a blue sponge.</t>
  </si>
  <si>
    <t>She then rinses the top of the plate and hands it to somebody standing behind her.</t>
  </si>
  <si>
    <t>As she grabs the next dish,someone comes along and puts another dish in the sink as she continues to dump water in and out of the container.</t>
  </si>
  <si>
    <t>v_XklHV0q3w40</t>
  </si>
  <si>
    <t>A man is sitting down playing a saxophone.</t>
  </si>
  <si>
    <t>He stops playing the saxophone and talks.</t>
  </si>
  <si>
    <t>He stands up and continues playing the saxophone.</t>
  </si>
  <si>
    <t>v_VOyKKN3NdXM</t>
  </si>
  <si>
    <t>A colorful intro with a lot of flashing words flash across the screen along with a logo and a banner with foreign language written on it.</t>
  </si>
  <si>
    <t>A woman dressed in an orange and red dress and scarf is standing and talking has she hold white paper in her hands.</t>
  </si>
  <si>
    <t>The woman is no longer shown and there are various pictures flashing that seem to be about SPEED CAR WASH.</t>
  </si>
  <si>
    <t>A few short video clips begin and they all take place at the SPEED CAR WASH company where cars are driving, products are shown, a man is washing a car and various people are talking either together or alone.</t>
  </si>
  <si>
    <t>The woman from before who is dressed in an orange and red dress appears again and is still holding the white paper as she talks.</t>
  </si>
  <si>
    <t>Flashing words appear after the woman is talking and continues to the end.</t>
  </si>
  <si>
    <t>v_q8TBL7DBgXY</t>
  </si>
  <si>
    <t>A pier is shown at a beach, with people walking alongside it.</t>
  </si>
  <si>
    <t>Many pictures are shown of a woman tying up a pair of skates.</t>
  </si>
  <si>
    <t>She skates and we see bikes, people riding them, palm trees, and ferris wheels.</t>
  </si>
  <si>
    <t>We follow the woman as she skates alongside surfboards and other people.</t>
  </si>
  <si>
    <t>v_4gEDonpfTeY</t>
  </si>
  <si>
    <t>A man and a woman dance in a restaurant full of people.</t>
  </si>
  <si>
    <t>The woman approaches a young male and touch his face, then the man gets angry and push the woman who ends on his arms and they continues dancing.</t>
  </si>
  <si>
    <t>A fire appears on the floor.</t>
  </si>
  <si>
    <t>A man puts two bread sticks on the nose while a woman watch with surprise.</t>
  </si>
  <si>
    <t>The man helps a woman light a cigarette, then he flips and takes as red table cloth to make tricks, the the man and the woman continues dancing until they kiss while liquid come out of bottles and appears the moon at the end.</t>
  </si>
  <si>
    <t>v_HeMpg3SAUUs</t>
  </si>
  <si>
    <t>A little girl is wiping water all over her face.</t>
  </si>
  <si>
    <t>She looks at the camera and smiles as she continues to wash her face.</t>
  </si>
  <si>
    <t>She sticks her tongue out slightly at the camera.</t>
  </si>
  <si>
    <t>v_d_z2CA-o13U</t>
  </si>
  <si>
    <t>people are having fun playing with paint ball guns in interesting ways,some are riding in cars and other are on the ground shooting paint balls at each other.</t>
  </si>
  <si>
    <t>there are people on motorcycles as well as up in the air in parachutes just have a big fun day.</t>
  </si>
  <si>
    <t>One guy seems to have a paint ball rocket launcher and shoots a guy with it.</t>
  </si>
  <si>
    <t>there are people on motor skate boards also.</t>
  </si>
  <si>
    <t>they show that a group of people made it to the top of a small hill to plant there flag and many of there team mates were defeated.</t>
  </si>
  <si>
    <t>v_DVsLkoQijV4</t>
  </si>
  <si>
    <t>Two girls dressed in a red shirt and black spanxs are bending over preparing for a volley ball game.</t>
  </si>
  <si>
    <t>The other team is shown on the other side of the net and they serve the ball.</t>
  </si>
  <si>
    <t>Both of the girls begin to play,hits the ball back over and the girl cheers as they gain a point.</t>
  </si>
  <si>
    <t>v_L9ons75VGCg</t>
  </si>
  <si>
    <t>There are a lot of different teams rowing very fast in a very large body of water that is outdoors, surrounded by a lot of trees and a lot of buildings.</t>
  </si>
  <si>
    <t>Now the focus is on canoes that only have one woman in it and they are racing on another just like the teams did but they are alone and they have numbers behind them.</t>
  </si>
  <si>
    <t>Now they are showing canoes with two men racing and they are also rowing very fast, and then teams of 4 men begin to race.</t>
  </si>
  <si>
    <t>When they are done racing they are now shown walking up to a man and a woman who are placing medals on ribbons around men and women that walk up to him.</t>
  </si>
  <si>
    <t>When the medals have all been given out the list of winners begin to display on different screens.</t>
  </si>
  <si>
    <t>v_Hcoc9euI0tk</t>
  </si>
  <si>
    <t>Two people are skiing down a very cold and snowy mountain slope during winter.</t>
  </si>
  <si>
    <t>Going left and right and starting to build up some more speed as they go.</t>
  </si>
  <si>
    <t>One of them falls and still moving down the slope ends up running into another skier causing him to fall down also.</t>
  </si>
  <si>
    <t>They try to grab hands and they end up finally at a halt.</t>
  </si>
  <si>
    <t>v_zuNQFkkyBNo</t>
  </si>
  <si>
    <t>We see green writing on a black title screen.</t>
  </si>
  <si>
    <t>A lady in a lacy black and white bra sits in a black room under bright spot lights smoking a cigarette.</t>
  </si>
  <si>
    <t>The lady adjusts her position in the chair and looks down.</t>
  </si>
  <si>
    <t>v_UusDcf16TVQ</t>
  </si>
  <si>
    <t>A person wearing a mask plays the accordion.</t>
  </si>
  <si>
    <t>A woman waves to the person with the camera.</t>
  </si>
  <si>
    <t>v_Xk3KngL2ZH0</t>
  </si>
  <si>
    <t>A close up of snow is shown that leads into a man playing drums.</t>
  </si>
  <si>
    <t>The man leans over a set of drums in the snow while the camera pans around.</t>
  </si>
  <si>
    <t>The man still plays the drums and stops to walk away and look at the camera.</t>
  </si>
  <si>
    <t>v_dtYofkPozXM</t>
  </si>
  <si>
    <t>A man is painting a room.</t>
  </si>
  <si>
    <t>He stands on many ladders to reach the walls.</t>
  </si>
  <si>
    <t>He poses in front of a fireplace.</t>
  </si>
  <si>
    <t>v_8WFB_LUOx4k</t>
  </si>
  <si>
    <t>A camera captures several shots of sites as well as people standing outside drinking and celebrating.</t>
  </si>
  <si>
    <t>One man pulls out a weed and a drone is seen flying in the distance.</t>
  </si>
  <si>
    <t>The people attempt to hit the drone and then are seen driving around on a golf cart around other people.</t>
  </si>
  <si>
    <t>A man shows up in a guerrilla suit and the drone flies over people playing games and riding around.</t>
  </si>
  <si>
    <t>v_Q1mh4F0L8Ec</t>
  </si>
  <si>
    <t>A girl in white top and blue jeans is brushing the fur of the horse on one side then she moved on the other side and then brushed his leg.</t>
  </si>
  <si>
    <t>The lady picked up a black bottle and spray the body of the horse, then brushed off the dirt off the horse shoes then put polished on the horse's feet.</t>
  </si>
  <si>
    <t>v_2ESPauwYUnQ</t>
  </si>
  <si>
    <t>A young boy arranges a shirt on the floor.</t>
  </si>
  <si>
    <t>He grabs and iron and irons the shirt.</t>
  </si>
  <si>
    <t>He places the iron down and looks around the room.</t>
  </si>
  <si>
    <t>v_UD4RnQp5tPY</t>
  </si>
  <si>
    <t>A young man stands in a dark room holding two maraca's and speaking to the camera.</t>
  </si>
  <si>
    <t>Another man walks in scolding him and then eventually take off their shirts.</t>
  </si>
  <si>
    <t>They walk to the bathroom and rub shaving cream all over their legs.</t>
  </si>
  <si>
    <t>They begin shaving their legs and hold up a razor smiling at the camera.</t>
  </si>
  <si>
    <t>v_4ksF9BUdQJM</t>
  </si>
  <si>
    <t>A man walks outside plugs his lawn mower in and gets ready to mow.</t>
  </si>
  <si>
    <t>He starts mowing his lawn casually going over all the grass.</t>
  </si>
  <si>
    <t>His dog comes outside and starts to follow him a little while he's closer to the house.</t>
  </si>
  <si>
    <t>The yard is slowly starting to look really really nice, once he is completely finished the yard looks great, nice and smooth.</t>
  </si>
  <si>
    <t>v_L0K-WJuI1-I</t>
  </si>
  <si>
    <t>A man is standing in a kitchen talking.</t>
  </si>
  <si>
    <t>He uses a vacuum to clean the floor.</t>
  </si>
  <si>
    <t>He removes the filter from the vacuum.</t>
  </si>
  <si>
    <t>He talks some more after this.</t>
  </si>
  <si>
    <t>v_syy0FVZ7SkQ</t>
  </si>
  <si>
    <t>A middle aged man talks while holding a mop.</t>
  </si>
  <si>
    <t>The man throws a mop pad on the floor and puts the mop on it picking up the pad.</t>
  </si>
  <si>
    <t>The man goes around the room mopping the floor.</t>
  </si>
  <si>
    <t>The same man is standing in a kitchen.</t>
  </si>
  <si>
    <t>The man runs water over the mop pad and then wrings it out.</t>
  </si>
  <si>
    <t>The man throws the mop pad on the floor again and picks it up with the mop.</t>
  </si>
  <si>
    <t>The man mops the floor going around the furniture.</t>
  </si>
  <si>
    <t>v_TrRsujPlt5w</t>
  </si>
  <si>
    <t>An elderly man is using an elliptical trainer inside a gym.</t>
  </si>
  <si>
    <t>He pedals and pushes back and forth as he talks to the person with the camera.</t>
  </si>
  <si>
    <t>v_wtA-5-6DRcY</t>
  </si>
  <si>
    <t>A group is lazily floating on intertubes in a river.</t>
  </si>
  <si>
    <t>The people are holding hands so they stay together.</t>
  </si>
  <si>
    <t>They float down the water in the rain, through the rapids.</t>
  </si>
  <si>
    <t>v_aDsRltSdQak</t>
  </si>
  <si>
    <t>We see the ocean and an island in the water.</t>
  </si>
  <si>
    <t>We see a person kitesurfing in the water.</t>
  </si>
  <si>
    <t>We then see two people kitesurfing.</t>
  </si>
  <si>
    <t>We go back to just one person surfing.</t>
  </si>
  <si>
    <t>We see the island from above.</t>
  </si>
  <si>
    <t>We return to the surfer in the water.</t>
  </si>
  <si>
    <t>v_v0mUPr68x2U</t>
  </si>
  <si>
    <t>A man get out a home while a dog follows him.</t>
  </si>
  <si>
    <t>Then a toddler get out the home, stand on the border of the swimming pool an falls in the water.</t>
  </si>
  <si>
    <t>The baby floats face up, then a man comes and take the baby.</t>
  </si>
  <si>
    <t>A woman puts a baby in the swimming pool, and the baby swims fast to reach the border of the swimming pool.</t>
  </si>
  <si>
    <t>A woman puts the baby in the swimming pool who swings and floats.</t>
  </si>
  <si>
    <t>v_0-ReTddxkhg</t>
  </si>
  <si>
    <t>Two women are in front of a camera, the woman in the red shirt is speaking.</t>
  </si>
  <si>
    <t>The women both put something from a cup in there mouths.</t>
  </si>
  <si>
    <t>The woman in red begins to dance.</t>
  </si>
  <si>
    <t>The woman in black makes a face to the camera.</t>
  </si>
  <si>
    <t>Both girls bend over a bit in front of the camera.</t>
  </si>
  <si>
    <t>The woman in red stops dancing and begins to laugh and the woman in black does this as well.</t>
  </si>
  <si>
    <t>It appears that both women either swallow or spit out whatever was in their mouths.</t>
  </si>
  <si>
    <t>v_yhWPzE-kmk4</t>
  </si>
  <si>
    <t>A young child is seen talking to the camera while wearing oven mits and holding a stick.</t>
  </si>
  <si>
    <t>The boy then opens and oven door and pulls out a plate of cookies.</t>
  </si>
  <si>
    <t>He uses the stick to push the rack back and closes the oven while waves to the camera.</t>
  </si>
  <si>
    <t>v_QT2l100KJe0</t>
  </si>
  <si>
    <t>A man in a yellow shirt has his hands behind his head.</t>
  </si>
  <si>
    <t>He is running down a track and throwing a javelin.</t>
  </si>
  <si>
    <t>He trips and falls forward.</t>
  </si>
  <si>
    <t>A shot of the field is shows with many people walking on it.</t>
  </si>
  <si>
    <t>v_OvSf6kk07uE</t>
  </si>
  <si>
    <t>Gymnasts stretch and prepare for a routine.</t>
  </si>
  <si>
    <t>They do a bunch of things with their shirts off.</t>
  </si>
  <si>
    <t>v_352jrqIWSFY</t>
  </si>
  <si>
    <t>Two wrestlers are seen hunches over in a ring with one running over to the other.</t>
  </si>
  <si>
    <t>One wrestler grabs the other and flips him over his shoulders, then a ref hits the side to tap out.</t>
  </si>
  <si>
    <t>v_0OxOI3sAIrM</t>
  </si>
  <si>
    <t>A woman is sitting on a mat on the floor.</t>
  </si>
  <si>
    <t>A man is talking about how to use a bowflex.</t>
  </si>
  <si>
    <t>She lies down, doing sit ups as he continues to talk.</t>
  </si>
  <si>
    <t>v__CJaovqcgtM</t>
  </si>
  <si>
    <t>A flat screen television is sitting on a stand showing the television show RAW.</t>
  </si>
  <si>
    <t>On the show,two men are wrestling each over moving on the ground.</t>
  </si>
  <si>
    <t>The fat man then picks up the skinny guy,drops him,and stands over him.</t>
  </si>
  <si>
    <t>v_iAWXaWo82u4</t>
  </si>
  <si>
    <t>A person is holding a dog covered in suds and holding a bottle of shampoo in a yard.</t>
  </si>
  <si>
    <t>We see the person standing next to the dog and washing him with the shampoo.</t>
  </si>
  <si>
    <t>A person waves their hand in front of the dog.</t>
  </si>
  <si>
    <t>The camera pans and we see another dog laying on the ground.</t>
  </si>
  <si>
    <t>v_1FFbrlvDQ7c</t>
  </si>
  <si>
    <t>A white screen appears with a picture of a globe and a banner around it with yellow words that say "ABADA-CAPOEIRA"and is followed with various white screens that have black writing on each individual screen.</t>
  </si>
  <si>
    <t>People that include both children and adults are gathered in a room and are watching a film being projected on a large wall.</t>
  </si>
  <si>
    <t>Now there are people that are dressed in white and are in a room with blue mats on the ground and various different people including both adults and children are all dancing capoeira style either together, or separately while some people play instruments and some people just watch them.</t>
  </si>
  <si>
    <t>When they're done dancing a lot of the children pile onto and around an adult man and they take a group picture.</t>
  </si>
  <si>
    <t>Outro appears and it's the globe, white screens with black words on each one, and then logos.</t>
  </si>
  <si>
    <t>v_J3TwVc0v89A</t>
  </si>
  <si>
    <t>Two sister toddlers enter in a kitchen, then one toddler wash the dishes in the sink.</t>
  </si>
  <si>
    <t>The mother puts dishes on the sink and open the dishwasher.</t>
  </si>
  <si>
    <t>The toddler sister helps with the dishwasher and then climbs the high chair and help wash the dishes and the toddler loads the dishwasher.</t>
  </si>
  <si>
    <t>The mother stands near the refrigerator drinking tea and texting.</t>
  </si>
  <si>
    <t>The sister toddler go down the chair and leave the kitchen.</t>
  </si>
  <si>
    <t>Then, the toddler go down the chair, then she close and turn on the dishwasher.</t>
  </si>
  <si>
    <t>v_QFz-keqof9g</t>
  </si>
  <si>
    <t>A rope is strung between two trees.</t>
  </si>
  <si>
    <t>A man walks on the rope.</t>
  </si>
  <si>
    <t>He falls several times off the rope.</t>
  </si>
  <si>
    <t>Eventually he is able to balance and walks back and forth.</t>
  </si>
  <si>
    <t>v_JKVOi9DE8Hs</t>
  </si>
  <si>
    <t>A little boy is throwing darts at a board.</t>
  </si>
  <si>
    <t>He walks over to the target, looking at where the darts hit.</t>
  </si>
  <si>
    <t>v_1o9RGnujlkI</t>
  </si>
  <si>
    <t>A girl is standing in a room taking out several arrows out of her pack and using her arrow to release them.</t>
  </si>
  <si>
    <t>She then moves around the gym,takes a deep breath and continues going.</t>
  </si>
  <si>
    <t>After she moves again,two carpets are shown hanging from the wall and she continues to aim at her target until all of her bows are gone.</t>
  </si>
  <si>
    <t>v_K1G84xfLr9s</t>
  </si>
  <si>
    <t>A girl walks onto a mat, bowing before the judges.</t>
  </si>
  <si>
    <t>She performs several martial arts moves using a large wooden stick.</t>
  </si>
  <si>
    <t>When she is done, a man blows a whistle.</t>
  </si>
  <si>
    <t>v_bKec2fA5RZ8</t>
  </si>
  <si>
    <t>A woman is shown talking to the camera holding a vacuum and followed by her vacuuming up her floor at a fast pace.</t>
  </si>
  <si>
    <t>She vacuums all around the area while still talking to the camera and eventually transitioning to a close up of the vacuum.</t>
  </si>
  <si>
    <t>v_gMaakjqhNmM</t>
  </si>
  <si>
    <t>There are some men playing darts in a basement where two dart boards are hung on the wall.</t>
  </si>
  <si>
    <t>One of the men wearing a green shirt aims the dart board with a dart to hit the bull's eye on one board.</t>
  </si>
  <si>
    <t>Another man also hits the dart on the other dart board.</t>
  </si>
  <si>
    <t>The man in green shoots another dart and then goes to remove it from the dart board.</t>
  </si>
  <si>
    <t>v_8kkKxLpiMus</t>
  </si>
  <si>
    <t>a group of people are gathered inside a room.</t>
  </si>
  <si>
    <t>They are walking back and forward together.</t>
  </si>
  <si>
    <t>They are dancing as a form of aerobics.</t>
  </si>
  <si>
    <t>v_kp-mNHSU5Rc</t>
  </si>
  <si>
    <t>Several shots of people leading around horses are shown and one ties a horse to pole and wets down a razor.</t>
  </si>
  <si>
    <t>The woman then cuts the horses mane and rubs down the horses coat while the camera pans around.</t>
  </si>
  <si>
    <t>The woman unties the horse and finishes by speaking to the camera.</t>
  </si>
  <si>
    <t>v_kcMJk5dg-Wc</t>
  </si>
  <si>
    <t>A small spout of water is shown outdoors between the forest and the rocks and is creating small waves.</t>
  </si>
  <si>
    <t>All of a sudden a person comes down the water kayaking.</t>
  </si>
  <si>
    <t>Once he gets to the bottom,the kayaker turns and the waves continue flowing washing up against the rocks.</t>
  </si>
  <si>
    <t>v_k3rWocPJ428</t>
  </si>
  <si>
    <t>A table soccer set is seen without players that is built out of Lego type blocks.</t>
  </si>
  <si>
    <t>A ball is dispensed from an enclosure.</t>
  </si>
  <si>
    <t>Two boys play a game of table soccer.</t>
  </si>
  <si>
    <t>A boy scores a goal and the ball is retrieved from the slot.</t>
  </si>
  <si>
    <t>A ball falls down a square chute.</t>
  </si>
  <si>
    <t>v_KoP6ZgL6fMY</t>
  </si>
  <si>
    <t>A woman in red is practicing to jump in the sand, She runs a little and jumps in the sand again.</t>
  </si>
  <si>
    <t>Then she starts to try from further back, sprinting and jumping into the sand.</t>
  </si>
  <si>
    <t>She starts to jump over little stands next and then another man joins in to practice with her.</t>
  </si>
  <si>
    <t>Then, an actual race begins and everyone is racing along.</t>
  </si>
  <si>
    <t>v_hKa9wV1orM8</t>
  </si>
  <si>
    <t>A teen wearing red cup gets hit by other cars.</t>
  </si>
  <si>
    <t>People spin around and then continue riding and bumping.</t>
  </si>
  <si>
    <t>Then, people spin without hitting and then continue riding and bumping cars.</t>
  </si>
  <si>
    <t>A boy wearing white shirt spins around and get hit by several cars.</t>
  </si>
  <si>
    <t>v_CZISTSKNsSk</t>
  </si>
  <si>
    <t>A man presents the videos with the topics he will cover as well as the equipment that will be needed to ski.</t>
  </si>
  <si>
    <t>Throughout the video, several people are shown demonstrating some key concepts of the skiing lesson.</t>
  </si>
  <si>
    <t>The video ends with the closing credits for the segment.</t>
  </si>
  <si>
    <t>v__kdhjXHUfes</t>
  </si>
  <si>
    <t>A woman is seen holding a pose on a stage and leads into another man walking on stage.</t>
  </si>
  <si>
    <t>The man and woman then perform a dance routine together around the stage while looking at one another.</t>
  </si>
  <si>
    <t>The two continue dancing and end with a bow and the audience applauding.</t>
  </si>
  <si>
    <t>v_rmaHl5HTcwE</t>
  </si>
  <si>
    <t>A close up of a dart board is seen that leads into darts appearing.</t>
  </si>
  <si>
    <t>A person's hand takes off the darts and more darts are shown hitting the board.</t>
  </si>
  <si>
    <t>This happens several more times while the camera captures it's movements.</t>
  </si>
  <si>
    <t>v_yJgC3-t_ciw</t>
  </si>
  <si>
    <t>There are two men playing Foos ball with two young boys in a living room.</t>
  </si>
  <si>
    <t>There is a large decorated Christmas tree behind them.</t>
  </si>
  <si>
    <t>There is a woman sitting in the living room with a little girl.</t>
  </si>
  <si>
    <t>The boys play Foos ball with the men.</t>
  </si>
  <si>
    <t>They laugh and enjoy themselves as they continue to play.</t>
  </si>
  <si>
    <t>v_BK8yiRJkfcU</t>
  </si>
  <si>
    <t>A large arena is seen with a person running by and pointing to the camera.</t>
  </si>
  <si>
    <t>Several shots are shown of the athlete playing football and leads into him standing.</t>
  </si>
  <si>
    <t>The man then runs down the field and long jumps into a sand pit and his jump is shown again.</t>
  </si>
  <si>
    <t>v_asWvAGhlbdQ</t>
  </si>
  <si>
    <t>A man is seen holding a sharp knife in his hands while the camera zooms in and the man points to two boxes.</t>
  </si>
  <si>
    <t>He then glides the knife along the boxes and shows off the sharpened knife to the camera.</t>
  </si>
  <si>
    <t>He ends by holding the knife and smiling to the camera.</t>
  </si>
  <si>
    <t>v_8aYk3so14fE</t>
  </si>
  <si>
    <t>A man is seen looking off into the distance and leads into him speaking to the camera.</t>
  </si>
  <si>
    <t>The man continues to speak to the camera and then walks behind a set of drums.</t>
  </si>
  <si>
    <t>The man plays the drums continuously and ends by speaking to the camera.</t>
  </si>
  <si>
    <t>v_hDV6wQKvKCg</t>
  </si>
  <si>
    <t>A young girl is shown swinging back and fourth on a swingset and smiling into the camera.</t>
  </si>
  <si>
    <t>She continues going back and fourth while the camera captures her yelling at the camera.</t>
  </si>
  <si>
    <t>v_vBCnsp-NEAg</t>
  </si>
  <si>
    <t>A person slices and ground garlic and chop parsley.</t>
  </si>
  <si>
    <t>Then, the person adds the garlic in the hot oil in a pan.</t>
  </si>
  <si>
    <t>The person cooks and drain the pasta, then put the pasta in the pot and add chicken broth, the cooked garlic, parsley, salt, pepper and cheese on top.</t>
  </si>
  <si>
    <t>Next, the person make fried chicken, then serves the pasta with the chicken.</t>
  </si>
  <si>
    <t>v_1f_EQl4C700</t>
  </si>
  <si>
    <t>Different people enjoy having a cup of tea together.</t>
  </si>
  <si>
    <t>A woman blends the holds up a greased pan then adds a yellow butter to a bowl.</t>
  </si>
  <si>
    <t>Flour is added to the bowl and everything is blended together.</t>
  </si>
  <si>
    <t>Eggs are added to the mixture and blended in with a blender.</t>
  </si>
  <si>
    <t>The woman adds a liquid extracts as well as additional powdered flour to the dish.</t>
  </si>
  <si>
    <t>The woman adds cubed fruit to the mixture and stirs it with a spatula.</t>
  </si>
  <si>
    <t>The host pours the ingredients into a pan then cooks them in an oven.</t>
  </si>
  <si>
    <t>The women enjoy a bite of the dish together.</t>
  </si>
  <si>
    <t>The host pours a cup of tea to enjoy.</t>
  </si>
  <si>
    <t>v_kS_wMOFfMDk</t>
  </si>
  <si>
    <t>A woman rubs her hand very well.</t>
  </si>
  <si>
    <t>Then, the woman rinse her hands with water.</t>
  </si>
  <si>
    <t>v_2ehPAKS6Gpo</t>
  </si>
  <si>
    <t>People are playing hockey on a rink of ice.</t>
  </si>
  <si>
    <t>A referee skates over to the people.</t>
  </si>
  <si>
    <t>They continue playing the game of hockey.</t>
  </si>
  <si>
    <t>v_Z4OyG8ZzUpg</t>
  </si>
  <si>
    <t>Two boys are out in the yard playing ball.</t>
  </si>
  <si>
    <t>One stands in front of the net and passes to the other with lacrosse sticks.</t>
  </si>
  <si>
    <t>The boys continue passing the ball bath and fourth to each other.</t>
  </si>
  <si>
    <t>One boy throws the ball out into the road while the other runs after it.</t>
  </si>
  <si>
    <t>Another boy comes in with a wig and the boys start wrestling each other.</t>
  </si>
  <si>
    <t>The boys then pretend the beat the boy with the wig up.</t>
  </si>
  <si>
    <t>The boys all continue wrestling each other while grabbing the objects and running away.</t>
  </si>
  <si>
    <t>v_E8r9-dSKLwc</t>
  </si>
  <si>
    <t>People are riding bikes around a dirt trail.</t>
  </si>
  <si>
    <t>They go over a hill several times.</t>
  </si>
  <si>
    <t>The boy is wearing a helmet.</t>
  </si>
  <si>
    <t>v_pv73L2pQX1s</t>
  </si>
  <si>
    <t>A person is welding a small square metal object.</t>
  </si>
  <si>
    <t>A flame exit a tube and a light sparkles form the welding machine.</t>
  </si>
  <si>
    <t>Two men weld to join to big cylinders.</t>
  </si>
  <si>
    <t>v_-1IBHYS3L-Y</t>
  </si>
  <si>
    <t>A man removes snow on a car using a snowbrush.</t>
  </si>
  <si>
    <t>Then, the man writes over the snow covering the window of a car, and a woman wearing winter clothes smiles.</t>
  </si>
  <si>
    <t>Then, the man continues removing the snow on his car.</t>
  </si>
  <si>
    <t>v_OYPyiUC4h68</t>
  </si>
  <si>
    <t>A man in bathing suit and his wife float down a river on intertubes.</t>
  </si>
  <si>
    <t>The man falls from his intertube and walks over to the waters edge.</t>
  </si>
  <si>
    <t>The man, now wearing life jacket, with his wife float down a river in the middle of a large group.</t>
  </si>
  <si>
    <t>A group from behind floats next to the man and woman as they slow down near the side of the river.</t>
  </si>
  <si>
    <t>v_oB6h3DscMUw</t>
  </si>
  <si>
    <t>A woman cuts the ends off a sweet potato on a cutting board with a knife.</t>
  </si>
  <si>
    <t>The woman uses a peeling tool to skin a sweet potato over the cutting board.</t>
  </si>
  <si>
    <t>v_L4ZhAK04yjg</t>
  </si>
  <si>
    <t>We see a man and a a woman dancing together.</t>
  </si>
  <si>
    <t>The man spins the woman back and forth.</t>
  </si>
  <si>
    <t>The screen turns a green shade.</t>
  </si>
  <si>
    <t>The lady takes her hair out of a pony tail.</t>
  </si>
  <si>
    <t>The screen turns a blue shade.</t>
  </si>
  <si>
    <t>A person enter the room then leaves.</t>
  </si>
  <si>
    <t>The people start spining again.</t>
  </si>
  <si>
    <t>The person returns and moves to the left.</t>
  </si>
  <si>
    <t>The color becomes normal again.</t>
  </si>
  <si>
    <t>The man stops and the woman is upset.</t>
  </si>
  <si>
    <t>v_ZWHFbIjh0N8</t>
  </si>
  <si>
    <t>An intro appears on a dark screen with red and white special effects and the words "MILWAUKEE OPEN" and "BEST PLAYS" show up on separate screens.</t>
  </si>
  <si>
    <t>Clips of various people, both men and women are outdoors at beaches, wearing beach attire as they play sand volleyball during different matches while a lot of spectators watching them and cheering them on.</t>
  </si>
  <si>
    <t>The clips end and the outro appears and looks just like the intro and ends with the words "BEST PLAYS" and "MILWAUKEE OPEN" on two different screens.</t>
  </si>
  <si>
    <t>v_tO1VJnsd8sg</t>
  </si>
  <si>
    <t>A person in a yellow shirt stands outside watching.</t>
  </si>
  <si>
    <t>A woman opens the door and walks out.</t>
  </si>
  <si>
    <t>v_3AZgr5HkSDY</t>
  </si>
  <si>
    <t>A large group of people are seen performing a routine together in an exercise class while moving up and down on a beam.</t>
  </si>
  <si>
    <t>The people continue moving around one another while moving their arms up and down on the beam and end by holding onto one another and walking around the room.</t>
  </si>
  <si>
    <t>v_9Ht1yvo936I</t>
  </si>
  <si>
    <t>people is playing black jack around a table.</t>
  </si>
  <si>
    <t>dealer is dealnig the cards and the tokens to the women.</t>
  </si>
  <si>
    <t>man stands from a table and walks in a room.</t>
  </si>
  <si>
    <t>v_hYj38k-VOFM</t>
  </si>
  <si>
    <t>A person is seen raking a yard and pauses to put his hand in his pocket.</t>
  </si>
  <si>
    <t>Another man comes walking in with a leaf blower pushing the leaves around.</t>
  </si>
  <si>
    <t>The man rakes more leaves and the leaf blower man comes in again.</t>
  </si>
  <si>
    <t>v_Ho0eNR4jvEg</t>
  </si>
  <si>
    <t>We see the underwater sea floor.</t>
  </si>
  <si>
    <t>Two people swim in front of the camera.</t>
  </si>
  <si>
    <t>We see a man holding a camera.</t>
  </si>
  <si>
    <t>We see a fin enter the camera.</t>
  </si>
  <si>
    <t>The camera is spinning wildly.</t>
  </si>
  <si>
    <t>Bubbles rise out of a tube.</t>
  </si>
  <si>
    <t>A man hands another person the mouthpiece.</t>
  </si>
  <si>
    <t>v_4S09Z8HRtdo</t>
  </si>
  <si>
    <t>Two people are seen walking around a yard in front of a board.</t>
  </si>
  <si>
    <t>Another man walks in and the group are seen laying up a fence.</t>
  </si>
  <si>
    <t>The men continue to put boards up on the fence and end by presenting it to the camera.</t>
  </si>
  <si>
    <t>v_f3Mse2A5edA</t>
  </si>
  <si>
    <t>A man is sitting behind a table completing a Rubik's cube.</t>
  </si>
  <si>
    <t>A person in a blue shirt is standing next to the table holding a stop watch.</t>
  </si>
  <si>
    <t>The man completes the Rubik's cube and sets it down.</t>
  </si>
  <si>
    <t>He hugs a person that walks up next to him.</t>
  </si>
  <si>
    <t>v_STR26rN9GcA</t>
  </si>
  <si>
    <t>Two men are outdoors on a sidewalk, playing drums with their bare hands.</t>
  </si>
  <si>
    <t>A large crowd crosses the sidewalk as they complete the show, and the man on the left stands upright.</t>
  </si>
  <si>
    <t>v_Y1j_e1DXW6I</t>
  </si>
  <si>
    <t>A group of people line up against a wall in front of a set of balls at the start of a game in a gym.</t>
  </si>
  <si>
    <t>The group runs up to retrieve the balls.</t>
  </si>
  <si>
    <t>The group trows balls back and forth with an opposing team in a dodge ball game.</t>
  </si>
  <si>
    <t>A man gets hit multiple times as he runs forward on the court and retrieves balls.</t>
  </si>
  <si>
    <t>v_oeFUzyNgxQU</t>
  </si>
  <si>
    <t>We see men on a stage walking on a slack line as two other men film the event.</t>
  </si>
  <si>
    <t>They switch and a different man then walks the slackline who flips off the slackline.</t>
  </si>
  <si>
    <t>The men switch again and the first man is on the slackline.</t>
  </si>
  <si>
    <t>The man fall off the slackline onto his butt.</t>
  </si>
  <si>
    <t>The second man bounces and flips off.</t>
  </si>
  <si>
    <t>The first man bounces and flips off.</t>
  </si>
  <si>
    <t>the men clap and take the slackline off stage.</t>
  </si>
  <si>
    <t>v_p8C7govzEPw</t>
  </si>
  <si>
    <t>A close up of a clock is shown followed by a person making and pouring out coffee as well as the outside of a building.</t>
  </si>
  <si>
    <t>A women sets up her keys, writes on a board, and leads into her grooming and petting the dogs.</t>
  </si>
  <si>
    <t>Several clips are shown of the woman grooming the animals from various views and the animals shown afterwards.</t>
  </si>
  <si>
    <t>v_CZGDWYYkO-U</t>
  </si>
  <si>
    <t>A girl wearing glasses is seen speaking to the camera that leads into her taking them off and holding them to her camera.</t>
  </si>
  <si>
    <t>She then holds up various items and holds her eye open to put in contact lens for both eyes.</t>
  </si>
  <si>
    <t>v_Ygy-zufAejI</t>
  </si>
  <si>
    <t>We see a man walking a tightrope high above a mountain range.</t>
  </si>
  <si>
    <t>We see a picture in picture in the upper left corner.</t>
  </si>
  <si>
    <t>We see the man holding a selfie stick.</t>
  </si>
  <si>
    <t>The man reaches the other side and turns around.</t>
  </si>
  <si>
    <t>the ending title screen loads.</t>
  </si>
  <si>
    <t>v_enESbo2pA9U</t>
  </si>
  <si>
    <t>Several shots are shown of a celebrity walking the red carpet as well as a woman hosting a news segment and pictures being shown beside her.</t>
  </si>
  <si>
    <t>More pictures are shown as well as the celebrity skiing and snowboarding and ends with men escorting the celebrity into a building and more pictures as the woman speaks.</t>
  </si>
  <si>
    <t>v_JhoGvKrhs8s</t>
  </si>
  <si>
    <t>A large marching band is seen standing together in front of a large building with others standing around.</t>
  </si>
  <si>
    <t>More shots are shown of the group standing around one another while the camera pans around.</t>
  </si>
  <si>
    <t>v_7hxCoi0XU6I</t>
  </si>
  <si>
    <t>An intro leads into two women in front of the camera, one standing and speaking, and the other sitting and watching.</t>
  </si>
  <si>
    <t>The woman standing holds up a brush and begins brushing the woman's hair.</t>
  </si>
  <si>
    <t>She finishes brushing the woman's hair and looks back to the camera smiling.</t>
  </si>
  <si>
    <t>v_vlBzrnOuW9U</t>
  </si>
  <si>
    <t>A woman helps a little boy kick a ball during a kickball game.</t>
  </si>
  <si>
    <t>Each time the ball reaches base, another kid has a turn to kick.</t>
  </si>
  <si>
    <t>v_bqsWU8HqpxE</t>
  </si>
  <si>
    <t>A man runs with a pole and a jumps high, then people jumps several times.</t>
  </si>
  <si>
    <t>Two men are boxing, then people gather, men parachute and a man dive in the water.</t>
  </si>
  <si>
    <t>People dressed with military clothes, then they are doing other activities.</t>
  </si>
  <si>
    <t>People practice pole vault, climbing and other activities.</t>
  </si>
  <si>
    <t>v_P5Sg_kACPRM</t>
  </si>
  <si>
    <t>Two men run on a track while a large crowd of spectators and press watch.</t>
  </si>
  <si>
    <t>A man in the grass in the background runs with the men for a moment.</t>
  </si>
  <si>
    <t>The man on the inside lane of the track starts running very fast and then jumps into a sand pit.</t>
  </si>
  <si>
    <t>the other man runs past the sand pit.</t>
  </si>
  <si>
    <t>The man that jumped steps out of the sand pit and walks to the side.</t>
  </si>
  <si>
    <t>v_xXGc5_0_2QI</t>
  </si>
  <si>
    <t>Inside of a fence men are sitting upon horses waiting.</t>
  </si>
  <si>
    <t>One of the men starts to chase after a bull on his horse.</t>
  </si>
  <si>
    <t>He gets off of his horse and brings the bull down and starts walking back to his horse.</t>
  </si>
  <si>
    <t>He gets back on the horse as the bull just lays on the ground defeated.</t>
  </si>
  <si>
    <t>v_v26OP6f29Qc</t>
  </si>
  <si>
    <t>The men discuss a project sitting at the table.</t>
  </si>
  <si>
    <t>Two men sit at a table together and read from a document.</t>
  </si>
  <si>
    <t>The two men play a game of rock paper scissors.</t>
  </si>
  <si>
    <t>v_1Z3mjpu1I2A</t>
  </si>
  <si>
    <t>There's a little girl washing dishes and spoons in the kitchen sink.</t>
  </si>
  <si>
    <t>She uses a blue dish scrub and plenty of dish soap and washes the glass and spoons while keeping the tap running.</t>
  </si>
  <si>
    <t>She has her hands covered with soap foam as she washes the spoons and knives under the tap.</t>
  </si>
  <si>
    <t>She then washes a pizza cutter and spoon thoroughly with the soap and water.</t>
  </si>
  <si>
    <t>v_VyQ4ZbgqMXk</t>
  </si>
  <si>
    <t>A man is playing a game of shuffleboard.</t>
  </si>
  <si>
    <t>A man falls down onto the shuffleboard.</t>
  </si>
  <si>
    <t>A disc is dropped onto the ground.</t>
  </si>
  <si>
    <t>v_pieT6K771WQ</t>
  </si>
  <si>
    <t>A girl talks stand on the sidewalk, then she walks to a hopscotch.</t>
  </si>
  <si>
    <t>The girl stands on the hopscotch, then she jumps hopscotch while talking.</t>
  </si>
  <si>
    <t>v_FLL06mU-ua8</t>
  </si>
  <si>
    <t>A man gives tips on outdoor physical training.</t>
  </si>
  <si>
    <t>He demonstrates on the monkey bars going back and forth with upper body strength.</t>
  </si>
  <si>
    <t>v_QgklQUCQcV4</t>
  </si>
  <si>
    <t>A news report on physical fitness is given.</t>
  </si>
  <si>
    <t>A few people discuss the benefits of hulahooping and then do a demonstration.</t>
  </si>
  <si>
    <t>v_vcRCId1-xdA</t>
  </si>
  <si>
    <t>A woman is seen holding a drink on stage speaking into a mic as well as the audience.</t>
  </si>
  <si>
    <t>The woman continues speaking and looking around the audience while taking sips of her drink and putting it down.</t>
  </si>
  <si>
    <t>Finally she picks up a guitar and grabs a pic from the front and steps away.</t>
  </si>
  <si>
    <t>v__W8m7v1Ir5I</t>
  </si>
  <si>
    <t>A large group of people are seen standing behind one another with others watching on the sides and leads into the group running down a road.</t>
  </si>
  <si>
    <t>The large group of kids continue running down the road after one another while people still watch on the sides.</t>
  </si>
  <si>
    <t>v_mtF0AFNSFnI</t>
  </si>
  <si>
    <t>A man is seen sitting in front of a woman who begins playing a piano.</t>
  </si>
  <si>
    <t>Another man is seen sitting next to her playing an accordion.</t>
  </si>
  <si>
    <t>The man and woman play together while smiling and nodding and end by stopping and the man applauding.</t>
  </si>
  <si>
    <t>v_VlfnvORj6KY</t>
  </si>
  <si>
    <t>A man is sitting behind three drums.</t>
  </si>
  <si>
    <t>He begins playing the drums in front of him.</t>
  </si>
  <si>
    <t>He finishes playing and pictures are shown on the screen.</t>
  </si>
  <si>
    <t>v_-bzI8_hCbWk</t>
  </si>
  <si>
    <t>A large group of people are seen standing around a large gymnasium playing a game of dodge ball with one another.</t>
  </si>
  <si>
    <t>One man performs an impressive flip that leads to a man speaking to the camera and showing more shots of impressive dodgeball play.</t>
  </si>
  <si>
    <t>v_Il2jGm3L0-0</t>
  </si>
  <si>
    <t>A male athlete puts powder on his hands.</t>
  </si>
  <si>
    <t>He mounts a high beam in the gym.</t>
  </si>
  <si>
    <t>He spins and flips several times before dismounting.</t>
  </si>
  <si>
    <t>v_IeMeu-7QihI</t>
  </si>
  <si>
    <t>A shot of people are shown from several angles and leads into various shots of people riding skis and doing tricks.</t>
  </si>
  <si>
    <t>More close up of water skiers are shown while the boat trails around the area.</t>
  </si>
  <si>
    <t>v_hV9sBYo342M</t>
  </si>
  <si>
    <t>A man is running down a track.</t>
  </si>
  <si>
    <t>He jumps onto a blue mat.</t>
  </si>
  <si>
    <t>He jumps over a high bar and lands on the blue mat.</t>
  </si>
  <si>
    <t>v_Zfo0XXcWXiU</t>
  </si>
  <si>
    <t>A woman brushes and dries her hair.</t>
  </si>
  <si>
    <t>The woman puts the blow dryer down and brushes her hair again.</t>
  </si>
  <si>
    <t>v_O_IrzZbXiCc</t>
  </si>
  <si>
    <t>A child smiles at the camera.</t>
  </si>
  <si>
    <t>The child practices field hockey with obstacles on the ground.</t>
  </si>
  <si>
    <t>The child walks away from the camera.</t>
  </si>
  <si>
    <t>v_2-hF-v79XyQ</t>
  </si>
  <si>
    <t>We see two men in a TV studio talking.</t>
  </si>
  <si>
    <t>We see people playing an indoor soccer game.</t>
  </si>
  <si>
    <t>A man in black is running with his arms in the air.</t>
  </si>
  <si>
    <t>A man in yellow slides on the ground.</t>
  </si>
  <si>
    <t>The 10 in yellow throws a tantrum.</t>
  </si>
  <si>
    <t>The yellow team all hug each other.</t>
  </si>
  <si>
    <t>We return to the men in the studio.</t>
  </si>
  <si>
    <t>v_FNX7CeuIvIQ</t>
  </si>
  <si>
    <t>A man is outside with two dogs on leashes.</t>
  </si>
  <si>
    <t>He puts on a show with the trained dogs.</t>
  </si>
  <si>
    <t>He throws frisbees, and the small crowd claps for the performing dogs.</t>
  </si>
  <si>
    <t>v_eWP99kNayuU</t>
  </si>
  <si>
    <t>A man stands over a roof of a house and puts a took on the roof.</t>
  </si>
  <si>
    <t>Then, the man holds the handle of a tool with one hand.</t>
  </si>
  <si>
    <t>The man holds the handle with two hands, then he continues holding the tool with one hand.</t>
  </si>
  <si>
    <t>v_vKShqwBJrME</t>
  </si>
  <si>
    <t>A person's hands are seen attempting to solve a rubix cube while the end of a table is shown.</t>
  </si>
  <si>
    <t>The person continues until they finish the cube and then shows his time on the screen.</t>
  </si>
  <si>
    <t>v_JxEnKQ7iXUI</t>
  </si>
  <si>
    <t>A group of young girls are dressed in pink tutus, standing on a stage and doing their ballerina routine.</t>
  </si>
  <si>
    <t>One of the girls goes out of sync from the rest and starts moving her feet as she's doing her routine and everything other girl is just standing on their feet and moving just their arms.</t>
  </si>
  <si>
    <t>The girls are now starting to sing as they continue to dance and the same girl that was doing her own thing out of sync continues to do her own dancing different from the majority of the young girls.</t>
  </si>
  <si>
    <t>The dance ends and some of the girls do a curtsy and then they all walk off the stage.</t>
  </si>
  <si>
    <t>v_oq8DE3Cbar0</t>
  </si>
  <si>
    <t>A man in a movie mask is seated by a flight of stairs.</t>
  </si>
  <si>
    <t>He is playing an accordian for the people passing by.</t>
  </si>
  <si>
    <t>A few pause to listen, then continue on their way.</t>
  </si>
  <si>
    <t>v_34eCEU2Y4T0</t>
  </si>
  <si>
    <t>A woman demonstrates, on a toy baby, how to swaddle a baby and wash a baby’s face using cotton balls and wet towels.</t>
  </si>
  <si>
    <t>A woman stands in front of a toy baby and talks to the camera.</t>
  </si>
  <si>
    <t>The woman swaddles the baby in a white blanket and then begins to apply water soaked cotton balls, from a nearby water filled container, to the baby’s eyes and nose and face.</t>
  </si>
  <si>
    <t>The woman finishes and talks to the camera again.</t>
  </si>
  <si>
    <t>v_s789WxU8PFY</t>
  </si>
  <si>
    <t>A woman is seen speaking to the camera and begins unboxing an item.</t>
  </si>
  <si>
    <t>She pulls out the panels as well as putting sunglasses on and presents a pan of objects to the camera.</t>
  </si>
  <si>
    <t>She continues speaking to the camera and pulls the objects out to present baked cookies.</t>
  </si>
  <si>
    <t>The cookies are seen again on a tray and she breaks them open to see.</t>
  </si>
  <si>
    <t>v_7845vSLQoG8</t>
  </si>
  <si>
    <t>A little boy is bending over dipping a paint brush into a blue bucket.</t>
  </si>
  <si>
    <t>He paints the fence in front of him.</t>
  </si>
  <si>
    <t>He walks towards the camera.</t>
  </si>
  <si>
    <t>v_3G3Zear4vog</t>
  </si>
  <si>
    <t>Two girls are seen moving quickly around the room while switching places and looking into a camera.</t>
  </si>
  <si>
    <t>The younger girl laughs to the camera while putting on makeup and the other moves around quick.</t>
  </si>
  <si>
    <t>v_yB35e1u3pJs</t>
  </si>
  <si>
    <t>A young girl is seen speaking to the camera while sitting at a table and leads into her holding up a contacts case.</t>
  </si>
  <si>
    <t>The girl then holds her eye open and takes out the contact, followed by her dipping it in liquid and putting it back in while still speaking.</t>
  </si>
  <si>
    <t>v_JRr3BruqS2Y</t>
  </si>
  <si>
    <t>A woman is rollerskating across a street with people crossing behind her.</t>
  </si>
  <si>
    <t>She goes back across the street alone.</t>
  </si>
  <si>
    <t>A woman in a grey sweater talks to the camera on the sidewalk.</t>
  </si>
  <si>
    <t>A man in a black hat talks to the camera in front of a blue building.</t>
  </si>
  <si>
    <t>A man in a black shirt is sitting down and talking.</t>
  </si>
  <si>
    <t>It goes back to the man in a black hat talking.</t>
  </si>
  <si>
    <t>It goes back to the man in the black shirt talking.</t>
  </si>
  <si>
    <t>The girl is bent over on roller blades pulling something out of a bench.</t>
  </si>
  <si>
    <t>She does tricks on the bench.</t>
  </si>
  <si>
    <t>A woman in a brown hat is talking.</t>
  </si>
  <si>
    <t>A man with a mohawk talks.</t>
  </si>
  <si>
    <t>The girl does more tricks on her roller blades.</t>
  </si>
  <si>
    <t>Three kids are sitting on a bench in roller skates talking.</t>
  </si>
  <si>
    <t>The girl on roller blades does another trick.</t>
  </si>
  <si>
    <t>An older woman is talking to the camera.</t>
  </si>
  <si>
    <t>v_mBZAFJ-Q6Mw</t>
  </si>
  <si>
    <t>A boy is drawing with chalk on concrete as he deals with the troubles of family life and school.</t>
  </si>
  <si>
    <t>He finishes drawing hopscotch boxes on the concrete as he begins to jump on the squares and begins to dance only to be reminded of the bullying at school.</t>
  </si>
  <si>
    <t>The young man is seen now break dancing and going through a routine.</t>
  </si>
  <si>
    <t>Back at home with his troubled family he is eating and day dreaming of dancing as the scene goes back to him dancing.</t>
  </si>
  <si>
    <t>He stops dancing to look at the hopscotch squares that are now faded and worn.</t>
  </si>
  <si>
    <t>In the classroom as the teacher is walking through the rows of desks he notices the young man asleep at his desk as he uses a ruler to tap him on his head to wake him.</t>
  </si>
  <si>
    <t>The young boy notices a note at his desk that has a picture of the hopscotch squares that says "teach me" followed by a smiley face.</t>
  </si>
  <si>
    <t>The credits roll as the concrete and the chalk marks of the hopscotch squares are shown.</t>
  </si>
  <si>
    <t>v_qisMX7KNi7s</t>
  </si>
  <si>
    <t>She opens a white bin and pours water and soap into it.</t>
  </si>
  <si>
    <t>She then closes it and turns the top.</t>
  </si>
  <si>
    <t>She hangs the clothes from a wood rack to dry.</t>
  </si>
  <si>
    <t>v_60CCYfec2vQ</t>
  </si>
  <si>
    <t>There are several workers on top of a roof working on repairing the roof.</t>
  </si>
  <si>
    <t>They are removing the old shingles with the help of a roof jacks.</t>
  </si>
  <si>
    <t>They continue removing the shingles while standing on top of the roof.</t>
  </si>
  <si>
    <t>v_xoETvVbyiBA</t>
  </si>
  <si>
    <t>A man walks up to a set of parallel bars.</t>
  </si>
  <si>
    <t>The man performs acrobatics on the bars in a professional venue.</t>
  </si>
  <si>
    <t>The man successfully jumps of the bars and lands on his feet.</t>
  </si>
  <si>
    <t>v_3Rc2pPAQ-Cs</t>
  </si>
  <si>
    <t>The man in white shirt is strumming the bongo drum.</t>
  </si>
  <si>
    <t>At the counter the man is sitting behind the counter.</t>
  </si>
  <si>
    <t>The man playing bongo hit one drum then the next, then he beat the drums fast.</t>
  </si>
  <si>
    <t>v_CsaeiOFuij0</t>
  </si>
  <si>
    <t>A man is positioning a camera and then walks into a room through a wall of glass with three walls in them.</t>
  </si>
  <si>
    <t>When he enters the room,another man appears with a racket in his hand and they begin hitting the ball up against the wall.</t>
  </si>
  <si>
    <t>The two go back and forth hitting the ball and they eventually stop when neither of the men are able to get to the ball.</t>
  </si>
  <si>
    <t>v_KHxBqZmSaJU</t>
  </si>
  <si>
    <t>people is sitting on a studio talking to each other.</t>
  </si>
  <si>
    <t>man is in the beach doing tricks with a little kid and people in the studio is talking about the video.</t>
  </si>
  <si>
    <t>page of a cheerleaders is shown in the screen and the video of the girl in the beach doing tricks.</t>
  </si>
  <si>
    <t>man is in a living room with a little girl and is doing tricks with her and on the beach, then a video of the man and the girl talking to a camera is shown while people in the stuio keep talking and showing their videos.</t>
  </si>
  <si>
    <t>v_UgtzVS_oeq0</t>
  </si>
  <si>
    <t>People are shown interacting in a dance hall.</t>
  </si>
  <si>
    <t>A woman smokes and exhales black smoke.</t>
  </si>
  <si>
    <t>A man approaches a table and places food on it.</t>
  </si>
  <si>
    <t>Two children eat under the table.</t>
  </si>
  <si>
    <t>Two individuals dancing together kiss.</t>
  </si>
  <si>
    <t>The woman smokes and the black smoke disappears.</t>
  </si>
  <si>
    <t>v_Gd6YooP1_CU</t>
  </si>
  <si>
    <t>A close up of a coffee drink is shown followed by a man drinking out of the cup.</t>
  </si>
  <si>
    <t>The camera pans around to more people with drinks in their hands.</t>
  </si>
  <si>
    <t>A ma looks down at his lap with the drink still in front of him.</t>
  </si>
  <si>
    <t>v_n5RVQbgz1Rs</t>
  </si>
  <si>
    <t>A large green field is shown as two teams begin rushing towards a ball hitting it with a stick that has a net at the end of it.</t>
  </si>
  <si>
    <t>As the game progresses,a player runs into two other people and flips over their shoulders ultimately getting injured.</t>
  </si>
  <si>
    <t>He lays on the ground and several replays of the incident are shown.</t>
  </si>
  <si>
    <t>Next,several still images of other teams walking and preparing to start are shown of them playing games in various locations.</t>
  </si>
  <si>
    <t>v_PFn7a6eEhb4</t>
  </si>
  <si>
    <t>The camera zooms in on a baby cow with various title pages shown across the screen.</t>
  </si>
  <si>
    <t>A group of men run around a calf while others hold him down.</t>
  </si>
  <si>
    <t>A drunk man attempts to interact with a bull and is flipped into the air.</t>
  </si>
  <si>
    <t>Several men drag him out while a tourist attempts to draw the bull in.</t>
  </si>
  <si>
    <t>The bull nearly grabs him but the boy makes it on the fence and throws the red blanket on the bull.</t>
  </si>
  <si>
    <t>v_uUzmPV8Vgqg</t>
  </si>
  <si>
    <t>A woman in track pants and her daughters wash a small dog with soap and water in a bucket on a patio.</t>
  </si>
  <si>
    <t>A woman uses a cup to pour water on the dog to remove the soap.</t>
  </si>
  <si>
    <t>v_qtfFFPKya3Y</t>
  </si>
  <si>
    <t>A field is shown with about ten men standing in the middle and a man takes off running and throws a ball at a man holding a paddle.</t>
  </si>
  <si>
    <t>More games are shown and the same exact actions are repeated throughout various teams.</t>
  </si>
  <si>
    <t>A man with short black hair is then shown and his teammates begin congratulating him and more teams are shown playing the game.</t>
  </si>
  <si>
    <t>v_Pt4BlfBqduE</t>
  </si>
  <si>
    <t>man is holding a hammer fixing the roof of a garage.</t>
  </si>
  <si>
    <t>man is standing in the rooftop adding a black mix.</t>
  </si>
  <si>
    <t>v_ean7ZR6XmG4</t>
  </si>
  <si>
    <t>man is sitting on a table eating a sandwich in a rstaurant talking to other man.</t>
  </si>
  <si>
    <t>man is watching the man while eats and talking to him.</t>
  </si>
  <si>
    <t>both men stands and play rock paper scissors and man hits the man sand this falls to the floor.</t>
  </si>
  <si>
    <t>man is sitting on the chair and talks to the man on thefloor and throw him the sandwich.</t>
  </si>
  <si>
    <t>man walks to a desk and sits in front of te computer drinking water and the other man is laying on the floor trying to talk.</t>
  </si>
  <si>
    <t>anoher man siting in front talk to the man in the desk.</t>
  </si>
  <si>
    <t>man stands and talk to the man on the floor and hits him again and the man spit blood.</t>
  </si>
  <si>
    <t>v_KVmuW9kwZV4</t>
  </si>
  <si>
    <t>A man at his dish washing job has a very unique way to do his dishes at a very fast speed.</t>
  </si>
  <si>
    <t>He throws all the plates one by one very fast.</t>
  </si>
  <si>
    <t>They all land into the sink on top of each other after he wipes them down, some of them fall out a bit.</t>
  </si>
  <si>
    <t>The he pushes them all down into the water.</t>
  </si>
  <si>
    <t>v_3PC5_h68qkc</t>
  </si>
  <si>
    <t>People are putting on their supplies and riding in rafts down a river.</t>
  </si>
  <si>
    <t>We see the location name and the resort shots of the restaurants, bathrooms and more.</t>
  </si>
  <si>
    <t>We see people dance and play games outdoors and in a room in groups with balloons and dancing.</t>
  </si>
  <si>
    <t>We see people zip lining in the jungle.</t>
  </si>
  <si>
    <t>v_bJahexpTlr8</t>
  </si>
  <si>
    <t>A man in a silver jacket is fixing a spoke on the tire of his bicycle.</t>
  </si>
  <si>
    <t>He spins the wheel of the tire.</t>
  </si>
  <si>
    <t>He takes the tire off the bike and lays it against the building.</t>
  </si>
  <si>
    <t>He uses a tool to fix the spoke of the tire.</t>
  </si>
  <si>
    <t>He puts the tire back on the bike and spins it.</t>
  </si>
  <si>
    <t>v_ERmsX91_7V4</t>
  </si>
  <si>
    <t>A person is seen running onto a court and shooting a basketball.</t>
  </si>
  <si>
    <t>The man is shown in several clips running down and scoring a basket.</t>
  </si>
  <si>
    <t>The man continues to shoot hoops over and over again.</t>
  </si>
  <si>
    <t>v_hLnVjkmioH8</t>
  </si>
  <si>
    <t>A boy sits at a kitchen counter and adjusts the camera.</t>
  </si>
  <si>
    <t>His friend moves the camera back so they are more visible.</t>
  </si>
  <si>
    <t>The two boys then arm wrestle and the left boy wins both times.</t>
  </si>
  <si>
    <t>The right boy walks away and the left boy reaches for the camera.</t>
  </si>
  <si>
    <t>v_SQM-heGm8iU</t>
  </si>
  <si>
    <t>Two women are seen running around a room and leads into one speaking to the camera.</t>
  </si>
  <si>
    <t>The people hit a tennis ball around the room while dancing and cheering with one another.</t>
  </si>
  <si>
    <t>The people continue hitting the ball around while playing with one another.</t>
  </si>
  <si>
    <t>v_Lvia-mF_Hnk</t>
  </si>
  <si>
    <t>A man in welding attire welds a piece of metal to another piece of metal on camera.</t>
  </si>
  <si>
    <t>A man wearing protective clothing and a metal welding hat stands in front of a piece of metal missing a long strip on the face of it.</t>
  </si>
  <si>
    <t>The man begins to weld creating large sparks of white light.</t>
  </si>
  <si>
    <t>When the welding stop the finished product reveals a strip has been welded onto the formerly bare spot and the welder tests it with a hard instrument.</t>
  </si>
  <si>
    <t>v_WhYyvKiwLc8</t>
  </si>
  <si>
    <t>A woman rides a bike outside.</t>
  </si>
  <si>
    <t>She is then shown playing a violin.</t>
  </si>
  <si>
    <t>She then roller blades outside.</t>
  </si>
  <si>
    <t>And then she does push ups on a roof.</t>
  </si>
  <si>
    <t>v_DEt_Xgg8dzc</t>
  </si>
  <si>
    <t>A person jumps and land on the sand.</t>
  </si>
  <si>
    <t>A man runs fast and jumps high to land on the sand, then stand and goes skiping to his sit, while people walk in the stadium.</t>
  </si>
  <si>
    <t>A man talks sitting in an elegant room.</t>
  </si>
  <si>
    <t>A man pass on front the crowd, then jumps and bend on the floor to celebrate.</t>
  </si>
  <si>
    <t>Three athletes stand on the podium, then a man runs and jumps to land on the sand.</t>
  </si>
  <si>
    <t>v_taO9hPOvMz0</t>
  </si>
  <si>
    <t>People are sitting on the sand on a beach.</t>
  </si>
  <si>
    <t>People are surfing on large waves in the water.</t>
  </si>
  <si>
    <t>A boy lays a towel out onto the sand of the beach.</t>
  </si>
  <si>
    <t>People continue to surf on the large waves of the water.</t>
  </si>
  <si>
    <t>v_BKRKHkkZq6g</t>
  </si>
  <si>
    <t>A man wearing a black shirt holds an exercise ball over another man wearing a light blue shirt performs sit-ups on an inclined bench.</t>
  </si>
  <si>
    <t>The man wearing the black shirt drops the ball on the floor and crouches down and high fives the man performing the sit-ups.</t>
  </si>
  <si>
    <t>v_j_ImkPKoA-U</t>
  </si>
  <si>
    <t>A man is sitting on a rock by a fast flowing river.</t>
  </si>
  <si>
    <t>Another man sails past him in a raft trying to keep up with the strong current and waves.</t>
  </si>
  <si>
    <t>There are several other people sitting on the rocks watching the rafter go by.</t>
  </si>
  <si>
    <t>They are sitting on the rocks with their life vests besides them.</t>
  </si>
  <si>
    <t>v_MlxMV7WH9-g</t>
  </si>
  <si>
    <t>A camera pans out of chocolate chip cookies and milk and leads into a woman speaking.</t>
  </si>
  <si>
    <t>The woman mixes various ingredients together in a bowl and leads into her putting clumps of dough onto a pan.</t>
  </si>
  <si>
    <t>She puts the pan in the oven then takes it out to show off her chocolate ship cookies.</t>
  </si>
  <si>
    <t>v_C_fqFJyf5SU</t>
  </si>
  <si>
    <t>A woman is seen standing in front of the camera holding onto fire.</t>
  </si>
  <si>
    <t>Another woman steps beside the first and the two begin performing a fire routine with one another.</t>
  </si>
  <si>
    <t>A man hands them objects to light and the woman continue dancing and spinning around with the fire.</t>
  </si>
  <si>
    <t>v_8qODQbBVsus</t>
  </si>
  <si>
    <t>A man and woman are standing at a counter with a pineapple.</t>
  </si>
  <si>
    <t>The man ripped the top of the pineapple.</t>
  </si>
  <si>
    <t>The man sliced the top off the pineapple.</t>
  </si>
  <si>
    <t>The man cut the pineapple in half.</t>
  </si>
  <si>
    <t>The man cut the skin off the pineapple.</t>
  </si>
  <si>
    <t>v_gmFioIDX4X0</t>
  </si>
  <si>
    <t>A person is seen climbing into the back of a kayak with another man and paddling alone the water.</t>
  </si>
  <si>
    <t>The camera pans around the area and zooms back and fourth along the water and pans to people on the beach.</t>
  </si>
  <si>
    <t>v_vycd0CJTwoA</t>
  </si>
  <si>
    <t>A parking lot is shown, and a man on roller blades takes off down the hill.</t>
  </si>
  <si>
    <t>He goes around sharp curves on his skates.</t>
  </si>
  <si>
    <t>He takes several country and wooded roads before rolling to a stop in a parking lot.</t>
  </si>
  <si>
    <t>v_TcxOTZ4xnQ4</t>
  </si>
  <si>
    <t>A girl demonstrates several gymnastic and tumbler moves in a living room and on a green lawn with a line of residential houses as a backdrop.</t>
  </si>
  <si>
    <t>A girl demonstrates a somersault move in the living room in front of two couches.</t>
  </si>
  <si>
    <t>The girl then demonstrates more advanced backflip gymnastic moves in a field of grass with houses in a residential neighborhood as the backdrop.</t>
  </si>
  <si>
    <t>v_OkEqcSlWMJg</t>
  </si>
  <si>
    <t>A small group of people are seen swimming in a pool and leads into various clips of children learning how to swim.</t>
  </si>
  <si>
    <t>A man helps them practice in the water as well as jumping off a diving board.</t>
  </si>
  <si>
    <t>More shots are shown of kids swimming and leads into a girl grabbing objects under water and swimming with another.</t>
  </si>
  <si>
    <t>v_EL47wkhiOq8</t>
  </si>
  <si>
    <t>The young boy serve the shuttlecock but it hit the net.</t>
  </si>
  <si>
    <t>The older man serve the ball and the kid missed it.</t>
  </si>
  <si>
    <t>An older woman in gray shirt serve the ball and the girl in red hit it.</t>
  </si>
  <si>
    <t>v_Jv7AjsdOk2I</t>
  </si>
  <si>
    <t>A man is skateboarding, he jumps up on higher levels.</t>
  </si>
  <si>
    <t>He kicks to build up some speed and does some cool tricks .</t>
  </si>
  <si>
    <t>He gets off and then jumps back on the board and does more tricks all around.</t>
  </si>
  <si>
    <t>He jumps up on a rail and then gets back down and sits on the board and waves.</t>
  </si>
  <si>
    <t>v_taHfD8TFfX4</t>
  </si>
  <si>
    <t>A baseball player is seen standing on a patch of dirt with another behind him.</t>
  </si>
  <si>
    <t>The man then begins to hit a ball.</t>
  </si>
  <si>
    <t>The man hits the ball in slow motion.</t>
  </si>
  <si>
    <t>v_X3Nr9Gj6JR0</t>
  </si>
  <si>
    <t>A person makes spaghetti from scratch using flour, eggs, a blender and a pasta press.</t>
  </si>
  <si>
    <t>A hand mixes flour in a bowl, adds eggs and mixes both ingredients with a mixer.</t>
  </si>
  <si>
    <t>The hands then take the resulting ball of dough and kneads it, covers it in saran wrap and cuts it in pieces before rolling it flat with a rolling pin.</t>
  </si>
  <si>
    <t>The person then takes the flattened dough and puts it in a presser, dusts it with flour, and puts it into a container and then a spaghetti press which produces many strands of spaghetti.</t>
  </si>
  <si>
    <t>v_aOzMA2rpWEw</t>
  </si>
  <si>
    <t>A man and a woman are standing outside in the snow talking.</t>
  </si>
  <si>
    <t>The man is cleaning the snow off of the car.</t>
  </si>
  <si>
    <t>The girl wears a fur coat and talks to the camera.</t>
  </si>
  <si>
    <t>The man continues brushing the snow off of the car.</t>
  </si>
  <si>
    <t>They are sitting inside the car talking.</t>
  </si>
  <si>
    <t>v_mbmMY04yMUA</t>
  </si>
  <si>
    <t>There is some script shown on fear of singing on stage.</t>
  </si>
  <si>
    <t>A woman in a green shirt is singing while doing the dishes in her kitchen sink.</t>
  </si>
  <si>
    <t>She continues to wash the spoons and forks with a blue scrub and soap as she sings in a high pitch and tone.</t>
  </si>
  <si>
    <t>She continues to wash a large knife and then places the wet utensils on a drying rack.</t>
  </si>
  <si>
    <t>She washes some glasses and scrubs them thoroughly with the same sponge.</t>
  </si>
  <si>
    <t>Then places the glass on the drying rack.</t>
  </si>
  <si>
    <t>v_PtoVL69LEh4</t>
  </si>
  <si>
    <t>A man raps along with a song.</t>
  </si>
  <si>
    <t>The guy gets a tattoo as well.</t>
  </si>
  <si>
    <t>v_dpUDMvzlwmI</t>
  </si>
  <si>
    <t>A large group of people are seen playing a soccer match on a large, sandy beach.</t>
  </si>
  <si>
    <t>Many people watch on the sidelines as the kids pass the ball back and fourth to one another.</t>
  </si>
  <si>
    <t>The game continues on as the kids move up and down the field and attempt several goals that end up missed.</t>
  </si>
  <si>
    <t>v__EZnGbfMqsc</t>
  </si>
  <si>
    <t>A young blonde girl jumps outside.</t>
  </si>
  <si>
    <t>She holds a jump rope and turns the jump rope in front of her.</t>
  </si>
  <si>
    <t>She performs the same thing again.</t>
  </si>
  <si>
    <t>She turns the jump rope once more and catches it with her feet.</t>
  </si>
  <si>
    <t>She does it once more.</t>
  </si>
  <si>
    <t>She turns the jump rope and completes a full jump.</t>
  </si>
  <si>
    <t>She goes and does it again.</t>
  </si>
  <si>
    <t>She jump ropes multiple times.</t>
  </si>
  <si>
    <t>She does it again, jump roping over and over again.</t>
  </si>
  <si>
    <t>She speaks to the camera.</t>
  </si>
  <si>
    <t>v_-3baQGb2zIY</t>
  </si>
  <si>
    <t>A black male majorette begins walking through the drum line with his baton.</t>
  </si>
  <si>
    <t>As he makes his way to the front of the band,he bgeins to twirl the baton and move across the field and takes his pants off.</t>
  </si>
  <si>
    <t>Underneath his pants is a pair of sparkly shorts and he continues to dance, doing turns,tricks,kicks,splits,and popping as the band plays.</t>
  </si>
  <si>
    <t>v_jwOZsKS25oc</t>
  </si>
  <si>
    <t>A woman dressed in a pink tank top and gray tights is demonstrating spinning in a fitness gym.</t>
  </si>
  <si>
    <t>She shows the various exercises using the bicycle.</t>
  </si>
  <si>
    <t>She also shows stomach crunches and stretches while laying down on the floor.</t>
  </si>
  <si>
    <t>She motivates her team to continue biking as she encourages them to go faster.</t>
  </si>
  <si>
    <t>v_--veKG73Di4</t>
  </si>
  <si>
    <t>A man and a women introduce themselves to the camera and start to talk to each other while the man is sitting behind a four set bongo set and the women is on the other side holding a water bottle.</t>
  </si>
  <si>
    <t>As the conversation ensues another woman approaches the woman and takes away her water bottle.</t>
  </si>
  <si>
    <t>Afterwards the man starts to play the bongos and woman starts to dance.</t>
  </si>
  <si>
    <t>As the woman dances on a man on a bike passes by and starts to observe what's going on.</t>
  </si>
  <si>
    <t>In the end while the woman stops dancing and starts to clap and the man playing the bongos stops playing and does a final clap.</t>
  </si>
  <si>
    <t>v_bxxSc2m08Sk</t>
  </si>
  <si>
    <t>We see a man performing Capoiera in a plaza.</t>
  </si>
  <si>
    <t>The man is joined by a second man and the practice together.</t>
  </si>
  <si>
    <t>The first man leaves and another man jumps in.</t>
  </si>
  <si>
    <t>The two men finish and shake hands and hug.</t>
  </si>
  <si>
    <t>Both men back out of the ring and a new man enters.</t>
  </si>
  <si>
    <t>v_HB11MXjwvVo</t>
  </si>
  <si>
    <t>A young boy pushes a vacuum cleaner in the kitchen of a home.</t>
  </si>
  <si>
    <t>The mother points underneath the furniture with her hand then foot directing the boy.</t>
  </si>
  <si>
    <t>The boy pushes the vacuum cleaner into the hallway and vacuums the area.</t>
  </si>
  <si>
    <t>v_Ue2EbbpegkE</t>
  </si>
  <si>
    <t>A man explains and shows how to do snow surfboard hillside turn.</t>
  </si>
  <si>
    <t>Then, the man performs toeside using a snow skateboard.</t>
  </si>
  <si>
    <t>The man continues explaining and performs a turn.</t>
  </si>
  <si>
    <t>A toddler ski on the snow.</t>
  </si>
  <si>
    <t>v_dsYLNeumBig</t>
  </si>
  <si>
    <t>A woman is standing and talking in a kitchen.</t>
  </si>
  <si>
    <t>She is using a small vacuum cleaner.</t>
  </si>
  <si>
    <t>She demonstrates how to use the vacuum as she talks.</t>
  </si>
  <si>
    <t>v_GaxyzK2mHqw</t>
  </si>
  <si>
    <t>woman is in a kitchen talking and slicing cheddar cheese into thick pieces, cutting the bread, then she put butter in a pan and the bread loaf on the pan with the cheese on top so the cheese can be melted in the pan, woman says this is wrong.</t>
  </si>
  <si>
    <t>woman shows a clean pan, put the butter on the bread and grate the cheese, then put it as a sandwich and in the pan with a lid till the bread is tasty.</t>
  </si>
  <si>
    <t>woman serve the bread in a blue dish and slice in two.</t>
  </si>
  <si>
    <t>v_hsIudyKGz6A</t>
  </si>
  <si>
    <t>A man is seen standing before a fire holding up an ax and begins cutting a piece of wood.</t>
  </si>
  <si>
    <t>Another man holds up the pieces of wood as the man continues to cut the wood and the other man moving the wood.</t>
  </si>
  <si>
    <t>v_T-vwsIOVNTw</t>
  </si>
  <si>
    <t>A person in white runs towards first base playing kickball.</t>
  </si>
  <si>
    <t>The man is tagged out by a woman wearing red.</t>
  </si>
  <si>
    <t>v_P_sjOVZiv6A</t>
  </si>
  <si>
    <t>We see an opening screen and a man drinks from a cup.</t>
  </si>
  <si>
    <t>the man paints a lady's nails in a dining room.</t>
  </si>
  <si>
    <t>The lady shows us her finger nails.</t>
  </si>
  <si>
    <t>The man drinks from his cup.</t>
  </si>
  <si>
    <t>The man leans back and laughs.</t>
  </si>
  <si>
    <t>we see a ending credit screen.</t>
  </si>
  <si>
    <t>v_lz2FMoj9tpo</t>
  </si>
  <si>
    <t>An athletic man is seen holding a discuss and begins spinning himself around in slow motion.</t>
  </si>
  <si>
    <t>The man then throws the object off into the distance and slow walks back while moving in slow motion.</t>
  </si>
  <si>
    <t>v_xg0OCQW8t2s</t>
  </si>
  <si>
    <t>A lawn mower is tied to a white rope.</t>
  </si>
  <si>
    <t>It is turned on and starts going in circles around the rope mowing the lawn.</t>
  </si>
  <si>
    <t>v_sRTDDlI1-Yo</t>
  </si>
  <si>
    <t>A shot of a playground is shown with various kids playing on the playground and riding down a slide.</t>
  </si>
  <si>
    <t>More shots are shown of kids swinging and hanging up side down as well as moving a steering wheel and climbing to the top.</t>
  </si>
  <si>
    <t>v_RfbEuBH1Pow</t>
  </si>
  <si>
    <t>A team of swimmers are huddled in.</t>
  </si>
  <si>
    <t>The team gets in the pool.</t>
  </si>
  <si>
    <t>Two teams play water polo against each other.</t>
  </si>
  <si>
    <t>A crowd looks on from the stands.</t>
  </si>
  <si>
    <t>v_5E42nKwv1xY</t>
  </si>
  <si>
    <t>We see a scoreboard in a game.</t>
  </si>
  <si>
    <t>Girls run onto the field and shake hands with the other team.</t>
  </si>
  <si>
    <t>We see girls playing volleyball indoors.</t>
  </si>
  <si>
    <t>The girls on the left make a shot and the team hugs.</t>
  </si>
  <si>
    <t>We see the scoreboard and people on the sidelines talking.</t>
  </si>
  <si>
    <t>We see a shot in slow motion and the girls hug.</t>
  </si>
  <si>
    <t>The game is over and the girls all shake hands.</t>
  </si>
  <si>
    <t>v_vuXsKQKbAfE</t>
  </si>
  <si>
    <t>Two men are in a pool putting on diving gear.</t>
  </si>
  <si>
    <t>The man in red puts the breather in his mouth then floats backward on his back.</t>
  </si>
  <si>
    <t>We see the man in red and blue putting a solution on their goggles before trying them on.</t>
  </si>
  <si>
    <t>The man in red puts the tube in his mouth then the breather before going under water.</t>
  </si>
  <si>
    <t>We then see a sign upside down floating in the water.</t>
  </si>
  <si>
    <t>v_3ROld-bSgPQ</t>
  </si>
  <si>
    <t>A baby girl is sitting next to all of her toys eating an ice cream very messily.</t>
  </si>
  <si>
    <t>Her mom takes the ice cream away from her and she starts to cry .</t>
  </si>
  <si>
    <t>Her mom gives her back the ice cream and she is happy again, back to eating it.</t>
  </si>
  <si>
    <t>She plays with her toys with her sticky ice cream fingers and her ice cream in the other hand.</t>
  </si>
  <si>
    <t>v_vwaQwo_5X-k</t>
  </si>
  <si>
    <t>We see a man break dancing in an office plaza.</t>
  </si>
  <si>
    <t>We switch and see different men break dancing in office plazas and lobbies.</t>
  </si>
  <si>
    <t>We see man do a handstand.</t>
  </si>
  <si>
    <t>We see a man take off and throw his jacket on the camera.</t>
  </si>
  <si>
    <t>We see the black closing screen.</t>
  </si>
  <si>
    <t>v_TBFAAb62ou4</t>
  </si>
  <si>
    <t>A man wearing a black baseball hat and a black shirt is playing an acoustic guitar.</t>
  </si>
  <si>
    <t>He is playing the Beatles song Yesterday on his guitar.</t>
  </si>
  <si>
    <t>He plays till the entire song is over and then stops and smiles at the camera.</t>
  </si>
  <si>
    <t>v_6GYdu5G61g8</t>
  </si>
  <si>
    <t>A group of people transport a boat on their heads.</t>
  </si>
  <si>
    <t>People jumps backwards on the river and floats on their backs.</t>
  </si>
  <si>
    <t>Then, people in a boat raft down the choppy waters of a river while paddling.</t>
  </si>
  <si>
    <t>People in two boats meet and start to throw water each other using the oars, then some rafters jump into the water.</t>
  </si>
  <si>
    <t>Persons jump from a balcony on the rocks to the water while other people continues rafting.</t>
  </si>
  <si>
    <t>v_TNwMZhQ7SFc</t>
  </si>
  <si>
    <t>A small girl is standing behind a man in a bathroom who is standing at a sink.</t>
  </si>
  <si>
    <t>The man turns around, grabs the towel and begins drying himself while the girl is still standing on the ground, and then puts the towel back when he's done.</t>
  </si>
  <si>
    <t>The man then picks up the small girl and begins to wash her face off and while the little girl brushes her teeth as she's getting her face cleaned.</t>
  </si>
  <si>
    <t>v_JNFUZz1bqmg</t>
  </si>
  <si>
    <t>A man is talking in front of two large windows.</t>
  </si>
  <si>
    <t>Two men are kneeling down on the ground.</t>
  </si>
  <si>
    <t>The man is back to talking in front of the windows.</t>
  </si>
  <si>
    <t>Two men are sitting on a train talking.</t>
  </si>
  <si>
    <t>A man in a black coat is walking down the street.</t>
  </si>
  <si>
    <t>He is holding a white paper in his hand and writing on it.</t>
  </si>
  <si>
    <t>He is then walking up some stairs on an bridge with other people.</t>
  </si>
  <si>
    <t>He is getting harnessed on top of the bridge.</t>
  </si>
  <si>
    <t>He jumps off the bridge and bungee jumps.</t>
  </si>
  <si>
    <t>A man in an orange vest puts him into the boat.</t>
  </si>
  <si>
    <t>A man holding a camera is standing on the sidewalk and watches another man trip and fall and runs over to help him.</t>
  </si>
  <si>
    <t>v_QnATCZ_P9DE</t>
  </si>
  <si>
    <t>A man is shown in the water, wearing a helmet, holding a paddle and sitting in a kayak.</t>
  </si>
  <si>
    <t>He is talking to the camera about how to use the kayak.</t>
  </si>
  <si>
    <t>He shows several rocking and paddling motions, and flips the kayak once at the end.</t>
  </si>
  <si>
    <t>v_ZRnCnUeqKv4</t>
  </si>
  <si>
    <t>a group is playing soccer on a field.</t>
  </si>
  <si>
    <t>The girls chase the ball, hitting it with sticks, trying to get it into the goal.</t>
  </si>
  <si>
    <t>v_ZGzXbvRHNAE</t>
  </si>
  <si>
    <t>A man cleans a spot in the kitchen sink with a sponge and bottle of clorox cleaner, in a black and white commercial.</t>
  </si>
  <si>
    <t>A shot of a suburban town is shown with a close up of the city name on a town sign.</t>
  </si>
  <si>
    <t>A man in an apron stands in front of a kitchen sink putting dishes away in a drainer.</t>
  </si>
  <si>
    <t>The man cleans a spot in the sink with a bottle of clorox and a sponge, before a marketing template appears with lettering and closeup of the bottle of clorox.</t>
  </si>
  <si>
    <t>v_eSQnn2RFxeY</t>
  </si>
  <si>
    <t>A woman holds the wheel of the yacht that sails in the ocean, and a dolphin swims near the yacht.</t>
  </si>
  <si>
    <t>Then, a young men talks, and from time ti time shows the sunset.</t>
  </si>
  <si>
    <t>Four people start to dance in the yacht, and one boy dance against the sail.</t>
  </si>
  <si>
    <t>The four people holds a big fish with both hands while the yacht continues to sail.</t>
  </si>
  <si>
    <t>v_XbN3TvLEm2A</t>
  </si>
  <si>
    <t>A woman dressed very comfortably is doing an exercise down on one knee.</t>
  </si>
  <si>
    <t>She puts her arm in the air and stares off into the distance holding it into place.</t>
  </si>
  <si>
    <t>After holding that on place for a few minutes she puts her arm down and then faces forward.</t>
  </si>
  <si>
    <t>She continues to just stay in that position.</t>
  </si>
  <si>
    <t>v_VOGF4tBFEuw</t>
  </si>
  <si>
    <t>A first person view is seen of a man riding a riding lawn mower.</t>
  </si>
  <si>
    <t>He takes turns quickly, mowing the lawn.</t>
  </si>
  <si>
    <t>He continues until the entire yard is mown.</t>
  </si>
  <si>
    <t>v_ooadlJjyibo</t>
  </si>
  <si>
    <t>A girl performs on a balance beam.</t>
  </si>
  <si>
    <t>The girl stands and performs two flips.</t>
  </si>
  <si>
    <t>The girl jumps in the air two times.</t>
  </si>
  <si>
    <t>The girl sits down then gets back on her feet.</t>
  </si>
  <si>
    <t>The girl flips across the beam two times and dismounts the beam.</t>
  </si>
  <si>
    <t>The girl raises her arms and turns to high five and hug a lady standing nearby.</t>
  </si>
  <si>
    <t>v_vP-wI1egoHA</t>
  </si>
  <si>
    <t>A small group of children are seen riding around in bumper cars crashing into one another.</t>
  </si>
  <si>
    <t>The kids move all around the game hitting into one another.</t>
  </si>
  <si>
    <t>The game continues on with the kids playing and crashing into each other.</t>
  </si>
  <si>
    <t>v_yKdvz5dgro4</t>
  </si>
  <si>
    <t>A young man dry a pot lid while dancing.</t>
  </si>
  <si>
    <t>Also, a teen wash a cup of steel and dancing.</t>
  </si>
  <si>
    <t>A woman enters and then leave the kitchen.</t>
  </si>
  <si>
    <t>v_R3CGHNqunGA</t>
  </si>
  <si>
    <t>A young man sits on a a planter in front of a brick building.</t>
  </si>
  <si>
    <t>A graphic is seen with cartoons.</t>
  </si>
  <si>
    <t>The young man sits on a planter with a skateboard on his lap the young man spins his board and does skateboard tricks riding on asphalt.</t>
  </si>
  <si>
    <t>The young man does tricks over an orange safety cone.</t>
  </si>
  <si>
    <t>The skateboarder stands up from the ledge and stands on his skateboard.</t>
  </si>
  <si>
    <t>v_qpVPY6w9Fp0</t>
  </si>
  <si>
    <t>A man is seen speaking to the camera while standing on a beach next to a shovel.</t>
  </si>
  <si>
    <t>The man then begins shoveling a pile of dirt and walking to the water to fill up buckets.</t>
  </si>
  <si>
    <t>The man stacks the buckets and begins putting sand around it and sculpting it into a castle.</t>
  </si>
  <si>
    <t>He walks away in the end and shows off the castle he's made.</t>
  </si>
  <si>
    <t>v_9g-5J05BIiQ</t>
  </si>
  <si>
    <t>An intro leads into several shots of people riding a skateboard around various areas and ending in a corn field.</t>
  </si>
  <si>
    <t>They end up at a house and swim into the pool doing tricks on their boards underwater.</t>
  </si>
  <si>
    <t>They are then seen riding down a road again in the end and one boarder scuffs dirt into the camera.</t>
  </si>
  <si>
    <t>v_GhwvPy4_2KE</t>
  </si>
  <si>
    <t>A young child is pushed on a swing set of an outdoor playground at a park.</t>
  </si>
  <si>
    <t>The child reaches out her hand.</t>
  </si>
  <si>
    <t>v_BLLeQHgNmYc</t>
  </si>
  <si>
    <t>Three people are seen standing on a lawn beginning to perform martial arts moves.</t>
  </si>
  <si>
    <t>The group moves around at the same time while looking away from the camera.</t>
  </si>
  <si>
    <t>They continue to move their arms and legs around together and end by holding s pose.</t>
  </si>
  <si>
    <t>v_suwVnxHZtI8</t>
  </si>
  <si>
    <t>People are sledding down a snowy hill on an inner tube.</t>
  </si>
  <si>
    <t>They stop at the bottom of the hill.</t>
  </si>
  <si>
    <t>Several tubes are on a rope going up a hill.</t>
  </si>
  <si>
    <t>People are sledding down a hill on an inner tube again.</t>
  </si>
  <si>
    <t>v_51XRujaBAbE</t>
  </si>
  <si>
    <t>Children sit on motorcycles and parents are next to them.</t>
  </si>
  <si>
    <t>A man carry a child, a woman applaud and a man takes pictures.</t>
  </si>
  <si>
    <t>A toddler stands on the hay and grabs the leg of a woman.</t>
  </si>
  <si>
    <t>Then, men push the motorcycles with the children while a man takes notes.</t>
  </si>
  <si>
    <t>Then, the children line on the start line and then run.</t>
  </si>
  <si>
    <t>v_2Ot4ZPYpNwI</t>
  </si>
  <si>
    <t>A man is seated on a couch, playing a harmonica.</t>
  </si>
  <si>
    <t>He lowers it from his mouth when he is done.</t>
  </si>
  <si>
    <t>v_8cH0mAgsuAc</t>
  </si>
  <si>
    <t>Several people are kneeling down on a red mat doing stretches.</t>
  </si>
  <si>
    <t>v_enx7eEDrYcc</t>
  </si>
  <si>
    <t>A girl is kneeling on a pad, arms in the air.</t>
  </si>
  <si>
    <t>She leans back, letting her arms touch the wall.</t>
  </si>
  <si>
    <t>She repeats the action one more time.</t>
  </si>
  <si>
    <t>v_2zFmooC8gUg</t>
  </si>
  <si>
    <t>A person is seen kneeling down on top of a roof and holding objects in place to hammer down.</t>
  </si>
  <si>
    <t>The man then lays down more tile while hammering the sides and presenting the tiles to the camera.</t>
  </si>
  <si>
    <t>v_mPtCJg-j4SM</t>
  </si>
  <si>
    <t>A woman dressed in workout clothes and a jacket is walking down a hall and stops to talk about whats behind the door.</t>
  </si>
  <si>
    <t>Once she opens the door,the camera pans many workout machines and the woman begins talking to the program director.</t>
  </si>
  <si>
    <t>After they are done talking,the young woman begins working out with the rest of the class as the trainer walks by making sure they are working out properly.</t>
  </si>
  <si>
    <t>Finally,the workout is finished and everyone begins high-fiving one another and the woman begins to talk again.</t>
  </si>
  <si>
    <t>v_FCzT4Knfhqs</t>
  </si>
  <si>
    <t>A camera pans around a group of people standing around each other with one spinning in circles.</t>
  </si>
  <si>
    <t>A man pushing the spinning girl around and around and zooms in on a pinata.</t>
  </si>
  <si>
    <t>The girl swings at the pinata blindfolded and a man jumps down to grab a piece of fallen candy.</t>
  </si>
  <si>
    <t>The girl breaks open the pinata and several people run down to grab the candy.</t>
  </si>
  <si>
    <t>v_fRUoSevi63M</t>
  </si>
  <si>
    <t>A woman is painting a picture on a canvas.</t>
  </si>
  <si>
    <t>She has orange and yellow paint on a board in front of her.</t>
  </si>
  <si>
    <t>She paints two flowers onto the canvas.</t>
  </si>
  <si>
    <t>v_Ci9WKE6wkOQ</t>
  </si>
  <si>
    <t>A man and woman are talking to a camera on exercises.</t>
  </si>
  <si>
    <t>The girl talks about equipment and how to use it.</t>
  </si>
  <si>
    <t>She prepares the equipment and helps the man perform the exercise.</t>
  </si>
  <si>
    <t>v_KrLVIvCoW90</t>
  </si>
  <si>
    <t>people standing on side of the road on skateboards and with parked cars in a side.</t>
  </si>
  <si>
    <t>boys are doing tricks riding skateboards in the wet asphalt going down a hill.</t>
  </si>
  <si>
    <t>boys are gathered under a tent in the sidewalk and doing tricks in skateboard showing the wey asphalt and the wet grass.</t>
  </si>
  <si>
    <t>v_bjYah4IvnII</t>
  </si>
  <si>
    <t>A camera with a caption is shown and leads into several people jumping off a bridge.</t>
  </si>
  <si>
    <t>Another shot of people riding down a river on tubes is shown followed by large groups of people on the sandbars.</t>
  </si>
  <si>
    <t>The cameraman grabs another tube an jumps in the water while still floating down and catching a popped balloon.</t>
  </si>
  <si>
    <t>v_82s4QeuHioo</t>
  </si>
  <si>
    <t>man is sitting on akayak holding a row and showing the corect way of rowing.</t>
  </si>
  <si>
    <t>people are in a kayak on lakeside.</t>
  </si>
  <si>
    <t>people are on rapids kayaking.</t>
  </si>
  <si>
    <t>men are swimming on the lake by the kayak and walking in the lakeside holding kayaks.</t>
  </si>
  <si>
    <t>v_3cmHM1Yu92s</t>
  </si>
  <si>
    <t>A woman is shown working out on an elliptical and smiling off into the distance.</t>
  </si>
  <si>
    <t>The video shows several different perks the machine can do while the woman continues to work.</t>
  </si>
  <si>
    <t>She eventually steps on the machine again and continues to work out on the machine.</t>
  </si>
  <si>
    <t>v_c2VcfB3YTBo</t>
  </si>
  <si>
    <t>We see a lady walking down stairs.</t>
  </si>
  <si>
    <t>She enters a room with kids in it, takes off her coat and starts dancing.</t>
  </si>
  <si>
    <t>A man enters and the lady and man perform a fancy dance as the kids watch.</t>
  </si>
  <si>
    <t>The man throws his coat across the room.</t>
  </si>
  <si>
    <t>The lady hugs the man from behind.</t>
  </si>
  <si>
    <t>The lady tries to leave and the man grabs her and pulls her back.</t>
  </si>
  <si>
    <t>They finish and the man shakes the hands of the kids.</t>
  </si>
  <si>
    <t>The lady puts on her coat as a girl talks to her and leaves the room.</t>
  </si>
  <si>
    <t>v_lBXRkMZfIXk</t>
  </si>
  <si>
    <t>A man is seen speaking to the camera and leads into him holding a piece of paper and two objects.</t>
  </si>
  <si>
    <t>He puts the objects on a board and sharpens a knife along the object.</t>
  </si>
  <si>
    <t>He continues speaking to the camera while sharpening the blade and pointing to the object.</t>
  </si>
  <si>
    <t>v_CG-7jcSB5_c</t>
  </si>
  <si>
    <t>A toddler holds a lacrosse stick, then he catches a ball with the lacrosse stick and throws to the floor.</t>
  </si>
  <si>
    <t>Then, the toddler try to catch another ball, but it rolls under a chair.</t>
  </si>
  <si>
    <t>Next, the toddler catch a ball and throw to the floor and the ball bounce.</t>
  </si>
  <si>
    <t>After, the toddler catch the bouncing ball and throw to the backyard, then the toddler steps down a step.</t>
  </si>
  <si>
    <t>v_Geh_BZchxFY</t>
  </si>
  <si>
    <t>We see a lady peeling small potatoes.</t>
  </si>
  <si>
    <t>The lady peels her second potato.</t>
  </si>
  <si>
    <t>The lady moves on to her third potatoes.</t>
  </si>
  <si>
    <t>We zoom out and see the ladies face.</t>
  </si>
  <si>
    <t>The lady peels her fourth and fifth potato.</t>
  </si>
  <si>
    <t>v_DozJpP2cClI</t>
  </si>
  <si>
    <t>Two people are playing badminton as someone records them with a video camera.</t>
  </si>
  <si>
    <t>A guy hurts himself as the other people watching him laugh at him.</t>
  </si>
  <si>
    <t>The people that were playing badminton go over and talk to other people that are sitting in lawn chairs.</t>
  </si>
  <si>
    <t>The boy goes into the house as the people continue to laugh.</t>
  </si>
  <si>
    <t>v_tl3wQEusmj8</t>
  </si>
  <si>
    <t>We see an opening scene with an image.</t>
  </si>
  <si>
    <t>We then see a lake with ducks and rocks.</t>
  </si>
  <si>
    <t>People are paddling in the lake in a canoe.</t>
  </si>
  <si>
    <t>We see a bridge and the people pass under the bridge.</t>
  </si>
  <si>
    <t>We see tall grass blowing in the breeze as the boaters ride past.</t>
  </si>
  <si>
    <t>The boaters arrives at the shore.</t>
  </si>
  <si>
    <t>v_XXIDYn4H_1A</t>
  </si>
  <si>
    <t>A scoreboard and large video screen are shown.</t>
  </si>
  <si>
    <t>Bikers launch down a very tall ramp onto a dirt bike track.</t>
  </si>
  <si>
    <t>The bikers race around the bumpy track.</t>
  </si>
  <si>
    <t>v_EiPofuIoUic</t>
  </si>
  <si>
    <t>A close up of a person's feet are seen riding along the river in a tube.</t>
  </si>
  <si>
    <t>Several more people are seen riding in tubes down the river while others watch on the side.</t>
  </si>
  <si>
    <t>The person continues riding down the river past others.</t>
  </si>
  <si>
    <t>v_ZqkJAD0CGBU</t>
  </si>
  <si>
    <t>A man is seen standing behind a small child who is blindfolded.</t>
  </si>
  <si>
    <t>Several clips are then shown of people swinging around at pinatas and failing miserably.</t>
  </si>
  <si>
    <t>More clips are shown of people swinging around at pinatas and ends with them hitting other people.</t>
  </si>
  <si>
    <t>v_v5peBgLKWL8</t>
  </si>
  <si>
    <t>bright sun is in the sky and shows a snowy mountain and a lot of pine trees covered in snow.</t>
  </si>
  <si>
    <t>an snowboarder is walking in the snow holding two poles.</t>
  </si>
  <si>
    <t>cubicles is hanging on wires and a snowboarder is going down the snowy slope with other snowboarders standing behind.</t>
  </si>
  <si>
    <t>men are walking in a snowy slope holding the poles and other snowboarders are sliding behind.</t>
  </si>
  <si>
    <t>women are in a hanging chair and under the kids are going down slope riding snowboards and playing in a snow castle.</t>
  </si>
  <si>
    <t>people is walking in snowy mountain and snowboarding.</t>
  </si>
  <si>
    <t>wmoan enters in a cave with a man and are serving wine and a elderly couple are toasting.</t>
  </si>
  <si>
    <t>a lot of people is waiting and sitting on their bags with the snowboards on a side, people is going down the mountain while the days goes by.</t>
  </si>
  <si>
    <t>v_17zMW3rzlR4</t>
  </si>
  <si>
    <t>Several professional men are placing wax on all types of skis.</t>
  </si>
  <si>
    <t>As they continue to place wax,they use tools to grind and smooth the skis.</t>
  </si>
  <si>
    <t>Finally, the use of cloths by the workers smooths and shines the skis.</t>
  </si>
  <si>
    <t>v_e-Z9xiEQqPQ</t>
  </si>
  <si>
    <t>A military procession carries a coffin and goes through a funeral ceremony.</t>
  </si>
  <si>
    <t>A news anchor talks in a newsroom.</t>
  </si>
  <si>
    <t>A coffin and is carried by a wagon along with military personell.</t>
  </si>
  <si>
    <t>A military man presents a flag to a guest.</t>
  </si>
  <si>
    <t>A man with a prosthetic leg and a woman ride horses with trainers with a trainer alongside.</t>
  </si>
  <si>
    <t>A journalist rides with a man in football jersey along a sidewalk.</t>
  </si>
  <si>
    <t>A horse trainer talks near a forested area.</t>
  </si>
  <si>
    <t>The man in a jersey stops on the horse as he approaches the funeral procession.</t>
  </si>
  <si>
    <t>v_6l0tenUYS-w</t>
  </si>
  <si>
    <t>There is man speaking on the microphone to announce who's coming up.</t>
  </si>
  <si>
    <t>Next many different people go up on stage to dance.</t>
  </si>
  <si>
    <t>v_LtdO87DWEHM</t>
  </si>
  <si>
    <t>Several clips of shown of a person riding down city streets on roller blades.</t>
  </si>
  <si>
    <t>The person continues riding along the streets and then text appears across the screen.</t>
  </si>
  <si>
    <t>v_GjHanmMGvuw</t>
  </si>
  <si>
    <t>A young girl is shown on a large gym floor doing flips and tricks with a baton and several judges watching her.</t>
  </si>
  <si>
    <t>She continues moving along the floor while along girl practices behind her.</t>
  </si>
  <si>
    <t>She finishes her routine and stands in front of the judges and hears her results.</t>
  </si>
  <si>
    <t>v_97McCuWAynA</t>
  </si>
  <si>
    <t>A surfer wearing a wet suit takes off and rides a wave in the ocean.</t>
  </si>
  <si>
    <t>Two surfers is greeted by a seal in the ocean that jumps on his board and plays with them.</t>
  </si>
  <si>
    <t>The surfer wearing a wet suit takes off on a wave leaving the seal behind.</t>
  </si>
  <si>
    <t>v_-x1twrM_ABM</t>
  </si>
  <si>
    <t>A man is in a room, pointing and talking about tiles.</t>
  </si>
  <si>
    <t>He is placing the tiles into the wall one at a time.</t>
  </si>
  <si>
    <t>The man completes the construction, then turns off the camera.</t>
  </si>
  <si>
    <t>v_Y-UOZRZ01hI</t>
  </si>
  <si>
    <t>A page with a video structured to look similar to Youtube is shown.</t>
  </si>
  <si>
    <t>A seated woman talks to the camera, interspersed by scenes of individuals shown welding.</t>
  </si>
  <si>
    <t>The Youtube lookalike page with a video is shown again.</t>
  </si>
  <si>
    <t>v_EcQ7DcVefdw</t>
  </si>
  <si>
    <t>A middle eastern news caster is talking about a recent event in another language.</t>
  </si>
  <si>
    <t>The scene switches to show group of people at an event of some kind.</t>
  </si>
  <si>
    <t>The people at the event are shown polishing shoes.</t>
  </si>
  <si>
    <t>A man in a red shirt is being interviewed while it shows others at the event on the split screen.</t>
  </si>
  <si>
    <t>The scene switches back to just the event with the newscaster talking over the footage.</t>
  </si>
  <si>
    <t>v_moMisK3nGuY</t>
  </si>
  <si>
    <t>woman is standing next to a horse holding a brush combing the horse's hair.</t>
  </si>
  <si>
    <t>litle kid is caressing the horse.</t>
  </si>
  <si>
    <t>woman walks to the track.</t>
  </si>
  <si>
    <t>v_ksPQdczmNKs</t>
  </si>
  <si>
    <t>A girl is seen crossing her arms and hula hooping over and over again.</t>
  </si>
  <si>
    <t>She continuously hula hoops while moving her legs all around and doing various jumps and tricks.</t>
  </si>
  <si>
    <t>v_n1dboqahvZU</t>
  </si>
  <si>
    <t>A man named Andrei approaches the stage.</t>
  </si>
  <si>
    <t>He powders his hands in preperation.</t>
  </si>
  <si>
    <t>He puts his hands on the weight.</t>
  </si>
  <si>
    <t>He prepares his body for lifting the heavy weight.</t>
  </si>
  <si>
    <t>He pulls up but drops the weight and falls down.</t>
  </si>
  <si>
    <t>The other competitor rejoices at their win.</t>
  </si>
  <si>
    <t>v_phDLuo6dYrk</t>
  </si>
  <si>
    <t>The clear sky is shown before a group of girls appear playing a game of field hockey.</t>
  </si>
  <si>
    <t>The two teams compete against each other in the building as still images are shown in between the plays.</t>
  </si>
  <si>
    <t>As one team gets close to making a goal,a male photographer is shown on the corner of the goal and then a girl appears at the end of the video making a funny face.</t>
  </si>
  <si>
    <t>v_yHtapvYRcMw</t>
  </si>
  <si>
    <t>Two men are performaing capoeria in the middle of a circle of people.</t>
  </si>
  <si>
    <t>They are performing while everyone claps.</t>
  </si>
  <si>
    <t>They take a short break and walk around a bit before starting their performance again.</t>
  </si>
  <si>
    <t>People are clapping to a set rhythm.</t>
  </si>
  <si>
    <t>This lasts for a long while.</t>
  </si>
  <si>
    <t>v_1xQTlp0hscs</t>
  </si>
  <si>
    <t>Bright text appears on the screen.</t>
  </si>
  <si>
    <t>An art piece is displayed on the wall, and we are shown several close ups of the paint.</t>
  </si>
  <si>
    <t>Perusers of art walk through the gallery, looking at the painting.</t>
  </si>
  <si>
    <t>We then conclude with someone taking a photo and walking away.</t>
  </si>
  <si>
    <t>v_ZMopjyYvcqw</t>
  </si>
  <si>
    <t>A man is showing a crossbow and a knife and other hunting gear.</t>
  </si>
  <si>
    <t>The man is talking to the camera showing a hunting bow.</t>
  </si>
  <si>
    <t>The bow is shown in detail.</t>
  </si>
  <si>
    <t>Another man is shown outdoors using the hunting bow to shoot a target.</t>
  </si>
  <si>
    <t>The man is talking to the camera again indoors showing the hunting bow.</t>
  </si>
  <si>
    <t>v_0ERgbWePjWk</t>
  </si>
  <si>
    <t>A man is on a diving board and begins to jump on the board once.</t>
  </si>
  <si>
    <t>The man goes into the air and does a forward roll in the air.</t>
  </si>
  <si>
    <t>The man then starts descending into the water from the top of his jump.</t>
  </si>
  <si>
    <t>The man lands into the water as it splashes and makes the move to come back to the surface.</t>
  </si>
  <si>
    <t>v_ZQs-OWTZA6o</t>
  </si>
  <si>
    <t>The woman with sunglasses, blue jacket pushed the round lifebuoy on the snow and jumped on it.</t>
  </si>
  <si>
    <t>The lifebuoy continue to slide on the snow, the woman is looking a the camera, she passed the orange flags, and several people that are standing on the side of the trail.</t>
  </si>
  <si>
    <t>v_NSavdMErlYA</t>
  </si>
  <si>
    <t>A guy talks while gesturing.</t>
  </si>
  <si>
    <t>The ingredients to make a dish is shown.</t>
  </si>
  <si>
    <t>The guy puts butter, oil and dry ingredients into a pan.</t>
  </si>
  <si>
    <t>The guy adds pasta to the pan.</t>
  </si>
  <si>
    <t>v_fgkiHZ0nENg</t>
  </si>
  <si>
    <t>A group of people are seen standing around a yard when one hits a ball and another watches closely.</t>
  </si>
  <si>
    <t>Another man walks into frame hitting the ball and the other people behind him continue playing.</t>
  </si>
  <si>
    <t>v_NDWJOqVUGeA</t>
  </si>
  <si>
    <t>A camera pans over a roof and shows several people working and a man being interviewed.</t>
  </si>
  <si>
    <t>A man sprays down a roof and shows the product used several times and the top of the roof.</t>
  </si>
  <si>
    <t>Another man is interviewed and shows more men working on the roof.</t>
  </si>
  <si>
    <t>v_dAP7xalPRHo</t>
  </si>
  <si>
    <t>A person puts a garment in a pail, then he adds detergent and water.</t>
  </si>
  <si>
    <t>Then, the man washes the cloth with his hand, and then pours water and rinse several times.</t>
  </si>
  <si>
    <t>Next, the person carry the the garment to hang on a rope and dry.</t>
  </si>
  <si>
    <t>v_fKFcbNM89MA</t>
  </si>
  <si>
    <t>A large river is seen followed by a person riding down in a tube.</t>
  </si>
  <si>
    <t>Another person is also seen riding in a tube.</t>
  </si>
  <si>
    <t>The two ride down the river together and pass other people sitting alongside the river.</t>
  </si>
  <si>
    <t>v_-nskwoky7vk</t>
  </si>
  <si>
    <t>A man is seen speaking to the camera while holding a large accordion in his hands.</t>
  </si>
  <si>
    <t>The man then demonstrates how to properly play the instrument while moving his hands up and down.</t>
  </si>
  <si>
    <t>v_RiQdIJNDTo4</t>
  </si>
  <si>
    <t>A white haired man sits at an upright piano and begins to play in a lobby while people walk by.</t>
  </si>
  <si>
    <t>The cameraman zooms in on the mans hands as he's playing and zooms back out.</t>
  </si>
  <si>
    <t>v_HPJuOvOmEW8</t>
  </si>
  <si>
    <t>An intro leads into a tall man wearing a santa costume and skating down a long street in between people.</t>
  </si>
  <si>
    <t>The camera follows him riding around the city and performing various tricks and maneuvers around cars and people.</t>
  </si>
  <si>
    <t>v_3baH1vI0Cxk</t>
  </si>
  <si>
    <t>Two men walked over the football table, one man counted the dice on the side.</t>
  </si>
  <si>
    <t>The players twist and push and pull the poles as they play on the table.</t>
  </si>
  <si>
    <t>The camera men are taking pictures behind them.</t>
  </si>
  <si>
    <t>v_Dys_KC7uIzs</t>
  </si>
  <si>
    <t>Several men are shown bowling while an audience watches on.</t>
  </si>
  <si>
    <t>The bowlers bowl in turn, one at a time.</t>
  </si>
  <si>
    <t>The players and audience cheer one of the players.</t>
  </si>
  <si>
    <t>v_i-8vfNV-klk</t>
  </si>
  <si>
    <t>A man is using a pair of hedge trimmers on trees.</t>
  </si>
  <si>
    <t>He is talking to the camera as he goes.</t>
  </si>
  <si>
    <t>He trims the trees with the shears.</t>
  </si>
  <si>
    <t>v_Z-2Gwqt_GCQ</t>
  </si>
  <si>
    <t>A person gather mops and cleaning materials on a hard floor.</t>
  </si>
  <si>
    <t>The person cleans the hard floor using a dust mop.</t>
  </si>
  <si>
    <t>Then, the person puts a cup of detergent in a litter of water, then wet a cloth and attaches to a handle to mop the floor.</t>
  </si>
  <si>
    <t>The person removes stains on the floor using a cloth with a special solution.</t>
  </si>
  <si>
    <t>v_qlvW6jW2mfQ</t>
  </si>
  <si>
    <t>A person take two sticks on the drums, one stick holds with a hand and the other with his foot, then the person plays with one hand and the drums falls.</t>
  </si>
  <si>
    <t>The person plays with a hand and feet, and the face of, a gorilla appears.</t>
  </si>
  <si>
    <t>Then, the person puts mustard in one drum and one egg on other drum, and drums.</t>
  </si>
  <si>
    <t>After, the person puts a tortilla and drums over, then fried and egg.</t>
  </si>
  <si>
    <t>Next , the person destroys the drums.</t>
  </si>
  <si>
    <t>v_rcMv32d1QkI</t>
  </si>
  <si>
    <t>The video begins with several shots of a person doing tricks on a skateboard while many people watch him on the sides.</t>
  </si>
  <si>
    <t>He attempts many more tricks that fail to have him land on the board and he walks around the bowl each time afterwards.</t>
  </si>
  <si>
    <t>v_Az7bzVcLMSM</t>
  </si>
  <si>
    <t>A woman is seen standing on a stage stage with a single light shown and begins performing a dance routine.</t>
  </si>
  <si>
    <t>The light is seen on the woman is leads into her on a lit stage performing a belly dancing routine.</t>
  </si>
  <si>
    <t>The stage becomes dark again and the woman continues dancing all on the stage and holding a pose.</t>
  </si>
  <si>
    <t>v_doNSg6PuKDM</t>
  </si>
  <si>
    <t>A child shovels the snow in a yard and throws it into the driveway.</t>
  </si>
  <si>
    <t>The girl drops her shovel and shovel in the snow.</t>
  </si>
  <si>
    <t>The child walks over to her family in the yard.</t>
  </si>
  <si>
    <t>v_G98dfNXqu4Q</t>
  </si>
  <si>
    <t>Several people are on horses at a rodeo.</t>
  </si>
  <si>
    <t>One man comes out of the gate and ropes a calf.</t>
  </si>
  <si>
    <t>The calf falls to the ground as he is roped into place.</t>
  </si>
  <si>
    <t>He tries to stand, but another man grabs him.</t>
  </si>
  <si>
    <t>v_5FSdOfvJnek</t>
  </si>
  <si>
    <t>a lot of people wearing red life jackets and are in a bus and holding rafts.</t>
  </si>
  <si>
    <t>people are in water paddling in the river.</t>
  </si>
  <si>
    <t>v_fxxeCpqgRfk</t>
  </si>
  <si>
    <t>The male athlete bow then raised his arms then walked to the poles.</t>
  </si>
  <si>
    <t>The athlete jumped onto the poles and balanced on the two poles, standing on his arms then falling and rotating.</t>
  </si>
  <si>
    <t>When the athlete is done with his number he jumped from the pole and landed on his feet on the mat.</t>
  </si>
  <si>
    <t>v_xpxxH2V7Fe8</t>
  </si>
  <si>
    <t>A row of drummers are standing in front of an orchestra.</t>
  </si>
  <si>
    <t>The drummers hold their drumsticks in front of their face.</t>
  </si>
  <si>
    <t>They each beat their drums.</t>
  </si>
  <si>
    <t>After each note the drummers raise their drumsticks back in front of their faces.</t>
  </si>
  <si>
    <t>v_pA5W1NYnmyY</t>
  </si>
  <si>
    <t>A man is seen standing on a ladder and speaking to the camera.</t>
  </si>
  <si>
    <t>He holds up various tools and begins piecing them together.</t>
  </si>
  <si>
    <t>He then cleans off a window using the tools and tightening up the ladder.</t>
  </si>
  <si>
    <t>v_4rKTw99bM8g</t>
  </si>
  <si>
    <t>A person wearing a blue jacket and orange helmet is on an overturned raft in the water.</t>
  </si>
  <si>
    <t>The raft completely overturns as he tries to make his way up.</t>
  </si>
  <si>
    <t>Then the man straightens the raft and sits up straight in the raft.</t>
  </si>
  <si>
    <t>v__hdjRMpleWs</t>
  </si>
  <si>
    <t>A man is seen riding in on a horse while swinging a rope and grabbing a calf.</t>
  </si>
  <si>
    <t>The person ties up the calf while others ride in on horses and the men untie the animal.</t>
  </si>
  <si>
    <t>v_R-lGXNY19wE</t>
  </si>
  <si>
    <t>A woman is holding a baby on the beach.</t>
  </si>
  <si>
    <t>She sets the baby on a towel and starts rubbing sunscreen on the baby.</t>
  </si>
  <si>
    <t>She picks the baby up and gives it a kiss.</t>
  </si>
  <si>
    <t>v_yfPa5IKWTvU</t>
  </si>
  <si>
    <t>A billboard is shown on a wall.</t>
  </si>
  <si>
    <t>Kids run out onto the stage and get in formation.</t>
  </si>
  <si>
    <t>A banner is placed at the front of the stage.</t>
  </si>
  <si>
    <t>The kids start cheerleading on the stage.</t>
  </si>
  <si>
    <t>The kids in the front hold up the banner.</t>
  </si>
  <si>
    <t>They run off of the stage.</t>
  </si>
  <si>
    <t>v_1PpVSeE2BJ8</t>
  </si>
  <si>
    <t>A baby boy is seated at a restaurant table.</t>
  </si>
  <si>
    <t>He is eating a vanilla ice cream cone.</t>
  </si>
  <si>
    <t>He takes a napkin and wipes his mouth before handing the napkin back and continuing to eat.</t>
  </si>
  <si>
    <t>v_SHfFrzy_fKM</t>
  </si>
  <si>
    <t>A little girl is guided as she mounts a camel at a station.</t>
  </si>
  <si>
    <t>A man helps her as he leads the camel around.</t>
  </si>
  <si>
    <t>The girl smiles as she rides the camel around the pen.</t>
  </si>
  <si>
    <t>v_Q2OOxx3RWhY</t>
  </si>
  <si>
    <t>The young girl is speaking to the camera.</t>
  </si>
  <si>
    <t>The girl is holding a hair curler.</t>
  </si>
  <si>
    <t>The young woman is providing tips to other girls on how to curl their hair.</t>
  </si>
  <si>
    <t>At the end of the video, the girl asks to like the video.</t>
  </si>
  <si>
    <t>v_RNxHKDlWAGQ</t>
  </si>
  <si>
    <t>A camera shows a person riding around a dirt track on a bike moving at a quick speed.</t>
  </si>
  <si>
    <t>Several more shots are shown of people riding the dirt track on bikes while the camera captures them from several angles.</t>
  </si>
  <si>
    <t>v_5P-4_nS8euM</t>
  </si>
  <si>
    <t>A young man is seen talking to the camera from various angles and then using a razor to cut his hair.</t>
  </si>
  <si>
    <t>He continues cutting his hair while speaking to the camera and laughing.</t>
  </si>
  <si>
    <t>He finishes his hair while looking into the camera then has his reflection shown behind a shower curtain.</t>
  </si>
  <si>
    <t>v_gF14lRI0HUM</t>
  </si>
  <si>
    <t>Two people are boxing in a ring.</t>
  </si>
  <si>
    <t>A man in a black shirt is refereeing the fight.</t>
  </si>
  <si>
    <t>A woman is holding a camera taking pictures of them fighting.</t>
  </si>
  <si>
    <t>v_HDhG0WkwGaU</t>
  </si>
  <si>
    <t>The videos transitions into a countdown of various people getting hurt on the streets from bull attacks.</t>
  </si>
  <si>
    <t>many different people are seen running down streets while a bull flips them over and hurt them.</t>
  </si>
  <si>
    <t>v_fOGXvBAmTsY</t>
  </si>
  <si>
    <t>There's a woman talking about being the first woman to participate in a marathon in 1967.</t>
  </si>
  <si>
    <t>A picture of the participant when she was young is shown.</t>
  </si>
  <si>
    <t>She talks about how different the marathons used to be back in the day where she shows clips of participants from a marathon at least 50 years ago.</t>
  </si>
  <si>
    <t>There are pictures of male participants shown dominating the scene where she was the only female participant.</t>
  </si>
  <si>
    <t>She talks about her experience as she shows more pictures of her participation against all odds.</t>
  </si>
  <si>
    <t>She also shares information on how things changed later when she was finally allowed to participate freely.</t>
  </si>
  <si>
    <t>v_DLFerdBxdxQ</t>
  </si>
  <si>
    <t>A woman is standing at a table, putting food into a large pita on a plate.</t>
  </si>
  <si>
    <t>An older woman demonstrates how to cut onions, peppers, lettuce, carrots, tomatoes, etc into chunks.</t>
  </si>
  <si>
    <t>The vegetables are places in a processor and pureed into a bowl.</t>
  </si>
  <si>
    <t>The mix is blended and put on the table to be served on the tortillas.</t>
  </si>
  <si>
    <t>The women sit at the table and talk as they eat.</t>
  </si>
  <si>
    <t>v_qVgsPJeQYMY</t>
  </si>
  <si>
    <t>A group of students stretch out in gym class.</t>
  </si>
  <si>
    <t>A group of band students practice inside a classroom and gym.</t>
  </si>
  <si>
    <t>The school band plays during outdoor events and sporting games.</t>
  </si>
  <si>
    <t>v_F-WmsfI8HG0</t>
  </si>
  <si>
    <t>We see a newscaster in a studio.</t>
  </si>
  <si>
    <t>We see a man operating 2 manual vacuum cleaners.</t>
  </si>
  <si>
    <t>We see some old style vacuums.</t>
  </si>
  <si>
    <t>We see a black and white TV clip.</t>
  </si>
  <si>
    <t>We see the man vacuum and still from the museum.</t>
  </si>
  <si>
    <t>We see a lady in black and white and in color.</t>
  </si>
  <si>
    <t>We then see a factory and a man talking.</t>
  </si>
  <si>
    <t>We see the man talking and see him near a vacuum.</t>
  </si>
  <si>
    <t>We see an old print ad.</t>
  </si>
  <si>
    <t>We return to the newscaster in the studio.</t>
  </si>
  <si>
    <t>v_9wH6BIpe9X4</t>
  </si>
  <si>
    <t>A woman is seen speaking to the camera and leads into clips of her and another riding horses in a forest and beach.</t>
  </si>
  <si>
    <t>The women then run the horses along the beach while the camera captures them from several angles.</t>
  </si>
  <si>
    <t>v_aDhbXceBwHw</t>
  </si>
  <si>
    <t>Two men are seen doing a sumo move in a large circle surrounded by others.</t>
  </si>
  <si>
    <t>One man pretends to fight a sumo wrestler and is pushed to the side very easily.</t>
  </si>
  <si>
    <t>The other man tries with his shot shown again in slow motion and stand all together with their arms up.</t>
  </si>
  <si>
    <t>v_MqQ9mgUb664</t>
  </si>
  <si>
    <t>A man and woman is standing on the counter while the man talks in the camera.</t>
  </si>
  <si>
    <t>A plate of cut pineapple is on a plate on the table, as the man get some grapes and put it on the chopping board and cut them into half, then placed them on top of the pineapple cuts, then he wiped his hands and showed the plate to the camera.</t>
  </si>
  <si>
    <t>v_bY0vSkxH0PE</t>
  </si>
  <si>
    <t>A child watches at a window while a man outdoors is shoveling snow.</t>
  </si>
  <si>
    <t>He moves back and forth, picking up snow and moving it away from the door.</t>
  </si>
  <si>
    <t>v_-tv6laq1ic0</t>
  </si>
  <si>
    <t>We see blinds down on a window.</t>
  </si>
  <si>
    <t>A person is laying in a tattoo parlor being tattooed.</t>
  </si>
  <si>
    <t>We back up and see the tattoo artist.</t>
  </si>
  <si>
    <t>The lady looks in her phone and smiles at the camera.</t>
  </si>
  <si>
    <t>We pan down and see the tattoo artist work.</t>
  </si>
  <si>
    <t>v_LgUCZHYBBEc</t>
  </si>
  <si>
    <t>A large group of people are seen riding on horses and begin moving around.</t>
  </si>
  <si>
    <t>The people play a game on the horses while chasing a ball.</t>
  </si>
  <si>
    <t>The men continue to play and end by one jumping off the horse.</t>
  </si>
  <si>
    <t>v_FkWlzk8CrxA</t>
  </si>
  <si>
    <t>A woman in a white shirt is talking to the camera.</t>
  </si>
  <si>
    <t>A man and the woman start to dance together.</t>
  </si>
  <si>
    <t>She raises her arm and he twists her around.</t>
  </si>
  <si>
    <t>v_dWUEAavKWmI</t>
  </si>
  <si>
    <t>Two men wearing blue are inside playing a game of ping ping.</t>
  </si>
  <si>
    <t>They are hitting the ball back and forth pretty quickly without stopping.</t>
  </si>
  <si>
    <t>One of them hits the ball up and stops their progress, they have to start again.</t>
  </si>
  <si>
    <t>they get back to playing and hitting it barely missing a beat.</t>
  </si>
  <si>
    <t>v_jLwUrFMRGzY</t>
  </si>
  <si>
    <t>An intro is shown followed by two people and a man talking to the camera.</t>
  </si>
  <si>
    <t>The camera pans out to more people and shows them performing an exercise that swings their legs back and fourth.</t>
  </si>
  <si>
    <t>The people continue following the instructor through various movements while he leads them in the exercise.</t>
  </si>
  <si>
    <t>v_cBMi-cIbI2c</t>
  </si>
  <si>
    <t>A man is dressed in a black uniform and approaches a small circle that is in the middle of the field surrounded by green nets.</t>
  </si>
  <si>
    <t>The crowd is panned and then the man is shown throwing his discus as multiple people run out to track his distance.</t>
  </si>
  <si>
    <t>An instant replay is played and the front of the man's face is visible.</t>
  </si>
  <si>
    <t>v_nDG3MsnLE20</t>
  </si>
  <si>
    <t>We see a curling stone and a graph.</t>
  </si>
  <si>
    <t>We see a person pushing the stone.</t>
  </si>
  <si>
    <t>We see the stone on another graph.</t>
  </si>
  <si>
    <t>We see a man push the stone and people sweep in front of it.</t>
  </si>
  <si>
    <t>v_vPh9o_BuJaU</t>
  </si>
  <si>
    <t>A close up of a person's feet are shown sitting in a chair.</t>
  </si>
  <si>
    <t>The person then bends forward and begins putting shoes on.</t>
  </si>
  <si>
    <t>He finishes putting shoes on and gets up to walk away.</t>
  </si>
  <si>
    <t>v_HnEvJUr8DEM</t>
  </si>
  <si>
    <t>A man is standing on a field.</t>
  </si>
  <si>
    <t>He kicks a ball into the air.</t>
  </si>
  <si>
    <t>He runs to first base.</t>
  </si>
  <si>
    <t>v_a7QrIgqkyao</t>
  </si>
  <si>
    <t>A woman is standing behind a table with several pumpkin carving kits.</t>
  </si>
  <si>
    <t>She shows the contents of the books.</t>
  </si>
  <si>
    <t>The woman chooses a design, carving it into the pumpkin.</t>
  </si>
  <si>
    <t>She then places batteries in tea light to go inside, and paints the pumpkin black.</t>
  </si>
  <si>
    <t>v_UVJ0mQndDhE</t>
  </si>
  <si>
    <t>We see a person sliding blue discs down a wooden table.</t>
  </si>
  <si>
    <t>The man moves to the other end of the table and the camera moves to see them from the end.</t>
  </si>
  <si>
    <t>We wee the person slide all their blue then the red discs down the table.</t>
  </si>
  <si>
    <t>We see a hand appear and point.</t>
  </si>
  <si>
    <t>The person grabs a blue disc and slides it two times.</t>
  </si>
  <si>
    <t>v_iOnlcEk50CM</t>
  </si>
  <si>
    <t>A male is standing on side on a road in front of a forest with his foot on a skateboard.</t>
  </si>
  <si>
    <t>The male then gets on the skateboard and start balancing himself on it.</t>
  </si>
  <si>
    <t>After,he picks up the skateboard and moves a few feet back and starts skateboarding.</t>
  </si>
  <si>
    <t>Once done,he picks up the skateboard and holds it back down to his side.</t>
  </si>
  <si>
    <t>v_CIAZbDkD0TE</t>
  </si>
  <si>
    <t>A woman walks out of a kitchen and over to a steamer with her daughter behind her.</t>
  </si>
  <si>
    <t>She picks up her iron and begins to iron a pair of pants as the girl plays with a dress, and the woman has left the iron resting on the clothing.</t>
  </si>
  <si>
    <t>She irons the dress for the girl as she watches.</t>
  </si>
  <si>
    <t>v__HIJu_hNweY</t>
  </si>
  <si>
    <t>Three girls are seen standing on a cliff hitting a birdie to one another.</t>
  </si>
  <si>
    <t>The camera pans around their movements as they hit the birdie around.</t>
  </si>
  <si>
    <t>The girls continue to hit the birdie around and showing off their butts in the end.</t>
  </si>
  <si>
    <t>v_H_xL4tssqEU</t>
  </si>
  <si>
    <t>A woman knits and shows her work.</t>
  </si>
  <si>
    <t>Women are knitting while sitting in a circle and talking each other.</t>
  </si>
  <si>
    <t>A reporter talks in the room where the women knits.</t>
  </si>
  <si>
    <t>v_P2H4fTMMHNE</t>
  </si>
  <si>
    <t>A woman is ironing a brown shirt on an ironing board.</t>
  </si>
  <si>
    <t>She looks at the tag on the shirt.</t>
  </si>
  <si>
    <t>She continues ironing the shirt on the ironing board.</t>
  </si>
  <si>
    <t>She lifts the shirt up and puts it over the ironing board.</t>
  </si>
  <si>
    <t>She turns the shirt inside out and holds it up.</t>
  </si>
  <si>
    <t>v_bJkemB0CcKo</t>
  </si>
  <si>
    <t>A man talks to the camera smiling and transitions to him holding a pan and spreading butter into it.</t>
  </si>
  <si>
    <t>He pours egg into the pan and pushes it around with several vegetables.</t>
  </si>
  <si>
    <t>He finishes by putting the omelet onto a plate and eating one big bite.</t>
  </si>
  <si>
    <t>v_EeUkryzfwYk</t>
  </si>
  <si>
    <t>An animated intro screen has a lot of little Christmas pictures moving on it and white words appear that say "Decorating The Christmas Tree".</t>
  </si>
  <si>
    <t>The same animation continues to play and the white words now appearing are "With Me, My Sis, Mom &amp; Chris".</t>
  </si>
  <si>
    <t>In fast motion, there are people in a residential home and they are winding strings of white Christmas tree lights around a very full and grown tree.</t>
  </si>
  <si>
    <t>When they are done with the lights, the begin to decorate the tree with ornaments until it's all filled with ornaments.</t>
  </si>
  <si>
    <t>The camera is picked up and the man is now attempting to put a white star on the top of the tree while children are hanging around and talking.</t>
  </si>
  <si>
    <t>The star is now on the tree, the camera is put back down, one of the girl hugs the tree.</t>
  </si>
  <si>
    <t>v_ceDvPX6hP_U</t>
  </si>
  <si>
    <t>A man is standing inside a gym as he speaks to the camera.</t>
  </si>
  <si>
    <t>He indicated a blue block on the ground before stepping over it and kneeling on top of it.</t>
  </si>
  <si>
    <t>He begins pulling the cord on the equipment, showing how it is used.</t>
  </si>
  <si>
    <t>v_lvlVfgZ53NQ</t>
  </si>
  <si>
    <t>A man is talking behind a bar, standing in front of numerous alcohol bottles.</t>
  </si>
  <si>
    <t>He pours liquids over a glass filled with ice.</t>
  </si>
  <si>
    <t>He then garnishes the final product for serving.</t>
  </si>
  <si>
    <t>v_z-1HUIQFGIg</t>
  </si>
  <si>
    <t>Karate students play standing and hand held drums in a studio.</t>
  </si>
  <si>
    <t>Karate students jump over the top of a rope held by other students on a mat.</t>
  </si>
  <si>
    <t>The group of karate students practices punches standing in a line.</t>
  </si>
  <si>
    <t>A group of younger student practice sparring against opponents.</t>
  </si>
  <si>
    <t>The groups spin each other in circles holding each others hands.</t>
  </si>
  <si>
    <t>The group stands in a circle and jump up and down together while watching the instructor.</t>
  </si>
  <si>
    <t>v_q2TF-3bWZuU</t>
  </si>
  <si>
    <t>A woman is talking as she stands outside horse stables.</t>
  </si>
  <si>
    <t>She talks as a client is riding one of her horses in a dirt field.</t>
  </si>
  <si>
    <t>She discusses the form and positioning of the rider.</t>
  </si>
  <si>
    <t>The rider takes the horse around for a trot while the woman watches.</t>
  </si>
  <si>
    <t>v_wdsZn1Yu_5M</t>
  </si>
  <si>
    <t>A blonde woman is speaking in a news room in front of a large screen.</t>
  </si>
  <si>
    <t>Boats are seen pulling people on water skis.</t>
  </si>
  <si>
    <t>A man is shown preparing and then skiing through the water.</t>
  </si>
  <si>
    <t>v_rBMQFpHspmo</t>
  </si>
  <si>
    <t>Several people are seen wandering around an indoor field with one pole volting over a bar.</t>
  </si>
  <si>
    <t>The same shot is shown again in slow motion as well as several other attempts the boy makes.</t>
  </si>
  <si>
    <t>He attempts the jump several more times while people watch him on the sides.</t>
  </si>
  <si>
    <t>v_V1AqyQ3qaQY</t>
  </si>
  <si>
    <t>A man is standing next to a pond.</t>
  </si>
  <si>
    <t>He loads an arrow in the bow.</t>
  </si>
  <si>
    <t>He shoots the arrow at a ceramic cat, knocking it into the water before moving on to other targets.</t>
  </si>
  <si>
    <t>v_4Dj7wOTfyH4</t>
  </si>
  <si>
    <t>A woman is seen walking into frame and speaking to the camera.</t>
  </si>
  <si>
    <t>She sits down on boxes while holding others up and begins laying tiles down on the floor.</t>
  </si>
  <si>
    <t>She picks others up while speaking to the camera followed by vacuuming the floor and a child playing along.</t>
  </si>
  <si>
    <t>v_1G5cu1NvDFw</t>
  </si>
  <si>
    <t>A young child is seen running around a back yard on a large set of stilts.</t>
  </si>
  <si>
    <t>The boy continues bouncing around as the camera captures him as well as running.</t>
  </si>
  <si>
    <t>v_LHjmL7Pg_80</t>
  </si>
  <si>
    <t>Boys are running on a field playing a game of soccer.</t>
  </si>
  <si>
    <t>Then they are are playing professional on an indoor court while an audience watches.</t>
  </si>
  <si>
    <t>They show many different clips from many different games, like a memoir of videos.</t>
  </si>
  <si>
    <t>Number 12 is the basis of them all, he seems to be a very great soccer player.</t>
  </si>
  <si>
    <t>v_eGl_I8h832w</t>
  </si>
  <si>
    <t>A young girl is seen speaking to the camera and looking off into the distance.</t>
  </si>
  <si>
    <t>She continues speaking and leads into a woman cutting her hair.</t>
  </si>
  <si>
    <t>She hands the girl her hair and shows off her cut in the end.</t>
  </si>
  <si>
    <t>v_dD3eR9Sb1x0</t>
  </si>
  <si>
    <t>Multiple colors and designs flash across the screen.</t>
  </si>
  <si>
    <t>Women gather onstage as they are about to perform.</t>
  </si>
  <si>
    <t>The women dance and jump, leading a zumba routine.</t>
  </si>
  <si>
    <t>v_fJEXzQ0L1uU</t>
  </si>
  <si>
    <t>Various shots of signs are shown as well as people walking around a field and getting ready for events.</t>
  </si>
  <si>
    <t>Many people are interviewed for the camera and show people waving and getting ready on the sides.</t>
  </si>
  <si>
    <t>People wave to the camera and stand around holding signs while more speak to the camera and show games of hopscotch.</t>
  </si>
  <si>
    <t>v__Hi9gQEaT-Q</t>
  </si>
  <si>
    <t>A dog pushes a stroller down the sidewalk.</t>
  </si>
  <si>
    <t>A person in white passes the tree.</t>
  </si>
  <si>
    <t>The dog passes a small tree.</t>
  </si>
  <si>
    <t>v_E_6XYa_WO8I</t>
  </si>
  <si>
    <t>A man starts chopping a piece of wood with an ax.</t>
  </si>
  <si>
    <t>He picks the wood back up and throws it into a pile.</t>
  </si>
  <si>
    <t>He picks up a new piece of wood and chops that one.</t>
  </si>
  <si>
    <t>v_WjEh7acrr5o</t>
  </si>
  <si>
    <t>A woman is seen sitting in a chair knitting thread while the camera watches her.</t>
  </si>
  <si>
    <t>The woman continues to knit while stopping to look at the camera and make faces.</t>
  </si>
  <si>
    <t>v_GhVERbQMZWQ</t>
  </si>
  <si>
    <t>A hummer backs a boat down a ramp.</t>
  </si>
  <si>
    <t>A person is wake boarding behind the boat.</t>
  </si>
  <si>
    <t>People are sitting on the boat.</t>
  </si>
  <si>
    <t>v_80pIiAmVa5Q</t>
  </si>
  <si>
    <t>A woman is seated at the bottom of a slide.</t>
  </si>
  <si>
    <t>She is adjusting her camera.</t>
  </si>
  <si>
    <t>A child slides down the slide, running into her from behind.</t>
  </si>
  <si>
    <t>v_GZjNt2TsChs</t>
  </si>
  <si>
    <t>A young child is seen climbing up a playground and then going down a slide.</t>
  </si>
  <si>
    <t>She goes back to the top again followed by another go down the slide and back to the stairs again.</t>
  </si>
  <si>
    <t>v_yRswMXWCcrI</t>
  </si>
  <si>
    <t>A person stands on a hill covered wit snow, then the person ski down the hill and fall.</t>
  </si>
  <si>
    <t>A skier comes down a hill makes a jump over stones and falls and rolls on the snow.</t>
  </si>
  <si>
    <t>Then, other man skies on the hill and flat areas covered with snow.</t>
  </si>
  <si>
    <t>Also, skiers makes a flip from in the air while other people watch.</t>
  </si>
  <si>
    <t>v_2EQMXueAmCA</t>
  </si>
  <si>
    <t>Two men play squash on an indoor court.</t>
  </si>
  <si>
    <t>The left man in the white shirt misses the ball and the start over.</t>
  </si>
  <si>
    <t>We see the man in the gray shirt miss the ball land stands up and pumps his fist while looking disappointed.</t>
  </si>
  <si>
    <t>v_5Owjrx-YjjM</t>
  </si>
  <si>
    <t>A little girl is sitting on the porch floor with her dad as he puts together a blue butterfly kite for her.</t>
  </si>
  <si>
    <t>After he's done completing the kite, they go out in the open to fly the kite.</t>
  </si>
  <si>
    <t>The father is holding the kite in his hand as the wind blows strongly.</t>
  </si>
  <si>
    <t>The girl holds the string of the kite and begins flying the kite high up in the air.</t>
  </si>
  <si>
    <t>v_JXvPFMjtbcw</t>
  </si>
  <si>
    <t>A chef explains how to cook an omelette with vegetables and spices, Then, the chef take a dish and serves the omelette with lettuce and lemon.</t>
  </si>
  <si>
    <t>A man and a woman pass behind the chef in the restaurant.</t>
  </si>
  <si>
    <t>Another man sit in a table, stand and walk away.</t>
  </si>
  <si>
    <t>Another person enters the restaurant and turns left.</t>
  </si>
  <si>
    <t>v_FhGOGbL-A84</t>
  </si>
  <si>
    <t>A little boy is in a yard, using a leaf blower.</t>
  </si>
  <si>
    <t>A little girl soon joins him, raking leaves.</t>
  </si>
  <si>
    <t>v_MIE0KbGIXjM</t>
  </si>
  <si>
    <t>A man is seen bent over washing his hands when another man walks out and speaks to him.</t>
  </si>
  <si>
    <t>The other man then begins washing his hands with soap under the faucet while the other man watches.</t>
  </si>
  <si>
    <t>He finishes washing while the other man leaves and cues to a third man walking out of the stall.</t>
  </si>
  <si>
    <t>v_5Qj8hHmZbiI</t>
  </si>
  <si>
    <t>People are playing beer pong at a party.</t>
  </si>
  <si>
    <t>People are drinking drinks from the table.</t>
  </si>
  <si>
    <t>A glass of beer is shown.</t>
  </si>
  <si>
    <t>v_Ck5i8CVEkJI</t>
  </si>
  <si>
    <t>A man is seen throwing a dart onto a board and leads into a woman speaking.</t>
  </si>
  <si>
    <t>The man throws several more darts while taking the time to speak to the woman.</t>
  </si>
  <si>
    <t>More people are shown throwing dart while the two continue to speak and the man points to the board.</t>
  </si>
  <si>
    <t>v_oMegp6a547Q</t>
  </si>
  <si>
    <t>The camera pans around several groups of people are seen performing martial arts around one another as well as people walking around and watching.</t>
  </si>
  <si>
    <t>Many shots are shown of people dancing and singing as well as performing martial arts in the streets and helping one another.</t>
  </si>
  <si>
    <t>People are seen playing instruments, reading the the news, and performing martial arts all around the street.</t>
  </si>
  <si>
    <t>v_j1QaZ7YWcJ8</t>
  </si>
  <si>
    <t>A person plays tam-tam inside a room, the man mainly plays on the tam- tam on front hum.</t>
  </si>
  <si>
    <t>A hand pass on front the screen.</t>
  </si>
  <si>
    <t>The person extend her arm over the tam-tam.</t>
  </si>
  <si>
    <t>v_0RUs80IYF38</t>
  </si>
  <si>
    <t>A man jumps off of the brown horse and he lassos the bull to the ground in the beginning.</t>
  </si>
  <si>
    <t>Then he gets on another horse and he lassos a bull bigger than the last one to the ground.</t>
  </si>
  <si>
    <t>When he's done tying the bull's legs together, he gets up and walks away.</t>
  </si>
  <si>
    <t>v_Rn_frSrkkbM</t>
  </si>
  <si>
    <t>A cricket game is being played between two teams in front of a crowd of people.</t>
  </si>
  <si>
    <t>The first play is made and the commentators narrate the play.</t>
  </si>
  <si>
    <t>Then, a replay of the previous play is started while the commentators narrate it.</t>
  </si>
  <si>
    <t>The camera cuts to a man laughing at a mistake made in the play.</t>
  </si>
  <si>
    <t>v_ahY7nqwwJEg</t>
  </si>
  <si>
    <t>The video leads into several clips of people performing skateboarding tricks out in public places.</t>
  </si>
  <si>
    <t>Many more clips are shown of people riding around on skateboards doing flips and tricks.</t>
  </si>
  <si>
    <t>v_wS_T-RMSSCE</t>
  </si>
  <si>
    <t>elephant is walking in a small water well playing with a ball.</t>
  </si>
  <si>
    <t>woman is talking in the camera and the elephant is again in the water well playing with the ball.</t>
  </si>
  <si>
    <t>little elephant is playing with a big blue ball.</t>
  </si>
  <si>
    <t>v_1izVZnE0l7k</t>
  </si>
  <si>
    <t>A girl is standing at a sink, washing dishes and playing in the water.</t>
  </si>
  <si>
    <t>She smiles as she rinses a plastic bowl.</t>
  </si>
  <si>
    <t>She walks over to the camera talking and laughing before leaving the room with her brother.</t>
  </si>
  <si>
    <t>v_nHuu6aInr1w</t>
  </si>
  <si>
    <t>A man puts a pile of marshmallows in his mouth.</t>
  </si>
  <si>
    <t>A man make a campfire and tips flash on the screen.</t>
  </si>
  <si>
    <t>The man digs a hole put rocks around it and gather firewood.</t>
  </si>
  <si>
    <t>He puts the wood in a triangle in the pit and logs on the outside.</t>
  </si>
  <si>
    <t>The man lights the fire and adds a few more pieces of wood.</t>
  </si>
  <si>
    <t>v_BYLxSOPFOuc</t>
  </si>
  <si>
    <t>man is standing in front of a mirror holding a camera.</t>
  </si>
  <si>
    <t>woman enters in the bathroom carying a white cat and the man kneels so the cat can stands on his back.</t>
  </si>
  <si>
    <t>the woman leaves the bathroom and the man keeps recording himself making poses in front of the camera and talking to himself in the mirror.</t>
  </si>
  <si>
    <t>the man enters in the bedroom and the woman is sitting in the bed holding the cat.</t>
  </si>
  <si>
    <t>man is in the bathroom again holding a knife and the woman enters in the room with a back scarf around her head.</t>
  </si>
  <si>
    <t>they are driving the car and are parked in snowy parking lot.</t>
  </si>
  <si>
    <t>they eners in a restaurant and leaves and walks to the car again.</t>
  </si>
  <si>
    <t>the woman gets into the car and the man opens the door and grabs a little brush and cleans the windshield and the woman do the same and plays with the man.</t>
  </si>
  <si>
    <t>v_NaTBiY3G3zc</t>
  </si>
  <si>
    <t>A woman is seen pushing a puck along the ice with others followed by a man speaking to the camera.</t>
  </si>
  <si>
    <t>More clips are shown of people curling on the ice while the man continues to speak to the camera and the game is shown in slow motion.</t>
  </si>
  <si>
    <t>v_m_sBF4vLRRc</t>
  </si>
  <si>
    <t>woman is wearing a red shirt and is standing talking to the camera in a white room.</t>
  </si>
  <si>
    <t>woman start dancing salsa steps on a wooden court.</t>
  </si>
  <si>
    <t>the woman is doing samba steps shaking her body side to side.</t>
  </si>
  <si>
    <t>v_XkOO6lc5vxw</t>
  </si>
  <si>
    <t>An intro shows off a hedge trimmer.</t>
  </si>
  <si>
    <t>A woman beings to speak about the hedge trimmer.</t>
  </si>
  <si>
    <t>The product is shown in action, trimming a bush.</t>
  </si>
  <si>
    <t>The woman shows off the blade, and charger.</t>
  </si>
  <si>
    <t>We see the product in use again.</t>
  </si>
  <si>
    <t>The woman shows the comfort grip.</t>
  </si>
  <si>
    <t>The woman talks about how to order the product.</t>
  </si>
  <si>
    <t>v_DgdEQgh8TKU</t>
  </si>
  <si>
    <t>A man is seen standing by the water holding an axe in one hand and a block of wood in the other.</t>
  </si>
  <si>
    <t>The man continues cutting wood while the camera pans to other people in the room and a woman speaking to the camera.</t>
  </si>
  <si>
    <t>v_IZXFAoiSj0c</t>
  </si>
  <si>
    <t>A female athlete is in a field and she begins to throw a shot put.</t>
  </si>
  <si>
    <t>The lady spins and spins in slow motion as words are shown at the top describing each phase needed to throw a shot put successfully.</t>
  </si>
  <si>
    <t>v_PWw-DAcSszM</t>
  </si>
  <si>
    <t>We see a man slowly performing Tai Chi.</t>
  </si>
  <si>
    <t>A white banner streams across the bottom.</t>
  </si>
  <si>
    <t>The man lifts his legs up in front of him then kicks out.</t>
  </si>
  <si>
    <t>The man stops and stands still.</t>
  </si>
  <si>
    <t>v_bsl3oM4svdQ</t>
  </si>
  <si>
    <t>A woman is seen pulling a piece of exercise equipment while struggling to get it to move.</t>
  </si>
  <si>
    <t>She moves the mat underneath her and then is able to pull the bar back and fourth towards her.</t>
  </si>
  <si>
    <t>v_lXTcGMN9I8g</t>
  </si>
  <si>
    <t>A young man at an outdoor festival is doing tightrope tricks in front of a crowd.</t>
  </si>
  <si>
    <t>The young man does various bouncing and balancing tricks on a tight rope a few feet above black mats.</t>
  </si>
  <si>
    <t>The gets off the rope and walks on the mats off the floor and towards his group.</t>
  </si>
  <si>
    <t>v_Jbl0E75cx8o</t>
  </si>
  <si>
    <t>A woman is seen sitting in a chair while a man uses various tools to pierce her ear.</t>
  </si>
  <si>
    <t>The man finishes the piercing and the girl begins to turn in the end.</t>
  </si>
  <si>
    <t>v_cnFw7hjmqJY</t>
  </si>
  <si>
    <t>man is standing in a court in front of kids and is walking showing how to score a basket.</t>
  </si>
  <si>
    <t>man throw the ball with someone in the other side of the court and make a lay up and the kids behind him in the court do the same.</t>
  </si>
  <si>
    <t>the coach os hlping the girl to catch the ball and run.</t>
  </si>
  <si>
    <t>the kid make a throw and then score a basket adn the kids behind her keeps doing the same.</t>
  </si>
  <si>
    <t>v_84x9A9xyLcE</t>
  </si>
  <si>
    <t>The sun rises over the hills.</t>
  </si>
  <si>
    <t>A man in shorts walks around.</t>
  </si>
  <si>
    <t>He grabs his board and places it into the water.</t>
  </si>
  <si>
    <t>The man climbs the board and surfs.</t>
  </si>
  <si>
    <t>v__AaSNARQPfE</t>
  </si>
  <si>
    <t>A man picks up a weight over his head and drops it on the ground.</t>
  </si>
  <si>
    <t>A man picks up a bar and raises it several times.</t>
  </si>
  <si>
    <t>A man in a black shirt is standing next to him.</t>
  </si>
  <si>
    <t>Another man stands next to him and lifts a bar with him.</t>
  </si>
  <si>
    <t>v_JM7YQFgxu2I</t>
  </si>
  <si>
    <t>There is a little girl slowly sliding down the side with the comfort of holding her mother's hand, the first time she went down.</t>
  </si>
  <si>
    <t>The second time she went down on her belly without help.</t>
  </si>
  <si>
    <t>v_6k5m4u5AchQ</t>
  </si>
  <si>
    <t>There are two camping out in the winter for an ice fishing trip.</t>
  </si>
  <si>
    <t>One of the men comes out of his camping tent with a fish in his hand.</t>
  </si>
  <si>
    <t>The two men are sitting in their make shift tent, fishing through a hole in the frozen lake.</t>
  </si>
  <si>
    <t>They are patiently sitting with their fishing rods till they fish out mid size fish from the holes.</t>
  </si>
  <si>
    <t>They show the kind of fish they have found as they lay it out on the frozen ground.</t>
  </si>
  <si>
    <t>One of the men cleans the fish scales.</t>
  </si>
  <si>
    <t>Then they cut the fish into small pieces and clean them up outside their garage.</t>
  </si>
  <si>
    <t>They sharpen the knife to slice the fish to prepare batter covered fried fish.</t>
  </si>
  <si>
    <t>The entire family sits together on a large dinning table and enjoy a delicious fried fish meal.</t>
  </si>
  <si>
    <t>v_7OZHg_OOfxw</t>
  </si>
  <si>
    <t>boys and girls are stading in a court practicing cheerleaders choreography and a woman is talking in a studio on news.</t>
  </si>
  <si>
    <t>high scoo musical scene is show and a man practicing is being interviewed and scenes of bring it on is showed.</t>
  </si>
  <si>
    <t>v_jzBR9ihZBbI</t>
  </si>
  <si>
    <t>A man is talking in front of a couple of graphs.</t>
  </si>
  <si>
    <t>She demonstrates the technique with his racquet.</t>
  </si>
  <si>
    <t>He then goes into a room, and plays a game of racquetball with a man.</t>
  </si>
  <si>
    <t>When they are done, he walks out and discusses it some more.</t>
  </si>
  <si>
    <t>v_b3bawTEPLtA</t>
  </si>
  <si>
    <t>A ballerina is seen swirling in a room and leads into the woman speaking to the camera and performing several ballet moves.</t>
  </si>
  <si>
    <t>She stands at the barre and then on her own to demonstrate how to properly perform ballet moves.</t>
  </si>
  <si>
    <t>She moves her arms up and down as well as her legs and continuously speaking to the camera.</t>
  </si>
  <si>
    <t>v_K-kJ-0nkKZk</t>
  </si>
  <si>
    <t>A set of hands are seen putting brush into a stack of sticks and then places cotton in the pile.</t>
  </si>
  <si>
    <t>He then lights a match and creates a fire and then bends over the fire to put more in.</t>
  </si>
  <si>
    <t>The camera closes in on the pit and is seen placing logs around the side.</t>
  </si>
  <si>
    <t>v_cvatsuUhqhk</t>
  </si>
  <si>
    <t>Two men are playing Foosball in a dark room.</t>
  </si>
  <si>
    <t>They compete intensely at a fast pace.</t>
  </si>
  <si>
    <t>The man of the red team wins all four times.</t>
  </si>
  <si>
    <t>Every time when he wins, he does a little cheering dance.</t>
  </si>
  <si>
    <t>v_ZOeQh2-ci3M</t>
  </si>
  <si>
    <t>A person uses the toilet in a stall.</t>
  </si>
  <si>
    <t>The man leaves the bathroom without washing his hands.</t>
  </si>
  <si>
    <t>The man eats from food dishes using his hands.</t>
  </si>
  <si>
    <t>A woman plays with the dogs.</t>
  </si>
  <si>
    <t>A person washes their hands in a sink using foam soap.</t>
  </si>
  <si>
    <t>The person uses a paper towel to dry off his hands.</t>
  </si>
  <si>
    <t>A person washes their hands in a stainless steel sink.</t>
  </si>
  <si>
    <t>v_76tyabobb_0</t>
  </si>
  <si>
    <t>A messy kid is eating an ice cream cone.</t>
  </si>
  <si>
    <t>He bites the parents ice cream cone.</t>
  </si>
  <si>
    <t>The parent adjusts the cone for the child.</t>
  </si>
  <si>
    <t>The parent wipes ice cream from the child's face.</t>
  </si>
  <si>
    <t>v_QJm_B5Hx4DI</t>
  </si>
  <si>
    <t>An employee of the beach patrol is talking about how to have a safe day at the beach.</t>
  </si>
  <si>
    <t>Sunscreen is addressed and he overviews how and why to apply sunscreen properly.</t>
  </si>
  <si>
    <t>Sunscreen SPF value is addressed with a slide on how to pay attention to the proper SPF.</t>
  </si>
  <si>
    <t>He addresses the negative impacts of sunburns, especially with children.</t>
  </si>
  <si>
    <t>He then talks about different types of specialty sunscreen to ensure you are safely covered.</t>
  </si>
  <si>
    <t>Children sunscreen safety is then talked about and how to properly protect your kids.</t>
  </si>
  <si>
    <t>He then discusses what to do when a sunburn does occur, how to handle it to take care of your skin.</t>
  </si>
  <si>
    <t>A slide is shown to make us aware of when a sunburn is bad and needs medical attention.</t>
  </si>
  <si>
    <t>He then takes another overview of how to use sunscreen to make your day enjoyable.</t>
  </si>
  <si>
    <t>v_EJxWhTE_ZeE</t>
  </si>
  <si>
    <t>Several clips of boxes are shown as well as people moving around a stage and an audience watching.</t>
  </si>
  <si>
    <t>The video leads into several people washing windows as quickly as they can while many watch them on the side.</t>
  </si>
  <si>
    <t>Many men speak to the camera as well as people announcing the scores and more window washing taking place.</t>
  </si>
  <si>
    <t>v_mgmwdQixDXY</t>
  </si>
  <si>
    <t>woman is showing her nails with a cute manicure and some polishes behind her hand.</t>
  </si>
  <si>
    <t>woman is holding a pink polish and start painting her nail.</t>
  </si>
  <si>
    <t>and with a little sponge and a little pin paint the nail with white blue and purple paint.</t>
  </si>
  <si>
    <t>with a small bush put som wwhite dots and clean the nail.</t>
  </si>
  <si>
    <t>woman cut a red paper and paint with frosty gray polish.</t>
  </si>
  <si>
    <t>v_tPiuksisb4E</t>
  </si>
  <si>
    <t>There is a hookah placed on a kitchen counter.</t>
  </si>
  <si>
    <t>A man wearing a black sleeveless shirt comes there and kneels down to begins smoking the hookah.</t>
  </si>
  <si>
    <t>He smokes the hookah and blows out smoke.</t>
  </si>
  <si>
    <t>He takes a few puffs of the hookah and exhales the smoke out.</t>
  </si>
  <si>
    <t>He continues smoking by taking long puffs of the hookah and then leaves.</t>
  </si>
  <si>
    <t>v_Qv0fN5A1vp4</t>
  </si>
  <si>
    <t>A close up of a bag is seen followed by a woman looking in the camera.</t>
  </si>
  <si>
    <t>She holds up a phone and speaks into the mirror.</t>
  </si>
  <si>
    <t>Finally she jumps up and down a bit and ends by turning off the camera.</t>
  </si>
  <si>
    <t>v_9mF5s6_dTlk</t>
  </si>
  <si>
    <t>A man in a crowded garage with lots of tools speaks to the camera as he holds a piece of paper.</t>
  </si>
  <si>
    <t>He taps a paper, continuously, on a iron type tool and brushes the paper against a long piece of wood.</t>
  </si>
  <si>
    <t>He puts down the piece of paper and takes the iron tool straight to the piece of wood.</t>
  </si>
  <si>
    <t>He picks up a paper towel and presses the iron against the piece of wood with one hand while using the other hand to drag a paper towel over the ironed areas of the board.</t>
  </si>
  <si>
    <t>He places the iron down.</t>
  </si>
  <si>
    <t>He takes the paper towel and quickly cleans the piece of wood.</t>
  </si>
  <si>
    <t>v_5Fq-ln3yC38</t>
  </si>
  <si>
    <t>A man pours a liquid onto a table.</t>
  </si>
  <si>
    <t>With the use of a paintbrush, he covers the table with the liquid.</t>
  </si>
  <si>
    <t>He removes varnish from the top of the table.</t>
  </si>
  <si>
    <t>Afterwards, he does a light sanding of the table.</t>
  </si>
  <si>
    <t>With a tack rug, he removes the dust.</t>
  </si>
  <si>
    <t>Wearing gloves, he applies a stain to the table.</t>
  </si>
  <si>
    <t>Finally, he polishes the table and shows off his end result.</t>
  </si>
  <si>
    <t>v_PlAVnu-ueM4</t>
  </si>
  <si>
    <t>Ms Smith is giving an interview talking about weight lifting, she speaks about how she started around 12.</t>
  </si>
  <si>
    <t>The coach briefly speaks about how gives them rest before every competition.</t>
  </si>
  <si>
    <t>She lifts the weight way above her head and drops it wearing her uniform.</t>
  </si>
  <si>
    <t>Everyone claps for her, and then you hear from her and the coach again before the interview is over.</t>
  </si>
  <si>
    <t>v_5Y4YkCkgShc</t>
  </si>
  <si>
    <t>A nighttime view of a city is shown through a window.</t>
  </si>
  <si>
    <t>A man in a chef's coat is standing in a kitchen talking to the camera.</t>
  </si>
  <si>
    <t>A pancake is shown with syrup being poured on it.</t>
  </si>
  <si>
    <t>Ingredients are placed in a bowl.</t>
  </si>
  <si>
    <t>The man cracks an egg and whisks the ingredients in a bowl.</t>
  </si>
  <si>
    <t>A ladle is shown next to the bowl.</t>
  </si>
  <si>
    <t>The man ladles the pancake batter onto the griddle.</t>
  </si>
  <si>
    <t>The man flips the pancakes.</t>
  </si>
  <si>
    <t>The pancake is placed on a plate and syrup is poured on it.</t>
  </si>
  <si>
    <t>The man is shown eating a piece of the pancake.</t>
  </si>
  <si>
    <t>The man continues talking to the camera while holding a piece of pancake.</t>
  </si>
  <si>
    <t>A television studio is shown.</t>
  </si>
  <si>
    <t>v_aSYCOvkN5uk</t>
  </si>
  <si>
    <t>A young man with Downs Syndrome bowls.</t>
  </si>
  <si>
    <t>Another young man throws a bowling ball.</t>
  </si>
  <si>
    <t>The first young man celebrates after a successful throw.</t>
  </si>
  <si>
    <t>v_COIwJdDOmcc</t>
  </si>
  <si>
    <t>man is standing in front of a gray car in a workshop changing a car wheel and talking to te camera.</t>
  </si>
  <si>
    <t>first the man grab an hiyraulic jack and put it under the car, unscrew the bolts wit a wheel brace and pulls out the wheel and mount the new one, put the screws back again with the wheel brace and tightens.</t>
  </si>
  <si>
    <t>man talking in front of the car and giving recomendations.</t>
  </si>
  <si>
    <t>v_Kv-A_H9TXug</t>
  </si>
  <si>
    <t>A guy sits on the floor and speaks.</t>
  </si>
  <si>
    <t>The guy lays down and does sit ups.</t>
  </si>
  <si>
    <t>The guy goes back to the sitting position.</t>
  </si>
  <si>
    <t>The credits of the video and an image are shown.</t>
  </si>
  <si>
    <t>v_MeHEDK_Y8sE</t>
  </si>
  <si>
    <t>A female Caucasian is sitting in a chair spinning around showing off her long blonde hair style,it is pinned to the right and has curls in the bottom.</t>
  </si>
  <si>
    <t>On the next screen,a woman begins grabbing the bottom and rolling it from the bottom up to about three inches and seals it with a piece of foil.</t>
  </si>
  <si>
    <t>Once the hair is folded up in a the foil,the lady takes a flat iron and runs it over the foil.</t>
  </si>
  <si>
    <t>As the next scene comes,the lady is pictured with eight foiled curls in her head that are sealed with long hair pins.</t>
  </si>
  <si>
    <t>The next step is to then remove the pins followed by the foil and release the curls.</t>
  </si>
  <si>
    <t>Finally,the style is completed and she is spun around once more to show the finished product.</t>
  </si>
  <si>
    <t>v_AahkhvTAXwg</t>
  </si>
  <si>
    <t>a woman walks onto a blue lit stage.</t>
  </si>
  <si>
    <t>She starts flipping back and forth on the stage.</t>
  </si>
  <si>
    <t>She is spinning and twirling a baton while she performs before disappearing.</t>
  </si>
  <si>
    <t>v_ZT_gv2W65Zc</t>
  </si>
  <si>
    <t>A woman brushes her hair with her hand.</t>
  </si>
  <si>
    <t>The woman combs her hair with a comb.</t>
  </si>
  <si>
    <t>The combing is shown in slow motion.</t>
  </si>
  <si>
    <t>v_IC61TQ-sd8o</t>
  </si>
  <si>
    <t>boys and girls are in stage doing a cheerleader choreography in a competiion while people in stands are watching them.</t>
  </si>
  <si>
    <t>men wearing black uniforms are standing behind the cheer team.</t>
  </si>
  <si>
    <t>v_n637bl2-DDo</t>
  </si>
  <si>
    <t>A man talks in front of an office building.</t>
  </si>
  <si>
    <t>The man enters the building and walks up the staircase.</t>
  </si>
  <si>
    <t>The man enters the gym room.</t>
  </si>
  <si>
    <t>People ride on stationary bikes and watch a television in the gym.</t>
  </si>
  <si>
    <t>v_byVhCu3KH1g</t>
  </si>
  <si>
    <t>Shoe polish supplies in a store, then people in a classroom get instructions about shoe polish.</t>
  </si>
  <si>
    <t>The teacher demonstrates to polish a boot using a tissue.</t>
  </si>
  <si>
    <t>Then, a girl polish the shoe of a woman using a cloth.</t>
  </si>
  <si>
    <t>A person takes pictures and a cameraman film.</t>
  </si>
  <si>
    <t>After, people practice shoe polish in group.</t>
  </si>
  <si>
    <t>v_oHOR69nFt-4</t>
  </si>
  <si>
    <t>We see the opening screen on orange.</t>
  </si>
  <si>
    <t>A lady is cooking in a kitchen.</t>
  </si>
  <si>
    <t>The lady pours ingredients into a bowl and stirs.</t>
  </si>
  <si>
    <t>The lady stirs an egg mixture and mixes it in with her original bow.</t>
  </si>
  <si>
    <t>She puts it in a glass pan and puts the pan in the oven.</t>
  </si>
  <si>
    <t>v__-_SwG4EnRU</t>
  </si>
  <si>
    <t>She begins dancing in the kitchen.</t>
  </si>
  <si>
    <t>She starts mopping the floor while she's dancing.</t>
  </si>
  <si>
    <t>v_0Q9RHSEFeMI</t>
  </si>
  <si>
    <t>People are working out in a gym.</t>
  </si>
  <si>
    <t>They are stepping up and down off of black step stools.</t>
  </si>
  <si>
    <t>They raise their hands and stop dancing.</t>
  </si>
  <si>
    <t>v_m3SlyuAh1Wk</t>
  </si>
  <si>
    <t>A close up of leaves are shown followed by a woman raking them and speaking to the camera.</t>
  </si>
  <si>
    <t>The woman continues raking while speaking to the camera back and fourth.</t>
  </si>
  <si>
    <t>She shows her piles as well as the clean lawn while still speaking to the camera.</t>
  </si>
  <si>
    <t>v_Pmt3R5olRP0</t>
  </si>
  <si>
    <t>A middle aged woman wearing a headpiece speaks to the camera while stiring with a spoon.</t>
  </si>
  <si>
    <t>She takes a couple sips from a cup while still speaking to the camera.</t>
  </si>
  <si>
    <t>She does this one more time before turning the camera off.</t>
  </si>
  <si>
    <t>v_0p3JN4KJsUs</t>
  </si>
  <si>
    <t>People practice ballet in a studio alone and in couples.</t>
  </si>
  <si>
    <t>Then, a boy and a girl dance ballet, then a man enter and dance with the girl.</t>
  </si>
  <si>
    <t>After, several couples dance ballet while other people observe.</t>
  </si>
  <si>
    <t>v_UQXB3JOoxYE</t>
  </si>
  <si>
    <t>A boy sits in the water, his skis out in front of him, while he holds the handle of the rope between his legs.</t>
  </si>
  <si>
    <t>We see a short flashback as we then see him in the boat in then in the water being assisted with his skis.</t>
  </si>
  <si>
    <t>Once again he is in the water, and the boat slowly picks up speed, pulling the young man upright until he is skiing full-speed behind the boat.</t>
  </si>
  <si>
    <t>A man comes up beside him, his arms outstretched as he holds a camera, and then a show of him with several other men in the boat.</t>
  </si>
  <si>
    <t>We soon see the man again in the water with his arm around the boy's shoulders, the boy triumphant after his successful ride.</t>
  </si>
  <si>
    <t>All in all everyone seemed to enjoy a great day outdoors whether in the boat or skiing or both.</t>
  </si>
  <si>
    <t>v_5HqegO_ayw8</t>
  </si>
  <si>
    <t>A large group of people are seen standing around a square with people playing volleyball.</t>
  </si>
  <si>
    <t>The people continuously hit the ball around the sandy field as the camera pans around them playing.</t>
  </si>
  <si>
    <t>The camera pans around the group as they keep playing.</t>
  </si>
  <si>
    <t>v_HAEyXtEdERI</t>
  </si>
  <si>
    <t>A camera pans around the outside of a building and surrounding areas and leads into several shots of people riding bikes on a track.</t>
  </si>
  <si>
    <t>Many people watch the race on the sidelines as the people continue going around the track and others record their time.</t>
  </si>
  <si>
    <t>Many people sit around speaking with one man speaking to a large group.</t>
  </si>
  <si>
    <t>More shots of people speaking and riding are shown and the audience cheers them on in the stands.</t>
  </si>
  <si>
    <t>v_sPEed6XrTZA</t>
  </si>
  <si>
    <t>An older man in a yellow t-shirt stands by an opened garage and white car parked outside.</t>
  </si>
  <si>
    <t>The man pours water and solution into a bucket and wand sprayer tank.</t>
  </si>
  <si>
    <t>The man begins washing the Nissan Leaf car with the sprayer and wipes it down with a cloth.</t>
  </si>
  <si>
    <t>v_CGz-ghbUXvk</t>
  </si>
  <si>
    <t>A wedding party is standing at the front of an aisle.</t>
  </si>
  <si>
    <t>A pair of men playing bagpipes enter the room before the bride makes her entrance with her father.</t>
  </si>
  <si>
    <t>Everyone stands to watch the procession.</t>
  </si>
  <si>
    <t>The man shakes hands with the groom, and we see the couple standing at the altar, facing each other.</t>
  </si>
  <si>
    <t>v_G3TPqsLNlrw</t>
  </si>
  <si>
    <t>A young man is water skiing and falls.</t>
  </si>
  <si>
    <t>Watching video of the lake and driving.</t>
  </si>
  <si>
    <t>You can see a man skiing from several different angles.</t>
  </si>
  <si>
    <t>Winter of Water skiing at Stoney Park.</t>
  </si>
  <si>
    <t>v_o6Xr1PiL-Jg</t>
  </si>
  <si>
    <t>The woman attempts to rake leaves, but then she falls and gets back up holding the rake and a man takes it from her.</t>
  </si>
  <si>
    <t>Then she walks away and comes back again and he rakes the leaves on top of her.</t>
  </si>
  <si>
    <t>v_yVJGQI5MBIk</t>
  </si>
  <si>
    <t>Two people are seen doing various martial arts moves to one another while a crowd of people cheer and applaud.</t>
  </si>
  <si>
    <t>The men continue kicking around one another and ends with them grabbing hands and smiling.</t>
  </si>
  <si>
    <t>v_TwJvPxAq9_o</t>
  </si>
  <si>
    <t>A girl is smoking a cigarette.</t>
  </si>
  <si>
    <t>A girl blows out smoke.</t>
  </si>
  <si>
    <t>A guy sits, gestures, and discusses.</t>
  </si>
  <si>
    <t>The guy gestures smoking a cigarette.</t>
  </si>
  <si>
    <t>v_XHQLkc06XIc</t>
  </si>
  <si>
    <t>A little girl does an introduction for a video of herself playing the violin.</t>
  </si>
  <si>
    <t>She begins to play the violin in a joyful and professional manner.</t>
  </si>
  <si>
    <t>She begins to pick up the speed of the song.</t>
  </si>
  <si>
    <t>When she is done playing she explains that the piece she just played.</t>
  </si>
  <si>
    <t>v_MNpV9WvVPSA</t>
  </si>
  <si>
    <t>instructions of how to play chords on the violin are shown.</t>
  </si>
  <si>
    <t>woman is in a room playing the violin.</t>
  </si>
  <si>
    <t>woman is showing how to play chords on wooden violin.</t>
  </si>
  <si>
    <t>v_lWFGSRpuopM</t>
  </si>
  <si>
    <t>Kids are driving around in bumper cars.</t>
  </si>
  <si>
    <t>The cars crash into each other.</t>
  </si>
  <si>
    <t>The kid in the green car crashes into the wall.</t>
  </si>
  <si>
    <t>v_Igpy_o0h3Cs</t>
  </si>
  <si>
    <t>A woman wear curls shows how to wrap pieces of fabric on a roller.</t>
  </si>
  <si>
    <t>The woman unrolls the curls from her hair.</t>
  </si>
  <si>
    <t>The woman combs out her hair using her hands.</t>
  </si>
  <si>
    <t>v_mEsW__Np9Xo</t>
  </si>
  <si>
    <t>People are riding horses around an arena.</t>
  </si>
  <si>
    <t>People are standing outside the arena watching them.</t>
  </si>
  <si>
    <t>The people watching turn around and look behind them.</t>
  </si>
  <si>
    <t>v_v2iIR1YLdz4</t>
  </si>
  <si>
    <t>A man is doing gymnastics in a living room.</t>
  </si>
  <si>
    <t>He is doing hand stands on a couple of bars on the ground.</t>
  </si>
  <si>
    <t>The bars are made from pvc pipes.</t>
  </si>
  <si>
    <t>v_LbGr5TjfTBY</t>
  </si>
  <si>
    <t>A cooker talks in a kitchen and shows the inside of a sharpener knife that has discs inside.</t>
  </si>
  <si>
    <t>Then, the man puts a knife in the sharpener knife to sharpen.</t>
  </si>
  <si>
    <t>After, the man wash and dry the knife.</t>
  </si>
  <si>
    <t>v_kF-J9mKwA8A</t>
  </si>
  <si>
    <t>A young boy playing a large drum game concentrates while the camera watches him play.</t>
  </si>
  <si>
    <t>Other people walk in and out of frame from the boy while he continuously plays the game on the drum.</t>
  </si>
  <si>
    <t>Another boy holding a drink walks into frame and watches the boy play the game.</t>
  </si>
  <si>
    <t>v_gR9qUDlytF8</t>
  </si>
  <si>
    <t>A large group of people are walking towards the camera and they look like they're in a small village.</t>
  </si>
  <si>
    <t>As the people get closer we see a man and a child are holding onto a saddle attached to a camel and riding on it while another man holds the leash and guides the camel.</t>
  </si>
  <si>
    <t>The camel passes the camera person and we get a view of the camel walking away and a view of a different side of the area that looks like a village.</t>
  </si>
  <si>
    <t>v_4w7sVSMbjyM</t>
  </si>
  <si>
    <t>A shot of a snowy area is shown followed by two people hoping along the area and speaking to the camera.</t>
  </si>
  <si>
    <t>More shots are shown of the men hopping around on snowboards in various locations as well as speaking to the camera and showing pictures of the people as well as footage of them riding around.</t>
  </si>
  <si>
    <t>v_cGEhbEHCQyE</t>
  </si>
  <si>
    <t>Many men are in a building playing a group of ice hockey against each other.</t>
  </si>
  <si>
    <t>As they continue to play,the referee begins to skate back and forth on the side in circles.</t>
  </si>
  <si>
    <t>After several starts and finishes,the games keeps going and the goalie is successful in blocking the puck each and every time.</t>
  </si>
  <si>
    <t>v_zwx1Kig4nXg</t>
  </si>
  <si>
    <t>We see a baby spining in a room with adults watching.</t>
  </si>
  <si>
    <t>An adult dances with the baby.</t>
  </si>
  <si>
    <t>Two adults hold the babies hands and dance.</t>
  </si>
  <si>
    <t>The baby is twirled in a circle.</t>
  </si>
  <si>
    <t>The baby is twirled again.</t>
  </si>
  <si>
    <t>The baby dances alone again.</t>
  </si>
  <si>
    <t>The baby picks up a toy dog and dances with it.</t>
  </si>
  <si>
    <t>v_n0meVEbpXak</t>
  </si>
  <si>
    <t>Kids are riding small dirt bikes around a track.</t>
  </si>
  <si>
    <t>A kid falls over and people help them up.</t>
  </si>
  <si>
    <t>v_jIsGq431gBs</t>
  </si>
  <si>
    <t>A bunch of people are meeting in a raft shop.</t>
  </si>
  <si>
    <t>They all meet in a room to put on helmets and get together their equipment.</t>
  </si>
  <si>
    <t>They all go for a long walk together, including down a large flight of stairs.</t>
  </si>
  <si>
    <t>They reach a long line of rafts by the water, where they get in and begin rafting.</t>
  </si>
  <si>
    <t>The people are white water rafting down a turbulent river, using their paddles in unison, going down small waterfalls together.</t>
  </si>
  <si>
    <t>They all stop to have lunch under an outdoor pavilion at the end of their adventure.</t>
  </si>
  <si>
    <t>v_bmf7otW5TQo</t>
  </si>
  <si>
    <t>A teen performs pommel horse spinning around, then jumps on the floor and goes to get power from a container.</t>
  </si>
  <si>
    <t>After, the teen gets again on the pommel horse and spins many times, while the jury observes.</t>
  </si>
  <si>
    <t>People walk behind the jury.</t>
  </si>
  <si>
    <t>Next, the teen stands on his hands and jumps to the mat.</t>
  </si>
  <si>
    <t>v_nyjtOdSyHn4</t>
  </si>
  <si>
    <t>A woman wearing a wig is seen blindfolding another girl while others watch on the sides.</t>
  </si>
  <si>
    <t>Kids are playing on the bouncehouse and a woman spins around the blindfolded girl.</t>
  </si>
  <si>
    <t>The girl swings around at a pinata and hits then walks away.</t>
  </si>
  <si>
    <t>v_-ceM4HHukhE</t>
  </si>
  <si>
    <t>A man sits down on an exercise machine.</t>
  </si>
  <si>
    <t>He begins working out on the machine.</t>
  </si>
  <si>
    <t>A man in a tan shirt stands behind him.</t>
  </si>
  <si>
    <t>v_DK271OQnNRA</t>
  </si>
  <si>
    <t>Three people go tubing down a rapid.</t>
  </si>
  <si>
    <t>They get stuck on the rocks, then push off and continue floating.</t>
  </si>
  <si>
    <t>v_4DFKpHF2aq4</t>
  </si>
  <si>
    <t>There's a young man wearing a black hoodie and hat out in the wilderness.</t>
  </si>
  <si>
    <t>He takes an umbrella in his hand and then tosses it behind him.</t>
  </si>
  <si>
    <t>Then he walks on a tight rope and tries to balance himself.</t>
  </si>
  <si>
    <t>There are some other men doing the same thing out in the wilderness, trying to balance themselves and walk on tight ropes.</t>
  </si>
  <si>
    <t>v_omLZQlz1PAo</t>
  </si>
  <si>
    <t>An elderly couple are dancing alone on a gymnasium floor while a line of people at a table watch.</t>
  </si>
  <si>
    <t>They spin and dance happily, and the crowd claps as they finish and walk away.</t>
  </si>
  <si>
    <t>v_c0Cn3HFXpLs</t>
  </si>
  <si>
    <t>Three men playing a game of racquetball are in a court surrounded by white walls.</t>
  </si>
  <si>
    <t>The man in white serves, followed by the man in the hat scoring on his serve.</t>
  </si>
  <si>
    <t>The man in the yellow shorts is next and manages to take the game over, serving several times to close the video.</t>
  </si>
  <si>
    <t>v_jsxrJJkUl2E</t>
  </si>
  <si>
    <t>A group of four men talk in front of a camera.</t>
  </si>
  <si>
    <t>There is an animated sequence.</t>
  </si>
  <si>
    <t>They continue to talk in front of the camera.</t>
  </si>
  <si>
    <t>Two of them stand holding a rake and they play rock paper scissors.</t>
  </si>
  <si>
    <t>One loses the game and jumps on the rake.</t>
  </si>
  <si>
    <t>Replays of him jumping on the rake.</t>
  </si>
  <si>
    <t>The other two hold the rake and play rock paper scissors.</t>
  </si>
  <si>
    <t>A different person loses and jumps on the rake.</t>
  </si>
  <si>
    <t>They show replays again of him jumping on it.</t>
  </si>
  <si>
    <t>A different set of guys hold the rake and play rock paper scissors again.</t>
  </si>
  <si>
    <t>One loses and jumps on the rake again.</t>
  </si>
  <si>
    <t>They show replays of him jumping on the rake.</t>
  </si>
  <si>
    <t>The other guy then jumps on the rake.</t>
  </si>
  <si>
    <t>They once again show replays.</t>
  </si>
  <si>
    <t>All four are once again talking in front of the camera.</t>
  </si>
  <si>
    <t>It ends with other videos of their you tube channel.</t>
  </si>
  <si>
    <t>v_8wDm37sdBCI</t>
  </si>
  <si>
    <t>A person is down below and is swinging a fabric and hitting it onto something.</t>
  </si>
  <si>
    <t>A wide shot of a city is shown from the from above.</t>
  </si>
  <si>
    <t>The view pans to other parts of the city and then zooms on other people hitting fabric onto an object as well.</t>
  </si>
  <si>
    <t>v_zzxYEZkahBU</t>
  </si>
  <si>
    <t>A person is throwing a disk down a strip of land.</t>
  </si>
  <si>
    <t>A woman in a brown shirt is holding a red cup.</t>
  </si>
  <si>
    <t>A boy pushes a ball with a stick.</t>
  </si>
  <si>
    <t>A man in a black shirt is holding a stick.</t>
  </si>
  <si>
    <t>A boy in a white shirt smiles at the camera.</t>
  </si>
  <si>
    <t>v_bX-PSFlwV5s</t>
  </si>
  <si>
    <t>A man is seen speaking to the camera while holding up a tool.</t>
  </si>
  <si>
    <t>A person is then seen peeling off a roof using the roof and speaking out loud.</t>
  </si>
  <si>
    <t>The man continues to take apart the roof.</t>
  </si>
  <si>
    <t>v_UCmycSotoy4</t>
  </si>
  <si>
    <t>A group of people are playing in white water kayaks.</t>
  </si>
  <si>
    <t>The person in the red tries to flip.</t>
  </si>
  <si>
    <t>A person in green attempts the same thing.</t>
  </si>
  <si>
    <t>The person in the red then has their front in the air for a long time.</t>
  </si>
  <si>
    <t>v_qoSn8oUMBSE</t>
  </si>
  <si>
    <t>A large group of people are seen walking out onto a field with a crowd cheering behind them.</t>
  </si>
  <si>
    <t>The men then begin playing a game of soccer and kicking the ball around the field.</t>
  </si>
  <si>
    <t>Several shots are shown of people scoring goals as well as others celebrating and holding one another.</t>
  </si>
  <si>
    <t>v_-vqefJDOxkw</t>
  </si>
  <si>
    <t>Several spectators watch as a man does track and field.</t>
  </si>
  <si>
    <t>The video with a man who begins running down the track.</t>
  </si>
  <si>
    <t>As he reaches the dirt section, he he does three jumps.</t>
  </si>
  <si>
    <t>On his final jump, he extends his legs to try and jump as far as possible.</t>
  </si>
  <si>
    <t>The video ends after he lands and he is shown smacking the ground.</t>
  </si>
  <si>
    <t>v_ahOnhEvMgq0</t>
  </si>
  <si>
    <t>The camera pans around a man standing in front of a ping pong table and begins playing a match with another man.</t>
  </si>
  <si>
    <t>The men continue hitting the ball back and fourth while various people watch him on the side.</t>
  </si>
  <si>
    <t>v_6XINT0LDdz8</t>
  </si>
  <si>
    <t>A gymnast is seen looking off into the distance and standing before a set of uneven bars.</t>
  </si>
  <si>
    <t>The man then jumps up onto the bars and begins swinging himself back and fourth.</t>
  </si>
  <si>
    <t>The man continues to swing around and ends by jumping down.</t>
  </si>
  <si>
    <t>v_rlWN8PZMbfY</t>
  </si>
  <si>
    <t>A woman washes her hands at a sink.</t>
  </si>
  <si>
    <t>The woman towels her hands dry.</t>
  </si>
  <si>
    <t>The camera shows a closeup of her dropping liquid into a contact lens.</t>
  </si>
  <si>
    <t>The contact lens is held up for inspection.</t>
  </si>
  <si>
    <t>The woman rubs the contact lens with the fluid.</t>
  </si>
  <si>
    <t>The woman puts the lens on.</t>
  </si>
  <si>
    <t>The woman removes the lens.</t>
  </si>
  <si>
    <t>The lens is held up for inspection.</t>
  </si>
  <si>
    <t>The woman removes the lens from her eye again.</t>
  </si>
  <si>
    <t>The woman cleans the lens with solution.</t>
  </si>
  <si>
    <t>The woman places the lens into a container.</t>
  </si>
  <si>
    <t>v_xYt__nSK8NA</t>
  </si>
  <si>
    <t>A young woman is seen looking to the camera smoking a cigarette and laughing to the camera.</t>
  </si>
  <si>
    <t>She continues taking puffs off the cigarette while looking into the camera and blowing smoke.</t>
  </si>
  <si>
    <t>v_7n1L0evoi34</t>
  </si>
  <si>
    <t>In Home Pet Groomers demonstrate how to groom a pet.</t>
  </si>
  <si>
    <t>The person is demonstrating how the dog's hair is trimmed with electric shears at their grooming salon.</t>
  </si>
  <si>
    <t>v_aVJRaXUjsEE</t>
  </si>
  <si>
    <t>Two men stand on the far left of a beer pong table.</t>
  </si>
  <si>
    <t>One of the men throws a beer pong ball across the table, into a cup.</t>
  </si>
  <si>
    <t>The other man with him throws a ball across the table, too.</t>
  </si>
  <si>
    <t>Two other men stand on the far right side of the beer pong table, and one of the men reaches to grab the cup where the ball fell into, and the other man bends down to catch a ball that has fallen on the floor.</t>
  </si>
  <si>
    <t>v_4Fxj9ObTMw8</t>
  </si>
  <si>
    <t>A girl leans over a sink, and a boy walks up to talk to her.</t>
  </si>
  <si>
    <t>She starts laughing and jumping up and down.</t>
  </si>
  <si>
    <t>The boy seems equally excited, and she smiles at the camera.</t>
  </si>
  <si>
    <t>v_rt3t2n6K_ww</t>
  </si>
  <si>
    <t>A young girl with a ponytail plays a drumkit, she appears to a trained musician.</t>
  </si>
  <si>
    <t>The girl focuses on one particular drum.</t>
  </si>
  <si>
    <t>The girl continues to play different parts of the drumkit.</t>
  </si>
  <si>
    <t>v_3DQTz4Ke50Q</t>
  </si>
  <si>
    <t>A truck is seen backing up and blowing leaves around while the camera captures the area around the truck.</t>
  </si>
  <si>
    <t>The truck is seen again in several locations backing up and pushing leaves back away from the truck.</t>
  </si>
  <si>
    <t>v_8ofNg0y8w60</t>
  </si>
  <si>
    <t>Two people are playing a tennis match on a blue court.</t>
  </si>
  <si>
    <t>The man in the blue shirt misses the ball and walks away to talk to someone.</t>
  </si>
  <si>
    <t>They replay the video of him missing the ball.</t>
  </si>
  <si>
    <t>A man in a white shirt sits on a chair with a microphone.</t>
  </si>
  <si>
    <t>They restart another tennis match.</t>
  </si>
  <si>
    <t>v_IpCYVZ-sMTc</t>
  </si>
  <si>
    <t>A man is seen speaking to the camera while holding a ski and pointing around it in various locations.</t>
  </si>
  <si>
    <t>The man continues speaking while rubbing down the ski with lotion and ending by presenting it to the screen.</t>
  </si>
  <si>
    <t>v_thvpt_lUxTI</t>
  </si>
  <si>
    <t>Two buses are parked in a parking lot.</t>
  </si>
  <si>
    <t>People are walking in front of it in the snow.</t>
  </si>
  <si>
    <t>A person is shoveling the snow in front of them.</t>
  </si>
  <si>
    <t>v_G5HZX5i26us</t>
  </si>
  <si>
    <t>An older woman is seen sitting in a chair with a needle in her hands.</t>
  </si>
  <si>
    <t>The woman then begins sowing while the camera captures her movements.</t>
  </si>
  <si>
    <t>The woman continues sowing and the camera watches from the side.</t>
  </si>
  <si>
    <t>v_06dIgOEgYp0</t>
  </si>
  <si>
    <t>A woman stands in snow with the words "Fat Girl Snowboarding" overlaid.</t>
  </si>
  <si>
    <t>A long typed message about her reason of wanting to snowboard.</t>
  </si>
  <si>
    <t>She makes several attempts down the snowy hill and falls many times.</t>
  </si>
  <si>
    <t>v_42i3phJnY4M</t>
  </si>
  <si>
    <t>a bullfighter holding a red cloth is in field.</t>
  </si>
  <si>
    <t>a bull is running to the red cloth of the bullfighter.</t>
  </si>
  <si>
    <t>a lot of people are sitting on stands watching the bullfighter.</t>
  </si>
  <si>
    <t>v_FDIYymZEFi0</t>
  </si>
  <si>
    <t>A young boy is seen pouring soap into his hands and scrubbing his hands above a sink.</t>
  </si>
  <si>
    <t>He then grabs a paper towel and dries off his hands.</t>
  </si>
  <si>
    <t>v_siMXfU6NPlE</t>
  </si>
  <si>
    <t>Couples dance on a dance floor during a party in front of a stage.</t>
  </si>
  <si>
    <t>The man spins his partner around while dancing.</t>
  </si>
  <si>
    <t>A man on the right dances swinging his arms back and fourth.</t>
  </si>
  <si>
    <t>v_LAbzDJZtSvQ</t>
  </si>
  <si>
    <t>A man is standing in the woods, talking.</t>
  </si>
  <si>
    <t>He uses an ax to hit a large piece of wood.</t>
  </si>
  <si>
    <t>He splits the wood into logs with the ax.</t>
  </si>
  <si>
    <t>v_dcARAWmvWSo</t>
  </si>
  <si>
    <t>We see men working on a roof on a ranch style house.</t>
  </si>
  <si>
    <t>We see the supplies on the ground.</t>
  </si>
  <si>
    <t>We see the men on the front part of the roof.</t>
  </si>
  <si>
    <t>We see a man throwing shingles into a trailer on the ground.</t>
  </si>
  <si>
    <t>We see the rolls of roofing materials.</t>
  </si>
  <si>
    <t>We see a man throwing shingles into a trailer.</t>
  </si>
  <si>
    <t>Three men throw shingles off the roof.</t>
  </si>
  <si>
    <t>v_GqrEVe0c6PQ</t>
  </si>
  <si>
    <t>A setting of glasses with lemon water are set on a place mat with a whole lemon.</t>
  </si>
  <si>
    <t>Lemon slices are scooped from a jar and placed into drinking glasses on a steel counter top.</t>
  </si>
  <si>
    <t>Steaming hot water is poured over the lemons in the glasses.</t>
  </si>
  <si>
    <t>The glasses are stirred with a stirring rod.</t>
  </si>
  <si>
    <t>The glasses are seen set on the table and are slowly panned over from right to left.</t>
  </si>
  <si>
    <t>v_1F_CSpL_4Dg</t>
  </si>
  <si>
    <t>A couple is seen with a crowd, going up a snow covered hill.</t>
  </si>
  <si>
    <t>They tube down the snowy hills.</t>
  </si>
  <si>
    <t>The people slide down steep fast curves on the intertubes.</t>
  </si>
  <si>
    <t>v_DXu_aHrZaUs</t>
  </si>
  <si>
    <t>A sign board is seen with a company logo and contact information.</t>
  </si>
  <si>
    <t>A construction worker screws down floor baseboards.</t>
  </si>
  <si>
    <t>A construction worker uses a handheld scraper to apply plaster to the bare floor.</t>
  </si>
  <si>
    <t>A worker places tiles onto the floor and uses plastic cross spacers in the groves.</t>
  </si>
  <si>
    <t>A heavy weight roller is rolled over the newly placed tiles.</t>
  </si>
  <si>
    <t>The finished floor is seen after the job is done.</t>
  </si>
  <si>
    <t>v_9fh_ray_B80</t>
  </si>
  <si>
    <t>A few guys are sitting near a cliff.</t>
  </si>
  <si>
    <t>A man is climbing a cliff with all limbs.</t>
  </si>
  <si>
    <t>The man that is climbing falls and begins to laugh.</t>
  </si>
  <si>
    <t>v_4M4MXPP9oRY</t>
  </si>
  <si>
    <t>There are several people gathered to watch a competitive game of water polo on a sunny day.</t>
  </si>
  <si>
    <t>There are two teams in an outdoor swimming pool playing against each other.</t>
  </si>
  <si>
    <t>The spectators are watching and cheering for the players.</t>
  </si>
  <si>
    <t>the players are playing with a yellow colored ball.</t>
  </si>
  <si>
    <t>After one of the team scores a point, the fellow teammates cheer for them.</t>
  </si>
  <si>
    <t>The winning team scores more points and receives applause from the crowd.</t>
  </si>
  <si>
    <t>v_Hfd5sxW8Clg</t>
  </si>
  <si>
    <t>Several contestants are on a stage standing behind a podium made to look like a Rubik cube.</t>
  </si>
  <si>
    <t>A boy then places a blind fold on his forehead as a man stand to his left examining his every move.</t>
  </si>
  <si>
    <t>The cube is then picked up off the counter and the timer begins as he attempts to solve the puzzle.</t>
  </si>
  <si>
    <t>After thirty five seconds,he pulls the blind fold down over his eyes and continues to try and solve the cube.</t>
  </si>
  <si>
    <t>A minute and fifteen seconds has passed and the boy puts the cube down and the timer stops.</t>
  </si>
  <si>
    <t>Everybody is extremely happy for him and begin and congratulates him as the other opponents are still attempting to solve theirs.</t>
  </si>
  <si>
    <t>v_QuaoqO4JgKY</t>
  </si>
  <si>
    <t>A young boy is seen walking to the end of a diving board and jumping off the side.</t>
  </si>
  <si>
    <t>The boy comes up from the surface and another boy is seen walking to the end of the board.</t>
  </si>
  <si>
    <t>v_KlIAmoVrptA</t>
  </si>
  <si>
    <t>A brunette woman is smiling and talking while standing in a bathroom with just her chest up visible and a quick banner on the bottom of the screen say's her name is "Aubrey Morgan".</t>
  </si>
  <si>
    <t>The woman is now standing up and with just her legs visible and wearing shorts, she's holding a razor up and showing it in different angles, and close ups, the text on the screen reads "Good Quality Razor".</t>
  </si>
  <si>
    <t>The woman begins to wash her legs while still standing up, exfoliates, and then applies a thick layer of shaving cream all over her leg, fans her leg, and then begins shaving her legs from the ankle and the knee and then rinses her razor.</t>
  </si>
  <si>
    <t>The woman holds up a disposable razor, then holds up a reusable razor and shows that the razor can be popped up.</t>
  </si>
  <si>
    <t>The woman is standing again and is now applying lotion to her leg.</t>
  </si>
  <si>
    <t>The woman is now standing with just her upper body showing and is smiling and talking.</t>
  </si>
  <si>
    <t>v_peoMXSP3VgY</t>
  </si>
  <si>
    <t>Mountains are seen in the background and a boy rides in a car.</t>
  </si>
  <si>
    <t>Skateboarders ride down through a parking garage together.</t>
  </si>
  <si>
    <t>The skateboards ride down a hill the skid at the bottom.</t>
  </si>
  <si>
    <t>The boy sets his board standing upright.</t>
  </si>
  <si>
    <t>A boy skateboards through the bleachers of a stadium.</t>
  </si>
  <si>
    <t>v_nGsRDNIsc2o</t>
  </si>
  <si>
    <t>People are sitting on exercise bikes and working out.</t>
  </si>
  <si>
    <t>A woman puts something on the side of the leg of a man working out.</t>
  </si>
  <si>
    <t>A man in a black suit talks in front of a television.</t>
  </si>
  <si>
    <t>v_Gdf7ZWhh9Nw</t>
  </si>
  <si>
    <t>A person is seen scrubbing down the mane of a horse's fur and leads into washing him and spray him.</t>
  </si>
  <si>
    <t>The camera shows shots of the liquid and then shows the woman scrubbing down and washing the horse.</t>
  </si>
  <si>
    <t>She walks the horse away and shakes the bottle, showing more shots of her cleaning the horse with the bottle shown intermittent.</t>
  </si>
  <si>
    <t>v_stkWKPWbQpE</t>
  </si>
  <si>
    <t>A man holding a baton and wearing glittery tights is standing on a basketball court and is doing a routine of baton twirling, flips, and dramatic dances.</t>
  </si>
  <si>
    <t>The man twirls the baton very quickly and unexpectedly drops it.</t>
  </si>
  <si>
    <t>The man quickly recovers and picks up the baton and continues his routine like he's never dropped it in the first place and throws the baton high up into the air and does numerous spins and quickly catches the baton before it hits the ground.</t>
  </si>
  <si>
    <t>The man ends his routine in a sitting position with his legs spread apart, his head thrown back and the baton resting on his right and between his legs.</t>
  </si>
  <si>
    <t>v_NgBfcoVZ254</t>
  </si>
  <si>
    <t>The building is being shown then the clock tower.</t>
  </si>
  <si>
    <t>The young people are walking on the walkway in front of the building.</t>
  </si>
  <si>
    <t>A young man is skateboarding on the road, going side to side moving his feet on the board.</t>
  </si>
  <si>
    <t>v_IxrncvpPWV8</t>
  </si>
  <si>
    <t>A group of several teen boys are playing a game of tug of war.</t>
  </si>
  <si>
    <t>They pull hard until the rope gives, and they win the game.</t>
  </si>
  <si>
    <t>v_Acogo5mgX4Q</t>
  </si>
  <si>
    <t>The scene is of a neighborhood surrounded by tall trees and a pile of dead leaves next to a leaf catcher.</t>
  </si>
  <si>
    <t>A man holding a rattle puts leaves in bags attached to a leaf catcher.</t>
  </si>
  <si>
    <t>Also, the man use the leaf catcher to collect trash in a bag.</t>
  </si>
  <si>
    <t>v_kYZSCs-ILNQ</t>
  </si>
  <si>
    <t>A man wearing a white shirt is holding a tennis racket.</t>
  </si>
  <si>
    <t>He starts hitting tennis balls with his tennis racket.</t>
  </si>
  <si>
    <t>v_GycRQhoHnXw</t>
  </si>
  <si>
    <t>A large group of women are seen standing in a room and begin belly dancing.</t>
  </si>
  <si>
    <t>The woman dance with one another performing the same routine and one woman dancing in front.</t>
  </si>
  <si>
    <t>The women continue dancing with one another and end by walking around.</t>
  </si>
  <si>
    <t>v_E9hFBWDR12A</t>
  </si>
  <si>
    <t>person is walking inside a house to an open field holding a baseball bat.</t>
  </si>
  <si>
    <t>perso is walking with a handle stick behind some men running around the field.</t>
  </si>
  <si>
    <t>some papers are shown and women selling lacrosse tshirts, in a game, people are gathered around the field.</t>
  </si>
  <si>
    <t>players walks from the dressing rooms and are in the field playig.</t>
  </si>
  <si>
    <t>players are stading in line clapping at the end of the game, results are shown in the end.</t>
  </si>
  <si>
    <t>v_jIYRVlrXJgc</t>
  </si>
  <si>
    <t>Two players are playing a game of racket ball.</t>
  </si>
  <si>
    <t>One female takes a swing at the ball and hits it.</t>
  </si>
  <si>
    <t>The other female takes a swing at the ball and misses and hits herself instead.</t>
  </si>
  <si>
    <t>She then sits down on the floor while the other person comes to turn the camera off.</t>
  </si>
  <si>
    <t>v_P3BkKdkf43I</t>
  </si>
  <si>
    <t>A young man is seen standing in the middle of a room and holding a tennis racket up in the air.</t>
  </si>
  <si>
    <t>Himself and a man are then seen hitting the tennis ball around while running around the room.</t>
  </si>
  <si>
    <t>The boy runs away from the man and towards the camera in the end.</t>
  </si>
  <si>
    <t>v_WMdeqUyHWSo</t>
  </si>
  <si>
    <t>A large group of people are standing together while a women in a beautiful dress speaks.</t>
  </si>
  <si>
    <t>Various people in costume are shown and a girl runs around playing with a kite.</t>
  </si>
  <si>
    <t>Several kites are shown up in the air while other children play with them.</t>
  </si>
  <si>
    <t>Hundreds of kites are shown in the air for a festival and a man interviews his experience with the kites.</t>
  </si>
  <si>
    <t>Several people stop and look around and the city pans over the night.</t>
  </si>
  <si>
    <t>v_3CJW0qBwwx4</t>
  </si>
  <si>
    <t>A man is seen kneeling down beside a car spraying a hose on the car.</t>
  </si>
  <si>
    <t>He uses a sponge to clean around the car while others clean around the sides.</t>
  </si>
  <si>
    <t>More shots are shown of them cleaning the inside as well as under the hood while the camera pans around.</t>
  </si>
  <si>
    <t>v_s07U8_fkUWU</t>
  </si>
  <si>
    <t>women are playing voleyball in a wooden court.</t>
  </si>
  <si>
    <t>peolpe are siting in chairs around the court watching the girls.</t>
  </si>
  <si>
    <t>referees are standing on sides of the court holding flags and watching the game no stairs.</t>
  </si>
  <si>
    <t>v_jN-FG9yxNvE</t>
  </si>
  <si>
    <t>"Fitness for Life 365" appears on the screen.</t>
  </si>
  <si>
    <t>A panning up of the inside of a gym is shown as there is a man climbing monkey bars going backwards.</t>
  </si>
  <si>
    <t>He then goes back and forth to continue his workout.</t>
  </si>
  <si>
    <t>The video then fades to a black screen and asks you to subscribe to their youtube channel.</t>
  </si>
  <si>
    <t>v_Pt0CjFgzpxM</t>
  </si>
  <si>
    <t>The video shows a tutorial on how to install ceramic tiles using concrete.</t>
  </si>
  <si>
    <t>A person wearing an orange vest and black pants is working on tiling a room in a house.</t>
  </si>
  <si>
    <t>He is kneeling down next to a pile of white square ceramic tiles and a bucket filled with grout and cement.</t>
  </si>
  <si>
    <t>He is smearing the floor with cement with a trowel.</t>
  </si>
  <si>
    <t>Then he places the square tiles next to each other in a straight line, making sure they are fitted tightly together.</t>
  </si>
  <si>
    <t>He removes more tiles from the box to places them on the wet cement, making sure they are properly aligned with each other.</t>
  </si>
  <si>
    <t>He continues placing the tiles to fill in all the gaps until the entire room is fully covered with the white tiles.</t>
  </si>
  <si>
    <t>v_z9uVyf0D8eM</t>
  </si>
  <si>
    <t>A man is seen playing a set of bag pipes to the camera while moving his hands up and down.</t>
  </si>
  <si>
    <t>The man continues playing the instrument in the room and ends by moving his hands down.</t>
  </si>
  <si>
    <t>v_WSKx2EK_Bqc</t>
  </si>
  <si>
    <t>A man is sitting down with a microphone attached to his ears and starts to talk about the congas in front of him.</t>
  </si>
  <si>
    <t>Once he is done talking,the man begins to play and hits the congas back and forth.</t>
  </si>
  <si>
    <t>In between his performance,he takes briefs breaks and talks before continuing playing.</t>
  </si>
  <si>
    <t>Now,he has on head phones and starts to play the congas straight through with no interruptions.</t>
  </si>
  <si>
    <t>v__uPVFvEQocU</t>
  </si>
  <si>
    <t>I woman talks to the camera while holding a ping pong ball and standing by a ping pong table, interspersed with closeups of short demonstrations of technique.</t>
  </si>
  <si>
    <t>The woman retrieves a new ball.</t>
  </si>
  <si>
    <t>The woman retrieves two balls, then gets rid of one.</t>
  </si>
  <si>
    <t>The woman retrieves another ball.</t>
  </si>
  <si>
    <t>v_WbZpWiPCHVU</t>
  </si>
  <si>
    <t>Coffee is spilled on the carpet.</t>
  </si>
  <si>
    <t>A person carpet cleans the carpet.</t>
  </si>
  <si>
    <t>They then clean seats of a car.</t>
  </si>
  <si>
    <t>They empty the water into the sink.</t>
  </si>
  <si>
    <t>They empty the bucket into another bucket.</t>
  </si>
  <si>
    <t>They vacuum up sprinkles off of the carpet.</t>
  </si>
  <si>
    <t>v_rVxxAI6wlXk</t>
  </si>
  <si>
    <t>A man grabs a suitcase out of a car.</t>
  </si>
  <si>
    <t>He lays down in a barber chair.</t>
  </si>
  <si>
    <t>A man starts shaving his beard with a razor.</t>
  </si>
  <si>
    <t>He wraps a towel around his face.</t>
  </si>
  <si>
    <t>v_OtcRXishIxw</t>
  </si>
  <si>
    <t>A young man is helping a young woman swing at a soccer pinata.</t>
  </si>
  <si>
    <t>They are on an outdoor green field at a school or community center.</t>
  </si>
  <si>
    <t>She keeps missing the pinata while her friends try to help her out.</t>
  </si>
  <si>
    <t>An adult is controlling the pinata trying to keep her from hitting it.</t>
  </si>
  <si>
    <t>She finally ends up finding where it generally is while her friends laugh at her and continue to try to help.</t>
  </si>
  <si>
    <t>She gets hit by the pinata and ends up being unsuccessful.</t>
  </si>
  <si>
    <t>v_Wiu7FVCc6DA</t>
  </si>
  <si>
    <t>A few men are in the woods running playing paintball.</t>
  </si>
  <si>
    <t>They are looking for the other to try to shoot them out, while staying close to their team mates.</t>
  </si>
  <si>
    <t>One of the men checks his gun and readjust his it and then keeps moving forward.</t>
  </si>
  <si>
    <t>He moves along to continue playing the game.</t>
  </si>
  <si>
    <t>v_lipavQnHm_g</t>
  </si>
  <si>
    <t>A man is standing on an indoor court with his racket in his right hand the racket ball in the left hand and is talking and motioning a lot.</t>
  </si>
  <si>
    <t>The man then drops the ball on the court, hits it, then catches it when it returns to him.</t>
  </si>
  <si>
    <t>The man continues to talk as he holds the ball and racket in his hands and the screen fades to black.</t>
  </si>
  <si>
    <t>v_yXzLQU_jS44</t>
  </si>
  <si>
    <t>A man is looking down and talking into the camera.</t>
  </si>
  <si>
    <t>The man removes his glasses and shows us how to insert contact lenses.</t>
  </si>
  <si>
    <t>The man shows the contact lens to the camera.</t>
  </si>
  <si>
    <t>The man inserts the contact and moves his eye around.</t>
  </si>
  <si>
    <t>The man shows his other contact.</t>
  </si>
  <si>
    <t>The man inserts the contact on the right and moves his eye around.</t>
  </si>
  <si>
    <t>v_J6-rLsT975U</t>
  </si>
  <si>
    <t>A man shovels snow in the winter.</t>
  </si>
  <si>
    <t>A timelapse photo is made and a path is cleared so a car can drive out.</t>
  </si>
  <si>
    <t>v_sOUNe30PXY4</t>
  </si>
  <si>
    <t>Two men are on top a ladder in a wrestling ring, a man is bend on the ladder.</t>
  </si>
  <si>
    <t>Then, the wrestler jumps over the man, and the man and the wrestler fall to the ring.</t>
  </si>
  <si>
    <t>The judge watch the men.</t>
  </si>
  <si>
    <t>v_Qwj7f4vqveo</t>
  </si>
  <si>
    <t>A kid takes a drink and swishes it around in their mouth.</t>
  </si>
  <si>
    <t>They spit it out into a sink.</t>
  </si>
  <si>
    <t>They take another drink out of a cup.</t>
  </si>
  <si>
    <t>They put their mouth on a towel.</t>
  </si>
  <si>
    <t>They take another drink and dump it out in the sink.</t>
  </si>
  <si>
    <t>They pick up the towel and wipe their face.</t>
  </si>
  <si>
    <t>They grab a cup and turn the sink on.</t>
  </si>
  <si>
    <t>v_Gc1Mk5UyECQ</t>
  </si>
  <si>
    <t>A lacrosse team goes to play a game.</t>
  </si>
  <si>
    <t>other highlights are shown.</t>
  </si>
  <si>
    <t>v_jIVP2bEWmJE</t>
  </si>
  <si>
    <t>A boy is standing in a kitchen with two pieces of bread.</t>
  </si>
  <si>
    <t>He opens the fridge and takes out sandwich ingredients.</t>
  </si>
  <si>
    <t>He squirts mustard and mayo onto the sandwich.</t>
  </si>
  <si>
    <t>He then adds meat and cheese.</t>
  </si>
  <si>
    <t>Afterward, he puts the ingredients back into the fridge, zeroing in on the sandwich on the counter.</t>
  </si>
  <si>
    <t>v_sLq6p6NKApk</t>
  </si>
  <si>
    <t>We see a man with a croquet mallet talking.</t>
  </si>
  <si>
    <t>The man lines up his shot of the red ball.</t>
  </si>
  <si>
    <t>The man hits the red ball.</t>
  </si>
  <si>
    <t>The man points at the blue ball the kneels in the grass.</t>
  </si>
  <si>
    <t>v_c-3fceLb7n4</t>
  </si>
  <si>
    <t>A group of friends play shuffle board on an indoor court.</t>
  </si>
  <si>
    <t>The group takes turns shooting pucks onto the shuffleboard court.</t>
  </si>
  <si>
    <t>v_g9b-kCC79kQ</t>
  </si>
  <si>
    <t>People are talking in a room.</t>
  </si>
  <si>
    <t>People are playing blackjack in a crowded casino.</t>
  </si>
  <si>
    <t>A man claps his hands and signs a paper.</t>
  </si>
  <si>
    <t>People continue to play blackjack.</t>
  </si>
  <si>
    <t>v_gPtpPiea0iQ</t>
  </si>
  <si>
    <t>A woman walks into a partially netted area.</t>
  </si>
  <si>
    <t>The woman stands preparing to hammer throw.</t>
  </si>
  <si>
    <t>The woman performs the hammer throw.</t>
  </si>
  <si>
    <t>The hammer is seen landing with judges walking towards it.</t>
  </si>
  <si>
    <t>The woman raises her arm.</t>
  </si>
  <si>
    <t>The woman walks out of the netted area.</t>
  </si>
  <si>
    <t>The woman raises her arm again.</t>
  </si>
  <si>
    <t>v_V8UMJTrfXdw</t>
  </si>
  <si>
    <t>Two people play foosball with a woman behind.</t>
  </si>
  <si>
    <t>One person scores and claps.</t>
  </si>
  <si>
    <t>v_o4uymxrCKeo</t>
  </si>
  <si>
    <t>A boy swings on a swing outdoors.</t>
  </si>
  <si>
    <t>He swings as high as he can with his legs out.</t>
  </si>
  <si>
    <t>v_cXVWUEcSx20</t>
  </si>
  <si>
    <t>A woman is seen sitting on a couch holding a hat and leads into her cutting the cat's claws.</t>
  </si>
  <si>
    <t>She then holds up a piece of paper as the cat runs away and she points to the paper.</t>
  </si>
  <si>
    <t>v_ULPw4uZcx5I</t>
  </si>
  <si>
    <t>A person is sitting in a tube with other people standing around and pushing the person down a snowy trail.</t>
  </si>
  <si>
    <t>The person flies down the trail in the tube with another person following down afterwards.</t>
  </si>
  <si>
    <t>v_c3vEqTcKPsU</t>
  </si>
  <si>
    <t>a journalist is interviewing a basketball player in a court.</t>
  </si>
  <si>
    <t>man is polishing the wooden floor.</t>
  </si>
  <si>
    <t>v_y1jyeWW-G4E</t>
  </si>
  <si>
    <t>a little girl is sitting in sand where she has been trying to make a sand castle.</t>
  </si>
  <si>
    <t>Adults and another girl laugh as they try to build something in the sand.</t>
  </si>
  <si>
    <t>v_-wFNUGYf298</t>
  </si>
  <si>
    <t>A young adult male punches and kicks a suspended punching bag.</t>
  </si>
  <si>
    <t>The young male then starts to move around the punching bag while still punching and kicking it.</t>
  </si>
  <si>
    <t>The young male then walks away while removing his gloves.</t>
  </si>
  <si>
    <t>v_2WzsyEvhPPI</t>
  </si>
  <si>
    <t>A man talking to the camera while holding a poster.</t>
  </si>
  <si>
    <t>He grabs various objects off the table and explains his instructions.</t>
  </si>
  <si>
    <t>He wraps a box with tin foil then writes on the box with a marker.</t>
  </si>
  <si>
    <t>He lays out more tin foil and wraps another object with it.</t>
  </si>
  <si>
    <t>He finishes wrapping all objects with tin foil and showing how.</t>
  </si>
  <si>
    <t>v_FujUrbL1qc0</t>
  </si>
  <si>
    <t>A man is sitting on a workout bench.</t>
  </si>
  <si>
    <t>He lays back and starts doing crunches.</t>
  </si>
  <si>
    <t>He sits back up on the machine and continues talking.</t>
  </si>
  <si>
    <t>v_sByOncVAMqg</t>
  </si>
  <si>
    <t>She stands on the beam, then does several hand springs and flips.</t>
  </si>
  <si>
    <t>v_3Y46yorcd5Q</t>
  </si>
  <si>
    <t>A large wave breaks in the ocean as surfers and surfers paddle over it.</t>
  </si>
  <si>
    <t>A large wave crashes in the ocean and a man rides down the face on body board.</t>
  </si>
  <si>
    <t>surfers ride waves in the ocean.</t>
  </si>
  <si>
    <t>A large wave breaks on shore and spectators run.</t>
  </si>
  <si>
    <t>v_CcBPELJaRlk</t>
  </si>
  <si>
    <t>Several people are divided up into groups on rafts kayaking through murky water.</t>
  </si>
  <si>
    <t>The first group of eight people paddle themselves near a cliff and go down the hill and the others trail behind them with the same actions.</t>
  </si>
  <si>
    <t>For the fifth group, an aerial view is provided and the others way for them to come.</t>
  </si>
  <si>
    <t>After, each group does the same thing as they maneuver throughout various parts of the water and hitting rocks.</t>
  </si>
  <si>
    <t>v_JLipYEVwKTg</t>
  </si>
  <si>
    <t>A woman wearing a leopard print jacket is sitting with a man in a hookah bar.</t>
  </si>
  <si>
    <t>The man kisses her as he leans forward.</t>
  </si>
  <si>
    <t>She is holding the hookah in her hand ready to take her first puff.</t>
  </si>
  <si>
    <t>After she inhales the hookah, she puffs out some smoke and coughs in discomfort.</t>
  </si>
  <si>
    <t>v_eEBiomp_9tQ</t>
  </si>
  <si>
    <t>A woman in a dress is walking up stairs.</t>
  </si>
  <si>
    <t>She takes her dress off and starts dancing.</t>
  </si>
  <si>
    <t>She is working out with other people on a step stool.</t>
  </si>
  <si>
    <t>v_XOEQfCu6KsE</t>
  </si>
  <si>
    <t>A man is seen walking around a field with a dog next to him.</t>
  </si>
  <si>
    <t>The man then grabs a frisbee and begins performing tricks with the dog.</t>
  </si>
  <si>
    <t>The man continues to throw around a frisbee with the dog while others watch on the side.</t>
  </si>
  <si>
    <t>v_f7qFnCkFIuQ</t>
  </si>
  <si>
    <t>A person is walking towards three people who are painting a fence black.</t>
  </si>
  <si>
    <t>The man asks the boy to see his work and pans the camera over to his wife.</t>
  </si>
  <si>
    <t>The man makes a joke to his wife and laughs off camera.</t>
  </si>
  <si>
    <t>v_VuGLqAda2hE</t>
  </si>
  <si>
    <t>A woman talks in a gym, then she drives a static bike.</t>
  </si>
  <si>
    <t>Then,the woman and other people lift weight.</t>
  </si>
  <si>
    <t>Then, the woman continues riding the bike and then lift weigh.</t>
  </si>
  <si>
    <t>v_qp3OfC0dCOs</t>
  </si>
  <si>
    <t>Outside in the backyard two little boys in matching swim suits are playing with nets trying to catch a ball.</t>
  </si>
  <si>
    <t>They are both trying to get the ball in their own net basically playfully fighting over whose going to get it.</t>
  </si>
  <si>
    <t>The dad comes and throws the ball over and the boys run after it.</t>
  </si>
  <si>
    <t>They continue to play and one of the little boys gets it in his net and trows it and when it lands they both go after it again.</t>
  </si>
  <si>
    <t>v_6cha8sVi65k</t>
  </si>
  <si>
    <t>Several hockey players leave a group, skating across the ice.</t>
  </si>
  <si>
    <t>They begin playing, shooting the puck back and forth, trying to get it to go into the enemy's goal.</t>
  </si>
  <si>
    <t>A goalie stands alone at his goal.</t>
  </si>
  <si>
    <t>Everyone gathers again as the referee signals them to play.</t>
  </si>
  <si>
    <t>v_CJKwvmOuhJk</t>
  </si>
  <si>
    <t>A person is seen standing before a sink wearing gloves.</t>
  </si>
  <si>
    <t>The woman looks back to the camera and smiles while holding a toothbrush.</t>
  </si>
  <si>
    <t>She then turns back to the sink full of dirty dishes.</t>
  </si>
  <si>
    <t>v_Szze8i9UsRo</t>
  </si>
  <si>
    <t>A person opens a round box and take off a bottle of nail polish and puts on holder.</t>
  </si>
  <si>
    <t>Then, the person puts a nail on a round support on the box, then paint her nails.</t>
  </si>
  <si>
    <t>After, the woman close the nail polish bottle.</t>
  </si>
  <si>
    <t>v_sWaU9O4xzFE</t>
  </si>
  <si>
    <t>A man and a woman get ready to play darts.</t>
  </si>
  <si>
    <t>Instructions on needed materials to play darts are displayed.</t>
  </si>
  <si>
    <t>The man and the woman walk to the dart board.</t>
  </si>
  <si>
    <t>They joke around getting ready to play darts.</t>
  </si>
  <si>
    <t>The man throws a dart.</t>
  </si>
  <si>
    <t>The woman follows after him.</t>
  </si>
  <si>
    <t>The woman throws three more darts.</t>
  </si>
  <si>
    <t>The man shows off his dart and demonstrates how to step.</t>
  </si>
  <si>
    <t>He throws the dart from afar.</t>
  </si>
  <si>
    <t>The position of the darts on the boars are shown.</t>
  </si>
  <si>
    <t>The man grabs the darts from the board.</t>
  </si>
  <si>
    <t>The woman throws some darts.</t>
  </si>
  <si>
    <t>The man follows after the woman.</t>
  </si>
  <si>
    <t>The woman does it again.</t>
  </si>
  <si>
    <t>The man returns to do the same.</t>
  </si>
  <si>
    <t>The woman throws them again.</t>
  </si>
  <si>
    <t>The man goes after her again.</t>
  </si>
  <si>
    <t>The woman goes once more and triumphantly wins.</t>
  </si>
  <si>
    <t>v_Mg3_BN9t9JY</t>
  </si>
  <si>
    <t>A woman is seen hosting a news segment and that leads into people riding around on horses.</t>
  </si>
  <si>
    <t>People are seen walking around an area with dogs stomping their feet as well as another man speaking to the camera.</t>
  </si>
  <si>
    <t>More shots are shown of the people playing the game on a horse as well as others speaking to the camera and getting a trophy.</t>
  </si>
  <si>
    <t>v_Hc--KcdMkEA</t>
  </si>
  <si>
    <t>A man stands in front of a podium talking.</t>
  </si>
  <si>
    <t>Two other men stand next to him.</t>
  </si>
  <si>
    <t>One of the two men digs in a fire pit where there was a fire and then pours water on it.</t>
  </si>
  <si>
    <t>The same man digs around in the pit with his hand looking for burning embers.</t>
  </si>
  <si>
    <t>v_n-i9nC6vxu0</t>
  </si>
  <si>
    <t>A body of water is shown below the trees.</t>
  </si>
  <si>
    <t>A person is walking on a slack line over the water.</t>
  </si>
  <si>
    <t>They get to the end of the slack line.</t>
  </si>
  <si>
    <t>v_ncTkaZcDcTo</t>
  </si>
  <si>
    <t>A skater girl in a white t-shirt and shorts tries to jump with her skateboard and falls backwards hitting her head.</t>
  </si>
  <si>
    <t>Two more skaters head around a curve, but one plows straight into a hay-stack, though luckily helmet-first.</t>
  </si>
  <si>
    <t>Another helmeted skater tries a hand-stop, and does stop, though unfortunately his skateboard does not.</t>
  </si>
  <si>
    <t>After a few more skating mishaps, the last performance is by a skater who doesn't feel the need for safety equipment and while headed straight down a hill, he flips off of his skateboard and spends several minutes checking on his various road-rashes.</t>
  </si>
  <si>
    <t>v_RVYINuYPY6o</t>
  </si>
  <si>
    <t>Three boys in a grass covered back yard take turns playing a game of cricket on the lawn.</t>
  </si>
  <si>
    <t>The boys take turns throwing and hitting the cricket ball, helping each other out by redistributing the ball back into the game when they land in the field.</t>
  </si>
  <si>
    <t>One of the boys puts on a football helmet and stands on the side lines catching the ball.</t>
  </si>
  <si>
    <t>v_mtQUYdj2Ecg</t>
  </si>
  <si>
    <t>A man attempts to lift a barbell.</t>
  </si>
  <si>
    <t>He bends at the knees, lifting it to his chest.</t>
  </si>
  <si>
    <t>He hits himself in the throat, falling backward.</t>
  </si>
  <si>
    <t>v_pJRUkudK6iE</t>
  </si>
  <si>
    <t>A textured intro screen appears and a logo of a shoe is displayed along with green words that say "VICKERMANN und STOYA".</t>
  </si>
  <si>
    <t>Two groups of supplies are shown and they include products from the company name in the intro screen that include brushes, a cloth, shoe shaper, shoelaces and a couple of small tin containers.</t>
  </si>
  <si>
    <t>A man wearing a green apron is untying shoelaces from a brown high shoe, then brushes it with a large brush, then he takes a smaller brush, dips it into a small container, then brushes it onto the shoe and the shoe looks very polished on any surface that he brushes.</t>
  </si>
  <si>
    <t>The man then picks up a white cloth and rubs it all over the shoe.</t>
  </si>
  <si>
    <t>The man puts the white cloth down, picks up a thick brush and brushes the shoe all over.</t>
  </si>
  <si>
    <t>Then he puts the shoe and the brush down, picks up the shoelace and laces the shoe.</t>
  </si>
  <si>
    <t>The man then picks up the polished shoe and unpolished shoe and puts them closer to the camera for a comparison then the same textured screen from the intro appears with the shoe log and the company name of "VICKERMANN und STOYA".</t>
  </si>
  <si>
    <t>v_CD8FFj8AJE0</t>
  </si>
  <si>
    <t>A man is seen speaking to the camera and leads into him wiping down another man's back.</t>
  </si>
  <si>
    <t>He rubs in lotion and then stands up with the man.</t>
  </si>
  <si>
    <t>The man holds a mirror up to his back and smiles back to the artist.</t>
  </si>
  <si>
    <t>v_Qxquum8p8S8</t>
  </si>
  <si>
    <t>There are some kids using a water pump to wash their hands at the Plumpton Park Zoo.</t>
  </si>
  <si>
    <t>There's a young boy in a black and white hoodie helping pump out water for another boy to wash his hands.</t>
  </si>
  <si>
    <t>Then he goes on help another young boy wearing a black hoodie to wash his hands.</t>
  </si>
  <si>
    <t>The three kids are having fun in the water as they wash their hands clean.</t>
  </si>
  <si>
    <t>v_1P_y_DLlg-E</t>
  </si>
  <si>
    <t>A lady stands in a yard holding a leaf blower before stepping over the cord.</t>
  </si>
  <si>
    <t>The lady blows the leafs as she walks around the yard.</t>
  </si>
  <si>
    <t>The lady points the tool at the camera and laugh.</t>
  </si>
  <si>
    <t>The lady continues to blow the leaves.</t>
  </si>
  <si>
    <t>v_QHJTOHgjDMw</t>
  </si>
  <si>
    <t>A girl walks into a room, seeing sheet music at a piano.</t>
  </si>
  <si>
    <t>She opens the piano and begins to play.</t>
  </si>
  <si>
    <t>She thinks about a couple while she is playing.</t>
  </si>
  <si>
    <t>v_bLqd98mmu3w</t>
  </si>
  <si>
    <t>A woman is scared of going in the water and says she cant do this.</t>
  </si>
  <si>
    <t>A group of people are sitting in a pool of water that is precariously close to the edge of a waterfall.</t>
  </si>
  <si>
    <t>The woman jumps in the water and everyone cheers.</t>
  </si>
  <si>
    <t>The group of people are laughing and talking while more people jump in the water.</t>
  </si>
  <si>
    <t>Scenes of the waterfall are viewed.</t>
  </si>
  <si>
    <t>v_MEuGzNPI1pw</t>
  </si>
  <si>
    <t>A man prepares for a gymnastics routine on the parallel bars.</t>
  </si>
  <si>
    <t>The crowd seems to approve when he flips and catches himself before then dismounting.</t>
  </si>
  <si>
    <t>v_qU_605hliNw</t>
  </si>
  <si>
    <t>A camera pans all around a wooded area and leads into two people riding around on skis.</t>
  </si>
  <si>
    <t>Several shots are shown of various people riding behind a boat on skis and performing tricks.</t>
  </si>
  <si>
    <t>The people continue riding as well as hanging on the side on a large pole.</t>
  </si>
  <si>
    <t>v_hyW_cjYi8P4</t>
  </si>
  <si>
    <t>A man is seen speaking to the camera while presenting various objects in front of him.</t>
  </si>
  <si>
    <t>The man then uses a marker to dig up the side of a table and fill it in.</t>
  </si>
  <si>
    <t>He shows how to use the pen on several objects while filling it in and sanding it afterwards.</t>
  </si>
  <si>
    <t>v_BC1ZIeZvFXw</t>
  </si>
  <si>
    <t>A boy is riding a long board down various road ways.</t>
  </si>
  <si>
    <t>He does a flip trick riding down one of the road ways.</t>
  </si>
  <si>
    <t>He winds back and fourth down the snowy road.</t>
  </si>
  <si>
    <t>He skateboards at night and the logo is shown.</t>
  </si>
  <si>
    <t>v_LxntXVcMxtc</t>
  </si>
  <si>
    <t>Two girls in karate class bow forward and then to each other before practice.</t>
  </si>
  <si>
    <t>The girl dodges an attack by taking a knee while blocking a hit.</t>
  </si>
  <si>
    <t>The karate students punch and block with their wrists.</t>
  </si>
  <si>
    <t>The girl does a standing spinning kicks.</t>
  </si>
  <si>
    <t>v_TXSNkjjTzdE</t>
  </si>
  <si>
    <t>A woman talks and fix her wet hair, also she shows a brush and a dry hair.</t>
  </si>
  <si>
    <t>The woman brush her hair on different directions using a hair dryer.</t>
  </si>
  <si>
    <t>Then, the woman stops and shows her hairstyle while talking.</t>
  </si>
  <si>
    <t>After, the woman shows the direction to comb hair, then uses a hair iron to straight the hair.</t>
  </si>
  <si>
    <t>v_gY5akj1YcMk</t>
  </si>
  <si>
    <t>A man does wave wheels in a canoe.</t>
  </si>
  <si>
    <t>He is shown doing downstream momentum, rolling over in his canoe.</t>
  </si>
  <si>
    <t>Now we see set edge and plant blade as he moves upstream.</t>
  </si>
  <si>
    <t>v_j_Xr8nLEjLQ</t>
  </si>
  <si>
    <t>A person stands on a rope, and then he jumps over a rope.</t>
  </si>
  <si>
    <t>The person jumps on his feet, as well on this butt and body.</t>
  </si>
  <si>
    <t>v_5QDwobEnN3g</t>
  </si>
  <si>
    <t>A family is seen sitting on the beach making sand castles with a object.</t>
  </si>
  <si>
    <t>People stand around to watch them work and the camera pans around the kids playing in the sand.</t>
  </si>
  <si>
    <t>v_iM8rmKLJnt8</t>
  </si>
  <si>
    <t>woman is painting the fence with white paint.</t>
  </si>
  <si>
    <t>man is painting a green bench in the park.</t>
  </si>
  <si>
    <t>v_ALjodjboELk</t>
  </si>
  <si>
    <t>A group of people are seen swimming around a pool with one man sitting on his head.</t>
  </si>
  <si>
    <t>More shots are shown of people close up swimming up the water as well as kneeling.</t>
  </si>
  <si>
    <t>A woman takes off her tank as well as putting it back and leads into them swimming more.</t>
  </si>
  <si>
    <t>v_PWrVWeH45Zo</t>
  </si>
  <si>
    <t>Boys are moping the tiled floor.</t>
  </si>
  <si>
    <t>A boy in short places his mop in a yellow bucket.</t>
  </si>
  <si>
    <t>A lady walks away with a long clear object in her hand.</t>
  </si>
  <si>
    <t>v_agr3ZKq1Iso</t>
  </si>
  <si>
    <t>Children ride in bumper cars on an amusement ride.</t>
  </si>
  <si>
    <t>One person follows close behind a car in front of him riding his bumper.</t>
  </si>
  <si>
    <t>The group gets stuck in a a large traffic jam after bumping each other.</t>
  </si>
  <si>
    <t>The cars turn around and get out of the traffic jam.</t>
  </si>
  <si>
    <t>A boy crashes into the back of a stopped car.</t>
  </si>
  <si>
    <t>v_39FIjDeot-s</t>
  </si>
  <si>
    <t>a lot of kids ar standing ni a basket court doing boxing movements.</t>
  </si>
  <si>
    <t>little girls are standing in the middle of a court practicing boxing.</t>
  </si>
  <si>
    <t>people are sitting on chairs in a wooden court.</t>
  </si>
  <si>
    <t>v_F4ERtlGMFt4</t>
  </si>
  <si>
    <t>A person is riding a bull in an arena.</t>
  </si>
  <si>
    <t>People are standing in an arena around a bull.</t>
  </si>
  <si>
    <t>A bull charges them and knocks them to the ground.</t>
  </si>
  <si>
    <t>v_H8f7pTaBFKk</t>
  </si>
  <si>
    <t>A man is seen scraping off a car that is covered with snow and speaking to the camera.</t>
  </si>
  <si>
    <t>The camera follows the man around as he continues to scrap off the car and speaking to the camera.</t>
  </si>
  <si>
    <t>v_0-F3q8Aj9Zk</t>
  </si>
  <si>
    <t>A teenage boy dances around in the background while another teenage boy wearing practices high jump in a school cafeteria.</t>
  </si>
  <si>
    <t>A teenage boy completes a high jump landing on his back on the mat.</t>
  </si>
  <si>
    <t>Several adults and teenagers are standing and sitting around the high jump mat while a boy in black does the high jump.</t>
  </si>
  <si>
    <t>The boy in black does another high jump while another teenage boy watches in the background.</t>
  </si>
  <si>
    <t>The same boy in black does a high jump while a taller boy in white walks past.</t>
  </si>
  <si>
    <t>The same high jump is shown slowly to point out mistakes the boy is making.</t>
  </si>
  <si>
    <t>A different boy wearing white does the high jump while other people stand and sit nearby.</t>
  </si>
  <si>
    <t>The high jump from the boy wearing white is replayed to point out mistakes.</t>
  </si>
  <si>
    <t>A third boy wearing blue does the high jump three times in a row with others in the background.</t>
  </si>
  <si>
    <t>A replay of the boy in blue is played to point out mistakes he is making.</t>
  </si>
  <si>
    <t>v_7kQ3JRkEQr0</t>
  </si>
  <si>
    <t>Two girls are standing up doing karate.</t>
  </si>
  <si>
    <t>People are sitting down watching them.</t>
  </si>
  <si>
    <t>A woman in a black robe is standing up next to them.</t>
  </si>
  <si>
    <t>v_R0sADQPdso8</t>
  </si>
  <si>
    <t>A lady speaks in front of a plaza.</t>
  </si>
  <si>
    <t>the lady hula hoops in short shorts and a tight shirt in a plaza and we see a timer in the upper right corner periodically.</t>
  </si>
  <si>
    <t>The timer reads The lady hula hoops for 2 minutes and seventeen seconds.</t>
  </si>
  <si>
    <t>The lady speaks to the camera again.</t>
  </si>
  <si>
    <t>We see the ending YouTube screen.</t>
  </si>
  <si>
    <t>v_DLfOiuxMstg</t>
  </si>
  <si>
    <t>A envelope with a key on it is shown.</t>
  </si>
  <si>
    <t>A woman wraps a book in brown paper.</t>
  </si>
  <si>
    <t>A woman in a gray sweater is talking.</t>
  </si>
  <si>
    <t>A woman waves at the camera.</t>
  </si>
  <si>
    <t>They finish wrapping the book and put the envelope on the front of the package.</t>
  </si>
  <si>
    <t>The words thank you is stamped inside a book.</t>
  </si>
  <si>
    <t>v_X7f-hwiYZ1Q</t>
  </si>
  <si>
    <t>A woman is seen speaking and laughing to the camera and leads into her holding up a magazine and presenting pages to the camera.</t>
  </si>
  <si>
    <t>The woman presents more objects to the camera and then uses one to brush her teeth while still speaking to the camera.</t>
  </si>
  <si>
    <t>v_rVYuVW9tB3U</t>
  </si>
  <si>
    <t>Two suma wrestlers walk to a ring.</t>
  </si>
  <si>
    <t>A crowd watches the fight.</t>
  </si>
  <si>
    <t>The suma wrestlers prepare themselves.</t>
  </si>
  <si>
    <t>A referee calls them into position.</t>
  </si>
  <si>
    <t>The suma wrestlers begin fighting, with one of them immediately throwing the other to the ground.</t>
  </si>
  <si>
    <t>The winning suma wrestler is applauded and cheered on by the crowd as he walks off the stage.</t>
  </si>
  <si>
    <t>v_dH_gpSfaA6E</t>
  </si>
  <si>
    <t>To wrap a circular gift you will need ribbon scissors, paper scissors, ribbons, tape, Japenese using paper because its soft and strong and the color doesn't come off.</t>
  </si>
  <si>
    <t>First measure the paper correctly by measuring at the sides then fold paper in the middle holding the paper the same way on the other side then close paper in the middle of the joint to make a crease then repeat until crease is all around then put tape on top then tie on the ribbon.</t>
  </si>
  <si>
    <t>v_c-aDlEaZmFk</t>
  </si>
  <si>
    <t>A lady gymnast dressed in black leotards is performing gymnastics on bars.</t>
  </si>
  <si>
    <t>She flawlessly jumps on the bar and swings back and forth from one bar to another without falling off.</t>
  </si>
  <si>
    <t>She successfully completes her round and jumps off of the bars.</t>
  </si>
  <si>
    <t>The crowd cheers loudly as they applaud for the gymnast.</t>
  </si>
  <si>
    <t>v_3TwqeiVbpS8</t>
  </si>
  <si>
    <t>A series of people violently falling off of water skis while water skiing exhibits.</t>
  </si>
  <si>
    <t>A person crashing into a family on the beach from going full speed on a water ski occurs.</t>
  </si>
  <si>
    <t>Several more people are shown crashing while on water skis with one man crashing and the water turning red at the point of impact and crashing.</t>
  </si>
  <si>
    <t>A last clip shows someone going up a ramp on water skis and then crashing into the water.</t>
  </si>
  <si>
    <t>v_at2XbuHG5WQ</t>
  </si>
  <si>
    <t>A white fence is shown outside a house.</t>
  </si>
  <si>
    <t>A man is holding a scraper and brush.</t>
  </si>
  <si>
    <t>He scrapes the paint off the fence, then repaints it with fresh paint.</t>
  </si>
  <si>
    <t>v_Ed08LA1pjIg</t>
  </si>
  <si>
    <t>The person is skiing down the high snow covered mountains.</t>
  </si>
  <si>
    <t>A red helicopter is flying around as the skiers are climbing the top mountain.</t>
  </si>
  <si>
    <t>The skiers ski down the slope, ride their motorcycles, went fishing , and ski.</t>
  </si>
  <si>
    <t>v_s__e_v6aaq0</t>
  </si>
  <si>
    <t>A little boy is inside a living room.</t>
  </si>
  <si>
    <t>He is pushing and pulling a large vacuum cleaner.</t>
  </si>
  <si>
    <t>He is vacuuming the large living room rug.</t>
  </si>
  <si>
    <t>v_boqZwv68BiM</t>
  </si>
  <si>
    <t>A close up of a tool is shown followed by a person cutting along a rug.</t>
  </si>
  <si>
    <t>The person continues using the tool along the sides and the camera fades to black shortly after.</t>
  </si>
  <si>
    <t>v_Bg9hw5K-m6Q</t>
  </si>
  <si>
    <t>A man is standing in his yard.</t>
  </si>
  <si>
    <t>He uses a brush to brush his very long hair.</t>
  </si>
  <si>
    <t>He brushes it from several different angles.</t>
  </si>
  <si>
    <t>v_MyMYuXh8E0Y</t>
  </si>
  <si>
    <t>A man in a black hoodie talks to the camera.</t>
  </si>
  <si>
    <t>A second man in a blue hoodie walks in and talks to the camera.</t>
  </si>
  <si>
    <t>The man in the black hoodie shows off a bottle of mouth wash.</t>
  </si>
  <si>
    <t>The two men talk to each other.</t>
  </si>
  <si>
    <t>The man in the blue hoodie pours the mouthwash in two glasses.</t>
  </si>
  <si>
    <t>The two men take classes and "cheers" each other.</t>
  </si>
  <si>
    <t>The two men keep the mouthwash in their mouths.</t>
  </si>
  <si>
    <t>The man in the black hoodie shows off his t-shirt.</t>
  </si>
  <si>
    <t>The two men show off signs that insult each other and try to make each other laugh.</t>
  </si>
  <si>
    <t>The man in the blue hoodie laughs first.</t>
  </si>
  <si>
    <t>The men both spit the mouthwash in the sink.</t>
  </si>
  <si>
    <t>v_DvtfiPvPhZ8</t>
  </si>
  <si>
    <t>A man and woman is seen walking onto a large stage away from one another.</t>
  </si>
  <si>
    <t>The two then begin performing a tango routine with one another.</t>
  </si>
  <si>
    <t>The man lifts the woman all around while they continue dancing and end by holing a pose.</t>
  </si>
  <si>
    <t>v_-HaFSqzE4Nc</t>
  </si>
  <si>
    <t>A teenage boy and girl are sitting in s car smoking from a hose.</t>
  </si>
  <si>
    <t>The girl and boy take turns blowing smoke rings.</t>
  </si>
  <si>
    <t>v_aM9WZ1_8yC0</t>
  </si>
  <si>
    <t>A man is throwing darts at a dart board.</t>
  </si>
  <si>
    <t>He points to the words on his shirt.</t>
  </si>
  <si>
    <t>He shows the darts in the dart board.</t>
  </si>
  <si>
    <t>He shows his hand while throwing the dart.</t>
  </si>
  <si>
    <t>v_hShYj_OGFtc</t>
  </si>
  <si>
    <t>A person is seen kneeling down in a large hole rubbing plaster along a wall.</t>
  </si>
  <si>
    <t>The man rubs plaster using a tool and stands up to grab paper.</t>
  </si>
  <si>
    <t>He rubs the paper along the wall and ends by looking up to the camera.</t>
  </si>
  <si>
    <t>v_BxzOUJbq28s</t>
  </si>
  <si>
    <t>A man with a beard is playing on a green drum.</t>
  </si>
  <si>
    <t>The man starts adding in a second drum to the mix.</t>
  </si>
  <si>
    <t>A third drum is added to the drumming mix.</t>
  </si>
  <si>
    <t>v_PuylbPlzbH0</t>
  </si>
  <si>
    <t>We see people holding their phones up to record.</t>
  </si>
  <si>
    <t>We then see a man playing a piano.</t>
  </si>
  <si>
    <t>The camera moves around the man's back.</t>
  </si>
  <si>
    <t>The crowd then claps for the man.</t>
  </si>
  <si>
    <t>The man then looks up and speaks.</t>
  </si>
  <si>
    <t>v_uxRBnIWE79s</t>
  </si>
  <si>
    <t>People are indoors and the focus is on various clips of various different people fencing one another.</t>
  </si>
  <si>
    <t>A fencing match between two women begin and the wording on the screen say's their names are Michelle Li &amp; Cindy Gao, and they are shown fighting from various different angles doing many fencing moves.</t>
  </si>
  <si>
    <t>When they are done fighting the women are shown standing close together, smiling, and the woman on the left has her arm resting on the shoulder of the woman on the right.</t>
  </si>
  <si>
    <t>The outro is a white screen with multiple colors on it that include logos, website and the name of the event.</t>
  </si>
  <si>
    <t>v_at3YFTd6nEw</t>
  </si>
  <si>
    <t>A woman is smiling sitting in a tattoo sitting on the chair waiting patiently, smiling and being over friendly.</t>
  </si>
  <si>
    <t>He is wearing gloves and grabs a clamp then hr puts it in her mouth and clamps her lip with it.</t>
  </si>
  <si>
    <t>Then grabs a needle and sticks it through her lip, he gets a piercing and puts it on for her.</t>
  </si>
  <si>
    <t>After that she gets up off the chair and walks to the mirror to check it out for herself.</t>
  </si>
  <si>
    <t>v_qI_Bo0D6p7I</t>
  </si>
  <si>
    <t>A small girl is seen hula hooping over and over again with her hands on her hips.</t>
  </si>
  <si>
    <t>The girl spins around with the hula hoop moving from her feet to her knees as well as the rest of her body.</t>
  </si>
  <si>
    <t>At one point she throws the hula hoop accidentally but picks it back up and continues spinning with it.</t>
  </si>
  <si>
    <t>In the end she falls to the ground with the hoop still in her hands.</t>
  </si>
  <si>
    <t>v_SEZvtGus0HU</t>
  </si>
  <si>
    <t>There are surfers riding on a very large wave.</t>
  </si>
  <si>
    <t>A white wave crashes down and the surfer below it disappears as the large white foam of the wave spreads to a very large area on the water.</t>
  </si>
  <si>
    <t>Men on water jets quickly go to the area where the surfers could be and they recover them from the water and quickly drive away from the wave as they pass other surfers and water jet drivers as they all continue to ride on the waves.</t>
  </si>
  <si>
    <t>Now the view changes to the view from a helicopter above and it shows the people on the water driving their water jets.</t>
  </si>
  <si>
    <t>A black screen appears and it includes white lettering that say's "Shot on Red One by Mike Waltze" and includes a website then the word "Courtesy NanoGreensHawaii dot com Instant Organic Nutrition".</t>
  </si>
  <si>
    <t>v_iEGYd3DJ3Wo</t>
  </si>
  <si>
    <t>A man dressed as a referee is shown in a hockey rink.</t>
  </si>
  <si>
    <t>A number of men play are shown playing hockey.</t>
  </si>
  <si>
    <t>Several of the hockey players start a fight.</t>
  </si>
  <si>
    <t>v_02V8Hz-M6BM</t>
  </si>
  <si>
    <t>The people are walking in the street with marching band.</t>
  </si>
  <si>
    <t>The men in green vest are walking on both sides of the parade.</t>
  </si>
  <si>
    <t>The man in neon green jacket is taking picture of the parade.</t>
  </si>
  <si>
    <t>v_oSyBkE3gYMM</t>
  </si>
  <si>
    <t>There's a young man skateboarding through a two lane empty road that has trees on both sides.</t>
  </si>
  <si>
    <t>He goes steadily through the long and winding road without stopping.</t>
  </si>
  <si>
    <t>He passes through curves and turns around to adjust his speed.</t>
  </si>
  <si>
    <t>Then as he approaches a steep curve, he tries to turn but ends up falling down and bruising himself.</t>
  </si>
  <si>
    <t>He gets up immediately and shows his friends his scraped and injured elbow.</t>
  </si>
  <si>
    <t>Another friend of his also shows his injuries that he's had from skateboarding.</t>
  </si>
  <si>
    <t>v_h9LI_6eBzw4</t>
  </si>
  <si>
    <t>A montage of canoe sprinting is shown.</t>
  </si>
  <si>
    <t>The winners celebrate and both men's and women's are shown.</t>
  </si>
  <si>
    <t>v_w_X7cLnFCYw</t>
  </si>
  <si>
    <t>An introduction comes onto the screen about a video showing how to triple jump.</t>
  </si>
  <si>
    <t>A guy is shown running down a track making a jump.</t>
  </si>
  <si>
    <t>The jump is shown again in slow motion for better understanding.</t>
  </si>
  <si>
    <t>The guy is then shown exiting the track.</t>
  </si>
  <si>
    <t>v_q0o0k2uD0co</t>
  </si>
  <si>
    <t>A person is washing a car.</t>
  </si>
  <si>
    <t>The person changes hands and washes with their other hand.</t>
  </si>
  <si>
    <t>They then use both hands.</t>
  </si>
  <si>
    <t>v_FKphYO14qhw</t>
  </si>
  <si>
    <t>A man is leaning over a large pool table.</t>
  </si>
  <si>
    <t>He uses a cue to shoot the ball toward the pocket.</t>
  </si>
  <si>
    <t>He tries again and again until they go into the pockets.</t>
  </si>
  <si>
    <t>v_EWSMeiZqUHQ</t>
  </si>
  <si>
    <t>A class room is filled with students either sitting or standing.</t>
  </si>
  <si>
    <t>Suddenly, a group of boys begin to run around the classroom smiling, marching in place, and doing some dancing and exercises while the rest of the sitting class look on.</t>
  </si>
  <si>
    <t>The boys spread apart and end their routine then they walk towards one another while smiling.</t>
  </si>
  <si>
    <t>v_43hQNmW-6_k</t>
  </si>
  <si>
    <t>A man is doing the splits inside a gym.</t>
  </si>
  <si>
    <t>He talks to the camera about the procedure.</t>
  </si>
  <si>
    <t>He leans forward, stretching his legs.</t>
  </si>
  <si>
    <t>v_6yVhTyPaaLQ</t>
  </si>
  <si>
    <t>A woman stands on front a paint holding a bottle, and then paintings on canvas are shown in a slideshow.</t>
  </si>
  <si>
    <t>Then, the woman paints two canvas using a bottle, when it is necessary the woman rotates the canvas.</t>
  </si>
  <si>
    <t>Then, the woman puts the canvas on the floor and continues painting with the bottle.</t>
  </si>
  <si>
    <t>After, the woman hangs the paintings on the, then she puts the paintings on the floor and then hang on the wall to continues painting.</t>
  </si>
  <si>
    <t>v_Xg_MSiPhJns</t>
  </si>
  <si>
    <t>A person is spreading something green on bread.</t>
  </si>
  <si>
    <t>They put the sandwich into a grill.</t>
  </si>
  <si>
    <t>They take the sandwich off the grill and put it onto a plate.</t>
  </si>
  <si>
    <t>v_HjRevGoqqz0</t>
  </si>
  <si>
    <t>People are interacting in an inside court.</t>
  </si>
  <si>
    <t>People run to pick up balls from the center of the court.</t>
  </si>
  <si>
    <t>Two teams are playing dodge-ball.</t>
  </si>
  <si>
    <t>A red team member runs up and throws a ball directly at an opponent.</t>
  </si>
  <si>
    <t>v_SgkdciuEuKs</t>
  </si>
  <si>
    <t>A woman demonstrates how to dry a counter top and sink of water splashed from a sink faucet with a paper towel.</t>
  </si>
  <si>
    <t>A woman stands in a kitchen next to a sink and talks to the camera.</t>
  </si>
  <si>
    <t>the woman points to a water splash on the counter next to the sink after turning on the water at the sink.</t>
  </si>
  <si>
    <t>The woman then grabs a paper towel and wipes down the sink counter, the inside of the sink and the faucet spout.</t>
  </si>
  <si>
    <t>The woman then returns to talking to the camera.</t>
  </si>
  <si>
    <t>v_aAZSPRL18Ss</t>
  </si>
  <si>
    <t>An intro leads into a woman talking to a class sitting on bicycles and beginning to ride.</t>
  </si>
  <si>
    <t>She leads the class in a bicycle riding class and inspires her students to peddle hard like this.</t>
  </si>
  <si>
    <t>The people smile along with her as the camera pans over several shots of the people.</t>
  </si>
  <si>
    <t>v_SfYJTxMRKDE</t>
  </si>
  <si>
    <t>A man hold a dish with food while talking, then, two girls run in the field were other people are walking.</t>
  </si>
  <si>
    <t>People play throwing balls on the ground.</t>
  </si>
  <si>
    <t>After, a band plays and people dance including a bride.</t>
  </si>
  <si>
    <t>The people get in boats and sail in the river while other people rest.</t>
  </si>
  <si>
    <t>People pass a small waterfall with choppy water, and then they go down the river.</t>
  </si>
  <si>
    <t>People dive in the river, and then rest while drinking, then go sail in the river.</t>
  </si>
  <si>
    <t>v_I71OenniCZI</t>
  </si>
  <si>
    <t>A group of senior citizens are gathered at a court.</t>
  </si>
  <si>
    <t>They are engaged in a game of curling.</t>
  </si>
  <si>
    <t>They hit the puck, pushing it forward.</t>
  </si>
  <si>
    <t>v_tJiYIajy41Q</t>
  </si>
  <si>
    <t>A man is seen close up standing on a field.</t>
  </si>
  <si>
    <t>A person then passes the man a ball to move up the field.</t>
  </si>
  <si>
    <t>The people then begin kicking the ball around.</t>
  </si>
  <si>
    <t>v_PhJVHb-J7zM</t>
  </si>
  <si>
    <t>A close up of a floor is seen followed by a young child kneeling before another.</t>
  </si>
  <si>
    <t>A person is seen sitting on a bed with the young child shines the shoes of another.</t>
  </si>
  <si>
    <t>The kids continues to shine the shoes of another.</t>
  </si>
  <si>
    <t>v_134sVNOzn_w</t>
  </si>
  <si>
    <t>A man is seen using a hammer and tool to knock off pieces of a roof.</t>
  </si>
  <si>
    <t>The man then lays a bar down and continues placing roof shingles on while the camera pans around.</t>
  </si>
  <si>
    <t>v_dQyZheN0Fw0</t>
  </si>
  <si>
    <t>An animated image of a curling brush is shown.</t>
  </si>
  <si>
    <t>A woman bends down and puts something on a scale.</t>
  </si>
  <si>
    <t>She then slides across the ice.</t>
  </si>
  <si>
    <t>v_QwLiAkfSa9A</t>
  </si>
  <si>
    <t>A larger woman is seen sitting on a chair while a man wipes down her lip and puts a mark onto it.</t>
  </si>
  <si>
    <t>The woman lies down and the man puts a needle into her lip creating a piercing.</t>
  </si>
  <si>
    <t>The woman sits up and smiles while the man wipes down her lip and she continues speaking.</t>
  </si>
  <si>
    <t>v_ma0HmFqdFqg</t>
  </si>
  <si>
    <t>A woman is seen wiping down a mirror that leads into her standing behind a counter.</t>
  </si>
  <si>
    <t>She pours ingredients into a buckets, soaks the sponge in the bucket, then wipes down a mirror with a wiper.</t>
  </si>
  <si>
    <t>v_rOeNl9qIoVI</t>
  </si>
  <si>
    <t>A person is seen riding along the water in a kayak while another man watches him on the side.</t>
  </si>
  <si>
    <t>He continues riding along the water in the kayak and doing flips in the water.</t>
  </si>
  <si>
    <t>v_mvWKOkRzfos</t>
  </si>
  <si>
    <t>People are playing volleyball in the sand.</t>
  </si>
  <si>
    <t>A person falls into the sand.</t>
  </si>
  <si>
    <t>A woman in a blue shirt is talking to the camera.</t>
  </si>
  <si>
    <t>v_oj6czGQ830c</t>
  </si>
  <si>
    <t>Men and woman posing and smiling at the camera.</t>
  </si>
  <si>
    <t>A groups men and woman dressed in cold water diving gear arrive in a van.</t>
  </si>
  <si>
    <t>The divers march in single file on a dock to the water and pose with their diving gear on.</t>
  </si>
  <si>
    <t>The divers are under water performing different sunken vehicles and playing around and posing.</t>
  </si>
  <si>
    <t>The divers are featured in some trick photography.</t>
  </si>
  <si>
    <t>The divers relax at a restaurant with their regular close on seated at a round picnic table.</t>
  </si>
  <si>
    <t>v_efkbBgZ2Mzo</t>
  </si>
  <si>
    <t>A person does a tutorial on how to use an elliptical most efficiently.</t>
  </si>
  <si>
    <t>A woman does the backwards elliptical while smiling sometimes.</t>
  </si>
  <si>
    <t>v_8-muYZwFf9c</t>
  </si>
  <si>
    <t>The video leads into various shots of people kite surfing all along the ocean.</t>
  </si>
  <si>
    <t>The person continues riding all along the water while the camera follows him from a bird's eye view.</t>
  </si>
  <si>
    <t>v_nSR-JSqGoWQ</t>
  </si>
  <si>
    <t>A video recap of a beach soccer game begins with an Argentinian goal off a deep pass.</t>
  </si>
  <si>
    <t>The Brazilians follow up with a goal on a penalty kick, taken by an exuberant keeper.</t>
  </si>
  <si>
    <t>The Argentinians steal a pass halfway across the sand field and take it down for a goal in the tight corner.</t>
  </si>
  <si>
    <t>This is immediately followed by another goal from Argentina on a penalty kick.</t>
  </si>
  <si>
    <t>Brazil finds itself down even more on another Argentinian goal on a beautiful pass and shot across the field.</t>
  </si>
  <si>
    <t>To make matters worse, Argentina scores on a deep uncontested shot after that.</t>
  </si>
  <si>
    <t>This game is far too easy for them, and they win by a large score.</t>
  </si>
  <si>
    <t>v_oW2v7KlfmJk</t>
  </si>
  <si>
    <t>A man is playing shuffleboard on a ship.</t>
  </si>
  <si>
    <t>He turns to the camera and says something.</t>
  </si>
  <si>
    <t>v_F2x2fynkbAQ</t>
  </si>
  <si>
    <t>A man dips a rag into a black container.</t>
  </si>
  <si>
    <t>He begins wiping a shoe with the rag.</t>
  </si>
  <si>
    <t>He picks up a brush and begins using that to brush the shoe.</t>
  </si>
  <si>
    <t>v_vMYPNyBR3d0</t>
  </si>
  <si>
    <t>We see three men on a boat in a lake.</t>
  </si>
  <si>
    <t>The left man holds his nears near his chest.</t>
  </si>
  <si>
    <t>A man acts weird and sprays himself.</t>
  </si>
  <si>
    <t>v_SXZjg8ap1Uk</t>
  </si>
  <si>
    <t>A large group of cheerleaders are seen running through a hole and onto a stage.</t>
  </si>
  <si>
    <t>The group then begins performing with one another while lifting one another into the air.</t>
  </si>
  <si>
    <t>The group continue to lift and jump around one another and end by walking off stage.</t>
  </si>
  <si>
    <t>v_O8jThut7tAQ</t>
  </si>
  <si>
    <t>A person talks and throws a bowling ball on the bowling lane.</t>
  </si>
  <si>
    <t>The man holds a ball and shows his left leg forward, then throws the bowling ball on the lane while talking.</t>
  </si>
  <si>
    <t>v_GyOLWizKXaE</t>
  </si>
  <si>
    <t>A man is outside with a lawn utensil and he begins cutting the yard.</t>
  </si>
  <si>
    <t>He moves a knob and then continues to cut the grass and another woman is shown cutting the yard.</t>
  </si>
  <si>
    <t>Finally,the man comes back and shows how his the object works to cut the grass.</t>
  </si>
  <si>
    <t>v_vSExyDlV9JA</t>
  </si>
  <si>
    <t>A small group of people are seen standing on a sandy beach and leads into a game of volleyball.</t>
  </si>
  <si>
    <t>The people play back and fourth with one of them spiking the ball and the camera panning around to people watching and celebrating.</t>
  </si>
  <si>
    <t>v_anfZnOQGPk0</t>
  </si>
  <si>
    <t>A young child is seen standing on a stage with others and one begins dancing in the middle.</t>
  </si>
  <si>
    <t>The young boy then moves in the middle taking turns with others dancing around.</t>
  </si>
  <si>
    <t>Another man moves to the middle to dance while others watch on the side.</t>
  </si>
  <si>
    <t>v_DmaPpBMsuXg</t>
  </si>
  <si>
    <t>A person is seen standing in the middle of a gym holding a tennis racket.</t>
  </si>
  <si>
    <t>The person then begins hitting a birdie across the gym.</t>
  </si>
  <si>
    <t>The person continuously hits the object back and fourth while looking to the camera.</t>
  </si>
  <si>
    <t>v_GG3JgE6hy4g</t>
  </si>
  <si>
    <t>A man is seen standing on a roof pushing pieces of debris up with a stick.</t>
  </si>
  <si>
    <t>The man continues pushing the debris off the roof while digging deeper and deeper into the mess.</t>
  </si>
  <si>
    <t>v_k25ECDpOD0E</t>
  </si>
  <si>
    <t>A person brush the teeth of a dog while holding the back neck.</t>
  </si>
  <si>
    <t>After, she taps the chest of the dog and put toothpaste on the brush and continue brushing the dog's teeth.</t>
  </si>
  <si>
    <t>After, the person tap again the the chest, put toothpaste on the brush and brush the dog's teeth.</t>
  </si>
  <si>
    <t>When the person finish to brush, she kiss the dog.</t>
  </si>
  <si>
    <t>v_4HC2-Unzuu4</t>
  </si>
  <si>
    <t>A woman is talking to the camera surrounded by alcohol bottles.</t>
  </si>
  <si>
    <t>The woman begins pouring different alcohols and lemon juice into a glass of ice.</t>
  </si>
  <si>
    <t>The woman shakes the drink mixture and strains it into another glass.</t>
  </si>
  <si>
    <t>The woman puts a small straw into the drink and holds it up and smiles.</t>
  </si>
  <si>
    <t>v_3ZUy7h-dN38</t>
  </si>
  <si>
    <t>A man wearing a black hat plays guitar for the camera to see.</t>
  </si>
  <si>
    <t>He continues strumming his fingers and moving his hands around the instrument until the song ends as well as the video.</t>
  </si>
  <si>
    <t>v_aEG-_-m49mY</t>
  </si>
  <si>
    <t>A woman is recording a video of a little boy who is painting a fence.</t>
  </si>
  <si>
    <t>The camera pans to the rest of the backyard and fence.</t>
  </si>
  <si>
    <t>Another little boy is painting the other end of the fence, and the camera goes up to him.</t>
  </si>
  <si>
    <t>The video then cuts to show that the fence is mostly completed.</t>
  </si>
  <si>
    <t>The video then shows the two boys working together to complete the final panel of the fencing.</t>
  </si>
  <si>
    <t>The video ends as the camera pans out to show the house and the freshly painted fence.</t>
  </si>
  <si>
    <t>v_ui7LIgAF8-E</t>
  </si>
  <si>
    <t>A woman is seen performing a jump off of a high dive and landing into a pool.</t>
  </si>
  <si>
    <t>More shots of her diving are shown again shortly after in slow motion.</t>
  </si>
  <si>
    <t>v_y1F_Hzpux48</t>
  </si>
  <si>
    <t>A large fish is seen swimming under frozen water.</t>
  </si>
  <si>
    <t>A man creates a hole in the ice to catch the fish.</t>
  </si>
  <si>
    <t>He catches it on a line, and pulls until He is able to get it through the hole.</t>
  </si>
  <si>
    <t>v_kuyuhXuMPX4</t>
  </si>
  <si>
    <t>We see the intro and intro scenes.</t>
  </si>
  <si>
    <t>A man stands in a garage with two shovels.</t>
  </si>
  <si>
    <t>We then see his shoveling supplies.</t>
  </si>
  <si>
    <t>The man stretches and puts on his winter clothes.</t>
  </si>
  <si>
    <t>He sprays his shovel with nonstick spray and shovels his driveway.</t>
  </si>
  <si>
    <t>The man lays down and had a hard time breathing.</t>
  </si>
  <si>
    <t>After putting down sand he drinks a warm beverage.</t>
  </si>
  <si>
    <t>We see the ending credits screen.</t>
  </si>
  <si>
    <t>v_yOcWUk9cOws</t>
  </si>
  <si>
    <t>Several girls are outside in a large green field playing a game.</t>
  </si>
  <si>
    <t>The girl in front of the camera is dressed in a yellow shirt and black shorts hit the ball with the stick and begins jumping in the air.</t>
  </si>
  <si>
    <t>v_15Yf7NIDLtM</t>
  </si>
  <si>
    <t>A shot of a christmas tree is shown followed by a man walking into frame.</t>
  </si>
  <si>
    <t>The man then begins decorating the tree as well as others.</t>
  </si>
  <si>
    <t>People continuously decorate the tree moving quickly around one another and end by presenting it to the camera.</t>
  </si>
  <si>
    <t>v_0KwSF8NdEug</t>
  </si>
  <si>
    <t>A woman is seen speaking to the camera while holding up a bag of cookies as well as a plate.</t>
  </si>
  <si>
    <t>Various ingredients are then see laid out in bowls.</t>
  </si>
  <si>
    <t>The woman mixes all the ingredients together and squishes them into tiny balls to plate in the end.</t>
  </si>
  <si>
    <t>v_8OSnT8UvJkU</t>
  </si>
  <si>
    <t>A woman with a nose ring is seen speaking to the camera and leads into someone cutting her hair.</t>
  </si>
  <si>
    <t>The person cuts around the sides and the woman is seen wearing glasses and posing with her new style.</t>
  </si>
  <si>
    <t>More shots of a person cutting is shown while the woman speaks to the camera.</t>
  </si>
  <si>
    <t>v_pw0A0Uv2TZM</t>
  </si>
  <si>
    <t>A young girl is inside a bathroom with her dad.</t>
  </si>
  <si>
    <t>He rubs water up and down her face.</t>
  </si>
  <si>
    <t>She giggles and smiles as he does so.</t>
  </si>
  <si>
    <t>v_c_NlYvL96y0</t>
  </si>
  <si>
    <t>A girl is stretching her body on a ballet bar.</t>
  </si>
  <si>
    <t>An instructor stands with a woman and talks about ballet.</t>
  </si>
  <si>
    <t>The girl dances and pans back to the instructor.</t>
  </si>
  <si>
    <t>The instructor talks about the tools you will need for ballet.</t>
  </si>
  <si>
    <t>She talks about various ballet moves to do at the barre while the dancer demonstrates.</t>
  </si>
  <si>
    <t>v_cIN4HNSRoAg</t>
  </si>
  <si>
    <t>A close up shot of a fooseball game is shown as the plastic people push around a ball.</t>
  </si>
  <si>
    <t>Hands are seen moving the ball around as well as grabbing the poles to play.</t>
  </si>
  <si>
    <t>v_lIXHKxbq59c</t>
  </si>
  <si>
    <t>Some people are shown as they prepare to tube down a long snow slope.</t>
  </si>
  <si>
    <t>They begin to head down the slope until they reach the end and are able to stop themselves.</t>
  </si>
  <si>
    <t>After that, they get out of their tubes and begin to exit.</t>
  </si>
  <si>
    <t>v_-fBxVUu0KcQ</t>
  </si>
  <si>
    <t>People are playing a sport on sand.</t>
  </si>
  <si>
    <t>A man in a green uniform gives a high five to someone on the sidelines.</t>
  </si>
  <si>
    <t>A man falls down into the sand.</t>
  </si>
  <si>
    <t>v_ZyOPt4sgsbs</t>
  </si>
  <si>
    <t>A young woman is seen holding onto a cat and smiling towards the camera.</t>
  </si>
  <si>
    <t>The cat begins to fuss around and the woman continues to smile.</t>
  </si>
  <si>
    <t>The woman then cuts the cats claws while the cat still moves around and she holds up the cat.</t>
  </si>
  <si>
    <t>v_OD5rJOPicoM</t>
  </si>
  <si>
    <t>Two people are sailing on boards out on a lake.</t>
  </si>
  <si>
    <t>One person is seen sailing on their board until they fall off the board and into the water.</t>
  </si>
  <si>
    <t>v_1qi8ZXUH_wY</t>
  </si>
  <si>
    <t>A group of men are wrapping boxes on a table.</t>
  </si>
  <si>
    <t>Several people are walking around the area.</t>
  </si>
  <si>
    <t>A man is getting very in depth on his wrapping and wraps the box tightly.</t>
  </si>
  <si>
    <t>Another man appears and grabs paper then walks away.</t>
  </si>
  <si>
    <t>The man wrapping finishes his box.</t>
  </si>
  <si>
    <t>v_f0CViWbj3V4</t>
  </si>
  <si>
    <t>A man and woman are seated on a porch.</t>
  </si>
  <si>
    <t>The man plays bongo drums while the woman helps occasionally.</t>
  </si>
  <si>
    <t>Another hand is seen banging a drum in the foreground.</t>
  </si>
  <si>
    <t>v_ntJk6Rj-lRA</t>
  </si>
  <si>
    <t>A person goes upstairs supporting on a crutch, then sits on the last step while a man follows him.</t>
  </si>
  <si>
    <t>The man lifts up the carpet, then the person gives the man a carpet runner with nails while talking both men.</t>
  </si>
  <si>
    <t>After, the man puts the carpet runner on the wood step and hummers the loosed nails.</t>
  </si>
  <si>
    <t>Next, the man put on the carpet and uses a machine and a hammer to fix the loosed carpet.</t>
  </si>
  <si>
    <t>v_CHaTWk6uqd8</t>
  </si>
  <si>
    <t>A man is seen speaking to the camera while pointing to a bike frame and spinning around the tire.</t>
  </si>
  <si>
    <t>The man then uses tools to adjust the tire wheel and continues spinning it.</t>
  </si>
  <si>
    <t>He is still seen working on the back of the bike while the camera zooms in.</t>
  </si>
  <si>
    <t>v_NkJA_0tErGY</t>
  </si>
  <si>
    <t>A man is speaking, he had a china cabinet behind him filled with glass product.</t>
  </si>
  <si>
    <t>He begins to start to show step by step instructions on how to make a sauce .</t>
  </si>
  <si>
    <t>Then in another frying pan he adds some meat and cheese while his bread is toasting.</t>
  </si>
  <si>
    <t>He then adds all the ingredients on the bread and cuts it in halves and begins to eat.</t>
  </si>
  <si>
    <t>v_uMCyo89mK_E</t>
  </si>
  <si>
    <t>A large christmas is shown is shown followed by a woman standing beside it.</t>
  </si>
  <si>
    <t>The girl begins decorating the tree while jumping up and down in place.</t>
  </si>
  <si>
    <t>She continues bouncing around while decorating the tree and looking off into the distance.</t>
  </si>
  <si>
    <t>v_QE80ROTC_fI</t>
  </si>
  <si>
    <t>A man and dog are seen standing outside in a field with a man playing fetch with a dog.</t>
  </si>
  <si>
    <t>The man throws the frisbee around with the dog while the animal brings it back.</t>
  </si>
  <si>
    <t>The man performs several more tricks with the dog using several frisbees.</t>
  </si>
  <si>
    <t>v_Ufki4AjZHFI</t>
  </si>
  <si>
    <t>A young man is shown on a road wearing stilts.</t>
  </si>
  <si>
    <t>He walks over to the side of the road.</t>
  </si>
  <si>
    <t>He then lifts his feet up and down as if in preparation of running.</t>
  </si>
  <si>
    <t>The video ends as the person recording tilts the camera and covers the lens.</t>
  </si>
  <si>
    <t>v_b1s0BdtlFZs</t>
  </si>
  <si>
    <t>A man sits on a toilet with her leg up.</t>
  </si>
  <si>
    <t>A person holding a camera walks into the bathroom.</t>
  </si>
  <si>
    <t>The man rubs shaving cream on their legs.</t>
  </si>
  <si>
    <t>He begins to shave his leg in the sink.</t>
  </si>
  <si>
    <t>v_NPt1niJMbvE</t>
  </si>
  <si>
    <t>A gymnast runs fast, then he jumps long in a stadium full of people.</t>
  </si>
  <si>
    <t>Two men walk holding javelins.</t>
  </si>
  <si>
    <t>After, the gymnast jumps happily.</t>
  </si>
  <si>
    <t>People take pictures of the gymnast.</t>
  </si>
  <si>
    <t>v_vlwOSDuiKQA</t>
  </si>
  <si>
    <t>A man is seen standing in a large room holding up a tennis racket.</t>
  </si>
  <si>
    <t>Two more people walk into frame and begin hitting the ball around the area.</t>
  </si>
  <si>
    <t>The men continue to hit the ball around with tennis rackets and chase it around the room.</t>
  </si>
  <si>
    <t>v_0QDPpdms08g</t>
  </si>
  <si>
    <t>Two people are seen standing in a gymnasium wearing boxing gloves.</t>
  </si>
  <si>
    <t>The men then go back and fourth with one another kicking and punching.</t>
  </si>
  <si>
    <t>The two continue to fight while the camera captures their movements.</t>
  </si>
  <si>
    <t>v_9ku5v_hSVMw</t>
  </si>
  <si>
    <t>A man squats and holds a bar over his head several times.</t>
  </si>
  <si>
    <t>A man in a red shirt watches him.</t>
  </si>
  <si>
    <t>He drops the bar on the ground in front of him.</t>
  </si>
  <si>
    <t>v_0m63LNVHP1U</t>
  </si>
  <si>
    <t>An older woman is seen talking to the camera and leads into her swinging back and fourth with another child.</t>
  </si>
  <si>
    <t>The child pushes the woman in a swing and continues playing with her on the swing set.</t>
  </si>
  <si>
    <t>v_bWBcYdYEup4</t>
  </si>
  <si>
    <t>Two people are seen performing a fencing match back and fourth while other people practice in the background.</t>
  </si>
  <si>
    <t>Several shots of people fencing are shown as well as a fencer being interviewed on camera.</t>
  </si>
  <si>
    <t>More shots of people fencing are shown and ends with many standing around and two shaking hands.</t>
  </si>
  <si>
    <t>v_Q4UF7Z0ozCw</t>
  </si>
  <si>
    <t>A pile of clothing is shown on a bench in a house.</t>
  </si>
  <si>
    <t>A sweater hangs from a rack.</t>
  </si>
  <si>
    <t>The sweater is shown from several angles as a vacuum is used to pick up hair and lint.</t>
  </si>
  <si>
    <t>v_H1FKtaktOEc</t>
  </si>
  <si>
    <t>A large building is seen with cars driving by and people walking around an arena.</t>
  </si>
  <si>
    <t>Several people are then seen shooting bow and arrows at a target and waving their hands in the air.</t>
  </si>
  <si>
    <t>The people continue to shoot the bow and arrow at the target while others watch on the side.</t>
  </si>
  <si>
    <t>v_YCdPa5gJYmc</t>
  </si>
  <si>
    <t>A shirtless guy spins a ball attached to a pole.</t>
  </si>
  <si>
    <t>The guy lifts this item from the grass at the pole end.</t>
  </si>
  <si>
    <t>The guy releases the item.</t>
  </si>
  <si>
    <t>A guy moves away from the descending item.</t>
  </si>
  <si>
    <t>The website address of the group is shown.</t>
  </si>
  <si>
    <t>v_o_e0KLnKpj8</t>
  </si>
  <si>
    <t>We see a lady starting a lawn mower.</t>
  </si>
  <si>
    <t>The lady stops and looks at the camera.</t>
  </si>
  <si>
    <t>The lady starts then stops mowing.</t>
  </si>
  <si>
    <t>The lady tries to start the mower again.</t>
  </si>
  <si>
    <t>Another lady comes to help and falls over.</t>
  </si>
  <si>
    <t>The first lady finally gets the mowers started.</t>
  </si>
  <si>
    <t>the lady throws her arm in the air and mows the lawn.</t>
  </si>
  <si>
    <t>v_bnkO0slLSyw</t>
  </si>
  <si>
    <t>A woman talks to the camera while a man stands beside her.</t>
  </si>
  <si>
    <t>The man turns and walks away while the woman demonstrates the female perspective of the dance sequence by herself.</t>
  </si>
  <si>
    <t>The man rejoins the woman and talks to the camera while demonstrating the sequence of steps from the male perspective.</t>
  </si>
  <si>
    <t>The two demonstrate the dance together without commentary.</t>
  </si>
  <si>
    <t>v_0Mn0gxECBLA</t>
  </si>
  <si>
    <t>A male mows a lawn using a red riding mower.</t>
  </si>
  <si>
    <t>A man whips grass of his foot.</t>
  </si>
  <si>
    <t>A large, black dog runs across the lawn.</t>
  </si>
  <si>
    <t>The man stops and reverses the riding mower.</t>
  </si>
  <si>
    <t>The man rubs his ear.</t>
  </si>
  <si>
    <t>v_P0j0bBKsNAo</t>
  </si>
  <si>
    <t>A man is seen beginning to climb up a rock wall while looking back and speaking to the camera.</t>
  </si>
  <si>
    <t>He continues to climb up and down while showing off to the properly climb with his feet.</t>
  </si>
  <si>
    <t>He does this a few more times while the camera shows text instructions.</t>
  </si>
  <si>
    <t>v_ABB755sPZfY</t>
  </si>
  <si>
    <t>Inside a gym, two men hold two jump ropes.</t>
  </si>
  <si>
    <t>A guy in a ponytail jumps the jump ropes with hand stands.</t>
  </si>
  <si>
    <t>A man in a black shirt watches.</t>
  </si>
  <si>
    <t>v_iiQ6t0p9lik</t>
  </si>
  <si>
    <t>The video takes place in the pool of a backyard.</t>
  </si>
  <si>
    <t>A tight rope is strung across the length of the pool and a woman is attempting to walk across, She falls several times.</t>
  </si>
  <si>
    <t>The last time she falls, the camera rewinds and shows her falling backwards.</t>
  </si>
  <si>
    <t>The video then cuts to a man who is also using a tight rope to cross a pool.</t>
  </si>
  <si>
    <t>The video shows several clips of the man falling.</t>
  </si>
  <si>
    <t>At one point, he is holding a camera while falling in.</t>
  </si>
  <si>
    <t>He also attempts to stand with one leg on the rope, as well as balancing.</t>
  </si>
  <si>
    <t>The video ends showing him in a final fall into a tube.</t>
  </si>
  <si>
    <t>v_2SBTnunPQrQ</t>
  </si>
  <si>
    <t>A little boy shines the shoes of a person using black shoe polish and make shine with a brush and a cloth.</t>
  </si>
  <si>
    <t>Then, the man pays the little boy.</t>
  </si>
  <si>
    <t>A boy cleans the tennis shows of a person putting white painting.</t>
  </si>
  <si>
    <t>v_o1WPnnvs00I</t>
  </si>
  <si>
    <t>A man is playing a flute in front of a microphone.</t>
  </si>
  <si>
    <t>A few other men are shown playing guitars as they sit.</t>
  </si>
  <si>
    <t>The group plays for the audience, occasionally zooming in on individuals.</t>
  </si>
  <si>
    <t>One man is playing drums while the others are on flute and guitar.</t>
  </si>
  <si>
    <t>The lights move fluidly as they crescendo, and they screen goes black.</t>
  </si>
  <si>
    <t>v_RYv3eIxMouY</t>
  </si>
  <si>
    <t>A yellow and brown animal is attached to the wall swaying from left to right.</t>
  </si>
  <si>
    <t>While it is there,a boy is wrapped up in a bandanna and he is holding the stick on the left side of the pinata.</t>
  </si>
  <si>
    <t>He then moves it to the right side and begins to hit the pinata ferociously.</t>
  </si>
  <si>
    <t>v_fm9mf-VuWxI</t>
  </si>
  <si>
    <t>A woman in a blue shirt is holding a lacrosse stick.</t>
  </si>
  <si>
    <t>They continue to play lacrosse.</t>
  </si>
  <si>
    <t>v_ucEqZtmQS-0</t>
  </si>
  <si>
    <t>A man in a black shirt is standing in a salon.</t>
  </si>
  <si>
    <t>He starts shaving a man's beard that is laying down.</t>
  </si>
  <si>
    <t>He towels off the man's face.</t>
  </si>
  <si>
    <t>v_qS7TStZg_5c</t>
  </si>
  <si>
    <t>A man is showing playing guitar with a title screen shown on the left.</t>
  </si>
  <si>
    <t>The man strums over and over again while gradually banging his head to the beat.</t>
  </si>
  <si>
    <t>v_hR6VFvMXCN4</t>
  </si>
  <si>
    <t>A close up of a flame is shown followed by audience members standing up and athletes standing ready.</t>
  </si>
  <si>
    <t>Hitler then watches a man jump into a pit as well as several other runners after him.</t>
  </si>
  <si>
    <t>More athletes continue jumping while the audience gets riled up and ends with soldiers raising flags up to the sky.</t>
  </si>
  <si>
    <t>v_A9TcWJnbcWs</t>
  </si>
  <si>
    <t>There are two boys playing squash in an indoor squash court.</t>
  </si>
  <si>
    <t>They are playing randomly in an unstructured game where they often miss the ball.</t>
  </si>
  <si>
    <t>v_Tc8L-74Ilck</t>
  </si>
  <si>
    <t>A man is seen standing at the bottom of a hole while a man records him.</t>
  </si>
  <si>
    <t>Two men are seen climbing along the hill and looking up to the camera.</t>
  </si>
  <si>
    <t>One man pulls the other out and climbs down while they and others speak to the camera.</t>
  </si>
  <si>
    <t>v_WRv7Kpf1KT0</t>
  </si>
  <si>
    <t>Two men are putting suntan lotion on each other at the beach.</t>
  </si>
  <si>
    <t>They rub it on each other's backs before turning around.</t>
  </si>
  <si>
    <t>v_ZdUUBA1czgY</t>
  </si>
  <si>
    <t>man is standing in a large field wlking and practicing a shot put.</t>
  </si>
  <si>
    <t>man wearing red shirt is standing on a side.</t>
  </si>
  <si>
    <t>men are pacticing in a large green grassy field.</t>
  </si>
  <si>
    <t>v_azfkn6EsuJA</t>
  </si>
  <si>
    <t>A man is buffing down his skis in a garage.</t>
  </si>
  <si>
    <t>He changes position to give himself more leverage as he buffs.</t>
  </si>
  <si>
    <t>He moves the shis to another location when he is done.</t>
  </si>
  <si>
    <t>v_z_ojmuWzMWo</t>
  </si>
  <si>
    <t>A dog is being bathed by a woman.</t>
  </si>
  <si>
    <t>The woman is spraying water on the small dog with a hose.</t>
  </si>
  <si>
    <t>She is now blow drying the dog.</t>
  </si>
  <si>
    <t>The dog is placed in the kennel next to a woman's feet.</t>
  </si>
  <si>
    <t>A dog plays behind and with the groomed dog.</t>
  </si>
  <si>
    <t>The dog now is getting a haircut.</t>
  </si>
  <si>
    <t>v_R547-iOgb6g</t>
  </si>
  <si>
    <t>Intro screen appears and includes an illustration of a man wiping the floor with a mop in a bathroom, a brand name and some other words.</t>
  </si>
  <si>
    <t>A woman is now in the bathroom using an advanced bucket that is tall and includes a handle for squeezing the flat mop and a storage compartment, and she mops the floor with the mop, then demonstrates how to squeeze it in the bucket and goes back to moping the rest of the bathroom.</t>
  </si>
  <si>
    <t>A top view of the bucket is shown and it shows the bucket has two water compartments and the clean water is in the front and the dirty water is kept in the back.</t>
  </si>
  <si>
    <t>A white screen appears and it displays the logo brand, different pictures of the mop sleeves and numbers next to it.</t>
  </si>
  <si>
    <t>The woman walks to the entrance of the bathroom, removes the wet floor sign, puts it in her cart, starts pushing the cart, and the focus goes back to the clean bathroom she just cleaned.</t>
  </si>
  <si>
    <t>v_c8HFew22GnI</t>
  </si>
  <si>
    <t>A man is acting as a dj with headphones on.</t>
  </si>
  <si>
    <t>Another man takes off on a pair of water skis.</t>
  </si>
  <si>
    <t>He skis as people gather and leave on a pier.</t>
  </si>
  <si>
    <t>Several people join in on a curling event, holding signs and smiling.</t>
  </si>
  <si>
    <t>v_1iIG5D3jTk4</t>
  </si>
  <si>
    <t>Two people are seen standing in a large gymnasium speaking to one another and leads into them performing a jump roping routine.</t>
  </si>
  <si>
    <t>The woman continue jumping all along the gym together and end by holding the ropes against their feet.</t>
  </si>
  <si>
    <t>v_oY1y_UONCGg</t>
  </si>
  <si>
    <t>A little boy is sitting on the floor, touching a vacuum cleaner and talking.</t>
  </si>
  <si>
    <t>He also picks up another vacuum, and starts rolling it across the room, back and forth.</t>
  </si>
  <si>
    <t>v_CqAJxW84FkU</t>
  </si>
  <si>
    <t>A man in a green shirt and green hat is holding a large knife.</t>
  </si>
  <si>
    <t>He starts cutting a piece of wood with the knife.</t>
  </si>
  <si>
    <t>He cuts the piece of wood in half.</t>
  </si>
  <si>
    <t>v_8fVB8gAjTO4</t>
  </si>
  <si>
    <t>we see a man in a room playing a set of drums.</t>
  </si>
  <si>
    <t>The man plays the drums on the left side primarily.</t>
  </si>
  <si>
    <t>The man pauses while playing.</t>
  </si>
  <si>
    <t>The man hits a few drums then stops.</t>
  </si>
  <si>
    <t>v_2UjVfKEcj4g</t>
  </si>
  <si>
    <t>A man is holding two extremely dirty high heeled women's shoes.</t>
  </si>
  <si>
    <t>He uses a ruler to scrape off the dried dirt.</t>
  </si>
  <si>
    <t>He then uses a brush to polish up the suede material before spraying a white substance onto the shoe.</t>
  </si>
  <si>
    <t>He scrapes it clean, then applies a new sole and spike to the heel.</t>
  </si>
  <si>
    <t>He shows off the renovator can.</t>
  </si>
  <si>
    <t>v_WkiBckpLXfU</t>
  </si>
  <si>
    <t>a man and a woman are talking in front of the camera.</t>
  </si>
  <si>
    <t>players are in a court playing hockey.</t>
  </si>
  <si>
    <t>a man and a woman are being interviewed.</t>
  </si>
  <si>
    <t>v_c0qbyRWSptg</t>
  </si>
  <si>
    <t>Boats are going through the water.</t>
  </si>
  <si>
    <t>A storm hits and a man is crying.</t>
  </si>
  <si>
    <t>The boats continue to go through the water.</t>
  </si>
  <si>
    <t>v_gpmrwsV9skQ</t>
  </si>
  <si>
    <t>A man in a suit is reading a newspaper.</t>
  </si>
  <si>
    <t>He puts a dissolving tablet into a glass of water.</t>
  </si>
  <si>
    <t>Someone runs in front of a car on stilts.</t>
  </si>
  <si>
    <t>v_5jfQNanBKAM</t>
  </si>
  <si>
    <t>A large group of boys paddle around on a lake in red canoes.</t>
  </si>
  <si>
    <t>Other groups of boys on a dock prepare boats for use.</t>
  </si>
  <si>
    <t>Two boys on a canoe back paddle to get away from the reeds on the edge on the lake.</t>
  </si>
  <si>
    <t>v_aB5xErksFkI</t>
  </si>
  <si>
    <t>A person is seen kneeling down on the floor laying out plaster as well as onto a tile.</t>
  </si>
  <si>
    <t>The person then flips over the tiles and places them down on the floor.</t>
  </si>
  <si>
    <t>v_OHwE8aA90IE</t>
  </si>
  <si>
    <t>A young man is seen standing before a lawn mower and looking at the camera.</t>
  </si>
  <si>
    <t>The boy then pulls a string on the lawn mower.</t>
  </si>
  <si>
    <t>He finally pushes forward on the lawn mower.</t>
  </si>
  <si>
    <t>v_9hR1MHvXGv8</t>
  </si>
  <si>
    <t>We see a man putting items in his car.</t>
  </si>
  <si>
    <t>The man gets in the car and drives down the street.</t>
  </si>
  <si>
    <t>We see men climbing indoors on a climbing wall, and outdoors in the woods.</t>
  </si>
  <si>
    <t>We see two men outdoors at night then day.</t>
  </si>
  <si>
    <t>We see men climbing a cliff.</t>
  </si>
  <si>
    <t>A man waves from the top.</t>
  </si>
  <si>
    <t>We see the men on the top of the cliff.</t>
  </si>
  <si>
    <t>A man drills holes in a wall.</t>
  </si>
  <si>
    <t>We see a man fall repeatedly.</t>
  </si>
  <si>
    <t>We see three men in a boat on a river.</t>
  </si>
  <si>
    <t>v_Z6WJ0A9VvxQ</t>
  </si>
  <si>
    <t>peolpe are running in street under a bridge.</t>
  </si>
  <si>
    <t>people are standing and running through the bridge and street.</t>
  </si>
  <si>
    <t>v_IcfWEKjl_AY</t>
  </si>
  <si>
    <t>A boy stands from the bottom of a slide and walk away.</t>
  </si>
  <si>
    <t>Other kids slide on another slide in the playground.</t>
  </si>
  <si>
    <t>A toddler climbs a jungle gym, and then go down the slide.</t>
  </si>
  <si>
    <t>v_AXDa8WmY2og</t>
  </si>
  <si>
    <t>A Shih Tzu dog is standing on a table being groomed by an elderly Asian woman.</t>
  </si>
  <si>
    <t>Once she is done with the top,the lady the grabs the dog front left paw and takes a pair of scissors and begins trimming underneath his body.</t>
  </si>
  <si>
    <t>Once the belly is done,the goes to the top of the dogs head and cuts the hair around the face and clips the rest of the hair behind him.</t>
  </si>
  <si>
    <t>The next step consist of her trimming the hair under the dog's mouth.</t>
  </si>
  <si>
    <t>v_pZzTMUJG9Rk</t>
  </si>
  <si>
    <t>A man is playing soccer with another across a field.</t>
  </si>
  <si>
    <t>He performs a quick turn around move with the other following close behind.</t>
  </si>
  <si>
    <t>The same clip is replayed over and over at slower speeds to better understand the trick.</t>
  </si>
  <si>
    <t>Another trick is performed and later shown in slow motion.</t>
  </si>
  <si>
    <t>Two more tricks are demonstrated by the duo and finally showed at a slowed down pace.</t>
  </si>
  <si>
    <t>v_2zvN1cL1uik</t>
  </si>
  <si>
    <t>An intro starts with music player and foreign letter are presented across the screen.</t>
  </si>
  <si>
    <t>A man sits down in front of a hookah and begins talking to the camera.</t>
  </si>
  <si>
    <t>The man takes a hit of the hookah and coughs a bit.</t>
  </si>
  <si>
    <t>The man shows how to avoid coughing with a hookah by moving the tobacco around on the bowl.</t>
  </si>
  <si>
    <t>He sits down and takes another puff off the hookah.</t>
  </si>
  <si>
    <t>He then continues taking puffs off the device and talking about how to get clear hits.</t>
  </si>
  <si>
    <t>v_xXDNNCl1m6c</t>
  </si>
  <si>
    <t>The Department of Transportation demonstrates ice and snow safety tips with a white car covered in snow.</t>
  </si>
  <si>
    <t>A lady in a red winter jacket places the keys in the ignition and starts the car.</t>
  </si>
  <si>
    <t>The lady in the red jacket opens the trunk of the car and removes a snow brush and brushes the snow off of the car body, windshields, head lights, front grill and license tag.</t>
  </si>
  <si>
    <t>v_XTErpg4IdiE</t>
  </si>
  <si>
    <t>A man is on the floor with some gadget looking at it and messing around with it.</t>
  </si>
  <si>
    <t>He puts a hose in one sde of it and starts ro mess around with it some more.</t>
  </si>
  <si>
    <t>He then moves it to the corer of the carpet and starts working on it.</t>
  </si>
  <si>
    <t>He moves it down more and pushing the carpet down, he does this to basically the entire room.</t>
  </si>
  <si>
    <t>v_bcOFV26B3jk</t>
  </si>
  <si>
    <t>A lady kicks a ball in a field.</t>
  </si>
  <si>
    <t>The lady picks up the baby.</t>
  </si>
  <si>
    <t>The lady runs across the screen.</t>
  </si>
  <si>
    <t>The camera pans left and right to show the crowd standing around.</t>
  </si>
  <si>
    <t>v_rx_WRuQ-X14</t>
  </si>
  <si>
    <t>A wall is painted by two men.</t>
  </si>
  <si>
    <t>They then hang up wall decorations that are wallpaperlike in appearance.</t>
  </si>
  <si>
    <t>v_jqrLD8zs7R4</t>
  </si>
  <si>
    <t>A couple appears on the screen, talking about dancing the tango.</t>
  </si>
  <si>
    <t>They begin showing different steps of the dance as they talk.</t>
  </si>
  <si>
    <t>They move forward and back and forth, demonstrating the tango.</t>
  </si>
  <si>
    <t>They then dance together for the camera.</t>
  </si>
  <si>
    <t>v_SN_YS2w3JhE</t>
  </si>
  <si>
    <t>Players stand on the sideline before a volleyball match on the beach.</t>
  </si>
  <si>
    <t>Players walk onto the court and take positions for the match.</t>
  </si>
  <si>
    <t>Teams play a game of beach volleyball.</t>
  </si>
  <si>
    <t>The players shake hands and congratulate each other.</t>
  </si>
  <si>
    <t>v_p4pj27t5B6g</t>
  </si>
  <si>
    <t>A young man talks while showing a saxophone.</t>
  </si>
  <si>
    <t>The young man points the keys of the saxophone while talking.</t>
  </si>
  <si>
    <t>Then, the young man fasten the saxophone with a blue ribbon on his neck.</t>
  </si>
  <si>
    <t>After, the young man puts his mouth on the mouthpiece of the saxophone, then he continues explaining.</t>
  </si>
  <si>
    <t>v_hPQEkPZmNsU</t>
  </si>
  <si>
    <t>A hair stylist explains how to cut a mans haircut.</t>
  </si>
  <si>
    <t>The hair sylist prepares the hair into sections with some clips and begins cutting the hair with a feather razor and puts a clip in the hair on top of the head and proceeds to cut the hair with scissors making layers.</t>
  </si>
  <si>
    <t>The hair stylist then uses a hair blower dryer to fluff up the hair using her fingers.</t>
  </si>
  <si>
    <t>The hair stylist then uses only her fingers to fluff up the hair.</t>
  </si>
  <si>
    <t>A close up of theman and the final cut and a close up of the hair stylist.</t>
  </si>
  <si>
    <t>v_r4F2X_MlL-U</t>
  </si>
  <si>
    <t>A hand lines the loose area of the wallpaper.</t>
  </si>
  <si>
    <t>The hand puts paste from a bowl on the back of the loose wallpaper.</t>
  </si>
  <si>
    <t>The hand runs a scrub on the loose wallpaper.</t>
  </si>
  <si>
    <t>The hand holds a blow dryer and the other hand rolls a device to mend the loose wallpaper.</t>
  </si>
  <si>
    <t>The hand runs a scrub quickly through the mended wallpaper.</t>
  </si>
  <si>
    <t>v_iuVi8QAWfCI</t>
  </si>
  <si>
    <t>A woman introduces her home decor video, standing next to a chair.</t>
  </si>
  <si>
    <t>She first scrubs the dirt from the chair with a sponge.</t>
  </si>
  <si>
    <t>Next, she applies a silver paint to the chair.</t>
  </si>
  <si>
    <t>She then dips her brush in a blue paint to cover the chair's seat, back, and then arms/legs.</t>
  </si>
  <si>
    <t>Lastly, she places stencils on the chair and paints the insides white to decorate.</t>
  </si>
  <si>
    <t>v_SjfrdNchlqw</t>
  </si>
  <si>
    <t>men are sitting in a black jack table in a casino and the dealer is spreading the cards to players.</t>
  </si>
  <si>
    <t>man is talking to the camera.</t>
  </si>
  <si>
    <t>the dealer woman is standing talking in front of the camera.</t>
  </si>
  <si>
    <t>man is standing in front of slot machine talking to the camera.</t>
  </si>
  <si>
    <t>v_E5SWUUNrHDU</t>
  </si>
  <si>
    <t>Various tools and products are laid out on a table and transitions into a man walking in front of a mirror and putting lotion on his face.</t>
  </si>
  <si>
    <t>He then puts cream on his face and shaves all around his face.</t>
  </si>
  <si>
    <t>He then wipes his face down with a rag and walks away from the mirror.</t>
  </si>
  <si>
    <t>v_qbDQNRf-EUI</t>
  </si>
  <si>
    <t>A man speaks to camera in front of bicycles.</t>
  </si>
  <si>
    <t>The man places a part on a bicycle being worked on.</t>
  </si>
  <si>
    <t>The man tightens the part on the bicycle.</t>
  </si>
  <si>
    <t>v_h4N22DApP_Y</t>
  </si>
  <si>
    <t>Crowd are sitting on chair, kids and young people are sitting at the table with timer solving the rubik's cubes, while a man with big beard is talking in front of the camera.</t>
  </si>
  <si>
    <t>The boys are solving the rubik's cube one is blind folded, one is solving it with one hand, others are solving with with both hands.</t>
  </si>
  <si>
    <t>v_yW76UI8lnNc</t>
  </si>
  <si>
    <t>Black and yellow tokens slides on the floor while people holding sticks arrange the tokens on a painted triangle.</t>
  </si>
  <si>
    <t>Toddlers walk on the sidewalk and cross the road stepping on the tokens.</t>
  </si>
  <si>
    <t>v_eRQAjBwhDXk</t>
  </si>
  <si>
    <t>A person skis quickly down a snow covered hill.</t>
  </si>
  <si>
    <t>People are on intertubes, sledding along the snow.</t>
  </si>
  <si>
    <t>v__86X1xtj67w</t>
  </si>
  <si>
    <t>Two teams plays throwing balls to hit an opponent.</t>
  </si>
  <si>
    <t>Two boys advance to the center and throw the balls, then they return to his place.</t>
  </si>
  <si>
    <t>After, the other team advance throwing balls and hit one player wearing purple t-shirt.</t>
  </si>
  <si>
    <t>They continue playing taking turns to hit the balls.</t>
  </si>
  <si>
    <t>People handle balls to players, then they go to the center to hit other team with the balls.</t>
  </si>
  <si>
    <t>v_AX2KQGWXg1E</t>
  </si>
  <si>
    <t>A woman and a man practice kick box in a gym where also other people train, then he woman talks.</t>
  </si>
  <si>
    <t>A cars run in a city with a soldier holding a weapon, a family in the street, people walking and car sit o the curve.</t>
  </si>
  <si>
    <t>The woman talks from a room, then she trains with others in a gym, then a lady in the gym talks.</t>
  </si>
  <si>
    <t>at the end trophies are shown.</t>
  </si>
  <si>
    <t>v_3Wjig_NRlnU</t>
  </si>
  <si>
    <t>A man performs martial arts fighting with people in a film, then a big door close and a woman helps the man fight.</t>
  </si>
  <si>
    <t>The man and the woman are on front a river fighting, and then hung his legs from a tree.</t>
  </si>
  <si>
    <t>Cannons fires a home and a village, after an army fight in a field and cannons destroy homes in a village.</t>
  </si>
  <si>
    <t>A man gives to the man a big gold coin, after the man fights with people.</t>
  </si>
  <si>
    <t>v_JowsnupmNd0</t>
  </si>
  <si>
    <t>She swings her leg up.</t>
  </si>
  <si>
    <t>She drops down to the ground.</t>
  </si>
  <si>
    <t>v_U6M5hbiHn5Q</t>
  </si>
  <si>
    <t>Man does acrobatic moves down a mat.</t>
  </si>
  <si>
    <t>Another man is running down a mat in the background.</t>
  </si>
  <si>
    <t>Several replays of acrobatic moves occurs.</t>
  </si>
  <si>
    <t>Young man runs and hugs what looks to be his coach.</t>
  </si>
  <si>
    <t>Another set of replays occur.</t>
  </si>
  <si>
    <t>Words go across the screen directing people to social media and websites.</t>
  </si>
  <si>
    <t>v_YJcjkeVD0qk</t>
  </si>
  <si>
    <t>A close up of food is laid out on the table and leads into a man taking puffs out of a hookah pipe.</t>
  </si>
  <si>
    <t>The man blows smoke rings as well as several other drinks while speaking to the camera and moving to various spots in the house.</t>
  </si>
  <si>
    <t>v_McwVhHxdr5g</t>
  </si>
  <si>
    <t>a little boy is riding inline skates down a driveway.</t>
  </si>
  <si>
    <t>He waves his arms, trying to keep his balance.</t>
  </si>
  <si>
    <t>He runs, then falls on the skates.</t>
  </si>
  <si>
    <t>v_slUvIngXl4g</t>
  </si>
  <si>
    <t>two sumos are on sides of a ring and the refeee is in the middle while people is in sands sitting arpund them watching them.</t>
  </si>
  <si>
    <t>sumo start wrestling and fell out the ring.</t>
  </si>
  <si>
    <t>v_6wTk8QqWxuo</t>
  </si>
  <si>
    <t>A boy is helping his father push a mower.</t>
  </si>
  <si>
    <t>They turn back to the camera.</t>
  </si>
  <si>
    <t>A person goes stand near the fence.</t>
  </si>
  <si>
    <t>v_l9LHfuoU8js</t>
  </si>
  <si>
    <t>A person is seen cutting a piece of roof tiling and hammering down the tile for a roof.</t>
  </si>
  <si>
    <t>He walks through hamming down the fabric and nailing a long board across.</t>
  </si>
  <si>
    <t>v__Boy9qJLibI</t>
  </si>
  <si>
    <t>A graphic is seen with logo title.</t>
  </si>
  <si>
    <t>A Google map shows different city locations.</t>
  </si>
  <si>
    <t>Teammates in jumpsuits run navigate through a course of wooden crate obstacles aiming paintball guns.</t>
  </si>
  <si>
    <t>The men receive gear from a rental shop including clothes and weapons.</t>
  </si>
  <si>
    <t>The two teams walk in a line together entering the course to play.</t>
  </si>
  <si>
    <t>The men fill their gun hoppers with ammo.</t>
  </si>
  <si>
    <t>The teammates navigate through a course with inflatable obstacles aiming for opponents.</t>
  </si>
  <si>
    <t>A man is hit in the face mask to end the game.</t>
  </si>
  <si>
    <t>v_S_CnkpTkjYQ</t>
  </si>
  <si>
    <t>A man is seated while playing the drums, with a woman instructing him standing next to him.</t>
  </si>
  <si>
    <t>He hits the drums back and forth as they talk.</t>
  </si>
  <si>
    <t>He then talks extensively about how to play the congas.</t>
  </si>
  <si>
    <t>He demonstrates by playing further while talking.</t>
  </si>
  <si>
    <t>v_IbYlWVA8Dh8</t>
  </si>
  <si>
    <t>a hand is shown on a table with different supplies.</t>
  </si>
  <si>
    <t>A man is seen taking all the parts of a bicycle out of a box.</t>
  </si>
  <si>
    <t>He assembles the bicycle in the yard.</t>
  </si>
  <si>
    <t>v_7dlkshlM4nk</t>
  </si>
  <si>
    <t>A tree is seen by the side of a road.</t>
  </si>
  <si>
    <t>A man shows how to mulch around the bottom of the tree.</t>
  </si>
  <si>
    <t>He spreads the mulch evenly as he gives directions.</t>
  </si>
  <si>
    <t>v_Gp2bIEiDWTI</t>
  </si>
  <si>
    <t>A girl plays with her braided pony tail.</t>
  </si>
  <si>
    <t>The girl twists her hair together in two sections.</t>
  </si>
  <si>
    <t>The girl braids the end of the twisted hair.</t>
  </si>
  <si>
    <t>The girl separates the braids and loosens them.</t>
  </si>
  <si>
    <t>The girl pulls the braids up her hair to make them more fluffy.</t>
  </si>
  <si>
    <t>The girl uses a flat iron on her hair.</t>
  </si>
  <si>
    <t>The girl holds two dogs and dances.</t>
  </si>
  <si>
    <t>v_iH659QSrcDc</t>
  </si>
  <si>
    <t>A text graphic is seen with a title and description.</t>
  </si>
  <si>
    <t>A man stands on a roof and drills pieces of wood down.</t>
  </si>
  <si>
    <t>Credits are seen for the video with a website.</t>
  </si>
  <si>
    <t>v_yLS0UuNYXOI</t>
  </si>
  <si>
    <t>A large ice glacier is shown in the water.</t>
  </si>
  <si>
    <t>A boat is pulling a person on skis behind the boat.</t>
  </si>
  <si>
    <t>The person is floating in the water.</t>
  </si>
  <si>
    <t>v_CpTIytatsno</t>
  </si>
  <si>
    <t>An athlete spins and throws a shot put on a large playing field of a stadium.</t>
  </si>
  <si>
    <t>The man celebrates and gives a thumbs up.</t>
  </si>
  <si>
    <t>A second athlete in grey shirt throws a shotput.</t>
  </si>
  <si>
    <t>The ball lands in the grass and the man is disappointed in the throw and walks away.</t>
  </si>
  <si>
    <t>A large man in yellow shirt and headband spins and throws a shut put that veers to the left of the field.</t>
  </si>
  <si>
    <t>The man is pleased with his shot and pumps his fist.</t>
  </si>
  <si>
    <t>The man gives high fives to his team mates.</t>
  </si>
  <si>
    <t>A rack of balls are seen in the grass behind scores for the game.</t>
  </si>
  <si>
    <t>The man awaits his score standing on the track among other athletes in the background.</t>
  </si>
  <si>
    <t>v_AQQT21DBT_E</t>
  </si>
  <si>
    <t>People are grooming and brushing dogs in a public facility.</t>
  </si>
  <si>
    <t>Women take cares of dogs that have long hair.</t>
  </si>
  <si>
    <t>A woman take cares of a poodle, while other woman pets a big dog.</t>
  </si>
  <si>
    <t>A woman talks on front a dog while petting.</t>
  </si>
  <si>
    <t>v_SY5WpDrtmEE</t>
  </si>
  <si>
    <t>A man is shown performing a song at Google's London offices.</t>
  </si>
  <si>
    <t>They are standing inside of an office space and playing the flute.</t>
  </si>
  <si>
    <t>The man starts really getting into it and cheering very passionately a people look on.</t>
  </si>
  <si>
    <t>A close up is shown of him playing over and over.</t>
  </si>
  <si>
    <t>he then ends the song to a round of applause and walks out of the frame.</t>
  </si>
  <si>
    <t>v_RNrxxPOyHo4</t>
  </si>
  <si>
    <t>A man is seen kneeling on the floor while holding an iron in his hands.</t>
  </si>
  <si>
    <t>He bends down with the iron to iron the shirt and puts it down.</t>
  </si>
  <si>
    <t>Afterwards he covers his ears and looks away in pain.</t>
  </si>
  <si>
    <t>v_0wpStx2JuS4</t>
  </si>
  <si>
    <t>A man in a white shirt and hat is sitting down.</t>
  </si>
  <si>
    <t>He is playing two drums in front of him.</t>
  </si>
  <si>
    <t>He stops playing them and sits up straight.</t>
  </si>
  <si>
    <t>v_5BVcwR8hEo0</t>
  </si>
  <si>
    <t>A boy serves a tennis ball.</t>
  </si>
  <si>
    <t>He then serves two more.</t>
  </si>
  <si>
    <t>The boy turns and walks away.</t>
  </si>
  <si>
    <t>v_NNKEE-015ZY</t>
  </si>
  <si>
    <t>A teen talks and hold a leash of a dog while a young man pets a dog on a couch.</t>
  </si>
  <si>
    <t>Then, the teen runs with the dog were other youth play frisbee, after the teen talks.</t>
  </si>
  <si>
    <t>A woman reads a book lean on a dispenser soda machine.</t>
  </si>
  <si>
    <t>A man walks a dog in a parking lot and the street.</t>
  </si>
  <si>
    <t>After, the teen and the young man are indoors.</t>
  </si>
  <si>
    <t>v_xfVx1-emCV8</t>
  </si>
  <si>
    <t>The video starts with a curling game being shown from overhead.</t>
  </si>
  <si>
    <t>The camera then shows a lady skating across the ice.</t>
  </si>
  <si>
    <t>Then the camera focuses back onto the curling game showing a lady about to shoot.</t>
  </si>
  <si>
    <t>They return to the overhead angle of the game while the lady prepares to shoot.</t>
  </si>
  <si>
    <t>Other players are shown watching in anticipation.</t>
  </si>
  <si>
    <t>The player makes the shot and the camera follows along.</t>
  </si>
  <si>
    <t>The crowd cheers and a replay of the shot is shown.</t>
  </si>
  <si>
    <t>v_9n_cwQLpo_c</t>
  </si>
  <si>
    <t>A person is snowboarding indoors alone.</t>
  </si>
  <si>
    <t>The person is zig-zagging with his board down a slope.</t>
  </si>
  <si>
    <t>The person turns around at the end of the slope with arms extended.</t>
  </si>
  <si>
    <t>v_s3DoV1L9zAM</t>
  </si>
  <si>
    <t>A young man is seen sitting behind a drum set holding sticks.</t>
  </si>
  <si>
    <t>The man begins playing the drums continuously while the camera captures his movements.</t>
  </si>
  <si>
    <t>He is still seen playing the drums and ends with his hands up.</t>
  </si>
  <si>
    <t>v_xmStXpxlG_I</t>
  </si>
  <si>
    <t>A toddler hits a piñata with a bat while it is spinning.</t>
  </si>
  <si>
    <t>A person is near the boy showing an arm.</t>
  </si>
  <si>
    <t>v_nxNir9CE3zI</t>
  </si>
  <si>
    <t>The scene says River Scum with a black background.</t>
  </si>
  <si>
    <t>A kayak is going down a river while a person is paddling.</t>
  </si>
  <si>
    <t>A screen comes with words.</t>
  </si>
  <si>
    <t>v_Ip1EWQCXvRM</t>
  </si>
  <si>
    <t>A small group of people are seen sitting in a raft with close ups of their feet and paddles are shown.</t>
  </si>
  <si>
    <t>A man speaks to the group and leads into them paddling down a river.</t>
  </si>
  <si>
    <t>The group continues riding down the river showing close ups of them working and ending with a logo across the screen.</t>
  </si>
  <si>
    <t>v_esQnfUcBbPE</t>
  </si>
  <si>
    <t>A black bull is taunted with a dummy hanging on a rope as the bull lunges at the dummy.</t>
  </si>
  <si>
    <t>A man with a green and white umbrella taunts a black bull on a rope while onlookers also taunt the bull from the side on a wall.</t>
  </si>
  <si>
    <t>The black bull lunges at another dummy and the dummy get caught on the bulls horn as the bull runs off after other taunting targets.</t>
  </si>
  <si>
    <t>v_-Q9WotFs1MI</t>
  </si>
  <si>
    <t>A man is holding an ax in the forest.</t>
  </si>
  <si>
    <t>He is talking and adjusting a large stump.</t>
  </si>
  <si>
    <t>He uses the ax to split the wood.</t>
  </si>
  <si>
    <t>v_TPsMocKBQU0</t>
  </si>
  <si>
    <t>We see a lady bouncing on a slack line.</t>
  </si>
  <si>
    <t>The lady sits on her knees.</t>
  </si>
  <si>
    <t>The man in the background picks up snow.</t>
  </si>
  <si>
    <t>The lady falls of the slack line.</t>
  </si>
  <si>
    <t>We see a man bouncing on the slack line.</t>
  </si>
  <si>
    <t>We go back to the first lady bouncing.</t>
  </si>
  <si>
    <t>The lady jumps off the slack line and gets back on.</t>
  </si>
  <si>
    <t>The lady spins while bouncing.</t>
  </si>
  <si>
    <t>The lady jumps off then is back on.</t>
  </si>
  <si>
    <t>v_NE6SEdnVUh4</t>
  </si>
  <si>
    <t>A group of men are sitting outside playing instruments together.</t>
  </si>
  <si>
    <t>One of the men hand another a stick made into a flute and he sits done and begins to start playing on it.</t>
  </si>
  <si>
    <t>The man starts playing saxophone along with him.</t>
  </si>
  <si>
    <t>The other men all join in and they all make music together, having a nice time.</t>
  </si>
  <si>
    <t>v_nFhBmNJ9zN0</t>
  </si>
  <si>
    <t>A person rides a horse in a field kicking a ball with a curved stick.</t>
  </si>
  <si>
    <t>People play polo in the field riding horses.</t>
  </si>
  <si>
    <t>The man with the curved stick runs behind the other players and dispute the ball and scores.</t>
  </si>
  <si>
    <t>After, the person runs behind a player with blue t-shirt to hit the ball and score.</t>
  </si>
  <si>
    <t>v_OsB_uEj1PRM</t>
  </si>
  <si>
    <t>A man is seen laying on the ground holding onto his stomach.</t>
  </si>
  <si>
    <t>He begins moving himself up and down on the ground while holding onto his waist.</t>
  </si>
  <si>
    <t>He continues moving up and down while the camera captures his movements.</t>
  </si>
  <si>
    <t>v_HI_lWd3JhII</t>
  </si>
  <si>
    <t>A close up of a person holding a bag is shown and follows with the person taking out the items.</t>
  </si>
  <si>
    <t>He lays the items out and runs a board across a ski.</t>
  </si>
  <si>
    <t>He finally rubs the ski again and places the cap on the bar.</t>
  </si>
  <si>
    <t>v_BcflqWdlBjI</t>
  </si>
  <si>
    <t>A man chops a large notch into a lox with an ax.</t>
  </si>
  <si>
    <t>The man uses his gloved hand to brush away splintered wood from the log.</t>
  </si>
  <si>
    <t>v_xafFWMX7ZeY</t>
  </si>
  <si>
    <t>An intro leads into a woman performing several different tricks with a dog and showing text for how to perform the trick.</t>
  </si>
  <si>
    <t>The woman continues performing tricks with the dog and end by walking to the camera.</t>
  </si>
  <si>
    <t>v_baktSTMnMv4</t>
  </si>
  <si>
    <t>A bunch of billiards players and shots are shown.</t>
  </si>
  <si>
    <t>The shots are trick shots in the second half of the video.</t>
  </si>
  <si>
    <t>v_XG6ar8yc2pM</t>
  </si>
  <si>
    <t>The words "My Horseback Riding Fails" appears.</t>
  </si>
  <si>
    <t>A girl riding a white horse fails to make her horse do jumps around a track.</t>
  </si>
  <si>
    <t>A song plays over the video.</t>
  </si>
  <si>
    <t>v_gN27GB5txG8</t>
  </si>
  <si>
    <t>A black screen with three rows of Arabic writing is shown.</t>
  </si>
  <si>
    <t>A young girl then comes into the bathroom and begins to wash her hands.</t>
  </si>
  <si>
    <t>As she continues,she begins talking and describing the process and then more writing appears.</t>
  </si>
  <si>
    <t>v_Z2GWtB7MGVs</t>
  </si>
  <si>
    <t>The camera pans back to show a hotel with red lanterns in the air and crows of people standing and looking out over the beach.</t>
  </si>
  <si>
    <t>A man rides a jetski in front of a large wave of dirty water.</t>
  </si>
  <si>
    <t>A sailboat is being swayed by a large wave.</t>
  </si>
  <si>
    <t>A lady is surfing on a large wave as a boat rides next to her filming it.</t>
  </si>
  <si>
    <t>We see the boat in the water swaying again.</t>
  </si>
  <si>
    <t>We see people surfing the large waves of the river.</t>
  </si>
  <si>
    <t>A man does a handstand on a surfboard while surfing.</t>
  </si>
  <si>
    <t>v_DEEgoxzTvdk</t>
  </si>
  <si>
    <t>A group of tall trees is surrounded by water.</t>
  </si>
  <si>
    <t>We see the vast ocean water around us.</t>
  </si>
  <si>
    <t>We then see several people as they relax on a boat.</t>
  </si>
  <si>
    <t>v_ta9cB1q4AzU</t>
  </si>
  <si>
    <t>A man talks and then walks in the street until to arrive to an ice cream shop.</t>
  </si>
  <si>
    <t>A woman shows a chocolate and vanilla ice cream cones, and a girl likes an ice cream.</t>
  </si>
  <si>
    <t>People purchase ice cream, and a raise child to see ice cream.</t>
  </si>
  <si>
    <t>The man lick an ice in the shop, then he pretends to lick an ice cream in a picture.</t>
  </si>
  <si>
    <t>v_DJyfOeZc2lI</t>
  </si>
  <si>
    <t>A woman is throwing darts at a dart board.</t>
  </si>
  <si>
    <t>The dart board is shown on the wall.</t>
  </si>
  <si>
    <t>She continues to throw darts at the dart board.</t>
  </si>
  <si>
    <t>She pulls the darts out of the dart board.</t>
  </si>
  <si>
    <t>v_tTBbFGv9emI</t>
  </si>
  <si>
    <t>A man cuts the center of a log with an ax while standing on the log.</t>
  </si>
  <si>
    <t>The man stands on the log holding the ax with the right hand.</t>
  </si>
  <si>
    <t>Then, the man continues cutting the log.</t>
  </si>
  <si>
    <t>After, two people walk on front the man, and one takes loosed wood from the log.</t>
  </si>
  <si>
    <t>v_Y5hT9Sk5EY4</t>
  </si>
  <si>
    <t>A dog groomer brushes the coat of a dog with a brush that is sitting on a table.</t>
  </si>
  <si>
    <t>The brushes are seen by themselves up close.</t>
  </si>
  <si>
    <t>The groomer holds up the brush to view it close up.</t>
  </si>
  <si>
    <t>The groomer removes hair from the brush and puts it into a pile.</t>
  </si>
  <si>
    <t>v_IIAaKRUze8A</t>
  </si>
  <si>
    <t>A man stands next to a small roof.</t>
  </si>
  <si>
    <t>He holds out a piece of metal.</t>
  </si>
  <si>
    <t>He places metal along side the roof.</t>
  </si>
  <si>
    <t>He attaches the pieces securely.</t>
  </si>
  <si>
    <t>v_S_ONutgLuV8</t>
  </si>
  <si>
    <t>A close up of a person's face is shown as well as driving and laying out a surf board toy.</t>
  </si>
  <si>
    <t>The man controls the machine along the water doing jumps and tricks and speaking to the camera.</t>
  </si>
  <si>
    <t>v_H0puoztHMY8</t>
  </si>
  <si>
    <t>A fire place in a room is shown.</t>
  </si>
  <si>
    <t>Windows on a house is shown.</t>
  </si>
  <si>
    <t>A hardwood flooring in a house is shown.</t>
  </si>
  <si>
    <t>There are paint cans sitting on the floor.</t>
  </si>
  <si>
    <t>v_Svr-YN9ujkA</t>
  </si>
  <si>
    <t>A woman puts her hands down on a table with some wash cloths to get a manicure.</t>
  </si>
  <si>
    <t>The manicurist puts some glass clear nail polish on her nails and then picks up a little bag of red glitter.</t>
  </si>
  <si>
    <t>The manicurist starts to put little fun decorations to make the nail look pretty.</t>
  </si>
  <si>
    <t>Then she gets the gooey stuff and goes over the nails with it to prevent them from coming off.</t>
  </si>
  <si>
    <t>v_1xcFq3SkTKk</t>
  </si>
  <si>
    <t>A large crowd of girls walk into frame holding bars then put the bars down on the ground.</t>
  </si>
  <si>
    <t>The girls then perform a dance routine moving the bars all around and end with them holding a pose and walking off stage.</t>
  </si>
  <si>
    <t>v_6qynXM937V0</t>
  </si>
  <si>
    <t>There's a man wearing a hat and a beige colored shirt standing on the banks of a river playing his harmonica.</t>
  </si>
  <si>
    <t>There is a still river behind him.</t>
  </si>
  <si>
    <t>He continues playing his harmonica to a soothing tune.</t>
  </si>
  <si>
    <t>After he stops playing, he puts his hands down.</t>
  </si>
  <si>
    <t>v_YYUm4o1aDmY</t>
  </si>
  <si>
    <t>A woman untie a pair of shoes until half and raise the tongues.</t>
  </si>
  <si>
    <t>Then, the woman put on a foot and tie the shoe behind the tongue.</t>
  </si>
  <si>
    <t>Then, the person put the other feet and tie the shoe, then she puts the tongues up.</t>
  </si>
  <si>
    <t>The woman talks and shows her shoes and skinny pants.</t>
  </si>
  <si>
    <t>v_zjbxaEVgzyE</t>
  </si>
  <si>
    <t>A woman is seen stepping into a pit with a large man and then begins running around one another.</t>
  </si>
  <si>
    <t>The woman then climbs on top of the man while he spins her around and she gets him in a head lock.</t>
  </si>
  <si>
    <t>The two bow to one another and the woman stands next to the host shaking his hands.</t>
  </si>
  <si>
    <t>v_VCldTcZi0aE</t>
  </si>
  <si>
    <t>There are several people gathered in an outdoor gymnasium.</t>
  </si>
  <si>
    <t>There are people standing and seated in the bleachers watching about twelve band students performing.</t>
  </si>
  <si>
    <t>Most of the players are drumming on the percussion instruments in a rhythmic tune.</t>
  </si>
  <si>
    <t>The percussion players begin going round in a circle as they play the instruments.</t>
  </si>
  <si>
    <t>v_IIKwRyf4Oyg</t>
  </si>
  <si>
    <t>A close up of a guitar is seen with a hand plucking the strings.</t>
  </si>
  <si>
    <t>A man is then seen singing into a microphone while still playing the guitar.</t>
  </si>
  <si>
    <t>The man moves his fingers up and down the guitar while still singing into the microphone.</t>
  </si>
  <si>
    <t>v_MN0YWduOEHk</t>
  </si>
  <si>
    <t>men are standing in big field pulling a thick rope.</t>
  </si>
  <si>
    <t>men are walking on sides of the rope and preparing themselves to pull the rope.</t>
  </si>
  <si>
    <t>men start pullnig the rope in both sides.</t>
  </si>
  <si>
    <t>v_5K6oT9zBjVE</t>
  </si>
  <si>
    <t>A person is showing off a scrubbing brush and cleaner and pouring the clearing into a sink.</t>
  </si>
  <si>
    <t>He scrubs the sink with the brush creating suds in the water while the facet runs.</t>
  </si>
  <si>
    <t>He continues scrubbing the sink with the brush until the sink is clean.</t>
  </si>
  <si>
    <t>He wipes a paper towel around the sink with the water continues to run.</t>
  </si>
  <si>
    <t>v_3VYPdypGB_Q</t>
  </si>
  <si>
    <t>A guy is outside playing a guitar.</t>
  </si>
  <si>
    <t>A boy rides a scooter.</t>
  </si>
  <si>
    <t>A child slides down a slide.</t>
  </si>
  <si>
    <t>Children and an adult stand in line.</t>
  </si>
  <si>
    <t>The boy walks towards the line.</t>
  </si>
  <si>
    <t>v_DbF6oI705UA</t>
  </si>
  <si>
    <t>A lady wearing a UCA jersey is giving a tutorial on the different moves of cheer leading.</t>
  </si>
  <si>
    <t>As she talks, several cheerleaders show the different poses and stretches that are often done by cheerleaders to improve flexibility.</t>
  </si>
  <si>
    <t>The lady continues to explain how certain poses help in improving general flexibility in cheerleaders.</t>
  </si>
  <si>
    <t>v_uoy7NjeESZc</t>
  </si>
  <si>
    <t>A group of bikers stand on the start line.</t>
  </si>
  <si>
    <t>Suddenly all the bikes fall from a stage.</t>
  </si>
  <si>
    <t>The scene of the fall of the bikers is repeated several times.</t>
  </si>
  <si>
    <t>v_rEDbnmvTblI</t>
  </si>
  <si>
    <t>The video is shot in first person view along a snowy slope.</t>
  </si>
  <si>
    <t>The person starts at the top of the slope, riding a tube.</t>
  </si>
  <si>
    <t>They quickly slide down and travel through the snowy path.</t>
  </si>
  <si>
    <t>At the bottom, a large pile of tubes stops the person from sliding further.</t>
  </si>
  <si>
    <t>The camera pans to another group of people who have also finished sliding down the slope.</t>
  </si>
  <si>
    <t>v_fSA-eTz3GkU</t>
  </si>
  <si>
    <t>A man in a black shirt spins around and throws a ball onto the field.</t>
  </si>
  <si>
    <t>A man in the stands claps for him.</t>
  </si>
  <si>
    <t>Another man spins and throws a ball onto the field.</t>
  </si>
  <si>
    <t>v_kmtuO9Xdp-Y</t>
  </si>
  <si>
    <t>A woman plays guitar on stage.</t>
  </si>
  <si>
    <t>The lady sings in the microphone.</t>
  </si>
  <si>
    <t>The lady takes a break from singing.</t>
  </si>
  <si>
    <t>The lady begins to sing again.</t>
  </si>
  <si>
    <t>The lady stops singing then steps back to the microphone.</t>
  </si>
  <si>
    <t>v_FbPUX8cWmeU</t>
  </si>
  <si>
    <t>A young lady dressed in a pink leotard and tuto begins prancing around a large stage.</t>
  </si>
  <si>
    <t>As she continues her routine,she continues doing ballet leaps and swinging her arms and twisting like a ballerina.</t>
  </si>
  <si>
    <t>Behind,her a castle appears cast on the wall as the girl smiles and looks out to the crowd.</t>
  </si>
  <si>
    <t>v_5kBKAfEX7XA</t>
  </si>
  <si>
    <t>An athlete is seen walking up to a set of uneven bars and begins performing a gymnastics routine on the bars.</t>
  </si>
  <si>
    <t>He continues moving around on the bars and ends by jumping down on the side with his arms out.</t>
  </si>
  <si>
    <t>v_Jz9ZxenBLa8</t>
  </si>
  <si>
    <t>There are a lot of people riding in small bumper cars that can fit either 1 or 2 people.</t>
  </si>
  <si>
    <t>A woman in a blue bumper car bumps into the middle metal part and she seems stuck and can't move but suddenly she begins to move again.</t>
  </si>
  <si>
    <t>Everyone keeps riding their bumper cars after the woman gets herself going again and eventually they all come to a stop.</t>
  </si>
  <si>
    <t>v_eufCY8KHuMA</t>
  </si>
  <si>
    <t>A man is riding a black horse in slow motion.</t>
  </si>
  <si>
    <t>People are shown trying to jump fences in several scenes, falling over or breaking through them at break neck speeds.</t>
  </si>
  <si>
    <t>As the rider walks away, the words Do you think it's easy? Appear on the screen.</t>
  </si>
  <si>
    <t>v_K8ivAsscK98</t>
  </si>
  <si>
    <t>A camera pans between a person and the cameraman and leads into a man sitting in front of a drum set.</t>
  </si>
  <si>
    <t>The man then plays the drums continuously and another man walks in and sings and dances.</t>
  </si>
  <si>
    <t>Another man is shown close up and pans back to the drummer then ceiling.</t>
  </si>
  <si>
    <t>v_t-xIv68Ac4c</t>
  </si>
  <si>
    <t>Several people are in a dance room and an instructor comes as they begin to dance.</t>
  </si>
  <si>
    <t>The six people continue to dance from side to side making arrows like a Jamaican dance.</t>
  </si>
  <si>
    <t>As it continues,steps are repeated and throws fist punts in the air.</t>
  </si>
  <si>
    <t>v_KyMDXMXZLyM</t>
  </si>
  <si>
    <t>A person is talking while looking at their icy car.</t>
  </si>
  <si>
    <t>He uses a tool to scrape the ice off the windshield.</t>
  </si>
  <si>
    <t>He continues scraping until he can see to drive.</t>
  </si>
  <si>
    <t>v_Nf-7lKa387k</t>
  </si>
  <si>
    <t>There is smoke and lights and words on the screen.</t>
  </si>
  <si>
    <t>The smoke is rolling around a hat.</t>
  </si>
  <si>
    <t>A person is blowing smoke out of their nose and smoke rings.</t>
  </si>
  <si>
    <t>The camera reverses and he continues to blow smoke.</t>
  </si>
  <si>
    <t>The words everything is purple.</t>
  </si>
  <si>
    <t>The smoke continues to blow and the words Edits by Jarron Jones comes up.</t>
  </si>
  <si>
    <t>The man keeps blowing smoke into the air.</t>
  </si>
  <si>
    <t>v_rBgMeunuviE</t>
  </si>
  <si>
    <t>There are 5 different people sitting in chairs playing accordions that has pianos attached to them.</t>
  </si>
  <si>
    <t>There are 2 women, and 3 men and all of them, look very serious about what they're doing.</t>
  </si>
  <si>
    <t>They all press different keys to make blending sounds and not all of them use the accordion much.</t>
  </si>
  <si>
    <t>v_JOYduGqZSRc</t>
  </si>
  <si>
    <t>Men explains the game beer pong, while people compete in the tournament.</t>
  </si>
  <si>
    <t>Two person wears funny clothes and white wigs.</t>
  </si>
  <si>
    <t>Several people compete beer pong in a table full of cups with beer, then one person wins and people congratulates the winner.</t>
  </si>
  <si>
    <t>Then, people plays beer pong unsuccessful, and then a man throw the ball in the far cup, then people hug the winner who receives a price.</t>
  </si>
  <si>
    <t>A person takes pictures to the winner.</t>
  </si>
  <si>
    <t>v_KIIcgQyr0-Y</t>
  </si>
  <si>
    <t>We see a guitar illustration on the opening scene.</t>
  </si>
  <si>
    <t>We see a man hitting the guitar like drum.</t>
  </si>
  <si>
    <t>The man plays a song on the guitar and we briefly see the song and artist name on the screen.</t>
  </si>
  <si>
    <t>We focus on the mans left hand on the guitar neck.</t>
  </si>
  <si>
    <t>The man finishes and stops playing.</t>
  </si>
  <si>
    <t>We see the illustration again.</t>
  </si>
  <si>
    <t>v_APCbvR0SBl0</t>
  </si>
  <si>
    <t>A person runs and throws a javelin.</t>
  </si>
  <si>
    <t>There are people watching them behind a fence.</t>
  </si>
  <si>
    <t>A green umbrella sits next to the track.</t>
  </si>
  <si>
    <t>v_0pxONuRdIAY</t>
  </si>
  <si>
    <t>Two people give a news report about the importance of wearing sunscreen and talk with each other.</t>
  </si>
  <si>
    <t>People are shown outside putting sunscreen on.</t>
  </si>
  <si>
    <t>The newscasters then talk at the end with each other.</t>
  </si>
  <si>
    <t>v_KoMKIJ6QbpY</t>
  </si>
  <si>
    <t>A man in a white shirt is putting a tile on the floor.</t>
  </si>
  <si>
    <t>The man points beside the tile then stands.</t>
  </si>
  <si>
    <t>The camera zooms in on the tile.</t>
  </si>
  <si>
    <t>v_4ivePL3RW0Q</t>
  </si>
  <si>
    <t>The video begins with a close up of two young boys.</t>
  </si>
  <si>
    <t>A title slide is then shown, and then shows several ingredients used in a recipe for cookies.</t>
  </si>
  <si>
    <t>The video then shows the two boys mixing ingredients together.</t>
  </si>
  <si>
    <t>They roll the dough into balls and place them into an oven.</t>
  </si>
  <si>
    <t>The boys take the cookies out of the oven and begin eating them.</t>
  </si>
  <si>
    <t>v_I6riV09yqm8</t>
  </si>
  <si>
    <t>An intro leads into a woman preparing to jump and flips around and around on bars.</t>
  </si>
  <si>
    <t>She continues her gymnastic routine flipping through the bars with a bar spotting her and she finishes by putting her arms up.</t>
  </si>
  <si>
    <t>v_dS9TsX_zyPg</t>
  </si>
  <si>
    <t>A man wearing an apron is seen rubbing down several dishes while throwing them in a sink.</t>
  </si>
  <si>
    <t>The man continues rubbing down dishes while immediately throwing them into a sink of water.</t>
  </si>
  <si>
    <t>v_SIeV0DPSpHQ</t>
  </si>
  <si>
    <t>We see an opening sequence with flashes.</t>
  </si>
  <si>
    <t>We see two men in a yard pushing an item in the grass.</t>
  </si>
  <si>
    <t>We see a dirt patch in the grass.</t>
  </si>
  <si>
    <t>We see the monitor on the device.</t>
  </si>
  <si>
    <t>We see a tree in a round of dirt.</t>
  </si>
  <si>
    <t>We see a root in the yard.</t>
  </si>
  <si>
    <t>We see the ending credits and the screen fades.</t>
  </si>
  <si>
    <t>v_wjD2BdbSb1o</t>
  </si>
  <si>
    <t>A girl in a black shirt and pink shorts is painting a wooden fence.</t>
  </si>
  <si>
    <t>v_s84BStnbfK8</t>
  </si>
  <si>
    <t>Two people are standing in a room.</t>
  </si>
  <si>
    <t>They begin to play a game of wall ball.</t>
  </si>
  <si>
    <t>They are swinging their rackets hitting the ball.</t>
  </si>
  <si>
    <t>v_xkKjgwIPEuM</t>
  </si>
  <si>
    <t>People are running around on field playing lacrosse.</t>
  </si>
  <si>
    <t>The crowd is watching them play.</t>
  </si>
  <si>
    <t>A black and white logo is shown on the screen.</t>
  </si>
  <si>
    <t>v_VCdZ9gfzRWo</t>
  </si>
  <si>
    <t>A large Christmas tree is sitting in a room.</t>
  </si>
  <si>
    <t>A man and woman are putting lights on the Christmas tree.</t>
  </si>
  <si>
    <t>A dog is walking around the Christmas tree.</t>
  </si>
  <si>
    <t>v_K4cNyYu2LLg</t>
  </si>
  <si>
    <t>A set of toddler boys are standing up against the wall talking and playing with toothbrushes.</t>
  </si>
  <si>
    <t>They both begin to brush their teeth ferociously without any toothpaste or water.</t>
  </si>
  <si>
    <t>v_B5s4uYNIM24</t>
  </si>
  <si>
    <t>An intro comes onto the screen showing a high rise building.</t>
  </si>
  <si>
    <t>Then, a man is shown gearing up and putting on several contraptions that he can connect to a belt.</t>
  </si>
  <si>
    <t>He is then shown washing the windows of the very tall building.</t>
  </si>
  <si>
    <t>He uses a scrapper the scrape of a sticker from one of the windows.</t>
  </si>
  <si>
    <t>He is shows dipping a washer in a bucket and washing the windows of the ground floor.</t>
  </si>
  <si>
    <t>Several of the window washing supplies are shown again before the video ends.</t>
  </si>
  <si>
    <t>v_uE6_kwnfDCQ</t>
  </si>
  <si>
    <t>A woman shows tango steps moving and turning around while talking.</t>
  </si>
  <si>
    <t>Then, the man moves around showing tango steps.</t>
  </si>
  <si>
    <t>After, the woman and the man dance tango together while the man talks.</t>
  </si>
  <si>
    <t>v_ThRbaI4pGIs</t>
  </si>
  <si>
    <t>A picture of an island coast is shown with calm blue waves washing up against the rocks.</t>
  </si>
  <si>
    <t>A male suddenly appears and begins running towards the water with a surf board.</t>
  </si>
  <si>
    <t>The man begins surfing on the waves as several people sit on the beach watching him.</t>
  </si>
  <si>
    <t>After awhile,the male leaves the water and sits on the hill with the surfboard and then walks away.</t>
  </si>
  <si>
    <t>v_AmW-O5MmJHk</t>
  </si>
  <si>
    <t>A woman hands a young boy a stick with a little girl grabbing for her attention.</t>
  </si>
  <si>
    <t>The pinata is lifted and the boy begins swinging at the object.</t>
  </si>
  <si>
    <t>The camera pans around people watching while he hits the pinata and a little boy is seen clapping behind him.</t>
  </si>
  <si>
    <t>v__7l3OxQodF0</t>
  </si>
  <si>
    <t>A man in a purple shirt is talking to the camera.</t>
  </si>
  <si>
    <t>He starts climbing wood planks up a wall.</t>
  </si>
  <si>
    <t>He gets down off the wall and continues talking.</t>
  </si>
  <si>
    <t>v_B3ZL18f1x4Y</t>
  </si>
  <si>
    <t>Various pictures of food are shown followed by a person cutting up vegetables and mixing various ingredients into a pot.</t>
  </si>
  <si>
    <t>He then cuts up a piece of bread, scoops out the insides, and fries up some meat.</t>
  </si>
  <si>
    <t>Finally he pours all the ingredients into the break bowl, wraps it up in aluminum foil, and shows more pictures of the sandwich.</t>
  </si>
  <si>
    <t>v_0RUMAGGab1k</t>
  </si>
  <si>
    <t>a man is standing in front of a camera.</t>
  </si>
  <si>
    <t>He starts playing a harmonica for the camera.</t>
  </si>
  <si>
    <t>He rocks back and forth to the music as he goes.</t>
  </si>
  <si>
    <t>v_04LdesS7Pxk</t>
  </si>
  <si>
    <t>A man is closing his eyes while getting his beard trimmed and combed.</t>
  </si>
  <si>
    <t>The man now has a nearly shaven beard and is getting his neck shaved.</t>
  </si>
  <si>
    <t>The man has shaving cream on his neck and side and is getting his beard closely shaven with a razor in a downward motion.</t>
  </si>
  <si>
    <t>His face is getting toweled off after being shaven.</t>
  </si>
  <si>
    <t>A man rubs something on his hands and pats it on the other mans face.</t>
  </si>
  <si>
    <t>His face gets patted with the towel at the end.</t>
  </si>
  <si>
    <t>v_qyssgQ2xq2M</t>
  </si>
  <si>
    <t>Inside of the house on the couch two men are sitting, one of them is talking casually awhile the other is holding his arm out on a pillow.</t>
  </si>
  <si>
    <t>The man is painting his friends finger nails, he seems to have done someone else's nails also and made little red heart.</t>
  </si>
  <si>
    <t>The man is talking and pretty excited her able to do this, he keeps putting the top of the polish back to get more paint on it.</t>
  </si>
  <si>
    <t>He jokingly rubs the other mans face, and continues to take his time painting his nails.</t>
  </si>
  <si>
    <t>v_jQU4NYJzxco</t>
  </si>
  <si>
    <t>There are two children standing at a double stainless steel sink in a residential home.</t>
  </si>
  <si>
    <t>The taller child moves dishes from the right side of the sink to the left side of the sink one by one while the smaller child holds onto an orange bottle brush and doesn't move any dishes.</t>
  </si>
  <si>
    <t>Both of the children turn to the camera behind them and the older gives a big smile while the little one gives a very small smile.</t>
  </si>
  <si>
    <t>v_8TDYCXqSHCw</t>
  </si>
  <si>
    <t>A gymnast lift a weight until his shoulders, then lift it above his head.</t>
  </si>
  <si>
    <t>The man left the weight fall on the floor.</t>
  </si>
  <si>
    <t>v_bDD56LnztiQ</t>
  </si>
  <si>
    <t>A man is seen speaking to the camera behind a desk and leads into shows of people riding on skateboards.</t>
  </si>
  <si>
    <t>More shots of him talking are shown as well as people do tricks on the skateboards.</t>
  </si>
  <si>
    <t>v_T9JSNxOyUQA</t>
  </si>
  <si>
    <t>A large group of people is standing and walking around several stacks of inner-tubes and a bus.</t>
  </si>
  <si>
    <t>Two young children are sitting in one of the bus seats.</t>
  </si>
  <si>
    <t>A group of adults is riding in the bus talking.</t>
  </si>
  <si>
    <t>Several kids are in their inner-tubes in the water among other people floating on inner-tubes in the water.</t>
  </si>
  <si>
    <t>Several people are shown in canoes with people in inner-tubes in the background.</t>
  </si>
  <si>
    <t>A young girl sinks down in the middle of her inner-tube and jumps back up with her head soaked.</t>
  </si>
  <si>
    <t>Someone shows a first person view floating down the river.</t>
  </si>
  <si>
    <t>Various other people are shown in inner-tubes and canoes in the water.</t>
  </si>
  <si>
    <t>A few people are seen buying food from two women at a a concession stand.</t>
  </si>
  <si>
    <t>A man holds a young boy in a life vest who looks like he is sleeping.</t>
  </si>
  <si>
    <t>v_l5uaH-Qydxk</t>
  </si>
  <si>
    <t>A young girl is climbing across the monkey bars outside a building.</t>
  </si>
  <si>
    <t>She is swinging from each rung, moving her body forward one at a time.</t>
  </si>
  <si>
    <t>When she reaches the other end, she turns and starts making her way back to the beginning.</t>
  </si>
  <si>
    <t>v_iJPPWotXvV0</t>
  </si>
  <si>
    <t>A man in a gym walks over to a barbell.</t>
  </si>
  <si>
    <t>The man lifts the barbell to his chest, then over his head.</t>
  </si>
  <si>
    <t>The man drops the weight.</t>
  </si>
  <si>
    <t>The man hugs the men behind him.</t>
  </si>
  <si>
    <t>A man in red runs and jumps on the weight lifting man.</t>
  </si>
  <si>
    <t>The man in red walks away laughing.</t>
  </si>
  <si>
    <t>v_Bi3vlu17qp8</t>
  </si>
  <si>
    <t>A person in a black shirt gets hit by a ball.</t>
  </si>
  <si>
    <t>People standing on the beach are tossing around an orange ball.</t>
  </si>
  <si>
    <t>There are people swimming in the water behind them.</t>
  </si>
  <si>
    <t>v_ZSoPIyVJWWk</t>
  </si>
  <si>
    <t>A clear package of soft flexible hair curlers is shown on a black table as a hand picks up an unwrapped purple curler and fidgets with it.</t>
  </si>
  <si>
    <t>The hand turns the bag around so that the contents are shown through the mouth of the bag before handling both the loose purple and pink curlers.</t>
  </si>
  <si>
    <t>The hand continues to go back and forth between handling the two loose curlers and the full back of curlers before the video ends.</t>
  </si>
  <si>
    <t>v_SIHG_BRgn2E</t>
  </si>
  <si>
    <t>A black and white video intro appears with special effects of asian lettering showing up while different pictures of people are displayed.</t>
  </si>
  <si>
    <t>An Asian man is now smiling and talking to the camera as he sits in front of a microphone in a studio, and he then sings as he plays on a black piano as he reads music from music sheets on the piano.</t>
  </si>
  <si>
    <t>When the man is done singing and playing he turns to the camera and gives a big smile.</t>
  </si>
  <si>
    <t>A black screen appears and white lettering appears at the bottom right.</t>
  </si>
  <si>
    <t>v_tHhdS8t9ytI</t>
  </si>
  <si>
    <t>docto is talking in a consulting room and mixing liquids into a test tube preparing coffee and talking to the camera about benefis of the coffee.</t>
  </si>
  <si>
    <t>coffe is being served in a cup and is shown the benefits of the coffee in the body.</t>
  </si>
  <si>
    <t>v_iAwNYgA6mkc</t>
  </si>
  <si>
    <t>A man kneels in his fencing gear.</t>
  </si>
  <si>
    <t>A man walks up to him with his back turned as they talk.</t>
  </si>
  <si>
    <t>The man stands, and engages in fencing with an opponent, both attached to cables behind them.</t>
  </si>
  <si>
    <t>v__eanWnL3FtM</t>
  </si>
  <si>
    <t>A man wearing a blue shirt and a man wearing a dart shirt enter a stage surrounded by a crowd.</t>
  </si>
  <si>
    <t>The two men competes paper, scissors and rock on front a judge.</t>
  </si>
  <si>
    <t>The two men continues competing while the judge gives the start.</t>
  </si>
  <si>
    <t>Then, the two men continue competing, after the man wearing dark shirt wins the competition and people cheers.</t>
  </si>
  <si>
    <t>v_JI5_cMwgnxI</t>
  </si>
  <si>
    <t>A guy wearing a red plaid shirt is showing a tutorial on how to trim and prune trees in a garden.</t>
  </si>
  <si>
    <t>He is using a pair of garden shears to chop off the excessive leaves grown on the trees.</t>
  </si>
  <si>
    <t>He then demonstrates how to fertile the trees and shrubs by using some fertilizer balls.</t>
  </si>
  <si>
    <t>He then used a liquid fertilizer on the trees and plants to fortify them.</t>
  </si>
  <si>
    <t>He finally waters the trees and plants with a hose to complete the process.</t>
  </si>
  <si>
    <t>v_4XGQR2VmWpw</t>
  </si>
  <si>
    <t>We see a red light then the title.</t>
  </si>
  <si>
    <t>A man's biker gear is shown.</t>
  </si>
  <si>
    <t>We are shown the terrain.</t>
  </si>
  <si>
    <t>The riders take off on their bikes.</t>
  </si>
  <si>
    <t>We see them ride over all types of terrain.</t>
  </si>
  <si>
    <t>We see an Aerial shot of the bikers.</t>
  </si>
  <si>
    <t>We see a lake, and a dog followed by a bike on a street.</t>
  </si>
  <si>
    <t>A man uses a knife to open a coconut.</t>
  </si>
  <si>
    <t>We go back to the dirt bikers performing stunts.</t>
  </si>
  <si>
    <t>We see two bikers flying through the sky.</t>
  </si>
  <si>
    <t>We then see three bikers sitting still on their bikes.</t>
  </si>
  <si>
    <t>We see the end title card.</t>
  </si>
  <si>
    <t>v_vWGkTOLx57s</t>
  </si>
  <si>
    <t>A young gymnastic boy gets on a bar and starts doing flips and other things.</t>
  </si>
  <si>
    <t>It seems like he is being judged for a tournament.</t>
  </si>
  <si>
    <t>He is on the bars doing excellent, looking awesome and having fun while doing it.</t>
  </si>
  <si>
    <t>Then, he lands and poses and the audience is shown.</t>
  </si>
  <si>
    <t>v_XDFJFhaG_p0</t>
  </si>
  <si>
    <t>A man stands holding a violin and bow discussing its features.</t>
  </si>
  <si>
    <t>The man sets the instrument under his chin and tightens the bow.</t>
  </si>
  <si>
    <t>The man undoes the bow strings and raps them around the violin.</t>
  </si>
  <si>
    <t>The man plays a song on the violin.</t>
  </si>
  <si>
    <t>v_crSMHcUkPcA</t>
  </si>
  <si>
    <t>A green splash appears against a white back drown.</t>
  </si>
  <si>
    <t>Then a series of words appear across the screen and showing various pictures describing the terms.</t>
  </si>
  <si>
    <t>A man is then shown standing on a ladder laying wall paper.</t>
  </si>
  <si>
    <t>After,the man cuts the wall paper and gains assistance while putting the paper on the roof.</t>
  </si>
  <si>
    <t>The two finish and give each a high five.</t>
  </si>
  <si>
    <t>Finally,several rooms are shown displaying the work they've done.</t>
  </si>
  <si>
    <t>v_Hj_YKQiU-8Y</t>
  </si>
  <si>
    <t>A young girl is seen speaking to the camera while playing with her hair.</t>
  </si>
  <si>
    <t>She points to her shirt and leads into her brushing her hair while speaking to the camera.</t>
  </si>
  <si>
    <t>v_iVVatZsgnGo</t>
  </si>
  <si>
    <t>A person is seen swimming under water using scuba gear and pulling a rope by her side.</t>
  </si>
  <si>
    <t>She then catches a fish and is seen again in a bikini swimming around a whale.</t>
  </si>
  <si>
    <t>More shots of a dolphin are shown jumping through the water and ends with text across the screen.</t>
  </si>
  <si>
    <t>v_5OGNGIF22SY</t>
  </si>
  <si>
    <t>A buff young man is sitting on a machine with a sliding seat demonstrating weight lifting techniques.</t>
  </si>
  <si>
    <t>He then slides back,puts his feet in the ropes and starts to tie his shoes.</t>
  </si>
  <si>
    <t>Once complete,the man grabs the rope and moves back and forth while pulling out the rope to exercise.</t>
  </si>
  <si>
    <t>Now he is done,he drops the ropes and starts to talk again.</t>
  </si>
  <si>
    <t>v_dgbGv3G4k5M</t>
  </si>
  <si>
    <t>A family is rearranging furniture in a living room.</t>
  </si>
  <si>
    <t>They set up a Christmas tree in the corner of the room.</t>
  </si>
  <si>
    <t>They put lights on the tree.</t>
  </si>
  <si>
    <t>They put bulbs onto the tree.</t>
  </si>
  <si>
    <t>A little girl does a spin in front of the tree.</t>
  </si>
  <si>
    <t>v__icW_MAe7Po</t>
  </si>
  <si>
    <t>A man is inside a gym with a ball.</t>
  </si>
  <si>
    <t>He joins a team, playing a game of soccer.</t>
  </si>
  <si>
    <t>They kick the ball back and forth on the court.</t>
  </si>
  <si>
    <t>v_huKjjvCG0EE</t>
  </si>
  <si>
    <t>men are standing in a geen grssy field playing croquet.</t>
  </si>
  <si>
    <t>people are sitting on the field around the croquet game.</t>
  </si>
  <si>
    <t>man wearing white uniform is talking to the camera in the field.</t>
  </si>
  <si>
    <t>a man and a woman are talking to the camera.</t>
  </si>
  <si>
    <t>v_aiTAx3oo97U</t>
  </si>
  <si>
    <t>We see a person standing on a stair stepper.</t>
  </si>
  <si>
    <t>The person moves a cord out of the way.</t>
  </si>
  <si>
    <t>The man begins to walk on the stepper.</t>
  </si>
  <si>
    <t>The person lifts their right hand.</t>
  </si>
  <si>
    <t>v_tt5-QtDwm3Y</t>
  </si>
  <si>
    <t>A man is seen speaking to the camera and leads into him helping a man shoot several baskets.</t>
  </si>
  <si>
    <t>The coach is then seen instructing a large group of children as they shoot baskets over and over.</t>
  </si>
  <si>
    <t>v_GTOP7XXi_vI</t>
  </si>
  <si>
    <t>Smoke fills an empty dark room.</t>
  </si>
  <si>
    <t>Words appear on the screen, followed by the appearance of men who are kickboxing.</t>
  </si>
  <si>
    <t>A group plays instruments behind them while they fight.</t>
  </si>
  <si>
    <t>The two men end the fight with a hug.</t>
  </si>
  <si>
    <t>v_ldjIg23Rofw</t>
  </si>
  <si>
    <t>two man are in a room playing row row row your boat.</t>
  </si>
  <si>
    <t>two men are playing taking a selfie in a living room.</t>
  </si>
  <si>
    <t>man is standing in living room playing beer pong and taking out his shirt.</t>
  </si>
  <si>
    <t>man is standing in the living room holding a tennis racket and hiting a ball.</t>
  </si>
  <si>
    <t>two men are standing in the living oom playing beer pong and doing other shot games with a bottle of whiskey.</t>
  </si>
  <si>
    <t>v_zyh1cftKtQM</t>
  </si>
  <si>
    <t>A woman is seen speaking to the camera while holding up various objects and begins brushing her hair.</t>
  </si>
  <si>
    <t>She ties her hair up while still speaking and holding up several brushes at the sign time.</t>
  </si>
  <si>
    <t>v_WdC6dVbfTvs</t>
  </si>
  <si>
    <t>A body piercing artist is seen piercing the belly button of a female.</t>
  </si>
  <si>
    <t>Initially he uses a piercing tool to make the incision on the belly button.</t>
  </si>
  <si>
    <t>Afterwards he inserts the piercing and makes sure its secure.</t>
  </si>
  <si>
    <t>Than he uses a wipe and cleans the area.</t>
  </si>
  <si>
    <t>Afterwards the girl stands up talks to he friend and looks in the mirror.</t>
  </si>
  <si>
    <t>In the end the camera man turns around and speaks to the camera with authority .</t>
  </si>
  <si>
    <t>v_yrCBN0tYjPE</t>
  </si>
  <si>
    <t>A man stands in a large room.</t>
  </si>
  <si>
    <t>He then jumps up on beams.</t>
  </si>
  <si>
    <t>He then balances himself on the beam.</t>
  </si>
  <si>
    <t>He does several flips and tricks.</t>
  </si>
  <si>
    <t>v_5fgJ5vWTcSQ</t>
  </si>
  <si>
    <t>A man is riding a skateboard down a suburban road.</t>
  </si>
  <si>
    <t>Two more are shown as the camera man is spotting them from behind.</t>
  </si>
  <si>
    <t>He pushes them, keeping them at a fast pace.</t>
  </si>
  <si>
    <t>v_a_v_1fL2VyM</t>
  </si>
  <si>
    <t>An athlete jumps with a pole to pass the horizontal bar, then he falls on the foamy mat.</t>
  </si>
  <si>
    <t>Then, there is a flash back of the vault pole jump.</t>
  </si>
  <si>
    <t>v_Z2wZr0Beq9c</t>
  </si>
  <si>
    <t>A woman is seen sitting behind a poker table and dealer cards while others do the same in the back.</t>
  </si>
  <si>
    <t>The woman continues dealing cards on the table while looking and smiling to the camera.</t>
  </si>
  <si>
    <t>v_cu8TBL7msJg</t>
  </si>
  <si>
    <t>Several clips are shown of people holding tennis rackets and hitting a ball into the distance.</t>
  </si>
  <si>
    <t>Text is shown across the screen and more shots are shown of people demonstrating.</t>
  </si>
  <si>
    <t>The people continue hitting the balls around the court while the camera captures their movements.</t>
  </si>
  <si>
    <t>v_I5RVQUYA1w4</t>
  </si>
  <si>
    <t>The two girls hug each other and the girl who's wearing the blue dress slightly pushes past the other girl.</t>
  </si>
  <si>
    <t>Then she runs back to her and hugs her and runs away from her again.</t>
  </si>
  <si>
    <t>v_6Eh7B3GnQWI</t>
  </si>
  <si>
    <t>We see a man talking to the camera while holding an accordion.</t>
  </si>
  <si>
    <t>The man then plays the accordion and we see it up close.</t>
  </si>
  <si>
    <t>The man holds a note and his hands shake.</t>
  </si>
  <si>
    <t>We zoom out and the man stops playing.</t>
  </si>
  <si>
    <t>v_mvl6wff267o</t>
  </si>
  <si>
    <t>A large group of people are seen running down a track and transitions into several more people running.</t>
  </si>
  <si>
    <t>Two girls check their wrists while one speaks to the camera and several shots of a wristband are shown.</t>
  </si>
  <si>
    <t>More people are interviewed while wearing the wrist bands and show how they work while many run around.</t>
  </si>
  <si>
    <t>v_vkk-sOo8Hqw</t>
  </si>
  <si>
    <t>We see men on a boat, a saw appears then a man in a hammock.</t>
  </si>
  <si>
    <t>the man gets up and goes to his mower and creates something on a wheel well and ties it to the mower and the shed door.</t>
  </si>
  <si>
    <t>The man allows the mower to spin around the object and cut the grass.</t>
  </si>
  <si>
    <t>It then pulls the object into the shed on the line and the door pulls closed.</t>
  </si>
  <si>
    <t>v_A6CBFa22oJc</t>
  </si>
  <si>
    <t>An add displays a web site about a business called happydogz.</t>
  </si>
  <si>
    <t>Then, a man appears pulled by a dog, then adds display information about a retractable dog leash.</t>
  </si>
  <si>
    <t>After, a couple pulls two dogs from leashes.</t>
  </si>
  <si>
    <t>After, adds display information about the leash.</t>
  </si>
  <si>
    <t>v_8LI3rnG6kMA</t>
  </si>
  <si>
    <t>A carved pumpking with a light in it glows on a counter.</t>
  </si>
  <si>
    <t>Supplies for carving are then shown.</t>
  </si>
  <si>
    <t>A woman cuts the top off the pumpkin, emptying the seeds.</t>
  </si>
  <si>
    <t>She then carves the traced lines to cut out the design.</t>
  </si>
  <si>
    <t>When she is done, a tea light is placed inside the pumpkin and lit.</t>
  </si>
  <si>
    <t>v_JK8pYBpatAY</t>
  </si>
  <si>
    <t>She has a metal weight bar on her shoulders.</t>
  </si>
  <si>
    <t>She moves up and down lifting the weight.</t>
  </si>
  <si>
    <t>v_2iBb6ArHweI</t>
  </si>
  <si>
    <t>A woman is seen speaking to the camera while holding a bottle of sunscreen.</t>
  </si>
  <si>
    <t>She then opens the bottle and uses a holder on the side.</t>
  </si>
  <si>
    <t>She shows off the holder while still speaking to the camera.</t>
  </si>
  <si>
    <t>v_TpURw9nc8ks</t>
  </si>
  <si>
    <t>Several people are seen standing around one another holding sticks and looking around.</t>
  </si>
  <si>
    <t>The people hit a ball across a lawn one at a time and are seen laughing and smiling at one another.</t>
  </si>
  <si>
    <t>v_IHPb-JPIhg8</t>
  </si>
  <si>
    <t>A man is swinging on a balance beam.</t>
  </si>
  <si>
    <t>He jumps off and puts his hands in the air.</t>
  </si>
  <si>
    <t>He gets back on the balance beam.</t>
  </si>
  <si>
    <t>v_CiCNA-Nr1QQ</t>
  </si>
  <si>
    <t>A man is at a bowling alley dressed in bowling clothes, shoes and wearing gloves as he takes turns rolling the ball down the lane and hitting pins.</t>
  </si>
  <si>
    <t>The man grabs the ball from the return and holds the ball and stands there for a while staring down the lane, and when he finally rolls it he makes a strike.</t>
  </si>
  <si>
    <t>When the strike is over, it then replays in slow motion.</t>
  </si>
  <si>
    <t>v_QtiqvB4uw2Y</t>
  </si>
  <si>
    <t>A view of a top of a roof with pine straws shown strewn all over it appears and a banner at the bottom say's "If you got pine straw on your roof, call us 678-887-9479.</t>
  </si>
  <si>
    <t>A man is now on the top of the roof and he has a blower in his right hand, metal stick in his left hand for balance, and he's walking along the roof blowing off all of the pine straws.</t>
  </si>
  <si>
    <t>The last view is of the cleaned off roof and the website is shown at the bottom of the screen.</t>
  </si>
  <si>
    <t>v_Y76wuHBZgdU</t>
  </si>
  <si>
    <t>A man is is laying carpet in a room.</t>
  </si>
  <si>
    <t>A woman is looking at carpet samples in a shop.</t>
  </si>
  <si>
    <t>Men are on their knees installing hardwood flooring.</t>
  </si>
  <si>
    <t>v_VdeYnCIbRJ4</t>
  </si>
  <si>
    <t>An athletic man is seen standing at the beginning of a long track with several people standing on the sidelines.</t>
  </si>
  <si>
    <t>He begins running down the track and jumping with a few others walk around him in the distance.</t>
  </si>
  <si>
    <t>v__UPD2IvdQ_M</t>
  </si>
  <si>
    <t>An audience is gathered in a gymnasium to watch the gymnast on the pommel horse.</t>
  </si>
  <si>
    <t>He concentrates, and then mounts to begin his routine.</t>
  </si>
  <si>
    <t>He performs first one, and then a second impressive handstand while gripping one handle with both hands.</t>
  </si>
  <si>
    <t>He completes his routine, and then finishes with a flawless dismount to cheering.</t>
  </si>
  <si>
    <t>v_nn-ASL9KZUo</t>
  </si>
  <si>
    <t>A man is seen throwing a dart up over the camera while looking into the distance.</t>
  </si>
  <si>
    <t>Several shots are shown of him throwing as well as text going across the screen.</t>
  </si>
  <si>
    <t>The man continues throwing over and over again.</t>
  </si>
  <si>
    <t>v_0YPfoB84Fes</t>
  </si>
  <si>
    <t>A woman shows how to cover a cake with frosting using a spatula.</t>
  </si>
  <si>
    <t>Then, she explains how to cleans the border of the cake using a cloth.</t>
  </si>
  <si>
    <t>v_hG2kfPRWjO0</t>
  </si>
  <si>
    <t>A close up of a phone is shown as well as a person waking up, brushing their teeth, and walking out the door.</t>
  </si>
  <si>
    <t>Close ups are shown of people riding up a ski lift as well as down a mountain.</t>
  </si>
  <si>
    <t>The people to zoom in on the camera looking closely and waving to one another.</t>
  </si>
  <si>
    <t>v_xCVZBvwhoWE</t>
  </si>
  <si>
    <t>A person is seen standing in a close room holding a tennis racket.</t>
  </si>
  <si>
    <t>The person then begins hitting the ball with the racket and walking around.</t>
  </si>
  <si>
    <t>Another person is seen walking in frame as well as out.</t>
  </si>
  <si>
    <t>v_AF6tasHTW-8</t>
  </si>
  <si>
    <t>Two kids are jump roping outside.</t>
  </si>
  <si>
    <t>Two adults are kneeling down on the ground holding a jump rope for a kid.</t>
  </si>
  <si>
    <t>The woman is talking to the camera.</t>
  </si>
  <si>
    <t>A boy spills a glass on his face while jump roping.</t>
  </si>
  <si>
    <t>v_f4mDKdD0z3U</t>
  </si>
  <si>
    <t>woman is wearing harness and get in a helicopter above and are flying above a volcano.</t>
  </si>
  <si>
    <t>a man and a woman are hanging from the helicopter's door holds to a rope and make a jump.</t>
  </si>
  <si>
    <t>the man and the woman are in the land talking to a couple.</t>
  </si>
  <si>
    <t>v_H6g8SsxL8RU</t>
  </si>
  <si>
    <t>man in in front of a car with the hood open.</t>
  </si>
  <si>
    <t>man walks through the woods and ty to light a woodfire.</t>
  </si>
  <si>
    <t>v_pVkwQOp1xZo</t>
  </si>
  <si>
    <t>Someone is stroking blue paint up and down on a fence.</t>
  </si>
  <si>
    <t>They put the paint brush in the paint again to gather more paint.</t>
  </si>
  <si>
    <t>Then continue to proceed with painting the fence.</t>
  </si>
  <si>
    <t>They do that multiple times trying to cover all of the brown.</t>
  </si>
  <si>
    <t>v_jqW7r60gOzE</t>
  </si>
  <si>
    <t>A man is seen standing before a hold child holding up a pinata while others stand around and watch.</t>
  </si>
  <si>
    <t>The blind folded boy then takes multiple swings at the pinata while the kids sit around and watch.</t>
  </si>
  <si>
    <t>v_lk2niPrG3y8</t>
  </si>
  <si>
    <t>There's a woman in a yellow tank top and black tights doing jump rope in a gym.</t>
  </si>
  <si>
    <t>She jumps in a rhythmic manner without stopping on the hardwood floor surface.</t>
  </si>
  <si>
    <t>After she's done, a person standing in front of her gives her a thumbs up and cheers for her.</t>
  </si>
  <si>
    <t>v_W3KCFRADoX8</t>
  </si>
  <si>
    <t>A woman is sitting in a room talking.</t>
  </si>
  <si>
    <t>There is a white cat on the bed behind her.</t>
  </si>
  <si>
    <t>She starts braiding her hair to the side.</t>
  </si>
  <si>
    <t>She continues talking and blows a kiss to the camera.</t>
  </si>
  <si>
    <t>v_cKHdMUfKsQ8</t>
  </si>
  <si>
    <t>A woman is seen speaking to the camera while holding up a paintbrush and bucket.</t>
  </si>
  <si>
    <t>She paints a piece of furniture next to her while also holding up a brush.</t>
  </si>
  <si>
    <t>She holds up more objects while dipping the brushes into them as well as uses it on the furniture.</t>
  </si>
  <si>
    <t>v_FeXBmKYV8HY</t>
  </si>
  <si>
    <t>A woman reporting is speaking to a camera with a serious demeanor.</t>
  </si>
  <si>
    <t>A man unzips his violin from the bag and plays a little bit for the camera while the reporter commentates.</t>
  </si>
  <si>
    <t>He begins to struggle playing with his condition, and shows surgery on how to fix him.</t>
  </si>
  <si>
    <t>The reporter claims that the man is better than ever and shows his progress playing a violin in a show.</t>
  </si>
  <si>
    <t>v_cwQQj3VZLC8</t>
  </si>
  <si>
    <t>A man is standing at the start line clapping his hands, people look on.</t>
  </si>
  <si>
    <t>He takes off running and does a long jump.</t>
  </si>
  <si>
    <t>He salutes the large applauding audience.</t>
  </si>
  <si>
    <t>Another man waits on the start line before accelerating into the long jump.</t>
  </si>
  <si>
    <t>He looks to the crowd who are subdued.</t>
  </si>
  <si>
    <t>He walk away looking at the ground.</t>
  </si>
  <si>
    <t>Another man waits on the start line before running into a longjump.</t>
  </si>
  <si>
    <t>He waves to the appreciative crowd and runs away smiling and celebrating.</t>
  </si>
  <si>
    <t>v_uu4_cV49pMI</t>
  </si>
  <si>
    <t>A person is seen lying on the ground with another person running from behind.</t>
  </si>
  <si>
    <t>The person running then falls and others around them help and drink water.</t>
  </si>
  <si>
    <t>v_n2fFj1mBjhQ</t>
  </si>
  <si>
    <t>Players are playing lacrosse in a hockey arena.</t>
  </si>
  <si>
    <t>The players leaves the arena.</t>
  </si>
  <si>
    <t>A green team player runs towards the clear window.</t>
  </si>
  <si>
    <t>v_dVCAykynRzs</t>
  </si>
  <si>
    <t>A camera pans around a mcdonalds and leads into a man speaking to a cashier.</t>
  </si>
  <si>
    <t>Several shots are then shown of people playing rock paper scissors with employees.</t>
  </si>
  <si>
    <t>When people win the game, they get a free ice cream.</t>
  </si>
  <si>
    <t>v_E7OCzz_XuiI</t>
  </si>
  <si>
    <t>A fridge is seen opening with two people grabbing onto a piece of cheese.</t>
  </si>
  <si>
    <t>The two men fight then begin playing a game of rock paper scissors.</t>
  </si>
  <si>
    <t>They use various tools and objects to play as well as smaller versions of themselves that keep panning backwards.</t>
  </si>
  <si>
    <t>v_50oy8wP2Wo8</t>
  </si>
  <si>
    <t>We see an opening screen then a sitting lady.</t>
  </si>
  <si>
    <t>We see a person cutting the ladies long hair with a level.</t>
  </si>
  <si>
    <t>The person then brushes her blunt hair.</t>
  </si>
  <si>
    <t>The lady turns around and smiles.</t>
  </si>
  <si>
    <t>We see a before and after.</t>
  </si>
  <si>
    <t>We then see scenes of people using the tool.</t>
  </si>
  <si>
    <t>We see the tool in white and blue.</t>
  </si>
  <si>
    <t>The closing screen is seen.</t>
  </si>
  <si>
    <t>v_VFKUKX9ToNI</t>
  </si>
  <si>
    <t>a group of swimmers are on a diving board.</t>
  </si>
  <si>
    <t>A man falls off the board very suddenly.</t>
  </si>
  <si>
    <t>He hits other levels on his way down into the water.</t>
  </si>
  <si>
    <t>v_insSTTMSC38</t>
  </si>
  <si>
    <t>A woman is doing some exercise on a machine.</t>
  </si>
  <si>
    <t>She is going at a pretty fast speed, you can see her get off and then get back on again.</t>
  </si>
  <si>
    <t>She places her hands around a piece and it allows her to she her stride and speed as well as her heartbeat and stuff.</t>
  </si>
  <si>
    <t>She changes the her speed and drink some water and keeps on going.</t>
  </si>
  <si>
    <t>v_1Ao43T5yRjI</t>
  </si>
  <si>
    <t>A rusty ball is shown rolling down some type of man made ramp.</t>
  </si>
  <si>
    <t>Several Olympic athletes are then shown putting the shotput by their neck and throwing it and getting their distance measured.</t>
  </si>
  <si>
    <t>A black scoreboard is finally shown and they begin to give the winner the medal and show the flag of the country the person is representing.</t>
  </si>
  <si>
    <t>v_lcUtnIptSjM</t>
  </si>
  <si>
    <t>A woman in a lab coat is in a hospital recovery room.</t>
  </si>
  <si>
    <t>She soaps up her hands well with soap.</t>
  </si>
  <si>
    <t>She then rinses and dries them thoroughly.</t>
  </si>
  <si>
    <t>v_zcvbHJ1BZ9s</t>
  </si>
  <si>
    <t>A man pulls a boot onto his foot seated in a chair inside.</t>
  </si>
  <si>
    <t>The man fastens the straps on the boat.</t>
  </si>
  <si>
    <t>A person shows the man how to fasten the straps on the boot.</t>
  </si>
  <si>
    <t>The man shakes while trying to finish putting on the shoes.</t>
  </si>
  <si>
    <t>v_29kX1NaPGP0</t>
  </si>
  <si>
    <t>An older man is seen speaking to the camera while holding a tennis ball and racket in his hand.</t>
  </si>
  <si>
    <t>He moves the racket and ball up to demonstrate how to properly serve the ball, followed by him actually serving the ball in slow motion.</t>
  </si>
  <si>
    <t>The same shot is shown several more times to demonstrate how to properly perform this serve.</t>
  </si>
  <si>
    <t>v_aEAmMKa8iuM</t>
  </si>
  <si>
    <t>An indoor BMX bike race happens.</t>
  </si>
  <si>
    <t>After the start, everyone goes around the track as quick as possible.</t>
  </si>
  <si>
    <t>v_TIue1jR51j8</t>
  </si>
  <si>
    <t>Man in purple talks to the camera.</t>
  </si>
  <si>
    <t>Man in purple walks forward in slow steps.</t>
  </si>
  <si>
    <t>Man in gray demonstrates how to walk.</t>
  </si>
  <si>
    <t>Man in gray demonstrates different jumps.</t>
  </si>
  <si>
    <t>v_dcmfRooP6dg</t>
  </si>
  <si>
    <t>A close up of a strawberry is shown.</t>
  </si>
  <si>
    <t>A woman is talking with an array of watercolors.</t>
  </si>
  <si>
    <t>She demonstrates how to use the watercolors to create art on a canvas.</t>
  </si>
  <si>
    <t>v_wRKFbuczjsw</t>
  </si>
  <si>
    <t>There's a woman in a pink shirt and black shorts training a dog on a large open lawn.</t>
  </si>
  <si>
    <t>she is throwing pink colored Frisbee discs for the dog to run and fetch.</t>
  </si>
  <si>
    <t>Every time she throws the disc, the dog gets excited and runs and fetches the disc for her.</t>
  </si>
  <si>
    <t>The dog is well trained to catch the disc in its mouth almost every time without missing it.</t>
  </si>
  <si>
    <t>there are are few people standing and watching the trainer and the dog.</t>
  </si>
  <si>
    <t>v_yAa24V7sXJM</t>
  </si>
  <si>
    <t>An emblem appears on the screen.</t>
  </si>
  <si>
    <t>A view of the sun is seen between the clouds.</t>
  </si>
  <si>
    <t>A woman walks up to a young boy who has his pants down, crouching in front of a bucket.</t>
  </si>
  <si>
    <t>She yells at him, and drags him away.</t>
  </si>
  <si>
    <t>She shows him how to lather his hands with soap.</t>
  </si>
  <si>
    <t>Then the group of gathered women talk as the boy watches and listens.</t>
  </si>
  <si>
    <t>The women look sad as she walks away.</t>
  </si>
  <si>
    <t>A boy and woman walk up to talk to another woman, and she looks upset.</t>
  </si>
  <si>
    <t>A doctor is shown talking about dirty hands to the women.</t>
  </si>
  <si>
    <t>They are then shown outside, washing their hands and doctoring the boy as they show how not to be dirty.</t>
  </si>
  <si>
    <t>The group jumps into the air in celebration.</t>
  </si>
  <si>
    <t>v_Kdf1HhynNx8</t>
  </si>
  <si>
    <t>Two girls are seen waving to the camera while one holds up a drink and the other plays with her hair.</t>
  </si>
  <si>
    <t>The girls walk around a bit followed by drinking out of a glass and making funny faces to the camera.</t>
  </si>
  <si>
    <t>v_zBtmE0BAjGE</t>
  </si>
  <si>
    <t>A woman is shown walking around a kitchen turning on a faucet and l letting the sink fill up with water.</t>
  </si>
  <si>
    <t>She is shown wearing gloves, spraying cleaner around the sink and scrubbing with a brush.</t>
  </si>
  <si>
    <t>She smiles at the cleaning product and pans out to the label being shown.</t>
  </si>
  <si>
    <t>v_45WfFPM5yvw</t>
  </si>
  <si>
    <t>a man in swimming trunks is outdoors, fastening himself into equipment.</t>
  </si>
  <si>
    <t>He gets on a parasailer, and gets into the water.</t>
  </si>
  <si>
    <t>He begins sailing on a surfboard, holding on tightly as he speeds up.</t>
  </si>
  <si>
    <t>He then stops in the water, leaning onto his side.</t>
  </si>
  <si>
    <t>v_r-XQMXUJBqk</t>
  </si>
  <si>
    <t>A kid is playing hopscotch on the ground.</t>
  </si>
  <si>
    <t>They go back and forth on the hopscotch board.</t>
  </si>
  <si>
    <t>They bend down to pick something up.</t>
  </si>
  <si>
    <t>v_5K-soRkdGDs</t>
  </si>
  <si>
    <t>A dog is shown running up steps to a building.</t>
  </si>
  <si>
    <t>They go inside, and it's a dog grooming salon.</t>
  </si>
  <si>
    <t>Several signs in another language are shown before the equipment is turned on.</t>
  </si>
  <si>
    <t>The dog is rinsed, soaped, bathed and clipped on the machine.</t>
  </si>
  <si>
    <t>v_oO6jZR9Aijc</t>
  </si>
  <si>
    <t>A store front is seen from the outside.</t>
  </si>
  <si>
    <t>A store owner stands behind a display wall and discusses.</t>
  </si>
  <si>
    <t>Paintball players run through a grassy court with obstacles and aim their weapons.</t>
  </si>
  <si>
    <t>The store owner displays different face masks for the sport.</t>
  </si>
  <si>
    <t>v_DKnvOGEDUyQ</t>
  </si>
  <si>
    <t>A group of people are seen standing around a Foosball table playing a game with one another using the poles to play.</t>
  </si>
  <si>
    <t>The men continue playing game and fourth while the camera captures them from above and two walk away in the end.</t>
  </si>
  <si>
    <t>v_37Q3so6ERxs</t>
  </si>
  <si>
    <t>A man in blue shirt drink a big glass of beer.</t>
  </si>
  <si>
    <t>The blonde man beside him is cheering.</t>
  </si>
  <si>
    <t>The man in blue shirt finished his drink and put it down, and the blonde man cheered.</t>
  </si>
  <si>
    <t>v_CRKA3xPEKm8</t>
  </si>
  <si>
    <t>man is standing in parallels doing gymnastics in a roofed gym.</t>
  </si>
  <si>
    <t>people is in teraces watching the man.</t>
  </si>
  <si>
    <t>v_rV9RzL8o7tk</t>
  </si>
  <si>
    <t>A girl wearing a white coat with hood is next to man and a woman on side of a pool table.</t>
  </si>
  <si>
    <t>Then, the girl walks and takes off the coat, then she takes a cue stick and bend on front two men.</t>
  </si>
  <si>
    <t>After, the girl turns and grabs the boy shirt while making a sexy gesture, then she turns to play again.</t>
  </si>
  <si>
    <t>A man wants to touch the butt of a girl.</t>
  </si>
  <si>
    <t>v_nw8MpBwL508</t>
  </si>
  <si>
    <t>A girl in a purple outfit gets onto a balance beam.</t>
  </si>
  <si>
    <t>She does a gymnastics routine on the balance beam.</t>
  </si>
  <si>
    <t>v_8LTh7r2U8Fw</t>
  </si>
  <si>
    <t>An athlete walks onto a field outside.</t>
  </si>
  <si>
    <t>He runs with a javelin in the air.</t>
  </si>
  <si>
    <t>He throws the javelin as far as he can, repeating multiple times.</t>
  </si>
  <si>
    <t>v_gtzg66XV6E0</t>
  </si>
  <si>
    <t>a woman is in front of a table, holding a cat.</t>
  </si>
  <si>
    <t>She pets the cat to calm him down.</t>
  </si>
  <si>
    <t>She then gently clips his toenails.</t>
  </si>
  <si>
    <t>v_0J55EGFLglQ</t>
  </si>
  <si>
    <t>it seems like they are watching on tv a game of soccer.</t>
  </si>
  <si>
    <t>The station shows for what channel it is that is being watched.</t>
  </si>
  <si>
    <t>The women on the court are running around trying to get the ball.</t>
  </si>
  <si>
    <t>One of the women runs all the way into the goal.</t>
  </si>
  <si>
    <t>v_ezx7z-kx2v4</t>
  </si>
  <si>
    <t>A man is standing up and throws a rock.</t>
  </si>
  <si>
    <t>People are standing and watching him.</t>
  </si>
  <si>
    <t>A man gets into a horse carriage and rides away.</t>
  </si>
  <si>
    <t>v_7univ6G4RXA</t>
  </si>
  <si>
    <t>We see a boy brushing his teeth and dancing in the bathroom.</t>
  </si>
  <si>
    <t>The boy pauses and looks at the brush.</t>
  </si>
  <si>
    <t>The boy returns to brushing and dancing.</t>
  </si>
  <si>
    <t>The boy holds on the the sink for a moment.</t>
  </si>
  <si>
    <t>The boy holds onto the sink again.</t>
  </si>
  <si>
    <t>v_veKNTB-N9EQ</t>
  </si>
  <si>
    <t>A close up of a wall is shown with water spraying down the sides that leads into several pictures as well as people spraying down the ground.</t>
  </si>
  <si>
    <t>More people are seen spraying down a truck as well as cars being lifted up on a machine while more pictures are shown.</t>
  </si>
  <si>
    <t>v_6sorAV7KJxA</t>
  </si>
  <si>
    <t>This man is shown standing on the roof saying a few words.</t>
  </si>
  <si>
    <t>Then he starts removing some parts of wood from the roof and he piles all of the tiles up.</t>
  </si>
  <si>
    <t>Then he puts them where they should go to make a full part on the roof.</t>
  </si>
  <si>
    <t>v_MJZjSHG6tBY</t>
  </si>
  <si>
    <t>A man does a barbecue in a yard while singing with people showing drinks in cans and cups.</t>
  </si>
  <si>
    <t>Then people walk to a bar and sing inside drinking beer.</t>
  </si>
  <si>
    <t>Women serves drinks from a fountain.</t>
  </si>
  <si>
    <t>A man talks on front a microphone and people continue singing and showing beer.</t>
  </si>
  <si>
    <t>Then, people are again singing, drinking and dancing outdoors.</t>
  </si>
  <si>
    <t>v_M6yAoJJQvGY</t>
  </si>
  <si>
    <t>A woman is seen speaking to the camera and leads into clips of her performing ab exercises wile speaking to the camera.</t>
  </si>
  <si>
    <t>The woman demonstrates how to do a proper sit up by moving her arms in different places and speaking to the camera.</t>
  </si>
  <si>
    <t>v_4XEowfJ-1W0</t>
  </si>
  <si>
    <t>A person shows a bowl of ice cream at Disneyland.</t>
  </si>
  <si>
    <t>The person enjoys the bowl of ice cream.</t>
  </si>
  <si>
    <t>A trolley rolls along a street with a conductor hanging out of the window.</t>
  </si>
  <si>
    <t>A busy street is seen with many people walking along and looking at a parked trolley car.</t>
  </si>
  <si>
    <t>v_etG65un_AiQ</t>
  </si>
  <si>
    <t>A jet ski is parked and a man is riding one.</t>
  </si>
  <si>
    <t>We see a man's name on the screen and a man behind a boat and a man jet skiing and flipping around.</t>
  </si>
  <si>
    <t>Two men on a jet ski shake their hair.</t>
  </si>
  <si>
    <t>A person name is on the screen and we see a man jet ski.</t>
  </si>
  <si>
    <t>Another name and another man on the jet ski.</t>
  </si>
  <si>
    <t>We see the man as he prepares to ski riding behind the boat.</t>
  </si>
  <si>
    <t>We see the lake and then the closing credits.</t>
  </si>
  <si>
    <t>v_mHbsKzezfFQ</t>
  </si>
  <si>
    <t>We see a black screen and the credits.</t>
  </si>
  <si>
    <t>A person is cutting a man's hair.</t>
  </si>
  <si>
    <t>They switch to an electric razor on the back.</t>
  </si>
  <si>
    <t>The person uses the shaver on their hand.</t>
  </si>
  <si>
    <t>The screen changes to black for a moment.</t>
  </si>
  <si>
    <t>We see the screen change again and the person lines the back of the man's head.</t>
  </si>
  <si>
    <t>The barber touches the shaver edge.</t>
  </si>
  <si>
    <t>The screen fades to black and the ending credits roll.</t>
  </si>
  <si>
    <t>v_p4YTDxTASBI</t>
  </si>
  <si>
    <t>A group of people are riding in various canoes down a river.</t>
  </si>
  <si>
    <t>A man shoots a flame up into the air followed by several others as well.</t>
  </si>
  <si>
    <t>The camera pans around the group of people dressed as pirates and in other various costumes.</t>
  </si>
  <si>
    <t>v_vHejQlbAL78</t>
  </si>
  <si>
    <t>Several people are seen grabbing skis as well as cars lined up and people speaking to one another.</t>
  </si>
  <si>
    <t>This leads into several clips of skiers riding down mountains one after the other.</t>
  </si>
  <si>
    <t>People are shown riding together as well as a solo and ends with a man kicking at the camera.</t>
  </si>
  <si>
    <t>v_o_AftOrP4zI</t>
  </si>
  <si>
    <t>The athlete is putting on his red sneakers, then he talked to the camera, and then run in the indoor tracking field.</t>
  </si>
  <si>
    <t>He rested for a bit, then his coach is having interview, then the scene change where the athlete started to practice, running around, then did some pole jumped.</t>
  </si>
  <si>
    <t>He did some exercises and stretches.</t>
  </si>
  <si>
    <t>v_jTMdMnbW9OI</t>
  </si>
  <si>
    <t>A boy in an orange shirt is playing a video game.</t>
  </si>
  <si>
    <t>The scene changes to the game itself.</t>
  </si>
  <si>
    <t>The scene changes back to the boy.</t>
  </si>
  <si>
    <t>The camera zooms in on the controller.</t>
  </si>
  <si>
    <t>The scene goes back to the game.</t>
  </si>
  <si>
    <t>There is a close up of the boy's face.</t>
  </si>
  <si>
    <t>The camera shows the TV with the back of the boy's head.</t>
  </si>
  <si>
    <t>The game is playing until the end.</t>
  </si>
  <si>
    <t>The boy says something and TV has numbers on it.</t>
  </si>
  <si>
    <t>The boy is talking again.</t>
  </si>
  <si>
    <t>The boy gets up and leaves the room.</t>
  </si>
  <si>
    <t>He goes to the bathroom and is rubbing his eyes.</t>
  </si>
  <si>
    <t>He looks in the mirror then reaches for the face wash and puts some in his hand.</t>
  </si>
  <si>
    <t>He throws the face wash on the washing machine.</t>
  </si>
  <si>
    <t>He puts his head in the sink and washes his face angrily.</t>
  </si>
  <si>
    <t>When he looks in the mirror again, it is an old man.</t>
  </si>
  <si>
    <t>He falls to the floor.</t>
  </si>
  <si>
    <t>He washes his face again and this time it turn to a skull.</t>
  </si>
  <si>
    <t>He rubs his face and the skull falls into the sink.</t>
  </si>
  <si>
    <t>v_q5thIuCSTkk</t>
  </si>
  <si>
    <t>A person has their hand over the lens.</t>
  </si>
  <si>
    <t>We then see a child in gray skiing in front of the camera operator.</t>
  </si>
  <si>
    <t>the child falls off their skis and lays in the snow.</t>
  </si>
  <si>
    <t>The camera person stops and wipes snow from the kids goggles and turns off the camera.</t>
  </si>
  <si>
    <t>v_ArGF2CfOxkY</t>
  </si>
  <si>
    <t>A horse is behind a yellow gate as a man sits on top holding a rope.</t>
  </si>
  <si>
    <t>The gate is opened,and a black calf comes running out into the field of dirt.</t>
  </si>
  <si>
    <t>Almost instantly,the man throws his lasso and jumps off to secure the cow.</t>
  </si>
  <si>
    <t>Once he is finished,the man gets back on the horse and other individuals come out to take the calf out.</t>
  </si>
  <si>
    <t>v_hHWXldYW8rU</t>
  </si>
  <si>
    <t>A camera walks closer to a girl pointing to her eye in the mirror.</t>
  </si>
  <si>
    <t>She then bends down forward and sticks her face under the water rubbing it along her face.</t>
  </si>
  <si>
    <t>v_ciEBsDNryN8</t>
  </si>
  <si>
    <t>A woman is seen holding an accordion while shaking her fists into the air.</t>
  </si>
  <si>
    <t>A band is seen walking in behind her and begins playing while she does.</t>
  </si>
  <si>
    <t>The girl continues to play with the band and ends by looking to the camera.</t>
  </si>
  <si>
    <t>v_WGHXYbCWvyU</t>
  </si>
  <si>
    <t>A man is seen standing in a field with his eye closed and standing still.</t>
  </si>
  <si>
    <t>The man then begins moving his arms and legs around his body.</t>
  </si>
  <si>
    <t>He continues moving his body around with his eyes closed.</t>
  </si>
  <si>
    <t>v_bXLa6zLsJ50</t>
  </si>
  <si>
    <t>A woman lays on a table being prepped for ear piercing.</t>
  </si>
  <si>
    <t>The person in charge of the operation pierces her ear in two places with a small rod.</t>
  </si>
  <si>
    <t>The person applies a cork to one end of the rod.</t>
  </si>
  <si>
    <t>The person pushes a different rod through the holes created by the initial piercing.</t>
  </si>
  <si>
    <t>The person caps the new rod on both ends.</t>
  </si>
  <si>
    <t>The woman shows off her new piercing and smiles.</t>
  </si>
  <si>
    <t>v_xPnNcv7ErXk</t>
  </si>
  <si>
    <t>A young child is seen smiling to the camera and beginning to climb across monkey bars.</t>
  </si>
  <si>
    <t>She makes it to the other side and then waves to the camera.</t>
  </si>
  <si>
    <t>v_S2V2TgLAMKg</t>
  </si>
  <si>
    <t>A person holds small objects in their hands.</t>
  </si>
  <si>
    <t>The person applies objects continuously to a wooden surface.</t>
  </si>
  <si>
    <t>When the person rubs on the smaller object, it puts a white residue on the surface.</t>
  </si>
  <si>
    <t>When the person rubs on the brown object, it removes the residue.</t>
  </si>
  <si>
    <t>v_79LyHiS908U</t>
  </si>
  <si>
    <t>A man is shown sitting in front of several drums and banging to a rhythm.</t>
  </si>
  <si>
    <t>He talks to the camera about his song and what he is planning on playing.</t>
  </si>
  <si>
    <t>The man continues playing while the camera pans in and out on him playing the drums.</t>
  </si>
  <si>
    <t>v_UBqFQKI1YW8</t>
  </si>
  <si>
    <t>A black man gymnast prepares to perform on a parallel bar exhibition.</t>
  </si>
  <si>
    <t>The man mounts the parallel bar and goes into a handstand and performs a series of spins and moves.</t>
  </si>
  <si>
    <t>The gymnast goes into his dismount and lands a perfect landing on the mat.</t>
  </si>
  <si>
    <t>v_TH1kq-KBr9Y</t>
  </si>
  <si>
    <t>A man is hanging up wallpaper.</t>
  </si>
  <si>
    <t>He looks back at the camera.</t>
  </si>
  <si>
    <t>He steps down from the step ladder.</t>
  </si>
  <si>
    <t>A chair appears with the wallpaper.</t>
  </si>
  <si>
    <t>The man is taking down the paper.</t>
  </si>
  <si>
    <t>v_eVwRbDXyBbc</t>
  </si>
  <si>
    <t>There is a pool table with billiard balls on it.</t>
  </si>
  <si>
    <t>A person has a pool cue in their hand.</t>
  </si>
  <si>
    <t>They hit the cue ball into the other balls.</t>
  </si>
  <si>
    <t>v_AWXdK-ix3gQ</t>
  </si>
  <si>
    <t>A gymaist stands holding is arm up and jumping onto a beam.</t>
  </si>
  <si>
    <t>He moves his arms and spins himself round and round on a set of bars.</t>
  </si>
  <si>
    <t>He does handstands and flips and jumps off to finish his routine.</t>
  </si>
  <si>
    <t>v_lvAXZEUE0m8</t>
  </si>
  <si>
    <t>A man puts a harness on and steps on a bridge.</t>
  </si>
  <si>
    <t>He jumps off the bridge and bungee jumps over a body of water.</t>
  </si>
  <si>
    <t>A boat drives up and puts him in the boat.</t>
  </si>
  <si>
    <t>v_2RfasAe0-tA</t>
  </si>
  <si>
    <t>A girl dressed as a tomboy and a boy dressed in a red shirt are standing in a room across from each other in a messy room.</t>
  </si>
  <si>
    <t>The two begin to grab each other and they begin salsa dancing.</t>
  </si>
  <si>
    <t>They continue dancing and spin each other around and doing a some type of salsa dancing.</t>
  </si>
  <si>
    <t>v_KPJJfGK5NCw</t>
  </si>
  <si>
    <t>This woman is shown standing in one spot for a little while.</t>
  </si>
  <si>
    <t>Then she moves to throw the ball into the air and she goes back to the position she was in.</t>
  </si>
  <si>
    <t>Then she jumps back and turns around to throw the ball at a small distance, except she is not positioned quite right this time.</t>
  </si>
  <si>
    <t>v_6URUyopL8qM</t>
  </si>
  <si>
    <t>A sign appears in a yard and a red van comes traveling down the road.</t>
  </si>
  <si>
    <t>After,a man appears tubing in a trail of water underneath the bridge.</t>
  </si>
  <si>
    <t>As he continues down the river,he hits a few rocks along the way and begins to bobble up and down before returning back in front of the red van.</t>
  </si>
  <si>
    <t>v_Hh7aXAtWsXg</t>
  </si>
  <si>
    <t>A woman is see laughing with a group of people and one man hitting the other.</t>
  </si>
  <si>
    <t>A person hands a man a set of darts who then throws them off into the distance.</t>
  </si>
  <si>
    <t>The people continue speaking while the camera pans all around them.</t>
  </si>
  <si>
    <t>v_1VDNFR3vQR4</t>
  </si>
  <si>
    <t>There are two guys standing on a large blue mat in a gym and they are both wearing shorts and a pair of boxing gloves.</t>
  </si>
  <si>
    <t>The men square up and they begin hitting and kicking at one another with brief moments of stopping in between their punches and their kicks.</t>
  </si>
  <si>
    <t>One of the guys kicks the other one too hard and the one who got kicked gets mad, rips his gloves off of his hands, walks away and angrily throws his gloves.</t>
  </si>
  <si>
    <t>v_ih3LAZtQM50</t>
  </si>
  <si>
    <t>A guy bows while standing outside.</t>
  </si>
  <si>
    <t>The guy start doing karate outside.</t>
  </si>
  <si>
    <t>The guy does karate indoors and then leaves.</t>
  </si>
  <si>
    <t>A dog stands with a sweater.</t>
  </si>
  <si>
    <t>v_qywEvklc1kM</t>
  </si>
  <si>
    <t>Two people are seen speaking to the camera with one holding a pot and the other handing him ingredients.</t>
  </si>
  <si>
    <t>The other then mixes the ingredients into a bowl and pouts it into a pan.</t>
  </si>
  <si>
    <t>More people come in to take a bite as well as a young boy helping and the man continuing to cook.</t>
  </si>
  <si>
    <t>v_q-ID2mgEIow</t>
  </si>
  <si>
    <t>A man wearing glasses is seen stepping into frame and playing an accordion.</t>
  </si>
  <si>
    <t>The man continues to play while looking off into the distance and stops by smiling to the camera.</t>
  </si>
  <si>
    <t>v_l5qCvYE1-tA</t>
  </si>
  <si>
    <t>Two young girls are in a gym and they do a side ways hurtles over a bar in the middle of the gym.</t>
  </si>
  <si>
    <t>The video is then replayed in slow motion and once again in a faster speed.</t>
  </si>
  <si>
    <t>v_zwm-v9MLOFY</t>
  </si>
  <si>
    <t>4 men are in a square doing break dance while people is gathered around them watching them dance and do tricks in front of a lot of stores.</t>
  </si>
  <si>
    <t>names of the break dancers are shown in the screen.</t>
  </si>
  <si>
    <t>v_9qUbxwjh-4A</t>
  </si>
  <si>
    <t>We see a young girl light a cigarette.</t>
  </si>
  <si>
    <t>She then takes the cigarette out of her mouth and talks.</t>
  </si>
  <si>
    <t>She hands the lighter to another person and puts her hand on her hip.</t>
  </si>
  <si>
    <t>v_d7-tFV0RSCk</t>
  </si>
  <si>
    <t>A man is standing outside of a home talking with a large silver pole in his hand that has a yellow rope attached to it.</t>
  </si>
  <si>
    <t>The man begins cleaning the inside of a sliding glass door with his pole and brush and washes around the base and the inside of the window.</t>
  </si>
  <si>
    <t>The man then stops and begins talking to the camera and pointing to the window before he waves bye.</t>
  </si>
  <si>
    <t>v_CTIVIXvCI3c</t>
  </si>
  <si>
    <t>A small child is seen hoping along the floor when a woman leads in more young dancers.</t>
  </si>
  <si>
    <t>She lines up the girls in front of a large crowd and the kids begin dancing on the stage.</t>
  </si>
  <si>
    <t>The little ones continue to dance and twirl on stage and walk off stage.</t>
  </si>
  <si>
    <t>v_rA_RAZx2_aA</t>
  </si>
  <si>
    <t>Women from different nationalities competes long jumps is a stadium.</t>
  </si>
  <si>
    <t>Women continue competing long jump.</t>
  </si>
  <si>
    <t>An athlete runs, then skip and jumps forward to perform long jump while judges holds sticks to measure.</t>
  </si>
  <si>
    <t>v_pibXLs9IOX8</t>
  </si>
  <si>
    <t>man is standing in a green field preparing himself to make a cricket shot, other man is watchim him and take off the hat and the sunglasses and the man is really sweaty and prepare to make the shot and to score which he did, they enjoy and hug each other and the man throw the ball.</t>
  </si>
  <si>
    <t>men are seating on a couch in a living room and are talking to each other and to the camera.</t>
  </si>
  <si>
    <t>winner and information of the video is shown.</t>
  </si>
  <si>
    <t>v_tPHfkxAwyp8</t>
  </si>
  <si>
    <t>A title screen appears in red letters and then fades out in a martial arts classroom.</t>
  </si>
  <si>
    <t>In a small martial arts classroom the students are gathered around, singing, clapping and playing instruments around a small circle for 5 capoeira matches where the fighters dancing and swinging their legs and arms and at the end of each match the fighters shake hands, hug and touch the musicians.</t>
  </si>
  <si>
    <t>Then a closing screen with a logo for the Capoeira school.</t>
  </si>
  <si>
    <t>v_yxZ4ouqcld4</t>
  </si>
  <si>
    <t>A camera shoots various shots all around a city and shoe store.</t>
  </si>
  <si>
    <t>Hundreds of people are walking around an area and checking out shoes.</t>
  </si>
  <si>
    <t>A man talks to a woman about what shoes she likes to wear.</t>
  </si>
  <si>
    <t>People are dancing and enjoying the event together.</t>
  </si>
  <si>
    <t>There is food being eaten at the event by many.</t>
  </si>
  <si>
    <t>Several runners are getting ready to start a race.</t>
  </si>
  <si>
    <t>The race begins and people run very fast.</t>
  </si>
  <si>
    <t>Several people get interviewed during the race.</t>
  </si>
  <si>
    <t>The man who wins the race comes across the finish line.</t>
  </si>
  <si>
    <t>Several more people are shown finishing.</t>
  </si>
  <si>
    <t>v_UKhH_iEifrU</t>
  </si>
  <si>
    <t>a list of ingredients is shown and the items are in a white table.</t>
  </si>
  <si>
    <t>fist a bag of tea is sumerge in boiled water and added some syrup into a starbucks cup.</t>
  </si>
  <si>
    <t>v_EA58Fo2e0CI</t>
  </si>
  <si>
    <t>A news station ad appears on the screen.</t>
  </si>
  <si>
    <t>We see two reporters outdoors, talking with members of a running team.</t>
  </si>
  <si>
    <t>They are preparing for a race, one of which is pregnant.</t>
  </si>
  <si>
    <t>The crowd is shown walking to where the race will begin.</t>
  </si>
  <si>
    <t>v_LlI1IJEkW5E</t>
  </si>
  <si>
    <t>A woman is in a kitchen, talking in front of an array of sandwich fixings.</t>
  </si>
  <si>
    <t>She opens the bread, and applies meat, cheese, pickles, and mustard.</t>
  </si>
  <si>
    <t>She closes the sandwiches, and puts them in a heated panini press.</t>
  </si>
  <si>
    <t>She removes the sandwiches as they are toasted, and plates them.</t>
  </si>
  <si>
    <t>v_JAZu9CWEVbQ</t>
  </si>
  <si>
    <t>There are two men in the water wearing wetsuits and laying on their surfboards as they ride a wave.</t>
  </si>
  <si>
    <t>The camera man is in a fast moving boat and he continues to video the surfers who are still riding the wave but now they are standing up.</t>
  </si>
  <si>
    <t>The surfer who is in front is happy to riding the wave for so long that he raises his two arms up in the air and then lowers it back down.</t>
  </si>
  <si>
    <t>The surfer in the back begins to lose balance and falls off of his board while the man in the front is still standing up.</t>
  </si>
  <si>
    <t>v_xPDjkE7llg4</t>
  </si>
  <si>
    <t>A woman cuts the nails of the back legs of a cat with a nail trimmer, while a person restraints the cat.</t>
  </si>
  <si>
    <t>Then, the woman stands on front the cat, and the person holds the cat from a neck.</t>
  </si>
  <si>
    <t>After, the woman cuts the nails of the front legs, but the cat kicks.</t>
  </si>
  <si>
    <t>A person wearing black clothes enters the room.</t>
  </si>
  <si>
    <t>v_f119wB0sj0w</t>
  </si>
  <si>
    <t>Several clips of baseball players are shown playing the game.</t>
  </si>
  <si>
    <t>At one point it shows a player arguing with a referee.</t>
  </si>
  <si>
    <t>The video ends with another title sequence.</t>
  </si>
  <si>
    <t>v_H1_5M9mQ79w</t>
  </si>
  <si>
    <t>A man wearing headphones is seen speaking into a microphone and begins playing a harmonica into the mic.</t>
  </si>
  <si>
    <t>The man continues playing and the camera ends with a close up of the instrument.</t>
  </si>
  <si>
    <t>v_hHmn5tf5d5I</t>
  </si>
  <si>
    <t>A small group of people are seen standing in a room with a woman standing in front.</t>
  </si>
  <si>
    <t>The woman then begins dancing around with the women while following her around.</t>
  </si>
  <si>
    <t>The women switch places with men and then begin following the woman dancing around.</t>
  </si>
  <si>
    <t>v_Krh4m6nxZWE</t>
  </si>
  <si>
    <t>A woman in a blue shirt is walking along a slack line.</t>
  </si>
  <si>
    <t>She falls off and grabs the rope.</t>
  </si>
  <si>
    <t>v_J7GJKAoU0rE</t>
  </si>
  <si>
    <t>Several people are gathered at a lake.</t>
  </si>
  <si>
    <t>Images are shown of the people posing with and flying kites.</t>
  </si>
  <si>
    <t>They are then seen flying the kites on a beach.</t>
  </si>
  <si>
    <t>v_qCZhlIBr8_Q</t>
  </si>
  <si>
    <t>An assortment of drum lines are shown practicing in various locations.</t>
  </si>
  <si>
    <t>Several schools are shown and the SB4TS is in the bottom right corner as a group in blue shirts and black pants begin to perform and make various formations.</t>
  </si>
  <si>
    <t>v_u0SpXGr_elM</t>
  </si>
  <si>
    <t>A gyros restaurant is shown from the outside.</t>
  </si>
  <si>
    <t>We enter, and the chef begins talking to the camera.</t>
  </si>
  <si>
    <t>He demonstrates how to make a gyro sandwich.</t>
  </si>
  <si>
    <t>He places all the ingredients on the counter, shaves the meat, and begins to stack them inside the pita.</t>
  </si>
  <si>
    <t>He continues talking for the camera, then serves the camera man a gyro.</t>
  </si>
  <si>
    <t>The man eats it, nodding in approval.</t>
  </si>
  <si>
    <t>v_QkX8GFbwN7c</t>
  </si>
  <si>
    <t>A man is seen creating sparks onto a metal pole while moving it along the side.</t>
  </si>
  <si>
    <t>He then puts the torch down and zooms in on the bar.</t>
  </si>
  <si>
    <t>v_rGuOU8U5Bvk</t>
  </si>
  <si>
    <t>A person is walking a horse in an arena.</t>
  </si>
  <si>
    <t>They begin to brush the horse's fur.</t>
  </si>
  <si>
    <t>They brush the ear of the horse.</t>
  </si>
  <si>
    <t>They brush the face of the horse.</t>
  </si>
  <si>
    <t>v_P9I3zxNUu74</t>
  </si>
  <si>
    <t>A man with two children are seen speaking to the camera with one throwing his hands up and leading into them moving quickly.</t>
  </si>
  <si>
    <t>The kids stand on a chair taking ornaments off a tree while moving back and fourth to the table to place the objects.</t>
  </si>
  <si>
    <t>The kids then sweep up the floor while dancing and having fun and end by all waving to the camera.</t>
  </si>
  <si>
    <t>v_zJKedNWsZKY</t>
  </si>
  <si>
    <t>A man is seen sitting on a piece of exercise equipment and begins moving himself back and fourth on the machine.</t>
  </si>
  <si>
    <t>The man continues moving back an fourth while pulling his body back and ends by unhooking himself and moving his feet.</t>
  </si>
  <si>
    <t>v_xa-zOtV3uPU</t>
  </si>
  <si>
    <t>A dealer is dealing cards at a blackjack table.</t>
  </si>
  <si>
    <t>People are sitting around the table playing.</t>
  </si>
  <si>
    <t>A man in a white shirt is standing up next to the table.</t>
  </si>
  <si>
    <t>v_lGwUq5vZGEk</t>
  </si>
  <si>
    <t>A young girl is demonstrating how to do a braid in layered hair.</t>
  </si>
  <si>
    <t>She begins by brushing her hair down.</t>
  </si>
  <si>
    <t>Then she brings all of her hair to her right side and starts braiding the hair on a single braid.</t>
  </si>
  <si>
    <t>She then takes a hair tie and ties it around the bottom of her braid.</t>
  </si>
  <si>
    <t>She takes some hair gel out of an orange container and uses it on the tips of her braid to smoothen the hair.</t>
  </si>
  <si>
    <t>She further braids the bottom part of her braid till the end and ties another hair tie around it.</t>
  </si>
  <si>
    <t>Then she takes a bobby pin and pins the short hair in the front to back of her head.</t>
  </si>
  <si>
    <t>She secures the pin into her hair and waves good bye.</t>
  </si>
  <si>
    <t>v_mA4wEXlASpc</t>
  </si>
  <si>
    <t>Two people are seen standing ready with one running down a track and into a sand pit.</t>
  </si>
  <si>
    <t>The man lays down while another raises a flag and walks away from the track.</t>
  </si>
  <si>
    <t>v_w9M6GUCtoQQ</t>
  </si>
  <si>
    <t>An girl is seen sitting at a table holding various objects in her hands and pushing them all together.</t>
  </si>
  <si>
    <t>She then rubs a needle on a cotton ball then pushing it onto a pencil and wrapping thread around it.</t>
  </si>
  <si>
    <t>She then holds up a box of a product and then pouring several liquids into a bowl.</t>
  </si>
  <si>
    <t>She then dips the needle in ink and using the pencil to draw a design on her leg, rubbing it off with a rag in the end.</t>
  </si>
  <si>
    <t>v_fpWOf1DR1oA</t>
  </si>
  <si>
    <t>A predominately dark dart board is empty.</t>
  </si>
  <si>
    <t>A guy throws a dart at the dart board.</t>
  </si>
  <si>
    <t>The dart hits the bullseye.</t>
  </si>
  <si>
    <t>v_dAdCETrsDQw</t>
  </si>
  <si>
    <t>A small group of people are seen walking the red carpet and speaking to one another.</t>
  </si>
  <si>
    <t>An athlete is then seen speaking with a new host and several shots of him playing and riding a horse are shown.</t>
  </si>
  <si>
    <t>More clips are shown of him playing a sport and speaking to the host and shaking his hand.</t>
  </si>
  <si>
    <t>v_Gn651vGKC2I</t>
  </si>
  <si>
    <t>A woman makes a tattoo in the arm of a girl while cleaning with a tissue.</t>
  </si>
  <si>
    <t>The girl makes pain gestures in the face.</t>
  </si>
  <si>
    <t>v_WUOiJOqrHlI</t>
  </si>
  <si>
    <t>A shot of the movie Forest Gump is shown with the man playing ping pong in several shots and him laughing in the end.</t>
  </si>
  <si>
    <t>More clips are shown of the actors playing with one another and a man showing the footage on a computer while speaking to the camera.</t>
  </si>
  <si>
    <t>Tom Hanks is interviewed several times about the event and then sits down in the end while playing.</t>
  </si>
  <si>
    <t>v_4y8mMJkvAR4</t>
  </si>
  <si>
    <t>A woman dressed in all black with a visor and sunglasses is talking holding a paddle.</t>
  </si>
  <si>
    <t>Once she is done talking,she begins kayaking with her white dog between her legs.</t>
  </si>
  <si>
    <t>Now the woman is out of the water and begins doing arm exercises with the paddle behind her head lifting it up and down.</t>
  </si>
  <si>
    <t>She then adds the legs and begins doing lunges in the grass before she continues to do curls with her hands.</t>
  </si>
  <si>
    <t>The lady has now moved to a patio an is laying down flat on her back doing leg exercises.</t>
  </si>
  <si>
    <t>v_485Wn1DXt5U</t>
  </si>
  <si>
    <t>A girl is standing outside in a field talking and hula hooping.</t>
  </si>
  <si>
    <t>Another girl then tries to do the same thing but she isn't successful.</t>
  </si>
  <si>
    <t>The first girl comes back and does it effortlessly as the second girl still struggles.</t>
  </si>
  <si>
    <t>For the last round,the girl begins to hula hoop and drinks soda and runs across the grass.</t>
  </si>
  <si>
    <t>v_Y1f_NXMfD98</t>
  </si>
  <si>
    <t>A black and brown down is standing up against the wall as a person moves a vacuum like machine back and forth over his fur.</t>
  </si>
  <si>
    <t>After his back is done,the person does the legs then lifts his tail up and does the but hole and the dog begins to walk away.</t>
  </si>
  <si>
    <t>The women then has to grab the dog and hold him to finish her task.</t>
  </si>
  <si>
    <t>Once complete,she takes the hair out of the vacuum and dumps it into a big black trash bag.</t>
  </si>
  <si>
    <t>v_yj7YkvTZ4zw</t>
  </si>
  <si>
    <t>A blonde women runs jumps and twist a lands on the padding.</t>
  </si>
  <si>
    <t>Another woman runs and jumps and she doesn't make it she falls onto the grass.</t>
  </si>
  <si>
    <t>She completely missed the jump altogether and hits the pole down when she falls.</t>
  </si>
  <si>
    <t>She is laughing down on the ground and a man comes up to help her up.</t>
  </si>
  <si>
    <t>v_Q8EoKJNm4mc</t>
  </si>
  <si>
    <t>a group of people are sitting in a sauna fully clothed.</t>
  </si>
  <si>
    <t>One guy stands up with a violin.</t>
  </si>
  <si>
    <t>The guy begins playing the violin and dancing.</t>
  </si>
  <si>
    <t>The guy kicks his shoe off while dancing.</t>
  </si>
  <si>
    <t>The guy sits down and plays the violin.</t>
  </si>
  <si>
    <t>v_rABAqfLcssA</t>
  </si>
  <si>
    <t>A person is seen riding a board with a kite along the ocean moving at a fast pace.</t>
  </si>
  <si>
    <t>The person continues riding along and eventually crashes while the camera zooms in on the rider.</t>
  </si>
  <si>
    <t>v_5wkGeYBS7hQ</t>
  </si>
  <si>
    <t>A group of boys are standing in a room with many clear cups of beer on a table they are all standing around.</t>
  </si>
  <si>
    <t>The boys talk, laugh and tease each other before beginning a game of beer pong across a long table using a triangle shaped array of clear cups.</t>
  </si>
  <si>
    <t>One of the ping pongs lands in the cup and one of the boys begins to drink the beer.</t>
  </si>
  <si>
    <t>The group continue to play beer pong when one final player is able to throw and land a ping pong ball while standing with his back to the cups at which point the boys celebrate, and laugh.</t>
  </si>
  <si>
    <t>v_zyi4NVylqB0</t>
  </si>
  <si>
    <t>A small group of people are seen shaking hands and standing together followed by a man blowing a whistle and people running around.</t>
  </si>
  <si>
    <t>The people then play a game of soccer with one another, running up and down the sandy field while coaches yell on the side and a goal is blocked.</t>
  </si>
  <si>
    <t>v_6jxqb8FyWnQ</t>
  </si>
  <si>
    <t>Two men are shown sitting at a table with their arms crossed one another.</t>
  </si>
  <si>
    <t>They grab each other's hand and begin an arm wrestling match with one yelling to the other.</t>
  </si>
  <si>
    <t>One almost wins but the other pulls back quickly and wins while screaming and pushing.</t>
  </si>
  <si>
    <t>v_OxPzQ4yqfwg</t>
  </si>
  <si>
    <t>An older woman sitting at the table reading her paper work.</t>
  </si>
  <si>
    <t>Her husband comes up behind her and reads through it with her.</t>
  </si>
  <si>
    <t>Roofers are on the roof fixing some issues, putting in some new shingles.</t>
  </si>
  <si>
    <t>A woman on the phone with the company walks up and hands the phone to her husband.</t>
  </si>
  <si>
    <t>v_b5SYTLjp6HI</t>
  </si>
  <si>
    <t>A man walks into a gym and bends in front of a weight.</t>
  </si>
  <si>
    <t>the man tries to lift the weight two times and drops it.</t>
  </si>
  <si>
    <t>The man lifts the weight three times and walks away.</t>
  </si>
  <si>
    <t>The man lifts the weight two times.</t>
  </si>
  <si>
    <t>the man lifts the weight three times and walks away.</t>
  </si>
  <si>
    <t>The man lifts the weight two tines and removes his weight lifting belt.</t>
  </si>
  <si>
    <t>v_DCCD1fufXfY</t>
  </si>
  <si>
    <t>The little girl went out of the room.</t>
  </si>
  <si>
    <t>The boy get the bottle under the bed and is holding it and then drink it.</t>
  </si>
  <si>
    <t>The boy went back to bed and pretend to sleep while the girl went back in the room.</t>
  </si>
  <si>
    <t>v_6kBo1TR--dk</t>
  </si>
  <si>
    <t>A large group of people are seen wandering around an area with a woman running past them.</t>
  </si>
  <si>
    <t>The woman is seen speaking to the camera and continues to run around the beach area.</t>
  </si>
  <si>
    <t>She runs along the boardwalk as well as past people and ends with her running a race and being interviewed.</t>
  </si>
  <si>
    <t>v_K-pwTH9ubkE</t>
  </si>
  <si>
    <t>A persons hands are seen playing a piano that pans away from the person playing.</t>
  </si>
  <si>
    <t>People are seen smiling and waving to the camera while the man continues to play the piano.</t>
  </si>
  <si>
    <t>The camera captures him from all over playing the piano as well as singing to the camera.</t>
  </si>
  <si>
    <t>v_IlD4gfHmWIg</t>
  </si>
  <si>
    <t>A gymnast wearing a magenta leotard is performing on the horse bar.</t>
  </si>
  <si>
    <t>There is a panel of judges sitting across from her and evaluating her.</t>
  </si>
  <si>
    <t>She stands up straight on the bar and does a twist and pummel.</t>
  </si>
  <si>
    <t>She continues to successfully do front flips on the horse bar.</t>
  </si>
  <si>
    <t>She completes her round after she jumps off of the horse bar doing a back flip.</t>
  </si>
  <si>
    <t>Then the gymnast walks away from the performing area.</t>
  </si>
  <si>
    <t>v_fm6UhMKF8DU</t>
  </si>
  <si>
    <t>Several shots of a bridge are shown as well as a sign and people standing on the ledge.</t>
  </si>
  <si>
    <t>Two men then bungee jump off the side of the bridge and are shown swinging up using their legs.</t>
  </si>
  <si>
    <t>v_P79nFNUaysw</t>
  </si>
  <si>
    <t>A man is seen speaking to the camera and leads into shots of water boiling in a pot.</t>
  </si>
  <si>
    <t>He takes a bite of the of the pasta and ends with him still smiling to the camera.</t>
  </si>
  <si>
    <t>v_sEvP3GFbLdw</t>
  </si>
  <si>
    <t>A close up of a couch is seen followed by a person walking in and out of frame.</t>
  </si>
  <si>
    <t>The person then sits down and holds their feet up.</t>
  </si>
  <si>
    <t>The person then puts a pair of shoes on and walks out of frame.</t>
  </si>
  <si>
    <t>v_5MuLI6Plf-Y</t>
  </si>
  <si>
    <t>A man wearing a black shirt is sitting and playing the guitar in front of a black backdrop.</t>
  </si>
  <si>
    <t>Initially he starts to play the guitar slowly to find the proper rhythm.</t>
  </si>
  <si>
    <t>Than he starts to play the notes faster and faster.</t>
  </si>
  <si>
    <t>In the end he looks at the guitar and adjusts his fingers as he finishes playing the song .</t>
  </si>
  <si>
    <t>v_RNA9HtKreug</t>
  </si>
  <si>
    <t>We see people putting electronics on a foosball table.</t>
  </si>
  <si>
    <t>We see the bars moving and then see two men sitting at the table.</t>
  </si>
  <si>
    <t>We see a group of people playing foosball in a narrow room.</t>
  </si>
  <si>
    <t>v_HppLOtjJY_Q</t>
  </si>
  <si>
    <t>A large group of people are standing on a bridge.</t>
  </si>
  <si>
    <t>They are looking into the rapid waters below.</t>
  </si>
  <si>
    <t>Several people on canoes come through the bridge, which is the finish line.</t>
  </si>
  <si>
    <t>v_OmE9IhdWFa0</t>
  </si>
  <si>
    <t>A model wearing a bikini opens directs the scene and talks behind an I-Pad screen.</t>
  </si>
  <si>
    <t>A meal is cooked in a frying pan.</t>
  </si>
  <si>
    <t>People ride on a boat and catch fish.</t>
  </si>
  <si>
    <t>Surfers ride large waves in the ocean.</t>
  </si>
  <si>
    <t>Jet skis pull surfers towards waves in the ocean.</t>
  </si>
  <si>
    <t>v_XiG7rgPoKKI</t>
  </si>
  <si>
    <t>We see team of boaters in a competition in the sea.</t>
  </si>
  <si>
    <t>We see the race start and the boaters take off.</t>
  </si>
  <si>
    <t>They pass a small boat in the water.</t>
  </si>
  <si>
    <t>We see one team up close.</t>
  </si>
  <si>
    <t>We see a score board on the screen.</t>
  </si>
  <si>
    <t>The racers pass a banner and we see the green team again.</t>
  </si>
  <si>
    <t>The race is finished and we see the crowd clapping.</t>
  </si>
  <si>
    <t>We see the final scores and the scene ends.</t>
  </si>
  <si>
    <t>v_2FjaU9wfxaU</t>
  </si>
  <si>
    <t>A woman is seen hosting a news segment with a man and leads into a person bring out a dog and petting the dog.</t>
  </si>
  <si>
    <t>The man then demonstrates how to properly groom the dog while the host continues to speak and pet the dog.</t>
  </si>
  <si>
    <t>v_Ckkf840HZE4</t>
  </si>
  <si>
    <t>A man is seen riding around on the water wake boarding behind a boat.</t>
  </si>
  <si>
    <t>The man is shown in several clips performing a trick with camera affects point to his movements.</t>
  </si>
  <si>
    <t>The man continues to ride around on the board while text appears to give instructions.</t>
  </si>
  <si>
    <t>v_GKy0MNJZxDc</t>
  </si>
  <si>
    <t>There is a large gymnasium where three gymnasts are performing gymnastics.</t>
  </si>
  <si>
    <t>There's one gymnast in orange leotards swinging on the rod and another gymnast next to him also swinging on the bars.</t>
  </si>
  <si>
    <t>They both swing upside down and stand on their hands for a few seconds before swinging back down.</t>
  </si>
  <si>
    <t>The third gymnast is performing behind them, doing front and back flips.</t>
  </si>
  <si>
    <t>The gymnast in the orange leotards does another front swing and then gets off the bars and walks away.</t>
  </si>
  <si>
    <t>v_33SI8z8PovA</t>
  </si>
  <si>
    <t>A black female is shown in a room with a black scarf around her head.</t>
  </si>
  <si>
    <t>Black spots on her faced are then zoomed in on and she begins to apply something on it.</t>
  </si>
  <si>
    <t>Next,she takes some spray and it makes her skin extremely oily and she continues to talk until the video is over.</t>
  </si>
  <si>
    <t>v_vcCwvRYqU2I</t>
  </si>
  <si>
    <t>We see a tree with leaves blowing int he wind.</t>
  </si>
  <si>
    <t>A man rakes his yard and talks to the camera.</t>
  </si>
  <si>
    <t>The man chooses a rake from four.</t>
  </si>
  <si>
    <t>The man throws some grass in the garbage.</t>
  </si>
  <si>
    <t>The man picks up and smells a twig with leaves.</t>
  </si>
  <si>
    <t>The man throws his rake into the yard.</t>
  </si>
  <si>
    <t>The man sprinkles leaves into the yard and rakes them up.</t>
  </si>
  <si>
    <t>We then see the twigs and leaves again.</t>
  </si>
  <si>
    <t>v_k8C1Jb_xvh0</t>
  </si>
  <si>
    <t>A male worker walks up to an elephant.</t>
  </si>
  <si>
    <t>He gives the elephant a dart.</t>
  </si>
  <si>
    <t>The elephant and a woman take turns throwing darts at their targets.</t>
  </si>
  <si>
    <t>v_Dv2T0R7HVBQ</t>
  </si>
  <si>
    <t>A young man is seen sitting at the bottom of a pool.</t>
  </si>
  <si>
    <t>He begins moving closer to the camera while smiling.</t>
  </si>
  <si>
    <t>He then bumps into the wall and moves upwards.</t>
  </si>
  <si>
    <t>v_V8gr2EMHNwQ</t>
  </si>
  <si>
    <t>Various shots are shown of the ocean as well as boats riding along the water.</t>
  </si>
  <si>
    <t>People are seen laying on beaches as well as speaking to one another and riding behind boats.</t>
  </si>
  <si>
    <t>Close ups of fish are seen as well as people riding around and surfing the water.</t>
  </si>
  <si>
    <t>v__--nxrRXdPg</t>
  </si>
  <si>
    <t>Athletes performs high jump successfully in a stadium full of people.</t>
  </si>
  <si>
    <t>An athlete jumps, but touch the horizontal rod.</t>
  </si>
  <si>
    <t>Other athletes perform high jump in a competition on front a crow.</t>
  </si>
  <si>
    <t>v_wBgU5jXb_V4</t>
  </si>
  <si>
    <t>A woman is walking her horse out to a field to ride.</t>
  </si>
  <si>
    <t>The horses tail is braided back and she is wearing pink.</t>
  </si>
  <si>
    <t>The lady gets on the horse and ride it around hitting a ball around.</t>
  </si>
  <si>
    <t>The horses tail is no longer braided as they ride around in the sand.</t>
  </si>
  <si>
    <t>v_JaBA8V-nuDg</t>
  </si>
  <si>
    <t>Three women are sitting in a room behind the table knitting scarves and hats before a logo appears.</t>
  </si>
  <si>
    <t>They all reappear and begin knitting a purple scarf as they talk.</t>
  </si>
  <si>
    <t>Next,each lady begins to talk and show pictures of who they are making the special garment for.</t>
  </si>
  <si>
    <t>v_Yp9WuBrgbI4</t>
  </si>
  <si>
    <t>The shirtless man is doing crunches.</t>
  </si>
  <si>
    <t>The woman is doing crunches while her legs is on a machine.</t>
  </si>
  <si>
    <t>The woman is holding the man's feet as he crunches.</t>
  </si>
  <si>
    <t>The man is moving his legs while he has big yoga ball under his legs.</t>
  </si>
  <si>
    <t>v_TTDruR5Vin4</t>
  </si>
  <si>
    <t>Two bikers are riding their motor bikes through rough terrain.</t>
  </si>
  <si>
    <t>They are dressed in biking gear with protective helmets and clothing.</t>
  </si>
  <si>
    <t>They are going on hilly slopes and uneven terrain on their motorbikes.</t>
  </si>
  <si>
    <t>They go through extremely steep and dangerous dirt roads at high speed.</t>
  </si>
  <si>
    <t>They also go over ramps created in the dirt road.</t>
  </si>
  <si>
    <t>They continue biking through the dirt at high speed as they create a cloud of dust behind them.</t>
  </si>
  <si>
    <t>v_UYcpD3r6Ol0</t>
  </si>
  <si>
    <t>A black screen appears and a black triangle with blue and green lights illuminating from it appear in the middle and red fancy lettering appear in the middle and read "Lovey's Nails".</t>
  </si>
  <si>
    <t>More lettering appear on different black screens and together they read "MALEFICENT NAILS"and "FOR EASIER USE RED NAIL TIPS IF YOU HAVE USA PUNTAS ROJAS SI TIENES".</t>
  </si>
  <si>
    <t>The woman is now removing nail polish from her nails on her left hand ,applies oil, then super glues fake nails onto her left hand and cuts the fake tipped nails into a pointed shape.</t>
  </si>
  <si>
    <t>The woman then opens up a small container of red thick liquid, takes a paint brush and applies it to her fake pointy tipped nails and applies a few coats onto each fake tipped nail, then once the red is dried she then applies flesh colored thick liquid over the entire nail include the red tips, shapes them, files,sands them down, then brushes off the powder with a brush.</t>
  </si>
  <si>
    <t>The woman then paints the top of the nails with a clear coat, then turns the nails over and paints the underside as well and puts her two hands together to show how it looks on the underside as well as the topside.</t>
  </si>
  <si>
    <t>The woman is now showing a close up of her face as she shows the near her face, then holds up a MAC lipstick that's named "Russian Red" and she applies it to her lips then smiles and shows of her newly done nails and lips by showing it at a few angles, and then finishing with still shot pictures and the word Shio on the last still shot.</t>
  </si>
  <si>
    <t>v_tAleUKVZCD8</t>
  </si>
  <si>
    <t>Two teams play ice hockey the white team scores, and people in the bleaches cheers, then the red teams scores for his team, then they continue playing.</t>
  </si>
  <si>
    <t>The white team scores and players hug each other, the crowd applauds.</t>
  </si>
  <si>
    <t>After the red team score.</t>
  </si>
  <si>
    <t>The players go to dressing rooms in the half time.</t>
  </si>
  <si>
    <t>Then, the players continue playing and the red team scores and wins the competition.</t>
  </si>
  <si>
    <t>v_iGXUvIRX77c</t>
  </si>
  <si>
    <t>People are playing the drums in a room.</t>
  </si>
  <si>
    <t>They begin marching back and forth in the room.</t>
  </si>
  <si>
    <t>A person in the back is playing the symbols.</t>
  </si>
  <si>
    <t>v_DRWMUsADKFM</t>
  </si>
  <si>
    <t>A camera pans around a room and leads into a room rubbing paper down and putting a box in the middle.</t>
  </si>
  <si>
    <t>The woman wraps the box up in paper and pushing in the sides.</t>
  </si>
  <si>
    <t>She tapes up the sides and uses a ribbon to tie the box up and ends by unwrapping it and showing what's inside.</t>
  </si>
  <si>
    <t>v_Qt2ktBj1l-Y</t>
  </si>
  <si>
    <t>The typing noise from the typewriter is going in the beginning and the title of a story that was typed is shown.</t>
  </si>
  <si>
    <t>Then two men are shown shoveling snow outside off of statues and the ground and when they're done, someone falls to the ground.</t>
  </si>
  <si>
    <t>v_kPbae85fofk</t>
  </si>
  <si>
    <t>People including security guards are standing behind a fence in a mall.</t>
  </si>
  <si>
    <t>We see a young man in a fancy jacket talk and throw darts across the room.</t>
  </si>
  <si>
    <t>The man stops throwing and ducks down for a moment then continues to throw.</t>
  </si>
  <si>
    <t>A lady wipes something off the mans face and the man and his entourage begin to leave the area.</t>
  </si>
  <si>
    <t>v_ResZdSbk9kE</t>
  </si>
  <si>
    <t>man wearing a blue helmet is kayaking in river showing how to use a row.</t>
  </si>
  <si>
    <t>man in river is sitting in yellow kayak holding a row.</t>
  </si>
  <si>
    <t>man is fighting against the current in a kayak.</t>
  </si>
  <si>
    <t>v_pQof_-tUNtY</t>
  </si>
  <si>
    <t>We see a box on fabric.</t>
  </si>
  <si>
    <t>A person wraps the box in the fabric and ties it up.</t>
  </si>
  <si>
    <t>We see the person wrap to bottles in the fabric together.</t>
  </si>
  <si>
    <t>They then put two bottles in a bag and tie it.</t>
  </si>
  <si>
    <t>v_eAIJhHmdjmk</t>
  </si>
  <si>
    <t>We see the green opening screens.</t>
  </si>
  <si>
    <t>We then see a person shovel snow with a pusher.</t>
  </si>
  <si>
    <t>We see an title screen.</t>
  </si>
  <si>
    <t>We we a man plowing an ice rink with his shovel.</t>
  </si>
  <si>
    <t>We then see the product screen.</t>
  </si>
  <si>
    <t>v_5kCv4zwc7-I</t>
  </si>
  <si>
    <t>A girl in a blue shirt holds up a pack of fake finger nails.</t>
  </si>
  <si>
    <t>She sticks them onto her finger nails.</t>
  </si>
  <si>
    <t>She is showing her finger nails to the camera.</t>
  </si>
  <si>
    <t>v_dAjhBWalWRM</t>
  </si>
  <si>
    <t>A group of people stand in front of a blackjack table.</t>
  </si>
  <si>
    <t>The blackjack attendant places cards on the table.</t>
  </si>
  <si>
    <t>v_yfikZ4E_uko</t>
  </si>
  <si>
    <t>Liquid is shown being poured into a bowl, followed by a person slicing up a pineapple and apple and mixing them into a bowl.</t>
  </si>
  <si>
    <t>The person then cuts up more fruits and adds it to the bowl and mixes it all around together to create a fruit bowl.</t>
  </si>
  <si>
    <t>v_lb-TlBtrKcU</t>
  </si>
  <si>
    <t>A woman is outside in a large green field talking,holding up a bow and arrow in front of a white paper with a large target.</t>
  </si>
  <si>
    <t>Before she begins,she assembles the bow in the arrow and hits the board.</t>
  </si>
  <si>
    <t>She then demonstrates the proper way to put the bow in their again and how you should hold the arrow before releasing it.</t>
  </si>
  <si>
    <t>After,a row of people are shown and they all begin to shoot their bows and arrows.</t>
  </si>
  <si>
    <t>v_KwY8nf4MqR4</t>
  </si>
  <si>
    <t>A small boy wearing a blue and yellow hoodie and gray sweat pants in standing in an outdoor tennis court.</t>
  </si>
  <si>
    <t>He is holding a blue racket as he bounces the yellow and orange tennis ball on the court.</t>
  </si>
  <si>
    <t>He starts with his first serve where the ball hits the net.</t>
  </si>
  <si>
    <t>Then he takes another ball, bounces it and serves again.</t>
  </si>
  <si>
    <t>The ball goes over the net and falls on the other side of the court.</t>
  </si>
  <si>
    <t>He gets another ball for the third time and drops it off his hands while trying to serve.</t>
  </si>
  <si>
    <t>v_-boJqGIgV9I</t>
  </si>
  <si>
    <t>A small girl is at an amusement park dart rewards game.</t>
  </si>
  <si>
    <t>A lady who is working at the stand comes and asks her how many darts she would like to use, she gives the girl the darts.</t>
  </si>
  <si>
    <t>The girl starts throwing darts, she is only able to hit one balloon, she asks for help but does not get it.</t>
  </si>
  <si>
    <t>v_oTsTx2BhtgY</t>
  </si>
  <si>
    <t>We see the title on a black background.</t>
  </si>
  <si>
    <t>We see a knife and sharpener and a man holding them.</t>
  </si>
  <si>
    <t>We see the man cut a tomato and paper.</t>
  </si>
  <si>
    <t>The person uses a sharpens and then cuts the tomato, and paper easily.</t>
  </si>
  <si>
    <t>Sharpen a different knife and cuts a tomato and shows us the sharpener.</t>
  </si>
  <si>
    <t>v_sY8TfKQHe5w</t>
  </si>
  <si>
    <t>A commercial advertising a pumpkin cutter, a pumpkin knife, and a pumpkin light is shown using a family of two boys and one mother preparing pumpkins for the demonstration.</t>
  </si>
  <si>
    <t>A little boy is shown using a pumpkin cutter to cut faces into a pumpkin.</t>
  </si>
  <si>
    <t>The boy is then shown scooping out a pumpkin using a pumpkin scoop.</t>
  </si>
  <si>
    <t>A boy is then shown placing a pumpkin light inside of a pumpkin as the mother leans in and smiles between the two boys and the finished pumpkins which now have carved faces with glowing lights inside.</t>
  </si>
  <si>
    <t>v_K1z2fiB9pUM</t>
  </si>
  <si>
    <t>Dozens of people are seen riding up a large, dusty hill while the camera pans around people riding on dirt bikes.</t>
  </si>
  <si>
    <t>The people ride all along the path while several others watch on the side and follow the riders as the continue riding along the track.</t>
  </si>
  <si>
    <t>v_C-M4L_WDzK8</t>
  </si>
  <si>
    <t>A group of women play field hockey on an outdoor field covered in grass .</t>
  </si>
  <si>
    <t>The women run after a white ball on the field while holding hockey sticks.</t>
  </si>
  <si>
    <t>The red team and blue team continue to play field hockey while a referee watches on and a guard guards the goal.</t>
  </si>
  <si>
    <t>v_Gba1MksaNBQ</t>
  </si>
  <si>
    <t>Some men are playing pool as three boxer dogs watch.</t>
  </si>
  <si>
    <t>The boxers stand by the pool table, trying to snap at the balls as they are shot with the cues.</t>
  </si>
  <si>
    <t>v_5WCgpt2bEJw</t>
  </si>
  <si>
    <t>A man sets a timer on a table.</t>
  </si>
  <si>
    <t>He then tries to solver a color block puzzle.</t>
  </si>
  <si>
    <t>He finishes the puzzle in only slightly over 8 seconds.</t>
  </si>
  <si>
    <t>v_aKvCtSitxJY</t>
  </si>
  <si>
    <t>A girl is standing with a hula hoop in her hand.</t>
  </si>
  <si>
    <t>The girl talks to the camera.</t>
  </si>
  <si>
    <t>The girl demonstrates the hula hoop.</t>
  </si>
  <si>
    <t>The girl drops the hula hoop and poses.</t>
  </si>
  <si>
    <t>v_1AEZ9fDDkz4</t>
  </si>
  <si>
    <t>A line of bikers prepare for a dirt bike race.</t>
  </si>
  <si>
    <t>They take off, racing over hills and around sharp corners, some falling off their bikes and kicking it angrily.</t>
  </si>
  <si>
    <t>v_DbuQn8EOJx0</t>
  </si>
  <si>
    <t>A boy sits in a room and talks to a camera while holding a demonstrating how to use an electronic cigarette.</t>
  </si>
  <si>
    <t>The boy unscrews the cigarette to reveal the inside mechanism.</t>
  </si>
  <si>
    <t>The boy puts the cigarette back together and begins to smoke it as a woman walks by in the background, and then he continues to talk to the camera.</t>
  </si>
  <si>
    <t>v_Zso0ZBs2y6E</t>
  </si>
  <si>
    <t>Close ups of fabric are shown and leads to a man putting them on a wall and a woman speaking to a great of men.</t>
  </si>
  <si>
    <t>A person lays out paper on a table and shows the men how to properly put wallpaper on.</t>
  </si>
  <si>
    <t>A man then speaks to the camera and ends with information being presented and the man putting down more paper.</t>
  </si>
  <si>
    <t>v_0K1SrDmREzs</t>
  </si>
  <si>
    <t>An athletic woman is seen standing in a circle moving in a slow motion holding a discuss.</t>
  </si>
  <si>
    <t>She then spins herself around while holding the object and then throwing it off the distance.</t>
  </si>
  <si>
    <t>v_BOckSaGr-uI</t>
  </si>
  <si>
    <t>A man in gray shirt is sitting on a chair.</t>
  </si>
  <si>
    <t>The man is pointing an empty canvas with his brush as he continue to talk.</t>
  </si>
  <si>
    <t>The man hold out his brush, dip the brush on the colors and began painting on the bigger canvas.</t>
  </si>
  <si>
    <t>v_7WfF6FrZEuU</t>
  </si>
  <si>
    <t>A woman is seen smiling and speaking to the camera.</t>
  </si>
  <si>
    <t>Another man is seen sitting behind her with another man in front.</t>
  </si>
  <si>
    <t>The woman continues speaking while the man in front cleans the other's shoes.</t>
  </si>
  <si>
    <t>v_RfXFS9fy-mI</t>
  </si>
  <si>
    <t>People are playing soccer in an indoor arena.</t>
  </si>
  <si>
    <t>They shoot and make a goal into the net.</t>
  </si>
  <si>
    <t>The players hug on the court.</t>
  </si>
  <si>
    <t>v_7uE2pMuAM8I</t>
  </si>
  <si>
    <t>A person polish a shoe with a wrapped finger.</t>
  </si>
  <si>
    <t>Then, the person grabs polish paste and water to polish the shoe.</t>
  </si>
  <si>
    <t>After, the person put a drop of water on the shoe and continues polishing.</t>
  </si>
  <si>
    <t>v_0h45uztur-o</t>
  </si>
  <si>
    <t>Wrapped presents are being shown lined up.</t>
  </si>
  <si>
    <t>A person is rolling out wrapping paper and using a ruler to hold it down.</t>
  </si>
  <si>
    <t>A box is set on top of the wrapping paper.</t>
  </si>
  <si>
    <t>The person begins wrapping the present.</t>
  </si>
  <si>
    <t>They are cutting the paper.</t>
  </si>
  <si>
    <t>They continue wrapping the present.</t>
  </si>
  <si>
    <t>They use tape to hold the paper on.</t>
  </si>
  <si>
    <t>They fold tissue paper to wrap around the middle of the box.</t>
  </si>
  <si>
    <t>They wrap curling ribbon around the box and tie it into a bow.</t>
  </si>
  <si>
    <t>The use the scissors to curl the ends of the bow.</t>
  </si>
  <si>
    <t>They stick a silver flower into the present.</t>
  </si>
  <si>
    <t>v_w6kBE7BHHeU</t>
  </si>
  <si>
    <t>This is a video for arm wrestling tips.</t>
  </si>
  <si>
    <t>A screen with caption is shown describing the video.</t>
  </si>
  <si>
    <t>There are two men at an arm wrestling table a man in a white t-shirt and glasses is informing on how to properly prepare for an arm wrestling match with stance, arm position, finger position, wrist placement, body position, body and arm movement.</t>
  </si>
  <si>
    <t>Another black screen appears with captions.</t>
  </si>
  <si>
    <t>The man in the white t-shirt shows several ways to stand during an arm wrestling match with both feet on the ground and wrapping one leg around the arm wrestling table.</t>
  </si>
  <si>
    <t>Another black screen appears with caption about finding arm wrestling clubs.</t>
  </si>
  <si>
    <t>The man in the glasses while still at the arm wrestling table with the other man gives a website address and social media sites.</t>
  </si>
  <si>
    <t>The screen goes black and there are credits rolling followed by a company name.</t>
  </si>
  <si>
    <t>v_sBx1HvNjs6s</t>
  </si>
  <si>
    <t>A bald man is talking and two pictures of a young male with nice hair flashes on the screen.</t>
  </si>
  <si>
    <t>The man then begins to work with a mannequin head that has a similar hairstyle as the boy in the pictures and he shows how the haircut was achieved while buzzing, cutting, combing and finger combing the hair.</t>
  </si>
  <si>
    <t>A black screen with white letters appear and they read "Thanks for wathing! Please subscribe!!".</t>
  </si>
  <si>
    <t>v_y-HkIwa-jWM</t>
  </si>
  <si>
    <t>An older man passes a ball to a group of small kids and eventually kicks the ball.</t>
  </si>
  <si>
    <t>The man runs as other kids run and runs all the way to home plate.</t>
  </si>
  <si>
    <t>A woman runs in front of the base with the ball and the man trips over her.</t>
  </si>
  <si>
    <t>He helps her up as they both.</t>
  </si>
  <si>
    <t>v_-qXqnltHWtE</t>
  </si>
  <si>
    <t>Cowboys compete in a rodeo competition.</t>
  </si>
  <si>
    <t>Men ride horses out of a gates and ropes a bull before dismounting and tying their its legs.</t>
  </si>
  <si>
    <t>The winner waves his hat and is congratulated by the other riders.</t>
  </si>
  <si>
    <t>v_GlvfqDfvbKA</t>
  </si>
  <si>
    <t>A man talks to the camera while seated at a drum set while another man plays drums in the background.</t>
  </si>
  <si>
    <t>The first man plays the drums.</t>
  </si>
  <si>
    <t>The first man stops playing and turns to the camera.</t>
  </si>
  <si>
    <t>v_OUfVZuWyqJQ</t>
  </si>
  <si>
    <t>We see the white opening screen.</t>
  </si>
  <si>
    <t>A man in jump stilts throws a bag over his shoulder and leaves a bank.</t>
  </si>
  <si>
    <t>The man in jump stilts runs from the cops on a city street.</t>
  </si>
  <si>
    <t>The man pushes through a market.</t>
  </si>
  <si>
    <t>The man jumps over a stroller being pushed by a lady.</t>
  </si>
  <si>
    <t>The man jumps over a truck and over a fence losing the cops.</t>
  </si>
  <si>
    <t>The man runs through a skate park down a city street and up stairs.</t>
  </si>
  <si>
    <t>The man opens the bag and counts his cash.</t>
  </si>
  <si>
    <t>v_9FaSaHgQSO8</t>
  </si>
  <si>
    <t>A large group of people are all seen riding around in bumper cars and driving around a track, bumping into one another.</t>
  </si>
  <si>
    <t>The people continue riding around and ends with a man and two children walking out.</t>
  </si>
  <si>
    <t>v_xE5KichXWrA</t>
  </si>
  <si>
    <t>An intro shows on the screen introducing a winter throwing video.</t>
  </si>
  <si>
    <t>A man does spins around in a circle and completes the throw celebrating his distance.</t>
  </si>
  <si>
    <t>He prepares for another throw by getting himself into position.</t>
  </si>
  <si>
    <t>He completes the throw and prepares for another.</t>
  </si>
  <si>
    <t>He completes the next throw and prepares for the next.</t>
  </si>
  <si>
    <t>He completes the last throw and again celebrates a good distance.</t>
  </si>
  <si>
    <t>The video ends with text displayed on the screen.</t>
  </si>
  <si>
    <t>v_mZxvYV53uf0</t>
  </si>
  <si>
    <t>Two girls are practicing dance moves in front of their television set in their living room.</t>
  </si>
  <si>
    <t>One of the girls is wearing a red shirt and the other is wearing a dark blue shirt.</t>
  </si>
  <si>
    <t>They are practicing ball room dancing.</t>
  </si>
  <si>
    <t>they take turns to swing and twirl around each other's hands as they go around in circles.</t>
  </si>
  <si>
    <t>They also follow a pattern of their leg movements as they follow the steps rhythmically.</t>
  </si>
  <si>
    <t>After they finish, they both giggle and walk away.</t>
  </si>
  <si>
    <t>v_k5wY4N61bzU</t>
  </si>
  <si>
    <t>A still image is pictured with the words Dog Walk Across America shown over it.</t>
  </si>
  <si>
    <t>A middle aged couple is then shown siting on logs talking with their dogs roaming behind them and another man sitting on a big boulder rock.</t>
  </si>
  <si>
    <t>Then several images of dogs are shown and then the woman reappears alone.</t>
  </si>
  <si>
    <t>Then another set of images are shown where the dogs are being helped by vets.</t>
  </si>
  <si>
    <t>The man then reappears with the lady and they begin to talk again.</t>
  </si>
  <si>
    <t>Lastly,the man walks off and a black screen appears showing multiple websites.</t>
  </si>
  <si>
    <t>v_wZeV6W1VEoM</t>
  </si>
  <si>
    <t>Some boys are inside a gym.</t>
  </si>
  <si>
    <t>They take turns stacking a pile of tires.</t>
  </si>
  <si>
    <t>After each addition, one of them jumps and stands at the top.</t>
  </si>
  <si>
    <t>v_s_hQSJVIN3c</t>
  </si>
  <si>
    <t>man is in a oofed gym stretching his leg and doing exercise in front of a chair.</t>
  </si>
  <si>
    <t>the man bend the other leg and stretch it.</t>
  </si>
  <si>
    <t>v_m5YvKrjGtPM</t>
  </si>
  <si>
    <t>A man kneels to grab a weight while a man watch him.</t>
  </si>
  <si>
    <t>A topless fat man practice weight lift behind the man.</t>
  </si>
  <si>
    <t>A person lift a weight on back.</t>
  </si>
  <si>
    <t>Then, the man lifts the weight, after he drops the weight to the floor.</t>
  </si>
  <si>
    <t>Again, the man kneels again and lift the weight above his head and then drop it.</t>
  </si>
  <si>
    <t>v_n9xULD7oYXc</t>
  </si>
  <si>
    <t>Two man sit at a table.</t>
  </si>
  <si>
    <t>The man closest to camera crochets.</t>
  </si>
  <si>
    <t>The man closest to camera scratches his ear.</t>
  </si>
  <si>
    <t>v_7GSCDxBSFsw</t>
  </si>
  <si>
    <t>A person holds a javelin and prepares to launch it.</t>
  </si>
  <si>
    <t>Then, the man runs and launch the javelin.</t>
  </si>
  <si>
    <t>v_htBt3oP9zuo</t>
  </si>
  <si>
    <t>A woman demonstrates how to apply wallpaper to a wall.</t>
  </si>
  <si>
    <t>A woman holds up the various tools needed to apply wallpaper.</t>
  </si>
  <si>
    <t>The woman demonstrates the process before applying the paper in short demonstration segments.</t>
  </si>
  <si>
    <t>The woman then begins to apply the wallpaper to a wall step by step.</t>
  </si>
  <si>
    <t>v_bqDxblFvgro</t>
  </si>
  <si>
    <t>A person's bare feet are shown walking up a flight of stairs.</t>
  </si>
  <si>
    <t>Then different men are shown diving in slow motion off the diving board into the water.</t>
  </si>
  <si>
    <t>Women and boys are also jumping, each landing in an outdoor pool.</t>
  </si>
  <si>
    <t>v_vbWdGj1sfO8</t>
  </si>
  <si>
    <t>A female is laying on her back exercising inside of a gym.</t>
  </si>
  <si>
    <t>She is wearing black and pink and just looks very comfortable while she works out.</t>
  </si>
  <si>
    <t>She brings her arms up and her legs up to the center of her body.</t>
  </si>
  <si>
    <t>She does that repeatedly for a little while.</t>
  </si>
  <si>
    <t>v_ruHObln9mwI</t>
  </si>
  <si>
    <t>the players rush the field and start fighting.</t>
  </si>
  <si>
    <t>A person punches someone in the head.</t>
  </si>
  <si>
    <t>The coach is trying to fight another coach.</t>
  </si>
  <si>
    <t>A man climbs over the balcony to try and fight.</t>
  </si>
  <si>
    <t>The red team gathers and hugs each other.</t>
  </si>
  <si>
    <t>v_RZqM8Z0ocjE</t>
  </si>
  <si>
    <t>A volleyball coach stands by a net holding a ball and speaks.</t>
  </si>
  <si>
    <t>Two groups of girls run out to the middle of a court to grab volleyballs.</t>
  </si>
  <si>
    <t>They throw the balls at each other.</t>
  </si>
  <si>
    <t>The coach is seen giving instructions.</t>
  </si>
  <si>
    <t>The girls continue to throw the balls at each other.</t>
  </si>
  <si>
    <t>Two girls stand by the sidelines talking.</t>
  </si>
  <si>
    <t>v_BZQb9uWULOc</t>
  </si>
  <si>
    <t>People are sitting bored in a lounge.</t>
  </si>
  <si>
    <t>A man walks in holding a portable beer pong table.</t>
  </si>
  <si>
    <t>The people get excited for him.</t>
  </si>
  <si>
    <t>They play a few rounds of beer pong.</t>
  </si>
  <si>
    <t>A man holds up a ping pong ball in front of a group of people.</t>
  </si>
  <si>
    <t>Text appears on the screen.</t>
  </si>
  <si>
    <t>v_5pqVrMgiMcs</t>
  </si>
  <si>
    <t>A skateboarder come rolling down a steep road.</t>
  </si>
  <si>
    <t>Skateboarders roll down the middle of public streets.</t>
  </si>
  <si>
    <t>The words "Fair Oaks Longboarding" along with credits appear over the skaters.</t>
  </si>
  <si>
    <t>v_KTNJc_NVOmg</t>
  </si>
  <si>
    <t>A cat is laying on its back on the couch.</t>
  </si>
  <si>
    <t>A person picks up the cat and lays it on their lap.</t>
  </si>
  <si>
    <t>They start clipping the cats nails.</t>
  </si>
  <si>
    <t>v_jaaWdcA_COY</t>
  </si>
  <si>
    <t>There is a woman in a bikini walking past people with hula hoops.</t>
  </si>
  <si>
    <t>She goes to the grass and she begins hooping in circles, she is having a really good time dancing and hooping.</t>
  </si>
  <si>
    <t>Then, other people are dancing around and hooping also, doing tricks and just enjoying the day.</t>
  </si>
  <si>
    <t>Everyone is watching as the two girls hoop around outside of the store.</t>
  </si>
  <si>
    <t>v_m0ZPQ8q4Qq4</t>
  </si>
  <si>
    <t>A little girl is outside on a snowy day.</t>
  </si>
  <si>
    <t>She is playing hopscotch which is drawn on the driveway.</t>
  </si>
  <si>
    <t>She hops along each square, then turns and goes back to the beginning.</t>
  </si>
  <si>
    <t>v_UzdI8PLRiXg</t>
  </si>
  <si>
    <t>A towel and glass are on a table next to a piece of foam and metal.</t>
  </si>
  <si>
    <t>A tool is being shown by a man holding it.</t>
  </si>
  <si>
    <t>The metal is used to sharpen a knife in front of him.</t>
  </si>
  <si>
    <t>v_MbEoZXWVc-I</t>
  </si>
  <si>
    <t>A group of people are seen hanging out around an area with several standing around a beer pong match.</t>
  </si>
  <si>
    <t>The people play beer pong back and fourth and a woman takes a drink in the end that is gross.</t>
  </si>
  <si>
    <t>v_nY8a1E4QH5Q</t>
  </si>
  <si>
    <t>A dance class is choreographing a routine and everyone is generally in sync with each other.</t>
  </si>
  <si>
    <t>They move back and forth, up and down, and shake their chests.</t>
  </si>
  <si>
    <t>v_iYH0Ol3xIZU</t>
  </si>
  <si>
    <t>A man in a white asian inspired outfit stands outdoors, surrounded by trees, on the grass, and performs several slow martial arts and meditation moves.</t>
  </si>
  <si>
    <t>The scene begins with a bare green patch of cut grass surrounded by tall trees and a building in the background beyond the foliage.</t>
  </si>
  <si>
    <t>The man runs into the frame into the center of the grass, centers himself and does a leg lift followed by several slow hand movements up and down and around.</t>
  </si>
  <si>
    <t>The man continues to perform slow martial arts moves using feet, hands, knees, and shoulders moving around the grass patch and sometime stomping his feet on the ground.</t>
  </si>
  <si>
    <t>v_kK9k01CtXnE</t>
  </si>
  <si>
    <t>This is a how to film on how to apply a seal to a roof.</t>
  </si>
  <si>
    <t>Black things are put on the side of the roof.</t>
  </si>
  <si>
    <t>The roof is sealed up.</t>
  </si>
  <si>
    <t>v_-Cefl3S_L-w</t>
  </si>
  <si>
    <t>A large group of people are seen playing a tug of war match with one another and pulling onto a rope against one another.</t>
  </si>
  <si>
    <t>The people continue playing with one another and ends with one team winning and the crowd cheering.</t>
  </si>
  <si>
    <t>v_YcDlkZkPb6g</t>
  </si>
  <si>
    <t>A graphic shows on the screen for a website about basketball drills.</t>
  </si>
  <si>
    <t>Some young men on an indoor basketball court are shown doing some of the basketball drills.</t>
  </si>
  <si>
    <t>An older man begins explaining the drills while more footage is shown of the players demonstrating them.</t>
  </si>
  <si>
    <t>The screen goes black and more text reminds the viewer to visit the website for more information.</t>
  </si>
  <si>
    <t>v_C26UfwZbHE0</t>
  </si>
  <si>
    <t>woman is talking to another standing in front of green lockers in a hallway, a man walks to the girls holding yellow roses on his hand.</t>
  </si>
  <si>
    <t>a woman walks in the hall holding a mouthwash and talking to the camera about it.</t>
  </si>
  <si>
    <t>woman is in front of a handwash cleaning his mouth with mouthwash.</t>
  </si>
  <si>
    <t>the woman is in the hall and talk to the boys and they seem impressed by her fresh breath.</t>
  </si>
  <si>
    <t>v_OmlzSz6AKfI</t>
  </si>
  <si>
    <t>A child in a helmet is shown.</t>
  </si>
  <si>
    <t>Several other children in helmets on bikes ride off of a ramp.</t>
  </si>
  <si>
    <t>A man runs along side them.</t>
  </si>
  <si>
    <t>The cross a finish line.</t>
  </si>
  <si>
    <t>v_PIr3WhkKB1o</t>
  </si>
  <si>
    <t>A special effect video clip appears with someone running on a treadmill and white words on the middle of the screen that read "CityNews HEALTH".</t>
  </si>
  <si>
    <t>A man and woman newscaster appear sitting on stools, both dressed in work attire and talking to the camera and to one another.</t>
  </si>
  <si>
    <t>The newscaster woman is now shown outdoors and talking to people on a beach, and clips of people sunbathing, applying suntan lotion, and different types of suntan lotions are show.</t>
  </si>
  <si>
    <t>The newscaster woman is now sitting on the beach, holding a bottle of suntan lotion and begins to apply lotion all over her arm.</t>
  </si>
  <si>
    <t>A new clip appears with the newscaster woman interviewing a Doctor, then a woman is shown sitting in a chair while the Doctor is standing up talking to her, and the banner below say's his name is "DR PAUL COHEN DERMATOLOGIST" and various clips of people playing in the sun play in between him talking.</t>
  </si>
  <si>
    <t>The newscaster woman is back indoors with the man she was shown with earlier and they end with a smile.</t>
  </si>
  <si>
    <t>v_QtCNHRtycmg</t>
  </si>
  <si>
    <t>Several clips are shown of men speaking to one another as well as riding on a dirt bike.</t>
  </si>
  <si>
    <t>More clips are shown of people riding around and cheering with one another.</t>
  </si>
  <si>
    <t>The riders continue to go around the track as well as show off jumps in the end.</t>
  </si>
  <si>
    <t>v_HD4aY4ATCFY</t>
  </si>
  <si>
    <t>a big burguer is in a table.</t>
  </si>
  <si>
    <t>woman is talking to the camera sanding i front of a wall with a lot of wallpapers.</t>
  </si>
  <si>
    <t>woman grab a sandwich and spread butter in it, then put pickles, cheddar cheese, jam and pork, then se put butter on top and toast it, when the sandwich is ready is cutted in the half and its being serve in a plate.</t>
  </si>
  <si>
    <t>v_DBGsPnuwdnU</t>
  </si>
  <si>
    <t>People are riding bumper cars on a brown floor.</t>
  </si>
  <si>
    <t>A boy's red bumper car gets stuck on the column.</t>
  </si>
  <si>
    <t>A lady in a black jilbab waves.</t>
  </si>
  <si>
    <t>The lady bumper car collides with a man's.</t>
  </si>
  <si>
    <t>A guy walks across the brown floor.</t>
  </si>
  <si>
    <t>v_PDEUAMa8aOU</t>
  </si>
  <si>
    <t>A man is seen putting products into a woman's hair followed by blow drying her hair and brushing it down.</t>
  </si>
  <si>
    <t>The person then cuts the woman's hair several inches while moving slower in the end.</t>
  </si>
  <si>
    <t>v_Z-6dR4H2dns</t>
  </si>
  <si>
    <t>a group of models are gathered at a car wash.</t>
  </si>
  <si>
    <t>Cars pull in, and the woman are using soap to soap down the cars.</t>
  </si>
  <si>
    <t>They then rinse and wipe the cars clean.</t>
  </si>
  <si>
    <t>v_e8w3gmiv-mM</t>
  </si>
  <si>
    <t>A little boy is playing on the jungle gym while a man talks to him and records.</t>
  </si>
  <si>
    <t>He goes up the stairs and slides down the slide several times.</t>
  </si>
  <si>
    <t>When he is done he goes over and hugs a lady in a wheelchair.</t>
  </si>
  <si>
    <t>v_2Mj26IwwEiY</t>
  </si>
  <si>
    <t>There's a home improvement specialist demonstrating how to remove wallpaper from walls.</t>
  </si>
  <si>
    <t>He starts of by preparing the space by moving furniture away from the walls and covering the furniture with plastic sheets for protection.</t>
  </si>
  <si>
    <t>He also removes the window treatments from windows.</t>
  </si>
  <si>
    <t>He shows how to take precautionary measures with respect to electrical wiring and switches and circuits.</t>
  </si>
  <si>
    <t>Then he shows how to use fans to ventilate the room.</t>
  </si>
  <si>
    <t>He takes a scour and begins to scour the wall paper.</t>
  </si>
  <si>
    <t>He uses a paint roller to soak the wall paper for easy removal.</t>
  </si>
  <si>
    <t>He then demonstrates how steam can be used too to loosen the wall paper.</t>
  </si>
  <si>
    <t>Then he begins to slowly peel off the paper from the wall.</t>
  </si>
  <si>
    <t>He re-wets the surface and uses a flat tool to remove any stubborn wall paper.</t>
  </si>
  <si>
    <t>He finally uses a sponge and soap water to clean the wall to remove any residual wall paper.</t>
  </si>
  <si>
    <t>He shows how to apply primer to prep the wall for painting.</t>
  </si>
  <si>
    <t>Information on how to use these techniques is provided on the Lowe's company website.</t>
  </si>
  <si>
    <t>v_EFtxSXp1pck</t>
  </si>
  <si>
    <t>chef is sanding in front of a coutner with chopped ingredients in different plates and talking to the camera.</t>
  </si>
  <si>
    <t>man spray oil on the pan and add the mix of the eggs and the vegetables.</t>
  </si>
  <si>
    <t>man is standing in the kitchen talking to the camera giving a recipe.</t>
  </si>
  <si>
    <t>v_OzRxQDkrhTg</t>
  </si>
  <si>
    <t>Two teams are on the field playa game trying to score.</t>
  </si>
  <si>
    <t>One of the players on the blue team falls down on the field.</t>
  </si>
  <si>
    <t>Another blue player gets the ball from out of bounds, puts it on the line and hits back into the game.</t>
  </si>
  <si>
    <t>Te coaches start jumping with joy as well as the players.</t>
  </si>
  <si>
    <t>v_ZdwkA72VMKE</t>
  </si>
  <si>
    <t>Two men are shuffling brooms across a floor with another pulling it on a string.</t>
  </si>
  <si>
    <t>One man follows behind and the two shuffling eventually move the puck into a hole.</t>
  </si>
  <si>
    <t>The three men cheer with each other and give each other big hugs.</t>
  </si>
  <si>
    <t>v_K1_g97xCqKg</t>
  </si>
  <si>
    <t>The video begins with a closeup of a tire in an auto shop.</t>
  </si>
  <si>
    <t>The cameraman uses his hand to show a specific spot on the tire and zooms in closer.</t>
  </si>
  <si>
    <t>The man puts down the camera and begins working on the tire.</t>
  </si>
  <si>
    <t>He grabs the camera again to show different screws.</t>
  </si>
  <si>
    <t>The video ends showing both sides of the tire.</t>
  </si>
  <si>
    <t>v_fT7dpRY0DTo</t>
  </si>
  <si>
    <t>The camera pans over the walls of a shower stall.</t>
  </si>
  <si>
    <t>A man plasters and installs tiles on the wall.</t>
  </si>
  <si>
    <t>The man applies grout to the gaps between the tiles.</t>
  </si>
  <si>
    <t>The man measures and cuts a tile for installation in the shower.</t>
  </si>
  <si>
    <t>The man installs the soap dish.</t>
  </si>
  <si>
    <t>Scrolling text is shown on a blue screen.</t>
  </si>
  <si>
    <t>v_TvNNx-ZFfDA</t>
  </si>
  <si>
    <t>There is a facility open just for beer pong games so people can come play.</t>
  </si>
  <si>
    <t>Everyone loves it and is excited to be there around other people that like to play.</t>
  </si>
  <si>
    <t>A lot of different groups are playing and talking about it as well as even playing rock paper scissors to see who gets to go first.</t>
  </si>
  <si>
    <t>Whoever is the winner gets a check at the end of the game.</t>
  </si>
  <si>
    <t>v_zrwpgILg7VI</t>
  </si>
  <si>
    <t>A large group of people are in a mall and are watching people set up an area with a large black floor and a large black wall.</t>
  </si>
  <si>
    <t>Suddenly there are lit up people wearing light suits that are dancing on the black area and they change from 1-7 people, and alternate suit colors from white, then to red and then back to white again.</t>
  </si>
  <si>
    <t>Their light suits go out and the dance is over.</t>
  </si>
  <si>
    <t>v_1oaJBEdY6ao</t>
  </si>
  <si>
    <t>A man driving a moving tractor steps around and looks towards the front.</t>
  </si>
  <si>
    <t>He begins moving again on the machine cutting the grass and steering the instrument.</t>
  </si>
  <si>
    <t>A man on a bike looks onward and laughs and the man eventually steps off.</t>
  </si>
  <si>
    <t>v_nLddpveoSHE</t>
  </si>
  <si>
    <t>A tattooo artist is shown, interspersed with the artists speaking to the camera, giving tattoos.</t>
  </si>
  <si>
    <t>They show various images of their finished work coupled with actiively injecting ink and making designs.</t>
  </si>
  <si>
    <t>v_g3InHLh678M</t>
  </si>
  <si>
    <t>A boy is walking across the stage with helmet and sword.</t>
  </si>
  <si>
    <t>The boy meets another boy where baby faces are shown on their faces.</t>
  </si>
  <si>
    <t>A man showing I'm bald words is above his head.</t>
  </si>
  <si>
    <t>The boys separate as question marks appear over their heads.</t>
  </si>
  <si>
    <t>A description of the video is shown.</t>
  </si>
  <si>
    <t>The boy s continue to spar across the stage.</t>
  </si>
  <si>
    <t>Pretend quotes are shown over their head and they continue to spar.</t>
  </si>
  <si>
    <t>The boy on the left turns into flames and they set back up and continue to spar.</t>
  </si>
  <si>
    <t>The stage lights up green and they separate and come back to spar.</t>
  </si>
  <si>
    <t>The stage lights up blue as silly quotes appear over the boy on the rights head.</t>
  </si>
  <si>
    <t>v__B3Q8bTJWG4</t>
  </si>
  <si>
    <t>A man rides a horse into an arena.</t>
  </si>
  <si>
    <t>He jumps off the horse and ties a calf.</t>
  </si>
  <si>
    <t>He stands up and gets back on his horse.</t>
  </si>
  <si>
    <t>Two people come and lay the calf down on the arena.</t>
  </si>
  <si>
    <t>v_WV_MFi9EZeQ</t>
  </si>
  <si>
    <t>A man is seen speaking to the camera while holding a scraper.</t>
  </si>
  <si>
    <t>He pushes the scraper along the car while speaking to the camera.</t>
  </si>
  <si>
    <t>In the end he slides down into the snow.</t>
  </si>
  <si>
    <t>v_8Ztw2YrUHRE</t>
  </si>
  <si>
    <t>A group of individuals are performing at a Holiday Baton Recital.</t>
  </si>
  <si>
    <t>The girls continue dancing,moving up and down and twirling the baton.</t>
  </si>
  <si>
    <t>The lights begin to flicker and the girls form a straight line in the back of the stage.</t>
  </si>
  <si>
    <t>During the recital,the girls do the same routine but instead of a horizontal line form a vertical one.</t>
  </si>
  <si>
    <t>Once they are done,they move towards the back of the stage and dance off behind the curtains.</t>
  </si>
  <si>
    <t>v_pwPid8YHHpU</t>
  </si>
  <si>
    <t>A man puts on a matador outfit in a room.</t>
  </si>
  <si>
    <t>A matador fights with a bowl using a red cape in a stadium.</t>
  </si>
  <si>
    <t>Boys practice using the red cape together in the arena.</t>
  </si>
  <si>
    <t>People get autographs from the matador and are seen on the street interviewing about the event.</t>
  </si>
  <si>
    <t>The bull runs and charges aft the matador from a distance.</t>
  </si>
  <si>
    <t>The matador cheers to the crowd with his back facing the bull.</t>
  </si>
  <si>
    <t>v_fxyqt18d-jo</t>
  </si>
  <si>
    <t>A man, in black t-shirt, stands alone in a kitchen, talks to a camera in an animated way and prepares a peanut butter and jelly sandwich.</t>
  </si>
  <si>
    <t>The man holds up a jar of peanut butter and a bottle of jelly after pulling out two pieces of bread while standing in front of a kitchen countertop.</t>
  </si>
  <si>
    <t>The man puts jelly and peanut butter on the bread.</t>
  </si>
  <si>
    <t>The man bites into the sandwich, begins talking again, slams the sandwich down on a plate and walks off.</t>
  </si>
  <si>
    <t>v_RZ8r5B69CLY</t>
  </si>
  <si>
    <t>People are shown on a volleyball court as they warm up.</t>
  </si>
  <si>
    <t>The girls volley the ball back and forth over the net.</t>
  </si>
  <si>
    <t>They try to keep the ball from their opponents as the game truly begins.</t>
  </si>
  <si>
    <t>v_h91i2x9Gouk</t>
  </si>
  <si>
    <t>A woman is seen speaking to the camera holding up various mops and presenting them to the camera.</t>
  </si>
  <si>
    <t>She then dips the mops into a bucket and washes them along the floor.</t>
  </si>
  <si>
    <t>She continues speaking while holding up the mops as well as taking them apart and showing how they work.</t>
  </si>
  <si>
    <t>v_V9xuy-rVj9w</t>
  </si>
  <si>
    <t>A group of men and boys are on a snow capped hill.</t>
  </si>
  <si>
    <t>They lob snowballs and ride the cars, then they ski down the hill.</t>
  </si>
  <si>
    <t>They are shown skiing and performing many tricks, spinning and flipping as they go.</t>
  </si>
  <si>
    <t>v_Z9o_h64qVeo</t>
  </si>
  <si>
    <t>We see a boy playing an accordion.</t>
  </si>
  <si>
    <t>The boy slides his hand across the keys.</t>
  </si>
  <si>
    <t>A piece of paper enters the scene on the lower right.</t>
  </si>
  <si>
    <t>The boy finishes and the screen goes black.</t>
  </si>
  <si>
    <t>v_Y_slRMRs18I</t>
  </si>
  <si>
    <t>The hand drills a hole with an electric tool.</t>
  </si>
  <si>
    <t>The hand screws two nail into holes with an electric tool.</t>
  </si>
  <si>
    <t>The person leaves with the electric tool.</t>
  </si>
  <si>
    <t>v_U0jlI70N_DQ</t>
  </si>
  <si>
    <t>Several kids are in a pool playing a game of water polo.</t>
  </si>
  <si>
    <t>One of the girls gets the ball and makes a shot into the net as the crowd cheers.</t>
  </si>
  <si>
    <t>The game resets and the teams begin to play again.</t>
  </si>
  <si>
    <t>v_yqBRp0txs-c</t>
  </si>
  <si>
    <t>Two men are shown speaking at a party playing pong with two other men.</t>
  </si>
  <si>
    <t>The men keep getting the balls into the cups back and fourth and one jumps on the back of the other.</t>
  </si>
  <si>
    <t>v_crz2vi_dguk</t>
  </si>
  <si>
    <t>A sink is covered in filth.</t>
  </si>
  <si>
    <t>A bottle is held up to the camera.</t>
  </si>
  <si>
    <t>The water runs over a sponge.</t>
  </si>
  <si>
    <t>The solution is poured on the sponge and the sink is cleaned.</t>
  </si>
  <si>
    <t>v_LLLuBjEVHI8</t>
  </si>
  <si>
    <t>A teenage boy wearing a white shirt and black track pants is shooting hoops in an outdoor basketball court.</t>
  </si>
  <si>
    <t>There are a few cones arranged around the court.</t>
  </si>
  <si>
    <t>The boy continues running, dribbling and shooting hoops with the basketball.</t>
  </si>
  <si>
    <t>He hits a shot and makes a basket and then stops playing.</t>
  </si>
  <si>
    <t>v_f9eW4rFQG-A</t>
  </si>
  <si>
    <t>A map is shown and then two large fish are shown in the water as a bird floats across the water.</t>
  </si>
  <si>
    <t>Two men are on a boat and they are sailing across the water over fish.</t>
  </si>
  <si>
    <t>An underwater view is then shown and you can see the bottom of the ducks body.</t>
  </si>
  <si>
    <t>Several men and boats are then shown and one mail catches a fish.</t>
  </si>
  <si>
    <t>After, a man dressed in all black is underwater and a water helicopter is shown then the man goes back under water holding the camera and playing with large fish.</t>
  </si>
  <si>
    <t>More are shown and males continue to jump off the boat, and show their findings underwater and dumping water on themselves and another map is shown.</t>
  </si>
  <si>
    <t>v_lvd2InghJOo</t>
  </si>
  <si>
    <t>Two people are playing racquetball .</t>
  </si>
  <si>
    <t>The ball comes around behind the players.</t>
  </si>
  <si>
    <t>They resume playing and jumping.</t>
  </si>
  <si>
    <t>The ball again gets by the players.</t>
  </si>
  <si>
    <t>The man in yellow restarts a new match.</t>
  </si>
  <si>
    <t>The man in blue walks to the window and messes with a sticker.</t>
  </si>
  <si>
    <t>The man in yellow tries to restart a new match.</t>
  </si>
  <si>
    <t>The man in blue hits the ball in the corner and it rolls back.</t>
  </si>
  <si>
    <t>They start another round of racquetball.</t>
  </si>
  <si>
    <t>v_rLCRgksVNE8</t>
  </si>
  <si>
    <t>A girl is getting her nose pierced.</t>
  </si>
  <si>
    <t>The nose is cleaned before the piercing.</t>
  </si>
  <si>
    <t>She talks to the camera.</t>
  </si>
  <si>
    <t>The man pierces her nose.</t>
  </si>
  <si>
    <t>v_Ha5KU-pp4gk</t>
  </si>
  <si>
    <t>A scenery of a residence is shown.</t>
  </si>
  <si>
    <t>A man appears from behind a hedge and he's holding a lime green hedge cutter and he begins to go around his hedges and starts cutting away at them first at the top, then he concentrates on the sides and towards the bottom.</t>
  </si>
  <si>
    <t>The man then moves his hedge cutter and concentrates on the top of the hedges.</t>
  </si>
  <si>
    <t>v_i7rJN34TruM</t>
  </si>
  <si>
    <t>Four people are seen hitting a ball around a gymnasium back and fourth off the wall with a tennis racket.</t>
  </si>
  <si>
    <t>The men continue playing with one another and end by shaking hands with each other.</t>
  </si>
  <si>
    <t>v_ODW0I_ITug0</t>
  </si>
  <si>
    <t>A man is seen standing in front of the camera holding onto a set of bagpipes.</t>
  </si>
  <si>
    <t>The man continues to play while taking breaks here and there and showing text in the end.</t>
  </si>
  <si>
    <t>v_L2jO-evVIRE</t>
  </si>
  <si>
    <t>A woman is seen raking leaves around a lawn while three dogs stand near her and hold toys.</t>
  </si>
  <si>
    <t>The woman continues raking as the dog roam around her with toys and she gradually picks them up and throws them for the dogs.</t>
  </si>
  <si>
    <t>v_MQ7k1wig4jk</t>
  </si>
  <si>
    <t>There are several men playing Foos ball in an indoor room that has wooden panels.</t>
  </si>
  <si>
    <t>They are all engrossed in the game as they hit the ball back and forth.</t>
  </si>
  <si>
    <t>v_b_iUgvzb1-0</t>
  </si>
  <si>
    <t>A woman bends forward extending her left left arm on front and raising her leg up while having the right hand over her shoulder.</t>
  </si>
  <si>
    <t>Then, the woman turns to the left and throw a ball and spin her body.</t>
  </si>
  <si>
    <t>v_4kNx9rVwmAg</t>
  </si>
  <si>
    <t>A woman leads a class of boys and girl in exercise.</t>
  </si>
  <si>
    <t>They use steppers to jump up and down, and side to side.</t>
  </si>
  <si>
    <t>Then they run in place, hopping on and off the steppers.</t>
  </si>
  <si>
    <t>They slow down, cooling off before clapping.</t>
  </si>
  <si>
    <t>v_5ObgpPDmVPA</t>
  </si>
  <si>
    <t>woman is in sea scubadiving and a man is behind her.</t>
  </si>
  <si>
    <t>they are watching the fishes and trunks.</t>
  </si>
  <si>
    <t>men are scuba diving under the sea.</t>
  </si>
  <si>
    <t>v_CikGafc6H_8</t>
  </si>
  <si>
    <t>A group of boys are lined up, playing the drums.</t>
  </si>
  <si>
    <t>A couple of teams are inside the pool.</t>
  </si>
  <si>
    <t>v_asM7fbK_F-U</t>
  </si>
  <si>
    <t>A woman is seen speaking to someone off camera and leads into herself playing the drums.</t>
  </si>
  <si>
    <t>Another man steps into frame and begins playing the drums with a woman.</t>
  </si>
  <si>
    <t>A small child appears in front a bit grabbing onto the woman while she and the man still play drums.</t>
  </si>
  <si>
    <t>v_wOZdXVdiB04</t>
  </si>
  <si>
    <t>A large group of people are seen playing dodgeball against one another and throwing the ball back and fourth.</t>
  </si>
  <si>
    <t>Many people watch the game on the sidelines as people continue to play while some fall and walk in and out of frame.</t>
  </si>
  <si>
    <t>v_9LhMNDcFW_k</t>
  </si>
  <si>
    <t>An Asian woman is standing while holding a card that has gold BYN letters on the back of it.</t>
  </si>
  <si>
    <t>A clip begins to play and it shows various men in a large field playing croquet while spectators look on.</t>
  </si>
  <si>
    <t>A young man is then presented with a large silver cup that is handed to him by an older man.</t>
  </si>
  <si>
    <t>v_goH-zdx5urM</t>
  </si>
  <si>
    <t>A woman lies on her back doing abs.</t>
  </si>
  <si>
    <t>The woman raises her kneed to the chest and pull the head with her hands.</t>
  </si>
  <si>
    <t>Then, the woman stops and a dog approach to her.</t>
  </si>
  <si>
    <t>v_gyCXP8w8GRA</t>
  </si>
  <si>
    <t>A young team of boys are in a gym at a karate match.</t>
  </si>
  <si>
    <t>A woman walks her son out to the mat and begins fixing his mat and preparing him to face his opponent.</t>
  </si>
  <si>
    <t>The two individuals walk up to the mat and the referee gives them the signal to begin.</t>
  </si>
  <si>
    <t>As the boy is being approached,he kicks his opponent in the head.</t>
  </si>
  <si>
    <t>The boy that is kicked falls out on the ground and his mother rushes out to make sure he is okay as the other boy takes a knee.</t>
  </si>
  <si>
    <t>Once the boy is okay,the referee begins making several hand gestures and they conclude the match,the young boy goes to his mother and makes his way to who ever is holding the camera.</t>
  </si>
  <si>
    <t>v_BiIIco4EC2U</t>
  </si>
  <si>
    <t>A blindfolded man is seen sitting at a table with a timer coming on next to him attempting to solve a rubix cube.</t>
  </si>
  <si>
    <t>The man finishes the cube and timer stops while a person standing next to him records his time.</t>
  </si>
  <si>
    <t>Another man is seen walking around in the background while the camera pans around to more people solving cubes.</t>
  </si>
  <si>
    <t>v_9hYyE1gofFQ</t>
  </si>
  <si>
    <t>A girl is shown on the gymnastics floor preparing to do a baton routine.</t>
  </si>
  <si>
    <t>The routine begins as she starts to dance around the floor and twirl her batons.</t>
  </si>
  <si>
    <t>The routine ends an she runs off the stage as the crowd cheers.</t>
  </si>
  <si>
    <t>v_IucYlH_gAic</t>
  </si>
  <si>
    <t>A person is seen moving themselves along the water while also being shown in slow motion.</t>
  </si>
  <si>
    <t>The person pushes themselves under the water and continues moving underneath.</t>
  </si>
  <si>
    <t>The camera captures the man from several angles.</t>
  </si>
  <si>
    <t>v_b7_ok8iTlT8</t>
  </si>
  <si>
    <t>There are distant view shots of areas around Los Angeles, Hollywood, and surrounding areas.</t>
  </si>
  <si>
    <t>A man then talks behind a table full of ingredients and cooking utensils.</t>
  </si>
  <si>
    <t>The man then shows off some of his vegetables and ingredients and smells them.</t>
  </si>
  <si>
    <t>He starts cooking by squeezing a lemon into a bowl of soaked vegetables.</t>
  </si>
  <si>
    <t>Then, he puts onions, lemon juice, pepper, oil, which he smells, and some other vegetables on a plate.</t>
  </si>
  <si>
    <t>He then shreds cheese onto a place with a shredder.</t>
  </si>
  <si>
    <t>He puts the shredded cheese onto the original plate.</t>
  </si>
  <si>
    <t>After, he picks some herbs and places them on a plate.</t>
  </si>
  <si>
    <t>He then adds salt and more pepper to the original plate.</t>
  </si>
  <si>
    <t>He then talks about a bottle of oil and adds some to the original plate.</t>
  </si>
  <si>
    <t>He also adds a different type of oil to the plate.</t>
  </si>
  <si>
    <t>There are then different clips and angles of the finished food plate.</t>
  </si>
  <si>
    <t>v_bJ1vEQKX-hE</t>
  </si>
  <si>
    <t>A man completes a large set of push-ups and then introduces the concepts of dodgeball.</t>
  </si>
  <si>
    <t>A graphic is shown of the court.</t>
  </si>
  <si>
    <t>The two teams line up to play against one another.</t>
  </si>
  <si>
    <t>The concepts of ruling people out and blocking the ball are introduced.</t>
  </si>
  <si>
    <t>The teams congratulate each other, showing sportsmanship.</t>
  </si>
  <si>
    <t>More rules are shown on the screen, highlighting player safety.</t>
  </si>
  <si>
    <t>v_pxfc6AIPrig</t>
  </si>
  <si>
    <t>A person is seen in several different shots performing tricks along the water while others ride around him.</t>
  </si>
  <si>
    <t>The man continues to perform tricks along the water and ends with the video fading to black.</t>
  </si>
  <si>
    <t>v_twQbAuWVxlU</t>
  </si>
  <si>
    <t>A green figures walks down the street.</t>
  </si>
  <si>
    <t>An endless stream of other green figures appear.</t>
  </si>
  <si>
    <t>Each of the figures is walking a dog.</t>
  </si>
  <si>
    <t>The clip seems to be a loop.</t>
  </si>
  <si>
    <t>v_icGrJ2XBxa0</t>
  </si>
  <si>
    <t>People are sitting in kayaks on a river.</t>
  </si>
  <si>
    <t>They are rowing their oars.</t>
  </si>
  <si>
    <t>People are standing on the beach with medals around their necks.</t>
  </si>
  <si>
    <t>v_Nq6cd5Xue9Q</t>
  </si>
  <si>
    <t>We see a man running on a track.</t>
  </si>
  <si>
    <t>The man uses a long stick to perform a long jump.</t>
  </si>
  <si>
    <t>We then see the man attempt and fail the long jump repeatedly.</t>
  </si>
  <si>
    <t>We see the man's shirt get stuck on the pole.</t>
  </si>
  <si>
    <t>v_NfTfLk1D-tI</t>
  </si>
  <si>
    <t>A close up of drums are seen followed by a person walking into frame.</t>
  </si>
  <si>
    <t>The person sits down in front of the drums and begins playing them continuously.</t>
  </si>
  <si>
    <t>The man continues playing the drums faster and faster while the camera captures his movements.</t>
  </si>
  <si>
    <t>v_NjFxN3xQqeY</t>
  </si>
  <si>
    <t>A man is seen pushing a lawn mower along a yard and moving the machine all around the yard.</t>
  </si>
  <si>
    <t>Another man is seen grabbing a machine out of a truck as the other man continues to mow the lawn.</t>
  </si>
  <si>
    <t>v_8VYre-lXqIo</t>
  </si>
  <si>
    <t>A pregnant woman is slowly moving in a room.</t>
  </si>
  <si>
    <t>She moves side to side as she goes.</t>
  </si>
  <si>
    <t>She lifts her feet and arms, doing several martial arts moves.</t>
  </si>
  <si>
    <t>v_jQ2UoAENwlw</t>
  </si>
  <si>
    <t>A man is seen sitting on a chair look nervously at the camera while another man sits behind him.</t>
  </si>
  <si>
    <t>The man then begins tattooins the man's chest and the man looks up into the camera every now and then.</t>
  </si>
  <si>
    <t>v_W74AfHdwWhM</t>
  </si>
  <si>
    <t>There is a woman shown throwing knives into wood and taking them out.</t>
  </si>
  <si>
    <t>In the end the other people who are there all sit down and eat popsicles.</t>
  </si>
  <si>
    <t>v_uAKyRSEaY1s</t>
  </si>
  <si>
    <t>A man wearing a grey t-shirt stands at a desk with a computer monitor displaying a timer.</t>
  </si>
  <si>
    <t>The man holds a Rubik's Cube and starts the timer as he starts to solve the Rubik's Cube.</t>
  </si>
  <si>
    <t>As the man completes the Rubik's Cube he drops the puzzle and stops the timer at 26 seconds.</t>
  </si>
  <si>
    <t>v_gOe72cTd0IA</t>
  </si>
  <si>
    <t>We see a black opening title screen.</t>
  </si>
  <si>
    <t>We see a boat floating in the ocean and people sitting on the boat.</t>
  </si>
  <si>
    <t>Three people are underwater in diving gear looking at the sealife.</t>
  </si>
  <si>
    <t>We see a man and a woman swimming together and the lady waves at the camera.</t>
  </si>
  <si>
    <t>The lady makes an explosion sign with her hands and waves.</t>
  </si>
  <si>
    <t>The lady takes her mouth piece out and shrugs her shoulders.</t>
  </si>
  <si>
    <t>We see the people back on the boat and the man and the girl hug each other.</t>
  </si>
  <si>
    <t>We see a balloon high in the sky.</t>
  </si>
  <si>
    <t>v_H3pQJc8d8H8</t>
  </si>
  <si>
    <t>Three men in white are doing karate moves in a room.</t>
  </si>
  <si>
    <t>They do a few kicks in the air.</t>
  </si>
  <si>
    <t>Two of the men start fighting each other.</t>
  </si>
  <si>
    <t>v_leJM3mgm_gU</t>
  </si>
  <si>
    <t>A large, blue ball is tossed in the air.</t>
  </si>
  <si>
    <t>A child runs to catch a blue, large ball.</t>
  </si>
  <si>
    <t>The child falls on the lawn.</t>
  </si>
  <si>
    <t>v_UsexiHSzIQI</t>
  </si>
  <si>
    <t>A woman comes onto the screen to introduce a video about working out.</t>
  </si>
  <si>
    <t>The same woman is shown as she teaches a spin class with several participants.</t>
  </si>
  <si>
    <t>She takes a break from the bike and does tome abdominal exercises on the floor.</t>
  </si>
  <si>
    <t>The video ends with the closing credit shown at the end.</t>
  </si>
  <si>
    <t>v_0w2XFd-Q9Eg</t>
  </si>
  <si>
    <t>A person sits on front a laptop and a cube puzzle.</t>
  </si>
  <si>
    <t>Then, the person solves a cube puzzle.</t>
  </si>
  <si>
    <t>After, the person solves the cube puzzle puts it on the laptop.</t>
  </si>
  <si>
    <t>v_MHAS5TK2eW0</t>
  </si>
  <si>
    <t>A group of people are exercizing in an aerobics class.</t>
  </si>
  <si>
    <t>They are using a stepper, dancing and jumping on and off the equipment.</t>
  </si>
  <si>
    <t>v_AWryNQMbcd8</t>
  </si>
  <si>
    <t>Two small children are seen outside by a swingset.</t>
  </si>
  <si>
    <t>One swings back and fourth while the other stands on the side.</t>
  </si>
  <si>
    <t>One man kicks the other boy and he bends over.</t>
  </si>
  <si>
    <t>v_ZW46Rcuhqac</t>
  </si>
  <si>
    <t>Beer and other alcohol is shown on a counter in a kitchen.</t>
  </si>
  <si>
    <t>A man takes a pitcher of beer and begins talking to the camera.</t>
  </si>
  <si>
    <t>The man proceeds to drink the entire pitcher of beer.</t>
  </si>
  <si>
    <t>v_oNc2lJ9hV9E</t>
  </si>
  <si>
    <t>A lady speaks in a kitchen with a medal on the screen and we see shots of cake and cooking.</t>
  </si>
  <si>
    <t>We see the lady make a cake and give instructions.</t>
  </si>
  <si>
    <t>The lady takes and prepares her cake pans.</t>
  </si>
  <si>
    <t>The lady mixes her dry ingredients then mixes them in the mixer with red food coloring and pours them into cake pans cooks and cools them on racks.</t>
  </si>
  <si>
    <t>The lady makes frosting in the mixer and puts frosting in between the layers of cake and on top.</t>
  </si>
  <si>
    <t>The lady cuts the cake and we see the ending title screen.</t>
  </si>
  <si>
    <t>v_fghAmraOM9A</t>
  </si>
  <si>
    <t>A woman wearing a protective helmet speaks to the camera while standing outdoors next to a palm tree.</t>
  </si>
  <si>
    <t>The woman is standing on a sidewalk wearing rollerblades and protective gear.</t>
  </si>
  <si>
    <t>The woman speaks to the camera and demonstrates different techniques of skating down the sidewalk.</t>
  </si>
  <si>
    <t>v_g5rkuDdjRVI</t>
  </si>
  <si>
    <t>We see two boys on a train talking.</t>
  </si>
  <si>
    <t>It gets dark in a tunnel.</t>
  </si>
  <si>
    <t>Someone throws something at a boy.</t>
  </si>
  <si>
    <t>We see the boys riding skateboards down a residential street.</t>
  </si>
  <si>
    <t>A man rides downhill backwards.</t>
  </si>
  <si>
    <t>We see a boy fall off his skateboard.</t>
  </si>
  <si>
    <t>We see a number three on a wall.</t>
  </si>
  <si>
    <t>We see a person jump off their skateboard.</t>
  </si>
  <si>
    <t>v_7iTrw4kr8e0</t>
  </si>
  <si>
    <t>An intro leads into a woman looking into the mirror and putting makeup on.</t>
  </si>
  <si>
    <t>She puts glasses and looks down at the mirror.</t>
  </si>
  <si>
    <t>She turns herself away and ends with a logo shown.</t>
  </si>
  <si>
    <t>v_5SyvdU5LWPk</t>
  </si>
  <si>
    <t>A group of lacrosse players are shown on a field.</t>
  </si>
  <si>
    <t>They run around, trying to get the ball away from each other.</t>
  </si>
  <si>
    <t>They are shown playing in slow motion.</t>
  </si>
  <si>
    <t>v_9qJbSz-eCq0</t>
  </si>
  <si>
    <t>A man wearing a plastic head covering is shown eating ice cream.</t>
  </si>
  <si>
    <t>We see the inside of a plant, where cookies are crushed and put into containers of vanilla ice cream, then sorted.</t>
  </si>
  <si>
    <t>Ice cream fills the pints, and is mixed in a giant vault before other ingredients are added and the pints filled.</t>
  </si>
  <si>
    <t>We then see popsicles being created, before a man and woman are shown eating the treats.</t>
  </si>
  <si>
    <t>v_goLVOzKw4U8</t>
  </si>
  <si>
    <t>A man wearing gloves holds a pair of pliers and putting an object in between.</t>
  </si>
  <si>
    <t>He sparks the object to create a flame and puts his mask on to protect himself.</t>
  </si>
  <si>
    <t>He continues flaming the object and shows off what he has burned.</t>
  </si>
  <si>
    <t>v__pYDg0B6_tw</t>
  </si>
  <si>
    <t>A boy jumps on a diving board high.</t>
  </si>
  <si>
    <t>Then, the boy jumps and flips three time, but falls on his back making a big splash.</t>
  </si>
  <si>
    <t>v_MD6p1s-N9rM</t>
  </si>
  <si>
    <t>A young man irons a shirt on an ironing board in a hallway.</t>
  </si>
  <si>
    <t>The man adjusts the camera and returns to ironing.</t>
  </si>
  <si>
    <t>The man finishes ironing and turns the camera away.</t>
  </si>
  <si>
    <t>v_cWrOETjOOTc</t>
  </si>
  <si>
    <t>A man in a red shirt is kneeling down.</t>
  </si>
  <si>
    <t>Another man in a black shirt is standing up in front of him.</t>
  </si>
  <si>
    <t>They are fixing something on a bike.</t>
  </si>
  <si>
    <t>v_CpxGRgJgRPA</t>
  </si>
  <si>
    <t>A woman explains how to wrap a box with gift paper.</t>
  </si>
  <si>
    <t>Then, the woman cuts the paper and wraps around the box using tape.</t>
  </si>
  <si>
    <t>After, the woman folds the sides of the paper and cutting a piece to fit the box, then put tape to joint the ends while explaining.</t>
  </si>
  <si>
    <t>v_U-VzZQGWOqA</t>
  </si>
  <si>
    <t>A young girl is seen licking an ice cream cone while the camera watching her eat.</t>
  </si>
  <si>
    <t>She continues eating the ice cream cone and looking off into the distance.</t>
  </si>
  <si>
    <t>v_Ck0IhZZI5CA</t>
  </si>
  <si>
    <t>A man in jeans and tshirt rolls a paint roller in the tray.</t>
  </si>
  <si>
    <t>The man applies more paint to the fence with a roller and getting more paint until he lifts the roller and is pleased.</t>
  </si>
  <si>
    <t>The man gets more paint on his brush from the tray.</t>
  </si>
  <si>
    <t>The man finishes painting the section of fence and then sets down his roller.</t>
  </si>
  <si>
    <t>v_B2_qciB7U1Q</t>
  </si>
  <si>
    <t>Several people are longboarding and biking down a hill.</t>
  </si>
  <si>
    <t>A person has a white glove and is holding onto the person in front of them.</t>
  </si>
  <si>
    <t>Words go on the screen at the end.</t>
  </si>
  <si>
    <t>v_Ga-6wy0Nboo</t>
  </si>
  <si>
    <t>man is snowboarding going down a hill sliding in zigzags passing small flags.</t>
  </si>
  <si>
    <t>man is talking to the camera in a dark room.</t>
  </si>
  <si>
    <t>man is snowboarding on the snowy slope and a video is showing the right position of the body when going side to side.</t>
  </si>
  <si>
    <t>v_peaOnHl5YS8</t>
  </si>
  <si>
    <t>A man and daughter are seen sliding into frame wearing only socks and a long shirt.</t>
  </si>
  <si>
    <t>The two are seen holding mops and begin singing with one another.</t>
  </si>
  <si>
    <t>The two continue to dance around and sing with each other.</t>
  </si>
  <si>
    <t>v_kvqX0QOgYDc</t>
  </si>
  <si>
    <t>Scuba diver swim and glide underwater in the ocean near a rock face.</t>
  </si>
  <si>
    <t>The scuba divers make hand gestures and joke.</t>
  </si>
  <si>
    <t>The men swim up close into view.</t>
  </si>
  <si>
    <t>v_SnFWB9NLFjY</t>
  </si>
  <si>
    <t>A close up of skis are shown followed by a person pushing themselves along using sticks and skiing down the mountain.</t>
  </si>
  <si>
    <t>The person continuously riding down on the mountain using the skis and zooming past people and stopping at the bottom.</t>
  </si>
  <si>
    <t>v_5pzCqex6S48</t>
  </si>
  <si>
    <t>A man is seen standing ready and putting his arms up by his sides.</t>
  </si>
  <si>
    <t>The man then jumps onto a set of uneven bars and begins performing a gymnastics routine.</t>
  </si>
  <si>
    <t>The man spins himself all around and ends by jumping off the side with his arms up.</t>
  </si>
  <si>
    <t>v_LB2P_KH0W2I</t>
  </si>
  <si>
    <t>Two women are washing dishes in the kitchen.</t>
  </si>
  <si>
    <t>They go back and forth over the kitchen.</t>
  </si>
  <si>
    <t>The scene is in very fast motion.</t>
  </si>
  <si>
    <t>v_Zf3RcqHO82M</t>
  </si>
  <si>
    <t>A man and woman are sitting on a stage together.</t>
  </si>
  <si>
    <t>They are talking about the tango dance.</t>
  </si>
  <si>
    <t>They spin and twirl before an audience.</t>
  </si>
  <si>
    <t>v_XPwpA67qHjA</t>
  </si>
  <si>
    <t>A news story is given about walking a slackline.</t>
  </si>
  <si>
    <t>People of all levels walk, lie, and meditate on the rope.</t>
  </si>
  <si>
    <t>Some people walk over oncoming canoers.</t>
  </si>
  <si>
    <t>v_rdszlTqxBXs</t>
  </si>
  <si>
    <t>A woman put lipstick on her lips on front a mirror.</t>
  </si>
  <si>
    <t>Then She laugh with other teens next to her.</t>
  </si>
  <si>
    <t>v_QU5R75IyQow</t>
  </si>
  <si>
    <t>A man is talking to a camera in his bathroom.</t>
  </si>
  <si>
    <t>He is then shown brushing, spraying, and styling a woman's hair before braiding it.</t>
  </si>
  <si>
    <t>she poses for the camera when he is finished.</t>
  </si>
  <si>
    <t>v_Mkljhl3D9-Q</t>
  </si>
  <si>
    <t>The man instructs four women on cooking.</t>
  </si>
  <si>
    <t>The man adds oil, onions, garlic, and peppers to a pot.</t>
  </si>
  <si>
    <t>The man adds clams to the pot.</t>
  </si>
  <si>
    <t>The man adds broth to the pot.</t>
  </si>
  <si>
    <t>The man boils pasta in a separate pot.</t>
  </si>
  <si>
    <t>The women gather around a pot to see the pasta.</t>
  </si>
  <si>
    <t>The man finishes the sauce and pours it in a pot.</t>
  </si>
  <si>
    <t>The man adds the pasta.</t>
  </si>
  <si>
    <t>The man adds the pasta to the plate.</t>
  </si>
  <si>
    <t>The women try the pasta dish.</t>
  </si>
  <si>
    <t>Everyone laughs and seems happy.</t>
  </si>
  <si>
    <t>The man starts calling out tickets.</t>
  </si>
  <si>
    <t>The women cook the dish that the man had just taught them to make.</t>
  </si>
  <si>
    <t>The man helps them and gives them pointers.</t>
  </si>
  <si>
    <t>The women look anxious as they try to cook.</t>
  </si>
  <si>
    <t>The waiters start serving the plates.</t>
  </si>
  <si>
    <t>v_aYC7F72n924</t>
  </si>
  <si>
    <t>A construction worker is standing in a building, holding a mop and bucket.</t>
  </si>
  <si>
    <t>He shows off the bucket and solution, then mops the floor in a demonstration.</t>
  </si>
  <si>
    <t>He gets the floor completely clean and shiny before standing to one side.</t>
  </si>
  <si>
    <t>v_wM7FmqEj4PY</t>
  </si>
  <si>
    <t>woman is standing in a living room holding an iron.</t>
  </si>
  <si>
    <t>woman wearing a pink shirt is ironing a blue shirt.</t>
  </si>
  <si>
    <t>quiet living room is with old furnitures.</t>
  </si>
  <si>
    <t>v_f0cxC1B5cbw</t>
  </si>
  <si>
    <t>A woman is raking leaves into a large pile.</t>
  </si>
  <si>
    <t>A man is running a lawn mower over leaves.</t>
  </si>
  <si>
    <t>He puts some of the leaves into a garden bed.</t>
  </si>
  <si>
    <t>v_TSIz-6s4OeY</t>
  </si>
  <si>
    <t>A woman is seen speaking to the camera and leads into her ironing a pair of pants.</t>
  </si>
  <si>
    <t>The woman continues ironing the pants while moving the iron up and down.</t>
  </si>
  <si>
    <t>v_daDd48y4x0g</t>
  </si>
  <si>
    <t>We see lots of plate of fancy food.</t>
  </si>
  <si>
    <t>We then zoom in on the plates.</t>
  </si>
  <si>
    <t>We see a shadow on the plates.</t>
  </si>
  <si>
    <t>A man on the right picks up a few plates.</t>
  </si>
  <si>
    <t>v_t6trrsdhMEc</t>
  </si>
  <si>
    <t>A woman wearing workout gear is standing upright and hanging onto a very long punching bag.</t>
  </si>
  <si>
    <t>Suddenly the woman jumps up and straddles the bag.</t>
  </si>
  <si>
    <t>Slowly, the woman drops her upper half of her body while still straddling the bag, and does 5 sit ups while the bag swings with her.</t>
  </si>
  <si>
    <t>The woman holds onto the bag, smiles, then jumps off.</t>
  </si>
  <si>
    <t>v_4UIAc9irBLs</t>
  </si>
  <si>
    <t>A woman and a young girl swim in a pool.</t>
  </si>
  <si>
    <t>The young girl holds on to the woman as she swims.</t>
  </si>
  <si>
    <t>The young girl lets go and swims near the woman.</t>
  </si>
  <si>
    <t>The young girl and the woman hold hands and swim to the surface of the pool.</t>
  </si>
  <si>
    <t>The woman holds on to the girl.</t>
  </si>
  <si>
    <t>v_dRiIYsAmNAc</t>
  </si>
  <si>
    <t>A large group of people are seen running around a sandy pit kicking a soccer ball around.</t>
  </si>
  <si>
    <t>The people continue playing soccer with one another and wait for a call in the end.</t>
  </si>
  <si>
    <t>v_ZIHD-3iWCrE</t>
  </si>
  <si>
    <t>A woman is holding a kitten in her lap.</t>
  </si>
  <si>
    <t>A guy is clipping the nails on the cat.</t>
  </si>
  <si>
    <t>v_-QuFk_ThRNg</t>
  </si>
  <si>
    <t>Two bodybuilder women are seated at a table.</t>
  </si>
  <si>
    <t>They are arm wrestling, vieing to win.</t>
  </si>
  <si>
    <t>When there is a victor, the two women shake hands.</t>
  </si>
  <si>
    <t>v_S3OJBVHL9y8</t>
  </si>
  <si>
    <t>The green and white team gets off the floor.</t>
  </si>
  <si>
    <t>The green and white team are pulling the rope in a tug of war contest.</t>
  </si>
  <si>
    <t>The red and black team are pulling the rope in a tug of war contest.</t>
  </si>
  <si>
    <t>The green and white team are repeatedly taking steps and the audience is cheering.</t>
  </si>
  <si>
    <t>The green and white team are standing holding the rope.</t>
  </si>
  <si>
    <t>v_7hEUl8lziZs</t>
  </si>
  <si>
    <t>A man in a yellow shirt is on his knees layering cement on the floor.</t>
  </si>
  <si>
    <t>He stops for a second and looks up.</t>
  </si>
  <si>
    <t>The man goes back to layering the floor with cement.</t>
  </si>
  <si>
    <t>v_259K1wC2IMk</t>
  </si>
  <si>
    <t>A young boy is seen pulling a mop out of a bucket followed by him pushing the mop across the floor.</t>
  </si>
  <si>
    <t>The camera pans to a woman in the distance and the boy continuing to push the mop along the floor.</t>
  </si>
  <si>
    <t>v_CTxuJBTp_CQ</t>
  </si>
  <si>
    <t>A person spreads out the branches on a Christmas tree.</t>
  </si>
  <si>
    <t>The person drapes shiny tinsel strands around the tree.</t>
  </si>
  <si>
    <t>The person hangs Christmas bulbs on the tree.</t>
  </si>
  <si>
    <t>A child comes and watches the person decorating the tree then runs around playing.</t>
  </si>
  <si>
    <t>The person rolls up a sheer piece of fabric to put away.</t>
  </si>
  <si>
    <t>v_9qFwSM8QLIE</t>
  </si>
  <si>
    <t>Various crowd scenes at a bullfight arena are shown.</t>
  </si>
  <si>
    <t>Matadors walk out into the ring area.</t>
  </si>
  <si>
    <t>A parade of horses and riders is shown.</t>
  </si>
  <si>
    <t>Scenes of matadors interacting with bulls are shown.</t>
  </si>
  <si>
    <t>The crowd cheers for a matador.</t>
  </si>
  <si>
    <t>Matadors are hoisted on people's shoulders and paraded.</t>
  </si>
  <si>
    <t>v_l_Y_Xns6SpE</t>
  </si>
  <si>
    <t>The woman is leaning on the pool table focusing on the ball.</t>
  </si>
  <si>
    <t>The woman hit the ball and cheered .</t>
  </si>
  <si>
    <t>The woman hit the ball again and started jumping.</t>
  </si>
  <si>
    <t>v_Lyi8-hf1rCw</t>
  </si>
  <si>
    <t>A man in a a leotard is blowing in his hands getting himself warmed up to start running.</t>
  </si>
  <si>
    <t>Once he starts he goes super fast jumping up and into the sand.</t>
  </si>
  <si>
    <t>They show a replay of his run and land in slow motion.</t>
  </si>
  <si>
    <t>When he is done he walks around the arena while being followed by a camera.</t>
  </si>
  <si>
    <t>v_NOXPH0_y4Ww</t>
  </si>
  <si>
    <t>a little girl is standing in a kitchen and starts squeeze a lemon into a water bowl, a person is standing by her side.</t>
  </si>
  <si>
    <t>lttle girl suck her finger and smile while a woman walks throug kitchen and puts something in the counter.</t>
  </si>
  <si>
    <t>little girl is standing in the kitchen with her mouth open and play with her hair.</t>
  </si>
  <si>
    <t>the girl starts walking an sit in fronts of a counter with a bowl of fruits and talk to the camera, walks again in the kitchen and keep aqueezing lemons in the water bowl, woman starts helping her.</t>
  </si>
  <si>
    <t>woman clean her hands in the sink and the girl walks in the kitchen and keep squeezing the lemons.</t>
  </si>
  <si>
    <t>v_XI6sjZg9Yeg</t>
  </si>
  <si>
    <t>A man is seen laying floor down on the ground using a machine and others helping.</t>
  </si>
  <si>
    <t>Several shots are shown of the men pushing down the floor and using a torch underneath to keep it in place.</t>
  </si>
  <si>
    <t>The man continue working while showing the steam on the hot mats and the finished roof with done.</t>
  </si>
  <si>
    <t>v_liNIRD7YwFQ</t>
  </si>
  <si>
    <t>A large wave is crashing toward the shore.</t>
  </si>
  <si>
    <t>A surfer is shown tearing through the water.</t>
  </si>
  <si>
    <t>A rainbow appears, then we see boats on the beach and more surfers in the waves.</t>
  </si>
  <si>
    <t>v_p800u2wCKbE</t>
  </si>
  <si>
    <t>A news reporter is talking about a local fund raiser held by a nursery school.</t>
  </si>
  <si>
    <t>There are several people gathered to support the cause.</t>
  </si>
  <si>
    <t>There is a lemonade stand set up where people are purchasing lemonade to donate money for a cause.</t>
  </si>
  <si>
    <t>One of the parents is talking to the news reporter about the fund raiser.</t>
  </si>
  <si>
    <t>Three more parents are standing are chatting as they sip lemonade.</t>
  </si>
  <si>
    <t>A picture the girl, Hannah is shown for whom the fund raiser was held.</t>
  </si>
  <si>
    <t>v_bR62246z9qA</t>
  </si>
  <si>
    <t>Cheerleaders with their hands in do a cheer.</t>
  </si>
  <si>
    <t>They go on the floor and stand still.</t>
  </si>
  <si>
    <t>They perform a cheer leading routine.</t>
  </si>
  <si>
    <t>Four girls are lifted and hold their legs.</t>
  </si>
  <si>
    <t>Two girls are lifted in the air and two girls are flipped then two girls lift the two girls.</t>
  </si>
  <si>
    <t>Four girls are lifted and hold two other girls up and a third is added.</t>
  </si>
  <si>
    <t>Two girls in the front held up a red sign.</t>
  </si>
  <si>
    <t>Three girls are lifted and they each hold another girl on their shoulders.</t>
  </si>
  <si>
    <t>v_nO2tXrQDD8I</t>
  </si>
  <si>
    <t>Several individuals play against each other in a table football match.</t>
  </si>
  <si>
    <t>Two individuals walk by in the background.</t>
  </si>
  <si>
    <t>Another two individuals walk by in the background.</t>
  </si>
  <si>
    <t>v_rcrhyi2EzZc</t>
  </si>
  <si>
    <t>Two young kids are his mother are standing in a kitchen washing dishes.</t>
  </si>
  <si>
    <t>The little girl takes a blue sponge cleans her dish and then gets down and begins walking around.</t>
  </si>
  <si>
    <t>Both the mother and son are still at the sink and she stands besides him and helps him clean his dish as well.</t>
  </si>
  <si>
    <t>v_Y9wrTRY3mUI</t>
  </si>
  <si>
    <t>A group of people, children and families live, travel, and ice fish on a vast ice and snow covered piece of land.</t>
  </si>
  <si>
    <t>A group of men and a woman talk to a camera while showcasing fish caught and live fishing in ice holes on a snow and ice covered terrain.</t>
  </si>
  <si>
    <t>Several people fish in ice holes with children nearby while other drive across the ice terrain.</t>
  </si>
  <si>
    <t>Fish are shown , local animals native to the area, toilets, cars on the ice, children, people holding fish just caught and ice holes where the fish are coming from along with dogs pulling snow sleds.</t>
  </si>
  <si>
    <t>v_mhPpeG3LrUk</t>
  </si>
  <si>
    <t>A girl is seen sitting outdoors and holding up a bottle of sunscreen while speaking to the camera.</t>
  </si>
  <si>
    <t>The girl then shakes up the bottle, pours it into her hands, and rubs it all over her body.</t>
  </si>
  <si>
    <t>v_x4qwV0Ti1Og</t>
  </si>
  <si>
    <t>A large track is shown with several people riding down on tubes at once.</t>
  </si>
  <si>
    <t>A man records a close up of a tube and pushing it into a woman standing in the snow.</t>
  </si>
  <si>
    <t>She begins talking on her phone and the same clip is shown again in slow motion.</t>
  </si>
  <si>
    <t>v_8bX1g0mefzM</t>
  </si>
  <si>
    <t>A woman talks showing a shoe, then she cleans it with a cloth.</t>
  </si>
  <si>
    <t>The woman puts oil in a cloth and polish the shoe.</t>
  </si>
  <si>
    <t>Then, the woman takes shoe polish and apply to the shoe.</t>
  </si>
  <si>
    <t>v_o-S8I8lhQpo</t>
  </si>
  <si>
    <t>A woman is parasailing in the ocean.</t>
  </si>
  <si>
    <t>She goes through tough waves.</t>
  </si>
  <si>
    <t>She goes over a large wave, which knocks her over.</t>
  </si>
  <si>
    <t>v_7ToBC5eGg38</t>
  </si>
  <si>
    <t>A young woman is seen standing on a court wearing a hat and holding a tennis racket.</t>
  </si>
  <si>
    <t>The girl then throws the ball up into the air and hits it off into the distance.</t>
  </si>
  <si>
    <t>She looks back and smiles to the camera.</t>
  </si>
  <si>
    <t>v_U20a95sHi8E</t>
  </si>
  <si>
    <t>A close up of a car is seen followed by people walking into frame and washing the car.</t>
  </si>
  <si>
    <t>The people clean the exterior as well as interior and roll the car outside.</t>
  </si>
  <si>
    <t>They park the car and continue to wipe it down followed by drying it off in the end.</t>
  </si>
  <si>
    <t>v_r4kC4AHDIH8</t>
  </si>
  <si>
    <t>People on a river bank get on inflated boats and raft in a river with choppy waters.</t>
  </si>
  <si>
    <t>Two men are on a red canoe.</t>
  </si>
  <si>
    <t>A group of rafters go down the river while, also people in canoes raft.</t>
  </si>
  <si>
    <t>The rafters arrive to calm waters, then a team celebrates a victory.</t>
  </si>
  <si>
    <t>v_0acEl97ZBME</t>
  </si>
  <si>
    <t>A camera pans up to a man sitting and smoking a cigarette.</t>
  </si>
  <si>
    <t>Another man walks over with a cart and begins digging through trash.</t>
  </si>
  <si>
    <t>The man smoking cigarettes begins talking to the homeless man about how life sucks and how he can relate to the homeless man.</t>
  </si>
  <si>
    <t>v_jcaOoRM6J80</t>
  </si>
  <si>
    <t>We see outdoor images then a man in a kitchen.</t>
  </si>
  <si>
    <t>We see ingredients on a table.</t>
  </si>
  <si>
    <t>The man mixes the ingredients in a mixer bowl.</t>
  </si>
  <si>
    <t>The man stirs the mix then turns the mixer back on.</t>
  </si>
  <si>
    <t>The man mixes the mix and pours it into cake pans.</t>
  </si>
  <si>
    <t>The man taps the pans then puts the cake in the oven.</t>
  </si>
  <si>
    <t>We see cookware, cupcakes, and the man cooking.</t>
  </si>
  <si>
    <t>Then see the bright end screen.</t>
  </si>
  <si>
    <t>v_9uieGqu2TYA</t>
  </si>
  <si>
    <t>A black intro screen appears and it contains white words that say "Named Gymnastic Elements Parallel bars", then "MUSIC: Nightwish Where were you last night", and the last screen includes foreign words an email and a website.</t>
  </si>
  <si>
    <t>Various short clips of different men on different parallel bars in gymnasiums are doing handstands, swinging on them and doing various other tricks as spectators look on.</t>
  </si>
  <si>
    <t>The last man on the parallel bars seems to be practicing in a gym with no large group of spectators looking on.</t>
  </si>
  <si>
    <t>v_CLbEvGHmK8k</t>
  </si>
  <si>
    <t>A group of people perform simple step aerobics out on a sunny day.</t>
  </si>
  <si>
    <t>The aerobics instructor has the class switch to a new aerobics move in which the group dances their arms out in front of them and incorporate clapping as they take steps.</t>
  </si>
  <si>
    <t>Their next move is placing their hands up towards the sky as they take a step.</t>
  </si>
  <si>
    <t>v_JMrfe-UVA0Y</t>
  </si>
  <si>
    <t>man is standing in front of a screen talking to the camera.</t>
  </si>
  <si>
    <t>a woman is playing with a cat and its in table with a nail clipper cutting the cat's nails.</t>
  </si>
  <si>
    <t>v_5gaobaT6K1A</t>
  </si>
  <si>
    <t>A woman is seen riding off a bull when the bull knocks her off and others run in to help.</t>
  </si>
  <si>
    <t>Several more people are shown attempting to taunt the bull and end by getting hurt and others helping.</t>
  </si>
  <si>
    <t>v_P6ijX0vabJs</t>
  </si>
  <si>
    <t>A close up of an instrument is shown followed by a woman sitting into frame and speaking to the camera.</t>
  </si>
  <si>
    <t>She then picks up the flute and begins playing it and pausing to speak in between.</t>
  </si>
  <si>
    <t>She plays the instrument again and pauses to put it down and speak to the camera.</t>
  </si>
  <si>
    <t>v__m8WprCWHF4</t>
  </si>
  <si>
    <t>A black screen appears and quickly white words fly across it and they say "Here it comes Set for full Screen".</t>
  </si>
  <si>
    <t>A picture of a snowcapped mountain appears and white words on the screen say "HARTEL PRODUCTIONS".</t>
  </si>
  <si>
    <t>A wooden board appears at an outdoor area an it say's "CLAM BEACH COUNTY PARK WELCOME NORTH DAY USE PARKING", then in yellow some text appears that say "THE DOG WALK".</t>
  </si>
  <si>
    <t>Various still shots of people walking with dogs or walking alone along a road appear along with various shots of the area and titles of what they are.</t>
  </si>
  <si>
    <t>At the end there are still shots of dogs getting loaded into a car, the dogs in the car, a man loading the car with his walker, a closing sign and then yellow words appear that say "THE END" and it fades to black.</t>
  </si>
  <si>
    <t>v_v8u8BiprYKs</t>
  </si>
  <si>
    <t>A lady kneels in front of bushes and talks.</t>
  </si>
  <si>
    <t>The lady uses gardening shears to trim the bush.</t>
  </si>
  <si>
    <t>The lady stands and trims the bushes.</t>
  </si>
  <si>
    <t>The lady kneels down again and continues to talk to the camera.</t>
  </si>
  <si>
    <t>v_4o4Vh49v-q4</t>
  </si>
  <si>
    <t>A little girl is standing in her bathroom and demonstrating how she rinses her mouth with mouth wash.</t>
  </si>
  <si>
    <t>She takes a sip of Listerine mouth was from her cup and holds it in her mouth for several seconds while her older brother video tapes her.</t>
  </si>
  <si>
    <t>Another little girl walks behind her and watches her rinse.</t>
  </si>
  <si>
    <t>She holds the mouth wash in her mouth for a long time and then spits it out in the sink.</t>
  </si>
  <si>
    <t>v_Gms3Yt6RrV4</t>
  </si>
  <si>
    <t>A man is seen talking with a camera very close to his face.</t>
  </si>
  <si>
    <t>Another man with a helmet on is standing near by.</t>
  </si>
  <si>
    <t>A third man is seen in a car next to the man talking.</t>
  </si>
  <si>
    <t>The man wearing the helmet starts down the street on a skateboard.</t>
  </si>
  <si>
    <t>The man goes down a few very steep hills on his skateboard.</t>
  </si>
  <si>
    <t>The man rides past a stop sign.</t>
  </si>
  <si>
    <t>The man with the camera and the man in the car follow filming the man on the skateboard.</t>
  </si>
  <si>
    <t>After the stop sign, the car passes the man on the skateboard.</t>
  </si>
  <si>
    <t>The car stops and the man on the skateboard stops just past them and picks up his skateboard.</t>
  </si>
  <si>
    <t>v_qlq13iS0nEA</t>
  </si>
  <si>
    <t>A man with a guitar and a microphone performs a piece of music.</t>
  </si>
  <si>
    <t>A black screen with a graphic of a white guitar and a website appear.</t>
  </si>
  <si>
    <t>The man stops playing then the black screen with white guitar and website appear again.</t>
  </si>
  <si>
    <t>v_E4yf1mz4ij0</t>
  </si>
  <si>
    <t>An athlete is seen walking into a circle and preparing himself to throw a shot put.</t>
  </si>
  <si>
    <t>The man throws the object several times after spinning around and several people watching on the sidelines.</t>
  </si>
  <si>
    <t>v_XwW5p80hYCg</t>
  </si>
  <si>
    <t>A logo and the words Master Lube TV show up on a black screen.</t>
  </si>
  <si>
    <t>A young man is standing and talking in a business while other young men are cleaning and detailing the inside and outside of a silver vehicle.</t>
  </si>
  <si>
    <t>The now cleaned vehicle pulls out of the garage and drives away from the business.</t>
  </si>
  <si>
    <t>The vehicle is now parked and two young men are wiping it down with a a dry cloth.</t>
  </si>
  <si>
    <t>More clips of the young man talking solo and all the cleaning they did previously replays.</t>
  </si>
  <si>
    <t>A red, white and blue flag with the words "HAND CAR WASH" blows in the wind.</t>
  </si>
  <si>
    <t>More clips of the young man talking solo and replays of the cleaning loops as words below the man show up and read "MasterLube Hand Car Wash 750 Broadwater Ave (406) 294-5530.</t>
  </si>
  <si>
    <t>Flags are show again and it fades to a black screen with a logo and the words MasterLube.</t>
  </si>
  <si>
    <t>v_Q5kU3DUXXZg</t>
  </si>
  <si>
    <t>Numerous different pictures of fitness people flash on the screen and the logo LA MUSCLE flashes quickly.</t>
  </si>
  <si>
    <t>A group of people appear and they are on bicycles pedaling and are doing a cardio workshop while the man in front wearing a headband is talking the whole time.</t>
  </si>
  <si>
    <t>The outro screen appears and it's a white screen that shoes the LA MUSCLE logo like it did in the beginning and the words "For More Visit LAMUSCLE dot TV".</t>
  </si>
  <si>
    <t>v_1kMPW5huHWQ</t>
  </si>
  <si>
    <t>A man is completing a rubiks cube.</t>
  </si>
  <si>
    <t>A timer is sitting on the table next to him.</t>
  </si>
  <si>
    <t>He sets the completed rubiks cube down on the table.</t>
  </si>
  <si>
    <t>v_cvEOK7xAPSs</t>
  </si>
  <si>
    <t>People running up the beach very quickly.</t>
  </si>
  <si>
    <t>Then they start to make strange faces towards the camera.</t>
  </si>
  <si>
    <t>They start bouncing and doing tricks on some kind of bouncy rope.</t>
  </si>
  <si>
    <t>Some of the the tricks look like they are very extreme.</t>
  </si>
  <si>
    <t>v_RHfjDkr6mcc</t>
  </si>
  <si>
    <t>A woman is seen standing behind an ironing board ironing a shirt while speaking to the camera every now and then.</t>
  </si>
  <si>
    <t>The moves the shirt all around the table ironing it and holding it up in the end to present.</t>
  </si>
  <si>
    <t>v_-fMxoShIXiM</t>
  </si>
  <si>
    <t>A woman with long, black, curly hair is wearing casual wear, talking, and squatting on a roof.</t>
  </si>
  <si>
    <t>The woman then stands up and walks to a part of the roof where she lifts up a black shingle on the roof.</t>
  </si>
  <si>
    <t>The woman is now on standing on the ground in front of the house smiling and talking.</t>
  </si>
  <si>
    <t>A large truck pulls up to the house and a man begins to unload shingles onto the roof.</t>
  </si>
  <si>
    <t>The woman is back on the roof with a shovel and is shoveling off all of the old shingles then she dumps them in a large dumpster.</t>
  </si>
  <si>
    <t>Men are now laying out long pieces of black material and nailing them into the roof, as well as nailing the shingles down.</t>
  </si>
  <si>
    <t>The roof is done and a view of the entire house is shown to show off the finished roof.</t>
  </si>
  <si>
    <t>The woman is standing in front of the home, smiling while talking.</t>
  </si>
  <si>
    <t>v_wNvLv7PtvQg</t>
  </si>
  <si>
    <t>A camera zooms in out two people riding in a canoe together.</t>
  </si>
  <si>
    <t>The camera moves in closer and captures the people paddling further down the river.</t>
  </si>
  <si>
    <t>v_jFqY3M37F-g</t>
  </si>
  <si>
    <t>We see a man siting and holding a drum.</t>
  </si>
  <si>
    <t>We then see the man playing on the drum.</t>
  </si>
  <si>
    <t>The man hits a drum off camera left.</t>
  </si>
  <si>
    <t>The man shuffles his hands on the drum.</t>
  </si>
  <si>
    <t>The man stops paying the drums.</t>
  </si>
  <si>
    <t>v_E29kZvEtOUA</t>
  </si>
  <si>
    <t>A child helps push a lawn mower with an adult to cut the grass.</t>
  </si>
  <si>
    <t>A man mows the lawn of a large yard along with a child watching nearby.</t>
  </si>
  <si>
    <t>The man empties out the collection hopper bag on the lawn mower and empties it into a trash bin and wheels it away.</t>
  </si>
  <si>
    <t>The child plays with the lawn mower while turned off.</t>
  </si>
  <si>
    <t>v_nt4Ag91306U</t>
  </si>
  <si>
    <t>A person is throwing a tennis ball up in the air and hits the ball.</t>
  </si>
  <si>
    <t>Two men begin talking about this tennis move and how you should properly hold your racket.</t>
  </si>
  <si>
    <t>The man demonstrates how to throw the ball up and how to swing.</t>
  </si>
  <si>
    <t>The man continues to discuss when to hit the ball for this move and how to execute it properly.</t>
  </si>
  <si>
    <t>v_DIF8qouivIU</t>
  </si>
  <si>
    <t>A man wearing a white fencing outfit walks over to a woman in leather with her hands tied together.</t>
  </si>
  <si>
    <t>He holds her waist and speaks to her while watching the men fence behind them.</t>
  </si>
  <si>
    <t>They speak to another couple defiantly and the men prepare to fight.</t>
  </si>
  <si>
    <t>The men fence back and fourth when the older gentleman pinches his eyes and fight again.</t>
  </si>
  <si>
    <t>The men become agitated and one leaves with shirt off.</t>
  </si>
  <si>
    <t>v_W7JxYa-PiB8</t>
  </si>
  <si>
    <t>A man wearing a hat is seen holding a tennis racket and bouncing a ball up and down.</t>
  </si>
  <si>
    <t>The man then serves the ball and leads into a tennis match between four people.</t>
  </si>
  <si>
    <t>The announcer laughs as the other team mates speak to each other and showing his hit again in slow motion.</t>
  </si>
  <si>
    <t>v_gnKpguqHfag</t>
  </si>
  <si>
    <t>A green and yellow team Hockey team is pictured and there location is shown on a map.</t>
  </si>
  <si>
    <t>The video then reverts back to the game and shows the venue that the teams are playing in.</t>
  </si>
  <si>
    <t>After,several players are shown skating around the rink and then a bald Caucasian male is shown dressed in a black polo begins talking to the camera.</t>
  </si>
  <si>
    <t>Once finished,the bench is panned and the game begins with the referee standing in between the two teams and they begin playing.</t>
  </si>
  <si>
    <t>As they continue,the bald man is shows and continues talking and they continue to flash between him,the players, and the games.</t>
  </si>
  <si>
    <t>v_BERvPz1e_AU</t>
  </si>
  <si>
    <t>Various athletes are seen standing together in the middle of a large stadium and leads into a woman throwing a shot put and then walking away.</t>
  </si>
  <si>
    <t>Several more people are seen walking up and throwing the object with a woman running with the american flag and standing on a podium with others.</t>
  </si>
  <si>
    <t>v_B1u-Er4jXFA</t>
  </si>
  <si>
    <t>The camera zooms in on a chef spinning around a spatula in a pan and putting more ingredients into the pan.</t>
  </si>
  <si>
    <t>He stirs around the mixture and presses it to the side while setting down the spatula.</t>
  </si>
  <si>
    <t>v_vT6bb2y34UE</t>
  </si>
  <si>
    <t>Two wires are seen laid across and table with a person putting a box on top.</t>
  </si>
  <si>
    <t>The person wraps the box with wires and tying a bow on top.</t>
  </si>
  <si>
    <t>The person ties a candy cane with the box and shows it off to the camera.</t>
  </si>
  <si>
    <t>v_LW5lcM_rKBY</t>
  </si>
  <si>
    <t>A man is seen holding a power drill with a potato on the end and people peeling around him.</t>
  </si>
  <si>
    <t>The man turns on the drill and peels the potato with another person pointing on the side.</t>
  </si>
  <si>
    <t>v_7S7THbo8uds</t>
  </si>
  <si>
    <t>Two men are seen holding each other's arms and leads into the men performing an arm wrestling match.</t>
  </si>
  <si>
    <t>One man smokes a cigarette while they continue to play and that man winds while holding his arms up.</t>
  </si>
  <si>
    <t>v_GU_8hjy79VQ</t>
  </si>
  <si>
    <t>A man is seen with a large pole.</t>
  </si>
  <si>
    <t>A large crowd is in the stands in the background.</t>
  </si>
  <si>
    <t>The man with the pole runs and throws it and then hits the ground.</t>
  </si>
  <si>
    <t>The pole flies through the air and lands just past the number 85 on a field.</t>
  </si>
  <si>
    <t>Several man run out to the pole.</t>
  </si>
  <si>
    <t>Men are seen in the stands clapping.</t>
  </si>
  <si>
    <t>The man that threw the pole is seen putting a jacket on.</t>
  </si>
  <si>
    <t>Many people walk around and sit on the field.</t>
  </si>
  <si>
    <t>The man is seen throwing the pole again.</t>
  </si>
  <si>
    <t>v_lx5Yfoj7Gk8</t>
  </si>
  <si>
    <t>A close up of a machine is shown printing paper and leads into people working around the picture.</t>
  </si>
  <si>
    <t>The people continue working with the machine putting paper through and measuring it and laying it out on a table.</t>
  </si>
  <si>
    <t>The people are then seen hanging the paper up on a wall and presenting it in the end.</t>
  </si>
  <si>
    <t>v_QhDPo3amF6o</t>
  </si>
  <si>
    <t>The bumper car ride is packed with people, already many are crashing.</t>
  </si>
  <si>
    <t>A man flashes the peace sign at the camera, having a good time.</t>
  </si>
  <si>
    <t>Car 9 has finally gotten going but he is crashing left and right.</t>
  </si>
  <si>
    <t>A man reverses into another car behind him.</t>
  </si>
  <si>
    <t>A large pile-up occurs in the middle of the track.</t>
  </si>
  <si>
    <t>v_8ZjUZbykp4U</t>
  </si>
  <si>
    <t>A man is seen sitting behind a drum set playing on the drums.</t>
  </si>
  <si>
    <t>The camera pans all around his movements while he speaks to the camera.</t>
  </si>
  <si>
    <t>More shots are shown of him playing as well as singing and other people playing instruments around him.</t>
  </si>
  <si>
    <t>v_BxEnhkx2srY</t>
  </si>
  <si>
    <t>A boy prepares to do a high jump in a gym.</t>
  </si>
  <si>
    <t>He takes off running with the high jump stick.</t>
  </si>
  <si>
    <t>he makes the jump and lands on the safety pads.</t>
  </si>
  <si>
    <t>v_kkEjwEXkz3w</t>
  </si>
  <si>
    <t>A person's hands with nails are shown followed by two women talking to the camera.</t>
  </si>
  <si>
    <t>Several objects on paper are shown while the women continue to speak and one start making designs on the nails.</t>
  </si>
  <si>
    <t>v_MleVjHU-wI8</t>
  </si>
  <si>
    <t>We then see a man holding something wrapped in a plastic bag.</t>
  </si>
  <si>
    <t>A woman joins the man.</t>
  </si>
  <si>
    <t>The man opens the plastic bag.</t>
  </si>
  <si>
    <t>The lady gift wraps the box for the man.</t>
  </si>
  <si>
    <t>The man takes a shot at the gift wrapping.</t>
  </si>
  <si>
    <t>The lady finishes wrapping the gift.</t>
  </si>
  <si>
    <t>The man folds an edge, and the lady tapes it.</t>
  </si>
  <si>
    <t>The man presents the box to the camera and talks.</t>
  </si>
  <si>
    <t>the closing screen is then seen and it goes black.</t>
  </si>
  <si>
    <t>v_2FKWKDEg5KE</t>
  </si>
  <si>
    <t>We see a man working on a piece of equipment.</t>
  </si>
  <si>
    <t>The man heats the caulk and scrapes it off.</t>
  </si>
  <si>
    <t>The screen flashes and the man puts on new caulk.</t>
  </si>
  <si>
    <t>The man stops and points at the caulk The end scene is seen.</t>
  </si>
  <si>
    <t>v_3SL_Au0H0cw</t>
  </si>
  <si>
    <t>man is wearing a black kimono and isdoing yoga movements.</t>
  </si>
  <si>
    <t>man is standing in a large green grassy field.</t>
  </si>
  <si>
    <t>man is slowly walking practicing boxing movements.</t>
  </si>
  <si>
    <t>v_xpA16yFuDqw</t>
  </si>
  <si>
    <t>A woman and man are shown swimming backward in the water of a pool.</t>
  </si>
  <si>
    <t>They demonstrate different techniques as the swim.</t>
  </si>
  <si>
    <t>The names of the various methods appear on the screen between examples.</t>
  </si>
  <si>
    <t>v_UCndppz9rWc</t>
  </si>
  <si>
    <t>manis wearing a white shirt and is walking in a green grass carrying a lawnmower.</t>
  </si>
  <si>
    <t>kid is standing in the field watching the man with the lawnmower.</t>
  </si>
  <si>
    <t>man stands and extends the hand to hold the kid.</t>
  </si>
  <si>
    <t>v_7iPb7mLURVc</t>
  </si>
  <si>
    <t>A woman is seen speaking to the camera while holing a baton in her hands.</t>
  </si>
  <si>
    <t>She continues speaking to the camera while spinning around the baton.</t>
  </si>
  <si>
    <t>She continues to spin around the baton and demonstrate how to properly twirl it.</t>
  </si>
  <si>
    <t>v_ooWk0EL6I7o</t>
  </si>
  <si>
    <t>A lady and a man kneel in a curling ring.</t>
  </si>
  <si>
    <t>They talk to each other and a broom enters the scene.</t>
  </si>
  <si>
    <t>they start to move forwards.</t>
  </si>
  <si>
    <t>The man stops and the lady stumbles.</t>
  </si>
  <si>
    <t>v_oJ9BFy1KNlY</t>
  </si>
  <si>
    <t>A man stands indoors, on a platform, in front of three onlookers, and lifts a heavily weighted bar bell.</t>
  </si>
  <si>
    <t>A man approaches a barbell on the floor and stands before it preparing to lift it.</t>
  </si>
  <si>
    <t>The man then bends at the knees and puts his hands on the bar portion of the weight.</t>
  </si>
  <si>
    <t>The man then lifts the bell above his head and then lets the bell fall to the floor where it bounces a bit upon landing as the man turns and walks away from the weight.</t>
  </si>
  <si>
    <t>v_q4rVY3sLQqA</t>
  </si>
  <si>
    <t>Two men describe lead climbing while one man in a bright green shirt climbs a climbing wall the other man wearing a dark green shirt holds the lead line and explains the process.</t>
  </si>
  <si>
    <t>The man in the dark green shirt places a strap and link to the climbing wall and loops a rope through the clip.</t>
  </si>
  <si>
    <t>The man reverses the strap position and loops the rope through the strap eye link.</t>
  </si>
  <si>
    <t>The man in the bright green shirt continue climbing to the top of the wall.</t>
  </si>
  <si>
    <t>The man in the dark green shirt continues talking to the camera.</t>
  </si>
  <si>
    <t>v_MLfEz9HPElE</t>
  </si>
  <si>
    <t>One woman throws something at another.</t>
  </si>
  <si>
    <t>Then, the two women play hopscotch.</t>
  </si>
  <si>
    <t>v_0uh3HP895OA</t>
  </si>
  <si>
    <t>a woman is sitting behind a desk talking to the camera.</t>
  </si>
  <si>
    <t>A woman walks into a room and sits in a pew.</t>
  </si>
  <si>
    <t>The woman begins to knit.</t>
  </si>
  <si>
    <t>The woman then talks to the camera.</t>
  </si>
  <si>
    <t>v_FMlWHXByLL0</t>
  </si>
  <si>
    <t>Kids are jump roping in a gym.</t>
  </si>
  <si>
    <t>They do flips over each other.</t>
  </si>
  <si>
    <t>People in the audience clap for them at the end.</t>
  </si>
  <si>
    <t>v_DqT3NrqisLk</t>
  </si>
  <si>
    <t>A close up of a person's feet are seen as well as text on the screen.</t>
  </si>
  <si>
    <t>The person is seen taking the laces off and running the shoes under water.</t>
  </si>
  <si>
    <t>The person mixes ingredients into a bowl and scrubs the shoes using the tooth brush.</t>
  </si>
  <si>
    <t>She then sticks the shoes in the wash and shows them off afterwards.</t>
  </si>
  <si>
    <t>v_7oBW5W6Fdok</t>
  </si>
  <si>
    <t>We see a man preparing to throw a hammer in track and field.</t>
  </si>
  <si>
    <t>The man shakes his legs and walks to the field.</t>
  </si>
  <si>
    <t>The man spins hard and throws the hammer.</t>
  </si>
  <si>
    <t>We see the hammer as it flies across the track.</t>
  </si>
  <si>
    <t>v_xEnnIWce1ok</t>
  </si>
  <si>
    <t>Two men perform a flip move on a playground that leads to one being dropped on the ground.</t>
  </si>
  <si>
    <t>The camera zooms in on the fallen man while they all laugh together.</t>
  </si>
  <si>
    <t>v_rA7qVOp47Qg</t>
  </si>
  <si>
    <t>A girl is riding on a white horse that is in an enclosed obstacle course, but it's just walking, trotting and running around the perimeter doing laps.</t>
  </si>
  <si>
    <t>Another girl is now the focus and she's riding on a taller brown horse who begins walking, trotting and they also stay on the perimeter of the area.</t>
  </si>
  <si>
    <t>When the brown horse is done going around in laps, it walks over to the white horse who is now in the middle of the area and it stops.</t>
  </si>
  <si>
    <t>v_jmPV_y8YntQ</t>
  </si>
  <si>
    <t>There are several girls standing ready with their jump ropes in an indoor gym.</t>
  </si>
  <si>
    <t>They are ready to compete in competition.</t>
  </si>
  <si>
    <t>There are several people seated and standing that are watching the girls as they jump rope.</t>
  </si>
  <si>
    <t>The girls take turns and jump rope in a relay manner.</t>
  </si>
  <si>
    <t>They switch between the contestants and move from fast skipping to slower and steadier skipping.</t>
  </si>
  <si>
    <t>They take turns as they skip.</t>
  </si>
  <si>
    <t>After they stop, the crowd claps and cheers.</t>
  </si>
  <si>
    <t>v__UlKLq9w_nw</t>
  </si>
  <si>
    <t>A group of people have gathered at an outdoor court.</t>
  </si>
  <si>
    <t>They are involved in a game of curling.</t>
  </si>
  <si>
    <t>Each person uses the stick to push the puck as a girl talks to the camera.</t>
  </si>
  <si>
    <t>v_3gpgeAMy6a8</t>
  </si>
  <si>
    <t>kids are standing in a green grassy field flying kites.</t>
  </si>
  <si>
    <t>man wearing white shirt is flying the kite in a lage field.</t>
  </si>
  <si>
    <t>litle kid wearing an orange shirt is watching the man.</t>
  </si>
  <si>
    <t>v_5mxY_p7N_Yw</t>
  </si>
  <si>
    <t>The video leads into several clips of a hockey player moving around the ice and players speaking to the camera.</t>
  </si>
  <si>
    <t>The people continuing skating on the ice while practicing as players intervene to speak to the camera.</t>
  </si>
  <si>
    <t>v_TPzxIqu1JJg</t>
  </si>
  <si>
    <t>A text intro leads into several shots of a warehouse and people working with torches.</t>
  </si>
  <si>
    <t>People are seen using computers as well as magnets that leads into people making cakes.</t>
  </si>
  <si>
    <t>People use several tools and materials to make a large cake that moves around and brings it into an exhibit in the end.</t>
  </si>
  <si>
    <t>v_U697zTxxDHM</t>
  </si>
  <si>
    <t>A group of friends sit together against a fence at a skate park.</t>
  </si>
  <si>
    <t>People on roller blades do tricks on a ramp over steps.</t>
  </si>
  <si>
    <t>People on roller blades do tricks on a bench at the skate park.</t>
  </si>
  <si>
    <t>People do trucks on a railing down a ramp at the skate park.</t>
  </si>
  <si>
    <t>The roller skates ride on half pipe ramps.</t>
  </si>
  <si>
    <t>v_lcVkXTsnR7A</t>
  </si>
  <si>
    <t>A guy climbs up the stairs carrying a black amplifier.</t>
  </si>
  <si>
    <t>The guy walks through a door he opened.</t>
  </si>
  <si>
    <t>The guy plays a harmonica with a microphone in one hand.</t>
  </si>
  <si>
    <t>The guy plays the guitar.</t>
  </si>
  <si>
    <t>The black amplifier is displayed on a table.</t>
  </si>
  <si>
    <t>The amplifier is displayed on a table.</t>
  </si>
  <si>
    <t>v_im-nQ-KEzaQ</t>
  </si>
  <si>
    <t>A woman is seen speaking to the camera with various ingredients laid out as well as her cleaning.</t>
  </si>
  <si>
    <t>She lays out a newspaper and mixes various ingredients together into a spray bottle.</t>
  </si>
  <si>
    <t>She puts on gloves and using the newspaper to wipe down a window after she has sprayed it.</t>
  </si>
  <si>
    <t>She continues wiping down the window while speaking to the camera.</t>
  </si>
  <si>
    <t>v_dUa0E0ASviM</t>
  </si>
  <si>
    <t>A girl is warming up and stretching and grabs 2 large ropes.</t>
  </si>
  <si>
    <t>Two women are holding each rope and the girl tries to pull both ropes at once.</t>
  </si>
  <si>
    <t>She continues pulling the rope and succeeds at pulling the two women closer to her.</t>
  </si>
  <si>
    <t>v_ouc67LyENuw</t>
  </si>
  <si>
    <t>Cows are running through fields with men chasing after them with sticks.</t>
  </si>
  <si>
    <t>The men are agitating the cows and causing them to fight with one another.</t>
  </si>
  <si>
    <t>The men are singing and dancing around the cows.</t>
  </si>
  <si>
    <t>The media interviews men from the crowd.</t>
  </si>
  <si>
    <t>A female reporter is holding a microphone while doing a news report.</t>
  </si>
  <si>
    <t>A large crowd of men are following her.</t>
  </si>
  <si>
    <t>v_EjaS2rW81S4</t>
  </si>
  <si>
    <t>Several people are seen kneeling on a beach helping a small child make sand castles.</t>
  </si>
  <si>
    <t>Many people are seen walking around the beach as the boy and older woman continue to make sand castles.</t>
  </si>
  <si>
    <t>v_dEUFGAwRhEM</t>
  </si>
  <si>
    <t>A couple of large balloons are floating over the ocean water.</t>
  </si>
  <si>
    <t>Competitor boaters are shown racing in the water.</t>
  </si>
  <si>
    <t>They paddle quickly toward the finish mark.</t>
  </si>
  <si>
    <t>v_J3coWVRd5do</t>
  </si>
  <si>
    <t>A girl runs down a track in slow motion.</t>
  </si>
  <si>
    <t>She takes a huge jump, hurling herself over a bar.</t>
  </si>
  <si>
    <t>She is shown performing the act again in slow motion.</t>
  </si>
  <si>
    <t>v_kG7inHibWLU</t>
  </si>
  <si>
    <t>A girl knocks on a door but nobody answers.</t>
  </si>
  <si>
    <t>She dances and prepares food in front of the stove with another woman.</t>
  </si>
  <si>
    <t>She fights and then both girls separate.</t>
  </si>
  <si>
    <t>v_7ZX3NHDmMZY</t>
  </si>
  <si>
    <t>People are in a swimming pool playing water polo.</t>
  </si>
  <si>
    <t>A woman is walking outside the pool.</t>
  </si>
  <si>
    <t>A man rubs his face while in the water before getting out of the water.</t>
  </si>
  <si>
    <t>v_e0Qj2F3V6fM</t>
  </si>
  <si>
    <t>The video stats explaining how to make Omelette muffins.</t>
  </si>
  <si>
    <t>She shows the ingredients and tell what to set the oven to.</t>
  </si>
  <si>
    <t>She mixes everything together and stirs it up with seasoning.</t>
  </si>
  <si>
    <t>She then puts it into the tray and into the oven to bake.</t>
  </si>
  <si>
    <t>Afterward she takes it out and shows the finished product.</t>
  </si>
  <si>
    <t>v_FIzlf7jdsUY</t>
  </si>
  <si>
    <t>Pictures of people's hair is shown.</t>
  </si>
  <si>
    <t>A woman in a pink shirt has pictures of her hair.</t>
  </si>
  <si>
    <t>Words come on the screen at the end.</t>
  </si>
  <si>
    <t>v_wFmczV8lv-I</t>
  </si>
  <si>
    <t>A group of gymnast enter front a side of a stadium.</t>
  </si>
  <si>
    <t>Next, a gymnast is shown on the bar and does multiple tricks consisting of flips and handstands then flips off to land and walks off.</t>
  </si>
  <si>
    <t>As a man runs near him,a replay is shown of the instances where he messed up and then his score is shown.</t>
  </si>
  <si>
    <t>Another man is shown doing various tricks and flips but instead of being above the bar,he starts out below the bar and comes on the top to do a hand stand before finally flipping off.</t>
  </si>
  <si>
    <t>Several other teams approach the bar and they too begin doing the same tricks in their competition.</t>
  </si>
  <si>
    <t>The winner then begins waving his flag and waving his hand to the crowd.</t>
  </si>
  <si>
    <t>v_TDWbRqIEcts</t>
  </si>
  <si>
    <t>We see a man in a room in front of a bookshelf with a cookie.</t>
  </si>
  <si>
    <t>The cookie is snatched from the man.</t>
  </si>
  <si>
    <t>We see the face of a young boy.</t>
  </si>
  <si>
    <t>We see ingredients added to a bowl.</t>
  </si>
  <si>
    <t>We switch and see a cat.</t>
  </si>
  <si>
    <t>We see ingredients in a mixer, then poured into a bowl then refrigerated.</t>
  </si>
  <si>
    <t>We see the cat appear again.</t>
  </si>
  <si>
    <t>A person shapes balls and coats them in powdered sugar.</t>
  </si>
  <si>
    <t>The cookies are baked.</t>
  </si>
  <si>
    <t>We see the man talking with a girl.</t>
  </si>
  <si>
    <t>We see the cookies and two mugs.</t>
  </si>
  <si>
    <t>We see the man with two kids.</t>
  </si>
  <si>
    <t>v_gkhgAlVSKTI</t>
  </si>
  <si>
    <t>A woman is seen playing a set of bagpipes while people sit around her and watch.</t>
  </si>
  <si>
    <t>The girl continues playing as the camera watches her move her hands along the instrument and a man standing next to her to pose and throw change.</t>
  </si>
  <si>
    <t>v_ybhc3-s7aYo</t>
  </si>
  <si>
    <t>A man is seen standing before a large log holding an ax in his hands.</t>
  </si>
  <si>
    <t>He holds the ax up over his head while still looking down at the log.</t>
  </si>
  <si>
    <t>He swing the ax down and chops the log in half.</t>
  </si>
  <si>
    <t>v_WidcZbpPEC0</t>
  </si>
  <si>
    <t>People are in a room talk to each other.</t>
  </si>
  <si>
    <t>Then, the men compete arm wrestling and the winner looks happy, while people 
 applaud.</t>
  </si>
  <si>
    <t>A man drinks beer from a bottle.</t>
  </si>
  <si>
    <t>v_l8TsSm4Yh4M</t>
  </si>
  <si>
    <t>A person is seen walking around a paintball course and leads into clips of people playing paintball and speaking to one another.</t>
  </si>
  <si>
    <t>A man points to the camera and leads into more shots of people playing and working with one another.</t>
  </si>
  <si>
    <t>v_GtYf9VsPHO0</t>
  </si>
  <si>
    <t>A close up of a sandwich is shown followed by ingredients and a woman speaking to the camera.</t>
  </si>
  <si>
    <t>Several ingredients are laid out and shown close up one by one while the woman mixes them all together in a bowl.</t>
  </si>
  <si>
    <t>She then pours the mixture onto a slice of break and presents it on a plate while speaking continuously.</t>
  </si>
  <si>
    <t>v_rVmNL8rzHnU</t>
  </si>
  <si>
    <t>A man is putting wall paper on the wall, he is trying to measure it just right so that it is even with the rest.</t>
  </si>
  <si>
    <t>He cuts some of the paper and takes the plastic part off of the back so that it is sticky and begins pressing the adhesive side down on the wall.</t>
  </si>
  <si>
    <t>He starts to add pressure to it so that any bubbles get out and it looks nice and even.</t>
  </si>
  <si>
    <t>He stands back to look at the wall and make sure it look good, then shows a before and after photo.</t>
  </si>
  <si>
    <t>v_znoMrA2qCbA</t>
  </si>
  <si>
    <t>A man is kneeling on a field.</t>
  </si>
  <si>
    <t>He picks up a heavy ball, and uses it to perform numerous exercise techniques.</t>
  </si>
  <si>
    <t>He then sets it back down on the grass.</t>
  </si>
  <si>
    <t>v_a7oaRcmRZ5k</t>
  </si>
  <si>
    <t>A boat is seen riding along the water with a man driving others around.</t>
  </si>
  <si>
    <t>A person is seen riding on the back doing several flips and tricks on his board.</t>
  </si>
  <si>
    <t>The people watch the man as well as the camera as he continues flipping around and looking back to the camera.</t>
  </si>
  <si>
    <t>v_NJuf9o45A8U</t>
  </si>
  <si>
    <t>A man is snowboarding down a hill of snow.</t>
  </si>
  <si>
    <t>He is jumping in the air and doing tricks off of pipes.</t>
  </si>
  <si>
    <t>v_LOhacn4jdT4</t>
  </si>
  <si>
    <t>A man walks around while adjusting a belt, with many other people in the room.</t>
  </si>
  <si>
    <t>The man walks through a tunnel flanked by several other men.</t>
  </si>
  <si>
    <t>The man gets on a stage and powders his hands.</t>
  </si>
  <si>
    <t>The man walks before a barbell with weights.</t>
  </si>
  <si>
    <t>The man lifts the weights.</t>
  </si>
  <si>
    <t>The man drops the weights.</t>
  </si>
  <si>
    <t>The man walks off stage as attendants move to the weight on stage.</t>
  </si>
  <si>
    <t>A replay of the lift is shown from a different angle.</t>
  </si>
  <si>
    <t>v_S633fHu_NrU</t>
  </si>
  <si>
    <t>A lady is standing at the table with ingredients on the table.</t>
  </si>
  <si>
    <t>The woman pointed the ingredients such as red bell peppers, celery, carrots, chicken breast, olives, pickled gherkins, olive oil in the bottle, white wine in the bottle, mayonnaise, mustard and gruyere, salt and pepper.</t>
  </si>
  <si>
    <t>The lady touched the ingredients in the plates, then she sliced the chicken, put the mustard, mayonnaise and olive oil in a bowl, then added the vegetables, and then the plate is shown with the chicken salad.</t>
  </si>
  <si>
    <t>v_GBTpVjwLxe0</t>
  </si>
  <si>
    <t>A kayak rider paddles against the current and maneuvers back and forth with his hips and paddle.</t>
  </si>
  <si>
    <t>The kayak rider dips into the water and recovers.</t>
  </si>
  <si>
    <t>v_wMDyshGO2og</t>
  </si>
  <si>
    <t>A game is taking place between argentina and peru.</t>
  </si>
  <si>
    <t>People in the crowded stands gather and disperse.</t>
  </si>
  <si>
    <t>The men are shown on the court, playing the game and kicking the ball.</t>
  </si>
  <si>
    <t>The scoreboard is shown for comparison as the game ends.</t>
  </si>
  <si>
    <t>v_ecWUNT_HcN8</t>
  </si>
  <si>
    <t>A large roof is seen close up followed by a person standing on a ladder and pushing down tiles.</t>
  </si>
  <si>
    <t>More people are seen working on the roof hammering down tiles as well as pushing them off and speaking to the camera.</t>
  </si>
  <si>
    <t>The camera continues to pan all around the roof as well as buildings around them and the men continuing to work.</t>
  </si>
  <si>
    <t>v_f5xSylPY_bQ</t>
  </si>
  <si>
    <t>A girl is sitting down in front of a couch.</t>
  </si>
  <si>
    <t>She starts playing a flute.</t>
  </si>
  <si>
    <t>She continues playing the flute white looking down.</t>
  </si>
  <si>
    <t>v_ynxngsa-IHU</t>
  </si>
  <si>
    <t>A man stands in front of a wall filled with hair products.</t>
  </si>
  <si>
    <t>Various scissors and combs are laid out on a mat.</t>
  </si>
  <si>
    <t>The salon stylist towels off then rubs hair products through the man's hair with his hands.</t>
  </si>
  <si>
    <t>The stylist combs out the persons hair and cuts it with scissors.</t>
  </si>
  <si>
    <t>The stylist trims the sideburns and around the ears.</t>
  </si>
  <si>
    <t>The stylist uses his hands to style the hair and blow drys it when finished cutting for the person to see.</t>
  </si>
  <si>
    <t>v_PVJK-r4pNg8</t>
  </si>
  <si>
    <t>We see a smiling man with credits running on the screen.</t>
  </si>
  <si>
    <t>We see an instructional screen.</t>
  </si>
  <si>
    <t>We see two men playing a game of squash.</t>
  </si>
  <si>
    <t>v_1_PiNdPt6RU</t>
  </si>
  <si>
    <t>woman is eating bran flakes and putting some mascara, washing her teeth and cleaning her mouth with mouthwash.</t>
  </si>
  <si>
    <t>journalists are talking in the news.</t>
  </si>
  <si>
    <t>v_Lx_FcKpTZIw</t>
  </si>
  <si>
    <t>A woman is washing her hands over a sink.</t>
  </si>
  <si>
    <t>She rinses her hands off in the sink.</t>
  </si>
  <si>
    <t>She grabs a paper towel and dries her hands.</t>
  </si>
  <si>
    <t>v_zPGc84TC74A</t>
  </si>
  <si>
    <t>We see the title screen on gray.</t>
  </si>
  <si>
    <t>Two men are playing squash.</t>
  </si>
  <si>
    <t>We see a transition urging practice.</t>
  </si>
  <si>
    <t>A transition starts but doesn't change to anything.</t>
  </si>
  <si>
    <t>The man in white wipes his brow with his sleeve.</t>
  </si>
  <si>
    <t>The end credits run up the screen.</t>
  </si>
  <si>
    <t>v_zL_WLS1gPNw</t>
  </si>
  <si>
    <t>A woman is kneeling down on the ground next to a desk.</t>
  </si>
  <si>
    <t>She starts painting the desk white with a paint brush.</t>
  </si>
  <si>
    <t>She then starts painting two of the drawers orange.</t>
  </si>
  <si>
    <t>v_KRz3aBw_TlQ</t>
  </si>
  <si>
    <t>Men take turns throwing darts at a dart board.</t>
  </si>
  <si>
    <t>A woman in the crowd claps for them.</t>
  </si>
  <si>
    <t>A man takes a drink out of a glass.</t>
  </si>
  <si>
    <t>v_Ru18FF0tcuA</t>
  </si>
  <si>
    <t>A person is rowing at the edge of a boat.</t>
  </si>
  <si>
    <t>The person takes out a fishing hook.</t>
  </si>
  <si>
    <t>The person starts fishing at his edge.</t>
  </si>
  <si>
    <t>v_iqmpDgATXbU</t>
  </si>
  <si>
    <t>A woman is seen performing a belly dancing routine on a large stage with other people watching on the sides.</t>
  </si>
  <si>
    <t>The woman continues dancing and spinning around the stage and ends with her posing and walking off.</t>
  </si>
  <si>
    <t>v_YUFPWt0VQ1Y</t>
  </si>
  <si>
    <t>There is a group of marching band students playing the trumpets.</t>
  </si>
  <si>
    <t>They are dressed in maroon and yellow colored uniforms and white hats.</t>
  </si>
  <si>
    <t>There are some students playing the drums and some students playing the trumpet.</t>
  </si>
  <si>
    <t>They continue playing the band as they march along the streets.</t>
  </si>
  <si>
    <t>v_-EKpX0t44pQ</t>
  </si>
  <si>
    <t>A wrestler is walking out and gets into the ring.</t>
  </si>
  <si>
    <t>Someone is laying on their stomach getting a tattoo on their back.</t>
  </si>
  <si>
    <t>A man in a red shirt is tattooing the man laying down.</t>
  </si>
  <si>
    <t>The wrestler is shown again.</t>
  </si>
  <si>
    <t>v_86sxvTk3YEY</t>
  </si>
  <si>
    <t>An actor,Jason Stathom,is sitting in a blue reclining chair talking a late night tv host by the name of Jimmy Fallon who is sitting behind a desk.</t>
  </si>
  <si>
    <t>The two continue to speak then they both stand up in a joking manner and walk over to a table.</t>
  </si>
  <si>
    <t>They both stand at the ends of the table and begin arm wrestling and talking.</t>
  </si>
  <si>
    <t>After a long period of time passes,the actor wins and starts cheering for himself.</t>
  </si>
  <si>
    <t>v_AntmYynwbhQ</t>
  </si>
  <si>
    <t>A woman in white shirt is posing with her short hair.</t>
  </si>
  <si>
    <t>A man in white shirt is cutting the hair of the girl in a studio with white background, then he braided the back of her hair, then continue to cut and style the girl's hair.</t>
  </si>
  <si>
    <t>v_VXiaPftjWqQ</t>
  </si>
  <si>
    <t>A man is seen kneeling down on a floor followed by shots of him putting plaster and tiles down are shown.</t>
  </si>
  <si>
    <t>He then drills into a bucket and lays plaster down, as well as placing tiles on the floor yet again and showing more shots of him working in the end.</t>
  </si>
  <si>
    <t>v_osaJxzwVt6Q</t>
  </si>
  <si>
    <t>kid is standing in front of stage playing congas.</t>
  </si>
  <si>
    <t>behind him is a girl playing the tambourine and a boy playing the triangle.</t>
  </si>
  <si>
    <t>in the background kids standing on stage are playing drums.</t>
  </si>
  <si>
    <t>v_4_yy5vswBn4</t>
  </si>
  <si>
    <t>A man is sitting at a table.</t>
  </si>
  <si>
    <t>A woman steps onto the table and falls into his arms.</t>
  </si>
  <si>
    <t>She does a back flip off of him onto the floor.</t>
  </si>
  <si>
    <t>They begin dancing on the dance floor.</t>
  </si>
  <si>
    <t>v_LkwkGj27pP8</t>
  </si>
  <si>
    <t>A man is seen leaning onto a fence and continuously bending down to dip paint into a bucket.</t>
  </si>
  <si>
    <t>The woman brushes the fence continuously in front of her while the camera captures her from behind.</t>
  </si>
  <si>
    <t>v_JBnHqQjeVMk</t>
  </si>
  <si>
    <t>Cars and RV's sit outside a rodeo center.</t>
  </si>
  <si>
    <t>Cowboys practice their lasso work.</t>
  </si>
  <si>
    <t>People shop inside the store of the rodeo center.</t>
  </si>
  <si>
    <t>A young kid catches a calf.</t>
  </si>
  <si>
    <t>A cowboy jumps off his horse to control the calf he has caught.</t>
  </si>
  <si>
    <t>Another cowboy in a black shirt jumps off his horse.</t>
  </si>
  <si>
    <t>A man in a pink shirt lassos a calf.</t>
  </si>
  <si>
    <t>A woman on a horse catches a calf.</t>
  </si>
  <si>
    <t>Another man jumps off his brown horse to control the calf he has caught.</t>
  </si>
  <si>
    <t>v_8tI9IsSpgeI</t>
  </si>
  <si>
    <t>A man lifts large weight off the ground.</t>
  </si>
  <si>
    <t>He pushes it over his head before dropping it on the ground.</t>
  </si>
  <si>
    <t>v_D99jYbtGO38</t>
  </si>
  <si>
    <t>A man throws a ball to his son, who catches it with a lacrosse stick.</t>
  </si>
  <si>
    <t>The boy flings it back and it sails to the right of the man.</t>
  </si>
  <si>
    <t>v_sV6JEbmqDUw</t>
  </si>
  <si>
    <t>A woman is shown from various angles moving on an exercise machine and leads into the earth revolving.</t>
  </si>
  <si>
    <t>She places an item on the machine and several pictures of health are shown.</t>
  </si>
  <si>
    <t>She is again on the machine riding and finally folds up the machine in the end.</t>
  </si>
  <si>
    <t>v_rvkVdD2u_yA</t>
  </si>
  <si>
    <t>A man is talking in front of a net.</t>
  </si>
  <si>
    <t>He crouches down to the floor, crossing his ankles.</t>
  </si>
  <si>
    <t>He then goes forward and back several times, stretching.</t>
  </si>
  <si>
    <t>v_CP9NQpJD0-Y</t>
  </si>
  <si>
    <t>A man sits in a room and discusses.</t>
  </si>
  <si>
    <t>The man holds up a coffee cup while talking.</t>
  </si>
  <si>
    <t>The man takes a few drinks from the coffee cup.</t>
  </si>
  <si>
    <t>v_fsz79uPkUSs</t>
  </si>
  <si>
    <t>A toddler is sitting down in front of a table,with her play make up laid out on the table.</t>
  </si>
  <si>
    <t>She then takes her foundation and puts it around her face.</t>
  </si>
  <si>
    <t>Next comes her eye shadow,then her lips but she ends up dropping it on the floor and has to go under the table to get it.</t>
  </si>
  <si>
    <t>Finally,she comes back and adds the finishing touches on her lips,she finishes off her lips and adds more color to her cheeks.</t>
  </si>
  <si>
    <t>v_06ofnvq2Hjs</t>
  </si>
  <si>
    <t>We see images which were shot around DC.</t>
  </si>
  <si>
    <t>We see a man talking and shots of skateboards as people assemble in a room.</t>
  </si>
  <si>
    <t>We see Tony Hawk who points to other people.</t>
  </si>
  <si>
    <t>We see people skateboarding in the street, and around DC.</t>
  </si>
  <si>
    <t>We see a skater named Shaun Gregoirie.</t>
  </si>
  <si>
    <t>A lady holds up a USA Flag and talks.</t>
  </si>
  <si>
    <t>We see a cop car on the street.</t>
  </si>
  <si>
    <t>We see Anthony Shetler sitting and talking before skating on the street.</t>
  </si>
  <si>
    <t>A man jumps stairs and falls.</t>
  </si>
  <si>
    <t>v_O9HLR19is-A</t>
  </si>
  <si>
    <t>A man is seen sitting in a bumper car holding a thumbs up and then begins driving around.</t>
  </si>
  <si>
    <t>The people continue driving around bumping into one another and ends with them standing up.</t>
  </si>
  <si>
    <t>v_PQBeNLSdugw</t>
  </si>
  <si>
    <t>Young boys are shown doing a karate demo in front of the judges.</t>
  </si>
  <si>
    <t>They move back and forth and front to back performing various punches.</t>
  </si>
  <si>
    <t>They then relax and take a bow while the people behind them clap.</t>
  </si>
  <si>
    <t>They then continue on with their routine of play fighting.</t>
  </si>
  <si>
    <t>This continues on until the boy finish their routine to applause and then sit down.</t>
  </si>
  <si>
    <t>v_C3K-OgdK8FY</t>
  </si>
  <si>
    <t>A man is wearing sunglasses inside a building.</t>
  </si>
  <si>
    <t>We see a group of people in the building as they dance aerobically.</t>
  </si>
  <si>
    <t>They shake in unison, going back and forth and side to side.</t>
  </si>
  <si>
    <t>v_E0xXymnjDkc</t>
  </si>
  <si>
    <t>People are standing outside playing volleyball.</t>
  </si>
  <si>
    <t>A man in a black shirt is talking to someone.</t>
  </si>
  <si>
    <t>A man in a gray shirt has his hands on his hips.</t>
  </si>
  <si>
    <t>v_ujiWstJ3tt0</t>
  </si>
  <si>
    <t>A man is kneeling down on the ground sanding a wall with a silver utensil.</t>
  </si>
  <si>
    <t>The man stands up,looks back at the camera and continues doing his task.</t>
  </si>
  <si>
    <t>Now the man is back on his knees and continues to do what he was doing in the beginning.</t>
  </si>
  <si>
    <t>v_oFku30m99do</t>
  </si>
  <si>
    <t>A woman is seen standing in a bathroom wrapped up in a towel.</t>
  </si>
  <si>
    <t>The girl holds her hair up with one hand and rubs makeup on with the other.</t>
  </si>
  <si>
    <t>v_F1RpG1Vwi28</t>
  </si>
  <si>
    <t>There's a bald man with a goatee beard standing in his bathroom in front of a large mirror with an electric shaver in his hand.</t>
  </si>
  <si>
    <t>He is demonstrating how to shave off his beard and maintain it.</t>
  </si>
  <si>
    <t>Then he begins showing how to use the trimmer for his beard by adjusting the clipper size.</t>
  </si>
  <si>
    <t>He completely shaves his beard off.</t>
  </si>
  <si>
    <t>He then touches his skin to see how clean the shave is.</t>
  </si>
  <si>
    <t>He removes the hair off of the shaver and cleans it.</t>
  </si>
  <si>
    <t>v_8Qg395HjqFg</t>
  </si>
  <si>
    <t>A man in a white jacket picks up an iron.</t>
  </si>
  <si>
    <t>He places tin foil down onto a table.</t>
  </si>
  <si>
    <t>He puts bread on the tin foil with butter and cheese.</t>
  </si>
  <si>
    <t>He puts the iron on the sandwich.</t>
  </si>
  <si>
    <t>He opens the tin foil and cuts the sandwich in half.</t>
  </si>
  <si>
    <t>He takes a bit of the sandwich.</t>
  </si>
  <si>
    <t>v_zSCZphJS2vA</t>
  </si>
  <si>
    <t>An athlete is seen walking up to a platform and begins spinning himself around and throwing an object off into the distance.</t>
  </si>
  <si>
    <t>His throw is shown again in slow motion and another man is seen spinning around then throwing the object with his hands up afterwards.</t>
  </si>
  <si>
    <t>v_Z7gECmnHeKk</t>
  </si>
  <si>
    <t>A man is seen sitting on a piece of exercise equipment and rowing himself back and fourth on a machine.</t>
  </si>
  <si>
    <t>The man continues moving himself back and fourth as the camera captures him from several angles.</t>
  </si>
  <si>
    <t>v_-C1nnsyw7R0</t>
  </si>
  <si>
    <t>man is standing in a racetrack and is running to make a jump and people is standing around him.</t>
  </si>
  <si>
    <t>man is sitting in a room talking to the camera.</t>
  </si>
  <si>
    <t>man is running in a racetrack and jumping in the dust and man is sitting in a room talking.</t>
  </si>
  <si>
    <t>players are running playing american football and spectators are in the terraces.</t>
  </si>
  <si>
    <t>old man is talking in the room and the man in the race track is running and practicing the jump.</t>
  </si>
  <si>
    <t>v_zUuT2FBf-Oc</t>
  </si>
  <si>
    <t>Two large pieces of decorated construction paper are shown with the words Happy Birthday all over them.</t>
  </si>
  <si>
    <t>We then see presents wrapped with the same wording.</t>
  </si>
  <si>
    <t>v_TSVDMiy_FC4</t>
  </si>
  <si>
    <t>A close up pair of shoes is shown followed by various text instructions and tools laid out.</t>
  </si>
  <si>
    <t>A person is then seen rubbing down the show with a rag using several ingredients and zooming in on the clean pair of shoes.</t>
  </si>
  <si>
    <t>v_iPU4muYW14Y</t>
  </si>
  <si>
    <t>A woman is standing on a wooden floor.</t>
  </si>
  <si>
    <t>She is raising and lowering her arms, changing to different positions.</t>
  </si>
  <si>
    <t>She is displaying acts of tai chai for the camera.</t>
  </si>
  <si>
    <t>v_mEjU4uJZccw</t>
  </si>
  <si>
    <t>a man is shown on a stage, playing a set of drums.</t>
  </si>
  <si>
    <t>The woman to one side is playing maracas.</t>
  </si>
  <si>
    <t>The man on the other side is playing an electric guitar.</t>
  </si>
  <si>
    <t>v_kXCtmH4V0TI</t>
  </si>
  <si>
    <t>A man is shown entering a circular caged area with one side open.</t>
  </si>
  <si>
    <t>The man begins rotating a ball that is attached to a string around him.</t>
  </si>
  <si>
    <t>The man begins spinning his body quickly in circles.</t>
  </si>
  <si>
    <t>The man lets go of the string and the ball flies through the air.</t>
  </si>
  <si>
    <t>v_uqT5jtfx8x0</t>
  </si>
  <si>
    <t>Two teams play polo holding poles to kick a ball on front a crowd in a field.</t>
  </si>
  <si>
    <t>People stand next to the scores boards.</t>
  </si>
  <si>
    <t>Then, a player get up the stage to receives a trophy, after a woman kiss the winner and other players on stage, and all rise the trophy.</t>
  </si>
  <si>
    <t>v_HXn5ZpSEMqg</t>
  </si>
  <si>
    <t>A man hold up a bench and opens the parts so he can set it up.</t>
  </si>
  <si>
    <t>He sticks a pin in and snaps his ski in.</t>
  </si>
  <si>
    <t>He then waxes the ski and removes the pin.</t>
  </si>
  <si>
    <t>He adjusts the parts of the bench.</t>
  </si>
  <si>
    <t>We see the bench in shots with the end credits.</t>
  </si>
  <si>
    <t>v_BryW4niZT9Y</t>
  </si>
  <si>
    <t>A man serves a tennis ball when playing tennis with a person in a tennis court.</t>
  </si>
  <si>
    <t>Then, the man serves again to a person behind the net, while a player stands next to him.</t>
  </si>
  <si>
    <t>After, the man serves a ball but nobody is behind the net.</t>
  </si>
  <si>
    <t>v_34NXXCSWyzE</t>
  </si>
  <si>
    <t>A man riding a horse and swinging a rope around is seen chasing after a calf and eventually grabbing the animal with his rope.</t>
  </si>
  <si>
    <t>He holds the calf down and another man comes out to help the man tie up the calf.</t>
  </si>
  <si>
    <t>He then grabs his rope and rides out of the arena on his horse.</t>
  </si>
  <si>
    <t>v_tMheZSxPl3Q</t>
  </si>
  <si>
    <t>Pieces of furniture are seen including cabinets and tables.</t>
  </si>
  <si>
    <t>A person sands down a piece of wood with an electric sander.</t>
  </si>
  <si>
    <t>A person sands down a piece of wood by hand.</t>
  </si>
  <si>
    <t>v_hPOtGLv1GzM</t>
  </si>
  <si>
    <t>People are riding bicycles on a track.</t>
  </si>
  <si>
    <t>A man crashes and lands on the track.</t>
  </si>
  <si>
    <t>A man in a hat is talking to the camera.</t>
  </si>
  <si>
    <t>People continue to ride bikes on the track and crashing.</t>
  </si>
  <si>
    <t>v_3xmgPNrmUYM</t>
  </si>
  <si>
    <t>A camera zooms in on a weight with a person standing nearby.</t>
  </si>
  <si>
    <t>A woman is then standing with weights in her hands and doing lunges.</t>
  </si>
  <si>
    <t>A second woman comes in as well as a man doing various weight lifting moves.</t>
  </si>
  <si>
    <t>v_JkcoGLKl_0A</t>
  </si>
  <si>
    <t>A baby is riding a swing in the playground.</t>
  </si>
  <si>
    <t>A hand pushs her while she enjoys the ride.</t>
  </si>
  <si>
    <t>The man starts to play with her.</t>
  </si>
  <si>
    <t>v_6okx-34bDEg</t>
  </si>
  <si>
    <t>People run in a marathon in the street.</t>
  </si>
  <si>
    <t>A man head the race and run alone in the street.</t>
  </si>
  <si>
    <t>Suddenly, the man crashes into the car and falls.</t>
  </si>
  <si>
    <t>v_CmS2nSm5n2Q</t>
  </si>
  <si>
    <t>There's a man in a blue shirt walking into a tall building where there's an indoor fencing arena.</t>
  </si>
  <si>
    <t>He walks into the arena and talks with two fencers.</t>
  </si>
  <si>
    <t>One of the fencers puts on a fencing suit on the man.</t>
  </si>
  <si>
    <t>The fencer then demonstrates and gives the man a lesson in fencing.</t>
  </si>
  <si>
    <t>He shows the man the various skills involved in fencing.</t>
  </si>
  <si>
    <t>The man is able to miss and evade every move of the fencer as he goes untouched by the sword.</t>
  </si>
  <si>
    <t>Then both the fencers remove their masks and shake hands.</t>
  </si>
  <si>
    <t>The fencer talks about his experience with the master fencer.</t>
  </si>
  <si>
    <t>v_sJUUm0n4cXA</t>
  </si>
  <si>
    <t>A game of lacrosse begins and a boy by the name of Chase Madrid is highlights making scenes throughout the game.</t>
  </si>
  <si>
    <t>Several different games begin and a yellow circle is drawn around him for each play when he is running back and forth.</t>
  </si>
  <si>
    <t>When the highlight reel is finished,a black screen appears and shows the High School as well as the name for the player.</t>
  </si>
  <si>
    <t>v_8v2sAylgkgc</t>
  </si>
  <si>
    <t>A man is at a park, where he and his wife, who is holding a baby, push two small children on the swings.</t>
  </si>
  <si>
    <t>The woman disappears as the man continues to push.</t>
  </si>
  <si>
    <t>v_Kcy0A0DuckE</t>
  </si>
  <si>
    <t>A small group of kids are seen moving around a gymnasium throwing balls around.</t>
  </si>
  <si>
    <t>The kids throw the balls to one another while playing a game.</t>
  </si>
  <si>
    <t>The game continues on while the kids jump and down.</t>
  </si>
  <si>
    <t>v_A0F6uT95xhA</t>
  </si>
  <si>
    <t>A man dances in in a big room.</t>
  </si>
  <si>
    <t>As he does the dance he explains how to do it.</t>
  </si>
  <si>
    <t>v_3S_aifr5rG4</t>
  </si>
  <si>
    <t>These horses are walking in a grassy area by themselves and then a woman is shown brushing the horse's hair.</t>
  </si>
  <si>
    <t>The camera zooms in to shows the horse' nose and then the woman climbs onto the horse's saddle to ride it somewhere.</t>
  </si>
  <si>
    <t>Then two other people are hsown riding the horse's in different settings.</t>
  </si>
  <si>
    <t>v_DIATqGGmG2g</t>
  </si>
  <si>
    <t>Two girls are siting outside talking with there feet crossed.</t>
  </si>
  <si>
    <t>One of the girls hands the other a container which she pulls a little paper out of that tells her what to do.</t>
  </si>
  <si>
    <t>She reads it and then does what the paper says to do.</t>
  </si>
  <si>
    <t>They take turns doing this, picking a note and then doing the task it says to do and they are having fun while doing so.</t>
  </si>
  <si>
    <t>v_FRoL-CpfbJ4</t>
  </si>
  <si>
    <t>Water splashing on a watch tower.</t>
  </si>
  <si>
    <t>People sitting on the beach in a boat.</t>
  </si>
  <si>
    <t>music plays in the background as different people are sailing during different clips.</t>
  </si>
  <si>
    <t>v_RBkieLmOUlQ</t>
  </si>
  <si>
    <t>Two boys in karate pants wrestle one another in the background.</t>
  </si>
  <si>
    <t>The group forms a circle and two of the boys begin to spar in a martial arts practice.</t>
  </si>
  <si>
    <t>the boy in pink top does a spinning kick.</t>
  </si>
  <si>
    <t>v_-l5e1zVzQOQ</t>
  </si>
  <si>
    <t>A band plays music on stage.</t>
  </si>
  <si>
    <t>A man plays the drums intensely.</t>
  </si>
  <si>
    <t>A large screen shows the band above.</t>
  </si>
  <si>
    <t>People play the guitar on the stage.</t>
  </si>
  <si>
    <t>v_TdAfqkmTrf0</t>
  </si>
  <si>
    <t>Players are running around playing lacrosse on a field of grass.</t>
  </si>
  <si>
    <t>The audience is watching and applauding for them.</t>
  </si>
  <si>
    <t>v_ZVMGA4oF6xo</t>
  </si>
  <si>
    <t>A balded man is seen talking to a camera while rubbing his head and making grimace faces.</t>
  </si>
  <si>
    <t>He continues speaking to the camera and the video ends with him waving and shutting the camera off.</t>
  </si>
  <si>
    <t>v_t6Hc2tHRrs4</t>
  </si>
  <si>
    <t>A group is shown together and racing on bmx bikes in a series of photos.</t>
  </si>
  <si>
    <t>Then we see people on bikes, performing stunts, going around a ring and jumping hills.</t>
  </si>
  <si>
    <t>A biker flies through the air, then we see a final photo of the winners with their medals.</t>
  </si>
  <si>
    <t>v_HmqRZ4HPu1U</t>
  </si>
  <si>
    <t>A man in a yard starts his lawn mower.</t>
  </si>
  <si>
    <t>The man mows his lawn with headphones on his ears as his dog walks around the yard.</t>
  </si>
  <si>
    <t>the dog runs to get out of the way of the lawn mower and leaves the scene.</t>
  </si>
  <si>
    <t>v_fVzpG-QQ1n8</t>
  </si>
  <si>
    <t>A cat is seen licking itself on a bed while a person continuously attempts to cut it's claws.</t>
  </si>
  <si>
    <t>The person scratches the cat while it continues to lick itself and attempts again to cut it's claws.</t>
  </si>
  <si>
    <t>Finally the person plays with the cat and the car continues licking.</t>
  </si>
  <si>
    <t>v_KgfKmcsEMK0</t>
  </si>
  <si>
    <t>A guy is shaving a male's leg.</t>
  </si>
  <si>
    <t>The male laughs and messes with his shorts.</t>
  </si>
  <si>
    <t>The guy rinses the razor in a blue bowl full with soapy liquid.</t>
  </si>
  <si>
    <t>v_BadeHG8y4PQ</t>
  </si>
  <si>
    <t>A man is holding a volleyball while standing on a court and speaking.</t>
  </si>
  <si>
    <t>Female players train and practice behind him while he speaks.</t>
  </si>
  <si>
    <t>v_X1vyuNazaIc</t>
  </si>
  <si>
    <t>Two children in pajamas hang Christmas ornaments from a tree.</t>
  </si>
  <si>
    <t>A fake bat bursts out of the Christmas tree and scares the children.</t>
  </si>
  <si>
    <t>v_rVqeQ9D7EWo</t>
  </si>
  <si>
    <t>A man is standing outside a trailer.</t>
  </si>
  <si>
    <t>He begins to shovel snow in front of the trailer.</t>
  </si>
  <si>
    <t>He puts the snow shovel in the snow and continues talking.</t>
  </si>
  <si>
    <t>v_PlUAKvaRd8s</t>
  </si>
  <si>
    <t>A small child is seen sitting in a tube while others stand around him.</t>
  </si>
  <si>
    <t>The boy then begins riding down a snowy hill in the tube.</t>
  </si>
  <si>
    <t>The boy continues to ride until he reaches the bottom.</t>
  </si>
  <si>
    <t>v_TV8putYbiCU</t>
  </si>
  <si>
    <t>A woman stands by a sink as she speaks.</t>
  </si>
  <si>
    <t>She turns on the faucet and wets the sink.</t>
  </si>
  <si>
    <t>She sprays the sink with a cleaner.</t>
  </si>
  <si>
    <t>She grabs a paper towel and wipes the sink.</t>
  </si>
  <si>
    <t>She turns on the water and wets the sink.</t>
  </si>
  <si>
    <t>She grabs another paper towel and wipes the sink.</t>
  </si>
  <si>
    <t>She finishes wiping the sink and speaks.</t>
  </si>
  <si>
    <t>v_JFGJYIZ7ONE</t>
  </si>
  <si>
    <t>A team is playing basketball against another team.</t>
  </si>
  <si>
    <t>They chase the ball all over the court.</t>
  </si>
  <si>
    <t>They try to keep the ball away from their opponent, making baskets as they go.</t>
  </si>
  <si>
    <t>v_5I5xXW25OXs</t>
  </si>
  <si>
    <t>Two men getting ready for a contest by doing paper scissors rocks to see who goes first.</t>
  </si>
  <si>
    <t>The men cross their arms and began drinking the liquids during the contest.</t>
  </si>
  <si>
    <t>v_vl7OBBTv7KY</t>
  </si>
  <si>
    <t>an oreo cheesecake is on top of a table.</t>
  </si>
  <si>
    <t>oreos are in a bowl and the cooker is crushing them and melted butter and mixing and put it in a pan.</t>
  </si>
  <si>
    <t>whipping cream is meled in a bowl and beat until double its volume.</t>
  </si>
  <si>
    <t>in other bowl a cream cheese is mixed with sugar and vanilla and break oreo cookies in a bowl and mix it together and then drop it in the pan and top it off with oreo cookies.</t>
  </si>
  <si>
    <t>v_J_CqwWJZTh4</t>
  </si>
  <si>
    <t>A woman is seen speaking into a microphone and leads into her throwing darts at a person's head after spinning.</t>
  </si>
  <si>
    <t>The person wears a pumpkin head and more people are seen attempting to throw darts.</t>
  </si>
  <si>
    <t>In the end the man takes the pumpkin off of his head.</t>
  </si>
  <si>
    <t>v_AR-VPPtV7ag</t>
  </si>
  <si>
    <t>A man is shown sitting down in front of a tree shuffling cards when someone hands him a drink.</t>
  </si>
  <si>
    <t>He then chugs the drink very quickly and points to the one who threw the drink.</t>
  </si>
  <si>
    <t>v_FaiSWZFSHSE</t>
  </si>
  <si>
    <t>Several images of a bakery and a chef are shown and then a little animate guy comes along showing what the video will be about.</t>
  </si>
  <si>
    <t>A real chef then appears and begins cutting small layers of cakes and adding them together.</t>
  </si>
  <si>
    <t>Once all the layers of the cake are cut out and iced together,the fondant is placed on the cake as well as the icing and the desert is complete.</t>
  </si>
  <si>
    <t>v_rMX2KeJa8qI</t>
  </si>
  <si>
    <t>A group of shirtless men are seen standing around the outside of a home when one grabs various tools and hands more to another.</t>
  </si>
  <si>
    <t>The men then hit a ball all around the yard through stands sticking out and speak to one another while drinking water.</t>
  </si>
  <si>
    <t>The men hit the ball a few more times and continue to speak to one another.</t>
  </si>
  <si>
    <t>v_brSp5DB7OLs</t>
  </si>
  <si>
    <t>A young girl is shown taking wet clothes our of a bucket.</t>
  </si>
  <si>
    <t>Several people are around her washing clothes and tending to them.</t>
  </si>
  <si>
    <t>She looks back at the camera and seems to be having fun.</t>
  </si>
  <si>
    <t>A young boy jumps in front of the camera and is smiling.</t>
  </si>
  <si>
    <t>The little girls continue rinsing the clothes in the bucket as the young boy turns his back to the camera.</t>
  </si>
  <si>
    <t>The young girl continues on with her work and is shown being very focused in her task.</t>
  </si>
  <si>
    <t>v_t2zLJ5mKTT8</t>
  </si>
  <si>
    <t>Water falls as a man stand on a jet ski.</t>
  </si>
  <si>
    <t>We see the man jet skiing and performing jumps on a lake.</t>
  </si>
  <si>
    <t>The man skis with his hand in the water as he bends down.</t>
  </si>
  <si>
    <t>We see the boat pass us with the skier in the air.</t>
  </si>
  <si>
    <t>v_Np43Q2E8GCE</t>
  </si>
  <si>
    <t>Two women and a man are walking in the hallway looking at the carpets on display.</t>
  </si>
  <si>
    <t>A red van driven by a man passed, then a man walked towards the house, then a man is crouching on the carpeted floor cutting a piece or brown carpet, iron the carpet, press the carpet with heavy metal.</t>
  </si>
  <si>
    <t>v_0XRZ2F5B7fQ</t>
  </si>
  <si>
    <t>A man and a woman scrape frost off of a parked car's windows, windshield and wiper blades while a second woman talks to them from the side of the car in the snow.</t>
  </si>
  <si>
    <t>A man in a long black wool coat scrapes ice off of a blue car's windshield while a woman in a black fur collared coat talks to him from the side of the car.</t>
  </si>
  <si>
    <t>A second woman begins wiping snow off of the car's windshield wipers while talking to the woman in the fur hooded coat.</t>
  </si>
  <si>
    <t>The man gets in the back seat of the car and shuts the door behind him while the woman in the fur hooded coat waves at the other woman who is moving towards the drivers side car door.</t>
  </si>
  <si>
    <t>v_WiJMIl5Tp3A</t>
  </si>
  <si>
    <t>There are a few girls doing gymnastics in a gym.</t>
  </si>
  <si>
    <t>There's a young girl wearing an athletic tank top and shorts doing back flips in her backyard.</t>
  </si>
  <si>
    <t>She continues to back flips in a fast manner.</t>
  </si>
  <si>
    <t>She also does a back flip on the beach.</t>
  </si>
  <si>
    <t>Then she does some more back flips in her backyard and in a park.</t>
  </si>
  <si>
    <t>The girl then stretches her leg towards the back of her head to make her toes touch her head.</t>
  </si>
  <si>
    <t>Several pictures of the girl are shown where she has participated as a cheerleader and in many gymnastic events.</t>
  </si>
  <si>
    <t>v_juP0cn5B60Y</t>
  </si>
  <si>
    <t>A woman is seen speaking to the camera while shots of homes are shown.</t>
  </si>
  <si>
    <t>People are then seen grooming dogs and holding up awards.</t>
  </si>
  <si>
    <t>The woman continues speaking to the camera while the dogs continue to be groomed behind her.</t>
  </si>
  <si>
    <t>v_zp86ztwZEKk</t>
  </si>
  <si>
    <t>A talking man dressed in athletic gear is standing on a very green field and the words on the bottom left say his name is Neil Macmillan and his title is Head Coach.</t>
  </si>
  <si>
    <t>A large group of girls dressed in athletic gear are shown playing land hockey, and the people not playing are dressed for cold weather.</t>
  </si>
  <si>
    <t>Clips of the man continue to play and rotate from showing the man and the girls playing land hockey until they are done playing.</t>
  </si>
  <si>
    <t>v_FK73jqIGUzE</t>
  </si>
  <si>
    <t>A boy welds on a piece of metal making sparkles.</t>
  </si>
  <si>
    <t>Then, the boy raise his helmet and talks.</t>
  </si>
  <si>
    <t>v_AhWkUdag6NA</t>
  </si>
  <si>
    <t>A woman opens her mouth and smiles at the camera.</t>
  </si>
  <si>
    <t>People are going by, water sailing.</t>
  </si>
  <si>
    <t>They spin and turn in the water as they sail.</t>
  </si>
  <si>
    <t>v_zQ4HbFGX7t0</t>
  </si>
  <si>
    <t>A man closing his house door and then opening his car door.</t>
  </si>
  <si>
    <t>He gets in the car and puts the keys in the ignition and starts driving down the highway to his shop.</t>
  </si>
  <si>
    <t>He gets some boards and starts sanding them down smoothing them out.</t>
  </si>
  <si>
    <t>When the day is over he turns the lights off and gets ready for work.</t>
  </si>
  <si>
    <t>v_GwIHO7HpGkY</t>
  </si>
  <si>
    <t>A man is standing on ice holding a fishing pole in his right hand and there's a very small hole in the ice in front of him and he drops his hook into the hole and tugs on his pole.</t>
  </si>
  <si>
    <t>The man then pulls on the fishing wire a few times and stands there holding his fishing pole, moving it, and winding it from time to time.</t>
  </si>
  <si>
    <t>The end of the pole begins to bend and the man starts pulling the pole and winding it up and he pulls a fish out of the hole and it lands onto the ice.</t>
  </si>
  <si>
    <t>The man grabs the fish from the ice and puts it right back into the hole he just pulled it out from while it's still attached to the hook and his wire.</t>
  </si>
  <si>
    <t>The man then begins to pull on the fishing wire, pulls his pole up and and down a few times, and then adjusts the camera.</t>
  </si>
  <si>
    <t>v_dWBnXy2nauU</t>
  </si>
  <si>
    <t>The tile screen shows up with some names.</t>
  </si>
  <si>
    <t>A man starts throwing a shot-put several different times as names scroll at the bottom.</t>
  </si>
  <si>
    <t>A group can be seen behind watch him.</t>
  </si>
  <si>
    <t>A man is behind the last one thrown.</t>
  </si>
  <si>
    <t>v_bmc11KqVbEE</t>
  </si>
  <si>
    <t>Words appear on the screen before it goes black.</t>
  </si>
  <si>
    <t>A man appears, using squeegees to wash a window in front of him while he speaks.</t>
  </si>
  <si>
    <t>He applies soap liberally before swiping it off with the rake.</t>
  </si>
  <si>
    <t>He stops cleaning the window, and says a few words in closing.</t>
  </si>
  <si>
    <t>v_4fgIHu_Se3Q</t>
  </si>
  <si>
    <t>An athlete walks up to a beam.</t>
  </si>
  <si>
    <t>He mounts quickly, spinning and turning around it and jumping between the two bars several times.</t>
  </si>
  <si>
    <t>He finally dismounts, throwing his arms into the air before walking away.</t>
  </si>
  <si>
    <t>v_kzvFQv5UCx4</t>
  </si>
  <si>
    <t>A man makes tattoos on the back head and neck of a person.</t>
  </si>
  <si>
    <t>Then, the man cleans the head and neck with a white tissue.</t>
  </si>
  <si>
    <t>After, the man continues making the tattoo on the side of the head while cleaning the paint.</t>
  </si>
  <si>
    <t>v_fXdw7jwiP8g</t>
  </si>
  <si>
    <t>A woman in a black leotard is talking on a stage.</t>
  </si>
  <si>
    <t>She starts dancing for the camera.</t>
  </si>
  <si>
    <t>She shows several dance moves as she does them.</t>
  </si>
  <si>
    <t>v_vULLe2qogZU</t>
  </si>
  <si>
    <t>Two people are playing a lacrosse game.</t>
  </si>
  <si>
    <t>They shoot at the goal and make the point.</t>
  </si>
  <si>
    <t>v_-qGmUrF_7v4</t>
  </si>
  <si>
    <t>A little girl in a room standing in front of some chairs is hitting a dora pinata.</t>
  </si>
  <si>
    <t>She hits it a few times and then its someone else's turn.</t>
  </si>
  <si>
    <t>An older girl hits it so hard that it doesn't break but the whole pinata falls down and the adults have to put it back up.</t>
  </si>
  <si>
    <t>After everyone takes their tun the little girl gets to go again, when hitting doesn't work they all grab a piece of string and pull it.</t>
  </si>
  <si>
    <t>v_kliGNOFLJSk</t>
  </si>
  <si>
    <t>people is in a court stretching and making exercise, jumping the rope and weightlifting.</t>
  </si>
  <si>
    <t>man is talking to the camera and the people practicing capoeira, doing suicides and weightlifting are training.</t>
  </si>
  <si>
    <t>v_0WRxp0X0edY</t>
  </si>
  <si>
    <t>A man and a woman anchor are talking behind a desk and several television.</t>
  </si>
  <si>
    <t>The woman is then shown alone and she begins talking.</t>
  </si>
  <si>
    <t>An ice rink then appears and a woman begins coaching a man about specific techniques for a game.</t>
  </si>
  <si>
    <t>She has a brief interview and continues coaching people on Curling.</t>
  </si>
  <si>
    <t>More people are in the gym and they continue curling and more instructors begin having interviews.</t>
  </si>
  <si>
    <t>Clips are shown from a real curling game and the people begin to wait against the wall.</t>
  </si>
  <si>
    <t>v_r_n1PfHvKI4</t>
  </si>
  <si>
    <t>There is a field with a kite laying in it.</t>
  </si>
  <si>
    <t>A man is preparing to fly the kite.</t>
  </si>
  <si>
    <t>The kite gets airborne and soars.</t>
  </si>
  <si>
    <t>v_eDMv3IHGpnA</t>
  </si>
  <si>
    <t>A man wearing very large glasses is talking into a black microphone while people behind him are dancing until he points into their direction and they all scatter off the dance floor.</t>
  </si>
  <si>
    <t>Men are dressed in red suits and each are taking turns break dancing alone as words on the screen are possibly naming the dancer.</t>
  </si>
  <si>
    <t>When the last man is dancing they all stop and strike a pose and DJ that has been playing this whole time continues to play music at his DJ station.</t>
  </si>
  <si>
    <t>v_BUqr7or97JA</t>
  </si>
  <si>
    <t>A woman and a man performs arm wrestling.</t>
  </si>
  <si>
    <t>The man raise his t-shirt sleeve until the shoulder.</t>
  </si>
  <si>
    <t>A man walks in a room behind the wrestlers.</t>
  </si>
  <si>
    <t>The man bend the woman's arm, but the woman straight her arm and bend the arm of the man and win.</t>
  </si>
  <si>
    <t>v_YL3MvJVk6u0</t>
  </si>
  <si>
    <t>A man prunes dead branches from fruit bearing plant stems in the winter.</t>
  </si>
  <si>
    <t>A man, in a field of dirt and fruit crops with bare branches from the winter, begins to prune dead branches from the fruit plants with a pruning tool and a hatchet.</t>
  </si>
  <si>
    <t>An image of the plants in fruit bearing months appears before returning to the man in the field pruning the dead branches.</t>
  </si>
  <si>
    <t>v_edbczrXeEOk</t>
  </si>
  <si>
    <t>A person is shown performing a dive off of a board while a couple people watch on the sidelines and clap.</t>
  </si>
  <si>
    <t>The person performs several more tricks off of the high dive while more people watch on the sides.</t>
  </si>
  <si>
    <t>v_EZdnNs-5tlo</t>
  </si>
  <si>
    <t>Children drives bumper cars in a carnival.</t>
  </si>
  <si>
    <t>A little girl bumps on the wall and gets stuck with other cars, then the girl gets free and continues riding.</t>
  </si>
  <si>
    <t>The little girl get stuck with other children, then she gets free and then rides the bumper car.</t>
  </si>
  <si>
    <t>v_1BWF1U1dJ_w</t>
  </si>
  <si>
    <t>A person demonstrates how to make a mini meat and cheese sandwich platter with garnish.</t>
  </si>
  <si>
    <t>A large platter of prepared sandwiches displays.</t>
  </si>
  <si>
    <t>A persons hands is seen throwing different sandwich making ingredients into a shopping cart inside of a grocery store, the ingredients include rolls and lunch meat.</t>
  </si>
  <si>
    <t>A person is then seen putting a sandwich of cheese and meat together on white bread rolls with lettuce on a counter top.</t>
  </si>
  <si>
    <t>The person cuts the rolls apart to make individual sandwiches and then adds toothpicks and strawberries along with lettuce garnish to the platter which is then focused on by the camera as the finished product.</t>
  </si>
  <si>
    <t>v_zruHn4r6_CY</t>
  </si>
  <si>
    <t>We see a sign with a mans' name.</t>
  </si>
  <si>
    <t>We see a man run and do a long jump on different tracks repeatedly with his name on a sign occasionally.</t>
  </si>
  <si>
    <t>We see the man on a blue track with ad signs.</t>
  </si>
  <si>
    <t>The man tumbles on his landing.</t>
  </si>
  <si>
    <t>The man lands on his back.</t>
  </si>
  <si>
    <t>The screen fades to black.</t>
  </si>
  <si>
    <t>v_e51NGAPMp1s</t>
  </si>
  <si>
    <t>A man sinks underwater in a pool.</t>
  </si>
  <si>
    <t>The man sinks underwater in a pool backwards.</t>
  </si>
  <si>
    <t>Text is shown on a black screen.</t>
  </si>
  <si>
    <t>v_yDrTpm9c7MY</t>
  </si>
  <si>
    <t>woman is sitting on a wooden bench talking to the camera.</t>
  </si>
  <si>
    <t>woman is doing somersaults on a large green grassy field.</t>
  </si>
  <si>
    <t>woman is making a jump and slide and fell into the grass.</t>
  </si>
  <si>
    <t>v_Ta70WnVT6Lc</t>
  </si>
  <si>
    <t>A video is shown of skateboarders at an outdoor skatepark.</t>
  </si>
  <si>
    <t>Interviews are shown and then a few races are shown.</t>
  </si>
  <si>
    <t>v_TEkIJQljABs</t>
  </si>
  <si>
    <t>A small child seated at a table eats ice cream with a spoon while people walk by in the background.</t>
  </si>
  <si>
    <t>A pair of adult hands briefly enter the camera frame in the foreground.</t>
  </si>
  <si>
    <t>The child inserts her spoon into her ice cream container on the table.</t>
  </si>
  <si>
    <t>The child complains about something.</t>
  </si>
  <si>
    <t>The camera zooms in on the ice cream.</t>
  </si>
  <si>
    <t>v_-ROljbRVlos</t>
  </si>
  <si>
    <t>A person is seen standing on a court wearing stilts on his feet.</t>
  </si>
  <si>
    <t>The boy then begins running down the court on the stilts.</t>
  </si>
  <si>
    <t>The boy dunks a small ball into the basket and walks back to grab it.</t>
  </si>
  <si>
    <t>v_Wgm-mYzdnxc</t>
  </si>
  <si>
    <t>A man is seen using a power drill in a large bowl filled with chocolate.</t>
  </si>
  <si>
    <t>Another person hands him a blender but the man continues using the drill in the bowl.</t>
  </si>
  <si>
    <t>v_oLEagb_RGq8</t>
  </si>
  <si>
    <t>A young woman is seen standing behind a lawn mower in a yard.</t>
  </si>
  <si>
    <t>She begins pushing the lawn mower along the yard.</t>
  </si>
  <si>
    <t>She moves herself back on the lawn and looks into the camera.</t>
  </si>
  <si>
    <t>v_lnx8WSmcLF8</t>
  </si>
  <si>
    <t>A gymnast performs a routine on the horizontal bars.</t>
  </si>
  <si>
    <t>The gymnast spins and turns from one bar to the other, also holding on one hand.</t>
  </si>
  <si>
    <t>Then, the gymnast spins and jumps stand on the floor, then a flashback of the routine is presented.</t>
  </si>
  <si>
    <t>v_i5K-DXt9djA</t>
  </si>
  <si>
    <t>A man and woman are riding bikes quickly down a paved street.</t>
  </si>
  <si>
    <t>they stop, pumping air into their tires.</t>
  </si>
  <si>
    <t>they then replace the tubes and get back on their bikes.</t>
  </si>
  <si>
    <t>They continue riding down the road.</t>
  </si>
  <si>
    <t>v_bdDzTqaiB3E</t>
  </si>
  <si>
    <t>A woman is standing in the bathtub using the shower to wash her clothes.</t>
  </si>
  <si>
    <t>She kicks the clothes around and steps around and kind of dances on them.</t>
  </si>
  <si>
    <t>Her boyfriend is recording her and himself in the mirror.</t>
  </si>
  <si>
    <t>He continues to watch her as she steps on the clothed, and then he turns the camera to his mother.</t>
  </si>
  <si>
    <t>v_1SouLWwpbvU</t>
  </si>
  <si>
    <t>Several people are in a small room dressed in work out clothes going up and and on the stair step.</t>
  </si>
  <si>
    <t>They then turn around and start to dance on the stair step and intensifying the workout.</t>
  </si>
  <si>
    <t>Midway through,the instructor gets off and walks around while the rest of the class continues.</t>
  </si>
  <si>
    <t>After,the grab the stair step,place it against the wall and come back to their spots for the remainder of the workout.</t>
  </si>
  <si>
    <t>v_9ddD5Ob93J0</t>
  </si>
  <si>
    <t>Steven Richardson, a store manager, discusses the topic of tire care for vehicles with 4 wheel drive.</t>
  </si>
  <si>
    <t>He explains that mismatched tires on 4 wheel drive vehicles cause wear and tear.</t>
  </si>
  <si>
    <t>He recommend that all 4 tires should be replaced at the same time.</t>
  </si>
  <si>
    <t>He advertises the website belletire dot com and says to use it to find a location near you.</t>
  </si>
  <si>
    <t>v_sNnNDCx6RRA</t>
  </si>
  <si>
    <t>A ballerina is seen walking out onto a stage and leads into her performing a ballet routine.</t>
  </si>
  <si>
    <t>The girl spins herself around on her shoes while the audience watches her.</t>
  </si>
  <si>
    <t>She continues spinning and twirling around and ends by holding a pose and bowing.</t>
  </si>
  <si>
    <t>v_cJcr6kWylI8</t>
  </si>
  <si>
    <t>A barefoot man is touching up a piece of wood furniture with a brush.</t>
  </si>
  <si>
    <t>He then moves the piece around to show the scuffs and buffs them out with a brush.</t>
  </si>
  <si>
    <t>The man shows the cleaned edges with his fingers.</t>
  </si>
  <si>
    <t>v_E1Xsc4kfFRE</t>
  </si>
  <si>
    <t>A couple of kids are cheering at a bowling alley.</t>
  </si>
  <si>
    <t>They join other children, arguing over a bowling ball.</t>
  </si>
  <si>
    <t>They pick a ball, then bowl it down the lane.</t>
  </si>
  <si>
    <t>v_YptHsVTHquc</t>
  </si>
  <si>
    <t>A group of people are dancing around each other.</t>
  </si>
  <si>
    <t>A girl moves around with a hula hoop doing various movements.</t>
  </si>
  <si>
    <t>The People continuing dancing around her in various motions.</t>
  </si>
  <si>
    <t>The girl spins her hula hoop around her head.</t>
  </si>
  <si>
    <t>v_8YkCDiVc7RI</t>
  </si>
  <si>
    <t>Two girls are seen speaking and waving to the camera that lead into them performing several jumps and tricks on a mat.</t>
  </si>
  <si>
    <t>the girls continue taking turns flipping all around the mat in the area as well as speaking to the camera and waving.</t>
  </si>
  <si>
    <t>v_YcAs1-6SYb4</t>
  </si>
  <si>
    <t>A woman is standing with a ball on a string.</t>
  </si>
  <si>
    <t>She is in a competition for athletics.</t>
  </si>
  <si>
    <t>She swings the ball around numerous times, then legs go and cheers as it lands far into the field.</t>
  </si>
  <si>
    <t>v_zvAlL20-K4w</t>
  </si>
  <si>
    <t>An athlete is seen standing ready in the middle of a small circle and then throws a shot put off into the distance.</t>
  </si>
  <si>
    <t>The man walks away shaking his arms and his throw is shown again several times.</t>
  </si>
  <si>
    <t>Several more athletes are shown stepping up to the platform throwing the shot put and ending with a man in a hat speaking to the audience.</t>
  </si>
  <si>
    <t>v_XSfG1M-Ik_A</t>
  </si>
  <si>
    <t>A lady in a bra and panties grabs and throws a shotput.</t>
  </si>
  <si>
    <t>IT goes through a window on a house and a cat runs.</t>
  </si>
  <si>
    <t>The man looks outside and sees the lady.</t>
  </si>
  <si>
    <t>the lady uses a pole to pole vault into the second story window and jump on the man.</t>
  </si>
  <si>
    <t>We see the title screen and the man's pants fly out the window.</t>
  </si>
  <si>
    <t>v_d6lajCxMhPE</t>
  </si>
  <si>
    <t>A person holding a broom cleans the floor back and forth.</t>
  </si>
  <si>
    <t>The person turn the broom to collect the dust.</t>
  </si>
  <si>
    <t>v_SfFjpnTKG7s</t>
  </si>
  <si>
    <t>Athletes runs on an outdoors track of a field and pole vault during practice.</t>
  </si>
  <si>
    <t>An athlete runs and pole vaults during an Olympic competition in a stadium.</t>
  </si>
  <si>
    <t>Athletes make a practice jumps and dive under the rope and onto the mat.</t>
  </si>
  <si>
    <t>v_NT0dXbWzt7w</t>
  </si>
  <si>
    <t>A little boy is filling an ice cream cone with ice cream.</t>
  </si>
  <si>
    <t>He licks the ice cream cone.</t>
  </si>
  <si>
    <t>He lifts the ice cream cone up to show the camera.</t>
  </si>
  <si>
    <t>v_yDWOqabreoU</t>
  </si>
  <si>
    <t>A girls has a pole and she is blindfolded.</t>
  </si>
  <si>
    <t>She swings at a pinata and misses.</t>
  </si>
  <si>
    <t>She steps closer and tries again, hitting it this time.</t>
  </si>
  <si>
    <t>She backs up as a dog comes into the picture.</t>
  </si>
  <si>
    <t>She keeps swinging at missing.</t>
  </si>
  <si>
    <t>She stops for moment, takes a hard swing and hits it.</t>
  </si>
  <si>
    <t>v_C1TWr5XH8b0</t>
  </si>
  <si>
    <t>Various text is shown across the screen and leads into a man speaking and more tools being shown.</t>
  </si>
  <si>
    <t>The man rubs the tools along his skin and points back and fourth to the vacuum while speaking.</t>
  </si>
  <si>
    <t>v_fljxcvQe_Mo</t>
  </si>
  <si>
    <t>The top shingle of a roof dangles unsecured.</t>
  </si>
  <si>
    <t>A man on a roof hammers a nail into the shingle, securing the shingle.</t>
  </si>
  <si>
    <t>v_hj88A5tvA0Y</t>
  </si>
  <si>
    <t>Various people are seen walking around a beach leading into men tightening up a rope and bouncing on the rope.</t>
  </si>
  <si>
    <t>Several people perform many tricks and jumps on the rope while others stand and watch on the side.</t>
  </si>
  <si>
    <t>v_tYyTrDyzB6o</t>
  </si>
  <si>
    <t>A person is seen riding in a tube down a river while the camera zooms in on a persons feet.</t>
  </si>
  <si>
    <t>The people in tubes ride past others in the water.</t>
  </si>
  <si>
    <t>More people are seen riding down the river in tubes.</t>
  </si>
  <si>
    <t>v_yuYqFaAnTxI</t>
  </si>
  <si>
    <t>A series of clips of the same woman performing pole vaults at different professional athletic events plays.</t>
  </si>
  <si>
    <t>A woman holding a pole runs on a track toward a goal line and performs a pole vault in front of event onlookers and supporters.</t>
  </si>
  <si>
    <t>The woman is then shown at two more event performing the same pole vault surrounded by onlookers and score takers.</t>
  </si>
  <si>
    <t>v_o8RIoxL9FDE</t>
  </si>
  <si>
    <t>A woman stands in front of a mirror and rinses her mouth before pulling her face close to the mirror and looking at her teeth from a close up angle.</t>
  </si>
  <si>
    <t>A woman sits in front of a bathroom mirror squishing water in her mouth, as if rinsing her mouth.</t>
  </si>
  <si>
    <t>The woman then spits the water into the sink and looks at her teeth very close in the mirror before the scene fades out.</t>
  </si>
  <si>
    <t>v_mBsIWxXJPY0</t>
  </si>
  <si>
    <t>We see people on skis falling hard.</t>
  </si>
  <si>
    <t>We see a person fly into a snow pile.</t>
  </si>
  <si>
    <t>A person skis and falls as they jump across a street.</t>
  </si>
  <si>
    <t>A person on skis is holding a line and falls then a person in white crashes into another and they both fall.</t>
  </si>
  <si>
    <t>A snowboarder can't hold the line and knocks over a person helping and falls himself.</t>
  </si>
  <si>
    <t>v_dJAZplo9ke0</t>
  </si>
  <si>
    <t>A river surrounded by rocks apperas.</t>
  </si>
  <si>
    <t>Several people are floating through it in intertubes.</t>
  </si>
  <si>
    <t>They float down the river together through the rapids.</t>
  </si>
  <si>
    <t>v_f025sQGYfJM</t>
  </si>
  <si>
    <t>A man and a man in green shirt is decorating the Christmas tree with his kid in gray shirt, they are putting the decorations while the woman is sitting on a chair by the tree and put the decors on the blue table.</t>
  </si>
  <si>
    <t>The lady helped the man and child to hang the decor in the Christmas tree, the man handed some decorations to the lady and she put it on the tree.</t>
  </si>
  <si>
    <t>The woman sat on the chair to arrange the christmas ball on the table, and helped them with the decorations.</t>
  </si>
  <si>
    <t>A lady in black top put more decorations to the christmas tree.</t>
  </si>
  <si>
    <t>v_9bUNAiuRXyo</t>
  </si>
  <si>
    <t>A boy walks up to a post on a very large indoor court.</t>
  </si>
  <si>
    <t>He gets himself ready, moving his arms around.</t>
  </si>
  <si>
    <t>He begins to spin around very quickly.</t>
  </si>
  <si>
    <t>Finally letting go and throwing the ball.</t>
  </si>
  <si>
    <t>v_XSnPmf41ToA</t>
  </si>
  <si>
    <t>A woman slaps her cheek as she prepares on a field.</t>
  </si>
  <si>
    <t>She swings a ball around several times.</t>
  </si>
  <si>
    <t>She lets go, letting the ball fly through the air.</t>
  </si>
  <si>
    <t>v_Po3-9ktM5Do</t>
  </si>
  <si>
    <t>A woman wearing a black top and with curly brown hair and bronze highlights is demonstrating how to use a diffuser to dry hair.</t>
  </si>
  <si>
    <t>She is using the blow dryer on medium heat to dry her hair.</t>
  </si>
  <si>
    <t>She blow dries the curls till the moisture from the hair is gone.</t>
  </si>
  <si>
    <t>After she's done using the blow dryer, she uses a wide tooth comb to comb through her curls.</t>
  </si>
  <si>
    <t>She then poofs up her hair and shows off her luscious curls.</t>
  </si>
  <si>
    <t>v_3EuY86B4uTo</t>
  </si>
  <si>
    <t>A helicopter flies in some people who then start playing paintball.</t>
  </si>
  <si>
    <t>They run around obstacles and have a great time.</t>
  </si>
  <si>
    <t>v_wQbVxdVTN-I</t>
  </si>
  <si>
    <t>A boy holds an axe outside.</t>
  </si>
  <si>
    <t>He swings the axe at a stump.</t>
  </si>
  <si>
    <t>Another boy is shown doing the same thing.</t>
  </si>
  <si>
    <t>They continue to try to split the wood.</t>
  </si>
  <si>
    <t>v_nnUYbsoLNqo</t>
  </si>
  <si>
    <t>The start of a race is shown as people run by and the finish is also shown.</t>
  </si>
  <si>
    <t>People in costumes are shown and people are generally having a great time.</t>
  </si>
  <si>
    <t>v_NEthbdTgx-M</t>
  </si>
  <si>
    <t>An intro leads into several shots of people riding down snowy hills and climbing up the side.</t>
  </si>
  <si>
    <t>Two people speak to the camera and show more shots of them climbing a mountain and various shots of the mountain.</t>
  </si>
  <si>
    <t>The people then ride around on skis while still speaking to the camera and show several shots of them riding down the snowy mountain.</t>
  </si>
  <si>
    <t>v_aJsDVKt5Igs</t>
  </si>
  <si>
    <t>Two women and a little girl are walking outdoors, showing the little girl a group of boys in the distance.</t>
  </si>
  <si>
    <t>They throw a ball, and the girl kicks it before being led to a base.</t>
  </si>
  <si>
    <t>The group gathers together to congratulate her.</t>
  </si>
  <si>
    <t>v_icm5lX5pZE0</t>
  </si>
  <si>
    <t>A man is seen sitting behind a desk working on a computer.</t>
  </si>
  <si>
    <t>Several shots are shown of people printing off paper as well as paper close up.</t>
  </si>
  <si>
    <t>More clips are shown of people hanging up the wallpaper as well as shots of the city.</t>
  </si>
  <si>
    <t>v_E50d5qFvzOI</t>
  </si>
  <si>
    <t>A video begins showing a man and woman holding each other and moving back and fourth.</t>
  </si>
  <si>
    <t>The couple moves their feet back and fourth while the man speaks to the camera.</t>
  </si>
  <si>
    <t>The woman eventually speaks the camera while performing several different dance moves for the camera to see.</t>
  </si>
  <si>
    <t>v_8kjYbv52EcI</t>
  </si>
  <si>
    <t>Several canoes are shown in idle in murky water.</t>
  </si>
  <si>
    <t>Then a set of boys begin kayaking in the water and jumping off the trees.</t>
  </si>
  <si>
    <t>v__L8VrJYsOAQ</t>
  </si>
  <si>
    <t>A person is washing their hands in a sink.</t>
  </si>
  <si>
    <t>Two women are standing by the sink washing their hands.</t>
  </si>
  <si>
    <t>v_vQ8NJRCSyb4</t>
  </si>
  <si>
    <t>Two men on one knee demonstrate a hip flexxer stretch in a therapy gym.</t>
  </si>
  <si>
    <t>The man wearing a black t-shirt uses the man wearing a green t-shirt as a model to demonstrate the hip flexxer stretch.</t>
  </si>
  <si>
    <t>The man in the black t-shirt adjusts the man in the green -t shirt a into different positions by slight positioning of the foot, leg, hips and arms.</t>
  </si>
  <si>
    <t>v_rqraLuIBvyg</t>
  </si>
  <si>
    <t>The credits of the clips is shown.</t>
  </si>
  <si>
    <t>A woman is outside next to a pile of snow.</t>
  </si>
  <si>
    <t>A guy picks up a shovel land shovels snow off to the side.</t>
  </si>
  <si>
    <t>The guy puts down the shovel and stretches his back backwards twice.</t>
  </si>
  <si>
    <t>The guy picks up the shovel and continues to shovel snow.</t>
  </si>
  <si>
    <t>v_JGKjMJm0HRI</t>
  </si>
  <si>
    <t>A close up shot of children are seen riding around a bumper car game and running into one another.</t>
  </si>
  <si>
    <t>Two boys are seen bumping in to one another with several other kids riding around and hitting each other.</t>
  </si>
  <si>
    <t>v_ORL5yMppl8E</t>
  </si>
  <si>
    <t>A kid fills a pot with water.</t>
  </si>
  <si>
    <t>He puts the pot on a stove and puts a lid on it.</t>
  </si>
  <si>
    <t>He adds salt and pasta to the pot.</t>
  </si>
  <si>
    <t>He puts the lid back on the pot.</t>
  </si>
  <si>
    <t>He stirs the pot and pours the pasta into a strainer.</t>
  </si>
  <si>
    <t>He pours the pasta back into the pan.</t>
  </si>
  <si>
    <t>He adds sauce and stirs it together.</t>
  </si>
  <si>
    <t>v_0CTnYEE7rdo</t>
  </si>
  <si>
    <t>A man is skateboarding down a city street.</t>
  </si>
  <si>
    <t>He is seen talking to the camera in the middle of the road.</t>
  </si>
  <si>
    <t>Then we see him doing several different stunts as he winds in and out of traffic.</t>
  </si>
  <si>
    <t>v_2YSsqivrvR4</t>
  </si>
  <si>
    <t>A person is seen sitting on the edge of a bed carrying a guitar.</t>
  </si>
  <si>
    <t>The person begins playing the guitar while looking over to the camera.</t>
  </si>
  <si>
    <t>The man continues playing and stops moving his hand out of frame.</t>
  </si>
  <si>
    <t>v_P9jIpcRGeOk</t>
  </si>
  <si>
    <t>Several people are shown in images gathered outside a building.</t>
  </si>
  <si>
    <t>Two cartoon sumo wrestlers are engaged in a fight.</t>
  </si>
  <si>
    <t>They body slam each other as a referee watches.</t>
  </si>
  <si>
    <t>v_MAXfslyf7Dw</t>
  </si>
  <si>
    <t>Sumos are standing in front of each other in a dust court and a referee dress in white suit is watching them.</t>
  </si>
  <si>
    <t>men stat wrestling and one of them if taking off the court.</t>
  </si>
  <si>
    <t>v_nh1GBPeyyMo</t>
  </si>
  <si>
    <t>A person's hands are seen cutting a piece of paper with scissors and then wrapping a box with paper.</t>
  </si>
  <si>
    <t>She tapes down the present and ties it in a bowl, finishes by cutting the excess string and placing a tag on top.</t>
  </si>
  <si>
    <t>v_McFsP60TqH4</t>
  </si>
  <si>
    <t>A young child is seen sitting on the floor brushing her hair in front of a mirror.</t>
  </si>
  <si>
    <t>The girl continues to brush her hair and ends with her watching a video and speaking to the camera.</t>
  </si>
  <si>
    <t>v_Damu3T2Yy0M</t>
  </si>
  <si>
    <t>Two men are seen speaking to the camera when another walks into frame laughing and walks away.</t>
  </si>
  <si>
    <t>The men continue speaking then lead into an arm wrestling match between the two.</t>
  </si>
  <si>
    <t>One beats the other and flexes his arms to the camera while smiling.</t>
  </si>
  <si>
    <t>v_W1Cp1UyY8S8</t>
  </si>
  <si>
    <t>A man is power washing a fence.</t>
  </si>
  <si>
    <t>It cuts to him power washing a different section.</t>
  </si>
  <si>
    <t>It fades to an open shot of the fence.</t>
  </si>
  <si>
    <t>v_YoDlwg4eAEA</t>
  </si>
  <si>
    <t>Several alternating images of dishes of food appear.</t>
  </si>
  <si>
    <t>A recipe for greek dressing begins.</t>
  </si>
  <si>
    <t>The ingredients made from oilsand powders are mixed together and shaken in a jar, and poured onto a salad.</t>
  </si>
  <si>
    <t>It is then topped with blocks of cheese.</t>
  </si>
  <si>
    <t>v_jqLwYHwYYPM</t>
  </si>
  <si>
    <t>A black screen appears and the yellow words appear on them read "Extreme How-To presents".</t>
  </si>
  <si>
    <t>The second black screen has yellow words that read "Installing Heated Floor Tile".</t>
  </si>
  <si>
    <t>A man is now standing and talking in the corner of a residential home, dressed in a long sleeved button up black shirt, brown long pants, shoes and wearing a hat.</t>
  </si>
  <si>
    <t>The man walks away from the corner and the next view is of a kneeling man using a tool to remove base molding from a wall, using a drill gun, measuring with a long ruler, then laying on the ground gray pieces of fabric with some wires attached to it.</t>
  </si>
  <si>
    <t>The man is then shown pressing buttons on a little white box and the man is now pointing to those wires attached to those gray pieces of fabric and the man starts putting wires into a gray pipe that is now shown on the wall.</t>
  </si>
  <si>
    <t>The man is back on the ground with a long tape measure and measuring the ground.</t>
  </si>
  <si>
    <t>The man is now holding a tile with ridges on all four sides and he takes a mallet and a tool to gently pound the pieces together.</t>
  </si>
  <si>
    <t>When the man reaches the wall he uses a pencil to measure the tile, takes it to a wet tile cutter and cuts it.</t>
  </si>
  <si>
    <t>The man is back in the house and piecing a small tile near some cabinets, then the man begins to grout, and uses a large,wet, yellow sponge to clean up the excess grout.</t>
  </si>
  <si>
    <t>The talking man from earlier appears back in the corner talking and yellow words appear on the screen that contain websites.</t>
  </si>
  <si>
    <t>v_pEr9p5-qUsU</t>
  </si>
  <si>
    <t>Several tables are set up in a large room.</t>
  </si>
  <si>
    <t>Several groups are playing beer pong.</t>
  </si>
  <si>
    <t>Some people are cheering about winning.</t>
  </si>
  <si>
    <t>Others look upset about losing.</t>
  </si>
  <si>
    <t>v_SZXscHYG26Y</t>
  </si>
  <si>
    <t>The person is parasailing, he is holding the sail.</t>
  </si>
  <si>
    <t>The man is moving forwards towards the island.</t>
  </si>
  <si>
    <t>The person has his feet on the parasail board.</t>
  </si>
  <si>
    <t>v_2qN85UKyL2s</t>
  </si>
  <si>
    <t>We see a man and a woman playing pool.</t>
  </si>
  <si>
    <t>The lady takes her turn shooting the ball.</t>
  </si>
  <si>
    <t>We see bright camera flashes.</t>
  </si>
  <si>
    <t>We see the lady taking the photos.</t>
  </si>
  <si>
    <t>The lady hands her pool stick to a man and shakes his hand.</t>
  </si>
  <si>
    <t>She shakes another man's hand and leaves.</t>
  </si>
  <si>
    <t>v_A5-gsreb2zY</t>
  </si>
  <si>
    <t>A woman gets her nose clamped by a man sitting behind her head.</t>
  </si>
  <si>
    <t>He pierces through her septum.</t>
  </si>
  <si>
    <t>He cuts it and removes the clamp.</t>
  </si>
  <si>
    <t>The man puts an earring through the hole.</t>
  </si>
  <si>
    <t>He puts qtips in her nose to catch the blood.</t>
  </si>
  <si>
    <t>v_dmiLuqRB09U</t>
  </si>
  <si>
    <t>A woman is sitting on a chair.</t>
  </si>
  <si>
    <t>She gets a dermal piercing in her cheek.</t>
  </si>
  <si>
    <t>The girl shows the piercing and smiles.</t>
  </si>
  <si>
    <t>v_PRLlYhneNMk</t>
  </si>
  <si>
    <t>Two people are seen wearing funny hates and standing behind a table speaking to the camera.</t>
  </si>
  <si>
    <t>They then quickly wrap a present and show off a better present underneath.</t>
  </si>
  <si>
    <t>More shots are shown of them wrapping as they quickly move around and speaking to the camera.</t>
  </si>
  <si>
    <t>v_s3EHHOAkQYE</t>
  </si>
  <si>
    <t>A person is seen riding in a car panning to others while following behind a large group of people on bikes.</t>
  </si>
  <si>
    <t>The driver hands people water on the side as well as pulling them in to fix a bike.</t>
  </si>
  <si>
    <t>The car continues to follow and help the man as well as stopping to change a wheel and climbing back in the car.</t>
  </si>
  <si>
    <t>v_vjCKf3el7pM</t>
  </si>
  <si>
    <t>A man is seen looking closely into the camera followed by a person wake boarding and performing various tricks.</t>
  </si>
  <si>
    <t>Several shots are shown of people doing tricks along the water while the boat pulls them from the front.</t>
  </si>
  <si>
    <t>v_0fw8it7Gj7k</t>
  </si>
  <si>
    <t>A man is seen holding up a piece of wood and rubbing it down while speaking to the camera and spraying down polish.</t>
  </si>
  <si>
    <t>The man wipes down the polish with a rag while continuing to speak to the camera and holding up the piece of wood in the end.</t>
  </si>
  <si>
    <t>v_IV47aK7qJdY</t>
  </si>
  <si>
    <t>The dry brown and yellow leaves are on the ground, on top of green grass.</t>
  </si>
  <si>
    <t>A man with a leaf blower on his hand started to blew the leaves towards the center of the field.</t>
  </si>
  <si>
    <t>The man blew the leaves from the side of the road towards the tree, while another man with leaf blower walks on other side of the walkway.</t>
  </si>
  <si>
    <t>v_7Sfl-Fmr_3E</t>
  </si>
  <si>
    <t>A man is shown working on a fence in the backyard.</t>
  </si>
  <si>
    <t>The man wears a blue outfit as he paints the wooden fence a red color.</t>
  </si>
  <si>
    <t>The man cleans the paint off of boards.</t>
  </si>
  <si>
    <t>v_Ux4brKS0Sac</t>
  </si>
  <si>
    <t>A man is seen speaking to the camera while putting a box around some paper.</t>
  </si>
  <si>
    <t>He wraps the box in paper while using scissors to cut around the sides.</t>
  </si>
  <si>
    <t>The man tapes up the box and presents it to the camera.</t>
  </si>
  <si>
    <t>v_VDX1IQnUMgo</t>
  </si>
  <si>
    <t>A news anchor is standing behind a table with papers on it talking as a man is picture swimming on the television screen behind him.</t>
  </si>
  <si>
    <t>After,a group of people are in a pool playing a game of water polo making goals.</t>
  </si>
  <si>
    <t>A coach is then shown in a hallway as the people come back and continue playing the game before a football game then shows.</t>
  </si>
  <si>
    <t>v_sEENChh3zno</t>
  </si>
  <si>
    <t>A girl is seen jumping items into water and scrubbing a pan with a brush.</t>
  </si>
  <si>
    <t>She continues speaking to the camera as well as into the pan and demonstrating how to properly clean a pan.</t>
  </si>
  <si>
    <t>v_jpvgI6bNO1g</t>
  </si>
  <si>
    <t>A camera pans all around a forest and leads into a rope tied to a tree.</t>
  </si>
  <si>
    <t>A person is seen tightening the rope followed by walking along the rope.</t>
  </si>
  <si>
    <t>Several people are seen walking on the rope as well as bouncing and performing tricks.</t>
  </si>
  <si>
    <t>v_doAvtD_jgiY</t>
  </si>
  <si>
    <t>We see a girl in gold doing a baton routine.</t>
  </si>
  <si>
    <t>The girl does a flip.</t>
  </si>
  <si>
    <t>the girls spins repeatedly and catches her baton.</t>
  </si>
  <si>
    <t>The girl spins and two batons roll in and she grabs each.</t>
  </si>
  <si>
    <t>The girl spins, catches her baton and poses for her finish as the crowd claps.</t>
  </si>
  <si>
    <t>v_h4phcAYe0aE</t>
  </si>
  <si>
    <t>A person is raking leaves into a pile.</t>
  </si>
  <si>
    <t>A little boy is picking up the leaves and playing in the pile.</t>
  </si>
  <si>
    <t>The boy picks up a rake and starts raking the leaves.</t>
  </si>
  <si>
    <t>v_XsqslHC79FQ</t>
  </si>
  <si>
    <t>There's a young girl wearing a brown sweater playing the violin.</t>
  </si>
  <si>
    <t>She strings the violin with her left hand while she uses the bow stick with her right hand.</t>
  </si>
  <si>
    <t>She continues playing her tune on the violin with full concentration without pausing.</t>
  </si>
  <si>
    <t>She constantly looks down at the violin as she plays the notes.</t>
  </si>
  <si>
    <t>After she finishes playing the violin, she smiles and walks away.</t>
  </si>
  <si>
    <t>v_EJiyr-6l3ps</t>
  </si>
  <si>
    <t>A video of clipping a cats toenails is shown.</t>
  </si>
  <si>
    <t>Each paw is grabbed and the nail is pushed out and trimmed.</t>
  </si>
  <si>
    <t>The cat is oddly calm the whole time.</t>
  </si>
  <si>
    <t>v_joehK-w2bCc</t>
  </si>
  <si>
    <t>A man is walking in a room.</t>
  </si>
  <si>
    <t>A girl is dancing in front of a mirror in the room.</t>
  </si>
  <si>
    <t>He watches her from outside the room.</t>
  </si>
  <si>
    <t>v_MCsGSMze_6Q</t>
  </si>
  <si>
    <t>There is a black and white TV show with two men on a stage talking and laughing.</t>
  </si>
  <si>
    <t>The right man gets up and walks to a piano.</t>
  </si>
  <si>
    <t>The man plays a grand piano.</t>
  </si>
  <si>
    <t>The man finishes and stands up.</t>
  </si>
  <si>
    <t>The men shake hands and the piano player walks away and the host talks and shimmies a bit.</t>
  </si>
  <si>
    <t>v_8KPk9pH4wWw</t>
  </si>
  <si>
    <t>An athlete is seen waving his hands to the crowd and clapping followed by him running over a beam.</t>
  </si>
  <si>
    <t>His same shot is shown again in slow motion and hes seen speaking to a man.</t>
  </si>
  <si>
    <t>v_yaK-giAk4e8</t>
  </si>
  <si>
    <t>A group of young men are in a kitchen, playing a game of beer pong.</t>
  </si>
  <si>
    <t>They cheer as they get the ball into a cup.</t>
  </si>
  <si>
    <t>A woman appears, and picks up one of the cups.</t>
  </si>
  <si>
    <t>v_NO5J7RjTTTo</t>
  </si>
  <si>
    <t>Two boys at a young age are playing fooseball with each other.</t>
  </si>
  <si>
    <t>One grab the ball and puts it back into play.</t>
  </si>
  <si>
    <t>The boys continue to play the game back and fourth on the tabs.</t>
  </si>
  <si>
    <t>v_C7UEAqu1KtY</t>
  </si>
  <si>
    <t>A camera pans around a yard leading to a rake sitting up against a trash can.</t>
  </si>
  <si>
    <t>A man is seen stretching off into the distance and begins raking the leaves.</t>
  </si>
  <si>
    <t>He picks the leaves up and throws them in the trash as well as onto a blanket and handing it to a girl.</t>
  </si>
  <si>
    <t>v_FGdCWm4gI3M</t>
  </si>
  <si>
    <t>A collection of skateboards lined up on a street in the upward position on their wheels and upside down on the platform.</t>
  </si>
  <si>
    <t>A skateboarder wearing a white helmet skates by followed by another skateboarder while the camera pans a group of skateboarder spectators watching from the street curb.</t>
  </si>
  <si>
    <t>A group of skateboarders perform tricks and maneuvers up and down the street.</t>
  </si>
  <si>
    <t>A view of a vehicle loaded with skateboards and skateboarding equipment.</t>
  </si>
  <si>
    <t>Another view of the skateboards lined up on the street in the upright position.</t>
  </si>
  <si>
    <t>Spectators watch from the street curb while a group of skateboarders take turns skating down hill and making a sharp spin stop at a designated spot.</t>
  </si>
  <si>
    <t>v_yGPzIGJ_2B8</t>
  </si>
  <si>
    <t>woman is walking in a green grassy backyard.</t>
  </si>
  <si>
    <t>man is standing in a bacyard in front of a fence with a machine in front of him.</t>
  </si>
  <si>
    <t>woman is in the backyard and a man is behind her using a lawn mower to cut the grass.</t>
  </si>
  <si>
    <t>man is walking with some white plastic bags on the cloth.</t>
  </si>
  <si>
    <t>v_XsCND4lDiqA</t>
  </si>
  <si>
    <t>An old man threw the yellow ball in the cup and it bounced back on the table.</t>
  </si>
  <si>
    <t>The old man in black shirt threw the ball and landed on the table.</t>
  </si>
  <si>
    <t>A man threw the ball back and the man in black shirt take the ball from the cup and threw it but landed outside the table.</t>
  </si>
  <si>
    <t>v_uj0UBMgR2gk</t>
  </si>
  <si>
    <t>We see a man in an orchestra making faces.</t>
  </si>
  <si>
    <t>The man then stands and plays the violin.</t>
  </si>
  <si>
    <t>We see people at lockers.</t>
  </si>
  <si>
    <t>We go back to the man playing the violin.</t>
  </si>
  <si>
    <t>We see the people in the locker.</t>
  </si>
  <si>
    <t>We see the playing man and then the crowd stands and claps.</t>
  </si>
  <si>
    <t>The man smiles and waves.</t>
  </si>
  <si>
    <t>v_mNq0NksbsZ4</t>
  </si>
  <si>
    <t>People are long boarding down a hill.</t>
  </si>
  <si>
    <t>A silver truck is parked next to the hill.</t>
  </si>
  <si>
    <t>A person falls off the long board onto the pavement.</t>
  </si>
  <si>
    <t>v_FkMk9TZdea0</t>
  </si>
  <si>
    <t>White text says in memory of Paul Walker.</t>
  </si>
  <si>
    <t>A person is shown using a small brush to create an image of Paul Walker.</t>
  </si>
  <si>
    <t>Each detail is drawn one at a time, producing the final completed image.</t>
  </si>
  <si>
    <t>v_cqVvHj1oC-8</t>
  </si>
  <si>
    <t>Two people are seen hosting a news segment that leads into clips of people scraping off their cars.</t>
  </si>
  <si>
    <t>A woman is seen speaking to the camera while scraping off her car and holding up products to help.</t>
  </si>
  <si>
    <t>More people are seen speaking to the camera and showing off their methods of melting ice and leading back to the two reporters.</t>
  </si>
  <si>
    <t>v_ubgCjUUmP9I</t>
  </si>
  <si>
    <t>A male gymnast dressed red and white leotards is performing on a horse bar.</t>
  </si>
  <si>
    <t>He climbs up the horse bar and does backhand springs.</t>
  </si>
  <si>
    <t>He continues swiftly over the horse bar as he raises his body by pushing his body weight on his arms.</t>
  </si>
  <si>
    <t>He continues doing front and back hand springs.</t>
  </si>
  <si>
    <t>After he's done, he gets off the bar and walks towards the judges and other contestants.</t>
  </si>
  <si>
    <t>The spectators cheer for him and the judges shake hands with the gymnast.</t>
  </si>
  <si>
    <t>v_2P555wnyj_8</t>
  </si>
  <si>
    <t>A man is standing in a room melting down an object with a utensil that is creating several sparks.</t>
  </si>
  <si>
    <t>Another male then walks behind the person and puts on a helmet for protection as he watches the man in front of him.</t>
  </si>
  <si>
    <t>v_jVp2BsFOIVA</t>
  </si>
  <si>
    <t>Three kids swinging on the play set in the back yard.</t>
  </si>
  <si>
    <t>One of the boys climb and slides down the slide.</t>
  </si>
  <si>
    <t>More kids join and and they go down the slide together and move around the set very quickly.</t>
  </si>
  <si>
    <t>They start to swing on their tummies and just overall having a great time playing.</t>
  </si>
  <si>
    <t>v_98SSjNuSxvM</t>
  </si>
  <si>
    <t>A series of words appear across the screen and they inform us that the men are attempting to row across the Atlantic.</t>
  </si>
  <si>
    <t>A man is then shown outside on his patio rowing and words indicate that it has been two hours and 1600 calories burned.</t>
  </si>
  <si>
    <t>After the man is shown again but this time he is exhausted and is forced to take a breath so he can breathe.</t>
  </si>
  <si>
    <t>Now the man is standing up and is taking to the camera and holds up his hand to show the blisters he has on his hands.</t>
  </si>
  <si>
    <t>v_JhqQGe0TkBU</t>
  </si>
  <si>
    <t>People stands on top of a diving board, the a man jumps in the swimming pool.</t>
  </si>
  <si>
    <t>Suddenly a girl runs on a lower dining board and jumps in the swimming pool.</t>
  </si>
  <si>
    <t>People sit around the pool.</t>
  </si>
  <si>
    <t>v_Ba3uRADSg50</t>
  </si>
  <si>
    <t>A few older men are shown standing in front of monkey bars talking to one another.</t>
  </si>
  <si>
    <t>One begins climbing along the bars with several other people coming from behind.</t>
  </si>
  <si>
    <t>One woman falls in the water and many more climb across the monkey bars.</t>
  </si>
  <si>
    <t>v_gh5di42-RJo</t>
  </si>
  <si>
    <t>A small boy wearing a black and red striped shirt is sitting with a drum set and playing drums.</t>
  </si>
  <si>
    <t>A man wearing a pink shirt and black trousers is standing next to him.</t>
  </si>
  <si>
    <t>Another person wearing a denim shirt walks past the boy.</t>
  </si>
  <si>
    <t>the boy continues to drum the cymbals and the hi-hat in a rhythmic way as the people cheer for him.</t>
  </si>
  <si>
    <t>He alternately hits the cymbals and the snare drums with the sticks.</t>
  </si>
  <si>
    <t>He ends by hitting the cymbals.</t>
  </si>
  <si>
    <t>v_RxuL7k7-hYQ</t>
  </si>
  <si>
    <t>Gymnasts swing on double bars during Olympic competition.</t>
  </si>
  <si>
    <t>Gymnast swings on double bars during practice in a gym.</t>
  </si>
  <si>
    <t>v_hyk4wNZwwxc</t>
  </si>
  <si>
    <t>Several adults are a doing a stepping exercise onto platforms.</t>
  </si>
  <si>
    <t>They step on and of and spin around.</t>
  </si>
  <si>
    <t>They do a cart wheel off the platform.</t>
  </si>
  <si>
    <t>They end their exercise and step off.</t>
  </si>
  <si>
    <t>v_i9DlXuEewE8</t>
  </si>
  <si>
    <t>A young teen age girl is sitting in a large chair talking on the phone and making faces.</t>
  </si>
  <si>
    <t>Two other females then begin dancing out front in the yard on a sidewalk.</t>
  </si>
  <si>
    <t>The girl then grabs her sweat pants and begins teaching her counterpart different dance steps and the first female reappears on the phone.</t>
  </si>
  <si>
    <t>v_1uC0xzyx4Bc</t>
  </si>
  <si>
    <t>A person is showing how to install rubber tiles in a gym.</t>
  </si>
  <si>
    <t>The video shows several people working out in a gym on the flooring.</t>
  </si>
  <si>
    <t>The person shows how to prep the floor surface before installing the tiles.</t>
  </si>
  <si>
    <t>He demonstrates how to lay the tiles on the floor in a criss-cross manner.</t>
  </si>
  <si>
    <t>The video shows a simulation how the tiles can measured up and laid down one by one in order to get a perfect wall to to wall fit.</t>
  </si>
  <si>
    <t>A person also shows how to trim tiles to fit flush edge to edge without leaving a gap between tiles.</t>
  </si>
  <si>
    <t>Finally he shows how to use a vinegar solution to clean the tiles in order to maintain the quality of the tiles.</t>
  </si>
  <si>
    <t>The video ends with the information of the tile company.</t>
  </si>
  <si>
    <t>v_vctal2m9Zvg</t>
  </si>
  <si>
    <t>An indoor barn is shown and a man is sitting on a horse.</t>
  </si>
  <si>
    <t>The gates open and the man flies out with is lasso chasing after a black and white calf.</t>
  </si>
  <si>
    <t>The man throws the rope and catches the calf,gets off,ties the cow up and returns back on top of the horse.</t>
  </si>
  <si>
    <t>v_o0O-CwwSaGw</t>
  </si>
  <si>
    <t>A girl with long hair is shown speaking to the camera and leads into her spraying water all over a dog in the tub.</t>
  </si>
  <si>
    <t>She scrubs the dog with shampoo and runs again runs the water over the dog.</t>
  </si>
  <si>
    <t>She holds the dog with a towel and then blow dries the dog in her lap while combing him.</t>
  </si>
  <si>
    <t>The dog is shown again all dried off and shakes himself while looking at the camera and the girl speaks more.</t>
  </si>
  <si>
    <t>v_ocvKEzb7OaE</t>
  </si>
  <si>
    <t>A man in a black shirt setting up a camera while sitting in front of a rub-ix cube and a electronic stop clock.</t>
  </si>
  <si>
    <t>Once the clock starts another man off camera and the man sitting in front of the cube starts to figure out the puzzle.</t>
  </si>
  <si>
    <t>Once the clock reaches 43 seconds both the men finish the puzzle and congratulate each other on completing the puzzle.</t>
  </si>
  <si>
    <t>v_qkHBMmMlEr8</t>
  </si>
  <si>
    <t>We see a man talking in a basketball gym.</t>
  </si>
  <si>
    <t>The man points at the boy.</t>
  </si>
  <si>
    <t>The man points to the right.</t>
  </si>
  <si>
    <t>We see a man making shots in a basketball hoop.</t>
  </si>
  <si>
    <t>v_VD3kzQGuQnc</t>
  </si>
  <si>
    <t>A woman is seen speaking to the camera and leads into her pouring ice into a glass.</t>
  </si>
  <si>
    <t>She then mixes various ingredients into the glass and mixes them up in a shaker.</t>
  </si>
  <si>
    <t>The woman then puts the glass down and pours the mixture into glass presenting it to the camera.</t>
  </si>
  <si>
    <t>v_kN2ZNcn241g</t>
  </si>
  <si>
    <t>A man wearing a coach shirt is standing while a female gymnast turns flips on a beam.</t>
  </si>
  <si>
    <t>He spots her as she flips and dismounts before sitting down.</t>
  </si>
  <si>
    <t>v_5rftu62ML_c</t>
  </si>
  <si>
    <t>A large group of people are shown in various shots riding around in canoes.</t>
  </si>
  <si>
    <t>A man speaks to the camera while people walk around with the canoes and show off pictures.</t>
  </si>
  <si>
    <t>More people are seen using them as well as walking around.</t>
  </si>
  <si>
    <t>v_escpZEdyNTI</t>
  </si>
  <si>
    <t>A person is seen running hold a surf board, and is shown again looking at his phone and laughing.</t>
  </si>
  <si>
    <t>More people are seen in various locations checking their phone and ends with a woman riding an exercise bike.</t>
  </si>
  <si>
    <t>v_7yg2zbiTJJ4</t>
  </si>
  <si>
    <t>A woman's hand picks up a stuffed animal surrounded by gifts.</t>
  </si>
  <si>
    <t>Gift wrapping accessories are shown.</t>
  </si>
  <si>
    <t>A woman lays out tissue paper and places a stuffed toy in the center.</t>
  </si>
  <si>
    <t>The woman wraps the toy in the tissue paper and tapes it shut.</t>
  </si>
  <si>
    <t>The woman lays out cellophane and places the wrapped toy on it.</t>
  </si>
  <si>
    <t>The woman cuts the cellophane and then proceeds to roll up the tissue paper covered toy.</t>
  </si>
  <si>
    <t>The woman twists the ends of the cellophane and tapes the package shut.</t>
  </si>
  <si>
    <t>Ribbon is placed around the ends of the package.</t>
  </si>
  <si>
    <t>The woman shows the package to the camera and sets it on a counter.</t>
  </si>
  <si>
    <t>v_oxp7V1AKJWk</t>
  </si>
  <si>
    <t>A little boy is playing an arcade game.</t>
  </si>
  <si>
    <t>He picks up a ball and throws it at the pins.</t>
  </si>
  <si>
    <t>He turns around and walks away.</t>
  </si>
  <si>
    <t>v_ijnNP7P5m28</t>
  </si>
  <si>
    <t>Men and women and kids are roasting marshmallow in the bonfire while others are skiing or resting on the chairs.</t>
  </si>
  <si>
    <t>A woman slide down the slope and the little girl came up to her and give her a kiss, then the woman help the little girl slide down the slope.</t>
  </si>
  <si>
    <t>v_i7NKJhCdKx0</t>
  </si>
  <si>
    <t>A man is outside in the snow holding a rope that is attached to a snow mobile.</t>
  </si>
  <si>
    <t>The snow mobile starts to move and the person begins snowboarding throughout the field.</t>
  </si>
  <si>
    <t>They continue to move through the snow and the forest of trees into a parking lot by a cabin.</t>
  </si>
  <si>
    <t>v_wHRHS7_4J_s</t>
  </si>
  <si>
    <t>A young girl is seen standing ready looking down at a violin.</t>
  </si>
  <si>
    <t>The girl is then seen playing the violin while moving her hands up and down.</t>
  </si>
  <si>
    <t>The girl continues playing the instrument and ends by looking to the camera.</t>
  </si>
  <si>
    <t>v_bDiwuABU45I</t>
  </si>
  <si>
    <t>A man is rubbing sunscreen on his back.</t>
  </si>
  <si>
    <t>A girl is laying down on a towel on the beach behind him.</t>
  </si>
  <si>
    <t>A person in an orange shirt walks behind him.</t>
  </si>
  <si>
    <t>v_yGCklVOLgk8</t>
  </si>
  <si>
    <t>A person is seen falling into the water in front of a jump.</t>
  </si>
  <si>
    <t>Another person is seen riding along on skis past him.</t>
  </si>
  <si>
    <t>The man continues to ride as the camera zooms in on the water.</t>
  </si>
  <si>
    <t>v_IiG80Vp4WyY</t>
  </si>
  <si>
    <t>A man is seen holding an instrument in front of a large stack of instruments and speaking to the camera.</t>
  </si>
  <si>
    <t>The man then plays the instrument continuously and ends with him pausing and holding the instrument.</t>
  </si>
  <si>
    <t>v_WOkHZ33CgAs</t>
  </si>
  <si>
    <t>Two men start fighting standing outside.</t>
  </si>
  <si>
    <t>One man throws the other man onto a table.</t>
  </si>
  <si>
    <t>v_RZr2KLNE6qE</t>
  </si>
  <si>
    <t>A camera zooms in on a baby wearing a baseball hat riding back and fourth on a swing set.</t>
  </si>
  <si>
    <t>The baby continuously rides back and fourth while another child rides a swing next to him.</t>
  </si>
  <si>
    <t>v_4mfnfTpcfck</t>
  </si>
  <si>
    <t>A group of girls are sitting in an old car while a large group of cars behind them move around.</t>
  </si>
  <si>
    <t>Other people are shown wearing christmas attire and dancing in the streets of the car.</t>
  </si>
  <si>
    <t>A band is playing by a group of kids while the parade follows them full of people dancing.</t>
  </si>
  <si>
    <t>v_qY8t0S0WWoA</t>
  </si>
  <si>
    <t>A man and a child paint a fence with brushes.</t>
  </si>
  <si>
    <t>A baby watches the man and the toddler painting.</t>
  </si>
  <si>
    <t>v_iPiP-7UwAa4</t>
  </si>
  <si>
    <t>A large group of people are seen standing on a stage while others watch on the side.</t>
  </si>
  <si>
    <t>The cheerleaders then begin performing a routine while throwing others up and flipping around.</t>
  </si>
  <si>
    <t>The group continues to perform on the stage and end by holding a pose and walking away.</t>
  </si>
  <si>
    <t>v_uN8lcRwsBno</t>
  </si>
  <si>
    <t>A guy sits with his legs close to his chest.</t>
  </si>
  <si>
    <t>The guy is exercising by pulling a handle.</t>
  </si>
  <si>
    <t>The guy stops exercising fixes his reading glasses and touches his beard.</t>
  </si>
  <si>
    <t>The guy removes his legs from the exercise machine and touches the knob.</t>
  </si>
  <si>
    <t>v_yPpKYckLbdI</t>
  </si>
  <si>
    <t>We see a girl jumping on a trampoline in doors.</t>
  </si>
  <si>
    <t>We see the girl spin in the air.</t>
  </si>
  <si>
    <t>The girl does a series of flips.</t>
  </si>
  <si>
    <t>The girl flips into blue boxes.</t>
  </si>
  <si>
    <t>The girl does a series of flips and a spin.</t>
  </si>
  <si>
    <t>We see a title screen and then see the girls bloopers.</t>
  </si>
  <si>
    <t>v_igwT-3gprOI</t>
  </si>
  <si>
    <t>A woman is shown talking to the camera with her hands and the camera pointing to a building.</t>
  </si>
  <si>
    <t>She stands in front of the building doing a several little dances and continues this in front of several buildings and locations.</t>
  </si>
  <si>
    <t>v_OqLrsVv44MY</t>
  </si>
  <si>
    <t>A woman smiling at the camera is shown scraping off her car with a scraper.</t>
  </si>
  <si>
    <t>She talks to the camera man while smiling at the camera and continuing to scrape.</t>
  </si>
  <si>
    <t>v_n1sWb2K6hBM</t>
  </si>
  <si>
    <t>We see a lady bring a horse into a stable turns the horse around and ties him up.</t>
  </si>
  <si>
    <t>The lady then brushes the horse and cleans the hooves on the horse on the right.</t>
  </si>
  <si>
    <t>The lady then sprays a product in the mane and comes it.</t>
  </si>
  <si>
    <t>The lady moves to the front of the horse and brushes his mane.</t>
  </si>
  <si>
    <t>the lady brushes the left side of the horse and cleans his hooves.</t>
  </si>
  <si>
    <t>The lady then brushes the tail and the horse and the lady leave.</t>
  </si>
  <si>
    <t>v_IVnPfvBZxKE</t>
  </si>
  <si>
    <t>Various pictures of ingredients are shown followed by pictures of the ingredients laid out on a cutting board.</t>
  </si>
  <si>
    <t>The pictures transition into more ingredients with hands covering them up and squeezing them into a ball.</t>
  </si>
  <si>
    <t>Pictures and video of the food being cooked in a pan are shown followed by a person taking it out and cutting it with a knife.</t>
  </si>
  <si>
    <t>Finally, a picture of the finished food product is shown.</t>
  </si>
  <si>
    <t>v_ExcXXMZYGs0</t>
  </si>
  <si>
    <t>We see people rafting down a river in a yellow raft.</t>
  </si>
  <si>
    <t>The raft is overturned and the people fall into the river.</t>
  </si>
  <si>
    <t>The people duck under branch of a low hanging tree and the right front man stands and dances.</t>
  </si>
  <si>
    <t>A man in the back of the raft walks forward.</t>
  </si>
  <si>
    <t>v_MFeI2mRg6Ho</t>
  </si>
  <si>
    <t>Some team is playing a game on the field, one of them scores.</t>
  </si>
  <si>
    <t>The audience goes crazy and then the teams are back to trying to score into the goal.</t>
  </si>
  <si>
    <t>The guy from the yellow team has the ball on the stick, he's running quickly with it and he scores.</t>
  </si>
  <si>
    <t>They put the trophy in the air and yell with excitement.</t>
  </si>
  <si>
    <t>v_VWmSZPIoBlw</t>
  </si>
  <si>
    <t>A man wearing a black coat is standing on the sidewalk.</t>
  </si>
  <si>
    <t>He walks up to a car and starts scraping the snow off the windows.</t>
  </si>
  <si>
    <t>The snow falls onto the ground in front of the car.</t>
  </si>
  <si>
    <t>v_gRzHp84ptgE</t>
  </si>
  <si>
    <t>A man and a little girl are standing on a beach.</t>
  </si>
  <si>
    <t>The man picks up the girl and picks up a surf board.</t>
  </si>
  <si>
    <t>He goes surfing in the water with her on his back.</t>
  </si>
  <si>
    <t>v_pF7z3Z_JSGk</t>
  </si>
  <si>
    <t>A man holds the back paws of a cat and clips its nails sitting on the floor.</t>
  </si>
  <si>
    <t>The man finishes one paw then wrestles with the cat.</t>
  </si>
  <si>
    <t>The man pets that cats stomach.</t>
  </si>
  <si>
    <t>The man examines the cats after the job is done.</t>
  </si>
  <si>
    <t>v_I62kL8H81XA</t>
  </si>
  <si>
    <t>A cup with lemonade is next a jar with a lemonade.</t>
  </si>
  <si>
    <t>A bowl with three cups of cold water, a cup of lemon juice, a cup of water and a cup of sugar are on at table.</t>
  </si>
  <si>
    <t>Then, a person adds sugar, and lemon to pot with water to warm.</t>
  </si>
  <si>
    <t>Then, the person adds the lemonade to a jar and serves in a cup.</t>
  </si>
  <si>
    <t>v_wIK83guBfM0</t>
  </si>
  <si>
    <t>A man is in a garage with newspaper on a table.</t>
  </si>
  <si>
    <t>He shows how to cut the top off a pumpkin, and removes the insides.</t>
  </si>
  <si>
    <t>Then he carves a design into the pumpkin, creating a novelty jackolantern.</t>
  </si>
  <si>
    <t>v_R52e9UAE60k</t>
  </si>
  <si>
    <t>A group of people are shown riding on horses in the desert.</t>
  </si>
  <si>
    <t>A man talks to the camera while riding the horse and giving various shots of the land.</t>
  </si>
  <si>
    <t>He shows off the several other people on horses and continues talking about his adventure close up to the camera.</t>
  </si>
  <si>
    <t>v_5HCYb6qfkdk</t>
  </si>
  <si>
    <t>A person opens a door and walks inside a kitchen.</t>
  </si>
  <si>
    <t>A woman sits on a kitchen counter shaving her legs in a sink.</t>
  </si>
  <si>
    <t>v_zwX7e_5Koh0</t>
  </si>
  <si>
    <t>An intro leads into a group of women standing on a wood floor behind a piece of exercise equipment.</t>
  </si>
  <si>
    <t>The women then begin moving back and fourth and up and down on the equipment while the woman in front speaks out loud.</t>
  </si>
  <si>
    <t>v_RKUEXxnXrm8</t>
  </si>
  <si>
    <t>A man demonstrates how to make an egg salad sandwich.</t>
  </si>
  <si>
    <t>A man starts talking to the camera in close up angle and then takes a bite of a sandwich.</t>
  </si>
  <si>
    <t>A grop of sandwich making materials is shown.</t>
  </si>
  <si>
    <t>An eggs is boiled in a pan, and then the eggs are run under cold water.</t>
  </si>
  <si>
    <t>Celery is chopped into bits along with other vegetables and then the eggs are mixed with this and a finished sandwich is shown.</t>
  </si>
  <si>
    <t>v_CHkT4As5jZI</t>
  </si>
  <si>
    <t>A bartender talks about how to make a proper cocktail.</t>
  </si>
  <si>
    <t>He grabs a glass and puts ice in the glass.</t>
  </si>
  <si>
    <t>He then mixes vodka and soda together in the glass.</t>
  </si>
  <si>
    <t>He grabs a lemon and puts it in the glass to finish.</t>
  </si>
  <si>
    <t>v_O337_rGYZPc</t>
  </si>
  <si>
    <t>A close up of various objects in shown in a circle of dirt and leads into a person holding a bag.</t>
  </si>
  <si>
    <t>The person then opens the bag and points to the objects in dirt and lights a match.</t>
  </si>
  <si>
    <t>The objects catch fire and the camera zooms in on the objects burning.</t>
  </si>
  <si>
    <t>v_NnLjEbG31ZE</t>
  </si>
  <si>
    <t>A group of friends ride inter tubes through small rapids in a tropical jungle.</t>
  </si>
  <si>
    <t>The group goes past large boulders popping up out of the water.</t>
  </si>
  <si>
    <t>v_QRLye5j54ic</t>
  </si>
  <si>
    <t>A boy is standing in the tall grass of a field.</t>
  </si>
  <si>
    <t>He is holding onto a kite in the air.</t>
  </si>
  <si>
    <t>He leans way back, being drug by the force of the wind.</t>
  </si>
  <si>
    <t>v_y-OZ45FQZ0g</t>
  </si>
  <si>
    <t>A man is sitting on the couch wearing jeans a shirt, and he's holding a guitar on his lap, strumming with his right hand and tapping the upper strings with his left hand.</t>
  </si>
  <si>
    <t>The man slows down and stops strumming and tapping on his guitar.</t>
  </si>
  <si>
    <t>A colorful screen appears and it displays a cartoon picture of a Pokemon standing outdoors near a tree while it's snowing, and red words read "Pokemon-Pallet-Town".</t>
  </si>
  <si>
    <t>v_ZBG-KhSyVgQ</t>
  </si>
  <si>
    <t>People are standing on the backs of horses.</t>
  </si>
  <si>
    <t>Three girls are talking to a camera.</t>
  </si>
  <si>
    <t>The horses are walking across a dirt road.</t>
  </si>
  <si>
    <t>v_Io1OF2OkTWY</t>
  </si>
  <si>
    <t>A man is seen speaking to the camera while holding onto a dog in a plane.</t>
  </si>
  <si>
    <t>Several clips are shown of the man in a plane with the dog as well as underwater.</t>
  </si>
  <si>
    <t>The man performs several activities with his dog in hand while a woman speaks to the camera.</t>
  </si>
  <si>
    <t>v_wdb4-V33wIo</t>
  </si>
  <si>
    <t>A camera pans around a snowy roof and leads into a man pushing snow off of a roof and onto the ground below.</t>
  </si>
  <si>
    <t>The man continues speaking to the camera while pushing off snow and leading into an empty roof.</t>
  </si>
  <si>
    <t>Another man is seen shoveling off snow and ends with pictures of the men working.</t>
  </si>
  <si>
    <t>v_8Uyi1KXdS50</t>
  </si>
  <si>
    <t>An elderly woman is seated in a chair.</t>
  </si>
  <si>
    <t>She is knitting with red yarn.</t>
  </si>
  <si>
    <t>She talks to the person with the camera as she knits.</t>
  </si>
  <si>
    <t>v_98wL6zakU9o</t>
  </si>
  <si>
    <t>A person is seen pushing a sander along a ski and leads into another person tightening down a ski and spraying wax along the top.</t>
  </si>
  <si>
    <t>The person wipes it down and then uses a bar of wax on the sander along the ski.</t>
  </si>
  <si>
    <t>v_TkNCytAQ5cw</t>
  </si>
  <si>
    <t>A woman is hosting a news segment that leads into clips of people working on the streets and protesting.</t>
  </si>
  <si>
    <t>Several women are interviewed by the camera and shows more clips of people working and protesting.</t>
  </si>
  <si>
    <t>v_frWLB7ZxMNI</t>
  </si>
  <si>
    <t>We see a man shooting pool on a blue table.</t>
  </si>
  <si>
    <t>The man finishes and smiles as his friend claps his hands.</t>
  </si>
  <si>
    <t>v_xJNqBSJ7rqU</t>
  </si>
  <si>
    <t>A senior picture of a female is shown and then a screen flashes indicating that her highlights are about to be shown.</t>
  </si>
  <si>
    <t>Several videos of her are then shown running up against girls from other teams defending her territory and stripping the ball from the other opponents.</t>
  </si>
  <si>
    <t>v__vbwjI1QA7g</t>
  </si>
  <si>
    <t>man is standing in a room with dart game haging on the wall.</t>
  </si>
  <si>
    <t>he took one of the dart from the board and keeps talking, approaches to the camera and shows the sharp dart.</t>
  </si>
  <si>
    <t>he throw the dart to the board and lean on the wall.</t>
  </si>
  <si>
    <t>man open his arms and swings side to side, kneel on the floor.</t>
  </si>
  <si>
    <t>he take other dart into the board and with the head down starts yelling at the camera.</t>
  </si>
  <si>
    <t>v_V-6nF6U6rfI</t>
  </si>
  <si>
    <t>A gymnast is seen standing ready and holding her arms up that lead into her climbing on a beam and performing a gymnastics routine on the beam.</t>
  </si>
  <si>
    <t>The girl performs several jumps and tricks that ends with her jumping into a mat and holding her arms up.</t>
  </si>
  <si>
    <t>v_8kC5L_Iu3KY</t>
  </si>
  <si>
    <t>A person is seen sitting behind a set of drums playing them consistently.</t>
  </si>
  <si>
    <t>She continues to play the drums while the camera zooms in on her hands.</t>
  </si>
  <si>
    <t>v_08ItAtlb60Q</t>
  </si>
  <si>
    <t>There are many trophies on display that you can win for doing a good job.</t>
  </si>
  <si>
    <t>Men on their bikes are waiting to start a race .</t>
  </si>
  <si>
    <t>Two men hit their knuckles together before the race begins.</t>
  </si>
  <si>
    <t>The audience is cheering and the riders are off going super fast trying to win.</t>
  </si>
  <si>
    <t>v_9PGFsuE3Ye0</t>
  </si>
  <si>
    <t>A man is seen doing karate in front of another with a knife and leads into a shot of a man bowling and text across his face.</t>
  </si>
  <si>
    <t>The man celebrates as people watch and clipart is shown as well as more shots of the man celebrating and bowling.</t>
  </si>
  <si>
    <t>The man holds a trophy in the end and screams to the camera and the audience.</t>
  </si>
  <si>
    <t>The camera then zooms in on a photo on a poster.</t>
  </si>
  <si>
    <t>v_H9FxfosWRTE</t>
  </si>
  <si>
    <t>A woman is seen kneeling down before a large weight and speaking to the camera continuously.</t>
  </si>
  <si>
    <t>She moves her body around the weight and pointing around to demonstrate how to properly hold the weight.</t>
  </si>
  <si>
    <t>v_qcV3JtJDoV8</t>
  </si>
  <si>
    <t>They pass a group of people snowboarding.</t>
  </si>
  <si>
    <t>They get to the bottom of the hill and stop in front of a small building.</t>
  </si>
  <si>
    <t>v_AyWXuUCDSjw</t>
  </si>
  <si>
    <t>We see 5 men walking down the street sides by side.</t>
  </si>
  <si>
    <t>A man looks at the men.</t>
  </si>
  <si>
    <t>A lady looks at the men.</t>
  </si>
  <si>
    <t>Two men turn and look at each other.</t>
  </si>
  <si>
    <t>One man buys drinks as everyone stares at them.</t>
  </si>
  <si>
    <t>The five men drink their beers in one gulp.</t>
  </si>
  <si>
    <t>The men leave the bar drunk.</t>
  </si>
  <si>
    <t>We see a gray closing screen.</t>
  </si>
  <si>
    <t>v_7LhKz7863kg</t>
  </si>
  <si>
    <t>woman wearing black clothes is laying down in the floor doing abs.</t>
  </si>
  <si>
    <t>woman doing abs in the floor have her fet tied to elastics.</t>
  </si>
  <si>
    <t>woman is doing exercise in a roofed gym.</t>
  </si>
  <si>
    <t>v_AvjExlAl18I</t>
  </si>
  <si>
    <t>A man is seen performing a dance routine on a stage while an orchestra plays behind him.</t>
  </si>
  <si>
    <t>A woman then steps in and dances with the man while spinning his hat around and twirling on the stage.</t>
  </si>
  <si>
    <t>The two end by making a funny gesture and then walk off the stage to the side.</t>
  </si>
  <si>
    <t>v_W0M9tXQV3Xg</t>
  </si>
  <si>
    <t>A man is talking in next to several exercise bikes.</t>
  </si>
  <si>
    <t>He starts working out on one of the bikes.</t>
  </si>
  <si>
    <t>People are working out in the dark.</t>
  </si>
  <si>
    <t>v_rdZ0TZcP0NU</t>
  </si>
  <si>
    <t>A group of people play polo on horses on a grass covered, fenced in field surrounded by onlookers and spectators.</t>
  </si>
  <si>
    <t>A man on a horse walks down the center of a line of people on a horse while holding a long mallet pole.</t>
  </si>
  <si>
    <t>A group of spectators standing and sitting on the grass look on from the side of the field.</t>
  </si>
  <si>
    <t>The game of polo begins and the people on the horses begin to swing their mallet poles across the ground.</t>
  </si>
  <si>
    <t>v_HvzJ-RJOF9Q</t>
  </si>
  <si>
    <t>A man is seen speaking to the camera while moving his arms around and others swim in a pool behind him.</t>
  </si>
  <si>
    <t>The man continues speaking to the camera and a person jumps off the diving board behind him.</t>
  </si>
  <si>
    <t>v_fg_R9Vrr1KI</t>
  </si>
  <si>
    <t>A gymnast mounts a high beam in a gym.</t>
  </si>
  <si>
    <t>He flips and does several springs.</t>
  </si>
  <si>
    <t>He then dismounts, throwing his arms up as he does so.</t>
  </si>
  <si>
    <t>v_7-uMJ_5WsZM</t>
  </si>
  <si>
    <t>A large orange machine is shown moving down a road with a claw like arm and razor cutting down the grass.</t>
  </si>
  <si>
    <t>The cutting continues and the machine is being operated in different areas such as highways.</t>
  </si>
  <si>
    <t>v_pHU2Ie4VQBg</t>
  </si>
  <si>
    <t>A girl is seen performing a belly dancing routine on a small stage.</t>
  </si>
  <si>
    <t>She continues dancing and performing around the stage and finishes her dance with a posing, bowing, and walking off.</t>
  </si>
  <si>
    <t>v_e9l3PzP4uGQ</t>
  </si>
  <si>
    <t>Various clip are shown of ingredients being laid out in bowls followed by a person mixing them all together.</t>
  </si>
  <si>
    <t>The person rolls them into balls and sets them on a plate, finally sticking them into the oven.</t>
  </si>
  <si>
    <t>She then pulls out the made cookies and gives the camera a thumbs up.</t>
  </si>
  <si>
    <t>v_tQ9yPS_BJHQ</t>
  </si>
  <si>
    <t>People are driving bumper cars and crashing into each other.</t>
  </si>
  <si>
    <t>A green car crashes into a gold car.</t>
  </si>
  <si>
    <t>A blue car crashes into a gold car.</t>
  </si>
  <si>
    <t>v_3UgGvKnelfY</t>
  </si>
  <si>
    <t>A camera pans around a large warehouse and shows clips of materials being made and men working.</t>
  </si>
  <si>
    <t>Machinery is shown pushing materials along while people watch on the sides.</t>
  </si>
  <si>
    <t>More products for homes are being pushed out and a machinery is shown carrying them away.</t>
  </si>
  <si>
    <t>v_airowj9k5ro</t>
  </si>
  <si>
    <t>A close up of a slide is seen followed by an adult and a young child riding down the slide.</t>
  </si>
  <si>
    <t>The woman laughs with the baby and picks her up at the bottom.</t>
  </si>
  <si>
    <t>v_5ZmZr2bguy0</t>
  </si>
  <si>
    <t>A woman is seen standing in a large circle and bending herself forward.</t>
  </si>
  <si>
    <t>The woman then spins herself around and throws an object off into the distance.</t>
  </si>
  <si>
    <t>The woman does this several times afterwards.</t>
  </si>
  <si>
    <t>v_piKE8obU4JY</t>
  </si>
  <si>
    <t>A drum line gets in formation at an outdoor event.</t>
  </si>
  <si>
    <t>They begin their routine, each section moving in their own set way before coming together and spreading out again.</t>
  </si>
  <si>
    <t>They form into two rows and finish the song.</t>
  </si>
  <si>
    <t>v_-kuXhOsHAc4</t>
  </si>
  <si>
    <t>A person walks up stairs into a room and sees beer poured from a keg and people talking.</t>
  </si>
  <si>
    <t>People stand and play beer pong while others watch.</t>
  </si>
  <si>
    <t>A man tries to blow a ball out of a cup.</t>
  </si>
  <si>
    <t>A man hits the ball away from the cup.</t>
  </si>
  <si>
    <t>The left team jumps and cheers.</t>
  </si>
  <si>
    <t>We see peoples faces up close and plates of food on a table.</t>
  </si>
  <si>
    <t>We see a lighted sign and end.</t>
  </si>
  <si>
    <t>v_mXbrIyhXbQo</t>
  </si>
  <si>
    <t>A man is seen standing around a neighborhood on a pair of stilts.</t>
  </si>
  <si>
    <t>The man walks up the street and turns towards the back.</t>
  </si>
  <si>
    <t>He then begins jumping down the road and looking back to the camera.</t>
  </si>
  <si>
    <t>v_M_Jib8gkQpg</t>
  </si>
  <si>
    <t>A man jumps of a diving board backwards into a swimming pool.</t>
  </si>
  <si>
    <t>There is a big splash and the man surfaces smiling.</t>
  </si>
  <si>
    <t>v_2rA5pyel_NE</t>
  </si>
  <si>
    <t>Children bring desert out for their family member.</t>
  </si>
  <si>
    <t>The family enjoys eating the desert together.</t>
  </si>
  <si>
    <t>The people in the restaurant laugh at the man and he wonders what they are doing.</t>
  </si>
  <si>
    <t>The man gets up and walks away to the other room.</t>
  </si>
  <si>
    <t>v_w28ML-KpYdI</t>
  </si>
  <si>
    <t>a man is standing in his back yard.</t>
  </si>
  <si>
    <t>He is laughing as he paits the side of a shed.</t>
  </si>
  <si>
    <t>He uses a sprayer to apply the red paint.</t>
  </si>
  <si>
    <t>v_Ww2_b9f6Kh0</t>
  </si>
  <si>
    <t>We see a man on a diving board high in the air.</t>
  </si>
  <si>
    <t>The man does a handstand and fall from the handstand into the water.</t>
  </si>
  <si>
    <t>The next man simply runs and dives while flipping into the water.</t>
  </si>
  <si>
    <t>The final man does a more traditional dive.</t>
  </si>
  <si>
    <t>v_c-X500da7JU</t>
  </si>
  <si>
    <t>A person shows how to warp a gift like a professional and do fancy ornaments and ribbons on gifts.</t>
  </si>
  <si>
    <t>The woman arrange a gift basket and shows a pile of nice gifts.</t>
  </si>
  <si>
    <t>Then, the woman wraps gifts with different shapes and ornaments.</t>
  </si>
  <si>
    <t>v_c81l0bAPiFo</t>
  </si>
  <si>
    <t>A lady kneels in a canoe as she rows on a lake.</t>
  </si>
  <si>
    <t>A lady attempts to stand on one foot in the boat and falls into the lake.</t>
  </si>
  <si>
    <t>A lady has one foot in the water and one in the boat and she starts doing push-ups on the boat.</t>
  </si>
  <si>
    <t>The lady finishes and shows her muscle to the camera.</t>
  </si>
  <si>
    <t>We see an emblem on the screen.</t>
  </si>
  <si>
    <t>v_OhPSVjVQZ8o</t>
  </si>
  <si>
    <t>A young child wearing a helmet is climbing on monkey bars on a playground with a small boy underneath her.</t>
  </si>
  <si>
    <t>A person riding a bike goes around the young girl and she climbs until the last bar.</t>
  </si>
  <si>
    <t>v_w6ofRgXA0xc</t>
  </si>
  <si>
    <t>A man in red short is pouring a bottle onto some wood.</t>
  </si>
  <si>
    <t>The man throws some paper on top of the wood.</t>
  </si>
  <si>
    <t>The man throws matches at the pile of wood.</t>
  </si>
  <si>
    <t>A fire begins to burn.</t>
  </si>
  <si>
    <t>v_BEA4YVQv7Wk</t>
  </si>
  <si>
    <t>A camera pans around a large indoor pool and shows a man jumping off a diving board into the water.</t>
  </si>
  <si>
    <t>Several people are shown warming up and followed up by many jumping into the pool.</t>
  </si>
  <si>
    <t>A man instructs them on how to properly land in the water followed by several people jumping one at a time into the pool, including the camera man.</t>
  </si>
  <si>
    <t>v_YbD0P8dH6Oc</t>
  </si>
  <si>
    <t>Two sumos prepares to wrestle in a ring while a judge stands in middle of them.</t>
  </si>
  <si>
    <t>Then the sumos wrestle, and the thin sumo throws the fat sumo to the floor.</t>
  </si>
  <si>
    <t>After, the fat sumo stands up and left the ring.</t>
  </si>
  <si>
    <t>The crow applaud, then men broom the ring.</t>
  </si>
  <si>
    <t>v_JxBFSll-mDE</t>
  </si>
  <si>
    <t>A man is seen speaking to the camera holding a hockey stick and leads into him instructing other players.</t>
  </si>
  <si>
    <t>The man continue playing around one another while the man yells to them and the others continue playing.</t>
  </si>
  <si>
    <t>v_V6lFpCjRKC8</t>
  </si>
  <si>
    <t>A small group of men are seen standing around a court with many people sitting and watching on the sides.</t>
  </si>
  <si>
    <t>A person runs down with a pole vault and throws it off into the distance while the same clip is shown again in slow motion and another goes after.</t>
  </si>
  <si>
    <t>v_9FAPy8NVDgY</t>
  </si>
  <si>
    <t>The video begins with an introduction to Recipes in Motion about quick spaghetti sauce.</t>
  </si>
  <si>
    <t>The video transitions into showing a ladle pouring the sauce onto noodles.</t>
  </si>
  <si>
    <t>Someone begins to cut various vegetable with a knife, this includes a green vegetable and onions.</t>
  </si>
  <si>
    <t>Next an empty metallic pan is shown as someone pours oil and the vegetables into it.</t>
  </si>
  <si>
    <t>They then begin stirring the vegetables with the oil.</t>
  </si>
  <si>
    <t>After this what other ingredients are added include tomatoes, spices and some type of liquid.</t>
  </si>
  <si>
    <t>Everything is being stirred together.</t>
  </si>
  <si>
    <t>The pan is removed and the stirred ingredients are blended.</t>
  </si>
  <si>
    <t>The blended ingredients are put back onto the man and a red substance from a can is poured onto the pan and mixed in.</t>
  </si>
  <si>
    <t>The sauce is completed and poured onto the noodles.</t>
  </si>
  <si>
    <t>The video ends with with an orange background with information on where to watch more videos.</t>
  </si>
  <si>
    <t>v_ngE2y5ExVqw</t>
  </si>
  <si>
    <t>A teenager boy hits a Sponge Bob piñata covered his eyes with a cloth while woman takes pictures.</t>
  </si>
  <si>
    <t>A boy hits the piñata until it falls while the boy cover his eyes with a blue cloth.</t>
  </si>
  <si>
    <t>A man rubs his face with his hand and then he sticks his tong out.</t>
  </si>
  <si>
    <t>v_hSnTYQ9osIg</t>
  </si>
  <si>
    <t>Two people are outside in ball dancing in a plaza as a group of people surround them and watch.</t>
  </si>
  <si>
    <t>People come and go to watch the two people dance and then they finally stop dancing,bow and grabs a cloth to wash their face.</t>
  </si>
  <si>
    <t>v_3C4Nry679BA</t>
  </si>
  <si>
    <t>A woman places vegetable leaves in a bow.</t>
  </si>
  <si>
    <t>The camera pans right to show a man standing beside the woman.</t>
  </si>
  <si>
    <t>The man slices a cucumber on a plate.</t>
  </si>
  <si>
    <t>v_2X4-yp_EFVE</t>
  </si>
  <si>
    <t>Two men are seen leading over the hood of the car while grabbing onto each other's hands.</t>
  </si>
  <si>
    <t>They then begin a game of arm wrestling and ends with one man winning and both looking at the camera and one holding his wrist.</t>
  </si>
  <si>
    <t>v_fc3yCFrmkCU</t>
  </si>
  <si>
    <t>Video title or label are shown.</t>
  </si>
  <si>
    <t>A guy gestures the peace sign.</t>
  </si>
  <si>
    <t>A guy is snow board down a slope.</t>
  </si>
  <si>
    <t>A group in a row wave goodbye.</t>
  </si>
  <si>
    <t>v_Z57GknpXOBg</t>
  </si>
  <si>
    <t>A man is getting ready to waterboard, there's a boat waiting for him to his right, and the white words on the right bottom corner say "Spray Lake Watersports &amp; Activity Centre".</t>
  </si>
  <si>
    <t>The man goes in the water and as he's holding onto the bar connected to the rope and the boat, he is quickly waterboarding on the lake, sometimes using both hands to hold onto the bar and sometimes alternating hands.</t>
  </si>
  <si>
    <t>The man lets go of the bar and begins to slow towards a dock.</t>
  </si>
  <si>
    <t>A pair of hands are now holding a waterboard that has black and silver pair of shoes attached to it.</t>
  </si>
  <si>
    <t>A person is briefly shown waterboarding and the view goes to bubbling underwater.</t>
  </si>
  <si>
    <t>v_MfFM_a26bR8</t>
  </si>
  <si>
    <t>A person is seen riding around on the horse in a closed in area.</t>
  </si>
  <si>
    <t>The camera continues to follow him riding around the area galloping around.</t>
  </si>
  <si>
    <t>v_s_gb6Xi_J5g</t>
  </si>
  <si>
    <t>The little girl is on top of the monkey bar.</t>
  </si>
  <si>
    <t>A little kid in colorful shirt is crossing the monkey bar.</t>
  </si>
  <si>
    <t>The little girl fell from monkey bar and went back to the monkey bar.</t>
  </si>
  <si>
    <t>v_uiG7A8lEdEg</t>
  </si>
  <si>
    <t>Players are playing lacrosse outdoors in front of an audience.</t>
  </si>
  <si>
    <t>A player is laying on the field.</t>
  </si>
  <si>
    <t>The player hits the ball into the goal.</t>
  </si>
  <si>
    <t>The audience and teammates celebrate the goal, and teammates pat each other on the shoulder.</t>
  </si>
  <si>
    <t>A guy removes his helmet.</t>
  </si>
  <si>
    <t>v_-eCMRApm6n4</t>
  </si>
  <si>
    <t>A girl shows how to make lemonade.</t>
  </si>
  <si>
    <t>She then rakes in the cash her parents helped her.</t>
  </si>
  <si>
    <t>v_TrhOt1WyU7Y</t>
  </si>
  <si>
    <t>A camera pans to a kite flying around in the sky as well as people in a field.</t>
  </si>
  <si>
    <t>A man is seen off to the site controlling the kite with his hands.</t>
  </si>
  <si>
    <t>He continues flying the object around the sky with the camera following.</t>
  </si>
  <si>
    <t>v_d-sWAcDYsbc</t>
  </si>
  <si>
    <t>A young man sits down on a chair in front of a drum set.</t>
  </si>
  <si>
    <t>He begins playing the drums, which are located inside of a living room.</t>
  </si>
  <si>
    <t>The playing continues until he puts down the drum sticks and looks at the camera with a shocked look.</t>
  </si>
  <si>
    <t>The video ends with the man getting up to turn off the camera.</t>
  </si>
  <si>
    <t>v_cdO-xmdjM7Q</t>
  </si>
  <si>
    <t>A group of people walk holding inflatable boats and arrive to a lake, then the people sail in the lake.</t>
  </si>
  <si>
    <t>After, the people take the boats to sail on a narrow choppy river.</t>
  </si>
  <si>
    <t>The rafters arrive to a cascade and the boats fold when descend the cascade, then they continue rafting in the river.</t>
  </si>
  <si>
    <t>v_zlAwW2Pxc1A</t>
  </si>
  <si>
    <t>A man is standing on a ladder.</t>
  </si>
  <si>
    <t>He is hanging wall paper onto a wall in front of him.</t>
  </si>
  <si>
    <t>He uses a tool to smooth out the wall paper once it's on the wall.</t>
  </si>
  <si>
    <t>v_MSiXlMKPGKs</t>
  </si>
  <si>
    <t>Various shots of people standing together and moving around ice are shown as well as people playing shuffle board and yelling to one another.</t>
  </si>
  <si>
    <t>Several people are interviewed on the camera that intervenes with shots of shuffleboard and people rubbing their necks and speaking to one another.</t>
  </si>
  <si>
    <t>v_3W92sMbvoaE</t>
  </si>
  <si>
    <t>A woman is riding an intertube down a snowy hill.</t>
  </si>
  <si>
    <t>She spins as she goes down, running into another person.</t>
  </si>
  <si>
    <t>She is knocked out of her intertube.</t>
  </si>
  <si>
    <t>v_68oJj9QktGg</t>
  </si>
  <si>
    <t>Several shots are shown of bulls running into people in busy streets and people becoming hurt by the bulls.</t>
  </si>
  <si>
    <t>Many more shots are shown of bulls hurting people in various locations while others try to help them on the side.</t>
  </si>
  <si>
    <t>v_Sb2SPX38lyQ</t>
  </si>
  <si>
    <t>A dark sky with a moon and cloud is shown in between trail so dirt.</t>
  </si>
  <si>
    <t>After,A man wearing a hat is shown walking down the trail and several dirt bikers racing are shown.</t>
  </si>
  <si>
    <t>The man then puts on a helmet,the bar is let down and he begins jumping over a hill.</t>
  </si>
  <si>
    <t>As the video continues,you are following the man racing through the trail and doing tricks and riding at side angles to ensure that the tricks are landed and he doesn't fall off.</t>
  </si>
  <si>
    <t>The man then reappears and the reflection of racing is shown in his eye before he walks off.</t>
  </si>
  <si>
    <t>v_ZvVnXvKlKbQ</t>
  </si>
  <si>
    <t>Bowling pins are getting hit with bowling ball.</t>
  </si>
  <si>
    <t>A crowd cheers sitting behind the bowling alley.</t>
  </si>
  <si>
    <t>A man kisses a trophy in his hands.</t>
  </si>
  <si>
    <t>v_wmmOt79-Azo</t>
  </si>
  <si>
    <t>People are standing in a room playing tennis.</t>
  </si>
  <si>
    <t>A woman picks up a ball that falls onto the ground.</t>
  </si>
  <si>
    <t>The girl walks up to the net.</t>
  </si>
  <si>
    <t>v_LFOlEafI35c</t>
  </si>
  <si>
    <t>Two young men arm wrestle in a kitchen using a standing cat chair as an table.</t>
  </si>
  <si>
    <t>A young man in a white tank top places his elbow on a elevated cat chair along with another young man in a black shirt.</t>
  </si>
  <si>
    <t>The two young men begin to arm wrestle.</t>
  </si>
  <si>
    <t>The man in the black shirt wins the arm wrestling match at which point the man in the white tank top backs away and stands in front of a refrigerator next to a girl drinking a canned beverage.</t>
  </si>
  <si>
    <t>v_EPql2nTJb9I</t>
  </si>
  <si>
    <t>A man and woman are standing an a kitchen.</t>
  </si>
  <si>
    <t>The woman is chopping up various vegetables on a white tray.</t>
  </si>
  <si>
    <t>v_-fjUWhSM6Hc</t>
  </si>
  <si>
    <t>A huge crowd is in the stands in an arena.</t>
  </si>
  <si>
    <t>A man throws a javelin.</t>
  </si>
  <si>
    <t>Photographers take pictures in the background.</t>
  </si>
  <si>
    <t>Several men run to where the javelin lands.</t>
  </si>
  <si>
    <t>The man that threw the javelin celebrates.</t>
  </si>
  <si>
    <t>Another man throws a javelin.</t>
  </si>
  <si>
    <t>People walk all around doing different things.</t>
  </si>
  <si>
    <t>Several men run out to where the javelin lands again.</t>
  </si>
  <si>
    <t>The second man to throw the javelin and a man in the stands celebrate.</t>
  </si>
  <si>
    <t>A third man throws a javelin so hard that he falls.</t>
  </si>
  <si>
    <t>The same men run to the the javelin's landing spot.</t>
  </si>
  <si>
    <t>The third man walks away looking disappointed.</t>
  </si>
  <si>
    <t>A fourth man throws a javelin.</t>
  </si>
  <si>
    <t>Again, the men run to where the javelin lands.</t>
  </si>
  <si>
    <t>The fourth man looks disappointed looking for his jacket.</t>
  </si>
  <si>
    <t>The first man to throw a javelin runs around celebrating and hugs another man.</t>
  </si>
  <si>
    <t>A man puts a gold medal around the neck of the first javelin thrower and shakes his hand.</t>
  </si>
  <si>
    <t>He puts a silver medal on the second thrower.</t>
  </si>
  <si>
    <t>He puts a bronze medal on the third thrower.</t>
  </si>
  <si>
    <t>All of the men shake hands.</t>
  </si>
  <si>
    <t>The gold medal winner talks to a news person.</t>
  </si>
  <si>
    <t>The silver medalist talks to a news person.</t>
  </si>
  <si>
    <t>v_d44RiNHK6KA</t>
  </si>
  <si>
    <t>Two people are working out on exercise bikes.</t>
  </si>
  <si>
    <t>The one wearing a blue wig puts their hands in the air.</t>
  </si>
  <si>
    <t>People are in front of them also on exercise bikes.</t>
  </si>
  <si>
    <t>v_1d6FGbM4FRM</t>
  </si>
  <si>
    <t>One person covers the floor with tiles.</t>
  </si>
  <si>
    <t>Then, another man come and help cover the floor with tiles.</t>
  </si>
  <si>
    <t>v_2ErgL7-MXHw</t>
  </si>
  <si>
    <t>Two men stands on front a tall hedge holding trimmers.</t>
  </si>
  <si>
    <t>The men cuts the top of the hedge.</t>
  </si>
  <si>
    <t>Leaves falls from the top of the hedge.</t>
  </si>
  <si>
    <t>v_jXZ6WVxXgLA</t>
  </si>
  <si>
    <t>A man is using a large broom in a parking lot.</t>
  </si>
  <si>
    <t>He spins the broom in circles around him.</t>
  </si>
  <si>
    <t>The spinning brushes the piles of leaves out of the parking lot.</t>
  </si>
  <si>
    <t>v_bFRqNqyVznA</t>
  </si>
  <si>
    <t>A woman is seen speaking to the camera while holding a rag and cleaner and leads into her spraying down the gloves and moving them along a piano.</t>
  </si>
  <si>
    <t>The woman continues wiping all around the piano and ends by speaking to the camera.</t>
  </si>
  <si>
    <t>v_p2P5g7HTJeY</t>
  </si>
  <si>
    <t>People are running around on a field playing a game of lacrosse.</t>
  </si>
  <si>
    <t>A man in white shorts sits down in front of the camera.</t>
  </si>
  <si>
    <t>A man knocks over one of his team mates.</t>
  </si>
  <si>
    <t>Two men almost crash into the camera.</t>
  </si>
  <si>
    <t>A group of players fight over the ball.</t>
  </si>
  <si>
    <t>A man hits the ball far across the field.</t>
  </si>
  <si>
    <t>The screen fades to green.</t>
  </si>
  <si>
    <t>v_-KWToNMY1Lc</t>
  </si>
  <si>
    <t>A man is seated on a horse and holding a lasso while assistants stand by and an audience watches.</t>
  </si>
  <si>
    <t>A cow is released and the man chases after it.</t>
  </si>
  <si>
    <t>The man lassos and ties it up.</t>
  </si>
  <si>
    <t>A man briefly enters the camera frame.</t>
  </si>
  <si>
    <t>Another man is seated on a horse and holding a lasso in the same setting.</t>
  </si>
  <si>
    <t>A cow is released and the second man chases after it.</t>
  </si>
  <si>
    <t>The second man lassos and ties it up.</t>
  </si>
  <si>
    <t>Two riders and two assistants enter the frame.</t>
  </si>
  <si>
    <t>v_ZQU0p5OKC04</t>
  </si>
  <si>
    <t>A man bungee jumps from an elevated capsule into a body of water beneath him in a forest like environment.</t>
  </si>
  <si>
    <t>A man in a blue shirt is strapped into a bungee jumping harness.</t>
  </si>
  <si>
    <t>The man is then lifted into the air in a yellow capsule with a guide, high above a body of water.</t>
  </si>
  <si>
    <t>The man then jumps out of the capsule and falls the distance between the capsule and the water and plops into the water.</t>
  </si>
  <si>
    <t>v_niHEMszTMBU</t>
  </si>
  <si>
    <t>A man in a blue shirt is standing in the woods explaining something.</t>
  </si>
  <si>
    <t>He then shows how to set up wood for a fire.</t>
  </si>
  <si>
    <t>The camera goes back to him standing.</t>
  </si>
  <si>
    <t>The camera goes to the fire being started.</t>
  </si>
  <si>
    <t>the camera goes back to him standing.</t>
  </si>
  <si>
    <t>The camera goes back to him building a different kind of campfire.</t>
  </si>
  <si>
    <t>He is standing in the woods again talking.</t>
  </si>
  <si>
    <t>v_PzAjZbCEbLU</t>
  </si>
  <si>
    <t>a video of how to prevent RV roof leaks is shown, there is a roof of an RV and a man cleaning the glue around the leak.</t>
  </si>
  <si>
    <t>man is putting white glue around the leak.</t>
  </si>
  <si>
    <t>v_4fw4nswO748</t>
  </si>
  <si>
    <t>An introduction comes onto the screen for a video about snowboarding.</t>
  </si>
  <si>
    <t>A snowboarder begins to make some commentary about his snowboarding techniques.</t>
  </si>
  <si>
    <t>Several clips of snowboarders are shown performing the technique as he explains.</t>
  </si>
  <si>
    <t>v_FGAlwzRvAHg</t>
  </si>
  <si>
    <t>The screen shows Transworld Snowboarding at Keystone, Colorado.</t>
  </si>
  <si>
    <t>It displays the fundamentals of snowboarding by Jack Mitrani.</t>
  </si>
  <si>
    <t>A person wearing a green hoodie and a hat is talking about the essentials required for snowboarding.</t>
  </si>
  <si>
    <t>He is demonstrating his tutorial with a snowboard placed in front of him.</t>
  </si>
  <si>
    <t>He is holding an iron in his hand as he is explaining how to wax the board.</t>
  </si>
  <si>
    <t>He has a piece of hard wax in his hand and an iron too.</t>
  </si>
  <si>
    <t>He begins melting the wax with the heated iron and drops it on the board.</t>
  </si>
  <si>
    <t>He drops the melted wax all over the board.</t>
  </si>
  <si>
    <t>He then drags the melted wax all through the board.</t>
  </si>
  <si>
    <t>He continues the same process throughout the entire board.</t>
  </si>
  <si>
    <t>Then uses a scraper to scrape the wax off and clean the board.</t>
  </si>
  <si>
    <t>He also uses a brush to brush off the wax and blows the wax shavings off of the board.</t>
  </si>
  <si>
    <t>v_7qeiQKbWpLM</t>
  </si>
  <si>
    <t>A female gymnast goes through her routine as her coach supervises.</t>
  </si>
  <si>
    <t>Graphics appear at the bottom of the screen that gives the girl's name and country she represents.</t>
  </si>
  <si>
    <t>Her coach walks to the uneven bars to position himself in case she falls.</t>
  </si>
  <si>
    <t>The coach walks up to the uneven bars a second time to position himself to catch her if needed and then walks across to the other side of the mats.</t>
  </si>
  <si>
    <t>She gets off the uneven bars and lands on the mat and poses.</t>
  </si>
  <si>
    <t>v_vijDPbwU6vA</t>
  </si>
  <si>
    <t>People are sitting around a campfire.</t>
  </si>
  <si>
    <t>A man in a hat stands up and chops wood.</t>
  </si>
  <si>
    <t>He gives a thumbs up and puts the ax over his shoulder.</t>
  </si>
  <si>
    <t>v_ZKSORB5ygRM</t>
  </si>
  <si>
    <t>A man drives his car to the beach.</t>
  </si>
  <si>
    <t>He gears up for the surf.</t>
  </si>
  <si>
    <t>He then surfs across a large wave.</t>
  </si>
  <si>
    <t>He finishes and stands on the beach.</t>
  </si>
  <si>
    <t>v_h0R04AFnor4</t>
  </si>
  <si>
    <t>A person touches the skin with a green light while cleaning the area.</t>
  </si>
  <si>
    <t>The person clean the leg with cotton.</t>
  </si>
  <si>
    <t>The person continues applying the green light.</t>
  </si>
  <si>
    <t>v_9a6C5rvS56A</t>
  </si>
  <si>
    <t>There are 4 african american children skipping around on the concrete ground.</t>
  </si>
  <si>
    <t>3 are wearing dresses and 1 of them is wearing a shirt and pants.</t>
  </si>
  <si>
    <t>After they're done skipping, they go to pick vegetables on the side of a building and put them into a blue bowl.</t>
  </si>
  <si>
    <t>v_KcgpoXEh44M</t>
  </si>
  <si>
    <t>Two women are in a room standing behind a table and one holds up a teddy bear.</t>
  </si>
  <si>
    <t>The two the help each other,and begin by taking out a roll of wrapping paper.</t>
  </si>
  <si>
    <t>After,the young girl begins to cut,fold, and tape the paper and places the bear inside.</t>
  </si>
  <si>
    <t>Finally,the task is complete and she holds the finished product up on the table.</t>
  </si>
  <si>
    <t>v_UBtVJ-w9O28</t>
  </si>
  <si>
    <t>A group of men are outside standing in a circle hitting sticks as two males begin fighting.</t>
  </si>
  <si>
    <t>Next,two more men begin dancing around the circle making fighting movements.</t>
  </si>
  <si>
    <t>After,the men come into the circle in pairs and begin to dance around each other as if they are fighting each other.</t>
  </si>
  <si>
    <t>v_3jb0w48ACkU</t>
  </si>
  <si>
    <t>A girl video records a man throwing lighting the end of a stick on fire.</t>
  </si>
  <si>
    <t>The man blows the stick of fire into a pile of wood and eventually creates a fire.</t>
  </si>
  <si>
    <t>v_bL0bXUG2QWI</t>
  </si>
  <si>
    <t>Two men are standing on a gym.</t>
  </si>
  <si>
    <t>A man gets on his knees and lifts two weights.</t>
  </si>
  <si>
    <t>A man stands behind him and talks.</t>
  </si>
  <si>
    <t>The man stands up and kneels back down several times.</t>
  </si>
  <si>
    <t>v_hEabp9fbqtw</t>
  </si>
  <si>
    <t>A man is wearing white in front of a building.</t>
  </si>
  <si>
    <t>He is doing several martial arts moves.</t>
  </si>
  <si>
    <t>He moves very slowly as he demonstrates the moves.</t>
  </si>
  <si>
    <t>v_iksziMLKsBQ</t>
  </si>
  <si>
    <t>We see a black intro screen.</t>
  </si>
  <si>
    <t>We see princess Diana and a man playing pool.</t>
  </si>
  <si>
    <t>Photographers stand up at the end of her table.</t>
  </si>
  <si>
    <t>The princess and her people exit the room.</t>
  </si>
  <si>
    <t>We go back to the black screen.</t>
  </si>
  <si>
    <t>v_18qVzfQ9VAs</t>
  </si>
  <si>
    <t>A woman is standing while wearing a pair of black boots.</t>
  </si>
  <si>
    <t>Her boots begin to move and kick as she starts dancing.</t>
  </si>
  <si>
    <t>She moves side to side, kicking in and out.</t>
  </si>
  <si>
    <t>The woman is fully shown as she stops dancing and begins to speak to the camera.</t>
  </si>
  <si>
    <t>v_ZIvekQVbCZ4</t>
  </si>
  <si>
    <t>A man is jumping rope in a room.</t>
  </si>
  <si>
    <t>A man behind him is stretching.</t>
  </si>
  <si>
    <t>A man behind him starts doing push ups.</t>
  </si>
  <si>
    <t>v_zahB34blHyk</t>
  </si>
  <si>
    <t>There is a man wearing a blue hazmat suit spray painting a tall fence.</t>
  </si>
  <si>
    <t>He is using a spray paint hose to paint the wooden fence.</t>
  </si>
  <si>
    <t>He moves the hose back and forth to ensure he covers the entire surface area of the fence.</t>
  </si>
  <si>
    <t>v_d-NsZZkxTa0</t>
  </si>
  <si>
    <t>A little girl is running around with a stick pushing and object, playing and having a lot of fun.</t>
  </si>
  <si>
    <t>The little girl goes forward playing for around 10 meters and then she goes back running.</t>
  </si>
  <si>
    <t>She touches a red plate and positions it and then runs again to the other side.</t>
  </si>
  <si>
    <t>v_2L9pp85KvbQ</t>
  </si>
  <si>
    <t>A man has a hookah in his mouth and he is inhaling smoke for a while.</t>
  </si>
  <si>
    <t>He takes the hookah out of his mouth and exhales letting out a bunch of smoke.</t>
  </si>
  <si>
    <t>I think he is trying to make O's with the smoke but he doesn't know how.</t>
  </si>
  <si>
    <t>He keeps inhaling and continues to try blowing out the smoke.</t>
  </si>
  <si>
    <t>v_71vVRQ4l8OI</t>
  </si>
  <si>
    <t>A gymnist is seen pushing himself up onto a set of uneven bars while several other people watch on the sidelines as well as perform.</t>
  </si>
  <si>
    <t>Several older men man runs into frame to check on the gymnast in back while the man on the bars continues his routine.</t>
  </si>
  <si>
    <t>The athlete does a back flip and finishes his routine while several others run into frame.</t>
  </si>
  <si>
    <t>v_rduaWxRvcw0</t>
  </si>
  <si>
    <t>A woman wearing a head scarf is seated, talking to the camera.</t>
  </si>
  <si>
    <t>She takes rollers out of her hair, one at a time.</t>
  </si>
  <si>
    <t>She then styles her hair and displays it to the camera.</t>
  </si>
  <si>
    <t>v_vEiQlqCy-rI</t>
  </si>
  <si>
    <t>A goalie is shown saving several balls and being interviewed by a reporter.</t>
  </si>
  <si>
    <t>Many shots are shown of boys playing soccer and being interviewed and leads into the coach being interviewed.</t>
  </si>
  <si>
    <t>Many people enjoy watching the game and finish with more players being interviewed.</t>
  </si>
  <si>
    <t>v_yw9W5dZ6T18</t>
  </si>
  <si>
    <t>The man is standing in the kitchen.</t>
  </si>
  <si>
    <t>He grab a tong and a silver, metal bowl with vegetables in it.</t>
  </si>
  <si>
    <t>The ingredients on the counter are in white containers.</t>
  </si>
  <si>
    <t>the chef is holding a small piece of nut.</t>
  </si>
  <si>
    <t>v_44M2Ov9JzUE</t>
  </si>
  <si>
    <t>The camera pans in on a volleyball player while she plays a game with others.</t>
  </si>
  <si>
    <t>The camera pauses every now and then to capture her movements and pans around the other people playing.</t>
  </si>
  <si>
    <t>v_jBnNbI48KjQ</t>
  </si>
  <si>
    <t>A host speaks to the camera with various musicians sitting behind him and leads into several shots of landscapes.</t>
  </si>
  <si>
    <t>The same man speaks to the camera and is shown riding on a surf board with several other surfers.</t>
  </si>
  <si>
    <t>The man is seen once again in the studio and is interviewed by a woman and another man.</t>
  </si>
  <si>
    <t>v_PV8QJ4QJgtY</t>
  </si>
  <si>
    <t>A woman is standing and talking to the camera, as she pointed to the horse next to her.</t>
  </si>
  <si>
    <t>A woman in yellow is sitting on the horse, the horse walked around the ramp.</t>
  </si>
  <si>
    <t>The horse began running in circles as the older woman is watching.</t>
  </si>
  <si>
    <t>v_fhEvf47Jqi8</t>
  </si>
  <si>
    <t>A man is seen speaking to the camera and leads into him holding a set of tools and presenting them to the camera.</t>
  </si>
  <si>
    <t>He then uses the tools on bushes nearby while still looking to the camera to speak.</t>
  </si>
  <si>
    <t>v_5QBRDpzedoI</t>
  </si>
  <si>
    <t>A man is running down a track in slow motion doing several jumps and landing into a pit.</t>
  </si>
  <si>
    <t>The same man is shown several times through various clips in slow motion performing the long jump on a track field.</t>
  </si>
  <si>
    <t>v_7Zd7KlliqQw</t>
  </si>
  <si>
    <t>A man is seen moving around in slow motion while the camera captures him from several angles.</t>
  </si>
  <si>
    <t>A pair of scissors and a comb is then seen close up and leads into a person cutting the man's hair.</t>
  </si>
  <si>
    <t>He finally blow dries the man's hair and is shown once again smiling and laughing to the camera.</t>
  </si>
  <si>
    <t>v_mI7Hwk_AF-M</t>
  </si>
  <si>
    <t>women are in a big green field playing hurling.</t>
  </si>
  <si>
    <t>woman is in a small green court practicing hurling shots.</t>
  </si>
  <si>
    <t>v_MaYV3jnGr6g</t>
  </si>
  <si>
    <t>person is watching her hands with soap in a handwasher, put some solution into the pots, holds an eye contact with the index finger and with the other hands open her eye and put the contact in her eye, grab the other contact and with the other hands open the eye ad put it in the eye.</t>
  </si>
  <si>
    <t>now the person wash her hands and opens the eye and with the fingers grab the contact from the eye and put it into a pot, then she do the same with the other eye, open the eye and grab the contact from the eye and put it in the pot.</t>
  </si>
  <si>
    <t>v_qRT0Z6Sz_Ck</t>
  </si>
  <si>
    <t>A person gets off a plane.</t>
  </si>
  <si>
    <t>A person is rollerblading through a city and hanging out with friends.</t>
  </si>
  <si>
    <t>This happens in many different places, but it basically the same thing.</t>
  </si>
  <si>
    <t>v__xtOX9UCWmU</t>
  </si>
  <si>
    <t>A man is shown against a white background.</t>
  </si>
  <si>
    <t>He is playing a guitar with his hands.</t>
  </si>
  <si>
    <t>The chords and words appear at the bottom of the screen as he plays.</t>
  </si>
  <si>
    <t>v_bzndhMU3izM</t>
  </si>
  <si>
    <t>We we an opening screen for a product.</t>
  </si>
  <si>
    <t>We see a person shoveling their sidewalk.</t>
  </si>
  <si>
    <t>The man reaches the house and turns to finish the other side of the walkway.</t>
  </si>
  <si>
    <t>We see a person spraying an item on their sidewalk.</t>
  </si>
  <si>
    <t>We then see two closing screens.</t>
  </si>
  <si>
    <t>v_MxZtYALqIrE</t>
  </si>
  <si>
    <t>A man is engaged in a pool competition.</t>
  </si>
  <si>
    <t>He shoots the stick at the balls, making them go into the corner pockets.</t>
  </si>
  <si>
    <t>When he wins, he high fives another man.</t>
  </si>
  <si>
    <t>v_G9ZEi6eRhi0</t>
  </si>
  <si>
    <t>There are about five to six young boys bouncing and jumping in an enclosed bouncy house with basketballs in their hands.</t>
  </si>
  <si>
    <t>The coach is guiding them by blowing the whistle as the children continue to bounce and jump.</t>
  </si>
  <si>
    <t>They take turns to throw the orange balls as instructed by their coach.</t>
  </si>
  <si>
    <t>v_N4Z9eYSu2uM</t>
  </si>
  <si>
    <t>People are playing tug of war on a field.</t>
  </si>
  <si>
    <t>People fall into a pile of muddy water.</t>
  </si>
  <si>
    <t>People are standing next to them watching.</t>
  </si>
  <si>
    <t>v_dexjr5WGeqQ</t>
  </si>
  <si>
    <t>The woman shows the square mats and points to the different materials and features.</t>
  </si>
  <si>
    <t>The woman sweeps the floor to prep for a project.</t>
  </si>
  <si>
    <t>The woman uses a chalk line then tape to mark the floor.</t>
  </si>
  <si>
    <t>The woman sets in the square carpet pieces in place to cover the floor.</t>
  </si>
  <si>
    <t>The woman shows the finished floor off.</t>
  </si>
  <si>
    <t>v_PMDpnLURLp8</t>
  </si>
  <si>
    <t>He grabs the long pole and begins to walk with it to the other side of the field.</t>
  </si>
  <si>
    <t>Then he positions himself and does a jump and lands.</t>
  </si>
  <si>
    <t>Everyone else begins to take their turns and start to run and jump also.</t>
  </si>
  <si>
    <t>They practice for a while and do it for a few more times.</t>
  </si>
  <si>
    <t>v_kpnGg2lOBLM</t>
  </si>
  <si>
    <t>A large group of people are seen jumping rope in a gymnasium while moving back and fourth with the camera.</t>
  </si>
  <si>
    <t>A woman stands in front to instruct the group and continue jumping rope and then stopping.</t>
  </si>
  <si>
    <t>The people then do a warm up with one another and stretch with the woman leading in front.</t>
  </si>
  <si>
    <t>v_7V1ZHZRHFrg</t>
  </si>
  <si>
    <t>A treadmill is shown, then a woman, using the treadmill in the living room is shown, she is wearing blue top and black shorts.</t>
  </si>
  <si>
    <t>She adjusted the monitor, then a treadmill adjustments and meters are shown with numbers on it.</t>
  </si>
  <si>
    <t>v_MbCIH5bay4Q</t>
  </si>
  <si>
    <t>A man is seen standing ready outside a track and begins running towards a bar.</t>
  </si>
  <si>
    <t>The man then jumps over the bar and is shown again in slow motion.</t>
  </si>
  <si>
    <t>v_eepvgF5Fi_Q</t>
  </si>
  <si>
    <t>People sit at a black jack table.</t>
  </si>
  <si>
    <t>A man sits behind the table dealing the cards.</t>
  </si>
  <si>
    <t>A man cashes in chips with the dealer.</t>
  </si>
  <si>
    <t>v_XLspZ5bof7o</t>
  </si>
  <si>
    <t>A lady is talking to the camera in a light room.</t>
  </si>
  <si>
    <t>She turns around and grabs a handful of hair.</t>
  </si>
  <si>
    <t>The lady starts braiding her hair adding more hair as she braids.</t>
  </si>
  <si>
    <t>The lady pulls her braid in front of her and adds a hair tie.</t>
  </si>
  <si>
    <t>She pulls her hair to loosen the braid and turns to the camera and smiles.</t>
  </si>
  <si>
    <t>v_Io0_nTofT7w</t>
  </si>
  <si>
    <t>A row of teenaged boys are playing snare drums.</t>
  </si>
  <si>
    <t>A large bass drum and player appear.</t>
  </si>
  <si>
    <t>A girl playing a drum joins in.</t>
  </si>
  <si>
    <t>v_-wWtZjqIH9o</t>
  </si>
  <si>
    <t>A group of children of varying ages slide down a blue slide in a theme park.</t>
  </si>
  <si>
    <t>A group of children appear at the top of high slide.</t>
  </si>
  <si>
    <t>The children then slide down the slide, with one girl's headband coming down over her eyes.</t>
  </si>
  <si>
    <t>The children land and get up and run off.</t>
  </si>
  <si>
    <t>v_zL0L9Faa5CA</t>
  </si>
  <si>
    <t>White text explains the process of knee injury.</t>
  </si>
  <si>
    <t>A man is shown doing athletic acts, including jumping on a mattress, and stretches for his knees before jumping again and again.</t>
  </si>
  <si>
    <t>v_DLJFoRluYx4</t>
  </si>
  <si>
    <t>A man stands in a bathroom in front of a mirror, holding a razor.</t>
  </si>
  <si>
    <t>The man begins speaking to the camera while showing the razor and its various parts.</t>
  </si>
  <si>
    <t>Soon he begins shaving his face while looking in the mirror.</t>
  </si>
  <si>
    <t>Afterward, he resumes speaking to the camera and showing how the razor performed.</t>
  </si>
  <si>
    <t>The man places the razor on a charging stand which shows a light illuminating, and then picks it back up.</t>
  </si>
  <si>
    <t>The video ends with the man touching his face to demonstrate the smooth job.</t>
  </si>
  <si>
    <t>v__5by7Is4JEU</t>
  </si>
  <si>
    <t>Two men demonstrate jump rope stunts, tricks and techniques in an auditorium in front of a group of students.</t>
  </si>
  <si>
    <t>A man in a grey track suit performs jump rope tricks in front of a group of students.</t>
  </si>
  <si>
    <t>The man in the grey track suit finishes and the children clap.</t>
  </si>
  <si>
    <t>A second man walks beside the man and the two men begin to perform more tricks and stunts including backflips and dance moves during the demonstration.</t>
  </si>
  <si>
    <t>v_hTx_y1ils70</t>
  </si>
  <si>
    <t>Two people are seen hosting a news segment speaking to one another and showing several clips on the interior of a gym.</t>
  </si>
  <si>
    <t>The woman then climbs on the treadmill and gives it a try while still speaking to the man.</t>
  </si>
  <si>
    <t>v_y7R4iEhqx9A</t>
  </si>
  <si>
    <t>A woman is seen speaking to the camera holding a beer and leads into her drinking from the glass.</t>
  </si>
  <si>
    <t>She continues drinking the beer while laughing to the camera and nodding in agreement.</t>
  </si>
  <si>
    <t>v_fIG7aXzSyMU</t>
  </si>
  <si>
    <t>A volunteer rakes leaves in a front yard.</t>
  </si>
  <si>
    <t>Volunteers carry and set up yard tools and cleaning products.</t>
  </si>
  <si>
    <t>A group of volunteers rake the leaves together in front of a house.</t>
  </si>
  <si>
    <t>Volunteers all eat together in a cafeteria.</t>
  </si>
  <si>
    <t>A man loads up bags of leaves and drops them off at a collection yard.</t>
  </si>
  <si>
    <t>v_Iwgbi95VjXU</t>
  </si>
  <si>
    <t>A girl in a bathing suit is sitting on the beach.</t>
  </si>
  <si>
    <t>She is putting sand into a cup and building a sand castle.</t>
  </si>
  <si>
    <t>Another girl walks up and talks to her.</t>
  </si>
  <si>
    <t>v_SIKxtWHWybU</t>
  </si>
  <si>
    <t>A man lays down on the floor over a mat.</t>
  </si>
  <si>
    <t>The man holds a weight ovebe his head.</t>
  </si>
  <si>
    <t>The man exercise holding the weight and raising the folded legs until the chest.</t>
  </si>
  <si>
    <t>v_RRFC2NrZSf4</t>
  </si>
  <si>
    <t>A man wearing a black shirt that has white words that say "Plays well with self" is sitting in a home and playing on two different bongos that are different in size, design and color.</t>
  </si>
  <si>
    <t>The man stops hitting the bongos and rests his left hand on the lighter colored bongo.</t>
  </si>
  <si>
    <t>Then the man moves his right leg as if he is going to stand up and the bongo moves without his leg support.</t>
  </si>
  <si>
    <t>v_duGxOdcqg3I</t>
  </si>
  <si>
    <t>Stone cold steve austin in the ring sweating profusely.</t>
  </si>
  <si>
    <t>He looks over at the other wrestler breathing and sweating, they just look at each other for a while.</t>
  </si>
  <si>
    <t>They open beers and bump the together, then they start throwing beers to the audience.</t>
  </si>
  <si>
    <t>Then, austin rolls out of the ring and starts walking to the back.</t>
  </si>
  <si>
    <t>v_VNMj5YKHEsY</t>
  </si>
  <si>
    <t>woman is talking to a man in an icerink skating and holding hockey poles playing pulling the disc.</t>
  </si>
  <si>
    <t>woman is in an hospital talking to a man.</t>
  </si>
  <si>
    <t>man and woman looked the man that have bandage in his head.</t>
  </si>
  <si>
    <t>v_oD45QIOK4z0</t>
  </si>
  <si>
    <t>The players from Brasil scores while people in the bleaches celebrate.</t>
  </si>
  <si>
    <t>A Brazilian player pass the ball to his playmate who scores and runs to celebrate, other Brazilian players scores many times.</t>
  </si>
  <si>
    <t>After, Brasil plays with other teems and scores many times.</t>
  </si>
  <si>
    <t>Then Brasil plays with players from other countries and scores.</t>
  </si>
  <si>
    <t>At the end, Brasil win the competition.</t>
  </si>
  <si>
    <t>v_L4mSCZwXelk</t>
  </si>
  <si>
    <t>People are playing indoor soccer in an arena.</t>
  </si>
  <si>
    <t>People are sitting in the stands watching.</t>
  </si>
  <si>
    <t>v_bhRHD3bBNZY</t>
  </si>
  <si>
    <t>A woman stands in a room holding a hula hoop.</t>
  </si>
  <si>
    <t>She demonstrates how to use the hula hoop.</t>
  </si>
  <si>
    <t>She spins it using her hips and talking to the camera.</t>
  </si>
  <si>
    <t>v_hjsu3SGAdLs</t>
  </si>
  <si>
    <t>A man wearing a blue shirt is playing the piano in a yard.</t>
  </si>
  <si>
    <t>There are two elephants standing behind him.</t>
  </si>
  <si>
    <t>One of the elephant is trying to play the piano with his trunk.</t>
  </si>
  <si>
    <t>The man continues to play the piano in a fast pace using various keys on the piano.</t>
  </si>
  <si>
    <t>He gives a big finish with the tune and then pats the elephant's trunk.</t>
  </si>
  <si>
    <t>v_BqjNfptu17Q</t>
  </si>
  <si>
    <t>A guy stands on the shore of a beach holding a hockey stick balancing a ball.</t>
  </si>
  <si>
    <t>A hockey stick and a white ball lay on fake grass outside.</t>
  </si>
  <si>
    <t>A person moves a white ball with a hockey stick.</t>
  </si>
  <si>
    <t>A person demonstrates ten field hockey techniques.</t>
  </si>
  <si>
    <t>A guy uses a hockey stick to bounce a ball in the air.</t>
  </si>
  <si>
    <t>Greetings and credits are shown.</t>
  </si>
  <si>
    <t>v_unz00-r84NY</t>
  </si>
  <si>
    <t>A boy plays with a ball in a yard.</t>
  </si>
  <si>
    <t>A boy swings and hits the ball out of the yard.</t>
  </si>
  <si>
    <t>The boy walks to retrieve the ball.</t>
  </si>
  <si>
    <t>The boy plays a game where he hits the ball and knocks down trash can lids.</t>
  </si>
  <si>
    <t>The boy swings a stick at the balls to hit them through a goal.</t>
  </si>
  <si>
    <t>v_tb8KKdC7r-A</t>
  </si>
  <si>
    <t>People play shuffleboard in a gym.</t>
  </si>
  <si>
    <t>A woman throws a black puck, then she talks and continue playing.</t>
  </si>
  <si>
    <t>Old man wearing a cap talks in the gym .</t>
  </si>
  <si>
    <t>Two women talks side by side, one of the woman holds a pole.</t>
  </si>
  <si>
    <t>v_TrFoFWXLMFg</t>
  </si>
  <si>
    <t>An infomercial shows a person using a razor on their leg while speaking to the camera.</t>
  </si>
  <si>
    <t>The woman continues shaving her legs and a close up of the tool is shown.</t>
  </si>
  <si>
    <t>v_LNd1TrbshXM</t>
  </si>
  <si>
    <t>A woman walks into frame playing with her hair and parting it behind her.</t>
  </si>
  <si>
    <t>The woman continues braiding up her hair and shows off the end result while looking to the camera then away.</t>
  </si>
  <si>
    <t>v_uqixFWxAQSA</t>
  </si>
  <si>
    <t>cars covered by a thick snow is shown and a man is cleaning the snow with a shovel in the windshield and all the car.</t>
  </si>
  <si>
    <t>car is going in street.</t>
  </si>
  <si>
    <t>v_lcOepzWnOO4</t>
  </si>
  <si>
    <t>A couple and a child are in a living room.</t>
  </si>
  <si>
    <t>The couple begin dancing in the middle of the room, spinning and twirling.</t>
  </si>
  <si>
    <t>v_h3H6TzHC8Cc</t>
  </si>
  <si>
    <t>A referee wearing a white shirt in a boxing match starts a boxing match.</t>
  </si>
  <si>
    <t>Two girl boxers approach each other and start kick boxing.</t>
  </si>
  <si>
    <t>The taller boxer approaches the shorter boxer and hits the shorter boxer with a straight kick.</t>
  </si>
  <si>
    <t>Both boxers exchange punches and kicks in the center of the ring.</t>
  </si>
  <si>
    <t>The referee manages the fight while following and watching the fighters closely.</t>
  </si>
  <si>
    <t>v_3bTGq7QDjUg</t>
  </si>
  <si>
    <t>Two people are tubing in a stream with lush water and huge rocks through out it.</t>
  </si>
  <si>
    <t>Once the two get around the curve,they hit two small hills and wade in the calmer part of the water.</t>
  </si>
  <si>
    <t>v_Huz41aVo5eo</t>
  </si>
  <si>
    <t>man is waxing a woman's leg.</t>
  </si>
  <si>
    <t>woman is talking to the camera and showing how to wax the leg.</t>
  </si>
  <si>
    <t>v_kkXSGwesZ0U</t>
  </si>
  <si>
    <t>Two people have their legs tied together and then receive instructions.</t>
  </si>
  <si>
    <t>They walk out to a ledge and then go bungee jumping over the edge.</t>
  </si>
  <si>
    <t>v_uo1ERV8LZeU</t>
  </si>
  <si>
    <t>Pictures of a drink are shown followed by an empty bowl and a person putting ingredients in the bowl.</t>
  </si>
  <si>
    <t>The person stirs the ingredients all around and pours the mixture into a glass with ice to serve.</t>
  </si>
  <si>
    <t>v_zH-fOiPLLxA</t>
  </si>
  <si>
    <t>A brush is attached to a power drill for scrubbing.</t>
  </si>
  <si>
    <t>The top of the sink is scrubbed then the bowl.</t>
  </si>
  <si>
    <t>It is wiped with a towel to finish.</t>
  </si>
  <si>
    <t>v_FjY3eKNvzug</t>
  </si>
  <si>
    <t>People are sitting on exercise machines in a room.</t>
  </si>
  <si>
    <t>They all begin working out and pulling on a rope.</t>
  </si>
  <si>
    <t>People are standing in front of them cheering them on.</t>
  </si>
  <si>
    <t>v_3NFWgG4_6NI</t>
  </si>
  <si>
    <t>A man is seen dancing with a hula hoop in a crowded area while people wander around behind her.</t>
  </si>
  <si>
    <t>The woman continues spinning the hoop around herself as people watch her spin around.</t>
  </si>
  <si>
    <t>v_vWEbHvnkogA</t>
  </si>
  <si>
    <t>A jazz musicians is teaching how to play the saxophone.</t>
  </si>
  <si>
    <t>He is giving instructions and talking about music and scales.</t>
  </si>
  <si>
    <t>Then he starts to play some for a little before going back to lecturing.</t>
  </si>
  <si>
    <t>He talks about the notes he has written on the chalk board and goes back to lecturing more about it all.</t>
  </si>
  <si>
    <t>v_X6BHwIJKl-Q</t>
  </si>
  <si>
    <t>A person talks while sit in a boat holding a paddle.</t>
  </si>
  <si>
    <t>Then, the person sails in choppy waters, suddenly he pivote the boat away helping with the oar.</t>
  </si>
  <si>
    <t>v__Wq1OGf0MHM</t>
  </si>
  <si>
    <t>A group of kids and adults are by a river.</t>
  </si>
  <si>
    <t>They get into rafts and float down stream.</t>
  </si>
  <si>
    <t>They paddle through the rapids and falls.</t>
  </si>
  <si>
    <t>v_-Sp-gOEGy2o</t>
  </si>
  <si>
    <t>"How to start a campfire with FiAir" appears on screen.</t>
  </si>
  <si>
    <t>Wildlife Biologist Bryon Shissler sits outside by a campfire pit and speaks to the camera.</t>
  </si>
  <si>
    <t>He builds and lights a fire in the pit using the FiAir device.</t>
  </si>
  <si>
    <t>"FiAir The handly little blower to feed your fires" appears on screen.</t>
  </si>
  <si>
    <t>v_XKA2W2735WM</t>
  </si>
  <si>
    <t>People watch a parade where people walk on front a marching band holding a banner and waving the viewers.</t>
  </si>
  <si>
    <t>A man cross the street holding a small flag and extend his hand.</t>
  </si>
  <si>
    <t>A group of soldiers holds rifles and flags on front a black car.</t>
  </si>
  <si>
    <t>A veteran make the military salute.</t>
  </si>
  <si>
    <t>v_KgONRjXP8_Y</t>
  </si>
  <si>
    <t>A person dips a paint brush into a pan.</t>
  </si>
  <si>
    <t>They use the brush to paint the side of a table.</t>
  </si>
  <si>
    <t>They use large strokes, continuing to paint.</t>
  </si>
  <si>
    <t>v_sra0ywgWITo</t>
  </si>
  <si>
    <t>A man walks over to another man upset and suggests an arm wrestling match.</t>
  </si>
  <si>
    <t>The men begin to hold hands and quickly move away while two women walk into scene.</t>
  </si>
  <si>
    <t>The men continue the match while look calm and the other looks struggled.</t>
  </si>
  <si>
    <t>The match continues as the men discuss their issues and the women watching yell at the men.</t>
  </si>
  <si>
    <t>The women then help the men arm wrestle and one punches the other to help one man win.</t>
  </si>
  <si>
    <t>The punched woman pulls the arms up and stabs them while the other man also stabs them.</t>
  </si>
  <si>
    <t>The women pull out duct tape and stuff one body into a bag.</t>
  </si>
  <si>
    <t>v_ersl2OEJ-eI</t>
  </si>
  <si>
    <t>A man is concentrating extremely hard as he is throwing darts on to a board at a tournament.</t>
  </si>
  <si>
    <t>People cheer and screen for him as another man approaches the board and hives him competition.</t>
  </si>
  <si>
    <t>The two go back and forth,however the first guy appears to be the fan's favorite and ends up winning the game.</t>
  </si>
  <si>
    <t>v_mBAlD4A8swo</t>
  </si>
  <si>
    <t>A man is sitting on an exercise bike.</t>
  </si>
  <si>
    <t>He is working out on the bike.</t>
  </si>
  <si>
    <t>He is talking to the camera while working out.</t>
  </si>
  <si>
    <t>v_QFxe74w7aNc</t>
  </si>
  <si>
    <t>A group of martial artists and drummers perform in a street competition.</t>
  </si>
  <si>
    <t>The martial artists in red pants and black shirts do kicks and flips.</t>
  </si>
  <si>
    <t>Drummers wearing all black and red hats play the drums.</t>
  </si>
  <si>
    <t>The performers finish their piece and the crowd applauds.</t>
  </si>
  <si>
    <t>v_3HBAcaU552I</t>
  </si>
  <si>
    <t>A young boy and girl are standing over a sink with their mother talking.</t>
  </si>
  <si>
    <t>The mother instructs them on how to brush their teeth while laughing.</t>
  </si>
  <si>
    <t>The boy helps his younger sister brush his teeth.</t>
  </si>
  <si>
    <t>She gets them some water to gargle in their mouths.</t>
  </si>
  <si>
    <t>The boy and girl begin playing in the sink.</t>
  </si>
  <si>
    <t>The woman laughs at the children dribbling water.</t>
  </si>
  <si>
    <t>v_eNE8O5cgYuE</t>
  </si>
  <si>
    <t>A woman is outside wind blowing a little bit through her hair, the view is outstanding.</t>
  </si>
  <si>
    <t>There is ia group of runners starting a marathon taking their time.</t>
  </si>
  <si>
    <t>It was scenic and beautiful out there, flowers blossoming and everything.</t>
  </si>
  <si>
    <t>A few of the runners talk about their experience to reporters.</t>
  </si>
  <si>
    <t>v_ufgYKCfK2Vk</t>
  </si>
  <si>
    <t>She is dancing with a baton very gracefully all around the stage for her performance.</t>
  </si>
  <si>
    <t>She does handstands and all kinds of different intriguing moves.</t>
  </si>
  <si>
    <t>She throws the baton up and does a few cartwheels and lands in time to catch it.</t>
  </si>
  <si>
    <t>She accidentally drops the baton and picks its up and continues on and on until the end of her dance.</t>
  </si>
  <si>
    <t>v_HcPhIfhQLmA</t>
  </si>
  <si>
    <t>kid is sanding in a room talking to the camera.</t>
  </si>
  <si>
    <t>anoher man appears on the room and is practicing a head lock.</t>
  </si>
  <si>
    <t>man throw the the kid in the bed and stands.</t>
  </si>
  <si>
    <t>v_Y-dpHbPGQWE</t>
  </si>
  <si>
    <t>An opening screen with the title of a song is shown.</t>
  </si>
  <si>
    <t>We see a man playing a guitar in a recording studio.</t>
  </si>
  <si>
    <t>We see a ending screen with the man's youtube channel address on it.</t>
  </si>
  <si>
    <t>v_F4FpAZJSV1g</t>
  </si>
  <si>
    <t>man is in a racetrack running to make a high jump into the dust.</t>
  </si>
  <si>
    <t>woman is putting numbers in a scoeboard.</t>
  </si>
  <si>
    <t>man is running in the middle of the field.</t>
  </si>
  <si>
    <t>v_aWz9H0jTv3c</t>
  </si>
  <si>
    <t>Two men are in an inside court.</t>
  </si>
  <si>
    <t>They play a game of racquetball together.</t>
  </si>
  <si>
    <t>They take turns hitting the ball back and forth against the wall.</t>
  </si>
  <si>
    <t>v_NtUIIxVvDsA</t>
  </si>
  <si>
    <t>People are sitting in a car.</t>
  </si>
  <si>
    <t>They are standing around a large inflatable raft.</t>
  </si>
  <si>
    <t>They are rafting in choppy water of a river.</t>
  </si>
  <si>
    <t>v_q8lLTxHen0I</t>
  </si>
  <si>
    <t>Various pictures are shown of people huddled up together as well as people playing soccer on a beach.</t>
  </si>
  <si>
    <t>More pictures are shown of people playing as well as one man receiving a trophy and celebrating with others.</t>
  </si>
  <si>
    <t>v_3sAcnQxBchE</t>
  </si>
  <si>
    <t>A camera pans around a woman sitting in a chair smoking a cigarette.</t>
  </si>
  <si>
    <t>She speaks to the camera while continuing to smoke and ends by spreading her legs.</t>
  </si>
  <si>
    <t>v_Kwhp0DNop9I</t>
  </si>
  <si>
    <t>woman is ni seashore wearing a big hat and smiling.</t>
  </si>
  <si>
    <t>peolpe are scuba diving in the sea next to the pier with bags on their backs and showing the fishes and rocks on the floor.</t>
  </si>
  <si>
    <t>v_iZg4cUU6Hkc</t>
  </si>
  <si>
    <t>A group of teen boys are outside in a yard.</t>
  </si>
  <si>
    <t>They gather supplies, then light a fire.</t>
  </si>
  <si>
    <t>They begin kicking a flaming ball back and forth.</t>
  </si>
  <si>
    <t>v_R-VaPP7ToKQ</t>
  </si>
  <si>
    <t>A boy is sitting behind a table.</t>
  </si>
  <si>
    <t>He picks up a beer and takes a drink quickly.</t>
  </si>
  <si>
    <t>A woman grabs it away from him.</t>
  </si>
  <si>
    <t>v_mc-1msYF8Xo</t>
  </si>
  <si>
    <t>Various shots of plated food are shown followed by a sandwich sitting on a table and a woman holding up pans.</t>
  </si>
  <si>
    <t>The woman then puts ingredients onto sandwich bread and mixes the two together and takes multiple bites.</t>
  </si>
  <si>
    <t>v_xm7pETlJrwA</t>
  </si>
  <si>
    <t>A woman is seen speaking to the camera while holding up a bucket and pot.</t>
  </si>
  <si>
    <t>She pours water out of the pot into the bucket as well as some detergent.</t>
  </si>
  <si>
    <t>She then washing clothes in the bucket using water continuously as well as a toothbrush.</t>
  </si>
  <si>
    <t>She lays out the clothes in the end as well as hangs them up.</t>
  </si>
  <si>
    <t>v_RK1L77bNTxg</t>
  </si>
  <si>
    <t>three people is in studio talking about news.</t>
  </si>
  <si>
    <t>a history about curling sport and the kids team playing in the field and scoring is shown in the screen.</t>
  </si>
  <si>
    <t>back to the studio reporters keep talking about the history.</t>
  </si>
  <si>
    <t>v_-4VuHlphgL4</t>
  </si>
  <si>
    <t>A man is standing behind a couch, wearing a protective head covering.</t>
  </si>
  <si>
    <t>He is covering a couch with plastic, and tapes it in place.</t>
  </si>
  <si>
    <t>He speaks to the camera about what he did a little longer.</t>
  </si>
  <si>
    <t>v_TQ22icNBoSI</t>
  </si>
  <si>
    <t>We see blue letters on a black screen and see a roof.</t>
  </si>
  <si>
    <t>Then we switch to more letters and roof has been sprayed with a solution.</t>
  </si>
  <si>
    <t>We are informed the roof has been cleaned and shown shots of the clean roof.</t>
  </si>
  <si>
    <t>We then see the front of the house.</t>
  </si>
  <si>
    <t>We are provided the phone number of the pressure washers.</t>
  </si>
  <si>
    <t>v_T0wmRC8Ka2Y</t>
  </si>
  <si>
    <t>The ball falls onto the ground and a guy in red shorts picks it up.</t>
  </si>
  <si>
    <t>A man in a black hat serves the ball.</t>
  </si>
  <si>
    <t>v_TdFvHyfq97o</t>
  </si>
  <si>
    <t>A man is standing outside in a field of grass that is relatively low.</t>
  </si>
  <si>
    <t>However,in his hand he has a scythe and begins swinging it back and forth cutting the grass down further.</t>
  </si>
  <si>
    <t>As he cuts,several texts appear across the screen with white words about what he is doing and explaining the activity.</t>
  </si>
  <si>
    <t>v_0S0fNrI4oVs</t>
  </si>
  <si>
    <t>A group of USA olympic fencing champions are shown competing in fencing interspersed with images and graphics advertising an upcoming fencing tournament in NYC.</t>
  </si>
  <si>
    <t>Several images of fencers are shows interspersed with video of the fencers walking.</t>
  </si>
  <si>
    <t>An image of a girl holding an American flag behind her appears.</t>
  </si>
  <si>
    <t>More still images of fencing and a slow motion video of a fencing competition appear before a final marketing graphic with a website on it.</t>
  </si>
  <si>
    <t>v_iyGv338SnrQ</t>
  </si>
  <si>
    <t>An elderly woman lays on down against a brown pillow.</t>
  </si>
  <si>
    <t>She holds a harmonica to her mouth and plays it.</t>
  </si>
  <si>
    <t>The light in the room brightens.</t>
  </si>
  <si>
    <t>She finishes playing and laughs.</t>
  </si>
  <si>
    <t>v_Iuk7PNmG3tQ</t>
  </si>
  <si>
    <t>Several players from the black and white team are playing ice hockey in the arena.</t>
  </si>
  <si>
    <t>One of the players from the black team hits the puck away from his opponent.</t>
  </si>
  <si>
    <t>The players from the white team try to prevent him from hitting a goal.</t>
  </si>
  <si>
    <t>An animated version of the game is shown on screen.</t>
  </si>
  <si>
    <t>Then the focus is back on the real game where a black team player is highlighted as he takes a shot on the goal.</t>
  </si>
  <si>
    <t>Again, another animated example is shown to explain how the game works.</t>
  </si>
  <si>
    <t>The black team player hits the puck on the opposite corner of the ice.</t>
  </si>
  <si>
    <t>As the black moves fast and towards the goal, it cause the goalie to fall down.</t>
  </si>
  <si>
    <t>The black team wins the goal and gets the victory in the game.</t>
  </si>
  <si>
    <t>v_1f8iBakydSI</t>
  </si>
  <si>
    <t>A camera pans over a weight room and shows various people working on a machines.</t>
  </si>
  <si>
    <t>One man is seen running on an elliptical while another using a rowing machine in the back.</t>
  </si>
  <si>
    <t>v_gfwSnetklbE</t>
  </si>
  <si>
    <t>A man is shoveling snow off of the top of a car.</t>
  </si>
  <si>
    <t>He walks around the car and starts shoveling the ground.</t>
  </si>
  <si>
    <t>v_TXgzRTa2C38</t>
  </si>
  <si>
    <t>A person throws a bowling ball down a lane.</t>
  </si>
  <si>
    <t>They knock the pins down.</t>
  </si>
  <si>
    <t>They throw the ball at a spare and knock all the rest of the pins down.</t>
  </si>
  <si>
    <t>v__CFadTE9L4I</t>
  </si>
  <si>
    <t>A woman washes clothes in a bucket with soap.</t>
  </si>
  <si>
    <t>The woman wrings out a towel.</t>
  </si>
  <si>
    <t>Someone is folding in the background while the woman continues washing the clothes.</t>
  </si>
  <si>
    <t>v_HQFey_iCEw8</t>
  </si>
  <si>
    <t>A man in a baseball cap, shorts and a blue short sleeved shirt serves three tennis balls across a tennis net on a tennis court by himself.</t>
  </si>
  <si>
    <t>A man on a tennis court by himself serves a tennis ball with a tennis racket across a net.</t>
  </si>
  <si>
    <t>The man then serves two more balls across the net, the ball just land on the other side.</t>
  </si>
  <si>
    <t>v_R3ffxWaI9QU</t>
  </si>
  <si>
    <t>A male athlete is running on a track.</t>
  </si>
  <si>
    <t>He jumps high into the air.</t>
  </si>
  <si>
    <t>He vaults backwards over a high beam.</t>
  </si>
  <si>
    <t>This is shown repeated in slow motion numerous times.</t>
  </si>
  <si>
    <t>v_MZiBlBhpq-Y</t>
  </si>
  <si>
    <t>A man sits down with a guitar.</t>
  </si>
  <si>
    <t>The man begins playing the guitar.</t>
  </si>
  <si>
    <t>The man starts singing while playing the guitar.</t>
  </si>
  <si>
    <t>The man stops playing the guitar and stands up and walks toward the camera.</t>
  </si>
  <si>
    <t>v_yZLwR5EJ7Wc</t>
  </si>
  <si>
    <t>A man plays bagpipes in a city square while nobody pays attention.</t>
  </si>
  <si>
    <t>A cop tells him to stop.</t>
  </si>
  <si>
    <t>v_BbFCkDdq3S0</t>
  </si>
  <si>
    <t>A boy runs slowly down a path.</t>
  </si>
  <si>
    <t>He takes a huge leap into the air.</t>
  </si>
  <si>
    <t>He lands in a giant sand pit.</t>
  </si>
  <si>
    <t>v_LVub7uinY-4</t>
  </si>
  <si>
    <t>A small group of people are seen playing a baseball game on a field and leads into several more shots of them playing.</t>
  </si>
  <si>
    <t>The video continues with several clips of people hitting and catching the ball and ends with text across the screen.</t>
  </si>
  <si>
    <t>v_ER0UPx6-VcM</t>
  </si>
  <si>
    <t>A man and woman are playing inside a racquetball court.</t>
  </si>
  <si>
    <t>They are using racquets, balls, special shoes and protective glasses.</t>
  </si>
  <si>
    <t>They show how to stand and hit the ball.</t>
  </si>
  <si>
    <t>v_pmix_U52VWk</t>
  </si>
  <si>
    <t>A boy is standing behind a music stand playing a flute.</t>
  </si>
  <si>
    <t>He stops playing and smiles before walking away.</t>
  </si>
  <si>
    <t>v_QrKWO2uNNJ0</t>
  </si>
  <si>
    <t>A woman with a hat on stands and talks.</t>
  </si>
  <si>
    <t>She is playing with her hair and talking.</t>
  </si>
  <si>
    <t>Pictures of her hair are inserted.</t>
  </si>
  <si>
    <t>v_Yxsw5nTf4Dg</t>
  </si>
  <si>
    <t>A girl in a bikini is doing hula hoop on a patio.</t>
  </si>
  <si>
    <t>She spins around several times and seems to be having a lot of fun.</t>
  </si>
  <si>
    <t>The came moves up and down to keep her in the frame.</t>
  </si>
  <si>
    <t>It then jumps to another girl only showing her bottom half as a hula hoop spins around her.</t>
  </si>
  <si>
    <t>Another girls is shown dancing inside of a house several times.</t>
  </si>
  <si>
    <t>v_y4PXBhxpZHk</t>
  </si>
  <si>
    <t>A large group of people are shown in several shots playing a sport's game while hundreds of people watch on the sides.</t>
  </si>
  <si>
    <t>The men continue running around the field while close ups of coaches are shown and one scores a goal.</t>
  </si>
  <si>
    <t>One man kneels down and the others shake hands with players.</t>
  </si>
  <si>
    <t>v_QElXIVBV-gk</t>
  </si>
  <si>
    <t>A lady chef wearing a stripe blouse talks in a kitchen.</t>
  </si>
  <si>
    <t>The lady chef describes the ingredients needed and the preparation for the creamy seafood pasta.</t>
  </si>
  <si>
    <t>The lady chef shows a step by step process for preparing the creamy seafood pasta dish and shows the final product.</t>
  </si>
  <si>
    <t>v_2w3FSD235TY</t>
  </si>
  <si>
    <t>A man is talking in a stable as he feeds a horse beside him.</t>
  </si>
  <si>
    <t>He talks extensively about the benefits of horse riding.</t>
  </si>
  <si>
    <t>He mounts a saddle onto the horse.</t>
  </si>
  <si>
    <t>He then leads the horse out, feeding him an apple as he continues to speak.</t>
  </si>
  <si>
    <t>v_QyYbyFXmd-g</t>
  </si>
  <si>
    <t>A man is sen standing in front of a large group of people holding onto a rope.</t>
  </si>
  <si>
    <t>The man raises his arms and the two team begin a game of tug of war.</t>
  </si>
  <si>
    <t>Another game of tug of war occurs on the side and ends with the men standing straight.</t>
  </si>
  <si>
    <t>v_uTc2-oAxgbc</t>
  </si>
  <si>
    <t>We see a girl sitting in a piercing parlor with a lady standing near her.</t>
  </si>
  <si>
    <t>The lady puts a clip on the girls lip and sticks a large needle through her lip.</t>
  </si>
  <si>
    <t>The lady slides the earring through the girls lip and puts a disinfectant on it.</t>
  </si>
  <si>
    <t>v__qzzQdKJ7F0</t>
  </si>
  <si>
    <t>A young girl is seen speaking to the camera and holds up a bottle to the camera.</t>
  </si>
  <si>
    <t>The girl then begins painting her nails and showing them off to the camera.</t>
  </si>
  <si>
    <t>She continues to paint her nails as well as make funny faces to the camera.</t>
  </si>
  <si>
    <t>v_ZQs0S7WwYiM</t>
  </si>
  <si>
    <t>A person puts carpets shims on the floor.</t>
  </si>
  <si>
    <t>The man measures the shims to fit in the corners.</t>
  </si>
  <si>
    <t>After, the person puts stripes on the border of the shims, then put the carpet.</t>
  </si>
  <si>
    <t>v_7EPzlmJ25dA</t>
  </si>
  <si>
    <t>A man takes videos of him skiing and snowboarding down a mountain.</t>
  </si>
  <si>
    <t>He also goes through a forest.</t>
  </si>
  <si>
    <t>v_W_scepAxfPA</t>
  </si>
  <si>
    <t>Two swimmers stand bow forward on a high dive platform.</t>
  </si>
  <si>
    <t>The divers dive from the platform into the water.</t>
  </si>
  <si>
    <t>v_IN8-B39kq_k</t>
  </si>
  <si>
    <t>Two men introduce themselves in the beginning of the video and tell the viewers that they will be talking about tattoos.</t>
  </si>
  <si>
    <t>One of the guys comes on the screen and gives some tips about how to prepare to give a tattoo.</t>
  </si>
  <si>
    <t>A close up of a man is shown giving a tattoo to someone.</t>
  </si>
  <si>
    <t>Several clients are shown close up on the screen while they are in the process of a tattoo.</t>
  </si>
  <si>
    <t>v_Eq0Ibnq9sYA</t>
  </si>
  <si>
    <t>A woman is seen pushing a puck along some ice followed by people brushing ice with brooms in front of the puck.</t>
  </si>
  <si>
    <t>They continuously brush and end the puck in a circle and ends with the woman speaking to the others.</t>
  </si>
  <si>
    <t>v_mRyXubjYWEo</t>
  </si>
  <si>
    <t>A man first salutes and then does karate inside a room while spinning on one leg, next he makes salute.</t>
  </si>
  <si>
    <t>A male makes the cross signal in a squatting position, then he spins his body.</t>
  </si>
  <si>
    <t>Then, the man and the male fight while jumping and kicking.</t>
  </si>
  <si>
    <t>After, the male kick the face of the man with his feet and does a spin with a hand on the floor while the man lands on a foamy mat.</t>
  </si>
  <si>
    <t>v_XQWebGbAjxU</t>
  </si>
  <si>
    <t>A close up of a mat is shown surrounded by pucks and a stick sitting in the middle.</t>
  </si>
  <si>
    <t>The camera pans to people pushing the puck along the ice followed by a person pushing the puck into the middle.</t>
  </si>
  <si>
    <t>v_XPctbL-V1ww</t>
  </si>
  <si>
    <t>A little boy in his pajamma's standing in the mirror watching himself brush his teeth.</t>
  </si>
  <si>
    <t>He moves forward a little and spits out some toothpaste.</t>
  </si>
  <si>
    <t>Then continues to brush, he puts the tooth brush down and grabs a cup of water gargles a bit and spits it out.</t>
  </si>
  <si>
    <t>He finds this very amusing, and does it over and over until the cup of water is empty and then he gets down off his stool and cleans his face with a towel.</t>
  </si>
  <si>
    <t>v_f0hh9bwVfV0</t>
  </si>
  <si>
    <t>Some text appears on screen asking a question about a topic in SCUBA diving safety.</t>
  </si>
  <si>
    <t>The scene changes to show a lot of SCUBA air tanks and some more text explaining more about the question.</t>
  </si>
  <si>
    <t>A man is SCUBA diving underwater while holding his air tank in his hands and the text continues to explain.</t>
  </si>
  <si>
    <t>The air tank is seen floating on it's own on the sea bed.</t>
  </si>
  <si>
    <t>Another man is SCUBA diving and he lets go of his tank to demonstrate the buoyancy.</t>
  </si>
  <si>
    <t>The scene switches back to the group of air tanks with more text explaining.</t>
  </si>
  <si>
    <t>Another scene is shown with 2 tanks and a bag next to some trees.</t>
  </si>
  <si>
    <t>v_0bosp4-pyTM</t>
  </si>
  <si>
    <t>A man is holding a pocket knife while sitting on some rocks in the wilderness.</t>
  </si>
  <si>
    <t>Then he takes a small stone from the flowing river and smashes it on another stone.</t>
  </si>
  <si>
    <t>He starts to crush the small stone to smaller pieces.</t>
  </si>
  <si>
    <t>He grind it hard to make the pieces smaller.</t>
  </si>
  <si>
    <t>Then he takes a piece of bark and rubs the powered stone pieces onto it.</t>
  </si>
  <si>
    <t>The stone particles stick to the wet piece of wood.</t>
  </si>
  <si>
    <t>He then takes the knife and sharpens it against the wood piece.</t>
  </si>
  <si>
    <t>He then notices a little black and green poisonous frog sitting next to him.</t>
  </si>
  <si>
    <t>The frog then escapes and jumps away.</t>
  </si>
  <si>
    <t>He explains how the frog secretes a poisonous fluid that can be extremely harmful.</t>
  </si>
  <si>
    <t>v_1tEJRzqqalM</t>
  </si>
  <si>
    <t>We see a pink opening screen.</t>
  </si>
  <si>
    <t>We see a lady brushing two miniature horses.</t>
  </si>
  <si>
    <t>The lady cleans the brown horses hooves.</t>
  </si>
  <si>
    <t>The lady cleans the hooves on the white and tan horse.</t>
  </si>
  <si>
    <t>The lady brushes the mane on both horses.</t>
  </si>
  <si>
    <t>The lady puts her supplies down.</t>
  </si>
  <si>
    <t>We see black and white still images of the horses.</t>
  </si>
  <si>
    <t>We see the lady brush the brown horse again.</t>
  </si>
  <si>
    <t>v_fwU91k-Vmb8</t>
  </si>
  <si>
    <t>A bunch of children are riding around in bumper cars.</t>
  </si>
  <si>
    <t>They go back and forth on the track.</t>
  </si>
  <si>
    <t>They bump into each other, smiling and laughing.</t>
  </si>
  <si>
    <t>v_GwmpYLRpJQw</t>
  </si>
  <si>
    <t>snowy mountins are shown and people is doing snowboard going down the hill holding poles.</t>
  </si>
  <si>
    <t>a snow house with kids playing is shown.</t>
  </si>
  <si>
    <t>ma is playing with a toy airplane.</t>
  </si>
  <si>
    <t>people doing snowboarding are going down the mountain with red lighes and fireworks are in sky.</t>
  </si>
  <si>
    <t>v_93bg_XU3OTg</t>
  </si>
  <si>
    <t>The product's varying sizes are displayed.</t>
  </si>
  <si>
    <t>The guy pours product in a container and uses a brush to put the liquid on the surface of a metal object.</t>
  </si>
  <si>
    <t>The guy puts a white cloth on the edge.</t>
  </si>
  <si>
    <t>The guy runs the metal object repeatedly across the white cloth.</t>
  </si>
  <si>
    <t>v_DbZ0ns9s2X0</t>
  </si>
  <si>
    <t>A painting is shown followed by several pictures of painting tools and supplies.</t>
  </si>
  <si>
    <t>A person's hand then begins putting marks on the painting and dipping her brush continuously in the paint.</t>
  </si>
  <si>
    <t>The camera pans down the finished picture and a text is shown across the screen.</t>
  </si>
  <si>
    <t>v_ygkcjkVqxAA</t>
  </si>
  <si>
    <t>A woman is seen playing Frisbee out in a back yard with a dog and performs several tricks with the dog.</t>
  </si>
  <si>
    <t>She continuously plays with several toys with the dog when another person watches on the side.</t>
  </si>
  <si>
    <t>v_8P0N5psQrEI</t>
  </si>
  <si>
    <t>A Caucasian woman in late maternity is shown seated on a living room sofa.</t>
  </si>
  <si>
    <t>She puts on a sock on her left foot while crossing her leg and then proceeds to put on a tennis shoe on her left foot.</t>
  </si>
  <si>
    <t>She is cleary in discomfort as she proceeds to tie her shoe, which she rests on an ottoman.</t>
  </si>
  <si>
    <t>She takes a small break and then proceeds to put on her right shoe, She rests her right foot on the ottoman while she ties the shoe.</t>
  </si>
  <si>
    <t>The satisfied and exhausted woman sits back on the sofa and holds her large belly as she completes the task of putting her right shoe on.</t>
  </si>
  <si>
    <t>v_dJVWRkiRXHM</t>
  </si>
  <si>
    <t>A man holding a racket stands in a squash court talking to the camera.</t>
  </si>
  <si>
    <t>The man bounces and catches a blue ball.</t>
  </si>
  <si>
    <t>The man then hits the ball off the back wall and catches it.</t>
  </si>
  <si>
    <t>The man then stands and talks to the camera.</t>
  </si>
  <si>
    <t>v_2KsL5MBiZcc</t>
  </si>
  <si>
    <t>A small group of people are seen standing around a field with a ref speaking to the people.</t>
  </si>
  <si>
    <t>The players then begin a match of lacrosse with one another and run up and down the field playing.</t>
  </si>
  <si>
    <t>v_HNIs8lFvKkA</t>
  </si>
  <si>
    <t>There are two people dressed in yellow shirts playing table tennis in a finished basement.</t>
  </si>
  <si>
    <t>There are three people seated on sofas next to them watching soccer television.</t>
  </si>
  <si>
    <t>Another person seated on the sofa is playing on his phone.</t>
  </si>
  <si>
    <t>The two players continue playing table tennis.</t>
  </si>
  <si>
    <t>The player on the right hits the ball which is opponent returns in a fast manner.</t>
  </si>
  <si>
    <t>The ball falls off the table.</t>
  </si>
  <si>
    <t>The person on the right runs to pick up the ball.</t>
  </si>
  <si>
    <t>They continue playing and serving the ball.</t>
  </si>
  <si>
    <t>A guy dressed in a black hoodie walks by.</t>
  </si>
  <si>
    <t>One of the player pauses to adjust the table.</t>
  </si>
  <si>
    <t>They continue playing table tennis as they talk to each other.</t>
  </si>
  <si>
    <t>v_2bS6JfPF1mk</t>
  </si>
  <si>
    <t>Two young children are shown when one climbs across a set of monkey bars and the other steps out of frame.</t>
  </si>
  <si>
    <t>The girl makes it to the end of the bars and looks to the camera speaking and smiling.</t>
  </si>
  <si>
    <t>v_IfYiYObrUlY</t>
  </si>
  <si>
    <t>A woman talks in kitchen, then come two boys and talk whiles showing the fruits on the counter.</t>
  </si>
  <si>
    <t>Then, a man comes and puts all the fruits in a large bowl while explaining.</t>
  </si>
  <si>
    <t>After, the man adds on top the fruits yogurt, chocolate and cereal.</t>
  </si>
  <si>
    <t>v_H8K1E49607E</t>
  </si>
  <si>
    <t>A person wearing a vest has several buckets on the street he is drumming with.</t>
  </si>
  <si>
    <t>Many people are standing around in amazement watching this man play, while some are recording with a camera.</t>
  </si>
  <si>
    <t>The man continues drumming faster and the crowd continues to cheer him on.</t>
  </si>
  <si>
    <t>Many people walk past and don't seem to notice the drummer.</t>
  </si>
  <si>
    <t>v_O8JVA-scYlM</t>
  </si>
  <si>
    <t>A boy stands behind a table of food.</t>
  </si>
  <si>
    <t>He begins spreading mayonnaise on slices of bread.</t>
  </si>
  <si>
    <t>He puts lettuce on the bread.</t>
  </si>
  <si>
    <t>He stacks tomatoes on top of the lettuce on the bread.</t>
  </si>
  <si>
    <t>He puts chicken on top of the tomato.</t>
  </si>
  <si>
    <t>He puts one piece of bread on top of the other.</t>
  </si>
  <si>
    <t>He puts mayonnaise on top of the top piece of bread.</t>
  </si>
  <si>
    <t>He stacks the food up on the bread again.</t>
  </si>
  <si>
    <t>He tops it with a final piece of bread.</t>
  </si>
  <si>
    <t>He cuts the sandwich into four slices on a board.</t>
  </si>
  <si>
    <t>He puts a toothpick in each section of the sandwich.</t>
  </si>
  <si>
    <t>He moves the sandwich from the board onto a plate.</t>
  </si>
  <si>
    <t>He adds fries to the plate with the sandwich on it.</t>
  </si>
  <si>
    <t>v_63Zt34YuyRk</t>
  </si>
  <si>
    <t>There's a NBC news reporter wearing a red sweater and white shirt talking about dog grooming by Scissor Wizard a grooming company.</t>
  </si>
  <si>
    <t>The representative from the company is talking about the services they offer and how those dogs participate in dog shows.</t>
  </si>
  <si>
    <t>A groomer is seen using shears to creatively trim the dog's hair and even dye it in colorful shades of red, green, yellow and blue.</t>
  </si>
  <si>
    <t>v_z6GHmDSskgY</t>
  </si>
  <si>
    <t>Multiple people are in an exercise class in a room with lot of mirrors at a gym, and they are dancing as well as spinning around and stepping up onto a platform.</t>
  </si>
  <si>
    <t>A woman walks by the exercise room holding weights.</t>
  </si>
  <si>
    <t>A woman places the weights down on the rack.</t>
  </si>
  <si>
    <t>A woman walks by without holding any weights.</t>
  </si>
  <si>
    <t>v_iZtie23nW_A</t>
  </si>
  <si>
    <t>A red mustang is being hosed down.</t>
  </si>
  <si>
    <t>Next, the workers rub soap over the car.</t>
  </si>
  <si>
    <t>After that, they both work on washing the soap off before applying another soap over the vehicle.</t>
  </si>
  <si>
    <t>They then use hoses to wash the car clean.</t>
  </si>
  <si>
    <t>v_XKOeu8n7R7s</t>
  </si>
  <si>
    <t>A small group of men are seen running around a basketball court playing a game of basketball.</t>
  </si>
  <si>
    <t>One player moves all around the net holding the ball and demonstrates how to properly shoot a hoop.</t>
  </si>
  <si>
    <t>He bounces the ball around a bit and more shots of the people playing are shown.</t>
  </si>
  <si>
    <t>v_eSyrFLhr3b0</t>
  </si>
  <si>
    <t>A man is seen speaking to the camera while showing a plate of food and pouring out ingredients onto a plate.</t>
  </si>
  <si>
    <t>He continues to mix ingredients together onto a plate and ends with a close up of the dish and him speaking more.</t>
  </si>
  <si>
    <t>v_sJ0Tc4nthOA</t>
  </si>
  <si>
    <t>Two people are shown holding fencing sticks and pointing towards each other.</t>
  </si>
  <si>
    <t>They move back and fourth and match with each other.</t>
  </si>
  <si>
    <t>v_89rUyq2rCJ8</t>
  </si>
  <si>
    <t>A man is riding on a surfboard in the ocean.</t>
  </si>
  <si>
    <t>He does a big flip, landing back in the wave.</t>
  </si>
  <si>
    <t>The flip is repeated in slow motion.</t>
  </si>
  <si>
    <t>v_nlYl30Dqfc0</t>
  </si>
  <si>
    <t>woman is standing in middle of stage talking to the camera and showing in slow motion dance moves.</t>
  </si>
  <si>
    <t>woman is making the movements quickly and showing the position of the hands.</t>
  </si>
  <si>
    <t>woman is showing salsa movements in a room.</t>
  </si>
  <si>
    <t>v_KoeytdNfQ_M</t>
  </si>
  <si>
    <t>A man is standing on a dark field.</t>
  </si>
  <si>
    <t>He throws a frisbee through the air, and a dog catches it.</t>
  </si>
  <si>
    <t>The dog chases and does tricks to get the frisbee.</t>
  </si>
  <si>
    <t>v_8qzR38WgsS8</t>
  </si>
  <si>
    <t>A group of young boys are on bicycles behind a sand preparing to take off and race down the course.</t>
  </si>
  <si>
    <t>The latch is let down and they all take off into the dirt and start to race in the dirt.</t>
  </si>
  <si>
    <t>Many of the boys keep going around the track and people are spread throughout the course holding up sticks.</t>
  </si>
  <si>
    <t>v_NpsOCOnQS6c</t>
  </si>
  <si>
    <t>A man spraying a fence grey using a powerful spray gun.</t>
  </si>
  <si>
    <t>A man in casually standing behind him watching with his hands crossed, yawning.</t>
  </si>
  <si>
    <t>The man spraying sprays up and down making good time.</t>
  </si>
  <si>
    <t>He makes sure to go over all the spots so he doesn't miss any.</t>
  </si>
  <si>
    <t>v_Dx9wjBdbZ1M</t>
  </si>
  <si>
    <t>The man is kicking the tile of the roof until it moved.</t>
  </si>
  <si>
    <t>The man pull out one tire of the roof and pointed on the sides of the tiles.</t>
  </si>
  <si>
    <t>He put back the tile, move it to its original place.</t>
  </si>
  <si>
    <t>v_pYbOylWZx-s</t>
  </si>
  <si>
    <t>A man in a black tank top describes cardio workout on a spin bike.</t>
  </si>
  <si>
    <t>The man in the black tank top mounts the spinning bike in intervals of 45 second cruise speed tension, the 15 seconds hard with tension up.</t>
  </si>
  <si>
    <t>Then cool down with cruise speed tension.</t>
  </si>
  <si>
    <t>v_kXfYuIx31Bo</t>
  </si>
  <si>
    <t>A close up of a machine is shown followed by a man shoveling dirt around a floor.</t>
  </si>
  <si>
    <t>The man then uses the machine around the dirt and waters down the area afterwards.</t>
  </si>
  <si>
    <t>Another man is seen pouring water down on the ground and pasting white paper down.</t>
  </si>
  <si>
    <t>v_aGu-FfGDdVI</t>
  </si>
  <si>
    <t>A man is in the murky waters, using a paddle.</t>
  </si>
  <si>
    <t>He is kayaking toward the camera and past other kayakers.</t>
  </si>
  <si>
    <t>He goes through the water faster, trying to keep up with the current.</t>
  </si>
  <si>
    <t>v_aXCAudMzN2o</t>
  </si>
  <si>
    <t>A man is seen jumping up and down on a pair of stilts while a few others move around on stilts with help.</t>
  </si>
  <si>
    <t>More shots are shown of people jumping around on the stilts and others still needing help from others.</t>
  </si>
  <si>
    <t>v_qNxA4UTadGo</t>
  </si>
  <si>
    <t>The camera pans around a pool and audience and leads into a group of swimmers standing ready on the side.</t>
  </si>
  <si>
    <t>Afterwards several men are seen performing impressive dives into a pool that include flips and tricks and the divers receiving medals in the end.</t>
  </si>
  <si>
    <t>v_NouHsmaE-xA</t>
  </si>
  <si>
    <t>People are in a rodeo arena while a man on a horse prepares a rope with a loop.</t>
  </si>
  <si>
    <t>Then,the man spins the loop and throw to catch a calf, then run and tie the calf.</t>
  </si>
  <si>
    <t>A young man enters the arena and untie the calf.</t>
  </si>
  <si>
    <t>v_WFqm48C2BPk</t>
  </si>
  <si>
    <t>Various shots are shown of a boat riding along rough water conditions from several angles.</t>
  </si>
  <si>
    <t>The camera shows a board and leads back to the water, transitioning into people seen sitting inside the boat.</t>
  </si>
  <si>
    <t>The camera walks around more and captures views of the inside as well as the water.</t>
  </si>
  <si>
    <t>v_UOL8oxziVwU</t>
  </si>
  <si>
    <t>A bald man inside of a home is holding a camera and videotaping a woman on stilts.</t>
  </si>
  <si>
    <t>The camera pans to the woman, who is walking around the living room in the stilts.</t>
  </si>
  <si>
    <t>The man asks the woman to act like a movie character, and she agrees.</t>
  </si>
  <si>
    <t>The woman then grabs the camera, and the view is obscured by her hand.</t>
  </si>
  <si>
    <t>v_AbVuOBhG634</t>
  </si>
  <si>
    <t>A woman is standing outside, talking to the camera.</t>
  </si>
  <si>
    <t>She speaks extensively in her new york city location.</t>
  </si>
  <si>
    <t>At the end, a screen appears with contact information.</t>
  </si>
  <si>
    <t>v_0je8CeAJABY</t>
  </si>
  <si>
    <t>First the man walks onto the stage in the beginning and shakes his head roughly.</t>
  </si>
  <si>
    <t>Then he wrestles a bald man in a wrestling match.</t>
  </si>
  <si>
    <t>Next he wrestles a man who has long short blonde hair and he wrestles a man who has a low haircut and he wins.</t>
  </si>
  <si>
    <t>The crowd starts cheering and roaring because of how many times he'd won.</t>
  </si>
  <si>
    <t>v_NOGtIoZbEVg</t>
  </si>
  <si>
    <t>A young man sits on a bed.</t>
  </si>
  <si>
    <t>The man starts playing an acoustic guitar.</t>
  </si>
  <si>
    <t>The man starts singing while playing.</t>
  </si>
  <si>
    <t>The man pauses and rolls is eyes.</t>
  </si>
  <si>
    <t>The man finishes and looks up, then at the ground.</t>
  </si>
  <si>
    <t>v_t19uSLVQGWA</t>
  </si>
  <si>
    <t>A man is seen sitting behind a drum set beginning to play while others watch him on the side.</t>
  </si>
  <si>
    <t>The man continues to play the drum set faster and faster and ends by stopping to speak to the camera.</t>
  </si>
  <si>
    <t>v_T6TgMYLrPII</t>
  </si>
  <si>
    <t>The woman is adjusting the matt, while the man is raising the pole.</t>
  </si>
  <si>
    <t>The woman is running with a pole, then she jumped over the yellow rope.</t>
  </si>
  <si>
    <t>The woman jumped over the rope while her coach is on the side of the tract watching and assisting her as she jumped over the pole.</t>
  </si>
  <si>
    <t>v_plZs-3GtoOo</t>
  </si>
  <si>
    <t>A barber is shown using clippers on his client's head in a hair salon.</t>
  </si>
  <si>
    <t>He is shaving a man's head with shaving cream and a razor.</t>
  </si>
  <si>
    <t>He is also styling a boy's hair with gel and a comb.</t>
  </si>
  <si>
    <t>He is shaving a man's beard with shaving gel and a razor.</t>
  </si>
  <si>
    <t>He is also cutting a man's hair with scissors to give him a Mohawk.</t>
  </si>
  <si>
    <t>He is using clippers on a young man.</t>
  </si>
  <si>
    <t>The website is advertised on the screen with pictures of the website.</t>
  </si>
  <si>
    <t>v_FRzN9ApCxW8</t>
  </si>
  <si>
    <t>A man is outside in a field of grass pushing a lawn mower back and forth.</t>
  </si>
  <si>
    <t>Once he makes it to the other side of the strip,the person with the camera walks closer to him and starts to talk to them.</t>
  </si>
  <si>
    <t>After,the guy with the lawn mower begins to laugh and continues cutting the yard.</t>
  </si>
  <si>
    <t>v_3hSPAtKORgk</t>
  </si>
  <si>
    <t>A graphic of a boy kicking a soccer ball with 3 defender is seen.</t>
  </si>
  <si>
    <t>The ball is deflected by the defenders in the graphic.</t>
  </si>
  <si>
    <t>A soccer player kicks a ball that is blocked by a series of defenders and a goalie on and indoor field.</t>
  </si>
  <si>
    <t>v_QR2BmWR5FGM</t>
  </si>
  <si>
    <t>A small playground is seen followed by a man and his dog walking into frame.</t>
  </si>
  <si>
    <t>The man pushes it dog up and the dog rides down the slide.</t>
  </si>
  <si>
    <t>The man does this again with the dog in another playground.</t>
  </si>
  <si>
    <t>v_Zob68l3snFo</t>
  </si>
  <si>
    <t>a man is in a boat in the water.</t>
  </si>
  <si>
    <t>a loaf of bread is thrown to fishes and their are fighting to eat it.</t>
  </si>
  <si>
    <t>man is diving ni deep sea through the shoals and corals.</t>
  </si>
  <si>
    <t>v_--0edUL8zmA</t>
  </si>
  <si>
    <t>Four men are playing dodge ball in an indoor court.</t>
  </si>
  <si>
    <t>They start running towards the red balls after the coach blows the whistle.</t>
  </si>
  <si>
    <t>One of the players hits the ball on his opponent.</t>
  </si>
  <si>
    <t>The opponent strikes back at the other player, but he manages to dodge the ball.</t>
  </si>
  <si>
    <t>Next, the player hits another ball directly at his opponent standing opposite him.</t>
  </si>
  <si>
    <t>The player hits the ball hard on his opponent's leg.</t>
  </si>
  <si>
    <t>They continue playing several rounds of dodge ball.</t>
  </si>
  <si>
    <t>The player aims directly at one of his opponents and hits him on his leg.</t>
  </si>
  <si>
    <t>The game ends after the coach blows the whistle.</t>
  </si>
  <si>
    <t>v_ABCRXwB5-JQ</t>
  </si>
  <si>
    <t>People sail in canoes in a river rowing oars.</t>
  </si>
  <si>
    <t>A young man plays the guitar in a boat, while a youth smoke a cigarette.</t>
  </si>
  <si>
    <t>Two young ladies sail a boat behind the men.</t>
  </si>
  <si>
    <t>v_4_CcDjbCXBQ</t>
  </si>
  <si>
    <t>A woman is seen hosting a news segment and leads into shots of people playing soccer and audience members watching.</t>
  </si>
  <si>
    <t>More highlights of the game are shown as well as team mates celebrating and hugging one another.</t>
  </si>
  <si>
    <t>v_tIAdhrfT70I</t>
  </si>
  <si>
    <t>A fox news icon appears on the screen.</t>
  </si>
  <si>
    <t>A group of people are in a building, playing a game called beer pong.</t>
  </si>
  <si>
    <t>The news reporters gather in their studio to play beer pong.</t>
  </si>
  <si>
    <t>A male and female reporter attempt to throw the balls at the cups.</t>
  </si>
  <si>
    <t>The woman walks away laughing as the other reporters continue to talk.</t>
  </si>
  <si>
    <t>They resume playing before the fox news icon again appears onscreen.</t>
  </si>
  <si>
    <t>v_cHSGL-OcMak</t>
  </si>
  <si>
    <t>Two people are seen walking around on stilts in the middle of a street and sidewalk.</t>
  </si>
  <si>
    <t>The walk continue walking up and down the streets on stilts passing by people and speaking.</t>
  </si>
  <si>
    <t>v_HlFnWOx53XU</t>
  </si>
  <si>
    <t>woman is standing in a field playing bagpipes.</t>
  </si>
  <si>
    <t>woman is standing in the middle of a parking lot playing bag pipes.</t>
  </si>
  <si>
    <t>a blue house is behind the woman that is playing bagpipes.</t>
  </si>
  <si>
    <t>v_bw96D55q2FI</t>
  </si>
  <si>
    <t>A skateboarder comes by and rolls in a patch of dirt by the side walk.</t>
  </si>
  <si>
    <t>A man then begins to ride his skateboard from the top of the roof down an inclined road.</t>
  </si>
  <si>
    <t>The man then begins moving and skateboarding throughout the neighborhood and interacting with the people.</t>
  </si>
  <si>
    <t>All of a sudden,the man walks through the subway and gets off his skateboard until he gets to his destination.</t>
  </si>
  <si>
    <t>He then proceeds to skate through the city,jumping over the poles and the credits begin to roll.</t>
  </si>
  <si>
    <t>v_75u6o4tXGC0</t>
  </si>
  <si>
    <t>man is standing in front of a kitchen cooking and showing the ingredients to a cook.</t>
  </si>
  <si>
    <t>man put the ingredients in a pan and cook the chicken with the salad and serve it in a plate.</t>
  </si>
  <si>
    <t>v_LrmtSSUVRaQ</t>
  </si>
  <si>
    <t>An introduction comes onto the screen for a video about casino dealing.</t>
  </si>
  <si>
    <t>A man explains that they are at a casino dealing school where they will teach people how to deal.</t>
  </si>
  <si>
    <t>Another man begins to tell and about the basics for casino dealing.</t>
  </si>
  <si>
    <t>v_rosZj4ZcPBA</t>
  </si>
  <si>
    <t>Outside a man is using a leaf blower using it to blow a pile of leaves.</t>
  </si>
  <si>
    <t>He seems to be at a park or something in the parking lot.</t>
  </si>
  <si>
    <t>He is wearing a hat and jeans and just out there by himself.</t>
  </si>
  <si>
    <t>He continues to keep blowing the pile of leaves when a dog runs by out of nowhere.</t>
  </si>
  <si>
    <t>v_zcdJNPYkIE0</t>
  </si>
  <si>
    <t>A scuba-diving man interacts underwater with a large fish.</t>
  </si>
  <si>
    <t>The man makes a pushing gesture towards the camera.</t>
  </si>
  <si>
    <t>The man makes several gestures towards the camera.</t>
  </si>
  <si>
    <t>The fish rams into the man and swims away.</t>
  </si>
  <si>
    <t>v_yVbzejdydrw</t>
  </si>
  <si>
    <t>A man holds two swords out and pretends to hit another people holding swords.</t>
  </si>
  <si>
    <t>He demonstrates again and hands the swords to another man.</t>
  </si>
  <si>
    <t>He commentates on his ability while continuing to show several sword movements.</t>
  </si>
  <si>
    <t>Other men begin to fight with the swords.</t>
  </si>
  <si>
    <t>One man falls down and acts hurt to portray a role in the play Hamlet.</t>
  </si>
  <si>
    <t>v_rMdojBVP-aM</t>
  </si>
  <si>
    <t>A camera pans around a woman standing in front of a dog balancing on a fence.</t>
  </si>
  <si>
    <t>The dog continues balancing on the fence while the camera pans around.</t>
  </si>
  <si>
    <t>The dog then jumps off the fence in the end.</t>
  </si>
  <si>
    <t>v_liI1E_ZZV5w</t>
  </si>
  <si>
    <t>A man is holding a white shoe and puts it on the ground.</t>
  </si>
  <si>
    <t>The man already has a shoe on his right foot and it tightens itself when he touches it.</t>
  </si>
  <si>
    <t>The man's face is shown and he's looking down at the shoes and then it shows the left shoe on the foot and it's tightening itself .</t>
  </si>
  <si>
    <t>The man stands up from the car and the scene reveals that it's Michael J Fox in the movie Back to the Future.</t>
  </si>
  <si>
    <t>v_Oya9LWABkf4</t>
  </si>
  <si>
    <t>A girl is outside on a boat dock holding a three hula hoops in her hands.</t>
  </si>
  <si>
    <t>She starts swinging them in her hand,around her legs,wrist,and neck and stops briefly to adjust the camera.</t>
  </si>
  <si>
    <t>The young lady then appears again with twenty to thirty hula hoops around her body swinging them back and forth before advising you to subscribe to a channel.</t>
  </si>
  <si>
    <t>v__WPcOFgi5vU</t>
  </si>
  <si>
    <t>Two men are seen standing in an enclosed room holding tennis rackets and begin hitting the ball off the wall to one another.</t>
  </si>
  <si>
    <t>The men continue walking back and fourth with the ball and hitting it off the wall as well as bumping into the wall.</t>
  </si>
  <si>
    <t>v_8zfA20hcc0o</t>
  </si>
  <si>
    <t>Two men are seen passing a ball to one another and leads into a group of people playing soccer.</t>
  </si>
  <si>
    <t>The people move up and down the court while the camera follows their movements.</t>
  </si>
  <si>
    <t>Many people watch on the sides as the group continues to play.</t>
  </si>
  <si>
    <t>v_dSHw52PBi5I</t>
  </si>
  <si>
    <t>People in an indoor pool watch on as multiple divers are taking turns and standing at the highest diving point with the word INDIANA on it as they do multiple flips before they land into the pool.</t>
  </si>
  <si>
    <t>A few woman take their turns jumping off of the highest diving point as they start in different ways, do multiple flips, then dive into the pool making small splashes as they hit the water.</t>
  </si>
  <si>
    <t>A blonde woman does a very slow handstand facing towards the pool, then pushes off and does multiple flips before she dives into the pool creating a small splash.</t>
  </si>
  <si>
    <t>When the women are finished diving, men take their turns diving from the highest point as well and they also do multiple flips before they hit the water creating a small splash.</t>
  </si>
  <si>
    <t>v_R4ES1QLRvtg</t>
  </si>
  <si>
    <t>A person in dark winter gear is using a shovel to shovel the walkway of a parking garage.</t>
  </si>
  <si>
    <t>It is night time and the street is dimly lit with the street lights.</t>
  </si>
  <si>
    <t>He continues shoveling the entire pathway while several cars drive by on the main road nearby.</t>
  </si>
  <si>
    <t>He picks up the up snow and piles it up on the corner.</t>
  </si>
  <si>
    <t>After he finishes, he walks away.</t>
  </si>
  <si>
    <t>v_zNpILhjhFbQ</t>
  </si>
  <si>
    <t>A person sits on a mat in a gym and does sit ups while holding her legs up.</t>
  </si>
  <si>
    <t>The person finishes the exercise routine and takes a break.</t>
  </si>
  <si>
    <t>A graphic is seen with a feather falling.</t>
  </si>
  <si>
    <t>v_cGqmHplppAU</t>
  </si>
  <si>
    <t>Various clips are shown of people playing on the beach as well putting sunscreen on and carrying objects.</t>
  </si>
  <si>
    <t>A large explosion is shown followed by kids fishing with a man and more clips of people playing on the beach.</t>
  </si>
  <si>
    <t>v_a50gTER-FsQ</t>
  </si>
  <si>
    <t>Three men walk into a building.</t>
  </si>
  <si>
    <t>They begin to play a game of curling.</t>
  </si>
  <si>
    <t>People are shown enjoying themselves at the curling hall and the trophies are shown that have been won.</t>
  </si>
  <si>
    <t>The men are shown in the locker preparing to curl.</t>
  </si>
  <si>
    <t>The men are shown all together posing on the ice.</t>
  </si>
  <si>
    <t>v_FkSf3pxra3M</t>
  </si>
  <si>
    <t>Many judges sit around a field, waiting the performance of an athlete.</t>
  </si>
  <si>
    <t>An athlete approaches the field area.</t>
  </si>
  <si>
    <t>The athlete spins his body around and tosses a disc with maximum force.</t>
  </si>
  <si>
    <t>v_cRDXBF2RcYI</t>
  </si>
  <si>
    <t>A person is laying back on a bed.</t>
  </si>
  <si>
    <t>A person puts wax on their leg.</t>
  </si>
  <si>
    <t>They put paper on it and rip off the hair.</t>
  </si>
  <si>
    <t>v_-ySxFjhhK4Y</t>
  </si>
  <si>
    <t>We see a man preparing and throwing shotput.</t>
  </si>
  <si>
    <t>We see a man running to measure the distance.</t>
  </si>
  <si>
    <t>We see a man standing and measure.</t>
  </si>
  <si>
    <t>We see people in the crowd cheering.</t>
  </si>
  <si>
    <t>We see the people in the bleachers again.</t>
  </si>
  <si>
    <t>We zoom in as the player walks away.</t>
  </si>
  <si>
    <t>v_K-Jzu2AmuW4</t>
  </si>
  <si>
    <t>Two women and a man dance pop music while doing different steps.</t>
  </si>
  <si>
    <t>The women and the man rise the arms while dancing, then they continue dancing and turning.</t>
  </si>
  <si>
    <t>v_3H7ZS0E90pY</t>
  </si>
  <si>
    <t>She does a gymnastic routine on the balance beam.</t>
  </si>
  <si>
    <t>She jumps off the beam and lands on the mat with her hands up.</t>
  </si>
  <si>
    <t>A woman in a blue shirt comes over and hugs her.</t>
  </si>
  <si>
    <t>v_Wr_Eu2M7U9E</t>
  </si>
  <si>
    <t>A woman walks into a garage with a rolled up paper in her hand.</t>
  </si>
  <si>
    <t>Once she leaves,a black cat is shown and it begins to crawl over everything and then the lady comes and pets it.</t>
  </si>
  <si>
    <t>The female leaves and walks into a room and starts covering the room in wall paper.</t>
  </si>
  <si>
    <t>She forgets the scissors and walks out to grab them and comes back to apply more paper on the wall.</t>
  </si>
  <si>
    <t>A break is needed and the woman get a drink from the kitchen.</t>
  </si>
  <si>
    <t>Shortly after,the lady continues her tasks and then walks outside to take her cat out.</t>
  </si>
  <si>
    <t>The wall still isn't finished and she goes back to the room to finish it rolling the outside of it to ensure its smoothness.</t>
  </si>
  <si>
    <t>As she finishes,the cat comes in the room and starts playing with a ball before returning back outside.</t>
  </si>
  <si>
    <t>The women reappears in another set of clothes to finish the wall,she finally finishes and begins to throw her hands up and collapses on the bed.</t>
  </si>
  <si>
    <t>v_ctFlPn4EfkU</t>
  </si>
  <si>
    <t>People are playing golf on the grass.</t>
  </si>
  <si>
    <t>A man hits the ball with a club.</t>
  </si>
  <si>
    <t>A man in a white hat walks behind him.</t>
  </si>
  <si>
    <t>v_OK84hJx9daQ</t>
  </si>
  <si>
    <t>The final product and credits are shown.</t>
  </si>
  <si>
    <t>Ingredients are mixed and sauteed.</t>
  </si>
  <si>
    <t>Pasta is added to the fry pan.</t>
  </si>
  <si>
    <t>Tomato paste and dry ingredients is added to the pan.</t>
  </si>
  <si>
    <t>The final product is taken from the fry pan and placed on a white plate.</t>
  </si>
  <si>
    <t>The final product and credits of the clip are shown.</t>
  </si>
  <si>
    <t>v_q66BG9h_7XI</t>
  </si>
  <si>
    <t>People are strapping on these Qloja machines to their feet.</t>
  </si>
  <si>
    <t>It takes a pretty long time to get them on and then they start to walk.</t>
  </si>
  <si>
    <t>They build up a little speed and start kind of running in a line.</t>
  </si>
  <si>
    <t>A line of about 15 people wearing these contraceptions are running on them, then a smaller group of three are bouncing up and down all around.</t>
  </si>
  <si>
    <t>v_XumLmNQiRjk</t>
  </si>
  <si>
    <t>People are playing a game of volleyball against each other.</t>
  </si>
  <si>
    <t>v_V_rril47Z5Q</t>
  </si>
  <si>
    <t>Two people choreograph a routine with nunchucks.</t>
  </si>
  <si>
    <t>The girls drop the nunchucks then dance around.</t>
  </si>
  <si>
    <t>A third person joins and then leaves.</t>
  </si>
  <si>
    <t>v_q3DzEgYmIV0</t>
  </si>
  <si>
    <t>A hand saw sits on top of a roof.</t>
  </si>
  <si>
    <t>A ladder leans on it.</t>
  </si>
  <si>
    <t>The roof is old and dilapidated.</t>
  </si>
  <si>
    <t>The camera then pans down.</t>
  </si>
  <si>
    <t>v_Kq8g8jjodvc</t>
  </si>
  <si>
    <t>A weight lifter opens his mouth wide.</t>
  </si>
  <si>
    <t>He lifts a giant barbell with all his might.</t>
  </si>
  <si>
    <t>He lifts it to his chest, then over his head.</t>
  </si>
  <si>
    <t>v_B0sXYJeZ8Xk</t>
  </si>
  <si>
    <t>A woman is seen standing in a yard with a lawn mower in front of her.</t>
  </si>
  <si>
    <t>The girl then pushes the lawn mower along the yard.</t>
  </si>
  <si>
    <t>The camera moves in closer of the woman still pushing the mower and speaking to the camera.</t>
  </si>
  <si>
    <t>v_aRZd3O6-PKw</t>
  </si>
  <si>
    <t>A man is standing outside under a tent hitting a pinata with a stick.</t>
  </si>
  <si>
    <t>After about three strings,he moves and gives the stick to a young girl with a grey and black dress on.</t>
  </si>
  <si>
    <t>Once she has the stick,she is hitting in the wrong direction and then is redirected towards the pinata and still ends up missing it.</t>
  </si>
  <si>
    <t>v_2R_TVXvocQs</t>
  </si>
  <si>
    <t>a man and a woman are dancing doing a zumba choreogaphy in the middle of stage.</t>
  </si>
  <si>
    <t>man wearing a grey shirts approach to stage and keeps dancing.</t>
  </si>
  <si>
    <t>woman wearing a pink shirt is in the background holding a white cellphone and taking pictures.</t>
  </si>
  <si>
    <t>v_W_5Mx-mfNmU</t>
  </si>
  <si>
    <t>A couple wheels a small wagon and cooler in a park area.</t>
  </si>
  <si>
    <t>Sticks are collected then a ring of stones is construct with the sticks stacked together with twigs inside.</t>
  </si>
  <si>
    <t>The bundle of woods is lit on fire and more sticks are added to keep it going.</t>
  </si>
  <si>
    <t>The man sits down in a lawn chair and enjoys the day.</t>
  </si>
  <si>
    <t>The man screws a nozzle onto a propane tank and fuels the fire with it.</t>
  </si>
  <si>
    <t>The fire is put out with a bucket of water and covered in earth.</t>
  </si>
  <si>
    <t>v__LAABOgXU1s</t>
  </si>
  <si>
    <t>A man is taking a tire off a hub with a tool.</t>
  </si>
  <si>
    <t>He then puts the tire on top of the tool to finish taking it off.</t>
  </si>
  <si>
    <t>v_f4k-dKaEZog</t>
  </si>
  <si>
    <t>A team of players run on a field.</t>
  </si>
  <si>
    <t>They are holding some sort of rackets.</t>
  </si>
  <si>
    <t>The swing them at each other.</t>
  </si>
  <si>
    <t>Some players run past a yellow line.</t>
  </si>
  <si>
    <t>v_ral5Oaib_vk</t>
  </si>
  <si>
    <t>Opening credits show the upcoming activities.</t>
  </si>
  <si>
    <t>A man in plaid is standing at a microphone acknowledging the crowd.</t>
  </si>
  <si>
    <t>He begins playing the harmonica.</t>
  </si>
  <si>
    <t>The man stops playing and dances in place.</t>
  </si>
  <si>
    <t>The man continues to play his harmonica.</t>
  </si>
  <si>
    <t>The man stop splaying and thanks the crowd as the closing credits appear.</t>
  </si>
  <si>
    <t>v_sR0hZeYm06I</t>
  </si>
  <si>
    <t>There's a little boy dressed in a red shirt and blue jeans seated on a black leather recliner.</t>
  </si>
  <si>
    <t>He is sitting with his hands stretched out.</t>
  </si>
  <si>
    <t>A man standing next to him with a small stick is tickling the boy's hand with the stick.</t>
  </si>
  <si>
    <t>The boy seems to like it and asks him to do it on his other hand too.</t>
  </si>
  <si>
    <t>The man tickles the little boy's other hand too.</t>
  </si>
  <si>
    <t>The boy smiles and asks for more.</t>
  </si>
  <si>
    <t>v_mWOa-0w0Bls</t>
  </si>
  <si>
    <t>A camera pans around grass and leads to a fence.</t>
  </si>
  <si>
    <t>The camera pans all around the fence with flowers on the side.</t>
  </si>
  <si>
    <t>The camera continues to pan around the fence and the different colors.</t>
  </si>
  <si>
    <t>v_NLkJgnrKaKM</t>
  </si>
  <si>
    <t>A man takes a hookah and exhales smoke rings.</t>
  </si>
  <si>
    <t>He inhales and does it again.</t>
  </si>
  <si>
    <t>v_5fMtHNSIOAE</t>
  </si>
  <si>
    <t>Eight middle aged white men are on one of a rope attempting to win a game of tug-of-war outside in a field at what looks to be a tournament.</t>
  </si>
  <si>
    <t>As the game begins,the men all fall into a slanted position as they struggle to pull the rope.</t>
  </si>
  <si>
    <t>Suddenly, a man from the sides begins to talk to the man in the front and gets in his face as if he's giving him a pep talk to stay strong,win,and not let the other team get the best of him.</t>
  </si>
  <si>
    <t>The game continues and you can see that the team is being drug but they suddenly gain strength and pull the rope back to their side,then they all stand up as the game is finished.</t>
  </si>
  <si>
    <t>v_2I9xymLVssI</t>
  </si>
  <si>
    <t>Two people get into an truck.</t>
  </si>
  <si>
    <t>They drive onto the street.</t>
  </si>
  <si>
    <t>A man carrying a ladder sets it against a house.</t>
  </si>
  <si>
    <t>The woman watches the man.</t>
  </si>
  <si>
    <t>The man looks at the roof of the house on the ladder.</t>
  </si>
  <si>
    <t>He shows her something and she holds it in her hand.</t>
  </si>
  <si>
    <t>A man talks in front of a house.</t>
  </si>
  <si>
    <t>A man climbs a ladder and looks at a roof.</t>
  </si>
  <si>
    <t>A man goes through a stack of papers.</t>
  </si>
  <si>
    <t>It shows the papers on the screen.</t>
  </si>
  <si>
    <t>v_xYM6h31PrM0</t>
  </si>
  <si>
    <t>A gymnast is seen standing before a beam raising her arms up and others watching on the side.</t>
  </si>
  <si>
    <t>The woman then performs a gymnasts routine in front of a large group of people.</t>
  </si>
  <si>
    <t>She falls off at one point and jumps back on to finish her routine and ends by jumping off the side.</t>
  </si>
  <si>
    <t>v_qsTCTQo-wI8</t>
  </si>
  <si>
    <t>A man is explaining how to play the drums on bongos.</t>
  </si>
  <si>
    <t>He demonstrates how he alternates between three bongos.</t>
  </si>
  <si>
    <t>He later switches to a much slower beat and rhythm by drumming on the bongos.</t>
  </si>
  <si>
    <t>He explains how the beats on the drum changes as the rhythm changes.</t>
  </si>
  <si>
    <t>He then switches back to a faster beat and rhythm on the drums by alternating between two drums.</t>
  </si>
  <si>
    <t>v_8lw8uAimUXI</t>
  </si>
  <si>
    <t>A woman stands at the end of a diving board.</t>
  </si>
  <si>
    <t>She lightly bounces up and down.</t>
  </si>
  <si>
    <t>She then does a backflip into the water.</t>
  </si>
  <si>
    <t>v_2IRQ5fPwHV8</t>
  </si>
  <si>
    <t>A group of women are gathered in a room, then go to the beach.</t>
  </si>
  <si>
    <t>A woman photographs the others under the pier.</t>
  </si>
  <si>
    <t>They talk to the camera between shoots.</t>
  </si>
  <si>
    <t>v_Fg_VZJAtByk</t>
  </si>
  <si>
    <t>A man takes a moment to himself before he starts playing the guitar.</t>
  </si>
  <si>
    <t>The man plays the guitar.</t>
  </si>
  <si>
    <t>The man quits playing the guitar.</t>
  </si>
  <si>
    <t>v_hiEVVSgAhls</t>
  </si>
  <si>
    <t>Two people are playing a game of ping pong.</t>
  </si>
  <si>
    <t>People are playing basketball behind them.</t>
  </si>
  <si>
    <t>The man grabs the ball again and serves it across the table.</t>
  </si>
  <si>
    <t>The man is holding a phone and taking a picture with the girl.</t>
  </si>
  <si>
    <t>v_B0rorWq-j44</t>
  </si>
  <si>
    <t>An elderly lady in a neck brace yells at the camera in a grocery store.</t>
  </si>
  <si>
    <t>The lady vacuums the floor in the store.</t>
  </si>
  <si>
    <t>The lady dances to the music and pretends to play a guitar.</t>
  </si>
  <si>
    <t>The lady takes off her sunglasses and talks to the camera.</t>
  </si>
  <si>
    <t>We end seeing her standing in an aisle.</t>
  </si>
  <si>
    <t>v_4A49mkP6HsM</t>
  </si>
  <si>
    <t>There is a group of Korean Pop singers performing on a stage.</t>
  </si>
  <si>
    <t>One of the singers is playing the violin while the audience cheers and claps for him.</t>
  </si>
  <si>
    <t>Then another singer grabs the mic and talks to the audience.</t>
  </si>
  <si>
    <t>The audience applaud and smile as they watch.</t>
  </si>
  <si>
    <t>The performer sings as he plays the violin and then bows down in front of the audience.</t>
  </si>
  <si>
    <t>The crowd cheers and claps for him.</t>
  </si>
  <si>
    <t>v_jBvGvVw3R-Q</t>
  </si>
  <si>
    <t>A man is standing in a gym preparing to lift a set of weights placed on a bar.</t>
  </si>
  <si>
    <t>Next the screen flashes to a younger male jerking and then drops the bar on the ground.</t>
  </si>
  <si>
    <t>Several more people are shown lifting weights and dropping them on the ground.</t>
  </si>
  <si>
    <t>The man begins to dance as he lifts and drops the bar and the continuation of weightlifting is repeated.</t>
  </si>
  <si>
    <t>After,the men continue walking around the gym eating a protein bar.</t>
  </si>
  <si>
    <t>v_HsklqPvsMEQ</t>
  </si>
  <si>
    <t>A person is seen aiming a paintball gun off into the distance in a large field.</t>
  </si>
  <si>
    <t>Many people watch on the side as the man aims.</t>
  </si>
  <si>
    <t>Suddenly another person comes into frame and plays with the man.</t>
  </si>
  <si>
    <t>v_N3rFdrfE3q8</t>
  </si>
  <si>
    <t>A boy picks up a rake off the ground and carries it.</t>
  </si>
  <si>
    <t>A man goes down a slide wearing a blue helmet.</t>
  </si>
  <si>
    <t>He falls onto the ground after going down the slide.</t>
  </si>
  <si>
    <t>v_gzyu1S2LNIw</t>
  </si>
  <si>
    <t>A small group of girls are seen standing ready holding flags and lead into them performing a routine.</t>
  </si>
  <si>
    <t>A man sits in front of them playing an instrument while they continue spinning and many on the sides watch.</t>
  </si>
  <si>
    <t>v_jgNeMnPVfkQ</t>
  </si>
  <si>
    <t>A player on the orange team skates with the puck until he is tripped up and falls.</t>
  </si>
  <si>
    <t>Player 18 on the grey team retrieves the puck and makes a break down the ice perused by defenders.</t>
  </si>
  <si>
    <t>Player 18 takes a shot on the goal.</t>
  </si>
  <si>
    <t>The goalie on the orange team blocks the shot and puts the puck back into play.</t>
  </si>
  <si>
    <t>Player 4 on the orange team takes the puck down the ice passing once to himself passed defenders.</t>
  </si>
  <si>
    <t>Player 4 takes a shot on the goal and scores.</t>
  </si>
  <si>
    <t>Player 4 and teammates celebrate and the win and skate off the ice.</t>
  </si>
  <si>
    <t>v_9WDvq8LXrxU</t>
  </si>
  <si>
    <t>A seated man cleans a shoe in a classroom setting with other individuals.</t>
  </si>
  <si>
    <t>The man turns to the camera and smiles.</t>
  </si>
  <si>
    <t>The man laughs as he holds the shoe downwards.</t>
  </si>
  <si>
    <t>v_jzGsvw5Douk</t>
  </si>
  <si>
    <t>We see rafts and people in a building.</t>
  </si>
  <si>
    <t>People board a bus and exit at a water park.</t>
  </si>
  <si>
    <t>People grab rafts,and people on rafts fill a river.</t>
  </si>
  <si>
    <t>We see an artificial waterfall and people sliding through it.</t>
  </si>
  <si>
    <t>A person falls out of their raft.</t>
  </si>
  <si>
    <t>A man holding a selfie stick is riding a raft.</t>
  </si>
  <si>
    <t>Another man holding a selfie stick.</t>
  </si>
  <si>
    <t>We see the phone number and credits for the video.</t>
  </si>
  <si>
    <t>v_c9bvuUO9Q0Q</t>
  </si>
  <si>
    <t>A small group of people are seen standing outside with one being blindfolded and holding a bat.</t>
  </si>
  <si>
    <t>A person then pulls up a pinata and begins swinging at the object.</t>
  </si>
  <si>
    <t>The boy moves his hands around and continues to swing at the object.</t>
  </si>
  <si>
    <t>v_uqiooW1OAXU</t>
  </si>
  <si>
    <t>People gather in a tour facility in the dessert.</t>
  </si>
  <si>
    <t>Then, people rides camels pulled by men.</t>
  </si>
  <si>
    <t>The caravan advance in the desert, while the camels walk in line.</t>
  </si>
  <si>
    <t>A white car parks behind the camels.</t>
  </si>
  <si>
    <t>Then, the man makes kneel the camels and people get down the camels.</t>
  </si>
  <si>
    <t>After, a group of tourists rides camels and pass on front the tour facility.</t>
  </si>
  <si>
    <t>v_ABmZdlZEZOY</t>
  </si>
  <si>
    <t>An intro leads into several shots of divers moving around the ocean and passing various fish and items under water.</t>
  </si>
  <si>
    <t>The diver comes above the water holding a tank and spins around while the camera follows.</t>
  </si>
  <si>
    <t>v_Y34oqcxYmWc</t>
  </si>
  <si>
    <t>A man and a woman are dancing on a dance floor in front of a crowd of people.</t>
  </si>
  <si>
    <t>The crowd applauds for them.</t>
  </si>
  <si>
    <t>The couple hugs and bows for the crowd.</t>
  </si>
  <si>
    <t>v_p1yiPvIkRec</t>
  </si>
  <si>
    <t>A person is seen sitting on a bench holding a rubix cube.</t>
  </si>
  <si>
    <t>The person then begins moving their hands around the solve the cube.</t>
  </si>
  <si>
    <t>The person solves the cube then turns the camera off.</t>
  </si>
  <si>
    <t>v_HGtfDm5EOtc</t>
  </si>
  <si>
    <t>Two men are seen swinging their arms and legs around one another while a group of people stand around and watch them.</t>
  </si>
  <si>
    <t>The men continue spinning around wile people clap and end with them shaking each other's hands.</t>
  </si>
  <si>
    <t>v_n--fgqwuTTI</t>
  </si>
  <si>
    <t>A person is putting something on a chain of a bike.</t>
  </si>
  <si>
    <t>They use a blue tool to take the chain apart.</t>
  </si>
  <si>
    <t>They put it back together using a tool.</t>
  </si>
  <si>
    <t>v_fRmHJKlQmmw</t>
  </si>
  <si>
    <t>A man is doing a gymnastic routine on a balance beam.</t>
  </si>
  <si>
    <t>He jumps off the beam onto a mat.</t>
  </si>
  <si>
    <t>Another man jumps onto a balance beam and does a routine.</t>
  </si>
  <si>
    <t>v_EP9Ul7UdzYI</t>
  </si>
  <si>
    <t>Several men dressed for the cold are waiting in a room outside the snow.</t>
  </si>
  <si>
    <t>They go outside, prepared to ski.</t>
  </si>
  <si>
    <t>They begin skiing, going down a steep hill, moving side to side and angling through the snow covered trees.</t>
  </si>
  <si>
    <t>v_ksk7okDk_wY</t>
  </si>
  <si>
    <t>A group of people are on an outdoor court on the beach.</t>
  </si>
  <si>
    <t>They are playing a game of volleyball.</t>
  </si>
  <si>
    <t>They kick and hit the ball back and forth, celebrating when they win as the crowd claps and cheers.</t>
  </si>
  <si>
    <t>v_mdXSm8Yr6aU</t>
  </si>
  <si>
    <t>A little girl is on a swing set next to her baby brother.</t>
  </si>
  <si>
    <t>They are being pushed as they swing back and forth.</t>
  </si>
  <si>
    <t>v_FxGXQIH3-RQ</t>
  </si>
  <si>
    <t>People walk around cars and tents and sit in chairs in the background doing different things.</t>
  </si>
  <si>
    <t>A man and a dog are in the middle of a field preparing to play frisbee.</t>
  </si>
  <si>
    <t>The man throws a frisbee and the dog runs, catches it and brings it back.</t>
  </si>
  <si>
    <t>The dog is very excited preparing for his next trick.</t>
  </si>
  <si>
    <t>The man kneels down and throws frisbees for the dog as he rolls, flips and walks around.</t>
  </si>
  <si>
    <t>A second man joins the first man on the field and they both raise an arm and then turn to walk away together.</t>
  </si>
  <si>
    <t>v_6_NquDQUFm0</t>
  </si>
  <si>
    <t>A woman is seen running back and fourth on a small track and leads into her putting a helmet on.</t>
  </si>
  <si>
    <t>She grabs a pole and runs down the track jumping over a bar and onto a mat.</t>
  </si>
  <si>
    <t>She jumps up and walks over to a group of people keeping her score.</t>
  </si>
  <si>
    <t>v_c1eUdyyT4zg</t>
  </si>
  <si>
    <t>kids are driving bumper cars in an amusement park.</t>
  </si>
  <si>
    <t>parents are sitting on bumper cars with his children.</t>
  </si>
  <si>
    <t>man wearing a yellow vest is sitting on the background.</t>
  </si>
  <si>
    <t>v_ffGPrFNbQkA</t>
  </si>
  <si>
    <t>A large group of people are seen wearing protective hear and wandering around an area speaking to one another.</t>
  </si>
  <si>
    <t>Another person runs in and speaks to the others while holding a gun and others aiming over the sides.</t>
  </si>
  <si>
    <t>A woman grabs a toy giraffe while others react and others watch in the distance.</t>
  </si>
  <si>
    <t>v_PBxI7l0AqAY</t>
  </si>
  <si>
    <t>A man is speaking about how things works while a woman works on a horse.</t>
  </si>
  <si>
    <t>As he speaks he washes his hands with some hand sanitizer.</t>
  </si>
  <si>
    <t>Then he gets soap and starts to wash his hands very throughly.</t>
  </si>
  <si>
    <t>He grabs a napkin and dries his hands off still continuing to speak.</t>
  </si>
  <si>
    <t>v_j5D5FR6Xtps</t>
  </si>
  <si>
    <t>A person is seen holding a woman's long hair as well as a brush in his hands.</t>
  </si>
  <si>
    <t>The man continues playing with the hair and leads into him brushing the hair and braiding it.</t>
  </si>
  <si>
    <t>v_Wir90-9HmAI</t>
  </si>
  <si>
    <t>Two people are seen sitting at a table speaking with cups of coffees on the table in front of them.</t>
  </si>
  <si>
    <t>The man is then seen sitting alone in various locations and then begins dancing on a wall.</t>
  </si>
  <si>
    <t>He then is shown waking up in his bed assuming it was all a dream.</t>
  </si>
  <si>
    <t>v_UyORfPxpaGo</t>
  </si>
  <si>
    <t>A boy sitting on a bunk bed.</t>
  </si>
  <si>
    <t>Another boy approaches as he wraps his legs around his neck.</t>
  </si>
  <si>
    <t>The second boy spins him around and slams him to the ground.</t>
  </si>
  <si>
    <t>v_M6xFXdXOzzc</t>
  </si>
  <si>
    <t>There are 4 people who are all playing badminton and the boy in the white shirt is the first one to serve to the man in the black shirt.</t>
  </si>
  <si>
    <t>Then the man wearing the black shirt serves to the boy whose wearing the gold shirt.</t>
  </si>
  <si>
    <t>Then the boy who's wearing the white shirt hits the shuttlecock and serves to the girl who's wearing the pink shirt and the game goes on and everyone keeps serving to each other and they all use different shuttlecocks.</t>
  </si>
  <si>
    <t>v_G4XDVF_hYZc</t>
  </si>
  <si>
    <t>A boy is sitting at a table fiddling with a Rubik's cube and then places it on the table.</t>
  </si>
  <si>
    <t>The boy then picks it up and begins competing with four other males to solve it.</t>
  </si>
  <si>
    <t>Once solved,the boy slams his arms against a black bar that stops the timer and the judge times him at 20 seconds.</t>
  </si>
  <si>
    <t>v_ptukoEe5jvI</t>
  </si>
  <si>
    <t>A group of beach goers play a game of volley ball on a busy beach wearing swimsuits.</t>
  </si>
  <si>
    <t>A woman dances after making a serve and hugs her friend.</t>
  </si>
  <si>
    <t>A player scores a point and gives teammate a high five.</t>
  </si>
  <si>
    <t>Beach goers are seen playing in the water.</t>
  </si>
  <si>
    <t>v_HpQrpwNgCjc</t>
  </si>
  <si>
    <t>A close up of a high dive is shown followed by people walking up the steps.</t>
  </si>
  <si>
    <t>Suddenly a person is seen jumping off of the high dive and into the pool.</t>
  </si>
  <si>
    <t>v_j_q_MOjw80Q</t>
  </si>
  <si>
    <t>A close up of ingredients are shown followed by a man licking the spoon and mixing ingredients into a pot.</t>
  </si>
  <si>
    <t>He mixes more ingredients in a blender and squishes them all into balls to put in the oven.</t>
  </si>
  <si>
    <t>He takes them out and finishes by decorating them.</t>
  </si>
  <si>
    <t>v_bxRZ-Lvjgzk</t>
  </si>
  <si>
    <t>An intro leads into A close up of a painting and a paintbrush swirling around and around.</t>
  </si>
  <si>
    <t>The hand holding the brush begins painting grass into the painting slowly down the picture.</t>
  </si>
  <si>
    <t>v_F7V-FqgG3T8</t>
  </si>
  <si>
    <t>Two men are standing in a room playing a game of tennis.</t>
  </si>
  <si>
    <t>Behind the man,there is a row of kids sitting against the wall where a row of kids are watching them play.</t>
  </si>
  <si>
    <t>The game continues,the child holds his own until the adult ends up hitting it and the kid is not able to return the ball.</t>
  </si>
  <si>
    <t>v_5R3h6lxne90</t>
  </si>
  <si>
    <t>There are two news anchors, a lady and a gentleman both dressed in black presenting a news section.</t>
  </si>
  <si>
    <t>The lady is holding two small cards in her hands as she talks about the product to the viewers.</t>
  </si>
  <si>
    <t>There is another lady seated on a table along with two other women, demonstrating how to wear colored lenses in eyes.</t>
  </si>
  <si>
    <t>They are talking and discussing about the lenses and how it works.</t>
  </si>
  <si>
    <t>There's a commercial shown where the same lenses are worn by several people to show how it can be used.</t>
  </si>
  <si>
    <t>a doctor in a lab coat talks about the lenses too, while people are showing how to use them.</t>
  </si>
  <si>
    <t>Another news anchor also talks about the same lenses and how it has become a dangerous trend among teenagers.</t>
  </si>
  <si>
    <t>The lady news anchor comes back with the male news anchor to continue the program.</t>
  </si>
  <si>
    <t>v_0lzqfDIWXtw</t>
  </si>
  <si>
    <t>Several players are shown on an ice rink.</t>
  </si>
  <si>
    <t>They are engaged in different games of curling.</t>
  </si>
  <si>
    <t>They use their bats to move the puck, high fiving when they are done.</t>
  </si>
  <si>
    <t>v_BC0cgv8YgTg</t>
  </si>
  <si>
    <t>A cartoon network show is played.</t>
  </si>
  <si>
    <t>A blue character chops a block but fails several times.</t>
  </si>
  <si>
    <t>v_lVMMPkvnid8</t>
  </si>
  <si>
    <t>Team of Bolivian bowlers get ready to start bowling by practicing a technique taught by Jason Belmont by putting two fingers in the holes and using two hands to spin the ball.</t>
  </si>
  <si>
    <t>The young amateur players begin to bowl using the two handed technique.</t>
  </si>
  <si>
    <t>The president of the Bowling Federation Marcelo Garafulic is introduced.</t>
  </si>
  <si>
    <t>The announcer begins explaining how the team of Bolivian bowlers are training and more practice is shown.</t>
  </si>
  <si>
    <t>Garafulic starts to explain clinics and the medals they have won breaking perfect games.</t>
  </si>
  <si>
    <t>The bowlers are shown practicing once again.</t>
  </si>
  <si>
    <t>v_8GqAgX-kseE</t>
  </si>
  <si>
    <t>A boy is barefoot, pushing a lawn mower in his yard.</t>
  </si>
  <si>
    <t>A little girl runs by as he mows.</t>
  </si>
  <si>
    <t>v_uaGy1W-EYWU</t>
  </si>
  <si>
    <t>A man is in a room with a crowd of people watching him as he prepares to perform.</t>
  </si>
  <si>
    <t>The male stands up right and puts a blue plastic chair between his legs and starts spinning around his head.</t>
  </si>
  <si>
    <t>Once he is done,another person comes up and he begins spinning around on his head as a colorful hula hoop begins spinning around his waist.</t>
  </si>
  <si>
    <t>He completes his performance and the crowd jumps up and congratulates the man.</t>
  </si>
  <si>
    <t>v_gaILpaBa7M8</t>
  </si>
  <si>
    <t>A electric machine is attached to the end of a ping pong table and is moving with the motion senses of a person's hand.</t>
  </si>
  <si>
    <t>After,several balls are then thrown towards the paddle and returned by the machine.</t>
  </si>
  <si>
    <t>The person then walks across the table and begins hitting the balls faster and the machine speeds up to hit the ball.</t>
  </si>
  <si>
    <t>v_pF8jt67vTDY</t>
  </si>
  <si>
    <t>Adults are playing a game of volley ball on a court.</t>
  </si>
  <si>
    <t>v_FV2TzKt9MdI</t>
  </si>
  <si>
    <t>People are working out on spin bikes.</t>
  </si>
  <si>
    <t>A woman in a yellow tank top talks to the camera.</t>
  </si>
  <si>
    <t>A woman in a green tank top talks to the camera.</t>
  </si>
  <si>
    <t>v_ZZVrH3Hv1fM</t>
  </si>
  <si>
    <t>A woman is seen walking into frame and speaking to the camera while holding various objects in her hands.</t>
  </si>
  <si>
    <t>She continues to pull out more objects while still speaking to the camera.</t>
  </si>
  <si>
    <t>v_IwSUfrzxFnU</t>
  </si>
  <si>
    <t>Two boys walk down a sidewalk near a pool.</t>
  </si>
  <si>
    <t>There are lots of people doing different things in and around the pool.</t>
  </si>
  <si>
    <t>Some boys jump off of the diving boards doing flips and other tricks.</t>
  </si>
  <si>
    <t>v_AonniE_CsPY</t>
  </si>
  <si>
    <t>People have their hands on a casino table.</t>
  </si>
  <si>
    <t>v_iazhs1cz_1Q</t>
  </si>
  <si>
    <t>A woman is sitting behind a piano.</t>
  </si>
  <si>
    <t>A child is sitting behind a keyboard playing it.</t>
  </si>
  <si>
    <t>Pictures of pianos are shown at the end.</t>
  </si>
  <si>
    <t>v_qcA3mFHfo84</t>
  </si>
  <si>
    <t>A girl is shown several times running on a track.</t>
  </si>
  <si>
    <t>She uses a pole to vault over a bar.</t>
  </si>
  <si>
    <t>She lands on a mat on the other side.</t>
  </si>
  <si>
    <t>v_-FbWTFJ3kV0</t>
  </si>
  <si>
    <t>A boat that has a blue sail with two people is sailing in a body of water.</t>
  </si>
  <si>
    <t>The person at the front of the boat is leaning off to the side and is seemingly hitting the water.</t>
  </si>
  <si>
    <t>The water starts to become more and more choppy.</t>
  </si>
  <si>
    <t>The boat makes a turn to the right.</t>
  </si>
  <si>
    <t>The boat begins to head to the shore.</t>
  </si>
  <si>
    <t>v_rbnlUn4UNSk</t>
  </si>
  <si>
    <t>We see two people under water in a pool.</t>
  </si>
  <si>
    <t>The people exchange one flipper.</t>
  </si>
  <si>
    <t>The men start to share a breather.</t>
  </si>
  <si>
    <t>The exchange their other flippers.</t>
  </si>
  <si>
    <t>The men change their air equipment.</t>
  </si>
  <si>
    <t>The right man is unable to find the arm hole.</t>
  </si>
  <si>
    <t>v_rse-MW1helQ</t>
  </si>
  <si>
    <t>First the people are shown swimming backwards.</t>
  </si>
  <si>
    <t>Then they are shown playing volleyball in the water.</t>
  </si>
  <si>
    <t>v_bru03d1k6DY</t>
  </si>
  <si>
    <t>A woman is talking in front of an image of two deer on a plain.</t>
  </si>
  <si>
    <t>We thensee a man talking as they drill holes in the ice.</t>
  </si>
  <si>
    <t>Some booth serve hot dogs to the people as they ice fish.</t>
  </si>
  <si>
    <t>A little boy and girl attempt to catch a fish.</t>
  </si>
  <si>
    <t>They are interviewed as they fish.</t>
  </si>
  <si>
    <t>v_sjHCZWdopsQ</t>
  </si>
  <si>
    <t>The fingers are pressing the black keys.</t>
  </si>
  <si>
    <t>One finger is pressing one key.</t>
  </si>
  <si>
    <t>The fingers are moving to different keys and pressing them.</t>
  </si>
  <si>
    <t>v_B8WIh6PUjE0</t>
  </si>
  <si>
    <t>A woman is seen speaking to the camera using her hands and leads into her kneeling down dumping a bucket.</t>
  </si>
  <si>
    <t>She then uses a rake to rub it all the dirt around the tree while still stopping to speak to the camera.</t>
  </si>
  <si>
    <t>v_TsPh4-BsCYk</t>
  </si>
  <si>
    <t>A woman is shown holding a shot put and talking to the camera while standing in a large gym.</t>
  </si>
  <si>
    <t>She demonstrates how to properly throw the tool and performs several throws to show how it's one correctly.</t>
  </si>
  <si>
    <t>v_Zi2Pah5-BXI</t>
  </si>
  <si>
    <t>The exterior a store is seen from the parking lot.</t>
  </si>
  <si>
    <t>A man sits on a wooden bench up against a window with trophies.</t>
  </si>
  <si>
    <t>The man talks while a seated with a tattoo artist working on his shoulder.</t>
  </si>
  <si>
    <t>The tattoo artist wipes the area that he is working on and continues drawing.</t>
  </si>
  <si>
    <t>The tattoo artist turns off the light and stops his work.</t>
  </si>
  <si>
    <t>The man stands up and shows off his tattoo.</t>
  </si>
  <si>
    <t>v_6LADh__9LUI</t>
  </si>
  <si>
    <t>men are on sides of a car polishing a blue car in a hand car wash.</t>
  </si>
  <si>
    <t>blue car is inside a blue car wash and men are polishing it.</t>
  </si>
  <si>
    <t>men are holding clothes on them hands cleaning the car.</t>
  </si>
  <si>
    <t>v_uyBGDfYo0qE</t>
  </si>
  <si>
    <t>A person is vacuuming in a hallway.</t>
  </si>
  <si>
    <t>A toddler in pajamas runs past frantically, running into other rooms and jumping excitedly because he wants to be picked up.</t>
  </si>
  <si>
    <t>He is angry when his mother goes into the bathroom with the vacuum.</t>
  </si>
  <si>
    <t>The woman gives the boy the vacuum, and he vacuums the floors.</t>
  </si>
  <si>
    <t>v_FpxVS1Xpl1U</t>
  </si>
  <si>
    <t>people are sitting in chairs in pool.</t>
  </si>
  <si>
    <t>man and woman are talking and presenting the man that walks by the pool.</t>
  </si>
  <si>
    <t>man is weightlifting and doing a big jump from a trampoline and talking to the camera.</t>
  </si>
  <si>
    <t>a big platfom is shown and a man is being interviewed by a woman in top of trampoline.</t>
  </si>
  <si>
    <t>woman in audience is screaming and throwing kisses.</t>
  </si>
  <si>
    <t>man is on the 10 m trampoline and make a hand stand to make the jump to the pool.</t>
  </si>
  <si>
    <t>woman is impressed siting by the pool and have her hands on her face.</t>
  </si>
  <si>
    <t>presentator is interviewing the man.</t>
  </si>
  <si>
    <t>v_dcclQadR-L0</t>
  </si>
  <si>
    <t>A group of people are riding on horses on a field.</t>
  </si>
  <si>
    <t>They start a game of polo.</t>
  </si>
  <si>
    <t>They race their horses, trying to get the ball.</t>
  </si>
  <si>
    <t>v_r0P0egQt-jU</t>
  </si>
  <si>
    <t>Women are standing on the sand watching while some other women surf.</t>
  </si>
  <si>
    <t>A few of them are out there in the ocean riding on the waves enjoying the ride.</t>
  </si>
  <si>
    <t>One of them only has one arm and she surfs so well, its amazing.</t>
  </si>
  <si>
    <t>They carry her over and then 4 girls stand while they get gifts for their performance and the one handed girl gets to talk about it.</t>
  </si>
  <si>
    <t>v_KrHpGJBzjJk</t>
  </si>
  <si>
    <t>A woman in a dark room plays the drums with his hand.</t>
  </si>
  <si>
    <t>The camera tilts on it's side then goes back upright.</t>
  </si>
  <si>
    <t>We see the room around the lady.</t>
  </si>
  <si>
    <t>v_ORI5ZNZARw8</t>
  </si>
  <si>
    <t>A woman is seen sitting on a piece of exercise equipment looking forward.</t>
  </si>
  <si>
    <t>She then grabs the lever in front and begins pulling herself.</t>
  </si>
  <si>
    <t>The girl then pulls herself back and fourth on the machine while the camera captures her movements.</t>
  </si>
  <si>
    <t>v_w--HmpjK-s8</t>
  </si>
  <si>
    <t>A man with dreads is talking and getting his instruments together to make some music.</t>
  </si>
  <si>
    <t>he is jamming out in the car very happily.</t>
  </si>
  <si>
    <t>There is a lot of traffic and and ambulence driving by too.</t>
  </si>
  <si>
    <t>He records all of the music on a laptop.</t>
  </si>
  <si>
    <t>v_XtqTatsTGNY</t>
  </si>
  <si>
    <t>The boy stands at the bottom of a small staircase and then he walks up to slide down the blue slide.</t>
  </si>
  <si>
    <t>When he's done sliding down he runs away and tries to go out the gate.</t>
  </si>
  <si>
    <t>v_1stYB5_yR5k</t>
  </si>
  <si>
    <t>man is talking to the camera cleaning a wooden shed and start painting it.</t>
  </si>
  <si>
    <t>the man mix the paint and with a brush varnish all the shed.</t>
  </si>
  <si>
    <t>at the end the man talks to the camera and shows the materials list.</t>
  </si>
  <si>
    <t>v_HUzoMRdSrZo</t>
  </si>
  <si>
    <t>We see a city scene at night.</t>
  </si>
  <si>
    <t>We see people playing soccer outdoors at night.</t>
  </si>
  <si>
    <t>A man falls on the ground.</t>
  </si>
  <si>
    <t>We see a man shifting the ball with his feet.</t>
  </si>
  <si>
    <t>We see two men high five each other.</t>
  </si>
  <si>
    <t>We see the closing tile screen.</t>
  </si>
  <si>
    <t>v_Y9EIH-A_ePo</t>
  </si>
  <si>
    <t>Two girls are outside in a yard.</t>
  </si>
  <si>
    <t>They are bouncing and throwing a ball to each other.</t>
  </si>
  <si>
    <t>They chase each other with the ball playfully.</t>
  </si>
  <si>
    <t>They run up to the camera and talk for a while.</t>
  </si>
  <si>
    <t>v_E7rhlhVA0SY</t>
  </si>
  <si>
    <t>We see a Gelato store outside.</t>
  </si>
  <si>
    <t>We see a title screen for a cake.</t>
  </si>
  <si>
    <t>We then see a lady cooking.</t>
  </si>
  <si>
    <t>The lady puts gelato in a bowl.</t>
  </si>
  <si>
    <t>The lady puts rice crispies on it.</t>
  </si>
  <si>
    <t>The lady puts a dome in a chocolate dome and puts a crispies circle on it.</t>
  </si>
  <si>
    <t>The lady puts holes in a chocolate dome.</t>
  </si>
  <si>
    <t>The lady sprays the domes.</t>
  </si>
  <si>
    <t>The lady puts the red dome on top of a black one and put the dome with holes on top of it.</t>
  </si>
  <si>
    <t>The lady puts the cake in a display case.</t>
  </si>
  <si>
    <t>v_LaWCwEG6n3w</t>
  </si>
  <si>
    <t>A person is seen standing off in the distance with another standing around a hole.</t>
  </si>
  <si>
    <t>The person uses a fishing pole on the hole and attempts to pull out a fish.</t>
  </si>
  <si>
    <t>The person continues pulling while the other watches on the side.</t>
  </si>
  <si>
    <t>v_padyJHC5Y5Y</t>
  </si>
  <si>
    <t>A woman is seen brushing wet hair and rubbing lotion all throughout her hair.</t>
  </si>
  <si>
    <t>She then blow dries her hair and is seen again with her hair pinned up around the top.</t>
  </si>
  <si>
    <t>She blow dries the bottom of her hair and is then seen again with all of her hair pinned up.</t>
  </si>
  <si>
    <t>She undoes the pins to show off her new hair.</t>
  </si>
  <si>
    <t>v_w30TFlJiRKA</t>
  </si>
  <si>
    <t>A little boy plays piano in a home, then, he bends to the left and talks.</t>
  </si>
  <si>
    <t>After, the boy continues playing the piano, then he takes a rest.</t>
  </si>
  <si>
    <t>The boy change clothes and continues playing the piano.</t>
  </si>
  <si>
    <t>v_CsyHOM8ngZA</t>
  </si>
  <si>
    <t>A shaggy dog is getting a bath from a veterinarian.</t>
  </si>
  <si>
    <t>The veterinarian is blow drying the dog after washing it.</t>
  </si>
  <si>
    <t>A different vet is petting and brushing the dog.</t>
  </si>
  <si>
    <t>A video montage of the dog plays and then credits roll.</t>
  </si>
  <si>
    <t>v_I4_jFA46Uio</t>
  </si>
  <si>
    <t>A little girl is standing in front of a kitchen sink.</t>
  </si>
  <si>
    <t>She has a bowl and a knife in her hand.</t>
  </si>
  <si>
    <t>She is peeling potatoes with the knife.</t>
  </si>
  <si>
    <t>v_ufxyjYMKe7c</t>
  </si>
  <si>
    <t>Two boys in matching shirts sit on a sofa and talk with a candy toy in their hands as they hold the candy up to the camera, play with the candy toy buttons and talk.</t>
  </si>
  <si>
    <t>The two boys mock fight with the toy candy, which is shaped like a hand with retractable fingers, and the camera speeds up when they do this.</t>
  </si>
  <si>
    <t>The boys then switch toys and open the toy candy at which point they begin to eat the candy and talk while chewing.</t>
  </si>
  <si>
    <t>A closeup of the toy candy is then shown, with the candy lying on a maroon backdrop and posed.</t>
  </si>
  <si>
    <t>v_GiHxeCLGNy8</t>
  </si>
  <si>
    <t>A person is at a camp fire poking around at the wood.</t>
  </si>
  <si>
    <t>The camera moves over to a little boy as he is talking to the camera person.</t>
  </si>
  <si>
    <t>The camera person continues to narrate the situation as he records the fire.</t>
  </si>
  <si>
    <t>v_yL7tvoBkkkI</t>
  </si>
  <si>
    <t>Various people are seen from a bird's eye view working in rough conditions out in the open.</t>
  </si>
  <si>
    <t>They are scrubbing clothes and hanging them up while the camera pans around and watches.</t>
  </si>
  <si>
    <t>v_FXl3qRRs9jw</t>
  </si>
  <si>
    <t>People are walking next to a bull.</t>
  </si>
  <si>
    <t>There is a large group walking behind the bull.</t>
  </si>
  <si>
    <t>There is another bull and they start fighting.</t>
  </si>
  <si>
    <t>The crowd is rallying around the bulls.</t>
  </si>
  <si>
    <t>A man in a red shirt is talking into a microphone.</t>
  </si>
  <si>
    <t>A man is putting a black shirt on.</t>
  </si>
  <si>
    <t>v_fSVDG4h0lzM</t>
  </si>
  <si>
    <t>A middle age man is standing in the field preparing to hit a ball.</t>
  </si>
  <si>
    <t>Once the man hits the ball it is caught and the other teams jumps and cheers in excitement and there is replay.</t>
  </si>
  <si>
    <t>v_RI8IORq_BbY</t>
  </si>
  <si>
    <t>A man shows how to sharpen a knife with a machine.</t>
  </si>
  <si>
    <t>Then, he sharpens knives against each other.</t>
  </si>
  <si>
    <t>v_oezddremlnE</t>
  </si>
  <si>
    <t>A close up of a girl's hair is shown followed by a person braiding her hair.</t>
  </si>
  <si>
    <t>The person continues braiding the hair and the camera pans away from her face.</t>
  </si>
  <si>
    <t>v_9PFlQcBl_jU</t>
  </si>
  <si>
    <t>Several people are outside watching a about four men bullfighting with a cape.</t>
  </si>
  <si>
    <t>Once the bull is caught,they start to move it and they have difficulty because the crowd is on their back.</t>
  </si>
  <si>
    <t>Next,a shirtless man lays down on the dirt,gets trampled by the bull and jumps up happy about what just happened.</t>
  </si>
  <si>
    <t>Another bull comes along,runs over a person and the person remains on the ground and a crowd of people come running over to him laying a blanket across his body.</t>
  </si>
  <si>
    <t>v_p0-BGit7WAo</t>
  </si>
  <si>
    <t>A young boy is seen speaking with others while wrapping ballet shoes around him and walking past others.</t>
  </si>
  <si>
    <t>The man then steps into ballet class and interacts with the dancers and ends by drinking a beer.</t>
  </si>
  <si>
    <t>v_oQ_PwsBgozM</t>
  </si>
  <si>
    <t>a lady and a young girl are in room with a Christmas tree.</t>
  </si>
  <si>
    <t>The lights are turned on on the tree an the little girl dances in front of it.</t>
  </si>
  <si>
    <t>A young boy plays with and takes ornaments off the tree and shows them to the camera.</t>
  </si>
  <si>
    <t>The man take it and shows it to the camera then puts it back.</t>
  </si>
  <si>
    <t>v_YKLZAgdkFrk</t>
  </si>
  <si>
    <t>A girl is seen speaking to the camera on the floor.</t>
  </si>
  <si>
    <t>Another woman is seen sitting on a swingset looking to the camera.</t>
  </si>
  <si>
    <t>The woman swings back and fourth while looking down at her hand.</t>
  </si>
  <si>
    <t>v_ngwH6Zy5vb8</t>
  </si>
  <si>
    <t>A man in a suit is playing a piano.</t>
  </si>
  <si>
    <t>The audience stands up and claps for him.</t>
  </si>
  <si>
    <t>People are hugging and mingling on a stage.</t>
  </si>
  <si>
    <t>v_Fvc0-yNMFyE</t>
  </si>
  <si>
    <t>A small group of people are seen riding around on bumper cars while bumping into one another.</t>
  </si>
  <si>
    <t>The kids continue driving the cars around when a man walks in and out of frame making sure the kids and parents are safe.</t>
  </si>
  <si>
    <t>v_UojTppgtyCE</t>
  </si>
  <si>
    <t>An outdoor garden is seen and a man in tshirt stands in it holding a pair of sheers.</t>
  </si>
  <si>
    <t>Mellons are seen throughout the garden.</t>
  </si>
  <si>
    <t>The man points to the melons up against the wall and begins trimming them with his sheers throwing them to the side.</t>
  </si>
  <si>
    <t>The man walks over to the outer edge of the melon plants and picks up a large vine in one hand then trims off leafs with the other hand.</t>
  </si>
  <si>
    <t>The man does circular motions with his hands around his waste to demonstrate size.</t>
  </si>
  <si>
    <t>A garden website is seen.</t>
  </si>
  <si>
    <t>v_yjOriMHCSdw</t>
  </si>
  <si>
    <t>A painted construction paper piece sits on a table along with a suitcase of supplies.</t>
  </si>
  <si>
    <t>I person cuts up a piece of construction paper.</t>
  </si>
  <si>
    <t>Designs are drawn on the paper with markers.</t>
  </si>
  <si>
    <t>The construction paper is folded over an item and a piece of tape secures the construction paper in the middle.</t>
  </si>
  <si>
    <t>The corners are folded like a present and peices of tape are used to secure the folded ends of the package.</t>
  </si>
  <si>
    <t>A ribbon is slid under the package and tied in a bow.</t>
  </si>
  <si>
    <t>v_JiZCjH6ePq0</t>
  </si>
  <si>
    <t>A group of people are in a gym playing dodgeball.</t>
  </si>
  <si>
    <t>A logo appears on the screen.</t>
  </si>
  <si>
    <t>A man is talking to the camera while people play dodgeball behind him.</t>
  </si>
  <si>
    <t>The man and players demonstrate dodgeball techniques.</t>
  </si>
  <si>
    <t>Captions appear on the screen periodically that explain dodgeball.</t>
  </si>
  <si>
    <t>v_D5vmWDHQ86I</t>
  </si>
  <si>
    <t>There's a man in a green shirt talking and being interviewed by another man dressed in a black jacket and gray pants.</t>
  </si>
  <si>
    <t>They are seated on chairs in a large room with wooden floors.</t>
  </si>
  <si>
    <t>The entrance of the Valqueire Tennis club is shown.</t>
  </si>
  <si>
    <t>The ID card of the person being interviewed is also shown.</t>
  </si>
  <si>
    <t>The man in green continues talking about soccer to the interviewer.</t>
  </si>
  <si>
    <t>Brazil versus Venezuela soccer game is shown.</t>
  </si>
  <si>
    <t>The man in green talks about a newspaper article related to the soccer as clips from the soccer game are shown.</t>
  </si>
  <si>
    <t>v_pxt1-L_-H74</t>
  </si>
  <si>
    <t>Two people are seen standing next to one another speaking to the camera and leads into the two performing a dance routine with one another.</t>
  </si>
  <si>
    <t>The people continue dancing around on the side of a road and ends with them posing and laughing.</t>
  </si>
  <si>
    <t>v_eDm8bUVWxAM</t>
  </si>
  <si>
    <t>A man in a white shirt is talking.</t>
  </si>
  <si>
    <t>A bow and arrow is set up in the grass.</t>
  </si>
  <si>
    <t>A man shoots a bow and arrow while in the water.</t>
  </si>
  <si>
    <t>v_ienRkMdn_OM</t>
  </si>
  <si>
    <t>A hand is put into a brush and moves the hair to be piled up and vaccumed with the other hand.</t>
  </si>
  <si>
    <t>The middle section is done and the horse stands still while being cut down.</t>
  </si>
  <si>
    <t>Now,the middle is done and the person moves to the back of the horse until all of the horse's body is cut down.</t>
  </si>
  <si>
    <t>v_Ncfysce-svA</t>
  </si>
  <si>
    <t>A person plays an acoustic guitar while sitting on a beige sofa in jeans and a t-shirt.</t>
  </si>
  <si>
    <t>A room is shown with an acoustic guitar lying across a beige sofa and a stone art piece in front of the sofa with rocks in it.</t>
  </si>
  <si>
    <t>A person, face unseen, approaches the sofa and picks up the guitar.</t>
  </si>
  <si>
    <t>The person then sits down and plays the acoustic guitar, which has a capo on the neck, and plays until the scene fades to a Spanish subtitle.</t>
  </si>
  <si>
    <t>v_H5Z__A99EG4</t>
  </si>
  <si>
    <t>There's a man doing a science experiment in his kitchen using a on liter Pepsi bottle that is filled with foam.</t>
  </si>
  <si>
    <t>There's a boy laying down on the floor with his legs stretched up against the cabinet.</t>
  </si>
  <si>
    <t>The man is holding a hose in one hand and blowing air into the bottle simultaneously.</t>
  </si>
  <si>
    <t>Then he drops the huge bubble from the bottle onto the boy's face.</t>
  </si>
  <si>
    <t>v_j1IYrdjnY6M</t>
  </si>
  <si>
    <t>A web address is displayed on the slide.</t>
  </si>
  <si>
    <t>The name of a sunscreen is shown.</t>
  </si>
  <si>
    <t>The sunscreen bottle is shown.</t>
  </si>
  <si>
    <t>The price of the sunscreen is shown.</t>
  </si>
  <si>
    <t>The sunscreen bottle is presented.</t>
  </si>
  <si>
    <t>An information guideline is shown.</t>
  </si>
  <si>
    <t>v_ry-AEtNb4c0</t>
  </si>
  <si>
    <t>The title is on the screen.</t>
  </si>
  <si>
    <t>The screen switches to the man explaining his art.</t>
  </si>
  <si>
    <t>We see the man's artwork.</t>
  </si>
  <si>
    <t>We see the man talking again.</t>
  </si>
  <si>
    <t>He grabs paint on his brush.</t>
  </si>
  <si>
    <t>He discusses his painting technique.</t>
  </si>
  <si>
    <t>He is painting on the art.</t>
  </si>
  <si>
    <t>He cleans his brush on paper.</t>
  </si>
  <si>
    <t>He adds more paint to the brush.</t>
  </si>
  <si>
    <t>He is painting on the art again.</t>
  </si>
  <si>
    <t>He cleans his brush on the paper again.</t>
  </si>
  <si>
    <t>He adds white paint to the brush.</t>
  </si>
  <si>
    <t>He paints white on the artwork.</t>
  </si>
  <si>
    <t>He crosses his arms and talks.</t>
  </si>
  <si>
    <t>We see the title card.</t>
  </si>
  <si>
    <t>v_MSfIKwQhLFk</t>
  </si>
  <si>
    <t>People dive into the pool and start swimming.</t>
  </si>
  <si>
    <t>A person reaches the end and takes their goggles off.</t>
  </si>
  <si>
    <t>They wave at the camera and smile.</t>
  </si>
  <si>
    <t>The other swimmers get to the finish line.</t>
  </si>
  <si>
    <t>v_2w7Fxoeo_Qk</t>
  </si>
  <si>
    <t>A man wearing a helmet and carrying a skateboard lays on a skateboard and goes down a bowling lane to knock over pins.</t>
  </si>
  <si>
    <t>People look to watch him go down the lane.</t>
  </si>
  <si>
    <t>Someone pushes someone laying on a skateboard down a bowling lane.</t>
  </si>
  <si>
    <t>People throw bowling balls after the person.</t>
  </si>
  <si>
    <t>Two men laugh watching the man.</t>
  </si>
  <si>
    <t>Someone pushes another person laying on a skateboard down a bowling lane.</t>
  </si>
  <si>
    <t>v_3zDw5mwGIW0</t>
  </si>
  <si>
    <t>A person pours different colors of paint on a surface.</t>
  </si>
  <si>
    <t>Then, the woman paints flowers on the headboard of a bed.</t>
  </si>
  <si>
    <t>v_a2k-AgrAppg</t>
  </si>
  <si>
    <t>A little girl sits on front a cup of ice cream, then she takes a piece of food from the cup and eats it.</t>
  </si>
  <si>
    <t>Then, the girl grab the spoon and eats the ice cream.</t>
  </si>
  <si>
    <t>A hand takes nuts from the ice cram.</t>
  </si>
  <si>
    <t>v_WD40PRo1quM</t>
  </si>
  <si>
    <t>A man and a woman are seen dancing around a living room performing a tango routine.</t>
  </si>
  <si>
    <t>They spin each other round and round and ends with credits rolling.</t>
  </si>
  <si>
    <t>v_wIcK3bQNqcA</t>
  </si>
  <si>
    <t>A person moves their fingers around the center of a bike's wheel.</t>
  </si>
  <si>
    <t>The person takes a black part and adds it.</t>
  </si>
  <si>
    <t>The person adds a smaller black part and fastens it.</t>
  </si>
  <si>
    <t>The person removes their hands from the center of the bike's wheel.</t>
  </si>
  <si>
    <t>v_GUbKGqYKj7U</t>
  </si>
  <si>
    <t>There are a lot of people at a park and some are playing while others are just watching.</t>
  </si>
  <si>
    <t>A man and a woman are standing at the entrance of the playing field and getting ready to play.</t>
  </si>
  <si>
    <t>When the ball rolls towards them, the man kicks it and runs while other players try and get into motion for the play.</t>
  </si>
  <si>
    <t>Another man runs towards the home base and dives onto the dirt to touch the base they are protecting and another man is trying to catch the ball to get the man out.</t>
  </si>
  <si>
    <t>The man attempts to catch the ball, misses it, falls on the ground to catch it, throws it at the head of the man who is already on the base and they all laugh and the team who just scored give one another high fives.</t>
  </si>
  <si>
    <t>v_p771liKjycc</t>
  </si>
  <si>
    <t>Two kids are outside playing together at a playground.</t>
  </si>
  <si>
    <t>One boy jumps off and walks to the other side as the other one begins to do the monkey bars.</t>
  </si>
  <si>
    <t>After he makes it to the other side,he climbs off and runs to another set of monkey bars and follows through those as well.</t>
  </si>
  <si>
    <t>v_ZTwmb1d44bc</t>
  </si>
  <si>
    <t>A curling stone slides down the ice.</t>
  </si>
  <si>
    <t>The blue team discuss their strategy.</t>
  </si>
  <si>
    <t>The white team high five each other.</t>
  </si>
  <si>
    <t>The blue team discuss while a member points.</t>
  </si>
  <si>
    <t>A blue team player takes his turn and curls his stone into the center.</t>
  </si>
  <si>
    <t>The blue team comes and hugs the player as they celebrate.</t>
  </si>
  <si>
    <t>v_zi_TdMQffkU</t>
  </si>
  <si>
    <t>A person is seen sitting on a horse in front of a large crowd.</t>
  </si>
  <si>
    <t>The man then rides in on the horse and ropes up a calf.</t>
  </si>
  <si>
    <t>He ties up the calf while others ride in on horses to help.</t>
  </si>
  <si>
    <t>v_0UR4hXxt68E</t>
  </si>
  <si>
    <t>A group of cheerleaders stand in a line in a large auditorium in preparation.</t>
  </si>
  <si>
    <t>The group of cheerleaders does a dance routine in all dancing in unison.</t>
  </si>
  <si>
    <t>Half of the group kneels on the floor and the other standing group exits to the sides.</t>
  </si>
  <si>
    <t>The remaining group stands back up and does a second dance routine together.</t>
  </si>
  <si>
    <t>The group of cheerleader end their routine and jump up and down before bowing to the crowd.</t>
  </si>
  <si>
    <t>v_eGTZNTfgg24</t>
  </si>
  <si>
    <t>Various athletes are seen standing ready while one jumps in place and prepares himself.</t>
  </si>
  <si>
    <t>He then runs down a long track into a sand pit and sticks his hands in the air.</t>
  </si>
  <si>
    <t>A man holds a white fag up while the athlete celebrates and his jump and people's reactions in the audience are shown again.</t>
  </si>
  <si>
    <t>v_XC6tvSBS0PA</t>
  </si>
  <si>
    <t>A young lady wearing a colorful swimsuit is underwater swimming in a pool.</t>
  </si>
  <si>
    <t>A screen flashes and shows step two as the girl demonstrates swimming with your feet close together.</t>
  </si>
  <si>
    <t>Next,a warning screen appears saying not to swim without goggles as the girl does the exact opposite.</t>
  </si>
  <si>
    <t>After,the girl is shown with an orange mermaid tail on swimming under water as she joins another "mermaid".</t>
  </si>
  <si>
    <t>v_5FM_xJGb-Tk</t>
  </si>
  <si>
    <t>A man in a little kayak type of of boat is paddling the boat.</t>
  </si>
  <si>
    <t>He is sitting by himself in it because it's so small it only fits one person really.</t>
  </si>
  <si>
    <t>He uses a lot of energy into paddling, going really fast.</t>
  </si>
  <si>
    <t>I believe he is probably practicing for an event late in the future.</t>
  </si>
  <si>
    <t>v_2DMOP9Fy91U</t>
  </si>
  <si>
    <t>A woman is standing outside in front of a building.</t>
  </si>
  <si>
    <t>She begins dancing with hula hoops.</t>
  </si>
  <si>
    <t>She finishes and words come on the screen.</t>
  </si>
  <si>
    <t>v_bPkk-z5n8MY</t>
  </si>
  <si>
    <t>A large group of people are seen spinning and twirling batons in the city.</t>
  </si>
  <si>
    <t>A large group of people are seen sitting around the group watching.</t>
  </si>
  <si>
    <t>The group continues to dance around the city block while the camera pans around and watches them walk away.</t>
  </si>
  <si>
    <t>v_jOUwMAGYImE</t>
  </si>
  <si>
    <t>A man sits on a stationary bike on a stage and starts working out.</t>
  </si>
  <si>
    <t>He sticks one leg up to the side.</t>
  </si>
  <si>
    <t>He gets off and does a hand stand.</t>
  </si>
  <si>
    <t>v_fZzswQaICfM</t>
  </si>
  <si>
    <t>There is a hopscotch board drawn with chalk on the pavement.</t>
  </si>
  <si>
    <t>A little girl in green takes her turn and then more of her friends follow after.</t>
  </si>
  <si>
    <t>All three girls stand and then drop a bottle cap to move forward with their jumps.</t>
  </si>
  <si>
    <t>They play different variations of the game just having fun doing so and when its over one of the girls throws her hands in the air.</t>
  </si>
  <si>
    <t>v_ivjnwAR91Sk</t>
  </si>
  <si>
    <t>A large group of people are seen standing on a stage with people watching on the sidelines.</t>
  </si>
  <si>
    <t>People take turns jumping onto a large mat over a beam and cheering with teammates.</t>
  </si>
  <si>
    <t>More shots are shown of kids fooling around while looking and laughing to the camera.</t>
  </si>
  <si>
    <t>v_26qGsfI9tZ8</t>
  </si>
  <si>
    <t>A toddler climbs the steps of a playground.</t>
  </si>
  <si>
    <t>Then, the boy slides down until to reach the ground.</t>
  </si>
  <si>
    <t>v_t6FuJ4L8sHY</t>
  </si>
  <si>
    <t>A group of people are seen standing on a soccer field and leads into one falling down and being helped back up.</t>
  </si>
  <si>
    <t>The same shot is shown again in slow motion and leads into one scoring a goal with others not paying attention.</t>
  </si>
  <si>
    <t>The same shot is shown again in slow motion several times and pans back to all the players.</t>
  </si>
  <si>
    <t>v_L0QdLXym4F4</t>
  </si>
  <si>
    <t>A lady is filming a girl and a boy who are outdoors at a park playground.</t>
  </si>
  <si>
    <t>The young girl hangs an goes across the monkey bars using her arms while the young boy stands behind rails and watches.</t>
  </si>
  <si>
    <t>The jumps down at the end of the monkey bars and then jumps up and down and gives a high five to the excited woman filming her.</t>
  </si>
  <si>
    <t>The lady behind the camera then walks over and pans to the little boy who is now at the monkey bars and holds a conversation with him.</t>
  </si>
  <si>
    <t>v_7MAADmeogHo</t>
  </si>
  <si>
    <t>A bike is seen upside down in a shop.</t>
  </si>
  <si>
    <t>A man shows how to remove a tire.</t>
  </si>
  <si>
    <t>He then replaces it and tightens it back into place.</t>
  </si>
  <si>
    <t>v_Bhc8INrOToY</t>
  </si>
  <si>
    <t>A man is seen speaking to the camera and leads into clips of them skiing.</t>
  </si>
  <si>
    <t>The men move down all along the mountain while others are shown skiing next to them.</t>
  </si>
  <si>
    <t>The people continue riding down the hill and end by stopping at the bottom.</t>
  </si>
  <si>
    <t>v_ie9PgZt9svA</t>
  </si>
  <si>
    <t>A group of girls on a rope jumping team do a routine in a large music hall.</t>
  </si>
  <si>
    <t>A group of girls jump rope individually.</t>
  </si>
  <si>
    <t>Three girls jump rope with two holding a single rope on each end.</t>
  </si>
  <si>
    <t>Three girls jump together inside of a single rope.</t>
  </si>
  <si>
    <t>A group of girls hold two ropes and take turns doing double dutch while members run through and jump the rope.</t>
  </si>
  <si>
    <t>v_fcSJAHXHDvM</t>
  </si>
  <si>
    <t>A man is seen moving in slow motion holding a tennis racket and throwing a ball up into the air.</t>
  </si>
  <si>
    <t>Arrows point around his body and show him hitting the ball while pausing to show off his body movements.</t>
  </si>
  <si>
    <t>v_kUwCHpiuCuA</t>
  </si>
  <si>
    <t>A bicycle elliptical machine is sitting in living room by a couch.</t>
  </si>
  <si>
    <t>A dog appears on the couch and suddenly a person sits on the machine and turns it on.</t>
  </si>
  <si>
    <t>Once the machine is on,it begins to flash 30 minutes several times and the person begins to exercise on the machine pushing the bars back and forth.</t>
  </si>
  <si>
    <t>v_sgPkVKPp1dU</t>
  </si>
  <si>
    <t>A man in black shirt lifted the barbel and started to carry it up and down for few times, while behind him, two men are removing the metal plates on another barbel.</t>
  </si>
  <si>
    <t>The man in black shirt added more weight on the barbel by adding yellow plates on both side, then continue weight lifting.</t>
  </si>
  <si>
    <t>v_Ox16PeB954Q</t>
  </si>
  <si>
    <t>A man and child are sitting on a couch while the adult smokes hookah tobacco.</t>
  </si>
  <si>
    <t>The child grabs it as if to smoke only to have it pulled away.</t>
  </si>
  <si>
    <t>The child is then able to stick it in his own mouth but doesn't know what to do.</t>
  </si>
  <si>
    <t>He ends up sticking it back into the adults mouth and the adult continues to smoke from the hookah pipe.</t>
  </si>
  <si>
    <t>v_7bUu05RIksU</t>
  </si>
  <si>
    <t>Business details are written in white text on a black background.</t>
  </si>
  <si>
    <t>Men wearing jackets pressure wash a white car in a parking lot.</t>
  </si>
  <si>
    <t>Two men wash a black SUV with a pressure washing hose.</t>
  </si>
  <si>
    <t>Men wash a white car using hand towels.</t>
  </si>
  <si>
    <t>The business details are seen before end credits for the video are shown.</t>
  </si>
  <si>
    <t>v_HwM3ionUBsg</t>
  </si>
  <si>
    <t>The video takes place in a gymnasium of various gymnasts.</t>
  </si>
  <si>
    <t>A young girl stands on top of the trampoline in preparation to jump.</t>
  </si>
  <si>
    <t>She jumps on the bar and begins to do several flips between two bars.</t>
  </si>
  <si>
    <t>She then jumps to the padded area and throws up her hands, and a man gives her a hug.</t>
  </si>
  <si>
    <t>v_4w3QwJdzwsE</t>
  </si>
  <si>
    <t>A large boat with a wind sail on it is seen riding along a big storm with people on board.</t>
  </si>
  <si>
    <t>The boat tips over at one point when another boat comes by and falls over as well.</t>
  </si>
  <si>
    <t>v_6pY2zz2_CCU</t>
  </si>
  <si>
    <t>woman is sitting on a couch with a cat on her legs, he grab a scisoors from the table next to her and starts cutting the front cat nails.</t>
  </si>
  <si>
    <t>she looks his back paws and gave her cat some cat food.</t>
  </si>
  <si>
    <t>the girl congratlate the cat and put him on the floor.</t>
  </si>
  <si>
    <t>v_k74CgBa46bA</t>
  </si>
  <si>
    <t>A man without a shirt on sits outside by the trees and drinks out of a coffee cup.</t>
  </si>
  <si>
    <t>A person is seen petting a cat.</t>
  </si>
  <si>
    <t>v_Mmdcsw_SEzc</t>
  </si>
  <si>
    <t>A boy is building a sandcastle near the edge of the ocean.</t>
  </si>
  <si>
    <t>He forms huge circles and stands up.</t>
  </si>
  <si>
    <t>v_rliYO1sEYts</t>
  </si>
  <si>
    <t>A man kisses a girl on the beach.</t>
  </si>
  <si>
    <t>People are playing rock paper scissors on the beach.</t>
  </si>
  <si>
    <t>A man in a black shirt is standing on the beach.</t>
  </si>
  <si>
    <t>v_7vECSCWxbDk</t>
  </si>
  <si>
    <t>A man plugs a cable into his guitar.</t>
  </si>
  <si>
    <t>He begins playing the guitar.</t>
  </si>
  <si>
    <t>He looks up and speaks.</t>
  </si>
  <si>
    <t>He goes back to playing his guitar.</t>
  </si>
  <si>
    <t>He looks up again and speaks as he makes hand gestures.</t>
  </si>
  <si>
    <t>He begins playing his guitar again.</t>
  </si>
  <si>
    <t>He glides his finger along his guitar.</t>
  </si>
  <si>
    <t>v_UW1wC80VNd8</t>
  </si>
  <si>
    <t>A woman is in a kitchen, stirring food in a pot.</t>
  </si>
  <si>
    <t>She adds her gathered ingredients one a time as she talks, showing the pasta she is using.</t>
  </si>
  <si>
    <t>She then adds a bowlful of vegetables she has mixed.</t>
  </si>
  <si>
    <t>v_rZMiqPMOpzA</t>
  </si>
  <si>
    <t>A person is seen sitting in front of the camera holding an instrument.</t>
  </si>
  <si>
    <t>The man then begins playing the instrument while the camera captures is movements.</t>
  </si>
  <si>
    <t>The man continues to play moving his hands all along the instrument and finally turning the camera off.</t>
  </si>
  <si>
    <t>v_KK7g7udEPuo</t>
  </si>
  <si>
    <t>A man is looking all over for his dog.</t>
  </si>
  <si>
    <t>He said he paid his dog 10 dollars to cut the grass and now he's gone.</t>
  </si>
  <si>
    <t>He finally finds the dog who is driving the riding lawn mower.</t>
  </si>
  <si>
    <t>According to the owner, the dog is asking for a raise.</t>
  </si>
  <si>
    <t>He continues mowing in not very straight lines as the other dogs watch.</t>
  </si>
  <si>
    <t>v_OM_n35Vcw30</t>
  </si>
  <si>
    <t>Two kids are seen holding poles with another man and playing a game of shuffle board on a mat.</t>
  </si>
  <si>
    <t>The kids push the puck around back and fourth while walking around one another and ends with a woman stepping into frame and a close up of the young boy.</t>
  </si>
  <si>
    <t>v_eBajcta4sD4</t>
  </si>
  <si>
    <t>A camera pans around a building as well as people inside posing for pictures and putting fencing gear on.</t>
  </si>
  <si>
    <t>More clips are shown of fencing objects, people watching on the sides, and others getting ready to fence.</t>
  </si>
  <si>
    <t>Several clips are then shown of two people fencing each other with a woman reffing on the sides and people watching on the sides.</t>
  </si>
  <si>
    <t>v_JFA1iR09BUA</t>
  </si>
  <si>
    <t>A man is practicing in front of a mirror in a studio while another watches.</t>
  </si>
  <si>
    <t>They start taking turns in front of the mirror trying to perfect their moves.</t>
  </si>
  <si>
    <t>They are doing all kinds of crazy acrobatic flips and other moves.</t>
  </si>
  <si>
    <t>There is about six or seven men sitting up against the wall watching as the other flips around in the air.</t>
  </si>
  <si>
    <t>v_ctWolbJDJyc</t>
  </si>
  <si>
    <t>A person is seen walking down the length of a diving board while the camera zooms in.</t>
  </si>
  <si>
    <t>The man turns around and performs a back flip off of the board into the water.</t>
  </si>
  <si>
    <t>v_m-BZKFg9k18</t>
  </si>
  <si>
    <t>A lady dances around on an aerobic stair in a fitness gym.</t>
  </si>
  <si>
    <t>The lady spins off of the step.</t>
  </si>
  <si>
    <t>The lady touches her toes to the step.</t>
  </si>
  <si>
    <t>The lady repeats the routine repeatedly.</t>
  </si>
  <si>
    <t>The lady steps off of her step in front of it and looks at the camera.</t>
  </si>
  <si>
    <t>v_JTFEzdAw1L4</t>
  </si>
  <si>
    <t>An older woman throws a white ball towards a green cup.</t>
  </si>
  <si>
    <t>A young boy gives her back the ball.</t>
  </si>
  <si>
    <t>The woman throws the ball again.</t>
  </si>
  <si>
    <t>She does a dance and throws it again.</t>
  </si>
  <si>
    <t>She again throws the white ball.</t>
  </si>
  <si>
    <t>The young boy hands the woman the ball and she throws it again.</t>
  </si>
  <si>
    <t>The older woman starts laughing.</t>
  </si>
  <si>
    <t>v_-ArIbKfZc2s</t>
  </si>
  <si>
    <t>A group of rafters paddle there raft down a river with rapids and obstacles.</t>
  </si>
  <si>
    <t>A group of rafter push off from a rock and turn there boat around to face the current.</t>
  </si>
  <si>
    <t>The rafters maneuver through a concrete structure.</t>
  </si>
  <si>
    <t>The group paddles around a large boulder sticking high up in the middle of the river.</t>
  </si>
  <si>
    <t>The group jumps from a rock into the river.</t>
  </si>
  <si>
    <t>v_UD7HJBRK2Z4</t>
  </si>
  <si>
    <t>A light blue screen appears and it has multiple blue words that are not in English and they're scrolling from bottom to top.</t>
  </si>
  <si>
    <t>The direction of the scrolling letters change from bottom to top and now they're in the middle.</t>
  </si>
  <si>
    <t>A man wearing a white button up short sleeved shirt and black long pants is standing on green grass that's near water, with a large bush behind him and he's doing very slow coordinated movements.</t>
  </si>
  <si>
    <t>v_Ptw9hFDV4ow</t>
  </si>
  <si>
    <t>A coach is training a boy and a girl to do kickboxing.</t>
  </si>
  <si>
    <t>There is a woman standing in a purple shirt, filming the coach teach the kids.</t>
  </si>
  <si>
    <t>Both the girl and the boy are taking turns in returning the punches and kicks to the coach.</t>
  </si>
  <si>
    <t>The coach is encouraging the students to constantly punch and return the kicks.</t>
  </si>
  <si>
    <t>v_8OCTuqJVToU</t>
  </si>
  <si>
    <t>A small group of children are seen sitting around a pool while the camera pans around the pool.</t>
  </si>
  <si>
    <t>The kids kick their feet around and show one instructor helping a child.</t>
  </si>
  <si>
    <t>The man continues to swim around the pool with children and close ups of children.</t>
  </si>
  <si>
    <t>v_LWAxCIy4PBw</t>
  </si>
  <si>
    <t>A little boy is pushing a mop.</t>
  </si>
  <si>
    <t>He closes an oven door that is open.</t>
  </si>
  <si>
    <t>He continues to mop the floor.</t>
  </si>
  <si>
    <t>He picks the mop up and puts it in the air.</t>
  </si>
  <si>
    <t>He sets it down and continues mopping.</t>
  </si>
  <si>
    <t>v_qzt9U8tEdJQ</t>
  </si>
  <si>
    <t>Someone is shown driving down a snowy street in the Ukraine.</t>
  </si>
  <si>
    <t>Several skiers are skiing down the slopes on the side of a mountain.</t>
  </si>
  <si>
    <t>A close up is seen of some of the skiers as they go.</t>
  </si>
  <si>
    <t>v_zJX_Oh4yVnc</t>
  </si>
  <si>
    <t>A person is seen riding around on a dirt bike that leads into him speaking to the camera.</t>
  </si>
  <si>
    <t>He shows off his bike as well as camera and leads into several clips of him riding around.</t>
  </si>
  <si>
    <t>He continues to ride around on the track while also showing close ups of himself as well as the camera.</t>
  </si>
  <si>
    <t>v_r7kQ1sko74M</t>
  </si>
  <si>
    <t>A young man is seen playing a single drum standing next to a group of people also drumming.</t>
  </si>
  <si>
    <t>The boy continues drumming with the group and the camera pans around to people watching on the sides.</t>
  </si>
  <si>
    <t>v_h7Tq3Gsj6lY</t>
  </si>
  <si>
    <t>A man is shown in several shots riding around on a skateboard.</t>
  </si>
  <si>
    <t>Close ups are shown of objects as well as skateboard and places you can buy them.</t>
  </si>
  <si>
    <t>More close ups are shown of products.</t>
  </si>
  <si>
    <t>v_pnN9AK7WKHU</t>
  </si>
  <si>
    <t>We see a person jet skiing.</t>
  </si>
  <si>
    <t>We see a red and black sail on a surfboard.</t>
  </si>
  <si>
    <t>We then see a yellow and blue sail.</t>
  </si>
  <si>
    <t>A yellow one passes a black one and keeps going, then the yellow one turns around.</t>
  </si>
  <si>
    <t>A yellowish green one appears on the screen.</t>
  </si>
  <si>
    <t>Three pass a red and blue one going in opposite directions.</t>
  </si>
  <si>
    <t>The rider of the red and blue one falls off his board.</t>
  </si>
  <si>
    <t>v_aBmKEmXVCqM</t>
  </si>
  <si>
    <t>A man is standing on a elliptical working out.</t>
  </si>
  <si>
    <t>He moves his arms back and forth.</t>
  </si>
  <si>
    <t>There is a lake behind him.</t>
  </si>
  <si>
    <t>v_b5GJUtjiWkQ</t>
  </si>
  <si>
    <t>Three kids are seen standing out in front of a house when one plays hop scotch to a person coming in frame.</t>
  </si>
  <si>
    <t>The camera follows the same girl hopping down a long path and continuing her way back to where she started.</t>
  </si>
  <si>
    <t>v_JwdW7Tlc4gs</t>
  </si>
  <si>
    <t>A young man is sitting in his room.</t>
  </si>
  <si>
    <t>The young man started to play his guitar.</t>
  </si>
  <si>
    <t>The young man is moving his fingers as he press the threads on the guitar.</t>
  </si>
  <si>
    <t>v_H5F01WIyJWI</t>
  </si>
  <si>
    <t>A blindfolded man is standing outside with vehicles parked behind him and he's playing a small set of bongos as well as a large set of bongos right next to it.</t>
  </si>
  <si>
    <t>The man quickly only hits the small bongos and then moves onto the big bongos going from his right to his left.</t>
  </si>
  <si>
    <t>On the return back going from his left to his right, he hits only the large bongos first, then hits the smaller bongos.</t>
  </si>
  <si>
    <t>v_4p6OjaHHSDs</t>
  </si>
  <si>
    <t>A close up is shown of a woman wearing glasses.</t>
  </si>
  <si>
    <t>She starts smoking a cigarette, then leans over.</t>
  </si>
  <si>
    <t>A woman in bed is laughing as she falls onto her own bed, still smoking.</t>
  </si>
  <si>
    <t>v_ad5QOYLt_cI</t>
  </si>
  <si>
    <t>man is standing in front of a table chopping vegetables and preparing a sandwich, he put in a bread butter cheese, avoado, and ham and a rolled sandwich.</t>
  </si>
  <si>
    <t>man talks o the camera and spread butter in bread slices with a knife put cheddar cheese, ham and ketchup and cut in four slices and serve them in a plate.</t>
  </si>
  <si>
    <t>v_k9VKFjPYT3o</t>
  </si>
  <si>
    <t>A man in a blue coat is talking outside by a rock.</t>
  </si>
  <si>
    <t>He is wearing a rock climbing harness.</t>
  </si>
  <si>
    <t>He begins climbing up the rock.</t>
  </si>
  <si>
    <t>He has a rope around his neck with different rock climbing tools.</t>
  </si>
  <si>
    <t>He gives another person a high five.</t>
  </si>
  <si>
    <t>v_gh8rmWE-564</t>
  </si>
  <si>
    <t>Two people are seen riding down a hill with one on skis and the other on a sled.</t>
  </si>
  <si>
    <t>The person then goes over a jump and crashes into a snowbank, showing the same shot again in slow motion.</t>
  </si>
  <si>
    <t>v_tZ6Fjq6SJvQ</t>
  </si>
  <si>
    <t>A man and a woman dressed in a black evening gown and a black suit dance in a ball room dance style in a large room with stone floors and grated windows.</t>
  </si>
  <si>
    <t>The man and woman begin with a fast dance with a lot of foot work twirling around the floor.</t>
  </si>
  <si>
    <t>The man and woman then begin a slow dance in which they glide, caress, spin and twirl each other across the floor at times lingering in smoldering postures that imply romance.</t>
  </si>
  <si>
    <t>The man and woman then begin to dance fast again utilizing fast twirls and foot work and with the man picking the woman up and spinning her around in the air until one final dip.</t>
  </si>
  <si>
    <t>v__zkcTAj5Z8Q</t>
  </si>
  <si>
    <t>A young boy is seen swimming around with another person standing in the water.</t>
  </si>
  <si>
    <t>The boy continues to swim around with the other people as well as do flips under the water.</t>
  </si>
  <si>
    <t>The kids move under and over the water while the camera continues to follow them.</t>
  </si>
  <si>
    <t>v_Qm6HmQv5uOo</t>
  </si>
  <si>
    <t>A man sings a song with someone plays an accordion in a restaurant.</t>
  </si>
  <si>
    <t>The man playing accordion breaks his instrument in half.</t>
  </si>
  <si>
    <t>The people are startled but continue on singing the song.</t>
  </si>
  <si>
    <t>v_cwhkG3LhZO8</t>
  </si>
  <si>
    <t>A little boy is standing at the parking lot, he is not wearing a shirt, he talked to the camera.</t>
  </si>
  <si>
    <t>He then walked with both his elbows up towards the road.</t>
  </si>
  <si>
    <t>The boy is on stage playing a brown guitar, he is not wearing a shirt, there's a microphone in front of him, behind him is a man playing a guitar too.</t>
  </si>
  <si>
    <t>v_-zHX3Gdx6I4</t>
  </si>
  <si>
    <t>A boy is running down a track.</t>
  </si>
  <si>
    <t>The boy lifts his body above the height of a pole.</t>
  </si>
  <si>
    <t>The boy lands on his back on to a red mat.</t>
  </si>
  <si>
    <t>The boy gets up from the mat.</t>
  </si>
  <si>
    <t>The boy celebrates by clapping and flexing both arms.</t>
  </si>
  <si>
    <t>A man stands and observes.</t>
  </si>
  <si>
    <t>v_IuY073Pr4E4</t>
  </si>
  <si>
    <t>The man walks towards a children's playground.</t>
  </si>
  <si>
    <t>The man hangs from mounted bar type devices in the playground.</t>
  </si>
  <si>
    <t>The man dismounts and walks back to the camera.</t>
  </si>
  <si>
    <t>v_bjtjeUcoxkg</t>
  </si>
  <si>
    <t>A man speaks to a camera.</t>
  </si>
  <si>
    <t>Another man shaves his face that is covered with shaving cream.</t>
  </si>
  <si>
    <t>The man shaves part of his neck.</t>
  </si>
  <si>
    <t>The man's razor is covered with shaving cream so he rinses the razor with water.</t>
  </si>
  <si>
    <t>The man speaks to the camera again.</t>
  </si>
  <si>
    <t>The shaving man again shaves part of his cheek area.</t>
  </si>
  <si>
    <t>An animation of shaving is shown.</t>
  </si>
  <si>
    <t>The man continues to speak to the camera.</t>
  </si>
  <si>
    <t>The shaving man shaves more towards his chin, including his upper cheek.</t>
  </si>
  <si>
    <t>The man speaks some more to the camera.</t>
  </si>
  <si>
    <t>v_X487OD6H6LE</t>
  </si>
  <si>
    <t>A man is sitting behind two congas with one shoulder rolled up.</t>
  </si>
  <si>
    <t>After he finishes talking,he begins hitting the conga.</t>
  </si>
  <si>
    <t>After several hits,he adds in the other conga and starts to hit the other conga.</t>
  </si>
  <si>
    <t>v_PUJqlmTdlak</t>
  </si>
  <si>
    <t>A man shuffles a deck of cards and deals them.</t>
  </si>
  <si>
    <t>Four aces are shown face up on the table.</t>
  </si>
  <si>
    <t>A man sits at a table and plays blackjack.</t>
  </si>
  <si>
    <t>v_NA8fCmbHwU8</t>
  </si>
  <si>
    <t>A team rides together on a bus.</t>
  </si>
  <si>
    <t>Teams play games of beach soccer.</t>
  </si>
  <si>
    <t>A man makes a bicycle kick in the sand.</t>
  </si>
  <si>
    <t>The winning team holds up a trophy together and celebrates.</t>
  </si>
  <si>
    <t>Teammates call from the bench and cheer.</t>
  </si>
  <si>
    <t>v_I4wkBjpwAAU</t>
  </si>
  <si>
    <t>Two army men in the their uniforms are tied together and pulling each other in opposite direction as part of their training.</t>
  </si>
  <si>
    <t>There is a crowd of army officers watching them cheering for them as they do the strength training exercise.</t>
  </si>
  <si>
    <t>The game is over after one of the army officer's drags the other officer on the ground and wins the game.</t>
  </si>
  <si>
    <t>v_NkvwL_M_lDg</t>
  </si>
  <si>
    <t>The man in blue shirt is strumming the drum in front of him.</t>
  </si>
  <si>
    <t>The young man strum the drum in front of him then the next drum.</t>
  </si>
  <si>
    <t>The young man strum the drums in front of him.</t>
  </si>
  <si>
    <t>v_4IRb308UjTA</t>
  </si>
  <si>
    <t>A woman opens the trunk of a car.</t>
  </si>
  <si>
    <t>She gets a spare tire out and sets it on the ground.</t>
  </si>
  <si>
    <t>She takes the old tire off.</t>
  </si>
  <si>
    <t>She puts the new tire on.</t>
  </si>
  <si>
    <t>She puts the hub of the tire on.</t>
  </si>
  <si>
    <t>v_lly76lvHbB8</t>
  </si>
  <si>
    <t>A man in a red shirt holds onto a disc and skates down the ice.</t>
  </si>
  <si>
    <t>He lets go of the disc and walks back.</t>
  </si>
  <si>
    <t>v_7MWFfqhKgIY</t>
  </si>
  <si>
    <t>A little girl performs holding on the rings.</t>
  </si>
  <si>
    <t>A boy stands next a man, then he raise a hand and walks to perform on the parallel bards.</t>
  </si>
  <si>
    <t>The boy swing on the bars, and then jumps on the mat.</t>
  </si>
  <si>
    <t>v_wjcCl0jPxO4</t>
  </si>
  <si>
    <t>There's a woman in a maroon shirt washing her face in the sink.</t>
  </si>
  <si>
    <t>An aesthetician is talking about skin care routines and giving tips on how to keep facial skin clean.</t>
  </si>
  <si>
    <t>The model washes her face and then dabs it dry gently with a towel.</t>
  </si>
  <si>
    <t>v_bFgXdHQnTtQ</t>
  </si>
  <si>
    <t>Three girls exercise inside a house.</t>
  </si>
  <si>
    <t>The girls dance while jumping, spinning and moving the hips.</t>
  </si>
  <si>
    <t>Then, the girls one by one thrown to the ground, then stand and continue dancing.</t>
  </si>
  <si>
    <t>After, two girls kneel and a child stands on the legs and raise her arms, after the girls ends their performance.</t>
  </si>
  <si>
    <t>v_-lER_VO9LUo</t>
  </si>
  <si>
    <t>Two dogs are walking on the sidewalk attached by a rope.</t>
  </si>
  <si>
    <t>Two people are walking on the sidewalk next to them.</t>
  </si>
  <si>
    <t>One of the people is carrying a water bottle.</t>
  </si>
  <si>
    <t>v_r5cjo7N6IEY</t>
  </si>
  <si>
    <t>A shadow is on the ground, caused by a designed shrub.</t>
  </si>
  <si>
    <t>A man is shown outdoors, showing off his multitude of decorative bushes in his yard.</t>
  </si>
  <si>
    <t>He clips and measures them to make sure they look their best.</t>
  </si>
  <si>
    <t>He finds two that look like boxers, and pretends to make them fight.</t>
  </si>
  <si>
    <t>v_hh6Yt_LJPwQ</t>
  </si>
  <si>
    <t>A woman is seen talking to people out in public followed by a man washing his mouth out and kissing another girl.</t>
  </si>
  <si>
    <t>He then presents the mouth to various people spread out through days and has the people speak to the camera about their experience.</t>
  </si>
  <si>
    <t>v_G-zVpNXq224</t>
  </si>
  <si>
    <t>We see Ellen playing table tennis.</t>
  </si>
  <si>
    <t>A Table tennis player comes out.</t>
  </si>
  <si>
    <t>The new match is played.</t>
  </si>
  <si>
    <t>The man holds his arms out.</t>
  </si>
  <si>
    <t>Ellen ducks down near the table.</t>
  </si>
  <si>
    <t>The players shake hands, the lady hugs Ellen and laugh.</t>
  </si>
  <si>
    <t>We see the ending screen with Ellen on it.</t>
  </si>
  <si>
    <t>v_N2fTZV7pnEw</t>
  </si>
  <si>
    <t>A man is skiin on a slope, quickly.</t>
  </si>
  <si>
    <t>He turns as he passes between other skiers on the way.</t>
  </si>
  <si>
    <t>The man continues until he is finished, then removes himself to the board and joins other skiers at the resting spot.</t>
  </si>
  <si>
    <t>v_IrTqW6Qn8mI</t>
  </si>
  <si>
    <t>A close up is shown of leaves being blown.</t>
  </si>
  <si>
    <t>A person is blowing leaves with a leaf blower.</t>
  </si>
  <si>
    <t>They continue blowing the leaves across the yard.</t>
  </si>
  <si>
    <t>v_D2Trvi7Im_s</t>
  </si>
  <si>
    <t>A woman is skating down a sidewalk outside.</t>
  </si>
  <si>
    <t>She rolls slowly past the camera.</t>
  </si>
  <si>
    <t>She keeps skating down the sidewalk past the ocean's edge.</t>
  </si>
  <si>
    <t>v_3Hgwyprv8u4</t>
  </si>
  <si>
    <t>A camera pans all around a vacuum close up and shows a person's feet.</t>
  </si>
  <si>
    <t>The person walks around with the vacuum and pushes it along a rug.</t>
  </si>
  <si>
    <t>More shots are shown of the person using the attachments on the camera as well as showing how it's made.</t>
  </si>
  <si>
    <t>v_eUCKEnKxG8w</t>
  </si>
  <si>
    <t>Two young girls are seen kneeling before a tub while speaking to the camera.</t>
  </si>
  <si>
    <t>The girls hold up a product and measure it out followed by putting it into their mouths and swishing it around.</t>
  </si>
  <si>
    <t>The girls then spit out the liquid and continue to speak to the camera.</t>
  </si>
  <si>
    <t>v_9BS1II6O7I0</t>
  </si>
  <si>
    <t>A young man solves a cube puzzle while a man stand on front him.</t>
  </si>
  <si>
    <t>Then, a man writes on a paper and shows the young man.</t>
  </si>
  <si>
    <t>The young man solves again the puzzle is less time, and the man takes note.</t>
  </si>
  <si>
    <t>After the young man solves again two times the puzzle in less time.</t>
  </si>
  <si>
    <t>At the end, the young man solves the puzzle in less time than the previous times, he raises happy from his chair.</t>
  </si>
  <si>
    <t>v_sdMr24Qyrw8</t>
  </si>
  <si>
    <t>A young girl is sitting in a chair, awaiting nervously.</t>
  </si>
  <si>
    <t>The piercing artist paints a dot above her lip.</t>
  </si>
  <si>
    <t>He sanitizes his tools and proceeds to pierce the lip of the young girl.</t>
  </si>
  <si>
    <t>He inserts a ring into the piercing.</t>
  </si>
  <si>
    <t>He tightens the piercing and cleans around the piercing.</t>
  </si>
  <si>
    <t>The girl looks into a mirror handed to her by the piercing artist and looks pleased.</t>
  </si>
  <si>
    <t>v_tseeGOVN_eY</t>
  </si>
  <si>
    <t>A child is seen turning on a faucet and begins washes dishes in a sink.</t>
  </si>
  <si>
    <t>The child turns the water off an on again while scrubbing the dishes and another person walking in to help.</t>
  </si>
  <si>
    <t>v_opAcl-kukdU</t>
  </si>
  <si>
    <t>cherleader team wearing purple uniforms are doing a choreography on the middle of a wooden court.</t>
  </si>
  <si>
    <t>a lot of people are sitting on stands around the court.</t>
  </si>
  <si>
    <t>people is walking on sides of the wooden court in a roofed gym.</t>
  </si>
  <si>
    <t>v_J0EWvkkxh5o</t>
  </si>
  <si>
    <t>We see a girl preparing to dive in an indoor pool.</t>
  </si>
  <si>
    <t>The girl jumps and stands looking scared of the height.</t>
  </si>
  <si>
    <t>The girl turns and dives into the water.</t>
  </si>
  <si>
    <t>The girl surfaces and swims to the edge of the pool.</t>
  </si>
  <si>
    <t>v_BJ-1HVacaF4</t>
  </si>
  <si>
    <t>The video starts with a logo of the cathedrals of light.</t>
  </si>
  <si>
    <t>Next a group of people are shown.</t>
  </si>
  <si>
    <t>Then people are shown swimming in an underwater world.</t>
  </si>
  <si>
    <t>Reefs and rocks are shown underwater.</t>
  </si>
  <si>
    <t>Scuba divers are shown swimming deep into the water exploring what is around.</t>
  </si>
  <si>
    <t>v_JFVZdzzJVr8</t>
  </si>
  <si>
    <t>Two men are next to the table wearing blue shirts and welding helmets.</t>
  </si>
  <si>
    <t>The man is holding a welding machine and working on a metal that causes sparks, next to him is another man watching closely on the metal.</t>
  </si>
  <si>
    <t>The lights lit up, the man is poking the metal.</t>
  </si>
  <si>
    <t>v_gJKw6jGjiDE</t>
  </si>
  <si>
    <t>A gymnast stands nervously awaiting her start.</t>
  </si>
  <si>
    <t>The crowd in the arena watches her.</t>
  </si>
  <si>
    <t>She climbs up to a bar and performs various flips, cartwheels, as well as doing the splits mid air.</t>
  </si>
  <si>
    <t>She jumps off the bar and lands on a blue mat.</t>
  </si>
  <si>
    <t>v_6fgk5PKVS2o</t>
  </si>
  <si>
    <t>A person's car is shown from several angles with a person inside and leads into the car driving with people inside.</t>
  </si>
  <si>
    <t>The people are then shown in various angles riding up a snowy mountain and going down a hill.</t>
  </si>
  <si>
    <t>Close ups of the people's faces are shown as they go up and down the hill several times and landing at the bottom of a hill.</t>
  </si>
  <si>
    <t>v_uBhuULfs3Hc</t>
  </si>
  <si>
    <t>A man is at a mound, spinning a disc around in circles.</t>
  </si>
  <si>
    <t>He lets go of the disc and watches it fly.</t>
  </si>
  <si>
    <t>A line of discs is shown before a group of people on the field, choosing their own disc.</t>
  </si>
  <si>
    <t>People are shown, one at a time, throwing the discs.</t>
  </si>
  <si>
    <t>The winner stands with his trophy, shaking hands of people who walk up to him.</t>
  </si>
  <si>
    <t>v_4dyn1oKJO34</t>
  </si>
  <si>
    <t>Various clips are shown of people playing lacrosse followed by a man holding the stick and speaking to the camera.</t>
  </si>
  <si>
    <t>He moves the stick all around demonstrating how to properly play.</t>
  </si>
  <si>
    <t>v_G9ynahMxUz8</t>
  </si>
  <si>
    <t>A little girl kicks a big pink ball to her mother, who catches it and kicks it back.</t>
  </si>
  <si>
    <t>They continue kicking and throwing the ball to each other, and a man joins in.</t>
  </si>
  <si>
    <t>The little girl chases down the ball, bringing it back.</t>
  </si>
  <si>
    <t>v_2WwWzzO6rZQ</t>
  </si>
  <si>
    <t>A female gymnast jumps onto a balance beam and do many tricks and flips and lands back on her feet.</t>
  </si>
  <si>
    <t>the gymnast does two nice back flips back to back while keeping her balance and landing prefect on her feet.</t>
  </si>
  <si>
    <t>finally the female gymnast finishes with a high twice flip off the balance beam in the air and lands on the mat prefect.</t>
  </si>
  <si>
    <t>v_oT42qP2zIXo</t>
  </si>
  <si>
    <t>An intro appears of a person standing in front of objects on a counter, then a white screen appears with a picture of an owl and the words on the screen that include a website and the gray words "Samurai Pro Knife Sharpener".</t>
  </si>
  <si>
    <t>The man then picks up the two knives near his cutting board and demonstrates how they each cut a piece of green onion the cutting board, then he fastens the sharpener onto the counter, runs his knife through the sharpener a few times then goes back to showing how it cuts the green onion and how the blades look.</t>
  </si>
  <si>
    <t>The man is touching, holding and showing the camera a closer look of the sharpener.</t>
  </si>
  <si>
    <t>The outro is a person drawing the owl and the website onto a large piece of paper with markers, gives a thumbs up when they're done, then the screen goes to a digital white screen of the same owl that was just drawn and the website below it.</t>
  </si>
  <si>
    <t>v_YPSV5JEqhBw</t>
  </si>
  <si>
    <t>Women are holding a ball and spinning around before throwing it onto the field.</t>
  </si>
  <si>
    <t>A man in a red shirt is holding a broom.</t>
  </si>
  <si>
    <t>People are watching them throw the balls.</t>
  </si>
  <si>
    <t>v_1t0yXLlX1XE</t>
  </si>
  <si>
    <t>Several images of a bald man bowling are shown and then he appears and throws a curve ball.</t>
  </si>
  <si>
    <t>Several videos from different locations are shown of the curve ball and the ball almost goes to the gutter but curves about two to three feet away from the bowling pins.</t>
  </si>
  <si>
    <t>v_iUe1t0sN4Jo</t>
  </si>
  <si>
    <t>A man bowls several times down a lane.</t>
  </si>
  <si>
    <t>The screen of the score board is shown.</t>
  </si>
  <si>
    <t>v_aUbSDHBZNEQ</t>
  </si>
  <si>
    <t>A close up of a dog is seen who proceeds to run away towards another dog.</t>
  </si>
  <si>
    <t>The big dog then leads the little dog around on a leash.</t>
  </si>
  <si>
    <t>v_QJVtvcYcwac</t>
  </si>
  <si>
    <t>This a video tutorial on getting box braids.</t>
  </si>
  <si>
    <t>A screen pops up with several websites and social media addresses.</t>
  </si>
  <si>
    <t>There are stills of the processes to make the braids shown on a girl in a pink jacket.</t>
  </si>
  <si>
    <t>Then a video shows how the process looks in actual time using a comb and the technique of separating the braids as a woman braids the hair by hand.</t>
  </si>
  <si>
    <t>Then there is a front view of the little girl in pink as the woman behind her finishes up the braiding process at the front of her head.</t>
  </si>
  <si>
    <t>There are screen text that mentions how the hair looks six hours later.</t>
  </si>
  <si>
    <t>Then there are still shots of the results of her hair being braided.</t>
  </si>
  <si>
    <t>v_Ycf5NG0xedg</t>
  </si>
  <si>
    <t>A waterfall appears on screen next to a river with the title "H20 Adventures Savegre River" overlaid.</t>
  </si>
  <si>
    <t>A group of people walk across a red suspension walking bridge above the river.</t>
  </si>
  <si>
    <t>A group of people wearing life vests and holding oars listen to instructions.</t>
  </si>
  <si>
    <t>Groups of people row inflatable rafts down the fast current river.</t>
  </si>
  <si>
    <t>People stand on shore talking and drinking beverages.</t>
  </si>
  <si>
    <t>Video credits appear on screen over video of a lizard on a rock.</t>
  </si>
  <si>
    <t>The screen goes completely black after the credits end.</t>
  </si>
  <si>
    <t>v_aFGLXYcKD2M</t>
  </si>
  <si>
    <t>A couple of men are on an indoor tennis court.</t>
  </si>
  <si>
    <t>They lob the ball back and forth over the net.</t>
  </si>
  <si>
    <t>They hit the ball back to each other.</t>
  </si>
  <si>
    <t>v_jGLJuL49zYE</t>
  </si>
  <si>
    <t>Two men alternatively dance on the street while pedestrian and road traffic pass by.</t>
  </si>
  <si>
    <t>Two women stop to watch the dancers.</t>
  </si>
  <si>
    <t>A man and a woman stop to watch the dancers.</t>
  </si>
  <si>
    <t>v_Gpjx38IDVT0</t>
  </si>
  <si>
    <t>A boy is inside an outdoor net.</t>
  </si>
  <si>
    <t>He swings a ball on a rope very quickly.</t>
  </si>
  <si>
    <t>He lets it go and watches as it flies across the field.</t>
  </si>
  <si>
    <t>v_TDwSu2nfSXw</t>
  </si>
  <si>
    <t>A boy dancing on the front of a book with describing credits.</t>
  </si>
  <si>
    <t>The boy is sitting in an empty room talking about his dance moves.</t>
  </si>
  <si>
    <t>The boy is standing in the room showing a move that starts with kicking his left foot out as he slowly turns and shows the rest of the current dance move.</t>
  </si>
  <si>
    <t>Next the boy starts with same move but moves quicker.</t>
  </si>
  <si>
    <t>The instructions to practice are shown as the boy is dancing in the almost empty room.</t>
  </si>
  <si>
    <t>v_Uk_VxavVjP0</t>
  </si>
  <si>
    <t>The trees are shown above the water.</t>
  </si>
  <si>
    <t>A man puts his hands behind his head.</t>
  </si>
  <si>
    <t>v_WjueR8K-nnI</t>
  </si>
  <si>
    <t>Children rides bumper cars in a carnival.</t>
  </si>
  <si>
    <t>The kids get stuck in the center, but they free and drive.</t>
  </si>
  <si>
    <t>A woman push a stroller in the street.</t>
  </si>
  <si>
    <t>Children bumps cars and ride around.</t>
  </si>
  <si>
    <t>The children gets off the bumper cars and walk to the exit.</t>
  </si>
  <si>
    <t>v_3nvKiZeVfGY</t>
  </si>
  <si>
    <t>A person slides a heavy ball on the floor while holding a brush on his left hand.</t>
  </si>
  <si>
    <t>Then, two men brush the floor on front the heavy ball without touching it.</t>
  </si>
  <si>
    <t>People plays behind the person.</t>
  </si>
  <si>
    <t>The yellow ball reaches the center of the red circle.</t>
  </si>
  <si>
    <t>v_pgBfTJzVB98</t>
  </si>
  <si>
    <t>A man is wearing a red hat and sunglasses.</t>
  </si>
  <si>
    <t>He throws a dart in front of him.</t>
  </si>
  <si>
    <t>He makes a bulls eye on the dart board.</t>
  </si>
  <si>
    <t>v_XwrF8edyJz0</t>
  </si>
  <si>
    <t>A camera pans around glasses of lemonade followed by a person squeezing juice out of lemons.</t>
  </si>
  <si>
    <t>The person mixes various ingredients together into a bowl and pours it into a glass.</t>
  </si>
  <si>
    <t>Several shots are shown of the glasses being poured as well as presented to the camera.</t>
  </si>
  <si>
    <t>v_1_YFTTzzLrI</t>
  </si>
  <si>
    <t>A man sits at a table and a woman moves a box from him.</t>
  </si>
  <si>
    <t>He puts his hands on the table then begins to solve a rubix cube.</t>
  </si>
  <si>
    <t>The timer continues as he solves the cube.</t>
  </si>
  <si>
    <t>v_J4UFrrwKUQA</t>
  </si>
  <si>
    <t>two men are standing in a sailing boat in sea.</t>
  </si>
  <si>
    <t>man is standing in a dock wearing a red bull shirt and then is in the saillboat.</t>
  </si>
  <si>
    <t>dolphins are swimming next to the boat.</t>
  </si>
  <si>
    <t>people are standing on a sunny day in a dock.</t>
  </si>
  <si>
    <t>v_TssNxg5XJ-o</t>
  </si>
  <si>
    <t>A man is kneeling on the ice with another beside hide pulling string out of a hole.</t>
  </si>
  <si>
    <t>They continue to pull the string while the man beside him grabs a hook.</t>
  </si>
  <si>
    <t>He places the hook near the hole but the man grabs a fish on a string.</t>
  </si>
  <si>
    <t>The fish flops around and the man grabs the fish and holds him up.</t>
  </si>
  <si>
    <t>v_RYyGvn4MOr0</t>
  </si>
  <si>
    <t>People drive bumper cars in a carnival.</t>
  </si>
  <si>
    <t>A little girl follows a boy in a yellow bumper car.</t>
  </si>
  <si>
    <t>Then, the boy and the girl hit other bumper cars.</t>
  </si>
  <si>
    <t>v_PEp22TMpoHA</t>
  </si>
  <si>
    <t>A group of people are on rafts,white water rafting through rocky waters.</t>
  </si>
  <si>
    <t>Eventually,they travel through the water and end up hitting a huge rock and losing their paddles.</t>
  </si>
  <si>
    <t>After,they continue to go through rocky parts of the water and slide down small hills.</t>
  </si>
  <si>
    <t>v_teDceMxV9PA</t>
  </si>
  <si>
    <t>A reporter reports on a story about amputees and non amputees using replacement limbs with advanced technology or as leg extenders and performance enhancers for non amputees.</t>
  </si>
  <si>
    <t>A reporter sits at a reporters table during a news broadcast before the clip cuts to people wearing limb replacement technology.</t>
  </si>
  <si>
    <t>Several clips of men who are not amputees wearing amputee extender legs are shown with the subjects running and bounced in the street.</t>
  </si>
  <si>
    <t>v_brewO_8bl4g</t>
  </si>
  <si>
    <t>Hulk Hogan is seen speaking to the camera while holding up his arms and another man stands in the background.</t>
  </si>
  <si>
    <t>The man continues speaking to the camera and leads into clips of a boy arm wrestling and another man holding up his arm.</t>
  </si>
  <si>
    <t>v_WnYqWQ005Tc</t>
  </si>
  <si>
    <t>An Asian male is standing on a hard wood floor and begins talking and begins to do a spin on his head.</t>
  </si>
  <si>
    <t>After the clip,he comes back and shows how to properly place your hands on the floor.</t>
  </si>
  <si>
    <t>As he continues,he grabs a beanie and puts it on his hand to make him turn easier.</t>
  </si>
  <si>
    <t>The man then does the twist continuously and shows off the cricket position before returning to talk again.</t>
  </si>
  <si>
    <t>v_rob5gIT_pAw</t>
  </si>
  <si>
    <t>man is welding a metal machine in a room.</t>
  </si>
  <si>
    <t>man is talknig to the camera and is holding an emery in a machine room.</t>
  </si>
  <si>
    <t>v_Yyv8oxrFGV0</t>
  </si>
  <si>
    <t>A group of men are seen crowded around a table where more men are sitting and speaking.</t>
  </si>
  <si>
    <t>Eventually two men chug a beer followed down a line of more men drinking their beer.</t>
  </si>
  <si>
    <t>The men finish their beers and laugh and applaud one another while many watch on the sides.</t>
  </si>
  <si>
    <t>v_SMpmoqIk3Ts</t>
  </si>
  <si>
    <t>Several individuals are in the water playing a game and the man throws an orange ball to a person.</t>
  </si>
  <si>
    <t>The person then takes the ball and throws it to the man sitting next to the goal.</t>
  </si>
  <si>
    <t>He then moves to the other side of the pool and grabs the goal.</t>
  </si>
  <si>
    <t>v_Xhrk1wP8tCs</t>
  </si>
  <si>
    <t>A man is sitting down next to a desk where a fitness equipment piece is placed.</t>
  </si>
  <si>
    <t>The man shows off the pedals of the equipment as well as a timer on the equipment.</t>
  </si>
  <si>
    <t>A woman is seen walking on the equipment.</t>
  </si>
  <si>
    <t>A man pulls the fitness equipment from under a desk.</t>
  </si>
  <si>
    <t>The man is seen by the desk again, talking about the fitness equipment.</t>
  </si>
  <si>
    <t>v_Snw8Jf1DQwg</t>
  </si>
  <si>
    <t>A screenshot of a woman wearing a blue jumpsuit is standing in a pose holding two batons and white words on the middle of the screen say "2 Baton Nicole".</t>
  </si>
  <si>
    <t>The woman is now standing on a floor with a lot of colorful lines and dashes and she begins her 2 baton routine that includes a lot of twirling, spinning, and throwing and catching of the batons.</t>
  </si>
  <si>
    <t>Almost to the end of her routine the woman drops the baton twice, picks them up and continues to do her routine until the end.</t>
  </si>
  <si>
    <t>v_On4V94fVLpg</t>
  </si>
  <si>
    <t>A lady speaks with two pumpkins on a table.</t>
  </si>
  <si>
    <t>A woman shows her palm.</t>
  </si>
  <si>
    <t>A person carves a pumpkin.</t>
  </si>
  <si>
    <t>A females gives an interview on carving kit.</t>
  </si>
  <si>
    <t>Children hold pumpkins with smiles on their faces.</t>
  </si>
  <si>
    <t>A man pulls the top of a pumpkin off.</t>
  </si>
  <si>
    <t>The lady presents a knife and a smaller knife.</t>
  </si>
  <si>
    <t>Two people sit with papers in front of them.</t>
  </si>
  <si>
    <t>v_K9kVsnTQh-g</t>
  </si>
  <si>
    <t>A man in sweat shirt washes plates and cups in a sink with soapy water.</t>
  </si>
  <si>
    <t>The man picks up silverware soaking in sink and washes them off.</t>
  </si>
  <si>
    <t>The man washes pots and a cutting board.</t>
  </si>
  <si>
    <t>The man washes a coffee press gadget.</t>
  </si>
  <si>
    <t>The man turns off the water and drains the sink.</t>
  </si>
  <si>
    <t>v_ssies4ErWus</t>
  </si>
  <si>
    <t>People are sitting on the edge of the water.</t>
  </si>
  <si>
    <t>A guy is chopping something on the ground.</t>
  </si>
  <si>
    <t>A woman gets up and walks away.</t>
  </si>
  <si>
    <t>v_KdqoLhoXjS8</t>
  </si>
  <si>
    <t>A grooming room is shown and three people are washing different dogs.</t>
  </si>
  <si>
    <t>Other rooms are shown and the dogs continue being groomed and laying down on the ground waiting for their turn.</t>
  </si>
  <si>
    <t>After,the camera leaves the back of the office and the reception area is shown.</t>
  </si>
  <si>
    <t>v_mNTO-xnsaTc</t>
  </si>
  <si>
    <t>People are paddling oars in a blue raft.</t>
  </si>
  <si>
    <t>They go over a wave in the water.</t>
  </si>
  <si>
    <t>They continue going down the river.</t>
  </si>
  <si>
    <t>v_6PaTEwG8Ym4</t>
  </si>
  <si>
    <t>A man is seated on a chair in a hair salon.</t>
  </si>
  <si>
    <t>He is getting a haircut from a hairdresser who is wearing a blue dress.</t>
  </si>
  <si>
    <t>The man is sitting with a camera in his hand.</t>
  </si>
  <si>
    <t>The hairdresser finishes cutting his hair and then steps back.</t>
  </si>
  <si>
    <t>v_PNdG3SUdJzc</t>
  </si>
  <si>
    <t>A kneeling man attempts to start a fire while several others watch on.</t>
  </si>
  <si>
    <t>One of the spectators walks away briefly.</t>
  </si>
  <si>
    <t>The kneeling man starts a fire.</t>
  </si>
  <si>
    <t>One of the spectators kisses the kneeing man.</t>
  </si>
  <si>
    <t>v_A0R3KFXD_BU</t>
  </si>
  <si>
    <t>A group of men sit around a bar flirting with a bartender behind the bar.</t>
  </si>
  <si>
    <t>The woman continues talking to the men while the camera pans around various groups of people nearby the bar.</t>
  </si>
  <si>
    <t>The woman sparks with her hands while also dealing cards for people at the bar.</t>
  </si>
  <si>
    <t>v_izdf6Fm48Tc</t>
  </si>
  <si>
    <t>A man is seen speaking to the camera with a pair of shoes in front of him.</t>
  </si>
  <si>
    <t>He holds up the shoes as well as cleaning products and begins using them on the shoes.</t>
  </si>
  <si>
    <t>He wipes the shoes while still showing the cleaning products and speaking to the camera.</t>
  </si>
  <si>
    <t>v_a9qztQPPsJg</t>
  </si>
  <si>
    <t>man is sitting in font of a table talking about how to clean a white sneaker.</t>
  </si>
  <si>
    <t>man pour a liquid on water and cleans the shoe with a brush and with a wipe polish it.</t>
  </si>
  <si>
    <t>v_7MDr4f1r8rI</t>
  </si>
  <si>
    <t>Girls are shown one at a time, using pvc pipes to vault in an indoor gym onto a mat.</t>
  </si>
  <si>
    <t>Finally a boy is shown vaulting as well.</t>
  </si>
  <si>
    <t>v_P2HtcvFg3z8</t>
  </si>
  <si>
    <t>A close up of a cartoon earth is shown, followed by a cartoon man with a javelin.</t>
  </si>
  <si>
    <t>The man is then shown throwing three different javelins in competition, interspersed with words on the screen.</t>
  </si>
  <si>
    <t>v_Zgiq5MK8fQ8</t>
  </si>
  <si>
    <t>A woman is seen standing next to a frozen car while looking away from the camera.</t>
  </si>
  <si>
    <t>The woman then begins using a scraper to scrape off the sides.</t>
  </si>
  <si>
    <t>The woman continues scraping the car and looking off into the distance.</t>
  </si>
  <si>
    <t>v_v5KAaaZD6uk</t>
  </si>
  <si>
    <t>Athletes are giving interviews, and some show off their participation medals.</t>
  </si>
  <si>
    <t>Athletes are boarding white buses.</t>
  </si>
  <si>
    <t>The buses move down the road.</t>
  </si>
  <si>
    <t>A person stacks tee shirts.</t>
  </si>
  <si>
    <t>Athletes wait at the start line.</t>
  </si>
  <si>
    <t>Athletes are running down the road.</t>
  </si>
  <si>
    <t>Athletes cross the finish line.</t>
  </si>
  <si>
    <t>v_i1s-HuRTr5k</t>
  </si>
  <si>
    <t>An athlete is seen sitting on the ground when a man walks over and hands him shoes.</t>
  </si>
  <si>
    <t>The man then puts on the shoes and begins moving around the field.</t>
  </si>
  <si>
    <t>The man kicks a ball around while the camera follows him from behind.</t>
  </si>
  <si>
    <t>v_Nk4p-ah_PkA</t>
  </si>
  <si>
    <t>People playing a baseball game are shown on a large field with dozens of people watching on the side.</t>
  </si>
  <si>
    <t>The people continue playing the game and ends with several players running of the field in the end.</t>
  </si>
  <si>
    <t>v_IZdVPuT8Hfs</t>
  </si>
  <si>
    <t>A person is helping a young man to jump behind the rails of a bridge and check the belts.</t>
  </si>
  <si>
    <t>Then, the man jumps down the bridge.</t>
  </si>
  <si>
    <t>v_V4_SJyhRGqA</t>
  </si>
  <si>
    <t>A game of croquette is in progress.</t>
  </si>
  <si>
    <t>A man has lined up numerous colored balls.</t>
  </si>
  <si>
    <t>He moves down the line, hitting each ball through the goal.</t>
  </si>
  <si>
    <t>v_7uk4sqUBhks</t>
  </si>
  <si>
    <t>This video is a tutorial showing people how to ski correctly.</t>
  </si>
  <si>
    <t>First it tells you what environment you should ski in.</t>
  </si>
  <si>
    <t>It also shows someone skiing in the snow to accompany the steps given.</t>
  </si>
  <si>
    <t>v_gqJE_SZyoIc</t>
  </si>
  <si>
    <t>A man is working out on an elliptical machine.</t>
  </si>
  <si>
    <t>It shows the screen on the machine.</t>
  </si>
  <si>
    <t>v_lEqYTrzaHsc</t>
  </si>
  <si>
    <t>An intro leads into a boat full of people flying on the water.</t>
  </si>
  <si>
    <t>The camera shows various angles of the boat moving along the water as well as close ups on the people on board.</t>
  </si>
  <si>
    <t>v_EavcvmrlVLQ</t>
  </si>
  <si>
    <t>We see men playing a game of soccer and scoring repeatedly indoors.</t>
  </si>
  <si>
    <t>We see a goalie jumping around and a man shoot and score.</t>
  </si>
  <si>
    <t>We see a happy young man fanning his shirt.</t>
  </si>
  <si>
    <t>v_UfYMJBu4HI0</t>
  </si>
  <si>
    <t>Apply the tiles in the same exact direction.</t>
  </si>
  <si>
    <t>The tile must be installed over the adhesive.</t>
  </si>
  <si>
    <t>Then roll immediately with a hundred-point roller.</t>
  </si>
  <si>
    <t>Cut tiles near the perimeter to ensure smooth installation.</t>
  </si>
  <si>
    <t>v_QWhn9Ncvvso</t>
  </si>
  <si>
    <t>A person shows bacon on a dish, then puts mayonnaise on two pieces of bread.</t>
  </si>
  <si>
    <t>Then, the person puts bacon on a bread and lettuce and tomato on the other bread, then spread peeper and form the sandwich.</t>
  </si>
  <si>
    <t>Next, the person cuts the sandwich in half, then takes a half and gives a bite.</t>
  </si>
  <si>
    <t>v_VGVIaQuhdcI</t>
  </si>
  <si>
    <t>A man uses a tool to even plaster on a wall.</t>
  </si>
  <si>
    <t>The man works on the wall below the visible frame of the camera.</t>
  </si>
  <si>
    <t>The man rises up in front of the camera and walks past it.</t>
  </si>
  <si>
    <t>v_oXFKaTlg3p0</t>
  </si>
  <si>
    <t>People are riding in a boat in the water.</t>
  </si>
  <si>
    <t>The boat is pulling a tube with a man behind it.</t>
  </si>
  <si>
    <t>The person flies off of the tube.</t>
  </si>
  <si>
    <t>The boat is pulling the same tube with several young people on it.</t>
  </si>
  <si>
    <t>A person water skis behind the boat.</t>
  </si>
  <si>
    <t>A jet ski passes by the boat then we see the passengers.</t>
  </si>
  <si>
    <t>v_Qzewn-dGdOI</t>
  </si>
  <si>
    <t>A man holding a red cape is standing in front of a bull.</t>
  </si>
  <si>
    <t>The bull hits him and knocks him to the ground.</t>
  </si>
  <si>
    <t>People carry the man off the arena.</t>
  </si>
  <si>
    <t>v_K_I5LyzD8m0</t>
  </si>
  <si>
    <t>A barber rubs shaving cream on a man's bald head.</t>
  </si>
  <si>
    <t>The barber stops to clean his hands with a towel.</t>
  </si>
  <si>
    <t>The barber grabs a razor and slowly shaves the head of the man.</t>
  </si>
  <si>
    <t>v_XP8pufIBsnM</t>
  </si>
  <si>
    <t>A young man bend to lift a weight to his shoulders, then he lifts the weight above his head.</t>
  </si>
  <si>
    <t>The young man lets the weight falls on the floor.</t>
  </si>
  <si>
    <t>After, the man flips, and then a man comes and hugs the young man.</t>
  </si>
  <si>
    <t>v_DhYJl8KAZN4</t>
  </si>
  <si>
    <t>An intro comes onto the screen giving information for a percussion company.</t>
  </si>
  <si>
    <t>A man begins to play a set of drums with the camera showing him from several different angles.</t>
  </si>
  <si>
    <t>The camera shows his foot using a pedal to play the drums.</t>
  </si>
  <si>
    <t>As the video ends the closing credits are displayed.</t>
  </si>
  <si>
    <t>v_Y4svcMuQgBw</t>
  </si>
  <si>
    <t>A woman talks and smiles while ironing a garment from a laundry room.</t>
  </si>
  <si>
    <t>A woman wearing a pink shirt and apron stands in a laundry room in front of a washer and dryer and talks facing the camera.</t>
  </si>
  <si>
    <t>The woman bends down to pick up a garment and then spreads it over an ironing table.</t>
  </si>
  <si>
    <t>The woman proceeds to iron the garment, stopping momentarily, to spray the garment with a liquid from a white spray bottle, then finishes ironing the garment and holds it to her face and cheeks and smiles.</t>
  </si>
  <si>
    <t>v_o0d1PXKkJqM</t>
  </si>
  <si>
    <t>There's a man in a pink shirt and a lady in a white tank top holding bagpipes in her hand.</t>
  </si>
  <si>
    <t>They are standing in a parking lot near a silver car.</t>
  </si>
  <si>
    <t>The lady begins playing her bagpipes as the man watches her play.</t>
  </si>
  <si>
    <t>She continues playing and after she's done, the man claps for her and gives her a hug.</t>
  </si>
  <si>
    <t>v_z9PXpyWbXk8</t>
  </si>
  <si>
    <t>The kid is standing in the court.</t>
  </si>
  <si>
    <t>The little girl is sitting at the other end of a mat.</t>
  </si>
  <si>
    <t>The young boy run towards the mat and jump over the pole.</t>
  </si>
  <si>
    <t>v_UdIoEWadRxI</t>
  </si>
  <si>
    <t>A woman bartender is standing behind a bar.</t>
  </si>
  <si>
    <t>An empty glass is in front of her as she talks.</t>
  </si>
  <si>
    <t>She adds ice to the glass with a scoop.</t>
  </si>
  <si>
    <t>She adds three different liquids from three bottles to the glass.</t>
  </si>
  <si>
    <t>She stirs and continues to talk about the drink.</t>
  </si>
  <si>
    <t>v_fnZIksNLUXA</t>
  </si>
  <si>
    <t>We see people on a boat and then see quick shots of people on a boat in diving gear.</t>
  </si>
  <si>
    <t>We see people under water diving.</t>
  </si>
  <si>
    <t>A man holds a white thing and touches it over and over.</t>
  </si>
  <si>
    <t>Above water people are on the boat and a person falls into the water, we see people underwater diving and looking at sealife at night.</t>
  </si>
  <si>
    <t>A person falls back into the water and we are underwater near a shipwreck in the day.</t>
  </si>
  <si>
    <t>The men get on the boat after they are done.</t>
  </si>
  <si>
    <t>v_I1P5GuVHFQA</t>
  </si>
  <si>
    <t>A man is seen speaking to the camera while holding up various objects and sharpening a stick.</t>
  </si>
  <si>
    <t>The man then puts a helmet on and attached the stick to a holder, leading into the man creating a spark and cutting an object.</t>
  </si>
  <si>
    <t>He pauses to speak more to the camera and looking down at the object to see how it turned out.</t>
  </si>
  <si>
    <t>v_n--IF_1qqYA</t>
  </si>
  <si>
    <t>A man is mowing his lawn, he has chickens in his coop.</t>
  </si>
  <si>
    <t>The time is speed up so quickly so it looks like it is in double time.</t>
  </si>
  <si>
    <t>He walks around the yard looking around.</t>
  </si>
  <si>
    <t>The yard looks very green and very nicely kept.</t>
  </si>
  <si>
    <t>v_0HrPpZa_xv8</t>
  </si>
  <si>
    <t>A cowboy on a horse runs after a cow.</t>
  </si>
  <si>
    <t>The cowboy jumps off the horse and runs after the cow.</t>
  </si>
  <si>
    <t>The cowboy ties the cow up.</t>
  </si>
  <si>
    <t>v_oRR1nIUPbjo</t>
  </si>
  <si>
    <t>A person is sitting in a raft going down a stream.</t>
  </si>
  <si>
    <t>There are multiple people in a raft going in the river.</t>
  </si>
  <si>
    <t>Someone falls into the water and gets helped back in.</t>
  </si>
  <si>
    <t>v_eMNvlcxXZj8</t>
  </si>
  <si>
    <t>They are stepping on stepping stools.</t>
  </si>
  <si>
    <t>They are dancing together while working out.</t>
  </si>
  <si>
    <t>v_MZQmJZ_31O0</t>
  </si>
  <si>
    <t>We see a ladies eye and noes up close.</t>
  </si>
  <si>
    <t>We see the lady in the desert spinning hula hoops and performing tricks.</t>
  </si>
  <si>
    <t>The lady hula hoops with 10 or so golden hula hoops.</t>
  </si>
  <si>
    <t>The lady spins the hoop on her hand then transfers it to her leg stretched upward and we see her in the gold hoops again.</t>
  </si>
  <si>
    <t>The lady spins her body in and out of the hoops and we see her in a handstand with the hula hoop on her feet.</t>
  </si>
  <si>
    <t>She is in the gold hoops as they fall to the ground she then spins many pink hoops from her hands to her feet and as a skirt.</t>
  </si>
  <si>
    <t>v_yauw3CrvbtY</t>
  </si>
  <si>
    <t>A man in a white shirt is standing next to a swimming pool.</t>
  </si>
  <si>
    <t>A man is holding a camera filming him go up the stairs.</t>
  </si>
  <si>
    <t>He stands on a diving board and jumps into the pool below him.</t>
  </si>
  <si>
    <t>He gets out of the water and walks to give hugs to people.</t>
  </si>
  <si>
    <t>v_y3r4IrZkgBo</t>
  </si>
  <si>
    <t>A woman is seen sitting on a tub with a towel wrapped around her and shaving her legs.</t>
  </si>
  <si>
    <t>She then laughs to the camera and runs out with a young boy pushing her to the floor.</t>
  </si>
  <si>
    <t>v_cz20Wqx9d4Q</t>
  </si>
  <si>
    <t>Two men are sitting at a picnic table getting ready to arm wrestle.</t>
  </si>
  <si>
    <t>Various people are watching from the sides and the men begin to arm wrestle.</t>
  </si>
  <si>
    <t>A man is interviewed by the cameraman and shows off his biceps to the camera.</t>
  </si>
  <si>
    <t>Two men continue talking to the camera and eventually begin arm wrestling again.</t>
  </si>
  <si>
    <t>They play various matches of arm wrestling and interview a woman onlooker who also wants to arm wrestle.</t>
  </si>
  <si>
    <t>The man lets her win their arm wrestling match and the girl seems giddy.</t>
  </si>
  <si>
    <t>v_1cccnJAK7TI</t>
  </si>
  <si>
    <t>A guy is tattooing a lady's upper arm.</t>
  </si>
  <si>
    <t>The lady is in pain.</t>
  </si>
  <si>
    <t>The guy whips with a white paper towel.</t>
  </si>
  <si>
    <t>v_W6y6Vmk5edg</t>
  </si>
  <si>
    <t>A gymnast is seen leaning across a long beam and begins performing a gymnastics routine.</t>
  </si>
  <si>
    <t>The girl flips and tricks along the beam while others watch on the side.</t>
  </si>
  <si>
    <t>The woman continues moving along the beam and ends by jumping off the side and walking off the stage.</t>
  </si>
  <si>
    <t>v_Z4biLo6k5fI</t>
  </si>
  <si>
    <t>The faucet showing is then a hand attached the hose and tighten the hose.</t>
  </si>
  <si>
    <t>A straw is attached to a tank.</t>
  </si>
  <si>
    <t>The woman is washing the dog with the hose in the bathtub.</t>
  </si>
  <si>
    <t>v_M2OoQFcDflU</t>
  </si>
  <si>
    <t>A tray of chips are shown on a table.</t>
  </si>
  <si>
    <t>A person is dealing cards onto the table.</t>
  </si>
  <si>
    <t>People sitting at the table give each other high fives.</t>
  </si>
  <si>
    <t>v_A6DBt7UgWEg</t>
  </si>
  <si>
    <t>A spinning disc with circles of color are shown, panning out a a film reel and the words films of india.</t>
  </si>
  <si>
    <t>A man is shown stretching before engaging in a tennis match in front of a crowd.</t>
  </si>
  <si>
    <t>He then speaks to the crowd amongst flashing cameras through a microphone.</t>
  </si>
  <si>
    <t>The man is occasionally shown playing tennis, then goes back to speaking to the group.</t>
  </si>
  <si>
    <t>v_Gl3okOVEwgg</t>
  </si>
  <si>
    <t>A man is standing at the foot of a large wall.</t>
  </si>
  <si>
    <t>He is stretching and staring at it looking like he might climb it.</t>
  </si>
  <si>
    <t>He looks up and down before putting a foot on the base of the wall.</t>
  </si>
  <si>
    <t>He then starts to climb higher and higher.</t>
  </si>
  <si>
    <t>He scales the wall very methodically.</t>
  </si>
  <si>
    <t>He eventually get to the very top with relative ease.</t>
  </si>
  <si>
    <t>v_-fuvIQpA-QQ</t>
  </si>
  <si>
    <t>A teen boy is standing in a kitchen, holding a pitcher and talking.</t>
  </si>
  <si>
    <t>He fills the pitcher with water at the sink.</t>
  </si>
  <si>
    <t>He then mixes a powder into the water, creating a drink mix.</t>
  </si>
  <si>
    <t>He ads alcohol, then drinks from the pitcher to test the flavor.</t>
  </si>
  <si>
    <t>v_nXr1r26HZis</t>
  </si>
  <si>
    <t>A group of people are inside a building.</t>
  </si>
  <si>
    <t>They are playing a game of foosball together.</t>
  </si>
  <si>
    <t>They kick the figures back and forth, trying to win the game.</t>
  </si>
  <si>
    <t>v_LslQvR_4bkk</t>
  </si>
  <si>
    <t>A man practice ice hockey throwing a disc with a stick.</t>
  </si>
  <si>
    <t>Then, the player scores in a game and he is congratulated by teammates.</t>
  </si>
  <si>
    <t>Other player talks and talks when score while men plays ice hockey.</t>
  </si>
  <si>
    <t>A player talks and teams are playing in the ice court, and players score.</t>
  </si>
  <si>
    <t>v_1JEQbXJC85w</t>
  </si>
  <si>
    <t>A man in tshirt leans on a kitchen counter next to bags of ingredients.</t>
  </si>
  <si>
    <t>The man presents each separate ingredient and holds them up showing each one.</t>
  </si>
  <si>
    <t>A pan of sliced sausage and peppers cooks on a stove.</t>
  </si>
  <si>
    <t>A pot of soup boils.</t>
  </si>
  <si>
    <t>Ingredients sit next to the stove top and are being used to prepare the food.</t>
  </si>
  <si>
    <t>A bowl of sliced vegetables has the pans ingredients added in.</t>
  </si>
  <si>
    <t>A bowl of colander of pasta is added into to bowl and shaken.</t>
  </si>
  <si>
    <t>A bag of cheese is held up.</t>
  </si>
  <si>
    <t>The man speaks up close to the camera.</t>
  </si>
  <si>
    <t>v_bJx4unQR6nU</t>
  </si>
  <si>
    <t>A woman talks in an office.</t>
  </si>
  <si>
    <t>The woman explains how she curls her hair.</t>
  </si>
  <si>
    <t>v_aT-0XxCqV5E</t>
  </si>
  <si>
    <t>A large group of people are seen standing and sitting around a sand pit while a runner jumps inside it.</t>
  </si>
  <si>
    <t>The man is shown several times jumping with people measuring his jump afterwards and raking the sand.</t>
  </si>
  <si>
    <t>v_w8LDUu66JWI</t>
  </si>
  <si>
    <t>Two cheerleaders exercise in a gym while talking.</t>
  </si>
  <si>
    <t>A cheerleader is in a room and then lift weight, while the other one talks on his phone.</t>
  </si>
  <si>
    <t>After, the cheerleaders talk and exercise.</t>
  </si>
  <si>
    <t>After, the cheerleaders exercise and also talk.</t>
  </si>
  <si>
    <t>v_UJfwaeMrZ7A</t>
  </si>
  <si>
    <t>A woman is on a concrete court outside.</t>
  </si>
  <si>
    <t>She is jumping across a chalk drawn hopscotch game.</t>
  </si>
  <si>
    <t>She goes back and forth over the puzzle twice.</t>
  </si>
  <si>
    <t>v_TqO-bmGQGiY</t>
  </si>
  <si>
    <t>Two dogs wearing clothing run together up stairs.</t>
  </si>
  <si>
    <t>The two dogs are shown running together amidst crowds in several different locations while following a man.</t>
  </si>
  <si>
    <t>The man teaches one dog to pull another by the leash.</t>
  </si>
  <si>
    <t>v_AVL31l6H1uI</t>
  </si>
  <si>
    <t>A lady in a suit talks in a white room.</t>
  </si>
  <si>
    <t>We see a man washing a car with a towel.</t>
  </si>
  <si>
    <t>We see the car being rinsed with a pressure washer and the wheel is wiped.</t>
  </si>
  <si>
    <t>the emblem appears on the screen as suds slip down a car.</t>
  </si>
  <si>
    <t>v_r6r4Q9jLFvs</t>
  </si>
  <si>
    <t>A man is standing in a room with three walls and a glass wall behind him hitting a ball with a racket.</t>
  </si>
  <si>
    <t>A series of words are then shown as well as a YouTube video.</t>
  </si>
  <si>
    <t>The next screen comes around with a large hot air balloon and animated cars.</t>
  </si>
  <si>
    <t>v_rVRNX-fClE4</t>
  </si>
  <si>
    <t>A blurry object is shown and white text shows up that reads "Fun Shoe Shine".</t>
  </si>
  <si>
    <t>As the picture becomes more clear there is a small silver can with a screw on lid and the writing on the can say's "Dr Martens AirWair".</t>
  </si>
  <si>
    <t>A pair of shiny black boots are standing and their black shoelaces are tied and the text "After" appears on the front left area of the boot.</t>
  </si>
  <si>
    <t>A few angles of the boots are shown and various words pop up in front of them.</t>
  </si>
  <si>
    <t>A person is then seen wiping the boot down with a cloth and more texts show up.</t>
  </si>
  <si>
    <t>A close up of the silver can being opened by a hand is showing the contents in it and how to use the contents on a boot.</t>
  </si>
  <si>
    <t>The can is then screwed tight again and the texts "See you next time" ends the video.</t>
  </si>
  <si>
    <t>Pop up texts occur throughout the entire time.</t>
  </si>
  <si>
    <t>v_U4UHEGNFyz8</t>
  </si>
  <si>
    <t>A person is riding a bike down a dirt track.</t>
  </si>
  <si>
    <t>A little boy wearing red is riding a small bike down the track.</t>
  </si>
  <si>
    <t>A person falls down at the end.</t>
  </si>
  <si>
    <t>v_3jEnu5mEYA4</t>
  </si>
  <si>
    <t>Food sizzling in hot oil in a black skillet on the stove, a long stemmed spoon sits in the skillet.</t>
  </si>
  <si>
    <t>Onions are added to the skillet.</t>
  </si>
  <si>
    <t>the skillet is stirred and the spoon removed.</t>
  </si>
  <si>
    <t>Salt is added and stirred in.</t>
  </si>
  <si>
    <t>The skillet gently sizzles as the mix cooks.</t>
  </si>
  <si>
    <t>Spices are added to the skillet.</t>
  </si>
  <si>
    <t>The flame is visible as the skillet sizzles more vigorously, the skillet is stirred and the food is browning.</t>
  </si>
  <si>
    <t>4 eggs are broken into the skillet.</t>
  </si>
  <si>
    <t>The mixture is stirred and left to cook.</t>
  </si>
  <si>
    <t>Pasta is poured and stirred in to the mixture from a sieve.</t>
  </si>
  <si>
    <t>It is left to cook more.</t>
  </si>
  <si>
    <t>It is now plated and fresh herbs are sprinkled on top.</t>
  </si>
  <si>
    <t>v_TcGhRsPTTRE</t>
  </si>
  <si>
    <t>A man is seen walking around an area pointing to himself and speaking to the camera.</t>
  </si>
  <si>
    <t>The man then begins performing various martial arts moves and kicking towards the camera.</t>
  </si>
  <si>
    <t>The man continues moving around while the camera captures his movements.</t>
  </si>
  <si>
    <t>v_hgzyQ_jHeJc</t>
  </si>
  <si>
    <t>A gymnast bows before walking up to the beam.</t>
  </si>
  <si>
    <t>He mounts the beam and begins to perform.</t>
  </si>
  <si>
    <t>He spins around the beam multiple times.</t>
  </si>
  <si>
    <t>He jumps off the beam in a finale.</t>
  </si>
  <si>
    <t>v_HysxcMFrTkc</t>
  </si>
  <si>
    <t>A group of men dressed as redcoats march onto a stage.</t>
  </si>
  <si>
    <t>We then see a woman holding a flag in the center and many women alongside her as they jump on a massive jumprope.</t>
  </si>
  <si>
    <t>They perform many jumping and flipping tricks with the ropes, bringing in more ropes every few minutes.</t>
  </si>
  <si>
    <t>When they finish, they freeze in a pose and the screen turns black.</t>
  </si>
  <si>
    <t>v_B-KSdR2ct00</t>
  </si>
  <si>
    <t>A woman is brushing her teeth.</t>
  </si>
  <si>
    <t>A woman approaches behind her.</t>
  </si>
  <si>
    <t>The woman stops brushing her teeth.</t>
  </si>
  <si>
    <t>A woman smiles really big.</t>
  </si>
  <si>
    <t>v_Ds-LrRrLj9c</t>
  </si>
  <si>
    <t>A little girl wearing a brown bow is standing in front of the sink brushing her teeth.</t>
  </si>
  <si>
    <t>The little girl,then turns the water on and spits several times in the sink.</t>
  </si>
  <si>
    <t>Finally,she puts the brush down,rinses her mouth and dries it with a brown towel.</t>
  </si>
  <si>
    <t>v_QLsdBUBpz_8</t>
  </si>
  <si>
    <t>A small child is seen sitting on top of a slide and looking back towards the camera.</t>
  </si>
  <si>
    <t>The boy then pushes himself backwards down the slide while turning over in the end and jumping off.</t>
  </si>
  <si>
    <t>v_ri5WJu1K0ak</t>
  </si>
  <si>
    <t>A young girl is seen speaking to the camera and begins playing with her hair.</t>
  </si>
  <si>
    <t>She pins up her and puts put a headband in her hair.</t>
  </si>
  <si>
    <t>She then puts in more fake hair as well as doing her makeup.</t>
  </si>
  <si>
    <t>She points to the camera in the end and smiles.</t>
  </si>
  <si>
    <t>v_8yFimnZ8XhA</t>
  </si>
  <si>
    <t>A girl is sitting in a tube surrounded by a large group of people also sitting on tubes.</t>
  </si>
  <si>
    <t>The camera pans around to the various people sitting in the tubes.</t>
  </si>
  <si>
    <t>The girl jumps out of her tube and finds herself swimming in the water.</t>
  </si>
  <si>
    <t>v_MEbEcvzdytY</t>
  </si>
  <si>
    <t>A woman in a red workout shirt is talking about the benefits of an elliptical cross trainer.</t>
  </si>
  <si>
    <t>Another woman in a pink tank top is demonstrating the use of the elliptical.</t>
  </si>
  <si>
    <t>The woman in red continues explaining the use of the elliptical.</t>
  </si>
  <si>
    <t>Then a demonstration of how the legs must move on the elliptical is shown.</t>
  </si>
  <si>
    <t>The woman in red further explains benefits of the workout with an elliptical.</t>
  </si>
  <si>
    <t>The woman on the machine continues to show the viewers the correct way to exercising on the elliptical.</t>
  </si>
  <si>
    <t>The host then concludes the tutorial.</t>
  </si>
  <si>
    <t>v_ZMG8WE3Y22k</t>
  </si>
  <si>
    <t>Several pictures of different individual are shown white water rafting as an intro for a video.</t>
  </si>
  <si>
    <t>Men then arrive in a field and take the rafts out before more pictures are shown.</t>
  </si>
  <si>
    <t>The men then stand in the field with their paddles and actually get in the raft demonstrating the proper way to row.</t>
  </si>
  <si>
    <t>Finally,they are in the water and all of them begin to paddle throughout the water.</t>
  </si>
  <si>
    <t>More people join them and they eventually get out of the water and walk back to land.</t>
  </si>
  <si>
    <t>v_Io8EwPbNUbE</t>
  </si>
  <si>
    <t>A video tutorial is shown of a family doing dishes at a campsite.</t>
  </si>
  <si>
    <t>Everything is thrown into two buckets.</t>
  </si>
  <si>
    <t>One with soap and the other to rinse.</t>
  </si>
  <si>
    <t>v_b40ECuGuck8</t>
  </si>
  <si>
    <t>Woman throws a throwing knife at board.</t>
  </si>
  <si>
    <t>Three men throw knives.</t>
  </si>
  <si>
    <t>Knives hit a board.</t>
  </si>
  <si>
    <t>Two men throw throwing knives backwards.</t>
  </si>
  <si>
    <t>Man throws throwing knife.</t>
  </si>
  <si>
    <t>Woman throws throwing knife.</t>
  </si>
  <si>
    <t>A man and woman throw throwing knives.</t>
  </si>
  <si>
    <t>Man throws knife while laying down.</t>
  </si>
  <si>
    <t>Man demonstrates techniques to students.</t>
  </si>
  <si>
    <t>Dojo members practice techniques.</t>
  </si>
  <si>
    <t>Dojo members bow to the man.</t>
  </si>
  <si>
    <t>v_TakNLlCbjvw</t>
  </si>
  <si>
    <t>A child walks by a hopscotch pattern.</t>
  </si>
  <si>
    <t>The child puts her palms on the hopscotch pattern.</t>
  </si>
  <si>
    <t>The child hops on the hopscotch pattern.</t>
  </si>
  <si>
    <t>v_lu1bVIcDn4c</t>
  </si>
  <si>
    <t>A young woman is standing behind a counter with a black skillet on it.</t>
  </si>
  <si>
    <t>In her hands,she is holding two onions then the video rapidly shows her with a tomato,rutabaga and a bag of Cathedral City mature cheddar.</t>
  </si>
  <si>
    <t>Next,she begins cutting each of the ingredients and adds butter to a skillet.</t>
  </si>
  <si>
    <t>After it is fried for five minutes,the mushrooms go in the pot and three eggs are cracked.</t>
  </si>
  <si>
    <t>The rest of the contents are added into a measuring cup then eventually all of the contents are poured into a frying pan.</t>
  </si>
  <si>
    <t>After sometime,an omelette is created and put on a plate along with two slices of toast.</t>
  </si>
  <si>
    <t>v_V9LQVhq2ePE</t>
  </si>
  <si>
    <t>A camera pans away from a sign and leads into people pushing material around a floor.</t>
  </si>
  <si>
    <t>A bend bends down around a floor and pushes the material around the room.</t>
  </si>
  <si>
    <t>In the end the camera pans around the finished floor.</t>
  </si>
  <si>
    <t>v_G12fEYNjIR0</t>
  </si>
  <si>
    <t>Team USA Women are in the Olympics.</t>
  </si>
  <si>
    <t>Tracy,Natalie, Nicole,Allison and Debbie are group photographed in multiple scenes.</t>
  </si>
  <si>
    <t>As Team USA scores,the team mates hug.</t>
  </si>
  <si>
    <t>v_zGwcX0S4DVA</t>
  </si>
  <si>
    <t>People are riding camels in the desert.</t>
  </si>
  <si>
    <t>People are walking alongside camels.</t>
  </si>
  <si>
    <t>A lady looks down and to the side of her camel.</t>
  </si>
  <si>
    <t>v_RbbjYXAxaPI</t>
  </si>
  <si>
    <t>A large crowd sits in a theater clapping and watching.</t>
  </si>
  <si>
    <t>Two women are seen on stage dancing.</t>
  </si>
  <si>
    <t>One of the women shows her talent balancing swords on her different parts of her body.</t>
  </si>
  <si>
    <t>v_W_LjBXWG7wI</t>
  </si>
  <si>
    <t>Several shots of beaches are shown and leads into women in bikinis playing a game of volley ball.</t>
  </si>
  <si>
    <t>The girls continue playing then sit on the sides and touch each other's legs.</t>
  </si>
  <si>
    <t>They then put lotion all over their legs and begins shaving their legs and holding the ball laughing in the end.</t>
  </si>
  <si>
    <t>v_4x08i2_AYKo</t>
  </si>
  <si>
    <t>A man walks on stilts into a park.</t>
  </si>
  <si>
    <t>Turns to his right and walks pass a row of benches.</t>
  </si>
  <si>
    <t>The man speeds up then returns to his initial speed.</t>
  </si>
  <si>
    <t>The man reaches the park's sign and comes to a stop.</t>
  </si>
  <si>
    <t>v_K_0DLTcFy-8</t>
  </si>
  <si>
    <t>A man with a thick mustache is dressed in winter clothing is sitting on a white bucket turned upside down on a frozen body of water as he drinks a beer from a blue can and talking.</t>
  </si>
  <si>
    <t>The man then picks up his fishing pole and pulls on the fishing wire that's in the fishing hole in front of him,holds the wire up, then puts it back in the hole while he's still talking.</t>
  </si>
  <si>
    <t>The man then gets off of his bucket and while on his two knees he puts his fingers in and out of the fishing hole and keeps talking.</t>
  </si>
  <si>
    <t>v_BAgUUUOGaxI</t>
  </si>
  <si>
    <t>A man is seen sitting in a busy city square playing an accordion while others watch.</t>
  </si>
  <si>
    <t>The man continues playing as people walk around and notice.</t>
  </si>
  <si>
    <t>v_nM_6V_Z6IwI</t>
  </si>
  <si>
    <t>A man is in front of a mirror.</t>
  </si>
  <si>
    <t>He is covering his face in a white liquid substance.</t>
  </si>
  <si>
    <t>He then disappears for a while, and returns with a wet but clean face.</t>
  </si>
  <si>
    <t>v_PLPUWZ7XZDo</t>
  </si>
  <si>
    <t>She grabs a while bar and holds it next to her.</t>
  </si>
  <si>
    <t>She puts the bar down and picks up a kettle bell.</t>
  </si>
  <si>
    <t>She lifts the kettle bell and puts it back down.</t>
  </si>
  <si>
    <t>She then picks it back up and lifts it up and down several times in front of her.</t>
  </si>
  <si>
    <t>v_IWHN3TD8mMQ</t>
  </si>
  <si>
    <t>A woman introduces herself to the camera and begins to talk about the topic of the video, pasta.</t>
  </si>
  <si>
    <t>The camera shows the ingredients that go into cooking pasta.</t>
  </si>
  <si>
    <t>The woman drops salt in a pot of water and turns the burners on.</t>
  </si>
  <si>
    <t>Once, boiling, she adds the pasta in the pot.</t>
  </si>
  <si>
    <t>She stirs the pasta, and then empties the pot in a colander once the pasta is al dente.</t>
  </si>
  <si>
    <t>She returns the pasta to the pot and adds olive oil.</t>
  </si>
  <si>
    <t>v_POafWgyeV0I</t>
  </si>
  <si>
    <t>A woman and male sports news reporter, report, during a live newscast, from behind a newscast table, on a story about the dangers of dodgeball in schools and whether or not a dodge ball hurts more than a soccer ball when hit with one or the other.</t>
  </si>
  <si>
    <t>Two newscasters talk to each other from behind a newscast table.</t>
  </si>
  <si>
    <t>The clip switches to display a series of video clips of different children playing dodgeball in gymnasiums and being hit by the dodgeball.</t>
  </si>
  <si>
    <t>The woman reporter then takes a group of men out to a enclosed, paved area, outdoors, and proceeds to throw both a dodgeball and soccer ball at them, at which point several of the men display that they have been hit and hurt by both balls.</t>
  </si>
  <si>
    <t>v_aG5kKRuw0Fk</t>
  </si>
  <si>
    <t>A large group of women are seen standing on a stage hitting drums while another group of men play behind them.</t>
  </si>
  <si>
    <t>The group continuously plays in front of a large crowd and ends with credits rolling along the screen.</t>
  </si>
  <si>
    <t>v_ZJWLTokAJbo</t>
  </si>
  <si>
    <t>A young woman is shown exercising on a black elliptical.</t>
  </si>
  <si>
    <t>She continues exercising and a close up of the machine is shown.</t>
  </si>
  <si>
    <t>Finally,she takes a sip of her water as she finishes her brisk workout and then Golds Gym appears in the middle of the screen.</t>
  </si>
  <si>
    <t>v_TQco5PWc2JU</t>
  </si>
  <si>
    <t>A man is seen speaking to the camera and leads into him with shaving cream.</t>
  </si>
  <si>
    <t>He then holds up a razor and begins shaving his face while old shots of movies are shown.</t>
  </si>
  <si>
    <t>The men continues shaving and ends with text across the screen.</t>
  </si>
  <si>
    <t>v_Y4pyUctR49I</t>
  </si>
  <si>
    <t>A patient sitting in a hospital chair in a hospital room gets her nails done by a manicurist who is wearing a green blouse.</t>
  </si>
  <si>
    <t>The patient is listening to music as she is moving her feet to the rhythm of some music.</t>
  </si>
  <si>
    <t>v_i887uArWX9w</t>
  </si>
  <si>
    <t>We see a game of Foosball being played.</t>
  </si>
  <si>
    <t>We pan up and see the players.</t>
  </si>
  <si>
    <t>We see the players on the left.</t>
  </si>
  <si>
    <t>A person spins the second from right bar.</t>
  </si>
  <si>
    <t>v_C4V6fqELvPY</t>
  </si>
  <si>
    <t>A fast motion video shows a young boy beginning to climb across a set of monkey bars.</t>
  </si>
  <si>
    <t>The boy makes it across and jumps down while another person attempts right behind him.</t>
  </si>
  <si>
    <t>v_9FJwDxnlW7Y</t>
  </si>
  <si>
    <t>A middle aged man is shoveling snow on a sidewalk while a medium sized brown dog chases the shovel.</t>
  </si>
  <si>
    <t>The man throws the snow and turns the other way to repeat the shoveling while the dog continues to chase the shovel.</t>
  </si>
  <si>
    <t>At the end of the sidewalk near a driveway a young woman in a black snowsuit lying on her stomach sees the dog chasing the shovel and laughs.</t>
  </si>
  <si>
    <t>The man now turns and runs down the sidewalk shoveling the snow again and the dog runs along with him.</t>
  </si>
  <si>
    <t>The man does not turn around and shovel the sidewalk again, but carries the snow in the shovel and walks away from the dog.</t>
  </si>
  <si>
    <t>The dog trails behind as if tired.</t>
  </si>
  <si>
    <t>v_nGYqSqf0yCY</t>
  </si>
  <si>
    <t>People are standing on a stage.</t>
  </si>
  <si>
    <t>They start playing a game of rock paper scissors.</t>
  </si>
  <si>
    <t>Men standing in referee shirts are standing behind them.</t>
  </si>
  <si>
    <t>v_WtBr459dWY4</t>
  </si>
  <si>
    <t>woman wearing a red shirt is holdgina ball and is trying to throw the ball to someone when somebody throw her a ball and now she gots two and throw them.</t>
  </si>
  <si>
    <t>man is holding a red ball and is walking in a wooden court and throw the ball.</t>
  </si>
  <si>
    <t>people are playing dodgeball in a roofedwooden gym.</t>
  </si>
  <si>
    <t>v_PV5Y3NeR5yQ</t>
  </si>
  <si>
    <t>A girl is standing outside in the middle of the road doing tricks with a hula hoop,moving it around her hips and her arms.</t>
  </si>
  <si>
    <t>While she is performing,a woman is sitting behind her with her bags on the ground.</t>
  </si>
  <si>
    <t>When the girl is finished performing,she grabs a beanie,holds it up and then starts to ask for money from the crowd of people who was watching her.</t>
  </si>
  <si>
    <t>v_NzMZlzy5Q9A</t>
  </si>
  <si>
    <t>Two sumo wrestlers are shown in a ring as spectators and a referee watch.</t>
  </si>
  <si>
    <t>The wrestlers crouch down and run into each other.</t>
  </si>
  <si>
    <t>They briefly wrestle while one man gets thrown out of the ring.</t>
  </si>
  <si>
    <t>The winner performs a hand signal with the referee.</t>
  </si>
  <si>
    <t>The loser walks in the back as they show a replay of the win.</t>
  </si>
  <si>
    <t>The video ends with the host interviewing the loser, and showing the sumo ring.</t>
  </si>
  <si>
    <t>v_j0FMv4RDpEk</t>
  </si>
  <si>
    <t>Men are working on a roof.</t>
  </si>
  <si>
    <t>A man is spraying the paste on the roof, a male is handing off the pieces, and a guy is adding the pieces to the pasted area on the roof.</t>
  </si>
  <si>
    <t>A person is spraying the paste on the roof pieces.</t>
  </si>
  <si>
    <t>v_aCJHnvM0Mkc</t>
  </si>
  <si>
    <t>A young Asian boy is standing in a living room with a mop in his hand.</t>
  </si>
  <si>
    <t>The boy bends down,picks up a spray bottle and squirts it on the floor.</t>
  </si>
  <si>
    <t>He then moves the broom back and forth and cleans the floor.</t>
  </si>
  <si>
    <t>v_qcYRPEEitZU</t>
  </si>
  <si>
    <t>A woman sits in front of a large crowd while holding shaving cream and a razor.</t>
  </si>
  <si>
    <t>Another man is seen on stage shaving his face and the woman begins shaving her legs.</t>
  </si>
  <si>
    <t>The crowd cheers them on for the shaving competition.</t>
  </si>
  <si>
    <t>v_mxY7J50ItrU</t>
  </si>
  <si>
    <t>A small group of people are seen standing side by side with one another punching a bag one after the other.</t>
  </si>
  <si>
    <t>Many people are then shown kicking the bags next to one another.</t>
  </si>
  <si>
    <t>v_wkJWeSw8FSE</t>
  </si>
  <si>
    <t>A man stands lighting a stick with campers in the background and a fire blazing.</t>
  </si>
  <si>
    <t>He sticks the cone into the fire and the end of the stick begins to catch fire.</t>
  </si>
  <si>
    <t>v_xATeffo_kP4</t>
  </si>
  <si>
    <t>A close up of a fooseball table is shown as well as people playing on the table.</t>
  </si>
  <si>
    <t>The game continues on as the people use the bars to move the game as the ball moves back and fourth.</t>
  </si>
  <si>
    <t>v_jCd-VeMUwRg</t>
  </si>
  <si>
    <t>A group of people are wearing snorkeling gear in the edge of the ocean water.</t>
  </si>
  <si>
    <t>They are then seen under the water, exploring and looking at fish.</t>
  </si>
  <si>
    <t>They reach out to touch the fish as they swim by.</t>
  </si>
  <si>
    <t>v_n1KeC6NXPUA</t>
  </si>
  <si>
    <t>A girl is playing on a playground.</t>
  </si>
  <si>
    <t>She goes backwards on the monkey bars.</t>
  </si>
  <si>
    <t>She shows her hands to the camera and continues talking.</t>
  </si>
  <si>
    <t>v_aivuk1LvDv8</t>
  </si>
  <si>
    <t>A woman is playing a classical song on the piano in a black and white film.</t>
  </si>
  <si>
    <t>She begins to speed up the pace of the music she is playing.</t>
  </si>
  <si>
    <t>The camera shows her playing the piano from overhead.</t>
  </si>
  <si>
    <t>The audience applauds for the woman and the video ends.</t>
  </si>
  <si>
    <t>v_GWRqx0obKzA</t>
  </si>
  <si>
    <t>A group pose smiling for the camera.</t>
  </si>
  <si>
    <t>A group wave to the camera while more people in the background walk through the water.</t>
  </si>
  <si>
    <t>The group go rafting on the water.</t>
  </si>
  <si>
    <t>They wave again to the camera.</t>
  </si>
  <si>
    <t>The group are shown in their raft as they sail along the river.</t>
  </si>
  <si>
    <t>They are shown taking a break in the river.</t>
  </si>
  <si>
    <t>POV footage from one of the rafters.</t>
  </si>
  <si>
    <t>The group is out of the river and hiking.</t>
  </si>
  <si>
    <t>v_sfPGQnxbJ3U</t>
  </si>
  <si>
    <t>men are in front of a mirror in a room.</t>
  </si>
  <si>
    <t>man is alone practicing kicks and punches.</t>
  </si>
  <si>
    <t>man wearing white shirt is stretching her legs bind the other man.</t>
  </si>
  <si>
    <t>v_bNvAqFcKzqU</t>
  </si>
  <si>
    <t>A large group of people are seen wandering around a city square with a young child in the middle playing an instrument.</t>
  </si>
  <si>
    <t>The boy plays a saxophone while people walk past him and put money down.</t>
  </si>
  <si>
    <t>The boy continues playing while the camera captures his movements and others stop to watch.</t>
  </si>
  <si>
    <t>v_xWxpAaPhknA</t>
  </si>
  <si>
    <t>People are jumping off diving boards into the pool below them.</t>
  </si>
  <si>
    <t>They are walking up a set of stairs to get to the diving board.</t>
  </si>
  <si>
    <t>A person does a back flip into the water.</t>
  </si>
  <si>
    <t>v_b7Q-Jj9ZEH0</t>
  </si>
  <si>
    <t>The little girl slide down the yellow slide and fell on the pool of balls.</t>
  </si>
  <si>
    <t>The girl reach out the a hand as she climbs on the top of the slide.</t>
  </si>
  <si>
    <t>The girl slide down again and fell on the pool of ball but on her stomach.</t>
  </si>
  <si>
    <t>v_N7kI8J6vfL8</t>
  </si>
  <si>
    <t>Girls are going down a small red slide.</t>
  </si>
  <si>
    <t>A man in a red shirt is standing behind them.</t>
  </si>
  <si>
    <t>He walks away towards the house.</t>
  </si>
  <si>
    <t>v_iIhEO_NA8gk</t>
  </si>
  <si>
    <t>A young girl is outside running down the road between a forest and then ends up in the airport.</t>
  </si>
  <si>
    <t>She is sitting down playing on her iPad and then begins to board an airplane.</t>
  </si>
  <si>
    <t>The plane lands and she is in a cabin and begins skiing at a resort.</t>
  </si>
  <si>
    <t>As she is skating,she changes her skis and the screen is covered with a grey static like film and the person continues with her snow activities.</t>
  </si>
  <si>
    <t>v_mZ6iJfRokTw</t>
  </si>
  <si>
    <t>A man is floating in the ocean water talking.</t>
  </si>
  <si>
    <t>He then talks to a group of people while drinking an energy drink.</t>
  </si>
  <si>
    <t>He bungee jumps off the side of a bridge.</t>
  </si>
  <si>
    <t>He is talking to the camera as he swings above the water.</t>
  </si>
  <si>
    <t>v_bULPHJydFTQ</t>
  </si>
  <si>
    <t>We see a locker room, and the title screen.</t>
  </si>
  <si>
    <t>We see a man winding up to throw the hammer in track and field on his third attempt.</t>
  </si>
  <si>
    <t>After it's thrown we see men measuring the distance.</t>
  </si>
  <si>
    <t>We then see his fifth attempt and the measuring.</t>
  </si>
  <si>
    <t>We then see his sixth attempt and measuring.</t>
  </si>
  <si>
    <t>The camera zooms in on the man as he shakes another mans hand.</t>
  </si>
  <si>
    <t>We then see 8 men standing on platforms holding plaques.</t>
  </si>
  <si>
    <t>v_J6ScF5n_Cug</t>
  </si>
  <si>
    <t>A young girl plays the clarinet.</t>
  </si>
  <si>
    <t>The girl pauses for a second to flip her music sheet standing in front of her.</t>
  </si>
  <si>
    <t>The young girl resumes playing her clarinet.</t>
  </si>
  <si>
    <t>The girl stops and looking pleased with her performance.</t>
  </si>
  <si>
    <t>v_KuAVv3uS4zc</t>
  </si>
  <si>
    <t>Several intros lead into a bike race between 3 men on bikes.</t>
  </si>
  <si>
    <t>One crashes hard while the others pass and continue the race.</t>
  </si>
  <si>
    <t>All men continue to ride through the track until one eventually wins while one chases him.</t>
  </si>
  <si>
    <t>v_lUk_dSjmIgM</t>
  </si>
  <si>
    <t>A young girl is cleaning the sink.</t>
  </si>
  <si>
    <t>The girl gets her shirt all wet.</t>
  </si>
  <si>
    <t>The girl points to the drain of the sink.</t>
  </si>
  <si>
    <t>v_C53reDr47oU</t>
  </si>
  <si>
    <t>A young child is shown rubbing glitter all over his lips and walking over to a mirror.</t>
  </si>
  <si>
    <t>He continues putting the gloss on his lips and smacking his lips and finally turning towards the camera to speak.</t>
  </si>
  <si>
    <t>v_WElK913B33U</t>
  </si>
  <si>
    <t>A man and a woman works out the a cardio machine.</t>
  </si>
  <si>
    <t>The stride length of the pedal is displayed in the screen.</t>
  </si>
  <si>
    <t>Then, the man comes to meet the woman that exercise.</t>
  </si>
  <si>
    <t>Then the man exercise, and the muscles of the abdomen are shown.</t>
  </si>
  <si>
    <t>The steps of the machine and the screen panel is shown.</t>
  </si>
  <si>
    <t>v_OmIcycXGkG8</t>
  </si>
  <si>
    <t>A girl and a boy play ping pong in a basement type room with a ping pong table and florescent lights for lighting.</t>
  </si>
  <si>
    <t>The boy walks up to the camera for a close up.</t>
  </si>
  <si>
    <t>The boy and girl begin to play ping pong again.</t>
  </si>
  <si>
    <t>v_HUvBb3Hmir8</t>
  </si>
  <si>
    <t>The young girl in gray shirt is brushing the thong, while the female in blue t-shirt is washing the pans, and the other girl is holding a sponge.</t>
  </si>
  <si>
    <t>The older girl in blue is washing the knife, while the other one is wiping the bowl.</t>
  </si>
  <si>
    <t>The girls put the clean dishes on the rack to dry it.</t>
  </si>
  <si>
    <t>v_mzXRehGBEOg</t>
  </si>
  <si>
    <t>A woman smiles at the camera.</t>
  </si>
  <si>
    <t>The woman rinses a toothbrush under water.</t>
  </si>
  <si>
    <t>The woman applies toothpaste to the toothbrush.</t>
  </si>
  <si>
    <t>The woman demonstrates brushing her teeth.</t>
  </si>
  <si>
    <t>The woman rinses the toothbrush under water again.</t>
  </si>
  <si>
    <t>The woman rinses her mouth with a glass of water.</t>
  </si>
  <si>
    <t>The woman towels her mouth and shows her teeth.</t>
  </si>
  <si>
    <t>v_dojDT4CtenU</t>
  </si>
  <si>
    <t>A group of athletes are shown standing on a mound, while one throws a ball to another player.</t>
  </si>
  <si>
    <t>The batter hits the ball into the stands and the moment is recaptured in 3-d.</t>
  </si>
  <si>
    <t>A reporter comments how amazing the hit was and replays it from various angles.</t>
  </si>
  <si>
    <t>The player is interviewed by a reporter and once again has his moment shown on tv.</t>
  </si>
  <si>
    <t>v_cpy_BFGQoQ8</t>
  </si>
  <si>
    <t>Inside of a rock climbing store men are gathered around a jumping on a rope.</t>
  </si>
  <si>
    <t>The man in the green does some tricks and then a man in a hoodie jumps and walks on it.</t>
  </si>
  <si>
    <t>Someone has a camera and everyone is scattered around doing their own thing.</t>
  </si>
  <si>
    <t>The man in the green continues to jump on the rope until he take it down.</t>
  </si>
  <si>
    <t>v_pq2xsK79FcQ</t>
  </si>
  <si>
    <t>A track and field long jumper from the Florida Gators dressed in blue and orange prepares to make his run while other participants, coaches and officials congregate around the track and field course.</t>
  </si>
  <si>
    <t>The Florida Gator long jumper begins his run with a gradual forward walk then a skip and a fast sprint to the sand pit jumping marker.</t>
  </si>
  <si>
    <t>The Florida Gator long jumper jumps and flies through the air and lands in the sand.</t>
  </si>
  <si>
    <t>The camera pans to the score board showing the long jumpers results.</t>
  </si>
  <si>
    <t>v_Tz5eN8gV6F4</t>
  </si>
  <si>
    <t>An intro starts and leads to a woman standing next to a German Sheppard on a table.</t>
  </si>
  <si>
    <t>A fast motion watch around of the shop occurs then shows the woman brushing the dog with several instruments.</t>
  </si>
  <si>
    <t>She pets the dog a bit while continuing to brush him and talking to the camera.</t>
  </si>
  <si>
    <t>v_15HUSdsIHxg</t>
  </si>
  <si>
    <t>Little girls performs holding sticks moving around an spinning the sticks.</t>
  </si>
  <si>
    <t>The little girls hold the sticks up and jump turning around.</t>
  </si>
  <si>
    <t>Two women walk toward the door.</t>
  </si>
  <si>
    <t>After, the little girls spins on the floor, then continue jumping and spinning around.</t>
  </si>
  <si>
    <t>Next, the girls get together to salute.</t>
  </si>
  <si>
    <t>v_2x-Xqt98Ek4</t>
  </si>
  <si>
    <t>A man plays tam-tam, and then he talks with crossed hands on a tan-tam.</t>
  </si>
  <si>
    <t>Then, the man plays tam-tam with his right hand and plays with sticks with the left hand.</t>
  </si>
  <si>
    <t>v_E-XerA_sOjw</t>
  </si>
  <si>
    <t>A man walks out onto a playing field with a large Dalmatian.</t>
  </si>
  <si>
    <t>The man stops and throws the frisbee and returns it to the man.</t>
  </si>
  <si>
    <t>The dog runs around in circles on the field with the frisbee.</t>
  </si>
  <si>
    <t>v_Tvzd_WIvBU4</t>
  </si>
  <si>
    <t>A person is cutting cordwood using a log splitter.</t>
  </si>
  <si>
    <t>The wood remaining is shown and stumps are cut up.</t>
  </si>
  <si>
    <t>v_lgwDuuJy2zY</t>
  </si>
  <si>
    <t>A camera pans all around a lake and shows a person riding around on a canoe.</t>
  </si>
  <si>
    <t>The person gets stuck before a rock and finally paddles themselves past.</t>
  </si>
  <si>
    <t>The person continues to get stuck around the area but moves down successfully.</t>
  </si>
  <si>
    <t>v_di8Vr1fzUh8</t>
  </si>
  <si>
    <t>The man in suit is talking to the camera as people are behind him.</t>
  </si>
  <si>
    <t>The older man throw his darts on the dartboard and three darts landed on one place.</t>
  </si>
  <si>
    <t>The man positioned himself then throw the darts in the board and the darts are away from each other.</t>
  </si>
  <si>
    <t>The man continue to hit the board with darts.</t>
  </si>
  <si>
    <t>v_XoeGnEtEq3U</t>
  </si>
  <si>
    <t>The camera pans around a large group of women sitting in chair knitting and speaking to one another.</t>
  </si>
  <si>
    <t>Several shots are shown of women knitting and leading back into people helping one another knit and more pictures shown.</t>
  </si>
  <si>
    <t>v_2FRzNpVz6f8</t>
  </si>
  <si>
    <t>A bunch of teammates are riding horses on the field.</t>
  </si>
  <si>
    <t>They are playing a game of polo.</t>
  </si>
  <si>
    <t>The people run on their horses, trying to hit the ball.</t>
  </si>
  <si>
    <t>v_aXI9v77XV7A</t>
  </si>
  <si>
    <t>A man is talking in front of a rock climbing wall.</t>
  </si>
  <si>
    <t>He starts climbing the rock climbing wall.</t>
  </si>
  <si>
    <t>A man in a yellow hat is talking.</t>
  </si>
  <si>
    <t>He climbs up the wall.</t>
  </si>
  <si>
    <t>Several people are climbing up the rock climbing wall.</t>
  </si>
  <si>
    <t>v_XnBUb3qoFQM</t>
  </si>
  <si>
    <t>A man wearing black bathing trunks sitting on an inner tube as it slides down a tubing slide.</t>
  </si>
  <si>
    <t>A man wearing dark trunks stands on an enclosed water slide ride at a water park.</t>
  </si>
  <si>
    <t>Two men slide down a blue water slide at a water park and end up in a huge swimming pool.</t>
  </si>
  <si>
    <t>Different scenes of a group of people swimming in different parts of a water park.</t>
  </si>
  <si>
    <t>v_5deGCvJOGg0</t>
  </si>
  <si>
    <t>A man dressed in white curling gear is participating in the sport.</t>
  </si>
  <si>
    <t>He goes on the curling rink with his stick and rock.</t>
  </si>
  <si>
    <t>He is playing the sport while in another location there are two musicians performing.</t>
  </si>
  <si>
    <t>They are both singing as one musician is playing a guitar and the other is drumming a tambourine.</t>
  </si>
  <si>
    <t>The man continues to play curling on the ice rink as he pushes the rock with his curling stick.</t>
  </si>
  <si>
    <t>He is shown pictured with another young man.</t>
  </si>
  <si>
    <t>He is posing for pictures with different people while holding a broomstick in his hand.</t>
  </si>
  <si>
    <t>He is back in the curling rink, singing and twirling the curling stick in his hands.</t>
  </si>
  <si>
    <t>v_-4WdzYpCJPU</t>
  </si>
  <si>
    <t>A man is standing at a table holding a bow in his hand talking.</t>
  </si>
  <si>
    <t>He then goes outside and shoots an arrow at a target.</t>
  </si>
  <si>
    <t>A close up of the bow is shown.</t>
  </si>
  <si>
    <t>v_n_hNYA5kWME</t>
  </si>
  <si>
    <t>We then see people solving Rubiks cubes in a competition.</t>
  </si>
  <si>
    <t>A boy finishes, throws his arms up and spins in his chair.</t>
  </si>
  <si>
    <t>We see a boy throw his arms and yells.</t>
  </si>
  <si>
    <t>v_poFH53rF9uY</t>
  </si>
  <si>
    <t>A team prepares to play a game called hurling.</t>
  </si>
  <si>
    <t>Highlights of a game are shown and players are interviewed.</t>
  </si>
  <si>
    <t>Teammates cheer from the sidelines.</t>
  </si>
  <si>
    <t>v_vREBYOCUCj0</t>
  </si>
  <si>
    <t>A man in a blue coat is standing in the snow talking.</t>
  </si>
  <si>
    <t>He begins skiing down a hill of snow.</t>
  </si>
  <si>
    <t>v_YuCMWTdK_DY</t>
  </si>
  <si>
    <t>A man is seen walking into a circle and looking off into the distance.</t>
  </si>
  <si>
    <t>The man stretches a bit and begins spinning himself around.</t>
  </si>
  <si>
    <t>He continues to spin and ends by walking away.</t>
  </si>
  <si>
    <t>v_lXueRLwe3tk</t>
  </si>
  <si>
    <t>The man in blue shirt is holding a white spray bottle with green and black lid on it.</t>
  </si>
  <si>
    <t>He started spraying the contents of the bottle on the white car's hood.</t>
  </si>
  <si>
    <t>He wiped the hood and the back of the white car with a yellow cloth.</t>
  </si>
  <si>
    <t>He vacuum the floor of the car on the driver's side, wipe the dirt off the steering wheel using the yellow cloth.</t>
  </si>
  <si>
    <t>He wiped the meters, the side window and glass and the wheel.</t>
  </si>
  <si>
    <t>He is showing a white spray bottle with black lid, while he is holding a yellow cloth.</t>
  </si>
  <si>
    <t>He is wiping the edge of the car then showed the white spray bottle.</t>
  </si>
  <si>
    <t>A white car is shown being dirty and then the after where it is clean and shiny.</t>
  </si>
  <si>
    <t>v_nobV1wL__iY</t>
  </si>
  <si>
    <t>A gun is seen moving around several corners and hitting people in various places.</t>
  </si>
  <si>
    <t>More shots of a person running around a paintball field as shown as well as pointing to others, shooting others, and hiding behind objects.</t>
  </si>
  <si>
    <t>The men group together in the end, give a thumbs up, and show more shots of people shooting.</t>
  </si>
  <si>
    <t>v_43gst-Mw43s</t>
  </si>
  <si>
    <t>a comic of a man telling how to wash with a detergent.</t>
  </si>
  <si>
    <t>a house is shown with a sentence of how to wash the rooftop.</t>
  </si>
  <si>
    <t>the numbers and address are shown in the advertising.</t>
  </si>
  <si>
    <t>v_-y5p8UMdM20</t>
  </si>
  <si>
    <t>Several shots are shown of signs and building as well as pictures of divers.</t>
  </si>
  <si>
    <t>Many people are seen speaking to the camera while taking turns diving off a board.</t>
  </si>
  <si>
    <t>More clips are shown of people diving and waving to the camera as well as speaking to one another and holding up a score.</t>
  </si>
  <si>
    <t>v_vy5IRxiudmI</t>
  </si>
  <si>
    <t>A group of people are inside a gym.</t>
  </si>
  <si>
    <t>They are lifting weights and dancing.</t>
  </si>
  <si>
    <t>Others are using recumbent bikes and pedaling quickly.</t>
  </si>
  <si>
    <t>v_FBANd818hU4</t>
  </si>
  <si>
    <t>A man kicks a soccer ball, then he plays with other young men in the street, the man scores.</t>
  </si>
  <si>
    <t>Then, they continue playing and the young man scores, as well the man scores.</t>
  </si>
  <si>
    <t>Teams are playing indoor soccer and the man wearing a yellow t-shirt scores playing with several teams.</t>
  </si>
  <si>
    <t>The man dispute the ball with other player and kick it to a playmate, the man continues playing an scoring for his team.</t>
  </si>
  <si>
    <t>v_W6Sz8ajVsjc</t>
  </si>
  <si>
    <t>There's a man in a black shirt representing Pev's Paintball talking about the recreational game.</t>
  </si>
  <si>
    <t>He is holding a paintball gun in his hand as he talks about how the sport is played.</t>
  </si>
  <si>
    <t>A man dressed in a camouflage print outfit is hiding and running with a paintball gun.</t>
  </si>
  <si>
    <t>The Pev representative is explaining the features of the paintball gun and how to use if effectively.</t>
  </si>
  <si>
    <t>v_olFThb2_GHM</t>
  </si>
  <si>
    <t>We see a man preparing to throw the discuss.</t>
  </si>
  <si>
    <t>He throws and walks away and we see it in slow motion.</t>
  </si>
  <si>
    <t>We see the next man walk up and throw and we see it again.</t>
  </si>
  <si>
    <t>A guy in yellow shorts throws and we see it again.</t>
  </si>
  <si>
    <t>v_msGQHfIRLhE</t>
  </si>
  <si>
    <t>A young woman is seen performing several martial arts moves in the middle of a large mat.</t>
  </si>
  <si>
    <t>The girl continues moving around and then leads into her fighting a boy.</t>
  </si>
  <si>
    <t>More pictures of her are shown as well as her fighting.</t>
  </si>
  <si>
    <t>v_pXeVR0bf4Pk</t>
  </si>
  <si>
    <t>A man stands up in a raft.</t>
  </si>
  <si>
    <t>Several rafts are on the ground, filled with people.</t>
  </si>
  <si>
    <t>They listen to an instructor tell them what they need to do.</t>
  </si>
  <si>
    <t>They raft through the rapids of a heavily flowing river.</t>
  </si>
  <si>
    <t>One of the rafts capsizes at the end.</t>
  </si>
  <si>
    <t>v_7I6v9c00aRA</t>
  </si>
  <si>
    <t>A man floats in calm water and holds onto a rope while waiting for the boat to drive.</t>
  </si>
  <si>
    <t>The man bare foot skis on a rope off the side of a boat attempting to stand up.</t>
  </si>
  <si>
    <t>The man stands up and immediately falls into the water at high speed.</t>
  </si>
  <si>
    <t>v_rInf05YA7ww</t>
  </si>
  <si>
    <t>people are playing futsal in a roofed gym.</t>
  </si>
  <si>
    <t>referee is watching the game running side to side.</t>
  </si>
  <si>
    <t>v_vt46wY2Q9JQ</t>
  </si>
  <si>
    <t>Two men are decorating a Christmas tree.</t>
  </si>
  <si>
    <t>They are putting red ribbon around the tree.</t>
  </si>
  <si>
    <t>A dresser is shown at the end.</t>
  </si>
  <si>
    <t>v_CI6cPLeVCTk</t>
  </si>
  <si>
    <t>Two people are seen sitting on swings outside.</t>
  </si>
  <si>
    <t>The people then begin moving back and fourth.</t>
  </si>
  <si>
    <t>The people continuously swing back and fourth on the swingset.</t>
  </si>
  <si>
    <t>v_nE0_PaRBXeA</t>
  </si>
  <si>
    <t>There's a man in a blue shirt using the lat pull machine in a gym.</t>
  </si>
  <si>
    <t>There are a few other people running on the treadmill behind the man.</t>
  </si>
  <si>
    <t>He starts off by pulling the handles of the machine and then goes back and forth to exercise.</t>
  </si>
  <si>
    <t>v_t8hx8ihRPGc</t>
  </si>
  <si>
    <t>A boy is shown going down a slide.</t>
  </si>
  <si>
    <t>A woman is talking to the camera at the park.</t>
  </si>
  <si>
    <t>Kids are shown playing on various equipment.</t>
  </si>
  <si>
    <t>v_VcbMGRcN9Cc</t>
  </si>
  <si>
    <t>The video shows a slow motion of three people playing Foosball.</t>
  </si>
  <si>
    <t>There are two people standing on one side and a single player on the other side.</t>
  </si>
  <si>
    <t>They continue playing Foosball with each other.</t>
  </si>
  <si>
    <t>v_o2hmponBzIE</t>
  </si>
  <si>
    <t>A small group of girls wearing costumes are seen walking out onto a gym floor and holding a pose in front of a large audience.</t>
  </si>
  <si>
    <t>The girls perform a dance routine with batons in their hand and end by lining up and walking away.</t>
  </si>
  <si>
    <t>v_KlJqjBqpnjw</t>
  </si>
  <si>
    <t>A woman named Sapna appears in a photo.</t>
  </si>
  <si>
    <t>She is then seen demonstrating a variety of jump rope moves.</t>
  </si>
  <si>
    <t>She jumps forward and back, and side to side.</t>
  </si>
  <si>
    <t>v_IqRwR1a9ia0</t>
  </si>
  <si>
    <t>A man wearing a construction hard hat applies plaster to a wall using a hand held flat edge.</t>
  </si>
  <si>
    <t>The man pauses to explain his procedure.</t>
  </si>
  <si>
    <t>A Company name and slogan are seen in white text.</t>
  </si>
  <si>
    <t>v_dL9mlqbG5CU</t>
  </si>
  <si>
    <t>A rock band is playing a rock song in a black an white environment.</t>
  </si>
  <si>
    <t>Several curlers are preparing for a curling match while the band plays.</t>
  </si>
  <si>
    <t>the band and the curlers are both on the ice interacting with one another.</t>
  </si>
  <si>
    <t>The video returns to the black and white environment where the curler and the band members are both singing.</t>
  </si>
  <si>
    <t>The video focuses on a woman getting ready to curl while the others watch.</t>
  </si>
  <si>
    <t>v_oKaNlV45bB8</t>
  </si>
  <si>
    <t>A young woman is seen brushing her tooth followed by close ups of a tooth brush.</t>
  </si>
  <si>
    <t>Shots are shown of her teeth close up as well as her still brushing.</t>
  </si>
  <si>
    <t>She continues brushing all along her teeth to demonstrate how it's done.</t>
  </si>
  <si>
    <t>v_uaLMHEtFlNA</t>
  </si>
  <si>
    <t>A gopro ad appears on the screen.</t>
  </si>
  <si>
    <t>Someone wears the device as he uses a mower to mow his lawn.</t>
  </si>
  <si>
    <t>It is sped up as it shows every angle as he completes mowing the lawn, back and forth and going over the same spots until it is perfect.</t>
  </si>
  <si>
    <t>v_vWNDj8KxmBg</t>
  </si>
  <si>
    <t>Several clips are shown of people performing flips and tricks in the middle of a floor while a light shines down in the middle.</t>
  </si>
  <si>
    <t>The kids continue spinning around one another and end by standing up together and falling down.</t>
  </si>
  <si>
    <t>v_gdr6iVHHYcU</t>
  </si>
  <si>
    <t>Two women are in a room talking.</t>
  </si>
  <si>
    <t>A woman begins to put makeup on the other woman.</t>
  </si>
  <si>
    <t>She dabs the woman's face with a sponge.</t>
  </si>
  <si>
    <t>v_p4qZGZenAoU</t>
  </si>
  <si>
    <t>A woman with her hair up in a towel introduces her video showing how she washes her face.</t>
  </si>
  <si>
    <t>She applies a moisturizer to her face while dancing around.</t>
  </si>
  <si>
    <t>She then dances in the living room with the moisturizer on.</t>
  </si>
  <si>
    <t>Finally, she returns to the bathroom and washes her face.</t>
  </si>
  <si>
    <t>v_Xa1yH3vxlAk</t>
  </si>
  <si>
    <t>man is standing on side of car stuck in traffic.</t>
  </si>
  <si>
    <t>man holding bagpipes is walking in street between cars.</t>
  </si>
  <si>
    <t>v_dPdeb0SgIw8</t>
  </si>
  <si>
    <t>A TV reporter is talking while shows a screen of a person playing hockey on ice.</t>
  </si>
  <si>
    <t>Then, the reporters talk and comment each other, while one of the man is on front a laptop.</t>
  </si>
  <si>
    <t>v__3hVtPVXTmg</t>
  </si>
  <si>
    <t>A gymnast is seen running towards a set of uneven bars and performing a routine on the bars.</t>
  </si>
  <si>
    <t>She swings all around and jumps on the mat to end her routine.</t>
  </si>
  <si>
    <t>v_-XCESzrIWXA</t>
  </si>
  <si>
    <t>People are playing soccer in an indoor soccer arena.</t>
  </si>
  <si>
    <t>Two of the men hug on the court.</t>
  </si>
  <si>
    <t>A person kicks a ball into the goal.</t>
  </si>
  <si>
    <t>v_2RpAv3irv1c</t>
  </si>
  <si>
    <t>A woman sprays lotion and brush her hair.</t>
  </si>
  <si>
    <t>Then, the woman makes a braid with the front hair and fasten it with a pin.</t>
  </si>
  <si>
    <t>After, the woman makes a pony tail and spray lotion to her hair.</t>
  </si>
  <si>
    <t>v_cuyD4bT4Bvc</t>
  </si>
  <si>
    <t>initial logo is shown and a web page.</t>
  </si>
  <si>
    <t>man is in a skate park in white skates.</t>
  </si>
  <si>
    <t>man is sitting in a tube and make tricks in a skate park, other man is sitting watching him.</t>
  </si>
  <si>
    <t>little kid is talking to someone and watching the man in skates doing the tricks in skate park.</t>
  </si>
  <si>
    <t>v_NzJkKwzPqvk</t>
  </si>
  <si>
    <t>An older woman is using a cue to play pool.</t>
  </si>
  <si>
    <t>She shoots the ball and walks away.</t>
  </si>
  <si>
    <t>Then she bangs cues with another person.</t>
  </si>
  <si>
    <t>v_nOxKfRwdf2w</t>
  </si>
  <si>
    <t>Two people are talking to a camera outside.</t>
  </si>
  <si>
    <t>A ballerina does several twirls on stage.</t>
  </si>
  <si>
    <t>v_U89hsv1dzuQ</t>
  </si>
  <si>
    <t>man is smoking a cigarrette in a dark street.</t>
  </si>
  <si>
    <t>man is wearing a white t shirt smoking a cigarrette and watching to the camera.</t>
  </si>
  <si>
    <t>man is in the night in a dark field smoking.</t>
  </si>
  <si>
    <t>v_3svMy4Kfjd8</t>
  </si>
  <si>
    <t>A guy is water boarding in a body of water.</t>
  </si>
  <si>
    <t>The guy messes with his hair.</t>
  </si>
  <si>
    <t>The guy gives hands gesture.</t>
  </si>
  <si>
    <t>v_aYfWH960W0Q</t>
  </si>
  <si>
    <t>An athletic woman is seen running down a track with a large group of people watching her on the sidelines.</t>
  </si>
  <si>
    <t>She continues running and finishes the race while collapsing on the ground in the end and breathing heavily while crying.</t>
  </si>
  <si>
    <t>She sits back up crying and another woman helps her up, ending with a short clip of a girl running.</t>
  </si>
  <si>
    <t>v_At7fzSxdiCg</t>
  </si>
  <si>
    <t>A man is running down the track at a track and field competition.</t>
  </si>
  <si>
    <t>He begins to take some rapid steps to give himself so leverage for a jump he is trying to make.</t>
  </si>
  <si>
    <t>He takes off into the air as he begins the jump.</t>
  </si>
  <si>
    <t>He lands on the ground as he completes the jump.</t>
  </si>
  <si>
    <t>v_o18RrUlR-0Y</t>
  </si>
  <si>
    <t>A man with long beard is talking in the camera while a hand is brushing the side of his beard, then he continue talking while in his back the TV is running, then he closed up his beard, showed a man in green and the kid sitting next to him.</t>
  </si>
  <si>
    <t>The man in green shaves the man's beard on the side then brushed it then continue to shave the long beard leaving the stubble.</t>
  </si>
  <si>
    <t>v_IfpcrV_cwHI</t>
  </si>
  <si>
    <t>A close up of a pool table is shown followed by a man hitting the ball.</t>
  </si>
  <si>
    <t>The man the celebrates and shakes the hands of the opponent.</t>
  </si>
  <si>
    <t>He walks around the audience celebrating with them and walks back to his bag.</t>
  </si>
  <si>
    <t>v_XxyTLG8B-Ns</t>
  </si>
  <si>
    <t>A man is talking to the camera as he gets ready to ride the bumper cars.</t>
  </si>
  <si>
    <t>The man rides around in the bumper car bumping in to the other people while the camera watches.</t>
  </si>
  <si>
    <t>The camera zooms in on the people for a closer look.</t>
  </si>
  <si>
    <t>The ride ends and the people get out of the bumper cars.</t>
  </si>
  <si>
    <t>v_mTlReluteEQ</t>
  </si>
  <si>
    <t>A man throws an object in a track and field event at the Olympics.</t>
  </si>
  <si>
    <t>This is then shown in slow motion and then sped up.</t>
  </si>
  <si>
    <t>The coach reacts and cheers.</t>
  </si>
  <si>
    <t>The athlete receives a medal and waves to the crowd.</t>
  </si>
  <si>
    <t>v_XkWO7aqcC8Y</t>
  </si>
  <si>
    <t>A man is outdoors, cutting wires off a stack of sheetrock.</t>
  </si>
  <si>
    <t>He moves the sheets, then muds the floors before laying them down.</t>
  </si>
  <si>
    <t>The man presses the large sheets onto the ground.</t>
  </si>
  <si>
    <t>v_BO0vQ6ASVlo</t>
  </si>
  <si>
    <t>A man holds a frisbee next to a dog, then the dog jumps above the back of the man and grabs a frisbee.</t>
  </si>
  <si>
    <t>The man throws a frisbee and the dog runs to get it, after the man does tricks with the dog.</t>
  </si>
  <si>
    <t>A person lie down with his feet up, then the dog stand on his feet and plays with the frisbee.</t>
  </si>
  <si>
    <t>The man plays with the dog frisbee doing tricks and throwing the frisbee.</t>
  </si>
  <si>
    <t>v_8pR6NBu7Ay0</t>
  </si>
  <si>
    <t>The outside of a box containing a gun is shown.</t>
  </si>
  <si>
    <t>A man is joined by two others in front of a display of guns.</t>
  </si>
  <si>
    <t>They talk about the guns, then join a game of paintball outdoors, hiding behind obstacles as they shoot at each other.</t>
  </si>
  <si>
    <t>v_M7tUnCF9lU4</t>
  </si>
  <si>
    <t>A lady standing beside the slide is holding a little child on top of the slide.</t>
  </si>
  <si>
    <t>She looked inside the tunnel and moved the little kid to show him and wave at the person.</t>
  </si>
  <si>
    <t>The lady hold the child while she push him down the slide.</t>
  </si>
  <si>
    <t>The lady slide the kid up back to the top.</t>
  </si>
  <si>
    <t>The lady hold the child and pushed him down the slide.</t>
  </si>
  <si>
    <t>The child sat on the bottom of the slide while looking away.</t>
  </si>
  <si>
    <t>v_9Cs3CYCMH2w</t>
  </si>
  <si>
    <t>Two people are jump roping outside on a patio.</t>
  </si>
  <si>
    <t>The boy leaves and the girls starts jump roping by herself.</t>
  </si>
  <si>
    <t>The girl does a hand stand.</t>
  </si>
  <si>
    <t>The boy starts jump roping by himself.</t>
  </si>
  <si>
    <t>The girl does a flip in the air.</t>
  </si>
  <si>
    <t>The boy does a flip in the air.</t>
  </si>
  <si>
    <t>v_wsc5GIgVwN8</t>
  </si>
  <si>
    <t>Several people are shown in a back ground of lasers are portrayed as members on a team.</t>
  </si>
  <si>
    <t>A man from the team then comes along and starts to skateboard down the road in a community environment.</t>
  </si>
  <si>
    <t>As he continues skating,he moves to a more rural area with large mountains and field in the open and points begin to rack up in the corner of the screen.</t>
  </si>
  <si>
    <t>v_Z-C5yMAUmM4</t>
  </si>
  <si>
    <t>A woman is sitting down taking a drink.</t>
  </si>
  <si>
    <t>She sets the drink down and starts talking.</t>
  </si>
  <si>
    <t>v_jjuitTS2cuM</t>
  </si>
  <si>
    <t>A little toddler is walking down the street holding her dog leash.</t>
  </si>
  <si>
    <t>The dog is walking ahead of her not pulling her, he is very gentle.</t>
  </si>
  <si>
    <t>The dog stops to sniff around and then begins walking again.</t>
  </si>
  <si>
    <t>The little girl trying to follow closely behind him.</t>
  </si>
  <si>
    <t>v_MWdPh6J-YXM</t>
  </si>
  <si>
    <t>A man stretches in front of the camera.</t>
  </si>
  <si>
    <t>The camera cuts to scenes of the man on a small boat paddling.</t>
  </si>
  <si>
    <t>The camera cuts to scenes of various men paddling boats from various angles, with different backgrounds.</t>
  </si>
  <si>
    <t>The camera shows men putting boats away.</t>
  </si>
  <si>
    <t>The camera shows several men in a car.</t>
  </si>
  <si>
    <t>The camera shows quick clips of men exercising in a gym.</t>
  </si>
  <si>
    <t>The camera returns to scenes of men paddling boats.</t>
  </si>
  <si>
    <t>The camera cuts to accelerated footage of a car driving.</t>
  </si>
  <si>
    <t>The camera cuts to scenes of men relaxing and tossing a ball around.</t>
  </si>
  <si>
    <t>The camera cuts to a scene of a man sitting relaxing.</t>
  </si>
  <si>
    <t>v_nwBb-WkaCYU</t>
  </si>
  <si>
    <t>A person is sitting behind a table doing a rubiks cube blind folded.</t>
  </si>
  <si>
    <t>A timer is on the desk in front of them.</t>
  </si>
  <si>
    <t>The person completes the rubiks cube and sets it down on the table.</t>
  </si>
  <si>
    <t>v_JavaLreBqtI</t>
  </si>
  <si>
    <t>We see a lady sitting on a couch talking.</t>
  </si>
  <si>
    <t>The lady makes faces and claps her hands.</t>
  </si>
  <si>
    <t>We watch the lady pull rollers our out her braids.</t>
  </si>
  <si>
    <t>We see her hair up close.</t>
  </si>
  <si>
    <t>The lady makes a quote sign with her fingers.</t>
  </si>
  <si>
    <t>v_NulnzF8avMI</t>
  </si>
  <si>
    <t>The gymnast gathers his focus, and mounts the pommel horse to begin his event.</t>
  </si>
  <si>
    <t>The audience watches and cheers as the announcers give their commentary.</t>
  </si>
  <si>
    <t>He goes up to a hand stand.</t>
  </si>
  <si>
    <t>He picks up his speed once he comes back down from the hand stand.</t>
  </si>
  <si>
    <t>The gymnast has a nice dismount.</t>
  </si>
  <si>
    <t>We watch the performance again in slow motion then see his smile as he is seated afterwords.</t>
  </si>
  <si>
    <t>v_UqE_T7oG1Gc</t>
  </si>
  <si>
    <t>woman is talking to the camera and holding makeup brushes.</t>
  </si>
  <si>
    <t>woman is shoing a braid on her hair and its shownig how to do the braid.</t>
  </si>
  <si>
    <t>v_87fIi0-1JVM</t>
  </si>
  <si>
    <t>A girl travels in a car while talking.</t>
  </si>
  <si>
    <t>The girl is in a piercing shop, then a man rubs her nose with a tissue and put a mark.</t>
  </si>
  <si>
    <t>After, the man pierce the nose of the girl and puts a tip.</t>
  </si>
  <si>
    <t>After, the man cleans the area, and the girl dry some tears on her face.</t>
  </si>
  <si>
    <t>After, the girl holds a camera on front her face and talks, also shows her piercing.</t>
  </si>
  <si>
    <t>v_8381XS5ZDNs</t>
  </si>
  <si>
    <t>A piece of exercise equipment spins around on a panel when a woman suddenly appears.</t>
  </si>
  <si>
    <t>She climbs on the machine and begins exercising while the camera pans around her movements.</t>
  </si>
  <si>
    <t>She continues to use the equipment and eventually shows a picture of the equipment.</t>
  </si>
  <si>
    <t>v_8kyg5u6o21k</t>
  </si>
  <si>
    <t>boy is putting a helmet and is fixing his skateboard.</t>
  </si>
  <si>
    <t>boy is going down an slope passing by houses till is dark.</t>
  </si>
  <si>
    <t>v_jXIKHEsmVl4</t>
  </si>
  <si>
    <t>A guy is outside chopping wood.</t>
  </si>
  <si>
    <t>The ax gets stuck on the wood on his first try.</t>
  </si>
  <si>
    <t>The guy pulls the ax out.</t>
  </si>
  <si>
    <t>The guy keeps cutting the wood smaller and smaller.</t>
  </si>
  <si>
    <t>v_SpEdr2o2TP0</t>
  </si>
  <si>
    <t>A man and woman are talking in a stable.</t>
  </si>
  <si>
    <t>The man helps the woman on the horse and she leads it around the arena.</t>
  </si>
  <si>
    <t>The woman gets off the horse and talks to the camera.</t>
  </si>
  <si>
    <t>v_iSHPVCBsnLw</t>
  </si>
  <si>
    <t>Two men are seen sitting on a couch watching tv and speaking back and fourth to one another.</t>
  </si>
  <si>
    <t>Another walks into frame speaking and holding a drink and the two men continue speaking to one another.</t>
  </si>
  <si>
    <t>v_7m--xUKvqkc</t>
  </si>
  <si>
    <t>A hand holds a damp mop sign up to the camera.</t>
  </si>
  <si>
    <t>A person mops a floor, with the camera only picking up part of the person and the mop.</t>
  </si>
  <si>
    <t>The camera shows a close up of the mop head.</t>
  </si>
  <si>
    <t>v_dKwPfFN7DpM</t>
  </si>
  <si>
    <t>A man is shown spinning in circles while throwing a shot put off into the distance.</t>
  </si>
  <si>
    <t>Several men are then shown over and over again throwing the object off into the distance in various locations.</t>
  </si>
  <si>
    <t>v_iMF8-iDLl6U</t>
  </si>
  <si>
    <t>An intro featuring the text "how to change a tire" plays.</t>
  </si>
  <si>
    <t>A woman has a tool that allows you put the tire on to a rim while a man holds the tool.</t>
  </si>
  <si>
    <t>The woman then uses the same tool to remove the tire from the rim.</t>
  </si>
  <si>
    <t>The person filming shows an iPhone's timer at various points to show how long a step should take.</t>
  </si>
  <si>
    <t>The tool that removes the tier from the rim is shown and how it works.</t>
  </si>
  <si>
    <t>A man opens a Bridgestone locker or machine to show the inside.</t>
  </si>
  <si>
    <t>The video ends with an image of a solar powered vehicle.</t>
  </si>
  <si>
    <t>v_3TVKXCyNObQ</t>
  </si>
  <si>
    <t>People skateboard down the road of a city.</t>
  </si>
  <si>
    <t>A group of teens meet on the road and watch a teen skateboard.</t>
  </si>
  <si>
    <t>A teen enters a skateboard ramp and skateboard around.</t>
  </si>
  <si>
    <t>A boy skateboards on a road passing a city and a field.</t>
  </si>
  <si>
    <t>Two teens skateboard on a road.</t>
  </si>
  <si>
    <t>v_8EGM3zcvjs8</t>
  </si>
  <si>
    <t>Eight people are standing at the studio, one woman walked at the back of the group.</t>
  </si>
  <si>
    <t>The group started dancing, swirling, shaking their hips, rotating, their arms and hands are moving from side to side, in front.</t>
  </si>
  <si>
    <t>v_SIj-ti_70HQ</t>
  </si>
  <si>
    <t>A woman stands in front of a mirror smiling and begins brushing her hair.</t>
  </si>
  <si>
    <t>She continues brushing her hair and looking at herself in the mirror.</t>
  </si>
  <si>
    <t>v_oNqtuh6qa2E</t>
  </si>
  <si>
    <t>A man is standing outside on a sidewalk with a silver camera in his hand filming something.</t>
  </si>
  <si>
    <t>As the camera turns,the man is filming someone on a one-seater paddling as he is playing a bag of pipes.</t>
  </si>
  <si>
    <t>The man continues,and a gruop of people crowd around him and watch him until he falls off the wheel.</t>
  </si>
  <si>
    <t>v__6mQ9_DQr0Q</t>
  </si>
  <si>
    <t>Man approaches the weights before him.</t>
  </si>
  <si>
    <t>Man lifts up weights and drops them to the floor.</t>
  </si>
  <si>
    <t>Man lifts up weights and holds them for a while.</t>
  </si>
  <si>
    <t>Man shakes his hands in celebration.</t>
  </si>
  <si>
    <t>Man screams in celebration.</t>
  </si>
  <si>
    <t>v_B-60jGEds7M</t>
  </si>
  <si>
    <t>A boat sails in the choppy waters of an ocean.</t>
  </si>
  <si>
    <t>The big waves moves the boat up and down.</t>
  </si>
  <si>
    <t>A person stands on front the boat wearing dark clothes.</t>
  </si>
  <si>
    <t>v_d8u6MM00_ig</t>
  </si>
  <si>
    <t>A large group of people are seen wandering around an arena when a man steps up to a weight.</t>
  </si>
  <si>
    <t>The man lifts the weight over his head and throws it on the ground.</t>
  </si>
  <si>
    <t>Several more men are seen attempting to lift the weight with others succeeding and cheering and others dropping the weight.</t>
  </si>
  <si>
    <t>v_KfkNKhAWOII</t>
  </si>
  <si>
    <t>Graphics with "FCC Presents" followed by "The Great Indoors with Tracy Briggs" appear on screen.</t>
  </si>
  <si>
    <t>Briggs speaks to the camera from a kitchen.</t>
  </si>
  <si>
    <t>She begins preparing a potato and tomtatos to eat.</t>
  </si>
  <si>
    <t>v_6rMF2jWbeUQ</t>
  </si>
  <si>
    <t>A woman is seen sitting in a wheelchair looking to the camera and wheels herself over to a side.</t>
  </si>
  <si>
    <t>She then puts her shoes on with another man's help while still smiling to the camera.</t>
  </si>
  <si>
    <t>She wheels herself away and claps in the end.</t>
  </si>
  <si>
    <t>v_9zm9jW7_ANc</t>
  </si>
  <si>
    <t>The chef begins by removing and slicing the endive.</t>
  </si>
  <si>
    <t>The chef then places them in a bin,afterwards he slices and peels more.</t>
  </si>
  <si>
    <t>The chef then chops romaine and places them in a silver bin and mixes endive with the romaine.</t>
  </si>
  <si>
    <t>Finally he removes the salad mixture with a dressing on it from a round silver bowl and places the salad on a white plate.</t>
  </si>
  <si>
    <t>v_M1SUIrWykRs</t>
  </si>
  <si>
    <t>Several people are surfing on a large wave in the water.</t>
  </si>
  <si>
    <t>A man and a little girl are swimming in the water.</t>
  </si>
  <si>
    <t>v_7OTqYfUuAIw</t>
  </si>
  <si>
    <t>A young child is seen kicking around in the middle of a room.</t>
  </si>
  <si>
    <t>The kid kicks both of his legs around while the camera pans around.</t>
  </si>
  <si>
    <t>Another child is seen kicking on the side while a dog walks in and out of frame.</t>
  </si>
  <si>
    <t>v_KYl67H9-4TA</t>
  </si>
  <si>
    <t>A small child wearing a wig is seen holding a violin and speaking to the camera.</t>
  </si>
  <si>
    <t>She then plays a song on the violin moving his arms and hands back and fourth and ends by speaking off into the distance.</t>
  </si>
  <si>
    <t>v_8z29qtUWwdU</t>
  </si>
  <si>
    <t>A man is seen talking to the camera and presents his knife and sharpener.</t>
  </si>
  <si>
    <t>He then glides the knife down the sharpener and shows how other knives work with different sharpeners.</t>
  </si>
  <si>
    <t>He presents the knife one last time while still speaking to the camera.</t>
  </si>
  <si>
    <t>v_MFlYmFZ7xlo</t>
  </si>
  <si>
    <t>A man is mopping a floor.</t>
  </si>
  <si>
    <t>A woman is eating.</t>
  </si>
  <si>
    <t>v_fjoaurNKg60</t>
  </si>
  <si>
    <t>A person washes there hands and closes a sink drain.</t>
  </si>
  <si>
    <t>The person removes a contact from the container and places on the tip of their finger.</t>
  </si>
  <si>
    <t>The person holds open one eyelid at a time and inserts the contact into their eye.</t>
  </si>
  <si>
    <t>A cleaner solution is sprayed into the container to clean it out.</t>
  </si>
  <si>
    <t>The contact lens is removed from the eye.</t>
  </si>
  <si>
    <t>Solution is sprayed on the contact lens resting in the palm of a hand before being placed back on the counter.</t>
  </si>
  <si>
    <t>v_61sN9tqZHwk</t>
  </si>
  <si>
    <t>A series of masks are shown on a table.</t>
  </si>
  <si>
    <t>A yorkie dog is shown from several angles.</t>
  </si>
  <si>
    <t>We then see the dog winning competitions and getting groomed.</t>
  </si>
  <si>
    <t>v_GEhtyurCwDQ</t>
  </si>
  <si>
    <t>We see an electric shaver from various angles.</t>
  </si>
  <si>
    <t>The man unwraps the product and takes it out of the bag.</t>
  </si>
  <si>
    <t>The product is being taken out of it's packaging.</t>
  </si>
  <si>
    <t>The man shaves his hand then adds a guard and shaves his beard and the hairline in back.</t>
  </si>
  <si>
    <t>The man rinses the shaver and works on his neck.</t>
  </si>
  <si>
    <t>v_0AjYz-s4Rek</t>
  </si>
  <si>
    <t>A man and a woman dressed in snow clothing are walking in the snow and they begin to drill into the ice ground with hand held red crank long drills.</t>
  </si>
  <si>
    <t>When they make a hole in the ice they put their fishing wire attached with bait into the hole and begin ice fishing until the woman catches a fish.</t>
  </si>
  <si>
    <t>After they're done fishing, they are now at a wood fire and the fish is cooking on the wood.</t>
  </si>
  <si>
    <t>v_19YCgLDhfoE</t>
  </si>
  <si>
    <t>A woman exercise sniping a stick on her hand in a filed.</t>
  </si>
  <si>
    <t>The woman exercise on front the ocean spinning the stick on her neck.</t>
  </si>
  <si>
    <t>Then, the woman throws the stick on the air.</t>
  </si>
  <si>
    <t>After, the woman pass the stick from hand to another on her folded arm.</t>
  </si>
  <si>
    <t>v_zihMznAYlV0</t>
  </si>
  <si>
    <t>Two men in padded sumo costumes are pulled along a tug rope on a ski slope.</t>
  </si>
  <si>
    <t>Two men in yellow padded sumo costumes do jumps on their snowboard on a downhill course.</t>
  </si>
  <si>
    <t>A filmer waives to the camera.</t>
  </si>
  <si>
    <t>The man spins while sliding across a platform in the sumo suit.</t>
  </si>
  <si>
    <t>The two men give each other a high five.</t>
  </si>
  <si>
    <t>The man in sumo suit goes over a small triangular obstacle.</t>
  </si>
  <si>
    <t>A man on small skis crashes while trying to jump.</t>
  </si>
  <si>
    <t>The man jumps onto and slide across a platform while wearing a sumo suit.</t>
  </si>
  <si>
    <t>The man bounces over a low railing.</t>
  </si>
  <si>
    <t>v_T6KP0pg7qxM</t>
  </si>
  <si>
    <t>A boy is sitting in a chair behind a counter.</t>
  </si>
  <si>
    <t>A girl comes up next to him and tries to feed him cereal.</t>
  </si>
  <si>
    <t>He starts throwing darts at a dartboard.</t>
  </si>
  <si>
    <t>v_v8XN1ajGeIw</t>
  </si>
  <si>
    <t>A close up is shown of a very dirty floor being cleaned with a large vacuum.</t>
  </si>
  <si>
    <t>Words on the screen explain the strength of the vacuum as the person continues.</t>
  </si>
  <si>
    <t>The floor is being cleaned at walking speed.</t>
  </si>
  <si>
    <t>The man continues to demonstrate the usage until an ad for the company appears at the end.</t>
  </si>
  <si>
    <t>v_zQCqzIgIpHI</t>
  </si>
  <si>
    <t>A view is seen of the outside of an airport, then the wing of the flying plane.</t>
  </si>
  <si>
    <t>A man is on the plane wearing a mask.</t>
  </si>
  <si>
    <t>Several people are sleeping in the dark quarters.</t>
  </si>
  <si>
    <t>They arrive at a ski resort, and ride the lifts before donning skis and skiing down treacherous hills.</t>
  </si>
  <si>
    <t>v_K8ZPkLVlAiA</t>
  </si>
  <si>
    <t>A man is holding the arm of a canister vacuum in a vacuum showroom.</t>
  </si>
  <si>
    <t>The man lifts the arm and shows it to the camera.</t>
  </si>
  <si>
    <t>The man then pretends, then actually vacuums the linoleum floor with the vacuum.</t>
  </si>
  <si>
    <t>v_ovTKJgSWMKQ</t>
  </si>
  <si>
    <t>Scores are shown on a screen in front of pool water.</t>
  </si>
  <si>
    <t>A man towels off in a room.</t>
  </si>
  <si>
    <t>He enters the competition, shaking hands after his dive.</t>
  </si>
  <si>
    <t>Between dives, the scoreboard is shown again.</t>
  </si>
  <si>
    <t>The final scene is of the man backflipping off the diving board.</t>
  </si>
  <si>
    <t>v_X2zoUDI1Gmc</t>
  </si>
  <si>
    <t>A woman is seen smiling to the camera holding up a blow dryer and various attachments.</t>
  </si>
  <si>
    <t>She is then seen again with wet hair and then sprays liquid into her hair and then blow dries her hair more.</t>
  </si>
  <si>
    <t>She then pins her hair up, attaches and attachment to the blow dryer, and dries her hair all around, spinning to the camera in the end.</t>
  </si>
  <si>
    <t>v_LFeoVokXAFY</t>
  </si>
  <si>
    <t>A man uses a large plastic blue bat.</t>
  </si>
  <si>
    <t>He swings it at a pinata shaped like spongebob squarepants.</t>
  </si>
  <si>
    <t>He misses several times, and keeps swinging.</t>
  </si>
  <si>
    <t>v_GvvmZ1Bi1xk</t>
  </si>
  <si>
    <t>We see a finger on the lens and a shoulder.</t>
  </si>
  <si>
    <t>A woman pushes a lawn mower through the grass.</t>
  </si>
  <si>
    <t>The lady lifts the mower and backs up.</t>
  </si>
  <si>
    <t>The lady turns the mower.</t>
  </si>
  <si>
    <t>v_lUX1nfb5rx0</t>
  </si>
  <si>
    <t>woman is standing in font of a counter and is talking to the camera.</t>
  </si>
  <si>
    <t>a clean sink is shown and a woman claing the surface of water and wine with a cloth and then with an sponge.</t>
  </si>
  <si>
    <t>the woman put a cleaner on a cloth and cleans the sink, then the woman is talking and a white table covers the sink.</t>
  </si>
  <si>
    <t>v_rBaR5xF8orE</t>
  </si>
  <si>
    <t>A large group of people are seen sitting around an auditorium with one man flying kites around in the middle.</t>
  </si>
  <si>
    <t>The person continues moving around with the kites and walks away in the end with a woman speaking to the crowd.</t>
  </si>
  <si>
    <t>v_lwXIgNoLGhM</t>
  </si>
  <si>
    <t>We see people in a field holding flags.</t>
  </si>
  <si>
    <t>We see people playing paintball in the woods.</t>
  </si>
  <si>
    <t>We see people in lines like soldiers.</t>
  </si>
  <si>
    <t>We see the people in the woods in paint ball gear.</t>
  </si>
  <si>
    <t>We see an empty metal tank.</t>
  </si>
  <si>
    <t>We see the people in the woods again.</t>
  </si>
  <si>
    <t>We see inside the tank.</t>
  </si>
  <si>
    <t>We see the people walking through the field.</t>
  </si>
  <si>
    <t>We see people running with smoke.</t>
  </si>
  <si>
    <t>We see a ending title screen.</t>
  </si>
  <si>
    <t>v_XORmEz1vOeQ</t>
  </si>
  <si>
    <t>A man kneels down by a tree in a yard.</t>
  </si>
  <si>
    <t>He talks as he digs with his hands.</t>
  </si>
  <si>
    <t>He shows and instructs on how to apply and pack mulching around the base of the tree.</t>
  </si>
  <si>
    <t>v_CYSyc4jy9-Q</t>
  </si>
  <si>
    <t>A person runs and jumps wearing bouncing shoes, and a man make a surprised face.</t>
  </si>
  <si>
    <t>People wearing bouncing shoes bounce and jumps in a gym, a presenter talks and also tries the bouncing shoes.</t>
  </si>
  <si>
    <t>A man bounce and jumps high in the beach, in the street.</t>
  </si>
  <si>
    <t>Then, men flip over wearing bouncing shoes, after a man plays basketball wearing bouncing shoes in a gym.</t>
  </si>
  <si>
    <t>A person rides a bike in the gym.</t>
  </si>
  <si>
    <t>Two men wearing bouncing shoes stand front to front in a TV set.</t>
  </si>
  <si>
    <t>v_U0HiAZCgmd8</t>
  </si>
  <si>
    <t>A woman is seen speaking to the camera and leads into her pouring ice into a glass followed by various liquids.</t>
  </si>
  <si>
    <t>She mixes the liquids back and fourth and ends by presenting the drink and putting in a lemon with straw.</t>
  </si>
  <si>
    <t>v_rLH89pN9I84</t>
  </si>
  <si>
    <t>A woman walks out onto the grass.</t>
  </si>
  <si>
    <t>Two small dogs follow her on leashes.</t>
  </si>
  <si>
    <t>She bends down and the dogs come up to her.</t>
  </si>
  <si>
    <t>v_e_y8_3siD0c</t>
  </si>
  <si>
    <t>A young child is seen standing ready before a game of hop scotch.</t>
  </si>
  <si>
    <t>The girl then begins hopping on the chalk.</t>
  </si>
  <si>
    <t>The girl hops all the way to the end and walks back to the screen.</t>
  </si>
  <si>
    <t>v_djgM0IWIBKc</t>
  </si>
  <si>
    <t>A group of men are in a kayak going down the river bank.</t>
  </si>
  <si>
    <t>The are paddling and looking at the trees in the distance enjoying their day.</t>
  </si>
  <si>
    <t>One of the men gets out of the boat to go swimming in the water, They all get in and start splashing water, swimming under and enjoying the day before getting back in to turn back.</t>
  </si>
  <si>
    <t>Once they start to head back to land and to get ready to get on the dock.</t>
  </si>
  <si>
    <t>v_dyvB6XCWPZs</t>
  </si>
  <si>
    <t>People are rafting in rafts down a choppy river.</t>
  </si>
  <si>
    <t>People are jumping off a rock into the water.</t>
  </si>
  <si>
    <t>People are doing flips off the front of the raft.</t>
  </si>
  <si>
    <t>People are sitting on a boat pulling the rafts.</t>
  </si>
  <si>
    <t>v_BSIV5tJ3bv4</t>
  </si>
  <si>
    <t>An athlete walks in front of a crowd rubbing his hands in powder and grabbing a weight set.</t>
  </si>
  <si>
    <t>He lifts the weights over his head and throws it down afterwards, raising his hands up with his coach.</t>
  </si>
  <si>
    <t>v_HHxPjC6T2e0</t>
  </si>
  <si>
    <t>A unicorn pinata sways in the wind from a line.</t>
  </si>
  <si>
    <t>A woman swings wildly at it with a bat, as she is blindfolded.</t>
  </si>
  <si>
    <t>v_fVg3StD8LL0</t>
  </si>
  <si>
    <t>A man is seen hosting a news segment and speaking to the camera.</t>
  </si>
  <si>
    <t>The man is then seen helping another lay down plaster.</t>
  </si>
  <si>
    <t>The host continues helping the men tear up floor as well as lay it down and speak to the camera.</t>
  </si>
  <si>
    <t>v_-Rv7tGWehRE</t>
  </si>
  <si>
    <t>We see a boy using jumpstilts on a residential street.</t>
  </si>
  <si>
    <t>The man stops jumping the first time.</t>
  </si>
  <si>
    <t>We see a person come outside then go inside.</t>
  </si>
  <si>
    <t>The jumping man faces and walks towards the camera.</t>
  </si>
  <si>
    <t>v_PD9e9MVHEyU</t>
  </si>
  <si>
    <t>We see the title screen on white A lady sits in a chair talking.</t>
  </si>
  <si>
    <t>The lady starts painting on her hand.</t>
  </si>
  <si>
    <t>We see the closing credits on a white screen.</t>
  </si>
  <si>
    <t>v_ZoKdN--u6TU</t>
  </si>
  <si>
    <t>A young man is seen pushing a puck down a table to another man standing on the other side.</t>
  </si>
  <si>
    <t>The other man then pushes a puck and the boys continue playing the game back and fourth.</t>
  </si>
  <si>
    <t>The camera zooms in on the men in the end as well as other people standing around the room.</t>
  </si>
  <si>
    <t>v_lQq_JPRFEMw</t>
  </si>
  <si>
    <t>People are playing a game of lacrosse on a field.</t>
  </si>
  <si>
    <t>The teams line up and shake hands.</t>
  </si>
  <si>
    <t>A woman in a blue coat is talking to the camera.</t>
  </si>
  <si>
    <t>A man in a tan suit is talking into a microphone.</t>
  </si>
  <si>
    <t>v_WYcTPQSXwRc</t>
  </si>
  <si>
    <t>A marching band plays in a parade while people watch stand on the sidewalk.</t>
  </si>
  <si>
    <t>The marching band pass on front a carnival and a green field.</t>
  </si>
  <si>
    <t>Then, the marching band arrives to a city.</t>
  </si>
  <si>
    <t>An old man holding a trophy walks on front the marching band.</t>
  </si>
  <si>
    <t>After, the marching band arrives to a bus station.</t>
  </si>
  <si>
    <t>A bond lady applaud, hug people and talks.</t>
  </si>
  <si>
    <t>v_KGIDKn3t2Qk</t>
  </si>
  <si>
    <t>An intro is shown with a drink being poured into a glass and a caption about drink mixing.</t>
  </si>
  <si>
    <t>A girl begins to make a drink called a Mai Tai.</t>
  </si>
  <si>
    <t>She takes out all the things she will need to make the drink.</t>
  </si>
  <si>
    <t>She gets some ice into a glass and into the shaker.</t>
  </si>
  <si>
    <t>She adds in the rum, triple sec, syrup, sour mix, and puts the lid on the shaker.</t>
  </si>
  <si>
    <t>She shakes the shaker for a bit until it gets cold and pours the drink into the glass over the ice.</t>
  </si>
  <si>
    <t>She tops it off with a bit of sour mix and cherries, as well as a straw.</t>
  </si>
  <si>
    <t>The video ends with the closing caption.</t>
  </si>
  <si>
    <t>v_r9OvUc28Qi8</t>
  </si>
  <si>
    <t>A large group of people are in an area walking, talking and hanging out.</t>
  </si>
  <si>
    <t>Two men with a referee in the middle appear on a stage and they are in an intense arm wrestling match.</t>
  </si>
  <si>
    <t>The man without a hat wins the match and is briefly interviewed where he's smiling and talking.</t>
  </si>
  <si>
    <t>Another match between two men begins and ones again the same man that won the first match wins again.</t>
  </si>
  <si>
    <t>He holds his right arm up flexing it while smiling and his name Allen Fisher pops up on the screen and a black screen with the words 25 Time World Champion ends the video.</t>
  </si>
  <si>
    <t>v_5O1ttcUIUKk</t>
  </si>
  <si>
    <t>men are standing in a large green field playing lacrosse.</t>
  </si>
  <si>
    <t>people is around the field watching the game.</t>
  </si>
  <si>
    <t>men are running side to side of the ield playing lacrosse trying to score.</t>
  </si>
  <si>
    <t>v_1JHqxhajh60</t>
  </si>
  <si>
    <t>A hand is holding a shower head close to a dog.</t>
  </si>
  <si>
    <t>The dog moves around the bathtub as he tries to bite the water being splashed on him.</t>
  </si>
  <si>
    <t>v_0dkIuFFlLRM</t>
  </si>
  <si>
    <t>A camera pans around a set of stairs and leads into people working out in a class.</t>
  </si>
  <si>
    <t>Several shots are shown of people working out together while a man speaks to the camera.</t>
  </si>
  <si>
    <t>The man continues speaking while more people are shown working out together.</t>
  </si>
  <si>
    <t>v_p5H5ZmAwdH8</t>
  </si>
  <si>
    <t>A woman is lifting wallpaper as she tries to smooth it down without bubbles with a tool.</t>
  </si>
  <si>
    <t>She applies the tool smoothly, making sure to repeel and correct any mistakes as she goes along.</t>
  </si>
  <si>
    <t>v_8HhihBmSS9s</t>
  </si>
  <si>
    <t>A small group of people are seen standing around a field that leads into a game of kickball.</t>
  </si>
  <si>
    <t>The people kick around the ball and cheer with one another as they score points on their side.</t>
  </si>
  <si>
    <t>Another team member scores a goal and their teammates run in with their arms up.</t>
  </si>
  <si>
    <t>v_FWPJWq-uhUw</t>
  </si>
  <si>
    <t>An athletic man wearing a track suit and a bib number 171 is walking on a track and warming himself up.</t>
  </si>
  <si>
    <t>The man then grabs his necklace, puts it in his mouth and begins clapping above his head and a name below appears and it say's IRVING SALADINO.</t>
  </si>
  <si>
    <t>The man drops the necklace from his mouth and immediately begins to run and does his hop, skip and jump.</t>
  </si>
  <si>
    <t>Replays of the man's run and jump play and the man is shown celebrating himself, and with others on the field.</t>
  </si>
  <si>
    <t>v_KFo88zRw5CM</t>
  </si>
  <si>
    <t>A man is waterskiing behind a boat while holding a rope.</t>
  </si>
  <si>
    <t>He tries to hold on as he zips to the side.</t>
  </si>
  <si>
    <t>He slips, splits, and falls into the water.</t>
  </si>
  <si>
    <t>v_YO8EY7miuk8</t>
  </si>
  <si>
    <t>A small group of people are seen standing together on a stage and lead into them playing the instruments and two men kneeling in front.</t>
  </si>
  <si>
    <t>The men then perform various martial arts around one another while the people stand around and watch.</t>
  </si>
  <si>
    <t>v_4k-F7EXpcrM</t>
  </si>
  <si>
    <t>A man is riding a rowing machine in a gym.</t>
  </si>
  <si>
    <t>A finger briefly covers part of the camera lens.</t>
  </si>
  <si>
    <t>The man continues to row as people walk by in the gym.</t>
  </si>
  <si>
    <t>v_gvhjtFg8A-c</t>
  </si>
  <si>
    <t>A person moves a tire towards the gate.</t>
  </si>
  <si>
    <t>The gates close in their lanes.</t>
  </si>
  <si>
    <t>People are sitting on tires behind gates.</t>
  </si>
  <si>
    <t>A person moves their feet.</t>
  </si>
  <si>
    <t>When the gate is released, people slide down the ice on tires.</t>
  </si>
  <si>
    <t>A person celebrates and raises their hands.</t>
  </si>
  <si>
    <t>v_avJNxcysMCk</t>
  </si>
  <si>
    <t>Many people are gathered at the finish line of a marathon, waiting for the runners to come in.</t>
  </si>
  <si>
    <t>Many runners start trickling in and slowing down stopping once they get to that point.</t>
  </si>
  <si>
    <t>There are many runners and some people on the sides but the stands are completely empty on that side.</t>
  </si>
  <si>
    <t>More and more men keep running in little by little.</t>
  </si>
  <si>
    <t>v_WVxP7f_OyEs</t>
  </si>
  <si>
    <t>Some people are seen on water skis in the lake.</t>
  </si>
  <si>
    <t>A man talks to the camera, demonstrating how to water ski.</t>
  </si>
  <si>
    <t>Several moves and positions are shown as he talks.</t>
  </si>
  <si>
    <t>v_qpeovDXc1cg</t>
  </si>
  <si>
    <t>A woman is drinking a cup of coffee.</t>
  </si>
  <si>
    <t>Coffee beans are shown in a cup.</t>
  </si>
  <si>
    <t>Web articles are being shown.</t>
  </si>
  <si>
    <t>A cup mug is being filled with coffee.</t>
  </si>
  <si>
    <t>People are riding bikes down the street.</t>
  </si>
  <si>
    <t>v_PveTDlMybvU</t>
  </si>
  <si>
    <t>Motorcycle riders race around a dirt track during a competition.</t>
  </si>
  <si>
    <t>One rider crashes over a jump and falls off his bike.</t>
  </si>
  <si>
    <t>The other rider slows down and pulls off the track.</t>
  </si>
  <si>
    <t>The crashed rider crawls on the ground and is helped by another.</t>
  </si>
  <si>
    <t>The rider waves his arms to signal the others and takes the crashed bike off the course.</t>
  </si>
  <si>
    <t>The rider is seen crashing in slow motion.</t>
  </si>
  <si>
    <t>v_qpyAkXLIJz0</t>
  </si>
  <si>
    <t>A group of people are seen standing around a room with some holding onto instruments.</t>
  </si>
  <si>
    <t>People are sitting at a table playing with cups.</t>
  </si>
  <si>
    <t>More people are seen drumming on the side while the people continue to play with cups.</t>
  </si>
  <si>
    <t>Eventually people play with a guitar and end by walking off the stage.</t>
  </si>
  <si>
    <t>v_gjfa7WGhM6U</t>
  </si>
  <si>
    <t>A young man is sitting in a chair with his head down shaving his leg with an electric razor.</t>
  </si>
  <si>
    <t>The man stops and cleans out the razor.</t>
  </si>
  <si>
    <t>The man shakes the razor when it stops working until it starts again and continues to shave his leg.</t>
  </si>
  <si>
    <t>v_eLeGJBfqURA</t>
  </si>
  <si>
    <t>A dog is outside in a large field and runs towards a man holding a yellow Frisbee.</t>
  </si>
  <si>
    <t>The man then begins walking and throws the frisbee for the dog to catch.</t>
  </si>
  <si>
    <t>He throws it several time and the dog catches each and every one.</t>
  </si>
  <si>
    <t>v_Pyf_5Bffu5A</t>
  </si>
  <si>
    <t>kids are playing beach soccer in a dusty field.</t>
  </si>
  <si>
    <t>people are standing around the field in stands.</t>
  </si>
  <si>
    <t>man makes a goal and the team and people in stands are celebrating.</t>
  </si>
  <si>
    <t>man is doing a corner and scores a goal and ruun to his teammates to celebrate.</t>
  </si>
  <si>
    <t>the game start te game and men keeps running and scores another goal and celebrates while theres a repetition.</t>
  </si>
  <si>
    <t>v_9uZoTZsTwv0</t>
  </si>
  <si>
    <t>A teenage boy on a horse spinning a rope in the air chases after a little cow.</t>
  </si>
  <si>
    <t>The cow is running and the boy throws the rope around its neck.</t>
  </si>
  <si>
    <t>It causes the cow to fall over after being pulled back by the rope.</t>
  </si>
  <si>
    <t>The boy goes running off the horse after it and pins the little cow down.</t>
  </si>
  <si>
    <t>v_VpfLfFtu0d8</t>
  </si>
  <si>
    <t>We see meat and cheese on a counter.</t>
  </si>
  <si>
    <t>A man talks to the camera in a kitchen.</t>
  </si>
  <si>
    <t>The man spreads mustard on bread.</t>
  </si>
  <si>
    <t>The man assembles the sandwich.</t>
  </si>
  <si>
    <t>The sandwich is pressed.</t>
  </si>
  <si>
    <t>The man cuts the sandwich.</t>
  </si>
  <si>
    <t>The man plates all of the food.</t>
  </si>
  <si>
    <t>v_9-yA1F4il_A</t>
  </si>
  <si>
    <t>A lady is blowing leaves off a roof.</t>
  </si>
  <si>
    <t>the lady walks to the right then towards the top.</t>
  </si>
  <si>
    <t>The camera pans down and we see a small boy on the ground below.</t>
  </si>
  <si>
    <t>v_dZ4y7J3ASEE</t>
  </si>
  <si>
    <t>A person throws a ball to a teen who runs and kick the ball.</t>
  </si>
  <si>
    <t>A teen grabs the ball in the air and throws to another girl.</t>
  </si>
  <si>
    <t>The falls on the ground an the girl takes it.</t>
  </si>
  <si>
    <t>v_sjE-hHKFghc</t>
  </si>
  <si>
    <t>A woman is seen wearing roller blades and speaking to the camera.</t>
  </si>
  <si>
    <t>She then rides around on her blades while looking over to the camera and speaking.</t>
  </si>
  <si>
    <t>She continues demonstrating how to properly use the blades and moving around.</t>
  </si>
  <si>
    <t>v_G6W6wen6n7w</t>
  </si>
  <si>
    <t>We see a man run and do a high jump 6'11 and see the replay.</t>
  </si>
  <si>
    <t>We then see the man jump at 6'9 and see the replay.</t>
  </si>
  <si>
    <t>The man jumps at 6'11 again and we see the replay.</t>
  </si>
  <si>
    <t>We see the man jump at 7'2 and we see the replay.</t>
  </si>
  <si>
    <t>We see the man jump at 8'3 using a springboard and we see the replay.</t>
  </si>
  <si>
    <t>v_ULZpTYSwlTs</t>
  </si>
  <si>
    <t>There are some weightlifters on stage participating in weightlifting events.</t>
  </si>
  <si>
    <t>There are several spectators watching the event.</t>
  </si>
  <si>
    <t>One of the weightlifters successfully lifts the weight bar high up and then drops it down.</t>
  </si>
  <si>
    <t>He raises his right hand feeling triumphant.</t>
  </si>
  <si>
    <t>v_k_gAGeXhmHo</t>
  </si>
  <si>
    <t>There is a close up of several men and boys who are sweating.</t>
  </si>
  <si>
    <t>They play rock paper scissors, and the loser becomes enraged.</t>
  </si>
  <si>
    <t>He runs through the building and outdoors, screaming and hitting the air.</t>
  </si>
  <si>
    <t>The man is shown sitting on a chair, talking.</t>
  </si>
  <si>
    <t>He shakes up a bottle and takes a drink before choking.</t>
  </si>
  <si>
    <t>They replay the game, ending with him again talking while sitting in the chair.</t>
  </si>
  <si>
    <t>v_4o7Abew2ExY</t>
  </si>
  <si>
    <t>A man is sitting on a bucket ice fishing.</t>
  </si>
  <si>
    <t>He stands up and pulls a fish out of the hole.</t>
  </si>
  <si>
    <t>He cuts the hook out of the fish and throws the fish on the ice.</t>
  </si>
  <si>
    <t>He sits back down on the bucket.</t>
  </si>
  <si>
    <t>v_Ed9xVend710</t>
  </si>
  <si>
    <t>A still shot of a man on water skis is shown.</t>
  </si>
  <si>
    <t>It then jumps to the same man water skiing very intently.</t>
  </si>
  <si>
    <t>He falls a few times and does his best to stay upright.</t>
  </si>
  <si>
    <t>The video then shows other people trying their best but falling each time.</t>
  </si>
  <si>
    <t>The video continues to show people falling again and again.</t>
  </si>
  <si>
    <t>At the end, credits are shown as to who filmed and starred in the video.</t>
  </si>
  <si>
    <t>v_agZNSscDJww</t>
  </si>
  <si>
    <t>A man is playing the bagpipes.</t>
  </si>
  <si>
    <t>People are playing a game of lacrosse outside.</t>
  </si>
  <si>
    <t>v_YZhNtSJMzq8</t>
  </si>
  <si>
    <t>A boy mows a backyard using a mower that has a collecting bag on back.</t>
  </si>
  <si>
    <t>The boy pass the sidewalk and turn to the yard to continue cutting the grass.</t>
  </si>
  <si>
    <t>v_e0a1lp4ZWu8</t>
  </si>
  <si>
    <t>People are riding on horses in a field.</t>
  </si>
  <si>
    <t>A person in a red shirt is standing next to the horse.</t>
  </si>
  <si>
    <t>A man in a black hat is next to the horse.</t>
  </si>
  <si>
    <t>v_dSsMVoPLQOk</t>
  </si>
  <si>
    <t>A woman is seen shaving down the fur of a dog while the camera shows many dogs sitting in crates.</t>
  </si>
  <si>
    <t>A woman is seen speaking to the camera and showing off several dogs with long hair and afterwards.</t>
  </si>
  <si>
    <t>The woman continues shaving down the sides of the dog while stopping to speak to the camera and showing off the shaved dog.</t>
  </si>
  <si>
    <t>v_ztnt2EYuK3I</t>
  </si>
  <si>
    <t>A person in a black coat is scraping ice off of a window.</t>
  </si>
  <si>
    <t>A kid in a yellow coat is smiling at the camera.</t>
  </si>
  <si>
    <t>A boy in a green jacket is scraping the ice off of another car.</t>
  </si>
  <si>
    <t>v_YtgiDWEY_1A</t>
  </si>
  <si>
    <t>The news shows a picture of a man name Albertinho Gazio, Meanwhile a woman walking out of her house in snow gear towards her parked car.</t>
  </si>
  <si>
    <t>The man behind the camera seems to be Albertinho, He is walking through the snow and talking, he and his wife and taking off the snow from the cars in the parking lot.</t>
  </si>
  <si>
    <t>His hands are extremely red from the snow but his wife is wearing gloves so she's unaffected.</t>
  </si>
  <si>
    <t>He takes a paper out of his pocket and reads through it, while his wife laughs at him before they start walking back inside.</t>
  </si>
  <si>
    <t>v_g0Cp28ElIMk</t>
  </si>
  <si>
    <t>A girl put her foot on a line and then pulls herself up .</t>
  </si>
  <si>
    <t>Her feet are dirty but she is trying to balance on the rope.</t>
  </si>
  <si>
    <t>A man gets up on the rope trying to balance himself also, he has trouble maintaining his balance causing himself to almost fall quite a bit.</t>
  </si>
  <si>
    <t>He tried this over water and then he watches a woman try to balance herself.</t>
  </si>
  <si>
    <t>v_jtyWcZGp4VA</t>
  </si>
  <si>
    <t>A person take on the hands a small and big brush and a com, and points a jug of detergent and a spray bottle.</t>
  </si>
  <si>
    <t>The person takes the big brush and brush the back leg of the dog from top to bottom.</t>
  </si>
  <si>
    <t>After, the person brushes the back leg of the dog using the big brush, then she small brush and the comb.</t>
  </si>
  <si>
    <t>Next, the person sprays the leg of the dog and combs.</t>
  </si>
  <si>
    <t>v_xI4LLnFt6Io</t>
  </si>
  <si>
    <t>A person plays bagpipes on the streets as people pass by.</t>
  </si>
  <si>
    <t>The crowd is shown and someone takes a picture with the woman.</t>
  </si>
  <si>
    <t>v_t5Br7yOUe4g</t>
  </si>
  <si>
    <t>There's a gymnast wearing red leotards performing gymnastics on a horse bar in a large stadium with spectators and a panel of judges.</t>
  </si>
  <si>
    <t>She begins by getting onto the horse bar and does a front flips and a couple back flips.</t>
  </si>
  <si>
    <t>Then she continues twisting her legs and does another side flips by twisting her body.</t>
  </si>
  <si>
    <t>She then gracefully does few more continuous back flips and jumps off the bar and walks away.</t>
  </si>
  <si>
    <t>v_d8MgSp3oCoA</t>
  </si>
  <si>
    <t>Two sumos stand face to face on front a woman.</t>
  </si>
  <si>
    <t>Then, the sumos push each other while the woman watch them.</t>
  </si>
  <si>
    <t>After, a sumo falls on the ground heavily, then he stands.</t>
  </si>
  <si>
    <t>A man wearing yellow clothes approach the ring.</t>
  </si>
  <si>
    <t>v_Fz1NCLAB8bA</t>
  </si>
  <si>
    <t>Five products are aligned on a table,illustrating the products needed to shave.</t>
  </si>
  <si>
    <t>A young white male walks into the bathroom,turns on the water and begins to rub his beard.</t>
  </si>
  <si>
    <t>A series of different forms of the product is shown and then the man prepares his skin with oil and puts it around his beard.</t>
  </si>
  <si>
    <t>Next comes the brush and he adds some white cream to it to lather up his hair.</t>
  </si>
  <si>
    <t>Finally,it is time to shave and the beard is taken completely down.</t>
  </si>
  <si>
    <t>For the finishing touches,lotion is added and the man is now dressed in a suit ready to go.</t>
  </si>
  <si>
    <t>v_ydJsJgdaEq4</t>
  </si>
  <si>
    <t>A man wearing a hat is seen speaking to the camera and holding up various cleaning products.</t>
  </si>
  <si>
    <t>He then holds up a bottle and rag and begins wiping down a class door.</t>
  </si>
  <si>
    <t>He continues wiping down a door and speaking to the camera.</t>
  </si>
  <si>
    <t>v_7_5VT6QCqNI</t>
  </si>
  <si>
    <t>A man is talking to the camera while styling a woman's hair.</t>
  </si>
  <si>
    <t>The man is showing various hair care products.</t>
  </si>
  <si>
    <t>The man is drying the woman's hair with a blow dryer.</t>
  </si>
  <si>
    <t>The man shows a hair brush.</t>
  </si>
  <si>
    <t>The man hands the woman the brush and blow dryer.</t>
  </si>
  <si>
    <t>The woman proceeds to dry her own hair.</t>
  </si>
  <si>
    <t>The man resumes blow drying the woman's hair.</t>
  </si>
  <si>
    <t>The man sprays the woman's hair with hairspray.</t>
  </si>
  <si>
    <t>A row of hair care products is shown.</t>
  </si>
  <si>
    <t>A logo for hair care products is shown.</t>
  </si>
  <si>
    <t>v_46l7dmH8pCg</t>
  </si>
  <si>
    <t>A group of people are in the backyard of a house, playing croquette.</t>
  </si>
  <si>
    <t>A woman uses the mallet to hit the ball, then others join in.</t>
  </si>
  <si>
    <t>A man holding a mallet and ball talks about the process of how to play the game, playing and hitting the ball and he explains it.</t>
  </si>
  <si>
    <t>He then puts his arms out at his sides.</t>
  </si>
  <si>
    <t>v_-Wmrg_0jxA8</t>
  </si>
  <si>
    <t>A circle is formed of several children who are talking and banging each other in the head with foam mallets.</t>
  </si>
  <si>
    <t>The other people laugh as they watch.</t>
  </si>
  <si>
    <t>v_3A26j50_awY</t>
  </si>
  <si>
    <t>We see a track with people standing around.</t>
  </si>
  <si>
    <t>We see a man with a javelin run.</t>
  </si>
  <si>
    <t>The man returns and we see another javelin thrower with him.</t>
  </si>
  <si>
    <t>A man in red and white runs down a track and performs a high jump.</t>
  </si>
  <si>
    <t>The camera is lowered and covered by a hand.</t>
  </si>
  <si>
    <t>v_FaDD5MyZj88</t>
  </si>
  <si>
    <t>A man is shown doing a jump in slow motion on a track several times back to back.</t>
  </si>
  <si>
    <t>The camera shows several different angles of the athlete jumping in a line as well as into the pit on sand.</t>
  </si>
  <si>
    <t>He performs several long jumps back to back and shows off his distance acquired.</t>
  </si>
  <si>
    <t>v_cxIfpBvuk0E</t>
  </si>
  <si>
    <t>A girl is lighting a cigarette and blowing smoke.</t>
  </si>
  <si>
    <t>An arm comes into view and the girl smells it.</t>
  </si>
  <si>
    <t>She smokes some more and blows smoke as she plays with her hair.</t>
  </si>
  <si>
    <t>She is saying something to the camera as she smokes.</t>
  </si>
  <si>
    <t>She thumps her ashes and continues to smoke.</t>
  </si>
  <si>
    <t>She turns around and then back to smoking.</t>
  </si>
  <si>
    <t>She sticks her tongue out.</t>
  </si>
  <si>
    <t>She pans over to a picture of a crazy looking woman and tries to imitate it.</t>
  </si>
  <si>
    <t>She continues to smoke and talk to the camera.</t>
  </si>
  <si>
    <t>She makes faces at the camera.</t>
  </si>
  <si>
    <t>She gets up close to the camera as someone walks behind her.</t>
  </si>
  <si>
    <t>v_uLT7PmD_AJA</t>
  </si>
  <si>
    <t>A person's hands are seen working on the head of a human and placing pieces of hair into the head.</t>
  </si>
  <si>
    <t>The person ties the hair into several braids and then transitions into pictures of the hair in an updo.</t>
  </si>
  <si>
    <t>v_a5R0qO5NynU</t>
  </si>
  <si>
    <t>A woman does hula hoops outside and then in the dark alternating.</t>
  </si>
  <si>
    <t>A man takes a hula hoop and describes it before cutting back to the woman.</t>
  </si>
  <si>
    <t>v_sC_hs-OXERg</t>
  </si>
  <si>
    <t>A man is seen bending over a block of wood and sanding it own.</t>
  </si>
  <si>
    <t>He pours out more liquids in front of a group of people and rubs it all along the block of wood.</t>
  </si>
  <si>
    <t>He continues rubbing it down while people on the sidelines watch.</t>
  </si>
  <si>
    <t>v_pcaPtKtS03E</t>
  </si>
  <si>
    <t>A close up of a christmas tree is shown followed by a young child hanging up ornaments.</t>
  </si>
  <si>
    <t>The girl walks back and fourth hanging up ornaments all over a tree.</t>
  </si>
  <si>
    <t>The girl continues to hang up ornaments while the camera captures her movements.</t>
  </si>
  <si>
    <t>v_z4_OuffZPAo</t>
  </si>
  <si>
    <t>A man peels a potato while blindfolded and two little girls watch.</t>
  </si>
  <si>
    <t>The man finishes and holds up the potato to the camera.</t>
  </si>
  <si>
    <t>The man picks up a peel off the table.</t>
  </si>
  <si>
    <t>the man removes his blindfold.</t>
  </si>
  <si>
    <t>v_VuEy38XdUgA</t>
  </si>
  <si>
    <t>The video starts with several people playing shuffleboard on a shuffleboard court.</t>
  </si>
  <si>
    <t>One person makes a shot with a black puck.</t>
  </si>
  <si>
    <t>The next person makes a shot with a yellow puck.</t>
  </si>
  <si>
    <t>The people continue to alternate shots between a yellow and a black puck.</t>
  </si>
  <si>
    <t>v_pOO6H6d5SXI</t>
  </si>
  <si>
    <t>An elderly man is seated in the living room.</t>
  </si>
  <si>
    <t>He is playing an accordian.</t>
  </si>
  <si>
    <t>He continues playing the accordian for the camera.</t>
  </si>
  <si>
    <t>v_6_XA3oKwwzU</t>
  </si>
  <si>
    <t>A woman is playing an acoustic guitar.</t>
  </si>
  <si>
    <t>A woman standing next to her is dancing and twirling a baton.</t>
  </si>
  <si>
    <t>v_9nh_6Hzg_aw</t>
  </si>
  <si>
    <t>A person is shown looking around a city and begins washing windows with his tools.</t>
  </si>
  <si>
    <t>He goes up and down the windows at a rapid pace and continues filming himself through the glass.</t>
  </si>
  <si>
    <t>He finishes the glass in record time and turns off the camera.</t>
  </si>
  <si>
    <t>v_o5j6N8O6HS4</t>
  </si>
  <si>
    <t>One man is explaining to another man how to use a rowing machine.</t>
  </si>
  <si>
    <t>One of the main starts to row on the rowing machine before the other.</t>
  </si>
  <si>
    <t>Next, the other man joins the first man and starts to row.</t>
  </si>
  <si>
    <t>v_GlAEgSWM2nQ</t>
  </si>
  <si>
    <t>A man in shorts is shown in front of some bushes and is trimming them with a manual trimmer.</t>
  </si>
  <si>
    <t>He is being very precise and going a very detailed job.</t>
  </si>
  <si>
    <t>He goes up and down the length of the bushes and is paying attention to every part of them.</t>
  </si>
  <si>
    <t>He then moves higher and higher getting the very top of the bush.</t>
  </si>
  <si>
    <t>v_3fg_CB3rBSk</t>
  </si>
  <si>
    <t>kids are in a park around a squarepants bob sponge piñata pulling threads.</t>
  </si>
  <si>
    <t>woman is behind playground holding a bag and watching the kids.</t>
  </si>
  <si>
    <t>woman holds the piñata while kids keep pulling from the piñata.</t>
  </si>
  <si>
    <t>kid pulls the thread and opn the piñata and kneel in the floor picking up candies.</t>
  </si>
  <si>
    <t>v_hV_Ud3zrAnA</t>
  </si>
  <si>
    <t>Several people are seen jumping roping with one another as well as on their own as others watch on the side.</t>
  </si>
  <si>
    <t>The people performing several jumps and spins with the jump rope as well as shots that are shown in slow motion.</t>
  </si>
  <si>
    <t>v_OeIQ0P0FCCg</t>
  </si>
  <si>
    <t>A person sitting on a bicycle is seen sitting before a track start with others and leads into him completing a race.</t>
  </si>
  <si>
    <t>Several more shots are shown of people racing all together as well as the man riding around and others recording him.</t>
  </si>
  <si>
    <t>v_0BXBfSWIR2k</t>
  </si>
  <si>
    <t>A wind surfer surfs against heavy waves.</t>
  </si>
  <si>
    <t>The surfer flings his board against a wave, flying high into the air.</t>
  </si>
  <si>
    <t>The surfer lands back on the waters and resumes his surf.</t>
  </si>
  <si>
    <t>v_PBZScfP9ynI</t>
  </si>
  <si>
    <t>A woman is doing kickboxing in front of a mirrored wall.</t>
  </si>
  <si>
    <t>She high kicks her legs into the air.</t>
  </si>
  <si>
    <t>She alternates the kicks with punches.</t>
  </si>
  <si>
    <t>v_PFYk8lhE7-0</t>
  </si>
  <si>
    <t>A man is outside with a large metal box.</t>
  </si>
  <si>
    <t>Another man is sanding a wall and ceiling inside a building.</t>
  </si>
  <si>
    <t>They then sand the floors.</t>
  </si>
  <si>
    <t>v__Z71mu4aQy4</t>
  </si>
  <si>
    <t>A cricket player hits a ball that is pitched.</t>
  </si>
  <si>
    <t>A player makes a diving catch in the outfield.</t>
  </si>
  <si>
    <t>The player smiles and is a good sport.</t>
  </si>
  <si>
    <t>v_-z0ZvJD9gY4</t>
  </si>
  <si>
    <t>A young man is seen spraying down a dog with water in the middle of an alleyway while the dog moves away from the water.</t>
  </si>
  <si>
    <t>The person continues spraying the dog with the hose and standing waiting for the dog.</t>
  </si>
  <si>
    <t>v_mQoYAZ2BLDM</t>
  </si>
  <si>
    <t>Two people arm wrestle in a competition.</t>
  </si>
  <si>
    <t>The losers arm is hurt.</t>
  </si>
  <si>
    <t>v_-y8LMGQt8uI</t>
  </si>
  <si>
    <t>A group of people are seen going up and down snowy mountains on skis and in ski cars.</t>
  </si>
  <si>
    <t>A view is then seen of the snowy mountains with a bridge in front.</t>
  </si>
  <si>
    <t>v_CBN0dqyWB7w</t>
  </si>
  <si>
    <t>A man is seen kneeling down next to a car while speaking to the camera.</t>
  </si>
  <si>
    <t>The camera pans all around the car as well as the tire while the man continues to speak to the camera.</t>
  </si>
  <si>
    <t>v_XkVicWlqTV4</t>
  </si>
  <si>
    <t>A man serves a ball in a beach volleyball game, then he run on front the net to receive the ball while people watch the game in a beach.</t>
  </si>
  <si>
    <t>A serves a ball and plays while people watch the game in a beach.</t>
  </si>
  <si>
    <t>v_u_G3ZPXU35A</t>
  </si>
  <si>
    <t>A pair of french doors is shown on a house.</t>
  </si>
  <si>
    <t>A man demonstrates how to clean the glass in the windows of the doors.</t>
  </si>
  <si>
    <t>He scrubs them with a cloth, wiping them clean.</t>
  </si>
  <si>
    <t>He continues going down one door, cleaning each individual window.</t>
  </si>
  <si>
    <t>v_aj1ole7T9hc</t>
  </si>
  <si>
    <t>A woman is mowing a lawn, pushing the mower back and forth.</t>
  </si>
  <si>
    <t>She covers half the lawn and driveway before the video ends.</t>
  </si>
  <si>
    <t>v_cK1ssoaX768</t>
  </si>
  <si>
    <t>A group of men plays soccer in a sand area.</t>
  </si>
  <si>
    <t>A crowd watches from the the stands.</t>
  </si>
  <si>
    <t>A goalie tries to block a ball and does the splits but misses the ball.</t>
  </si>
  <si>
    <t>v_br8Ao_UBEZA</t>
  </si>
  <si>
    <t>Two men enter the racquetball room.</t>
  </si>
  <si>
    <t>The two men start playing racquetball, running around the room trying to hit the ball.</t>
  </si>
  <si>
    <t>A man leaved the room and looks into the camera.</t>
  </si>
  <si>
    <t>v_iuEuMQUXLVw</t>
  </si>
  <si>
    <t>woman is standing in a kitchen and is eating a cake full of cream.</t>
  </si>
  <si>
    <t>a cake is in a pot on the counter, woman is speaking to the camera in the kitchen.</t>
  </si>
  <si>
    <t>cake mix is beat with a mixer, the woman keeps talking and mixing the cake.</t>
  </si>
  <si>
    <t>oil is in a pot.</t>
  </si>
  <si>
    <t>woman holds a green pot full of sand and its putted on the pressure cooker.</t>
  </si>
  <si>
    <t>put the mixer on the oily pot.</t>
  </si>
  <si>
    <t>the pression mix is open and then closed while the woman keeps talking in the kitchen, after a ime she open the pot and the cake is ready.</t>
  </si>
  <si>
    <t>a decorated cake is shown and the cakes along the pression pot.</t>
  </si>
  <si>
    <t>v_c7Rxe5IzUQw</t>
  </si>
  <si>
    <t>A black and white video shows two people in a bedroom, playing guitars.</t>
  </si>
  <si>
    <t>They continue throughout the video, shaking somewhat as they play.</t>
  </si>
  <si>
    <t>v_KU4twxFnX5Q</t>
  </si>
  <si>
    <t>A group of runners walk down a dirt path.</t>
  </si>
  <si>
    <t>They begin running, being passed by cars as they go.</t>
  </si>
  <si>
    <t>They continue running through the town together.</t>
  </si>
  <si>
    <t>v_AOBkrb8yYS4</t>
  </si>
  <si>
    <t>A close up of a ball is shown followed by a person hitting the ball in several locations.</t>
  </si>
  <si>
    <t>The man continues to demonstrate how to hit the ball in various angles as well as kneeling on the ground to shoot.</t>
  </si>
  <si>
    <t>v_ZlHaPkhGr_g</t>
  </si>
  <si>
    <t>There's a girl with long brown hair playing the harmonica in a hospital elevator.</t>
  </si>
  <si>
    <t>The elevator door opens and several people enter the elevator.</t>
  </si>
  <si>
    <t>She continues playing her harmonica.</t>
  </si>
  <si>
    <t>There's a young boy and his mother who smile at the lady as she plays.</t>
  </si>
  <si>
    <t>Then they get off the elevator when they reach their level.</t>
  </si>
  <si>
    <t>The lady continues playing the harmonica as the elevator moves further and stops at other levels and more people walk in.</t>
  </si>
  <si>
    <t>People continue to get on and off the elevator but she continues to play her harmonica.</t>
  </si>
  <si>
    <t>A person enters the elevator with a man on a stretcher along with some other people.</t>
  </si>
  <si>
    <t>They smile at her and compliment her.</t>
  </si>
  <si>
    <t>They get off the elevator when they reach their desired level in the hospital.</t>
  </si>
  <si>
    <t>v_An_CpsJkJMM</t>
  </si>
  <si>
    <t>A toddler wash his hands in the sink.</t>
  </si>
  <si>
    <t>Then, the toddler splash water on his face and smile.</t>
  </si>
  <si>
    <t>The toddled puts water on his face, and then moves his head.</t>
  </si>
  <si>
    <t>v_e07y3QI4Kbg</t>
  </si>
  <si>
    <t>Two people are seen arm wrestling with one another while one man holds their hands.</t>
  </si>
  <si>
    <t>The men then continue to wrestle with one slamming the other's hand down.</t>
  </si>
  <si>
    <t>v_tA4KrZHGoYQ</t>
  </si>
  <si>
    <t>A group of people are seen huddled around and leads into a group of them riding down a river with one man's help.</t>
  </si>
  <si>
    <t>The ride continuously down the river bumping into rocks along the way and leads to them walking out on the side.</t>
  </si>
  <si>
    <t>Finally a picture of them all together in shown in the end.</t>
  </si>
  <si>
    <t>v_-1CEVKeAyA8</t>
  </si>
  <si>
    <t>An older woman is seen sitting in a chair knitting while holding two needles and leads into her showing off her knitting basket and speaking to the camera.</t>
  </si>
  <si>
    <t>The woman continues speaking while holding the knitting tools and ends by fading to black.</t>
  </si>
  <si>
    <t>v_5aMigcn2cU8</t>
  </si>
  <si>
    <t>A group of two women and two men pose together.</t>
  </si>
  <si>
    <t>They are then shown performing an art exercise called zumba inside a building.</t>
  </si>
  <si>
    <t>They dance back and forth in unison, then are shown posing together at the end as musical notes float across the screen.</t>
  </si>
  <si>
    <t>v_IBkHS9Zl2z8</t>
  </si>
  <si>
    <t>A man in a brown coat and hat is shoveling the snow from his driveway.</t>
  </si>
  <si>
    <t>Pictures of the man are being shown.</t>
  </si>
  <si>
    <t>The man gets out a snowblower and starts snowblowing his driveway.</t>
  </si>
  <si>
    <t>A woman in a blue coat is talking.</t>
  </si>
  <si>
    <t>The man continues snowblowing before talking to the camera.</t>
  </si>
  <si>
    <t>v_-UfNSW7yeSo</t>
  </si>
  <si>
    <t>A person welds a seam of a large metal pipe wearing protective mask.</t>
  </si>
  <si>
    <t>The person peers through a tiny hole in a piece of metal.</t>
  </si>
  <si>
    <t>The man finishes the weld and the seam is seen glowing red hot.</t>
  </si>
  <si>
    <t>A man taps the finished welled with a metal file.</t>
  </si>
  <si>
    <t>v_vNzTWjEFr-Y</t>
  </si>
  <si>
    <t>The video shows a person's hand holding up an acoustic guitar.</t>
  </si>
  <si>
    <t>The Yamaha case of the guitar is also shown.</t>
  </si>
  <si>
    <t>A young man is seen playing his acoustic guitar.</t>
  </si>
  <si>
    <t>He is strumming his guitar to a tune.</t>
  </si>
  <si>
    <t>v_7e035QnLp0c</t>
  </si>
  <si>
    <t>A man is seen in several locations walking along a long rope tied to two trees.</t>
  </si>
  <si>
    <t>The man continues performing several variations on how to walk on the rope as well as jumping up and down and continuing to walk.</t>
  </si>
  <si>
    <t>v_99PtaOQbBIY</t>
  </si>
  <si>
    <t>Several cats are shown sitting around followed by a man speaking to the camera.</t>
  </si>
  <si>
    <t>More shots are shown of cars and leads into a woman cutting a cat's claws.</t>
  </si>
  <si>
    <t>Several products are shown laid out as well as several people holding cats and cutting their nails.</t>
  </si>
  <si>
    <t>v_VoQ2VhCqir0</t>
  </si>
  <si>
    <t>men is holding a bucket and is standing in the oof of a house and its working on it.</t>
  </si>
  <si>
    <t>man is doing the mix in a bucket in a floor and in the roof again.</t>
  </si>
  <si>
    <t>v_I-vi5EpjrFI</t>
  </si>
  <si>
    <t>Text is shown across the screen leading into two women speaking to one another.</t>
  </si>
  <si>
    <t>One takes a sip of mouth wash and spits it into the sink.</t>
  </si>
  <si>
    <t>She hands the container back to the woman who turns to speak to the camera.</t>
  </si>
  <si>
    <t>v_6eQuZddoEcI</t>
  </si>
  <si>
    <t>Three athletes perform hammer throws at a professional sports event in front of an audience in bleachers and score keepers.</t>
  </si>
  <si>
    <t>A man spins a hammer throw sports hammer around and around again at a professional sports event and then lets it go to fly into a field surrounded by an audience in bleachers.</t>
  </si>
  <si>
    <t>The athlete walks away and looks disappointed as a scoreboard reveals the score.</t>
  </si>
  <si>
    <t>Two more athletes perform the same sport in the same way both letting the hammer fly in the air.</t>
  </si>
  <si>
    <t>A final scoreboard displays showing hammer throw scores.</t>
  </si>
  <si>
    <t>v_4l8r_wBuJ6Y</t>
  </si>
  <si>
    <t>A man is wearing a yellow vest.</t>
  </si>
  <si>
    <t>He is standing in front of a building cleaning a window.</t>
  </si>
  <si>
    <t>A person is seen looking out one of the windows.</t>
  </si>
  <si>
    <t>v_g0RK-2ydod0</t>
  </si>
  <si>
    <t>A chef is seen standing before a table with various objects laid out and pulling a piece of food out of pot.</t>
  </si>
  <si>
    <t>He shows the object to the camera and begins peeling it out into a bowl.</t>
  </si>
  <si>
    <t>The person then cuts up the food and continues peeling more into a pot.</t>
  </si>
  <si>
    <t>v_TjDlEonao3s</t>
  </si>
  <si>
    <t>There's a woman doing a tutorial on how to use a curling iron on a model's hair.</t>
  </si>
  <si>
    <t>She takes sections of the model's hair one at time and puts it into the curling iron and then releases it gradually to pull out the curls.</t>
  </si>
  <si>
    <t>She continues the process till the entire head of hair is curled with the iron.</t>
  </si>
  <si>
    <t>The model then smiles and takes a selfie while looking in the mirror.</t>
  </si>
  <si>
    <t>v_wfSh2F8ymIg</t>
  </si>
  <si>
    <t>A camera shows a person's feet riding down a snow mountain while spinning around in circles.</t>
  </si>
  <si>
    <t>The person continues spinning down the hill while a large crowd watches on the side and a young boy jumps up at the bottom.</t>
  </si>
  <si>
    <t>v_1opIvQF0m_M</t>
  </si>
  <si>
    <t>A person on a skateboard moves over and ramp and up on a corner.</t>
  </si>
  <si>
    <t>The camera shows him doing various moves and interviewing the camera.</t>
  </si>
  <si>
    <t>Another man rides a wakeboard doing and tricks and eventually falls.</t>
  </si>
  <si>
    <t>Several other clips are shown of people kayaking doing several stunts while the camera records.</t>
  </si>
  <si>
    <t>v_soeRPsbkfas</t>
  </si>
  <si>
    <t>A man is shown doing several different long jumps back to back while the camera captures him.</t>
  </si>
  <si>
    <t>He swings his arms around to demonstrate a proper move followed by several more jumps.</t>
  </si>
  <si>
    <t>v_YonmpJvwmKM</t>
  </si>
  <si>
    <t>A man is pictured next to an ad for yoga.</t>
  </si>
  <si>
    <t>He is standing in a forest, making slow and graceful yoga moves.</t>
  </si>
  <si>
    <t>He stands on a platform, continuing the graceful movements.</t>
  </si>
  <si>
    <t>We then see him again in the woods, still performing yoga quietly.</t>
  </si>
  <si>
    <t>v_ComW-O6dMW4</t>
  </si>
  <si>
    <t>These two men are shown spraying the exterior of the black car with soap.</t>
  </si>
  <si>
    <t>Then they started hand washing the car using their hands and a towel.</t>
  </si>
  <si>
    <t>They scrubbed almost everywhere to make the black turn into shine.</t>
  </si>
  <si>
    <t>v_CIPSw35iF3k</t>
  </si>
  <si>
    <t>A person is slicing a potato.</t>
  </si>
  <si>
    <t>They stack up the potato slices and start chopping them into tiny pieces.</t>
  </si>
  <si>
    <t>He sets the pieces on a plate sitting in a sink.</t>
  </si>
  <si>
    <t>There is plates of food in the sink.</t>
  </si>
  <si>
    <t>He empties the plates into a pot.</t>
  </si>
  <si>
    <t>He stirs everything in the pot together.</t>
  </si>
  <si>
    <t>He then takes a scoop of that and puts it on a plate with vegetables on it.</t>
  </si>
  <si>
    <t>He tops it with garnishments.</t>
  </si>
  <si>
    <t>v_9wMEbyzxNHI</t>
  </si>
  <si>
    <t>men are talking to the camera sitting in a chair.</t>
  </si>
  <si>
    <t>men taking off their glasses and shave the half of their faces while a woman is putting some makeup on them, doing their eyebrows and putting some eyeliner and lashes.</t>
  </si>
  <si>
    <t>men look at them in the mirror with the half way of the face with makeup and the oher half without makeup and are talking to the camera.</t>
  </si>
  <si>
    <t>v_jCNaa108OhI</t>
  </si>
  <si>
    <t>People shovels the snow using a wheeled snow shovel.</t>
  </si>
  <si>
    <t>Then, a man demonstrates how to shovel the snow, the he uses a bag.</t>
  </si>
  <si>
    <t>v_dY2iZq5T0zo</t>
  </si>
  <si>
    <t>A group of people are riding horses and playing polo.</t>
  </si>
  <si>
    <t>They fight over the ball in front of the watching crowd.</t>
  </si>
  <si>
    <t>When it's over, they pose for pictures outside the rodeo and stadium.</t>
  </si>
  <si>
    <t>v_Qyruw9480BU</t>
  </si>
  <si>
    <t>A lady in a pink shirt stands in a laundry room talking to the camera.</t>
  </si>
  <si>
    <t>The camera zooms out to show us the whole room.</t>
  </si>
  <si>
    <t>The lady shows us a spray bottle and shakes it up.</t>
  </si>
  <si>
    <t>The lady then speaks to the camera.</t>
  </si>
  <si>
    <t>v_lEYr4d4vBWc</t>
  </si>
  <si>
    <t>A close up of a wall is shown followed by several clips of men opening a window.</t>
  </si>
  <si>
    <t>They're also seen working on a roof and putting tiles down on the side.</t>
  </si>
  <si>
    <t>They put in a window and end by closing up.</t>
  </si>
  <si>
    <t>v_3ZJQHfrfR2M</t>
  </si>
  <si>
    <t>A man is cleaning leaves off a sidewalk with a broom and a shovel.</t>
  </si>
  <si>
    <t>The man sweeps the leaves in a circle and puts them in the bin.</t>
  </si>
  <si>
    <t>A yellow bus rides past the man.</t>
  </si>
  <si>
    <t>The man sweeps again and puts the leaves in the bin.</t>
  </si>
  <si>
    <t>v_1ErQKcUju8o</t>
  </si>
  <si>
    <t>A tutorial is presented on how to do simple ballet moves.</t>
  </si>
  <si>
    <t>After showing the materials, the teacher touches the student to show perfect form.</t>
  </si>
  <si>
    <t>v_fBov3cwPEho</t>
  </si>
  <si>
    <t>We see a man and a baby decorating a Christmas tree.</t>
  </si>
  <si>
    <t>The baby takes a blue bulb off the tree.</t>
  </si>
  <si>
    <t>The dad puts it back and the baby takes it again.</t>
  </si>
  <si>
    <t>The child turns towards the camera and the dad walks to a counter.</t>
  </si>
  <si>
    <t>The child drops the blue bulb and goes for another.</t>
  </si>
  <si>
    <t>The child adds another blue bulb to the tree.</t>
  </si>
  <si>
    <t>The camera pans up to show the tree and then shows the stockings.</t>
  </si>
  <si>
    <t>v_jbSBQL08VHA</t>
  </si>
  <si>
    <t>A man is seen speaking to the camera and working on a bike followed by him pulling chains and spinning wheels on the bike.</t>
  </si>
  <si>
    <t>He peddles the bike and shows the tire spinning again, ending with him tightening the tire and spinning it once more.</t>
  </si>
  <si>
    <t>v_tS-MHCJKMgM</t>
  </si>
  <si>
    <t>A welding specialist from Tulsa Welding School is demonstrating how to weld.</t>
  </si>
  <si>
    <t>He explains the techniques of welding with the help of welder wearing protective gear and mask, using the blow torch.</t>
  </si>
  <si>
    <t>v_WVaYjd1F8kg</t>
  </si>
  <si>
    <t>A person cuts a pepper and put in a bowl.</t>
  </si>
  <si>
    <t>Also, the person cook noodles in a pot.</t>
  </si>
  <si>
    <t>Then, the person fry mushrooms in a pan, add salt, garlic, tomatoes and roots.</t>
  </si>
  <si>
    <t>After, the person add the pepper and the noodles, mix and serves.</t>
  </si>
  <si>
    <t>v_sCCJpFKVV8g</t>
  </si>
  <si>
    <t>A woman is seen bending over a table with a tattoo artist rubbing her back from behind and grabbing a tattoo needle.</t>
  </si>
  <si>
    <t>The woman then begins tattooing the back of the woman while the camera pans around from various angles.</t>
  </si>
  <si>
    <t>v_moqRG7uwZ4Q</t>
  </si>
  <si>
    <t>A view of a leaf blower lays on the ground in a yard.</t>
  </si>
  <si>
    <t>The leaf blower blows brown dried up leaves using the leaf blower.</t>
  </si>
  <si>
    <t>The leaves are blown away from some lawn furniture and blown towards the middle of the yard.</t>
  </si>
  <si>
    <t>v_B-lmXhRr6bE</t>
  </si>
  <si>
    <t>A large black item is drawn on a long sheet of white paper.</t>
  </si>
  <si>
    <t>A person uses a brush to continue the painting.</t>
  </si>
  <si>
    <t>They add leaves, creating a black plant.</t>
  </si>
  <si>
    <t>v_VLmZ3M3wSbo</t>
  </si>
  <si>
    <t>A young man is seen holding his eye open in front of a mirror and attempting to put a contact lens in.</t>
  </si>
  <si>
    <t>He drops the lens on the sink and again tries to put the contact into his eye.</t>
  </si>
  <si>
    <t>He drops the lens again and continues trying to put it into his eye and the camera moves around in the end.</t>
  </si>
  <si>
    <t>v_ti3EHJLR2mU</t>
  </si>
  <si>
    <t>The video is a tutorial on how to make Alfredo sauce pasta.</t>
  </si>
  <si>
    <t>A lady with blond hair wearing a maroon tank top is demonstrating how to boil water to make bow-tie pasta.</t>
  </si>
  <si>
    <t>She then strains the pasta out in a bowl by throwing out the excess water.</t>
  </si>
  <si>
    <t>Then she takes a stick of butter and cuts it and adds to a saucepan.</t>
  </si>
  <si>
    <t>then she adds some milk and cheese to it and stirs it in with the cooked pasta.</t>
  </si>
  <si>
    <t>She adds some more milk and cheese to the pasta to make the sauce.</t>
  </si>
  <si>
    <t>She continues stirring the pasta in the saucepan.</t>
  </si>
  <si>
    <t>She serves the pasta in a square brown plate and takes a spoonful of the pasta to taste it.</t>
  </si>
  <si>
    <t>She is happy with the way it turned out.</t>
  </si>
  <si>
    <t>v_LDjomH0-hYA</t>
  </si>
  <si>
    <t>A woman wearing a dress is dancing on a stage.</t>
  </si>
  <si>
    <t>Smoke is pumped out onto the stage behind her.</t>
  </si>
  <si>
    <t>She bows at the end and steps back.</t>
  </si>
  <si>
    <t>v_f9Bo4yVcnDE</t>
  </si>
  <si>
    <t>A man wearing a black coat is chopping a piece of wood with an ax.</t>
  </si>
  <si>
    <t>He tries again and chops it again.</t>
  </si>
  <si>
    <t>He moves the stump and tries to chop it again.</t>
  </si>
  <si>
    <t>He continues to chop the wood.</t>
  </si>
  <si>
    <t>v_I7Sole68Gag</t>
  </si>
  <si>
    <t>Swimmers are swimming to one side of the pool and then they stop briefly.</t>
  </si>
  <si>
    <t>Some swimmers on the side lines are watching them.</t>
  </si>
  <si>
    <t>They start throwing a ball back and forth around.</t>
  </si>
  <si>
    <t>A man in the corner of the pool tries to catch the ball and misses it.</t>
  </si>
  <si>
    <t>v_hSYfK-W2UJQ</t>
  </si>
  <si>
    <t>A woman talks, facing the camera while holding two dumbbells and then demonstrates a spin cycle exercise in front of a class in a gym.</t>
  </si>
  <si>
    <t>A woman stands and talks while facing the the camera, in a gym, with a wall of mirrors to her side and several people behind her standing near various pieces of gym equipment.</t>
  </si>
  <si>
    <t>The woman, now wearing a headset with a mic attached to the mouthpiece, starts cycling very fast on a spin cycle machine in front of a mirror with a class of people behind her who are also on spin cycle machines.</t>
  </si>
  <si>
    <t>The woman then lifts dumbbells with her arms while standing, lifts dumbbells while sitting on the floor and then returns to the spin cycle machine before the scene fades to black.</t>
  </si>
  <si>
    <t>v_MYzG-TsW8w8</t>
  </si>
  <si>
    <t>Four men are outside in a field throwing a baseball to each other.</t>
  </si>
  <si>
    <t>A ball then rolls into a pond and a little boy grabs it and throws it.</t>
  </si>
  <si>
    <t>The scene moves to a playground and the boys begin going down the slide.</t>
  </si>
  <si>
    <t>More kids are shown and they are doing various activities as they play such as the see saw,monkey bars and swings.</t>
  </si>
  <si>
    <t>On the side,a boy begins pumping his tire and a small baby is shown bathing in a basin.</t>
  </si>
  <si>
    <t>v_7rvrBulkd5c</t>
  </si>
  <si>
    <t>An exercise instructor is explaining the step.</t>
  </si>
  <si>
    <t>She steps up on it and begins to show the exercises.</t>
  </si>
  <si>
    <t>She goes in front of it and shows more exercises, stepping up and down and raising her arms as she steps.</t>
  </si>
  <si>
    <t>She stops and explains more.</t>
  </si>
  <si>
    <t>She turns back to the step and begins more advances steps.</t>
  </si>
  <si>
    <t>She stops for moment and shows the fast step again.</t>
  </si>
  <si>
    <t>v_upic9S0oEhg</t>
  </si>
  <si>
    <t>Two men play a song on a guitars together in a dimly lit room.</t>
  </si>
  <si>
    <t>Ones down to play the acoustic guitar.</t>
  </si>
  <si>
    <t>v_bOULU-0Nloc</t>
  </si>
  <si>
    <t>In a sped up mode an elderly man walks to the front of a house and grabs a blue snow plow.</t>
  </si>
  <si>
    <t>Continuing in the sped up mode, the man begins to plow snow to make a path.</t>
  </si>
  <si>
    <t>The man then moves the camera view and plows the snow in a different area that is fenced in.</t>
  </si>
  <si>
    <t>The man grabs the camera, points to the plow and then pans to the different areas of the yard.</t>
  </si>
  <si>
    <t>The man then goes indoors to show a messy and cluttered workshop filled with tools and supplies.</t>
  </si>
  <si>
    <t>The man goes back outside, shows his dog and walks around his yard, puts his dog down and the dog runs back to the workshop and pushes the door open.</t>
  </si>
  <si>
    <t>v_fllAtkXf7pw</t>
  </si>
  <si>
    <t>A lady sits back, talks, and drinks coffee.</t>
  </si>
  <si>
    <t>Credits of the clip are shown.</t>
  </si>
  <si>
    <t>v_QinlLV8QKBU</t>
  </si>
  <si>
    <t>A old man puts salt to bowling water in a pot, then he adds pasta and let cook for one minute.</t>
  </si>
  <si>
    <t>Then, the man turns off the stove and puts on the pot a cloth and a lid and let it for 10 min.</t>
  </si>
  <si>
    <t>After, the man drains the pasta in the sink.</t>
  </si>
  <si>
    <t>A woman comes and taste the cooked pasta and gives a thump up.</t>
  </si>
  <si>
    <t>v_ksvIIhvmSRM</t>
  </si>
  <si>
    <t>A man is seen sitting in a tube speaking and leads into people walking around carrying tubes.</t>
  </si>
  <si>
    <t>Shots of the water is shown followed by people riding down a river on the tubes.</t>
  </si>
  <si>
    <t>The people continue to ride down one after the other while people watch on the side.</t>
  </si>
  <si>
    <t>v_9RcCkU6dVD0</t>
  </si>
  <si>
    <t>A girl hits a pinata with an orange, toy bat.</t>
  </si>
  <si>
    <t>The bat falls and the girl picks it up.</t>
  </si>
  <si>
    <t>Behind her, a boy demonstrates how she should hit and cheers her on.</t>
  </si>
  <si>
    <t>v_TL7hwQauhFo</t>
  </si>
  <si>
    <t>In an indoor court teams of men are playing soccer while audience sits in the stadium.</t>
  </si>
  <si>
    <t>The team in black is trying to prevent the other team in red from scoring, the goalie blocks the score.</t>
  </si>
  <si>
    <t>They run up and down the court trying to score and keep the other from scoring.</t>
  </si>
  <si>
    <t>The red team scores and it's 1-1, they continue back on the court til the game is over.</t>
  </si>
  <si>
    <t>v_H2l7GraYFhI</t>
  </si>
  <si>
    <t>A band plays on a stage.</t>
  </si>
  <si>
    <t>A man in a suit plays the saxophone up front wearing sunglasses.</t>
  </si>
  <si>
    <t>v_BV4zqyN8hLs</t>
  </si>
  <si>
    <t>Various clips are shown of a man wake boarding and doing flips followed by him sitting on a boat and speaking to the camera.</t>
  </si>
  <si>
    <t>Several more shots of him riding and speaking are shown as well as a blonde woman also wake boarding.</t>
  </si>
  <si>
    <t>The two ride along the water together while the man continues to speak to the camera.</t>
  </si>
  <si>
    <t>v_ApH2nZIq2tU</t>
  </si>
  <si>
    <t>A band appears, walking down the street and across a field as they play for a crowd.</t>
  </si>
  <si>
    <t>Words appear on the screen talking about celebrating March 4th with a parade.</t>
  </si>
  <si>
    <t>v_d14twk9O2Vw</t>
  </si>
  <si>
    <t>An introduction comes onto the screen for a video about a tour for a band.</t>
  </si>
  <si>
    <t>They are shown getting haircuts in a barbershop and commentating about the haircut.</t>
  </si>
  <si>
    <t>They are also shown jamming out in a session with several people dancing around and having a good time.</t>
  </si>
  <si>
    <t>v_8OA30kYcAUQ</t>
  </si>
  <si>
    <t>A man rakes brown leaves in a lawn.</t>
  </si>
  <si>
    <t>The man puts the leaves in a trashcan.</t>
  </si>
  <si>
    <t>The man stops and moves the trashcan.</t>
  </si>
  <si>
    <t>The man pulls out a black object from his pocket and presents it.</t>
  </si>
  <si>
    <t>The man screws the black object at the end of the rake handle.</t>
  </si>
  <si>
    <t>The man moves the trashcan and rakes.</t>
  </si>
  <si>
    <t>The man stop raking, walks toward a tree, and hangs the rake on the tree.</t>
  </si>
  <si>
    <t>The man removes a pair of rakes for the tree and lifts it above his head.</t>
  </si>
  <si>
    <t>The man uses the dual rakes to pick up the leaves and put them into the trashcan.</t>
  </si>
  <si>
    <t>The man lifts the dual rakes above his head and then pairs them together.</t>
  </si>
  <si>
    <t>The man takes the paired rakes back to the tree where he hangs them on a branch.</t>
  </si>
  <si>
    <t>v_0vJfctL116Y</t>
  </si>
  <si>
    <t>A woman in a white apron is slicing lettuce on a board.</t>
  </si>
  <si>
    <t>She dries and cuts some cucumbers to put in a bowl of salad.</t>
  </si>
  <si>
    <t>She tosses the salad with her hands.</t>
  </si>
  <si>
    <t>She grabs a bottle of vinegar and pours it on top of the salad.</t>
  </si>
  <si>
    <t>She opens a bottle with her teeth and pours that onto the salad too.</t>
  </si>
  <si>
    <t>She puts more dressing on the salad.</t>
  </si>
  <si>
    <t>A lady in the background is pulling saran wrap out.</t>
  </si>
  <si>
    <t>She continues tossing the salad and mixing the dressing into it.</t>
  </si>
  <si>
    <t>A woman behind her pours seasoning onto the salad.</t>
  </si>
  <si>
    <t>A woman holds the bowl up and shows the salad while smiling.</t>
  </si>
  <si>
    <t>The woman who tossed the salad is washing her hands off on a towel.</t>
  </si>
  <si>
    <t>v_BiZF6o-AU64</t>
  </si>
  <si>
    <t>A graphic plays that says "StuntsAmazing" with a link to their facebook page.</t>
  </si>
  <si>
    <t>A man shows off a variety of pool tricks on his pool table in his house.</t>
  </si>
  <si>
    <t>A graphic plays that says "Subscribe" and the video ends.</t>
  </si>
  <si>
    <t>v_Ke29p3rcs1k</t>
  </si>
  <si>
    <t>a room with a table without painting is shown and a emery is on top of it.</t>
  </si>
  <si>
    <t>man walks into a room and use the emery on the top of the table.</t>
  </si>
  <si>
    <t>man take out the glasses and cleans the disc of the emery.</t>
  </si>
  <si>
    <t>v_H-hgVm5G54Y</t>
  </si>
  <si>
    <t>We see a persons hand on the camera.</t>
  </si>
  <si>
    <t>A girl then shows us her brush.</t>
  </si>
  <si>
    <t>The girl uses the brush to brush her hair.</t>
  </si>
  <si>
    <t>She shows us her brush again.</t>
  </si>
  <si>
    <t>Her hand then covers the camera.</t>
  </si>
  <si>
    <t>v_G4tUTpJV-so</t>
  </si>
  <si>
    <t>An asian woman is seen kneeling on the floor.</t>
  </si>
  <si>
    <t>She rises very slowly, arms first.</t>
  </si>
  <si>
    <t>She does several martial arts moves for the camera.</t>
  </si>
  <si>
    <t>v_ZW3SKczQzJU</t>
  </si>
  <si>
    <t>A man is seen walking into a bathroom and looking through dirty toothbrushes.</t>
  </si>
  <si>
    <t>The person pours toothpaste out onto a brush and continuously brushes his teeth.</t>
  </si>
  <si>
    <t>He then brushes more and ends by rinsing his mouth out with mouth wash and showing off the sink.</t>
  </si>
  <si>
    <t>v_kOVQPyzXkUY</t>
  </si>
  <si>
    <t>A guy type walks on a rope while holding a selfie stick recording him self.</t>
  </si>
  <si>
    <t>the guy type walks across water on a rope that has a short distance from the dock to a boat edge while people watch.</t>
  </si>
  <si>
    <t>guy's also bounce and do tricks on a pink type rope as well.</t>
  </si>
  <si>
    <t>guy's try to type walk across the water but falls in and some make it across.</t>
  </si>
  <si>
    <t>v__I8sqYLhRKM</t>
  </si>
  <si>
    <t>Two girls are shown raking up leaves in a yard while continuously talking to the camera.</t>
  </si>
  <si>
    <t>The older girl shows the younger one how to rake while another girl stands by and watches on a nearby slide.</t>
  </si>
  <si>
    <t>The camera zooms in on the younger girl and watches her rake up the leaves.</t>
  </si>
  <si>
    <t>v_gx6QvOXwetM</t>
  </si>
  <si>
    <t>Two boys are kneeling in the grass cutting the grass with a pair of scissors.</t>
  </si>
  <si>
    <t>They grab some pieces and use the scissors to cut it up.</t>
  </si>
  <si>
    <t>Then throw the grass they cut back behind them.</t>
  </si>
  <si>
    <t>They are going at it kind of quickly, they seem like very bored little kids with nothing else to do.</t>
  </si>
  <si>
    <t>v_3J_-uEjb8UE</t>
  </si>
  <si>
    <t>A red and blue triple-A logo is pictured on a white screen and then the screen flashes to a big snow truck.</t>
  </si>
  <si>
    <t>Once the truck is gone,there are various people plowing through the snow in attempt to get it off of the roads and to clear a walkway.</t>
  </si>
  <si>
    <t>After,a young Black male begins to talk and illustrate the snow on the cars as he represents the Public relations aspect of triple A.</t>
  </si>
  <si>
    <t>As the man continues to talk,a man with of bucket of water is shown and there is no longer any water on his car.</t>
  </si>
  <si>
    <t>After awhile, another man is pictured shoveling snow off of his car and then getting inside to adjust the radio,suddenly,the man is back outside and is scraping off snow from every aspect of the car including, windows,exhaust pipes, windshields,and tail lights then the black male comes back and continues to talk.</t>
  </si>
  <si>
    <t>v_Y7yGeNl7POk</t>
  </si>
  <si>
    <t>A little girl jumps hopscotch in the street.</t>
  </si>
  <si>
    <t>The little girl turns and jumps hopscotch.</t>
  </si>
  <si>
    <t>v_fxlTN3mCWDA</t>
  </si>
  <si>
    <t>There are several passengers traveling in a subway train.</t>
  </si>
  <si>
    <t>Two of the passengers are seated on folding chairs and they're playing drums on bongos.</t>
  </si>
  <si>
    <t>They continue to play the bongos while the other passengers are busy doing their own thing.</t>
  </si>
  <si>
    <t>One young boy who is seated near the players is watching them play.</t>
  </si>
  <si>
    <t>The players continue playing the bongos and drumming on them.</t>
  </si>
  <si>
    <t>After they stop playing, one person applauds them.</t>
  </si>
  <si>
    <t>v_N0DA6RpIf5Y</t>
  </si>
  <si>
    <t>A man is raking leaves in a large yard.</t>
  </si>
  <si>
    <t>He uses the rake to push the leaves into piles.</t>
  </si>
  <si>
    <t>He continues to rake, clearing a path of dirt underneath.</t>
  </si>
  <si>
    <t>v_1R25VGmqS9o</t>
  </si>
  <si>
    <t>A team on the field running around playing lacrosse.</t>
  </si>
  <si>
    <t>Everyone is running after each other trying to make the goal.</t>
  </si>
  <si>
    <t>Everyone is running a lot trying to prevent the other team from scoring.</t>
  </si>
  <si>
    <t>The girl in the red looks like she almost makes it before running off.</t>
  </si>
  <si>
    <t>v_73LZVxxlJV8</t>
  </si>
  <si>
    <t>big skyscraper with a great view.</t>
  </si>
  <si>
    <t>men is cleaning the window on the outside hanging on the Scaffolding.</t>
  </si>
  <si>
    <t>v_DrEsyzI2u4c</t>
  </si>
  <si>
    <t>An athletic man is seen holding onto a piece of exercise equipment and kneeling while speaking to the camera.</t>
  </si>
  <si>
    <t>He continues speaking and begins moving his arms and body back and fourth.</t>
  </si>
  <si>
    <t>v_oNYC_3fcGg0</t>
  </si>
  <si>
    <t>The man is surfing on the waves and fall in the water.</t>
  </si>
  <si>
    <t>The man is surfing while other surfers are behind him.</t>
  </si>
  <si>
    <t>The surfer is surfing over the water and fell near the rocks.</t>
  </si>
  <si>
    <t>v_hvCYwmaukDw</t>
  </si>
  <si>
    <t>Men are dressed in soccer gear that have the PEPSI logo on their shirts and they are playing on a grassy field.</t>
  </si>
  <si>
    <t>Very large sumos start walking on the field with their own soccer ball in hand, and the soccer men approach them and the sumo points over to the PEPSI cooler filled with soda.</t>
  </si>
  <si>
    <t>The men and sumos begin a soccer game against one another and when a man tries to make a goal a sumo blocks the entire goal and in various other moves the sumo wins including a goal when a sumo fell and the soccer ball flew into the net.</t>
  </si>
  <si>
    <t>A man grabs a pepsi can and throws it to a sumo and all the sumos run to the cooler, drinks a pepsi, then they're shown walking off with the pepsi cooler.</t>
  </si>
  <si>
    <t>v_lnvsb4-71BQ</t>
  </si>
  <si>
    <t>A man is seen speaking to the camera while holding up several game of ping pong are played.</t>
  </si>
  <si>
    <t>The man continues hitting the ball while speaking to the camera and holding up ping pong tools.</t>
  </si>
  <si>
    <t>The man demonstrates how to properly hit the ball and move his body around and still hitting the ball.</t>
  </si>
  <si>
    <t>v_q2VG0zzPJMw</t>
  </si>
  <si>
    <t>There's a welder in a blue shirt wearing a yellow protective helmet, welding a large metal pipe in a workshop.</t>
  </si>
  <si>
    <t>There's another welder wearing a blue protective suit and white helmet welding a metal piece on a workshop table.</t>
  </si>
  <si>
    <t>He is welding the metal piece with precision in a horizontal manner.</t>
  </si>
  <si>
    <t>There's a welding machine showing how it works on melting metal at high temperature.</t>
  </si>
  <si>
    <t>v_gYchIiLd9Uw</t>
  </si>
  <si>
    <t>A young girl is seen sitting on a bed speaking to the camera and leads into her performing gymnastic tricks on a trampoline.</t>
  </si>
  <si>
    <t>More shots are shown of several girls performing various flips and tricks on a gym floor and ending with a group of girl doing cheerleading lifts.</t>
  </si>
  <si>
    <t>v_7-RbxFePrmU</t>
  </si>
  <si>
    <t>A girl is holding a toothbrush up to the camera.</t>
  </si>
  <si>
    <t>She uses the brush to brush her teeth.</t>
  </si>
  <si>
    <t>She scrubs her teeth back and forth for a long time.</t>
  </si>
  <si>
    <t>v_ODx-nocNBos</t>
  </si>
  <si>
    <t>A person on the screen is showing a box containing sumo wrestling toys.</t>
  </si>
  <si>
    <t>The person gives a demonstration on how to use the toys.</t>
  </si>
  <si>
    <t>Next the person does several demonstrations of the sumo wrestling toy set using toys that they have made as well as toys from the set.</t>
  </si>
  <si>
    <t>v_bi_xkH87Rnw</t>
  </si>
  <si>
    <t>People watch a gymnast perform her routine.</t>
  </si>
  <si>
    <t>The gymnast stands on the side of the balance beam.</t>
  </si>
  <si>
    <t>The gyjmnast mounts the beam.</t>
  </si>
  <si>
    <t>The gymnast performs her routine on the beam.</t>
  </si>
  <si>
    <t>The gymnast almost falls, but catches herself.</t>
  </si>
  <si>
    <t>The gymnast dismounts and lands on the blue mat.</t>
  </si>
  <si>
    <t>v_L0arB1mOuSE</t>
  </si>
  <si>
    <t>Several clips of shown of people playing kickball against one another in a large field.</t>
  </si>
  <si>
    <t>Several clips are shown of people running around, catching and throwing the ball, as well as partying on the side.</t>
  </si>
  <si>
    <t>v_cdEBDjnH9xk</t>
  </si>
  <si>
    <t>A man is seen putting objects onto a wall and place a board along the wall.</t>
  </si>
  <si>
    <t>He continues moving the objects on the wall and then nails them down with a nail gun and presents the shelves he's made.</t>
  </si>
  <si>
    <t>v_G1LGXWN_9v4</t>
  </si>
  <si>
    <t>A man is seen playing a bongo drum quickly moving his hands all around the instrument.</t>
  </si>
  <si>
    <t>He continuously plays the drum while closing his eyes in concentration and ends by hitting his hands faster.</t>
  </si>
  <si>
    <t>v_sS1Zh8mqMOE</t>
  </si>
  <si>
    <t>A pair of shoes is displayed on a table while a man and a woman have a conversation.</t>
  </si>
  <si>
    <t>A woman challenges a man to arm wrestling.</t>
  </si>
  <si>
    <t>The man removes the shoes from the table.</t>
  </si>
  <si>
    <t>The woman and the man arm wrestle.</t>
  </si>
  <si>
    <t>The man beats the woman.</t>
  </si>
  <si>
    <t>He takes out the shoes and displays them back on the table.</t>
  </si>
  <si>
    <t>The woman and the man laugh as they carry on a conversation.</t>
  </si>
  <si>
    <t>v_5v9p5jBN_Hg</t>
  </si>
  <si>
    <t>A woman talks in a gym.</t>
  </si>
  <si>
    <t>The woman stands on a lane, then she runs to perform a long jump that lands in the sand.</t>
  </si>
  <si>
    <t>The jump of the woman is repeated several times.</t>
  </si>
  <si>
    <t>v_1AxGiLSmGZo</t>
  </si>
  <si>
    <t>Several people are seen kite surfing along the water and one performing tricks.</t>
  </si>
  <si>
    <t>More people perform tricks and one fall off the side, immediately climbing back on.</t>
  </si>
  <si>
    <t>v_9Rd8PpfRNmY</t>
  </si>
  <si>
    <t>A child paints her toenails with white nail polish on front a little child.</t>
  </si>
  <si>
    <t>A person enters the room and walk on front the children.</t>
  </si>
  <si>
    <t>Then, the child turns to listen somebody for a second and continues painting her toenails.</t>
  </si>
  <si>
    <t>After, a hand touches the back of the child twice who turns and then continues painting her toenails.</t>
  </si>
  <si>
    <t>v_O7SljQqahy8</t>
  </si>
  <si>
    <t>A person pours vinegar in a sink on a towel.</t>
  </si>
  <si>
    <t>The person then uses the towel to rub the surface of the sink.</t>
  </si>
  <si>
    <t>The person drops the towel and picks it up.</t>
  </si>
  <si>
    <t>v_xbA294b3Z5c</t>
  </si>
  <si>
    <t>A woman is seen speaking to the camera while showing off her nails and leads into her holding up a contact lens.</t>
  </si>
  <si>
    <t>The girl then pours liquid out into a container and them demonstrates how to properly put in and take on a contact lens.</t>
  </si>
  <si>
    <t>v_p2C4MeV02GU</t>
  </si>
  <si>
    <t>woman is talking to the camera holding a big cat on her legs that is sitting in a cat cushion and its caressing his head.</t>
  </si>
  <si>
    <t>woman is holding a nail clipper and cut the cat's nails explaining the right way to do it.</t>
  </si>
  <si>
    <t>v_CUtkQIV2eto</t>
  </si>
  <si>
    <t>A person water ski in the water holding a rope attached to a boat in the river.</t>
  </si>
  <si>
    <t>The person pass on front a boat in the river while waterskiing.</t>
  </si>
  <si>
    <t>Then, the person gives a thumb up while performing waterskii, after the person continues waterskiing.</t>
  </si>
  <si>
    <t>Then, the surfboard floats on front a metal structure.</t>
  </si>
  <si>
    <t>v_oSQNry_U7oA</t>
  </si>
  <si>
    <t>A trainer wearing a wet suit gives a walrus treats and the walrus nods his head up in town in excitement at the beginning of a show.</t>
  </si>
  <si>
    <t>The trainer plays a small saxophone and the walrus nods and is given a treat.</t>
  </si>
  <si>
    <t>The walrus is handed the saxophone and it plays it while the dancing with the trainer.</t>
  </si>
  <si>
    <t>v_Wq-eDa62BcI</t>
  </si>
  <si>
    <t>A person's hands demonstrates how to stye and comb a blonde haired doll.</t>
  </si>
  <si>
    <t>The person's hand begins to brush the doll's hair with a pink bristle brush before holding up a bottle of hair styling product.</t>
  </si>
  <si>
    <t>The hand sprays some of the hair style product on the doll's hair and then proceeds to brush the hair again.</t>
  </si>
  <si>
    <t>The hand then turns the doll around to showcase the finished style, the hand also gestures to areas around the dolls hair.</t>
  </si>
  <si>
    <t>v_6q7LQZLC_N8</t>
  </si>
  <si>
    <t>A sailboat with dark red plum colored sails is riding on the ocean.</t>
  </si>
  <si>
    <t>The boat turns and we see it from behind as we move to the left side.</t>
  </si>
  <si>
    <t>The camera zoom in and out then flashes to another angle.</t>
  </si>
  <si>
    <t>We see the credits run over the video.</t>
  </si>
  <si>
    <t>v_vMy5o7pvy4c</t>
  </si>
  <si>
    <t>A man swings his arms around over his head.</t>
  </si>
  <si>
    <t>He thin spins his whole body.</t>
  </si>
  <si>
    <t>The man releases the hammer and lowers his arms.</t>
  </si>
  <si>
    <t>v_MxYa4WTV8Zs</t>
  </si>
  <si>
    <t>A man and a woman decorate a Christmas tree from decorations around the room in sped-up video.</t>
  </si>
  <si>
    <t>A dog walks through the camera frame.</t>
  </si>
  <si>
    <t>The man leaves the camera frame.</t>
  </si>
  <si>
    <t>The man returns to decorating wearing a Santa hat.</t>
  </si>
  <si>
    <t>The man stands on a chair to put a decoration at the top of the tree.</t>
  </si>
  <si>
    <t>The completed tree is shown by itself.</t>
  </si>
  <si>
    <t>v_NTZ_mWvnHVY</t>
  </si>
  <si>
    <t>Two people are standing by the water one of the grabs some board.</t>
  </si>
  <si>
    <t>He puts it in the water and rides it, it goes pretty fast.</t>
  </si>
  <si>
    <t>He turns it a few times and passes by someone else on another one.</t>
  </si>
  <si>
    <t>He gets off and walks to a field with it above his head.</t>
  </si>
  <si>
    <t>v_G1aYtrFJqUc</t>
  </si>
  <si>
    <t>A man wearing gloves is inside a building.</t>
  </si>
  <si>
    <t>He rolls up a carpet and sets it aside.</t>
  </si>
  <si>
    <t>He then sweeps and mops the floors until they are clean.</t>
  </si>
  <si>
    <t>v_Z0oEaM7h6jM</t>
  </si>
  <si>
    <t>A logo appears on the screen briefly.</t>
  </si>
  <si>
    <t>A man talks to a group while standing in a raft.</t>
  </si>
  <si>
    <t>A group of people are rafting down rivers with rapids.</t>
  </si>
  <si>
    <t>They cheer by lifting their paddles.</t>
  </si>
  <si>
    <t>They continue to raft down the river.</t>
  </si>
  <si>
    <t>It cuts to the people on the bank at a campsite.</t>
  </si>
  <si>
    <t>People are once again rafting down the river.</t>
  </si>
  <si>
    <t>A person kayaks down the river.</t>
  </si>
  <si>
    <t>Another person kayaks down the river.</t>
  </si>
  <si>
    <t>Another group rafts down the river.</t>
  </si>
  <si>
    <t>It shows monkeys on the bank.</t>
  </si>
  <si>
    <t>People get splashed by a waterfall.</t>
  </si>
  <si>
    <t>It cuts to the logo and information.</t>
  </si>
  <si>
    <t>v_gdisMpHS668</t>
  </si>
  <si>
    <t>Two women are seen standing before a christmas tree with young children present as well.</t>
  </si>
  <si>
    <t>The people then all move around one another putting ornaments on the tree in fast motion.</t>
  </si>
  <si>
    <t>The girls continue putting items on the tree and end by smiling to the camera.</t>
  </si>
  <si>
    <t>v_0jvbBtMIA8k</t>
  </si>
  <si>
    <t>A man is sitting on a chair next to a talk show host.</t>
  </si>
  <si>
    <t>A woman is hosting a beer pong tournament, and the two men go over to the table.</t>
  </si>
  <si>
    <t>They drink and try to throw the balls into the cups.</t>
  </si>
  <si>
    <t>The band plays in the background as the men play.</t>
  </si>
  <si>
    <t>v_G2soQTiGL10</t>
  </si>
  <si>
    <t>A large group of people are seen standing around a table with one speaking to the camera.</t>
  </si>
  <si>
    <t>The people then assist one another putting ingredients into pans and flipping them around.</t>
  </si>
  <si>
    <t>The people continue mixing the food together and finish by presenting it onto a plate.</t>
  </si>
  <si>
    <t>v_tOEomEC1rY8</t>
  </si>
  <si>
    <t>A woman is sitting in a chair while a woman behind her is holding a hair dryer.</t>
  </si>
  <si>
    <t>She begins drying the woman's hair.</t>
  </si>
  <si>
    <t>The woman is talking to the camera pointing at a hair dryer.</t>
  </si>
  <si>
    <t>v_a370DDsJtBA</t>
  </si>
  <si>
    <t>A woman is seated behind a wooden table.</t>
  </si>
  <si>
    <t>She quickly moves color blocks on a puzzle, trying to solve it.</t>
  </si>
  <si>
    <t>She solves the puzzle and shows it to the camera.</t>
  </si>
  <si>
    <t>v_8olnQLX0hO8</t>
  </si>
  <si>
    <t>A small group of men are seen walking down a dirt road followed by several shots of them riding in tubes and laughing to the camera.</t>
  </si>
  <si>
    <t>They continue riding down the river under trees and has more people holding the camera.</t>
  </si>
  <si>
    <t>v_HhlWUEbHBUk</t>
  </si>
  <si>
    <t>A guy shows you how to make a drink,the guy pours ice in a tall glass,adds a half cup of a certain type of liquor and pour it in the cup with the ice.</t>
  </si>
  <si>
    <t>He then adds soda to the cup which makes the cup full to the top and starts to stir it up with a metal tool.</t>
  </si>
  <si>
    <t>the guy then squeezes three half limes into the cup and push the three lime to the bottom of the cup with the metal tool he use to stir the drink.</t>
  </si>
  <si>
    <t>finally he pours the drink from the tall glass to a shorter glass,adds a different type of liquor with a straw to finish it off.</t>
  </si>
  <si>
    <t>v_FJZTNJ0LuJ4</t>
  </si>
  <si>
    <t>Two people stand in front of a cake and they talk.</t>
  </si>
  <si>
    <t>Text appears on the screen as they talk.</t>
  </si>
  <si>
    <t>A woman mixes ingredients into a pot on the stove.</t>
  </si>
  <si>
    <t>A man pours in rum into the pot and stirs it.</t>
  </si>
  <si>
    <t>They poke holes in the cake with knives and pour the mixture on it.</t>
  </si>
  <si>
    <t>They stand in front of the cake again and talk.</t>
  </si>
  <si>
    <t>They eat the cake as they talk.</t>
  </si>
  <si>
    <t>v_0qTzoVjsMpQ</t>
  </si>
  <si>
    <t>A man fills a hookah with water and sets it on a table.</t>
  </si>
  <si>
    <t>He puts tobacco in a device and covers it with tin foil.</t>
  </si>
  <si>
    <t>He pokes a hole in the top of the tin foil several times.</t>
  </si>
  <si>
    <t>He puts that onto the top of the hookah.</t>
  </si>
  <si>
    <t>He takes a smoke off the hookah and blows the smoke.</t>
  </si>
  <si>
    <t>v_2O-TyeSMueg</t>
  </si>
  <si>
    <t>A group of people ride on a boat to Catalina Island.</t>
  </si>
  <si>
    <t>A man wearing a grey t-shirt films himself using a selfie stick while riding on a boat.</t>
  </si>
  <si>
    <t>The group of people on the boat are dressed in scuba diving gear.</t>
  </si>
  <si>
    <t>A man in scuba gear enters the water while filming himself while holding a selfie stick.</t>
  </si>
  <si>
    <t>The diver films himself while diving underwater.</t>
  </si>
  <si>
    <t>The ddiver films a school of fish a nd bright yellow tropical fish.</t>
  </si>
  <si>
    <t>The diver cameraman walks backwards onto steps leading out of the water.</t>
  </si>
  <si>
    <t>A group of divers dressed in street clothes ride in a golf cart.</t>
  </si>
  <si>
    <t>v_X1lLinc_yvo</t>
  </si>
  <si>
    <t>woman is standing in a kitchen in front of a camera and showing ingredients on top of table.</t>
  </si>
  <si>
    <t>woman is pouring the ingredients inside a kitchen aid and mixing them and explaining to the camera how to do the paste.</t>
  </si>
  <si>
    <t>v_VTwQgMELGVE</t>
  </si>
  <si>
    <t>A woman behind the bar talking, she has a bottle of corona.</t>
  </si>
  <si>
    <t>She sucks on the bottle of a few times.</t>
  </si>
  <si>
    <t>Then, she grabs it with just her mouth and holds it up chugging the beer.</t>
  </si>
  <si>
    <t>She chugs and chugs until it is completely empty.</t>
  </si>
  <si>
    <t>v_zD_wAe6Eoxc</t>
  </si>
  <si>
    <t>A Caucasian male is outside holding up a skateboard.</t>
  </si>
  <si>
    <t>He then goes down a winding road and comes down skateboarding and the picture is still until he slides into a trick and then it is paused again.</t>
  </si>
  <si>
    <t>The routine continues and then the player stands up as continue to go down the road.</t>
  </si>
  <si>
    <t>Once he is completely finished, he goes back to where he originally started and keeps talking to the camera as he holds his skateboard in his left hand.</t>
  </si>
  <si>
    <t>After, the man turns around and shows how his brown cargo shorts are patched up with duct tape.</t>
  </si>
  <si>
    <t>v_XKpx9fyNINg</t>
  </si>
  <si>
    <t>A close up of a person putting on a rack is shown followed by several women lifting up large amounts of weight.</t>
  </si>
  <si>
    <t>More people are seen lifting up the heavy weights over their head and throwing it down when they are done.</t>
  </si>
  <si>
    <t>v_BbJeZoks_c4</t>
  </si>
  <si>
    <t>Several people are seen sitting outside at a picnic table and leads into two people tying a rope around a tree.</t>
  </si>
  <si>
    <t>More people come to help and lead into a boy walking on the rope with a man's help.</t>
  </si>
  <si>
    <t>More people attempt to walk on the rope with other's help as well as by themselves.</t>
  </si>
  <si>
    <t>v_UvuXGKesWS0</t>
  </si>
  <si>
    <t>The words Freestyle Swimming float across the screen.</t>
  </si>
  <si>
    <t>A man jumps in the pool and swims freestyle.</t>
  </si>
  <si>
    <t>The words BackStroke Style float across the screen.</t>
  </si>
  <si>
    <t>The same man swims backstroke down the lane from where he came.</t>
  </si>
  <si>
    <t>The words BreastStroke show up on the screen.</t>
  </si>
  <si>
    <t>The man does the breaststroke back across the pool.</t>
  </si>
  <si>
    <t>v_8hkVzhEKqpY</t>
  </si>
  <si>
    <t>A man and woman news reporter are sitting in front of a tv screen as they talk.</t>
  </si>
  <si>
    <t>They then show clips from an outdoor volleyball game.</t>
  </si>
  <si>
    <t>The team mates hit the ball back and forth over the net.</t>
  </si>
  <si>
    <t>Afterward, they shake hands with their opponents.</t>
  </si>
  <si>
    <t>v_hIjOvSJf9c0</t>
  </si>
  <si>
    <t>Two people are seen speaking to the camera and leads into a ruler being shown and the woman holding a sponge.</t>
  </si>
  <si>
    <t>She wipes down a wall while the man sands it down and then are seen measuring the length of the wall.</t>
  </si>
  <si>
    <t>Then they lay paper down, cut the paper, and align it onto the wall.</t>
  </si>
  <si>
    <t>They rub in the paper, press it along the wall, and smile back at the camera.</t>
  </si>
  <si>
    <t>v_StM48dIvK-M</t>
  </si>
  <si>
    <t>People are participating in a tug of war match in a gym.</t>
  </si>
  <si>
    <t>The yellow team on the left side pulls the rope mostly to the left or wins.</t>
  </si>
  <si>
    <t>An adult grabs the arm of a blue team member.</t>
  </si>
  <si>
    <t>v_FofBEedm80o</t>
  </si>
  <si>
    <t>The words "Grandmaster Huang Sheng Shyan" and "Taiji Push Hands" appear on screen.</t>
  </si>
  <si>
    <t>Several students individually approach the Grandmaster attempting to fight him and are pushed back quickly.</t>
  </si>
  <si>
    <t>The Grandmaster taps a student on the head and he quickly falls to the ground.</t>
  </si>
  <si>
    <t>v_E6LJROCxQPA</t>
  </si>
  <si>
    <t>A person is seen walking across the yard leading into a long rope.</t>
  </si>
  <si>
    <t>The man jumps on the rope and attempts to walk across it.</t>
  </si>
  <si>
    <t>He continues walking and leads into him falling off.</t>
  </si>
  <si>
    <t>v_VVezUub0ocQ</t>
  </si>
  <si>
    <t>cat is sleeping in a furry table and a man holds him and shows a nail clipper and starts cutting the cat nails sitting in a couch.</t>
  </si>
  <si>
    <t>cat is sitting in a red carpet.</t>
  </si>
  <si>
    <t>v_1-nEQf-TJPE</t>
  </si>
  <si>
    <t>A video of vodka being poured into a martini glass is shown.</t>
  </si>
  <si>
    <t>A woman stands behind a bar with bottles and ingredients.</t>
  </si>
  <si>
    <t>She mixes the alcohols into a glass, then shakes them up before decorating and displaying the drink.</t>
  </si>
  <si>
    <t>v_M4db4WfqDoE</t>
  </si>
  <si>
    <t>A large snowy mountain is shown as well as people driving and people standing along a mountain.</t>
  </si>
  <si>
    <t>Several shots are shown of people on snowboards, performing tricks, and gesturing to the camera.</t>
  </si>
  <si>
    <t>The video continues on with impressive clips of people doing stunts as well as close ups of people riding.</t>
  </si>
  <si>
    <t>v_I9kOPQ3J5HA</t>
  </si>
  <si>
    <t>A woman puts a harness on.</t>
  </si>
  <si>
    <t>A man clips a rope to the front of the woman's harness.</t>
  </si>
  <si>
    <t>He ties the rope into a knot.</t>
  </si>
  <si>
    <t>v_ykdPTjsmfgY</t>
  </si>
  <si>
    <t>A person stands by a river.</t>
  </si>
  <si>
    <t>A group of people wearing vests kayak down a river.</t>
  </si>
  <si>
    <t>A person holds their paddle over their head.</t>
  </si>
  <si>
    <t>A couple of people are sitting by the river in a grassy area.</t>
  </si>
  <si>
    <t>The people kayaking approach a bridge.</t>
  </si>
  <si>
    <t>A couple of people sit near some cars next to the river.</t>
  </si>
  <si>
    <t>v_BD_ON66t6rM</t>
  </si>
  <si>
    <t>A man is kayaking on water and moving his arms back and fourth quickly.</t>
  </si>
  <si>
    <t>The camera follows him moving through the water and eventually works his way towards a bridge.</t>
  </si>
  <si>
    <t>v_hToIzZ3o6Ic</t>
  </si>
  <si>
    <t>The credits of the clip alongside a bucket of paint are shown.</t>
  </si>
  <si>
    <t>A hand paints a wardrobe white with a paintbrush.</t>
  </si>
  <si>
    <t>The hand picks up a white rug.</t>
  </si>
  <si>
    <t>The hand places two fingers inside the rug and proceeds to whip the painted wardrobe.</t>
  </si>
  <si>
    <t>The final product of the painted wardrobe is shown.</t>
  </si>
  <si>
    <t>v_cg0sa6wYA1U</t>
  </si>
  <si>
    <t>A person's arms are seen moving back and fourth in the water controlling a kayak under some tombs sticking out of the water.</t>
  </si>
  <si>
    <t>The man continues pushing his way along and ends with him sticking his pole into the water.</t>
  </si>
  <si>
    <t>v_0Gr4aKQzGYk</t>
  </si>
  <si>
    <t>Various shots of a tattoo shop are shown followed by a woman sitting in a chair and a man getting items ready.</t>
  </si>
  <si>
    <t>She takes a sip of water and the man then pierces her lip with a needle.</t>
  </si>
  <si>
    <t>She is shown again in a picture of her new piercing.</t>
  </si>
  <si>
    <t>v_eaFvnf8IF-I</t>
  </si>
  <si>
    <t>A man is playing an accordian while staring occasionally into the camera.</t>
  </si>
  <si>
    <t>The man changes his finger tips constantly and looks off into the distance while playing.</t>
  </si>
  <si>
    <t>The man continues his song and eventually finishes by smiling into the camera.</t>
  </si>
  <si>
    <t>v_o1bO6f-Uo8A</t>
  </si>
  <si>
    <t>A man in the front yard showing how to mow the lawn.</t>
  </si>
  <si>
    <t>He first moves all the debris out of the way so that nothing gets caught in the mower before mowing.</t>
  </si>
  <si>
    <t>Then he uses a stethoscope to listen to the mower while he puts oil in it.</t>
  </si>
  <si>
    <t>He suggest that you finish mowing by sunset and if you are using a pushing mower you should keep your back striaght and arms bent.</t>
  </si>
  <si>
    <t>v_m7vcstRI23E</t>
  </si>
  <si>
    <t>A little girl is standing in a kitchen in front of a bowl and sugar cookie mix.</t>
  </si>
  <si>
    <t>The girl starts showing the ingredients to her audience, before pouring the cookie mix into a bowl.</t>
  </si>
  <si>
    <t>She then adds butter and egg yolks, and stirs the whole thing up using a hand mixer.</t>
  </si>
  <si>
    <t>She rolls the dough in plastic wrap before spreading it back out and cutting into shapes with cookie cutters.</t>
  </si>
  <si>
    <t>The cookies are baked and ready to frost with sprinkles and frosting.</t>
  </si>
  <si>
    <t>v_FkWxS_5VxsM</t>
  </si>
  <si>
    <t>A polished hands takes a piece of tape.</t>
  </si>
  <si>
    <t>The polished hands puts a piece of tape at the edge of a brown object.</t>
  </si>
  <si>
    <t>The hand paints turquoise polish on the tape.</t>
  </si>
  <si>
    <t>The hand cuts the the polished tape in strips.</t>
  </si>
  <si>
    <t>The hand puts the strip on a polished nail.</t>
  </si>
  <si>
    <t>The hand paints the nail with clear nail polish.</t>
  </si>
  <si>
    <t>The hand rubs a soaked cotton ball on a fingernail so the polish is removed.</t>
  </si>
  <si>
    <t>v_Jp7KeCimrMI</t>
  </si>
  <si>
    <t>A man stretches out shirts on an ironing board in a workshop area and uses a flat iron to steam press it.</t>
  </si>
  <si>
    <t>The man removes the ironed shirt and places it on a hanger.</t>
  </si>
  <si>
    <t>The man gives the shirt one more quick ironing on a single spot then hangs the shirt on a rack.</t>
  </si>
  <si>
    <t>v_YotaXgC6Ee8</t>
  </si>
  <si>
    <t>A man jumps off a diving board into a pool several times.</t>
  </si>
  <si>
    <t>Another person is swimming in the pool.</t>
  </si>
  <si>
    <t>He does a flip and lands in the water before surfacing.</t>
  </si>
  <si>
    <t>v_Z_1Zoc6lINU</t>
  </si>
  <si>
    <t>We see a lady sitting at a table with shoes and supplies talking to the camera.</t>
  </si>
  <si>
    <t>We see screens with shoes on them.</t>
  </si>
  <si>
    <t>The lady shows us various shoes.</t>
  </si>
  <si>
    <t>The lady shows us the shoe supplies.</t>
  </si>
  <si>
    <t>The lady adds a product to the shoes.</t>
  </si>
  <si>
    <t>The lady then wipes the product off with a towel.</t>
  </si>
  <si>
    <t>The lady then adds shoes wax to the shoe and wipes it off.</t>
  </si>
  <si>
    <t>v_3UbQ0UDmbbw</t>
  </si>
  <si>
    <t>A man clears snow from a car in snow covered parking lot.</t>
  </si>
  <si>
    <t>A man in a narrow hallway holds and directs a camera in the hallway, presses a button in the hallway, then exits through the door in the hallway and goes outside.</t>
  </si>
  <si>
    <t>Once outside the camera picks up a snow covered parking lot filled with snow covered cars and one girl in pink pants.</t>
  </si>
  <si>
    <t>A man holding a long snow removing brush approaches a car and begins wiping snow off of the car at times gesturing wildly with his arms.</t>
  </si>
  <si>
    <t>The man clears the entire car with snow, with the brush and a shovel before the scene cuts to a vehicle driving down the street in the snow.</t>
  </si>
  <si>
    <t>v_szdKUpvx9Sk</t>
  </si>
  <si>
    <t>We see men standing around in a casino holding beers.</t>
  </si>
  <si>
    <t>We see a man and put money on the table.</t>
  </si>
  <si>
    <t>The dealer counts the money and gives the man chips.</t>
  </si>
  <si>
    <t>The dealer deals a hands of blackjack and the we see the men clapping and the dealer laughing.</t>
  </si>
  <si>
    <t>We see the dealer give the man chips and the man stands in his group showing his friends his stack of chips.</t>
  </si>
  <si>
    <t>Two men cheer and throw their fists in the air and the me laugh and cheer and walk.</t>
  </si>
  <si>
    <t>v_kHTcsP6nQdY</t>
  </si>
  <si>
    <t>He pauses as another slides down.</t>
  </si>
  <si>
    <t>He slides down as she stops.</t>
  </si>
  <si>
    <t>He runs up to her and she slides down to the end.</t>
  </si>
  <si>
    <t>v_G16xScfD5WM</t>
  </si>
  <si>
    <t>We see the title over a landscape.</t>
  </si>
  <si>
    <t>People are playing instruments in a field.</t>
  </si>
  <si>
    <t>We then see men practicing martial arts.</t>
  </si>
  <si>
    <t>A man kicks another man to the ground.</t>
  </si>
  <si>
    <t>We see a man toss another man over his back.</t>
  </si>
  <si>
    <t>A man does a flip, then does a back flip.</t>
  </si>
  <si>
    <t>We see the people playing instruments again.</t>
  </si>
  <si>
    <t>130 We see words appear on the screen, and the end credits appear.</t>
  </si>
  <si>
    <t>v_sMO2IlNgDuw</t>
  </si>
  <si>
    <t>A young child is seen playing with a toy and putting lip stick on her lips.</t>
  </si>
  <si>
    <t>The camera is then seen moving around a room, walking down stairs and following the young girl.</t>
  </si>
  <si>
    <t>The girl walks back into her room to play with her toy while the camera follows.</t>
  </si>
  <si>
    <t>v_klGP18026Ek</t>
  </si>
  <si>
    <t>Two men play games of rock paper scissors in front of a referee.</t>
  </si>
  <si>
    <t>A woman taps one of they on the back.</t>
  </si>
  <si>
    <t>They play a final game and a man celebrates his victory.</t>
  </si>
  <si>
    <t>v_gGs1qNxsFTg</t>
  </si>
  <si>
    <t>A man is sitting behind a table.</t>
  </si>
  <si>
    <t>He picks up a rubiks cube and completes it.</t>
  </si>
  <si>
    <t>A man stands next to him and writes something on a paper.</t>
  </si>
  <si>
    <t>v_Fh1LR3xB3zQ</t>
  </si>
  <si>
    <t>A man is seen speaking to the camera and begins holding up knives.</t>
  </si>
  <si>
    <t>He pans all around his tools and shows off a kit.</t>
  </si>
  <si>
    <t>He then leads into sharpening a knife with various boards and sticks while still speaking to the camera.</t>
  </si>
  <si>
    <t>v_r3dM-5cZ7e8</t>
  </si>
  <si>
    <t>A group of swimmers stand ready on a platform and bend down to their feet.</t>
  </si>
  <si>
    <t>Several men stand behind them when they all jump in at the same time.</t>
  </si>
  <si>
    <t>The men race back and fourth doing a butterfly movement back and fourth until they all reach the end.</t>
  </si>
  <si>
    <t>v_NbdAUGbrWrE</t>
  </si>
  <si>
    <t>A teenage girl brushes her hair.</t>
  </si>
  <si>
    <t>The girl looks down as if she is confused.</t>
  </si>
  <si>
    <t>v_LL_leiyIdVQ</t>
  </si>
  <si>
    <t>Various people are shown in the beginning in a large gymnasium performing several slips and tricks on a trampoline one at a time.</t>
  </si>
  <si>
    <t>The people continue jumping and flipping around the gym with one ending in a large pit in the end.</t>
  </si>
  <si>
    <t>v_JnP5FDtEPVE</t>
  </si>
  <si>
    <t>The groomer sprays the brown dog.</t>
  </si>
  <si>
    <t>The dog runs around the shop.</t>
  </si>
  <si>
    <t>The groomer bushes the brown dog.</t>
  </si>
  <si>
    <t>v_UvPUywSVy1k</t>
  </si>
  <si>
    <t>A person is seen holding up various food items while laughing and speaking with others.</t>
  </si>
  <si>
    <t>The men then begin cooking together by mixing various ingredients and presenting them onto a plate.</t>
  </si>
  <si>
    <t>The recipe is then shown for how to cook the food and leads into clips of the food being cooked and presented with the men eating together.</t>
  </si>
  <si>
    <t>v_8kNk_fzmTyI</t>
  </si>
  <si>
    <t>An intro leads into several shots of water steaming and a young woman swimming back and fourth in the water.</t>
  </si>
  <si>
    <t>She comes up to the surface and speaks to the camera while several more shots of water are shown.</t>
  </si>
  <si>
    <t>v_WmabLngcvas</t>
  </si>
  <si>
    <t>A man is seen sitting on a camel followed by getting off and another man climbing on.</t>
  </si>
  <si>
    <t>The man then leads the other around on the camel.</t>
  </si>
  <si>
    <t>The man stops the camel and gets the other person off while climbing back on.</t>
  </si>
  <si>
    <t>v_2SMmL6kIx-w</t>
  </si>
  <si>
    <t>Several performers walk out of a box and it ends up being one male and one female.</t>
  </si>
  <si>
    <t>The lady then begins moving in strange ways and continuing telling a story in ballerina form.</t>
  </si>
  <si>
    <t>After a few minutes,the male joins them and they continue dancing together with strong legs and firm arms.</t>
  </si>
  <si>
    <t>v_E4oP6Ex9IPo</t>
  </si>
  <si>
    <t>A man is holding a yellow iron sitting on top of a box.</t>
  </si>
  <si>
    <t>He melts a bar of was on the bottom of the hot iron.</t>
  </si>
  <si>
    <t>He then irons over the wax that dripped down onto a ski.</t>
  </si>
  <si>
    <t>He finishes and sets the iron down.</t>
  </si>
  <si>
    <t>v_Zfak-LkgQfQ</t>
  </si>
  <si>
    <t>A logo fro a company pops up on a black screen.</t>
  </si>
  <si>
    <t>A man in a yellow jacket and orange helmet is shown ocean kayaking.</t>
  </si>
  <si>
    <t>Other kayakers are shown battling through waves and riding them.</t>
  </si>
  <si>
    <t>A set of photos show the kayakers navigating the ocean and crashing into waves.</t>
  </si>
  <si>
    <t>v_Qq2vKc9hWUk</t>
  </si>
  <si>
    <t>A woman is standing inside a racquetball court.</t>
  </si>
  <si>
    <t>She starts hitting the ball, running after it.</t>
  </si>
  <si>
    <t>She trips and falls down, hitting the ground as a man rescues the ball.</t>
  </si>
  <si>
    <t>v_cxVbaN4GxxU</t>
  </si>
  <si>
    <t>A man stands outside a tent.</t>
  </si>
  <si>
    <t>He looks inside the tent at a group of kids playing cards and a woman sitting outside.</t>
  </si>
  <si>
    <t>A boy walks through parked cars, smiling.</t>
  </si>
  <si>
    <t>He is then shown on a kayak in a lake.</t>
  </si>
  <si>
    <t>The rest of the family soon joins him.</t>
  </si>
  <si>
    <t>v_MAZlsi4Bon8</t>
  </si>
  <si>
    <t>A young boy is at a party holding a stick and hitting a pinata.</t>
  </si>
  <si>
    <t>When the boy is done hitting it an adult walks towards the pinata.</t>
  </si>
  <si>
    <t>Another child standing with the adult also begins walking towards the pinata.</t>
  </si>
  <si>
    <t>v_eS7ENymCpZE</t>
  </si>
  <si>
    <t>A rough ocean has large white capped waves and a sailboat traversing through it.</t>
  </si>
  <si>
    <t>The sailboat goes over the top of large waves and lands with a splash.</t>
  </si>
  <si>
    <t>The boat maneuvers and is tilted sideways as it goes over waves.</t>
  </si>
  <si>
    <t>v_9Pun6fgAg8Q</t>
  </si>
  <si>
    <t>Two teams play beach volleyball on front a crowd.</t>
  </si>
  <si>
    <t>A woman holds a smart phone.</t>
  </si>
  <si>
    <t>A man serves a ball.</t>
  </si>
  <si>
    <t>A man wearing a cap and plaid shirt pass on front the players.</t>
  </si>
  <si>
    <t>v_THPFtlx3gXw</t>
  </si>
  <si>
    <t>A man is standing on a hill, celebrating before a crowd.</t>
  </si>
  <si>
    <t>He is shown on a bmx dirt bike, performing a plethora of stunts, wheelies, and spins for a crowd.</t>
  </si>
  <si>
    <t>Women are shown close up, dancing.</t>
  </si>
  <si>
    <t>v_UMUGmKRkaxo</t>
  </si>
  <si>
    <t>Two boys play ping pong in a gym and one of the boys use a Nunchaku as a racket t o play and make tricks.</t>
  </si>
  <si>
    <t>A man pass on front the ping pong table and stand near the table.</t>
  </si>
  <si>
    <t>Then, the man joint one of the players and start to play, after, Bruce Lee appears in the screen of a smart phone that flips around.</t>
  </si>
  <si>
    <t>A boy does martial arts moves and braks a board, then he fix the Nunchaku and after use it to light a match in the mouth of the other boy.</t>
  </si>
  <si>
    <t>v_lDriXPZt_Yg</t>
  </si>
  <si>
    <t>A woman is holding a bottle of purple nail polish up to the camera.</t>
  </si>
  <si>
    <t>She then applies it to her nails.</t>
  </si>
  <si>
    <t>When she is done, she shows off her nails and the polish one last time.</t>
  </si>
  <si>
    <t>v_qeyCTRqPCN4</t>
  </si>
  <si>
    <t>Bullfighting is being advertised on the screen.</t>
  </si>
  <si>
    <t>There are clips of bull fights and man is talking about his bull fighting experience.</t>
  </si>
  <si>
    <t>The bull rolls a barrel while the clown is behind it.</t>
  </si>
  <si>
    <t>A trophy is awarded to the bull fighter.</t>
  </si>
  <si>
    <t>v_V6s9eMtUnME</t>
  </si>
  <si>
    <t>A woman standing next to a vehicle talks to the camera while occasionally gesturing at the vehicle.</t>
  </si>
  <si>
    <t>The woman holds up a bottle of spray.</t>
  </si>
  <si>
    <t>The woman sprays the vehicle's window with the bottle.</t>
  </si>
  <si>
    <t>The woman uses a towel to clean the window.</t>
  </si>
  <si>
    <t>The woman talks to the camera again.</t>
  </si>
  <si>
    <t>The woman returns to cleaning the window.</t>
  </si>
  <si>
    <t>The woman talks to the camera once more.</t>
  </si>
  <si>
    <t>v_M0mLgp8VxpY</t>
  </si>
  <si>
    <t>A shuffleboard is shown in a room.</t>
  </si>
  <si>
    <t>A man in a blue sweater throws a ball down the shuffleboard.</t>
  </si>
  <si>
    <t>v_MoPg7NqyhLI</t>
  </si>
  <si>
    <t>A large group of people are seen sitting in a floor followed by people shooting bow and arrows and running around a course.</t>
  </si>
  <si>
    <t>The kids continue running around one another shooting the bow and arrows and ends with a woman holding up her hand and showing a picture.</t>
  </si>
  <si>
    <t>v_OZiArYAPXDo</t>
  </si>
  <si>
    <t>An older video of bad quality begins to play and there are white words on red blocks that read "Leichtathletik leicht gemacht Diskus".</t>
  </si>
  <si>
    <t>A disc is flying through the air and lands on a field, then a still shot picture of a naked man holding a disc briefly appears until another clip plays of a man on a large field throwing a disc.</t>
  </si>
  <si>
    <t>A man is now sitting on a field and the words on the screen say that he is "Lars Riedel" and under it the word "Olympiasieger", and it shows him talking while switching back and forth to clips of a man on a field is holding a disc on the field, swinging it and then throwing it.</t>
  </si>
  <si>
    <t>The still shot picture of the naked man holding the dickus shows up again and then goes back to clips of the man who is now just walking on the field.</t>
  </si>
  <si>
    <t>v_j3P7ttoKGeY</t>
  </si>
  <si>
    <t>A group of people begin to walk in a room and they begin to play a game of Foosball.</t>
  </si>
  <si>
    <t>The game begins to intensifies and the men begin to look at each other in the eye as they start to make goals.</t>
  </si>
  <si>
    <t>Once the first game is finished,another set of men begin to compete and starts to clip the ball over the people.</t>
  </si>
  <si>
    <t>Next,women join and starts to roll the ball on the edge of the table as they make goals.</t>
  </si>
  <si>
    <t>Finally,a man appears with a Nokia phone recording the game and shows video options of different tricks that were performed.</t>
  </si>
  <si>
    <t>v_87hjft6OBiU</t>
  </si>
  <si>
    <t>There is a man shown lifting a weight that weighs over 90 pounds.</t>
  </si>
  <si>
    <t>There is a woman who's running on the treadmill behind him.</t>
  </si>
  <si>
    <t>v_Tywf5EzWntY</t>
  </si>
  <si>
    <t>A skier is adjusting his shoes on the board.</t>
  </si>
  <si>
    <t>Then he is seen flying through the air on the water board.</t>
  </si>
  <si>
    <t>He is skiing while attached to the back of a boat.</t>
  </si>
  <si>
    <t>v_6Lh3yNFvskc</t>
  </si>
  <si>
    <t>A player holding a basketball dribbles the ball, run and jump to throw the ball in the basket several times.</t>
  </si>
  <si>
    <t>A man throw a basketball in the court and then leave.</t>
  </si>
  <si>
    <t>v_brY1jVHquE0</t>
  </si>
  <si>
    <t>A young child is seen holding onto a stick in a living room while pushing a ball around.</t>
  </si>
  <si>
    <t>The boy continues pushing the ball around while the camera captures his movements.</t>
  </si>
  <si>
    <t>He stops to speak to the camera and continues hitting the ball around.</t>
  </si>
  <si>
    <t>v_qtOP38458F4</t>
  </si>
  <si>
    <t>A male gymast prepares to mount a beam.</t>
  </si>
  <si>
    <t>He jumps up, doing an handstand on the bar.</t>
  </si>
  <si>
    <t>He then spins and flips several times.</t>
  </si>
  <si>
    <t>He dismounts, throwing his arms up in the air.</t>
  </si>
  <si>
    <t>v_aZfNeGBMU1Y</t>
  </si>
  <si>
    <t>A little girl is holding a stick and is gently hitting a large pinata that is ninja turtled theme.</t>
  </si>
  <si>
    <t>In the background a boy on a white chair is gently tossing a ball in the air above his lap.</t>
  </si>
  <si>
    <t>A taller boy is standing and walking near the boy sitting on the chair and he has a green plastic bag over his left hand that he's moving back and forth with a twist of his wrist.</t>
  </si>
  <si>
    <t>A little girl on the side begins to jump as she's waiting for her turn.</t>
  </si>
  <si>
    <t>v_iZlG0UOtImQ</t>
  </si>
  <si>
    <t>A blond boy holding a pool stick is hitting balls on a pool table that is sectioned off from yellow tape while a large crowd is gathered outside of the yellow tape.</t>
  </si>
  <si>
    <t>The boy grabs another stick from under the pool table, puts it on the table, chalks his stick,and then successfully hits the ball into the hole despite a woman trying to distract him.</t>
  </si>
  <si>
    <t>The boy goes around the table and continues to hit the remaining balls into the holes, the crowd cheers him on, and he goes around the crowd and gives everyone high fives.</t>
  </si>
  <si>
    <t>The boy hugs the woman who was trying to distract him the whole time, he puts his stick down, and she hugs him again.</t>
  </si>
  <si>
    <t>A black screen appears and white words on the screen say "The Black Widow Jeanette Lee Worlds Best Female Pool Player A Ron Hawks Video".</t>
  </si>
  <si>
    <t>v_Fp_uU-qMDSc</t>
  </si>
  <si>
    <t>A man dressed in all white is shown fighting different men outdoors and hitting them very hard.</t>
  </si>
  <si>
    <t>Tai Chi Combat along with his website and various other website icons are located on the bottom right.</t>
  </si>
  <si>
    <t>The man is then standing alone outdoors where he's still wearing the same white outfit and is talking very passionately using hand motions and lots of facial expressions.</t>
  </si>
  <si>
    <t>The man is once again shown to be fighting different men outdoors and he seems to be winning each fight.</t>
  </si>
  <si>
    <t>After this round of fights, the man is once again talking very passionately with a lot of hand movements and facial expressions.</t>
  </si>
  <si>
    <t>The man then goes back to more fighting with different men somewhere outdoors where he continues to win the fights by hitting and occasionally kicking.</t>
  </si>
  <si>
    <t>Lastly, the man is once again show talking very passionately with hand movements and a lot of facial expressions and around him are overlays on the screen advertising his youtube channel along with his website for TAI CHI COMBAT.</t>
  </si>
  <si>
    <t>v_jQgAdClKvDE</t>
  </si>
  <si>
    <t>A man in a neon coat is driving a car with the camera on a stick outside the window.</t>
  </si>
  <si>
    <t>He drives quickly on the snow, laughing as he records himself.</t>
  </si>
  <si>
    <t>He and his passengers stand on a snowy mound, spinning as they record themselves.</t>
  </si>
  <si>
    <t>They then use saws to cut a path in the snow.</t>
  </si>
  <si>
    <t>They water ski on the frozen water path.</t>
  </si>
  <si>
    <t>v_E33xUgVqEH0</t>
  </si>
  <si>
    <t>A person cleans an extremely dirty sink with a paper towel.</t>
  </si>
  <si>
    <t>The title, TubOTowels, appears on the screen.</t>
  </si>
  <si>
    <t>v_E_Z4BceegCQ</t>
  </si>
  <si>
    <t>A young man in white runs on the stage dancing.</t>
  </si>
  <si>
    <t>Other men are dancing in the background.</t>
  </si>
  <si>
    <t>A smaller boy runs on stage, confused.</t>
  </si>
  <si>
    <t>A man with a microphone talks to the young kid.</t>
  </si>
  <si>
    <t>The young boy starts dancing.</t>
  </si>
  <si>
    <t>Everyone on the stage stops dancing.</t>
  </si>
  <si>
    <t>The men point to the singer.</t>
  </si>
  <si>
    <t>The singer in red starts dancing.</t>
  </si>
  <si>
    <t>v_aTvt_fP243g</t>
  </si>
  <si>
    <t>A yellow cloth, yellow and green sponge, and a cif creme cleaner is placed on the counter next to a shallow sink with silver drainer.</t>
  </si>
  <si>
    <t>A hand pour a drop of Cif creme, wiped it with the green side of the sponge, wiped it in circular motion, then wipe the counter with yellow cloth.</t>
  </si>
  <si>
    <t>v_uWguPHhQON4</t>
  </si>
  <si>
    <t>A man prepares his supplies near a picnic table and then sets one down.</t>
  </si>
  <si>
    <t>The man pours lighter fluid in a camp fire ring.</t>
  </si>
  <si>
    <t>The man retrieves matches which drops onto the fire and it erupts in flames.</t>
  </si>
  <si>
    <t>v_VFvHqc5Bg-0</t>
  </si>
  <si>
    <t>A group of people in snow gear are shown snow boarding on snow covered snow slopes with visual emphasis shown to a particular snow boarder in a green coat.</t>
  </si>
  <si>
    <t>A man in a green coat snow sleds over many surfaces up and down slopes as he passes other snow sledders while surrounded by bare brown foliage and snow covered roofs and hills.</t>
  </si>
  <si>
    <t>As the man snowboards, one person he passes falls down and break his sled and several of the other skiers perform trick as they snowboard including snow boarding off of elevated platforms and doing jumps as they snow board.</t>
  </si>
  <si>
    <t>v_w9LRKWLmw0A</t>
  </si>
  <si>
    <t>A little boy mops a wooden ramp, barefoot,outdoors with a mini mop and bucket of water.</t>
  </si>
  <si>
    <t>A young boy stands outside, without a shirt, barefoot and jeans and mops a wooden ramp with a yellow mini mop.</t>
  </si>
  <si>
    <t>The boy dunks the mop in water after awhile and continues to mop the ramp.</t>
  </si>
  <si>
    <t>v_f--wWfsr0zA</t>
  </si>
  <si>
    <t>A news woman is speaking inside a news room.</t>
  </si>
  <si>
    <t>A couple of professional dancers are shown dancing and performing ballet on a stage, with the female occasionally shown speaking to the camera.</t>
  </si>
  <si>
    <t>She is seen walking out after a performance to see a room filled with people and do a press conference.</t>
  </si>
  <si>
    <t>A poster of three women is shown at the end.</t>
  </si>
  <si>
    <t>v_1GQARL4coRo</t>
  </si>
  <si>
    <t>A man paddles a surfboard with a baby on the board in front of him.</t>
  </si>
  <si>
    <t>He momentarily lifts the baby up to a standing position.</t>
  </si>
  <si>
    <t>A woman moves towards the man and the baby.</t>
  </si>
  <si>
    <t>The man momentarily lifts the baby up to a standing position again.</t>
  </si>
  <si>
    <t>The man momentarily lifts the baby up to a standing position once more.</t>
  </si>
  <si>
    <t>v_PcSnU_nGi5E</t>
  </si>
  <si>
    <t>The man in brown shirt is standing next to a pile of tennis ball while he is talking to the camera.</t>
  </si>
  <si>
    <t>He played tennis ball with another person.</t>
  </si>
  <si>
    <t>The man in purple shirt serve the ball while the black man hit the ball back.</t>
  </si>
  <si>
    <t>v_x03YF3JbWjs</t>
  </si>
  <si>
    <t>A woman gives a hair tutorial.</t>
  </si>
  <si>
    <t>The woman ties her hair and prepares it so that it looks better.</t>
  </si>
  <si>
    <t>v_zLbSEo4xhVY</t>
  </si>
  <si>
    <t>A special effect intro of a man airborn on a waterboard with the words MMXIV HYPERLITE COLLECTION is on the screen.</t>
  </si>
  <si>
    <t>A few men appear near the lake and then a series of different clips and men on water boards play one after another as they all waterboard quickly on the water and some are doing flips while holding onto the rope.</t>
  </si>
  <si>
    <t>A woman in pink shorts appears and she is briefly shown water boarding as well.</t>
  </si>
  <si>
    <t>Now a man is sitting on a boat while a large remote controlled airplane is flying towards him, and a standing man quickly grabs it before it hits the face of the sitting man, and the sitting man turns to the camera to give a shocked and relief look on his face.</t>
  </si>
  <si>
    <t>The clips of various people waterboarding shows up again and they are all still holding onto the rope while standing on the boards and doing jumps, flips and other tricks.</t>
  </si>
  <si>
    <t>The outro clip begins and it's similar to the intro.</t>
  </si>
  <si>
    <t>v_gEqT50dX-iY</t>
  </si>
  <si>
    <t>A man explains a procedure holdings cloths and cleaning materials while showing the cloths.</t>
  </si>
  <si>
    <t>After, the man approaches to a window and starts to clean for an instant, and then continues explaining.</t>
  </si>
  <si>
    <t>v_uavot-yVwhg</t>
  </si>
  <si>
    <t>A lady sits at a table with a shoe, water, salt, brush and towel.</t>
  </si>
  <si>
    <t>The lady puts salt it the water and dips the brush then brushes the shoe.</t>
  </si>
  <si>
    <t>The lady wipes the shoe with the towel and talks to the camera.</t>
  </si>
  <si>
    <t>We see an ending title screen.</t>
  </si>
  <si>
    <t>v_17ytsjuUCRA</t>
  </si>
  <si>
    <t>A dog is getting a bath outside.</t>
  </si>
  <si>
    <t>Soap is worked through the coat and then washed off.</t>
  </si>
  <si>
    <t>v_6hsOVkC7hxA</t>
  </si>
  <si>
    <t>There's a shirtless man wearing denim jeans out in a forest.</t>
  </si>
  <si>
    <t>He is chopping wood from a cut tree bark with a hammer.</t>
  </si>
  <si>
    <t>He he hitting the chopped log of wood with all his force.</t>
  </si>
  <si>
    <t>v_U-kPlTqXc_M</t>
  </si>
  <si>
    <t>A small group of people are seen standing around a table filled with solo cups and one catching a cup.</t>
  </si>
  <si>
    <t>The man then drinks from a cup and proceeds to collapse onto the table.</t>
  </si>
  <si>
    <t>v_Cf7xy_HQ9H0</t>
  </si>
  <si>
    <t>A man is rollerblading outside in a parking lot.</t>
  </si>
  <si>
    <t>He does several tricks on his rollerblades.</t>
  </si>
  <si>
    <t>He does a cart wheel on the ground.</t>
  </si>
  <si>
    <t>v_v1FHFQ1UZHw</t>
  </si>
  <si>
    <t>A man writing on the wall.</t>
  </si>
  <si>
    <t>Switches to a product being featured.</t>
  </si>
  <si>
    <t>The man writes on the wall again.</t>
  </si>
  <si>
    <t>He begins to apply product.</t>
  </si>
  <si>
    <t>Switches to the product again.</t>
  </si>
  <si>
    <t>He writes on the wall.</t>
  </si>
  <si>
    <t>He begins to lay out tools.</t>
  </si>
  <si>
    <t>Next he measures and levels the wall.</t>
  </si>
  <si>
    <t>He takes out the product and begins placing a coat on the crack in the wall.</t>
  </si>
  <si>
    <t>He then takes a roller and rolls it along the wall.</t>
  </si>
  <si>
    <t>Next he hangs and apply s a white sheet to the wall.</t>
  </si>
  <si>
    <t>He repeats the process in the different sections of the wall that need it.</t>
  </si>
  <si>
    <t>Now He writes on the wall again.</t>
  </si>
  <si>
    <t>Next a dog jumps in front of a wall.</t>
  </si>
  <si>
    <t>He writes again on the wall.</t>
  </si>
  <si>
    <t>Lettering appears on the screen for the product.</t>
  </si>
  <si>
    <t>v_x39KxoQHEp4</t>
  </si>
  <si>
    <t>Several people float down a river in tubes.</t>
  </si>
  <si>
    <t>They pass through several rocks.</t>
  </si>
  <si>
    <t>The water gets rough as the past through some rocks.</t>
  </si>
  <si>
    <t>Several people stand up in the river.</t>
  </si>
  <si>
    <t>v_C8fyaj592GA</t>
  </si>
  <si>
    <t>Individuals stand behind black platforms awaiting instructions.</t>
  </si>
  <si>
    <t>Individuals are using dance moves to exercise using the platform.</t>
  </si>
  <si>
    <t>The people do jumping jacks to the right of the platform.</t>
  </si>
  <si>
    <t>The individuals do jumping jacks at the left of the platform.</t>
  </si>
  <si>
    <t>The lady who had been instructing the group continuously claps her hands and begins to leave.</t>
  </si>
  <si>
    <t>v_z6g5QbIPatk</t>
  </si>
  <si>
    <t>A girl holds up a white piece of paper and it has a drawing on it that is done in black ink.</t>
  </si>
  <si>
    <t>The girl then turns around and the video is sped up to show her drawing on a pumpkin near a kitchen while multiple people are moving about around her.</t>
  </si>
  <si>
    <t>The girl finishes the drawing and she begins to carve the design out of the pumpkin while the video is still in a sped up mode.</t>
  </si>
  <si>
    <t>The pumpkin is now done being carved and it appears on a black screen with just the carved out area illuminating in an orange color.</t>
  </si>
  <si>
    <t>The girl appears again holding up the white paper, runs out of the room and the screen goes back to black with just the pumpkin illuminating.</t>
  </si>
  <si>
    <t>v_F12ga-do744</t>
  </si>
  <si>
    <t>A large man is seen standing on a large mat walking forward and screaming to the audience.</t>
  </si>
  <si>
    <t>The man then lifts the bar up then back down and screams out loud.</t>
  </si>
  <si>
    <t>The same clips is shown again immediately afterwards.</t>
  </si>
  <si>
    <t>v_YPNLMBhuDS8</t>
  </si>
  <si>
    <t>A man is seen speaking to the camera while holding up a shoe and polish and pointing to objects.</t>
  </si>
  <si>
    <t>The man then rubs down the shoe with a rag while the camera zooms in on more products and speaking to the camera.</t>
  </si>
  <si>
    <t>v_-ew9R4QppTk</t>
  </si>
  <si>
    <t>man is sitting in a white room playing congas a bongos.</t>
  </si>
  <si>
    <t>fat man wearing glasses is sitting on a chair in a white room.</t>
  </si>
  <si>
    <t>man is sitting in a room playing salsa music with the bongos.</t>
  </si>
  <si>
    <t>v_ePAc9xK9fac</t>
  </si>
  <si>
    <t>woman is climbing a rock wall in a gym and a man is pulling the ropes.</t>
  </si>
  <si>
    <t>woman start descending from the rock wall.</t>
  </si>
  <si>
    <t>v_SV-8M3HNk1s</t>
  </si>
  <si>
    <t>A clip is shown of a person on a wake board riding on some waves and crashing into the water.</t>
  </si>
  <si>
    <t>Several more clips are shown of people riding on the wake boards on the ocean waves gliding along.</t>
  </si>
  <si>
    <t>v_m12BPEN6Y3s</t>
  </si>
  <si>
    <t>A girl wearing a scarf is seen talking to the camera and begins mixing various ingredients into a bowl.</t>
  </si>
  <si>
    <t>She places the batter into circles on separate pans and shows the cookies she made after they are done.</t>
  </si>
  <si>
    <t>v_4DmsWE6byuw</t>
  </si>
  <si>
    <t>A man is walking in circles in the center of a crowd.</t>
  </si>
  <si>
    <t>He begins to break dance.</t>
  </si>
  <si>
    <t>Several clips of men break dancing in different venues are shown, as they flip, spin, and perform for crowds.</t>
  </si>
  <si>
    <t>v_vbLxVuLLPek</t>
  </si>
  <si>
    <t>There two men dressed Scottish kilts and attire standing in the courtyard.</t>
  </si>
  <si>
    <t>One of the men is playing the bagpipes and the other is playing the drums.</t>
  </si>
  <si>
    <t>A woman tourist walks past them as they continue to play.</t>
  </si>
  <si>
    <t>v_d_6BVfxlAsI</t>
  </si>
  <si>
    <t>An empty poker table is shown followed by a woman dealing cards and speaking to the camera.</t>
  </si>
  <si>
    <t>She instructs on how to play the game while still speaking to the camera and smiling.</t>
  </si>
  <si>
    <t>v_MINjkEBIIkA</t>
  </si>
  <si>
    <t>A man is standing in a room.</t>
  </si>
  <si>
    <t>They are throwing darts at a dartboard.</t>
  </si>
  <si>
    <t>A woman then comes and throws darts at a dartboard.</t>
  </si>
  <si>
    <t>v_AgocNx3-De0</t>
  </si>
  <si>
    <t>People raft in a muddy river, then they camping on the shore to rest and play.</t>
  </si>
  <si>
    <t>Then, the man continue rafting in the river, and a man falls in the water and his friends rescue him, then they continue rafting.</t>
  </si>
  <si>
    <t>A woman and a man stands next a helicopter, then the helicopter fly.</t>
  </si>
  <si>
    <t>v_yNHc-xADBm8</t>
  </si>
  <si>
    <t>A camp fire burns brightly in the night.</t>
  </si>
  <si>
    <t>The fire slowly grows in size.</t>
  </si>
  <si>
    <t>The scene becomes brighter and better lit.</t>
  </si>
  <si>
    <t>There are trees in the background.</t>
  </si>
  <si>
    <t>v_saShR7NwjMg</t>
  </si>
  <si>
    <t>A close up of a person leads into the person watching their hands and scrubbing it with soap.</t>
  </si>
  <si>
    <t>A man is shown scrubbing up his hands in a sink while demonstrating the proper way to wash hands and dip them under the water.</t>
  </si>
  <si>
    <t>The man dries it off with a rag in the end.</t>
  </si>
  <si>
    <t>v_sz1772O9AUM</t>
  </si>
  <si>
    <t>A car drives into a car wash bay.</t>
  </si>
  <si>
    <t>The driver gets out and inserts money into a machine.</t>
  </si>
  <si>
    <t>The person then washes their car with a pressure washer.</t>
  </si>
  <si>
    <t>We see another machine, and a vending machine.</t>
  </si>
  <si>
    <t>v_pK3OSevBqDw</t>
  </si>
  <si>
    <t>A man is seen standing next to a fence while the camera pans around the lake nearby.</t>
  </si>
  <si>
    <t>The man bends down and begins painting the fence while the camera focuses on a person walking down.</t>
  </si>
  <si>
    <t>Another man walks up with a bucket and helps the man paint while the cameraman continues to look around.</t>
  </si>
  <si>
    <t>v_wj_xmkHjItg</t>
  </si>
  <si>
    <t>A car is traveling through snow covered roads and trees before arriving at a cabin.</t>
  </si>
  <si>
    <t>The people put on skis and are shown going down the hills, skiing.</t>
  </si>
  <si>
    <t>They continue skiing, waving at the camera and showing a final panoramic view as the video ends.</t>
  </si>
  <si>
    <t>v_nVN1rP8H688</t>
  </si>
  <si>
    <t>Various title cards flash in front of the screen.</t>
  </si>
  <si>
    <t>We see a dog, and a man with a selfie stick carrying a snowboard.</t>
  </si>
  <si>
    <t>The man is snowboarding and holding the selfie stick.</t>
  </si>
  <si>
    <t>The man is playing with the dog, and we see the dog close up.</t>
  </si>
  <si>
    <t>The man is snowboarding downhill.</t>
  </si>
  <si>
    <t>He stops to pet his dog again before snowboarding again.</t>
  </si>
  <si>
    <t>the man and the dog are walking in an area with little snow.</t>
  </si>
  <si>
    <t>The man mounts the board and snowboards before putting it in his truck.</t>
  </si>
  <si>
    <t>We see the Gopro screen.</t>
  </si>
  <si>
    <t>v_kuPWb9E4aUQ</t>
  </si>
  <si>
    <t>A diver is swimming under the blue water.</t>
  </si>
  <si>
    <t>Two divers wearing their oxygen are under the water, they are holding onto the strong rope.</t>
  </si>
  <si>
    <t>The divers dive deeper to into the water, they swim towards a coral bed under the water.</t>
  </si>
  <si>
    <t>The people are riding the white boat towards the ocean.</t>
  </si>
  <si>
    <t>v_KSbIw1m2KoU</t>
  </si>
  <si>
    <t>A female gymnast prepares to mount the bar.</t>
  </si>
  <si>
    <t>She mounts, then does several hand springs, forward flips, and back flips.</t>
  </si>
  <si>
    <t>Then she dismounts, throwing her arms up in the air.</t>
  </si>
  <si>
    <t>v_5u-PL0wr3TU</t>
  </si>
  <si>
    <t>A toddler goes down on a slide in a playground full of people, when the toddler touches the floor, she stand and run.</t>
  </si>
  <si>
    <t>Suddenly, a man run behind the toddler.</t>
  </si>
  <si>
    <t>v_yrGietojx78</t>
  </si>
  <si>
    <t>A man in a white shirt is holding a tool in his hand.</t>
  </si>
  <si>
    <t>He starts chopping weeds down in a field.</t>
  </si>
  <si>
    <t>He stops and puts the tool against a fence.</t>
  </si>
  <si>
    <t>v_KEU4Sj6x1p4</t>
  </si>
  <si>
    <t>The race begins, one of the racer has a huge head start before the other even starts moving.</t>
  </si>
  <si>
    <t>They begin to run again but this time the man who had the head start takes his time and the man in the blue runs fast and jumps in the sand.</t>
  </si>
  <si>
    <t>He runs and jumps again, this time they show it again in slow motion.</t>
  </si>
  <si>
    <t>He just keeps practicing his run and jump over and over trying to get it perfect.</t>
  </si>
  <si>
    <t>v_iYdbam6e8cI</t>
  </si>
  <si>
    <t>People are roller blading down sets of stairs.</t>
  </si>
  <si>
    <t>A person falls into the street.</t>
  </si>
  <si>
    <t>A school bus is on the street behind them.</t>
  </si>
  <si>
    <t>v_XazKuBawFCM</t>
  </si>
  <si>
    <t>A woman is standing on a field in a circle.</t>
  </si>
  <si>
    <t>She spins while holding a disc.</t>
  </si>
  <si>
    <t>she accidentally lets go, and the disc flies out behind her.</t>
  </si>
  <si>
    <t>v__K88UOvtQPk</t>
  </si>
  <si>
    <t>A young girl is seen playing a saxophone while looking over to the camera and moving her hands up and down.</t>
  </si>
  <si>
    <t>The woman continues to play the instrument and ends by turning off the camera.</t>
  </si>
  <si>
    <t>v_G6FhQuR3_88</t>
  </si>
  <si>
    <t>We see men playing instruments in a plaza.</t>
  </si>
  <si>
    <t>The front man turns around to the men behind him.</t>
  </si>
  <si>
    <t>The man in front grabs the microphone.</t>
  </si>
  <si>
    <t>The band finishes playing their instruments.</t>
  </si>
  <si>
    <t>v_8liz3Fu7DGU</t>
  </si>
  <si>
    <t>On a a big field there is a lacrosse team playing a game , they are all moving around strategically.</t>
  </si>
  <si>
    <t>They throw the ball trying to make the goal while the other team tries to block them.</t>
  </si>
  <si>
    <t>They are running around you can see arrows to pointing to whats going on here and there.</t>
  </si>
  <si>
    <t>it is a very physical and hands on sport that requires stamina and energy.</t>
  </si>
  <si>
    <t>v_kB0h-fHb_WU</t>
  </si>
  <si>
    <t>A guy with with leg extensions enter.</t>
  </si>
  <si>
    <t>The guy hops and flips on a trampoline.</t>
  </si>
  <si>
    <t>A man and woman remove an attachment from a cable and attach another.</t>
  </si>
  <si>
    <t>The cables are lifted up.</t>
  </si>
  <si>
    <t>The man and woman remove what they removed from the trampoline and leave.</t>
  </si>
  <si>
    <t>The guy with leg extensions leaves.</t>
  </si>
  <si>
    <t>Two people enter with a chair and bucket.</t>
  </si>
  <si>
    <t>v_Ne8UzAInivM</t>
  </si>
  <si>
    <t>A scuba diver is swimming through the water on a video game.</t>
  </si>
  <si>
    <t>They are looking through rubble of an old ship.</t>
  </si>
  <si>
    <t>They get in their boat and drive.</t>
  </si>
  <si>
    <t>They jump under the water again.</t>
  </si>
  <si>
    <t>v_dZa5ir3baH4</t>
  </si>
  <si>
    <t>A man prepares to run along an indoor track.</t>
  </si>
  <si>
    <t>He runs, taking very large strides.</t>
  </si>
  <si>
    <t>He jumps awkwardly into the sand, landing on his face.</t>
  </si>
  <si>
    <t>v_d3Rx-nw5Zlw</t>
  </si>
  <si>
    <t>There's a young man wearing a blue jacket and a white shirt standing near a wall with white bathroom tiles.</t>
  </si>
  <si>
    <t>He is smoking a cigarette.</t>
  </si>
  <si>
    <t>He continues taking a several puffs of the cigarette as he empties the ashes of the burned cigarette on the side.</t>
  </si>
  <si>
    <t>He looks a bit confused as he continues smoking the cigarette.</t>
  </si>
  <si>
    <t>v_pajUG7Y6Gtk</t>
  </si>
  <si>
    <t>Three people are seen standing on a sandy field and lead into one scoring a goal.</t>
  </si>
  <si>
    <t>The men celebrate while his clip is shown again several times.</t>
  </si>
  <si>
    <t>The men continue to celebrate and begin playing the game again.</t>
  </si>
  <si>
    <t>v_avGe67wRvxA</t>
  </si>
  <si>
    <t>A lady wipes lipstick off her face.</t>
  </si>
  <si>
    <t>The lady then lines her lips with a pencil.</t>
  </si>
  <si>
    <t>The lady stops and adjusts the camera.</t>
  </si>
  <si>
    <t>the camera move and we see a man next to the lady.</t>
  </si>
  <si>
    <t>the lady fixes her hair in the camera.</t>
  </si>
  <si>
    <t>v_OZftVCeblMk</t>
  </si>
  <si>
    <t>A man is seen standing before a kitchen sink and washing dishes in his hands.</t>
  </si>
  <si>
    <t>The man then cleans the dishes and puts them away, then looking over upset to see more dishes.</t>
  </si>
  <si>
    <t>v___wPHayoMgw</t>
  </si>
  <si>
    <t>A young woman is dressed in a zebra onesie sitting on her bed smoking a hookah.</t>
  </si>
  <si>
    <t>She takes two puffs,exhales the smoke and a spark flies from the end of the tube.</t>
  </si>
  <si>
    <t>The man behind the camera switches and then begins to smoke the hookah as the girl begins to record.</t>
  </si>
  <si>
    <t>Once he is finished,the hookah is given back to the girl and she starts to smoke.</t>
  </si>
  <si>
    <t>v_t9UsqWspqZM</t>
  </si>
  <si>
    <t>A person dressed up as Darth Vader plays a violin on the sidewalk.</t>
  </si>
  <si>
    <t>People walk in front of him.</t>
  </si>
  <si>
    <t>v_LZleSe6Kovg</t>
  </si>
  <si>
    <t>A man is wearing a white robe with a black belt.</t>
  </si>
  <si>
    <t>He starts doing karate moves in a room.</t>
  </si>
  <si>
    <t>He stands up right at the end.</t>
  </si>
  <si>
    <t>v_bt4cH91_KPI</t>
  </si>
  <si>
    <t>An excited man is seen talking to the camera and transitions into several shots of men winning games, beer, and being interviewed by the host.</t>
  </si>
  <si>
    <t>The men are then seen playing a game of beer pong with several others around and showing off a shaved head.</t>
  </si>
  <si>
    <t>A man is seen talking on a phone and more shots of the men playing beer pong are shown.</t>
  </si>
  <si>
    <t>v_hJKX5ZulTgI</t>
  </si>
  <si>
    <t>A woman spins around, showing off her hair style.</t>
  </si>
  <si>
    <t>We see a black hair drying spinning on the screen.</t>
  </si>
  <si>
    <t>The woman is getting her hair styled in the background by another woman, while text covers the screen with instructions.</t>
  </si>
  <si>
    <t>The woman brushes and finalizes the style, and the client has a huge happy smile.</t>
  </si>
  <si>
    <t>v_8ZqRn0ovdAI</t>
  </si>
  <si>
    <t>A man is seen sitting on a park bench playing guitar with a small boy beside him.</t>
  </si>
  <si>
    <t>The boy then begins playing a set of drums next to the man playing guitar.</t>
  </si>
  <si>
    <t>The two continue playing with one another and stop to wave to the camera and speak to one another.</t>
  </si>
  <si>
    <t>v_ns8v94HCtlM</t>
  </si>
  <si>
    <t>A person is turning on a machine and watching a hose grow bigger while he spins the dial.</t>
  </si>
  <si>
    <t>He continues pressing buttons and begins grooming a dog.</t>
  </si>
  <si>
    <t>The person goes up and down on the dog and eventually makes him look good as new with different settings.</t>
  </si>
  <si>
    <t>v_tHFF0OaIHoE</t>
  </si>
  <si>
    <t>A young girl is sitting in an empty bath tub shaving a man's leg that is thrown over the tub.</t>
  </si>
  <si>
    <t>As she continues,the dog comes and she shows the hair on the razor to the camera.</t>
  </si>
  <si>
    <t>v_vvoqG7UQsdc</t>
  </si>
  <si>
    <t>There are two students, a boy and a girl in a pole vault runway.</t>
  </si>
  <si>
    <t>One of the students, a boy sprints with the pole on the runway while a person in blue the other student watch him perform.</t>
  </si>
  <si>
    <t>Then he jumps up high and lands a few feet away on the landing area.</t>
  </si>
  <si>
    <t>His actions are replayed in slow motion to capture his jump and landing.</t>
  </si>
  <si>
    <t>v_2bkQz8BcKZ4</t>
  </si>
  <si>
    <t>A small group of girls are seen walking onto a stage followed by more people following behind.</t>
  </si>
  <si>
    <t>More people continue walking out onto the stage with some holding signs and others watching on the side.</t>
  </si>
  <si>
    <t>v_tilmCzSf1oc</t>
  </si>
  <si>
    <t>A boy in karate class bows before a performance.</t>
  </si>
  <si>
    <t>The boy performs a karate routine with hand scythes.</t>
  </si>
  <si>
    <t>The boy ends his routine and bows.</t>
  </si>
  <si>
    <t>v_bUHE8XcPZgs</t>
  </si>
  <si>
    <t>We see a man walk to the parallel bars and jump on.</t>
  </si>
  <si>
    <t>We see the man perform a routine on the bars.</t>
  </si>
  <si>
    <t>The man does a handstand.</t>
  </si>
  <si>
    <t>The man flips and dismounts from the bars.</t>
  </si>
  <si>
    <t>The man raise his arms in the air.</t>
  </si>
  <si>
    <t>The man walks away and hugs another man.</t>
  </si>
  <si>
    <t>v_-AaOr1DI2no</t>
  </si>
  <si>
    <t>A lady stands in a living room and discusses.</t>
  </si>
  <si>
    <t>The lady easily pulls the wallpaper of the wall.</t>
  </si>
  <si>
    <t>A woman paints the wall with a liquid.</t>
  </si>
  <si>
    <t>The woman puts wallpaper on the area.</t>
  </si>
  <si>
    <t>The woman cuts the wallpaper with a box cutter.</t>
  </si>
  <si>
    <t>The woman paints the wallpaper with paint.</t>
  </si>
  <si>
    <t>v_1Uur858vdY8</t>
  </si>
  <si>
    <t>An athletic man is seen standing ready and begins running down a track and jumping into a pit.</t>
  </si>
  <si>
    <t>The man celebrates as his score is shown and his jump is shown again in slow motion.</t>
  </si>
  <si>
    <t>v_7Xl0K-revJc</t>
  </si>
  <si>
    <t>A man teaches the proper way to get a mouthpiece on a saxophone.</t>
  </si>
  <si>
    <t>He then describes how to properly play the horn.</t>
  </si>
  <si>
    <t>v_gHk4mjlJ5cg</t>
  </si>
  <si>
    <t>A shirtless man talks in a gym.</t>
  </si>
  <si>
    <t>A lady runs past both ways then jumps rope behind the man.</t>
  </si>
  <si>
    <t>We see title screens with instructions.</t>
  </si>
  <si>
    <t>We see a lady jumping rope eleven different ways.</t>
  </si>
  <si>
    <t>v_ajA_cE6b9AY</t>
  </si>
  <si>
    <t>a river is shown and a car is a dust path.</t>
  </si>
  <si>
    <t>men are rafting on a lake on the rapids.</t>
  </si>
  <si>
    <t>v_GPR8rtfZr4A</t>
  </si>
  <si>
    <t>A graphic logo is seen that is black and white in color with the letter "N".</t>
  </si>
  <si>
    <t>A tv host stands in front of a camouflaged background.</t>
  </si>
  <si>
    <t>Two girls are seen walking in a photograph in baseball uniforms.</t>
  </si>
  <si>
    <t>A large group of fans crowds on a baseball field and surrounds a famous singer doing a performance.</t>
  </si>
  <si>
    <t>A red handball is rolled to a kicker during a kickball match who kicks it into the outfield for a run.</t>
  </si>
  <si>
    <t>Another man in tshirt and black sweats kicks a ball and runs around the bases trying to avoid being tagged with the ball.</t>
  </si>
  <si>
    <t>The same man rides on a skateboard in the city.</t>
  </si>
  <si>
    <t>The man is seen again in an up close video in a room.</t>
  </si>
  <si>
    <t>v_E-6XZrDYRuM</t>
  </si>
  <si>
    <t>The title shows as a man ride a horse through an arena.</t>
  </si>
  <si>
    <t>There is then a showcase of horses jumping over obstacles.</t>
  </si>
  <si>
    <t>One of the pictures rotates around in a circle and the next video squeezes in on itself.</t>
  </si>
  <si>
    <t>It continues to show horse jumping over obstacles with video effects.</t>
  </si>
  <si>
    <t>A man walks side my side with with partner.</t>
  </si>
  <si>
    <t>The credits role with some praise.</t>
  </si>
  <si>
    <t>v_Jth2Zlpr1gQ</t>
  </si>
  <si>
    <t>The woman in red top is standing.</t>
  </si>
  <si>
    <t>The woman stretches her arms one side first then the next one.</t>
  </si>
  <si>
    <t>The woman put her arms in front of her, then stretch out and turned around.</t>
  </si>
  <si>
    <t>v_GKK32IWDlSE</t>
  </si>
  <si>
    <t>A man is outside on a track.</t>
  </si>
  <si>
    <t>He runs with a javelin in his hand.</t>
  </si>
  <si>
    <t>He throws it as far as he can, raising his arms in victory.</t>
  </si>
  <si>
    <t>v_fgFU8vdsA8k</t>
  </si>
  <si>
    <t>A girl and a man are inside a high structure wearing bungee jumping equipment.</t>
  </si>
  <si>
    <t>The girl get out and stand on the border of the structure, then while the man puts a rope behind the girl.</t>
  </si>
  <si>
    <t>After, the girl jumps from the structure for a moment and then she gets up on the structure.</t>
  </si>
  <si>
    <t>v_YDNEa5ZOf6c</t>
  </si>
  <si>
    <t>A man wearing a hood is opening a paper, then he went down the stair and walked to a pathway.</t>
  </si>
  <si>
    <t>The woman is talking to the camera and showing the ground covered with snow.</t>
  </si>
  <si>
    <t>The man is standing next to the van and began scooping off the snow on the roof of the car, while the other person is using a broom to get the snow off the car.</t>
  </si>
  <si>
    <t>v_Hub83eTB8mM</t>
  </si>
  <si>
    <t>A construction worker is standing and talking to the camera while holding a sprayer.</t>
  </si>
  <si>
    <t>He is very animated while he goes back to sanding and spraying.</t>
  </si>
  <si>
    <t>v_9ZQY-ZfimYo</t>
  </si>
  <si>
    <t>A man is shown speaking to the camera excitedly and shows several shots of the man climbing a rock wall and various locations.</t>
  </si>
  <si>
    <t>Then man then continues speaking to the camera and demonstrates how to properly climb the wall while still speaking.</t>
  </si>
  <si>
    <t>v_GwLhmYF7Wdw</t>
  </si>
  <si>
    <t>man is standing in front of a white cloth in a studio doing exercise in an elliptical machine showing the characteristics of the bike.</t>
  </si>
  <si>
    <t>woman is doing the same that the man, watching the elliptical and doing exercise.</t>
  </si>
  <si>
    <t>v_uA3dbKjT9rM</t>
  </si>
  <si>
    <t>A girl sitting int eh driver seat of a car is talking on her phone on speaker.</t>
  </si>
  <si>
    <t>She hangs up and starts talking out loud and then her and her friend are walking through a parking garage.</t>
  </si>
  <si>
    <t>The girls are walking and talking through the mall, then they go to Claires to get ears pierced.</t>
  </si>
  <si>
    <t>They continue walking around the mall for a while.</t>
  </si>
  <si>
    <t>v_Gn7Ha7l1uOk</t>
  </si>
  <si>
    <t>A man stands in a stair rail holding a knife.</t>
  </si>
  <si>
    <t>A guy prepare to play the drums.</t>
  </si>
  <si>
    <t>The guy plays a drum set.</t>
  </si>
  <si>
    <t>v_zryPDx9WL08</t>
  </si>
  <si>
    <t>Several shots are shown of a man warming up as well as performing martial arts tricks.</t>
  </si>
  <si>
    <t>A man speaks to the camera while several clips are shown of people flipping and doing tricks in various locations.</t>
  </si>
  <si>
    <t>The people jump and flip around one another and continue performing parkour.</t>
  </si>
  <si>
    <t>v_OjQHQptSXk0</t>
  </si>
  <si>
    <t>A large parade of people marching down a street is shown with several hundred people watching on the side.</t>
  </si>
  <si>
    <t>The people continue playing the instruments as the camera pans around the large group of people and following the parade.</t>
  </si>
  <si>
    <t>v_qm1dudWLlUg</t>
  </si>
  <si>
    <t>A man is drinking a beer during a game while others look on and smile.</t>
  </si>
  <si>
    <t>Several people are watching the match and the man drinking a beer looks at the camera and smiles.</t>
  </si>
  <si>
    <t>v_ZjHIN-M-dQY</t>
  </si>
  <si>
    <t>A group of people re riding stationary bikes in a big gym.</t>
  </si>
  <si>
    <t>One man moves a stationary bike.</t>
  </si>
  <si>
    <t>A woman adjusts the top hat she is wearing.</t>
  </si>
  <si>
    <t>v_ZEChBNpLCyU</t>
  </si>
  <si>
    <t>A man is seen speaking to the camera and begins laying out tarp next to a tree.</t>
  </si>
  <si>
    <t>The man cuts the tarp and begins putting mulch all around the tree.</t>
  </si>
  <si>
    <t>v_xAI1y9izXOM</t>
  </si>
  <si>
    <t>Two men sit across a table and begin an arm wrestling match.</t>
  </si>
  <si>
    <t>They both struggle a bit until the man on the left eventually wins.</t>
  </si>
  <si>
    <t>v_me4rMjlnTlI</t>
  </si>
  <si>
    <t>A small group of children are seen holding onto a rope with a man standing in front of them speaking to them.</t>
  </si>
  <si>
    <t>The kids continue pulling with adult's help and then cheer in the end.</t>
  </si>
  <si>
    <t>v_ZhPL4xb8JD0</t>
  </si>
  <si>
    <t>A horseman sits on a horse and a person stands on front a cattle squeeze chute.</t>
  </si>
  <si>
    <t>Suddenly, the horseman and a calf run to the the arena, while the horseman runs behind the calf spinning in the air a rope.</t>
  </si>
  <si>
    <t>After, the horseman throws the hoop and catch the calf, then quickly he lie the calf on the floor and tie the legs.</t>
  </si>
  <si>
    <t>v_5Ia1MCFut_8</t>
  </si>
  <si>
    <t>A young child is seen climbing into a slide and edging her way closer to the edge.</t>
  </si>
  <si>
    <t>The girl then rides down the slide smiling and walks away.</t>
  </si>
  <si>
    <t>v_X0IXZMr95TM</t>
  </si>
  <si>
    <t>A clear bottle pours a drink into a cocktail glass.</t>
  </si>
  <si>
    <t>A bartender picks up a stainless steel cup and scoops ice into it.</t>
  </si>
  <si>
    <t>The bartender pours liquors into a shot glass and dumps them into a cup.</t>
  </si>
  <si>
    <t>The bartender caps the cup and shakes vigorously.</t>
  </si>
  <si>
    <t>The contents of the mixing cup are poured into a martini glass.</t>
  </si>
  <si>
    <t>v_V4tqzi5uw9Y</t>
  </si>
  <si>
    <t>A man touches his faces and waves.</t>
  </si>
  <si>
    <t>The man walks a mower across very tall growing grass.</t>
  </si>
  <si>
    <t>v_eLVaojWbwHE</t>
  </si>
  <si>
    <t>A middle aged woman is standing in a room behind a table full of pain and various size brushes and an image of trees on a easel.</t>
  </si>
  <si>
    <t>In her left hand,she has a wheel of paint and begins to make stokes on the image to complete her picture.</t>
  </si>
  <si>
    <t>She goes back and forth from the paint to the board and shows how to make a tree and then cleans her brushes.</t>
  </si>
  <si>
    <t>v_BCsfauy69xM</t>
  </si>
  <si>
    <t>A person is carving a pumpkin.</t>
  </si>
  <si>
    <t>We see two people side by side carving pumpkins.</t>
  </si>
  <si>
    <t>We see from inside the pumpkin as they are being carved.</t>
  </si>
  <si>
    <t>We see five pumpkins on a couch and in the dark lit from the inside.</t>
  </si>
  <si>
    <t>v_Y82dz6aTwJ0</t>
  </si>
  <si>
    <t>A woman is sitting on the couch and is putting her feet in a python printed heels.</t>
  </si>
  <si>
    <t>Once they are on she stands up and walks around as the camera zooms in on her red painted toe nails.</t>
  </si>
  <si>
    <t>v_O2JUUFFdWpk</t>
  </si>
  <si>
    <t>A man in a blue costume throws something into the audience.</t>
  </si>
  <si>
    <t>He picks up a green can and takes a drink.</t>
  </si>
  <si>
    <t>He then plays rock paper scissors with another man across from him.</t>
  </si>
  <si>
    <t>v_B3fiiuk0EqE</t>
  </si>
  <si>
    <t>A man shovels snow from a driveway.</t>
  </si>
  <si>
    <t>The camera pans to show another man using an electric shoveling machine to clear show from his driveway.</t>
  </si>
  <si>
    <t>The man finishes clearing snow and turns to the camera.</t>
  </si>
  <si>
    <t>v_gYARGADLcmQ</t>
  </si>
  <si>
    <t>We see an aerial view of a beach with people all over.</t>
  </si>
  <si>
    <t>We see people building sand castles.</t>
  </si>
  <si>
    <t>We interview a judge, who then walks among the people.</t>
  </si>
  <si>
    <t>We see two men interviewed.</t>
  </si>
  <si>
    <t>We see an awning over the beach and canopies beyond that.</t>
  </si>
  <si>
    <t>v_VQPfRCsSmQk</t>
  </si>
  <si>
    <t>There's a woman in a red sweater and white shirt and blue pants sitting in her living room on a brown leather sofa.</t>
  </si>
  <si>
    <t>She is holding a spray can of furniture polish in her hand.</t>
  </si>
  <si>
    <t>She also has a paper towel in her other hand which she uses to wipe the table.</t>
  </si>
  <si>
    <t>She sprays the wooden table surface with the spray and then wipes it with the white paper towel.</t>
  </si>
  <si>
    <t>She explains how to use the spray and wipe the furniture.</t>
  </si>
  <si>
    <t>v_jYA_3BMF2d4</t>
  </si>
  <si>
    <t>We see a man standing in a room.</t>
  </si>
  <si>
    <t>The man starts performing tai chi.</t>
  </si>
  <si>
    <t>The man turns and faces left.</t>
  </si>
  <si>
    <t>The man turns to face right.</t>
  </si>
  <si>
    <t>The man makes his way to the right side of the room slowly.</t>
  </si>
  <si>
    <t>The screen then fades to black.</t>
  </si>
  <si>
    <t>v_QEaQzeB94N4</t>
  </si>
  <si>
    <t>A young man plays the violin on a sidewalk for people passing by in downtown area.</t>
  </si>
  <si>
    <t>Two students walk by behind the musician while he plays.</t>
  </si>
  <si>
    <t>The woman on the bench has turned to watch facing the man play the song.</t>
  </si>
  <si>
    <t>A man drops change in the musician's cup after he plays.</t>
  </si>
  <si>
    <t>v_dN14VPSHimI</t>
  </si>
  <si>
    <t>a man is riding a horse in a rodeo and catch a bull while in stands people are watching them andother man in a hse are on side of the court.</t>
  </si>
  <si>
    <t>men are riding a horse in a barn and throw a rope to catch a bull.</t>
  </si>
  <si>
    <t>v_TI3WqIauOYs</t>
  </si>
  <si>
    <t>A man takes off his shirt.</t>
  </si>
  <si>
    <t>He starts doing karate moves on a blue mat.</t>
  </si>
  <si>
    <t>He does several flips in the air.</t>
  </si>
  <si>
    <t>v_aAlbRFeu32E</t>
  </si>
  <si>
    <t>First the young woman is sleeping in her bed, but then she wakes up to say something.</t>
  </si>
  <si>
    <t>Next she is shown sitting at the restaurant eating fries and then she is shown in her room again, staring at the clothes on her bed and putting on her shoes.</t>
  </si>
  <si>
    <t>She is also shown doing fun things in the video and other girls are too.</t>
  </si>
  <si>
    <t>v_ICM-GjDa9QY</t>
  </si>
  <si>
    <t>A young man puts detergent in a blue bucket, then shows and explains how to clean a screen windows using a squeegee.</t>
  </si>
  <si>
    <t>After, the young man cleans the wet screen with a cloth.</t>
  </si>
  <si>
    <t>The young man compares a dirt screen with the clean one and gives a thump up.</t>
  </si>
  <si>
    <t>v_-HHybw--2XA</t>
  </si>
  <si>
    <t>A camera pans around a fenced in area and leads into a man and his dog performing tricks with a frisbee.</t>
  </si>
  <si>
    <t>The an continues to perform tricks with the dog using the toys and other dogs watching on the side.</t>
  </si>
  <si>
    <t>v_rgrzN8ELIxI</t>
  </si>
  <si>
    <t>A collage of drawings and logos are seen in black and white that make up a larger logo.</t>
  </si>
  <si>
    <t>A beach is seen from the distance and houses are seen on a hillside in a small beach town.</t>
  </si>
  <si>
    <t>A surfer walks down towards the beach.</t>
  </si>
  <si>
    <t>v_w3DvA9405_o</t>
  </si>
  <si>
    <t>A woman is seen looking off in the distance who holds onto a harmonica.</t>
  </si>
  <si>
    <t>She begins playing the harmonica while looking away from the camera.</t>
  </si>
  <si>
    <t>The continues playing the harmonica and stops to look down at the camera.</t>
  </si>
  <si>
    <t>v_5ytocb1ypRU</t>
  </si>
  <si>
    <t>A person using a chain saw is cutting down limbs off of a tree.</t>
  </si>
  <si>
    <t>The man uses an extension to cut a limb off the top of the tree.</t>
  </si>
  <si>
    <t>v_j5V7kD_HeMw</t>
  </si>
  <si>
    <t>A man descends from a steam slope on his snowboard.</t>
  </si>
  <si>
    <t>Another catches air as he flies over a snowy hill.</t>
  </si>
  <si>
    <t>Another snowboarder sharply slides down a steep hill to the base.</t>
  </si>
  <si>
    <t>A man in grey is shown performing some tricks in the air.</t>
  </si>
  <si>
    <t>First person perspective of a snowboarder going down a hill is shown.</t>
  </si>
  <si>
    <t>Another snowboarder flies down the hill, expertly cutting left and right.</t>
  </si>
  <si>
    <t>Various footage of snowboarders descending large slopes is shown.</t>
  </si>
  <si>
    <t>First person perspective of snowboarder with fellow rider in front of him closes the video.</t>
  </si>
  <si>
    <t>v_feUoPtDWe1Y</t>
  </si>
  <si>
    <t>The woman in white sweater is talking to the camera.</t>
  </si>
  <si>
    <t>The woman is holding a violin and stick.</t>
  </si>
  <si>
    <t>The woman put the violin between her neck and shoulder and began playing for few seconds then talked to the camera.</t>
  </si>
  <si>
    <t>v_pzZ4TGcMK1k</t>
  </si>
  <si>
    <t>People stand on the border of the diving boards and they dive while in the water.</t>
  </si>
  <si>
    <t>Swimmer stand on the diving boards, then they jump spinning in the air and diving in the water.</t>
  </si>
  <si>
    <t>Swimmers jump from the diving board, they spins three times in the air before to dive inn the water.</t>
  </si>
  <si>
    <t>v_NLpWaffN3XM</t>
  </si>
  <si>
    <t>A girl demonstrates playing an acoustic guitar using her hands to create percussion noise on the body of the guitar.</t>
  </si>
  <si>
    <t>A girl enters a room where an acoustic guitar is leaning against a sofa and sits down on the sofa and begins to play the guitar.</t>
  </si>
  <si>
    <t>The girl uses her right hand to make beats with the guitar and picks chords with the left hand while staring intently at the guitar.</t>
  </si>
  <si>
    <t>The girl continues to play intensely, occasionally nodding her head to the rhythm.</t>
  </si>
  <si>
    <t>v_xddZ9YjTGgo</t>
  </si>
  <si>
    <t>A young man in green shirt is standing at the goal, while the young player in blue kicked the ball to the goal, and the ball went inside the goal, the man in green shirt missed the ball.</t>
  </si>
  <si>
    <t>The man in red shirt run towards the ball, kicked the ball, and the goalkeeper wasn't able to block it, the player high five his teammates.</t>
  </si>
  <si>
    <t>The players are kicking the ball to the goal and the goalkeepers weren't able to block the ball.</t>
  </si>
  <si>
    <t>v_8btD4-N4stM</t>
  </si>
  <si>
    <t>We see scene of a bullfighting with matadors in the ring and see them stabbing the bulls.</t>
  </si>
  <si>
    <t>We see images of bloody bulls and carcasses being dragged on the ground.</t>
  </si>
  <si>
    <t>We see images of a bull in a slaughterhouse.</t>
  </si>
  <si>
    <t>Words go across the screen about torturing the bulls.</t>
  </si>
  <si>
    <t>We then see a PETA ending screen.</t>
  </si>
  <si>
    <t>v_3_hJrb_aDWU</t>
  </si>
  <si>
    <t>A kayak rider drifts in the bay of an ocean.</t>
  </si>
  <si>
    <t>Two kayak riders talk while sitting in their kayaks.</t>
  </si>
  <si>
    <t>The view of the surrounding mountains is seen.</t>
  </si>
  <si>
    <t>v_TZ5Vd9eL5WA</t>
  </si>
  <si>
    <t>Two people are standing in a kitchen.</t>
  </si>
  <si>
    <t>A man moves a glass bowl off the counter.</t>
  </si>
  <si>
    <t>A woman begins chopping a tomato on a board.</t>
  </si>
  <si>
    <t>v_unLrTQt07kI</t>
  </si>
  <si>
    <t>We a man washing dishes in a restaurant kitchen with two other men standing behind him on massaging his shoulder.</t>
  </si>
  <si>
    <t>Teh dishwasher shakes the man off his shoulders.</t>
  </si>
  <si>
    <t>The man in rear in blue walks out of the room.</t>
  </si>
  <si>
    <t>The other man pretends to wash dishes then washes his hands.</t>
  </si>
  <si>
    <t>v_2VYZeOa6804</t>
  </si>
  <si>
    <t>A reporter broadcast from a TV studio set.</t>
  </si>
  <si>
    <t>Then he reporter shows interviews a male an a female player next a swimming pool while a group of players jump into the water.</t>
  </si>
  <si>
    <t>Two teams play water polo in the swimming pool while the reporter continues to interview people.</t>
  </si>
  <si>
    <t>A woman and a man writes the scores on a the game, then people applauds.</t>
  </si>
  <si>
    <t>The winner team gets out the water and celebrates, and then the reporter interviews the team members.</t>
  </si>
  <si>
    <t>Again, the team gets in the water, and then the reporter broadcast from a studio set.</t>
  </si>
  <si>
    <t>v_0ivHmKR8cUw</t>
  </si>
  <si>
    <t>woman is standing in front of a counter talking to the camera and showing drinks.</t>
  </si>
  <si>
    <t>woman grabbs the juice and liquor and and serve it in a cup.</t>
  </si>
  <si>
    <t>woman is showing in a bar how to prepare a cocktail.</t>
  </si>
  <si>
    <t>v_4XfNexN6t04</t>
  </si>
  <si>
    <t>A man wearing a blue shirt walks to some congas and sit down.</t>
  </si>
  <si>
    <t>The musician begins to play the congas in a small room.</t>
  </si>
  <si>
    <t>The man then gets up and approaches the camera.</t>
  </si>
  <si>
    <t>v_YWu9gYCBAas</t>
  </si>
  <si>
    <t>We see shots of a sink.</t>
  </si>
  <si>
    <t>A person sprays the sink with a bottle then uses scrub brushes to scrub the sink.</t>
  </si>
  <si>
    <t>The person rinses the sink the wipes it with a blue towel.</t>
  </si>
  <si>
    <t>The person then rinses the sink again and wipes it down with the blue towel again.</t>
  </si>
  <si>
    <t>The person sprays the sink with a solution and uses a small roller paint brush to run the solution into the sink.</t>
  </si>
  <si>
    <t>We see before and after shots of the sink.</t>
  </si>
  <si>
    <t>v_QGY7zA03RkE</t>
  </si>
  <si>
    <t>A group of people play ping pong with automated machines and robots.</t>
  </si>
  <si>
    <t>One man plays ping pong with an orange machine with a red paddle attached to the end of a robotic arm.</t>
  </si>
  <si>
    <t>A man and a child play ping pong across a blue ping pong table as a man appears standing next to an orange automated machine and talks.</t>
  </si>
  <si>
    <t>Another man plays ping pong across a blue ping pong table with a white, metal, robot.</t>
  </si>
  <si>
    <t>A man in a suit and tie talks while a hand places an orange ball into the automated two prong hand of a white robot before going to an area in a room filled with orange robotic machines.</t>
  </si>
  <si>
    <t>v_in5XF1bbYr0</t>
  </si>
  <si>
    <t>We see a series of opening screens.</t>
  </si>
  <si>
    <t>A person throws a frisbee as a dog catches them.</t>
  </si>
  <si>
    <t>A man raises his hands in the air and walks off and another person walks past the camera.</t>
  </si>
  <si>
    <t>We see an image of the dog laying in the grass with words on the screen.</t>
  </si>
  <si>
    <t>v_pCEg_GoXoU4</t>
  </si>
  <si>
    <t>Several shots are shown of scuba divers moving along the water and fish moving around them.</t>
  </si>
  <si>
    <t>More people are seen moving along the ocean while gesturing to the camera and capturing all the wildlife around them.</t>
  </si>
  <si>
    <t>In the end they're seen riding a boat together and waving to the camera.</t>
  </si>
  <si>
    <t>v_J_ZY19xnhJU</t>
  </si>
  <si>
    <t>A little boy runs fast to his swing set and his dog runs after him.</t>
  </si>
  <si>
    <t>He climbs up the slide and and slide and his little brother comes up to play too.</t>
  </si>
  <si>
    <t>The mom comes over to play on the sea saw with one of the boys and he falls off.</t>
  </si>
  <si>
    <t>They play for a while going from one part of the set to the next.</t>
  </si>
  <si>
    <t>v_Aqq8S79ZAhk</t>
  </si>
  <si>
    <t>A camera pans around a room and leads into two women speaking and pulling out rock tiles.</t>
  </si>
  <si>
    <t>The women then put plaster down followed by the rock tiles and showing off the finished shower in the end and people reacting.</t>
  </si>
  <si>
    <t>v_69SYd5feEBQ</t>
  </si>
  <si>
    <t>An elderly lady sits in a chair knitting and talking to the camera.</t>
  </si>
  <si>
    <t>The lady shakes her head slightly while looking at the camera.</t>
  </si>
  <si>
    <t>The lady pauses and looks out the window.</t>
  </si>
  <si>
    <t>v_FBbN6FHC7L8</t>
  </si>
  <si>
    <t>A woman wearing a red leotard demonstrates a ballet move traveling toe move.</t>
  </si>
  <si>
    <t>The ballet instructor shimmies across the floor taking small little side steps.</t>
  </si>
  <si>
    <t>The instructor demonstrates a spot turn ballet turns.</t>
  </si>
  <si>
    <t>The instructor than combines the side toe step with the spot turning move.</t>
  </si>
  <si>
    <t>v_vZuy4OyWBsQ</t>
  </si>
  <si>
    <t>Two young teenage girls hold soapsuds in their hands in a kitchen.</t>
  </si>
  <si>
    <t>The girls throw the suds in each other's faces.</t>
  </si>
  <si>
    <t>One girl hops on the shoulders of the other.</t>
  </si>
  <si>
    <t>They begin to wash the dishes.</t>
  </si>
  <si>
    <t>v_e6r-A-LAe2E</t>
  </si>
  <si>
    <t>A young boy and a small boy are on a fenced field.</t>
  </si>
  <si>
    <t>They kick a ball, then try to chase it down.</t>
  </si>
  <si>
    <t>The kids continue playing as a man joins, fighting over the ball.</t>
  </si>
  <si>
    <t>v_4uwtqRBE4Kk</t>
  </si>
  <si>
    <t>a sea is shown with a green forest on seashore.</t>
  </si>
  <si>
    <t>blond man is standing in seashore and talking to the camera and surfing big waves on the sea.</t>
  </si>
  <si>
    <t>man is walking on seashore through a lot of people and talking to the camera and holding an award and talking about surfing the seashore.</t>
  </si>
  <si>
    <t>v_M1J3XjExaW4</t>
  </si>
  <si>
    <t>A man is seen speaking to the camera while holding onto a stick.</t>
  </si>
  <si>
    <t>He points down to balls in front of him as well as his body.</t>
  </si>
  <si>
    <t>He them demonstrates how to hit the ball properly while still speaking.</t>
  </si>
  <si>
    <t>v_FRjVP5r9rqc</t>
  </si>
  <si>
    <t>An elderly woman pans to the camera and does various hand movements on the floor.</t>
  </si>
  <si>
    <t>The woman grabs several items of clothing and shows how she washes them in the sink.</t>
  </si>
  <si>
    <t>She holds a bar of soap and rubs it all over the clothes and dips it into the water.</t>
  </si>
  <si>
    <t>She continues cleaning the clothes off in the water and showing how she cleans her clothes.</t>
  </si>
  <si>
    <t>v_ZBuPedt-oEE</t>
  </si>
  <si>
    <t>First the woman grabs some dishes to prepare something and puts them into a refrigerator.</t>
  </si>
  <si>
    <t>She then holds a cup under a foam dispenser and remove sit when it's filled up.</t>
  </si>
  <si>
    <t>She then tops it with crushed graham bears.</t>
  </si>
  <si>
    <t>next she gets a plate and a round stencil.</t>
  </si>
  <si>
    <t>she puts the plate under the dispenser and she removes it and slowly pulls the circle off of the cake once she is done smoothing the paste.</t>
  </si>
  <si>
    <t>Then she uses a knife to put lines on the sides of the cake.</t>
  </si>
  <si>
    <t>Next she puts cream on the edges from top to bottom.</t>
  </si>
  <si>
    <t>then she drizzles a little chocolate syrup on there.</t>
  </si>
  <si>
    <t>She is now done making the cake.</t>
  </si>
  <si>
    <t>v_SMUWOVJ3bzE</t>
  </si>
  <si>
    <t>A young child is seen sitting before a piano and playing a song while wearing a halloween costume.</t>
  </si>
  <si>
    <t>The boy continues playing the instrument and ends by pulling his mask down.</t>
  </si>
  <si>
    <t>v_PY4304sV5fY</t>
  </si>
  <si>
    <t>An young male Caucasian is sitting in a room behind a keyboard.</t>
  </si>
  <si>
    <t>Before he plays,he begins to talk and make movements across three black keys with his right hand as he continues to talk.</t>
  </si>
  <si>
    <t>He finally begins to play and you can see his hand moving rapidly across the keyboard on the left side of the screen.</t>
  </si>
  <si>
    <t>For his final chords,he takes his hand off the board and moves his head around in a circle.</t>
  </si>
  <si>
    <t>v_3ddoLUFrGsE</t>
  </si>
  <si>
    <t>A woman and a boy are making victory sign and smiling.</t>
  </si>
  <si>
    <t>The woman is putting make up to the boy's face, and then the boy shows his face.</t>
  </si>
  <si>
    <t>Then, the woman put make on a girl face.</t>
  </si>
  <si>
    <t>The boy and the girl look their faces on a mirror making funny faces and waving.</t>
  </si>
  <si>
    <t>v_9wtMJoqGTg0</t>
  </si>
  <si>
    <t>A girl performances some gymnastics stunts.</t>
  </si>
  <si>
    <t>A girl stands in place facing a lady.</t>
  </si>
  <si>
    <t>The girl holds up her hand.</t>
  </si>
  <si>
    <t>The girl turn around and climbs the gymnastic, wooden bar.</t>
  </si>
  <si>
    <t>With her hands on the bar, the girl lifts and splits her legs above her head.</t>
  </si>
  <si>
    <t>The lady moves a platform to the left side of the bar.</t>
  </si>
  <si>
    <t>The girl sits on the bar with her hand raised.</t>
  </si>
  <si>
    <t>The girl knees on the bar.</t>
  </si>
  <si>
    <t>The girl stands on the bar.</t>
  </si>
  <si>
    <t>The girl lifts off the bar and land on edge of the bar.</t>
  </si>
  <si>
    <t>The girl back flips three times.</t>
  </si>
  <si>
    <t>The girl takes two steps and front flips.</t>
  </si>
  <si>
    <t>The girl lifts of the bar and lands in the same position.</t>
  </si>
  <si>
    <t>The girl turns, jumps in place, and back flips.</t>
  </si>
  <si>
    <t>The girl turns and spins with hands raised.</t>
  </si>
  <si>
    <t>The girl steps forward, jumps and turns.</t>
  </si>
  <si>
    <t>The girls steps forward and front flips and lands at the edge.</t>
  </si>
  <si>
    <t>The girl back flips three times off the bar and lands on a blue mat.</t>
  </si>
  <si>
    <t>v_IbcBQFvcS9o</t>
  </si>
  <si>
    <t>a white house and a backyard full of snow appears a person is cleaning the fron entrance of the house.</t>
  </si>
  <si>
    <t>a car covered in snow appears and the person is cleaning the snow from the car and its open the road in front of the car.</t>
  </si>
  <si>
    <t>a red car appears covered in snow and a person is cleaning the snow .</t>
  </si>
  <si>
    <t>a black car is covered in snow.</t>
  </si>
  <si>
    <t>v_QDjaaUtepHo</t>
  </si>
  <si>
    <t>A pink and yellow logo with lips appears on screen.</t>
  </si>
  <si>
    <t>A male hairdresser works on the hair of a seated woman in a luxury beauty salon.</t>
  </si>
  <si>
    <t>The man dries and applies product to the woman's hair.</t>
  </si>
  <si>
    <t>v_dJVTlZWqYOs</t>
  </si>
  <si>
    <t>A man picks up a bowling ball and throws it down the lane at some pins.</t>
  </si>
  <si>
    <t>He falls onto the ground.</t>
  </si>
  <si>
    <t>The audience behind him applauds him.</t>
  </si>
  <si>
    <t>v_fsyMiHRW3z4</t>
  </si>
  <si>
    <t>A woman stands by a yellow hopscotch and talks to the camera.</t>
  </si>
  <si>
    <t>The woman plays hopscotch on the painted concrete.</t>
  </si>
  <si>
    <t>The woman talks to the camera once again.</t>
  </si>
  <si>
    <t>v_htKhaMfxxrM</t>
  </si>
  <si>
    <t>An opening scene with a child with a light saber deflecting lasers as they hit the wall to introduce a show.</t>
  </si>
  <si>
    <t>A man in a blue t-shirt and glasses is standing in front of an old telephone booth and explains to his followers on Youtube how he had gone to the hospital to fix a damaged knee from an arm wrestling match.</t>
  </si>
  <si>
    <t>Then a video is shown of the incident where he damaged his knee at an arm wrestling match as these two men sit at a table with a referee overlooking as the man in the glasses at the end of the match falls off his chair and walks off stage.</t>
  </si>
  <si>
    <t>v_wCGpPDYfs-s</t>
  </si>
  <si>
    <t>A band is playing music, while a woman in gray suit is singing, and behind her is a man in black suit is also singing, the guy in green shirt is playing the drum, the people in the big room are dancing and singing while others are sitting, two people are talking in one corner while the singing and dancing continue.</t>
  </si>
  <si>
    <t>The guy in green shirt plays the drums.</t>
  </si>
  <si>
    <t>v_mdJHGKABLhU</t>
  </si>
  <si>
    <t>A man and a woman are smiling in a picture.</t>
  </si>
  <si>
    <t>Someone holds a razor over a sink.</t>
  </si>
  <si>
    <t>A man with shaving cream on his beard starts shaving.</t>
  </si>
  <si>
    <t>The man continues shaving his beard.</t>
  </si>
  <si>
    <t>He wipes his face with a towel and smiles.</t>
  </si>
  <si>
    <t>v_m3AbqJNPn-o</t>
  </si>
  <si>
    <t>A young girl has her hair pulled back and glasses on as someone marks here cartilage.</t>
  </si>
  <si>
    <t>Once it is marked,she begins smiling at the camera.</t>
  </si>
  <si>
    <t>The man then grabs a pair of tweezers and clips the girl's ear.</t>
  </si>
  <si>
    <t>The earring is finally in and the girl begins to smile in approval and touches her other ear.</t>
  </si>
  <si>
    <t>v_nMK_jVy5ZuI</t>
  </si>
  <si>
    <t>Several clips are shown of athletes running down a large track into a pit of sand.</t>
  </si>
  <si>
    <t>More people are shown running down the track performing impressive jumps as well as celebrating afterwards.</t>
  </si>
  <si>
    <t>Several clips are shown of athletes running down the track as well as jumping over beams and waving to the audience.</t>
  </si>
  <si>
    <t>v_OMlpKhvmMpA</t>
  </si>
  <si>
    <t>A group of men are seen walking around a table filled with cups while laughing and smiling to one another.</t>
  </si>
  <si>
    <t>One man then jumps on the table and crashes it to the floor while others run around and laugh.</t>
  </si>
  <si>
    <t>v_IjFlVNAWQec</t>
  </si>
  <si>
    <t>A view is seen of people in the ocean.</t>
  </si>
  <si>
    <t>The waters are rough, splashing harshly against the rocks.</t>
  </si>
  <si>
    <t>The people are being knocked off their surfboards.</t>
  </si>
  <si>
    <t>v_ibIRzsC9NjY</t>
  </si>
  <si>
    <t>People are sitting on and riding camels outside.</t>
  </si>
  <si>
    <t>A person is walking and holding a string tied to the camel's face.</t>
  </si>
  <si>
    <t>A light brown liquid is being poured into small glasses.</t>
  </si>
  <si>
    <t>v_7wBrvMGZROQ</t>
  </si>
  <si>
    <t>A man is working out on bars.</t>
  </si>
  <si>
    <t>He has a weight attached to his belt.</t>
  </si>
  <si>
    <t>He goes up and down on the bars.</t>
  </si>
  <si>
    <t>v_g_cdSUwwk8Y</t>
  </si>
  <si>
    <t>We are shown the overgrown yard.</t>
  </si>
  <si>
    <t>A white truck is seen in a driveway.</t>
  </si>
  <si>
    <t>We see the cameraman's shadow.</t>
  </si>
  <si>
    <t>A person in blue is mowing the lawn.</t>
  </si>
  <si>
    <t>A person People are using leaf blowers.</t>
  </si>
  <si>
    <t>The camera pans to show the trees and the garden.</t>
  </si>
  <si>
    <t>v_xywGFiZ0hqs</t>
  </si>
  <si>
    <t>In introduction with show title and website is seen.</t>
  </si>
  <si>
    <t>A woman stands in bathroom and then places a contact lens into her eye.</t>
  </si>
  <si>
    <t>The woman then takes the contact lens back out of her eye.</t>
  </si>
  <si>
    <t>The woman shows a pair of tweezers and uses them to take the contact out of her eye instead.</t>
  </si>
  <si>
    <t>v_Amnp8434e90</t>
  </si>
  <si>
    <t>Various shots of windersurfers are shown on a large body of water with several people swimming off in the distance.</t>
  </si>
  <si>
    <t>The wake boarders ride back and fourth past each other and perform several tricks.</t>
  </si>
  <si>
    <t>The ride close to shore doing tricks one at a time.</t>
  </si>
  <si>
    <t>v_zTrI4pPFIlw</t>
  </si>
  <si>
    <t>He mounts, then proceeds to do many flips and handsprings.</t>
  </si>
  <si>
    <t>When he is finished, he dismounts.</t>
  </si>
  <si>
    <t>v_UtErFzrzcqk</t>
  </si>
  <si>
    <t>A girl hits a piñata blindfolded while the piñata goes up and down in a backyard.</t>
  </si>
  <si>
    <t>Then, the girl take off the cloth on her eyes and smile.</t>
  </si>
  <si>
    <t>v_pLJhoqTpAaI</t>
  </si>
  <si>
    <t>A tire for a bicycle spins, and a man catches it.</t>
  </si>
  <si>
    <t>We see a question written on paper, then a man in a bike shop as he talks.</t>
  </si>
  <si>
    <t>He demonstrates how to remove the rubber of a tire from the frame and replace it.</t>
  </si>
  <si>
    <t>He then talks to the camera a little longer.</t>
  </si>
  <si>
    <t>v_fMRgMeDs9Ck</t>
  </si>
  <si>
    <t>A mans hair is seen close up followed by a razor being used on the sides.</t>
  </si>
  <si>
    <t>A person is seen combing the person's hair while still using the trimmer.</t>
  </si>
  <si>
    <t>The man's head is also seen being shaven on the side.</t>
  </si>
  <si>
    <t>v_-zfOvigQLdA</t>
  </si>
  <si>
    <t>There's a lady swimmer diving into an indoor pool from a tall diving board while a small group of people are watching her perform.</t>
  </si>
  <si>
    <t>The diver stands in one position first to adjust her stance and then gradually steps forward on the diving board.</t>
  </si>
  <si>
    <t>She jumps up high and twists her body as she makes the jump.</t>
  </si>
  <si>
    <t>She ends up hurting herself on the back as she misjudges the distance from the diving board as she falls into the pool.</t>
  </si>
  <si>
    <t>v_Tcf9sOzU-7M</t>
  </si>
  <si>
    <t>Several different intros eventually leads into two men pointing on a field and getting ready for paintball.</t>
  </si>
  <si>
    <t>Then the men run throughout the field and attack each other with paintball guns.</t>
  </si>
  <si>
    <t>They run through the field quickly and attack one another using the paint gun.</t>
  </si>
  <si>
    <t>v_0kykNR9FUWU</t>
  </si>
  <si>
    <t>A girl gymnast in red sparkly leotard is doing gymnastics on a horse bar.</t>
  </si>
  <si>
    <t>She swiftly jumps and does handsprings and back flips on the horse bar.</t>
  </si>
  <si>
    <t>There is a panel of judges watching her in the stadium in Nanning, China.</t>
  </si>
  <si>
    <t>She continues to gracefully walk on the horse bar as she jumps and does a back flip right onto the ground and then walks away.</t>
  </si>
  <si>
    <t>v_sV8nkrbJIKE</t>
  </si>
  <si>
    <t>A close up of food is shown followed by a person putting various ingredients into a mug.</t>
  </si>
  <si>
    <t>They mix around the ingredients, put the mug in the microwave, and take it out in the end showing off the cake.</t>
  </si>
  <si>
    <t>v_79jhPh0PzWQ</t>
  </si>
  <si>
    <t>Someone hits a bat against two balls.</t>
  </si>
  <si>
    <t>The balls go to a loop in the ground.</t>
  </si>
  <si>
    <t>They split apart and go different distances.</t>
  </si>
  <si>
    <t>v_EoYvQ_pn8KE</t>
  </si>
  <si>
    <t>Two women sweep a floor together as a ball glides behind them.</t>
  </si>
  <si>
    <t>They sweep the floor again and one of the women stops for a second as her partner starts sweeping faster.</t>
  </si>
  <si>
    <t>They sweep the floor again with one woman furiously sweeping towards the end as her partner stops for a second and looks up.</t>
  </si>
  <si>
    <t>v_EAp9xQx2o6k</t>
  </si>
  <si>
    <t>People warm out raising the hands and bending.</t>
  </si>
  <si>
    <t>Then, people work out doing stepper workout putting a feet each time.</t>
  </si>
  <si>
    <t>After, people turn before step on the stepper.</t>
  </si>
  <si>
    <t>v_3zjhYw-TVQw</t>
  </si>
  <si>
    <t>There's a man in a blue shirt and beige pants sitting in front yard on brown mulch talking about lawn and garden care.</t>
  </si>
  <si>
    <t>He points to the brown mulch and the shrub near him as he explains the do's and don'ts about lawn care.</t>
  </si>
  <si>
    <t>v_Z3DhUZhoRDA</t>
  </si>
  <si>
    <t>Wall paper on a wall is shown.</t>
  </si>
  <si>
    <t>A person puts a piece of wax paper on the wall paper.</t>
  </si>
  <si>
    <t>They run a brush down the front of the paper.</t>
  </si>
  <si>
    <t>v_3HUoSa_3vpc</t>
  </si>
  <si>
    <t>We see a bartender behind a bar add ice to a glass.</t>
  </si>
  <si>
    <t>The man pours three liquors into a glass and shakes it up.</t>
  </si>
  <si>
    <t>The man pours it in a glass and adds soda.</t>
  </si>
  <si>
    <t>The man squeezes a lemon, stirs in the glass and transfers it to a smaller glass.</t>
  </si>
  <si>
    <t>The man adds a straw and presents the glass to us.</t>
  </si>
  <si>
    <t>v_uWWo9qZh3cU</t>
  </si>
  <si>
    <t>News anchors introduce a clip sitting at a desk in a newsroom.</t>
  </si>
  <si>
    <t>President Obama introduces and interviews a band playing on stage.</t>
  </si>
  <si>
    <t>President Clinton plays the saxophone on stage with a band.</t>
  </si>
  <si>
    <t>President George Bush dances with an African drum player and other diplomats.</t>
  </si>
  <si>
    <t>v_X5Dsemc20pg</t>
  </si>
  <si>
    <t>A man is seen speaking to the camera while presenting various liquids and ingredients.</t>
  </si>
  <si>
    <t>The man mixes ingredients into a glass with fruit for several drinks while stopping to have a drink.</t>
  </si>
  <si>
    <t>He continues making more drinks using different ingredients and speaking to the camera.</t>
  </si>
  <si>
    <t>v_6SFW4g4UVKI</t>
  </si>
  <si>
    <t>A man's face is moving back and forth.</t>
  </si>
  <si>
    <t>The man is shining a shoe.</t>
  </si>
  <si>
    <t>v_ys3NrLuOxMs</t>
  </si>
  <si>
    <t>Green text explains several rules of the game.</t>
  </si>
  <si>
    <t>A man and a boy practice lay ups together, and the coach shows his point of view.</t>
  </si>
  <si>
    <t>They demonstrate a couple of different moves.</t>
  </si>
  <si>
    <t>v_iPk4GeFFcTQ</t>
  </si>
  <si>
    <t>An athletic man is seen running down a long track and throwing a javelin off into the distance with others measuring his throw.</t>
  </si>
  <si>
    <t>The man walks away and high fives a man in the crowd while his score is shown and another steps up to the side.</t>
  </si>
  <si>
    <t>v_gdi_m9LjRAw</t>
  </si>
  <si>
    <t>A man is standing outside holding a chainsaw.</t>
  </si>
  <si>
    <t>He starts cutting down a tree next to him.</t>
  </si>
  <si>
    <t>He stands next to the tree talking.</t>
  </si>
  <si>
    <t>v_wUsmKmxxHYQ</t>
  </si>
  <si>
    <t>A woman is seen speaking to the camera while a woman swims back and fourth in the pool behind her.</t>
  </si>
  <si>
    <t>Clips are then shown close up on how to perform proper swimming techniques while the camera interments with the woman speaking.</t>
  </si>
  <si>
    <t>v_fhtNAMK0Vqk</t>
  </si>
  <si>
    <t>A man wearing a cowboy hat, sunglasses and yellow latex gloves is standing next to a horse in a stable.</t>
  </si>
  <si>
    <t>He is using a blow dryer to dry the horse's wet body.</t>
  </si>
  <si>
    <t>He moves the blow dryer back and forth all over the horse's back to dry it.</t>
  </si>
  <si>
    <t>He is also uses a scrubbing brush on the horse's back to clean the horse.</t>
  </si>
  <si>
    <t>v_o6lTgyb_AkM</t>
  </si>
  <si>
    <t>A painter demonstrates various art pieces in her studio.</t>
  </si>
  <si>
    <t>She sits in her studio, speaking.</t>
  </si>
  <si>
    <t>She grabs a paintbrush and dips it into black paint repeatedly, as she paints a black tree.</t>
  </si>
  <si>
    <t>She grabs a sponge and dips it into green and blue paint while painting the leaves on the tree.</t>
  </si>
  <si>
    <t>She moves on to grab the paintbrush and dips it into black paint repeatedly, and moves on to paint another tree.</t>
  </si>
  <si>
    <t>With the same paint brush, this time dipping it into green paint, she paints the pines of three.</t>
  </si>
  <si>
    <t>She finishes her painting and speaks for a bit.</t>
  </si>
  <si>
    <t>v_zCcUwVzaEac</t>
  </si>
  <si>
    <t>A man sits on a track and talks as he is interviewed.</t>
  </si>
  <si>
    <t>Two men in red walk up the bleachers and one stops to talk to someone.</t>
  </si>
  <si>
    <t>A group of women walk behind the man being interviewer.</t>
  </si>
  <si>
    <t>v_Bm6HrokioXU</t>
  </si>
  <si>
    <t>A man is seen standing around with a large group of kids and leads into the kids play dodgbeall in a large gymnasium.</t>
  </si>
  <si>
    <t>A woman is seen speaking to the camera while more shots of the game are shown and the man speaking to the kids.</t>
  </si>
  <si>
    <t>They are all seen sitting together and the man interviews the kids in a classroom.</t>
  </si>
  <si>
    <t>v_D5EgASje8MQ</t>
  </si>
  <si>
    <t>Lawrence Welk is playing an accordion and directing his band.</t>
  </si>
  <si>
    <t>He is joined by another accordion player.</t>
  </si>
  <si>
    <t>The band stands up to plan and the camera goes back and forth between the accordion players and the band.</t>
  </si>
  <si>
    <t>They continue to play the accordions with the band behind them.</t>
  </si>
  <si>
    <t>v_w6xH78z3l08</t>
  </si>
  <si>
    <t>A man is seen speaking to the camera in front of a car and begins taking a hubcap off.</t>
  </si>
  <si>
    <t>He slides the pieces off of the tire.</t>
  </si>
  <si>
    <t>Finally he puts the hubcap back in place.</t>
  </si>
  <si>
    <t>v_xdl0lyO9ub0</t>
  </si>
  <si>
    <t>A man ina shirt that says beast mode is making a video on what the best free workouts to do without a gym are.</t>
  </si>
  <si>
    <t>He has a weight bar with no weight and he bends over a certain way.</t>
  </si>
  <si>
    <t>He shows you how to use the weight bar for different weight lifting positions.</t>
  </si>
  <si>
    <t>Once he is done with the weight bar he stands back and talks about it all.</t>
  </si>
  <si>
    <t>v_vruB4ViPGuE</t>
  </si>
  <si>
    <t>People are sitting on a bench.</t>
  </si>
  <si>
    <t>A man is drinking from a coffee cup.</t>
  </si>
  <si>
    <t>A woman is drinking from a coffee cup.</t>
  </si>
  <si>
    <t>v_DF8nlagyN6k</t>
  </si>
  <si>
    <t>Two people are on a white slab and they begin fencing one another.</t>
  </si>
  <si>
    <t>There are constant stops and the boy closest to the camera keeps winning.</t>
  </si>
  <si>
    <t>Both of them keep being reset but the outcome is no different and the lady on the side keeps walking back and forth clicking a black button.</t>
  </si>
  <si>
    <t>v_2_Tgrk8iJpE</t>
  </si>
  <si>
    <t>An indoor court is filled with people wearing uniforms and playing dodgeball throwing the balls to either side of the team.</t>
  </si>
  <si>
    <t>A slow motion replay of a dodgeball being thrown and caught is replayed.</t>
  </si>
  <si>
    <t>A man quickly throws a ball and his target catches it, he turns around and walks with his right up straight up in the air while the rest of the players continue to play.</t>
  </si>
  <si>
    <t>A still shot picture of a man holding two balls and black words scrolling from the bottom to the top with the word and number "JARDINE 77" is at the top.</t>
  </si>
  <si>
    <t>v_K5_Rm4MfF9o</t>
  </si>
  <si>
    <t>A man is swimming backward in lake water.</t>
  </si>
  <si>
    <t>The two men shown begin water skiing.</t>
  </si>
  <si>
    <t>They lose their gopro device, and have to scuba to find it, taking more than two weeks to locate the still working device.</t>
  </si>
  <si>
    <t>v_sRMrtzg0nwU</t>
  </si>
  <si>
    <t>Various shots of strings are shown followed by knitting supplies and people knitting in a library.</t>
  </si>
  <si>
    <t>The woman give a small child knit wear and demonstrate how they properly knit to the young girl.</t>
  </si>
  <si>
    <t>v_9DVsv84awMg</t>
  </si>
  <si>
    <t>"EPBF Millennium Series" appears on screen.</t>
  </si>
  <si>
    <t>Opened end of vehicle appears with "www paint-supply net" printed on bumper while tools are placed inside.</t>
  </si>
  <si>
    <t>The car drives down a dark black road with photoshopped objects popping up on either side.</t>
  </si>
  <si>
    <t>The end of the road appears with the word "Paintball FAILs" above it and pictures of paintball below it.</t>
  </si>
  <si>
    <t>The words "Friendly Fire" appear.</t>
  </si>
  <si>
    <t>A group of people play paintball on a grassy field with inflatable obstacles.</t>
  </si>
  <si>
    <t>The words "Stupid Hopper" appear.</t>
  </si>
  <si>
    <t>People once again play paintball on the field.</t>
  </si>
  <si>
    <t>The words "1/3 Lauf" appear.</t>
  </si>
  <si>
    <t>People again play paintball on the field.</t>
  </si>
  <si>
    <t>The word "Fehlstart" appears on screen.</t>
  </si>
  <si>
    <t>People play paintball on the field.</t>
  </si>
  <si>
    <t>Contact information for Paint Supply GmbH appears.</t>
  </si>
  <si>
    <t>v_dRRht9vdYDE</t>
  </si>
  <si>
    <t>There are a few older gentlemen playing a game on ice.</t>
  </si>
  <si>
    <t>They have a coach to help them and he talks about how to curl.</t>
  </si>
  <si>
    <t>He talks about the steps and how to get in the hack, even demonstrating.</t>
  </si>
  <si>
    <t>He seems pretty professional walking on the ice with his shoes on while demonstrating.</t>
  </si>
  <si>
    <t>v_uhAIe9rcjSo</t>
  </si>
  <si>
    <t>A close up is seen of a metal double sink.</t>
  </si>
  <si>
    <t>Then we see two bowls with powder and a cut lime.</t>
  </si>
  <si>
    <t>A woman uses the lime dipped in powder to scrub and then rinse the sink before drying it off, showing off a perfecting clean sink.</t>
  </si>
  <si>
    <t>v_TCcopbAANQ0</t>
  </si>
  <si>
    <t>A person is assembling a bike on a white cloth.</t>
  </si>
  <si>
    <t>They put on a blue apron and gloves.</t>
  </si>
  <si>
    <t>They put handle bars on the bike.</t>
  </si>
  <si>
    <t>v_cAGABdvv5u8</t>
  </si>
  <si>
    <t>two men are riding a water bike in a sea while a big wave is behind them.</t>
  </si>
  <si>
    <t>a lot of scenes of people surfing on big waves on the sea and a city is in the background.</t>
  </si>
  <si>
    <t>v_KjbZvsu0OxE</t>
  </si>
  <si>
    <t>A dog is seen wandering around a yard as well as a man speaking to the camera.</t>
  </si>
  <si>
    <t>The dog moves around the area while the man continues to speak to the camera.</t>
  </si>
  <si>
    <t>The dog runs back and fourth while the camera zooms in on his face.</t>
  </si>
  <si>
    <t>v_YQiTt8b6N60</t>
  </si>
  <si>
    <t>A close up is shown of a woman's eyes.</t>
  </si>
  <si>
    <t>She is sitting on a rock, then biking, then adorning scuba gear.</t>
  </si>
  <si>
    <t>She dives, swimming alongside tropical fish and a nursing shark.</t>
  </si>
  <si>
    <t>She is finally shown wearing sunglasses, smiling and laughing.</t>
  </si>
  <si>
    <t>v_CoHVA7nr82A</t>
  </si>
  <si>
    <t>A man holds a welding device and adjusts it while showing his work area.</t>
  </si>
  <si>
    <t>The welder is held over a steel plate and moved slowly.</t>
  </si>
  <si>
    <t>The man pulls the welder over a copper colored piece of metal.</t>
  </si>
  <si>
    <t>The man puts down his face guard and welds a spot on a piece of metal.</t>
  </si>
  <si>
    <t>The man stops for a break.</t>
  </si>
  <si>
    <t>The man welds a line into a piece of material.</t>
  </si>
  <si>
    <t>The man holds up a hammer chisel over the bar of metal and chips off some pieces.</t>
  </si>
  <si>
    <t>the man uses a wire brush to clean the metal.</t>
  </si>
  <si>
    <t>v_bV_X5E1-T50</t>
  </si>
  <si>
    <t>A girl is sitting and smoking cigarettes.</t>
  </si>
  <si>
    <t>Johnny cash is playing in the background and she has a drink in her hand.</t>
  </si>
  <si>
    <t>She stares into the camera while taking puffs on her cigarette.</t>
  </si>
  <si>
    <t>She fixes her hair a bit while looking into the camera.</t>
  </si>
  <si>
    <t>She smiles into the camera and leans closer.</t>
  </si>
  <si>
    <t>v_G-fsWVYrAgc</t>
  </si>
  <si>
    <t>A woman stands on front a table with baby products, then the woman rolls up diapers and puts around a circular container with a ribbon.</t>
  </si>
  <si>
    <t>After, the woman puts diapers around a folded towel with a ribbon.</t>
  </si>
  <si>
    <t>Next, the woman fills the circular container with baby products and put on top the towel, a plush and a bottle.</t>
  </si>
  <si>
    <t>v_WW0Sm6oDc9M</t>
  </si>
  <si>
    <t>A boy picks up a bowling ball and runs down the lane.</t>
  </si>
  <si>
    <t>He dives into the pins at the end.</t>
  </si>
  <si>
    <t>He runs back and falls onto the lane.</t>
  </si>
  <si>
    <t>v_i0rC2mfp7mI</t>
  </si>
  <si>
    <t>A man dressed in all black and a mask on is outside in a public place playing and instrument with bags in the middle and small keyboard on the outside of it.</t>
  </si>
  <si>
    <t>As he plays,multiple people walk by continuing on with their life.</t>
  </si>
  <si>
    <t>None of them acknowledge him and the hat in front of hi remains empty.</t>
  </si>
  <si>
    <t>v_8w9pf_Ecm_U</t>
  </si>
  <si>
    <t>Two girls holding pom poms perform a dance routine in a gymnasium.</t>
  </si>
  <si>
    <t>Several people are shown watching in the background while the girls continue to do flexible moves.</t>
  </si>
  <si>
    <t>The grab canes and continue spinning the canes while doing splits and various other dance moves.</t>
  </si>
  <si>
    <t>v_LNKdVrX_0Fg</t>
  </si>
  <si>
    <t>A woman wearing overalls is talking to the camera.</t>
  </si>
  <si>
    <t>She lays out wrapping paper, showing how to wrap a toy in it.</t>
  </si>
  <si>
    <t>She wraps it around the toy, then tapes it up.</t>
  </si>
  <si>
    <t>v_I6gc2AjcYOY</t>
  </si>
  <si>
    <t>We see a lady washing a white towel in a sink.</t>
  </si>
  <si>
    <t>The lady lifts the towel up.</t>
  </si>
  <si>
    <t>The lady picks something up off the floor.</t>
  </si>
  <si>
    <t>The lady wrings out the towel in the sink.</t>
  </si>
  <si>
    <t>the lady then walks away.</t>
  </si>
  <si>
    <t>v_b87ec6jTm_M</t>
  </si>
  <si>
    <t>We see a black screen with the intro.</t>
  </si>
  <si>
    <t>We see people in blue playing drums.</t>
  </si>
  <si>
    <t>A title screen appears and we see another team.</t>
  </si>
  <si>
    <t>Another title screen and a team with a man jumping a ribbon.</t>
  </si>
  <si>
    <t>The title appears twice and we see a red team.</t>
  </si>
  <si>
    <t>The title screen returns and we see a team in purple.</t>
  </si>
  <si>
    <t>The title returns 3 times and people are outdoors practicing.</t>
  </si>
  <si>
    <t>We see people perform in front of a crowd.</t>
  </si>
  <si>
    <t>We see a bunch of quick shots of teams, then the ending screen.</t>
  </si>
  <si>
    <t>v_w9cJ3FNGw_U</t>
  </si>
  <si>
    <t>A cowboy on a horse is released from a gate.</t>
  </si>
  <si>
    <t>He lassos a little calf.</t>
  </si>
  <si>
    <t>He dismounts, then ties the calf.</t>
  </si>
  <si>
    <t>v_LxLvhGHwca8</t>
  </si>
  <si>
    <t>Several people are seen wandering around a dark city while wearing stilts on their feet to walk.</t>
  </si>
  <si>
    <t>The people continue walking and jumping around on the stilts while waving to the camera and sitting on the ground.</t>
  </si>
  <si>
    <t>v_27Pg4wHah2I</t>
  </si>
  <si>
    <t>A man is seated at a piano, looking confused as he plays and an elderly woman watches.</t>
  </si>
  <si>
    <t>He speeds his playing as she stands.</t>
  </si>
  <si>
    <t>The audience looks perplexed and amused, dancing in place.</t>
  </si>
  <si>
    <t>The people get up and dance to the music.</t>
  </si>
  <si>
    <t>He then walks away with his arm in a woman's.</t>
  </si>
  <si>
    <t>v_UzCeMCr0lM8</t>
  </si>
  <si>
    <t>A woman peels a potatoes in a rustic kitchen.</t>
  </si>
  <si>
    <t>Then, the woman takes another potatoes and peels it with a knife.</t>
  </si>
  <si>
    <t>After, the woman puts the potatoe on adish.</t>
  </si>
  <si>
    <t>v_YnG1Uhh2h5E</t>
  </si>
  <si>
    <t>Two young man and a man play pool hitting white balls with a cue stick.</t>
  </si>
  <si>
    <t>The young man hits balls that land in the pocket of the pool table.</t>
  </si>
  <si>
    <t>Then, the man puts the balls in a metal triangle and arrange others balls.</t>
  </si>
  <si>
    <t>After, the young man strikes the white ball but immidiately stop it with the cue sticks.</t>
  </si>
  <si>
    <t>Next, the young man strikes the balls and sends a white ball to a pocket.</t>
  </si>
  <si>
    <t>The man strikes a white ball and send balls in the pocket.</t>
  </si>
  <si>
    <t>At the end, the young man puts the ball inside a metal triangle.</t>
  </si>
  <si>
    <t>v_rDWa3Z2IaIw</t>
  </si>
  <si>
    <t>Three girls are standing together on a green floor talking with one another about a sport.</t>
  </si>
  <si>
    <t>One person is then shown playing Field hockey and then comes back to talk about what she has just done.</t>
  </si>
  <si>
    <t>Next,they go over the correct ways to defend the ball and then they all begin talking one by one about the sport again.</t>
  </si>
  <si>
    <t>After,a screen appears with the question,"What if the game is tied?"and the young lady goes into detail for the answer.</t>
  </si>
  <si>
    <t>Finally the questions are answered and they all come back together and close out the video.</t>
  </si>
  <si>
    <t>v_fo0gFCcKdtg</t>
  </si>
  <si>
    <t>People are paddling canoes in an indoor pool.</t>
  </si>
  <si>
    <t>A boy paddles a canoe.</t>
  </si>
  <si>
    <t>The boy leans to the side, and the canoe flips over.</t>
  </si>
  <si>
    <t>The boy swims to the surface of the water.</t>
  </si>
  <si>
    <t>v_B69Fkd_L9gA</t>
  </si>
  <si>
    <t>There's man standing on his deck that is covered with snow.</t>
  </si>
  <si>
    <t>He is getting ready to get into his hot tub on his deck.</t>
  </si>
  <si>
    <t>He walks bare foot through the snow to get into his hot tub.</t>
  </si>
  <si>
    <t>He begins to shovel the snow off the deck to make it easier for him to walk.</t>
  </si>
  <si>
    <t>He clears the snow from the deck to create a pathway to the hot tub.</t>
  </si>
  <si>
    <t>v_jTChoOFb05w</t>
  </si>
  <si>
    <t>Various shots of landscapes are shown as well as people driving and other's being interviewed.</t>
  </si>
  <si>
    <t>Several shots of people on the beach are shown and leads into people playing various sports on the beach.</t>
  </si>
  <si>
    <t>The people play back and fourth while others interview and many watch on the sides.</t>
  </si>
  <si>
    <t>v_Qp_zbvHLwLk</t>
  </si>
  <si>
    <t>A woman is seen pushing a lawn mower along a yard and stopping to pull the string and get it going.</t>
  </si>
  <si>
    <t>The woman continues pushing the mower along the lawn and moving back to where she started.</t>
  </si>
  <si>
    <t>v_Lr-FutvMXoA</t>
  </si>
  <si>
    <t>A person is pole volting over a beam followed by several more clips of people jumping.</t>
  </si>
  <si>
    <t>More people are shown using the bar to pole volt over a beam.</t>
  </si>
  <si>
    <t>v_wr2FC2P3hIs</t>
  </si>
  <si>
    <t>A row of clippers,brushes,and razors are being shown.</t>
  </si>
  <si>
    <t>Shortly after,the front of the building is shown and the name on the plaza is shown.</t>
  </si>
  <si>
    <t>A man with long curly hair is shown sitting in the barbershop getting his hair down and the barber is using a combination of scissors,brushes, and blow dryers to complete the look.</t>
  </si>
  <si>
    <t>Once done, a still image of the barber and his information is shown for advertisement.</t>
  </si>
  <si>
    <t>v_rMevLL0KHzc</t>
  </si>
  <si>
    <t>A person is seen riding on a horse around others while speaking to other people and kids holding up a sign.</t>
  </si>
  <si>
    <t>The kids continue to hold signs and look to the camera while more people ride around on horses.</t>
  </si>
  <si>
    <t>More clips are shown of people riding horses and kids wearing helmets.</t>
  </si>
  <si>
    <t>v_hEoASC7qC28</t>
  </si>
  <si>
    <t>A man is sitting in the water holding a rope.</t>
  </si>
  <si>
    <t>He gets up and starts wake boarding.</t>
  </si>
  <si>
    <t>He falls back into the water.</t>
  </si>
  <si>
    <t>v_vX0xxYxGj-4</t>
  </si>
  <si>
    <t>Two lines of people stand over a long rope.</t>
  </si>
  <si>
    <t>Each line picks up the rope and starts playing tug rope while a large crowd watches.</t>
  </si>
  <si>
    <t>The team wearing light blue shirts wins the round.</t>
  </si>
  <si>
    <t>v_JQ3mObvro1s</t>
  </si>
  <si>
    <t>A white intro screen appears with small circle pictures of a man at the upper left, a woman at the bottom right, and the words "HOOKED ON RUNNING Smart training for busy women" in the middle.</t>
  </si>
  <si>
    <t>A woman wearing a hat, glasses and a long sleeved hot pink top is standing in front of a brick wall and talking.</t>
  </si>
  <si>
    <t>The woman is now standing behind a table and is putting crumpled up papers into a running shoe and stuffing it as much as she can.</t>
  </si>
  <si>
    <t>The woman then grabs a pink sole from the shoe and pours baking soda all over the top.</t>
  </si>
  <si>
    <t>The woman then grabs a toothbrush and the show she just stuffed and motions scrubbing but doesn't really do it, then puts both the toothbrush and the shoe out of sight.</t>
  </si>
  <si>
    <t>The woman grabs another pair of shoes, the right shoe is unlaced and the left shoe is laced and she's holding onto them then puts them down.</t>
  </si>
  <si>
    <t>v_uXPm6SMQH1M</t>
  </si>
  <si>
    <t>A black horse is standing in a stable with several yellow things on his hair.</t>
  </si>
  <si>
    <t>A woman then appears and begin shaving off all of the horse's hair.</t>
  </si>
  <si>
    <t>The side is completely gone and when she moves from the back she goes underneath his body to remove that hair as well.</t>
  </si>
  <si>
    <t>v_Z8QrA66UVzI</t>
  </si>
  <si>
    <t>A man is seen standing in front of a window speaking to the camera while wearing a headpiece.</t>
  </si>
  <si>
    <t>The man then brushes along the sides of the window and points back and fourth to the window while speaking to the camera.</t>
  </si>
  <si>
    <t>v_f3spxjpfuxM</t>
  </si>
  <si>
    <t>A man is shown speaking to the camera then kneels down and presses carpet down with a tool.</t>
  </si>
  <si>
    <t>He then screws in the stairs and kneel down while still speaking to the camera.</t>
  </si>
  <si>
    <t>v_meMZuh8iNDs</t>
  </si>
  <si>
    <t>A woman talks and shows her long French braid.</t>
  </si>
  <si>
    <t>Then, the woman lie on the bed and brush her hair on the border of the bed.</t>
  </si>
  <si>
    <t>Then, the woman takes a lock of front hair and braid taking hair from sides.</t>
  </si>
  <si>
    <t>Then, the woman shows the braid while continues talking.</t>
  </si>
  <si>
    <t>v_L5nqeFWufrE</t>
  </si>
  <si>
    <t>There's a diver participating in an event in a large stadium in lots of spectators.</t>
  </si>
  <si>
    <t>He is jumping off the dash board and diving into the deep swimming pool.</t>
  </si>
  <si>
    <t>While diving he accidentally bumps his head on the diving board and injures himself.</t>
  </si>
  <si>
    <t>He expresses pain as he gets off the pool and his coach comes to help him.</t>
  </si>
  <si>
    <t>The second time when the diver dives, he manages to successfully make it into the swimming pool without injuries.</t>
  </si>
  <si>
    <t>Another historic diving event is shown where the diver accidentally hurts his head on the diving board while diving into the pool.</t>
  </si>
  <si>
    <t>v_oJCB2Zglcq4</t>
  </si>
  <si>
    <t>A small group of people are seen standing inside a fenced in area with a man sitting on a horse.</t>
  </si>
  <si>
    <t>The man rides into the pit and chases a calf with a rope.</t>
  </si>
  <si>
    <t>The man ties up the calf after it's caught and climbs back on the horse while another unties the calf.</t>
  </si>
  <si>
    <t>v_r4bI22hGTg4</t>
  </si>
  <si>
    <t>There are kids bouncing in trampolines.</t>
  </si>
  <si>
    <t>Several kids are jumping up and down.</t>
  </si>
  <si>
    <t>The camera is very shaky.</t>
  </si>
  <si>
    <t>v_ZsXJw0d3QbU</t>
  </si>
  <si>
    <t>They begin going and bumping into each other.</t>
  </si>
  <si>
    <t>People are standing behind the gate watching them.</t>
  </si>
  <si>
    <t>A man in a blue shirt is walking in front of them.</t>
  </si>
  <si>
    <t>v_STaS53CNlZI</t>
  </si>
  <si>
    <t>An intro that's a blue screen with white words that read "MegaZip Sentosa dot Singapore dot November 2010" appear on the screen.</t>
  </si>
  <si>
    <t>Four people appear near a railing where they are all attached to harnesses.</t>
  </si>
  <si>
    <t>A man puts his hand on the woman's shoulder and guides her to the opening where she is to leave but a blue screen appears with the white words say "yes",then it goes back to the woman getting ready to jump and she bends her knees and a blue screen appears and say's "no", and she shakes her head and backs away.</t>
  </si>
  <si>
    <t>A blue screen appears again and it says "OK Maybe"and the woman once again gets ready to jump at the opening and at the same time the other man who is attached to the harness is also ready to go.</t>
  </si>
  <si>
    <t>A blue screen appears that say's "no" but the woman and the man do let go and they go zip lining across the heavily tree green forest below and a blue screen appears again and say's "I Think She Said Yes?".</t>
  </si>
  <si>
    <t>A new group is now harnessed and they are filmed taking their turns going down the zip line and the man holding the camera turns it to himself to reveal a close up shot of his smiling face as well as the scenery around him which include the forest below them and the beach at the ending point.</t>
  </si>
  <si>
    <t>They reach the end of the zip line and the worker begins to pull them to the landing point where a close up of the worker appears and he also has a big smile on his face while he other zip liners are standing there and smiling as well.</t>
  </si>
  <si>
    <t>The view changes to ground view and it shows what the zip liners look like from the ground.</t>
  </si>
  <si>
    <t>The blue outro appears and the words "Sentosa MegaZip November 2010 The End" are displayed.</t>
  </si>
  <si>
    <t>v_goSGYjLTGnQ</t>
  </si>
  <si>
    <t>A young male dressed in an red jumpsuit is on the stage break dancing.</t>
  </si>
  <si>
    <t>Once he is finished,a group of guys swarm him and they all point to another boy so he can take the stage.</t>
  </si>
  <si>
    <t>The boy comes along and starts flipping and doing a variation of the robot.</t>
  </si>
  <si>
    <t>All of the men behind him then become his background dancers as the boy takes a microphone and begins singing.</t>
  </si>
  <si>
    <t>v_Ej_a4iCd45I</t>
  </si>
  <si>
    <t>We see the title cards on blue.</t>
  </si>
  <si>
    <t>We see men playing beach volleyball.</t>
  </si>
  <si>
    <t>We see an interview with a man.</t>
  </si>
  <si>
    <t>Two men high five each other the men all trade sides.</t>
  </si>
  <si>
    <t>The ball lands on the ground.</t>
  </si>
  <si>
    <t>A man kicks the ball to the other side.</t>
  </si>
  <si>
    <t>A man jumps and spins in the air.</t>
  </si>
  <si>
    <t>The man in gray daces as the other men jump around.</t>
  </si>
  <si>
    <t>The men pose for a photo.</t>
  </si>
  <si>
    <t>The title card is shown and we fade out.</t>
  </si>
  <si>
    <t>v_QfUTGmlNO1s</t>
  </si>
  <si>
    <t>A clip of an old tv show is shown with a woman washing dishes and a young girl stepping into frame.</t>
  </si>
  <si>
    <t>The woman hands the girl a glass of water and is shown again in various angles, ending with a woman washing clothes.</t>
  </si>
  <si>
    <t>v_JWb0-VdfZI4</t>
  </si>
  <si>
    <t>A small child is seen standing on the sidewalk and looking off into the distance.</t>
  </si>
  <si>
    <t>The girl then throws the rock and begins playing a game of hopscotch.</t>
  </si>
  <si>
    <t>She throws and hops several times while stopping to look to the camera.</t>
  </si>
  <si>
    <t>v_YFTQImGp_nY</t>
  </si>
  <si>
    <t>A television announcer claps on her legs while singing introducing a show.</t>
  </si>
  <si>
    <t>A group of dancers in colorful costumes do an dance act with hula hoops.</t>
  </si>
  <si>
    <t>The audience is seen and members clap for the group.</t>
  </si>
  <si>
    <t>The older members of the group hold up poles for the children dancing to swing from.</t>
  </si>
  <si>
    <t>The hula hoop dancers get even more hoops for the finale.</t>
  </si>
  <si>
    <t>Confetti rains from the air onto the performers.</t>
  </si>
  <si>
    <t>The announcer stands up and claps for the group.</t>
  </si>
  <si>
    <t>v_rCwolEeHY80</t>
  </si>
  <si>
    <t>A man sits with shears resting in hand in a rose garden.</t>
  </si>
  <si>
    <t>The man clips dead roses from a rose bush with shears.</t>
  </si>
  <si>
    <t>The man clips whole branches near the base of the rose bushes.</t>
  </si>
  <si>
    <t>Dying rose bush leaves a seen up close.</t>
  </si>
  <si>
    <t>Healthy rose bush leaves are seen up close.</t>
  </si>
  <si>
    <t>v_boqfpo3YAps</t>
  </si>
  <si>
    <t>Several pictures are shown of a woman standing by herself as well as with friends.</t>
  </si>
  <si>
    <t>Video footage is then shown of her running alongside a large group of people while many watch on the sides.</t>
  </si>
  <si>
    <t>More pictures are shown of her finishing the race as well as others.</t>
  </si>
  <si>
    <t>v_bEt8fGREAAA</t>
  </si>
  <si>
    <t>A man with a saxaphone around his neck talks to the camera in a dim room.</t>
  </si>
  <si>
    <t>The camera changes like a box spinning.</t>
  </si>
  <si>
    <t>The man looks around then he is playing his saxophone.</t>
  </si>
  <si>
    <t>A website a person the screen in the lower left corner and the screen fades.</t>
  </si>
  <si>
    <t>v_sYJgYpQknw0</t>
  </si>
  <si>
    <t>The front of a large brown building with snow in front of it is shown.</t>
  </si>
  <si>
    <t>In the inside,there is a ping pong table and two adult males begin walking towards each other.</t>
  </si>
  <si>
    <t>They then begin playing ping pong with nun-chucks and using their feet to hit the ball.</t>
  </si>
  <si>
    <t>As the game progresses,more balls are added and they continue to play without missing one ball.</t>
  </si>
  <si>
    <t>The game intensifies and the man on the right misses the ball and the man congratulates himself.</t>
  </si>
  <si>
    <t>v_3YDQ9wZtIgw</t>
  </si>
  <si>
    <t>A large group of people are seen running around a field playing a game of lacrosse with one another.</t>
  </si>
  <si>
    <t>The players run up and down the field while the camera captures their movements.</t>
  </si>
  <si>
    <t>The men continue playing around one another while people watch on the side and cheer them on.</t>
  </si>
  <si>
    <t>v_C9yUg3e1dEg</t>
  </si>
  <si>
    <t>A man is lifting a large weight over his head several times.</t>
  </si>
  <si>
    <t>A woman walks in front of him.</t>
  </si>
  <si>
    <t>A man in a black shirt stands behind him.</t>
  </si>
  <si>
    <t>v_ybcStSlBGPc</t>
  </si>
  <si>
    <t>A lighted jack-o-lantern comes into focus.</t>
  </si>
  <si>
    <t>The jack-o-lantern moves towards the camera.</t>
  </si>
  <si>
    <t>A young woman is talking very animatedly in front of a white wall.</t>
  </si>
  <si>
    <t>The woman holds a small pumpkin in her hand while talking.</t>
  </si>
  <si>
    <t>The woman holds up a piece of paper with some stickers on it.</t>
  </si>
  <si>
    <t>The pumpkin is seen moving on it's own on a table with a black tablecloth.</t>
  </si>
  <si>
    <t>The pumpkin spins around showing some cartoon faces.</t>
  </si>
  <si>
    <t>An animation of a knife stabs the pumpkin and a cat runs back and forth next to the table.</t>
  </si>
  <si>
    <t>The pumpkin is replaced with other objects one at a time, a knife, a spoon, a candle, etc.</t>
  </si>
  <si>
    <t>The woman is wearing a sticker of a mustache on her face and draws on the small pumpkin with a black felt pen.</t>
  </si>
  <si>
    <t>The woman holds a knife and begins carving the pumpkin along the lines she drew.</t>
  </si>
  <si>
    <t>The woman scoops out the pumpkin seeds with a spoon and puts the seeds in a Halloween themed paper cup.</t>
  </si>
  <si>
    <t>The woman continues carving the face of the pumpkin to turn it into a jack-o-lantern.</t>
  </si>
  <si>
    <t>The woman cleans up the face of the jack-o-lantern with a towel and places the top with the stem back on.</t>
  </si>
  <si>
    <t>The woman places the candle inside the jack-o-lantern.</t>
  </si>
  <si>
    <t>The woman flicks on a disposable lighter.</t>
  </si>
  <si>
    <t>The lighted jack-o-lantern is seen once again moving on it's own on the black table.</t>
  </si>
  <si>
    <t>The video ends and shows a split screen with samples from three other videos the woman has made, with a "Subscribe" button in the middle.</t>
  </si>
  <si>
    <t>v_weB3srg6o4c</t>
  </si>
  <si>
    <t>man is sitting in a handwash and another man enters in the bathrrom and start a conversation.</t>
  </si>
  <si>
    <t>man is spreading toothpaste in toothbrush and wash their tooth.</t>
  </si>
  <si>
    <t>v_EE1UoJSNyms</t>
  </si>
  <si>
    <t>A man rakes leaves from the yard into a pile and dumps them in a metal trash bin.</t>
  </si>
  <si>
    <t>The man puts his tools away in the shed and carries away a bag of leaves.</t>
  </si>
  <si>
    <t>v_w2zTEQMg_v0</t>
  </si>
  <si>
    <t>A group of men and women of various ages are working out on elliptical exercise machines.</t>
  </si>
  <si>
    <t>A man, wearing only work out shorts, wipes sweat from his brown and leans against a wall.</t>
  </si>
  <si>
    <t>A fit woman's body in a white bikini exhibits as a woman and a man in work out clothes appear working out on elliptical machines.</t>
  </si>
  <si>
    <t>The woman and man then appear dressed in full casual attire before returning to the elliptical machines in work out gear, and cycling backwards and forwards on the elliptical machines again and showcasing fit profiles both alone and on the machine.</t>
  </si>
  <si>
    <t>v_TN73eY7B208</t>
  </si>
  <si>
    <t>A group of female in a big studio are wearing black, they are in a formation, then the man in black vest and white pants walked at the center.</t>
  </si>
  <si>
    <t>The females and man started to march, then danced, putting their arms up, then down and then they go forward then backward, sideways, and move their arms side to side, they also shake their hips and body.</t>
  </si>
  <si>
    <t>v_rDGbxMgkt7w</t>
  </si>
  <si>
    <t>Several women are outside on a stage doing several exercises and working out as a group.</t>
  </si>
  <si>
    <t>As they continue,several people begin to walk by the stage and watch them perform.</t>
  </si>
  <si>
    <t>The instructors continue to dance and amp up the other teams to dance and they end by clapping it off together.</t>
  </si>
  <si>
    <t>v_obt6wudzHxY</t>
  </si>
  <si>
    <t>Instruction on how to braid your hair.</t>
  </si>
  <si>
    <t>A girl in a grey t-shirt demonstrates how to braid your hair and shows a step by step process.</t>
  </si>
  <si>
    <t>Some tips are displayed in print.</t>
  </si>
  <si>
    <t>The hair stylist shows the finished product while dresses in a black top and sunglasses.</t>
  </si>
  <si>
    <t>v_xfThpRE6bLc</t>
  </si>
  <si>
    <t>A few people attempt to surf in an ocean.</t>
  </si>
  <si>
    <t>Sometimes they fall, but often the surfers do a great job.</t>
  </si>
  <si>
    <t>v_g-Egl6eXlX4</t>
  </si>
  <si>
    <t>A man is sitting in a barber chair.</t>
  </si>
  <si>
    <t>Another man starts shaving the sides of his head.</t>
  </si>
  <si>
    <t>He blow dries his hair and styles it.</t>
  </si>
  <si>
    <t>He puts some gel in his hair.</t>
  </si>
  <si>
    <t>v_XLOhMBLYy2g</t>
  </si>
  <si>
    <t>A camera pans all around a lake and trees an leads into people pulling a rope along.</t>
  </si>
  <si>
    <t>A man ties the rope into place and shows several clips of people hanging on the rope as well as walking.</t>
  </si>
  <si>
    <t>More clips are shown of people walking along the rope as well as more landscapes.</t>
  </si>
  <si>
    <t>v_pVehZjbud_M</t>
  </si>
  <si>
    <t>A lady plays with her hair.</t>
  </si>
  <si>
    <t>The lady brushes the bottom of her hair by stretching her arm upwards she brushes the top then the ends and finishes.</t>
  </si>
  <si>
    <t>v_s9Q8SZbixV4</t>
  </si>
  <si>
    <t>A group of people are in a high school gym.</t>
  </si>
  <si>
    <t>Males are partnered with females and they are holding hands.</t>
  </si>
  <si>
    <t>Now they are all dancing the same dance.</t>
  </si>
  <si>
    <t>It appears to be some sort of tango dance.</t>
  </si>
  <si>
    <t>The men are twirling the girls around their hands.</t>
  </si>
  <si>
    <t>The men are leading the girls in the dance.</t>
  </si>
  <si>
    <t>The girls are twirling around the boys.</t>
  </si>
  <si>
    <t>The dancing continues for many more moments.</t>
  </si>
  <si>
    <t>The girls and boys separate.</t>
  </si>
  <si>
    <t>The girls twirl scarfs around, then the boys pick them up to finish.</t>
  </si>
  <si>
    <t>v_nm2sHNDN7Lo</t>
  </si>
  <si>
    <t>We see a man in a pink shirt throw a ball in a cup in a game of beer pong.</t>
  </si>
  <si>
    <t>The man on the left team blows the ball out of the cup.</t>
  </si>
  <si>
    <t>The man and the two ladies laugh and cheer and he high fives one lady.</t>
  </si>
  <si>
    <t>The man makes hand signs.</t>
  </si>
  <si>
    <t>v_Ig_AvatvYrk</t>
  </si>
  <si>
    <t>There is a young man dressed in a black shirt going round in circles to show his hair from the front and back.</t>
  </si>
  <si>
    <t>Then he takes a spray bottle and sprays his hair with water and combs it.</t>
  </si>
  <si>
    <t>He then takes a razor and begins shaving the sides and the back of his head.</t>
  </si>
  <si>
    <t>He takes a pair of scissors and starts trimming the top part of hair.</t>
  </si>
  <si>
    <t>He uses a black comb and scissors to point cut his hair.</t>
  </si>
  <si>
    <t>He holds the hair in his hand as he trims it.</t>
  </si>
  <si>
    <t>He takes the razor again and shaves the sides.</t>
  </si>
  <si>
    <t>He takes the scissors too and trims his hair.</t>
  </si>
  <si>
    <t>He then blow dries his hair.</t>
  </si>
  <si>
    <t>He takes a small amount of hair gel on his finger from the container and rubs it through the long section of his hair.</t>
  </si>
  <si>
    <t>He then combs the hair to style it.</t>
  </si>
  <si>
    <t>He runs his fingers through the hair to finish off the look.</t>
  </si>
  <si>
    <t>He rotates around to show his hairstyle from all angles.</t>
  </si>
  <si>
    <t>v_fL8Gzk7ALxQ</t>
  </si>
  <si>
    <t>A group of people is gathered in a circle.</t>
  </si>
  <si>
    <t>Two men are in the circle demonstrating a martial art.</t>
  </si>
  <si>
    <t>Several men in the circle play an instrument.</t>
  </si>
  <si>
    <t>v_pLcrLi5oAvU</t>
  </si>
  <si>
    <t>A hair dresser is cutting a mans hair, starting at the top.</t>
  </si>
  <si>
    <t>Then, he starts at the back cut and combing back there.</t>
  </si>
  <si>
    <t>After that he uses some clippers to clip some of the harder areas.</t>
  </si>
  <si>
    <t>Finally using the comb to style it a bit and give it finishing touches.</t>
  </si>
  <si>
    <t>v_mhsotF4wdG8</t>
  </si>
  <si>
    <t>two guys appears in a backyard and are speaking to the camera.</t>
  </si>
  <si>
    <t>guys are in a wood surface playing rock paper scissors and the loser is given a wooden hit in the nuts and fell to the floor.</t>
  </si>
  <si>
    <t>man is talking to camera and other guys are in the back adn then talking to the winner.</t>
  </si>
  <si>
    <t>they are playing round two o rock paper scissors and again the loser is fiven a wooden hit in the nuts and a man is talking to the camera.</t>
  </si>
  <si>
    <t>the guys make the final round of rock paper scissors and the winner is announced, one of the men gaves a hit in the nuts to both guys.</t>
  </si>
  <si>
    <t>v_JvFo4uTvmYs</t>
  </si>
  <si>
    <t>A person stands on a mat.</t>
  </si>
  <si>
    <t>They run down a runway holding a pole and vault over a bar.</t>
  </si>
  <si>
    <t>They land on their back on a mat.</t>
  </si>
  <si>
    <t>v_Ia3Aa4AO-_E</t>
  </si>
  <si>
    <t>two twins dressed in the same way and with the same hairstyle are in a room talking to the camera.</t>
  </si>
  <si>
    <t>the man in the back start putting some boxers above the pants and the man in front continue speaking to the camera.</t>
  </si>
  <si>
    <t>Man in front holds a brushteeth and put some toothpaste and clean his teeth, then the guy introduces the toothbrush into a honey pot and brush the teeth with it.</t>
  </si>
  <si>
    <t>man in front holds an hairbrush and the other guy drinks water, the other guy holds a toothbrush with jam and brush his teeth.</t>
  </si>
  <si>
    <t>v_2CfCDcCuOO4</t>
  </si>
  <si>
    <t>A small dog is playing with a pink frisbee.</t>
  </si>
  <si>
    <t>A man in a white shirt and red shorts lays down and puts his feet in the air.</t>
  </si>
  <si>
    <t>The dog stands on top of the mans feet.</t>
  </si>
  <si>
    <t>People are watching them on the sidelines.</t>
  </si>
  <si>
    <t>v_QPxiOzXkUFM</t>
  </si>
  <si>
    <t>man is sitting on a boat in a calm lake.</t>
  </si>
  <si>
    <t>car is being driven in a highway with cars standing on the sides.</t>
  </si>
  <si>
    <t>photo of a iver is shown and he car going through the haighway and arriving to a lake.</t>
  </si>
  <si>
    <t>people are in boat paddling in the river and arriving to a camp on pier.</t>
  </si>
  <si>
    <t>v_KQvqRh1mY8c</t>
  </si>
  <si>
    <t>A man runs holding a pole with both hands.</t>
  </si>
  <si>
    <t>Then, she jumps high with the pole to pass over an horizontal bar.</t>
  </si>
  <si>
    <t>The man falls on the mat.</t>
  </si>
  <si>
    <t>v_nSuPseBeQI0</t>
  </si>
  <si>
    <t>A couple of boys are riding skateboards.</t>
  </si>
  <si>
    <t>They watch another couple of men playing basketball.</t>
  </si>
  <si>
    <t>They argue, then the basketball players leave.</t>
  </si>
  <si>
    <t>v_1SXVKikAHdM</t>
  </si>
  <si>
    <t>a box of rollerbldes is shown and the lid is opened amd tje accesories are shown with the rollerblades.</t>
  </si>
  <si>
    <t>man is in street skating and showing pictures of the skates.</t>
  </si>
  <si>
    <t>v_erXZ0pZEtGE</t>
  </si>
  <si>
    <t>A woman in a parking lot is bouncing up and down with some kind of pogo stick attachments on her legs.</t>
  </si>
  <si>
    <t>The woman walks around the parking lot.</t>
  </si>
  <si>
    <t>The woman starts bouncing up and down while walking around.</t>
  </si>
  <si>
    <t>A man walks up and talks to the woman.</t>
  </si>
  <si>
    <t>The woman holds the man's hands for balance while bouncing.</t>
  </si>
  <si>
    <t>v_u2uoYvo8J5s</t>
  </si>
  <si>
    <t>A man is opening his back door to let a little girl outside.</t>
  </si>
  <si>
    <t>The man is following the little girl.</t>
  </si>
  <si>
    <t>A little girl walks and points toward the camera.</t>
  </si>
  <si>
    <t>A dog enters the scene and the little girl jumps with happiness.</t>
  </si>
  <si>
    <t>The little girl walks around her slide.</t>
  </si>
  <si>
    <t>The little girl starts to climb up the slide and the man helps her get to the top.</t>
  </si>
  <si>
    <t>The little girl begins to play with the wheel and gets on her knees.</t>
  </si>
  <si>
    <t>The man helps the little girl go down the slide.</t>
  </si>
  <si>
    <t>The little girl goes to the swing and the man helps her into it.</t>
  </si>
  <si>
    <t>The little girl points at the camera.</t>
  </si>
  <si>
    <t>The man pushes the little girl on the swing.</t>
  </si>
  <si>
    <t>v_wBy9_ZSfEVA</t>
  </si>
  <si>
    <t>People run dragging a large red kite through a field.</t>
  </si>
  <si>
    <t>The kite is in the air and the kids are standing under it watching it.</t>
  </si>
  <si>
    <t>The kite is in the air flying.</t>
  </si>
  <si>
    <t>A man and a little girl and a boy are flying the kite and holding the base of it.</t>
  </si>
  <si>
    <t>A little girl throws something on the ground.</t>
  </si>
  <si>
    <t>v_jmS3NFo4XCc</t>
  </si>
  <si>
    <t>We see a dart board swinging gently.</t>
  </si>
  <si>
    <t>Two darts, one red, one green hit the board.</t>
  </si>
  <si>
    <t>We change angle and two more darts hit the board.</t>
  </si>
  <si>
    <t>The screen fades to black and we see the end credits.</t>
  </si>
  <si>
    <t>v_DR0hc7lT0hE</t>
  </si>
  <si>
    <t>A man is seen backing away from the camera while speaking and holding a hula hoop.</t>
  </si>
  <si>
    <t>The man then swings the hula hoop all around himself while walking to the camera.</t>
  </si>
  <si>
    <t>Another man walks into frame and hula hoops with the man while still looking at the camera.</t>
  </si>
  <si>
    <t>v_PF0c0UIsG0E</t>
  </si>
  <si>
    <t>A man is seen sitting down and speaking to the camera while holding a hookah hose and another person is seen in frame.</t>
  </si>
  <si>
    <t>The man takes a puff from the pipe while speaking to the camera and hands it to the other man who also takes a hit.</t>
  </si>
  <si>
    <t>He blows the smoke out and the first man is still seen speaking to the camera.</t>
  </si>
  <si>
    <t>v_4QqoWbK2ELc</t>
  </si>
  <si>
    <t>A person prepares to bungee jump over a body of water while onlookers watch from the ground.</t>
  </si>
  <si>
    <t>The person is sitting down, first, strapped into bungee jumping gear.</t>
  </si>
  <si>
    <t>The person stands at the edge of a wooden jumping surface as onlookers watch from the ground.</t>
  </si>
  <si>
    <t>The person jumps off of the edge and falls down as the camera follows and reveals that this is a man who has jumped, and the man is smiling and laughing as he flails in the air just above the water.</t>
  </si>
  <si>
    <t>v_cKFARm4dsws</t>
  </si>
  <si>
    <t>A little boy is getting on the swinging closing his little safety guard.</t>
  </si>
  <si>
    <t>He closes it and builds up some momentum to start going fast.</t>
  </si>
  <si>
    <t>He kicks his feet back and forth getting pretty high.</t>
  </si>
  <si>
    <t>He just enjoys his time swinging back and forth outside enjoying the day.</t>
  </si>
  <si>
    <t>v_3WyJNIqDFQg</t>
  </si>
  <si>
    <t>A close up a chair is shown while the camera pans out backwards and text moves across the screen.</t>
  </si>
  <si>
    <t>The camera follows closely into the chair and leads into a woman sitting comfortable on the chair.</t>
  </si>
  <si>
    <t>The woman adjusts the seat and leads into several more close ups of the chair being shown.</t>
  </si>
  <si>
    <t>v_W_iKlOPSDos</t>
  </si>
  <si>
    <t>We see a speedboat speeding through a lake and a man jet skiing behind it.</t>
  </si>
  <si>
    <t>The screen flashes black and we see more jet skiing.</t>
  </si>
  <si>
    <t>v_zlXs92vjuSU</t>
  </si>
  <si>
    <t>A young man named Sean wearing a beanie hat and black earring studs.</t>
  </si>
  <si>
    <t>He is demonstrating how to pierce his ear with stud earrings.</t>
  </si>
  <si>
    <t>He expresses severe pain as he tries to pierce his ear lobe.</t>
  </si>
  <si>
    <t>He takes an ice cube to soothe his ear lobe.</t>
  </si>
  <si>
    <t>Then he uses a cigarette lighter to heat the earring to sanitize it.</t>
  </si>
  <si>
    <t>He tries using a thumbtack to help the piercing but ends up causing severe bleeding in his ear.</t>
  </si>
  <si>
    <t>He then tries a rubber mallet to force the earring in.</t>
  </si>
  <si>
    <t>He cries and sobs in pain at his unsuccessful attempt of piercing his own ear lobe.</t>
  </si>
  <si>
    <t>v_vu-3Zi94F0M</t>
  </si>
  <si>
    <t>A man is seen sitting in a kayak looking to the camera.</t>
  </si>
  <si>
    <t>He then sticks his paddle in the water and begins moving along.</t>
  </si>
  <si>
    <t>He continues riding around an area while moving the paddle.</t>
  </si>
  <si>
    <t>v_evXdygHVzNc</t>
  </si>
  <si>
    <t>A teen spins holding a disc in his right hand, then the girl throws the disc while competing in a stadium.</t>
  </si>
  <si>
    <t>Then, another young woman spins around an throws a disc.</t>
  </si>
  <si>
    <t>A female spins and throw a disc far and she wins the competition.</t>
  </si>
  <si>
    <t>A man in the track raise a white flag on his right arm.</t>
  </si>
  <si>
    <t>v_8LiO75NtXNw</t>
  </si>
  <si>
    <t>Gymnast from Ukraine performs long jump in a final competition.</t>
  </si>
  <si>
    <t>A man holds a white and a red flags.</t>
  </si>
  <si>
    <t>The gymnast runs in the track until a white line, and jumps to perform the long jump.</t>
  </si>
  <si>
    <t>Then, a woman from Germany performs the long jump, and after a girl from Australia jumps long on the sand box.</t>
  </si>
  <si>
    <t>The woman from Germany wins the competition, she runs and greats the public.</t>
  </si>
  <si>
    <t>v_PNQpC_FlE2M</t>
  </si>
  <si>
    <t>A man in a vest is sitting in a boat.</t>
  </si>
  <si>
    <t>Then the man is in the water, holding a stick and a line attached to the boat.</t>
  </si>
  <si>
    <t>The boat begins to pull him in the water as he begins water skiing.</t>
  </si>
  <si>
    <t>He skis for a long while.</t>
  </si>
  <si>
    <t>v_8xS6cDOq5do</t>
  </si>
  <si>
    <t>girls are sitting in a rom and boys are standing behind them boys starts comb the hair.</t>
  </si>
  <si>
    <t>woman wearing blue sweater crawl on all fours.</t>
  </si>
  <si>
    <t>boys keep combing the hair and putting some hair rolls on the girls.</t>
  </si>
  <si>
    <t>woman in the middle is irritated and stands and remove the rolls for th head and sits again and laugh a lot.</t>
  </si>
  <si>
    <t>v_shZRGB58YBU</t>
  </si>
  <si>
    <t>A man is seated on a stage.</t>
  </si>
  <si>
    <t>There is a room full of people watching him.</t>
  </si>
  <si>
    <t>He is playing a set of drums with his hands.</t>
  </si>
  <si>
    <t>v_OTMkyaTCpqM</t>
  </si>
  <si>
    <t>An overhead view of a pool match.</t>
  </si>
  <si>
    <t>A man in a funny blue vest is shown as the next player to take a shot.</t>
  </si>
  <si>
    <t>He pauses and studies the table before taking his shot.</t>
  </si>
  <si>
    <t>He shoots and hits the blue ball in the corner right pocket.</t>
  </si>
  <si>
    <t>v_eBEnQDNyzFk</t>
  </si>
  <si>
    <t>A close up of food is shown followed by two women speaking to the camera and presenting various ingredients.</t>
  </si>
  <si>
    <t>The women then mix the ingredients into a pot after the noodles are cooked and then mix everything together in a bowl.</t>
  </si>
  <si>
    <t>Finally the dish is shown on a plate in the end and the women eat the food.</t>
  </si>
  <si>
    <t>v_ZtfdFFYa8vY</t>
  </si>
  <si>
    <t>black dog is walking in a treadmill in a white room.</t>
  </si>
  <si>
    <t>dog is running in the treadmill that is next to a drawer.</t>
  </si>
  <si>
    <t>dog is wearing a red necklace and is doing exercise.</t>
  </si>
  <si>
    <t>v_yE0fDD_7FkM</t>
  </si>
  <si>
    <t>A girl is walking on a diving board.</t>
  </si>
  <si>
    <t>People are in the background watching.</t>
  </si>
  <si>
    <t>The girl jumps off the diving board into the swimming pool.</t>
  </si>
  <si>
    <t>There is a small splash in the water.</t>
  </si>
  <si>
    <t>v_5qBzjfW-sMs</t>
  </si>
  <si>
    <t>A young man is seen putting a piece of wood onto a bark and holds up an axe.</t>
  </si>
  <si>
    <t>He then swings the axe the bark breaking it in half, followed by him yelling into the air.</t>
  </si>
  <si>
    <t>v_N2nNkWXYAYw</t>
  </si>
  <si>
    <t>A woman sits on the floor next a vacuum.</t>
  </si>
  <si>
    <t>The woman vacuums dirt on a hard floor.</t>
  </si>
  <si>
    <t>Then, the woman cleans waste on a carpet.</t>
  </si>
  <si>
    <t>After, the woman vacuums over a pillow using a smaller nozzle.</t>
  </si>
  <si>
    <t>Next, then woman put a new nozzle to clean narrow surfaces.</t>
  </si>
  <si>
    <t>Also the woman measures the pressure of suction and shows the inside of the vacuum.</t>
  </si>
  <si>
    <t>v_yCqe0J1xgyc</t>
  </si>
  <si>
    <t>We see two girls representing China standing on diving boards above an Olympic size pool and dive in unison and we see their scores.</t>
  </si>
  <si>
    <t>We then see two girls representing the USA dive in unison and see their scores.</t>
  </si>
  <si>
    <t>Next are two girls representing Italy diving and scores are shown.</t>
  </si>
  <si>
    <t>Germany is the next team to dive and scores are shown for them.</t>
  </si>
  <si>
    <t>v_x75wqBUD3zo</t>
  </si>
  <si>
    <t>A man is seen speaking to the camera while holding up a harmonica.</t>
  </si>
  <si>
    <t>The man blows into the instrument while pausing to speak to the camera.</t>
  </si>
  <si>
    <t>He continues playing the instrument and stopping to speak to the camera.</t>
  </si>
  <si>
    <t>v___mIAEE03bE</t>
  </si>
  <si>
    <t>People are snowboarding down a large hill of snow.</t>
  </si>
  <si>
    <t>A person in a green jacket is snowboarding while holding a camera in front of them.</t>
  </si>
  <si>
    <t>The people get to the bottom and start taking their snowboards off.</t>
  </si>
  <si>
    <t>v_vV_d5bfNmBQ</t>
  </si>
  <si>
    <t>Men on the beach playing volleyball in the sand.</t>
  </si>
  <si>
    <t>One of the guys hits the ball over to the other side and they hit it back.</t>
  </si>
  <si>
    <t>Then on the other side of the beach there is a group of women also playing volleyball.</t>
  </si>
  <si>
    <t>They are playing a really good game, one of the girl lands right on her stomach.</t>
  </si>
  <si>
    <t>v_Djlmto9iibw</t>
  </si>
  <si>
    <t>A dog is swimming in a small pool.</t>
  </si>
  <si>
    <t>He is being rubbed with shampoo.</t>
  </si>
  <si>
    <t>He is back in the water getting cleaned.</t>
  </si>
  <si>
    <t>A person is spraying the dog with a hose.</t>
  </si>
  <si>
    <t>The dog is then put in a metal pen.</t>
  </si>
  <si>
    <t>v_jA-KApGlXyA</t>
  </si>
  <si>
    <t>A person explains how to play squash holding a racket and a blue ball.</t>
  </si>
  <si>
    <t>Then, he continues explaining showing how to hit the ball on the wall.</t>
  </si>
  <si>
    <t>v_EBhAGOXvPcA</t>
  </si>
  <si>
    <t>A bike is seen outside a building.</t>
  </si>
  <si>
    <t>A group of men are outside, drinking eer and talking while playing beer pong.</t>
  </si>
  <si>
    <t>They try to throw the ball into the glasses.</t>
  </si>
  <si>
    <t>They laugh and talk as they play.</t>
  </si>
  <si>
    <t>v_eTIaRqgQ4Qg</t>
  </si>
  <si>
    <t>A camera is seen panning around a large lake followed by a person riding by on skis behind a jet ski.</t>
  </si>
  <si>
    <t>Two people are seen riding behind the jet ski and continuing to move along the water.</t>
  </si>
  <si>
    <t>v_offWBoR4Ggg</t>
  </si>
  <si>
    <t>The player in yellow shirt kicked the ball towards the goal, and the goalkeeper was not able to catch it, another player in red shirt kicked the ball and the goalkeeper weren't able to catch it.</t>
  </si>
  <si>
    <t>The goalkeeper is standing in front of the net, the crowds are cheering.</t>
  </si>
  <si>
    <t>v_0rX2f0H3AaA</t>
  </si>
  <si>
    <t>A white screen is shown and several words are shown on the screen.</t>
  </si>
  <si>
    <t>Then a blue mat is shown and an individual begins sweeping and laying the blue mat against the mat.</t>
  </si>
  <si>
    <t>The man takes out a measuring tape and cuts off a piece of the blue mat and continues covering the floor.</t>
  </si>
  <si>
    <t>v_IRmk1AM-yJE</t>
  </si>
  <si>
    <t>Two people are seen playing a game of pool while others watch on the side and conversation.</t>
  </si>
  <si>
    <t>The men continue hitting the ball around the table and moving around.</t>
  </si>
  <si>
    <t>v_Fi0PQwhsGs4</t>
  </si>
  <si>
    <t>Two men are outside talking to one another and they begin doing arm stretches.</t>
  </si>
  <si>
    <t>They then stop and do a series of Rock,Paper,Scissors.</t>
  </si>
  <si>
    <t>v_3CO7fRiJOy4</t>
  </si>
  <si>
    <t>Several small children drive around in bumper cars.</t>
  </si>
  <si>
    <t>One of them continuously spins in circles.</t>
  </si>
  <si>
    <t>She rides alone after the others have left.</t>
  </si>
  <si>
    <t>v_5KEq4f4dGto</t>
  </si>
  <si>
    <t>We see a lady painting her fingernails.</t>
  </si>
  <si>
    <t>We see a titles screen.</t>
  </si>
  <si>
    <t>The lady files and puts on a clear coat.</t>
  </si>
  <si>
    <t>The lady paints her finger nails blue.</t>
  </si>
  <si>
    <t>The lady adds a top coat of clear polish.</t>
  </si>
  <si>
    <t>The lady puts oil on her cuticles and we see the finished product.</t>
  </si>
  <si>
    <t>v_nA9MM4baSdc</t>
  </si>
  <si>
    <t>This woman is shown playing the black harmonica.</t>
  </si>
  <si>
    <t>she stops for a little bit, but then she keeps going.</t>
  </si>
  <si>
    <t>v_cfhc7tf8vU4</t>
  </si>
  <si>
    <t>A tall Black male is standing outside clapping trying to gain the crowds participation.</t>
  </si>
  <si>
    <t>The athlete then takes off and does a triple jump into the pit.</t>
  </si>
  <si>
    <t>Once he gets out of the pit,he walks around and a replay is shown to make sure that he didn't scratch and the jump can be counted.</t>
  </si>
  <si>
    <t>Another man approaches the run way and repeats the same step but ends up scratching.</t>
  </si>
  <si>
    <t>v_VEwZJ-5u_Xs</t>
  </si>
  <si>
    <t>People fly kites from a rooftop holding kite string pools.</t>
  </si>
  <si>
    <t>Several kites fly in the sky.</t>
  </si>
  <si>
    <t>A man holds a kite string pool while flying a kite.</t>
  </si>
  <si>
    <t>v_IWXIEfaltJ4</t>
  </si>
  <si>
    <t>A man is shown holding up a piece of metal and places it along a wall.</t>
  </si>
  <si>
    <t>He then puts plaster along the metal and rubs the sander all over the wall while still looking back to the camera.</t>
  </si>
  <si>
    <t>v_TWhxFETOG8I</t>
  </si>
  <si>
    <t>Two teams play a game of indoor soccer.</t>
  </si>
  <si>
    <t>Players from the white team dribble and pass the ball all the way down field and make a goal.</t>
  </si>
  <si>
    <t>Players from the blue team dribble and pass all the way down field and make a goal.</t>
  </si>
  <si>
    <t>A member of the blue team battles two defenders near goal and makes a point.</t>
  </si>
  <si>
    <t>Players take corner kicks and assist a goals.</t>
  </si>
  <si>
    <t>v_CcKeoeSZVnE</t>
  </si>
  <si>
    <t>Two women are smoking a hookah while seated on a couch.</t>
  </si>
  <si>
    <t>They take turns taking hits and blowing smoke.</t>
  </si>
  <si>
    <t>They are blowing the smoke in rings toward the camera.</t>
  </si>
  <si>
    <t>v_uK0dxEMBXfY</t>
  </si>
  <si>
    <t>A man standing in a yard talks to the camera about his yard.</t>
  </si>
  <si>
    <t>The man motions he had across the yard.</t>
  </si>
  <si>
    <t>The man then mows his lawn with his mower.</t>
  </si>
  <si>
    <t>The man stops and shows the electrical cord on his mower.</t>
  </si>
  <si>
    <t>v_QRcwvzq7QUM</t>
  </si>
  <si>
    <t>We see a lady standing in a news studio talking to the camera.</t>
  </si>
  <si>
    <t>We then see people in a field on horses.</t>
  </si>
  <si>
    <t>The people are playing polo on the horses.</t>
  </si>
  <si>
    <t>We see a man talking to the camera.</t>
  </si>
  <si>
    <t>We then see the people playing again.</t>
  </si>
  <si>
    <t>The man is talking to the camera again.</t>
  </si>
  <si>
    <t>We see the polo players on their horses.</t>
  </si>
  <si>
    <t>A man holds liquor in front of a horses mouth, We see the newscaster again.</t>
  </si>
  <si>
    <t>v_PnY3FT_QqWo</t>
  </si>
  <si>
    <t>A woman is standing in a gated yard beside a girl on a horse.</t>
  </si>
  <si>
    <t>She walks away as the girl rides the horse carefully around the fence.</t>
  </si>
  <si>
    <t>She then takes the horse into a light trot as she rides.</t>
  </si>
  <si>
    <t>v_1QjVfj0S8qQ</t>
  </si>
  <si>
    <t>A shirtless man scrapes roofing gravel using a shovel.</t>
  </si>
  <si>
    <t>The man stops and leans on the shovel for a moment to look at the amount of work that is ahead of him.</t>
  </si>
  <si>
    <t>The man continues to scrape the gravel roof and turns with his back towards the camera.</t>
  </si>
  <si>
    <t>v_BrnUW2LSJDI</t>
  </si>
  <si>
    <t>Two men are seen standing around a shuffleboard table followed by the men hitting pucks across the board.</t>
  </si>
  <si>
    <t>The men continue hitting the pucks and zoom in on their faces in the end.</t>
  </si>
  <si>
    <t>v_m978SIFnHS8</t>
  </si>
  <si>
    <t>Dark nights are shown with lightning flashing through the sky.</t>
  </si>
  <si>
    <t>After,the video begins and several people are shown on a large boat sailing in the water.</t>
  </si>
  <si>
    <t>The weather begins to turn nasty and the people have to hold on for dear life so they won't die.</t>
  </si>
  <si>
    <t>In one instance,the boat begins to tip to the side and the people jump in joy that it didn't tip over as the horrid weather continues.</t>
  </si>
  <si>
    <t>v_W-poAYW1pb0</t>
  </si>
  <si>
    <t>A group of runners are on a street, and a boston marathoner who has broken a record is shown talking in an interview after celebrating.</t>
  </si>
  <si>
    <t>News casters are shown talking about the man and others as they reach the end of the marathon.</t>
  </si>
  <si>
    <t>The runners are shown as a group, as men dressed as british solders enact a play for the crowds.</t>
  </si>
  <si>
    <t>v_BGeB6KEQM94</t>
  </si>
  <si>
    <t>A man in peach sweater is skateboarding and then fell on the ground.</t>
  </si>
  <si>
    <t>A man in orange stop is skateboarding in the dark street and fell on the ground.</t>
  </si>
  <si>
    <t>A man in black shirt skateboard down the wide road and fell on the side of the road, the man showed his bleeding cuts in front of the camera.</t>
  </si>
  <si>
    <t>A the skateboarders are falling off their skateboards.</t>
  </si>
  <si>
    <t>v_p7VTBhv3OLY</t>
  </si>
  <si>
    <t>A man is talking in front of a net in a yard.</t>
  </si>
  <si>
    <t>Two boys are seen hitting a ball into the net.</t>
  </si>
  <si>
    <t>Then we see a game on a field with men hitting balls with nets into the goal.</t>
  </si>
  <si>
    <t>v_d0h_l9bE1o0</t>
  </si>
  <si>
    <t>A group of cheerleaders are shown practicing their routine in a gymnasium.</t>
  </si>
  <si>
    <t>The scene transitions to one cheerleader being interviewed while others stretch in the background, with occasional cheerleader-related clips interspersed.</t>
  </si>
  <si>
    <t>A man wearing blue is interviewed in the same setting, with occasional cheerleader-related clips interspersed.</t>
  </si>
  <si>
    <t>Another man is interviewed in the same setting, with occasional cheerleader-related clips interspersed.</t>
  </si>
  <si>
    <t>The camera returns to the man in blue being interviewed, with short cheerleader action sequences.</t>
  </si>
  <si>
    <t>The camera returns to the first individual interviewed, with short cheerleader action sequences.</t>
  </si>
  <si>
    <t>v_cqHWqXRkUfU</t>
  </si>
  <si>
    <t>Several people are standing outside in a snow with tubes in front of them.</t>
  </si>
  <si>
    <t>Two people then get in the tubes and are pushed down the slopes.</t>
  </si>
  <si>
    <t>They go down the snow slide and once they reach the bottom they get off.</t>
  </si>
  <si>
    <t>v_g0B_4IlLn3g</t>
  </si>
  <si>
    <t>A girl is standing in her bathroom making giggly faces while holding a cup.</t>
  </si>
  <si>
    <t>She finally takes whatever is in the cub and begins to gags as she spits it into the sink.</t>
  </si>
  <si>
    <t>After her mouth is empty,she shows off a bottle of Crest mouthwash.</t>
  </si>
  <si>
    <t>v_KAbo60mowhw</t>
  </si>
  <si>
    <t>A man plays catch with a dog in a dirt field while throwing a Frisbee.</t>
  </si>
  <si>
    <t>The man holds out the Frisbee in his hand to the dog.</t>
  </si>
  <si>
    <t>A woman plays catch with the dog throwing a Frisbee in a grassy park.</t>
  </si>
  <si>
    <t>v_faF9-lWmK3Y</t>
  </si>
  <si>
    <t>The camera man opens a door and watches a woman leaving forward in a tub.</t>
  </si>
  <si>
    <t>The woman talks to the camera man while washing several clothes in a tub filled with water.</t>
  </si>
  <si>
    <t>The woman learns down exhausted and turns back to the camera man quickly then back to the tub.</t>
  </si>
  <si>
    <t>v_vAzTt06gpgE</t>
  </si>
  <si>
    <t>A group of people are running down a road with various people cheering and clapping on the sides.</t>
  </si>
  <si>
    <t>A woman is high fiving the people as well other runners.</t>
  </si>
  <si>
    <t>More shots of people on the sides are shown while the runners continue running.</t>
  </si>
  <si>
    <t>v_Mw_AIqw6rfM</t>
  </si>
  <si>
    <t>A large group of people are seen standing around a horse track and leads into several men sitting on horses and one riding around swinging a stick.</t>
  </si>
  <si>
    <t>The men then begin playing a game on the horses and shaking each other's hands.</t>
  </si>
  <si>
    <t>The princess then hands a box to one of the players and stands near several others holding a trophy.</t>
  </si>
  <si>
    <t>v_16g-sBraeKE</t>
  </si>
  <si>
    <t>A woman is showing her finger nails to the camera.</t>
  </si>
  <si>
    <t>A woman in a black shirt is sitting in a room talking to a camera.</t>
  </si>
  <si>
    <t>A person is doing someone else's nails on a table.</t>
  </si>
  <si>
    <t>They are putting fake fingernails on them.</t>
  </si>
  <si>
    <t>They are cutting the nails down.</t>
  </si>
  <si>
    <t>They begin painting the nails.</t>
  </si>
  <si>
    <t>v__ao0UwSJHWA</t>
  </si>
  <si>
    <t>A man is seen sitting in a large gym while speaking to the camera and sitting on a medicine ball.</t>
  </si>
  <si>
    <t>The man then bends forward onto the ball while still speaking to the camera.</t>
  </si>
  <si>
    <t>The man continues to balance on the ball and sits himself up as well as catches a ball.</t>
  </si>
  <si>
    <t>v_kpE3q-Hmd7A</t>
  </si>
  <si>
    <t>A group of men are inside of a gym space stepping on aerobic steppers at a fast pace.</t>
  </si>
  <si>
    <t>They look to be having a great time and begin reaching out with their arms and varying their workout.</t>
  </si>
  <si>
    <t>They continue on performing another series of similar workout with their steppers.</t>
  </si>
  <si>
    <t>They move side to side, alternating their movements to a specific rhythm.</t>
  </si>
  <si>
    <t>Their last of their workouts seem to be a compilation of everything they have been doing thus far and they are varying their movements within it.</t>
  </si>
  <si>
    <t>v_NzRNlTfyYtI</t>
  </si>
  <si>
    <t>A woman uses a NordicTrack exercise machine.</t>
  </si>
  <si>
    <t>The exercise machine is shown by itself.</t>
  </si>
  <si>
    <t>The woman uses the machine again.</t>
  </si>
  <si>
    <t>The machine's digital display controls are shown.</t>
  </si>
  <si>
    <t>A splash screen of a woman and a show title are shown.</t>
  </si>
  <si>
    <t>The woman exercises on the machine again.</t>
  </si>
  <si>
    <t>v_Wdp8yduPUX4</t>
  </si>
  <si>
    <t>Four people prepare to skateboard down a slope.</t>
  </si>
  <si>
    <t>The four individuals skateboard down the slope together or alone as spectators watch.</t>
  </si>
  <si>
    <t>The camera pans over background scenery.</t>
  </si>
  <si>
    <t>One of the individuals tends to his skateboard.</t>
  </si>
  <si>
    <t>The four individuals engage in more skateboarding down the slope.</t>
  </si>
  <si>
    <t>One of the individuals is again shown tending to his skateboard.</t>
  </si>
  <si>
    <t>v_GTxmHim5JnY</t>
  </si>
  <si>
    <t>Two children twirl on a tire swing.</t>
  </si>
  <si>
    <t>Another child is swinging in another swing set.</t>
  </si>
  <si>
    <t>A very small child runs through the play area.</t>
  </si>
  <si>
    <t>v_1FKoT6uFsjY</t>
  </si>
  <si>
    <t>A kid is sitting on the bed and waves to the camera.</t>
  </si>
  <si>
    <t>He is explaining his daily routine to the camera.</t>
  </si>
  <si>
    <t>He is putting red contacts in his eyes.</t>
  </si>
  <si>
    <t>The contact falls out of his eye and he puts it back in, but it falls out over and over.</t>
  </si>
  <si>
    <t>Finally he gets it to stay and he gives the camera close up and some moves.</t>
  </si>
  <si>
    <t>v_znhZPUF6xQw</t>
  </si>
  <si>
    <t>Several clips are shown of various girls performing gymnastics tricks on a large mat.</t>
  </si>
  <si>
    <t>The girls continue jumping and flipping around the area while the camera continues to capture their movements.</t>
  </si>
  <si>
    <t>v_gMwjhe0Njkc</t>
  </si>
  <si>
    <t>A black and white image of a man is shown and then the man appears in a field throwing a discus.</t>
  </si>
  <si>
    <t>After,he continues throwing the discus and when he is finished,he is shown standing on a set of cubes as the winner.</t>
  </si>
  <si>
    <t>The participants shake each other hands and they both end up walking off.</t>
  </si>
  <si>
    <t>v_2mVwrM0qOGw</t>
  </si>
  <si>
    <t>man is standing in a room holding a bow and talking to another man.</t>
  </si>
  <si>
    <t>manis practicing shots with a bow to a board in a large field.</t>
  </si>
  <si>
    <t>v_6EKVtCJ2nrs</t>
  </si>
  <si>
    <t>A man in black jacket holds a friend in both arms.</t>
  </si>
  <si>
    <t>The friend wearing a rope puts out her arms in preparation.</t>
  </si>
  <si>
    <t>The friend is thrown from the building wearing a bungee cord and swings in a wide arc over the ground below then back and forth.</t>
  </si>
  <si>
    <t>A woman in black jacket sits on a ramp and is pushed down by friends.</t>
  </si>
  <si>
    <t>The woman falls off the building and swings from a rope above the ground below.</t>
  </si>
  <si>
    <t>v_fs2per3zoZQ</t>
  </si>
  <si>
    <t>Two men sit behind a table with a pumpkin on it.</t>
  </si>
  <si>
    <t>A man smashes the pumpkin with a hammer.</t>
  </si>
  <si>
    <t>He starts ripping out the seeds and handing them to the man next to him.</t>
  </si>
  <si>
    <t>v_NpfdyZntPbg</t>
  </si>
  <si>
    <t>A man wipes the bottom of a ski.</t>
  </si>
  <si>
    <t>He puts polish on the bottom of the ski and rubs it in.</t>
  </si>
  <si>
    <t>He takes a paper towel and wipes the bottom of the ski.</t>
  </si>
  <si>
    <t>v_aDBSNU2trmo</t>
  </si>
  <si>
    <t>A point of view of a person shows himself sitting in a sled holding hands of two children in sleds.</t>
  </si>
  <si>
    <t>A person pushes the three down a hill while still holding hands and lets go at the bottom to meet with the others.</t>
  </si>
  <si>
    <t>v_7rT8tqLyFa0</t>
  </si>
  <si>
    <t>A man is standing in a weight room with multiple screens on and computers on it.</t>
  </si>
  <si>
    <t>After he finishes talking,he gets on an ellipitacal and starts rowing.</t>
  </si>
  <si>
    <t>Next,he moves to another machine and does the same thing as well in a slightly different way.</t>
  </si>
  <si>
    <t>v_D9DdNf-TIO8</t>
  </si>
  <si>
    <t>A bird is sitting on a bar over a bath tub.</t>
  </si>
  <si>
    <t>A dog is in the bathtub getting a shower.</t>
  </si>
  <si>
    <t>A person is rubbing soap into the dogs fur.</t>
  </si>
  <si>
    <t>The dog shakes itself off.</t>
  </si>
  <si>
    <t>v_rv9jW-t3mT4</t>
  </si>
  <si>
    <t>An outdoor track and field meet is shown.</t>
  </si>
  <si>
    <t>Pole vaulters are shown in a competition.</t>
  </si>
  <si>
    <t>Some of them make their jumps while others do not.</t>
  </si>
  <si>
    <t>v_Prt07JFztMI</t>
  </si>
  <si>
    <t>Two men are in an alley.</t>
  </si>
  <si>
    <t>They are bouncing up and down on sticks.</t>
  </si>
  <si>
    <t>There is a van in the foreground.</t>
  </si>
  <si>
    <t>There are also several buildings.</t>
  </si>
  <si>
    <t>v_EmM2yXiiz5c</t>
  </si>
  <si>
    <t>A man rides a bicycle behind three men who are running in a professional race on a paved freeway lined with onlookers, spectators and participants.</t>
  </si>
  <si>
    <t>A man is riding a bicycle down a freeway wearing a helmet and sporting a paper tag on the front of the bicycle.</t>
  </si>
  <si>
    <t>Three men are running in front of the man on the bicycle with one of the men juggling three balls while running and one drinking water and waiving at the crowd.</t>
  </si>
  <si>
    <t>The men turn a bend while jogging and an onlooker starts clapping for them from behind.</t>
  </si>
  <si>
    <t>v_64vbnwtL7I8</t>
  </si>
  <si>
    <t>Groups of people bowl games in a bowling alley.</t>
  </si>
  <si>
    <t>People in recorded video of the bowling match.</t>
  </si>
  <si>
    <t>Spectators sit and stand behind the railing watching the event.</t>
  </si>
  <si>
    <t>A man bowls a his turns standing backwards.</t>
  </si>
  <si>
    <t>People in the stands cheer for the bowler.</t>
  </si>
  <si>
    <t>v_SSqVGeD2XaQ</t>
  </si>
  <si>
    <t>Three men are seen speaking and waving to the camera that leads into the men playing games with strangers on the street.</t>
  </si>
  <si>
    <t>The winner gets to kiss the man and the loser gets to slap him.</t>
  </si>
  <si>
    <t>Several shots are shown of him slapping and kissing girls as well as running around the area to find more people.</t>
  </si>
  <si>
    <t>v_3rqesp6F95Q</t>
  </si>
  <si>
    <t>A few people are seen standing around various fooseball tables playing games with one another.</t>
  </si>
  <si>
    <t>The people continue to push the ball around back and fourth while the camera focuses on one game.</t>
  </si>
  <si>
    <t>The people keep track of their scores and others watch them in the distance.</t>
  </si>
  <si>
    <t>v_k2U1lOpLqdk</t>
  </si>
  <si>
    <t>As a red cut scene passes a young man in a blue shirt is seen concentrating.</t>
  </si>
  <si>
    <t>Afterwards another man is seen on a curling rink releasing a rock stone as two other men use brooms to clear the way as the stone travels down the path.</t>
  </si>
  <si>
    <t>The act continues with the same men once more engaging in the same act.</t>
  </si>
  <si>
    <t>Afterwards another young man in a blue shirt repeats the same move as the white team looks on.</t>
  </si>
  <si>
    <t>Finally as spectators look on, a member of the white team releases a rock stone and two men from the team use brooms to clear the path.</t>
  </si>
  <si>
    <t>v_Y-SehqCvzME</t>
  </si>
  <si>
    <t>A man is seen speaking to the camera while holding a guitar in his hands.</t>
  </si>
  <si>
    <t>The man begins playing the guitar and singing into a microphone.</t>
  </si>
  <si>
    <t>The man continues singing and playing and stops in the end.</t>
  </si>
  <si>
    <t>v_mQ9e5RyHE_k</t>
  </si>
  <si>
    <t>A man is seen speaking to the camera as well as several shots of a bowling alley and him bowling a ball.</t>
  </si>
  <si>
    <t>He continues speaking to the camera while showing several videos of him throwing the bowling ball and hitting several pins.</t>
  </si>
  <si>
    <t>v_-V5_GMuMzc8</t>
  </si>
  <si>
    <t>Another man is giving him a hair cut.</t>
  </si>
  <si>
    <t>He then brushes off the mans neck.</t>
  </si>
  <si>
    <t>v_Q0UzDeDra3U</t>
  </si>
  <si>
    <t>A man demonstrates how to change the tire on a car.</t>
  </si>
  <si>
    <t>A car drives through a street and then shows as being parked at which a man approaches the car holding a lug nut removal tool.</t>
  </si>
  <si>
    <t>The man removes the lug nuts and then jacks the car up.</t>
  </si>
  <si>
    <t>The man then removes the tire and pulls a spare tire off of the back of the car.</t>
  </si>
  <si>
    <t>The man then puts the new tire on the car.</t>
  </si>
  <si>
    <t>v_PG0ao4HkF8M</t>
  </si>
  <si>
    <t>A man hangs wallpaper on a blank wall.</t>
  </si>
  <si>
    <t>Each frame is rolled down and put on the wall.</t>
  </si>
  <si>
    <t>v_R4M90w2zPVU</t>
  </si>
  <si>
    <t>A man in a red hockey helmet and with a long curling mustache is seen in a still shot standing next to a woman while leaning on a glass barrier in front of a hockey skate rink.</t>
  </si>
  <si>
    <t>The man is then shown entering a live hockey game and playing hockey with a floor filled with other players.</t>
  </si>
  <si>
    <t>Another man is shown sitting next to a snoopy doll before the camera changes back to the man in the mustache again in another still shot.</t>
  </si>
  <si>
    <t>v_85DumZo8-ik</t>
  </si>
  <si>
    <t>A woman claps her hands together.</t>
  </si>
  <si>
    <t>She sprints down a track.</t>
  </si>
  <si>
    <t>She jumps up in the air.</t>
  </si>
  <si>
    <t>v_uO2YgcdqoZg</t>
  </si>
  <si>
    <t>A man dressed in a black wife-beater is near a fluorescent wall glass and is talking.</t>
  </si>
  <si>
    <t>As he is talking,several clips appear in between him where he is in a room with three walls and glass as the fourth wall while playing wall ball.</t>
  </si>
  <si>
    <t>The final scene is shown,and the male comes back talking before finally flashing a url at then end.</t>
  </si>
  <si>
    <t>v_Mm6iYEyY9dI</t>
  </si>
  <si>
    <t>A young man is seen standing in the middle of a large field holding instruments and standing in front of others.</t>
  </si>
  <si>
    <t>The man then begins playing the instruments one by one.</t>
  </si>
  <si>
    <t>Several kids then walk into frame using hula hoops while the man joins in still singing and clapping his hands.</t>
  </si>
  <si>
    <t>v_wtQQ5I0QRuw</t>
  </si>
  <si>
    <t>A young women in her bra and underwear sits on a bed.</t>
  </si>
  <si>
    <t>She then applies lotion to her legs and hands.</t>
  </si>
  <si>
    <t>She is very thorough in her work making sure not to miss anything.</t>
  </si>
  <si>
    <t>She then starts the process of shaving her legs very intently.</t>
  </si>
  <si>
    <t>She continues this process with her other leg being very good at attention to detail.</t>
  </si>
  <si>
    <t>v_4eCKiA1czfk</t>
  </si>
  <si>
    <t>A person blows leaves using a leaf blower.</t>
  </si>
  <si>
    <t>Then, an area without leaves are shown next to the trees.</t>
  </si>
  <si>
    <t>v_zT6ITDwPi0w</t>
  </si>
  <si>
    <t>A girl stands and talks in a public restroom.</t>
  </si>
  <si>
    <t>The girl goes into a stall and closes the door.</t>
  </si>
  <si>
    <t>She emerges and washes her hands.</t>
  </si>
  <si>
    <t>She takes a paper and drys her hands.</t>
  </si>
  <si>
    <t>Another person is washing their hands.</t>
  </si>
  <si>
    <t>The girl throws away the papertowel.</t>
  </si>
  <si>
    <t>v_eOmL8f-yB40</t>
  </si>
  <si>
    <t>A man taps the top of a piano with a stick and talks to a large band sitting in front of him.</t>
  </si>
  <si>
    <t>He sits down at the piano and he and the band play.</t>
  </si>
  <si>
    <t>A large audience watches from near by.</t>
  </si>
  <si>
    <t>The man throws the stick behind the band.</t>
  </si>
  <si>
    <t>The man plays standing for a moment and then bows.</t>
  </si>
  <si>
    <t>v_83a5nOzZU1g</t>
  </si>
  <si>
    <t>A drink is being poured into a glass followed by a woman grabbing a glass and pouring mixtures into it.</t>
  </si>
  <si>
    <t>She creates an alcoholic drink by pouring several different mixes together and the camera zooming in on the drink.</t>
  </si>
  <si>
    <t>v_EqqqGf4wLH0</t>
  </si>
  <si>
    <t>A Mexican band is playing and singing.</t>
  </si>
  <si>
    <t>The camera does a closeup on each member.</t>
  </si>
  <si>
    <t>There is a crowd listening to them.</t>
  </si>
  <si>
    <t>The band name is on the back of their shirts.</t>
  </si>
  <si>
    <t>v_k6AzbT12a9c</t>
  </si>
  <si>
    <t>This man is on his hands and knees on the floor.</t>
  </si>
  <si>
    <t>This is being recorded from a tv screen and it's really loud.</t>
  </si>
  <si>
    <t>There's no one else in the room with this man and he looks like a woman who's being entered from behind.</t>
  </si>
  <si>
    <t>v_DaDHatB3RbM</t>
  </si>
  <si>
    <t>A close up of a canoe is seen moving along the water showing a person paddling in the front.</t>
  </si>
  <si>
    <t>Several more people are seen riding around in canoes and showing waterfalls as well as a fire.</t>
  </si>
  <si>
    <t>v_nj5dMUGvOWo</t>
  </si>
  <si>
    <t>A woman is doing a gymnastics routine on uneven bars.</t>
  </si>
  <si>
    <t>A woman does flips on the bar.</t>
  </si>
  <si>
    <t>She jumps off and lands on a mat.</t>
  </si>
  <si>
    <t>v_IDr50VT8BK8</t>
  </si>
  <si>
    <t>She picks up a red brush and begins brushing her hair.</t>
  </si>
  <si>
    <t>A Netflix advertisement is shown on the screen.</t>
  </si>
  <si>
    <t>v_iCkDtX_mTII</t>
  </si>
  <si>
    <t>A man is sitting on an exercise machine.</t>
  </si>
  <si>
    <t>He pulls a bar in front of him and starts working out.</t>
  </si>
  <si>
    <t>He drops the bar and finishes.</t>
  </si>
  <si>
    <t>v_lGvI5pyjpFg</t>
  </si>
  <si>
    <t>A young girl is seen standing behind a table squeezing limes while another washes dishes in the background.</t>
  </si>
  <si>
    <t>The girl continues juicing the fruit and walks towards the camera then back again.</t>
  </si>
  <si>
    <t>v_oZa-yum3mcU</t>
  </si>
  <si>
    <t>The Duggar mom and a little girl walks up to another woman at a horse ranch and the words on the bottom left say the woman's name is Morgan Brown and she's the Equestrian Instructor.</t>
  </si>
  <si>
    <t>The woman leads them into the barn and she puts a helmet on the little girls head, they walk to get horses and at some point the Duggar mom put a helmet on as well.</t>
  </si>
  <si>
    <t>In between interviews they show the Duggar mom and the little girl getting instructions about their horse and then getting on their horses and riding on them in an enclosed area.</t>
  </si>
  <si>
    <t>The red and white TLC logo remains on the bottom right area of the screen the whole time.</t>
  </si>
  <si>
    <t>v_B_heSKsoI9o</t>
  </si>
  <si>
    <t>A man is seen speaking to the camera and leads into several people holding and shooting bows.</t>
  </si>
  <si>
    <t>The instructors assists the students while speaking to the camera and shows several shots of the person shooting the arrows.</t>
  </si>
  <si>
    <t>v_c0Hix_5Vm8I</t>
  </si>
  <si>
    <t>A vans off the wall ad is shown.</t>
  </si>
  <si>
    <t>Multiple pictures flash across the screen.</t>
  </si>
  <si>
    <t>Men are shown drinking wine before performing numerous tricks on ski boards.</t>
  </si>
  <si>
    <t>Images of them in the air performing tricks and jumping are shown.</t>
  </si>
  <si>
    <t>v_h49mHiWjXBA</t>
  </si>
  <si>
    <t>man is standing in an icetrack talking to the camera.</t>
  </si>
  <si>
    <t>people are playing curling in an ice court.</t>
  </si>
  <si>
    <t>v_BIJK3xcjiKE</t>
  </si>
  <si>
    <t>Several clips are shown of people playing soccer in front of a large stadium.</t>
  </si>
  <si>
    <t>The people kick a ball all around the area as well as throw their hands up.</t>
  </si>
  <si>
    <t>More shots are shown of people playing against one another on different fields and celebrating.</t>
  </si>
  <si>
    <t>v__7AyUgKv3kU</t>
  </si>
  <si>
    <t>A kid is seen speaking to the camera and pans over to an older woman blowing leaves in yard.</t>
  </si>
  <si>
    <t>The woman speaks to the boy and he walks over to her while she still blows leaves around.</t>
  </si>
  <si>
    <t>In the end she's seen walking away past a fence.</t>
  </si>
  <si>
    <t>v_mhU_KzxJyr4</t>
  </si>
  <si>
    <t>A young male is sitting in the desert on top of a camel.</t>
  </si>
  <si>
    <t>The man begins talking to another male who has a red wrap on his head.</t>
  </si>
  <si>
    <t>The camel then lifts up and begins walking throughout the desert towards a group of kids and cars.</t>
  </si>
  <si>
    <t>v_1PTNnaEu8xo</t>
  </si>
  <si>
    <t>A man is tying a yellow belt around the waist of a taller man who shakes his hand and then shakes everyone else.</t>
  </si>
  <si>
    <t>The man and another begin to do some karate moves against one another but they rarely make physical contact.</t>
  </si>
  <si>
    <t>There is a group of men standing around them watching them.</t>
  </si>
  <si>
    <t>When they are finished, they take all take a group photo together.</t>
  </si>
  <si>
    <t>v_om1vXrpctVE</t>
  </si>
  <si>
    <t>Two large men are seen standing in a pit surrounded by others and one ref standing in the middle.</t>
  </si>
  <si>
    <t>The men then bow before one another as people continue to sweep the arena and lead into the men fighting.</t>
  </si>
  <si>
    <t>The men continuously wrestle one another while the ref moves around them and ends with them walking around then off stage.</t>
  </si>
  <si>
    <t>v_q9y-83399Ao</t>
  </si>
  <si>
    <t>A person in a yellow cap is swimming in a swimming pool.</t>
  </si>
  <si>
    <t>A person in a white shirt is talking.</t>
  </si>
  <si>
    <t>The person is out of the water moving their arms.</t>
  </si>
  <si>
    <t>v_NeUIHk1uCgA</t>
  </si>
  <si>
    <t>A woman mounts a beam with an audience in the background.</t>
  </si>
  <si>
    <t>The woman performs gymnastics on the beam.</t>
  </si>
  <si>
    <t>The woman dismounts from the beam.</t>
  </si>
  <si>
    <t>v_QY-2lN9zwho</t>
  </si>
  <si>
    <t>A young boy laughs while holding two toothbrushes.</t>
  </si>
  <si>
    <t>He uses an electric brush to brush his teeth.</t>
  </si>
  <si>
    <t>He shakes the brush, occasionally pouring water on it and putting it back in his mouth.</t>
  </si>
  <si>
    <t>v_A1SuSeqDTEI</t>
  </si>
  <si>
    <t>We see a man preparing to get in a kayak.</t>
  </si>
  <si>
    <t>We then see the man riding in his kayak on a rough river.</t>
  </si>
  <si>
    <t>The man goes over a rock.</t>
  </si>
  <si>
    <t>We see a mountain near the river.</t>
  </si>
  <si>
    <t>The kayak is overturned in the river.</t>
  </si>
  <si>
    <t>We see the man on the shore.</t>
  </si>
  <si>
    <t>We see the man go over a waterfall.</t>
  </si>
  <si>
    <t>We see the man pull his kayak onto the shore.</t>
  </si>
  <si>
    <t>We see the kayak overturned and we then see the river running.</t>
  </si>
  <si>
    <t>We see the ending screens.</t>
  </si>
  <si>
    <t>v_QCBaT1NJ32E</t>
  </si>
  <si>
    <t>A woman is seen laughing to the camera and begins smoking a cigarette.</t>
  </si>
  <si>
    <t>The woman takes puffs off of her cigarette while looking into the camera.</t>
  </si>
  <si>
    <t>The woman continues lifting up her cigarette and blowing smoke into the distance.</t>
  </si>
  <si>
    <t>v_g2uL6H3fP1c</t>
  </si>
  <si>
    <t>We see a man walking in a parking lot.</t>
  </si>
  <si>
    <t>The man starts performing martial arts moves.</t>
  </si>
  <si>
    <t>The man removes his shirt and necklace.</t>
  </si>
  <si>
    <t>The man flips around and does Capoeira moves.</t>
  </si>
  <si>
    <t>We see the man do a handstand on one hand.</t>
  </si>
  <si>
    <t>The man finishes, grabs his shirt, and walks off.</t>
  </si>
  <si>
    <t>We see video clips in the closing screen.</t>
  </si>
  <si>
    <t>v_p0O-EsMFcL4</t>
  </si>
  <si>
    <t>An individual rides on an inner tube down a river with rocks in it.</t>
  </si>
  <si>
    <t>A man pushes the individual downstream.</t>
  </si>
  <si>
    <t>Another man pushes the individual further downstream.</t>
  </si>
  <si>
    <t>v_kMYZWwZXx3E</t>
  </si>
  <si>
    <t>A camera pans all around a fence while text is being shown across.</t>
  </si>
  <si>
    <t>A person is shown in several shots spraying down the fence with a hose.</t>
  </si>
  <si>
    <t>In the end more clips are shown of the fence.</t>
  </si>
  <si>
    <t>v_lzQwtmUrSK4</t>
  </si>
  <si>
    <t>People are running around on dirt playing soccer.</t>
  </si>
  <si>
    <t>People are in an indoor arena playing soccer.</t>
  </si>
  <si>
    <t>People in the stands are applauding for them.</t>
  </si>
  <si>
    <t>v_c05oRliUOxk</t>
  </si>
  <si>
    <t>We see an opening title scene.</t>
  </si>
  <si>
    <t>We see people riding horses through the mountains.</t>
  </si>
  <si>
    <t>We turn and see the canyon and river.</t>
  </si>
  <si>
    <t>A person in blue turns around a few times.</t>
  </si>
  <si>
    <t>We see a large white mound of snow.</t>
  </si>
  <si>
    <t>The person in the blue shirt looks up the mountain.</t>
  </si>
  <si>
    <t>We see a blue bar at the bottom of the screen.</t>
  </si>
  <si>
    <t>v_wrf4MfW4MGg</t>
  </si>
  <si>
    <t>A man with long hair is seen brushing his face with a brush while holding his hand up and speaking to the camera.</t>
  </si>
  <si>
    <t>He then holds up the brush and grabs his hoodie while smiling at the camera.</t>
  </si>
  <si>
    <t>v_U_qCCwgS0OM</t>
  </si>
  <si>
    <t>Intro leads into A man mopping up dirt on a floor and showing the tools afterwards.</t>
  </si>
  <si>
    <t>Several shots of mops pushing around dirt is shown followed by the better mop being dipped into water and dripped on a table.</t>
  </si>
  <si>
    <t>A 3d mop shows how it works with a woman also moping up things on her floor.</t>
  </si>
  <si>
    <t>Several other shots of people mopping are shown as well as people shrugging and where to buy the mops.</t>
  </si>
  <si>
    <t>v_YrMrSXH8k6k</t>
  </si>
  <si>
    <t>A man is seen holding a blow torch and begins using it while pulling his mask down.</t>
  </si>
  <si>
    <t>The man continuously sparks with the machine on a piece of metal.</t>
  </si>
  <si>
    <t>He stops in the end while taking off his mask and looking into the camera.</t>
  </si>
  <si>
    <t>v_X4IE65LtDzQ</t>
  </si>
  <si>
    <t>A woman and young girl are seen speaking to the camera while holding together a toy.</t>
  </si>
  <si>
    <t>The two create a hop scotch game with the toy and lay it down on the ground and show off the foam.</t>
  </si>
  <si>
    <t>The woman speaks to the camera while the girl hops along the game.</t>
  </si>
  <si>
    <t>v_0bjHe_5nACw</t>
  </si>
  <si>
    <t>A woman is seen speaking to the camera while holding a violin and continues with her playing the violin and pausing.</t>
  </si>
  <si>
    <t>The woman continues playing the instrument and stopping to speak to the camera and demonstrate how to play.</t>
  </si>
  <si>
    <t>v_jwqotL-yNvE</t>
  </si>
  <si>
    <t>A video is shown of a first person view of someone exploring a large open field on the way to a track.</t>
  </si>
  <si>
    <t>Then, the person puts the camera down and begins working out on the track.</t>
  </si>
  <si>
    <t>The guys takes off his track suit and continues to work out.</t>
  </si>
  <si>
    <t>He flips himself over in the air and lands on a pile of sand.</t>
  </si>
  <si>
    <t>He proceeds to do some break dancing moves before the video ends.</t>
  </si>
  <si>
    <t>v_Wx-fRCjU9r0</t>
  </si>
  <si>
    <t>Teams are playing ice hockey in the center so everyone who's sitting down can watch them.</t>
  </si>
  <si>
    <t>The blue team scores a goal first and then people start clapping and cheering.</t>
  </si>
  <si>
    <t>Next the blue team scores another one again and the crowd goes wild.</t>
  </si>
  <si>
    <t>v_wt-PGxOkL_s</t>
  </si>
  <si>
    <t>A woman is seen bending down in front of the camera and turn on a faucet of water.</t>
  </si>
  <si>
    <t>The woman continues uses the water and begins scrubbing down a shirt and stepping in the buckets.</t>
  </si>
  <si>
    <t>More shots are shown of them cleaning the clothes and ends by hanging them up.</t>
  </si>
  <si>
    <t>v_Ls8ha6c0ye8</t>
  </si>
  <si>
    <t>a man is driving a car through a window.</t>
  </si>
  <si>
    <t>He gets a pass into a park area.</t>
  </si>
  <si>
    <t>He is shown driving, walking, and riding horses as he explores the area.</t>
  </si>
  <si>
    <t>v_c8iet_4ndU0</t>
  </si>
  <si>
    <t>A girl is jumping and swinging on balance bars.</t>
  </si>
  <si>
    <t>A woman in a black shirt is standing under her watching.</t>
  </si>
  <si>
    <t>She helps her jump off and land on a mat.</t>
  </si>
  <si>
    <t>v_9VGxxRNOdbM</t>
  </si>
  <si>
    <t>A gymnast put power chalk power on his hands and stands near the pommel horse.</t>
  </si>
  <si>
    <t>Then, the gymnast approach the pommel horse to spin around many times.</t>
  </si>
  <si>
    <t>Then, the gymnast stand on his hand and jumps to land on the floor, while people applaud.</t>
  </si>
  <si>
    <t>v_JSDZWq777Mc</t>
  </si>
  <si>
    <t>A man walks up to the side of a cabin.</t>
  </si>
  <si>
    <t>He uses a large knife to cut through the grass.</t>
  </si>
  <si>
    <t>He swings the knife back and forth, cutting the grass and weeds.</t>
  </si>
  <si>
    <t>v_xWY7A8Sf-HE</t>
  </si>
  <si>
    <t>A woman is standing on a field while people are gathered behind her.</t>
  </si>
  <si>
    <t>Several people run together, chasing each other.</t>
  </si>
  <si>
    <t>Kids are shown close up at the end.</t>
  </si>
  <si>
    <t>v_6z6iFou8nW0</t>
  </si>
  <si>
    <t>A boy in a green shirt steps on a stool to reach the sink.</t>
  </si>
  <si>
    <t>A woman stands next to him.</t>
  </si>
  <si>
    <t>The little boy washes his hands in the sink.</t>
  </si>
  <si>
    <t>She wipes the sink with a paper towel.</t>
  </si>
  <si>
    <t>The boy dries his hands with a towel.</t>
  </si>
  <si>
    <t>v_ctMcsGnutho</t>
  </si>
  <si>
    <t>A woman is seen speaking to the camera in a dealership and leads into several close ups of a car.</t>
  </si>
  <si>
    <t>The woman then presents various tools and begins taking off the tire off of the car.</t>
  </si>
  <si>
    <t>She pulls out a new tire and places it on the car, screwing it in place and showing where the tire is in the trunk.</t>
  </si>
  <si>
    <t>She closes the trunk and shows off the car while still speaking to the camera.</t>
  </si>
  <si>
    <t>v_wWOH-b4PTq4</t>
  </si>
  <si>
    <t>A large group of people are seen sitting on a beach that leads into several people sitting on sail boats and riding along.</t>
  </si>
  <si>
    <t>The various boats continue riding all along the water with the winner jumping in the water and standing proudly on the podium.</t>
  </si>
  <si>
    <t>v_h-N9TvaBax8</t>
  </si>
  <si>
    <t>woman is talking in news talking about a los angeles baseball player.</t>
  </si>
  <si>
    <t>me are in a street court playing dodgeball wearing dodgers uniform, people are watching the game and cars are passing by in the street.</t>
  </si>
  <si>
    <t>men wearing dodgers uniform are shown in pictures in a baseball field people on the terraces and the woman on the news talking about them.</t>
  </si>
  <si>
    <t>v_FrvK75jGdjE</t>
  </si>
  <si>
    <t>A child plays a violin on stage during a solo performance.</t>
  </si>
  <si>
    <t>A man watches with interest from the side of the stage.</t>
  </si>
  <si>
    <t>The girl pauses briefly then begins playing again.</t>
  </si>
  <si>
    <t>The girl lowers her violin and wand at the end of the performance.</t>
  </si>
  <si>
    <t>v_jqZg_FK2OlM</t>
  </si>
  <si>
    <t>A camera pans around a fenced in are and leads into a woman holding a paint brush.</t>
  </si>
  <si>
    <t>She brushes the side of the fence up and down while the camera continues looking around the side.</t>
  </si>
  <si>
    <t>v_DkouAjobzac</t>
  </si>
  <si>
    <t>An intro leads into a man talking and smiling into a camera and several shots of people preparing a boat and riding along the water.</t>
  </si>
  <si>
    <t>Another woman is seen talking to the camera followed by several more shots of the boat along the water and people riding and steering the boat.</t>
  </si>
  <si>
    <t>v_o1R8glzh0As</t>
  </si>
  <si>
    <t>Three men are seen walking in slow motion while another girl walks into frame and the group grab tubes from a pile.</t>
  </si>
  <si>
    <t>The people speak to the camera and are then seen sitting in the tubes and floating down a river.</t>
  </si>
  <si>
    <t>The people continuously ride down the river while bobbing back and fourth and are then seen sitting on a bus and speaking to one another.</t>
  </si>
  <si>
    <t>v_kzdRUWpBXd4</t>
  </si>
  <si>
    <t>A large group of people are seen dressed up in holiday gear and are seen throwing objects at one another.</t>
  </si>
  <si>
    <t>The people continue playing dodgeball against one another and end by dancing in the middle.</t>
  </si>
  <si>
    <t>v_6ffxjwTIZHk</t>
  </si>
  <si>
    <t>A man in a green shirt is holding some papers and talking outside.</t>
  </si>
  <si>
    <t>He starts moving some dirt next to a tree with his hand.</t>
  </si>
  <si>
    <t>He steps away from the tree and continues talking.</t>
  </si>
  <si>
    <t>v_Y53B2WdEbAg</t>
  </si>
  <si>
    <t>Several women are kneeling on the ground and working on preparing a soup.</t>
  </si>
  <si>
    <t>One of the women picks out some of the food from the grater.</t>
  </si>
  <si>
    <t>A woman slices some of the white vegetable into a yellow bowl.</t>
  </si>
  <si>
    <t>v_iFDr-o61ewo</t>
  </si>
  <si>
    <t>A little boy carries a bower on his back and blow dead leaves of a backyard.</t>
  </si>
  <si>
    <t>Then, the little boy goes to other place to blow leaves.</t>
  </si>
  <si>
    <t>After, the little boy blow leaves near a tree.</t>
  </si>
  <si>
    <t>v_Vf02ZDnbduk</t>
  </si>
  <si>
    <t>A piece of exercise equipment is put together through technology and then shown in real time.</t>
  </si>
  <si>
    <t>A person's hand turns a knob on the machine and begins running on the machine.</t>
  </si>
  <si>
    <t>Close ups of her feet are shown as well as several other angles of her running.</t>
  </si>
  <si>
    <t>v_AQSiBbhLBhs</t>
  </si>
  <si>
    <t>A woman with very long hair is standing on a balcony showing off the length of her hair.</t>
  </si>
  <si>
    <t>She turns around and faces the camera continuing to brush her hair and display its length.</t>
  </si>
  <si>
    <t>She begins to twirl and sway her hair with her back to the camera and that is when the video ends.</t>
  </si>
  <si>
    <t>v_2FcdD7WapJM</t>
  </si>
  <si>
    <t>A person is seen unscrewing a bottle of mouth wash and pouring it into a cup.</t>
  </si>
  <si>
    <t>The girl then drinks from it and swishes it around her mouth.</t>
  </si>
  <si>
    <t>She spits out the mixture and shows off pictures in the end.</t>
  </si>
  <si>
    <t>v_zLF5DSuDixg</t>
  </si>
  <si>
    <t>A compilation of shot put is put together, you see many different men getting prepared.</t>
  </si>
  <si>
    <t>They turn their bodies very quickly building up as much speed as they can before taking their shot.</t>
  </si>
  <si>
    <t>They practice and they do it professionally, it a serious sport that people really enjoy yo be a part of.</t>
  </si>
  <si>
    <t>They tend to get very excited when they do good on their throws.</t>
  </si>
  <si>
    <t>v__032TQam_mY</t>
  </si>
  <si>
    <t>A woman in a purple coat is talking.</t>
  </si>
  <si>
    <t>She starts brushing a horse with the brush.</t>
  </si>
  <si>
    <t>She cleans the bottom of the horse's foot.</t>
  </si>
  <si>
    <t>She sprays the horse's tail and starts brushing it.</t>
  </si>
  <si>
    <t>She finishes and continues talking to the camera.</t>
  </si>
  <si>
    <t>v_nfe_V3ei6ag</t>
  </si>
  <si>
    <t>A volleyball player throws the ball in the air.</t>
  </si>
  <si>
    <t>Her teammate catches it and throws it over the net.</t>
  </si>
  <si>
    <t>The volleyball player serves the ball.</t>
  </si>
  <si>
    <t>An opposing player dives to spike the ball.</t>
  </si>
  <si>
    <t>Her teammate throws the ball over the net.</t>
  </si>
  <si>
    <t>The volleyball player who dove earlier spikes the ball over the net.</t>
  </si>
  <si>
    <t>An opposing player hits the ball.</t>
  </si>
  <si>
    <t>Her teammate hits it back at her.</t>
  </si>
  <si>
    <t>The teammate spikes it over the net.</t>
  </si>
  <si>
    <t>The opposing player hits the ball.</t>
  </si>
  <si>
    <t>Her teammate throws the ball over the net to the opposing team.</t>
  </si>
  <si>
    <t>The opposing player hits the ball towards her teammate.</t>
  </si>
  <si>
    <t>Her teammate hits the ball.</t>
  </si>
  <si>
    <t>Her teammate hits the ball over the net.</t>
  </si>
  <si>
    <t>An opposing player dives and hits the ball.</t>
  </si>
  <si>
    <t>One of the teammates on the opposing team dives to catch and throw the out of bounds ball.</t>
  </si>
  <si>
    <t>v_dE1NAofn3ks</t>
  </si>
  <si>
    <t>A curler prepares to make a curling shot while being watch be other people in the arena.</t>
  </si>
  <si>
    <t>She makes the shot and lets go of the puck as the other team members chase it and sweep the ice.</t>
  </si>
  <si>
    <t>Another shot is made, and team members proceed to follow the shot and sweep the ice.</t>
  </si>
  <si>
    <t>A third shot is then made and the curlers allow the shot to knock out another puck.</t>
  </si>
  <si>
    <t>v_BII4aKnegaU</t>
  </si>
  <si>
    <t>A small group of people are seen taking a spin class together that leads into a man speaking to the camera.</t>
  </si>
  <si>
    <t>Shots of the gym are shown that lead into another cycling class with the man leading the group and still speaking to the camera.</t>
  </si>
  <si>
    <t>v_EjUMR9v_8Pg</t>
  </si>
  <si>
    <t>A man and a woman are sitting down talking on a bench in front of a wall with several rims.</t>
  </si>
  <si>
    <t>The two then stand up and begin talking and you can see that they are in a junk yard.</t>
  </si>
  <si>
    <t>Finally,they begin dancing together and do rugged hip hop dance moves suited for the environment.</t>
  </si>
  <si>
    <t>v_YPlsA_vTltk</t>
  </si>
  <si>
    <t>A girl walks in from the side and begins stomping in the room.</t>
  </si>
  <si>
    <t>The girl continues exercising and moves side to side and starts to put her foot up moving in a hip hop fashion.</t>
  </si>
  <si>
    <t>She then moves into a sort of squat of some sort and continues moving and then slides from left to right and continues dancing and crumping.</t>
  </si>
  <si>
    <t>v_DuU7OKTAmsY</t>
  </si>
  <si>
    <t>We see people floating in a lake in purple rafts.</t>
  </si>
  <si>
    <t>A person puts their feet on a rock.</t>
  </si>
  <si>
    <t>The people hit the rough water.</t>
  </si>
  <si>
    <t>We see a red canoe on the shore.</t>
  </si>
  <si>
    <t>We pan over the river.</t>
  </si>
  <si>
    <t>v_Cdmd9VB8tJI</t>
  </si>
  <si>
    <t>A man is shown washing a dog with a water hose in a backyard with several flowers.</t>
  </si>
  <si>
    <t>The camera pans around the wet dog as the man continues to wash him and he shakes off.</t>
  </si>
  <si>
    <t>He pours more shampoo on the dog and rubs the shampoo into it's fur.</t>
  </si>
  <si>
    <t>v_lKSWdEIuJtM</t>
  </si>
  <si>
    <t>A back yard area is seen that leads into several kids and older man working on a ladder.</t>
  </si>
  <si>
    <t>The group cuts hedges along the side as well as throw them into a bucket and help the older man.</t>
  </si>
  <si>
    <t>The kids continue to help the other man by gathering leaves as he pushing them back towards the front.</t>
  </si>
  <si>
    <t>v_opaWopwV74I</t>
  </si>
  <si>
    <t>A woman is sitting bent over and washing her laundry by hand in a bowl.</t>
  </si>
  <si>
    <t>Her friend comes by and talks to her and laugh before walking away again.</t>
  </si>
  <si>
    <t>She continues to scrub her clothes extensively, making sure its nice and clean before putting in another bucket.</t>
  </si>
  <si>
    <t>She washes and washes and throws them in the dry bucket when she is done.</t>
  </si>
  <si>
    <t>v_v8fS--GlXF4</t>
  </si>
  <si>
    <t>A man is seen kneeling down on the dirt when a bull comes running into the man.</t>
  </si>
  <si>
    <t>He knocks over the man and is dragged away, followed by his clip being shown again.</t>
  </si>
  <si>
    <t>Several more clips are shown of people chasing bulls and running away.</t>
  </si>
  <si>
    <t>v_v3tNh1and0U</t>
  </si>
  <si>
    <t>A swimmer swims inside of a pool.</t>
  </si>
  <si>
    <t>The swimmer is seen wearing a training snorkel.</t>
  </si>
  <si>
    <t>v_Gi55CA6ktE8</t>
  </si>
  <si>
    <t>A screen of fighters are shown and then two random images are selected.</t>
  </si>
  <si>
    <t>Once selected,the pictures move to the top corners of the screen and two people dressed in sumo uniforms stand in the middle of a round-about and begin fighting as cars travel around them.</t>
  </si>
  <si>
    <t>v_rhDxMg72ofo</t>
  </si>
  <si>
    <t>An intro begins then shows pictures of a girl standing in the bathroom with long, straight hair.</t>
  </si>
  <si>
    <t>She then begins talking to the camera while stroking her hair followed by blow drying and brushing her hair.</t>
  </si>
  <si>
    <t>She then puts lotion into her hair and breaking her hair into sections.</t>
  </si>
  <si>
    <t>She straightens each section of hair and smiles in the end.</t>
  </si>
  <si>
    <t>v_sYpC9oPhmY4</t>
  </si>
  <si>
    <t>A band is gathered outside a building.</t>
  </si>
  <si>
    <t>A leader is using a baton to instruct them.</t>
  </si>
  <si>
    <t>They are playing the drums for a small audience.</t>
  </si>
  <si>
    <t>v_V4BNtCtuSQQ</t>
  </si>
  <si>
    <t>A guy in the backyard is mowing the lawn on a hot and sunny day while a lady records and narrates.</t>
  </si>
  <si>
    <t>He starts to go in a back and forth motion as he moves the mower.</t>
  </si>
  <si>
    <t>The guy changes direction as he continues to mow.</t>
  </si>
  <si>
    <t>v_MnzVdvbvnMc</t>
  </si>
  <si>
    <t>A group of guards march down a driveway as they play the trumpets.</t>
  </si>
  <si>
    <t>A man heats a small pan with a flame.</t>
  </si>
  <si>
    <t>Three soldiers standing near watch him.</t>
  </si>
  <si>
    <t>The man grabs a paintbrush and moves it around in the pan.</t>
  </si>
  <si>
    <t>He takes the brush and brushes a shoe.</t>
  </si>
  <si>
    <t>He flames the shoe with the flame canister.</t>
  </si>
  <si>
    <t>He brushes the shoe again.</t>
  </si>
  <si>
    <t>He then flames the shoe some more.</t>
  </si>
  <si>
    <t>v_-DTxZliHCTE</t>
  </si>
  <si>
    <t>A man is mowing the lawn on a yard and laughing and making jokes with friends that are watching.</t>
  </si>
  <si>
    <t>He begins to run with the lawn mover and nearly runs into something as his friends laugh in enjoyment.</t>
  </si>
  <si>
    <t>One of his friends tries to help him as he is mowing the lawn.</t>
  </si>
  <si>
    <t>v_6aj1njn541k</t>
  </si>
  <si>
    <t>a girl is sitting in a chair talking.</t>
  </si>
  <si>
    <t>A woman walks up to the girl and wipes her earlobes.</t>
  </si>
  <si>
    <t>The woman then pierces the girl's ear.</t>
  </si>
  <si>
    <t>The girl puts her glasses on after her ears are pieced.</t>
  </si>
  <si>
    <t>v_q6bl7g5JGng</t>
  </si>
  <si>
    <t>A man is shown smiling in an image as words go over his face.</t>
  </si>
  <si>
    <t>He is in and indoor court, showing a little boy how to hit a tennis ball against the wall with a racket.</t>
  </si>
  <si>
    <t>The boy tries several times.</t>
  </si>
  <si>
    <t>v_AF8sbdPa4rE</t>
  </si>
  <si>
    <t>A man with no hands grabs a dart that is stuck to the board and walks backward.</t>
  </si>
  <si>
    <t>He then throws the dark up in the air to show it landed on the board.</t>
  </si>
  <si>
    <t>v_F5IWShcFIN4</t>
  </si>
  <si>
    <t>A storm trooper is seen speaking to the camera and leads into a camera panning around a neighbor and the man walking around.</t>
  </si>
  <si>
    <t>Many kids stop to speak to the man as well as cars stopping to speak.</t>
  </si>
  <si>
    <t>v_YBuNpnthXfE</t>
  </si>
  <si>
    <t>A large group of people are seen playing a game of tug of war with other people walking around.</t>
  </si>
  <si>
    <t>The people play back and fourth while others watching on the side.</t>
  </si>
  <si>
    <t>One group then pulls another down and ends by walking away.</t>
  </si>
  <si>
    <t>v_lsgB3WU-1r0</t>
  </si>
  <si>
    <t>A city skyline appears in front of a large river.</t>
  </si>
  <si>
    <t>Several businesses are shown from the outside.</t>
  </si>
  <si>
    <t>A fencing match commences inside a building.</t>
  </si>
  <si>
    <t>v_2fs09c8gFsk</t>
  </si>
  <si>
    <t>We see people riding bumper cars.</t>
  </si>
  <si>
    <t>The camera moves down the row to the right.</t>
  </si>
  <si>
    <t>The girl in black gets stuck the gets going.</t>
  </si>
  <si>
    <t>The cars then come to a stop.</t>
  </si>
  <si>
    <t>v_hv3tNd_6qB4</t>
  </si>
  <si>
    <t>A woman dances while another stands in the background.</t>
  </si>
  <si>
    <t>A third woman sweeps the floor.</t>
  </si>
  <si>
    <t>The second woman starts walking around with a towel under one foot.</t>
  </si>
  <si>
    <t>The first woman stops dancing and starts walking around with a towel under one foot.</t>
  </si>
  <si>
    <t>The sweeping woman stops, jumps, and waves before resuming.</t>
  </si>
  <si>
    <t>The first woman pulls items out of a cabinet and places them on the floor.</t>
  </si>
  <si>
    <t>A fourth individual is briefly shown in the doorway.</t>
  </si>
  <si>
    <t>v_rfWlK9njyzg</t>
  </si>
  <si>
    <t>The floor has a hopscotch on it.</t>
  </si>
  <si>
    <t>Someone is sitting with a lap top.</t>
  </si>
  <si>
    <t>There is a trashcan in the corner.</t>
  </si>
  <si>
    <t>A boy is playing hopscotch.</t>
  </si>
  <si>
    <t>v_3YdmY4oPE5s</t>
  </si>
  <si>
    <t>A small group of people are seen standing around a field when one lady hits a ball.</t>
  </si>
  <si>
    <t>The people continue playing crochet on the lawn while walking around.</t>
  </si>
  <si>
    <t>v_XhqFJNRt-5g</t>
  </si>
  <si>
    <t>People are walking in front of a white fence.</t>
  </si>
  <si>
    <t>Behind the fence a man is riding a horse.</t>
  </si>
  <si>
    <t>He ropes a calf and throws it down onto the ground.</t>
  </si>
  <si>
    <t>He ties the legs of the calf and stands up.</t>
  </si>
  <si>
    <t>He gets back on his horse.</t>
  </si>
  <si>
    <t>v_n-hsQkfdUk0</t>
  </si>
  <si>
    <t>A person plays tam-tam using three instruments.</t>
  </si>
  <si>
    <t>Other man plays the drums using two sticks.</t>
  </si>
  <si>
    <t>v_wSTU_jI-FRU</t>
  </si>
  <si>
    <t>A cartoon yellow character is shown running with bulls behind him.</t>
  </si>
  <si>
    <t>Several sumo wrestlers are then shown running down a track.</t>
  </si>
  <si>
    <t>A gun fires, and they run again.</t>
  </si>
  <si>
    <t>v_LSkcoamI3gw</t>
  </si>
  <si>
    <t>A man comes outside and starts shoveling the snow with his black shovel and many people drive past while he's doing it.</t>
  </si>
  <si>
    <t>In the end the camera zooms in to show what is written in the big pile of snow.</t>
  </si>
  <si>
    <t>The letters create this world known holiday phrase and that is Merry Christmas including the year 2013.</t>
  </si>
  <si>
    <t>v_ntYIITLp90k</t>
  </si>
  <si>
    <t>A man gets on his bike.</t>
  </si>
  <si>
    <t>The tire is flat and he feels it.</t>
  </si>
  <si>
    <t>He hooks the air pump up to the tire.</t>
  </si>
  <si>
    <t>Tools are sitting on a brick wall.</t>
  </si>
  <si>
    <t>He turns the bike upside down to look at the tire.</t>
  </si>
  <si>
    <t>He takes a nut off of the wheel to get the tire off.</t>
  </si>
  <si>
    <t>He uses a tool to get the tire off of the wheel.</t>
  </si>
  <si>
    <t>He pumps a pump and then fills it with water.</t>
  </si>
  <si>
    <t>He rubs chalk on the tire and puts glue on it.</t>
  </si>
  <si>
    <t>He puts the tire back on the wheel.</t>
  </si>
  <si>
    <t>He puts the air pump on and fills it with air.</t>
  </si>
  <si>
    <t>He gets on his bike and rides away.</t>
  </si>
  <si>
    <t>v_xMChLTVPzNI</t>
  </si>
  <si>
    <t>A woman is seen standing behind a counter speaking to the camera and pointing to various ingredients.</t>
  </si>
  <si>
    <t>She pours oil into a hot pan and begins mixing ingredients together in the pan.</t>
  </si>
  <si>
    <t>She boils noodles into a pot and mixes it together in the pan and serves it onto a plate.</t>
  </si>
  <si>
    <t>v_fJ7gcHxxJMM</t>
  </si>
  <si>
    <t>A girl in a one piece bathing suit begins walking on a diving board that's located in a large indoor pool area with a lot of people in the stands.</t>
  </si>
  <si>
    <t>When the girl gets to the end of the diving board she jumps and then flips and spins into the pool.</t>
  </si>
  <si>
    <t>When the girl hits the water she makes a small splash.</t>
  </si>
  <si>
    <t>v_YmVdnkDo0xQ</t>
  </si>
  <si>
    <t>A man is seen cleaning up a bathroom when a walks into frame and leads into a news article.</t>
  </si>
  <si>
    <t>A picture of a sign is shown followed by a person washing their hands as well as clips from tv shows.</t>
  </si>
  <si>
    <t>More shots are articles are shown and ends with people walking in a subway.</t>
  </si>
  <si>
    <t>v_oOYaw6-b4SY</t>
  </si>
  <si>
    <t>A blurry vision shows two people in a gym with one punching and kicking the other holding gloves.</t>
  </si>
  <si>
    <t>The two continue to move around the gym practicing their kicks and punches.</t>
  </si>
  <si>
    <t>v_9BR5LChbBLQ</t>
  </si>
  <si>
    <t>There's a black and red colored race car in a parking lot.</t>
  </si>
  <si>
    <t>A man wearing beige shorts begins cleaning the black race car with a cloth and a spray.</t>
  </si>
  <si>
    <t>He wipes the car down to make it shiny and clean.</t>
  </si>
  <si>
    <t>Both the cars are parked in the parking lot, looking clean and sparkly after a car wash.</t>
  </si>
  <si>
    <t>Information about Hand Job, mobile waterless car wash is shown on the screen.</t>
  </si>
  <si>
    <t>v_AQ2-EcbX4dE</t>
  </si>
  <si>
    <t>A small group of people are seen standing around a large horse in a barn full of hay.</t>
  </si>
  <si>
    <t>The people brush the horse all along the sides when a woman comes out back to speak to them.</t>
  </si>
  <si>
    <t>v_UB2GzjNzo3M</t>
  </si>
  <si>
    <t>A man is seen riding a bike in slow motion with a flag in the back and leads into several clips of people of all ages riding bikes.</t>
  </si>
  <si>
    <t>The people continuing riding around the dirt court while other stand ready on their bikes and interact with one another.</t>
  </si>
  <si>
    <t>v_tJcbG_HGZE8</t>
  </si>
  <si>
    <t>A glue stick is shown on a table.</t>
  </si>
  <si>
    <t>A pair of scissors is on a table.</t>
  </si>
  <si>
    <t>A person gets on a computer and prints something.</t>
  </si>
  <si>
    <t>They stick that to their door.</t>
  </si>
  <si>
    <t>v_zvXi08rTq3Y</t>
  </si>
  <si>
    <t>A man is in the car with a small boy.</t>
  </si>
  <si>
    <t>We see an orange car come into the screen followed by a gold car.</t>
  </si>
  <si>
    <t>v_vi8zTSA6bhY</t>
  </si>
  <si>
    <t>man is in a swinging make a kind of somervault on the air.</t>
  </si>
  <si>
    <t>the man makes the big jump in the air and lands in a bike and stat riding it.</t>
  </si>
  <si>
    <t>men iss swinging in a green grassy yard.</t>
  </si>
  <si>
    <t>v_ggw-70xi0dA</t>
  </si>
  <si>
    <t>A man with a red jacket and grey pants is walking across a slack line in the middle of the mountains.</t>
  </si>
  <si>
    <t>As he is trying to tight rope,he falls over and is never able to stand up.</t>
  </si>
  <si>
    <t>Although he isn't able to get up,he holds on and starts bouncing up and down upside down.</t>
  </si>
  <si>
    <t>v_65rZgGe7Zr4</t>
  </si>
  <si>
    <t>man is walking in a backyard shake the tree holds a broom and sweep the dry leaves on the floor.</t>
  </si>
  <si>
    <t>man go for a dustpan and a bag and pick up the leaves from the floor.</t>
  </si>
  <si>
    <t>v_PI_A4uJ_fsI</t>
  </si>
  <si>
    <t>A man is setting up cameras and lighting in the background for some video shoot.</t>
  </si>
  <si>
    <t>A man is on a machine standing and using only his arms and feet to move on it.</t>
  </si>
  <si>
    <t>Then a woman gets on it taking the mans place and she uses the machine.</t>
  </si>
  <si>
    <t>They are creating a commercial advertisment for television viewers.</t>
  </si>
  <si>
    <t>v_Gz0UlnBx6JU</t>
  </si>
  <si>
    <t>man is talking to the camera in a news studio and sart talking with a man that is part of a band.</t>
  </si>
  <si>
    <t>band is in a stage, men are playing drums.</t>
  </si>
  <si>
    <t>man is again in news studio with the band and man start laying drums.</t>
  </si>
  <si>
    <t>v_Ci__IRtoMOo</t>
  </si>
  <si>
    <t>We see people riding in bumper cars.</t>
  </si>
  <si>
    <t>A girl is waving frilly toy.</t>
  </si>
  <si>
    <t>A little boy in gray smiles a the camera.</t>
  </si>
  <si>
    <t>We see a man in a red hat with a boy laughing hard.</t>
  </si>
  <si>
    <t>We see a traffic jam on the right.</t>
  </si>
  <si>
    <t>We zoom in on a lady in a white shirt.</t>
  </si>
  <si>
    <t>The lady in white smiles at the camera.</t>
  </si>
  <si>
    <t>The ride ends and the people all stand up.</t>
  </si>
  <si>
    <t>v_w8lqIgJn09Y</t>
  </si>
  <si>
    <t>A man in an athletic uniform begins swinging a ball and a string around.</t>
  </si>
  <si>
    <t>He lets go and the ball hits the screen as he falls to the ground.</t>
  </si>
  <si>
    <t>The video is replayed at various speeds.</t>
  </si>
  <si>
    <t>v_Z-syOvXCc20</t>
  </si>
  <si>
    <t>A young child is seen sitting on a swing set when an older man steps behind him and pushes.</t>
  </si>
  <si>
    <t>The boy moves back and fourth on the swing and leads to the boy jumping off and the man looking surprised.</t>
  </si>
  <si>
    <t>v_dtvIQ9Pd-Bg</t>
  </si>
  <si>
    <t>We see a man and the intro scene.</t>
  </si>
  <si>
    <t>A man in a kitchen has knifes and a sharpening block.</t>
  </si>
  <si>
    <t>The man wets the block and runs a knife across two different blocks.</t>
  </si>
  <si>
    <t>The man grabs a pole and sharpens the knife on it.</t>
  </si>
  <si>
    <t>The man wipes the knife on a towel.</t>
  </si>
  <si>
    <t>The man grabs and removes a lemon.</t>
  </si>
  <si>
    <t>The man shows us an upside down pot.</t>
  </si>
  <si>
    <t>v_vPhAXENSjiw</t>
  </si>
  <si>
    <t>The cheerleading team comes out for a performance.</t>
  </si>
  <si>
    <t>A girl attempts multiple flips and sticks the landing.</t>
  </si>
  <si>
    <t>Another girls follows suit as the team works hard in the background.</t>
  </si>
  <si>
    <t>The team shows off some dance moves next and the crowd cheers.</t>
  </si>
  <si>
    <t>After some more team-flips the team poses and celebrates as the routine ends.</t>
  </si>
  <si>
    <t>Several members hug and talk.</t>
  </si>
  <si>
    <t>The judges submit their scores and the team anticipates the results.</t>
  </si>
  <si>
    <t>The team is crowned the winners of the competition.</t>
  </si>
  <si>
    <t>v_qTvZtsi-3KU</t>
  </si>
  <si>
    <t>Some women are swimming in a pool.</t>
  </si>
  <si>
    <t>They have babies in their arms as they swim.</t>
  </si>
  <si>
    <t>They are teaching the babies to go under water and hold their breaths.</t>
  </si>
  <si>
    <t>v_elW8E-9bCRQ</t>
  </si>
  <si>
    <t>Two very tall men in tuxedos are dancing outside of a store.</t>
  </si>
  <si>
    <t>People are standing back watching them do their dance.</t>
  </si>
  <si>
    <t>One of the men puts his foot out while the other turns him in circles.</t>
  </si>
  <si>
    <t>When the dance is finally over both men shake hands and wave to the crowd.</t>
  </si>
  <si>
    <t>v_nAkA1HfRwF8</t>
  </si>
  <si>
    <t>A man is seen doing flips on a soft floor while moving in slow motion.</t>
  </si>
  <si>
    <t>The man continues performing several tricks across the floor and ends with a title sequence across the screen.</t>
  </si>
  <si>
    <t>v_uXcCES4BsQ0</t>
  </si>
  <si>
    <t>Two people are seen sitting behind a counter when one moves back and fourth and prepares himself.</t>
  </si>
  <si>
    <t>The man then solves a rubix cube while a timer is going and he puts a blindfold over his eyes and a person puts paper in front.</t>
  </si>
  <si>
    <t>He solves the sube and then slams his hands down on the table.</t>
  </si>
  <si>
    <t>v_-Xl95IW5H_s</t>
  </si>
  <si>
    <t>This is a tutorial on how to start a campfire.</t>
  </si>
  <si>
    <t>It shows the campfire burning on the ground.</t>
  </si>
  <si>
    <t>It starts with the things you will need to begin with.</t>
  </si>
  <si>
    <t>A designated place and some rocks arranged in a circle to create a pit.</t>
  </si>
  <si>
    <t>Some crumpled newspaper and a lighter along with a bucket of water.</t>
  </si>
  <si>
    <t>A man begins demonstrating how to place the newspaper and twigs on top of that.</t>
  </si>
  <si>
    <t>He then creates a pyramid shaped structure.</t>
  </si>
  <si>
    <t>He takes his lighter and lights the newspaper in several places to start the fire.</t>
  </si>
  <si>
    <t>The bonfire starts burning and continues to burn.</t>
  </si>
  <si>
    <t>He adds a few more twigs to keep the flames burning.</t>
  </si>
  <si>
    <t>v_aIwFZCRFHx8</t>
  </si>
  <si>
    <t>First the people are all shown sitting in their cars in one long line.</t>
  </si>
  <si>
    <t>Then the cars get powered on and they are able to get driven.</t>
  </si>
  <si>
    <t>After the people are done driving they all get out of the cars.</t>
  </si>
  <si>
    <t>v_NpKBAtQ5M6I</t>
  </si>
  <si>
    <t>An older man with a long ponytail and a pair of glasses is outside kneeling near a bike.</t>
  </si>
  <si>
    <t>The man has a pair of blue pliers in his hand and begins fixing the chain on the bike.</t>
  </si>
  <si>
    <t>Once the chain is on,he begins moving the pedal and demonstrates how the chain is operating.</t>
  </si>
  <si>
    <t>After awhile,he stops the chain and begins to take two links out of the chain on the bike.</t>
  </si>
  <si>
    <t>As the chain begins to hang down,the man puts it back in the right place and begins to spin the back wheel and begins to talk when he is finished.</t>
  </si>
  <si>
    <t>v_5laHmakSAAg</t>
  </si>
  <si>
    <t>The video leads into several shots of people throwing impressive shots of balls landing into cups.</t>
  </si>
  <si>
    <t>Several people are shown throwing balls into a cup and the camera showing a close up.</t>
  </si>
  <si>
    <t>v_q3-S2tg4ULw</t>
  </si>
  <si>
    <t>Young boy talks to camera in front of drum set in a studio.</t>
  </si>
  <si>
    <t>Young boy plays on the drum set, and the cymbals, while intermittently speaking to the camera.</t>
  </si>
  <si>
    <t>The boy finishes up recording his drum session and returns to the camera.</t>
  </si>
  <si>
    <t>v_9PqYL4zTnxY</t>
  </si>
  <si>
    <t>A woman is in a driveway, doing tricks and stunts as she jumps rope.</t>
  </si>
  <si>
    <t>She increases speed, then stops as a man approaches her to discuss her technique.</t>
  </si>
  <si>
    <t>She then returns to demonstrating how to jump rope, and the various names of the moves.</t>
  </si>
  <si>
    <t>v_mDqiAEB4Ads</t>
  </si>
  <si>
    <t>A view from indoors show a nice ocean view then pans to a man on his knees on the ground as he grouts some tiles and the white words on the screen say "INSTALLING TILES WITH DITRA".</t>
  </si>
  <si>
    <t>The man is then shown putting spacers in between tiles and measuring.</t>
  </si>
  <si>
    <t>The man then goes to another part of the room with a white bucket and an orange cloth and is wiping down wooden floorboards.</t>
  </si>
  <si>
    <t>The man is then shown pouring powder into a large white bucket, pouring water into it then mixing the contents with a hand drill.</t>
  </si>
  <si>
    <t>The man is then in a corner of the room and he's applying the mixture onto the floorboards then puts down an orange material.</t>
  </si>
  <si>
    <t>The man is then shown cutting the tiles with a manual hand cutter while another man is helping him by holding it, the the man holding the tile takes it away and sands it.</t>
  </si>
  <si>
    <t>The man is shown once again on his hands and knees and is applying putty onto the ground or the tile, putting the tiles down, adding spacers, then measuring that it's all even with a white circular leveler.</t>
  </si>
  <si>
    <t>A low view of the tiles are shown and a man is grouting, wiping tiles down and various views of the tiled room are shown.</t>
  </si>
  <si>
    <t>v_Lfh5p8ReOYo</t>
  </si>
  <si>
    <t>A woman is seen sitting at the end of a bed taking her shoes off and then baby's feet walking.</t>
  </si>
  <si>
    <t>Shots of furniture is shown that leads into a woman speaking, followed by several people vacuuming and stepping onto the carpet.</t>
  </si>
  <si>
    <t>A person adjusts the vacuum and continues using it while the woman speaks, and leads into a man playing with a baby.</t>
  </si>
  <si>
    <t>v_vYxBAbbvSxc</t>
  </si>
  <si>
    <t>A GoPro camera is seen and then another screen appears showing that the camera has won awards.</t>
  </si>
  <si>
    <t>A camera is mounted on the helmet of a water skier and after he gets himself into position a man on a horse by a pond pull him for a ride.</t>
  </si>
  <si>
    <t>Near land he lets go and falls into the water, as he celebrates and points at the man on the horse as a dog runs by.</t>
  </si>
  <si>
    <t>A screen appears asking to submit footage to the GoPro awards.</t>
  </si>
  <si>
    <t>v__6fbXk6y8X0</t>
  </si>
  <si>
    <t>We see a man kite surfing.</t>
  </si>
  <si>
    <t>We pass a person on the beach.</t>
  </si>
  <si>
    <t>The rider falls in the water.</t>
  </si>
  <si>
    <t>Water splashes and covers the camera lens.</t>
  </si>
  <si>
    <t>The person is riding in the other direction.</t>
  </si>
  <si>
    <t>We see the sand blowing in the wind.</t>
  </si>
  <si>
    <t>v_nVk5nIE-6bM</t>
  </si>
  <si>
    <t>There are a lot of people gathered on the street to watch a parade or to be in the parade.</t>
  </si>
  <si>
    <t>There are 4 young people dressed in military attire carrying a red and white banner in a parade.</t>
  </si>
  <si>
    <t>They are then followed by a group of dancing girls that are all dressed in the same outfits that are red, white and black, but some are wearing white tops and the others are wearing red tops.</t>
  </si>
  <si>
    <t>They are then followed by a very large band that are playing different instruments and they are all in sync and one woman is enjoying it so much that she begins to dance while the band plays on.</t>
  </si>
  <si>
    <t>v_mHWQrZW6-0M</t>
  </si>
  <si>
    <t>Several people canoe down a lake interspersed with several still photos of the lake stats and features.</t>
  </si>
  <si>
    <t>Several still photos of the lake are shown which includes browned and dry weeds/marsh and calm blue water along with a shallow body of water heavy with rocks.</t>
  </si>
  <si>
    <t>Two canoes with people in them are shown in the lake.</t>
  </si>
  <si>
    <t>An art mural of a blue and yellow fish is shown along with more still shots and video of people on the lake.</t>
  </si>
  <si>
    <t>v_9GP266ETAuE</t>
  </si>
  <si>
    <t>A ball is shown swinging around followed by shots of scenery and people getting ready.</t>
  </si>
  <si>
    <t>A man records an athlete holding the ball and sitting on a bench.</t>
  </si>
  <si>
    <t>Various people are shown getting ready to perform followed by several people swinging the balls.</t>
  </si>
  <si>
    <t>Eventually several different women are shown performing the task while also warming up their throws.</t>
  </si>
  <si>
    <t>v_u0p_dBCEDs4</t>
  </si>
  <si>
    <t>We see an intro screen with arrows.</t>
  </si>
  <si>
    <t>A chef is talking while standing in front of a bow as she cooks spaghetti.</t>
  </si>
  <si>
    <t>The lady adds salt, and spaghetti to boiling water.</t>
  </si>
  <si>
    <t>The lady grabs a noodle to show how it should look when cooked.</t>
  </si>
  <si>
    <t>The lady drains the water, adds sauce, and adds some of the cook water.</t>
  </si>
  <si>
    <t>She puts it on a plate.</t>
  </si>
  <si>
    <t>We then see the black credits rolling.</t>
  </si>
  <si>
    <t>v_exhsUZg_xQA</t>
  </si>
  <si>
    <t>man is standing in a track in a roofed gym and runs to make big jumps in front of judges.</t>
  </si>
  <si>
    <t>people are in terraces watching the boy.</t>
  </si>
  <si>
    <t>man claps after the man make the jumps.</t>
  </si>
  <si>
    <t>v_4-_ZQGwppfI</t>
  </si>
  <si>
    <t>A woman is seen looking beyond the camera and showing the back of her head.</t>
  </si>
  <si>
    <t>She holds up various products and rubs them through her hair.</t>
  </si>
  <si>
    <t>She then pits up her hair while hairspraying it and feeling the texture afterwards.</t>
  </si>
  <si>
    <t>She finishes pinning up her hair and looking back at the camera.</t>
  </si>
  <si>
    <t>v_IQvSj-3BGPo</t>
  </si>
  <si>
    <t>A man and a dog are standing in the middle of the field playing while he is holding a group of Frisbees.</t>
  </si>
  <si>
    <t>The man then throws all of the frisbees and the dog runs after them several times and catches them.</t>
  </si>
  <si>
    <t>In the middle of the routine,he grabs several frisbees and gives them to the dog one by one as he kneels down in front of him.</t>
  </si>
  <si>
    <t>Several tricks are done,and then the dog appears jump roping in the field,they go back to their regular routines and the owner picks up the dog and waves to the crowd.</t>
  </si>
  <si>
    <t>v_qmar8pDP5co</t>
  </si>
  <si>
    <t>The video begins with two sumo wrestlers on a sumo stage.</t>
  </si>
  <si>
    <t>There is a large crowd spectating, and a man in the center of the ring acting as referee.</t>
  </si>
  <si>
    <t>The two sumo wrestlers throw a white powder into the ring.</t>
  </si>
  <si>
    <t>The squat and clap their hands together, while a group of men hold flags and walk around the ring.</t>
  </si>
  <si>
    <t>Two other men hold brooms as sweep up some of the powder.</t>
  </si>
  <si>
    <t>The two sumo wrestlers walk out of the ring and again throw more powder.</t>
  </si>
  <si>
    <t>They collide into one another and back away.</t>
  </si>
  <si>
    <t>They again collide into each other and begin wrestling.</t>
  </si>
  <si>
    <t>The man in black sumo shorts throws the other man out of the ring.</t>
  </si>
  <si>
    <t>They bow and the loser exits the ring.</t>
  </si>
  <si>
    <t>v_gjkK_eSIs2g</t>
  </si>
  <si>
    <t>A man is bending over picking up a heavy weight several times in a row and setting it down.</t>
  </si>
  <si>
    <t>A man is measuring another mans arm length.</t>
  </si>
  <si>
    <t>The man measures the length of the weight bar.</t>
  </si>
  <si>
    <t>v_b1D6v3kZrHM</t>
  </si>
  <si>
    <t>A man stands with a bow and arrow.</t>
  </si>
  <si>
    <t>A man shots an arrow from bow.</t>
  </si>
  <si>
    <t>The credit of the clip is shown.</t>
  </si>
  <si>
    <t>A guy talks with his mouth and hand.</t>
  </si>
  <si>
    <t>An extended hand holding a pen is shown on a split screen.</t>
  </si>
  <si>
    <t>Several arrows hit the target.</t>
  </si>
  <si>
    <t>An arrow goes through the hole of a donut.</t>
  </si>
  <si>
    <t>An arrow cuts the string holding an apple.</t>
  </si>
  <si>
    <t>An arrow goes through the hole of a CD.</t>
  </si>
  <si>
    <t>Credit of the clip is presented.</t>
  </si>
  <si>
    <t>Credits of the video are shown.</t>
  </si>
  <si>
    <t>v_QRdQ8KIVf40</t>
  </si>
  <si>
    <t>Two men play billiards while taking turns to hit the ball with a stick, while a man plays billiards alone on back.</t>
  </si>
  <si>
    <t>A man and a child walk in a living room on back the table pool.</t>
  </si>
  <si>
    <t>A woman walks with a stick next to the men.</t>
  </si>
  <si>
    <t>v_CZp3ZPTQrds</t>
  </si>
  <si>
    <t>A man is seen speaking to the camera followed by several pictures of bearded men.</t>
  </si>
  <si>
    <t>The man then begins using scissors on his face while holding up pieces of paper.</t>
  </si>
  <si>
    <t>The man continues to shave his face and ends by waving to the camera.</t>
  </si>
  <si>
    <t>v_sHx5UcQQ1kU</t>
  </si>
  <si>
    <t>A young boy is shown speaking to the camera and eventually shows his hands moving objects.</t>
  </si>
  <si>
    <t>He places the objects together and begins shaving the sides with a sharp knife.</t>
  </si>
  <si>
    <t>He continues sharpening the object and shows the knife running across his bare skin.</t>
  </si>
  <si>
    <t>v_R_EnlXwBvtA</t>
  </si>
  <si>
    <t>Two men in basketball shorts are playing racketball.</t>
  </si>
  <si>
    <t>The men continue to serve and then hit and return each other's serves.</t>
  </si>
  <si>
    <t>They take a short break after one man scores.</t>
  </si>
  <si>
    <t>They continue to play and serve.</t>
  </si>
  <si>
    <t>v_iqe_HmjojQ8</t>
  </si>
  <si>
    <t>A kickball player kicks the ball at home plate in a large arena.</t>
  </si>
  <si>
    <t>The player runs past the first base.</t>
  </si>
  <si>
    <t>The player then comes back to the first base and puts his foot on it.</t>
  </si>
  <si>
    <t>v_y-7ZKlq2UFw</t>
  </si>
  <si>
    <t>There's a guitarist in a green shirt demonstrating how to play an acoustic guitar.</t>
  </si>
  <si>
    <t>Various types of guitars made from a variety of wood are shown.</t>
  </si>
  <si>
    <t>The guitarist is strumming the guitar with his pick as he plays his music.</t>
  </si>
  <si>
    <t>There are images of the guitar store and the kinds of guitars sold scrolling through the bottom of the screen.</t>
  </si>
  <si>
    <t>The guitarist continues playing his guitar.</t>
  </si>
  <si>
    <t>v_ndET50Ccnr8</t>
  </si>
  <si>
    <t>A small group of people are seen swimming around a pool throwing a ball around while several people watch on the sides.</t>
  </si>
  <si>
    <t>The people continue throwing the ball around to one another while the camera captures the game going on.</t>
  </si>
  <si>
    <t>v_tl2RLYJUu3k</t>
  </si>
  <si>
    <t>Three martial artists with black belts do a demonstration for younger children.</t>
  </si>
  <si>
    <t>They jump and kick then bow to each other.</t>
  </si>
  <si>
    <t>v_nr34x_-K5c0</t>
  </si>
  <si>
    <t>An athletic man is swimming around on a paddle board while another man gets behind and assists him.</t>
  </si>
  <si>
    <t>He then flips the man forward and the man demonstrates how to flip yourself back over.</t>
  </si>
  <si>
    <t>They do this several more times to become more comfortable with the move.</t>
  </si>
  <si>
    <t>v_xSiT1pgUEm8</t>
  </si>
  <si>
    <t>There are six to eight people sailing down a turbulent water stream in a raft.</t>
  </si>
  <si>
    <t>They are all dressed in red gears and yellow helmets.</t>
  </si>
  <si>
    <t>They use the oars to sail themselves down the rapids.</t>
  </si>
  <si>
    <t>They are trying hard to stay afloat in the turbulent water as the boat gets bumpy sailing through the rapids.</t>
  </si>
  <si>
    <t>As they sail through they come across another group of rafters in the same rapids.</t>
  </si>
  <si>
    <t>They continue their journey through the rough water of the rapids.</t>
  </si>
  <si>
    <t>v_CKWWRS9CpTY</t>
  </si>
  <si>
    <t>A group of runners are running in a marathon.</t>
  </si>
  <si>
    <t>A man high fives a woman in a crowd.</t>
  </si>
  <si>
    <t>The crowd around them cheers.</t>
  </si>
  <si>
    <t>A woman in white hat starts walking strangely.</t>
  </si>
  <si>
    <t>Another woman in a white hat falls to the ground.</t>
  </si>
  <si>
    <t>The other woman in the hat also falls.</t>
  </si>
  <si>
    <t>They both try to get up but they keep falling down.</t>
  </si>
  <si>
    <t>One of the women starts to crawl to the finish line.</t>
  </si>
  <si>
    <t>The other woman follows her.</t>
  </si>
  <si>
    <t>A man lifts one of the women and hugs her.</t>
  </si>
  <si>
    <t>v_W3a7BIqWov4</t>
  </si>
  <si>
    <t>A person is seen laying down on a bowling alley on the floor.</t>
  </si>
  <si>
    <t>The man then begins break dancing on the floor.</t>
  </si>
  <si>
    <t>The man kics a ball down a lane and people celebrate.</t>
  </si>
  <si>
    <t>v_qCy-68g0oXw</t>
  </si>
  <si>
    <t>A man is seen standing before a ping pong table and throws a ball off into the distance.</t>
  </si>
  <si>
    <t>A man takes a drink and leads into the two playing more beer pong.</t>
  </si>
  <si>
    <t>The men throw the ball back and fourth to one another while smiling to the camera.</t>
  </si>
  <si>
    <t>v_metrvLaYO1w</t>
  </si>
  <si>
    <t>People are standing on a colorful mat.</t>
  </si>
  <si>
    <t>A woman does a karate move.</t>
  </si>
  <si>
    <t>A child standing behind her raises his hand.</t>
  </si>
  <si>
    <t>v_d40Tv56RrnA</t>
  </si>
  <si>
    <t>The camera man captures a view of a thatched roof house.</t>
  </si>
  <si>
    <t>A young girl in a black blouse and a girl in a white tank top stand in a thatched roof house watching two woman washing clothes Filipino style.</t>
  </si>
  <si>
    <t>A girl in a pink blouse and a girl in a white t-shirt wash clothes in large tubs just outside the thatched roof house.</t>
  </si>
  <si>
    <t>The camera man pans the front of the washing area while the girl in the white t-shirt rinses the clothes.</t>
  </si>
  <si>
    <t>v__ajGnJjNUX0</t>
  </si>
  <si>
    <t>An ad for Floorworks appears on the screen.</t>
  </si>
  <si>
    <t>A guest room is shown, displaying the dirty carpets.</t>
  </si>
  <si>
    <t>Men are shown replacing and repairing the floors with wooden slats that don't need glue to install.</t>
  </si>
  <si>
    <t>Final photos are shown of the new hardwood floors in the guest room.</t>
  </si>
  <si>
    <t>v_yVQBdK8VQ_I</t>
  </si>
  <si>
    <t>A girl stands at a kitchen sink and demonstrates rinsing her mouth out with Crest whitening mouthwash.</t>
  </si>
  <si>
    <t>A girl stands by a sink talking and using had gestures.</t>
  </si>
  <si>
    <t>The girl then picks up a bottle of Crest whiting mouth wash and rinses her mouth for 60 seconds.</t>
  </si>
  <si>
    <t>The woman then spits the rinse out in the sink, and proceeds to talk to the camera again.</t>
  </si>
  <si>
    <t>v_He7CDkVm_aE</t>
  </si>
  <si>
    <t>A woman stands with a child that is seated next to a counter.</t>
  </si>
  <si>
    <t>The woman applies a dry powder to the back of the girls hair and brushes in through.</t>
  </si>
  <si>
    <t>The woman get s a blow dryer and uses it while she brushes the girls hair to straighten it.</t>
  </si>
  <si>
    <t>v_tbKBKWCh6rs</t>
  </si>
  <si>
    <t>man is standing in front of a mirror spreading cream on his face.</t>
  </si>
  <si>
    <t>man is kneeling and wash her face.</t>
  </si>
  <si>
    <t>the man grabs a green towel and wipe his face.</t>
  </si>
  <si>
    <t>v_iEWe6IYVIuk</t>
  </si>
  <si>
    <t>A woman is adjusting her exercise machine.</t>
  </si>
  <si>
    <t>She adjusts the knobs and pushes the seat up.</t>
  </si>
  <si>
    <t>She then sits down on the seat and places her feet in the pedals.</t>
  </si>
  <si>
    <t>She begins to pedal slow then fast.</t>
  </si>
  <si>
    <t>v_Db6sq4DjW7E</t>
  </si>
  <si>
    <t>A coach instructs players in a basketball court.</t>
  </si>
  <si>
    <t>v_YJOoLvwqWCw</t>
  </si>
  <si>
    <t>two women are standing on a gym arm wrestling.</t>
  </si>
  <si>
    <t>in te background people are standingin the gym doing exercise.</t>
  </si>
  <si>
    <t>strong women are sitting in a chair arm wrestling.</t>
  </si>
  <si>
    <t>v_66-sCRx4QRI</t>
  </si>
  <si>
    <t>A man drives to the ocean and surfs on a surfboard, riding waves, before leaving the beach with his surfboard.</t>
  </si>
  <si>
    <t>A man gets in his truck, puts his surfboard in the back of his truck and drives.</t>
  </si>
  <si>
    <t>The man arrives at the beach, changes into a wets suit and begins to surf on a surfboard in the ocean, riding waves.</t>
  </si>
  <si>
    <t>The man then leaves the beach, in his wetsuit, with his surfboard under his arm.</t>
  </si>
  <si>
    <t>v_AIZWoAbhUTY</t>
  </si>
  <si>
    <t>a man is crouched next to a girl on the beach.</t>
  </si>
  <si>
    <t>They are putting sand into a pile.</t>
  </si>
  <si>
    <t>They are trying to build a sand castle.</t>
  </si>
  <si>
    <t>v_KOFXi1RYx_g</t>
  </si>
  <si>
    <t>An audience is sitting in the stands watching a game on the field.</t>
  </si>
  <si>
    <t>These riders get on their horses and start trying to score for their team.</t>
  </si>
  <si>
    <t>Someone makes it and one of the groups in the audience clap.</t>
  </si>
  <si>
    <t>When the game is over the riders all shake each others hands.</t>
  </si>
  <si>
    <t>v_K_AFdv3PKp0</t>
  </si>
  <si>
    <t>A man is seen using a large sander against a wall moving the machinery all along the wall.</t>
  </si>
  <si>
    <t>The man continues sanding the wall and ends with him keeping it steady.</t>
  </si>
  <si>
    <t>v_IJ2m8Bi3LVE</t>
  </si>
  <si>
    <t>Various shots are shown of a person close up wearing making and laughing at the camera.</t>
  </si>
  <si>
    <t>Various objects are then shown closely to the camera and the person pours liquid into a contact case.</t>
  </si>
  <si>
    <t>He then mixes the liquids with the contacts and puts them slowly into his eye while looking at the camera.</t>
  </si>
  <si>
    <t>He then takes his hands and pops out the contacts.</t>
  </si>
  <si>
    <t>v_3CImIarFM30</t>
  </si>
  <si>
    <t>A person's hands are seen playing in dirt while moving their hands all around the soil.</t>
  </si>
  <si>
    <t>The person continues to play around in the soil while the camera watches their hand movements.</t>
  </si>
  <si>
    <t>v_F_sbhegCsyg</t>
  </si>
  <si>
    <t>A group of people are gathered at an outdoor park.</t>
  </si>
  <si>
    <t>They are dressed up, and they get into a raft.</t>
  </si>
  <si>
    <t>They white water raft down a river together.</t>
  </si>
  <si>
    <t>v_mzxp9dHn0Rs</t>
  </si>
  <si>
    <t>A man is sitting in front of a goal blocking balls.</t>
  </si>
  <si>
    <t>People are in the stands watching the game.</t>
  </si>
  <si>
    <t>v_1KVxpHAC08g</t>
  </si>
  <si>
    <t>A young boy and girl sit next to each other.</t>
  </si>
  <si>
    <t>They are fed ice cream.</t>
  </si>
  <si>
    <t>The girl tries to eat the boys ice cream.</t>
  </si>
  <si>
    <t>The girl laughs at the end.</t>
  </si>
  <si>
    <t>v_i9Yxt2k2aWg</t>
  </si>
  <si>
    <t>Someone is sleeping on a white couch.</t>
  </si>
  <si>
    <t>They get up and do crunches on the floor.</t>
  </si>
  <si>
    <t>They stand up and walk out the door.</t>
  </si>
  <si>
    <t>v_cNvTm72aGcM</t>
  </si>
  <si>
    <t>A woman is on stage in front of a band.</t>
  </si>
  <si>
    <t>She is a belly dancer, and gyrates and shakes to the music.</t>
  </si>
  <si>
    <t>She dances slowly, dropping to the ground as she finishes.</t>
  </si>
  <si>
    <t>v_dF2p3CMDe_g</t>
  </si>
  <si>
    <t>A man wearing no shirt plays a hand drum.</t>
  </si>
  <si>
    <t>A solo man spins his body around on his hands and does cartwheels.</t>
  </si>
  <si>
    <t>Two men do a practice karate routine and dodge kicks from the other opponent.</t>
  </si>
  <si>
    <t>The men both do hand stands then come together and touch hands.</t>
  </si>
  <si>
    <t>The man does jumping flips by himself.</t>
  </si>
  <si>
    <t>The two men do jumping kicks while they spar in a karate dance.</t>
  </si>
  <si>
    <t>The man stands on his hands and bends backwards to a horizontal position.</t>
  </si>
  <si>
    <t>v__LmtW0w6ad4</t>
  </si>
  <si>
    <t>A man displays martial arts moves in a movie clip that shows the man fighting different people in several different locations in a city backdrop.</t>
  </si>
  <si>
    <t>A man is escorted into a room and left alone until he is attacked, violently, by a man who appears suddenly in the room with him, the two fight.</t>
  </si>
  <si>
    <t>The man is then shown in several other locations fighting with different men using martial arts skills until the clip fades to a marketing invitation to subscribe.</t>
  </si>
  <si>
    <t>v_wJV-kQRmaGc</t>
  </si>
  <si>
    <t>A black banner overlay with the word POWERCHALK written in white and green is across the banner.</t>
  </si>
  <si>
    <t>When the banner overlay goes away a man jumps to the end of a diving board and then does a forward front flip and flips 5 times before he dives straight into the water in the pool.</t>
  </si>
  <si>
    <t>There are a lot of spectators standing on the sidelines.</t>
  </si>
  <si>
    <t>v_SEebwJMNMQs</t>
  </si>
  <si>
    <t>A violinist is playing the violin in a music room.</t>
  </si>
  <si>
    <t>She adjusts the violin under her chin as she reads the music.</t>
  </si>
  <si>
    <t>At the end of her song she removes the violin and smiles.</t>
  </si>
  <si>
    <t>v_p4Bm_NB_QoI</t>
  </si>
  <si>
    <t>A small group of girls are first seen walking out on a gymnasium floor with several people watching on the sidelines.</t>
  </si>
  <si>
    <t>The girls then perform a routine using batons while spinning and twirling.</t>
  </si>
  <si>
    <t>They make an ending pose while the audience claps and run off to the side.</t>
  </si>
  <si>
    <t>v_hDpYoAAFwOA</t>
  </si>
  <si>
    <t>A man performs stunts on the back of a motorcycle, falls off, and injures himself at which point he falls to the ground and looks hurt.</t>
  </si>
  <si>
    <t>A man is hanging off of a moving bicycle on a down ramp.</t>
  </si>
  <si>
    <t>The man falls off of the bike and onto the ground with torn clothes.</t>
  </si>
  <si>
    <t>The camera pans the man's damaged clothes and helmet and his befallen face as he lays on the ground injured.</t>
  </si>
  <si>
    <t>v_ADbpTpH4U7s</t>
  </si>
  <si>
    <t>Various ingredients are shown laid out on a table and leads into a person putting items into a bowl.</t>
  </si>
  <si>
    <t>The person is then seen cutting up fruit and laying it into a bowl.</t>
  </si>
  <si>
    <t>She pours more liquid in and presents it to the camera.</t>
  </si>
  <si>
    <t>v_yEBiJguscMY</t>
  </si>
  <si>
    <t>Two men are playing wall ball in a room.</t>
  </si>
  <si>
    <t>There is an audience watching them play.</t>
  </si>
  <si>
    <t>The man pretends his racket is a guitar.</t>
  </si>
  <si>
    <t>v_bzZMUbtgZho</t>
  </si>
  <si>
    <t>A man is surf boarding in the ocean on a blue surf board.</t>
  </si>
  <si>
    <t>The water looks greenish blue as the surfer surfs through big waves.</t>
  </si>
  <si>
    <t>The man is surfing near a beach by some hotels.</t>
  </si>
  <si>
    <t>The surfer continues to surf through tall waves without falling off.</t>
  </si>
  <si>
    <t>v_Eo3PUIfZSJU</t>
  </si>
  <si>
    <t>A gymnast performs on the vault on front a crowd, she flips and falls from the vault.</t>
  </si>
  <si>
    <t>Then, the gymnast jumps, flips but staggers during her performance.</t>
  </si>
  <si>
    <t>The gymnast performs backward flips, then she continues with her routine.</t>
  </si>
  <si>
    <t>Next, the gymnast jumps and does a double flip and land stands on the mat.</t>
  </si>
  <si>
    <t>v_scBelfrnHoI</t>
  </si>
  <si>
    <t>A man runs and jumps in various public locations with springs on his legs while spectators watch.</t>
  </si>
  <si>
    <t>A cameraman films the man while lying on the ground.</t>
  </si>
  <si>
    <t>The man with springs jumps over another man.</t>
  </si>
  <si>
    <t>v_LWJzkihZUWA</t>
  </si>
  <si>
    <t>We see a little girl putting makeup on her face at a toy vanity.</t>
  </si>
  <si>
    <t>She closes the makeup case and opens it back up.</t>
  </si>
  <si>
    <t>She rubs the tip of the brush with her finger.</t>
  </si>
  <si>
    <t>v_uICwWvS_AOo</t>
  </si>
  <si>
    <t>Four men ride in a convertible car and drive along a desert highway.</t>
  </si>
  <si>
    <t>Two friends ride down an escalator.</t>
  </si>
  <si>
    <t>The friends stand at a card table in a casino and play hands.</t>
  </si>
  <si>
    <t>The man makes a large bet and sits down to play a few hands at the table.</t>
  </si>
  <si>
    <t>The man accumulates a large number of chips.</t>
  </si>
  <si>
    <t>The man's friends win a hand and the couple celebrates.</t>
  </si>
  <si>
    <t>The man is tracked by security personnel and cameras.</t>
  </si>
  <si>
    <t>The woman falls back if her chair to the ground and the men help her up.</t>
  </si>
  <si>
    <t>The friend playing is gone and the chair is empty.</t>
  </si>
  <si>
    <t>v_Hv3We5wjaJE</t>
  </si>
  <si>
    <t>A couple are in the flowing water of a river.</t>
  </si>
  <si>
    <t>They are sitting next to several buckets.</t>
  </si>
  <si>
    <t>They scrub clothing against the rocks, trying to clean them.</t>
  </si>
  <si>
    <t>v_GySHt3Z6Lt4</t>
  </si>
  <si>
    <t>A person light wood to make fire.</t>
  </si>
  <si>
    <t>Then, a man blow the fire, while the person puts sticks on the nascent fire.</t>
  </si>
  <si>
    <t>After, the fire starts to growth bigger and bigger while the men put sticks on top.</t>
  </si>
  <si>
    <t>v_b5GrYqt5tRQ</t>
  </si>
  <si>
    <t>A group of men are holding maracas in the their hands and playing to some Reggae music.</t>
  </si>
  <si>
    <t>One of the men begins singing in the microphone.</t>
  </si>
  <si>
    <t>The rest of the men join him in singing the chorus.</t>
  </si>
  <si>
    <t>They play the maracas as they sing the song.</t>
  </si>
  <si>
    <t>The men also dance as they sing and play the maracas The lead singer sings solo for some time while the others play their maracas.</t>
  </si>
  <si>
    <t>Then all the men join him in singing the song while playing their maracas.</t>
  </si>
  <si>
    <t>v_TiQ6P1NkPHU</t>
  </si>
  <si>
    <t>Two people are dancing in a dance studio.</t>
  </si>
  <si>
    <t>First the woman sways her hips a little bit and moves one foot behind the other.</t>
  </si>
  <si>
    <t>She also tells viewers to make eye contact with the person to make sure they're comfortable and at some point, the man spins her around in a circle and she comes back around for them to start dancing normal again.</t>
  </si>
  <si>
    <t>v_BCC6fxrmA9M</t>
  </si>
  <si>
    <t>Three men are interviewed, one of whom plays the piano and sings for the interviewer and his camera crew in a narrow hallway.</t>
  </si>
  <si>
    <t>Four men are in a room, three of whom are being interviewed by the fourth man who has blonde hair, is wearing glasses, and has a camera crew with him.</t>
  </si>
  <si>
    <t>The interviewer leads one of the men into the hallway to a piano, where the man has a seat.</t>
  </si>
  <si>
    <t>The man begins to play and sing as the camera crew, interviewer and onlookers watch, before the man ends the song, gets up and walks away.</t>
  </si>
  <si>
    <t>v_-DphPPTybSY</t>
  </si>
  <si>
    <t>We see men in a room playing pool in a tournament.</t>
  </si>
  <si>
    <t>The man in the blue shirt approaches to shoot.</t>
  </si>
  <si>
    <t>The man walks away to exchange his pool stick.</t>
  </si>
  <si>
    <t>The man in blue makes his shot.</t>
  </si>
  <si>
    <t>The man then takes another shot.</t>
  </si>
  <si>
    <t>The man takes his third shot.</t>
  </si>
  <si>
    <t>The man makes his fourth shot.</t>
  </si>
  <si>
    <t>The man makes his final shot.</t>
  </si>
  <si>
    <t>v_UkZiyYfO57g</t>
  </si>
  <si>
    <t>An intro leads into a woman speaking to the camera while several skiiers ride around her.</t>
  </si>
  <si>
    <t>The camera follows the girl riding down a snowy hill as well as riding up ski lifts and speaking again to the camera.</t>
  </si>
  <si>
    <t>Several more shots of her skiing are shown and ends with her waving to the camera and various pictures of skiers.</t>
  </si>
  <si>
    <t>v_Cu8lmHiXkUU</t>
  </si>
  <si>
    <t>Two people are seen playing a game of ping pong with one another.</t>
  </si>
  <si>
    <t>They hit the ball back and fourth across the table while people watch on the sides.</t>
  </si>
  <si>
    <t>The boys continue to play back and fourth while switching places and looking to the camera.</t>
  </si>
  <si>
    <t>v_9SiYS0SEKTw</t>
  </si>
  <si>
    <t>A person is seen standing behind a bike speaking to the camera and showing close ups of the bike.</t>
  </si>
  <si>
    <t>The person continues speaking while showing off his gear and leads into him adjusting settings on his bike.</t>
  </si>
  <si>
    <t>v_YMSMASHyl2Y</t>
  </si>
  <si>
    <t>A woman dressed in a black top is talking about American Grooming services for pets.</t>
  </si>
  <si>
    <t>She demonstrates all the various grooming services that her company provides for pets.</t>
  </si>
  <si>
    <t>There are several groomers working on dogs as they trim and shear pet hair and clip their nails.</t>
  </si>
  <si>
    <t>The groomers talk about where they have graduated from and how they got hired for the job.</t>
  </si>
  <si>
    <t>The video shows how different dogs are groomed by professional groomers that provide quality services.</t>
  </si>
  <si>
    <t>v_s_H9cTp2tT8</t>
  </si>
  <si>
    <t>Various shots of people walking around a snowy mountain are shown followed by person playing games on horses.</t>
  </si>
  <si>
    <t>Many upscale people are seen watching on the sidelines as the horse game carries on and a winner is chosen.</t>
  </si>
  <si>
    <t>The people then arrive late at night dressed up and posing for pictures.</t>
  </si>
  <si>
    <t>v_uDs0wOnwaAM</t>
  </si>
  <si>
    <t>A small group of people are all seen playing various matches of ping pong with one another down a line of tables.</t>
  </si>
  <si>
    <t>The people continuing hitting the ball back and fourth while the camera captures them from various angles and a close up of a young boy in the end.</t>
  </si>
  <si>
    <t>v_15vwVfNA99o</t>
  </si>
  <si>
    <t>a woman is sitting at a table in a fast food restaurant while eating.</t>
  </si>
  <si>
    <t>She continually speaks to nobody as she eats.</t>
  </si>
  <si>
    <t>She stands up and grabs her purse, continuing to talk and laugh as she leaves.</t>
  </si>
  <si>
    <t>v_4E89GQ2UnoQ</t>
  </si>
  <si>
    <t>We see a raft full of people in a rough river and see lots of stills.</t>
  </si>
  <si>
    <t>We see the people in shots.</t>
  </si>
  <si>
    <t>We see the title screen.</t>
  </si>
  <si>
    <t>We see a helicopter over a river.</t>
  </si>
  <si>
    <t>The raft turns over and a lady laughs.</t>
  </si>
  <si>
    <t>We see a bus driving on the street.</t>
  </si>
  <si>
    <t>We see the canyon from afar.</t>
  </si>
  <si>
    <t>We see a tunnel and a speedboat.</t>
  </si>
  <si>
    <t>We see still shots of the rafters.</t>
  </si>
  <si>
    <t>v_6d7oOG3dS-Y</t>
  </si>
  <si>
    <t>A man is seen pushing a board down into the floor to push the carpet down.</t>
  </si>
  <si>
    <t>He continues cutting around the carpet and pushing it down with a large beam.</t>
  </si>
  <si>
    <t>v_Yf49q7bGpkk</t>
  </si>
  <si>
    <t>A bull in a ring starts chasing two men.</t>
  </si>
  <si>
    <t>Several others run onto the ring, and the bull flips as they grab his horns and tail.</t>
  </si>
  <si>
    <t>They open the gate, but fail to get the bull back inside as he charges them.</t>
  </si>
  <si>
    <t>v_V9nOM1VWdnc</t>
  </si>
  <si>
    <t>A person shows and explains a lemon squeezer and shows the part were the lemon goes.</t>
  </si>
  <si>
    <t>Then, the person points to two jugs on a table.</t>
  </si>
  <si>
    <t>Next, the person puts ice in a cup, and then squeeze a lemon using the lemon squeezer, add syrup and water from jugs.</t>
  </si>
  <si>
    <t>Then, the person put a cover on the cup and shake the mix.</t>
  </si>
  <si>
    <t>v_f6NpnKJZJE0</t>
  </si>
  <si>
    <t>A woman is working out an elliptical machine.</t>
  </si>
  <si>
    <t>A person plugs a cell phone into the machine.</t>
  </si>
  <si>
    <t>v_XHuKkrKjnhQ</t>
  </si>
  <si>
    <t>city with buildings and skyscrapers are in the back and a woman holding a cake is walking and is written how to wrap gifts.</t>
  </si>
  <si>
    <t>wmoan is sitting in a table and have a box and a a gift wrap on top and its showing how to wrap the gift and talking about it.</t>
  </si>
  <si>
    <t>decoative tapes are used to make a ribbon aound the gift and is showing how to make ribbons with diferents clothes.</t>
  </si>
  <si>
    <t>v_N3xWCui6fNY</t>
  </si>
  <si>
    <t>A young girl plays an accordian.</t>
  </si>
  <si>
    <t>The girl turns her head to the right.</t>
  </si>
  <si>
    <t>The girl's playing slows.</t>
  </si>
  <si>
    <t>v_XFySa1Gc-yM</t>
  </si>
  <si>
    <t>A woman is seen curling her hair while speaking to the camera and leads into her speaking in front of judges.</t>
  </si>
  <si>
    <t>The judges critique her and she runs away happy and skipping out of the building.</t>
  </si>
  <si>
    <t>v_SjwFCog0amE</t>
  </si>
  <si>
    <t>Two men are sitting, with their shoes in view.</t>
  </si>
  <si>
    <t>A man picks up a shoe and puts it on his foot.</t>
  </si>
  <si>
    <t>He then applies the other shoe, then ties the laces.</t>
  </si>
  <si>
    <t>v_3tRTl23mhVQ</t>
  </si>
  <si>
    <t>man is chewing gum sitting on the grades.</t>
  </si>
  <si>
    <t>man is standing on ractrack holding a large pole and running to do a javelin throw.</t>
  </si>
  <si>
    <t>people is going down the stairs.</t>
  </si>
  <si>
    <t>v_UrPn5-8yNgA</t>
  </si>
  <si>
    <t>A person is shaving their legs.</t>
  </si>
  <si>
    <t>A polished hand gestures at the person shaving.</t>
  </si>
  <si>
    <t>The person lows their head to see under their leg.</t>
  </si>
  <si>
    <t>v_lidR3AK0ZzQ</t>
  </si>
  <si>
    <t>A woman is seen bending down in front of a large set of weights and begins lifting it to her shoulders.</t>
  </si>
  <si>
    <t>She then bends down and puts the weights back down to her feet.</t>
  </si>
  <si>
    <t>v_sVeC5VlDsjk</t>
  </si>
  <si>
    <t>Several pictures are shown of a beach and landscapes as well as people walking on the beach.</t>
  </si>
  <si>
    <t>Several clips are then shown of people riding along the water and surfing the waves.</t>
  </si>
  <si>
    <t>More shots are shown of people surfing in the water.</t>
  </si>
  <si>
    <t>v_s2cXljpR-xk</t>
  </si>
  <si>
    <t>A man is seen speaking to a woman outside that leads into a game of rock paper scissors.</t>
  </si>
  <si>
    <t>The girls slaps the man and he continues to play the game with several other girls on the street in various locations.</t>
  </si>
  <si>
    <t>When the man wins the girls kiss him on the cheek.</t>
  </si>
  <si>
    <t>v_306mYrvdzIk</t>
  </si>
  <si>
    <t>Four people are in a pool hitting the ball back and forth over the net.</t>
  </si>
  <si>
    <t>As they play,someone walks across the camera and then a set of boys are zoomed in on as they serve the ball.</t>
  </si>
  <si>
    <t>The ball goes out on both sides and they are forced to get out and go and get it.</t>
  </si>
  <si>
    <t>They get the large beach ball back and continue to hit it over the net to one another.</t>
  </si>
  <si>
    <t>v_M-bUoaIqtDk</t>
  </si>
  <si>
    <t>We see a person kitesufing in the sea.</t>
  </si>
  <si>
    <t>The person passes us and turns around.</t>
  </si>
  <si>
    <t>The person stops before taking off again.</t>
  </si>
  <si>
    <t>v_GehJuCIJ7AI</t>
  </si>
  <si>
    <t>five different people tosses a freebie in the air and a dog jumps and catch the freebie in his mouth, the dog then moves on to the next person and do the same thing as many people watch from a distances.</t>
  </si>
  <si>
    <t>there are two dogs now that are jumping the air catching freebies while doing tricks.</t>
  </si>
  <si>
    <t>Now there is one lady with one dog doing tricks and the dog catches the freebie as the lady toss it in the air.</t>
  </si>
  <si>
    <t>v_ruHRz56XGE4</t>
  </si>
  <si>
    <t>A man mows the grass around a tree.</t>
  </si>
  <si>
    <t>The man gets stuck and the mower turns off, and the man has to pull the igniter.</t>
  </si>
  <si>
    <t>Then, the man continues cutting the grass around the tree.</t>
  </si>
  <si>
    <t>v_Q684UQhx7yI</t>
  </si>
  <si>
    <t>A man is sitting on a bull in a gate.</t>
  </si>
  <si>
    <t>The bull is released and a man on a horse chases after it.</t>
  </si>
  <si>
    <t>The man jumps off the horse and ties the bull up.</t>
  </si>
  <si>
    <t>The man stands up and walks back to his horse.</t>
  </si>
  <si>
    <t>v_pzHDfjY-pFY</t>
  </si>
  <si>
    <t>A boy is floating in a raft as his father holds a rope attached to it.</t>
  </si>
  <si>
    <t>The boat floats away slowly, pulling the child as he stands in his raft.</t>
  </si>
  <si>
    <t>He is then pulled up toward the two men in the boat.</t>
  </si>
  <si>
    <t>v_deLpSUF1wio</t>
  </si>
  <si>
    <t>A boy is standing in the woods with another boy.</t>
  </si>
  <si>
    <t>He lights a fire, then throws it at a pile.</t>
  </si>
  <si>
    <t>The two boys stare at the pile while it burns.</t>
  </si>
  <si>
    <t>v_aqpeiIMe47Q</t>
  </si>
  <si>
    <t>chiopped vegetables are in a bowls on top of table.</t>
  </si>
  <si>
    <t>the ingredients are mixed inside a bowl together with oil, pepper and mayonnaise.</t>
  </si>
  <si>
    <t>v_6RdkwoTi-98</t>
  </si>
  <si>
    <t>A man performs a hammer throw in an outdoor area, caged in, surrounded by crowds of people watching.</t>
  </si>
  <si>
    <t>A man in a red t-shirt approaches a players circle on the ground inside of an enclosed metal fence area.</t>
  </si>
  <si>
    <t>The man spins a ball, attached to a rope, around and around.</t>
  </si>
  <si>
    <t>The man lets the ball goes and watches as it lands off screen.</t>
  </si>
  <si>
    <t>v_BTG82umu8Ug</t>
  </si>
  <si>
    <t>A young woman is practicing on a track and field track, sprinting and high jumping over a high bar and landing on her feet while three men in the background are watching her practice.</t>
  </si>
  <si>
    <t>The woman jumps again, this time sprinting a little bit faster.</t>
  </si>
  <si>
    <t>The woman jumps again with a longer run up.</t>
  </si>
  <si>
    <t>Another young woman in the background is jogging by.</t>
  </si>
  <si>
    <t>The woman jumps again with an even longer run up and adds a small skip/hop to her initial run.</t>
  </si>
  <si>
    <t>A man in the background is jogging on the field while another man stands and stretches his legs.</t>
  </si>
  <si>
    <t>The woman doesn't clear the bar perfectly and it falls off of it's poles.</t>
  </si>
  <si>
    <t>The woman jumps again with an even longer run up and a more powerful skip/hop to start her run.</t>
  </si>
  <si>
    <t>The woman jumps again with the long run up and powerful skip at the beginning.</t>
  </si>
  <si>
    <t>v_5g70tfGYWDk</t>
  </si>
  <si>
    <t>A couple of people are on an indoor tennis court.</t>
  </si>
  <si>
    <t>They lob the ball back and forth, playing a game of tennis.</t>
  </si>
  <si>
    <t>They continue playing, trying to win the game.</t>
  </si>
  <si>
    <t>v_jM0l31xZj8E</t>
  </si>
  <si>
    <t>The screen is full of white bubbles and words, while a pair of hands plays the piano.</t>
  </si>
  <si>
    <t>The bubbles and words disappear and it is just the hands moving over the keyboard.</t>
  </si>
  <si>
    <t>The hands disappear and it is just the keyboard.</t>
  </si>
  <si>
    <t>v__6TamBiyYWA</t>
  </si>
  <si>
    <t>A man appears before several targets on a back wall.</t>
  </si>
  <si>
    <t>He talks about the basics of archery.</t>
  </si>
  <si>
    <t>A woman is shown with an archery set.</t>
  </si>
  <si>
    <t>She pulls back the arrow, then shoots at her target as he talks.</t>
  </si>
  <si>
    <t>v_YAjqqbSsFTg</t>
  </si>
  <si>
    <t>A bunch of colorful flowers are shown, including their identification tags.</t>
  </si>
  <si>
    <t>A man shows bees and different breeds, including a tree.</t>
  </si>
  <si>
    <t>He teaches us how to mulch a tree properly.</t>
  </si>
  <si>
    <t>v_5wOmHw6Boj8</t>
  </si>
  <si>
    <t>A clear bottle of detergent is shown and a person begins cleaning a mug with a cloth.</t>
  </si>
  <si>
    <t>The person shows herself putting on the glove and goes back to washing the mug before finally showing her book on the product.</t>
  </si>
  <si>
    <t>v_oTKYejnHLtE</t>
  </si>
  <si>
    <t>A magazine about saxophones is shown just before a pair of hands are shown playing a saxophone.</t>
  </si>
  <si>
    <t>Multiple screens begin to appear, showing the hands playing various notes on the screen.</t>
  </si>
  <si>
    <t>The screen goes backwards until the video ends.</t>
  </si>
  <si>
    <t>v_QWFedtlPRYM</t>
  </si>
  <si>
    <t>Title screens show up on the video.</t>
  </si>
  <si>
    <t>A woman is holding a cloth in a kitchen.</t>
  </si>
  <si>
    <t>The woman begins running water in a bath tub and a sink.</t>
  </si>
  <si>
    <t>The woman washes a cloth in the sink.</t>
  </si>
  <si>
    <t>The woman lays the wet cloth on a dry one and dries it out.</t>
  </si>
  <si>
    <t>The woman puts the pair of pants on an ironing board.</t>
  </si>
  <si>
    <t>The ending credits appear.</t>
  </si>
  <si>
    <t>v_oXKrreio9hg</t>
  </si>
  <si>
    <t>A gymnast is seen standing ready with her arms up that leads into her running down and doing flips down a track into a pit.</t>
  </si>
  <si>
    <t>She puts her arms up to finish and her jumps are shown several more times in slow motion.</t>
  </si>
  <si>
    <t>v_P7bvD_CZH5M</t>
  </si>
  <si>
    <t>Several clips are shown of many people standing on a surf board and pushing themselves along the water with a paddle.</t>
  </si>
  <si>
    <t>The people continue to paddle around the water while many people are seen sitting.</t>
  </si>
  <si>
    <t>v_cSfs5ht9sro</t>
  </si>
  <si>
    <t>We see a person riding a ski lift.</t>
  </si>
  <si>
    <t>The person lifts the bar on the chair.</t>
  </si>
  <si>
    <t>The person hops off the lift and onto the slope.</t>
  </si>
  <si>
    <t>The person puts on their ski poles.</t>
  </si>
  <si>
    <t>The person skis swiftly down the ski slope.</t>
  </si>
  <si>
    <t>The person reaches the bottom of the slope and looks up.</t>
  </si>
  <si>
    <t>320 The person's hand comes to the screen to turn off the camera.</t>
  </si>
  <si>
    <t>v_8xsLp6lqijo</t>
  </si>
  <si>
    <t>A man is standing on a skateboard.</t>
  </si>
  <si>
    <t>He picks up the skateboard and holds it in his hand.</t>
  </si>
  <si>
    <t>He puts the skateboard back down and continues skateboarding.</t>
  </si>
  <si>
    <t>v_buBtMl9SUNk</t>
  </si>
  <si>
    <t>People dive in the water wearing diving suit, small and big fishes swim near the divers.</t>
  </si>
  <si>
    <t>The diver kneel on the sea floor waving their hands.</t>
  </si>
  <si>
    <t>Manta fish and a big fish swim in the water.</t>
  </si>
  <si>
    <t>The divers stands and continue swimming in the water.</t>
  </si>
  <si>
    <t>v_UZBHdQZc0ZM</t>
  </si>
  <si>
    <t>men are holding snowslides from a deposit.</t>
  </si>
  <si>
    <t>old woman is sitting on snowslide and its going down a snowy slope.</t>
  </si>
  <si>
    <t>old woman is in snowslide going down snow track.</t>
  </si>
  <si>
    <t>a man and a woman are grabing the old lady fom the back in a slide.</t>
  </si>
  <si>
    <t>different people are going down slope holding snowslides with a rope.</t>
  </si>
  <si>
    <t>old women are sitting on woodn bench talking to the camera.</t>
  </si>
  <si>
    <t>old people are sitting and standing in front of a camera posing for a picture.</t>
  </si>
  <si>
    <t>v_USaP2UCPBEc</t>
  </si>
  <si>
    <t>Text appears on the screen with a link.</t>
  </si>
  <si>
    <t>People in uniform march down the street.</t>
  </si>
  <si>
    <t>It cuts to the crowd looking on.</t>
  </si>
  <si>
    <t>A marchign band begins to walk down the street.</t>
  </si>
  <si>
    <t>Another set of uniformed people walk down the street.</t>
  </si>
  <si>
    <t>They stop and wave to the crowd.</t>
  </si>
  <si>
    <t>It goes back to the marching band.</t>
  </si>
  <si>
    <t>A horse and carriage walk down the street followed by the people in uniform.</t>
  </si>
  <si>
    <t>Two woman wave flags around.</t>
  </si>
  <si>
    <t>The rest of the people continue to march down the street.</t>
  </si>
  <si>
    <t>v_lVe-7FnfNz8</t>
  </si>
  <si>
    <t>A girl is going across monkey bars on a playground.</t>
  </si>
  <si>
    <t>She gets to the end and jumps onto the ground.</t>
  </si>
  <si>
    <t>She puts her hands up in the air.</t>
  </si>
  <si>
    <t>v_NNQQPZpzCOk</t>
  </si>
  <si>
    <t>Some women are on a boat attempting to figure out how to play shuffleboard.</t>
  </si>
  <si>
    <t>The girl makes a shuffleboard ahot and the girls all begin to celebrate.</t>
  </si>
  <si>
    <t>She continues to attempt make shots and act silly.</t>
  </si>
  <si>
    <t>She puts down the shuffleboard stick and the video ends.</t>
  </si>
  <si>
    <t>v_jqLFT1c8WS8</t>
  </si>
  <si>
    <t>Videos of several men throwing the discus are shown in turn, with the men being watched by audiences and judges, and the throws replayed in slow motion after.</t>
  </si>
  <si>
    <t>Judges are shown evaluating the distance of the one of the throws.</t>
  </si>
  <si>
    <t>Judges are once again shown evaluating the distance of one of the throws.</t>
  </si>
  <si>
    <t>v_bz9R-Xa5xqM</t>
  </si>
  <si>
    <t>A man wearing a black shirt stands in a living room with a red and black accordion.</t>
  </si>
  <si>
    <t>The musician sitting in a chair holding a black accordion and prepares to demonstrate how to play an accordion.</t>
  </si>
  <si>
    <t>The man then demonstrates playing an accordian using a brown accordion.</t>
  </si>
  <si>
    <t>v_0jeq5CeP2P0</t>
  </si>
  <si>
    <t>A kite is seen flying around the air with a person riding behind the kite on the sand.</t>
  </si>
  <si>
    <t>The camera continues to pan around the beach capturing the person flying a kite and him riding around and holding it.</t>
  </si>
  <si>
    <t>v_kOIj7AgonHM</t>
  </si>
  <si>
    <t>A person with crazy hair appears and leads into her on a space ship with gravity essentially turned off.</t>
  </si>
  <si>
    <t>She shows off the various items carried on a space craft and puts a lotion into her hair.</t>
  </si>
  <si>
    <t>She combs the lotion in thoroughly and dries off her head with a towel.</t>
  </si>
  <si>
    <t>She points to the camera and combs through her hair one last time.</t>
  </si>
  <si>
    <t>v_kXP1tgr476c</t>
  </si>
  <si>
    <t>This man is sitting outdoors polishing another man's shoes and neither one of their faces are shown.</t>
  </si>
  <si>
    <t>The man is sitting on the ground and he is using a brown towel to polish the man's shoes.</t>
  </si>
  <si>
    <t>He also puts liquid onto a small brush and he puts it on the man's shoes.</t>
  </si>
  <si>
    <t>v_5DBzvN5Qe_0</t>
  </si>
  <si>
    <t>A girl does flips in front of a room full of children.</t>
  </si>
  <si>
    <t>She uses a hula hoop to go in circles.</t>
  </si>
  <si>
    <t>She acts silly as she demonstrates how she can use the hula hoop.</t>
  </si>
  <si>
    <t>v_Ay6oxBYCSnU</t>
  </si>
  <si>
    <t>Several players are on an ice rink.</t>
  </si>
  <si>
    <t>They are playing hockey against each other.</t>
  </si>
  <si>
    <t>One team scores a goal.</t>
  </si>
  <si>
    <t>Everyone cheers about the goal.</t>
  </si>
  <si>
    <t>v_Mx-rOsiQTos</t>
  </si>
  <si>
    <t>We see a man get in riding leaf blower.</t>
  </si>
  <si>
    <t>We see the leaves being blown on the ground.</t>
  </si>
  <si>
    <t>We see a pipe on the machine.</t>
  </si>
  <si>
    <t>We return to seeing the leaves being blown.</t>
  </si>
  <si>
    <t>We see leaves blowing in the street.</t>
  </si>
  <si>
    <t>v_cy-RLevyo_8</t>
  </si>
  <si>
    <t>From the roof we see the street where a car is parked and a man standing on the room the man begins to pry up roof shingles.</t>
  </si>
  <si>
    <t>The man adds a fixed piece of shingles and nails hem down.</t>
  </si>
  <si>
    <t>The man finishes and walks away.</t>
  </si>
  <si>
    <t>We see the ruck on the street for the roofing company.</t>
  </si>
  <si>
    <t>v_KYN1NR7l2zQ</t>
  </si>
  <si>
    <t>This man is shown standing in the water wearing his pool cap and his goggles are on top of his forehead.</t>
  </si>
  <si>
    <t>He then puts on the goggles on and shows us a couple of swimming techniques in the water and he goes back to talking.</t>
  </si>
  <si>
    <t>v_m34BYRanODU</t>
  </si>
  <si>
    <t>A woman talks in a backyard wearing loose clothes.</t>
  </si>
  <si>
    <t>The woman exercise stepping on the mat.</t>
  </si>
  <si>
    <t>v_2DvHUEFc5VA</t>
  </si>
  <si>
    <t>two men are sitting in front of a counter in a kitchen.</t>
  </si>
  <si>
    <t>men start mixing a cake.</t>
  </si>
  <si>
    <t>man is in the kitchen and pour some ingredients inside a cooking pot and mix them while is boiling water and put the pot on top of the boiled water.</t>
  </si>
  <si>
    <t>man start mixing in a kitchen aid and create a white cream.</t>
  </si>
  <si>
    <t>v_6Ik0MQ53FBU</t>
  </si>
  <si>
    <t>A large group of people are seen standing around a beach as well as several shots of cars and people riding bulls.</t>
  </si>
  <si>
    <t>Various people ride the bulls and sit in the cars as well as end with a game of volleyball and celebrating.</t>
  </si>
  <si>
    <t>v_O_StqLLpAVI</t>
  </si>
  <si>
    <t>A bike with a deflated tire goes through the dirt.</t>
  </si>
  <si>
    <t>A man gets off the bike to look at it.</t>
  </si>
  <si>
    <t>He removes the tire from the bike.</t>
  </si>
  <si>
    <t>He replaces the tube of the tire and fixes the bike.</t>
  </si>
  <si>
    <t>v_Pu85El6jhao</t>
  </si>
  <si>
    <t>A man in a red wet suit is sitting on a float talking casually.</t>
  </si>
  <si>
    <t>Next to hime are many other people on their own floats, just relaxing.</t>
  </si>
  <si>
    <t>They are floating through the river passing all the green scenery.</t>
  </si>
  <si>
    <t>The man in the red wet suit is leading the way.</t>
  </si>
  <si>
    <t>v_B3ZVUyLeT84</t>
  </si>
  <si>
    <t>A boy surfs in a big wave.</t>
  </si>
  <si>
    <t>A group of people lye down on surfboards in a wave.</t>
  </si>
  <si>
    <t>Suddenly, a boy stands an surf below the wave.</t>
  </si>
  <si>
    <t>Men stand in the beach holding surfboards.</t>
  </si>
  <si>
    <t>v_UVxXr_mh5BM</t>
  </si>
  <si>
    <t>A picture of a young lady's bun is shown and then the lady then appears.</t>
  </si>
  <si>
    <t>She begins by braiding one side of her hair and then twists it down and does the same thing on the other side.</t>
  </si>
  <si>
    <t>With one twist,she pulls it up and bobby pins it together with the other side following.</t>
  </si>
  <si>
    <t>The hair style is then complete and she more pictures are shown again of the finish product.</t>
  </si>
  <si>
    <t>v_cwCNZAsvf8U</t>
  </si>
  <si>
    <t>A females left leg and foot is in a bathtub as the lady shaves her leg.</t>
  </si>
  <si>
    <t>Once she is done with the front,she turns her legs to the left and right and shaves the sides in an upward motion.</t>
  </si>
  <si>
    <t>v_8YTuNZ-mIaY</t>
  </si>
  <si>
    <t>A large group of men in uniform are gathered around to play some paintball.</t>
  </si>
  <si>
    <t>They start to run off and everyone is sneaking around trying to catch and shoot other people without getting caught.</t>
  </si>
  <si>
    <t>The field they are playing on is pretty cool, it has a lot of different hiding places.</t>
  </si>
  <si>
    <t>in the end they all take of most of their head gear and start walking back together.</t>
  </si>
  <si>
    <t>v_FZix27qFZTc</t>
  </si>
  <si>
    <t>A man paints a hose on front a fence in a backyard.</t>
  </si>
  <si>
    <t>The man paint the fence from up to down.</t>
  </si>
  <si>
    <t>v_VNROQWtYhlw</t>
  </si>
  <si>
    <t>There's a woman dressed in a sparkly golden dress is eating a Magnum chocolate truffle ice cream bar.</t>
  </si>
  <si>
    <t>She talks about her favorite flavor being chocolate.</t>
  </si>
  <si>
    <t>She takes a bite off the ice cream bar as she savors the rich flavor.</t>
  </si>
  <si>
    <t>She answers questions about needing to have down time as an actor and enjoying her favorite ice cream bar.</t>
  </si>
  <si>
    <t>The video ends with a decadent chocolate ice cream bar being drizzled with rich chocolate.</t>
  </si>
  <si>
    <t>v_b0QGh__f7lU</t>
  </si>
  <si>
    <t>An older man is seen laughing to the camera and playing a large set of bongo drums.</t>
  </si>
  <si>
    <t>He continues playing along faster and faster and finishes by slapping the drum one final time.</t>
  </si>
  <si>
    <t>v_aRdqcOaBvjk</t>
  </si>
  <si>
    <t>A person is seen close up riding on the back of a bike shooting a paint ball off into the distance.</t>
  </si>
  <si>
    <t>Several shots are shown of people riding around in cars shooting paint balls at one another.</t>
  </si>
  <si>
    <t>The people continue riding around on machines and jumping over obstacles.</t>
  </si>
  <si>
    <t>v_LQAFcEvifrU</t>
  </si>
  <si>
    <t>A camera pans around the inside of a car looking out showing other cars driving around.</t>
  </si>
  <si>
    <t>The car begins moving while looking around the sandy area and showing people inside the car.</t>
  </si>
  <si>
    <t>The camera leads into shots of people riding around on camels and leads into shots of people riding on the camels.</t>
  </si>
  <si>
    <t>v_mM6F8DppWcQ</t>
  </si>
  <si>
    <t>A person skateboard down to the ramp, a woman is shown in the phone's screen and then a man.</t>
  </si>
  <si>
    <t>A boy rollerskate down the white railings as two other men walked up to him to give him high five.</t>
  </si>
  <si>
    <t>A young man in blue top roller blades in the railing and give high fives to his peers.</t>
  </si>
  <si>
    <t>v_3w5xIOwFUXU</t>
  </si>
  <si>
    <t>A small group of people are seen standing around table speaking and laughing to one another.</t>
  </si>
  <si>
    <t>Two men then drink out of ice containers and lead into more people drinking out of the containers.</t>
  </si>
  <si>
    <t>One team finishes before the other and everyone celebrates.</t>
  </si>
  <si>
    <t>v_O1XzCrHZm34</t>
  </si>
  <si>
    <t>There are many women in a gym, wearing boxing gloves and athletic gear punching on hanging bags.</t>
  </si>
  <si>
    <t>The camera pans to show a wall and the words "iLoveKickboxing dot com" is on the wall along with a logo that includes a heart with wings and boxing gloves hanging from the bottom of the right wing.</t>
  </si>
  <si>
    <t>The room pans back to the rest of the room and continues to show many women still punching the hanging punching bags.</t>
  </si>
  <si>
    <t>v_RgeVltfPDXQ</t>
  </si>
  <si>
    <t>Children swings a broom handle at a pinata in a backyard.</t>
  </si>
  <si>
    <t>The boy breaks the pinata open and candy spills on the ground.</t>
  </si>
  <si>
    <t>A woman runs up and adjusts the pinata.</t>
  </si>
  <si>
    <t>A woman runs up to get the broom stick but dodges to not get hit by the blindfolded child.</t>
  </si>
  <si>
    <t>The woman guides the boy up who is blindfolded toward the tree.</t>
  </si>
  <si>
    <t>v_JvP1O8ZIL3A</t>
  </si>
  <si>
    <t>A woman is seen standing behind another woman sitting in a chair and begins styling her hair.</t>
  </si>
  <si>
    <t>The woman brushes and parts her hair ad begins braiding the hair and pinning it in several locations.</t>
  </si>
  <si>
    <t>The woman shows off her finished hair do while looking and smiling to the camera.</t>
  </si>
  <si>
    <t>v_jhiJUgDpwFw</t>
  </si>
  <si>
    <t>A young girl is at a park and grabbing and hanging on triangles that are hanging and makes her way going forward and across 7 triangles.</t>
  </si>
  <si>
    <t>As soon as she reaches the end she goes back 3 triangles without turning around and then turns herself around on the 4th triangle and continues back to where she started .</t>
  </si>
  <si>
    <t>The young girl jumps down on the platform, smiles and waves.</t>
  </si>
  <si>
    <t>v_dG8fhIBgx9k</t>
  </si>
  <si>
    <t>A girl with two braids going down her back is standing outside.</t>
  </si>
  <si>
    <t>She turns toward the camera, and her hair is now down.</t>
  </si>
  <si>
    <t>She lays in a stylist chair, showing how the style was done.</t>
  </si>
  <si>
    <t>v_ACki-MP9qdQ</t>
  </si>
  <si>
    <t>This woman is showing viewers how she makes a cheesecake shot.</t>
  </si>
  <si>
    <t>First she puts 3 quarters of an ounce of Baileys and the same amount of pineapple juice.</t>
  </si>
  <si>
    <t>Then she puts a quarter ounce of another liquid and she gets a 2 ounce shot glass and strains the drink from the ice in the shaker to put it into the glass.</t>
  </si>
  <si>
    <t>v_knHJztfWFrA</t>
  </si>
  <si>
    <t>Two men are shown standing in a recording studio playing instruments.</t>
  </si>
  <si>
    <t>One is playing the guitar while the other plays the flute together.</t>
  </si>
  <si>
    <t>They finish their song and one gives a hand gesture to the camera while the other smiles.</t>
  </si>
  <si>
    <t>v_SHZ9fsusMGc</t>
  </si>
  <si>
    <t>A man is holding a rubiks cube.</t>
  </si>
  <si>
    <t>He then starts to turn it.</t>
  </si>
  <si>
    <t>He stops and looks it over.</t>
  </si>
  <si>
    <t>Eventually he solves it and shows his time.</t>
  </si>
  <si>
    <t>v_xfNYfCAlkM4</t>
  </si>
  <si>
    <t>A boy shows up on the screen and gets a cup of water and gargles it.</t>
  </si>
  <si>
    <t>He smiles and walks off the screen for a moment.</t>
  </si>
  <si>
    <t>He returns and continues gragling and laughing.</t>
  </si>
  <si>
    <t>A man comes onto the screen and invites people to subscribe to his videos.</t>
  </si>
  <si>
    <t>v_IWHER8iS1B4</t>
  </si>
  <si>
    <t>woman is talking to the camera.</t>
  </si>
  <si>
    <t>kids are running in stage and jumping the rope.</t>
  </si>
  <si>
    <t>kids are siting on court watching the skipping rope competition.</t>
  </si>
  <si>
    <t>v_yqFdxxWgvh8</t>
  </si>
  <si>
    <t>A woman puts ice in a glass.</t>
  </si>
  <si>
    <t>She dumps a bottle into the glass and adds juice.</t>
  </si>
  <si>
    <t>She stirs the drink and sets it down on the counter.</t>
  </si>
  <si>
    <t>v_PAhJqXTzCOU</t>
  </si>
  <si>
    <t>A man wearing a green cap sits in a car holding a coffee cup talking.</t>
  </si>
  <si>
    <t>He sets the camera on his dashboard and continues talking.</t>
  </si>
  <si>
    <t>He holds the coffee and takes several sips.</t>
  </si>
  <si>
    <t>He continues talking while holding the cup in his hand.</t>
  </si>
  <si>
    <t>v_RP_PlV5Jzuc</t>
  </si>
  <si>
    <t>A close up of a horse is shown tied to a fence when a man walks in with a reef blower and pushing it towards the horses.</t>
  </si>
  <si>
    <t>He moves all around the animals flowing the air on their fur as the horses move around.</t>
  </si>
  <si>
    <t>v_toeGFZLoeHU</t>
  </si>
  <si>
    <t>A man, wearing a kilt and white t-shirt plays the bagpipes while standing outside of a shopping strip parking lot, as cars pass by.</t>
  </si>
  <si>
    <t>A man stands outside next to a yellow fire hydrant and plays the bagpipes as cars pass.</t>
  </si>
  <si>
    <t>The man moves closer to the cars or the edge of the sidewalk as he plays.</t>
  </si>
  <si>
    <t>The man continues to play bagpipes on the sidewalk until the scene fades to black.</t>
  </si>
  <si>
    <t>v_nypn_gYS8Ik</t>
  </si>
  <si>
    <t>A woman is combing her hair while looking into the camera.</t>
  </si>
  <si>
    <t>She then brushes her bangs straight.</t>
  </si>
  <si>
    <t>She continues brushing with the comb and her hand.</t>
  </si>
  <si>
    <t>v_PgS2F7NxNBg</t>
  </si>
  <si>
    <t>A man is standing outside of a wall with some sort of machine machine and begins talking.</t>
  </si>
  <si>
    <t>The man takes the hose and pressure washes the fence before caulking it.</t>
  </si>
  <si>
    <t>He then gets on his knees and adds spray paint to the machine and paints the wall.</t>
  </si>
  <si>
    <t>Finally,he goes back to the wall with his paint brush and fills in the missing spaces.</t>
  </si>
  <si>
    <t>v_8VPiqCCOPWg</t>
  </si>
  <si>
    <t>A woman is seen diving through colorful banners.</t>
  </si>
  <si>
    <t>The outside of a building is shown.</t>
  </si>
  <si>
    <t>We see a scoreboard, then women being prepped for swimming by their coaches.</t>
  </si>
  <si>
    <t>The women take turns diving off the high board, flipping as they go.</t>
  </si>
  <si>
    <t>The winner poses with a medal as everyone claps.</t>
  </si>
  <si>
    <t>v_Y_sVqGm8AyU</t>
  </si>
  <si>
    <t>A woman gets her belly button clamped with a white clamp.</t>
  </si>
  <si>
    <t>She then gets her belly button pierced.</t>
  </si>
  <si>
    <t>The person removes the clamp and wipes it with a towel.</t>
  </si>
  <si>
    <t>v_xJ3KAhVRr8c</t>
  </si>
  <si>
    <t>They are using steppers for exercising.</t>
  </si>
  <si>
    <t>They jumping and climb back and forth over the steppers.</t>
  </si>
  <si>
    <t>v_gvHcfC9snJA</t>
  </si>
  <si>
    <t>A woman in a white shirt is dancing.</t>
  </si>
  <si>
    <t>She holds a curling iron in her hair.</t>
  </si>
  <si>
    <t>She takes the curling iron out of her hair.</t>
  </si>
  <si>
    <t>v_sV4vBuWGJng</t>
  </si>
  <si>
    <t>The video shows a tutorial from Howcast on how to create volume in a haircut.</t>
  </si>
  <si>
    <t>A lady hair dresser wearing a green shirt and pants is demonstrating a haircut on a model wearing a black tank top.</t>
  </si>
  <si>
    <t>She shows how to section the lady's hair and cuts the hair in a slanting manner.</t>
  </si>
  <si>
    <t>She explains how this technique helps in creating extra volume in the crown of the head.</t>
  </si>
  <si>
    <t>v_cb5Xy7k7z1w</t>
  </si>
  <si>
    <t>A young girl and gymnast performs a gymnastic exercise on the balancing beam at a professional sports event in front of many photographers and an audience in the stands.</t>
  </si>
  <si>
    <t>A young gymnast in a blue outfit stands in front of a balance beam, jumps on it and begins to perform a routine involving flips.</t>
  </si>
  <si>
    <t>The girl performs several flips on the balance beam and high jumps using her arms to balance her stance before performing one final flip off of the beam and sticking the landing after which she walks hugs a coach before looking at the scoreboard and talking briefly with a man seated in a white chair.</t>
  </si>
  <si>
    <t>v_02WlEYafQ9Q</t>
  </si>
  <si>
    <t>Several people white water raft and kayak in large inflatable rafts and kayaks on a violent, narrow, body of water surrounded by large rocks.</t>
  </si>
  <si>
    <t>A group of people on a blue water raft paddle against a violent stream/body of water.</t>
  </si>
  <si>
    <t>Several lone people paddle in small kayaks against the same violent water.</t>
  </si>
  <si>
    <t>A person navigates the rocky waves in a large water raft.</t>
  </si>
  <si>
    <t>The rafters and kayakers continue to fight the force of the water as the scene face to a positivity mantra and then to black.</t>
  </si>
  <si>
    <t>v_OFn-c_XvIhU</t>
  </si>
  <si>
    <t>An suv full of friends drives out of a parking lot and onto a resort.</t>
  </si>
  <si>
    <t>A young girl who was in the car steps out of the car.</t>
  </si>
  <si>
    <t>The group of friends scuba dive among fishes in a large pool.</t>
  </si>
  <si>
    <t>They leave the pool excited and happy.</t>
  </si>
  <si>
    <t>One of the girls who was on the trip gives the trip a thumbs up.</t>
  </si>
  <si>
    <t>v_3j4OdbgaoAM</t>
  </si>
  <si>
    <t>A man is seen hosting a new segment that leads into a large group of people standing and marching around a field.</t>
  </si>
  <si>
    <t>People are then seen riding around on horses playing a game with one another.</t>
  </si>
  <si>
    <t>Players speak to the camera as well as the audience and ends with a team standing all together.</t>
  </si>
  <si>
    <t>v_k5wjc4OO1XM</t>
  </si>
  <si>
    <t>A man pours an egg into a small pan.</t>
  </si>
  <si>
    <t>He sets the pan onto a stove.</t>
  </si>
  <si>
    <t>He dumps the food out onto a plate.</t>
  </si>
  <si>
    <t>v_3osNjmYjTGg</t>
  </si>
  <si>
    <t>A man pole vaults over a rope on a track of a sporting field.</t>
  </si>
  <si>
    <t>The man just barely makes his body over the rope.</t>
  </si>
  <si>
    <t>v_rBGdFwbG118</t>
  </si>
  <si>
    <t>A man wearing glasses is talking in a parking lot.</t>
  </si>
  <si>
    <t>He walks into a car wash, where a green substance is being sprayed on the cars.</t>
  </si>
  <si>
    <t>The soap is then rinsed away with hoses.</t>
  </si>
  <si>
    <t>v_E7NTSqMgx44</t>
  </si>
  <si>
    <t>A large marching band is seen walking down a street with a large group of people standing around and watching.</t>
  </si>
  <si>
    <t>The people continue marching and the camera ends with a credit scene.</t>
  </si>
  <si>
    <t>v_uBT9n8wOKP4</t>
  </si>
  <si>
    <t>A young child is seen wearing ear pieces on his head and blowing around the grass.</t>
  </si>
  <si>
    <t>He is holding a large machine and is seen pushing it all around the yard.</t>
  </si>
  <si>
    <t>He pauses for a moment to play with the grass, followed by him working more.</t>
  </si>
  <si>
    <t>v_mnv-Qz4QDfU</t>
  </si>
  <si>
    <t>A group of girls are gathered in a room.</t>
  </si>
  <si>
    <t>They are shown in a series of images posing together.</t>
  </si>
  <si>
    <t>We also several several boys posing before playing a game of foosball.</t>
  </si>
  <si>
    <t>v_kk1Iqyox4c8</t>
  </si>
  <si>
    <t>A man walks up to a microphone while playing the sax.</t>
  </si>
  <si>
    <t>A group of baseball players wait on the field.</t>
  </si>
  <si>
    <t>The man continues to play the saxophone for the crowd.</t>
  </si>
  <si>
    <t>v_kUTDgJmoRE8</t>
  </si>
  <si>
    <t>There's a young main in a white tank top and beige shorts practicing dancing with a woman wearing a gray shirt and blue shorts.</t>
  </si>
  <si>
    <t>They are practicing dancing in their living room with a flat screen television hanging on the wall.</t>
  </si>
  <si>
    <t>They are holding hands as they twirl around and dance.</t>
  </si>
  <si>
    <t>v_2PBdNJcQcp4</t>
  </si>
  <si>
    <t>They are swinging their hips from side to side.</t>
  </si>
  <si>
    <t>The dance is supposed to be sexy.</t>
  </si>
  <si>
    <t>They form a line as they dance.</t>
  </si>
  <si>
    <t>They turn their backs to the audience and dance.</t>
  </si>
  <si>
    <t>The lights go down.</t>
  </si>
  <si>
    <t>The dance is over.</t>
  </si>
  <si>
    <t>v_Nh-RdjyfGNA</t>
  </si>
  <si>
    <t>People stand and talk at a tables.</t>
  </si>
  <si>
    <t>Teams of players play beach soccer.</t>
  </si>
  <si>
    <t>A player scores a goal with the soccer ball.</t>
  </si>
  <si>
    <t>v_YRp5nE0Hlsc</t>
  </si>
  <si>
    <t>The screen is black and we see a ballerina dance across the stage spilling feathers.</t>
  </si>
  <si>
    <t>The person moves it's head like a chicken.</t>
  </si>
  <si>
    <t>The person does a shuffle and dance then falls to the ground before getting up and dancing more.</t>
  </si>
  <si>
    <t>The person puts their hands in a prayer pose.</t>
  </si>
  <si>
    <t>The person picks up feathers off the ground and sprinkles them around then dances and falls to the ground and the scene ends.</t>
  </si>
  <si>
    <t>v_56McYSkE4uQ</t>
  </si>
  <si>
    <t>A person is seen sitting behind a table solving a rubix cube while a timer records her.</t>
  </si>
  <si>
    <t>Two men are seen standing around her and write things down when the girl eventually finishes.</t>
  </si>
  <si>
    <t>v_JJ0jtr07EGE</t>
  </si>
  <si>
    <t>People are sitting and driving in a bunch of bumper cards on a track.</t>
  </si>
  <si>
    <t>They slam and bump into each other, having fun.</t>
  </si>
  <si>
    <t>v_r8qq4rU0tPE</t>
  </si>
  <si>
    <t>A large mountain covered in snow with scarce trees is visible.</t>
  </si>
  <si>
    <t>Someone begins skiing and then a man in an orange snow suit begins talking.</t>
  </si>
  <si>
    <t>The person continues skiing and then two males appear talking to one another.</t>
  </si>
  <si>
    <t>The person skiing then goes from the top of the mountain to the bottom and then hides behind a boulder of ice.</t>
  </si>
  <si>
    <t>v_dTZZq23pYFY</t>
  </si>
  <si>
    <t>Two reporters report on a story about drinking too much coffee on a live news telecast.</t>
  </si>
  <si>
    <t>A dark haired woman reporter talks on camera before the camera cuts to a blonde haired reporter also talking on camera.</t>
  </si>
  <si>
    <t>The camera cuts to video of a coffee cup being filled with coffee while a written template explaining what the story is about appears beneath the cup.</t>
  </si>
  <si>
    <t>The camera then cuts to a four person news panel of people talking on camera.</t>
  </si>
  <si>
    <t>v_9eJgsiS3xH8</t>
  </si>
  <si>
    <t>sailboat is in open sea with some people standing on it.</t>
  </si>
  <si>
    <t>men are siting on te sailboat and are driving it and talking to each other.</t>
  </si>
  <si>
    <t>v_B7Q1egUKmZg</t>
  </si>
  <si>
    <t>A group of children play and practice basketball throws and techniques in an interior gym in front of coaches and other children.</t>
  </si>
  <si>
    <t>A group of children take turns throwing orange and white balls in the net and running up to the net as well.</t>
  </si>
  <si>
    <t>The coaches trail them as they play, at time, trying to block the throws using the hands.</t>
  </si>
  <si>
    <t>v_inbkDgHuRrY</t>
  </si>
  <si>
    <t>A man is seen speaking to the camera while it pans around the area and he climbs into a machine.</t>
  </si>
  <si>
    <t>He uses the machine to rip up the roof and ends with a close up of the machine.</t>
  </si>
  <si>
    <t>v_kFmOtf_Ew1w</t>
  </si>
  <si>
    <t>Several clips are shown of people swimming in the water leading into a woman looking at the camera and still moving around under the water.</t>
  </si>
  <si>
    <t>The woman continues floating in the water followed by grabbing a boogie board and performing various moves around the water.</t>
  </si>
  <si>
    <t>v_ZEgmWaMa9PU</t>
  </si>
  <si>
    <t>Several shots of landscapes are shown that pan back from people standing on a bridge.</t>
  </si>
  <si>
    <t>Shots are shown of people jumping off the side of the bridge while the camera captures more landscapes.</t>
  </si>
  <si>
    <t>Several more people are seen lined up watching that lead into more people jumping off the side.</t>
  </si>
  <si>
    <t>v_7aydawW3AfE</t>
  </si>
  <si>
    <t>A little girl is sitting on a bed with her eyes closed.</t>
  </si>
  <si>
    <t>A woman kneels down and puts eye liner on the girl.</t>
  </si>
  <si>
    <t>The girl opens her eye and smiles.</t>
  </si>
  <si>
    <t>v_tRgK4fFA8sE</t>
  </si>
  <si>
    <t>A person repairs a bike chain and installs the chain on a bike interspersed with an image of a woman talking.</t>
  </si>
  <si>
    <t>A woman looks into a camera and smiles while talking before the scene cuts away to a pair of hands working on a bike chain.</t>
  </si>
  <si>
    <t>A pair of hands work on a bike chain with tools and bolts.</t>
  </si>
  <si>
    <t>The hands install the chain on a blue bike on a dirt ground surface.</t>
  </si>
  <si>
    <t>v_Z0GbQKiufUE</t>
  </si>
  <si>
    <t>A woman holding towels talks to the camera.</t>
  </si>
  <si>
    <t>The woman wipes the window behind her with a towel.</t>
  </si>
  <si>
    <t>The woman sprays a liquid on the window.</t>
  </si>
  <si>
    <t>The woman resumes wiping the window.</t>
  </si>
  <si>
    <t>The woman returns to talking to the camera.</t>
  </si>
  <si>
    <t>v_bPw2rvCjXUE</t>
  </si>
  <si>
    <t>Two boys perform arm wrestling while people are watching, suddenly the boys free their hands.</t>
  </si>
  <si>
    <t>After, they continue competing, then the boy wearing purple t-shirt fold the hand of his rival.</t>
  </si>
  <si>
    <t>After, the continue performing arm wrestling and then free again the hands.</t>
  </si>
  <si>
    <t>v_XyZoiuga6vw</t>
  </si>
  <si>
    <t>A man in blue stands in an auditorium.</t>
  </si>
  <si>
    <t>He does gymnastics on some equipment.</t>
  </si>
  <si>
    <t>People are watching from the stands.</t>
  </si>
  <si>
    <t>He spins his body about.</t>
  </si>
  <si>
    <t>v_08afjR_3SwI</t>
  </si>
  <si>
    <t>Two people white water raft over a rocky, climactic, body of water in narrow canoes and with paddles.</t>
  </si>
  <si>
    <t>A person dressed in a red and black outfit stands in a red canoe and begins to put a piece of black equipment on.</t>
  </si>
  <si>
    <t>The person in the red and black outfit begins rafting in the red canoe over a tumultuous body of water filled with large rocks.</t>
  </si>
  <si>
    <t>The person in the red canoe approaches another canoe in the water, this one blue, the red canoe and blue canoe raft through the waters behind one another as the scene fades to black.</t>
  </si>
  <si>
    <t>v_YMbZ7RFRuYI</t>
  </si>
  <si>
    <t>People compete bike-cross on a bumpy road.</t>
  </si>
  <si>
    <t>A person sprays water on the bumpy road where the bikers pass.</t>
  </si>
  <si>
    <t>A group of bikers leave the start line to start the motocross competition, while other group start to run bike-cross.</t>
  </si>
  <si>
    <t>A person wearing white top take pictures to the bikers.</t>
  </si>
  <si>
    <t>New groups of bikers start to run on the bumpy road to compete bike-cross.</t>
  </si>
  <si>
    <t>v_3aQnQEL3USQ</t>
  </si>
  <si>
    <t>A boy wears jumping shoes to bounce in front a building and in a playground.</t>
  </si>
  <si>
    <t>Then, the boy gets up the steps of a building, and then take big steps and jump down high.</t>
  </si>
  <si>
    <t>A family of four wait the boy to pass the street.</t>
  </si>
  <si>
    <t>Then, the boy returns to the playground and jumps over a stone.</t>
  </si>
  <si>
    <t>After, the boy jumps high on the street until he arrives to a parking lot.</t>
  </si>
  <si>
    <t>v_R58R070r2GE</t>
  </si>
  <si>
    <t>She dismounts and lands on the mat with her arms up.</t>
  </si>
  <si>
    <t>v_afrMWrFkgDg</t>
  </si>
  <si>
    <t>We see a girl kick and sit down.</t>
  </si>
  <si>
    <t>A boy joins her and they eat ice cream.</t>
  </si>
  <si>
    <t>The boy puts his cone in front of the camera.</t>
  </si>
  <si>
    <t>The boy licks his ice cream wildly.</t>
  </si>
  <si>
    <t>A boy throws something at the boy with ice cream.</t>
  </si>
  <si>
    <t>v_K0e_DdvGP54</t>
  </si>
  <si>
    <t>A boy drinks something from a small cup in a bathroom.</t>
  </si>
  <si>
    <t>The boy runs into the room and jumps on the bed.</t>
  </si>
  <si>
    <t>The boy swallows the item in his mouth and covers his mouth with his hands.</t>
  </si>
  <si>
    <t>v_8-WiWyjqAv4</t>
  </si>
  <si>
    <t>A person is seen sitting along the water in a kayak holding a paddle.</t>
  </si>
  <si>
    <t>The person then begins moving along the water in the kayak.</t>
  </si>
  <si>
    <t>The person continues paddling and is then pulled back by a rope and his arms up cheering.</t>
  </si>
  <si>
    <t>v_USwMjvs45MU</t>
  </si>
  <si>
    <t>A large group of people are seen in various areas of a building while some are signing up for a race.</t>
  </si>
  <si>
    <t>People sit around a track and leads into small children performing several long jumps.</t>
  </si>
  <si>
    <t>An older man announces awards in the end and the winners stand by and get their ribbons.</t>
  </si>
  <si>
    <t>v_rSGgal9LtDk</t>
  </si>
  <si>
    <t>A white Breville toaster is sitting on a counter being plugged.</t>
  </si>
  <si>
    <t>In front of the toaster, a block of white cream and a banana is sitting on a white plate.</t>
  </si>
  <si>
    <t>Next,two slices of bread are in the toaster going up and down.</t>
  </si>
  <si>
    <t>Once the bread is finished,it is put on the plate and the spread is put on both slices of the brad then the banana is cut up and put on the bread is put on top of the bananas.</t>
  </si>
  <si>
    <t>Now,the sandwich is cut is half and the person begins to eating it.</t>
  </si>
  <si>
    <t>v_nPTq63WtemI</t>
  </si>
  <si>
    <t>An older man is seen kneeling in the middle of a gym with several people around him.</t>
  </si>
  <si>
    <t>The man pulls on a piece of exercise equipment working his upper arms back and fourth.</t>
  </si>
  <si>
    <t>v_gUFRtx51OJc</t>
  </si>
  <si>
    <t>A woman is seen sitting in a doctor's office with a doctor speaking to her and the camera.</t>
  </si>
  <si>
    <t>The doctor then holds an object up to the girl's lip.</t>
  </si>
  <si>
    <t>Finally the man pierces the girls lip and smiles down to her.</t>
  </si>
  <si>
    <t>v_1dFLeGRT0NQ</t>
  </si>
  <si>
    <t>A boy stands at a podium, talking into a microphone.</t>
  </si>
  <si>
    <t>A group of girls are on stage together.</t>
  </si>
  <si>
    <t>They start dancing while using hula hoops.</t>
  </si>
  <si>
    <t>When they finish, one girl gathers the hoops and the crowd claps as the curtain closes.</t>
  </si>
  <si>
    <t>v_AhsujXLZYWA</t>
  </si>
  <si>
    <t>A woman is seen sitting down on the floor while holding a cat and cutting it's claws.</t>
  </si>
  <si>
    <t>The woman continues to hold the cat cutting his claws and then gets up and runs away in the end.</t>
  </si>
  <si>
    <t>v_9Nj9WdaSQCs</t>
  </si>
  <si>
    <t>The words "Women's Artistic Gymnastics (WAG)" appear on a red screen.</t>
  </si>
  <si>
    <t>"Code of Points 2013-2016" appear briefly.</t>
  </si>
  <si>
    <t>Clips of Chellsie Memmel performing gymnastics olympic trials are shown.</t>
  </si>
  <si>
    <t>Various stats from her performance are shown on screen.</t>
  </si>
  <si>
    <t>v_E0dqgXVU6wA</t>
  </si>
  <si>
    <t>This woman is doing a nail tutorial of how to create nyan cat nails.</t>
  </si>
  <si>
    <t>First paint all of your nails blue and do a big white stripe across them and dot little stars.</t>
  </si>
  <si>
    <t>Then use a tiny paintbrush to put rainbow colors and then use a plastic sandwich bag to make nyan cat and she pushes it onto her nail.</t>
  </si>
  <si>
    <t>v_b8ftOk8tKxg</t>
  </si>
  <si>
    <t>A lady discusses and folds a towel.</t>
  </si>
  <si>
    <t>The lady washes her face with a powder from a box.</t>
  </si>
  <si>
    <t>The lady rinses her face and use a towel to dry up.</t>
  </si>
  <si>
    <t>v_9nE6C-efQdc</t>
  </si>
  <si>
    <t>A woman trying to instruct big bang theory's way of playing rock paper scissors lizard spock.</t>
  </si>
  <si>
    <t>It shows a quick clip of Sheldon from big bang theory actually doing it.</t>
  </si>
  <si>
    <t>Then, she tries to demonstrate it a few times for the viewers.</t>
  </si>
  <si>
    <t>At the end she smiles and ends it with another big bang theory picture.</t>
  </si>
  <si>
    <t>v_5n7NCViB5TU</t>
  </si>
  <si>
    <t>A man swings a metal object from hand to hand.</t>
  </si>
  <si>
    <t>The man spins and releases an object behind him, and the credits of the video are shown.</t>
  </si>
  <si>
    <t>v_JxN0fchWCNI</t>
  </si>
  <si>
    <t>A man and a woman are standing in a kitchen behind an island with fruits on them.</t>
  </si>
  <si>
    <t>Once the male finishes talking,the woman begins grating a vegetable and cutting an orange in half.</t>
  </si>
  <si>
    <t>She then squeezes the orange into a clear glass bowl and seasoning it and mixing it together with the previously cut up ingredients.</t>
  </si>
  <si>
    <t>v_uegTBtD59R0</t>
  </si>
  <si>
    <t>A person is seen looking to the camera in several shots as well as a close up of a dirt bike.</t>
  </si>
  <si>
    <t>People are then shown in several shots riding around a track and performing tricks.</t>
  </si>
  <si>
    <t>The men ride around wooded areas as well as tracks in many shots.</t>
  </si>
  <si>
    <t>v_uiCkFmebAZs</t>
  </si>
  <si>
    <t>There are many different people in the pool swimming and the words "speedo How to guide series How to 'breathe' during your open water swim" appear on the screen.</t>
  </si>
  <si>
    <t>A young lady in a bathing suit and a shower cap is sitting at the side of the pool talking while clips of her swimming are shown, and her name is Keri-anne Payne and is the 10km Open Water Silver Olympic Medalist.</t>
  </si>
  <si>
    <t>The outro appears and it's a black screen with a speedo logo and the word speedo.</t>
  </si>
  <si>
    <t>v_N88-LuWK_K0</t>
  </si>
  <si>
    <t>An intro leads into several clips of people riding in on horses throwing a rope and grabbing calf's in the middle of a pit.</t>
  </si>
  <si>
    <t>More clips are shown of people roping calf's in the pit and ending with pictures of people performing.</t>
  </si>
  <si>
    <t>v_D8dHEAYIawg</t>
  </si>
  <si>
    <t>A group of women and a man are playing volleyball in the sand on a beach.</t>
  </si>
  <si>
    <t>They lob the pink ball back and forth over the net.</t>
  </si>
  <si>
    <t>A woman goes behind a piece of equipment to grab the ball.</t>
  </si>
  <si>
    <t>v_RAQs7EkXLtE</t>
  </si>
  <si>
    <t>A large group of women are seen moving around a stage and begin with two women performing a belly dancing routine.</t>
  </si>
  <si>
    <t>The women continue dancing around the stage and end by holding a pose and bumping into one another.</t>
  </si>
  <si>
    <t>v_sYAAXumvtck</t>
  </si>
  <si>
    <t>Several bottles and nail tools sit on a table.</t>
  </si>
  <si>
    <t>A woman is filing her nails on the table with a white bar.</t>
  </si>
  <si>
    <t>She then paints her nails clear.</t>
  </si>
  <si>
    <t>She then places her finger nails into a white box that is lit up.</t>
  </si>
  <si>
    <t>The light turns off and she takes her hand out and lays it on the table.</t>
  </si>
  <si>
    <t>A nail polish bottle is shown on the screen.</t>
  </si>
  <si>
    <t>She paints her nails with that polish.</t>
  </si>
  <si>
    <t>She puts her hand back in the lit up box on the table.</t>
  </si>
  <si>
    <t>She does another coat of the nail polish.</t>
  </si>
  <si>
    <t>She puts her hand back in the lit up box.</t>
  </si>
  <si>
    <t>A bottle is shown on the table.</t>
  </si>
  <si>
    <t>She lays her hands flat on the table.</t>
  </si>
  <si>
    <t>v_MbCAiWBhAjo</t>
  </si>
  <si>
    <t>Lemons are thrown onto a counter and glasses of lemon-aid appear with ice in mason jars on the counter as well.</t>
  </si>
  <si>
    <t>Lemons are then rolled around against the counter back and forth evenly with the palm of a hand using firm pressure.</t>
  </si>
  <si>
    <t>The lemons are scraped back and forth against a metal food grater to get the zest off of them leaving the skin of the lemon in a bowl.</t>
  </si>
  <si>
    <t>Water is added into a saucepan along with sugar, and then the lemon zest that was extracted with the metal shredder is added to the water as well.</t>
  </si>
  <si>
    <t>The lemons are cut and juiced over a glass bowl and then the juice is poured through a strainer along with the sugar water with zest that was previously mixed in the saucepan.</t>
  </si>
  <si>
    <t>The mixture is stirred with added water and ice is then added.</t>
  </si>
  <si>
    <t>v_EHXpUlacN88</t>
  </si>
  <si>
    <t>A man is seen standing with one man in a bedroom.</t>
  </si>
  <si>
    <t>He bends down and begins picking up the other man.</t>
  </si>
  <si>
    <t>He finally throws the man down onto the bed.</t>
  </si>
  <si>
    <t>v_MNSzt39_UbE</t>
  </si>
  <si>
    <t>Two groups of boys compete tug of war rope, while a man supervise the game and other people watch.</t>
  </si>
  <si>
    <t>A person takes a picture.</t>
  </si>
  <si>
    <t>The team on the left wins the competition.</t>
  </si>
  <si>
    <t>v_w_wIOJrztdU</t>
  </si>
  <si>
    <t>The video leads into several shots of people standing on a beach as well as playing in the sand.</t>
  </si>
  <si>
    <t>Several more pictures are shown of people moving along the beach as well as helping others and shots of the scenery.</t>
  </si>
  <si>
    <t>v_gHhgZ0Bd4H4</t>
  </si>
  <si>
    <t>We see rolling credits rise up the screen.</t>
  </si>
  <si>
    <t>We see three people riding stationary bikes in a gym.</t>
  </si>
  <si>
    <t>The camera moves closer to the bikers.</t>
  </si>
  <si>
    <t>The lady stop and adjusts something on her bike.</t>
  </si>
  <si>
    <t>We wee the fourth rider in the scene.</t>
  </si>
  <si>
    <t>The lady is riding her bike slower.</t>
  </si>
  <si>
    <t>The lady is riding her bike slowly.</t>
  </si>
  <si>
    <t>We see the closing screen on a blue background.</t>
  </si>
  <si>
    <t>v_TmnVK-cYrzg</t>
  </si>
  <si>
    <t>There's a little boy sitting on a bed in the bedroom.</t>
  </si>
  <si>
    <t>There is a laundry basket and a lot of clothes on the bed.</t>
  </si>
  <si>
    <t>The mother of the boy who is filming the video shows a vacuum cleaner.</t>
  </si>
  <si>
    <t>Then she turns the vacuum cleaner on and begins vacuuming the bedroom floor.</t>
  </si>
  <si>
    <t>The boy watches his mom vacuum as he jumps on the bed.</t>
  </si>
  <si>
    <t>the boy then lays down on the bed as he sees his mother finish the job.</t>
  </si>
  <si>
    <t>Then the boy gets off the bed and jumps down to the ground to look under the bedside table.</t>
  </si>
  <si>
    <t>v_WwwfCw1dYlg</t>
  </si>
  <si>
    <t>A man is talking inside a pool gym.</t>
  </si>
  <si>
    <t>A view is shown under the water, then it cuts back to him talking.</t>
  </si>
  <si>
    <t>v_pElJ7U46XnQ</t>
  </si>
  <si>
    <t>A guy gets ready to lift weight.</t>
  </si>
  <si>
    <t>The guy lifts the weight.</t>
  </si>
  <si>
    <t>The guy dance around and then leaves the stage.</t>
  </si>
  <si>
    <t>A man carries a box into the stage.</t>
  </si>
  <si>
    <t>v_rxEQaswh_Uo</t>
  </si>
  <si>
    <t>A boy is smiling up at the man whose shoe he is shining.</t>
  </si>
  <si>
    <t>The man is looking down at the boy.</t>
  </si>
  <si>
    <t>The boy is shining the mans shoes.</t>
  </si>
  <si>
    <t>The boy is talking to passerbys and pointing.</t>
  </si>
  <si>
    <t>A small kid walks away from the wall.</t>
  </si>
  <si>
    <t>The boy is wiping the mans shoes with a towel.</t>
  </si>
  <si>
    <t>He has started to rub with block.</t>
  </si>
  <si>
    <t>The boy gives a peace sign and grins.</t>
  </si>
  <si>
    <t>v_MJpfymVwtGc</t>
  </si>
  <si>
    <t>A lady is lying down on a black bed, a woman in black sweater and wearing black gloves is rubbing a white cotton on the lady's belly button.</t>
  </si>
  <si>
    <t>Then the woman draw a dot on the belly button, piercing the navel with a thong, then the woman inserted a metal stick, then cleaned the pierce, then the woman inserted the belly button accessory, and tighten it then cleaned up the piercing.</t>
  </si>
  <si>
    <t>v_mTtBz5d83C4</t>
  </si>
  <si>
    <t>There are several people sledding down a snowy slope in round snow tubes.</t>
  </si>
  <si>
    <t>They are going down the steep snowy slope at high speed.</t>
  </si>
  <si>
    <t>One of the people going down the slope raises his hand to his friend as he goes downhill.</t>
  </si>
  <si>
    <t>v_g_65rfEiXPY</t>
  </si>
  <si>
    <t>A man cleans a large window using a long handle squeegee.</t>
  </si>
  <si>
    <t>Then, the man uses a long steel wiper to clean the window from right to left.</t>
  </si>
  <si>
    <t>After, the man takes a cloth and cleans the lower part of the window, then he continues cleaning the with a squeegee and a steel wipe.</t>
  </si>
  <si>
    <t>v_tA7cF5wA6ZU</t>
  </si>
  <si>
    <t>A bald man is leading an orchestra.</t>
  </si>
  <si>
    <t>Several female singers are singing while a choir of younger people sing backup.</t>
  </si>
  <si>
    <t>A young drummer and a man playing the piano are near each other as the young boy looks around.</t>
  </si>
  <si>
    <t>As the singers and musicians finish the song,the conductor waves his wand to end the music.</t>
  </si>
  <si>
    <t>v_NVtRGWuiEP4</t>
  </si>
  <si>
    <t>We see girls in a red costume gym performing a baton routine.</t>
  </si>
  <si>
    <t>Three girls walk past in the background.</t>
  </si>
  <si>
    <t>The girls next to them in pink perform their routine.</t>
  </si>
  <si>
    <t>The girls in the red uniforms finish and walk away.</t>
  </si>
  <si>
    <t>A team of girls in black and neon walk past behind the girls.</t>
  </si>
  <si>
    <t>The girls in pink finish their routine.</t>
  </si>
  <si>
    <t>v_KylUHdDXuCg</t>
  </si>
  <si>
    <t>An intro leads into several clips of people attempting to fight bulls from many generations.</t>
  </si>
  <si>
    <t>Several clips are shown of people interacting with the bulls as well as running around and people watching.</t>
  </si>
  <si>
    <t>v_eqm20MDaeRQ</t>
  </si>
  <si>
    <t>A woman is seen kneeling over a bucket on an old tv show.</t>
  </si>
  <si>
    <t>She is seen washing clothes in the bucket while looking off into the distance.</t>
  </si>
  <si>
    <t>She sighs to herself in exhaustion and continues washing the clothes when a shot of a washing machine is shown.</t>
  </si>
  <si>
    <t>v_KuyaO3brwBc</t>
  </si>
  <si>
    <t>A man stands behind a shoe counter and describes how to clean them.</t>
  </si>
  <si>
    <t>The man talks about the three step program and answers frequently asked questions.</t>
  </si>
  <si>
    <t>The man scrubs to shine the shoe and adds some polish then sprays them.</t>
  </si>
  <si>
    <t>v_AbzyaqyFI0Y</t>
  </si>
  <si>
    <t>A person is seen riding a kayak along a rough river and spinning himself around.</t>
  </si>
  <si>
    <t>More shots of him riding around shown and he continues to flip in the water.</t>
  </si>
  <si>
    <t>v_Hi4YiQO47EM</t>
  </si>
  <si>
    <t>A group of people are talking next to a table with red solo cups and beer cans.</t>
  </si>
  <si>
    <t>A woman puts a red solo cup under a man's nose.</t>
  </si>
  <si>
    <t>A man tosses a ping pong ball into a red solo cup.</t>
  </si>
  <si>
    <t>The floor is shown along with a person's foot.</t>
  </si>
  <si>
    <t>v_2mOQx0l1158</t>
  </si>
  <si>
    <t>A closeup of a bike is shown followed by a person unscrewing the handles on the bike and adjusting the sides.</t>
  </si>
  <si>
    <t>The person then screwed it a light in front of the handlebars and holds them in place.</t>
  </si>
  <si>
    <t>v_5-SbGVTPM1c</t>
  </si>
  <si>
    <t>Men run down a track and leap backwards over a bar.</t>
  </si>
  <si>
    <t>A man waves a white flag once the land.</t>
  </si>
  <si>
    <t>An audience is watching them jump.</t>
  </si>
  <si>
    <t>v_TrtuuE1K8pk</t>
  </si>
  <si>
    <t>A man put paint on the wall with a hose, while a person uses a flat mop to spread the paint.</t>
  </si>
  <si>
    <t>Then, the man puts paint around the window.</t>
  </si>
  <si>
    <t>v_Izr9-P7YIKw</t>
  </si>
  <si>
    <t>A woman removes a bolt from a tire.</t>
  </si>
  <si>
    <t>The woman removes a second bolt.</t>
  </si>
  <si>
    <t>The woman removes a third bolt.</t>
  </si>
  <si>
    <t>Lastly, the woman removes a fourth bolt.</t>
  </si>
  <si>
    <t>The woman takes the tire off the car.</t>
  </si>
  <si>
    <t>v_FiJi18WpPe8</t>
  </si>
  <si>
    <t>A girl in a blue and plaid school uniform stands in a school bathroom brushing her teeth and primping in the mirror.</t>
  </si>
  <si>
    <t>The girl begins facing the camera and brushing her teeth, leaning in to the camera at one point before leaning back to continue brushing teeth.</t>
  </si>
  <si>
    <t>The girl then turns towards the bathroom mirror and spits into the bathroom sink, then returns to brushing teeth and facing the camera again.</t>
  </si>
  <si>
    <t>The girl then moves to another sink that is further back in the bathroom, plays with her hair, primps in the mirror, all while another girl in a school uniform enters the bathroom and walks into a bathroom stall.</t>
  </si>
  <si>
    <t>v_WzSZJ-yJX48</t>
  </si>
  <si>
    <t>Two men talk heatedly until a man comes and separates them.</t>
  </si>
  <si>
    <t>Number 99 leaves then goes back to finish talking.</t>
  </si>
  <si>
    <t>Number 69 walks across the field.</t>
  </si>
  <si>
    <t>We see number 69 hit the ball.</t>
  </si>
  <si>
    <t>he then argues with the catcher.</t>
  </si>
  <si>
    <t>A pitcher begins to pitch.</t>
  </si>
  <si>
    <t>v_-fBTCykx4gM</t>
  </si>
  <si>
    <t>A little boy walk toward the sink.</t>
  </si>
  <si>
    <t>The boy stands on front the sink and puts toothpaste on the brush, and then brush the teeth.</t>
  </si>
  <si>
    <t>Then, the boy rinse his mouth and then show teeth and dry mouth.</t>
  </si>
  <si>
    <t>v_8PkoDfbK5Bc</t>
  </si>
  <si>
    <t>A person is doing flips on a stage in front of people.</t>
  </si>
  <si>
    <t>People are standing in the corner playing the drums.</t>
  </si>
  <si>
    <t>A man does a hand stand on the stage.</t>
  </si>
  <si>
    <t>v_6uhLrPgbpUA</t>
  </si>
  <si>
    <t>Several bicycle racers dressed in motocross suits and wearing helmets are lined up at the start line, waiting to race.</t>
  </si>
  <si>
    <t>The race begins, and all bikers race down a hill, toward a jump.</t>
  </si>
  <si>
    <t>The bikers jump off a hill, but one of the bikers, dressed in red and black, tumbles to the ground.</t>
  </si>
  <si>
    <t>The biker immediately behind him, dressed in red, white and blue, tries to avoid the fallen biker, and falls to the ground as well.</t>
  </si>
  <si>
    <t>The other bikers race off.</t>
  </si>
  <si>
    <t>The biker in black and red immediately trots off the track, while the biker in red, white and blue, is clearly injured and struggles to get to his knees.</t>
  </si>
  <si>
    <t>Three men dressed in black jackets come to the aid of the first biker.</t>
  </si>
  <si>
    <t>v_h-lKlgls9OI</t>
  </si>
  <si>
    <t>A recreation building is pictured and kids doing various activities ranging from basketball to swimming is shown.</t>
  </si>
  <si>
    <t>A set of young boys are picture din the water on their backs holding up a green ball and one throws it into the goal.</t>
  </si>
  <si>
    <t>The outside of the building is shown again and a flash of a car parked outside in the parking lot appears.</t>
  </si>
  <si>
    <t>v_mBHsAuDJmj4</t>
  </si>
  <si>
    <t>a man in overalls sits in front of a large wheel of metal.</t>
  </si>
  <si>
    <t>He picks up a torch, and begins welding.</t>
  </si>
  <si>
    <t>Sparks fly as he wears his mask, welding the equipment.</t>
  </si>
  <si>
    <t>v_sO7ZGxFwbm8</t>
  </si>
  <si>
    <t>The video leads into several shots of javelin athletes throwing poles down a large track.</t>
  </si>
  <si>
    <t>Many people are shown running down the track throwing the javelin and watching where their pole lands.</t>
  </si>
  <si>
    <t>v_ZLJJ5LxfE6o</t>
  </si>
  <si>
    <t>Men are doing karate moves in a gym.</t>
  </si>
  <si>
    <t>People are playing instruments next to them.</t>
  </si>
  <si>
    <t>A man in a white shirt is playing the drums in front of him.</t>
  </si>
  <si>
    <t>v_jqKK2KH6l4Q</t>
  </si>
  <si>
    <t>AN intro screen showing a man perform Brazilian martial arts appears on the screen.</t>
  </si>
  <si>
    <t>It then shows a man doing the same martial arts in slow motion on some grass in what looks like a park.</t>
  </si>
  <si>
    <t>The man spins and kicks continuously and is highly skilled.</t>
  </si>
  <si>
    <t>The video then shows another man indoors giving a thumbs up, before jumping to two other men performing on a stage.</t>
  </si>
  <si>
    <t>A bunch of other men are performing martial arts inside of a gymnasium and classroom, while another man speaks to the camera.</t>
  </si>
  <si>
    <t>v_gxuere-ofCU</t>
  </si>
  <si>
    <t>A man is seen sitting in front of a camera holding a harmonica in his hands.</t>
  </si>
  <si>
    <t>The man then begins playing several songs while pausing in between.</t>
  </si>
  <si>
    <t>He continues playing the instrument while looking off into the distance.</t>
  </si>
  <si>
    <t>v_CN0F45eLq1s</t>
  </si>
  <si>
    <t>A picture of a person jumping off of a boat into the water.</t>
  </si>
  <si>
    <t>A sail boat is in the water with people on it.</t>
  </si>
  <si>
    <t>People are sitting on the boat talking.</t>
  </si>
  <si>
    <t>A woman in a white bikini stands at the bow of the boat and a man stands behind her.</t>
  </si>
  <si>
    <t>People are sitting at the bow of the boat.</t>
  </si>
  <si>
    <t>A woman lies on her back wearing a bikini on the boat.</t>
  </si>
  <si>
    <t>People are walking in the sand in front of the camera.</t>
  </si>
  <si>
    <t>A view of the water and beach is shown.</t>
  </si>
  <si>
    <t>People are walking on the sand of the beach.</t>
  </si>
  <si>
    <t>A group of people are posing for a picture.</t>
  </si>
  <si>
    <t>People are taking pictures on the boat.</t>
  </si>
  <si>
    <t>v_8twDb4CdhE0</t>
  </si>
  <si>
    <t>A close up of a woman is shown speaking to the camera holding an ice cream in front of her face.</t>
  </si>
  <si>
    <t>She takes multiple bites of the ice cream while the camera pans around her body and several other people surround her.</t>
  </si>
  <si>
    <t>v_bscUMcCmyYw</t>
  </si>
  <si>
    <t>A girls hops across the pavement.</t>
  </si>
  <si>
    <t>A younger girl watches her.</t>
  </si>
  <si>
    <t>A mans arm is in the foreground.</t>
  </si>
  <si>
    <t>There is also a wooden deck.</t>
  </si>
  <si>
    <t>v_4L0AI0f-cMs</t>
  </si>
  <si>
    <t>White text says the video is about how to make a belly cake.</t>
  </si>
  <si>
    <t>Two pieces of wrapped chocolate cake are shown as a hand adjusts and touches them.</t>
  </si>
  <si>
    <t>Instructions appear at the bottom of the screen before fondant baby parts are shown being placed after the cake is frosted.</t>
  </si>
  <si>
    <t>The cake is complete as a woman's stomach with a baby foot protruding from her dress.</t>
  </si>
  <si>
    <t>v_ADy-2Y0jmXQ</t>
  </si>
  <si>
    <t>A woman is seen hosting a news segment that leads into several clips of people measuring themselves and speaking to the camera.</t>
  </si>
  <si>
    <t>Many shots are shown of people drinking coffee while holding up larger pants and showing off the weight they had lost.</t>
  </si>
  <si>
    <t>More people are seen speaking to the camera while more products are shown as well as food being presented and a woman showing off her closet.</t>
  </si>
  <si>
    <t>v_61iCOJ3Meus</t>
  </si>
  <si>
    <t>A boy in a white tshirt picks up his brother over head and body slams him onto the bed.</t>
  </si>
  <si>
    <t>The brother in army colored shirt gets up from bed.</t>
  </si>
  <si>
    <t>v_iJ6rHJf_Hgo</t>
  </si>
  <si>
    <t>We see a skateboarder walk with his board.</t>
  </si>
  <si>
    <t>the man then skateboards down a busy street.</t>
  </si>
  <si>
    <t>The boarder has his hand on the ground as he skates.</t>
  </si>
  <si>
    <t>The boarder takes a right turn.</t>
  </si>
  <si>
    <t>The cars drive by and the scene ends.</t>
  </si>
  <si>
    <t>v_Vq7Mm98I5Qs</t>
  </si>
  <si>
    <t>A motorbike race is shown on dirt.</t>
  </si>
  <si>
    <t>The preparations include scantily clad women.</t>
  </si>
  <si>
    <t>Motorbikes are then shown jumping and doing agility things.</t>
  </si>
  <si>
    <t>v_5FwNVOIGdVs</t>
  </si>
  <si>
    <t>A man gets on a red machine.</t>
  </si>
  <si>
    <t>He then backs up and begins to blow leaves with it.</t>
  </si>
  <si>
    <t>The leaves blow all over the driveway.</t>
  </si>
  <si>
    <t>Finally the driveway is cleared of the leaves.</t>
  </si>
  <si>
    <t>v_m8SFyH4vhik</t>
  </si>
  <si>
    <t>She dismounts and lands on the mat next to the beam.</t>
  </si>
  <si>
    <t>v_QlQrJ5WsWzo</t>
  </si>
  <si>
    <t>A man sits on top of a camel.</t>
  </si>
  <si>
    <t>The camel stands up and a man in front leads it.</t>
  </si>
  <si>
    <t>A red barn is seen behind them.</t>
  </si>
  <si>
    <t>The camel sits back down and the man gets off.</t>
  </si>
  <si>
    <t>v_hcRf6HmOAzo</t>
  </si>
  <si>
    <t>A woman is seen standing in front of buckets and speaking to the camera.</t>
  </si>
  <si>
    <t>She pours water into a bucket while dragging it over as well as mixing cleaning into it and beginning to dump clothes.</t>
  </si>
  <si>
    <t>The woman dips the clothes into the bucket and shows where she hangs them and waving to the camera.</t>
  </si>
  <si>
    <t>v_GcEutQTeAnA</t>
  </si>
  <si>
    <t>A man carefully washes the side of a car with a sponge.</t>
  </si>
  <si>
    <t>The man stands up and washes the windshield.</t>
  </si>
  <si>
    <t>He then moves along the back of the car washing the spoiler.</t>
  </si>
  <si>
    <t>v_fsSCNCY0iQY</t>
  </si>
  <si>
    <t>A standing Asian woman wearing makeup is talking to a bunch of sitting Asian women who have no make up on their faces.</t>
  </si>
  <si>
    <t>The Asian woman with the make up claps and then hits a clock that has a 10 second timer.</t>
  </si>
  <si>
    <t>The women with no makeup quickly begin to apply makeup before the time runs out.</t>
  </si>
  <si>
    <t>Two women quickly apply makeup to their faces, but when they are done they have upset looks on their faces.</t>
  </si>
  <si>
    <t>The third woman puts make up and fake eyelashes onto a tray in front of her and then slams her face into the tray and rolls it side to side.</t>
  </si>
  <si>
    <t>When she lifts her head up her makeup is perfect and at the same time she pulls her hair out of a ponytail and shakes her hair free.</t>
  </si>
  <si>
    <t>The outro video is a purple screen with white words that read "Beautiful and fast" and ends with a white screen that has purple words readings "Windows 8" and the microsoft logo.</t>
  </si>
  <si>
    <t>v_BbQ39yhaC54</t>
  </si>
  <si>
    <t>A man is talking in a racquetball court.</t>
  </si>
  <si>
    <t>He talks about how to pose and swing the racquet.</t>
  </si>
  <si>
    <t>He demonstrates by hitting the ball back and forth against the wall.</t>
  </si>
  <si>
    <t>v_ZkkTMR21XLc</t>
  </si>
  <si>
    <t>A man and woman biker are standing outside an event.</t>
  </si>
  <si>
    <t>They get into a raft and push it into a river.</t>
  </si>
  <si>
    <t>They ride the rapids, going over falls and paddling as they go.</t>
  </si>
  <si>
    <t>v_w5lQ5vNAksM</t>
  </si>
  <si>
    <t>man is standing in a room playing the flute.</t>
  </si>
  <si>
    <t>the man ends to play and laugh and thanks to the public.</t>
  </si>
  <si>
    <t>man is wearing a blue shirt and is sitting behind the man playing the flute.</t>
  </si>
  <si>
    <t>v_JouywOCeGHI</t>
  </si>
  <si>
    <t>A man talks to a camera from an outdoors scene by a slope.</t>
  </si>
  <si>
    <t>Several quick cuts are shown explaining the terms behind belaying in the context of climbing.</t>
  </si>
  <si>
    <t>More quick scenes are shown explaining the process behind belaying in the context of climbing.</t>
  </si>
  <si>
    <t>The man talks to the camera once more.</t>
  </si>
  <si>
    <t>v_p1_6T9d4ZuY</t>
  </si>
  <si>
    <t>The gymnast approaches the bar with a leap.</t>
  </si>
  <si>
    <t>She grasps the bar and begins to flip herself around the bar before leaping to the next bar and propelling herself up and over it repeatedly.</t>
  </si>
  <si>
    <t>She launches herself in the air and lands on the mat.</t>
  </si>
  <si>
    <t>v_4rvACiBclFI</t>
  </si>
  <si>
    <t>A bunch of cars are driving while tilted on one side.</t>
  </si>
  <si>
    <t>The tires are taken off one of the cars.</t>
  </si>
  <si>
    <t>v_bM5VpCdPOrw</t>
  </si>
  <si>
    <t>A man is seen speaking to he camera and leads into clip of his truck driving and people riding behind.</t>
  </si>
  <si>
    <t>A man speaks to the ground with a stick as they wander around a deserted area and showing off various plants and wildlife in the area.</t>
  </si>
  <si>
    <t>He puts white clothing all over his body and several others and leads into the people riding camels with others leading in front.</t>
  </si>
  <si>
    <t>v_yuxoNmlNcc8</t>
  </si>
  <si>
    <t>A flag is shown waving where it is stuck in the ground.</t>
  </si>
  <si>
    <t>A group of people are standing outside the building, some eating.</t>
  </si>
  <si>
    <t>A man shurgs at the camera as a game commences.</t>
  </si>
  <si>
    <t>v_Q_kqplOxytU</t>
  </si>
  <si>
    <t>A small boy is immersed into pool water as he looks around.</t>
  </si>
  <si>
    <t>He floats and swims with his mother's help.</t>
  </si>
  <si>
    <t>He blows bubbles, and she removes him from the water.</t>
  </si>
  <si>
    <t>v_hDf32SV0QN0</t>
  </si>
  <si>
    <t>A woman is sitting in front of a camera.</t>
  </si>
  <si>
    <t>She begins brushing her partially wet hair.</t>
  </si>
  <si>
    <t>She continues brushing, then stops and stares at the camera.</t>
  </si>
  <si>
    <t>v_Skz2tom_Ag0</t>
  </si>
  <si>
    <t>A man is seen standing on a tennis court on one side of the fence.</t>
  </si>
  <si>
    <t>Another person is seen standing on the other side and then hit a ball to one another.</t>
  </si>
  <si>
    <t>The person misses the birdie and walks over towards it.</t>
  </si>
  <si>
    <t>v_cMoy7UJtlyA</t>
  </si>
  <si>
    <t>A man stands on a dock wearing a green shirt.</t>
  </si>
  <si>
    <t>He then rides a boat with a sail.</t>
  </si>
  <si>
    <t>He steers it through the lake.</t>
  </si>
  <si>
    <t>He stands on the dock again at the end.</t>
  </si>
  <si>
    <t>v_W70Urhy8Yl4</t>
  </si>
  <si>
    <t>A couple are standing on a snowy hillside.</t>
  </si>
  <si>
    <t>A man walks over to a small red flag.</t>
  </si>
  <si>
    <t>He removes the flag, then pulls a line out of the ground.</t>
  </si>
  <si>
    <t>He pulls up a giant fish he caught.</t>
  </si>
  <si>
    <t>v_0T14tLwBafQ</t>
  </si>
  <si>
    <t>We see people playing volleyball in sand with a dog.</t>
  </si>
  <si>
    <t>We see a man laying in the sand.</t>
  </si>
  <si>
    <t>The dog runs for the ball.</t>
  </si>
  <si>
    <t>A person throws the ball back and the dog returns.</t>
  </si>
  <si>
    <t>The dog tries to get the ball.</t>
  </si>
  <si>
    <t>A man kicks sand at and shoos the dog.</t>
  </si>
  <si>
    <t>v_xIU6DO35R_c</t>
  </si>
  <si>
    <t>A man scuffs a shoe in the street while another person sits and watches.</t>
  </si>
  <si>
    <t>She talks to the man and moves her hands to follow his movement.</t>
  </si>
  <si>
    <t>v_Q3FkUH9kImU</t>
  </si>
  <si>
    <t>He is showing a shuffleboard.</t>
  </si>
  <si>
    <t>He walks to the end of the shuffleboard and another man is on the other side.</t>
  </si>
  <si>
    <t>He begins playing by throwing one down the board.</t>
  </si>
  <si>
    <t>v_oQ_gE5_0xyc</t>
  </si>
  <si>
    <t>We see a few opening screens.</t>
  </si>
  <si>
    <t>We see a lady performs a baton routine in a arena.</t>
  </si>
  <si>
    <t>The lady spins and catches her baton.</t>
  </si>
  <si>
    <t>The lady flips forwards and backwards and catches her baton.</t>
  </si>
  <si>
    <t>The lady spins and catches her baton again.</t>
  </si>
  <si>
    <t>The lady flips multiple times and catches her baton before posing.</t>
  </si>
  <si>
    <t>The crowd claps and the lady waves.</t>
  </si>
  <si>
    <t>v_S47vfJ9g3Mw</t>
  </si>
  <si>
    <t>The video begins with a title screen and an intro which shows various works of art.</t>
  </si>
  <si>
    <t>The topic is about Chinese paintings of waterfalls and rocks.</t>
  </si>
  <si>
    <t>An older Chinese man speaks to the camera.</t>
  </si>
  <si>
    <t>He then begins painting as the camera pans down to view how he does it.</t>
  </si>
  <si>
    <t>At one point, the camera focuses back to his face for a moment.</t>
  </si>
  <si>
    <t>The video ends with another title screen.</t>
  </si>
  <si>
    <t>v_GbvZWitR2_g</t>
  </si>
  <si>
    <t>A kite is flying above a beach.</t>
  </si>
  <si>
    <t>Several people sit on the beach.</t>
  </si>
  <si>
    <t>The kite soars through the sky.</t>
  </si>
  <si>
    <t>Several people are in the water.</t>
  </si>
  <si>
    <t>v_OHOi0ZSuDUg</t>
  </si>
  <si>
    <t>An old man plays the ukulele and a boy plays the tam-tams in the street.</t>
  </si>
  <si>
    <t>A person pass on front the players.</t>
  </si>
  <si>
    <t>v_5vk8OuKkttU</t>
  </si>
  <si>
    <t>A set of instructions are shown transitioning back and fourth between a man laying down carpet on a set of stairs.</t>
  </si>
  <si>
    <t>The text continues showing while the man lays out paper all down the stairs.</t>
  </si>
  <si>
    <t>v_JjRSGzdwtc0</t>
  </si>
  <si>
    <t>A woman is seen walking along a field and throwing a jump rope to another.</t>
  </si>
  <si>
    <t>Several clips are followed by people jump roping in various locations as well as with each other.</t>
  </si>
  <si>
    <t>The group continue dancing and jumping around public places and ends with a baby holding a rope.</t>
  </si>
  <si>
    <t>v_zpJ91CkCiyw</t>
  </si>
  <si>
    <t>We see two men on a city street and the title loads.</t>
  </si>
  <si>
    <t>A man takes off his hood and talks to the camera.</t>
  </si>
  <si>
    <t>We see men in roller blades fall then skate down a railing.</t>
  </si>
  <si>
    <t>A person flashes a light at the camera.</t>
  </si>
  <si>
    <t>A man falls on the railing.</t>
  </si>
  <si>
    <t>A person falls at the bottom of the stairs and then the light is flashing again.</t>
  </si>
  <si>
    <t>We see a man fall down the railing three times.</t>
  </si>
  <si>
    <t>We see the men talk and shake hands before seeing the end screen.</t>
  </si>
  <si>
    <t>v__5VJcnrEgbg</t>
  </si>
  <si>
    <t>A man hits a ball with a tennis racket.</t>
  </si>
  <si>
    <t>Another man joins him shortly after.</t>
  </si>
  <si>
    <t>Several different angles are shown as the group of four play before an audience, hitting the ball back and forth quickly.</t>
  </si>
  <si>
    <t>When they are done, the men walk away, patting each other on the backs.</t>
  </si>
  <si>
    <t>v_nStBfiFl6RU</t>
  </si>
  <si>
    <t>A group of women dance in an aerobic class in a group inside a gym studio.</t>
  </si>
  <si>
    <t>The women jump up and down on alternating feet.</t>
  </si>
  <si>
    <t>The woman walk one way taking a few steps then back the other way during the routine.</t>
  </si>
  <si>
    <t>v_FFCmoQp_xVA</t>
  </si>
  <si>
    <t>A man stands behind a bar talking to the camera.</t>
  </si>
  <si>
    <t>The man holds a drink up and puts it down.</t>
  </si>
  <si>
    <t>The man adds ice to a glass and two shots of a red liquor then another.</t>
  </si>
  <si>
    <t>The man puts a strainer on the glass and stirs the glass with a long metal stick.</t>
  </si>
  <si>
    <t>The man pours it into a martini glass.</t>
  </si>
  <si>
    <t>The man smiles and holds the drink in the air.</t>
  </si>
  <si>
    <t>v_9z_ylV5c9HA</t>
  </si>
  <si>
    <t>A girl demonstrates applying contact lenses to her eyes in an extreme close up video.</t>
  </si>
  <si>
    <t>A pink slide appears advising that the a person is not good at applying contact lenses.</t>
  </si>
  <si>
    <t>A girl with blonde hair and long pink nails proceeds to apply contact lenses to her eyes in a close up video which capture the lens and the eye before and after.</t>
  </si>
  <si>
    <t>v_6gZuc4umTPk</t>
  </si>
  <si>
    <t>Two young girls are seen speaking to the camera and playing with one another.</t>
  </si>
  <si>
    <t>One girl then pulls out a bottle of nail polish while the other waves to the camera.</t>
  </si>
  <si>
    <t>More clips are shown of one girl attempting to paint the nails of the other and ends by waving to the camera.</t>
  </si>
  <si>
    <t>v_cGtK7bs-TE8</t>
  </si>
  <si>
    <t>A fast motion video is shown of various people raking leaves around a yard.</t>
  </si>
  <si>
    <t>Two boys look around towards each other and continue raking the leaks until the yard is done.</t>
  </si>
  <si>
    <t>v_EoQgUlLb3U4</t>
  </si>
  <si>
    <t>A man turns his body around, preparing to throw his discus.</t>
  </si>
  <si>
    <t>The man throws the discus really hard.</t>
  </si>
  <si>
    <t>The man watches ahead after his discus.</t>
  </si>
  <si>
    <t>v_jsqD1NB63hk</t>
  </si>
  <si>
    <t>A young man is seen wearing goggles and speaking to the camera followed by him jumping into the pool.</t>
  </si>
  <si>
    <t>The boy gets out and is seen once again jumping into the pool and swimming to the side to present an object.</t>
  </si>
  <si>
    <t>v_p8h3G0Tblqc</t>
  </si>
  <si>
    <t>A man introduces the basketball concepts of the video to the camera.</t>
  </si>
  <si>
    <t>The player starts from one side of the court and runs up and lays up the basketball in the net.</t>
  </si>
  <si>
    <t>He repeats around the court from every angle.</t>
  </si>
  <si>
    <t>The man returns to go over the concepts again as the video closes.</t>
  </si>
  <si>
    <t>v_ySQBZ8hqBo4</t>
  </si>
  <si>
    <t>The athlete is balancing in the bean as the man took out the spring jumper.</t>
  </si>
  <si>
    <t>The athlete did cartwheel on the beam as the crowd applauded.</t>
  </si>
  <si>
    <t>When the female athlete finished her number, she jumped off the beam cartwheeling down the blue mat.</t>
  </si>
  <si>
    <t>v_T8wY9ZQv8vQ</t>
  </si>
  <si>
    <t>The video is showing clips of gymnastics players performing tricks along a padded area, while judges and spectators look on and cheer.</t>
  </si>
  <si>
    <t>The first player hits her head at the end of her performance.</t>
  </si>
  <si>
    <t>The video continues to show many other gymnasts competing, with the audience cheering after the completion of each performance.</t>
  </si>
  <si>
    <t>The video ends with a male performer.</t>
  </si>
  <si>
    <t>v_vDaDT1vUOfI</t>
  </si>
  <si>
    <t>A woman appears and disappears under the water as she swims in an olympic sized pool.</t>
  </si>
  <si>
    <t>She is seen swimming in a fishlike manner under the water.</t>
  </si>
  <si>
    <t>She displays several different swimming styles and moves.</t>
  </si>
  <si>
    <t>v_0e7-mNDgIXw</t>
  </si>
  <si>
    <t>A special effect intro that looks like a chalk board on wood appears and the words on it say SKI SCHOOL on the upper left, and the middle words say "Ski Tips: FOOT ROTATION" along with a website at the bottom and a blue circle icon on the upper right.</t>
  </si>
  <si>
    <t>A man skis into view and he's standing on a snowy mountain with a lot of trees and he's talking and looks like he's giving tips on how to ski as he physically demonstrates and continues to talk the whole time.</t>
  </si>
  <si>
    <t>The man is now back at his starting point where he was originally standing and he's talking again.</t>
  </si>
  <si>
    <t>The special affect screen appears with a wooden background and 4 different pictures on the screen with words under them.</t>
  </si>
  <si>
    <t>v_UwZbkuVsPno</t>
  </si>
  <si>
    <t>Two men are standing on a basketball goal.</t>
  </si>
  <si>
    <t>They start doing layups, then stand talking to the camera again.</t>
  </si>
  <si>
    <t>v_Xo4-GnduX8A</t>
  </si>
  <si>
    <t>Man talks to camera shooting video.</t>
  </si>
  <si>
    <t>Soccer players are shown practicing their moves.</t>
  </si>
  <si>
    <t>Soccer players take shots.</t>
  </si>
  <si>
    <t>Man is shoved off of the court.</t>
  </si>
  <si>
    <t>Man is congratulated for his goal.</t>
  </si>
  <si>
    <t>Man shakes his hand at the camera.</t>
  </si>
  <si>
    <t>v_q1jvfsKWY5c</t>
  </si>
  <si>
    <t>These people are playing tug of war against sumo wrestler who are more than 4 times their size and the small people win against them.</t>
  </si>
  <si>
    <t>In the end the people and sumo wrestlers take selfies and the sumo wrestlers open the fanta and throw it on each other.</t>
  </si>
  <si>
    <t>v_zOcXA1S_VPI</t>
  </si>
  <si>
    <t>A man wearing a black hat is talking.</t>
  </si>
  <si>
    <t>A man dribbles a basketball around some cones and shoots the ball.</t>
  </si>
  <si>
    <t>Two people are playing basketball.</t>
  </si>
  <si>
    <t>A man is dribbling a basketball on a court.</t>
  </si>
  <si>
    <t>v_mVC8DBsg1i0</t>
  </si>
  <si>
    <t>A man is sitting on a stool while the dog is in front of him, the dog is wearing a red leash.</t>
  </si>
  <si>
    <t>A white dog is hiding behind the wall.</t>
  </si>
  <si>
    <t>A man is brushing the dog's fur on his side first the at the back.</t>
  </si>
  <si>
    <t>The man started to shave the dog's front leg.</t>
  </si>
  <si>
    <t>A white dog is laying on the brown bed.</t>
  </si>
  <si>
    <t>The beige dog is laying on the rug while the man is shaving the beige.</t>
  </si>
  <si>
    <t>The white dog rubbing her face on the glass table, then the beige dog is standing on the glass sat then sat on the table, then the white dog is standing beside the beige dog.</t>
  </si>
  <si>
    <t>v_Qmo9D73hWXY</t>
  </si>
  <si>
    <t>We see a person in hockey gear skate onto the ice.</t>
  </si>
  <si>
    <t>Another person enters and we watch two people play hockey.</t>
  </si>
  <si>
    <t>We see the puck drop in front of the camera.</t>
  </si>
  <si>
    <t>The person knocks the goalie to the ground.</t>
  </si>
  <si>
    <t>The goalie skates up to the camera.</t>
  </si>
  <si>
    <t>v_TM_5fb15eXQ</t>
  </si>
  <si>
    <t>A guy is giving a lesson about snow boards he puts a big rub brand on the board to hold the foot placers in place.</t>
  </si>
  <si>
    <t>the guy shows the difference between snow boards and put them on a object to smoothing out the bottom of the board for better skiing.</t>
  </si>
  <si>
    <t>v_9tAyfaBGwyg</t>
  </si>
  <si>
    <t>A woman is drawing a hopscotch board on the ground in chalk.</t>
  </si>
  <si>
    <t>She stands up and walks to the front of the hopscotch board.</t>
  </si>
  <si>
    <t>She begins jumping on the board.</t>
  </si>
  <si>
    <t>v_SiBSwSu_REQ</t>
  </si>
  <si>
    <t>People are walking around the basketball court.</t>
  </si>
  <si>
    <t>A team of dancers walk onto the basketball court and stand at attention.</t>
  </si>
  <si>
    <t>As onlookers clap, the squad turns around in unison.</t>
  </si>
  <si>
    <t>The squad does their routine.</t>
  </si>
  <si>
    <t>The squad ends their routine and exits the floor.</t>
  </si>
  <si>
    <t>v_I6VBFfeBqF0</t>
  </si>
  <si>
    <t>A man props his leg on the side of a tub.</t>
  </si>
  <si>
    <t>He is shaving his leg with a razor, revealing a tattoo underneath.</t>
  </si>
  <si>
    <t>When he is done, he wipes off the hair and shows a tattoo of homer simpson as the grim reaper.</t>
  </si>
  <si>
    <t>v_tu6EkaMa9c8</t>
  </si>
  <si>
    <t>A tubing advertisement is on the screen.</t>
  </si>
  <si>
    <t>Tubers are going down the river.</t>
  </si>
  <si>
    <t>West Virginia advertisement is on the screen.</t>
  </si>
  <si>
    <t>A tuber goes under a plank with a dog on it.</t>
  </si>
  <si>
    <t>The camera is pointed towards the sky and trees.</t>
  </si>
  <si>
    <t>One tuber runs into branches, one stands up and falls over.</t>
  </si>
  <si>
    <t>the cameraman turns circles in his tube then has a snack.</t>
  </si>
  <si>
    <t>One guy gets his head tangled in branches.</t>
  </si>
  <si>
    <t>The video ends with advertisements.</t>
  </si>
  <si>
    <t>v_cGNkR-JvaJs</t>
  </si>
  <si>
    <t>A sports logo flashes on the screen.</t>
  </si>
  <si>
    <t>A woman talking into a microphone wearing a white shirt.</t>
  </si>
  <si>
    <t>A man is playing pool behind a blue pool table.</t>
  </si>
  <si>
    <t>The woman continues talking in front of the pool table.</t>
  </si>
  <si>
    <t>The woman and the man talk to each other.</t>
  </si>
  <si>
    <t>A trophy flashes on the screen.</t>
  </si>
  <si>
    <t>The man and the woman continue talking.</t>
  </si>
  <si>
    <t>The man plays pool again.</t>
  </si>
  <si>
    <t>The man and woman continue talking to each other.</t>
  </si>
  <si>
    <t>It flashes back to the pool table.</t>
  </si>
  <si>
    <t>The man and woman continue talking and the woman laughs at what the man is saying.</t>
  </si>
  <si>
    <t>The man is now teaching the woman how to shoot the pool ball while standing behind her.</t>
  </si>
  <si>
    <t>The woman makes the shot and they celebrate with a high five.</t>
  </si>
  <si>
    <t>The man is telling the woman how to make another shot.</t>
  </si>
  <si>
    <t>She attempts the shot and makes it and they high five again.</t>
  </si>
  <si>
    <t>They continue talking and laughing.</t>
  </si>
  <si>
    <t>The woman lays down on the pool table and he shoots a ball out of her mouth.</t>
  </si>
  <si>
    <t>The woman is sitting in a chair next to the pool table talking into the microphone.</t>
  </si>
  <si>
    <t>A Maxim logo flashes on the screen.</t>
  </si>
  <si>
    <t>v_S4GiCywMi38</t>
  </si>
  <si>
    <t>A man demonstrates how to apply make up to a face by applying make up to his own face in the camera.</t>
  </si>
  <si>
    <t>A man talks to the camera, close up, while standing in front of a mirror.</t>
  </si>
  <si>
    <t>The man begins to put on makeup blush using a brush and brushing across the apples of his cheeks.</t>
  </si>
  <si>
    <t>The man then runs a crayon like makeup tool across his cheeks before returning to apply blush to his cheeks and forehead.</t>
  </si>
  <si>
    <t>the man then uses a narrow and wide brush across his cheeks and then back to the regular brush for the same areas of his face.</t>
  </si>
  <si>
    <t>v_BKrUkWSo4Ig</t>
  </si>
  <si>
    <t>An intro leads into a man holding a violin and playing with his hands.</t>
  </si>
  <si>
    <t>The man continues to play and then pauses to speak to the camera while also demonstrating how to properly play.</t>
  </si>
  <si>
    <t>v_m_B1Jb6Wwn0</t>
  </si>
  <si>
    <t>A man is cleaning the soles of his sneakers with the thin, metal end of a hose.</t>
  </si>
  <si>
    <t>The man places the hose back and starts to leave.</t>
  </si>
  <si>
    <t>v_Z8xxgFpK-NM</t>
  </si>
  <si>
    <t>A man is dancing on a stage in white pants.</t>
  </si>
  <si>
    <t>Two people start dancing together on a stage.</t>
  </si>
  <si>
    <t>A man does several back flips on the stage.</t>
  </si>
  <si>
    <t>A person is playing a drum.</t>
  </si>
  <si>
    <t>v_wuHLveuf6PQ</t>
  </si>
  <si>
    <t>Several person are seen riding down a hill on roller blades while a person on a police bike rides in front.</t>
  </si>
  <si>
    <t>At one point several people fall and trip over one another but keep riding their blades on.</t>
  </si>
  <si>
    <t>v_KgGQ6dHKl8U</t>
  </si>
  <si>
    <t>A man mounted on a horse chases after a cow.</t>
  </si>
  <si>
    <t>He catches the cow with a rope.</t>
  </si>
  <si>
    <t>He mounts off the horse and hits the cow several times.</t>
  </si>
  <si>
    <t>v_PIJd7_6RGpY</t>
  </si>
  <si>
    <t>A man stands around a fire pit, talking.</t>
  </si>
  <si>
    <t>The man lights a torch.</t>
  </si>
  <si>
    <t>The man uses the torch to light the wood in the fire pit.</t>
  </si>
  <si>
    <t>The man sits by the fire pit, enjoying the warmth.</t>
  </si>
  <si>
    <t>v_Yb5b_xx1P9I</t>
  </si>
  <si>
    <t>A man in a black shirt is checking food in a sandwich shop.</t>
  </si>
  <si>
    <t>The man then moves fast to make a hoagie sandwich by adding ingredients from the bins.</t>
  </si>
  <si>
    <t>The man wraps the sandwich in paper and puts it in a plastic bag.</t>
  </si>
  <si>
    <t>We see on a phone the man made the sandwich in 41 seconds.</t>
  </si>
  <si>
    <t>The man then takes the sandwich apart in the back.</t>
  </si>
  <si>
    <t>v_0ysVELHeEyc</t>
  </si>
  <si>
    <t>The camera pans down the side of a fence.</t>
  </si>
  <si>
    <t>It stops at a broken section.</t>
  </si>
  <si>
    <t>It continues to pan down the fence.</t>
  </si>
  <si>
    <t>Nails are hammered into the fence.</t>
  </si>
  <si>
    <t>They continue down the fence and remove some dead plants.</t>
  </si>
  <si>
    <t>They show a product used to clean the fence.</t>
  </si>
  <si>
    <t>A man sprays the fence with the product.</t>
  </si>
  <si>
    <t>He drops it and gets some paint.</t>
  </si>
  <si>
    <t>A painted section of the fence is shown.</t>
  </si>
  <si>
    <t>v_IOmzDJjVUoQ</t>
  </si>
  <si>
    <t>A little in a pink shirt is going across the monkey bars.</t>
  </si>
  <si>
    <t>She hangs upside down from the bars.</t>
  </si>
  <si>
    <t>She smiles at the camera.</t>
  </si>
  <si>
    <t>v_bvBNoeCBDdg</t>
  </si>
  <si>
    <t>A title screen appears for a tutorial for hockey agility.</t>
  </si>
  <si>
    <t>A hockey player goes through several routines showing agility warm ups with a hockey stick and puck and drills with tires, small cones.</t>
  </si>
  <si>
    <t>Another title screen appear with a website just below it.</t>
  </si>
  <si>
    <t>v_IcDadC2tw5c</t>
  </si>
  <si>
    <t>A person watches another person using a leaf blower in a yard from an elevated window.</t>
  </si>
  <si>
    <t>A person in dark clothing blows leaves on a piece of property in front of two open garage doors.</t>
  </si>
  <si>
    <t>Another person moves with the camera as they watch from a window in an elevated room against a white window sill.</t>
  </si>
  <si>
    <t>The person blowing the leaves moves around the yard and continues to do lawn maintenance.</t>
  </si>
  <si>
    <t>v_pFh-8ICMTFY</t>
  </si>
  <si>
    <t>A woman talks while on a stair machine in a gym and shows proper footing.</t>
  </si>
  <si>
    <t>The woman walks on aerobic machine in the gym without the handles.</t>
  </si>
  <si>
    <t>The woman uses the arm bars while walking on the aerobic machine.</t>
  </si>
  <si>
    <t>The woman holds the arm grips to get off the machine.</t>
  </si>
  <si>
    <t>v_N_zbcVs419E</t>
  </si>
  <si>
    <t>A person's hand is seen holding a paint brush.</t>
  </si>
  <si>
    <t>The hand then puts drops of ink on paper.</t>
  </si>
  <si>
    <t>The person's hand is seen again with the paint brush.</t>
  </si>
  <si>
    <t>The hand returns with an ink dropper and creates pictures with ink.</t>
  </si>
  <si>
    <t>The hand gently touches the picture with a paper towel.</t>
  </si>
  <si>
    <t>v_G5ueYVLGtm8</t>
  </si>
  <si>
    <t>The woman in black shirt is bend over and hit the ball with mallet.</t>
  </si>
  <si>
    <t>The woman hit again the green ball causing it to hit the small pole.</t>
  </si>
  <si>
    <t>The woman in black cheered and began to walk.</t>
  </si>
  <si>
    <t>v_jfFnL_o8QS0</t>
  </si>
  <si>
    <t>A stopwatch is shown and a crowd gathers for a game of field hockey.</t>
  </si>
  <si>
    <t>The documentary features the voice of a former player as archival footage is shown in color.</t>
  </si>
  <si>
    <t>Photos and video in black and white depicts the history of the game.</t>
  </si>
  <si>
    <t>The documentary then focuses on a famous player.</t>
  </si>
  <si>
    <t>After that, a famous manager is highlighted and former players talk about him.</t>
  </si>
  <si>
    <t>v_p28XWij4U1c</t>
  </si>
  <si>
    <t>A woman talks to a camera and then demonstrates exercises that can be done from the playground using playground equipment including monkey bars.</t>
  </si>
  <si>
    <t>A woman in a red short sleeved shirt stands on the sand of a playground and talks facing the camera, while standing next to some monkey bars.</t>
  </si>
  <si>
    <t>The woman begins to use the monkey bars and pulls herself across the entire expanse of the bar without using feet for propulsion from bar to bar, using just upper arm and core strength to pull across the bars.</t>
  </si>
  <si>
    <t>The woman then climbs a wall and jumps off it in a gymnastic flip into the sand and begins to talk to the camera again.</t>
  </si>
  <si>
    <t>v_bJj66H_WsDA</t>
  </si>
  <si>
    <t>A man is seen sitting on the sidelines followed by a large group of people playing lacrosse.</t>
  </si>
  <si>
    <t>The players continue to move up and down the field past one another and many watching on the sides.</t>
  </si>
  <si>
    <t>The group continue to play and end by scoring a goal and the ref reacting.</t>
  </si>
  <si>
    <t>v_xT6ejzSmftg</t>
  </si>
  <si>
    <t>A marching group of cadets in dark clothing comes into view in what appears to be a downtown city square.</t>
  </si>
  <si>
    <t>A drum corp is heard drumming proudly as the cadets march down the street.</t>
  </si>
  <si>
    <t>The marchers begin waving to the crowd and greeting the onlookers.</t>
  </si>
  <si>
    <t>A long train whistle is heard as the cadets continue to wave to the crowd.</t>
  </si>
  <si>
    <t>Behind the cadets, a marching band comes into view, dressed in white.</t>
  </si>
  <si>
    <t>The band marches by while playing cadet songs.</t>
  </si>
  <si>
    <t>v_Er88I-NQkG4</t>
  </si>
  <si>
    <t>spanish letters are shown in the video.</t>
  </si>
  <si>
    <t>baby kid is dancing in the top of a table wearing a white diaper in the kitchen and a woman is filming it.</t>
  </si>
  <si>
    <t>v_vaqswUFfvMY</t>
  </si>
  <si>
    <t>A gymnast bend to rise weight above his head, while other men sit in the gym watch him.</t>
  </si>
  <si>
    <t>The gymnast drops the weight to the floor.</t>
  </si>
  <si>
    <t>v_72F30o9V8v0</t>
  </si>
  <si>
    <t>A man is shown sitting on a fence and talking to the camera while pointing out horses.</t>
  </si>
  <si>
    <t>A girl is shown riding a horse while three others hold onto the horse and help.</t>
  </si>
  <si>
    <t>These people help various people on and off the horses.</t>
  </si>
  <si>
    <t>The people also walk through obstacle courses with the horses and keep one hand on at all times.</t>
  </si>
  <si>
    <t>The man stands in the middle applauding the riders and giving the horses direction.</t>
  </si>
  <si>
    <t>A boy smiles when he gets off the horse and several people congratulate him.</t>
  </si>
  <si>
    <t>The man finishes by talking about his camp and why you should join.</t>
  </si>
  <si>
    <t>v_dKf46wUnn-s</t>
  </si>
  <si>
    <t>Two children are seen walking around a yard play crochet with one another and laughing on the side.</t>
  </si>
  <si>
    <t>the kids continue to play with each other while the camera pans all around their movements.</t>
  </si>
  <si>
    <t>v_AoyoL-921Ws</t>
  </si>
  <si>
    <t>A large yard is shown followed by a young child pushing a lawn mower around.</t>
  </si>
  <si>
    <t>The boy continues pushing the lawn mower around while the camera watches from the side.</t>
  </si>
  <si>
    <t>The boy moves the mower all along the yard.</t>
  </si>
  <si>
    <t>v_Tg3FU9Ro6KQ</t>
  </si>
  <si>
    <t>A woman is seen speaking to the camera and leads into her holding up various nail polishes and beginning to a set of fake nails.</t>
  </si>
  <si>
    <t>She continues painting on the nails use several different colors and presents the nail to the camera in the end.</t>
  </si>
  <si>
    <t>v_Hev5Vj0Jjuk</t>
  </si>
  <si>
    <t>A group of girls look up at an amusement park ride and wave there hands in fear and anticipation.</t>
  </si>
  <si>
    <t>The girls put on safety harnesses.</t>
  </si>
  <si>
    <t>The group climb up the stairs to the top of the platform.</t>
  </si>
  <si>
    <t>A girl stands on top of the platform with a rope and harness and prepares to jump.</t>
  </si>
  <si>
    <t>A pop band is seen singing a song and dancing.</t>
  </si>
  <si>
    <t>The girl jumps from the platform and bounces on the bungee cord in the air.</t>
  </si>
  <si>
    <t>The girl is met by the group members who congratulate her for the jump.</t>
  </si>
  <si>
    <t>v_ygmYkKbS-4U</t>
  </si>
  <si>
    <t>A man in a blue shirt is sweeping the floor in a gym.</t>
  </si>
  <si>
    <t>He flips the broom over and lays it flat on the floor.</t>
  </si>
  <si>
    <t>He starts vacuuming around the floor.</t>
  </si>
  <si>
    <t>He vacuums the bottom of the broom.</t>
  </si>
  <si>
    <t>v_sx5Q-JsaAAs</t>
  </si>
  <si>
    <t>Two men play ping pong on front a crowd.</t>
  </si>
  <si>
    <t>When the person with black jacket serves, the ball lands on net, also the young man fails to serve well and the ball lands outside the table.</t>
  </si>
  <si>
    <t>The young man wins and raise his hands, while his opponent hug him.</t>
  </si>
  <si>
    <t>People take picture to the men.</t>
  </si>
  <si>
    <t>v_sicaCRRCkiY</t>
  </si>
  <si>
    <t>A camera shows several different ingredients laid out on a table followed by someone mixing the ingredients together.</t>
  </si>
  <si>
    <t>They put the mixture on a pan to create cookies in the oven and show off the final results.</t>
  </si>
  <si>
    <t>v_BFrsZmuj4Ns</t>
  </si>
  <si>
    <t>Two men are seen running around a circle surrounded by people and performing martial arts moves.</t>
  </si>
  <si>
    <t>More people come in the circle and the people continue spinning around one another and fighting with each other.</t>
  </si>
  <si>
    <t>v_m1pNOYN-DoI</t>
  </si>
  <si>
    <t>Four guys are throwing golf balls across a table to hit plastic cups.</t>
  </si>
  <si>
    <t>Two guys high five after one guy gets the golf ball into the plastic cup.</t>
  </si>
  <si>
    <t>Guys point at the camera and laugh.</t>
  </si>
  <si>
    <t>A guy takes the golf ball out of the cup and attempts to drink the liquid.</t>
  </si>
  <si>
    <t>A guy throws a golf ball with his back toward the table, lands it inside the cup, and leaves the room.</t>
  </si>
  <si>
    <t>The guys celebrate and give high fives.</t>
  </si>
  <si>
    <t>v_UXX8k68S3_g</t>
  </si>
  <si>
    <t>A person is seen drawing on the side of a pumpkin and then leads into cutting out the outlines.</t>
  </si>
  <si>
    <t>The person then wipes a rag all over the pumpkin cleaning off its sides.</t>
  </si>
  <si>
    <t>v_DCyLmohIwkQ</t>
  </si>
  <si>
    <t>A man slowly walks over and takes some equipment off of the wall as some dramatic music plays.</t>
  </si>
  <si>
    <t>He sets up the bow and gets his arrows.</t>
  </si>
  <si>
    <t>Next we see him outdoors as he walks across some grass towards a target.</t>
  </si>
  <si>
    <t>He pulls out an arrow and and sets it in his bow.</t>
  </si>
  <si>
    <t>After a few tries he gets a bulls-eye.</t>
  </si>
  <si>
    <t>He sets his bow and his arrows down onto a wooden platform.</t>
  </si>
  <si>
    <t>v_Rx4gq8hrZ8s</t>
  </si>
  <si>
    <t>Four people plays soccer table indoors.</t>
  </si>
  <si>
    <t>A man shows a ball on a stick and demonstrates the movement of the ball on the soccer table.</t>
  </si>
  <si>
    <t>Then the mans shows the ball to the players, and one of them grab the ball and others play.</t>
  </si>
  <si>
    <t>v_ydRycaBjMVw</t>
  </si>
  <si>
    <t>A man is seen sitting on a bench with other wiping his ear down with cleaner.</t>
  </si>
  <si>
    <t>The man looks at his phone while the other then begins piercing his ears.</t>
  </si>
  <si>
    <t>The man puts an earring in each hole while still speaking to the man and shoving off his earring.</t>
  </si>
  <si>
    <t>v_jpGyplACWUg</t>
  </si>
  <si>
    <t>a man is celebrating with his arms in the air.</t>
  </si>
  <si>
    <t>He is shown spinning on a field.</t>
  </si>
  <si>
    <t>He then throws the ball far away and it is measured.</t>
  </si>
  <si>
    <t>v_-5h2E52tl4Q</t>
  </si>
  <si>
    <t>A middle aged female talks about a cleaning product.</t>
  </si>
  <si>
    <t>The female opens a container of cleaner and puts it on a rag.</t>
  </si>
  <si>
    <t>The female then uses the rag to rub the inside of the sink.</t>
  </si>
  <si>
    <t>The same female then uses a different rag to rub the sink surface.</t>
  </si>
  <si>
    <t>The female puts more cleaner on the rag and cleans the counter top.</t>
  </si>
  <si>
    <t>v_Anvhv9FFv1Q</t>
  </si>
  <si>
    <t>A man is seen speaking to the camera and leads into him presenting various objects and sharpening a knife on a board.</t>
  </si>
  <si>
    <t>The man demonstrates how to properly sharpen the knife using the tools and his hands while continuing to sharpen the knife on the board.</t>
  </si>
  <si>
    <t>v_KanNWuKvkxs</t>
  </si>
  <si>
    <t>A woman talks and shows a little bottle.</t>
  </si>
  <si>
    <t>Then, the woman put on her eyes white contact lenses and continues explaining.</t>
  </si>
  <si>
    <t>v_It-SVT1ICJM</t>
  </si>
  <si>
    <t>A couple of toys are wrestling on a table next to a stack of dvds.</t>
  </si>
  <si>
    <t>They kick and push each other down.</t>
  </si>
  <si>
    <t>A screen of stars in a black sky are shown.</t>
  </si>
  <si>
    <t>v_xKPF_SpZ1gQ</t>
  </si>
  <si>
    <t>A calf and horse run out of a gate.</t>
  </si>
  <si>
    <t>The man catches the calf and ties it up.</t>
  </si>
  <si>
    <t>v_5olJd75WWFw</t>
  </si>
  <si>
    <t>A man wearing a black shirt is demonstrating how to polish wood and other surfaces using liquid polish and a white soft cloth.</t>
  </si>
  <si>
    <t>He pours some of the polish from the bottle onto the cloth and uses it to gently scrub ad rub it over the furniture and tabletop.</t>
  </si>
  <si>
    <t>He uses it over various surfaces to clean and polish the surfaces of wood, vinyl and leather.</t>
  </si>
  <si>
    <t>v_y20J3BbydOk</t>
  </si>
  <si>
    <t>kids are gathered around a wooden table in a kitchen.</t>
  </si>
  <si>
    <t>woman is cutting oranges and showing it to kids and squeezing it in a glass in the table.</t>
  </si>
  <si>
    <t>v_AEQ9zIG9LqA</t>
  </si>
  <si>
    <t>A man does several back flips on a red mat.</t>
  </si>
  <si>
    <t>A woman in a black shirt watches him go by and claps.</t>
  </si>
  <si>
    <t>He stands up and walks away.</t>
  </si>
  <si>
    <t>v_1HWajOhmPVg</t>
  </si>
  <si>
    <t>Various text is shown across the screen that leads into a man hosting a news segment.</t>
  </si>
  <si>
    <t>An athlete is then seen spinning around in circles and throwing an object off into the distance.</t>
  </si>
  <si>
    <t>More text is shown across the screen.</t>
  </si>
  <si>
    <t>v_PyM_VG5KFa4</t>
  </si>
  <si>
    <t>A channel is displaying some cool and incredible videos.</t>
  </si>
  <si>
    <t>A young boy is sitting outdoors on a wooden bench and drumming on a drum set that is made out of steel plates, cans and pots.</t>
  </si>
  <si>
    <t>A man just walked past him while the boy was drumming loudly.</t>
  </si>
  <si>
    <t>He continues to drum on the handmade drum set rhythmically.</t>
  </si>
  <si>
    <t>He plays in a fast manner without stopping.</t>
  </si>
  <si>
    <t>The screen shows details of how to subscribe to the channel.</t>
  </si>
  <si>
    <t>v_O0nOzufJ_OM</t>
  </si>
  <si>
    <t>A compilation/tribute video for a Hungarian discus throwing Olympian begins with some pictures of him in action.</t>
  </si>
  <si>
    <t>An attempt with him twirling rapidly begins and the discus launches.</t>
  </si>
  <si>
    <t>More photos play, showing the competitor in different positions.</t>
  </si>
  <si>
    <t>Two straight attempts featuring a powerful spin result in the the discus flying far both times.</t>
  </si>
  <si>
    <t>This is followed by more photos.</t>
  </si>
  <si>
    <t>Another attempt plays, followed by another slate of photos.</t>
  </si>
  <si>
    <t>The next attempt occurs in front of a large green net, the discus is launched like a rocket and the thrower celebrates.</t>
  </si>
  <si>
    <t>Another set of photos close the montage.</t>
  </si>
  <si>
    <t>v_9o_SlEkq-L0</t>
  </si>
  <si>
    <t>A man is standing in a yard of green grass and is shown mowing the lawn and when he's done there is a short exchange of a hand handing his hand one dollar bill.</t>
  </si>
  <si>
    <t>The man is then shown moving the grass again and when he's done he's once again indoors and this time getting three one dollar bills handed to him.</t>
  </si>
  <si>
    <t>He is once again back in the yard but this time he has the container filled with cut grass and a special effect makes it look like the cut grass is jumping into his container.</t>
  </si>
  <si>
    <t>A special effect shows the man quickly in one place and then in another spot that varies a lot all throughout the yard.</t>
  </si>
  <si>
    <t>The man goes back to mowing the yard and then back indoors to get one more dollar handed to him.</t>
  </si>
  <si>
    <t>The man is very happy about this and he's back in the yard celebrating by jumping and mowing the yard a little more.</t>
  </si>
  <si>
    <t>The man is then back indoors and a special effect shows a bunch of money flying into the air and straight into his hands and ends with a the man holding a bunch of money in his hands as they move.</t>
  </si>
  <si>
    <t>v_PzeM5iOLQnk</t>
  </si>
  <si>
    <t>We see a man talking in a bike ship.</t>
  </si>
  <si>
    <t>the man points at a bike.</t>
  </si>
  <si>
    <t>The man takes off the handlebars on a bike and adjusts them.</t>
  </si>
  <si>
    <t>The man puts the handlebars back on.</t>
  </si>
  <si>
    <t>The man moves to the front of the bike to adjust the handlebars.</t>
  </si>
  <si>
    <t>The man then finishes tightening the bolt on the handlebar.</t>
  </si>
  <si>
    <t>The man steps back when finished.</t>
  </si>
  <si>
    <t>v_ozgrP6Znupc</t>
  </si>
  <si>
    <t>Two men talk to the camera, interspersed with action footage of them playing lacrosse.</t>
  </si>
  <si>
    <t>The man dressed in orange talks to the camera.</t>
  </si>
  <si>
    <t>The man in orange demonstrates passing the lacrosse ball against the wall.</t>
  </si>
  <si>
    <t>The man in orange talks to the camera again.</t>
  </si>
  <si>
    <t>Both men demonstrate passing the lacrosse ball against the wall.</t>
  </si>
  <si>
    <t>The man in orange talks to the camera a third time while demonstrating with his lacrosse stick.</t>
  </si>
  <si>
    <t>The man is briefly interrupted by a scene of him passing the ball against the wall.</t>
  </si>
  <si>
    <t>The two man practice passing the ball to each other with the wall.</t>
  </si>
  <si>
    <t>The man in orange talks to the camera a final time.</t>
  </si>
  <si>
    <t>v_uklYBuQDwIw</t>
  </si>
  <si>
    <t>A woman is seen sitting down on a string while others watch around her.</t>
  </si>
  <si>
    <t>A man is shown speaking to the camera while others take their turns balance on the rope.</t>
  </si>
  <si>
    <t>More shots are shown of the people walking along one another.</t>
  </si>
  <si>
    <t>v_zFUUBWJ58UA</t>
  </si>
  <si>
    <t>A woman is seen walking up to a door and smiling to the camera while hanging up her coat.</t>
  </si>
  <si>
    <t>She puts an apron on and pours paint into a bucket while speaking to the camera.</t>
  </si>
  <si>
    <t>She is shown painting various furniture as well as showing it off in the end.</t>
  </si>
  <si>
    <t>v_mEEovBtzwHc</t>
  </si>
  <si>
    <t>A woman is seen sitting in a chair while speaking to the camera and leads into a close up of a tree and the woman putting ornaments on.</t>
  </si>
  <si>
    <t>The woman ties string all along the tree while the camera pans around and ends with her showing off the end result and speaking to the camera.</t>
  </si>
  <si>
    <t>v_nlXavqvgf6A</t>
  </si>
  <si>
    <t>A boy is sitting on a ramp with the flaps up on his dirt bike waiting to go on the course.</t>
  </si>
  <si>
    <t>The boy then comes back and begins moving the pedals on the bicycle and then stands up on the bike.</t>
  </si>
  <si>
    <t>Another angle is shown and the ramps are let down and the boy begins riding down the pavement.</t>
  </si>
  <si>
    <t>v_W4tmb8RwzQM</t>
  </si>
  <si>
    <t>A teen sits in a chair talking.</t>
  </si>
  <si>
    <t>The boy stands and we see him bouncing on a slackline in various locations.</t>
  </si>
  <si>
    <t>There is a second boy on a different line who walks away.</t>
  </si>
  <si>
    <t>The boy almost falls and steadys himself.</t>
  </si>
  <si>
    <t>The boy gets off and walks away.</t>
  </si>
  <si>
    <t>The boy walks to the camera and gestures with his hands.</t>
  </si>
  <si>
    <t>v_nnWJGghixr0</t>
  </si>
  <si>
    <t>A black intro screen appears with white words and letters saying "Eric Bristow's unique TV 'Robin Hood' Darts shot 1983 vs J Wilson".</t>
  </si>
  <si>
    <t>An older looking video begins and two different men are throwing darts at a dartboard.</t>
  </si>
  <si>
    <t>When the men are done throwing darts, a dartboard is show and blue letters scroll up from the bottom to the top.</t>
  </si>
  <si>
    <t>v_xPyj6pmYyEk</t>
  </si>
  <si>
    <t>An introduction comes onto the screen for a video about how to make linguine with clam sauce.</t>
  </si>
  <si>
    <t>Water is brought to a boil in a pot and the pasta is added to the pot.</t>
  </si>
  <si>
    <t>Parsley is finely chopped along with some garlic, and the clams are drained into a bowl to separate them from the juice.</t>
  </si>
  <si>
    <t>Olive oil goes into the pan with the garlic, red pepper, parsley, white wine, basil, salt, and clam juice to simmer, and the clams are added to the mixture at the end.</t>
  </si>
  <si>
    <t>The pasta is drained and added into the pan with the sauce.</t>
  </si>
  <si>
    <t>The pasta is then served with shredded cheese on top.</t>
  </si>
  <si>
    <t>v_gWyBBQtsDhc</t>
  </si>
  <si>
    <t>A woman with long hair is seen speaking to the camera while moving her arms around and smiling while she speaks.</t>
  </si>
  <si>
    <t>She then begins brushing her long hair out and smiling back at the camera and waving.</t>
  </si>
  <si>
    <t>v_-od9zDziq9U</t>
  </si>
  <si>
    <t>A girl walks up the the center of the stage and messes with her feet and gets in position.</t>
  </si>
  <si>
    <t>She pauses in that position before she begins to dance around.</t>
  </si>
  <si>
    <t>She does a split and some poses all around.</t>
  </si>
  <si>
    <t>She does some cart wheels and more dancing all around the court and finally she finishes.</t>
  </si>
  <si>
    <t>v_MkouTZhtvEI</t>
  </si>
  <si>
    <t>A large group of people are shown walking in holding bows and arrows and one making a shot.</t>
  </si>
  <si>
    <t>Several more people are shown making shots with their bows and arrows and celebrating in the end and standing on a podium waving.</t>
  </si>
  <si>
    <t>v_AIxxMCcmIgM</t>
  </si>
  <si>
    <t>We see a man water skiing.</t>
  </si>
  <si>
    <t>We see the water spraying on the left.</t>
  </si>
  <si>
    <t>The man jumps over to the right.</t>
  </si>
  <si>
    <t>The man is bending down on the surfboard.</t>
  </si>
  <si>
    <t>The man performs a flip.</t>
  </si>
  <si>
    <t>v_BfsCKU69hHs</t>
  </si>
  <si>
    <t>A pair of female hands uses an iron on a piece of baby clothing.</t>
  </si>
  <si>
    <t>The woman sets the iron aside and flips the clothing.</t>
  </si>
  <si>
    <t>The woman uses the iron on the other side of the clothing.</t>
  </si>
  <si>
    <t>The woman sets the iron aside.</t>
  </si>
  <si>
    <t>v_MY6o5ZObFLE</t>
  </si>
  <si>
    <t>A man is sipping a drink on the beach.</t>
  </si>
  <si>
    <t>A girl is applying squirts of suntan lotion onto their bodies.</t>
  </si>
  <si>
    <t>Then then go into the water, swimming and walking in the surf.</t>
  </si>
  <si>
    <t>v_AjiCJiOIDtI</t>
  </si>
  <si>
    <t>A man is seen speaking to the camera while holding up a foam rubber mat.</t>
  </si>
  <si>
    <t>The camera pans around more mats laying out while the man still speaks to the camera.</t>
  </si>
  <si>
    <t>v_vtYbJD2J8Tw</t>
  </si>
  <si>
    <t>A woman begins talking to the camera smiling and leads into her coming another woman's hair.</t>
  </si>
  <si>
    <t>She parts the hair into sections and places rollers into the woman's hair and talking to the camera.</t>
  </si>
  <si>
    <t>v_GJz8FEFB70w</t>
  </si>
  <si>
    <t>Two people lift a large weight over their heads.</t>
  </si>
  <si>
    <t>They drop the weight to the ground.</t>
  </si>
  <si>
    <t>The weights are shown on each side.</t>
  </si>
  <si>
    <t>v__4oBeoCuU7M</t>
  </si>
  <si>
    <t>Two cars are seen parked outside of a garage as a man focuses his camera.</t>
  </si>
  <si>
    <t>Once the camera is sin position,a man is shown with a steel mask on as he beats a piece on a concrete.</t>
  </si>
  <si>
    <t>The piece is on the concrete and he puts the bottom of the mask on and begins burning the metal.</t>
  </si>
  <si>
    <t>v_USOc5S2-3zA</t>
  </si>
  <si>
    <t>A woman in a belly dancer outfit is on stage.</t>
  </si>
  <si>
    <t>She walks down the lane while dancing and singing.</t>
  </si>
  <si>
    <t>She gyrates her hips and arms as she performs.</t>
  </si>
  <si>
    <t>v_bNh4SQ2nR80</t>
  </si>
  <si>
    <t>A video is shown for how to do a frizz free blowout.</t>
  </si>
  <si>
    <t>After washing and conditioning, product is applied and blow dried.</t>
  </si>
  <si>
    <t>Then the rest of the procedure is completed.</t>
  </si>
  <si>
    <t>v_8kGiDHAnTqY</t>
  </si>
  <si>
    <t>A man is helping a little girl go down a slide.</t>
  </si>
  <si>
    <t>She goes down the slide on her belly.</t>
  </si>
  <si>
    <t>She climbs up the side of the playground and goes down the slide again.</t>
  </si>
  <si>
    <t>v_BWCMfPoKlMM</t>
  </si>
  <si>
    <t>A large group of athletes are seen standing around a track while some holding their arms up to clap.</t>
  </si>
  <si>
    <t>One runner makes his way down the track and jumps into a large sand pit and walks away.</t>
  </si>
  <si>
    <t>v_NyL7m4JV8vQ</t>
  </si>
  <si>
    <t>A man in red runs jumps and flips over an obstacle.</t>
  </si>
  <si>
    <t>It is done over and over in slow motion.</t>
  </si>
  <si>
    <t>He then does it again for one last time.</t>
  </si>
  <si>
    <t>Then finally, they begin a race on a field a man wearing black crosses the finish line first.</t>
  </si>
  <si>
    <t>v_tr1sNwRTMd8</t>
  </si>
  <si>
    <t>A woman wearing number 177 is standing in place, she crosses her heart and get prepared to run.</t>
  </si>
  <si>
    <t>She breathes in deeply and starts to run really fast down the field.</t>
  </si>
  <si>
    <t>She jumps up high and lands right in the sand on to her butt, they show mulitple replays of her performance.</t>
  </si>
  <si>
    <t>She bends over and fixes her uniform, dusting off her bottom as she walks away.</t>
  </si>
  <si>
    <t>v_2UJ4wqJt_Y8</t>
  </si>
  <si>
    <t>People are roller blading about in front of a building.</t>
  </si>
  <si>
    <t>A man roller blades fast.</t>
  </si>
  <si>
    <t>The man lifts his hands up in the air and starts to stop his roller blades.</t>
  </si>
  <si>
    <t>v_ycBFz2RdgoY</t>
  </si>
  <si>
    <t>People windsurf on a large body of water.</t>
  </si>
  <si>
    <t>A park sign that reads "Welcome to Kanaha Beach Park" is shown.</t>
  </si>
  <si>
    <t>More windsurfers are shown racing across the water.</t>
  </si>
  <si>
    <t>v_VkRjs03YEjE</t>
  </si>
  <si>
    <t>The man in the corner kicks the ball straight into the net.</t>
  </si>
  <si>
    <t>The team runs around the court celebrating.</t>
  </si>
  <si>
    <t>A man in the stands climbs over the railing and runs onto the court celebrating.</t>
  </si>
  <si>
    <t>The group is in a bunch celebrating on the court.</t>
  </si>
  <si>
    <t>One of the players kicks the ball into the stands and walks off with his head down.</t>
  </si>
  <si>
    <t>A few players are standing in the corner looking like they are arguing.</t>
  </si>
  <si>
    <t>A bunch of players and spectators run the court toward the melee.</t>
  </si>
  <si>
    <t>Men are running along the edge of the court.</t>
  </si>
  <si>
    <t>The small group is still arguing and holding back fights.</t>
  </si>
  <si>
    <t>A small group is having an animated discussion.</t>
  </si>
  <si>
    <t>The two men walk back on to the court as the group starts talking again around the court floor and edge.</t>
  </si>
  <si>
    <t>v_2tpwfPdSEVo</t>
  </si>
  <si>
    <t>A woman talks as she is seated on the ground.</t>
  </si>
  <si>
    <t>She shows off a pair of clipping scissors.</t>
  </si>
  <si>
    <t>She then uses them to gently but quickly trim a cat's nails while another woman assists her.</t>
  </si>
  <si>
    <t>v_NI-TZyAxJU0</t>
  </si>
  <si>
    <t>People raft down a narrow river between two mountains.</t>
  </si>
  <si>
    <t>People rafting passing troubled waters in the narrow river.</t>
  </si>
  <si>
    <t>People sail down the rocky river in an open space.</t>
  </si>
  <si>
    <t>v_5V47VQHzWHc</t>
  </si>
  <si>
    <t>A man is seated at the front of a church and plays a song on an accordion.</t>
  </si>
  <si>
    <t>The man goes all the way down the scale than back up at the end of the song.</t>
  </si>
  <si>
    <t>The man finishes the song and smiles.</t>
  </si>
  <si>
    <t>v_QgzpNg0Ponc</t>
  </si>
  <si>
    <t>A man is seen riding on a skateboard down a hill on his head.</t>
  </si>
  <si>
    <t>More shots are shown of people performing tricks on skateboards around an area.</t>
  </si>
  <si>
    <t>The people continue to perform tricks and ride around while other people watch on the side.</t>
  </si>
  <si>
    <t>v_ot4CuJqrN-Y</t>
  </si>
  <si>
    <t>A group of band mates are outside at a park.</t>
  </si>
  <si>
    <t>They are wearing revolutionary war era outfits.</t>
  </si>
  <si>
    <t>They play the drums in unison to a beat.</t>
  </si>
  <si>
    <t>v_mLijl36SjJU</t>
  </si>
  <si>
    <t>A man is seen kneeling onto a floor holding a bit of carpet and speaking to the camera.</t>
  </si>
  <si>
    <t>He peels off the layers and begins rubbing down the carpet.</t>
  </si>
  <si>
    <t>He pours liquid onto the carpet and pats it down with a paper towel.</t>
  </si>
  <si>
    <t>Finally the person vacuums up the carpet and is seen standing next to the vacuum.</t>
  </si>
  <si>
    <t>v_QeH6IOAjy-4</t>
  </si>
  <si>
    <t>Three people are in the gym,one of the males is kneeling down and jerking a bar while the other is giving a massage to a woman.</t>
  </si>
  <si>
    <t>The male with the bar lifts the weights,drops it and then jumps in joy that he has lifted the weight,drops his belt and walks off.</t>
  </si>
  <si>
    <t>v_CXSoih6nFME</t>
  </si>
  <si>
    <t>A young child is seen adjusting the camera and showing off her face.</t>
  </si>
  <si>
    <t>She grabs some makeup and begins putting it all over her face.</t>
  </si>
  <si>
    <t>She continues putting on more makeup and showing it off to the camera.</t>
  </si>
  <si>
    <t>v_uVHuVnv5XAk</t>
  </si>
  <si>
    <t>A man sprints down a track.</t>
  </si>
  <si>
    <t>The man jumps at the end of the track.</t>
  </si>
  <si>
    <t>The man's jump is shown from different angles an in slow motion.</t>
  </si>
  <si>
    <t>v_v-dxQNxdMrU</t>
  </si>
  <si>
    <t>A camera pans around large city buildings and leads into people riding motocross bikes.</t>
  </si>
  <si>
    <t>More clips are seen of people performing tricks on the bike while hundreds watch on the sidelines.</t>
  </si>
  <si>
    <t>More people are seen riding around and waving their hands up in the end.</t>
  </si>
  <si>
    <t>v_Nosx28FNB5E</t>
  </si>
  <si>
    <t>People start to play a game of pool.</t>
  </si>
  <si>
    <t>A man talks to the camera and laughs.</t>
  </si>
  <si>
    <t>v_x8yuq2i72eo</t>
  </si>
  <si>
    <t>Four people are doing situps on the ground.</t>
  </si>
  <si>
    <t>The third person is paused.</t>
  </si>
  <si>
    <t>The farthest person is barely visible.</t>
  </si>
  <si>
    <t>v_9hPFweZeIWs</t>
  </si>
  <si>
    <t>People are standing around an arena wearing cowboy hats.</t>
  </si>
  <si>
    <t>They release a calf from a box.</t>
  </si>
  <si>
    <t>A man on a horse runs after the calf.</t>
  </si>
  <si>
    <t>He ties the legs of the calf and gets up and walks away.</t>
  </si>
  <si>
    <t>v_dZSjgAYlpS0</t>
  </si>
  <si>
    <t>A man is standing over a sink and with his right hand he's holding a drill that has a potato attached to the end of it, and the right hand is holding the hand peeler as the drill moves the potato and the peeler peels it.</t>
  </si>
  <si>
    <t>The man temporarily stops the drill to pull off a small piece of potato and a long piece of metal is shown sticking out of the drill.</t>
  </si>
  <si>
    <t>The man then puts another potato onto the pointy metal piece and continues to peel the potato.</t>
  </si>
  <si>
    <t>Once again he stops and then cleans off his peeler and then returns back to peeling the rest of the potato.</t>
  </si>
  <si>
    <t>The man stops the drill for the last time,lets it go and cleans the peeler once more with both hands as he throws the contents into the sink and.</t>
  </si>
  <si>
    <t>v_eBITMlyTZhY</t>
  </si>
  <si>
    <t>A lady gets up from her seat and we see the orchestra playing music.</t>
  </si>
  <si>
    <t>The woman does a belly dancing routine on the stage.</t>
  </si>
  <si>
    <t>We see a camera enter the scene on the right.</t>
  </si>
  <si>
    <t>We see the back of the head of a man.</t>
  </si>
  <si>
    <t>We then see the woman next to the man.</t>
  </si>
  <si>
    <t>The woman finishes her dance and picks up her wrap.</t>
  </si>
  <si>
    <t>We see a somber lady holding a microphone.</t>
  </si>
  <si>
    <t>v_J98U-PGh1bQ</t>
  </si>
  <si>
    <t>A man is mopping a dirty public bathroom floor.</t>
  </si>
  <si>
    <t>He pushes the mop back and forth, making the floor clean and shiny.</t>
  </si>
  <si>
    <t>v_xVQkf_TrX7U</t>
  </si>
  <si>
    <t>A big man dressed as batman is running around doing weird nonsensical stuff.</t>
  </si>
  <si>
    <t>He runs inside of the house and begins to start giving instructions on how to make the perfect batman sandwich.</t>
  </si>
  <si>
    <t>He is cutting up cheese and adding ham to the sandwich.</t>
  </si>
  <si>
    <t>He even cuts the bread into a batman shape before finally doing being done.</t>
  </si>
  <si>
    <t>v_4VVIFV6XmKo</t>
  </si>
  <si>
    <t>Two men are in a small gym boxing and fighting one another.</t>
  </si>
  <si>
    <t>They continue fighting and hitting one another as a person stands in the corner showing them.</t>
  </si>
  <si>
    <t>After some time,they finish fighting and stand still across from one another in the gym.</t>
  </si>
  <si>
    <t>v_pOyP_kDaskY</t>
  </si>
  <si>
    <t>A man in a suit reads off of a paper.</t>
  </si>
  <si>
    <t>A woman then begins to report a news story.</t>
  </si>
  <si>
    <t>A young boy plays the harmonica on the street.</t>
  </si>
  <si>
    <t>He stands on a dock telling his story.</t>
  </si>
  <si>
    <t>v_ZFi592_m_NQ</t>
  </si>
  <si>
    <t>A man is shown on camera doing several moves with his arms and legs while smiling into the camera.</t>
  </si>
  <si>
    <t>He performs several more moves slowly and continues to speak and smile to the camera.</t>
  </si>
  <si>
    <t>v_v_Vg4a8igc0</t>
  </si>
  <si>
    <t>A woman is bathing a white and brown puppy dog in a bathtub.</t>
  </si>
  <si>
    <t>the woman is using a hand held shower to wash the dog.</t>
  </si>
  <si>
    <t>The woman is holding the dog with its two front legs.</t>
  </si>
  <si>
    <t>She continues to wash the dog with the shower.</t>
  </si>
  <si>
    <t>v_7knqgoHxuGE</t>
  </si>
  <si>
    <t>Several people are at a party.</t>
  </si>
  <si>
    <t>They are drinking and playing beer pong.</t>
  </si>
  <si>
    <t>There are people dancing and looking at their phones.</t>
  </si>
  <si>
    <t>v_tES39s-LJsQ</t>
  </si>
  <si>
    <t>The name Seppe Smits appears on screen followed by "Snow Boarding 2400 Hours A Day".</t>
  </si>
  <si>
    <t>Video of Smits starting his day is intermixed with shots of him snowboarding.</t>
  </si>
  <si>
    <t>Social media hashtags on are shown on screen.</t>
  </si>
  <si>
    <t>v_c3lo99rni-o</t>
  </si>
  <si>
    <t>woman is standing in a kitchen talking to the camera holding a bag of pasta.</t>
  </si>
  <si>
    <t>woman grab some pasta and put them in boiled water.</t>
  </si>
  <si>
    <t>woman grab one spaghetti and eats it to see if is cooked and explain how to know it.</t>
  </si>
  <si>
    <t>throw the water in the sink and grate cheese in pasta and a little oegano and serve it in a white plate.</t>
  </si>
  <si>
    <t>v_IGamNJ5yIh4</t>
  </si>
  <si>
    <t>A group of men are on a sandy beach playing soccer while a lot of people are looking on.</t>
  </si>
  <si>
    <t>A man kicks the ball very hard, makes it in the goal and he throws his two arms up in the air and gives a team mate a high five and they all run back to get into place for the next play.</t>
  </si>
  <si>
    <t>The replay of the goal that was kicked is replayed but in slow motion.</t>
  </si>
  <si>
    <t>v_YJxqF6aSs7s</t>
  </si>
  <si>
    <t>A man is holding a camera as he stands talking beside a lake.</t>
  </si>
  <si>
    <t>He goes through tunnels, walks along bridges, and stands over cliffs.</t>
  </si>
  <si>
    <t>He drives down a road and records rafting on a white water river.</t>
  </si>
  <si>
    <t>People are shown diving into deep waters off of cliffs before rafting again.</t>
  </si>
  <si>
    <t>v_jhuRtkqUSSI</t>
  </si>
  <si>
    <t>A camera pans out on a man's back followed by a man performing a flipping dive into a pool.</t>
  </si>
  <si>
    <t>He is shown twice more performing impressing dives off the diving board and into the pool.</t>
  </si>
  <si>
    <t>v_OhydQlKoSUw</t>
  </si>
  <si>
    <t>A person is seen getting out of a car and walking around to the trunk to grab a surf board.</t>
  </si>
  <si>
    <t>The person is then seen wearing a suit and running down a boardwalk followed by him surfing.</t>
  </si>
  <si>
    <t>The man glides along the water in slow motion and is then seen speaking to the camera.</t>
  </si>
  <si>
    <t>v_iJzt1rvGiOc</t>
  </si>
  <si>
    <t>A blond woman is sitting on a bed in a hotel room videotaping her self in a mirror with a white phone and talking to the camera.</t>
  </si>
  <si>
    <t>the woman stands up and points the camera to the door into the bathroom where a man is washing his sneakers in the sink with a brush.</t>
  </si>
  <si>
    <t>The blond woman walks back into the room and shows all the various pairs of sneakers the man has laying all over the hotel room.</t>
  </si>
  <si>
    <t>The blond woman walks back into the bathroom and video tapes the man holding the white sneakers.</t>
  </si>
  <si>
    <t>The man is now outside putting polish and plastic tape on the sneakers and he is detailing them with a toothbrush.</t>
  </si>
  <si>
    <t>There are various pictures of the end product of clean sneakers.</t>
  </si>
  <si>
    <t>v_GPl7nFwqSgk</t>
  </si>
  <si>
    <t>A large group of people are seen standing in a circle playing drums with one person in the middle instructing them.</t>
  </si>
  <si>
    <t>The camera pans around the group playing drums while people them on the side.</t>
  </si>
  <si>
    <t>v_zcDA0s8eWU4</t>
  </si>
  <si>
    <t>A woman chops wood on a block with an ax.</t>
  </si>
  <si>
    <t>She has a hard time getting the ax out of the wood.</t>
  </si>
  <si>
    <t>Someone else comes and tries to get it out but they can't.</t>
  </si>
  <si>
    <t>The first girl comes back and continues trying to pull the ax out of the wood.</t>
  </si>
  <si>
    <t>v_64oq7grVNVs</t>
  </si>
  <si>
    <t>A young man clips the hair of several older men in an outdoor barber chair.</t>
  </si>
  <si>
    <t>The man cutting hair is inside a barber shop talking.</t>
  </si>
  <si>
    <t>Some still shots of the man cutting hair are shown.</t>
  </si>
  <si>
    <t>The man is seen again cutting a mans hair in the outdoor barber chair.</t>
  </si>
  <si>
    <t>v_ntKbTDQUhDA</t>
  </si>
  <si>
    <t>A man is pouring shots of alcohol into a blender.</t>
  </si>
  <si>
    <t>He blends the drink together.</t>
  </si>
  <si>
    <t>He puts orange slices on two glasses.</t>
  </si>
  <si>
    <t>He pours the drink from the blender into the glasses and adds straws.</t>
  </si>
  <si>
    <t>v_TexMXN2yegk</t>
  </si>
  <si>
    <t>A man is carving a pumpkin.</t>
  </si>
  <si>
    <t>A man in a batman costume is shown.</t>
  </si>
  <si>
    <t>The man continues carving the pumpkin.</t>
  </si>
  <si>
    <t>A dog is chewing on a blue ball.</t>
  </si>
  <si>
    <t>v_RaYMOYWhba8</t>
  </si>
  <si>
    <t>A group of young boys are seen passing soccer balls to each along a large sandy beach.</t>
  </si>
  <si>
    <t>They continue running back and fourth on the sand and passing the ball to one another.</t>
  </si>
  <si>
    <t>v_9AqHhUuE9bE</t>
  </si>
  <si>
    <t>A man is sitting along side a road polishing a shoe.</t>
  </si>
  <si>
    <t>Some other people are seated nearby, and many individuals walk past him.</t>
  </si>
  <si>
    <t>A motorcycle drives by on the road.</t>
  </si>
  <si>
    <t>The man puts the shoe down and picks up another one to polish.</t>
  </si>
  <si>
    <t>v_yIIDIQDKVhI</t>
  </si>
  <si>
    <t>A man in a red polo shirt demonstrates the Kleva Sharp sharpener.</t>
  </si>
  <si>
    <t>He sharpens a dull butcher knife and cuts a tomato.</t>
  </si>
  <si>
    <t>The man in the red polo shirt then sharpens a dull steak knife and cuts a tomato into slices and then he cuts a cucumber into slices.</t>
  </si>
  <si>
    <t>The man demonstrating the Kleva Sharpener, he sharpens a garden clipper and slices a carrot.</t>
  </si>
  <si>
    <t>The demonstrator then sharpens a serated bread knife and slices a loaf of bread.</t>
  </si>
  <si>
    <t>A series of demonstrations of different knives cutting different foods.</t>
  </si>
  <si>
    <t>The Kleva Sharpener is dismounted from the table and stored in a cabinet drawer.</t>
  </si>
  <si>
    <t>The Kleva Sharpener is mounted on the refrigerator on a wall and on the table.</t>
  </si>
  <si>
    <t>He demonstrates the locking mechanism.</t>
  </si>
  <si>
    <t>v_eGLD-0b1LV0</t>
  </si>
  <si>
    <t>A woman is speaking while standing next to an elliptical trainer.</t>
  </si>
  <si>
    <t>The mechanics of the elliptical machine are shown.</t>
  </si>
  <si>
    <t>We then see the woman on the machine, demonstrating how it works.</t>
  </si>
  <si>
    <t>v_2mI7NL54yP8</t>
  </si>
  <si>
    <t>A man is shown on a bike riding across the snow.</t>
  </si>
  <si>
    <t>Then another group of people are riding in a cart through the snow.</t>
  </si>
  <si>
    <t>Three skiers are pictured on top of a mountain of a snow and they begin skiing.</t>
  </si>
  <si>
    <t>A skier is then panned up and down holding a set of skiis as well as people on mountain bikes and they begin racing.</t>
  </si>
  <si>
    <t>v_KTk1Rh8Lgdw</t>
  </si>
  <si>
    <t>A woman puts rollers to a young lady, combing a portion of the hair and then coil on a roller.</t>
  </si>
  <si>
    <t>The young lady raise her left hand to pass a roller to the woman while taking.</t>
  </si>
  <si>
    <t>The young lady put a towel on front her face.</t>
  </si>
  <si>
    <t>v_cC3dwwPPHKE</t>
  </si>
  <si>
    <t>Several views are shown of a machine from different angles.</t>
  </si>
  <si>
    <t>A woman uses an attachment to suck the wrinkles out of a shirt.</t>
  </si>
  <si>
    <t>She then hangs a pair of pants, and irons it smooth, creating a crease.</t>
  </si>
  <si>
    <t>v_b993qWuMRBA</t>
  </si>
  <si>
    <t>We see a man in the upper corner and out over the hood of a car while driving.</t>
  </si>
  <si>
    <t>The car stops at an intersection.</t>
  </si>
  <si>
    <t>The car makes a u-turn.</t>
  </si>
  <si>
    <t>The man drives into a car wash and gets out.</t>
  </si>
  <si>
    <t>The man pressure washes ice off his car and continues rinsing his car.</t>
  </si>
  <si>
    <t>The man shows his wet car.</t>
  </si>
  <si>
    <t>v_Zl6o69-R2DE</t>
  </si>
  <si>
    <t>man is talking to the camera is a snowy day outside a house.</t>
  </si>
  <si>
    <t>man is holding a shovel and cleaning the path from the snow.</t>
  </si>
  <si>
    <t>little kid is wearing red snow clothes and is standing nxt to a car.</t>
  </si>
  <si>
    <t>the man stops and is again talking to the camera with the shovel on his hands.</t>
  </si>
  <si>
    <t>v_9KNOOoIK0zw</t>
  </si>
  <si>
    <t>A lady in a black tank top gives instruction on how to blow dry a girl's hair wearing a blue t-shirt.</t>
  </si>
  <si>
    <t>The hair stylist first places a liquid in her hand and rubs it into the models hair and then brushes clients hair.</t>
  </si>
  <si>
    <t>The lady in the black tank top uses the blow drier while combing the hair with a brush.</t>
  </si>
  <si>
    <t>Scenes of the finished product showing side views and back vies of the models hair.</t>
  </si>
  <si>
    <t>v_M9og58TMAm0</t>
  </si>
  <si>
    <t>A woman is seen moving up and down on an exercise bar while several shots are shown of her exercising.</t>
  </si>
  <si>
    <t>She's shown again holding weights and doing exercises while standing on the beam as well as laying.</t>
  </si>
  <si>
    <t>v_WUdefl_j2-8</t>
  </si>
  <si>
    <t>man is sitting on a seat of the car watching by the window.</t>
  </si>
  <si>
    <t>man is snowboarding on snowy slope making high jumps.</t>
  </si>
  <si>
    <t>men are in a dark room with pots.</t>
  </si>
  <si>
    <t>v_BVhUKjJrEw8</t>
  </si>
  <si>
    <t>Guys play polo sport on a dirt arena.</t>
  </si>
  <si>
    <t>v_-c71seS8bWk</t>
  </si>
  <si>
    <t>An intro leads into a fox news segment with two anchors speaking.</t>
  </si>
  <si>
    <t>A woman is then interviewed followed by several pictures of mushrooms and people speaking with one another.</t>
  </si>
  <si>
    <t>A doctor examines a man and interviews the camera followed by people using household products and interviewing the reporter.</t>
  </si>
  <si>
    <t>v_or7N8oeI-SY</t>
  </si>
  <si>
    <t>We see a lady sitting on the floor with a shoe, bucket of water, brush and soap.</t>
  </si>
  <si>
    <t>The lady shows us the items one at a time.</t>
  </si>
  <si>
    <t>We see an illustration of a thermometer.</t>
  </si>
  <si>
    <t>We see an illustration of a washer.</t>
  </si>
  <si>
    <t>The lady puts her shoe in the bucket and scrubs it with a the brush.</t>
  </si>
  <si>
    <t>She shows us the already cleaned shoe.</t>
  </si>
  <si>
    <t>We see a radiator illustration.</t>
  </si>
  <si>
    <t>The lady picks up the soap and we see an illustration of a shelf.</t>
  </si>
  <si>
    <t>The ending title screen plays.</t>
  </si>
  <si>
    <t>v_zjAZ7m8TQ3E</t>
  </si>
  <si>
    <t>A woman and her child are outside of a cabin sitting on a wooden table talking to one another.</t>
  </si>
  <si>
    <t>The camera then pans the cabin and a large mountain of snow is shown.</t>
  </si>
  <si>
    <t>After,the woman and her daughter are seen on a flat standing ski lift with large donut tubes following behind them.</t>
  </si>
  <si>
    <t>Once they are at the top,they get into the tubes and race to the bottom along with several other people who are also at the place.</t>
  </si>
  <si>
    <t>v_HGk9BqOuxCE</t>
  </si>
  <si>
    <t>A man is seen standing in front of a chalk board holding a musical instrument and transitioning to the chalk board every now and then.</t>
  </si>
  <si>
    <t>A person's hand is seen using an ipod followed by more shots of the person talking and writing on a paper.</t>
  </si>
  <si>
    <t>The man then plays the instrument as the camera captures him from several angles while pausing to speak.</t>
  </si>
  <si>
    <t>v_EjRE-fbECtg</t>
  </si>
  <si>
    <t>A man in white shirt and gray shorts is standing at the center of the court, while young people in black tops and black shorts are standing behind him.</t>
  </si>
  <si>
    <t>The young people where standing in a triangle form, the young man at the center start to perform by having his arms up then jump and do it again and some of the girls followed what he is doing.</t>
  </si>
  <si>
    <t>v_1o-Fx2dGfpc</t>
  </si>
  <si>
    <t>A woman is sitting down holding a violin.</t>
  </si>
  <si>
    <t>She lifts the violin up and starts playing it.</t>
  </si>
  <si>
    <t>She finishes and lowers the violin.</t>
  </si>
  <si>
    <t>v_H_Spgfds1iY</t>
  </si>
  <si>
    <t>A large group of people are seen walking into an office and interviewing a man on television.</t>
  </si>
  <si>
    <t>Many people are watching the interview and one man speaks to a woman angrily.</t>
  </si>
  <si>
    <t>The woman strikes the man and more people are seen walking around and talking.</t>
  </si>
  <si>
    <t>The people walk into a bar and begin playing pool and speaking.</t>
  </si>
  <si>
    <t>v_GYkKMTl-0Os</t>
  </si>
  <si>
    <t>A small group of women are seen standing around a kitchen with one stirring ingredients into a large pot.</t>
  </si>
  <si>
    <t>Another woman walks into frame when one woman pours more into the bowl and mixing it around.</t>
  </si>
  <si>
    <t>She hands a spoonful for a girl to try and another takes the bowl away from the table.</t>
  </si>
  <si>
    <t>v_kee3-2cw7-E</t>
  </si>
  <si>
    <t>A man is seen blindfolded while holding a stick and two others around him.</t>
  </si>
  <si>
    <t>The man then swings violently at the pinata as someone moves it higher and then drops the pinata right above his head.</t>
  </si>
  <si>
    <t>v__dLbtK8_SHo</t>
  </si>
  <si>
    <t>The video is about a tennis tutorial and drill by Edgar Giffenig.</t>
  </si>
  <si>
    <t>There are two lady tennis players on a clay court who are demonstrating how to throw the ball up high to the partner.</t>
  </si>
  <si>
    <t>The player is shuffling behind the net and turning the racquet upside down in between the shots.</t>
  </si>
  <si>
    <t>Then the players demonstrate another drill as they shuffle on the tennis court in between shots and returning the balls.</t>
  </si>
  <si>
    <t>The player bounces the ball back with the tip of the racquet handle.</t>
  </si>
  <si>
    <t>They continue playing while demonstrating the tennis drill.</t>
  </si>
  <si>
    <t>v_h1d-jcsWap8</t>
  </si>
  <si>
    <t>A person is seen peeling off potatoes into a box with pausing for a bit to speak to the camera.</t>
  </si>
  <si>
    <t>The person peels several potatoes and shows of a bowl full of potatoes while peeling even more.</t>
  </si>
  <si>
    <t>v_QCcueK6xiZ4</t>
  </si>
  <si>
    <t>A man is crouching on the ground, cleaning something.</t>
  </si>
  <si>
    <t>Several cars are parked in a parking lot.</t>
  </si>
  <si>
    <t>People are seeing washing the cars with soap and water.</t>
  </si>
  <si>
    <t>v_pV1b0Fs6qW8</t>
  </si>
  <si>
    <t>Three people are seen flying a kite in a field and text appears on the screen.</t>
  </si>
  <si>
    <t>A scary girl appears then leads into pictures of kids flying kites.</t>
  </si>
  <si>
    <t>v_ZBZUrC4M5E8</t>
  </si>
  <si>
    <t>A buff man steps into a circle and puts the shot put on this shoulder.</t>
  </si>
  <si>
    <t>The man then spins around and throws the ball into the field.</t>
  </si>
  <si>
    <t>Once completed,he puts on a large neon shirt.</t>
  </si>
  <si>
    <t>Another man approaches the cirle and does the samething as someone comes to the field and measure how far the ball went.</t>
  </si>
  <si>
    <t>The contestants then come back and begin talking to each other before their scores are shown.</t>
  </si>
  <si>
    <t>An aerial view is then provided,then the camera pans the crowd.</t>
  </si>
  <si>
    <t>v_MKLwNTbEK4E</t>
  </si>
  <si>
    <t>A close up of a poker table is shown followed by the camera panning around to other tables in the area as well as people playing.</t>
  </si>
  <si>
    <t>Several clips are shown of people sitting at tables gambling as well as laughing to the camera.</t>
  </si>
  <si>
    <t>More pictures are shown of people at the casino as well as video of them wandering around the area.</t>
  </si>
  <si>
    <t>v_bWYIL4KG8kM</t>
  </si>
  <si>
    <t>This girl is shown zooming in on people's teeth, eyes and other things on their face.</t>
  </si>
  <si>
    <t>Then she shows us the game of dodge ball is going.</t>
  </si>
  <si>
    <t>v_soGmSXFO7wI</t>
  </si>
  <si>
    <t>A man walks onto a field before a crowd, holding a heavy ball into the air.</t>
  </si>
  <si>
    <t>He spins, then throws the ball as far as he can.</t>
  </si>
  <si>
    <t>A woman and several others follow, doing the same.</t>
  </si>
  <si>
    <t>The winners celebrate, holding up flags and hugging joyfully.</t>
  </si>
  <si>
    <t>v_fgBFlwM466w</t>
  </si>
  <si>
    <t>A man is seen swimming in a pool holding various objects in his hands and showing how to put them on.</t>
  </si>
  <si>
    <t>He then swims down the pool with a breast stroke to the end and works his way back.</t>
  </si>
  <si>
    <t>v_Y-CZasxVlx4</t>
  </si>
  <si>
    <t>A girl holding a guitar talks to the camera.</t>
  </si>
  <si>
    <t>The girl plays the guitar as she sits on the sofa.</t>
  </si>
  <si>
    <t>The girl stops playing and talks to the camera again while demonstrating.</t>
  </si>
  <si>
    <t>v_AG6Rpvxxetg</t>
  </si>
  <si>
    <t>The video takes place in a gymnastics arena.</t>
  </si>
  <si>
    <t>A man is performing gymnastics on a beam while several others are watching.</t>
  </si>
  <si>
    <t>The man begins on the beam upside down.</t>
  </si>
  <si>
    <t>He then does several flips.</t>
  </si>
  <si>
    <t>The video ends as he performs a final flip and hops off the beam.</t>
  </si>
  <si>
    <t>v_VHUC47iq1Wg</t>
  </si>
  <si>
    <t>Several clips of cricketers are shown.</t>
  </si>
  <si>
    <t>In them a someone throws a ball at a player.</t>
  </si>
  <si>
    <t>Another player hits the ball with his bat.</t>
  </si>
  <si>
    <t>Another player then catches the ball.</t>
  </si>
  <si>
    <t>v__JE5T2RKZvo</t>
  </si>
  <si>
    <t>A woman is seen speaking to the camera and leads into her sanding down a board in several locations.</t>
  </si>
  <si>
    <t>She then sands more objects and shows off a large selection of tools she has.</t>
  </si>
  <si>
    <t>She hammers down the sides of the board and ends with her painting the board.</t>
  </si>
  <si>
    <t>v_EVSuDXeNUYQ</t>
  </si>
  <si>
    <t>The cheer leading team walked towards the stage, while in the audience, their teammates, who are wearing red and white uniforms are cheering.</t>
  </si>
  <si>
    <t>The team started their cheer dance, where women are stood up on the the men's hands, they did pinwheels, jumped in the air, held some banners in the air, jumped high in the air and fell on their teammate's arms.</t>
  </si>
  <si>
    <t>v_W80KSM1I47Q</t>
  </si>
  <si>
    <t>Video from the 1980's is shown.</t>
  </si>
  <si>
    <t>Celebrities play a game of tug of war outdoors.</t>
  </si>
  <si>
    <t>The team with Lou Ferrigno playing on it wins the contest.</t>
  </si>
  <si>
    <t>Ferrigno and other celebrities are interviewed.</t>
  </si>
  <si>
    <t>v_Q9Fw56ZvXq4</t>
  </si>
  <si>
    <t>A group of girls are outside underneath a tent.</t>
  </si>
  <si>
    <t>A girl wipes off a yellow plate with a towel.</t>
  </si>
  <si>
    <t>Three girls are washing dishes in large tubs.</t>
  </si>
  <si>
    <t>v_uwQDvcWzBy0</t>
  </si>
  <si>
    <t>A woman is seen speaking to the camera and leads into her putting several ingredients inside a mason jar.</t>
  </si>
  <si>
    <t>The woman uses tongs to layer items into the jar and then puts a lid on top.</t>
  </si>
  <si>
    <t>The woman puts a ribbon around the side as well as a label and smiles to the camera.</t>
  </si>
  <si>
    <t>v_UBDcmeET6ys</t>
  </si>
  <si>
    <t>Individuals are exercising on various equipment.</t>
  </si>
  <si>
    <t>A male and a female move back and forth.</t>
  </si>
  <si>
    <t>v_gf3JIm2C59g</t>
  </si>
  <si>
    <t>There's a middle aged couple demonstrating how to do ball room dancing.</t>
  </si>
  <si>
    <t>They are in a room with large mirrors on a wall and hardwood floors.</t>
  </si>
  <si>
    <t>They are showing how to move the foot back and forth in rhythm while twirling their hips.</t>
  </si>
  <si>
    <t>v_Atdxx_Pxnd4</t>
  </si>
  <si>
    <t>A cowboy runs out of a gate on a horse.</t>
  </si>
  <si>
    <t>He uses a lasso to rope a calf.</t>
  </si>
  <si>
    <t>He tries to tie up the calf, losing his rope.</t>
  </si>
  <si>
    <t>v_yhWw7oJrUFo</t>
  </si>
  <si>
    <t>A girl wearing a black blouse describes how to bake in a kitchen.</t>
  </si>
  <si>
    <t>The baker pours flour into a clear bowl using a measuring cup.</t>
  </si>
  <si>
    <t>The baker then scoops out four level tablespoons from a yellow container of cornstarch and ads it to the bowl of flour.</t>
  </si>
  <si>
    <t>The baker pours the flour and cornstarch mixture into a sifter and begins sifting the ingredients three times.</t>
  </si>
  <si>
    <t>v_nbgE4MAR0pc</t>
  </si>
  <si>
    <t>A person is seen running down a long track while holding a pole.</t>
  </si>
  <si>
    <t>The person pole volts over the beam onto a mat and is shown again in slow motion.</t>
  </si>
  <si>
    <t>v_1Y1pKGFm-pQ</t>
  </si>
  <si>
    <t>A young man puts lipstick on his lips.</t>
  </si>
  <si>
    <t>Two reporters talk in a TV set with audience.</t>
  </si>
  <si>
    <t>Then, the young man brush his face, then people in the audience talk.</t>
  </si>
  <si>
    <t>After, the young men shows his face with make up.</t>
  </si>
  <si>
    <t>v_Xi68dag0iGo</t>
  </si>
  <si>
    <t>A man dressed in army fatigues is playing bagpipes while other people watch.</t>
  </si>
  <si>
    <t>A woman is shown in the background dancing around as he plays.</t>
  </si>
  <si>
    <t>When he is finished claim he laughs and jokes with the other people.</t>
  </si>
  <si>
    <t>v_W4LIBSfe6bc</t>
  </si>
  <si>
    <t>A man does a tattoo on the waist area of a woman using a needle.</t>
  </si>
  <si>
    <t>The man cleans the area of the tattoo with a tissue.</t>
  </si>
  <si>
    <t>The man continues doing the tattoo and cleaning.</t>
  </si>
  <si>
    <t>v_ZuuY0xffLYE</t>
  </si>
  <si>
    <t>The image and label of the presenter or stylist is shown.</t>
  </si>
  <si>
    <t>The presenter styles a female client's hair.</t>
  </si>
  <si>
    <t>The presenter speaks directly into the camera.</t>
  </si>
  <si>
    <t>The client spins slowly on a chair to present her hair.</t>
  </si>
  <si>
    <t>The stylist wets the client's hair.</t>
  </si>
  <si>
    <t>The stylist parts the clients hair.</t>
  </si>
  <si>
    <t>The stylist uses a brush and a blow dryer to add volume, texture and curl to the client's hair.</t>
  </si>
  <si>
    <t>The stylist sprays the clients hair.</t>
  </si>
  <si>
    <t>The stylist uses his hand to position the bangs.</t>
  </si>
  <si>
    <t>The stylist use his hand to add a gel product to the client hair.</t>
  </si>
  <si>
    <t>The client spins slowly on the chair to show of her hair style.</t>
  </si>
  <si>
    <t>The stylist name and credits are shown.</t>
  </si>
  <si>
    <t>v_yJezvcXU4YE</t>
  </si>
  <si>
    <t>A man in a black vest is standing in a room.</t>
  </si>
  <si>
    <t>He throws darts at a dart board on the wall.</t>
  </si>
  <si>
    <t>A woman stands next to him watching.</t>
  </si>
  <si>
    <t>A man walks up and pulls the dart out of the board.</t>
  </si>
  <si>
    <t>v_tl2hDYGBfqU</t>
  </si>
  <si>
    <t>A "Finale Coppa Italia" beach soccer title screen appears featuring Sambenedettese and Catania.</t>
  </si>
  <si>
    <t>Men play professional soccer on a beach near the water.</t>
  </si>
  <si>
    <t>Players on the field celebrate a victory and pose for a photo.</t>
  </si>
  <si>
    <t>v_1RYEOaCeV4k</t>
  </si>
  <si>
    <t>A lawn mower is shown on the ground.</t>
  </si>
  <si>
    <t>A man starts the lawn mower and begins mowing the lawn.</t>
  </si>
  <si>
    <t>They finish mowing the lawn and the lawn is shown.</t>
  </si>
  <si>
    <t>v_c1Gby2EHBzs</t>
  </si>
  <si>
    <t>A man is seen holding a stick in his hands and speaking to the camera.</t>
  </si>
  <si>
    <t>The man attempts several times to hit the ball followed by him picking it up and hitting it off into the distance.</t>
  </si>
  <si>
    <t>v_G5gvb71BB5I</t>
  </si>
  <si>
    <t>A group of males are standing in a room getting dressed.</t>
  </si>
  <si>
    <t>All of a sudden,plenty of women and beach activities including swimming,volleyball and drinking are shown.</t>
  </si>
  <si>
    <t>Next,the man reappears but he is joined by teammates playing a game of beach soccer in a stadium surrounded by people.</t>
  </si>
  <si>
    <t>One team wins and they are shown bringing home their trophy and cheering and then it goes back to showing the rest of the team competing.</t>
  </si>
  <si>
    <t>v_jml_hnhjltg</t>
  </si>
  <si>
    <t>A woman is seen carrying a snow blower and pushing it along a path.</t>
  </si>
  <si>
    <t>The woman continues pushing the snow blowing along the snow with the camera following her movements.</t>
  </si>
  <si>
    <t>She moves back and fourth while stopping to speak to the camera and continue moving.</t>
  </si>
  <si>
    <t>v_Bhz-WgJH8R0</t>
  </si>
  <si>
    <t>A group of skiers are riding down a hill.</t>
  </si>
  <si>
    <t>They split their line and create multiple lines.</t>
  </si>
  <si>
    <t>They split again to make 4 different lines.</t>
  </si>
  <si>
    <t>The all being and finish at the same time.</t>
  </si>
  <si>
    <t>v_DqHWMWY-r1o</t>
  </si>
  <si>
    <t>A person throw a heavy in an stadium full of people, then people measure where the ball landed.</t>
  </si>
  <si>
    <t>Then, the man walks while reporters and cameramen follow him on the field.</t>
  </si>
  <si>
    <t>After, the man puts on a long sleeve shirt while a cameraman film him.</t>
  </si>
  <si>
    <t>v_qHu0fz_anTQ</t>
  </si>
  <si>
    <t>A woman is standing at a table with a pile of scissors and supplies.</t>
  </si>
  <si>
    <t>She demonstrates how to cut cellophane and wrap it around a gift.</t>
  </si>
  <si>
    <t>She ties a string around the gift, showing off the final product.</t>
  </si>
  <si>
    <t>v_makIgB4X3q8</t>
  </si>
  <si>
    <t>A girl in a ponytail is speaking.</t>
  </si>
  <si>
    <t>The girl with her hair down is speaking in a bathroom and places her hand on the sink.</t>
  </si>
  <si>
    <t>The girl turns on the faucet to wet her toothbrush.</t>
  </si>
  <si>
    <t>The girl turns off the faucet, unscrews the toothpaste, and puts some toothpaste on her toothbrush.</t>
  </si>
  <si>
    <t>The girl brushes her teeth and spit in the sink.</t>
  </si>
  <si>
    <t>The girl rinse her toothbrush and places on the side of the sink.</t>
  </si>
  <si>
    <t>The credits of the video are shown on images of the video.</t>
  </si>
  <si>
    <t>v_I5QbY8vlR54</t>
  </si>
  <si>
    <t>People are surfing behind the giant wave.</t>
  </si>
  <si>
    <t>The surfer maintains his balance as he surfs and goes beneath a second wave.</t>
  </si>
  <si>
    <t>v_FNB1BMEtIvw</t>
  </si>
  <si>
    <t>We see the opening screen and we see landscapes and a sword.</t>
  </si>
  <si>
    <t>We see a lady talking, then a man.</t>
  </si>
  <si>
    <t>We see lots of people snowboarding.</t>
  </si>
  <si>
    <t>Two people shake hands on the landing.</t>
  </si>
  <si>
    <t>A man in a black room is interviewed then we see a man outside talking.</t>
  </si>
  <si>
    <t>People high five and we see a lady talking.</t>
  </si>
  <si>
    <t>A lady throws her arms in the air, people being sprayed, and a man with a sword.</t>
  </si>
  <si>
    <t>v_M7MDkkGdkas</t>
  </si>
  <si>
    <t>A woman is talking to a camera inside a kitchen.</t>
  </si>
  <si>
    <t>She turns on water, showing how to properly soap her hands.</t>
  </si>
  <si>
    <t>She then rinses and dries them.</t>
  </si>
  <si>
    <t>v_reEjJfSUGa8</t>
  </si>
  <si>
    <t>The biker is cycling and jumping over the big ramps.</t>
  </si>
  <si>
    <t>The biker jumps in the ramp with his bike in front up.</t>
  </si>
  <si>
    <t>Four bikers raced and jumped over the ramps, the biker in white is leading in the race.</t>
  </si>
  <si>
    <t>v_wvewX55VADs</t>
  </si>
  <si>
    <t>A man and a woman are standing in front of the camera and a woman shows how to properly perform the tango.</t>
  </si>
  <si>
    <t>She moves her feet in arms in a particular motion while the man does the same from a different angle.</t>
  </si>
  <si>
    <t>The man and woman finally piece together their instructions and perform the tango moves together.</t>
  </si>
  <si>
    <t>v_Lt6waJFJWI0</t>
  </si>
  <si>
    <t>The players are holding a flat bat and running towards the balls.</t>
  </si>
  <si>
    <t>The players bounced the balls on the bat, some of them picked up the balls from the ground using the bat.</t>
  </si>
  <si>
    <t>The girl in blue jacket bounced the ball on her bat and she walked forward, but the ball fall on the ground.</t>
  </si>
  <si>
    <t>A girl in the black vest is picking up the ball from the ground using her bat.</t>
  </si>
  <si>
    <t>Two girls walked normally without chasing the balls.</t>
  </si>
  <si>
    <t>A girl on the field is trying to pick up the ball.</t>
  </si>
  <si>
    <t>The players are lined up and ready to pick up the balls from the ground using their bats.</t>
  </si>
  <si>
    <t>The players started to bounce their balls on their bat while running forward, some of the balls fell down on the ground and the players have to pick them up using the bat.</t>
  </si>
  <si>
    <t>v_8CAvjawFn3w</t>
  </si>
  <si>
    <t>A man is on a galloping horse back riding for sport.</t>
  </si>
  <si>
    <t>Horse back riding is considered to be a sport, a fun one but still work.</t>
  </si>
  <si>
    <t>Like working with a team you have to work with a horse also, you have to communicate with a horse that doesn't speak.</t>
  </si>
  <si>
    <t>Make it know when you need to go faster, when it needs to jump and such.</t>
  </si>
  <si>
    <t>v_esZMkzlZiuY</t>
  </si>
  <si>
    <t>A small group of people are seen pushing a ball along the water and scoring into the goal.</t>
  </si>
  <si>
    <t>The people continue playing with the ball and swimming along the water.</t>
  </si>
  <si>
    <t>The ball is passed another to score a goal and then the game continues on.</t>
  </si>
  <si>
    <t>v_DOONG5zq1Yg</t>
  </si>
  <si>
    <t>A woman is seen kneeling down on a yoga mat while bending forward.</t>
  </si>
  <si>
    <t>The woman then moves her leg out in front of her and bends down further creating a stretch.</t>
  </si>
  <si>
    <t>v_pspJX3Lyys0</t>
  </si>
  <si>
    <t>An athlete is seen spinning around and throwing a discuss while men on the field run to track his score.</t>
  </si>
  <si>
    <t>The athlete walks away and another steps up and throws the discuss.</t>
  </si>
  <si>
    <t>Several more people step up to throw the object and ends with one athlete winning and walking away.</t>
  </si>
  <si>
    <t>v_A_Rh4tMM2xY</t>
  </si>
  <si>
    <t>There are two kids on the swing set while two old ladies standing beside them swinging them.</t>
  </si>
  <si>
    <t>The old lady in pink top went away, while the other old woman in purple continues to swing the boy.</t>
  </si>
  <si>
    <t>The old lady in pink shirt went back with a piece of paper to fan some air on her, while a little kid is walking towards the front of the bench.</t>
  </si>
  <si>
    <t>The old lady in purple continues to swing the boy, while the old lady in pink top stood and rest her back on the red bar of the swing.</t>
  </si>
  <si>
    <t>The lady in pink top came in front of the other boy with white shirt, and talked to him, started to push him on the swing, give him a kiss and continue to swing him from the side of the swing.</t>
  </si>
  <si>
    <t>The littler girl near the bench sat to pick up something from the blue ground.</t>
  </si>
  <si>
    <t>v_cjS2B52jBbU</t>
  </si>
  <si>
    <t>A man wearing glasses is on a stage.</t>
  </si>
  <si>
    <t>He throws darts at a board, trying to hit the target while the crowd claps.</t>
  </si>
  <si>
    <t>Another competitor appears, doing the same.</t>
  </si>
  <si>
    <t>The winner walks onto the stage as camera flash, celebrating.</t>
  </si>
  <si>
    <t>v_2wC0d2XUses</t>
  </si>
  <si>
    <t>Two kids are seen playing a game of shuffleboard on the side of a boat while the camera watches.</t>
  </si>
  <si>
    <t>The kids continue taking turns while running up and down the path on the boat.</t>
  </si>
  <si>
    <t>v_GkPmeXaNY0s</t>
  </si>
  <si>
    <t>A doctor is speaking while a nurse sits next to him in a medical office.</t>
  </si>
  <si>
    <t>He holds up a bottle of cleanser, and uses a rag to wipe it onto the woman's face, before wiping it clean again.</t>
  </si>
  <si>
    <t>It is also rubbed into her hands.</t>
  </si>
  <si>
    <t>v_9DIDpTlfBWs</t>
  </si>
  <si>
    <t>A chef is standing in front of a table and begins turning on a stove with a pan on it.</t>
  </si>
  <si>
    <t>The man then mixes various ingredients together and finally putting the ingredients on the stove top.</t>
  </si>
  <si>
    <t>He finishes the plate by making an omelette and serves it on a plate and cuts it up.</t>
  </si>
  <si>
    <t>v_InwY966XXBY</t>
  </si>
  <si>
    <t>people are in a camp with a lot of camels sitting on the floor.</t>
  </si>
  <si>
    <t>a men is riding a camel and starts walking in the dessert passing by the piramids while a man is leading them with a rope.</t>
  </si>
  <si>
    <t>the camels stops and a man is taking a picture.</t>
  </si>
  <si>
    <t>men are riding camels in the dessert.</t>
  </si>
  <si>
    <t>v_zJNYqTVWqyY</t>
  </si>
  <si>
    <t>We see a small dog in a bathtub with the title over the top.</t>
  </si>
  <si>
    <t>A person wets the dog and puts shampoo on it.</t>
  </si>
  <si>
    <t>The person washes the dog with their hands.</t>
  </si>
  <si>
    <t>They stand the dog up and wash him.</t>
  </si>
  <si>
    <t>They rinse the soap off the dog.</t>
  </si>
  <si>
    <t>We see the wet little dog from above.</t>
  </si>
  <si>
    <t>v_pi2AaadXnnI</t>
  </si>
  <si>
    <t>A woman is cleaning clothes on a table.</t>
  </si>
  <si>
    <t>She pours a bucket of water onto the clothing.</t>
  </si>
  <si>
    <t>She picks up a brush and scrubs the clothing.</t>
  </si>
  <si>
    <t>She pours more water onto the clothing.</t>
  </si>
  <si>
    <t>She picks up the clothing and sets it next to her.</t>
  </si>
  <si>
    <t>v_MinmayCk2Nk</t>
  </si>
  <si>
    <t>We see a male gymnast prepare to use the pommel horse.</t>
  </si>
  <si>
    <t>The man mounts the pommel horse and spins his legs around it.</t>
  </si>
  <si>
    <t>The man takes a bow and starts walking away.</t>
  </si>
  <si>
    <t>v_P06Slwn3JG0</t>
  </si>
  <si>
    <t>A girl stands in a yard holding a rake.</t>
  </si>
  <si>
    <t>The girl rakes the leaves in a pile.</t>
  </si>
  <si>
    <t>the girl walks to a trampoline and gets a different rake and rakes the leaves in a circle.</t>
  </si>
  <si>
    <t>the girl put the rake back on the trampoline and talks to the camera.</t>
  </si>
  <si>
    <t>the girl jumps in, rolls around and throws the leaves around before standing and talking to the camera.</t>
  </si>
  <si>
    <t>v_JB3h1trZ1cE</t>
  </si>
  <si>
    <t>A man in a suit is talking into a microphone.</t>
  </si>
  <si>
    <t>People are water skiing in the water.</t>
  </si>
  <si>
    <t>A man falls down and is dragged by the boat through the water.</t>
  </si>
  <si>
    <t>A man turns around while water skiing and holds the rope with his foot.</t>
  </si>
  <si>
    <t>He crashes and falls into the water.</t>
  </si>
  <si>
    <t>v_xootaiXcXZw</t>
  </si>
  <si>
    <t>Two men are doing Capoeira surrounded by a circle of people.</t>
  </si>
  <si>
    <t>The men take a break and being to perform for the people again.</t>
  </si>
  <si>
    <t>They shake hands and leave the circle allowing two other men to enter the circle.</t>
  </si>
  <si>
    <t>A man in blue and a man in grey greet each other in the middle of the circle.</t>
  </si>
  <si>
    <t>The other two men begin to perform Capoeira for the crowd.</t>
  </si>
  <si>
    <t>v_xwu60huH3ds</t>
  </si>
  <si>
    <t>We see people grooming various dogs.</t>
  </si>
  <si>
    <t>We see a man fluff the fur on a large dog.</t>
  </si>
  <si>
    <t>We see a man blow dry a dog.</t>
  </si>
  <si>
    <t>We see a large black dog being blow dried.</t>
  </si>
  <si>
    <t>A man combs a dogs hair straight up.</t>
  </si>
  <si>
    <t>We see two dark ending screens.</t>
  </si>
  <si>
    <t>v_2WKy0FvMtCM</t>
  </si>
  <si>
    <t>`A cookie is shown on a plate.</t>
  </si>
  <si>
    <t>Ingredients are being added to a glass bowl and being mixed together.</t>
  </si>
  <si>
    <t>Chocolate chips are added to the dough.</t>
  </si>
  <si>
    <t>The dough is flattened out onto a cookie sheet.</t>
  </si>
  <si>
    <t>Chocolate is drizzled over the top.</t>
  </si>
  <si>
    <t>Candies are placed on top of the cookie.</t>
  </si>
  <si>
    <t>The cookie is cut and placed on a plate.</t>
  </si>
  <si>
    <t>A fork is shown eating the cookie.</t>
  </si>
  <si>
    <t>v_wZZUcxhISyE</t>
  </si>
  <si>
    <t>A woman is sitting in a booth.</t>
  </si>
  <si>
    <t>Her little girl shoves a vanilla ice cream cone in her face and laughs.</t>
  </si>
  <si>
    <t>The girl continues doing it, and the woman has to wipes her mouth and nose several times.</t>
  </si>
  <si>
    <t>v_5rlLaok_U5M</t>
  </si>
  <si>
    <t>The player serves the birdie to start the match.</t>
  </si>
  <si>
    <t>Two teams compete in a badminton game in gymnasium.</t>
  </si>
  <si>
    <t>The teams have a long volley during the game.</t>
  </si>
  <si>
    <t>The player spikes the birdie down hard and scores a point.</t>
  </si>
  <si>
    <t>v_Z-UR8n33TWc</t>
  </si>
  <si>
    <t>A sumo warrior is shown holding a pager.</t>
  </si>
  <si>
    <t>A larger sumo warrior is shown holding another pager.</t>
  </si>
  <si>
    <t>The sumo warriors face off and the larger one sits on and makes the smaller one disappear.</t>
  </si>
  <si>
    <t>v_c7SweMMGQE8</t>
  </si>
  <si>
    <t>A camera pans around a picture of a horse followed by a person brushing and vacuuming hair off of a horse.</t>
  </si>
  <si>
    <t>The person continues brushing and vacuuming the hair and ending with the picture of the two together.</t>
  </si>
  <si>
    <t>v_vJkL_4niC4w</t>
  </si>
  <si>
    <t>a man and a woman are sitting in front of a piano playing it together.</t>
  </si>
  <si>
    <t>people are gathered around the piano watching the people sitting on the piano.</t>
  </si>
  <si>
    <t>people on the piano stands and change the position in fornt of the piano.</t>
  </si>
  <si>
    <t>v_6GIWY4-491k</t>
  </si>
  <si>
    <t>A man dressed in winter gear is sitting out in winter on a frozen lake.</t>
  </si>
  <si>
    <t>He is sitting there with fishing equipment fishing on the frozen lake.</t>
  </si>
  <si>
    <t>He uses a bait to fish and catches a mid size gray fish.</t>
  </si>
  <si>
    <t>He shows the two fish that he has caught.</t>
  </si>
  <si>
    <t>Then he puts his fishing net in a hole in the lake and continues fishing.</t>
  </si>
  <si>
    <t>He catches another dark gray fish and tosses it in his box.</t>
  </si>
  <si>
    <t>He continues fishing and catches more fish in that same hole.</t>
  </si>
  <si>
    <t>He collects the fish in a white bucket.</t>
  </si>
  <si>
    <t>v_BH9zsAu6OMQ</t>
  </si>
  <si>
    <t>A woman stands on a track.</t>
  </si>
  <si>
    <t>She bends over on the track.</t>
  </si>
  <si>
    <t>She then runs down the track.</t>
  </si>
  <si>
    <t>She jumps and lands in the sand.</t>
  </si>
  <si>
    <t>v_3oS_28utt2Y</t>
  </si>
  <si>
    <t>A man is sitting on a wave runner in the water.</t>
  </si>
  <si>
    <t>A person is surfing on a large wave in the water.</t>
  </si>
  <si>
    <t>The wave crashes over the surfer.</t>
  </si>
  <si>
    <t>v_HYYQ56oZSDM</t>
  </si>
  <si>
    <t>A woman and man dancing provocatively outside of a restaurant.</t>
  </si>
  <si>
    <t>She is wearing a very sexy short dress and kicking her legs up and down in heels.</t>
  </si>
  <si>
    <t>People are walking out od the restaurant.</t>
  </si>
  <si>
    <t>One of the workers is sitting on a stool smoking until they end their dance on the ground.</t>
  </si>
  <si>
    <t>v_5N-PfYLyCpI</t>
  </si>
  <si>
    <t>Several people are hitting an instrument with sticks.</t>
  </si>
  <si>
    <t>Two men do flips in front of each other.</t>
  </si>
  <si>
    <t>Several more groups of people appear to be doing some kind of martial arts dance.</t>
  </si>
  <si>
    <t>They are surronded by clapping onlookers.</t>
  </si>
  <si>
    <t>v_ZbfYwmb39H0</t>
  </si>
  <si>
    <t>A man is seen standing in front of a goal holding a stick and speaking to the camera.</t>
  </si>
  <si>
    <t>Several shots of him speaking are shown and he demonstrates how to properly be a goalie.</t>
  </si>
  <si>
    <t>He moves back and fourth a bit while moving the stick while still holding his arms up and speaking to the camera.</t>
  </si>
  <si>
    <t>v_oKdzcTnENks</t>
  </si>
  <si>
    <t>A little boy is playing hop scotch on the pavement.</t>
  </si>
  <si>
    <t>There is a truck behind him.</t>
  </si>
  <si>
    <t>He doesn't really play it right.</t>
  </si>
  <si>
    <t>He jumps on all of the numbers.</t>
  </si>
  <si>
    <t>He kind of runs through the game.</t>
  </si>
  <si>
    <t>v_opxLlaEPxqw</t>
  </si>
  <si>
    <t>An athlete is seen standing ready holding a javelin and throwing it off into the distance.</t>
  </si>
  <si>
    <t>Several more people are seen throwing a javelin with their throw being shown again afterwards.</t>
  </si>
  <si>
    <t>The camera pans around the woman in the end and shows off their score.</t>
  </si>
  <si>
    <t>v_VTbMcI6nw54</t>
  </si>
  <si>
    <t>A man talks about coaching gymnastics.</t>
  </si>
  <si>
    <t>A girl starts to do a routine on the uneven bars.</t>
  </si>
  <si>
    <t>v_Hs1fGDcU6Js</t>
  </si>
  <si>
    <t>A man is seen kneeling on the floor and speaking to the camera.</t>
  </si>
  <si>
    <t>The man then flips over and begins doing leg exercises.</t>
  </si>
  <si>
    <t>His moves his body all around demonstrating proper exercises while still looking over and speaking to the camera.</t>
  </si>
  <si>
    <t>v_xBGgX2PqAo8</t>
  </si>
  <si>
    <t>A man sets up a camera in a bar.</t>
  </si>
  <si>
    <t>The man then talks to the camera.</t>
  </si>
  <si>
    <t>The man shoots pool alone.</t>
  </si>
  <si>
    <t>The bearded man walks past the table.</t>
  </si>
  <si>
    <t>The man finishes and talks to the camera before turning it off.</t>
  </si>
  <si>
    <t>v_pvFviIF1VGc</t>
  </si>
  <si>
    <t>A person pours water to a cup.</t>
  </si>
  <si>
    <t>A woman talks in a bar showing liquor bottles.</t>
  </si>
  <si>
    <t>Then, the woman put ice in a glass, then she adds liquors from three bottles.</t>
  </si>
  <si>
    <t>After, the woman add soda and put a straw.</t>
  </si>
  <si>
    <t>v_OzAqwPQ-APY</t>
  </si>
  <si>
    <t>A diver is in the ocean in the keys of florida, he has a a pumpkin in his hand.</t>
  </si>
  <si>
    <t>He goes down with another diver and they begin carving the pumpkins underneath the water.</t>
  </si>
  <si>
    <t>They are craving about five or six of them making different faces.</t>
  </si>
  <si>
    <t>Then they line them up and put some light inside or something as fish swim around them casually.</t>
  </si>
  <si>
    <t>v_tjDOXnDswdA</t>
  </si>
  <si>
    <t>A person's hands are seen holding a rube and spinning it around.</t>
  </si>
  <si>
    <t>The person turns the cube all over it's sides while attempting to solve the puzzle.</t>
  </si>
  <si>
    <t>The man connects all the sides and shows it to the camera.</t>
  </si>
  <si>
    <t>v_pHq6Eb280uM</t>
  </si>
  <si>
    <t>A close up of a fooseball table is seen followed by people holding onto the sides.</t>
  </si>
  <si>
    <t>The people play the game back and fourth while the camera captures their movements.</t>
  </si>
  <si>
    <t>The men continue playing on the table and the video fades to white.</t>
  </si>
  <si>
    <t>v_l9XzNcLiMKc</t>
  </si>
  <si>
    <t>A man and a woman are standing at the counter of a kitchen.</t>
  </si>
  <si>
    <t>They pour ingredients into a large bowl and mix it together.</t>
  </si>
  <si>
    <t>They pour the mixture into two round pans.</t>
  </si>
  <si>
    <t>They then take the cakes and stack them together with frosting in between.</t>
  </si>
  <si>
    <t>They eat the cake at the end.</t>
  </si>
  <si>
    <t>v_JZ9mgVXPD-I</t>
  </si>
  <si>
    <t>A young man plays drums on a stage with lights dancing in the background.</t>
  </si>
  <si>
    <t>He finishes and stands up playing air drums.</t>
  </si>
  <si>
    <t>v_lSbbzsOjwno</t>
  </si>
  <si>
    <t>A young girl is seen scrubbing a small dog down with soap next to a tub full of water.</t>
  </si>
  <si>
    <t>She pours more soap onto the dog and drags him over and leads into pictures of the dog all cleaned.</t>
  </si>
  <si>
    <t>v_Vh8RINfopdk</t>
  </si>
  <si>
    <t>A person applies paint designs to a red fingernail on a plastic hand with a flexible black limb labeled "nail trainer".</t>
  </si>
  <si>
    <t>A brown plastic hand with a black plastic arm appears with white fingernail tips and red fingernails.</t>
  </si>
  <si>
    <t>A person's real hand appears and begins to apply white designs on one of the red fingernails on the plastic hand.</t>
  </si>
  <si>
    <t>The scene then fades to a closeup of one finished red fingernail with a complete white design from the plastic hand.</t>
  </si>
  <si>
    <t>v_vu65aIIJHtU</t>
  </si>
  <si>
    <t>Cars are driving on a road.</t>
  </si>
  <si>
    <t>People get back into their car and put the snowboard on top of the car.</t>
  </si>
  <si>
    <t>v_XuSWH1lfcvI</t>
  </si>
  <si>
    <t>A man is seen standing before a set of uneven bars with his arms up.</t>
  </si>
  <si>
    <t>He then jumps up on the beam and swings himself around.</t>
  </si>
  <si>
    <t>The man continues to swing around on the bars and ends by jumping off the side and walking away.</t>
  </si>
  <si>
    <t>v_nwpz-KGn46A</t>
  </si>
  <si>
    <t>She then is shown performing several different exercises as well as riding on a bicycle and leading a class.</t>
  </si>
  <si>
    <t>More shots of her are shown riding on the bike and wearing a headset to speak to others.</t>
  </si>
  <si>
    <t>v_a5WhYgyH_C0</t>
  </si>
  <si>
    <t>A man in a pink shirt is holding a cord in his hand.</t>
  </si>
  <si>
    <t>He starts vacuuming the carpet in front of him.</t>
  </si>
  <si>
    <t>v_y4Y8gD1mpTw</t>
  </si>
  <si>
    <t>A woman is doing a tutorial on how to do water marble nails using water.</t>
  </si>
  <si>
    <t>She uses a nail polish brush and dips it in water.</t>
  </si>
  <si>
    <t>She gives the instructions on how to start with a base coat of nail polish.</t>
  </si>
  <si>
    <t>Then she puts drops of different colored nail polish on the water surface.</t>
  </si>
  <si>
    <t>Then she dips her nail into that paint.</t>
  </si>
  <si>
    <t>She cleans off any excess nail polish that has smeared on the side of the nails with a paint brush and Q-tip.</t>
  </si>
  <si>
    <t>She finally shares information about herself and her social media accounts.</t>
  </si>
  <si>
    <t>v_ZoKode_Gexg</t>
  </si>
  <si>
    <t>A woman is in a kitchen, wearing a dress and pregnant.</t>
  </si>
  <si>
    <t>She is washing dishes in the sink and talking to the person with the camera.</t>
  </si>
  <si>
    <t>She smiles as the camera zooms in on her right eye.</t>
  </si>
  <si>
    <t>v_djQnCU5MNJg</t>
  </si>
  <si>
    <t>A woman swings on a swing set.</t>
  </si>
  <si>
    <t>A baby swings beside her.</t>
  </si>
  <si>
    <t>They are both wearing red.</t>
  </si>
  <si>
    <t>The woman looks happy to swing.</t>
  </si>
  <si>
    <t>v_xE43h7Kd9Oc</t>
  </si>
  <si>
    <t>Two boys are standing in a living room next to a tree and begin taking ornaments out of two plastic bins and decorating the tree.</t>
  </si>
  <si>
    <t>As the boys continue,the outside of the house is shown as rain comes thundering down.</t>
  </si>
  <si>
    <t>After,the boys receive help from a male and puts the tree topper on.</t>
  </si>
  <si>
    <t>Once that is finished,the young boys hug and kiss each other and the finish product of the tree is shown.</t>
  </si>
  <si>
    <t>v_wfc_R5VnoHU</t>
  </si>
  <si>
    <t>Several animated people are in the water.</t>
  </si>
  <si>
    <t>Two people in scuba gear stand on the ledge of a platform while two other people watch from a platform above.</t>
  </si>
  <si>
    <t>The two people in scuba gear jump in the water.</t>
  </si>
  <si>
    <t>One person in scuba gear holds on to the other person in scuba gear and does something to her tank.</t>
  </si>
  <si>
    <t>One person pushes the other one away.</t>
  </si>
  <si>
    <t>Several people in scuba gear gather with one person still in the background.</t>
  </si>
  <si>
    <t>The people in scuba gear struggle and one persons mask floats away.</t>
  </si>
  <si>
    <t>v_oEdRUyN6Kfo</t>
  </si>
  <si>
    <t>A large black dog and a little girl in a white blouse carries two hoolahoops in the living room.</t>
  </si>
  <si>
    <t>The little girl holds a hoola hoop in front of the dog and the dog walks through the hoolahoop.</t>
  </si>
  <si>
    <t>The little girl spins the other hoola hoop around her waste and spins it 10 or 12 times.</t>
  </si>
  <si>
    <t>The little girl walks up to the black dog and lets the dog lick her hand.</t>
  </si>
  <si>
    <t>v_SBJWn8AjK-4</t>
  </si>
  <si>
    <t>Five boys are shown walking in a playground.</t>
  </si>
  <si>
    <t>The boys get onto the swings and begin to show how to do tricks.</t>
  </si>
  <si>
    <t>For the finale, all five guys get onto the swings and perform a back flip.</t>
  </si>
  <si>
    <t>v_srSwfib_ogk</t>
  </si>
  <si>
    <t>A young woman gets in position to perform with a baton.</t>
  </si>
  <si>
    <t>She performs a gymnastics and twirling routine.</t>
  </si>
  <si>
    <t>She does cartwheels as part of her routine.</t>
  </si>
  <si>
    <t>She drops the baton, but picks it back up and continues with the routine.</t>
  </si>
  <si>
    <t>She loses her balance but is able to recover.</t>
  </si>
  <si>
    <t>v_mWj6lO9PZCs</t>
  </si>
  <si>
    <t>A woman is seen pushing a lawn mower across some grass while speaking to the camera.</t>
  </si>
  <si>
    <t>The camera zooms in on plants in the yard and continues to follow the woman around as she cuts the grass.</t>
  </si>
  <si>
    <t>The camera wanders through a bunch of plants and trees in the end.</t>
  </si>
  <si>
    <t>v_rVLkm3MLzns</t>
  </si>
  <si>
    <t>A man in ski gear is standing on a snowy hill.</t>
  </si>
  <si>
    <t>He and others begin skiing down the slopes, kicking up snow and traveling through tunnels.</t>
  </si>
  <si>
    <t>v_CvkyjR4yk60</t>
  </si>
  <si>
    <t>men are working in a tablein the background, a man in the center of the room start walking in circles and make break dance, a screen hanging is playing a rap video.</t>
  </si>
  <si>
    <t>the screen is playing a video and the credits are in the right side.</t>
  </si>
  <si>
    <t>v_0lYwrXV1R3A</t>
  </si>
  <si>
    <t>A hockey player is injured and is helped up from the ice by the coach.</t>
  </si>
  <si>
    <t>The hockey player is escorted from the ice by the coach.</t>
  </si>
  <si>
    <t>A replay shows the hockey player being hit in the face by the puck and he falls to the ice.</t>
  </si>
  <si>
    <t>The teams stand together around a circle and face off to start the match.</t>
  </si>
  <si>
    <t>Hockey player play a game and skate around the ice passing back and forth.</t>
  </si>
  <si>
    <t>v_P0A0rMgjXGQ</t>
  </si>
  <si>
    <t>We see water on an opening screen.</t>
  </si>
  <si>
    <t>A man is measuring and cutting carpet while kneeling.</t>
  </si>
  <si>
    <t>The man adds a strip and puts a tool in the seam.</t>
  </si>
  <si>
    <t>The man runs a black item over the seam repeatedly then stands.</t>
  </si>
  <si>
    <t>v_IYbnF7LM2II</t>
  </si>
  <si>
    <t>Two men are seen running around an enclosed room holding tennis rackets and hitting a ball around the room.</t>
  </si>
  <si>
    <t>The men continue hitting the ball around the room while the camera continues to follow their movements.</t>
  </si>
  <si>
    <t>v_pS-BoCsMcpQ</t>
  </si>
  <si>
    <t>Men are swimming more or less in sync with the volleyballs.</t>
  </si>
  <si>
    <t>They stop and get a in a circle in the pool and start throwing the ball between each other.</t>
  </si>
  <si>
    <t>After that they start to swim and throw for a little bit.</t>
  </si>
  <si>
    <t>After, they put it all together and every one joins in to play.</t>
  </si>
  <si>
    <t>v_ok6LTNirAPo</t>
  </si>
  <si>
    <t>A child sitting at restaurant table places his hands in a dessert.</t>
  </si>
  <si>
    <t>The child uses his hands to eat the food.</t>
  </si>
  <si>
    <t>The adult keeps the child from spilling the food on the floor and helps feed him.</t>
  </si>
  <si>
    <t>v_vWz90CichbM</t>
  </si>
  <si>
    <t>The video starts showing the company logo for a roofing company.</t>
  </si>
  <si>
    <t>A voice is heard reciting the steps to applying ridges on a roof.</t>
  </si>
  <si>
    <t>As the voice recites the steps, an older man is shown on video performing these steps to a roof.</t>
  </si>
  <si>
    <t>As the voice says the steps are complete, the final shot shows a close up of the completed ridges.</t>
  </si>
  <si>
    <t>The video ends with the company logo.</t>
  </si>
  <si>
    <t>v_UoX2xhYPD38</t>
  </si>
  <si>
    <t>A young man is washing clothes inside a bathroom sink as he talks to the camera.</t>
  </si>
  <si>
    <t>Initially he starts to wash the clothes with both hands.</t>
  </si>
  <si>
    <t>Afterwards he adds more soap using two different bottles to the sink.</t>
  </si>
  <si>
    <t>Subsequently he keeps washing the clothes as he talks to the camera.</t>
  </si>
  <si>
    <t>v_NKNgAE07TIQ</t>
  </si>
  <si>
    <t>A man wearing a black shirts with a graphic design is seated near a table with liquor bottles and a shaker.</t>
  </si>
  <si>
    <t>He is a demonstrating how to make a seasonal alcoholic drink.</t>
  </si>
  <si>
    <t>He picks up the liquor bottles that he will be using for the drinks.</t>
  </si>
  <si>
    <t>He uses the jigger to measure and then pour the necessary ingredients into the shaker.</t>
  </si>
  <si>
    <t>He then adds some cream to the mixture.</t>
  </si>
  <si>
    <t>He adds a few cubes of ice into the shaker.</t>
  </si>
  <si>
    <t>Then he shakes beverage vigorously and pours into a conical glass.</t>
  </si>
  <si>
    <t>He then tops the drink with whipped cream from a can and puts a cherry on the top.</t>
  </si>
  <si>
    <t>He gives information about his Facebook page and other details.</t>
  </si>
  <si>
    <t>v_3lla2AaJgNA</t>
  </si>
  <si>
    <t>A woman is using an iron on a board.</t>
  </si>
  <si>
    <t>She is showing how to iron baby clothes.</t>
  </si>
  <si>
    <t>She flips the clothing, buttoning it up as she goes.</t>
  </si>
  <si>
    <t>v_dsgQVrJi71g</t>
  </si>
  <si>
    <t>A man plugs a mowing machine, then he pushes the mower to cut the grass in a backyard.</t>
  </si>
  <si>
    <t>After, the man cuts the grass on the borders with garden scissors.</t>
  </si>
  <si>
    <t>v_lcwR7eA-VOY</t>
  </si>
  <si>
    <t>Two wrestlers are up on a ring arguing.</t>
  </si>
  <si>
    <t>The referee stands by, instructing them on what to do.</t>
  </si>
  <si>
    <t>They finally get to the arm wrestling.</t>
  </si>
  <si>
    <t>The crowd around them cheers on.</t>
  </si>
  <si>
    <t>A guy jumps onto the ring and begins to fight with one of the wrestlers.</t>
  </si>
  <si>
    <t>The man leaves the ring and the wrestler approaches the other wrestler and beats him to the ground.</t>
  </si>
  <si>
    <t>The wrestler celebrates his win.</t>
  </si>
  <si>
    <t>v_I2Ctmi7C56k</t>
  </si>
  <si>
    <t>Two little boys rake leaves in a backyard while a little girl watches and walks with them as they rake.</t>
  </si>
  <si>
    <t>The two little boys rake leaves with red handled rakes and a little girl watches them and hangs around while they rake.</t>
  </si>
  <si>
    <t>The two boys start raking to the right of the lawn and the little girl runs behind them.</t>
  </si>
  <si>
    <t>The boys then turn around and begin raking to the right side of the lawn.</t>
  </si>
  <si>
    <t>v_bz62JE0qMSk</t>
  </si>
  <si>
    <t>little kid is standing in a pool poining out a yellow bucket in the water and other peolpe is sitting in benches around the pool.</t>
  </si>
  <si>
    <t>woman is carrying the child on his back and then she is with a man and the kid riding bikes in the park.</t>
  </si>
  <si>
    <t>kid is running inside a roofed basket court.</t>
  </si>
  <si>
    <t>kid is laying with a tennis racket.</t>
  </si>
  <si>
    <t>v_lMYtmGRAn8k</t>
  </si>
  <si>
    <t>A boy is standing next to a playground jumping rope.</t>
  </si>
  <si>
    <t>A person is jumping rope on a white mat.</t>
  </si>
  <si>
    <t>A man is kneeling down on the ground in front of a red table.</t>
  </si>
  <si>
    <t>He gets up and starts jumping rope.</t>
  </si>
  <si>
    <t>v_i2e67kStfk4</t>
  </si>
  <si>
    <t>A child performs on the double uneven bars, while flipping around the bars.</t>
  </si>
  <si>
    <t>Then, the child flips and land stand on the floor, then walks.</t>
  </si>
  <si>
    <t>v_EBOT5e2xAoQ</t>
  </si>
  <si>
    <t>The video leads into several clips of track runners jumping over a bar with their jump being shown again in slow motion.</t>
  </si>
  <si>
    <t>Several more people are shown jumping over the bar with one hitting the bar and not jumping over.</t>
  </si>
  <si>
    <t>v_EkwX8Swnut8</t>
  </si>
  <si>
    <t>A boy sits behind the wheel of car, driving and talking to the other passengers in the car.</t>
  </si>
  <si>
    <t>The car travels down a winding highway as the camera pans between the people talking at the time.</t>
  </si>
  <si>
    <t>The people in the car eventually arrive at a snow covered slope where they don ski apparel and begin to ski on the slopesdoing flips, going down hills and jumping off of elevated platforms.</t>
  </si>
  <si>
    <t>At one point of the boys falls on the ground and huddles in the fetal position on the snow.</t>
  </si>
  <si>
    <t>The scene then cuts to the boys back at home in the kitchen peparing things with a final image of a boy standing in the snow covered woods talking to the camera.</t>
  </si>
  <si>
    <t>v_BfTjydFBQJU</t>
  </si>
  <si>
    <t>A small group of people are seen standing in a gym with a man leading in front.</t>
  </si>
  <si>
    <t>The man leads the group in an exercise class that involves a beam on the floor.</t>
  </si>
  <si>
    <t>The people move up and down the beam while the man claps and smiles at the group.</t>
  </si>
  <si>
    <t>v_Q159fj3M9NM</t>
  </si>
  <si>
    <t>A gymnast runs, then flips several times down an indoor track.</t>
  </si>
  <si>
    <t>Other girls follow suit, flipping quickly as they go.</t>
  </si>
  <si>
    <t>They dismount at the end, arms in the air.</t>
  </si>
  <si>
    <t>v_AZrI6X2XAUU</t>
  </si>
  <si>
    <t>a blond little kid with large hair sits in a table and holds a contact eye and put the contacts on his eyes.</t>
  </si>
  <si>
    <t>little kid is talking to the camera and is in a table wearnig a red uniform putting contact lenses on her eyes.</t>
  </si>
  <si>
    <t>v_GTV4XlxawgE</t>
  </si>
  <si>
    <t>man is running in a roofed gym and doing a high jump.</t>
  </si>
  <si>
    <t>man is doing a somersault in a roofed gym.</t>
  </si>
  <si>
    <t>two woman are standing in the gym by the jumping man.</t>
  </si>
  <si>
    <t>man is doing a somersault in a roofed gym in a racetrack.</t>
  </si>
  <si>
    <t>v_bRVazNYfpGE</t>
  </si>
  <si>
    <t>There's a girl gymnast dressed in purple leotards doing flips on a horse bar in a large indoor stadium filled with spectators.</t>
  </si>
  <si>
    <t>She continues doing front flips and twisting her body around on the horse bar.</t>
  </si>
  <si>
    <t>She walks the entire horse bar and then finally jumps off the horse bar to successfully end her round.</t>
  </si>
  <si>
    <t>As she jumps down and walks away, the crowd cheer and applaud loudly.</t>
  </si>
  <si>
    <t>v_WxefBZ7Iaow</t>
  </si>
  <si>
    <t>A blue raft is shown and a group of people are shown throwing them up in a pile.</t>
  </si>
  <si>
    <t>Finally,they are by the water and about eight of them are sitting on the raft traveling down the water.</t>
  </si>
  <si>
    <t>After a certain distance,they encounter a rock and a large wave and they all flip out of the raft.</t>
  </si>
  <si>
    <t>The rafting continues and eventually they are all shown standing outside in a field in a large circle talking and drinking about a job well done.</t>
  </si>
  <si>
    <t>v_lsIiSTG2pn4</t>
  </si>
  <si>
    <t>Ladies are playing volley ball outside.</t>
  </si>
  <si>
    <t>A female hits the ball twice.</t>
  </si>
  <si>
    <t>A lady touches a teammate's arm.</t>
  </si>
  <si>
    <t>v_js9SDSngI7A</t>
  </si>
  <si>
    <t>A coach align a group of teens in a basketball court, the teen on front holds a basketball ball.</t>
  </si>
  <si>
    <t>Three teens run and a boy throws the basketball to the basket, then the second teen grabs the ball and pass the ball to two teens disputing to have the ball.</t>
  </si>
  <si>
    <t>Then, three more boys run to practice the same steps.</t>
  </si>
  <si>
    <t>A young man wearing a yellow t-shirt practice basketball on the other basketball goal.</t>
  </si>
  <si>
    <t>After, a group of three boys runs to practice basketball shooting and blocking.</t>
  </si>
  <si>
    <t>v_YD7pb5-CZdI</t>
  </si>
  <si>
    <t>An athlete is standing on a field.</t>
  </si>
  <si>
    <t>He is holding a large steel ball.</t>
  </si>
  <si>
    <t>He spins and throws the ball, then walks around the track waiting for his next turn.</t>
  </si>
  <si>
    <t>v_UYUvjnlU9Ho</t>
  </si>
  <si>
    <t>There are some people playing croquet in their backyard that is covered with fall leaves.</t>
  </si>
  <si>
    <t>There's a teenage boy and a teenage girl playing croquet on some wooden boards.</t>
  </si>
  <si>
    <t>They use their wooden mallet to hit the ball down the wooden boards.</t>
  </si>
  <si>
    <t>Another group of young teenagers are also playing croquet in the yard.</t>
  </si>
  <si>
    <t>One of the teens wearing a yellow shirt pretends his mallet is a guitar and plays it.</t>
  </si>
  <si>
    <t>The teens continue playing croquet as they take turns to hit the ball with the mallet while another boy is playing with a black and white cat.</t>
  </si>
  <si>
    <t>The teens continue playing while the cat watches them.</t>
  </si>
  <si>
    <t>The teen in the yellow shirt plays with the black and white cat.</t>
  </si>
  <si>
    <t>One of the teen pose and aims to hit the ball with his mallet while the two other teens watch him.</t>
  </si>
  <si>
    <t>They continue playing croquet as they take turns to hit the balls one by one with the mallets.</t>
  </si>
  <si>
    <t>One of the teens then just drops his mallet down while the two other teens give each other high fives.</t>
  </si>
  <si>
    <t>v_Lh3dhueuKmQ</t>
  </si>
  <si>
    <t>A woman is putting wall paper on a wall.</t>
  </si>
  <si>
    <t>She smooths the wall paper with her hands.</t>
  </si>
  <si>
    <t>She is rolling the wall paper onto the wall.</t>
  </si>
  <si>
    <t>v_Wr69bnB86d0</t>
  </si>
  <si>
    <t>A man sits at a table and holds a screwdriver which he presses it against the tabletop.</t>
  </si>
  <si>
    <t>The man pretents to time himself and uses the screwdriver tool to pierce a hole in a full beer can that sprays some of its contents.</t>
  </si>
  <si>
    <t>The man holds up the can with the hole facing upwards.</t>
  </si>
  <si>
    <t>The man drinks the contents of the beer can from the hole after opening the top.</t>
  </si>
  <si>
    <t>v_aSFtL7YEbDE</t>
  </si>
  <si>
    <t>A group of people are on a neatly mown field.</t>
  </si>
  <si>
    <t>They are playing a game of croquette.</t>
  </si>
  <si>
    <t>They hit the balls through the hoops with mallets.</t>
  </si>
  <si>
    <t>v_bTlfN4vJkiY</t>
  </si>
  <si>
    <t>A young boy is wearing a bandana and mowing a large yard.</t>
  </si>
  <si>
    <t>He walks away from the camera as he pushes the mower.</t>
  </si>
  <si>
    <t>He then suddenly stops, chasing the person with the camera and knocking them over.</t>
  </si>
  <si>
    <t>v_2LzWCwYtUzs</t>
  </si>
  <si>
    <t>We see an animation on the opening title screen.</t>
  </si>
  <si>
    <t>A person washes and peels a potato.</t>
  </si>
  <si>
    <t>The person rinses the person rinses the peeled potato in a bowl.</t>
  </si>
  <si>
    <t>The person then dices the potato.</t>
  </si>
  <si>
    <t>v_T1T3UvwZcKU</t>
  </si>
  <si>
    <t>A young child is seen sitting a top of a slide with his tongue sticking out.</t>
  </si>
  <si>
    <t>He begins to go down the slide but falls off the side and is seen laying on the floor.</t>
  </si>
  <si>
    <t>v_4uitkT3dDIM</t>
  </si>
  <si>
    <t>General technique is shown for throwing javelins.</t>
  </si>
  <si>
    <t>He then shows how to do it with crossovers.</t>
  </si>
  <si>
    <t>v_ozkDsQ1UY1k</t>
  </si>
  <si>
    <t>A close up of a pool table is seen followed by a man hitting a ball.</t>
  </si>
  <si>
    <t>Another man steps up with the pool stick to aim his shot and hits the balls.</t>
  </si>
  <si>
    <t>The men take turns back and fourth playing pool until one wins and the camera pans to a man watching.</t>
  </si>
  <si>
    <t>v_F_-w_z4B3bg</t>
  </si>
  <si>
    <t>A young man is seen sitting before an instrument with another sitting on a drum set.</t>
  </si>
  <si>
    <t>The man moves sticks around while looking off into the distance and begins to play.</t>
  </si>
  <si>
    <t>Another boy walks in and out of frame and begins singing into a microphone.</t>
  </si>
  <si>
    <t>v_fGMZvLvAMK4</t>
  </si>
  <si>
    <t>A skier holds a ski stick in his left hand and a pole in his right hand.</t>
  </si>
  <si>
    <t>Then, the man ski down the hill covered with snow.</t>
  </si>
  <si>
    <t>The man stops in middle of the hill.</t>
  </si>
  <si>
    <t>Then, the man continues skiing until arrives to a city.</t>
  </si>
  <si>
    <t>v_OSndW3d2XxU</t>
  </si>
  <si>
    <t>a man is on a field in a circle.</t>
  </si>
  <si>
    <t>He starts spinning a ball around in circles.</t>
  </si>
  <si>
    <t>He then throws the ball as far as he can, but falls down.</t>
  </si>
  <si>
    <t>v_K8G5CBJtluY</t>
  </si>
  <si>
    <t>A young man lying prone on a tiled floor with this hands behind his head and his knees bent attempts to perform a sit-up in front of a few friends.</t>
  </si>
  <si>
    <t>As he brings his elbows towards his knees, a loud crack can be heard as the man laughs, "That hurt my ass.</t>
  </si>
  <si>
    <t>" He attempts a second sit-up and with another cracking sound, exclaims and grabs his buttocks.</t>
  </si>
  <si>
    <t>The man says, "one more" and attempts another time, after which he says, "that felt horrible.</t>
  </si>
  <si>
    <t>" The man struggles through nine more attempts before giving up to the amusement of his friends.</t>
  </si>
  <si>
    <t>v_I41kmlYZmt4</t>
  </si>
  <si>
    <t>A close up of a hedge is shown as well as a man using a tool to cut the hedge.</t>
  </si>
  <si>
    <t>The man speaks to the camera and continues using the tool on the hedge.</t>
  </si>
  <si>
    <t>Several shots are shown of his surroundings as well as other tools you can use and more grass being cut.</t>
  </si>
  <si>
    <t>v_7CeAzJF2z4o</t>
  </si>
  <si>
    <t>A intro leads to a young man wearing a backwards baseball cap playing the guitar on a bed.</t>
  </si>
  <si>
    <t>The man strokes his fingers up and down the neck of the guitar while strumming the string and looking down at the neck.</t>
  </si>
  <si>
    <t>v_erevt6avST0</t>
  </si>
  <si>
    <t>A man is standing at a counter.</t>
  </si>
  <si>
    <t>The store front is shown to the door.</t>
  </si>
  <si>
    <t>the man is still at the counter talking.</t>
  </si>
  <si>
    <t>A man is runnign around a course with a gun.</t>
  </si>
  <si>
    <t>The man is still talkign at the counter.</t>
  </si>
  <si>
    <t>A man in the course is aiming his gun.</t>
  </si>
  <si>
    <t>The man at the counter is showing a particular gun.</t>
  </si>
  <si>
    <t>A man at the course is running around aiming and shooting his gun.</t>
  </si>
  <si>
    <t>The man at the counter is still holding the gun talking.</t>
  </si>
  <si>
    <t>The man on the course runs around and shoots.</t>
  </si>
  <si>
    <t>The man at the counter continues to talk with the gun in his hand.</t>
  </si>
  <si>
    <t>The man at the course peers around a corner aiming his gun.</t>
  </si>
  <si>
    <t>The man at the counter is talking and motioning with the gun in his hand.</t>
  </si>
  <si>
    <t>v_-X7fBYN5fBc</t>
  </si>
  <si>
    <t>Men are standing against the fence, the gates are up and a rider is waiting to start.</t>
  </si>
  <si>
    <t>Once the gate opens a little cow comes running out and the horse chases after.</t>
  </si>
  <si>
    <t>The rider throws a rope at the cow trying to catch it and then jumps off the horse.</t>
  </si>
  <si>
    <t>After he jumps off the horse he starts to pin the cow down and tie the rope around its legs very roughly.</t>
  </si>
  <si>
    <t>v_0_IShglbOQ4</t>
  </si>
  <si>
    <t>A young boy is seen holding onto a lawn mower and pushing it along the yard.</t>
  </si>
  <si>
    <t>The boy continues to push the mower around while the camera captures his movements.</t>
  </si>
  <si>
    <t>He pushes the mower back where he started and looks back to the camera.</t>
  </si>
  <si>
    <t>v_I9_eKiGZPxc</t>
  </si>
  <si>
    <t>Vehicles are moving down a road.</t>
  </si>
  <si>
    <t>A lady stands and discusses.</t>
  </si>
  <si>
    <t>People are paddling down a rocky body of water.</t>
  </si>
  <si>
    <t>A person tries to lift an individual back into the inflated boat.</t>
  </si>
  <si>
    <t>A lady walks away from the inflated boat.</t>
  </si>
  <si>
    <t>The lady used her hands to over her face.</t>
  </si>
  <si>
    <t>People that are sitting on an inflated boat raise their paddles.</t>
  </si>
  <si>
    <t>An inflated boat flips over and the occupants falls overboard.</t>
  </si>
  <si>
    <t>The lady takes off her helmet.</t>
  </si>
  <si>
    <t>A guy gives the lady her white sandals.</t>
  </si>
  <si>
    <t>The lady blows a kiss.</t>
  </si>
  <si>
    <t>Guys are playing soccer outside.</t>
  </si>
  <si>
    <t>Two red team players chest bump.</t>
  </si>
  <si>
    <t>v_Z90-HZ_geSI</t>
  </si>
  <si>
    <t>An intro leads into shots outside a dog groomers and inside where several dogs are tied it.</t>
  </si>
  <si>
    <t>Many woman are shown brushing the dogs and trimming their fur while giving them head scratches in between.</t>
  </si>
  <si>
    <t>More dogs are seen sitting in crates and barking at the camera while the wind blows on them.</t>
  </si>
  <si>
    <t>v_kGxikShxkpQ</t>
  </si>
  <si>
    <t>Team mates are seen walking out onto a field surrounded by dozens of people and stand ready over a rope holding their arms up.</t>
  </si>
  <si>
    <t>The men then pull the rope against another team and end by falling down.</t>
  </si>
  <si>
    <t>v__MYAaRrTeMQ</t>
  </si>
  <si>
    <t>A man is seen holding an axe and looking back to smile at the camera.</t>
  </si>
  <si>
    <t>The man then swings the axe down and hits a log of wood still smiling at the camera.</t>
  </si>
  <si>
    <t>v_C7sabT8febk</t>
  </si>
  <si>
    <t>Paint is shown being mixed on a styrofoam plate.</t>
  </si>
  <si>
    <t>A hand draws on a piece of paper using a brush and the mixed paint.</t>
  </si>
  <si>
    <t>v_fZc3tkvUJe0</t>
  </si>
  <si>
    <t>A chef is seen speaking to a woman and leads into him holding knives and sharpening the sides.</t>
  </si>
  <si>
    <t>He then wipes the knife with a rag and continues sharpening the knives.</t>
  </si>
  <si>
    <t>v_S5kuckj4Ud4</t>
  </si>
  <si>
    <t>We see are driving down the street then we see the man in the car.</t>
  </si>
  <si>
    <t>The man gets out and grabs flat tire supplies.</t>
  </si>
  <si>
    <t>The man sits in the car and thinks about how to change a tire.</t>
  </si>
  <si>
    <t>The guy loosens bolts, jacks the car up and takes off the flat.</t>
  </si>
  <si>
    <t>The guy then puts the spare tire on the car.</t>
  </si>
  <si>
    <t>We see the bolts up close in a line.</t>
  </si>
  <si>
    <t>The man puts the spare tire in the car and gets in the car.</t>
  </si>
  <si>
    <t>He makes a call and turns on the radio.</t>
  </si>
  <si>
    <t>The man makes a u-turn and leaves.</t>
  </si>
  <si>
    <t>We see the ending title.</t>
  </si>
  <si>
    <t>v_IKTYMYu8FFs</t>
  </si>
  <si>
    <t>A container of hair styling cream is shown by a stylist.</t>
  </si>
  <si>
    <t>She applies it to a seated brunette's skin.</t>
  </si>
  <si>
    <t>She then demonstrates how it works.</t>
  </si>
  <si>
    <t>v_Iphl3YB-yYQ</t>
  </si>
  <si>
    <t>A man is seen speaking to the camera and pans over to a roof that is breaking apart.</t>
  </si>
  <si>
    <t>He points all over the roof and shows a man working on the roof while panning around again.</t>
  </si>
  <si>
    <t>v_feqYwvoENzk</t>
  </si>
  <si>
    <t>A woman is seen putting her hair up in a pony tail with a man watching her on the side.</t>
  </si>
  <si>
    <t>She then plays the piano while smiling and the man continuing to watch her.</t>
  </si>
  <si>
    <t>v_O8vPTn6Ho7w</t>
  </si>
  <si>
    <t>People are paddling in kayaks in a body of water.</t>
  </si>
  <si>
    <t>A man takes off in a green kayak.</t>
  </si>
  <si>
    <t>A man in a red jacket is talking to the camera.</t>
  </si>
  <si>
    <t>v_dyobp97TugE</t>
  </si>
  <si>
    <t>A woman and a dog are playing on the grass with a frisbee.</t>
  </si>
  <si>
    <t>The dog has the frisbee in its mouth.</t>
  </si>
  <si>
    <t>The woman and the dog are playing with a rope.</t>
  </si>
  <si>
    <t>v_qX7UMKN6ygM</t>
  </si>
  <si>
    <t>At the beach, a group of soccer balls lie next to a man who is kicking them at the goal, protected by a keeper.</t>
  </si>
  <si>
    <t>He boots them up and off his knee before shooting wide.</t>
  </si>
  <si>
    <t>He finally scores over the keeper.</t>
  </si>
  <si>
    <t>His final ball is saved once again by the keeper.</t>
  </si>
  <si>
    <t>v_r96PJ548pn8</t>
  </si>
  <si>
    <t>A woman wearing exercise equipment is shown talking to the camera and pointing to several areas on her body.</t>
  </si>
  <si>
    <t>She continues talking to the camera while performing several ab crunches to work your core.</t>
  </si>
  <si>
    <t>She then grabs a weight in both hands as well as a cat to use as a weight for the exercise.</t>
  </si>
  <si>
    <t>She bends forward and continues talking to the camera.</t>
  </si>
  <si>
    <t>v_N8otQdjR96s</t>
  </si>
  <si>
    <t>A man is sitting at a drum set.</t>
  </si>
  <si>
    <t>He is playing the drums and cymbals, and talking to the camera.</t>
  </si>
  <si>
    <t>He shows the mechanics of the pedals and the effects on the drums as he uses them.</t>
  </si>
  <si>
    <t>v_mTmcz5NWNQA</t>
  </si>
  <si>
    <t>A group of people riding bmx dirt bikes come down a path together.</t>
  </si>
  <si>
    <t>Then spin around, taking sharp turns and curves on the track.</t>
  </si>
  <si>
    <t>When the race is over, they walk around handing out medals and posing for photos.</t>
  </si>
  <si>
    <t>v_kF6tSW-ZOFg</t>
  </si>
  <si>
    <t>A lady stands at the end of a hopscotch court.</t>
  </si>
  <si>
    <t>The lady then jumps across the hopscotch court towards the right.</t>
  </si>
  <si>
    <t>The lady then hops back where she started.</t>
  </si>
  <si>
    <t>v_hP8wUI0qdaQ</t>
  </si>
  <si>
    <t>woman is talking to the camera in front of a large gym with a lot of estatic bikes in the background and people doing exercise.</t>
  </si>
  <si>
    <t>girl start doing exercise in the elliptical bike.</t>
  </si>
  <si>
    <t>v_2GSSuYAWFc8</t>
  </si>
  <si>
    <t>Several pieces of belly button jewelry are shown.</t>
  </si>
  <si>
    <t>This is followed by a man disinfecting a woman's belly button.</t>
  </si>
  <si>
    <t>He then inserts a piercing using a clamp and a rod.</t>
  </si>
  <si>
    <t>The woman watches as the final studs are in place.</t>
  </si>
  <si>
    <t>v_ufK2mbJI0to</t>
  </si>
  <si>
    <t>A large group of people are seen running around a soccer field playing a game of soccer.</t>
  </si>
  <si>
    <t>The kids continue to kick the ball around one another while others watch on the side.</t>
  </si>
  <si>
    <t>More shots are shown of the game as well as people playing with one another.</t>
  </si>
  <si>
    <t>v_jMQP5ePI4eQ</t>
  </si>
  <si>
    <t>A man in a white shirt is sitting down playing a guitar.</t>
  </si>
  <si>
    <t>Next to the man is a smaller screen of a black and white video of a man singing and a woman.</t>
  </si>
  <si>
    <t>v_LcmTBkWvV74</t>
  </si>
  <si>
    <t>A close up a girl smiling and pointing to her face is shown followed by a pair of pliers piercing her inner lip.</t>
  </si>
  <si>
    <t>The piercer pushes the scissor through her lip while she holds it up and presents the piercing in the end.</t>
  </si>
  <si>
    <t>v_BfnM0eyjB5Q</t>
  </si>
  <si>
    <t>A woman is giving instructions on how to install and adjust a saddle on a bike.</t>
  </si>
  <si>
    <t>She uses a Allen key wrench to loosen up the bolt.</t>
  </si>
  <si>
    <t>Then she demonstrates how she can move the saddle after she loosens it.</t>
  </si>
  <si>
    <t>She hits it with her hand to push the jammed saddle.</t>
  </si>
  <si>
    <t>Then she shows how to adjust the saddle by moving it back and forth.</t>
  </si>
  <si>
    <t>She later demonstrates how to remove the saddle off.</t>
  </si>
  <si>
    <t>She puts the new one on and then uses tools to tighten it back on.</t>
  </si>
  <si>
    <t>She uses a screwdriver to tighten the screws and adjust the level.</t>
  </si>
  <si>
    <t>She then shows another saddle and demonstrates how to tighten the bolts to adjust the level of the saddle.</t>
  </si>
  <si>
    <t>She shows how to tighten the bolt to make sure the saddle fits snugly.</t>
  </si>
  <si>
    <t>v_P1Ve5WrfTb8</t>
  </si>
  <si>
    <t>A boy in grey throws a ball at a a kid on the other side of the court.</t>
  </si>
  <si>
    <t>A boy in blue does an extraordinary flip in the air after catching the ball and lands.</t>
  </si>
  <si>
    <t>He throws the ball back at the other kid after landing.</t>
  </si>
  <si>
    <t>They are being watched by a group of kids standing behind them.</t>
  </si>
  <si>
    <t>v_Cj3W6CW3Zbc</t>
  </si>
  <si>
    <t>Four men are working on the roof of a house.</t>
  </si>
  <si>
    <t>They are scraping the shingles off with shovels, knocking debris to the ground as they work.</t>
  </si>
  <si>
    <t>v_pYYA4rARL1Y</t>
  </si>
  <si>
    <t>We then see men spinning on the pommel horse with title screens clipped in between.</t>
  </si>
  <si>
    <t>We see a man throwing his legs over the pommel horse.</t>
  </si>
  <si>
    <t>We see a man in red spinning himself around the pommel horse quickly.</t>
  </si>
  <si>
    <t>A man in red and yellow spins fast on the pommel.</t>
  </si>
  <si>
    <t>We see a man dismount the pommel and throw his arms in the air.</t>
  </si>
  <si>
    <t>We then see the closing scenes.</t>
  </si>
  <si>
    <t>v_ZO8ValsY3rE</t>
  </si>
  <si>
    <t>A woman holds a box with UV light to light the handle of the refrigerator, her hand, the microwave oven and utensils.</t>
  </si>
  <si>
    <t>Then, the woman wash and dry her hands and light a hand with the UV light.</t>
  </si>
  <si>
    <t>After, the woman takes off her ring and wash and wash her hands with soap and rinse with water.</t>
  </si>
  <si>
    <t>v_Yjkz62cLVdQ</t>
  </si>
  <si>
    <t>A man holds clips against a bracket placed on a wooden desk.</t>
  </si>
  <si>
    <t>He welds the metal bracket.</t>
  </si>
  <si>
    <t>The man finishes welding and picks up a stick from the wooden desk.</t>
  </si>
  <si>
    <t>v_YVbMt3qsB3o</t>
  </si>
  <si>
    <t>A chubby man is standing outside in a field and throws a yellow medicine ball demonstrating exercising to strengthen athletes for shot put.</t>
  </si>
  <si>
    <t>The man is then pictured in a gym doing reps with the bar and then begins throwing a ball up against the tree.</t>
  </si>
  <si>
    <t>Another boy then begins throwing a bag of sand before the previous man comes back and starts using elliptical machines.</t>
  </si>
  <si>
    <t>Once finished,he returns back to a field and begins pulling the chain across the field and throwing kettle balls.</t>
  </si>
  <si>
    <t>v_KiE-fFIz5ic</t>
  </si>
  <si>
    <t>A man in a hat is standing outside talking.</t>
  </si>
  <si>
    <t>People are practicing pole vaulting on a blue mat.</t>
  </si>
  <si>
    <t>A person is jumping over hurdles on a track.</t>
  </si>
  <si>
    <t>People are laying on a blue mat stretching.</t>
  </si>
  <si>
    <t>v_WJwLjPDvLrY</t>
  </si>
  <si>
    <t>A group is on the beach, playing volleyball.</t>
  </si>
  <si>
    <t>The crowd cheers them on as they continue the competition.</t>
  </si>
  <si>
    <t>v_PiDMuIRtgZo</t>
  </si>
  <si>
    <t>We see men playing hockey in an ice rink.</t>
  </si>
  <si>
    <t>A player in blue goes behind the goal close to the camera.</t>
  </si>
  <si>
    <t>The hockey puck slips past the goalie and into the goal net.</t>
  </si>
  <si>
    <t>The goalie gets up off the ground.</t>
  </si>
  <si>
    <t>v_-lJS58hyo1c</t>
  </si>
  <si>
    <t>A lady walks to a barbell.</t>
  </si>
  <si>
    <t>She bends down and grabs the pole.</t>
  </si>
  <si>
    <t>The lady stands and lifts the weight over her head.</t>
  </si>
  <si>
    <t>The lady drops the barbell and smiles.</t>
  </si>
  <si>
    <t>v_KpoH4pBp9fg</t>
  </si>
  <si>
    <t>a woman is standing inside a dark kitchen, talking.</t>
  </si>
  <si>
    <t>She shows a cake cooling on a metal rack.</t>
  </si>
  <si>
    <t>She demonstrates how to mix the ingredients in a mixer, then bake the cake.</t>
  </si>
  <si>
    <t>When it is done, she turns it onto the rack to cool.</t>
  </si>
  <si>
    <t>v_n04zQqQI3wQ</t>
  </si>
  <si>
    <t>woman is with two kids in snow in a open land and they are on a inflatable sliding down a mountain.</t>
  </si>
  <si>
    <t>kids walks with the inflatable on their hands through the field and run to the mountain again.</t>
  </si>
  <si>
    <t>v_ciS5DtShxA8</t>
  </si>
  <si>
    <t>A young boy has on a black and white soccer jersey and is sitting down on the floor next to a bed and begins putting on a long black soccer sock.</t>
  </si>
  <si>
    <t>The young boy then reaches for his shin guard and puts it over his right leg and then folds his sock down over it.</t>
  </si>
  <si>
    <t>Once that is finished,he reaches over for his other sock and begins to do the same thing on the left leg.</t>
  </si>
  <si>
    <t>Finally,he moves to his cleats and grabs a pair of orange Adidas soccer cleats and ties them up.</t>
  </si>
  <si>
    <t>Everything is completed and the child sits criss-cross and begins talking to the camera.</t>
  </si>
  <si>
    <t>v_BpiExjaNwvI</t>
  </si>
  <si>
    <t>A close up zooms in on a screen.</t>
  </si>
  <si>
    <t>Several adults and kids are outdoors.</t>
  </si>
  <si>
    <t>The kids are riding dirt bikes in a competition.</t>
  </si>
  <si>
    <t>They are shown racing around a course and over hills and taking sharp turns.</t>
  </si>
  <si>
    <t>A boy on a bike stops at the camera, looking intently.</t>
  </si>
  <si>
    <t>v_cHHVpBYfwdU</t>
  </si>
  <si>
    <t>A man leans over the camera he has placed on a dog.</t>
  </si>
  <si>
    <t>The dog runs through different rooms of the house, then to the door and outside.</t>
  </si>
  <si>
    <t>They go for a walk outside with the people and other dogs.</t>
  </si>
  <si>
    <t>He returns home, and looks in his water bowl.</t>
  </si>
  <si>
    <t>v_VN-BUL75x5Y</t>
  </si>
  <si>
    <t>A woman sitting on the floor talks to the camera while petting a dog.</t>
  </si>
  <si>
    <t>The woman holds up some sort of tool while talking to the camera.</t>
  </si>
  <si>
    <t>The woman uses the tool to brush the dog while talking.</t>
  </si>
  <si>
    <t>The woman sets down the tool and pets the dog while talking to the camera.</t>
  </si>
  <si>
    <t>The woman talks to the camera about the tool.</t>
  </si>
  <si>
    <t>The dog and women get up from the ground.</t>
  </si>
  <si>
    <t>A sped up process of drawing an owl emblem is shown.</t>
  </si>
  <si>
    <t>v_M1dEZrQWeRY</t>
  </si>
  <si>
    <t>A skier uses a wind drone to propel him across a flat slope.</t>
  </si>
  <si>
    <t>The skier uses the wind drone to do a few passes on a flat area of a ski resort.</t>
  </si>
  <si>
    <t>The camera pans across the ski area and views of the surrounding mountains.</t>
  </si>
  <si>
    <t>The skier does a pass by on a large flat area going very fast.</t>
  </si>
  <si>
    <t>v_qJfhu80Ldgo</t>
  </si>
  <si>
    <t>A man squats down and lifts a bar of weights in a gym.</t>
  </si>
  <si>
    <t>He throws the bar down and it crashes into the floor and takes a deep breath.</t>
  </si>
  <si>
    <t>v_5T7vTuJmYeQ</t>
  </si>
  <si>
    <t>A child swings on monkey bars.</t>
  </si>
  <si>
    <t>The child dismounts from the monkey bars.</t>
  </si>
  <si>
    <t>The child walks towards the camera.</t>
  </si>
  <si>
    <t>v_k3nRbFeancA</t>
  </si>
  <si>
    <t>The video shows various clips of sumo wrestlers fighting in a ring while a referee and audience looks on.</t>
  </si>
  <si>
    <t>In the first clip, a much bigger wrestler wrestles a smaller man who ends up winning.</t>
  </si>
  <si>
    <t>The video continues with several other clips of wrestlers and how each wrestler wins the round.</t>
  </si>
  <si>
    <t>The video ends with a comedy commercial where a smaller sumo wrestler crawls under another very large one, and ends up stuck in his sumo outfit.</t>
  </si>
  <si>
    <t>v_QsRW8dj-F7M</t>
  </si>
  <si>
    <t>A mascot is seen running around a field as the camera pans around a large audience.</t>
  </si>
  <si>
    <t>Several mascots are seen holing sticks on a field walking around one another and leads into them chasing a ball.</t>
  </si>
  <si>
    <t>The group continues running around the field as the mascots continue to chase the ball one after the other.</t>
  </si>
  <si>
    <t>v_W5cGKWhOTOU</t>
  </si>
  <si>
    <t>There are 3 people at a store in a shoe section and there are two people on the ground trying on boots.</t>
  </si>
  <si>
    <t>The man on the ground removes his pink boot, throws it on the side and stands up smiling.</t>
  </si>
  <si>
    <t>The girl grabs his pink boot, tries it on her right foot and sits there modeling it while talking to the people around her.</t>
  </si>
  <si>
    <t>The girl then grabs the left boot, removes the stuff in it, tries it on and stands up to model them.</t>
  </si>
  <si>
    <t>The girl stands next to the guy and they smile, she gives a thumbs up and he hugs her from behind.</t>
  </si>
  <si>
    <t>v_wLcpMJv83XY</t>
  </si>
  <si>
    <t>A still image of a man dressed in an Under Armour shirt and a pair of slacks is standing in one spot in a bowling alley.</t>
  </si>
  <si>
    <t>The man finally moves and throws the ball down the Alley.</t>
  </si>
  <si>
    <t>After,an instant replay is shown of the video being chopped and screwed with a circle highlighting the ball before it is thrown down the lane.</t>
  </si>
  <si>
    <t>v_-3Ss9jSRbKk</t>
  </si>
  <si>
    <t>A woman demonstrates how to do sit ups, in a gym room, using a woman who is simulating the exercise as an example.</t>
  </si>
  <si>
    <t>A woman kneels on the hardwood floors of a gym room and talks to the camera.</t>
  </si>
  <si>
    <t>The camera pans out and another woman is revealed lying on her back on a gym mat as the woman kneeling above her continues to talk.</t>
  </si>
  <si>
    <t>The woman lying down demonstrates how to do a sit up and the other woman continues to talk at times touching the other woman's stomach.</t>
  </si>
  <si>
    <t>v_iFwmJi-I5sg</t>
  </si>
  <si>
    <t>A person is seen standing in the middle of a circle throwing a discuss off into the distance.</t>
  </si>
  <si>
    <t>The man walks back several times and is shown continuing to throw the object.</t>
  </si>
  <si>
    <t>The man continues to spin around while throwing the object off into the distance.</t>
  </si>
  <si>
    <t>v_FayB7ZswnAw</t>
  </si>
  <si>
    <t>two men are standing in a court room playing squash.</t>
  </si>
  <si>
    <t>man is wearing white shirt standing in a court room.</t>
  </si>
  <si>
    <t>men are standing in a court room behind transparent doors.</t>
  </si>
  <si>
    <t>v_ZZImcxqa1_w</t>
  </si>
  <si>
    <t>A little boy is standing outside on the sidewalk he has his arms behind his back holding something.</t>
  </si>
  <si>
    <t>Then out of nowhere is starts to spin the thing in his hand, it looks really dangerous.</t>
  </si>
  <si>
    <t>He starts to turn along with it when he catches a lot of speed.</t>
  </si>
  <si>
    <t>Then he suddenly loses control of it and he ends up falling to the ground.</t>
  </si>
  <si>
    <t>v_bDkSq9T55RI</t>
  </si>
  <si>
    <t>A man wearing a red shirt is decorating a Christmas tree.</t>
  </si>
  <si>
    <t>He is using white lights to wrap the tree around to decorate it.</t>
  </si>
  <si>
    <t>He goes around the tree several times.</t>
  </si>
  <si>
    <t>Then he takes a gold colored garland and wraps the tree.</t>
  </si>
  <si>
    <t>Then he turns the lights on to light up the tree.</t>
  </si>
  <si>
    <t>He then stands besides the tree, pointing to it after the lights turn on.</t>
  </si>
  <si>
    <t>v_nXD-q814KjI</t>
  </si>
  <si>
    <t>A man uses a hose to spray something vertically on a wooden wall.</t>
  </si>
  <si>
    <t>The man changes to spraying horizontally on the wall.</t>
  </si>
  <si>
    <t>The man manipulates the tip of the spray nozzle.</t>
  </si>
  <si>
    <t>v_AA46-AbEGdk</t>
  </si>
  <si>
    <t>There's a girl gymnast dressed in shiny blue leotards performing gymnastics on a horse bar in front of many spectators in a large gymnasium.</t>
  </si>
  <si>
    <t>She gets on the horse bar and begins to do front flips and back flips.</t>
  </si>
  <si>
    <t>Then she does twisted backs flip while landing securely back on the horse bar.</t>
  </si>
  <si>
    <t>She continues her gymnastic moves and then securely jumps off the horse bar and lands on the ground.</t>
  </si>
  <si>
    <t>After she gets off the bar, she goes and hugs her coach.</t>
  </si>
  <si>
    <t>Slow motion actions of her gymnastic moves are replayed to show how she landed back on the ground from the horse bar.</t>
  </si>
  <si>
    <t>Then the gymnast walks past the where the panel of judges are seated.</t>
  </si>
  <si>
    <t>v_NVNUT5iwLtw</t>
  </si>
  <si>
    <t>A woman is seen sitting on a rock and grabbing laundry out of a bucket.</t>
  </si>
  <si>
    <t>She then rubs down the clothes with a rag while smiling to the camera.</t>
  </si>
  <si>
    <t>She continues cleaning the cloth by hitting it on cement and washing it down with water.</t>
  </si>
  <si>
    <t>v_p8tlnMtsTf8</t>
  </si>
  <si>
    <t>A helicopter is seen driving over an ocean where people are seen surfing.</t>
  </si>
  <si>
    <t>Several shots are shown of people riding along the water and others sitting.</t>
  </si>
  <si>
    <t>The people continue riding along the water while the helicopter rides around.</t>
  </si>
  <si>
    <t>v_M9uQCTr2-r0</t>
  </si>
  <si>
    <t>Young boys are shown playing ping pong with one another in a large gymnasium serving one after the other.</t>
  </si>
  <si>
    <t>Another boy walks up to the table and starts playing with the other boys, which then turns into a two versus two game of Ping Pong.</t>
  </si>
  <si>
    <t>The boys take turns serving back and forth scoring points at random.</t>
  </si>
  <si>
    <t>The boy that was first shown is playing a third game now that is being kept score of by an official and scores the first 4 points.</t>
  </si>
  <si>
    <t>The boy is playing yet another tournament with a different child in Ping Pong and seems to possibly be falling behind a little in points.</t>
  </si>
  <si>
    <t>v_aQQr1ad0v1I</t>
  </si>
  <si>
    <t>A man is showing off his motorbike.</t>
  </si>
  <si>
    <t>He gives a small talk about his bike first.</t>
  </si>
  <si>
    <t>Then he drives his bike on the track.</t>
  </si>
  <si>
    <t>He then does quick demonstrations on how his bike moves and how it sits.</t>
  </si>
  <si>
    <t>He then talks more about his bike while sitting on his bike.</t>
  </si>
  <si>
    <t>He then drives around a flat dirt track while cutting a few times to his talks describing his techniques.</t>
  </si>
  <si>
    <t>He ends by talking about his bike some more.</t>
  </si>
  <si>
    <t>v_Ye3u6ujLEl0</t>
  </si>
  <si>
    <t>A swimmer puts on a pair of goggles getting ready.</t>
  </si>
  <si>
    <t>The swimmer pulls a muscle in the pool and jumps up onto the pool deck and stretches out his leg.</t>
  </si>
  <si>
    <t>A swimmer dives off from a board into the water with a splash.</t>
  </si>
  <si>
    <t>The athlete swims in a lane and pulls himself along with the float line.</t>
  </si>
  <si>
    <t>The swimmer swims underwater and pushes off the pool floor.</t>
  </si>
  <si>
    <t>The swimmer does a butterfly stroke in the pool lane.</t>
  </si>
  <si>
    <t>v_V1ntLwOfkyE</t>
  </si>
  <si>
    <t>A gymnast jumps onto a pummel horse.</t>
  </si>
  <si>
    <t>The gymnast performs many spins around the horse as he holds onto the two bars on the pummel horse.</t>
  </si>
  <si>
    <t>A couple of judges look on.</t>
  </si>
  <si>
    <t>The gymnast jumps off the pummel horse.</t>
  </si>
  <si>
    <t>v_hkpYSfc5Ewc</t>
  </si>
  <si>
    <t>A gymnast is seen jumping onto a set of uneven bars and performs a gymnastics routine in front of a large crowd.</t>
  </si>
  <si>
    <t>The man flips around the beams and ends with him jumping down with his arms up and waving to the crowd.</t>
  </si>
  <si>
    <t>v_Xag8E74bkpw</t>
  </si>
  <si>
    <t>A woman wearing a hat is seen sitting behind a large set of bongo drums.</t>
  </si>
  <si>
    <t>The woman plays on the drums continuously.</t>
  </si>
  <si>
    <t>The woman continues hitting the drums and ends by pointing to the camera and standing up.</t>
  </si>
  <si>
    <t>v_UOkpGU7NAag</t>
  </si>
  <si>
    <t>A girl is going across a set of monkey bars.</t>
  </si>
  <si>
    <t>She gets to the end and stands on a wooden plank.</t>
  </si>
  <si>
    <t>She then goes back across the monkey bars in the other direction.</t>
  </si>
  <si>
    <t>She goes to another part of the playground and jumps up and down.</t>
  </si>
  <si>
    <t>v_b-ex8bAnl5U</t>
  </si>
  <si>
    <t>man is in front of an automaic cashier and take some money of it, and go talk with some men in a room full of people.</t>
  </si>
  <si>
    <t>men are sittig in a blackjack table and are gambling in a casino and talking to each other while people is looking the game and walking around the table.</t>
  </si>
  <si>
    <t>dealing is spreading the cards and men fire up a tobacco.</t>
  </si>
  <si>
    <t>v_Jb8YAhQ6EMk</t>
  </si>
  <si>
    <t>A woman washes a pot with soapy water while standing with her back to the camera at the kitchen sink.</t>
  </si>
  <si>
    <t>The woman turns and talks to the camera while washing the pot and smiles a bit as the camera shakily catches the activity.</t>
  </si>
  <si>
    <t>The woman rinses the pot off and then turns and holds it up in the air, dripping water, making a scary face, as if she is going to attack the camera man with it, but then turns away from the camera man and toward the sink counter.</t>
  </si>
  <si>
    <t>v_csxC5H5uDb4</t>
  </si>
  <si>
    <t>Two individuals are in room painting and doing redecorating.</t>
  </si>
  <si>
    <t>Two men alternate going up and down on a ladder putting paste on the wall for the wall paper.</t>
  </si>
  <si>
    <t>These actions continue to take place until the whole wall is covered in white wall paper with large blue flowers on them as a girl sits down behind a row of books.</t>
  </si>
  <si>
    <t>v_02yDi9BaDO8</t>
  </si>
  <si>
    <t>A woman in a red shirt is standing in a room.</t>
  </si>
  <si>
    <t>She starts working out on a blue mat.</t>
  </si>
  <si>
    <t>She stops and talks to the camera.</t>
  </si>
  <si>
    <t>v_wBv1tu74S2E</t>
  </si>
  <si>
    <t>A gymnast stretches out and climbs onto a set of parallel double bars.</t>
  </si>
  <si>
    <t>The gymnast does a routine in a competition on the double bars with flips and turns.</t>
  </si>
  <si>
    <t>The gymnast dismounts from the equipment and lands on the mat.</t>
  </si>
  <si>
    <t>v_hxQhQsl-N1k</t>
  </si>
  <si>
    <t>A guy is half kneeing on a gym floor.</t>
  </si>
  <si>
    <t>The guy starts pressing a weight in one hand.</t>
  </si>
  <si>
    <t>v_MYRsm8m9mk4</t>
  </si>
  <si>
    <t>There are several men playing tug of war on a sandy ground that is surrounded by mountains.</t>
  </si>
  <si>
    <t>They continue pulling the rope with force.</t>
  </si>
  <si>
    <t>Several spectators are watching them and cheering them as they continue to play.</t>
  </si>
  <si>
    <t>The players continue to pull the rope with concentration.</t>
  </si>
  <si>
    <t>Finally the victorious team raises their hands up and cheer and dance around in a circle.</t>
  </si>
  <si>
    <t>v_NdFbQ0l3R9k</t>
  </si>
  <si>
    <t>A young preteen female is standing in the corner of a room talking.</t>
  </si>
  <si>
    <t>The girl is then shown in a sparkly leotard inside of a gymnasium.</t>
  </si>
  <si>
    <t>After,she hops on the balance beam and begins to do tricks before she flips off of the balance beam.</t>
  </si>
  <si>
    <t>She then retreats back to the camera,says a few brief words and waves bye.</t>
  </si>
  <si>
    <t>v_mbGDPga031E</t>
  </si>
  <si>
    <t>People play shuffleboard indoors and outdoors.</t>
  </si>
  <si>
    <t>A person observes when people plays shuffleboard in the street.</t>
  </si>
  <si>
    <t>A couple of old people play outdoor.</t>
  </si>
  <si>
    <t>Other people play shuffleboard pushing the balls in the triangle.</t>
  </si>
  <si>
    <t>v_T-rV3KKFOgg</t>
  </si>
  <si>
    <t>A man demonstrates how to wash the underbody of a car.</t>
  </si>
  <si>
    <t>A car is shown going through a commercial wash.</t>
  </si>
  <si>
    <t>They advertise their expertise in washing cars.</t>
  </si>
  <si>
    <t>v_K-PpTJmmjhA</t>
  </si>
  <si>
    <t>An old woman talks in a costume shop.</t>
  </si>
  <si>
    <t>Then she puts a garment on the iron board, sprays water and iron the collar.</t>
  </si>
  <si>
    <t>After, the woman irons the sleeves of the garment and the body part.</t>
  </si>
  <si>
    <t>Next, the woman shows the ironed garment.</t>
  </si>
  <si>
    <t>v_I_6Ok72DnJA</t>
  </si>
  <si>
    <t>A man is hanging wallpaper on a wall.</t>
  </si>
  <si>
    <t>He peels the sticky side from the backing paper.</t>
  </si>
  <si>
    <t>He is now applying the sticky side of the paper to the wall.</t>
  </si>
  <si>
    <t>He repeats this several more times on different parts of the wall.</t>
  </si>
  <si>
    <t>v_GoVqtUSnshE</t>
  </si>
  <si>
    <t>A news woman is speaking from a news room.</t>
  </si>
  <si>
    <t>Then we see breaking news videos on the screen.</t>
  </si>
  <si>
    <t>A woman is shown drinking some kind of fluid on a dare, and the women take turns drinking the liquid.</t>
  </si>
  <si>
    <t>v_cHdZ_dBVgDE</t>
  </si>
  <si>
    <t>A man and a woman dressed in black and red stand in the middle of a room surrounded by a very large amount of people sitting and watching them.</t>
  </si>
  <si>
    <t>They dance and dance working very well together.</t>
  </si>
  <si>
    <t>They twist and turn and even do all kinds of nice moves together.</t>
  </si>
  <si>
    <t>The man bends down and swings the female across his back where she flips over and ends the dance.</t>
  </si>
  <si>
    <t>v_hGUUlFxygmw</t>
  </si>
  <si>
    <t>A girl is sitting talking the the camera.</t>
  </si>
  <si>
    <t>The girl points the camera to the ground.</t>
  </si>
  <si>
    <t>A half manicure hand of another girl is seen on the floor.</t>
  </si>
  <si>
    <t>The first girl proceeds to polish the second girl's fingernails.</t>
  </si>
  <si>
    <t>v_WvpiEwrWmWE</t>
  </si>
  <si>
    <t>A cheerleader perform graciously using a rod that spins in her right hand.</t>
  </si>
  <si>
    <t>Then, she takes another rod to perform and spins at the same time the rods.</t>
  </si>
  <si>
    <t>After, the cheerleader put one rod on the floor and continue performing only with one rod.</t>
  </si>
  <si>
    <t>v_Fk0z6MeCV0I</t>
  </si>
  <si>
    <t>A class of kids are at outside at school dressed in uniforms with their teacher standing next to them.</t>
  </si>
  <si>
    <t>As they are in line,one girl is in the middle of a game of hop scotch,turns around,finishes and gets back in line.</t>
  </si>
  <si>
    <t>Once she is finishes,all of the other kids takes their turn one by one.</t>
  </si>
  <si>
    <t>v_YmGXXV6ztUo</t>
  </si>
  <si>
    <t>An Asian man wearing glasses, a green shirt with yellow stripes is sitting down talking in a room.</t>
  </si>
  <si>
    <t>Still shot pictures of a book appear, and the man appears talking again, and then more black text on a white screen shows up.</t>
  </si>
  <si>
    <t>The man appears again but this time he's outdoors and he's holding a very large archery and is showing the right and the wrong way to draw his string back.</t>
  </si>
  <si>
    <t>The man then moves a plant and stands so that he's standing in between two of them on the ground and he begins holding his archery, and showing different ways to hold it.</t>
  </si>
  <si>
    <t>The man appears again back indoors and sitting down talking.</t>
  </si>
  <si>
    <t>v_8l7SuE4_lCk</t>
  </si>
  <si>
    <t>A young man is seen looking into the camera holding a toothbrush.</t>
  </si>
  <si>
    <t>The man then begins brushing his teeth in several shots.</t>
  </si>
  <si>
    <t>He continues brushing his teeth and showing off his mouth in the end.</t>
  </si>
  <si>
    <t>v_CYj2ltxPNDo</t>
  </si>
  <si>
    <t>An athlete stands eagerly awaiting his turn while the judges prepare for his routine.</t>
  </si>
  <si>
    <t>A foreign commentator comments on his routine while he flips himself through the air.</t>
  </si>
  <si>
    <t>The man continues twirling and flipping on the bars for his gymnastic routine while audience members cheer loudly.</t>
  </si>
  <si>
    <t>The video slows down and shows the highlights of the routine in slow motion.</t>
  </si>
  <si>
    <t>The athlete rests on the couch while the judges finish their critiques.</t>
  </si>
  <si>
    <t>Eventually the man hears his score and smiles pleasingly.</t>
  </si>
  <si>
    <t>v_E1b_DF716Q4</t>
  </si>
  <si>
    <t>A young girl is seen sitting in front of the camera with several objects being held in front of her face.</t>
  </si>
  <si>
    <t>Two hand pulls a tube through next to her and the woman then puts the tubes in the girl's hair.</t>
  </si>
  <si>
    <t>In the end the woman takes the tubes out and the girl continues to look at the camera.</t>
  </si>
  <si>
    <t>v_ucR3VztMyeE</t>
  </si>
  <si>
    <t>A girl starts to climb the monkey bars.</t>
  </si>
  <si>
    <t>She starts climbing forward to the end.</t>
  </si>
  <si>
    <t>She has difficulties in the middle of the bars.</t>
  </si>
  <si>
    <t>A woman appears looking to help.</t>
  </si>
  <si>
    <t>She finishes the climb very happy.</t>
  </si>
  <si>
    <t>v_7hRls13HJow</t>
  </si>
  <si>
    <t>A person is filming a house and a dog walking into frame.</t>
  </si>
  <si>
    <t>A small girl is washing the floor with a mop and talking to the camera man.</t>
  </si>
  <si>
    <t>The camera man talks to the girl about cleaning and why she likes it.</t>
  </si>
  <si>
    <t>The girl finishes washing the floor.</t>
  </si>
  <si>
    <t>v_Ax8GCogz6Yg</t>
  </si>
  <si>
    <t>An introduction comes onto the screen for a video about a jump rope competition.</t>
  </si>
  <si>
    <t>One person is shown doing a set of jump rope tricks.</t>
  </si>
  <si>
    <t>Two people are then shown doing more jump rope tricks.</t>
  </si>
  <si>
    <t>Next, four people are shown doing jump rope tricks in the gymnasium.</t>
  </si>
  <si>
    <t>Next a variety of tricks are being shown done by several different people on the floor in the gymnasium.</t>
  </si>
  <si>
    <t>The video then ends with the closing credits.</t>
  </si>
  <si>
    <t>v_ANuV_fDgI54</t>
  </si>
  <si>
    <t>We see a red opening screen.</t>
  </si>
  <si>
    <t>Men pole vault in an outdoor field.</t>
  </si>
  <si>
    <t>A mans's face on the left of the screen moves back and out of the shot.</t>
  </si>
  <si>
    <t>The camera angle changes and we continue to watch the men pole vault.</t>
  </si>
  <si>
    <t>v_dzsSiqXxfpw</t>
  </si>
  <si>
    <t>A man is seen lecturing a crowd while holding several green Frisbees in his hand.</t>
  </si>
  <si>
    <t>After talking to the crowd he calls out and a dog runs out on the stage to him.</t>
  </si>
  <si>
    <t>Initially he starts to play with the dog and the dog kept trying to grab the mans frisbees,than the man throws the Frisbees on the ground and starts to play fetch with the dog.</t>
  </si>
  <si>
    <t>At one point the dog starts to jump off the mans back as he chases after Frisbees.</t>
  </si>
  <si>
    <t>Also at another point the man grabs on to a Frisbee at one end and a dog at the other end and he starts to spin the dog around.</t>
  </si>
  <si>
    <t>In the end the man performs a trick with the dog and makes him do a back flip and grabs him and takes him off the stage .</t>
  </si>
  <si>
    <t>v_-uICMT1yOcM</t>
  </si>
  <si>
    <t>A baby is sitting in a high chair.</t>
  </si>
  <si>
    <t>An ice cream pop goes into her mouth, and she chews a bite from it.</t>
  </si>
  <si>
    <t>She sticks out her tongue after every bite, licking at the air.</t>
  </si>
  <si>
    <t>v_FI_1dsErIXE</t>
  </si>
  <si>
    <t>A man holds a yellow canister as he clears a wood board.</t>
  </si>
  <si>
    <t>He sprays the wood with the yellow canister.</t>
  </si>
  <si>
    <t>He takes a rag and cleans the wood.</t>
  </si>
  <si>
    <t>He speaks as he showcases the wood and presses his fingers on the board.</t>
  </si>
  <si>
    <t>v_c6Cbq-WNq9M</t>
  </si>
  <si>
    <t>The exterior of a building is shown, including a waving American flag near the front door.</t>
  </si>
  <si>
    <t>A man appears and talks about a tree near the front of the building.</t>
  </si>
  <si>
    <t>He then demonstrates how to trim the tree, picking off branches at eye level and using a tool for taller branches.</t>
  </si>
  <si>
    <t>The company hat is then shown on the step, surrounded by leaves.</t>
  </si>
  <si>
    <t>v_mb2fWzNSob0</t>
  </si>
  <si>
    <t>At the center of sandy field, has the cows fighting at the center, while the audience are watching on the sides, sitting on the ground.</t>
  </si>
  <si>
    <t>Three men are supervising the bullfighting, the bull push each other with their horns.</t>
  </si>
  <si>
    <t>A man got off from his truck, the other man pulled the bull off of his truck, the bull are tied on a poles.</t>
  </si>
  <si>
    <t>Two men are holding each end of the rope as the black bull stumped on the ground.</t>
  </si>
  <si>
    <t>The bulls are fighting at the center of the field, and the people are watching, one bull ran towards the audience.</t>
  </si>
  <si>
    <t>v_80spFFIdnC4</t>
  </si>
  <si>
    <t>A view of a wide ocean taken from a boat appears and various men are shown doing different things on the boat on both the inside and the outside and include steering the wheel up deck, or sitting at computers monitoring things.</t>
  </si>
  <si>
    <t>A man sitting on the deck of the boat is talking to the camera while a man behind him is standing and the man beside that standing man is controlling the steering wheel of the boat.</t>
  </si>
  <si>
    <t>The focus change to another man on the boat and he is talking to the camera as well.</t>
  </si>
  <si>
    <t>v_2OEc8kPVn_Y</t>
  </si>
  <si>
    <t>An Asian woman is standing outside in a large field wearing a pink loose linen like outfit.</t>
  </si>
  <si>
    <t>She then puts her legs and hands out and begins to move like a ninja throughout the field.</t>
  </si>
  <si>
    <t>After she has moved left and right across the field,she then comes back to the middle of the field and stands still to complete her routine.</t>
  </si>
  <si>
    <t>v_kRBqJhxfWHc</t>
  </si>
  <si>
    <t>A woman in an orange shirt is drinking a glass of beer.</t>
  </si>
  <si>
    <t>The beer is pouring down the front of her shirt.</t>
  </si>
  <si>
    <t>People behind her are dancing.</t>
  </si>
  <si>
    <t>She finishes the drink and sets it down.</t>
  </si>
  <si>
    <t>v_4ZyPBOe4P0U</t>
  </si>
  <si>
    <t>A man in a tan shirt is talking.</t>
  </si>
  <si>
    <t>He sets his tennis racket down on the ground.</t>
  </si>
  <si>
    <t>Another man runs around on a tennis court.</t>
  </si>
  <si>
    <t>v_bH7ORYDcI7A</t>
  </si>
  <si>
    <t>A black and white dog is standing near the main door of a house as he listens to the sound of helicopter.</t>
  </si>
  <si>
    <t>Then main door then opens and the dog steps back.</t>
  </si>
  <si>
    <t>There are two dog trainers in an enclosed room training a dog to jump and catch several Frisbee.</t>
  </si>
  <si>
    <t>the male trainer throws the Frisbee at the dog and the dog jumps and fetches it for him.</t>
  </si>
  <si>
    <t>The trainer continuously throws the Frisbee and dog jumps high up and grabs the Frisbee every time.</t>
  </si>
  <si>
    <t>There are several different trainers shown training and teaching their dogs tricks.</t>
  </si>
  <si>
    <t>v_rScqKu8Mwhk</t>
  </si>
  <si>
    <t>An introduction for a vacuum demo is shown on the screen.</t>
  </si>
  <si>
    <t>The video shows the vacuum being tested against several different challenges by a boy and his father.</t>
  </si>
  <si>
    <t>The video ends with a screen showing the logo for the vacuum company.</t>
  </si>
  <si>
    <t>v_7VbXyfF3kEw</t>
  </si>
  <si>
    <t>Two women wearing matching outfits are on their microphones and kind of half watching a boy play with a rubix cube.</t>
  </si>
  <si>
    <t>The boy is solving the cube pretty quickly the girl seems pretty shocked.</t>
  </si>
  <si>
    <t>Then a group of people start trying to a puzzle to see who is the fastest.</t>
  </si>
  <si>
    <t>Another boy in a blue shirt come up and starts to solve it and when he does the girls give hime a prize.</t>
  </si>
  <si>
    <t>v_7lwrP2ma2TU</t>
  </si>
  <si>
    <t>A person observes an old samurai temple.</t>
  </si>
  <si>
    <t>A man holds an arch and shoots arrows, while men sit on the road sorts arrows.</t>
  </si>
  <si>
    <t>Three small boards are fix on the ground, suddenly and arrow hits one board.</t>
  </si>
  <si>
    <t>People gather on a road, then a old man gives a white box to a man dressed in white clothes.</t>
  </si>
  <si>
    <t>v_gi0wjdtxaC4</t>
  </si>
  <si>
    <t>A boy does cartwheels and back hand springs on the grass as a friend watches and records.</t>
  </si>
  <si>
    <t>He stops for a moment and takes a break then continues to do more flips.</t>
  </si>
  <si>
    <t>Another guy comes onto the screen and attempts to do some flips on the grass.</t>
  </si>
  <si>
    <t>v_ru4NMIVZqrg</t>
  </si>
  <si>
    <t>A girl walks out of a room and down a hall.</t>
  </si>
  <si>
    <t>She puts down her duffel bag before lying down on a table.</t>
  </si>
  <si>
    <t>Someone hands her a cup and she drinks it, then they work on tattooing her tongue.</t>
  </si>
  <si>
    <t>A rod is inserted into her tonue and clipped, creating a piercing.</t>
  </si>
  <si>
    <t>She sticks out her tongue at the camera, showing off her piercing.</t>
  </si>
  <si>
    <t>v_r09mVf2dQnk</t>
  </si>
  <si>
    <t>A custodian sprays the counter of a sink with a spray bottle.</t>
  </si>
  <si>
    <t>The worker uses a brush to clean out the sink.</t>
  </si>
  <si>
    <t>The worker uses a hand towel to clean out the liquid in the sink.</t>
  </si>
  <si>
    <t>v_xww6n1FoJIM</t>
  </si>
  <si>
    <t>A man is talking about what is going on in the TV behind him as a news story.</t>
  </si>
  <si>
    <t>A group of people are in the field playing a game running all around.</t>
  </si>
  <si>
    <t>Many of the players are able to have a chance to speak about the team and stuff.</t>
  </si>
  <si>
    <t>They show the practice and the players and then they go back to the news anchors who continue to talk a little bit more about it.</t>
  </si>
  <si>
    <t>v_8TqqLqBb3sk</t>
  </si>
  <si>
    <t>A woman is standing in a kitchen while talking.</t>
  </si>
  <si>
    <t>She shows a bag, pushing on it with her fist.</t>
  </si>
  <si>
    <t>She closes it up, and shows how it stays in shape.</t>
  </si>
  <si>
    <t>v__cU5aISTDBo</t>
  </si>
  <si>
    <t>A man picks up a long pole and starts running down a track.</t>
  </si>
  <si>
    <t>He jumps over a high bar and lands on a mat.</t>
  </si>
  <si>
    <t>v_ij87GXkcdho</t>
  </si>
  <si>
    <t>Several people are seen riding on exercise equipment while speaking to the camera.</t>
  </si>
  <si>
    <t>A man is seen speaking to the camera while more shots of the equipment are shown.</t>
  </si>
  <si>
    <t>People move all around the machine and lead with the man speaking more and showing how to adjust the machine.</t>
  </si>
  <si>
    <t>v_3FUVKpQA6IY</t>
  </si>
  <si>
    <t>Some people are playing beer bong having a good time, the man throws fist and he makes it into the girls cup.</t>
  </si>
  <si>
    <t>She drinks her drink and then wets her ball in water before throwing her ball.</t>
  </si>
  <si>
    <t>Then, she takes a seat and the other guy takes his turn.</t>
  </si>
  <si>
    <t>Then it's the girl on the other teams turn, they keep taking their turns and drinking away, having a good time.</t>
  </si>
  <si>
    <t>v_IytPbGtfo14</t>
  </si>
  <si>
    <t>We see a lady behind a bar talking.</t>
  </si>
  <si>
    <t>The lady pours ice in glass.</t>
  </si>
  <si>
    <t>The lady pours three shots of liquor into a cup.</t>
  </si>
  <si>
    <t>The lady pours other stuff in and shakes it.</t>
  </si>
  <si>
    <t>The lady pours the pours the drink into a glass.</t>
  </si>
  <si>
    <t>The lady adds some red stuff.</t>
  </si>
  <si>
    <t>The lady holds the glass and smiles.</t>
  </si>
  <si>
    <t>v_hiz0rH1bO7k</t>
  </si>
  <si>
    <t>kids are playing hurling in a large green field.</t>
  </si>
  <si>
    <t>kids are sanding al in front of the goal to make a free shot.</t>
  </si>
  <si>
    <t>kids are posing for a picture in the green field.</t>
  </si>
  <si>
    <t>v_J7LhH4IKvnM</t>
  </si>
  <si>
    <t>A large dog is standing in a bath tub.</t>
  </si>
  <si>
    <t>A woman in a pink shirt is scrubbing the dog with soap.</t>
  </si>
  <si>
    <t>She then starts washing the dog with a hose.</t>
  </si>
  <si>
    <t>v_bW5HfDWUP3U</t>
  </si>
  <si>
    <t>A woman is sitting on the floor with her shoes off.</t>
  </si>
  <si>
    <t>The woman puts one shoe on.</t>
  </si>
  <si>
    <t>Something is thrown at the woman and she attempts to catch it.</t>
  </si>
  <si>
    <t>The camera briefly shifts right to show another individual.</t>
  </si>
  <si>
    <t>The camera returns to the woman still putting the shoe on.</t>
  </si>
  <si>
    <t>The camera shifts right to several individuals in the room, waiting for the woman to put her shoes on.</t>
  </si>
  <si>
    <t>The camera shifts back to the woman, still putting her shoe on.</t>
  </si>
  <si>
    <t>The woman begins putting the other shoe on.</t>
  </si>
  <si>
    <t>v_Z2b84JjYdtw</t>
  </si>
  <si>
    <t>A slide of pictures shows performing a marching band and girls moving around.</t>
  </si>
  <si>
    <t>Then, marching bands play and girls perform holding flags.</t>
  </si>
  <si>
    <t>v_uGVkH6PjXLs</t>
  </si>
  <si>
    <t>A young lady is standing in a field of dirt with an ax in her hand attempting to cut down a log.</t>
  </si>
  <si>
    <t>The girl is not successful in her first attempt so she picks the log back up and tries again.</t>
  </si>
  <si>
    <t>v_giN7cA0EmLs</t>
  </si>
  <si>
    <t>A group of people are seen riding around in tubes while pushing themselves down a diver.</t>
  </si>
  <si>
    <t>The people continue to ride in the tubes down the river while looking towards the camera as well as laughing and smiling.</t>
  </si>
  <si>
    <t>v_3LrLgh2rlAM</t>
  </si>
  <si>
    <t>A man wearing black is in a gym.</t>
  </si>
  <si>
    <t>He picks up some heavy barbells.</t>
  </si>
  <si>
    <t>He lifts the barbells over his head.</t>
  </si>
  <si>
    <t>He then drops the barbells onto the ground.</t>
  </si>
  <si>
    <t>v_iRp-pWnPoYw</t>
  </si>
  <si>
    <t>A man walks out of a building and starts skateboarding.</t>
  </si>
  <si>
    <t>He is skateboarding in between cars.</t>
  </si>
  <si>
    <t>He walks into a building and sits down at a computer.</t>
  </si>
  <si>
    <t>v_23-lat1nVJg</t>
  </si>
  <si>
    <t>We see a lady knitting and singing.</t>
  </si>
  <si>
    <t>We then see a ad for a beer.</t>
  </si>
  <si>
    <t>v_Vk-aKj0R65o</t>
  </si>
  <si>
    <t>Two people are in a room, wearing fencing equipment.</t>
  </si>
  <si>
    <t>They fight with swords, passing back and forth as they jab at each other.</t>
  </si>
  <si>
    <t>v_arfBwR8qgPw</t>
  </si>
  <si>
    <t>a camera shows a group of people sitting around a gymnasium floor with a few standing and one crossing his arms.</t>
  </si>
  <si>
    <t>Suddenly a student comes into frame and jumps over a pole into a mat.</t>
  </si>
  <si>
    <t>v_Cb_R59_-0zU</t>
  </si>
  <si>
    <t>A man starts doing different things such as sneezing,cooking,using the restroom,and washing his face indicating when to wash your hands.</t>
  </si>
  <si>
    <t>A female then comes along and walks to a sink in the kitchen and begins to lather her hands.</t>
  </si>
  <si>
    <t>She then turns on the faucet and rinses her hands,dries them,and puts the napkin in the trash can.</t>
  </si>
  <si>
    <t>v_jpSbO4LrEnc</t>
  </si>
  <si>
    <t>A person is seen wearing a back pack and riding away from the camera on roller blades.</t>
  </si>
  <si>
    <t>The person then rides back and hangs onto a sign swinging himself around then smiling at the camera.</t>
  </si>
  <si>
    <t>v_hhN1647pP88</t>
  </si>
  <si>
    <t>a man is wearing a safety vest.</t>
  </si>
  <si>
    <t>He is working with tools and sand.</t>
  </si>
  <si>
    <t>He uses the sand to spread evenly against the walls.</t>
  </si>
  <si>
    <t>v_FCYdwCXRNVI</t>
  </si>
  <si>
    <t>We see a person welding in the dark.</t>
  </si>
  <si>
    <t>The person pauses and adjusts his helmet.</t>
  </si>
  <si>
    <t>The man lifts his helmet briefly.</t>
  </si>
  <si>
    <t>The man lifts and lowers his helmet.</t>
  </si>
  <si>
    <t>the man looks out from under his helmet.</t>
  </si>
  <si>
    <t>The man finishes and lifts his helmet.</t>
  </si>
  <si>
    <t>v_QLVgy-1ydr0</t>
  </si>
  <si>
    <t>A male attaches a hollow stick on a bull whom chases him.</t>
  </si>
  <si>
    <t>A guy messes with a bull.</t>
  </si>
  <si>
    <t>A bull pushes a man down.</t>
  </si>
  <si>
    <t>The audience claps while standing.</t>
  </si>
  <si>
    <t>The bull is lured into a pen and the gates are close.</t>
  </si>
  <si>
    <t>The male gives a thumbs up and smiles.</t>
  </si>
  <si>
    <t>A male attaches two hollow sticks on a bull and runs off.</t>
  </si>
  <si>
    <t>The bull tackles the male.</t>
  </si>
  <si>
    <t>The male gets up and his face is bloody.</t>
  </si>
  <si>
    <t>People help the male and carry him away.</t>
  </si>
  <si>
    <t>The male leaves a black shoe behind.</t>
  </si>
  <si>
    <t>People discuss in a circle.</t>
  </si>
  <si>
    <t>The man nods his head.</t>
  </si>
  <si>
    <t>People walk off the rodeo dirt and the man covers his nose.</t>
  </si>
  <si>
    <t>v_fZ_CmvF-_No</t>
  </si>
  <si>
    <t>A team of competition cheerleaders come running out into the field and get into formation.</t>
  </si>
  <si>
    <t>The girls squat down and they begin to do their cheer which consists of several stunts,tricks,and jumps across the mat.</t>
  </si>
  <si>
    <t>Once they are finished,the girls end in a stunt and the stunt man runs out to the group.</t>
  </si>
  <si>
    <t>v_2cUJTeArPsI</t>
  </si>
  <si>
    <t>little kid is hanging from a pole in a playground.</t>
  </si>
  <si>
    <t>playground is shown in a dusty field in a big park.</t>
  </si>
  <si>
    <t>little kid is wearng pink shirt and is hanging from a side to side.</t>
  </si>
  <si>
    <t>v_0UcBldDI0RA</t>
  </si>
  <si>
    <t>Joe Morin from Titan alloy is talking about welding aluminum.</t>
  </si>
  <si>
    <t>He is doing a tutorial on how to fix aluminum.</t>
  </si>
  <si>
    <t>He shows a new product called Nova, which is an electrode for cleaning dirty aluminum.</t>
  </si>
  <si>
    <t>He shows two aluminum plates that are joined together for demonstration purposes.</t>
  </si>
  <si>
    <t>He takes the Nova rod and shows how he can weld the two pieces together.</t>
  </si>
  <si>
    <t>He begins welding the two plates of aluminum.</t>
  </si>
  <si>
    <t>Then he hits the plates with a hammer and scrubs off the dust.</t>
  </si>
  <si>
    <t>He shows the back side of the plates and how it is welded together.</t>
  </si>
  <si>
    <t>v_EzQL-i_MTdU</t>
  </si>
  <si>
    <t>A man at a professional sports event, lifts a large and heavy weight using knees, back and arm strength while a woman in a suit watches from the sidelines.</t>
  </si>
  <si>
    <t>A man wearing a "USA" shirt, or team uniform approaches a two sided weight as a woman watches from the side near a door.</t>
  </si>
  <si>
    <t>The man lifts the weight and the camera shows the process in slow motion.</t>
  </si>
  <si>
    <t>The man lifts the weight over his head and then drops it to mid body before letting it fall to the floor, at which he point he waives at an unseen audience, all while the woman on the sideline continues to observe.</t>
  </si>
  <si>
    <t>v_b1PAqOmflgI</t>
  </si>
  <si>
    <t>A boy in a blue t-shirt bounces two basketballs in a gym while blocking another basketball player and making a goal with the ball.</t>
  </si>
  <si>
    <t>A boy bounces two basketballs between his legs.</t>
  </si>
  <si>
    <t>Another basketball player approaches him and tries to take the ball from him.</t>
  </si>
  <si>
    <t>The player in the blue shirt blocks him and makes the goal, and then proceeds to do it again, twice.</t>
  </si>
  <si>
    <t>v_OLUOk4xfYWE</t>
  </si>
  <si>
    <t>man is playing piano with a lot of people gathered around him.</t>
  </si>
  <si>
    <t>man is holding a cellphone and is recording the man in the piano.</t>
  </si>
  <si>
    <t>v_HBJzxWj7CaY</t>
  </si>
  <si>
    <t>A man stands in front of the camera speaking and various trips of people and sites are shown.</t>
  </si>
  <si>
    <t>Another man is interviewed followed by several more shots of the area.</t>
  </si>
  <si>
    <t>A panel of people speak to one another and people get ready for a race.</t>
  </si>
  <si>
    <t>Dozens of people line up and begin swimming in the ocean to race.</t>
  </si>
  <si>
    <t>Many more people are interviewed while the race continues and many people watch and discuss the events.</t>
  </si>
  <si>
    <t>v_pf9u7M6vafU</t>
  </si>
  <si>
    <t>A young girl is seen sitting on a bed with two knitting needles and thread in her hands.</t>
  </si>
  <si>
    <t>The camera pans around her and watches her knit while she speaks and looks off into the distance.</t>
  </si>
  <si>
    <t>v_2U0vMYnC49c</t>
  </si>
  <si>
    <t>A boy in red jacket holds a window scraper tool and remove snow from a car windshield.</t>
  </si>
  <si>
    <t>The boy turns the tool and uses the edge corner edge briefly.</t>
  </si>
  <si>
    <t>The boy continues to scrape the windshield as before with the broad side of the tool.</t>
  </si>
  <si>
    <t>v_0GpNcvAVWVg</t>
  </si>
  <si>
    <t>We see the colorful title card.</t>
  </si>
  <si>
    <t>We see kids playing at the playground.</t>
  </si>
  <si>
    <t>The boy gets off the swing and we follow him to the slide.</t>
  </si>
  <si>
    <t>The boy finishes sliding and goes to a different part of the park and plays around.</t>
  </si>
  <si>
    <t>The boy slides and falls on the bridge before sliding down.</t>
  </si>
  <si>
    <t>He plays with the large swing with another kid.</t>
  </si>
  <si>
    <t>We see the end screen.</t>
  </si>
  <si>
    <t>v_hgpekgU915k</t>
  </si>
  <si>
    <t>A person is holding someone on their shoulders.</t>
  </si>
  <si>
    <t>They spin around several times and fall over onto the floor.</t>
  </si>
  <si>
    <t>The man gets up and sits on the bed.</t>
  </si>
  <si>
    <t>v_PvrozrgcGf0</t>
  </si>
  <si>
    <t>These girls are shown kneeling down on the floor and playing dress up One girl put's chap stick on her lips, cheeks, forehead, and under her eyes.</t>
  </si>
  <si>
    <t>Then another one puts a little makeup on the top of her eyes.</t>
  </si>
  <si>
    <t>v_e5XATG2IK6Q</t>
  </si>
  <si>
    <t>A young child is seen standing before a car holding a rag and looking at the camera.</t>
  </si>
  <si>
    <t>The boy uses the rag all over the car while the camera follows his movements.</t>
  </si>
  <si>
    <t>He continues moving around the car while another man sprays a hose and the boy wipes it down.</t>
  </si>
  <si>
    <t>v_JXucFXh58VE</t>
  </si>
  <si>
    <t>Several people are seen drilling holes into the ice while looking down and speaking to the camera.</t>
  </si>
  <si>
    <t>Many pictures are shown of the people fishing as well as pulling fish out of a hole.</t>
  </si>
  <si>
    <t>More people sit by the holes and continue to pull out fish.</t>
  </si>
  <si>
    <t>v_lV7tpgelpAY</t>
  </si>
  <si>
    <t>A group of people are on an obstacle course together.</t>
  </si>
  <si>
    <t>They are hiding behind the obstacles and shooting at each other with paint guns.</t>
  </si>
  <si>
    <t>They run around, then gather and hug when they are done.</t>
  </si>
  <si>
    <t>v_T8P52q1gCNA</t>
  </si>
  <si>
    <t>Ingredients are mixed together in a silver bowl.</t>
  </si>
  <si>
    <t>It is then placed on a cookie sheet.</t>
  </si>
  <si>
    <t>The cooked food is then shown and broken in half.</t>
  </si>
  <si>
    <t>v_kRVmpJILmjo</t>
  </si>
  <si>
    <t>A field is shown along with some mountains as a person begins driving down a road.</t>
  </si>
  <si>
    <t>After,men are shown and they get out and begin skateboarding down a road in the country.</t>
  </si>
  <si>
    <t>As the continue,a large hay stand is in the middle of the road and they all pass through it and they finish skating down the road.</t>
  </si>
  <si>
    <t>v_LihSTWbJZJo</t>
  </si>
  <si>
    <t>A pile of trees are shown blowing outside on a cobblestone path outside of a building.</t>
  </si>
  <si>
    <t>As the leaves continue to blow a young boy walks into the scene clearing the path with his leaf blower.</t>
  </si>
  <si>
    <t>v_LI3wIHFQkAk</t>
  </si>
  <si>
    <t>A man in a suit plays a flute on stage in front of a man playing a piano.</t>
  </si>
  <si>
    <t>They finish playing and the man playing the piano stands up.</t>
  </si>
  <si>
    <t>v_zc7_D9RiOY0</t>
  </si>
  <si>
    <t>A scuba diver is under the water wearing oxygen in he mouth.</t>
  </si>
  <si>
    <t>The diver is holding his eye mask, and put it on.</t>
  </si>
  <si>
    <t>Another scuba diver took off his eye masks, while behind him are other scuba divers swimming, then he put back is masked on and give an okay sign with his fingers.</t>
  </si>
  <si>
    <t>v_XgJ6iiK-gQo</t>
  </si>
  <si>
    <t>A man is hedging a bush in a yard.</t>
  </si>
  <si>
    <t>He cuts the thick brush up and down.</t>
  </si>
  <si>
    <t>He finishes the hedge, showing off his skills.</t>
  </si>
  <si>
    <t>v_LXH96dFBVYk</t>
  </si>
  <si>
    <t>A bulls runs in the street goring people and throwing them to the floor, while the bulls is attached to a rope.</t>
  </si>
  <si>
    <t>The bull enters a home, then the bull continues goring people in the street.</t>
  </si>
  <si>
    <t>The bull enters a corral and attack a person behind the fence, then the bull continues fiercely goring people in the street.</t>
  </si>
  <si>
    <t>A person pet the bull through a window, after the bull clash with another bull that falls on the ground.</t>
  </si>
  <si>
    <t>The bull attacks a dog sit on front a door.</t>
  </si>
  <si>
    <t>The bull gores people and also attacks people on the sidewalk.</t>
  </si>
  <si>
    <t>The bull continues goring people's behind.</t>
  </si>
  <si>
    <t>v__Ga4HoMl6yM</t>
  </si>
  <si>
    <t>First the man walks the blindfolded woman near the pinata and she starts swinging the broom to hit it.</t>
  </si>
  <si>
    <t>But she misses a few times because the pinata moves up and down in the air.</t>
  </si>
  <si>
    <t>After a while of trying, she hits the string the pinata is hanging from and knocks the pinata down, but has barely gotten any candy out.</t>
  </si>
  <si>
    <t>v_DHWmzuAWxLM</t>
  </si>
  <si>
    <t>A small group of people seen sitting in the water followed by one riding behind a helicopter on a board and a woman speaking to the camera.</t>
  </si>
  <si>
    <t>The man continues to ride and then is seen up in the air with the helicopter and the pilots waving.</t>
  </si>
  <si>
    <t>The man then lets go of the helicopter, riding down on a parachute and landing safely back into the water.</t>
  </si>
  <si>
    <t>The man then lays down while his shot is shown again and the woman speaks to him.</t>
  </si>
  <si>
    <t>v_5Vd6PEUWo64</t>
  </si>
  <si>
    <t>Two women are standing on a beach, wearing bikinis and holding a surf board.</t>
  </si>
  <si>
    <t>They are then shown walking onto the beach and posing for pictures in between surfing on the waves.</t>
  </si>
  <si>
    <t>They show how to do various surfing moves.</t>
  </si>
  <si>
    <t>They are then shown on the beach, sitting down as they talk.</t>
  </si>
  <si>
    <t>v_WVkOtMX9Gg8</t>
  </si>
  <si>
    <t>Several men are seen hosting a news segment that leads into clips of people playing a game together and arguing with one another.</t>
  </si>
  <si>
    <t>More shots of people playing are shown as well as people celebrating and walking away.</t>
  </si>
  <si>
    <t>More shots are shown of the hosts speaking to one another and people hitting the ball and walking away.</t>
  </si>
  <si>
    <t>v_2RxbcK90TeA</t>
  </si>
  <si>
    <t>A woman and one other person paddle in an orange canoe in a calm body of water surrounded by mountains, trees, and bushes.</t>
  </si>
  <si>
    <t>The woman is at the front of the canoe paddling and the other person, who is wearing a face covering hat, sits behind the woman.</t>
  </si>
  <si>
    <t>The two people paddle from the left and pass a line of bushes in front of a mountain.</t>
  </si>
  <si>
    <t>The two people then paddle further away from the mountain and closer to the middle of the body of water.</t>
  </si>
  <si>
    <t>v_vcE8e-fQBhs</t>
  </si>
  <si>
    <t>The video leads into several shots of people performing impressing jumps and flips off of a high dive.</t>
  </si>
  <si>
    <t>More and more people jump off the various heights of the dives and two are shown at the same time in the end.</t>
  </si>
  <si>
    <t>v_8O1cLqQrn4o</t>
  </si>
  <si>
    <t>A man is seen speaking to the camera while man people stand around behind him and practice.</t>
  </si>
  <si>
    <t>The men hit the badminton back and fourth while the older gentlemen continues to speak and point around the court.</t>
  </si>
  <si>
    <t>v_SmBEf-g82Ew</t>
  </si>
  <si>
    <t>A close up of tools and objects are shown laid out leading into several clips of a mean measuring a wall and laying plaster down on it.</t>
  </si>
  <si>
    <t>The man shows how to make plaster while transitioning with him making plaster and continues to show more clips of him laying it down.</t>
  </si>
  <si>
    <t>v_mTsEJFP3W1A</t>
  </si>
  <si>
    <t>A bicycle is shown in a room leaning up against a brown table.</t>
  </si>
  <si>
    <t>A person then walks into the room and starts to take pieces off of the bicycle.</t>
  </si>
  <si>
    <t>The pieces are then added back on the bike and tightened around the wheel.</t>
  </si>
  <si>
    <t>v_iHQ-Kg4Fms8</t>
  </si>
  <si>
    <t>A man stand in the porch of a house looks around and smile.</t>
  </si>
  <si>
    <t>Then, the man grabs a cup and drinks, after he leaves.</t>
  </si>
  <si>
    <t>v_i_Fs0Qrtu90</t>
  </si>
  <si>
    <t>A woman touched a black phone, and a screen of purple capsule like bacteria showed up.</t>
  </si>
  <si>
    <t>The person put back the phone, and started typing on the black keyboard.</t>
  </si>
  <si>
    <t>The bacteria shot is put in the scene.</t>
  </si>
  <si>
    <t>The woman put her hand on the mouse.</t>
  </si>
  <si>
    <t>She put her hand on the wooden desktop.</t>
  </si>
  <si>
    <t>The woman got up and walk towards the hallway.</t>
  </si>
  <si>
    <t>The woman saw a man and shake his hand.</t>
  </si>
  <si>
    <t>The woman went to the bathroom.</t>
  </si>
  <si>
    <t>The woman took off her ring, wash her hand, got home soap and rub it on her hand thoroughly and rinse it.</t>
  </si>
  <si>
    <t>The woman sneeze on her hand.</t>
  </si>
  <si>
    <t>She walks towards her office, put her hand on the desk and phone.</t>
  </si>
  <si>
    <t>v_qqLiKDMtps8</t>
  </si>
  <si>
    <t>These two people shown here are riding their bikes over snowy humps outside.</t>
  </si>
  <si>
    <t>They've rode over dirt humps.</t>
  </si>
  <si>
    <t>They've also rode over sand humps in the building and other humps in a race.</t>
  </si>
  <si>
    <t>v_V3Sz4WWJ2_M</t>
  </si>
  <si>
    <t>A man is seen holding up objects while speaking to a woman and rubbing the object along the wall.</t>
  </si>
  <si>
    <t>He then dips paper in water and begins hanging it up on the walls.</t>
  </si>
  <si>
    <t>He holds up a spray bottle to spray the walls while the others help.</t>
  </si>
  <si>
    <t>The people check the wall and take the paper off followed taking the actual wallpaper off and rubbing the wall.</t>
  </si>
  <si>
    <t>v_3I6LMFdA2lc</t>
  </si>
  <si>
    <t>A baby is shown laying in bed while a comb gently brushes it's hair.</t>
  </si>
  <si>
    <t>The baby eventually smiling while the hand continues to brush the baby's head.</t>
  </si>
  <si>
    <t>The baby gently closes it's eyes and yawns while the brush continues to comb.</t>
  </si>
  <si>
    <t>v_g4vyzwiJYWw</t>
  </si>
  <si>
    <t>A woman demonstrates how to wash the face by washing her face in sink.</t>
  </si>
  <si>
    <t>A woman stands over a sink and splashes water on her face.</t>
  </si>
  <si>
    <t>The woman then works up a lather with liquid soap she has poured onto her hands.</t>
  </si>
  <si>
    <t>The woman then washes her face in circular motions the woman then used a towel to dry her face.</t>
  </si>
  <si>
    <t>v_Ti14bsS3RtU</t>
  </si>
  <si>
    <t>A roofing commercial demonstrates how to fix a slate roof on a house.</t>
  </si>
  <si>
    <t>A man cuts parts on a folding table outside and then installs a slate on a roof using power tools and tools from his tool belt.</t>
  </si>
  <si>
    <t>The man installs copper pieces to the slate roof that protrude from the roof.</t>
  </si>
  <si>
    <t>The man then cuts a copper pipe and does some soldering to the edges of a hole in the copper pipe before the camera cuts again to the roof and then a marketing graphic.</t>
  </si>
  <si>
    <t>v_GBNj2k2OVGo</t>
  </si>
  <si>
    <t>A man with saxophone is playing at the center of the park while a woman is sitting by the fountain.</t>
  </si>
  <si>
    <t>The man is playing the saxophone.</t>
  </si>
  <si>
    <t>Behind him are people lining up at the atm.</t>
  </si>
  <si>
    <t>The camera came closer to the gold saxophone.</t>
  </si>
  <si>
    <t>The man continue playing while people walking past him.</t>
  </si>
  <si>
    <t>The man blow so hard on his saxophone.</t>
  </si>
  <si>
    <t>A white bird standing behind the man.</t>
  </si>
  <si>
    <t>v_7HKWppcWgeY</t>
  </si>
  <si>
    <t>A man is standing next to a bicycle.</t>
  </si>
  <si>
    <t>He is holding a new tube for a tire.</t>
  </si>
  <si>
    <t>He grabs an air pump and attaches it to the tire.</t>
  </si>
  <si>
    <t>He pumps the tire with air.</t>
  </si>
  <si>
    <t>He attaches the pump to the flat tire and pumps it up.</t>
  </si>
  <si>
    <t>v_OO3NO29L50U</t>
  </si>
  <si>
    <t>A person's hand is shown sticking a pen into some water followed by a bit of nail polish.</t>
  </si>
  <si>
    <t>The water changes colors as the various paints are shown and the person creates a swirling pattern into the water.</t>
  </si>
  <si>
    <t>v_RoHYo2x9gbc</t>
  </si>
  <si>
    <t>We see three men in a field cutting tall grass with a scythe.</t>
  </si>
  <si>
    <t>We see the man take a handful of grass and wipe the scythe head with it.</t>
  </si>
  <si>
    <t>The man pulls something from his pocket and rubs it on the scythe.</t>
  </si>
  <si>
    <t>The men then return to cutting the grass.</t>
  </si>
  <si>
    <t>v_1aNOjjLWjxc</t>
  </si>
  <si>
    <t>People are standing on a volleyball court.</t>
  </si>
  <si>
    <t>A man in a white hat is standing in the sand.</t>
  </si>
  <si>
    <t>A person in a black shirt serves the volleyball but it doesn't make it over the net.</t>
  </si>
  <si>
    <t>v_e4YsOfQR3sI</t>
  </si>
  <si>
    <t>A woman sits at a piano and plays in front of a small audience.</t>
  </si>
  <si>
    <t>The camera focuses on several men watching her.</t>
  </si>
  <si>
    <t>The woman sings with the piano.</t>
  </si>
  <si>
    <t>The camera captures the reaction of the members of the audience.</t>
  </si>
  <si>
    <t>The camera captures more reaction shots from the audience.</t>
  </si>
  <si>
    <t>v_QZi1yBFRZzc</t>
  </si>
  <si>
    <t>A pair of garden shears is shown.</t>
  </si>
  <si>
    <t>A woman is demonstrating how to use the garden shears in different situations.</t>
  </si>
  <si>
    <t>A younger girl demonstrates how to use the shears.</t>
  </si>
  <si>
    <t>An older man shows how he uses the shears.</t>
  </si>
  <si>
    <t>A young man is shown using the shears to reach something above his head.</t>
  </si>
  <si>
    <t>The original woman shown demonstrates using the shears on different plant types.</t>
  </si>
  <si>
    <t>The same woman shows how to use the telescoping handle of the shears and cutting plants that would be out of reach.</t>
  </si>
  <si>
    <t>The same woman walks down a path with the shears.</t>
  </si>
  <si>
    <t>The woman then shows how the shears work demonstrating on several other plants.</t>
  </si>
  <si>
    <t>A young woman is shown using the shears.</t>
  </si>
  <si>
    <t>An older man uses the shears.</t>
  </si>
  <si>
    <t>Another man is shown using the shears to reach tree limbs.</t>
  </si>
  <si>
    <t>The first woman shows additional features of the shears and the same examples of other people using the shears is shown again.</t>
  </si>
  <si>
    <t>The woman walks up a set of stairs with the shears.</t>
  </si>
  <si>
    <t>The same woman is shown in the store purchasing the shears.</t>
  </si>
  <si>
    <t>v_fFoYCI-Si6s</t>
  </si>
  <si>
    <t>Two men are inside a gym.</t>
  </si>
  <si>
    <t>One is in boxing gloves and the other is wearing arm guards.</t>
  </si>
  <si>
    <t>They show off the different moves in punching and kicking.</t>
  </si>
  <si>
    <t>v_6aHGUTy1iho</t>
  </si>
  <si>
    <t>A camera pans around an athletic field with various people warming up and holding sticks.</t>
  </si>
  <si>
    <t>A girl holding a stick is spoken to by an instructor and she runs through and throws the pole.</t>
  </si>
  <si>
    <t>She walks back while another grabs a rope to estimate her distance.</t>
  </si>
  <si>
    <t>v_n1JkJu0VjQk</t>
  </si>
  <si>
    <t>A young man in a white karate uniform practices some moves.</t>
  </si>
  <si>
    <t>He bows at the end and runs towards the camera.</t>
  </si>
  <si>
    <t>v_aDrjDISgmLU</t>
  </si>
  <si>
    <t>men are standing in a field playing throwing a small piece of food into another man's mouth.</t>
  </si>
  <si>
    <t>man is talking in front of the camera and the team is standing in a big green grassy field.</t>
  </si>
  <si>
    <t>man starts playing cricket in the field.</t>
  </si>
  <si>
    <t>woman is talking to the camera in news.</t>
  </si>
  <si>
    <t>v_xSpWBpHMxqY</t>
  </si>
  <si>
    <t>A girl is riding in the back seat of a car, playing lipstick to a baby girl in a car seat.</t>
  </si>
  <si>
    <t>The girl takes the wand, trying to put it on her own lips.</t>
  </si>
  <si>
    <t>She smiles broadly for the camera.</t>
  </si>
  <si>
    <t>v_bXJMw4gLmGM</t>
  </si>
  <si>
    <t>A man is talking inside a shop.</t>
  </si>
  <si>
    <t>He shows off an iron, then uses it to melt a piece of plastic.</t>
  </si>
  <si>
    <t>The man irons then brushes a long piece of metal.</t>
  </si>
  <si>
    <t>v_HXCLDIk4pgI</t>
  </si>
  <si>
    <t>A person is clearing snow with a red snow plow.</t>
  </si>
  <si>
    <t>They push the snow to the side in a pile.</t>
  </si>
  <si>
    <t>They finish plowing the driveway.</t>
  </si>
  <si>
    <t>v_B5Zi054Fa5k</t>
  </si>
  <si>
    <t>A man in a black sweater quickly performs a Rubik cube challenge as the timer ticks.</t>
  </si>
  <si>
    <t>A man sits next to him watching.</t>
  </si>
  <si>
    <t>The man in the black sweater finishes and jumps up in excitement.</t>
  </si>
  <si>
    <t>The man that was sitting next to him stands up and is joined by other young men.</t>
  </si>
  <si>
    <t>v_cXRWQa9tQLw</t>
  </si>
  <si>
    <t>A group of cheerleaders are posing on a stage.</t>
  </si>
  <si>
    <t>They break apart, going into an elaborate dance routine.</t>
  </si>
  <si>
    <t>They flip, toss, and throw each other, then jump up and down excitedly.</t>
  </si>
  <si>
    <t>v_A_g93uJD-_8</t>
  </si>
  <si>
    <t>Two men cook omelettes on long pans in the street.</t>
  </si>
  <si>
    <t>People pass on front the men.</t>
  </si>
  <si>
    <t>A man puts scrambles eggs in the hot pan using two stick to turn over the eggs.</t>
  </si>
  <si>
    <t>Then the man adds more scrambled eggs while turning the omelette to make it bigger.</t>
  </si>
  <si>
    <t>After, he man wraps the omelette.</t>
  </si>
  <si>
    <t>v_JKE9D1anR7I</t>
  </si>
  <si>
    <t>A man jumps onto parallel bars.</t>
  </si>
  <si>
    <t>He begins doing a gymnastic routine on the parallel bars.</t>
  </si>
  <si>
    <t>He does a jump off and lands on the mat.</t>
  </si>
  <si>
    <t>v_BLSycXOF3Ro</t>
  </si>
  <si>
    <t>A girl does hula hoop spinning a hula ring around her neck, body and hands.</t>
  </si>
  <si>
    <t>Then, a person gives a hula to the girl who spins simultaneously the two hula rings.</t>
  </si>
  <si>
    <t>After, a person gives another hula ring to the girl to do hula hooping with three rings.</t>
  </si>
  <si>
    <t>At the end the girl gives a hug to the person and a presenter talks.</t>
  </si>
  <si>
    <t>v_BR4dhPz42mQ</t>
  </si>
  <si>
    <t>A large crowd of people are seen standing in the middle of the street and lead into a dance performance as well as a music performance.</t>
  </si>
  <si>
    <t>The people continue moving around in the street and end with a finishing pose.</t>
  </si>
  <si>
    <t>v_CQtu83639js</t>
  </si>
  <si>
    <t>A camera pans outside of a building and looks into a dark room where a man is exercising and speaking to the camera.</t>
  </si>
  <si>
    <t>The man continues riding on the equipment while moving faster and slower and the camera pans around his movements.</t>
  </si>
  <si>
    <t>v_BnkUgUQBED0</t>
  </si>
  <si>
    <t>We see a chair with a pillow on it.</t>
  </si>
  <si>
    <t>A man holding a cat sits down on the chair.</t>
  </si>
  <si>
    <t>The man clips the cats fingernails.</t>
  </si>
  <si>
    <t>The man strokes the cat's head.</t>
  </si>
  <si>
    <t>The man plays with the cat rocking it back and forth.</t>
  </si>
  <si>
    <t>The man stops the camera.</t>
  </si>
  <si>
    <t>v_zHXpo62bCaQ</t>
  </si>
  <si>
    <t>A woman with blonde long hair is carrying a white hula hoops, the hula hoops has rainbow colored tape on parts of it.</t>
  </si>
  <si>
    <t>The girl walked towards the lake, she is walking barefoot on the grass.</t>
  </si>
  <si>
    <t>The camera turns towards her face, then she started swirling the hula hoops and put it on her.</t>
  </si>
  <si>
    <t>The girl started to do hula hoops tricks, first on her waist then up, then to her legs and arms.</t>
  </si>
  <si>
    <t>v_M3jMJB_t024</t>
  </si>
  <si>
    <t>A large group of people are seen standing around a foose ball table speaking to one another and leads into them playing the game.</t>
  </si>
  <si>
    <t>Many people continue to watch the game on the sidelines and look down at the game taking place.</t>
  </si>
  <si>
    <t>v_VssVjdgvHrQ</t>
  </si>
  <si>
    <t>A person is seen standing before a sink turning on the faucet and wetting their hands.</t>
  </si>
  <si>
    <t>They then put soap on their hands, scrub the soap in, and rinse their hands through the water.</t>
  </si>
  <si>
    <t>Finally they use paper towels to dry their hands and throw it into the trash.</t>
  </si>
  <si>
    <t>v_jLykQW_-IVw</t>
  </si>
  <si>
    <t>A woman is smoking a cigarette.</t>
  </si>
  <si>
    <t>She is sitting down and people are walking behind her.</t>
  </si>
  <si>
    <t>She continues to hold cigarette in one arm.</t>
  </si>
  <si>
    <t>People continue to walk behind her and in front.</t>
  </si>
  <si>
    <t>She continues to smoke and stare straight ahead.</t>
  </si>
  <si>
    <t>v_Koxtbgzexmw</t>
  </si>
  <si>
    <t>Two boys play ping pong across a large ping pong table outdoors while a third boy watches from the sidelines.</t>
  </si>
  <si>
    <t>A boy in a t shirt with a wing graphic on it hits the ball towards the other shirtless player.</t>
  </si>
  <si>
    <t>The shirtless player returns the serve and the boy with the t-shirt misses the ball and has to pick it up and throw it to the other player for a re-serve.</t>
  </si>
  <si>
    <t>The two begin playing again while the boy in the middle on the sidelines observes the game.</t>
  </si>
  <si>
    <t>v_F1MKU9-yXg0</t>
  </si>
  <si>
    <t>A young man in a green jacket is standing in front of a mound of dirt and is talking about his maintenance tasks.</t>
  </si>
  <si>
    <t>The man then comes in the back yard with a green wheelbarrow and dumps the dirt in the back yard.</t>
  </si>
  <si>
    <t>He then takes his rake and moves the dirt back and forth around the house evening it out.</t>
  </si>
  <si>
    <t>When complete,he disappears and a path of mulch is seen along the garage.</t>
  </si>
  <si>
    <t>v_lxtG6PbeaqY</t>
  </si>
  <si>
    <t>Two dodgeball teams play against each other in an interior gym surrounded by onlookers in bleachers.</t>
  </si>
  <si>
    <t>The game begins with a team of men against a team of women each taking turns throwing dodge balls at each other violently.</t>
  </si>
  <si>
    <t>The teams then change sides on the gym floor with the women on the left and the men on the right.</t>
  </si>
  <si>
    <t>The game ends and both teams meet in the middle of the floor and give each other high fives.</t>
  </si>
  <si>
    <t>v_sYPd_0tC318</t>
  </si>
  <si>
    <t>There's a woman skurfing where the woman is towed on a surf board behind a sailboat.</t>
  </si>
  <si>
    <t>The woman surfer jumps up high as the sailboat sails in the water.</t>
  </si>
  <si>
    <t>The woman twists and turns around while on the surf board.</t>
  </si>
  <si>
    <t>The sailboat continues to pull the woman and she balances perfectly on the surfs as she twists and turns and spins on the surfs.</t>
  </si>
  <si>
    <t>She goes in a zig zag pattern making foamy waves in the water as the boats speeds up.</t>
  </si>
  <si>
    <t>The same surfing is watched on television as a guy and a another woman put several medals around the surfer's neck.</t>
  </si>
  <si>
    <t>The surfer pretends to fall down with the sheer weight of the medals.</t>
  </si>
  <si>
    <t>v_6ZabZdqdLyA</t>
  </si>
  <si>
    <t>Two small children are playing on a swingset on a snow covered yard.</t>
  </si>
  <si>
    <t>One child runs over to a swingset, but decides to change over to a green swing.</t>
  </si>
  <si>
    <t>An adult helps the child onto the swing.</t>
  </si>
  <si>
    <t>The other child also wants to join the first child on the same swing, and holds the swing steady while the child climbs on.</t>
  </si>
  <si>
    <t>The child is able to climb on, and the two children enjoy swinging together as the adult pushes the swing forward.</t>
  </si>
  <si>
    <t>v_Kt1JpqwDvl8</t>
  </si>
  <si>
    <t>A person vacuum the inside of a car, while other men clean by hand the car with detergent and water.</t>
  </si>
  <si>
    <t>Then, a man dry the car with clothes.</t>
  </si>
  <si>
    <t>Other cars are washed in a automatic car machine.</t>
  </si>
  <si>
    <t>After, people cleans the car with cloths inside and outside by hand.</t>
  </si>
  <si>
    <t>v_YfWKbMPFmcU</t>
  </si>
  <si>
    <t>The outside of homes is shown by a woman in a pink shirt.</t>
  </si>
  <si>
    <t>She is painting one of the houses with blue paint.</t>
  </si>
  <si>
    <t>She is holding a bucket of paint.</t>
  </si>
  <si>
    <t>v_Eilil6FZhK8</t>
  </si>
  <si>
    <t>peolpe are running wearing stilts in an avenue.</t>
  </si>
  <si>
    <t>man is interviewing an old woman in the sreet.</t>
  </si>
  <si>
    <t>man is doing a high jump above a car in street.</t>
  </si>
  <si>
    <t>man is laying down in a wooden table and other man jumps above the table.</t>
  </si>
  <si>
    <t>men are jumping side to side wearing stilts.</t>
  </si>
  <si>
    <t>man is helping a woman wear the stilts and walks in a gym room playing basketball with oher players.</t>
  </si>
  <si>
    <t>people are in sreet wearing stilts and running and jumping .</t>
  </si>
  <si>
    <t>man are sitting around a bench in street outside a restaurant.</t>
  </si>
  <si>
    <t>team are jumping in stilts in the roofed gym.</t>
  </si>
  <si>
    <t>v_YfouQ4TJhmQ</t>
  </si>
  <si>
    <t>An old man in white shirt is brushing the the body of the brown horse.</t>
  </si>
  <si>
    <t>The girl in blue shirt standing beside the old man brushed the horse's fur, then the old man took over, brush the horse and the girl rub the horse's fur with her hands.</t>
  </si>
  <si>
    <t>v_kKxNVwk7Evc</t>
  </si>
  <si>
    <t>A marching band is walking down a track.</t>
  </si>
  <si>
    <t>People carrying flags follows behind them.</t>
  </si>
  <si>
    <t>The drummers at at the back playing their drums.</t>
  </si>
  <si>
    <t>v_7cpX1j9dwjA</t>
  </si>
  <si>
    <t>A colorful intro includes the white words that say "World's Most DANGEROUS SPORTS Events" and the green letters separately "SRP".</t>
  </si>
  <si>
    <t>Madrid Spain on a map appears and it quickly goes into various different clips of men in arenas holding red capes as they taunt angry bulls.</t>
  </si>
  <si>
    <t>Suddenly a bull doesn't go after the cape, and instead he goes after the man where the bull continues to attack him with his horns and throw him around on the dirt.</t>
  </si>
  <si>
    <t>People begin to run towards the bull and the man to help him and the injured man quickly gets carried and run out of the area of danger.</t>
  </si>
  <si>
    <t>The intro appears and it's a black screen with the green letters SRP, production credits along with the rights.</t>
  </si>
  <si>
    <t>v_AV8q7nnOtq4</t>
  </si>
  <si>
    <t>A young man is seen sitting in front of a drum kit and begins playing the set of drums for the camera.</t>
  </si>
  <si>
    <t>He continues playing the drums and finishes by hitting the cymbal one last time.</t>
  </si>
  <si>
    <t>v_701UoJ5pgeo</t>
  </si>
  <si>
    <t>A woman is in a kitchen talking.</t>
  </si>
  <si>
    <t>She pours cleaner in a sink and describes some cleaning tools.</t>
  </si>
  <si>
    <t>She puts a powder in the sink and squeezes a lemon over the powder.</t>
  </si>
  <si>
    <t>She pours a liquid over that and scrubs with a brush.</t>
  </si>
  <si>
    <t>She turns the water on for a second and then uses a stone on the sink before using the sprayer to rinse everything.</t>
  </si>
  <si>
    <t>v__K3Cpdks6NQ</t>
  </si>
  <si>
    <t>There is very large group of people outside on a basketball court after sunset.</t>
  </si>
  <si>
    <t>They are all jumping up and down on these new pogo stick things that you wear like shoes.</t>
  </si>
  <si>
    <t>There are many young kids just bouncing up and down on them enjoying the evening.</t>
  </si>
  <si>
    <t>There are even a few people standing by and watching.</t>
  </si>
  <si>
    <t>v_eksIn1NfWJg</t>
  </si>
  <si>
    <t>A person's eye is seen close up the camera holing a contact lens in their hands and holding their eye open.</t>
  </si>
  <si>
    <t>The person then puts the contact lens in their eye and rubs their eye while blinking multiple times.</t>
  </si>
  <si>
    <t>v_yCAsVc5Tb_0</t>
  </si>
  <si>
    <t>We see the title card over the screen.</t>
  </si>
  <si>
    <t>We see people standing on a blue stage.</t>
  </si>
  <si>
    <t>They then perform a cheer leading routine.</t>
  </si>
  <si>
    <t>The men lift the women who spin into their arms.</t>
  </si>
  <si>
    <t>They all flip backwards together.</t>
  </si>
  <si>
    <t>The men hold the women by one leg and almost drop a lady.</t>
  </si>
  <si>
    <t>A girl brings letters onto the field.</t>
  </si>
  <si>
    <t>They use the letter to spell a word while standing in the air.</t>
  </si>
  <si>
    <t>They have different cards with color names on them.</t>
  </si>
  <si>
    <t>The men yell out of horns.</t>
  </si>
  <si>
    <t>Two women flip out of a stance, and they end in the air.</t>
  </si>
  <si>
    <t>v_VufybWyvP98</t>
  </si>
  <si>
    <t>There are some swimmers playing water polo in an indoor swimming pool.</t>
  </si>
  <si>
    <t>One of the swimmers is underwater, trying to reach the ball.</t>
  </si>
  <si>
    <t>He throws the ball across to another swimmer who catches the ball.</t>
  </si>
  <si>
    <t>Two swimmers are under water trying to reach the ball.</t>
  </si>
  <si>
    <t>They pass the ball around as they swim through the water.</t>
  </si>
  <si>
    <t>Then the swimmers swim their way up and get out of the pool while some other swimmers are still inside the pool.</t>
  </si>
  <si>
    <t>One of the swimmers spits out water on the camera while still inside the pool.</t>
  </si>
  <si>
    <t>A few other swimmerd can be seen in the locker room drying themselves after the swim.</t>
  </si>
  <si>
    <t>v_67NwPB79MTo</t>
  </si>
  <si>
    <t>A small group of people are seen moving around a gym kicking a ball around.</t>
  </si>
  <si>
    <t>The boys yell to one another with their hands up and continue walking around the gym.</t>
  </si>
  <si>
    <t>v_kyMsxlpBjlY</t>
  </si>
  <si>
    <t>There's a person mowing the lawn in his yard with a lawn mower while carrying his child on his back.</t>
  </si>
  <si>
    <t>The man walks up and down, straight across the yard as he mows the lawn.</t>
  </si>
  <si>
    <t>The child watches calmly while resting on the man's back.</t>
  </si>
  <si>
    <t>The man continues to mow the lawn with his black lawn mower.</t>
  </si>
  <si>
    <t>v_zEdAxKm9SLA</t>
  </si>
  <si>
    <t>There's a person named Michael from the Wild flower Tool company who is doing a tutorial on telescopic head shears for gardening.</t>
  </si>
  <si>
    <t>He demonstrates the several features of the shears such as extendable handles.</t>
  </si>
  <si>
    <t>He is standing near a big hedge in a garden.</t>
  </si>
  <si>
    <t>He shows how to use the shears by cutting off some of the branches of the hedge.</t>
  </si>
  <si>
    <t>He then extends the handles of the shears to show how far he can reach hard to reach places on top of the hedge.</t>
  </si>
  <si>
    <t>v_qRFZMO_mTGU</t>
  </si>
  <si>
    <t>A woman walks forward talking to the camera and putting her hands on her hips.</t>
  </si>
  <si>
    <t>A girl is shown playing field hockey and presents various clips of herself doing moves.</t>
  </si>
  <si>
    <t>She later is talking to the camera about her experiences with the sport and who exactly she is and why other people love her.</t>
  </si>
  <si>
    <t>v_qwdavExYM_Y</t>
  </si>
  <si>
    <t>We see people walking with rafts up an escalator on a snowy field in a rafting park.</t>
  </si>
  <si>
    <t>A child almost falls on the left.</t>
  </si>
  <si>
    <t>We see the crowded escalator from a distance.</t>
  </si>
  <si>
    <t>We see a boy in a black coat running with his raft in tow.</t>
  </si>
  <si>
    <t>v_r9AepFEEfsQ</t>
  </si>
  <si>
    <t>A man with glasses playing an accordion and smiling.</t>
  </si>
  <si>
    <t>The camera zooms in on his fingers going up and down the neck of the instrument.</t>
  </si>
  <si>
    <t>The man continues to play his song and smiles to the camera while moving up and down.</t>
  </si>
  <si>
    <t>v_uuH0ieCzqkM</t>
  </si>
  <si>
    <t>A kid stands on a court as a group of judges watch him jump rope rapidly.</t>
  </si>
  <si>
    <t>Behind him, other competitors jump rope, too.</t>
  </si>
  <si>
    <t>v_qi5Oie047pQ</t>
  </si>
  <si>
    <t>A young boy is sitting up against the wall making a face as two people are standing in front of him.</t>
  </si>
  <si>
    <t>The girl on the left then takes a small tube of polish and begins to paints the boy's nail with red glitter.</t>
  </si>
  <si>
    <t>When she is finished,the boy is shown and he begins to laugh about the situation.</t>
  </si>
  <si>
    <t>v_twL4mmkCQ0s</t>
  </si>
  <si>
    <t>A backdrop screen with paws and dog bones appear and the words in red and black appear and read "TEG's CANINE CLIPPERY Dog &amp; Cat Grooming".</t>
  </si>
  <si>
    <t>Clips of different dogs are shown getting baths, haircuts, and brushed while still shots of pictures appear between clips and they all include company name, website and phone number.</t>
  </si>
  <si>
    <t>The very last screen is a picture of a dog with it's eyes closed and 2 pairs of hands blow drying it with a brush above it's head, the company name, website, phone number and address.</t>
  </si>
  <si>
    <t>v_TLJdzU44My4</t>
  </si>
  <si>
    <t>A young man is seen sitting in a chair holding a vacuum in his hands.</t>
  </si>
  <si>
    <t>The boy speaks to the camera while still pushing the vacuum back and fourth.</t>
  </si>
  <si>
    <t>The camera moves closer to the boy and zooms in on his face while vacuuming.</t>
  </si>
  <si>
    <t>v_InavXU3iWBE</t>
  </si>
  <si>
    <t>A man is standing on top of a truck.</t>
  </si>
  <si>
    <t>Two men jump onto a trampoline.</t>
  </si>
  <si>
    <t>One of the men lays down and the other man hits him.</t>
  </si>
  <si>
    <t>The man on the truck jumps onto the trampoline.</t>
  </si>
  <si>
    <t>v__wl0vFvb8Bc</t>
  </si>
  <si>
    <t>A person's foot is shown and then it moves up slowly to their face.</t>
  </si>
  <si>
    <t>The camera pans out and shows a silver car.</t>
  </si>
  <si>
    <t>The person is holding a stick in their hands.</t>
  </si>
  <si>
    <t>The person is holding a hose and washing the car.</t>
  </si>
  <si>
    <t>They dip the stick into a bucket of soapy water and continue washing the car.</t>
  </si>
  <si>
    <t>They hold the hose up and pour the water on their face.</t>
  </si>
  <si>
    <t>They take their sunglasses off at the end and wipe their face.</t>
  </si>
  <si>
    <t>v_7uhJ_0oKV6s</t>
  </si>
  <si>
    <t>Two people are standing in front of a street performance.</t>
  </si>
  <si>
    <t>We see a group of people as two use a jump rope.</t>
  </si>
  <si>
    <t>Several others jump in, jumping over the rope, flipping and doing stunts.</t>
  </si>
  <si>
    <t>v_qV8hycDJWto</t>
  </si>
  <si>
    <t>A man steps away from a desk.</t>
  </si>
  <si>
    <t>The man applies his glove to his left hand.</t>
  </si>
  <si>
    <t>The man taps a metal with a soldering iron.</t>
  </si>
  <si>
    <t>The man soldiers on the piece of metal.</t>
  </si>
  <si>
    <t>The man stops soldering the metal.</t>
  </si>
  <si>
    <t>The man removes his glove and blows smoke away from the metal piece.</t>
  </si>
  <si>
    <t>v_BNQPVf2Ia5Y</t>
  </si>
  <si>
    <t>A man wearing black pants, a plaid shirt and baseball cap trims a dark green hedge with an electric hedge trimmer.</t>
  </si>
  <si>
    <t>The man trims a smaller light green hedge with the trimmer.</t>
  </si>
  <si>
    <t>The man trims another hedge with trimmer.</t>
  </si>
  <si>
    <t>The scene is sped up and contains ambient noises.</t>
  </si>
  <si>
    <t>v_cDe2GlvMEQg</t>
  </si>
  <si>
    <t>A man is seen speaking to the camera indoors as well as outdoors.</t>
  </si>
  <si>
    <t>He points to several objects while leading into dirt being shown as well as plaster.</t>
  </si>
  <si>
    <t>People are seen putting plaster all over the walls while the man continues to speak.</t>
  </si>
  <si>
    <t>v_uokQq9Xrjf8</t>
  </si>
  <si>
    <t>There's a fitness trainer representing The FitCast fitness in a gym demonstrating how to do a tall kneeling palloff press.</t>
  </si>
  <si>
    <t>He is kneeling down on the floor in a black shirt and gray sweat pants.</t>
  </si>
  <si>
    <t>He is pulling the handles of the palloff press with both hands towards his chest while keeping his back and shoulders up straight.</t>
  </si>
  <si>
    <t>v_yOKDaH8Go0A</t>
  </si>
  <si>
    <t>A man in a garage stands over a plank of wood.</t>
  </si>
  <si>
    <t>The man takes some white paste out of a can, adds some coloring to it and mixes it.</t>
  </si>
  <si>
    <t>The man applies the brown colored paste to holes in the wood.</t>
  </si>
  <si>
    <t>v_9-U2WOLIqB8</t>
  </si>
  <si>
    <t>A shot of pins are shown sitting on a lane followed by a man walking into frame.</t>
  </si>
  <si>
    <t>The man spins a ball to go around the pins to hit more in the end.</t>
  </si>
  <si>
    <t>The person spins another ball that is followed shortly afterwards.</t>
  </si>
  <si>
    <t>v_M1_4oDuh2as</t>
  </si>
  <si>
    <t>A woman wearing an apron is talking and picks up a bucket with supplies in it.</t>
  </si>
  <si>
    <t>She grabs a brush and cleans a window.</t>
  </si>
  <si>
    <t>She grabs a squeegee and removes the excess water from the window.</t>
  </si>
  <si>
    <t>v_AFs_aK0DY7E</t>
  </si>
  <si>
    <t>He does a gymnastics routine on the beam.</t>
  </si>
  <si>
    <t>He does a hand stand before jumping off onto a mat.</t>
  </si>
  <si>
    <t>v__9e948mdwrs</t>
  </si>
  <si>
    <t>A man blows dead leaves of a backyard.</t>
  </si>
  <si>
    <t>A person makes a pile of dead leaves.</t>
  </si>
  <si>
    <t>v_AK34mhNU28s</t>
  </si>
  <si>
    <t>A man holds a huge kite in a big field.</t>
  </si>
  <si>
    <t>A dog chases the man as he runs and jumps.</t>
  </si>
  <si>
    <t>The man brings the kite to the ground.</t>
  </si>
  <si>
    <t>v_b1U1VmaZz7Y</t>
  </si>
  <si>
    <t>A man is pouring something onto a large camp fire.</t>
  </si>
  <si>
    <t>A dog walks around the camp site.</t>
  </si>
  <si>
    <t>A person in a yellow shirt holding a blanket walks around the fire.</t>
  </si>
  <si>
    <t>v_kxXoosv0iDg</t>
  </si>
  <si>
    <t>A girl in a sparkly outfit dances on a hardwood floor.</t>
  </si>
  <si>
    <t>She brings out batons and twirls them around while dancing.</t>
  </si>
  <si>
    <t>She sits on the ground after finishing her performance.</t>
  </si>
  <si>
    <t>v_6iSqTbL5WXY</t>
  </si>
  <si>
    <t>We see a man dunk a basketball wearing jump stilts.</t>
  </si>
  <si>
    <t>We see another man bounce the ball and the jump stilt man dunks again.</t>
  </si>
  <si>
    <t>We then see the opening screen for the closing.</t>
  </si>
  <si>
    <t>v_1AZxtWKkRlo</t>
  </si>
  <si>
    <t>A group of cheerleaders run onto a stage before a cheering audience.</t>
  </si>
  <si>
    <t>They get into formation, then begin dancing and flipping as male cheerleaders join them.</t>
  </si>
  <si>
    <t>They all continue dancing and flipping, doing hand springs.</t>
  </si>
  <si>
    <t>When they are finished, they jump up and down happily and walk off the stage, exhausted.</t>
  </si>
  <si>
    <t>v_sJK-NjgOB6g</t>
  </si>
  <si>
    <t>A man lifts a young girl up to reach the sink in a bathroom.</t>
  </si>
  <si>
    <t>Both the man and the girl reach for their toothbrush and add toothpaste at the same time.</t>
  </si>
  <si>
    <t>They look in the mirror together as the man shows the girl how to brush her teeth properly.</t>
  </si>
  <si>
    <t>They rinse and smile at their clean teeth in the mirror.</t>
  </si>
  <si>
    <t>The man then teaches the girl to floss.</t>
  </si>
  <si>
    <t>They put their toothbrushes away and the man helps the girl back to the floor.</t>
  </si>
  <si>
    <t>They walk away together and turn off the bathroom light.</t>
  </si>
  <si>
    <t>v_crxqFzslD0Y</t>
  </si>
  <si>
    <t>A man in a black shirt smiles at the camera.</t>
  </si>
  <si>
    <t>He pulls out a harmonica and begins to play it.</t>
  </si>
  <si>
    <t>He uses his hand to accentuate the notes.</t>
  </si>
  <si>
    <t>He finishes the song at the end.</t>
  </si>
  <si>
    <t>v_boRX-UKXzy8</t>
  </si>
  <si>
    <t>A bumper car arena is shown followed by people driving around and bumping into one another.</t>
  </si>
  <si>
    <t>Several shots are shown of people crashing into one another and a man speaking to the camera in the end.</t>
  </si>
  <si>
    <t>v_tvR1ovqyJZ8</t>
  </si>
  <si>
    <t>A person is riding inside a boat on the water.</t>
  </si>
  <si>
    <t>They are dragging a person on water skis.</t>
  </si>
  <si>
    <t>The person stays upright as they are pulled quickly through the water.</t>
  </si>
  <si>
    <t>v_uCdUm-lou7w</t>
  </si>
  <si>
    <t>A girl swings on monkey bars on an outdoor playground.</t>
  </si>
  <si>
    <t>The girl misses a monkey bar and then looses her grip and falls to the ground.</t>
  </si>
  <si>
    <t>v_WhhbKOSW7m0</t>
  </si>
  <si>
    <t>People are sitting in bleachers watching people.</t>
  </si>
  <si>
    <t>The people in the room are playing wall ball.</t>
  </si>
  <si>
    <t>A man in the stands puts his hands on his face.</t>
  </si>
  <si>
    <t>v_x0TiekqVMj0</t>
  </si>
  <si>
    <t>A woman is seen performing a belly dancing routine in a dark room with one single line shown on her.</t>
  </si>
  <si>
    <t>She continues dancing around the room and ends by the room going dark as she spins.</t>
  </si>
  <si>
    <t>v_uBCLX7hfZLQ</t>
  </si>
  <si>
    <t>A woman wearing a white shirt is sitting with her black and white cat on her lap.</t>
  </si>
  <si>
    <t>She is clipping the cats nails by holding the cat's paws in her hands.</t>
  </si>
  <si>
    <t>She continues clipping the cat's nails one by one.</t>
  </si>
  <si>
    <t>When she's done she kisses the cat.</t>
  </si>
  <si>
    <t>then she begins clipping a brown cat's nails.</t>
  </si>
  <si>
    <t>The cat sits calmly on her lap as she finishes clipping its nails.</t>
  </si>
  <si>
    <t>v_R4yz8nXO5hI</t>
  </si>
  <si>
    <t>A person paints flowers onto a white canvas with a fine brush.</t>
  </si>
  <si>
    <t>The person removes the painting from the table and shows the finished product.</t>
  </si>
  <si>
    <t>v_gGg-kio0dmU</t>
  </si>
  <si>
    <t>People are playing and swimming in a pool.</t>
  </si>
  <si>
    <t>a girl does a back flip off a board.</t>
  </si>
  <si>
    <t>v_WXaFTEWJThM</t>
  </si>
  <si>
    <t>A person is seen filling up a sink with water and holding a rag in the water.</t>
  </si>
  <si>
    <t>She scrubs down her face and washing it off with the rag and smiling into the mirror.</t>
  </si>
  <si>
    <t>v_QsfIM28uvHM</t>
  </si>
  <si>
    <t>A person hangs onto the handles of a kite flying overhead.</t>
  </si>
  <si>
    <t>The kite falls as the wind lessens.</t>
  </si>
  <si>
    <t>The kite blows hard in the air as the wind picks up again.</t>
  </si>
  <si>
    <t>v_FL9yhHtoc6c</t>
  </si>
  <si>
    <t>A man and a woman are dancing on a concrete ground at night under a street light.</t>
  </si>
  <si>
    <t>Both the man and the woman are wearing a black tank top and black shorts along with black shoes.</t>
  </si>
  <si>
    <t>They are dancing in a synchronized manner by following choreographed dance steps to a song.</t>
  </si>
  <si>
    <t>They move their hands as they lift their right leg up high while dancing.</t>
  </si>
  <si>
    <t>Then they shake their hips and their heads they lip sync to the song.</t>
  </si>
  <si>
    <t>when the music gets faster, they move their hands in a circular motion.</t>
  </si>
  <si>
    <t>They also lift their knees up high while shaking their bodies.</t>
  </si>
  <si>
    <t>They repeat the steps every time the chorus of the song plays.</t>
  </si>
  <si>
    <t>They lift their knees up high alternating between the two legs.</t>
  </si>
  <si>
    <t>They continue to dance as they hold up the palms of their hands straight up and move their hips.</t>
  </si>
  <si>
    <t>They repeat the steps as the chorus of the song repeats.</t>
  </si>
  <si>
    <t>Finally after the song ends, they both stand still with their hands on their hips.</t>
  </si>
  <si>
    <t>v_tVbrnWNOmFY</t>
  </si>
  <si>
    <t>A man takes a patch and put on a wheel while explaining and showing materials .</t>
  </si>
  <si>
    <t>Then, the man takes the wheel of a bike to fix the hole of the tube by applying a patch.</t>
  </si>
  <si>
    <t>After, the man put the tube on the wheel and pump air in the wheel.</t>
  </si>
  <si>
    <t>Then, the man put and fix the wheel in the bike.</t>
  </si>
  <si>
    <t>v_fLvPz8W00l4</t>
  </si>
  <si>
    <t>A man shows the proper way to lift a kettlebell.</t>
  </si>
  <si>
    <t>He shows with his hips how not to do it.</t>
  </si>
  <si>
    <t>v_W-pFUV2O1l0</t>
  </si>
  <si>
    <t>A man is cutting another mans hair.</t>
  </si>
  <si>
    <t>He is demonstrating the types of cuts.</t>
  </si>
  <si>
    <t>He combs and snips the front of the mans hair.</t>
  </si>
  <si>
    <t>He parts the hair and continues pulling and trimming the front flip.</t>
  </si>
  <si>
    <t>He then turns the mans head and works on the back.</t>
  </si>
  <si>
    <t>He finishes haircut on the man.</t>
  </si>
  <si>
    <t>v_rlH9RkelqHk</t>
  </si>
  <si>
    <t>A person's feet are show followed by a woman putting shoes over her socks and bending forward.</t>
  </si>
  <si>
    <t>She twirls around her feet and looking to the camera while showing her shoe completely on.</t>
  </si>
  <si>
    <t>v_N6HUPyM5m2o</t>
  </si>
  <si>
    <t>woman is wearing a purple shit lifting weight.</t>
  </si>
  <si>
    <t>woman is sitting in stairs tying the laces.</t>
  </si>
  <si>
    <t>two women are in a gym room doing exercise.</t>
  </si>
  <si>
    <t>v_CZveW9zX0s8</t>
  </si>
  <si>
    <t>A man is shown speaking to the camera and leads into a woman trimming the fur on a dog.</t>
  </si>
  <si>
    <t>The speaks more to the camera while other dogs are shown groomed and one woman walks away holding two excited dogs.</t>
  </si>
  <si>
    <t>More shots of dogs held are shown while the man speaks and the camera pans around the building.</t>
  </si>
  <si>
    <t>v_9fnmcyUz5jg</t>
  </si>
  <si>
    <t>A logo shows that this video is presented by Expert Village.</t>
  </si>
  <si>
    <t>A man in a small blue boat discusses the topic of hand surfing in a hole and gives hints on how to perform this activity.</t>
  </si>
  <si>
    <t>The man demonstrates tricks that can be done while performing this activity.</t>
  </si>
  <si>
    <t>v_ayDqRzRN8_M</t>
  </si>
  <si>
    <t>News hosts present a story seated at a desk in a news room.</t>
  </si>
  <si>
    <t>A news reporter interviews a man on an ice skating rink.</t>
  </si>
  <si>
    <t>An athlete glides a stone across the ice.</t>
  </si>
  <si>
    <t>The reporter and the man practice brushing the ice with brooms.</t>
  </si>
  <si>
    <t>A woman sits in a salon and has her hair curled.</t>
  </si>
  <si>
    <t>The curls are taken out of the woman's hair after the makeover.</t>
  </si>
  <si>
    <t>The news anchors close out the story.</t>
  </si>
  <si>
    <t>v_LHewj6shKGw</t>
  </si>
  <si>
    <t>A group of kids are on a track, and they practice jumping over a low beam.</t>
  </si>
  <si>
    <t>They perform the motion several times, portraying the act in slow motion.</t>
  </si>
  <si>
    <t>v_UxIXOCccW24</t>
  </si>
  <si>
    <t>Two people are seen speaking to the camera wearing costume when another person steps into frame.</t>
  </si>
  <si>
    <t>Two people then battle one another in the costumes and run into one another.</t>
  </si>
  <si>
    <t>One person knocks the other on the ground and shows off a wrestling move.</t>
  </si>
  <si>
    <t>v_1OmzECVyIww</t>
  </si>
  <si>
    <t>An athletic man is seen waving one arm up into the air and standing ready for a beam.</t>
  </si>
  <si>
    <t>The man then spins himself around the beam performing a gymnastics routine and ends with him jumping to the side and holding his arms up, smiling and waving to the crowd.</t>
  </si>
  <si>
    <t>v_-rwKyNnz89s</t>
  </si>
  <si>
    <t>A man is seen standing in a goal followed by a person kicking a boll.</t>
  </si>
  <si>
    <t>More clips are shown of people kicking a ball towards the goal while people watch on the sides.</t>
  </si>
  <si>
    <t>Several more people take their turn kicking a ball and end by running all together and cheering.</t>
  </si>
  <si>
    <t>v_gBTnWp9VLz4</t>
  </si>
  <si>
    <t>A car drives behind another while filming several snowy houses and trees shown.</t>
  </si>
  <si>
    <t>Eventually two snowboarding are shown doing jumps and tricks down a mountain.</t>
  </si>
  <si>
    <t>Another does several flips and tricks while another performs the same down the mountain.</t>
  </si>
  <si>
    <t>v_iMXdwkAGfM4</t>
  </si>
  <si>
    <t>A man sits in a chair while a standing man uses an electric razor on his beard.</t>
  </si>
  <si>
    <t>The man gently shaves the other man's beard until it is gone.</t>
  </si>
  <si>
    <t>The man sits in the chair, wiping himself off before standing up.</t>
  </si>
  <si>
    <t>v_yqzV0O139Yk</t>
  </si>
  <si>
    <t>Two people are seen standing on a field in front of ball when one bends over to balance on the ball.</t>
  </si>
  <si>
    <t>The woman then performs exercises on the ball with the man's assistance.</t>
  </si>
  <si>
    <t>v_leKf6Q87IYg</t>
  </si>
  <si>
    <t>Several pictures of seen of a man wakeboarding and leading into him speaking to the camera.</t>
  </si>
  <si>
    <t>He demonstrates how to properly perform moves while standing on the lawn.</t>
  </si>
  <si>
    <t>It follows into the man riding around on a wakeboard.</t>
  </si>
  <si>
    <t>v_PwbZimjxzps</t>
  </si>
  <si>
    <t>A man stands in front of a crowd pointing and speaking about the layout of a bullfighting ring.</t>
  </si>
  <si>
    <t>A demonstration of bullfighting is performed by a man with a pink cape and a man moving a fake bull object with a wheel.</t>
  </si>
  <si>
    <t>The bullfighter then demonstrates how to use his sword on the bull.</t>
  </si>
  <si>
    <t>Then the students wants to give it a try.</t>
  </si>
  <si>
    <t>v_J1LIG037WzE</t>
  </si>
  <si>
    <t>Two men are seen fighting back and fourth on a set of mats using boxing gloves and pads.</t>
  </si>
  <si>
    <t>The men continue punching and kicking back and fourth while the camera continues to follow them around.</t>
  </si>
  <si>
    <t>v_RrScnC2xQpw</t>
  </si>
  <si>
    <t>A girl is seen kneeling before the camera and leads into her walking around her house.</t>
  </si>
  <si>
    <t>She zooms in on an oven and is shown taking a pan out full of cookies.</t>
  </si>
  <si>
    <t>She lays out a plate to clean off follows by grabbing the cookies and laying them on the plate.</t>
  </si>
  <si>
    <t>v_ZeN0mrRQHg8</t>
  </si>
  <si>
    <t>A group of kids are riding in bumper cars.</t>
  </si>
  <si>
    <t>They spin and move, hitting each other.</t>
  </si>
  <si>
    <t>The kids smile and laugh at each other as they collide.</t>
  </si>
  <si>
    <t>v_3LyyqeVeYkI</t>
  </si>
  <si>
    <t>He lassos a young calf on the dirt.</t>
  </si>
  <si>
    <t>He jumps off his horse and ties the calf.</t>
  </si>
  <si>
    <t>v_UySzNwvkQKQ</t>
  </si>
  <si>
    <t>There are people standing in a large indoor court, on two different sides, with balls in the middle of the court.</t>
  </si>
  <si>
    <t>Suddenly people start running towards the balls and they begin to play dodge ball and pick them up and throw them at one another until one of the teams has only 1 person left standing.</t>
  </si>
  <si>
    <t>Only 1 guy remain standings and he attempts to hit someone else on the other team with a ball, and they in return do the same, they go back and forth doing this until a red ball finally hits the last guy standing on the team and he hits the floor.</t>
  </si>
  <si>
    <t>v_xzoquwJYEZw</t>
  </si>
  <si>
    <t>man is standing in a wooden court talking to the camera.</t>
  </si>
  <si>
    <t>men are playing squash in a room holding rackets on his hands.</t>
  </si>
  <si>
    <t>the man is holding a racket and is talking to the camera.</t>
  </si>
  <si>
    <t>v_v-xUwDARVb4</t>
  </si>
  <si>
    <t>A band is seen performing on stage while the camera pans around and captures them from several angles.</t>
  </si>
  <si>
    <t>The singer interacts with the band and continues playing while the audience cheers.</t>
  </si>
  <si>
    <t>v_YGBldj7DUq4</t>
  </si>
  <si>
    <t>A man is in a kayak in the water making turns with the help of an oar.</t>
  </si>
  <si>
    <t>Then, the man explains showing and moving the oar.</t>
  </si>
  <si>
    <t>After the man starts to row in the river and turning the kayak.</t>
  </si>
  <si>
    <t>v_wP0jr86MNOw</t>
  </si>
  <si>
    <t>man is standing nex to a van wearing stilts.</t>
  </si>
  <si>
    <t>another man is sitting on the back part of a van is putting the stilts on his feet.</t>
  </si>
  <si>
    <t>men wearing stilts are walking in a parking lot to street.</t>
  </si>
  <si>
    <t>men are kneeling on the street and start jumping going down the paved slope.</t>
  </si>
  <si>
    <t>v_X9CpU4ucYeg</t>
  </si>
  <si>
    <t>woman is standing in a kitchen talking to the camera and showing the lemons, jar and the bowl on the counter.</t>
  </si>
  <si>
    <t>woman is squeezing the lemon into a bowl and on the water.</t>
  </si>
  <si>
    <t>woman is ni front of the stove and pour sugar into water in a pan till boil.</t>
  </si>
  <si>
    <t>woman pour sugar in the jar with ice.</t>
  </si>
  <si>
    <t>v_rG-WlnAoc3M</t>
  </si>
  <si>
    <t>A person wet a car with water, then he puts detergent to the car using a long squeegee.</t>
  </si>
  <si>
    <t>The man rinses the car with water.</t>
  </si>
  <si>
    <t>Then, the man cleans again with soap and water the car for the second time.</t>
  </si>
  <si>
    <t>The man cleans with a cloth and rinse with water the rims of the car.</t>
  </si>
  <si>
    <t>After, the man dry the car manually with a cloth.</t>
  </si>
  <si>
    <t>Next, the man cleans inside the car, then drives the car.</t>
  </si>
  <si>
    <t>v_AA6nXQMyfhU</t>
  </si>
  <si>
    <t>A man sits at a table talking.</t>
  </si>
  <si>
    <t>The man, now standing, pours paint thinner n a rag and wipes the table with the rag.</t>
  </si>
  <si>
    <t>The man sits at the table again while talking.</t>
  </si>
  <si>
    <t>Now he is standing putting a polish on the table and shining it.</t>
  </si>
  <si>
    <t>He then cleans the table legs with a brush.</t>
  </si>
  <si>
    <t>He sits at the table talking for another moment.</t>
  </si>
  <si>
    <t>The scene changes and the man is seen standing in a garage.</t>
  </si>
  <si>
    <t>v_FAPMunnTNsE</t>
  </si>
  <si>
    <t>Two people are seen riding in a canoe pushing a paddle along the water and looking into the camera.</t>
  </si>
  <si>
    <t>More clips are shown of the scenery as well as the people riding around and meeting up with others.</t>
  </si>
  <si>
    <t>v_-5Yp-vToI2E</t>
  </si>
  <si>
    <t>A large group of people are seen standing around a ballet room and leads into four performing a dance.</t>
  </si>
  <si>
    <t>The four continuously move together while holding hands and doing the same moves.</t>
  </si>
  <si>
    <t>The girls laugh together and continue dancing and ending by holding a pose.</t>
  </si>
  <si>
    <t>v_zPl4spxrvg4</t>
  </si>
  <si>
    <t>A woman walks into frame speaking to the camera and pointing to a sign that leads into her speaking with a man in front of a bow and arrow.</t>
  </si>
  <si>
    <t>The man speaks to her and puts bowing equipment on the woman and holds out the bow for her.</t>
  </si>
  <si>
    <t>He teaches her how to properly hold the bow and the woman takes several turns shooting the bow and arrow.</t>
  </si>
  <si>
    <t>She cheers and continues shooting while the man speaks to her and shakes her hand as they walk away.</t>
  </si>
  <si>
    <t>v_svSM-UqjNWE</t>
  </si>
  <si>
    <t>A woman is seen sitting under an umbrella with a hookah stick in her mouth.</t>
  </si>
  <si>
    <t>She takes a couple puffs from the stick while blowing it into the camera and speaking to the camera.</t>
  </si>
  <si>
    <t>v_pu-2w-UxdYg</t>
  </si>
  <si>
    <t>The woman wipes down the furniture with acetone.</t>
  </si>
  <si>
    <t>Woman sprays silicone on table and wipes it off.</t>
  </si>
  <si>
    <t>Woman compares old section to cleaned section.</t>
  </si>
  <si>
    <t>v_f2LGG2ocbu8</t>
  </si>
  <si>
    <t>A large group of people are seen sitting around a pit with one man spinning around and throwing a ball off into the distance.</t>
  </si>
  <si>
    <t>People around him clap while more stand around and talk as well as watch the balls be thrown.</t>
  </si>
  <si>
    <t>The people grab the ball from the ground over and over again while occasionally looking over to the camera and panning back to the large crowd.</t>
  </si>
  <si>
    <t>v_NyNuB328oi0</t>
  </si>
  <si>
    <t>A ball is shown flying up in the sky while a large group of people stand around.</t>
  </si>
  <si>
    <t>A person is then seen grabbing the ball on the ground.</t>
  </si>
  <si>
    <t>The person catches the ball and the clip is shown again in slow motion.</t>
  </si>
  <si>
    <t>v_4avZ79LB5n4</t>
  </si>
  <si>
    <t>At an outdoor poor facility people are in the pool and others are outside standing by.</t>
  </si>
  <si>
    <t>There are two boys on the diving board preparing to jump down.</t>
  </si>
  <si>
    <t>They get in a unique position and then simultaneously dive in together.</t>
  </si>
  <si>
    <t>They make a huge splash as they land inside the water.</t>
  </si>
  <si>
    <t>v_InHt3sukfeg</t>
  </si>
  <si>
    <t>A picture of a patio set is shown followed by a woman scrubbing down the tables and chairs.</t>
  </si>
  <si>
    <t>She wipes them down with a rag and then shakes up a can and spray paints the furniture.</t>
  </si>
  <si>
    <t>More close ups are shown of the furniture while text instructions pan over the screen.</t>
  </si>
  <si>
    <t>v_5qh_gx81Bd8</t>
  </si>
  <si>
    <t>A man stands in a dance studio and shows how he sets up for different dance postures.</t>
  </si>
  <si>
    <t>The man in white tshirt does a spins while break dancing.</t>
  </si>
  <si>
    <t>v_Lk_Xe9yQ8Zc</t>
  </si>
  <si>
    <t>man is in stage in the news.</t>
  </si>
  <si>
    <t>people are in street jumping the rope and dancing while people gathered around them are watching them.</t>
  </si>
  <si>
    <t>an old chinese woman is being interviewed.</t>
  </si>
  <si>
    <t>old man is talking to the camera.</t>
  </si>
  <si>
    <t>woman is holding a microphone talking to the camera jumping the rope.</t>
  </si>
  <si>
    <t>woman is jumping the rope and doing somersaults.</t>
  </si>
  <si>
    <t>women are being interviewed and behind her people are jumping the rope.</t>
  </si>
  <si>
    <t>people are in stage in competition jumping the rope.</t>
  </si>
  <si>
    <t>women are in street being interviewed and people keep jumping the rope.</t>
  </si>
  <si>
    <t>v_of4bEaqQzOk</t>
  </si>
  <si>
    <t>The man in blue leotard raised the barbel, but he let go of the barbel and he fell on his back.</t>
  </si>
  <si>
    <t>The man in red leotard carried the barbel all the way up his head the crowd cheered.</t>
  </si>
  <si>
    <t>The athlete raised his barbel but wasn't able to go all the way up his head.</t>
  </si>
  <si>
    <t>The crowd is cheering while the athletes are able to raise the barbel all up his head.</t>
  </si>
  <si>
    <t>v_cC1nvRqyXWs</t>
  </si>
  <si>
    <t>A man in blue gym shorts iron his clothes on an ironing board at home.</t>
  </si>
  <si>
    <t>The man sits down on the floor and folds his clothes and stacks them up.</t>
  </si>
  <si>
    <t>The man leaves the room and the room goes dark.</t>
  </si>
  <si>
    <t>v_rbLCMaf3phk</t>
  </si>
  <si>
    <t>A man stands in a large arena.</t>
  </si>
  <si>
    <t>She throws a heavy ball really far.</t>
  </si>
  <si>
    <t>He does this again and again.</t>
  </si>
  <si>
    <t>He throws the balls really far.</t>
  </si>
  <si>
    <t>v_Pso333FAp2w</t>
  </si>
  <si>
    <t>Outside a dog is laying down on the pavement when a human picks up a frisbee and throws it.</t>
  </si>
  <si>
    <t>The dog excitedly runs after it and come running back with it, bringing it back to his human.</t>
  </si>
  <si>
    <t>He disappears for a little bit and then you see him excitedly get ready to run for it again.</t>
  </si>
  <si>
    <t>Once he see's the frisbee flying he starts to run for it and brings it back every time.</t>
  </si>
  <si>
    <t>v_t3Zg4mSksXk</t>
  </si>
  <si>
    <t>There are a few teenage boys skateboarding on a quiet streets in a neighborhood.</t>
  </si>
  <si>
    <t>They are going down the street, trying some stunts on the skateboard.</t>
  </si>
  <si>
    <t>There are a some leaves fallen on the curb.</t>
  </si>
  <si>
    <t>One of the boys bends down and skates in a seated position.</t>
  </si>
  <si>
    <t>The boys continue skateboarding through the streets, going past houses in the residential area.</t>
  </si>
  <si>
    <t>v_H6hb3SIqdL4</t>
  </si>
  <si>
    <t>A man in a striped shirt prepares to throw dart at a dart board.</t>
  </si>
  <si>
    <t>The man throws three darts at the dartboard.</t>
  </si>
  <si>
    <t>The camera man pans to the side of the dartboard and zooms in on the darts as the man in the striped shirt reaches for the dart board.</t>
  </si>
  <si>
    <t>v_S9QG5MAga68</t>
  </si>
  <si>
    <t>An ad for Vidal Sassoon appears.</t>
  </si>
  <si>
    <t>We then see their curling iron and hot roller set.</t>
  </si>
  <si>
    <t>A demonstration is shown for how to set and use the hot rollers and iron on a woman's hair.</t>
  </si>
  <si>
    <t>Her hair is shown in pretty curls all around her head.</t>
  </si>
  <si>
    <t>v_uRBE-ANigvs</t>
  </si>
  <si>
    <t>An intro shot of various athletes are shown.</t>
  </si>
  <si>
    <t>A man is then shown throwing a discus on a large field.</t>
  </si>
  <si>
    <t>Another man is also shown doing the same with a still shot of him afterwards showing his posture and his throw in slow motion.</t>
  </si>
  <si>
    <t>He is then shown walking away and feeling very confident about what he just accomplished.</t>
  </si>
  <si>
    <t>v_4kbtdUz2M3M</t>
  </si>
  <si>
    <t>Various people are seen wandering around a beach, followed by waves moving along the water and people sitting in the water.</t>
  </si>
  <si>
    <t>Several people surfing the waves while people on the sidelines watch the athletes move.</t>
  </si>
  <si>
    <t>v_00S8I27qDU4</t>
  </si>
  <si>
    <t>A lady holds a javelin on a track she puts it down.</t>
  </si>
  <si>
    <t>The scene starts over and we see a lady throw a javelin and walk away.</t>
  </si>
  <si>
    <t>We then see the throw measured and a man walks up as talks to the girl.</t>
  </si>
  <si>
    <t>v__8m1tlowwKM</t>
  </si>
  <si>
    <t>A man with long sideburns wearing a red colored robe is playing the piano.</t>
  </si>
  <si>
    <t>there's another man in a blue shirt standing near him, busy engaged in packing some bags.</t>
  </si>
  <si>
    <t>The main in red continues playing the piano as the other man carries two bags and leaves.</t>
  </si>
  <si>
    <t>The man stops playing the piano and waves to the other person as he gets up and leaves.</t>
  </si>
  <si>
    <t>v_TdZOfBHjU5g</t>
  </si>
  <si>
    <t>There's a person wearing blue latex gloves polishing a hexagonal wooden table to demonstrate French polishing technique.</t>
  </si>
  <si>
    <t>He is using a polishing sponge to polish the table top surface in circular motion.</t>
  </si>
  <si>
    <t>He then goes in up and down motion over the table surface to make it shiny.</t>
  </si>
  <si>
    <t>He meticulously goes over the entire surface making sure no part of the table is left untouched.</t>
  </si>
  <si>
    <t>He then starts polishing the surface of a dinning room buffet that has bamboo finish doors.</t>
  </si>
  <si>
    <t>He again polishes in circular motions on the top surface.</t>
  </si>
  <si>
    <t>v_cRpzDPS6zeY</t>
  </si>
  <si>
    <t>A man and a woman are performing a couple's dance routine while other couples dance around them.</t>
  </si>
  <si>
    <t>A group of onlookers watch the couples spin around and continue the dance routine.</t>
  </si>
  <si>
    <t>v_HGqaDftZe5s</t>
  </si>
  <si>
    <t>We see small kids ride BMX bikes on a dirt track in an arena.</t>
  </si>
  <si>
    <t>The kids ride past the camera.</t>
  </si>
  <si>
    <t>The kids start passing the finish line.</t>
  </si>
  <si>
    <t>v_p4MMyVArVc0</t>
  </si>
  <si>
    <t>A woman is balancing on a tight rope outdoors.</t>
  </si>
  <si>
    <t>The woman is showing various acrobatic moves.</t>
  </si>
  <si>
    <t>The woman is bouncing on the wire.</t>
  </si>
  <si>
    <t>An animal is in the field in the background.</t>
  </si>
  <si>
    <t>v_OT98MiVje0g</t>
  </si>
  <si>
    <t>A close up is seen of Christmas decorations.</t>
  </si>
  <si>
    <t>A man in Santa Claus costume plays a drum set in a home with a lit up Christmas tree.</t>
  </si>
  <si>
    <t>The man dressed up as Santa finishes playing the song on drums.</t>
  </si>
  <si>
    <t>v_DeHIqrMlsU8</t>
  </si>
  <si>
    <t>The video begins with several shots of a person riding down a hill on a skateboard and doing tricks.</t>
  </si>
  <si>
    <t>The boy continues to ride around on a skateboard doing flips and tricks and the camera capturing him from several angles.</t>
  </si>
  <si>
    <t>v_haUWdHvwpUo</t>
  </si>
  <si>
    <t>A man is giving instructions about playing the congo.</t>
  </si>
  <si>
    <t>He speaks with his hands and then he taps the top of the congo very lightly.</t>
  </si>
  <si>
    <t>He starts to tap lightly on the congo at a very slow tempo and after a little bit of doing that he stops to start talking again.</t>
  </si>
  <si>
    <t>Finally, he starts using both of his hands to build up an actual beat and talks some more about it.</t>
  </si>
  <si>
    <t>v_JQf_oSGY8q4</t>
  </si>
  <si>
    <t>There's a woman dressed in black playing billiards in front of some spectators.</t>
  </si>
  <si>
    <t>After she's done another lady takes her turn and hits a few shots.</t>
  </si>
  <si>
    <t>The second contestant aims and shoots the ball in the hole.</t>
  </si>
  <si>
    <t>She aims precisely and shoots the balls in the holes one by one, without missing a single shot.</t>
  </si>
  <si>
    <t>She continues to concentrate and shoots the balls till only one ball is left on the billiards table.</t>
  </si>
  <si>
    <t>v_cErtrZrWhiQ</t>
  </si>
  <si>
    <t>Two men dressed in suits are facing one another with a hand on each others back, and holding hands with the other one and they dance in one direction, then back in another and then laugh and separate.</t>
  </si>
  <si>
    <t>Right where the men separate from dancing there is an Asian woman that is now the focus as she plays on an accordion keyboard.</t>
  </si>
  <si>
    <t>The woman stops playing, laughs and looks and says something.</t>
  </si>
  <si>
    <t>v_gPjH9C9wdJw</t>
  </si>
  <si>
    <t>A man is holding a guitar and looks back and fourth between the camera and the guitar.</t>
  </si>
  <si>
    <t>He moves his hands up and down the neck of the guitar and sings softly to the camera.</t>
  </si>
  <si>
    <t>v_fBxpQxIqGN8</t>
  </si>
  <si>
    <t>A person in pink does tai chi.</t>
  </si>
  <si>
    <t>She moves around but is basically doing the same basic thing.</t>
  </si>
  <si>
    <t>She stops and is still at the end.</t>
  </si>
  <si>
    <t>v_IGXq7a7Jl7s</t>
  </si>
  <si>
    <t>Several athletes compete for the javelin world championships.</t>
  </si>
  <si>
    <t>The Russia Dimitri is 3rd bronze medal in the competition.</t>
  </si>
  <si>
    <t>the Japanese Jenki is silver medal.</t>
  </si>
  <si>
    <t>Till from Germany won the gold medal.</t>
  </si>
  <si>
    <t>v_nvFtFFJXxB0</t>
  </si>
  <si>
    <t>An intro leads into hands seen playing a musical instrument while pausing the point on the instrument.</t>
  </si>
  <si>
    <t>He continues moving his hands around to play and is then seen speaking to the camera.</t>
  </si>
  <si>
    <t>v_rZ8tVgFyY84</t>
  </si>
  <si>
    <t>A man wearing surgical clothes demonstrates the proper way to wash hands for surgical procedures and first removes jewelry.</t>
  </si>
  <si>
    <t>The surgeon then wets his hands and ads soap.</t>
  </si>
  <si>
    <t>The surgeon then rubs the palms together and builds a lather.</t>
  </si>
  <si>
    <t>He then rubs back of hand with palm.</t>
  </si>
  <si>
    <t>The surgeon then rubs the back of fingers with hands.</t>
  </si>
  <si>
    <t>He then rubs the thumbs with the palm clasping thumb.</t>
  </si>
  <si>
    <t>Then he rubs the tips of the fingers into palm.</t>
  </si>
  <si>
    <t>Then he rubs the wrists and rinses the hands in wter and fully dries his hands.</t>
  </si>
  <si>
    <t>v_VqeeqABnpQk</t>
  </si>
  <si>
    <t>A dancer stands up from a chair.</t>
  </si>
  <si>
    <t>He pushes the chair towards him female dance partner.</t>
  </si>
  <si>
    <t>She sits on the chair.</t>
  </si>
  <si>
    <t>He walks towards her, picking her up from the chair and they dance.</t>
  </si>
  <si>
    <t>People in the audience applaud.</t>
  </si>
  <si>
    <t>v_CAW0CEuyvZo</t>
  </si>
  <si>
    <t>A girl is in front of a camera.</t>
  </si>
  <si>
    <t>She applies light pink lip gloss to her lips.</t>
  </si>
  <si>
    <t>v_xS6elK6Khs4</t>
  </si>
  <si>
    <t>A man is seen sitting in front of a fence sitting on a skateboard and speaking to the camera.</t>
  </si>
  <si>
    <t>Several shots are then shown of him speaking to the camera and performing various skateboarding tricks around a park.</t>
  </si>
  <si>
    <t>v_QIkDYInr17A</t>
  </si>
  <si>
    <t>Two young children are seen standing behind a table with one peeling lemons and a boy watching on the side.</t>
  </si>
  <si>
    <t>Another child is seen squeezing lemons and zooms in on the kids working.</t>
  </si>
  <si>
    <t>The kids continue to squeeze the lemon while looking and waving to the camera and speaking on the side.</t>
  </si>
  <si>
    <t>v_IwViXKNNBEU</t>
  </si>
  <si>
    <t>A man prepares himself to throw a discus.</t>
  </si>
  <si>
    <t>Multiple people walk around and talk in the background.</t>
  </si>
  <si>
    <t>The man spins and throws the discus.</t>
  </si>
  <si>
    <t>v_vWULU8NttX8</t>
  </si>
  <si>
    <t>A group of bike riders are seen standing ready side by side with one another and speaking to a man in front.</t>
  </si>
  <si>
    <t>The camera continues to pan around the riders getting ready and finally jumping down and racing along the dirt path.</t>
  </si>
  <si>
    <t>v_cffsp2tCT5k</t>
  </si>
  <si>
    <t>A young girl is seen cutting a hole in the top of a pumpkin followed by her scooping out seeds and cutting out the sides.</t>
  </si>
  <si>
    <t>The girl wipes off the pumpkin and puts on the top and shows the pumpkin in the dark.</t>
  </si>
  <si>
    <t>v_APuN4vwgKJ4</t>
  </si>
  <si>
    <t>A woman standing at a counter speaking about making chocolate chip cookies.</t>
  </si>
  <si>
    <t>She combines and mixes the ingredients with a hand mixer.</t>
  </si>
  <si>
    <t>She then places flour into a bowl after she measures it along with baking soda.</t>
  </si>
  <si>
    <t>She adds it to the cookies dough and mixes it by hand then adds in the chocolate chips.</t>
  </si>
  <si>
    <t>She then measures out dough that is on a baking sheet for cooking.</t>
  </si>
  <si>
    <t>Placed in the oven and after they cool you have cookies.</t>
  </si>
  <si>
    <t>v_DXluU6_7OXQ</t>
  </si>
  <si>
    <t>A girl stands up from a table in a kitchen.</t>
  </si>
  <si>
    <t>She and another girl have glasses and spoons.</t>
  </si>
  <si>
    <t>They proceed to eat the substance as they sit on the floor.</t>
  </si>
  <si>
    <t>v_GldxuTsExZM</t>
  </si>
  <si>
    <t>A person holding a moose moves the puppet and leads into someone opening a box.</t>
  </si>
  <si>
    <t>The person pulls pumpkins out of the box and cuts a circle around the top.</t>
  </si>
  <si>
    <t>He scoops the seeds out of the pumpkin while using the moose and uses a marker to draw on its side.</t>
  </si>
  <si>
    <t>He cuts around the marker lines and puts a candle inside to make a jack o lantern.</t>
  </si>
  <si>
    <t>v_xBtydVn3MVI</t>
  </si>
  <si>
    <t>A man films himself standing in a bathroom while holding a razor close to his face.</t>
  </si>
  <si>
    <t>He begins gently shaving the sides of his face and moves down towards his beard.</t>
  </si>
  <si>
    <t>He continues shaving the beard from all angles and eventually leaves nothing but a five 0 lock shadow.</t>
  </si>
  <si>
    <t>v_YtFGG_7A_UU</t>
  </si>
  <si>
    <t>A middle aged white female is standing in a lobby of some sort next to a picture talking.</t>
  </si>
  <si>
    <t>She then reappears in another room of the same place and is talking in front of a mirror,vase,and plant.</t>
  </si>
  <si>
    <t>In her hand,she has a small circular container with shoe polish it and takes a rag and dips the rag in the container.</t>
  </si>
  <si>
    <t>The woman then proceeds to clean the male dress shoe with the cloth and polish.</t>
  </si>
  <si>
    <t>She then takes a brush and start going over the shoe with it and pauses briefly and begins talking.</t>
  </si>
  <si>
    <t>v_r5oPTDuHhoE</t>
  </si>
  <si>
    <t>A group of girls are shown standing around a field huddled up together.</t>
  </si>
  <si>
    <t>The next shots are of the girls running around the field passing the ball back and fourth.</t>
  </si>
  <si>
    <t>A girl shoots the ball into the goal and achieves a point.</t>
  </si>
  <si>
    <t>Another later tries to shoot a goal but is blocked by the goalie.</t>
  </si>
  <si>
    <t>v_A8q6beSMpEE</t>
  </si>
  <si>
    <t>A man is holding windex near his car door.</t>
  </si>
  <si>
    <t>The man then sprays the window with windex and wipes the window.</t>
  </si>
  <si>
    <t>The man rolls the window up.</t>
  </si>
  <si>
    <t>The man finishes and rolls the window down to wipe it some more.</t>
  </si>
  <si>
    <t>v_WX1TLuHXCd8</t>
  </si>
  <si>
    <t>Guys are playing lacrosse on a field.</t>
  </si>
  <si>
    <t>A guy pushes a male to the ground.</t>
  </si>
  <si>
    <t>v_FMtUqoxfR50</t>
  </si>
  <si>
    <t>A special effect intro screen appears, it's mainly red and contains words on it that say "How to Improve Your Volleyball Spike".</t>
  </si>
  <si>
    <t>In slow motion a man is on a volleyball court demonstrating moves as white text appears as he does certain movements.</t>
  </si>
  <si>
    <t>When he's done a red screen appears that include a website in white text that say's "AcuSpike dot com" and it includes a blue clip art going through it along with a white volleyball.</t>
  </si>
  <si>
    <t>v_SO67XxdevPw</t>
  </si>
  <si>
    <t>An African American male gymnast in a blue leotard steps under two bars and begins stretching.</t>
  </si>
  <si>
    <t>He grabs the bars and pulls himself up into a hand stand on the bars.</t>
  </si>
  <si>
    <t>He continues to do acrobatic flips and continuous flips.</t>
  </si>
  <si>
    <t>His next set of flips consists of splits over the bars,followed by hand stands.</t>
  </si>
  <si>
    <t>Finally, he flips off the bars and lands on the mat to complete his performance.</t>
  </si>
  <si>
    <t>v_hFtmkU7wdx4</t>
  </si>
  <si>
    <t>A sky with the sun is peeking through the clouds.</t>
  </si>
  <si>
    <t>A man is on a track in front of a crowd.</t>
  </si>
  <si>
    <t>He runs, doing a long jump in slow motion.</t>
  </si>
  <si>
    <t>He celebrates as he wins the medal.</t>
  </si>
  <si>
    <t>A man is shown talking about him.</t>
  </si>
  <si>
    <t>The credits appear at the end.</t>
  </si>
  <si>
    <t>v_t6vWMTMooDc</t>
  </si>
  <si>
    <t>A man and a woman are standing in a living room with large sumo costumes on.</t>
  </si>
  <si>
    <t>The girl jumps up and then the man tries it to see how heavy the uniform is.</t>
  </si>
  <si>
    <t>Next,the man holds up a bag of lemons and begin to talk before they put their head equipment on.</t>
  </si>
  <si>
    <t>Now,it is time for the match and they begin wrestling with one another.</t>
  </si>
  <si>
    <t>However,they've added a feature to the match and each person has to put lemons in the other's hat to gain points.</t>
  </si>
  <si>
    <t>After several attempts,the girl wins and the score is 4 to 0.</t>
  </si>
  <si>
    <t>Now begins round two and the outcome is the same as the girl cheats to win.</t>
  </si>
  <si>
    <t>v_FmugQfHQ4p0</t>
  </si>
  <si>
    <t>Two vacuums appear in a gray room.</t>
  </si>
  <si>
    <t>One of the vacuums disappears.</t>
  </si>
  <si>
    <t>A lady vacuums her house then empties the vacuum.</t>
  </si>
  <si>
    <t>The lady puts the vacuum in a closet.</t>
  </si>
  <si>
    <t>We see a room full of desks and engineers designing products.</t>
  </si>
  <si>
    <t>Three Dyson fans swivel toward the camera.</t>
  </si>
  <si>
    <t>v_pt6XC-p_CFE</t>
  </si>
  <si>
    <t>A woman is seen speaking to the camera and holding up a tin.</t>
  </si>
  <si>
    <t>She then folds a piece of paper into an airplane and rubs it along the pan.</t>
  </si>
  <si>
    <t>She then puts a container into the pan while speaking to the camera.</t>
  </si>
  <si>
    <t>v_0PyY_iHBZHk</t>
  </si>
  <si>
    <t>A man is seen speaking to the camera while showing shots of people playing water polo.</t>
  </si>
  <si>
    <t>More clips are shown of people hitting the ball as well as the host speaking to another man.</t>
  </si>
  <si>
    <t>More clips are shown of people playing in the pool and laughing with one another.</t>
  </si>
  <si>
    <t>v_J4FBxa5FWSo</t>
  </si>
  <si>
    <t>A man runs on a pair of stilts down an alley.</t>
  </si>
  <si>
    <t>He bounces over a bike as he runs.</t>
  </si>
  <si>
    <t>He then runs up the side trim of a building before disappearing around the corner.</t>
  </si>
  <si>
    <t>v_0O589B9zr84</t>
  </si>
  <si>
    <t>Cartoon buildings are shown, then a pair of angels.</t>
  </si>
  <si>
    <t>We see a bucket filled with laundry.</t>
  </si>
  <si>
    <t>The video explains how washing clothes should involve soaking and brushing, and hand washing.</t>
  </si>
  <si>
    <t>Then it talks about rinsing and hanging the clothing to dry.</t>
  </si>
  <si>
    <t>We finally see an empty dryer before an ad for Laundry Bin Heaven.</t>
  </si>
  <si>
    <t>v_smYAy6TYS3M</t>
  </si>
  <si>
    <t>A group of small children are on a playground.</t>
  </si>
  <si>
    <t>They take turns hopping across a game of hopscotch drawn on the sidewalk.</t>
  </si>
  <si>
    <t>They continue taking turns over and over.</t>
  </si>
  <si>
    <t>v_jE0XAclET5w</t>
  </si>
  <si>
    <t>A man is doing a rubiks cube behind a table.</t>
  </si>
  <si>
    <t>There is a timer on the table in front of him.</t>
  </si>
  <si>
    <t>He picks up another rubiks cube and starts completing it.</t>
  </si>
  <si>
    <t>v_drarkco9LfQ</t>
  </si>
  <si>
    <t>A man is about to do an arm wrestling match with an older gentlemen.</t>
  </si>
  <si>
    <t>The older man is struggling from the faces that he is making.</t>
  </si>
  <si>
    <t>The camera's are getting all in their faces basically.</t>
  </si>
  <si>
    <t>The older man wins the match and the referees and everyone start to talk.</t>
  </si>
  <si>
    <t>v_COeXmBZpLSE</t>
  </si>
  <si>
    <t>An intro to Dancing with the Stars shows followed by a man playing piano and a couple looking off into the distance.</t>
  </si>
  <si>
    <t>The woman begins playing the piano when the man standing plays and grabs her.</t>
  </si>
  <si>
    <t>They twirl around a large stage surrounded by hundreds of people watching them dance.</t>
  </si>
  <si>
    <t>The man picks her up and twirls her around the music and ends with audience clapping.</t>
  </si>
  <si>
    <t>v_800KXmqsK-w</t>
  </si>
  <si>
    <t>A group of people riding bumper cars.</t>
  </si>
  <si>
    <t>The attendant crosses the course dodging the bumper cars.</t>
  </si>
  <si>
    <t>The attendant hops onto a girls car and helps her maneuver the car.</t>
  </si>
  <si>
    <t>The attendant continues running across the course assisting drivers while the the other drivers continue to crash into each other.</t>
  </si>
  <si>
    <t>v_37siIMJNG9Y</t>
  </si>
  <si>
    <t>A young girl is sitting down in front of a screen and begins talking as she is holding a bottle of blue mouthwash.</t>
  </si>
  <si>
    <t>The girl then takes the mouthwash and starts to put it over head and playing with is while making funny faces.</t>
  </si>
  <si>
    <t>After taking about it,the girls takes a gulp of it and starts to gargle it and holds it in her mouth.</t>
  </si>
  <si>
    <t>Finally,she spits it out and takes a drink of water before the replay is shown.</t>
  </si>
  <si>
    <t>v_6uNhwOSZXco</t>
  </si>
  <si>
    <t>A man in a snow jacket is seated in a ski lift.</t>
  </si>
  <si>
    <t>A man in yellow jacket holds a rubber inter tube with a rope and a child in ski clothes sits down inside.</t>
  </si>
  <si>
    <t>The man pushes the child down a ski slope.</t>
  </si>
  <si>
    <t>The child goes down a set of hills on the intertube.</t>
  </si>
  <si>
    <t>A woman attempts to stop the child then retrieves his intertube.</t>
  </si>
  <si>
    <t>A group of young girls and boy pull intertubes up a hill.</t>
  </si>
  <si>
    <t>A child in green jacket gets into an intertube.</t>
  </si>
  <si>
    <t>The child is pushed down the ski slope and sleds to the bottom.</t>
  </si>
  <si>
    <t>A woman in grey sweatshirt retrieves the intertube at the bottom of the slope.</t>
  </si>
  <si>
    <t>A boy in green jacket is pushed down the ski slope.</t>
  </si>
  <si>
    <t>A woman an grey sweatshirt retrieves the intertube at the bottom of the slope.</t>
  </si>
  <si>
    <t>v_9vqOA8KVcME</t>
  </si>
  <si>
    <t>A lady talks to the camera.</t>
  </si>
  <si>
    <t>We see the lady hold up bottle of witch hazel and a cotton pad and talks.</t>
  </si>
  <si>
    <t>The lady holds up a bottle of lotion.</t>
  </si>
  <si>
    <t>We see the lady put lotion on her face and then hold a small bottle of serum she puts on her face.</t>
  </si>
  <si>
    <t>We see teh lady with makeup on talking to the camera.</t>
  </si>
  <si>
    <t>v_KYtV2vpwuVw</t>
  </si>
  <si>
    <t>1 A camera man watches men on bikes that are about to race.</t>
  </si>
  <si>
    <t>2 The race begins with the guys on bikes.</t>
  </si>
  <si>
    <t>3 One man wipes out.</t>
  </si>
  <si>
    <t>4 The race ends and the guys take their bikes.</t>
  </si>
  <si>
    <t>v_HRbBaePTCR8</t>
  </si>
  <si>
    <t>A man is driving a boat, then two men are sitting on the side of the boat, the man in black life vest is on the side of the boat then let go off the boat then start to wakeboard while he is holding on to the harness.</t>
  </si>
  <si>
    <t>The man continue to wake board, he flipped over and then wake board on the water.</t>
  </si>
  <si>
    <t>v_QjoEYtjPa3w</t>
  </si>
  <si>
    <t>We see an opening instruction screen.</t>
  </si>
  <si>
    <t>We see a person holding a contact lens.</t>
  </si>
  <si>
    <t>We see another instruction screen and see the person inserts the lens on the left.</t>
  </si>
  <si>
    <t>Another screen of instructions and the person inserts the right lens.</t>
  </si>
  <si>
    <t>Two sets of Instructions appear an the person removes the left and right lens.</t>
  </si>
  <si>
    <t>the person waves bye to the camera.</t>
  </si>
  <si>
    <t>v_5z6q_Ix3kWI</t>
  </si>
  <si>
    <t>A man is skiing very fast down a hillside and hops one for fun.</t>
  </si>
  <si>
    <t>He is now walking back up the mountain with difficulty.</t>
  </si>
  <si>
    <t>He skiis and walks up various hills.</t>
  </si>
  <si>
    <t>Skiis down a rather large hillside or mountain.</t>
  </si>
  <si>
    <t>He jumps off a hill and tries to do a 360 but falls.</t>
  </si>
  <si>
    <t>He skiis between some trees and on a path.</t>
  </si>
  <si>
    <t>v_32EWNGHBctI</t>
  </si>
  <si>
    <t>A professional tennis match is played during a tournament.</t>
  </si>
  <si>
    <t>The players talk on headsets during the match.</t>
  </si>
  <si>
    <t>A man prepares to serve the ball to start the match.</t>
  </si>
  <si>
    <t>The man serves the ball and scores a point.</t>
  </si>
  <si>
    <t>The opposing team has a turn to serve the ball.</t>
  </si>
  <si>
    <t>v_9SEc3QVBCo4</t>
  </si>
  <si>
    <t>A man is working outside a house.</t>
  </si>
  <si>
    <t>He uses a hammer and clamp on the shingles.</t>
  </si>
  <si>
    <t>He knocks each shingle off the house with the hammer.</t>
  </si>
  <si>
    <t>v_g5BPyMdlurg</t>
  </si>
  <si>
    <t>First this girl does a back bend and then another girl does a back walkover.</t>
  </si>
  <si>
    <t>Then someone else does a cartwheel and that same person does a round off.</t>
  </si>
  <si>
    <t>next someone does a front walkover and another girl does a standing back handspring along with other people who are doing gymnastic moves.</t>
  </si>
  <si>
    <t>v_bSBmunE-1KQ</t>
  </si>
  <si>
    <t>A man wearing a bag is seen speaking to the camera and leads into a group of people riding in a raft.</t>
  </si>
  <si>
    <t>One person paddles around and turns the ground around, leading back into the man speaking to the camera.</t>
  </si>
  <si>
    <t>v_gCuRcP4txc0</t>
  </si>
  <si>
    <t>A group of drummers dressed in all white outfits perform a song.</t>
  </si>
  <si>
    <t>An instructor stands in front of the group giving instructions.</t>
  </si>
  <si>
    <t>v_oBZ_oAUGO0E</t>
  </si>
  <si>
    <t>man is sitting in an ofice talking to the camera.</t>
  </si>
  <si>
    <t>a tattoo is shown in a back of a man and the man is tattoing him.</t>
  </si>
  <si>
    <t>man is standing laying no a stand getting a tatto on his back.</t>
  </si>
  <si>
    <t>v_eElKkhIJXCs</t>
  </si>
  <si>
    <t>A group of kids are playing on a field.</t>
  </si>
  <si>
    <t>The coaches talk to them as they run.</t>
  </si>
  <si>
    <t>They engage in a game of lacrosse together.</t>
  </si>
  <si>
    <t>v_oWaqaK58Tds</t>
  </si>
  <si>
    <t>A large group of people are seen standing on ice followed by various shots of curling tools and people playing the sport.</t>
  </si>
  <si>
    <t>A man is seen putting shoes on, walking along the ice while another helps him walk.</t>
  </si>
  <si>
    <t>The men continue to teach him how to glide along the ice and and use the brush to move the puck.</t>
  </si>
  <si>
    <t>v_tzbJ_CETeG8</t>
  </si>
  <si>
    <t>A group of men are in a sandy desert.</t>
  </si>
  <si>
    <t>They climb on top of camels and ride them.</t>
  </si>
  <si>
    <t>They ride the camels toward a set of pyramids.</t>
  </si>
  <si>
    <t>v_pwoy7UXdnAE</t>
  </si>
  <si>
    <t>We see a title screen fade in and out.</t>
  </si>
  <si>
    <t>A man and a dog walk in a training room.</t>
  </si>
  <si>
    <t>The man throws Frisbees for the dog to catch.</t>
  </si>
  <si>
    <t>The dog stands to catch the Frisbee the leans on the man.</t>
  </si>
  <si>
    <t>The dog jumps into the man's arms.</t>
  </si>
  <si>
    <t>v_L9dtiopWGe4</t>
  </si>
  <si>
    <t>A table of various cut fruits appear on screen with the title "Making Drinks".</t>
  </si>
  <si>
    <t>A person cuts and squeezes lemons followed by the title "Making Lemonade Is Easy and Fun".</t>
  </si>
  <si>
    <t>Different items needed to make lemonade are shown and titled followed by interviews.</t>
  </si>
  <si>
    <t>Each step of making lemonade is shown and titled.</t>
  </si>
  <si>
    <t>People are interviewed drinking the lemonade.</t>
  </si>
  <si>
    <t>A "Citrus Saturday" logo appears with various supporting organization logos beneath.</t>
  </si>
  <si>
    <t>v_wideKBXF-60</t>
  </si>
  <si>
    <t>An intro appears showing empty glasses, a card that say's "Audi Polo Challenge 2014", an Audi flag blowing in the wind, close up shots of a white horse, people with drinks, cars driving, polo riders getting on their horses, and a large group of people near and in a tent both standing and sitting.</t>
  </si>
  <si>
    <t>The polo match begins and the men are riding on hroses that are going very fast as they all attempt to hit the ball with their sticks.</t>
  </si>
  <si>
    <t>There are a lot of celebrities and even royalty at this polo event and every now and then they are shown, and sometimes they are also interviewed.</t>
  </si>
  <si>
    <t>Between matches the people all go out into the grass and put the patches of grass back into the holes that are missing them, and the polo game continues for another round.</t>
  </si>
  <si>
    <t>The polo match ends and Prince Harry and Prince William are seen separately receiving a white box from a man, while they talk and shake hands as people clap and take pictures.</t>
  </si>
  <si>
    <t>v_q3NOVbRyFfw</t>
  </si>
  <si>
    <t>People are seen walking in the forest carrying tubes and lead into them sitting in the water.</t>
  </si>
  <si>
    <t>More people climb into the water and sit on top of their tubes.</t>
  </si>
  <si>
    <t>Several close ups are seen of the people riding on the tubes as well as swimming in the water.</t>
  </si>
  <si>
    <t>v_uv7COBs24D8</t>
  </si>
  <si>
    <t>written instructions about how to makea hand lay down are in the screen.</t>
  </si>
  <si>
    <t>man is standing in a basket court dribbling the ball and doing shos to the basket.</t>
  </si>
  <si>
    <t>three basket players are doing shots and showing how to do a two steps technique.</t>
  </si>
  <si>
    <t>v_UaZcqOngDzo</t>
  </si>
  <si>
    <t>Two kids are seen riding in a truck moving down a road as well as shots of landscapes and the kids sitting on bikes.</t>
  </si>
  <si>
    <t>Several shots are shown of the kids riding around a dirt track with one another while the camera captures them all over.</t>
  </si>
  <si>
    <t>v_Taw5ILRt9hI</t>
  </si>
  <si>
    <t>There's a woman with red colored hair wearing a black tank top and printed black tights skating on roller blades through the streets of a city.</t>
  </si>
  <si>
    <t>The streets don't have any cars but people are riding bikes or skateboarding.</t>
  </si>
  <si>
    <t>The woman swiftly skates through the crowded streets as she passes by several tourists walking leisurely.</t>
  </si>
  <si>
    <t>v_8d7FyPzxzjg</t>
  </si>
  <si>
    <t>A man flies in the air with on a motorcycle.</t>
  </si>
  <si>
    <t>A man makes a motocross circuit using a heavy machine.</t>
  </si>
  <si>
    <t>People runs motocross on an bumpy road.</t>
  </si>
  <si>
    <t>people ride a motorcycle on ramps, and then flies and spin in the air.</t>
  </si>
  <si>
    <t>v_8ZPV7ySIcbM</t>
  </si>
  <si>
    <t>men are walking to a bike shop and talks with the man inside.</t>
  </si>
  <si>
    <t>they are assembling different pieces of the bike.</t>
  </si>
  <si>
    <t>man says goodbye and leaves the shop and get home where man carry the bike and put it in a living room.</t>
  </si>
  <si>
    <t>man is wriing on white papers and is fixing the bike on the garage.</t>
  </si>
  <si>
    <t>v_U0p4tW1LoPg</t>
  </si>
  <si>
    <t>A group of people wearing swim caps move around a pool and toss a ball around with a man on the sides waving a flag.</t>
  </si>
  <si>
    <t>They play a game of water polo and throw the ball around to each other.</t>
  </si>
  <si>
    <t>One throws the ball into the net and causes the people on the side to jump and cheer.</t>
  </si>
  <si>
    <t>A video of the event shows in slow motion followed by men on the sidelines watching.</t>
  </si>
  <si>
    <t>v_tJLm2D4J3X0</t>
  </si>
  <si>
    <t>People are running down a track and jumping into a sand pit.</t>
  </si>
  <si>
    <t>People are standing on the side of the track watching them.</t>
  </si>
  <si>
    <t>The man is posing in front of a sign.</t>
  </si>
  <si>
    <t>v_qxQWNu_MN94</t>
  </si>
  <si>
    <t>He jumps off into the pool below him.</t>
  </si>
  <si>
    <t>Another person steps onto the diving board.</t>
  </si>
  <si>
    <t>v_f-uRpjoKGLQ</t>
  </si>
  <si>
    <t>Two people are seen riding along on skis while speaking to one another and leads into them riding down a snowy hill.</t>
  </si>
  <si>
    <t>The people continuously push themselves quickly down a hill moving past several people and ending by stopping at the end.</t>
  </si>
  <si>
    <t>v_4pSWTD4vAz0</t>
  </si>
  <si>
    <t>A dog rides on a boat with his owners.</t>
  </si>
  <si>
    <t>A crab is seen crawling on the bottom of a lake.</t>
  </si>
  <si>
    <t>People water ski behind a boat on a calm lake.</t>
  </si>
  <si>
    <t>The person lets go of the tug rope and glides towards the shore of the lake.</t>
  </si>
  <si>
    <t>The group prepare a chair on a sled with a rope on shore.</t>
  </si>
  <si>
    <t>A man is pulled on a sled from the shore then on the lake.</t>
  </si>
  <si>
    <t>The group removes the sled from the water and lifts it to drain the water.</t>
  </si>
  <si>
    <t>v_rWHm1-o_zL0</t>
  </si>
  <si>
    <t>A shiny mopped floor is shown.</t>
  </si>
  <si>
    <t>A janitor is shown rolling rugs, scraping gum, putting out signs, and mopping floors.</t>
  </si>
  <si>
    <t>He goes into a closet and picks out the cleaner he uses while he talks about it.</t>
  </si>
  <si>
    <t>He sprays water and the cleaning solution into his mop cart.</t>
  </si>
  <si>
    <t>He is then shown mopping the floor with the solution.</t>
  </si>
  <si>
    <t>He takes everything apart and puts it away before washing his hands for the day.</t>
  </si>
  <si>
    <t>v_beASFdYJFUU</t>
  </si>
  <si>
    <t>Women are playing indoor hockey and competing.</t>
  </si>
  <si>
    <t>They begin fighting over the inflatable pucks.</t>
  </si>
  <si>
    <t>They are shown talking to the camera about the game.</t>
  </si>
  <si>
    <t>The women are again shown playing hockey in a competition with one another.</t>
  </si>
  <si>
    <t>A close up is shown of the puck.</t>
  </si>
  <si>
    <t>v_Vckc3ZOollk</t>
  </si>
  <si>
    <t>Several outside views of a casino are shown.</t>
  </si>
  <si>
    <t>Card players and the dealer at a table are shown engaging in a game inside the casino.</t>
  </si>
  <si>
    <t>The dealer deals cards to each player.</t>
  </si>
  <si>
    <t>The dealer reveals the dealer's hand.</t>
  </si>
  <si>
    <t>One man talks to the camera while another man stands nearby.</t>
  </si>
  <si>
    <t>v_ZC65qkYMy9Q</t>
  </si>
  <si>
    <t>Several people are seen standing around an arena while others stand to play shuffleboard.</t>
  </si>
  <si>
    <t>A man pushes a puck along several times while others do the same behind him.</t>
  </si>
  <si>
    <t>The people continue playing and end with a man speaking to the camera in the end.</t>
  </si>
  <si>
    <t>v_U_ZW0tTvf0k</t>
  </si>
  <si>
    <t>A girl is seen laying on a table with a man piercing her belly button below her.</t>
  </si>
  <si>
    <t>The girl screams in pain and the man finishes her piercing while she looks to the camera.</t>
  </si>
  <si>
    <t>v_95L-8JtlwRU</t>
  </si>
  <si>
    <t>A pair of white and red nike shoes are shown.</t>
  </si>
  <si>
    <t>A man is using inserts to prepare the shoes.</t>
  </si>
  <si>
    <t>He then uses a brush and cleaning solution to wash the shoes.</t>
  </si>
  <si>
    <t>v_bBXbFpJMveI</t>
  </si>
  <si>
    <t>We see men skateboarding near a parking lot.</t>
  </si>
  <si>
    <t>We see two men talking to each other.</t>
  </si>
  <si>
    <t>We see the man in khakis stumble and fail repeatedly.</t>
  </si>
  <si>
    <t>We see a man holding a cell phone and talking to the skater.</t>
  </si>
  <si>
    <t>The men shake hands and the cameraman points at the skater.</t>
  </si>
  <si>
    <t>We see the subscribe screen.</t>
  </si>
  <si>
    <t>We see people riding and see a man ride a red toy kids skateboard and the cameraman kicks it across the lot.</t>
  </si>
  <si>
    <t>v_99Mk5a8Tvyk</t>
  </si>
  <si>
    <t>There's a man wearing a red hat and a black shirt training and playing with his dog in a dog park.</t>
  </si>
  <si>
    <t>There are several other people in that park with their dogs, sitting under canopies.</t>
  </si>
  <si>
    <t>The man is throwing a Frisbee for the dog to fetch.</t>
  </si>
  <si>
    <t>The dog is running around and fetching the Frisbee for its owner.</t>
  </si>
  <si>
    <t>The dog jumps up high to catch the Frisbee.</t>
  </si>
  <si>
    <t>The man also throws a ball to the dog for him to fetch.</t>
  </si>
  <si>
    <t>The man lifts the dog up and walks away with it.</t>
  </si>
  <si>
    <t>v_fYIr-1aIHmA</t>
  </si>
  <si>
    <t>We see a black screen and the title.</t>
  </si>
  <si>
    <t>We see a boy holding onto to a pole being pulled by a boat.</t>
  </si>
  <si>
    <t>He gets on his feet and skis.</t>
  </si>
  <si>
    <t>The boy loses his balance and fall off the pole entirely.</t>
  </si>
  <si>
    <t>A girl is next to hold onto the bar of the boat.</t>
  </si>
  <si>
    <t>The girls looks at the camera before she looses her footing and falls off the bar.</t>
  </si>
  <si>
    <t>v_n9Fqjdwh-L8</t>
  </si>
  <si>
    <t>A woman in an orange shirt is doing various karate moves.</t>
  </si>
  <si>
    <t>She does a back flip on the mat.</t>
  </si>
  <si>
    <t>v_E0U3v4WLuEA</t>
  </si>
  <si>
    <t>A man demonstrates how to install some grips onto bicycle handles.</t>
  </si>
  <si>
    <t>First he installs some rings onto the grips themselves.</t>
  </si>
  <si>
    <t>Next he screws on some screws to have them ready.</t>
  </si>
  <si>
    <t>He then slides on the grips onto the handles of the bike.</t>
  </si>
  <si>
    <t>He completes the tightening of the grips with an Alan wrench.</t>
  </si>
  <si>
    <t>Last he inserts plugs into the end of the grips and the handle bars.</t>
  </si>
  <si>
    <t>v_1SdH6HFnOZA</t>
  </si>
  <si>
    <t>men are playing beach football in a empty court.</t>
  </si>
  <si>
    <t>man kick another player on the head and he holds his head.</t>
  </si>
  <si>
    <t>v_jPLJAYnjsBw</t>
  </si>
  <si>
    <t>Two woman are riding in a car.</t>
  </si>
  <si>
    <t>The passenger is talking to the camera.</t>
  </si>
  <si>
    <t>They are demonstrating dance moves.</t>
  </si>
  <si>
    <t>The driver is talking to the camera.</t>
  </si>
  <si>
    <t>The passenger is now talking to the camera.</t>
  </si>
  <si>
    <t>The driver is looking at the camera and smiling while driving.</t>
  </si>
  <si>
    <t>A girl is looking in a mirror holding a tattoo pattern on her shoulder.</t>
  </si>
  <si>
    <t>Another girl is lying on a bed while another girl gives her a tattoo.</t>
  </si>
  <si>
    <t>The other girl is sitting on a stool while a man gives her a tattoo her shoulder.</t>
  </si>
  <si>
    <t>A hand reaches out from behind the camera.</t>
  </si>
  <si>
    <t>A girl is talking to the camera with her hand on her shoulder.</t>
  </si>
  <si>
    <t>Another girl is talking to the camera and making hand gestures.</t>
  </si>
  <si>
    <t>Both girls are talking to the camera.</t>
  </si>
  <si>
    <t>v_lp_Rwbp8S1k</t>
  </si>
  <si>
    <t>A man in a black coat is shoveling snow with a shovel.</t>
  </si>
  <si>
    <t>He picks up a large shovel full of snow and tosses it next to him.</t>
  </si>
  <si>
    <t>He continues shoveling the driveway.</t>
  </si>
  <si>
    <t>v_1tRTSOnylOs</t>
  </si>
  <si>
    <t>A man is in an arena fighting a bull.</t>
  </si>
  <si>
    <t>He swings the cape and runs near other men, teasing the bull into chasing him.</t>
  </si>
  <si>
    <t>The bull slams into the side of a horse being ridden by a man before running back towards the man with the cape.</t>
  </si>
  <si>
    <t>The man on the horse rides away to the side.</t>
  </si>
  <si>
    <t>v_iL__89eDRzg</t>
  </si>
  <si>
    <t>An intro comes onto the screen introducing the video clip.</t>
  </si>
  <si>
    <t>Two people are shown frolicking around in the lake.</t>
  </si>
  <si>
    <t>After that, they take off in motion in the water connected by a cord to a speed boat.</t>
  </si>
  <si>
    <t>The video ends when they both fall int the water.</t>
  </si>
  <si>
    <t>v_THtDZ6g9csA</t>
  </si>
  <si>
    <t>A lady paints her fingernails a plum color.</t>
  </si>
  <si>
    <t>She then puts streaks and dots of black and silver on the nails to create a design.</t>
  </si>
  <si>
    <t>She finishes and shows her painted nails.</t>
  </si>
  <si>
    <t>v_lR4vyq1WbyU</t>
  </si>
  <si>
    <t>A man is seen speaking to others off in the distance and begins pushing a man around a room.</t>
  </si>
  <si>
    <t>He continues pushing the man while many watch on the side.</t>
  </si>
  <si>
    <t>The man stands up and looks surprised as he's continuously pushed down.</t>
  </si>
  <si>
    <t>v_RZpbFG3j-Bo</t>
  </si>
  <si>
    <t>A lady stands outside and talks.</t>
  </si>
  <si>
    <t>The lady is let in an office where she undergoes an eye exam.</t>
  </si>
  <si>
    <t>A eye contact is examined using a tool and a human hand.</t>
  </si>
  <si>
    <t>Several items associated with contacts lenses wear are displayed.</t>
  </si>
  <si>
    <t>A man washes his hand.</t>
  </si>
  <si>
    <t>A lady picks up a contact lens.</t>
  </si>
  <si>
    <t>A man writes the letter l on a paper.</t>
  </si>
  <si>
    <t>A hand bends a contact lens.</t>
  </si>
  <si>
    <t>A man puts a contact lens in.</t>
  </si>
  <si>
    <t>A lady puts each contact lens in.</t>
  </si>
  <si>
    <t>The lady shakes the man's hand.</t>
  </si>
  <si>
    <t>v_hPIHCG5n7RI</t>
  </si>
  <si>
    <t>A small group of people are seen playing a game of lacrosse on a field with a man walking towards them.</t>
  </si>
  <si>
    <t>The man yells to the players as they run up and down the field and continues to watch them as they play.</t>
  </si>
  <si>
    <t>v_Fpivz0Yie_Q</t>
  </si>
  <si>
    <t>A van towing a car drives by view of blue road signs are shown and in white letters they read "WALTON", "Ontario's West Coast" and "MOTORCROSS TOWN".</t>
  </si>
  <si>
    <t>A lot of people are now shown walking or riding bikes at a large gathering as other people are hanging out under tents.</t>
  </si>
  <si>
    <t>A group of men are at a starting line of a large motor cross track and they begin to go around and around while people watch on.</t>
  </si>
  <si>
    <t>When they are done going around the track various clips of people doing different things are shown again.</t>
  </si>
  <si>
    <t>v_iaqFvTpoceI</t>
  </si>
  <si>
    <t>Cheerleaders are standing on a blue mat.</t>
  </si>
  <si>
    <t>They start doing a routine on the mat.</t>
  </si>
  <si>
    <t>They hold up signs in the air.</t>
  </si>
  <si>
    <t>They finish their routine and wave at the audience.</t>
  </si>
  <si>
    <t>v_rYumFn7S1YA</t>
  </si>
  <si>
    <t>A woman is holding an athlete's ankle while sh is on the beam.</t>
  </si>
  <si>
    <t>The woman is making the athlete raiser her ankle a and walk to the beam, she guide the athlete as she walks.</t>
  </si>
  <si>
    <t>The athlete walked backwards with her ankle's up, then the woman guided her as she turns around.</t>
  </si>
  <si>
    <t>v_qK2iRSxxRQU</t>
  </si>
  <si>
    <t>A bellydancer in green begins her routine, smiling for the audience.</t>
  </si>
  <si>
    <t>She is joined by two more dancers who are in red and each does their own moves before coming together.</t>
  </si>
  <si>
    <t>They again break for solo performances, each dancer getting a moment to show off.</t>
  </si>
  <si>
    <t>They return to dancing together and the performance ends.</t>
  </si>
  <si>
    <t>v_RkBHHWFh2rk</t>
  </si>
  <si>
    <t>The video leads into several shots of people riding skateboards as well as riding on a tire and walking next to each other.</t>
  </si>
  <si>
    <t>They're seen looking and laughing to the camera while more shots of people riding down on skateboards are shown.</t>
  </si>
  <si>
    <t>v_u1upxlAgsqM</t>
  </si>
  <si>
    <t>Three people do a basketball drill of driving to the hoop.</t>
  </si>
  <si>
    <t>They take turns playing different positions and doing a layup.</t>
  </si>
  <si>
    <t>v_arTumJHoLB0</t>
  </si>
  <si>
    <t>A young man is seen looking off into the distance with lotion on his face.</t>
  </si>
  <si>
    <t>He continues rubbing the lotion in while looking away from the camera.</t>
  </si>
  <si>
    <t>He finishes putting in the sunscreen and looking away from the camera.</t>
  </si>
  <si>
    <t>v_bMDyOXygNPM</t>
  </si>
  <si>
    <t>Several men are seen standing around an indoor court kicking a ball around.</t>
  </si>
  <si>
    <t>People watch the game on the sidelines as the players continue to run up and down the field.</t>
  </si>
  <si>
    <t>Different games are shown in between and the group continues to play.</t>
  </si>
  <si>
    <t>v_GfSGZZSGH6g</t>
  </si>
  <si>
    <t>There are two roofers standing top of a building roof removing working on old roof removal.</t>
  </si>
  <si>
    <t>They are using roofing shovel to remove the shingles and tarp.</t>
  </si>
  <si>
    <t>One of the roofers is peeling off the tarp from the rooftop as he digs in the shovel underneath the tarp.</t>
  </si>
  <si>
    <t>The other roofer is helping him roll up the tarp as he peels it off.</t>
  </si>
  <si>
    <t>v_1p_HYu0EZAk</t>
  </si>
  <si>
    <t>A camera pans over a sink full of dishes followed by a woman jogging over.</t>
  </si>
  <si>
    <t>She dances with the dishes and looks into the camera while she does them.</t>
  </si>
  <si>
    <t>A timer counts down how many dishes she's washed and she smiles to the camera.</t>
  </si>
  <si>
    <t>v__N9LhaKnZv4</t>
  </si>
  <si>
    <t>A man talks in the woods holding a can and key chain.</t>
  </si>
  <si>
    <t>Then, the man takes the key chain and points the lower part of the can.</t>
  </si>
  <si>
    <t>After, the man pocks the lower part of the can and intermediately opens the can and drinks from the hole of the can.</t>
  </si>
  <si>
    <t>v_a2vaM_aRHv4</t>
  </si>
  <si>
    <t>A list of ingredients is shown written in a list.</t>
  </si>
  <si>
    <t>Glass bowls are set on a counter with various ingredients for a dish.</t>
  </si>
  <si>
    <t>A person measures and cuts parchment paper using a cooking tin as a guide.</t>
  </si>
  <si>
    <t>The person measures ingredients in a glass bowl then adds them to an electric mixer to blend.</t>
  </si>
  <si>
    <t>The person brushes on oil to the parchment paper then sets it into a cooking tin.</t>
  </si>
  <si>
    <t>The tins are added to an oven to cook.</t>
  </si>
  <si>
    <t>The tins are shown fully cooked and then flipped over to empty cake onto table.</t>
  </si>
  <si>
    <t>The parchment paper is peeled off the cake.</t>
  </si>
  <si>
    <t>The cake is sliced into loaves with a serrated knife.</t>
  </si>
  <si>
    <t>The cake is seen on plates for serving.</t>
  </si>
  <si>
    <t>v_6FPoGGaox4g</t>
  </si>
  <si>
    <t>A woman is helping a little boy slide down a slide.</t>
  </si>
  <si>
    <t>A woman is at the top of a slide helping a little boy slide down into the arms of another person in a red vest.</t>
  </si>
  <si>
    <t>A woman is helping the boy down a slide and the same person in the red vest catches them.</t>
  </si>
  <si>
    <t>The person in the red vest then kissed the child.</t>
  </si>
  <si>
    <t>v_KaicDn9WDUo</t>
  </si>
  <si>
    <t>They all come onto the stage and pose at the end.</t>
  </si>
  <si>
    <t>They bow and walk off the stage.</t>
  </si>
  <si>
    <t>v_srXhWAGzd-s</t>
  </si>
  <si>
    <t>A person is shown cleaning off the outside of a car.</t>
  </si>
  <si>
    <t>The car is then driven inside of a shop.</t>
  </si>
  <si>
    <t>Inside a man starts detailing the car once again and cleaning off the outside.</t>
  </si>
  <si>
    <t>He spray paints parts of the car.</t>
  </si>
  <si>
    <t>He sprays cleaner on the inside and outside of the car.</t>
  </si>
  <si>
    <t>He wipes down all surfaces from inside and outside the car.</t>
  </si>
  <si>
    <t>v_wott7JRSkOk</t>
  </si>
  <si>
    <t>Two men plays soccer table moving the players on the rods.</t>
  </si>
  <si>
    <t>A man wearing yellow shirt stroke the rod strong to hit the white ball.</t>
  </si>
  <si>
    <t>A person stands on front the soccer table.</t>
  </si>
  <si>
    <t>v_kO_4QDNExkY</t>
  </si>
  <si>
    <t>A hand is shown flipping a switch.</t>
  </si>
  <si>
    <t>A the hose of a leaf blower is shown.</t>
  </si>
  <si>
    <t>The hose begins forcefully blowing leaves away from the camera.</t>
  </si>
  <si>
    <t>The person holding the leaf blower repeatedly swings the hose left to ring blowing leaves into a pile.</t>
  </si>
  <si>
    <t>v_RTS4mOH3cFY</t>
  </si>
  <si>
    <t>A residential security video is playing and shows an empty yard and road.</t>
  </si>
  <si>
    <t>A man walking two dogs show up walking on the side closer to the camera, and he quickly notices another dog from the other side of the road suddenly coming his way so he tries to tighten up his dogs leash to gain control of them, but the other dog begins running towards them and starts attacking the man's dogs.</t>
  </si>
  <si>
    <t>The man kicks the attack dog away and tries to regain control of his two dogs while the man and the other dog is on the other side of the road.</t>
  </si>
  <si>
    <t>The man picks up one of his dogs and they resume walking.</t>
  </si>
  <si>
    <t>v_n6A8YtBAJX0</t>
  </si>
  <si>
    <t>We see a man and a boy playing by sliding a plastic thing around table.</t>
  </si>
  <si>
    <t>The camera shifts and we see more of the room.</t>
  </si>
  <si>
    <t>The camera angle changes and we see them playing the game from behind.</t>
  </si>
  <si>
    <t>A persons hand on the left enters the screen.</t>
  </si>
  <si>
    <t>The camera angle changes again and we are in front of the players.</t>
  </si>
  <si>
    <t>We see a boy in a sweater moving a chair to sit and join the game.</t>
  </si>
  <si>
    <t>v_V-Yz865cbn4</t>
  </si>
  <si>
    <t>A young child is seen smiling to the camera and then begins dancing around.</t>
  </si>
  <si>
    <t>The boy continues dancing while the camera captures him moving up and down.</t>
  </si>
  <si>
    <t>v_Hlc6FXX5kGs</t>
  </si>
  <si>
    <t>A baby girl is holding a compact, wiping the makeup pad against her cheek.</t>
  </si>
  <si>
    <t>She sits on the floor, continuing to play with the makeup, opening and closing the case, and wiping it onto her face.</t>
  </si>
  <si>
    <t>v_mdwbRGlPn3A</t>
  </si>
  <si>
    <t>Three men are walking with the stilts.</t>
  </si>
  <si>
    <t>One of the men with stilts splits at the center.</t>
  </si>
  <si>
    <t>One of the men jumped so high several time with his stilts.</t>
  </si>
  <si>
    <t>v_xwSeXFkTNlE</t>
  </si>
  <si>
    <t>A gymnast is patiently waiting to start his performance.</t>
  </si>
  <si>
    <t>He jumps on to the board and starts spinning really fast before he jumps off and walks around.</t>
  </si>
  <si>
    <t>He take a breath and the audience claps for him before he jumps back on it and starts spinning again.</t>
  </si>
  <si>
    <t>When he is done he walks down and shakes hands with all the team mates, before he gets on one last time.</t>
  </si>
  <si>
    <t>v_bbDWLOPnWOY</t>
  </si>
  <si>
    <t>A man in a blue shirt moves to take his shot.</t>
  </si>
  <si>
    <t>He then talks to the other men.</t>
  </si>
  <si>
    <t>The man in black moves out of the shot.</t>
  </si>
  <si>
    <t>The man in black and blue throw their hands in the air.</t>
  </si>
  <si>
    <t>All of the men break out and react wildly to the last shot.</t>
  </si>
  <si>
    <t>v_GnbyHdd-BjQ</t>
  </si>
  <si>
    <t>They are sitting down drinking coffee.</t>
  </si>
  <si>
    <t>They are standing next to a body of water.</t>
  </si>
  <si>
    <t>They are snowboarding down a hill again.</t>
  </si>
  <si>
    <t>A girl is laying down sleeping.</t>
  </si>
  <si>
    <t>They are eating dinner around a table.</t>
  </si>
  <si>
    <t>They leave their snowboards and walk into a cabin.</t>
  </si>
  <si>
    <t>v_mcDVNexy6Ps</t>
  </si>
  <si>
    <t>A woman is standing in front of a christmas tree, applying a wreath.</t>
  </si>
  <si>
    <t>She then hangs lights and ornaments.</t>
  </si>
  <si>
    <t>At the end, she adjusts the ornaments and adds a star to the top of the tree.</t>
  </si>
  <si>
    <t>v_FJnCSFPoWVU</t>
  </si>
  <si>
    <t>A man is sitting on the rock, then people are climbing the big rocks without harness.</t>
  </si>
  <si>
    <t>People are walking in a rope attached to two trees.</t>
  </si>
  <si>
    <t>v_MkL-tApJgXc</t>
  </si>
  <si>
    <t>Text appears on the screen with regards to coffee possibly being bad for your health.</t>
  </si>
  <si>
    <t>It is then mention with text on the screen that it can lead to high blood pressure It is then mentioned that it can hurt your hair growth and that it doesn't have any vital nutrients in it.</t>
  </si>
  <si>
    <t>It is then shown that there are benefits and that one should moderate their intake to keep a balance.</t>
  </si>
  <si>
    <t>A website is then shown to get more information on this topic.</t>
  </si>
  <si>
    <t>v_fxqzU9KGOsQ</t>
  </si>
  <si>
    <t>Several young kids are in a gym playing dodge wall with medium sized red balls.</t>
  </si>
  <si>
    <t>As they throw the balls,a little girl tries to join in on the action and begins following them and running from one side of the court to the other to chase the balls.</t>
  </si>
  <si>
    <t>v_0McanL-Gob8</t>
  </si>
  <si>
    <t>A woman is lying down, showing off a tattoo on her side.</t>
  </si>
  <si>
    <t>A man in a surgical mask is preparing her as he continues his work on the tattoo.</t>
  </si>
  <si>
    <t>He cleans and wipes down the tattoo.</t>
  </si>
  <si>
    <t>She is finished, showing off the final product.</t>
  </si>
  <si>
    <t>v_Oyi0X-rwUg8</t>
  </si>
  <si>
    <t>A man is holding another man on his shoulders in a wrestling ring as the crowd cheers and watches.</t>
  </si>
  <si>
    <t>the man throws the man on his shoulder to the ground.</t>
  </si>
  <si>
    <t>Both men lay on the ground int he ring.</t>
  </si>
  <si>
    <t>v_snUWwTH8eQg</t>
  </si>
  <si>
    <t>teams are playing fusal in a small court running side to side of the court.</t>
  </si>
  <si>
    <t>a lot of people are celebrating the vicory and hugging.</t>
  </si>
  <si>
    <t>v_ObOkhXGu7oY</t>
  </si>
  <si>
    <t>A person is seen walking into frame with a bar in her hands.</t>
  </si>
  <si>
    <t>She puts the bar down and begins exercising in a humerus way while speaking to the audience.</t>
  </si>
  <si>
    <t>The audience laughs at her movements while she continues to move and dance around the stage.</t>
  </si>
  <si>
    <t>v_hi07Rdf1r4Y</t>
  </si>
  <si>
    <t>A balded man is seen talking to the camera while another man stands above him and cuts his hair.</t>
  </si>
  <si>
    <t>The man sitting rubs his hand and holds his face into his hands.</t>
  </si>
  <si>
    <t>v_adUapXmi-xA</t>
  </si>
  <si>
    <t>A person is seen sitting behind a table with one holding a piece of paper around him.</t>
  </si>
  <si>
    <t>The man then attempts to solve a rubix cube while a timer catches his score.</t>
  </si>
  <si>
    <t>The man writes down his score and the man attempts to solve the cube several more times while the boy helps.</t>
  </si>
  <si>
    <t>v_dc9m-G9CKmQ</t>
  </si>
  <si>
    <t>A man speaking about how he will be sharpening knives today.</t>
  </si>
  <si>
    <t>He shows the tool that he will be using that is called chefs choice.</t>
  </si>
  <si>
    <t>He shows how to use it and how you can use it with either hand.</t>
  </si>
  <si>
    <t>Then he begins to sharpen one of his knives.</t>
  </si>
  <si>
    <t>After he is done sharpening it he demonstrates with a tomato how helpful it is.</t>
  </si>
  <si>
    <t>v_-ypKYhjrlXw</t>
  </si>
  <si>
    <t>A medical worker is sitting at a table with a woman and talking to the camera.</t>
  </si>
  <si>
    <t>He moves a can and touches two other cans.</t>
  </si>
  <si>
    <t>He picks up a can and sprays it on the woman's arm and rubs it.</t>
  </si>
  <si>
    <t>He picks up another can and talks about it then sprays her arm again and rubs the cream in.</t>
  </si>
  <si>
    <t>He picks up a third container and puts it on her arm and rubs it in as well.</t>
  </si>
  <si>
    <t>He picks up a fourth tube and puts the cream on her hand and rubs it in.</t>
  </si>
  <si>
    <t>He does this again with a fifth cream.</t>
  </si>
  <si>
    <t>He then takes a compact of brown powder, presents it to the camera and puts it back down.</t>
  </si>
  <si>
    <t>v_f-4PjtdFbP4</t>
  </si>
  <si>
    <t>A little girl is blowing leaves in fall outside of a house.</t>
  </si>
  <si>
    <t>She pauses for a moment to get a better grasp of the leaf blower.</t>
  </si>
  <si>
    <t>She walks by a little boy and continues to blow the leaves.</t>
  </si>
  <si>
    <t>v_JN1mex2vCjI</t>
  </si>
  <si>
    <t>A man with a pony tail is seen walking along a rope with another man watching him and smiling in the background.</t>
  </si>
  <si>
    <t>The man turns around, loses his balance, and falls off the rope.</t>
  </si>
  <si>
    <t>The man watches attempts to walk and falls off as well in the end.</t>
  </si>
  <si>
    <t>v_0IFJNGqjsUQ</t>
  </si>
  <si>
    <t>A man talks to the camera while holding a leash type of object with a bag in his hand.</t>
  </si>
  <si>
    <t>The scene transitions to the leash being use on a dog.</t>
  </si>
  <si>
    <t>The scene transitions to a closeup of the man disassembling and reassembling the leash.</t>
  </si>
  <si>
    <t>The scene transitions to the leash being used on a dog again.</t>
  </si>
  <si>
    <t>The man is shown in a closeup interacting with and petting the dog.</t>
  </si>
  <si>
    <t>v_b0LY869JBrE</t>
  </si>
  <si>
    <t>A woman is showing her fingernails.</t>
  </si>
  <si>
    <t>A bottle of acetone is shown.</t>
  </si>
  <si>
    <t>The acetone is being poured into a small glass.</t>
  </si>
  <si>
    <t>A woman is now holding a napkin.</t>
  </si>
  <si>
    <t>A makeup brush is being held.</t>
  </si>
  <si>
    <t>A bottle of nail polish is shown.</t>
  </si>
  <si>
    <t>A person starts painting their fingernails.</t>
  </si>
  <si>
    <t>Another bottle of nail polish is shown.</t>
  </si>
  <si>
    <t>The person continues painting their nails.</t>
  </si>
  <si>
    <t>They use the makeup brush and dip it in the acetone.</t>
  </si>
  <si>
    <t>They rub the brush on their fingernail.</t>
  </si>
  <si>
    <t>They use a wooden stick to clean the side of their nails.</t>
  </si>
  <si>
    <t>A clear bottle of nail polish is shown.</t>
  </si>
  <si>
    <t>She then paints that over her nails.</t>
  </si>
  <si>
    <t>v_6HyNydVIji4</t>
  </si>
  <si>
    <t>We see a lady holding a flute.</t>
  </si>
  <si>
    <t>We see the song title.</t>
  </si>
  <si>
    <t>We see a lady performing a song on a flute.</t>
  </si>
  <si>
    <t>The girl pauses and plays again.</t>
  </si>
  <si>
    <t>The girl finishes playing and smiles at the camera.</t>
  </si>
  <si>
    <t>v_QyTiHhG9qf0</t>
  </si>
  <si>
    <t>Teens drive electric bumper cars in an oval circuit while people watch behind the fence.</t>
  </si>
  <si>
    <t>Two girls in a yellow car get stuck,but then they continue driving.</t>
  </si>
  <si>
    <t>All the cars are stuck on the track, then one car gets out and the others get free to continue driving.</t>
  </si>
  <si>
    <t>Then, all cars stop and the teen get out the cars.</t>
  </si>
  <si>
    <t>v_A_4yI6vh03I</t>
  </si>
  <si>
    <t>Instructions of how to pole vault is presented.</t>
  </si>
  <si>
    <t>A person holds a elongated, hollow stick.</t>
  </si>
  <si>
    <t>A guy runs with a elongated stick and uses it to elevate himself over a heighten hurdle.</t>
  </si>
  <si>
    <t>The top of the hurdle falls apart.</t>
  </si>
  <si>
    <t>A man uses an elongated stick to elevate himself over a heighten hurdle.</t>
  </si>
  <si>
    <t>v_F53s94562zc</t>
  </si>
  <si>
    <t>There are two boys playing rock, paper, scissors.</t>
  </si>
  <si>
    <t>First they play one game and the boy who's shirtless loses and gets slapped.</t>
  </si>
  <si>
    <t>Next they play two more games, one person wins and the shirtless boy loses.</t>
  </si>
  <si>
    <t>Then the boy who's wearing a sweater loses and the other boy slaps him.</t>
  </si>
  <si>
    <t>v_uh-H5Gmt4PI</t>
  </si>
  <si>
    <t>A bald man is standing in an industrial building with a lot of glass on the ceiling.</t>
  </si>
  <si>
    <t>The male's friend then grabs a bar and begins lifting weights and jerking.</t>
  </si>
  <si>
    <t>All of the actions continue but with different people as various people step up to grab the bar.</t>
  </si>
  <si>
    <t>v_Bg-0ibLZrgg</t>
  </si>
  <si>
    <t>People surf in the ocean and a man pass under a huge wave.</t>
  </si>
  <si>
    <t>A man surfs in a small wave along the beach.</t>
  </si>
  <si>
    <t>Then, the man get out the water, after he takes surfboard and return to surf in a high wave.</t>
  </si>
  <si>
    <t>People swim in the beach.</t>
  </si>
  <si>
    <t>v_nlkmPF8TBdQ</t>
  </si>
  <si>
    <t>People gather in a restaurant, then a cooker shows pasta and ingredients while talking.</t>
  </si>
  <si>
    <t>The cooker cuts and fries squid in a pot, then he adds salt and vinegar.</t>
  </si>
  <si>
    <t>Then, the cooker cut tomatoes and add to the squid, also adds garlic, pepper and green vegetables.</t>
  </si>
  <si>
    <t>After, the cooker adds water and covers the pot with aluminum paper.</t>
  </si>
  <si>
    <t>Next, the cooker add the pasta to the squid and mix, then he and serves in a dish while talking.</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</si>
</sst>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sz val="11.0"/>
      <color theme="1"/>
      <name val="Calibri"/>
    </font>
    <font>
      <sz val="11.0"/>
      <color theme="1"/>
      <name val="Calibri"/>
    </font>
    <font>
      <color theme="1"/>
      <name val="Arial"/>
      <scheme val="minor"/>
    </font>
  </fonts>
  <fills count="2">
    <fill>
      <patternFill patternType="none"/>
    </fill>
    <fill>
      <patternFill patternType="lightGray"/>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0" fontId="1" numFmtId="0" xfId="0" applyAlignment="1" applyBorder="1" applyFont="1">
      <alignment horizontal="center" vertical="top"/>
    </xf>
    <xf borderId="2" fillId="0" fontId="1" numFmtId="0" xfId="0" applyAlignment="1" applyBorder="1" applyFont="1">
      <alignment horizontal="center" vertical="top"/>
    </xf>
    <xf borderId="2" fillId="0" fontId="1" numFmtId="0" xfId="0" applyAlignment="1" applyBorder="1" applyFont="1">
      <alignment horizontal="center" readingOrder="0" vertical="top"/>
    </xf>
    <xf borderId="0" fillId="0" fontId="2" numFmtId="0" xfId="0" applyAlignment="1" applyFont="1">
      <alignment vertical="bottom"/>
    </xf>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63"/>
    <col customWidth="1" min="2" max="2" width="72.63"/>
    <col customWidth="1" min="3" max="3" width="61.63"/>
  </cols>
  <sheetData>
    <row r="1">
      <c r="A1" s="1" t="s">
        <v>0</v>
      </c>
      <c r="B1" s="2" t="s">
        <v>1</v>
      </c>
      <c r="C1" s="3" t="s">
        <v>2</v>
      </c>
    </row>
    <row r="2">
      <c r="A2" s="4" t="s">
        <v>3</v>
      </c>
      <c r="B2" s="4" t="s">
        <v>4</v>
      </c>
      <c r="C2" s="5" t="str">
        <f>IFERROR(__xludf.DUMMYFUNCTION("GOOGLETRANSLATE(B2,""en"",""es-ES"")"),"Se ve a una mujer joven parada en una habitación y lo lleva a bailar.")</f>
        <v>Se ve a una mujer joven parada en una habitación y lo lleva a bailar.</v>
      </c>
    </row>
    <row r="3">
      <c r="A3" s="4" t="s">
        <v>3</v>
      </c>
      <c r="B3" s="4" t="s">
        <v>5</v>
      </c>
      <c r="C3" s="5" t="str">
        <f>IFERROR(__xludf.DUMMYFUNCTION("GOOGLETRANSLATE(B3,""en"",""es-ES"")"),"La niña baila alrededor de la habitación mientras la cámara captura sus movimientos.")</f>
        <v>La niña baila alrededor de la habitación mientras la cámara captura sus movimientos.</v>
      </c>
    </row>
    <row r="4">
      <c r="A4" s="4" t="s">
        <v>3</v>
      </c>
      <c r="B4" s="4" t="s">
        <v>6</v>
      </c>
      <c r="C4" s="5" t="str">
        <f>IFERROR(__xludf.DUMMYFUNCTION("GOOGLETRANSLATE(B4,""en"",""es-ES"")"),"Ella continúa bailando por la habitación y termina acostando en el piso.")</f>
        <v>Ella continúa bailando por la habitación y termina acostando en el piso.</v>
      </c>
    </row>
    <row r="5">
      <c r="A5" s="4" t="s">
        <v>7</v>
      </c>
      <c r="B5" s="4" t="s">
        <v>8</v>
      </c>
      <c r="C5" s="5" t="str">
        <f>IFERROR(__xludf.DUMMYFUNCTION("GOOGLETRANSLATE(B5,""en"",""es-ES"")"),"El video comienza con una secuencia de logotipo de título.")</f>
        <v>El video comienza con una secuencia de logotipo de título.</v>
      </c>
    </row>
    <row r="6">
      <c r="A6" s="4" t="s">
        <v>7</v>
      </c>
      <c r="B6" s="4" t="s">
        <v>9</v>
      </c>
      <c r="C6" s="5" t="str">
        <f>IFERROR(__xludf.DUMMYFUNCTION("GOOGLETRANSLATE(B6,""en"",""es-ES"")"),"Un hombre y una mujer están en una sala de estar demostrando ejercicios.")</f>
        <v>Un hombre y una mujer están en una sala de estar demostrando ejercicios.</v>
      </c>
    </row>
    <row r="7">
      <c r="A7" s="4" t="s">
        <v>7</v>
      </c>
      <c r="B7" s="4" t="s">
        <v>10</v>
      </c>
      <c r="C7" s="5" t="str">
        <f>IFERROR(__xludf.DUMMYFUNCTION("GOOGLETRANSLATE(B7,""en"",""es-ES"")"),"La mujer yacía en el suelo.")</f>
        <v>La mujer yacía en el suelo.</v>
      </c>
    </row>
    <row r="8">
      <c r="A8" s="4" t="s">
        <v>7</v>
      </c>
      <c r="B8" s="4" t="s">
        <v>11</v>
      </c>
      <c r="C8" s="5" t="str">
        <f>IFERROR(__xludf.DUMMYFUNCTION("GOOGLETRANSLATE(B8,""en"",""es-ES"")"),"El hombre comienza a señalar a diferentes áreas del cuerpo de la mujer mientras hace un ejercicio.")</f>
        <v>El hombre comienza a señalar a diferentes áreas del cuerpo de la mujer mientras hace un ejercicio.</v>
      </c>
    </row>
    <row r="9">
      <c r="A9" s="4" t="s">
        <v>7</v>
      </c>
      <c r="B9" s="4" t="s">
        <v>12</v>
      </c>
      <c r="C9" s="5" t="str">
        <f>IFERROR(__xludf.DUMMYFUNCTION("GOOGLETRANSLATE(B9,""en"",""es-ES"")"),"La mujer comienza a hacer pequeñas sentadillas.")</f>
        <v>La mujer comienza a hacer pequeñas sentadillas.</v>
      </c>
    </row>
    <row r="10">
      <c r="A10" s="4" t="s">
        <v>7</v>
      </c>
      <c r="B10" s="4" t="s">
        <v>13</v>
      </c>
      <c r="C10" s="5" t="str">
        <f>IFERROR(__xludf.DUMMYFUNCTION("GOOGLETRANSLATE(B10,""en"",""es-ES"")"),"La mujer termina con una secuencia de logotipo de título final.")</f>
        <v>La mujer termina con una secuencia de logotipo de título final.</v>
      </c>
    </row>
    <row r="11">
      <c r="A11" s="4" t="s">
        <v>14</v>
      </c>
      <c r="B11" s="4" t="s">
        <v>15</v>
      </c>
      <c r="C11" s="5" t="str">
        <f>IFERROR(__xludf.DUMMYFUNCTION("GOOGLETRANSLATE(B11,""en"",""es-ES"")"),"Se ven dos personas moviéndose alrededor de una cocina rápidamente realizando varias tareas y sentados.")</f>
        <v>Se ven dos personas moviéndose alrededor de una cocina rápidamente realizando varias tareas y sentados.</v>
      </c>
    </row>
    <row r="12">
      <c r="A12" s="4" t="s">
        <v>14</v>
      </c>
      <c r="B12" s="4" t="s">
        <v>16</v>
      </c>
      <c r="C12" s="5" t="str">
        <f>IFERROR(__xludf.DUMMYFUNCTION("GOOGLETRANSLATE(B12,""en"",""es-ES"")"),"Luego encierran un esquí en la cocina mientras continúan moviéndose.")</f>
        <v>Luego encierran un esquí en la cocina mientras continúan moviéndose.</v>
      </c>
    </row>
    <row r="13">
      <c r="A13" s="4" t="s">
        <v>17</v>
      </c>
      <c r="B13" s="4" t="s">
        <v>18</v>
      </c>
      <c r="C13" s="5" t="str">
        <f>IFERROR(__xludf.DUMMYFUNCTION("GOOGLETRANSLATE(B13,""en"",""es-ES"")"),"Vemos un pasillo con un piso de madera.")</f>
        <v>Vemos un pasillo con un piso de madera.</v>
      </c>
    </row>
    <row r="14">
      <c r="A14" s="4" t="s">
        <v>17</v>
      </c>
      <c r="B14" s="4" t="s">
        <v>19</v>
      </c>
      <c r="C14" s="5" t="str">
        <f>IFERROR(__xludf.DUMMYFUNCTION("GOOGLETRANSLATE(B14,""en"",""es-ES"")"),"Un perro en calcetines camina lentamente al suelo mientras una dama lo filma.")</f>
        <v>Un perro en calcetines camina lentamente al suelo mientras una dama lo filma.</v>
      </c>
    </row>
    <row r="15">
      <c r="A15" s="4" t="s">
        <v>17</v>
      </c>
      <c r="B15" s="4" t="s">
        <v>20</v>
      </c>
      <c r="C15" s="5" t="str">
        <f>IFERROR(__xludf.DUMMYFUNCTION("GOOGLETRANSLATE(B15,""en"",""es-ES"")"),"El perro se da vuelta y regresa a la otra habitación.")</f>
        <v>El perro se da vuelta y regresa a la otra habitación.</v>
      </c>
    </row>
    <row r="16">
      <c r="A16" s="4" t="s">
        <v>21</v>
      </c>
      <c r="B16" s="4" t="s">
        <v>22</v>
      </c>
      <c r="C16" s="5" t="str">
        <f>IFERROR(__xludf.DUMMYFUNCTION("GOOGLETRANSLATE(B16,""en"",""es-ES"")"),"Una mujer y un hombre están sentados en la acera tocando música.")</f>
        <v>Una mujer y un hombre están sentados en la acera tocando música.</v>
      </c>
    </row>
    <row r="17">
      <c r="A17" s="4" t="s">
        <v>21</v>
      </c>
      <c r="B17" s="4" t="s">
        <v>23</v>
      </c>
      <c r="C17" s="5" t="str">
        <f>IFERROR(__xludf.DUMMYFUNCTION("GOOGLETRANSLATE(B17,""en"",""es-ES"")"),"La gente se encuentra junto a ellos y los ve jugar.")</f>
        <v>La gente se encuentra junto a ellos y los ve jugar.</v>
      </c>
    </row>
    <row r="18">
      <c r="A18" s="4" t="s">
        <v>21</v>
      </c>
      <c r="B18" s="4" t="s">
        <v>24</v>
      </c>
      <c r="C18" s="5" t="str">
        <f>IFERROR(__xludf.DUMMYFUNCTION("GOOGLETRANSLATE(B18,""en"",""es-ES"")"),"Un niño pequeño sosteniendo una pelota amarilla camina.")</f>
        <v>Un niño pequeño sosteniendo una pelota amarilla camina.</v>
      </c>
    </row>
    <row r="19">
      <c r="A19" s="4" t="s">
        <v>21</v>
      </c>
      <c r="B19" s="4" t="s">
        <v>25</v>
      </c>
      <c r="C19" s="5" t="str">
        <f>IFERROR(__xludf.DUMMYFUNCTION("GOOGLETRANSLATE(B19,""en"",""es-ES"")"),"Un hombre posa para una foto frente a ellos.")</f>
        <v>Un hombre posa para una foto frente a ellos.</v>
      </c>
    </row>
    <row r="20">
      <c r="A20" s="4" t="s">
        <v>26</v>
      </c>
      <c r="B20" s="4" t="s">
        <v>27</v>
      </c>
      <c r="C20" s="5" t="str">
        <f>IFERROR(__xludf.DUMMYFUNCTION("GOOGLETRANSLATE(B20,""en"",""es-ES"")"),"Se ve a una niña sentada en una silla con una persona parada a su lado.")</f>
        <v>Se ve a una niña sentada en una silla con una persona parada a su lado.</v>
      </c>
    </row>
    <row r="21">
      <c r="A21" s="4" t="s">
        <v>26</v>
      </c>
      <c r="B21" s="4" t="s">
        <v>28</v>
      </c>
      <c r="C21" s="5" t="str">
        <f>IFERROR(__xludf.DUMMYFUNCTION("GOOGLETRANSLATE(B21,""en"",""es-ES"")"),"La persona junto a ella luego perfora una oreja seguida por la otra.")</f>
        <v>La persona junto a ella luego perfora una oreja seguida por la otra.</v>
      </c>
    </row>
    <row r="22">
      <c r="A22" s="4" t="s">
        <v>26</v>
      </c>
      <c r="B22" s="4" t="s">
        <v>29</v>
      </c>
      <c r="C22" s="5" t="str">
        <f>IFERROR(__xludf.DUMMYFUNCTION("GOOGLETRANSLATE(B22,""en"",""es-ES"")"),"La persona frota la loción en los piercings después.")</f>
        <v>La persona frota la loción en los piercings después.</v>
      </c>
    </row>
    <row r="23">
      <c r="A23" s="4" t="s">
        <v>30</v>
      </c>
      <c r="B23" s="4" t="s">
        <v>31</v>
      </c>
      <c r="C23" s="5" t="str">
        <f>IFERROR(__xludf.DUMMYFUNCTION("GOOGLETRANSLATE(B23,""en"",""es-ES"")"),"Se muestra a una mujer montando una pirámides de camello en Egipto.")</f>
        <v>Se muestra a una mujer montando una pirámides de camello en Egipto.</v>
      </c>
    </row>
    <row r="24">
      <c r="A24" s="4" t="s">
        <v>30</v>
      </c>
      <c r="B24" s="4" t="s">
        <v>32</v>
      </c>
      <c r="C24" s="5" t="str">
        <f>IFERROR(__xludf.DUMMYFUNCTION("GOOGLETRANSLATE(B24,""en"",""es-ES"")"),"El camello camina mientras la mujer se inclina hacia adelante.")</f>
        <v>El camello camina mientras la mujer se inclina hacia adelante.</v>
      </c>
    </row>
    <row r="25">
      <c r="A25" s="4" t="s">
        <v>30</v>
      </c>
      <c r="B25" s="4" t="s">
        <v>33</v>
      </c>
      <c r="C25" s="5" t="str">
        <f>IFERROR(__xludf.DUMMYFUNCTION("GOOGLETRANSLATE(B25,""en"",""es-ES"")"),"Y la mano cubre la lente a medida que se muestra el arnés.")</f>
        <v>Y la mano cubre la lente a medida que se muestra el arnés.</v>
      </c>
    </row>
    <row r="26">
      <c r="A26" s="4" t="s">
        <v>34</v>
      </c>
      <c r="B26" s="4" t="s">
        <v>35</v>
      </c>
      <c r="C26" s="5" t="str">
        <f>IFERROR(__xludf.DUMMYFUNCTION("GOOGLETRANSLATE(B26,""en"",""es-ES"")"),"Un niño traza el piso de un pasillo en una casa.")</f>
        <v>Un niño traza el piso de un pasillo en una casa.</v>
      </c>
    </row>
    <row r="27">
      <c r="A27" s="4" t="s">
        <v>34</v>
      </c>
      <c r="B27" s="4" t="s">
        <v>36</v>
      </c>
      <c r="C27" s="5" t="str">
        <f>IFERROR(__xludf.DUMMYFUNCTION("GOOGLETRANSLATE(B27,""en"",""es-ES"")"),"El niño coloca al trapeador y juega con su familiar.")</f>
        <v>El niño coloca al trapeador y juega con su familiar.</v>
      </c>
    </row>
    <row r="28">
      <c r="A28" s="4" t="s">
        <v>34</v>
      </c>
      <c r="B28" s="4" t="s">
        <v>37</v>
      </c>
      <c r="C28" s="5" t="str">
        <f>IFERROR(__xludf.DUMMYFUNCTION("GOOGLETRANSLATE(B28,""en"",""es-ES"")"),"El niño entra al área del dormitorio y continúa limpiando el piso.")</f>
        <v>El niño entra al área del dormitorio y continúa limpiando el piso.</v>
      </c>
    </row>
    <row r="29">
      <c r="A29" s="4" t="s">
        <v>38</v>
      </c>
      <c r="B29" s="4" t="s">
        <v>39</v>
      </c>
      <c r="C29" s="5" t="str">
        <f>IFERROR(__xludf.DUMMYFUNCTION("GOOGLETRANSLATE(B29,""en"",""es-ES"")"),"Se ve a un hombre arrodillado en el suelo hablando con la cámara.")</f>
        <v>Se ve a un hombre arrodillado en el suelo hablando con la cámara.</v>
      </c>
    </row>
    <row r="30">
      <c r="A30" s="4" t="s">
        <v>38</v>
      </c>
      <c r="B30" s="4" t="s">
        <v>40</v>
      </c>
      <c r="C30" s="5" t="str">
        <f>IFERROR(__xludf.DUMMYFUNCTION("GOOGLETRANSLATE(B30,""en"",""es-ES"")"),"El hombre mezcla varios ingredientes y comienza a colocar yeso en el piso.")</f>
        <v>El hombre mezcla varios ingredientes y comienza a colocar yeso en el piso.</v>
      </c>
    </row>
    <row r="31">
      <c r="A31" s="4" t="s">
        <v>38</v>
      </c>
      <c r="B31" s="4" t="s">
        <v>41</v>
      </c>
      <c r="C31" s="5" t="str">
        <f>IFERROR(__xludf.DUMMYFUNCTION("GOOGLETRANSLATE(B31,""en"",""es-ES"")"),"Mide el piso y los azulejos y corta un trozo de mosaico para acostarse en el piso.")</f>
        <v>Mide el piso y los azulejos y corta un trozo de mosaico para acostarse en el piso.</v>
      </c>
    </row>
    <row r="32">
      <c r="A32" s="4" t="s">
        <v>38</v>
      </c>
      <c r="B32" s="4" t="s">
        <v>42</v>
      </c>
      <c r="C32" s="5" t="str">
        <f>IFERROR(__xludf.DUMMYFUNCTION("GOOGLETRANSLATE(B32,""en"",""es-ES"")"),"Continúa colocando fichas en el piso mientras mira hacia atrás para hablar con la cámara.")</f>
        <v>Continúa colocando fichas en el piso mientras mira hacia atrás para hablar con la cámara.</v>
      </c>
    </row>
    <row r="33">
      <c r="A33" s="4" t="s">
        <v>43</v>
      </c>
      <c r="B33" s="4" t="s">
        <v>44</v>
      </c>
      <c r="C33" s="5" t="str">
        <f>IFERROR(__xludf.DUMMYFUNCTION("GOOGLETRANSLATE(B33,""en"",""es-ES"")"),"Dos líneas de hombres jóvenes caminan al lado de un camino.")</f>
        <v>Dos líneas de hombres jóvenes caminan al lado de un camino.</v>
      </c>
    </row>
    <row r="34">
      <c r="A34" s="4" t="s">
        <v>43</v>
      </c>
      <c r="B34" s="4" t="s">
        <v>45</v>
      </c>
      <c r="C34" s="5" t="str">
        <f>IFERROR(__xludf.DUMMYFUNCTION("GOOGLETRANSLATE(B34,""en"",""es-ES"")"),"Entonces un hombre se para en un campo sosteniendo un objeto de madera y comienza a torcerlo.")</f>
        <v>Entonces un hombre se para en un campo sosteniendo un objeto de madera y comienza a torcerlo.</v>
      </c>
    </row>
    <row r="35">
      <c r="A35" s="4" t="s">
        <v>43</v>
      </c>
      <c r="B35" s="4" t="s">
        <v>46</v>
      </c>
      <c r="C35" s="5" t="str">
        <f>IFERROR(__xludf.DUMMYFUNCTION("GOOGLETRANSLATE(B35,""en"",""es-ES"")"),"Luego se dobla y agarra una pelota.")</f>
        <v>Luego se dobla y agarra una pelota.</v>
      </c>
    </row>
    <row r="36">
      <c r="A36" s="4" t="s">
        <v>43</v>
      </c>
      <c r="B36" s="4" t="s">
        <v>47</v>
      </c>
      <c r="C36" s="5" t="str">
        <f>IFERROR(__xludf.DUMMYFUNCTION("GOOGLETRANSLATE(B36,""en"",""es-ES"")"),"Después, la pelota se coloca en el suelo y la recoge y la golpea como si estuviera jugando béisbol.")</f>
        <v>Después, la pelota se coloca en el suelo y la recoge y la golpea como si estuviera jugando béisbol.</v>
      </c>
    </row>
    <row r="37">
      <c r="A37" s="4" t="s">
        <v>43</v>
      </c>
      <c r="B37" s="4" t="s">
        <v>48</v>
      </c>
      <c r="C37" s="5" t="str">
        <f>IFERROR(__xludf.DUMMYFUNCTION("GOOGLETRANSLATE(B37,""en"",""es-ES"")"),"La pelota se arroja hacia atrás y él es de nuevo.")</f>
        <v>La pelota se arroja hacia atrás y él es de nuevo.</v>
      </c>
    </row>
    <row r="38">
      <c r="A38" s="4" t="s">
        <v>43</v>
      </c>
      <c r="B38" s="4" t="s">
        <v>49</v>
      </c>
      <c r="C38" s="5" t="str">
        <f>IFERROR(__xludf.DUMMYFUNCTION("GOOGLETRANSLATE(B38,""en"",""es-ES"")"),"Poco después, se muestra un campo de hombres y comienzan a jugar un juego uno contra el otro.")</f>
        <v>Poco después, se muestra un campo de hombres y comienzan a jugar un juego uno contra el otro.</v>
      </c>
    </row>
    <row r="39">
      <c r="A39" s="4" t="s">
        <v>43</v>
      </c>
      <c r="B39" s="4" t="s">
        <v>50</v>
      </c>
      <c r="C39" s="5" t="str">
        <f>IFERROR(__xludf.DUMMYFUNCTION("GOOGLETRANSLATE(B39,""en"",""es-ES"")"),"Hubo una penalización y un jugador intenta golpear el balón en la meta desde un lado.")</f>
        <v>Hubo una penalización y un jugador intenta golpear el balón en la meta desde un lado.</v>
      </c>
    </row>
    <row r="40">
      <c r="A40" s="4" t="s">
        <v>43</v>
      </c>
      <c r="B40" s="4" t="s">
        <v>51</v>
      </c>
      <c r="C40" s="5" t="str">
        <f>IFERROR(__xludf.DUMMYFUNCTION("GOOGLETRANSLATE(B40,""en"",""es-ES"")"),"Después, todos son fotografiados acostados en el suelo como si estuvieran muertos, pero una persona comienza a sentarse, pero la pelota es golpeada en la cabeza y se recuesta.")</f>
        <v>Después, todos son fotografiados acostados en el suelo como si estuvieran muertos, pero una persona comienza a sentarse, pero la pelota es golpeada en la cabeza y se recuesta.</v>
      </c>
    </row>
    <row r="41">
      <c r="A41" s="4" t="s">
        <v>43</v>
      </c>
      <c r="B41" s="4" t="s">
        <v>52</v>
      </c>
      <c r="C41" s="5" t="str">
        <f>IFERROR(__xludf.DUMMYFUNCTION("GOOGLETRANSLATE(B41,""en"",""es-ES"")"),"Por último, la pantalla fluye en una pantalla negra y se muestran las palabras del extremo.")</f>
        <v>Por último, la pantalla fluye en una pantalla negra y se muestran las palabras del extremo.</v>
      </c>
    </row>
    <row r="42">
      <c r="A42" s="4" t="s">
        <v>53</v>
      </c>
      <c r="B42" s="4" t="s">
        <v>54</v>
      </c>
      <c r="C42" s="5" t="str">
        <f>IFERROR(__xludf.DUMMYFUNCTION("GOOGLETRANSLATE(B42,""en"",""es-ES"")"),"La pantalla muestra el título de preparación de un plato de ensalada de Hulte chileno.")</f>
        <v>La pantalla muestra el título de preparación de un plato de ensalada de Hulte chileno.</v>
      </c>
    </row>
    <row r="43">
      <c r="A43" s="4" t="s">
        <v>53</v>
      </c>
      <c r="B43" s="4" t="s">
        <v>55</v>
      </c>
      <c r="C43" s="5" t="str">
        <f>IFERROR(__xludf.DUMMYFUNCTION("GOOGLETRANSLATE(B43,""en"",""es-ES"")"),"Una persona está mezclando ingredientes de ensalada en un tazón grande.")</f>
        <v>Una persona está mezclando ingredientes de ensalada en un tazón grande.</v>
      </c>
    </row>
    <row r="44">
      <c r="A44" s="4" t="s">
        <v>53</v>
      </c>
      <c r="B44" s="4" t="s">
        <v>56</v>
      </c>
      <c r="C44" s="5" t="str">
        <f>IFERROR(__xludf.DUMMYFUNCTION("GOOGLETRANSLATE(B44,""en"",""es-ES"")"),"Se muestra información sobre el Dr.")</f>
        <v>Se muestra información sobre el Dr.</v>
      </c>
    </row>
    <row r="45">
      <c r="A45" s="4" t="s">
        <v>53</v>
      </c>
      <c r="B45" s="4" t="s">
        <v>57</v>
      </c>
      <c r="C45" s="5" t="str">
        <f>IFERROR(__xludf.DUMMYFUNCTION("GOOGLETRANSLATE(B45,""en"",""es-ES"")"),"El viaje de Rachel Collin a Chile.")</f>
        <v>El viaje de Rachel Collin a Chile.</v>
      </c>
    </row>
    <row r="46">
      <c r="A46" s="4" t="s">
        <v>53</v>
      </c>
      <c r="B46" s="4" t="s">
        <v>58</v>
      </c>
      <c r="C46" s="5" t="str">
        <f>IFERROR(__xludf.DUMMYFUNCTION("GOOGLETRANSLATE(B46,""en"",""es-ES"")"),"Hay varias personas paradas debajo de un dosel en un mercado de alimentos.")</f>
        <v>Hay varias personas paradas debajo de un dosel en un mercado de alimentos.</v>
      </c>
    </row>
    <row r="47">
      <c r="A47" s="4" t="s">
        <v>53</v>
      </c>
      <c r="B47" s="4" t="s">
        <v>59</v>
      </c>
      <c r="C47" s="5" t="str">
        <f>IFERROR(__xludf.DUMMYFUNCTION("GOOGLETRANSLATE(B47,""en"",""es-ES"")"),"Dos clientes realizan una compra y le dan dinero al vendedor y le dan a la cámara un pulgar hacia arriba.")</f>
        <v>Dos clientes realizan una compra y le dan dinero al vendedor y le dan a la cámara un pulgar hacia arriba.</v>
      </c>
    </row>
    <row r="48">
      <c r="A48" s="4" t="s">
        <v>53</v>
      </c>
      <c r="B48" s="4" t="s">
        <v>60</v>
      </c>
      <c r="C48" s="5" t="str">
        <f>IFERROR(__xludf.DUMMYFUNCTION("GOOGLETRANSLATE(B48,""en"",""es-ES"")"),"El chef muestra a Hulte colocado en un mostrador de cocina.")</f>
        <v>El chef muestra a Hulte colocado en un mostrador de cocina.</v>
      </c>
    </row>
    <row r="49">
      <c r="A49" s="4" t="s">
        <v>53</v>
      </c>
      <c r="B49" s="4" t="s">
        <v>61</v>
      </c>
      <c r="C49" s="5" t="str">
        <f>IFERROR(__xludf.DUMMYFUNCTION("GOOGLETRANSLATE(B49,""en"",""es-ES"")"),"El chef está cortando el hulte en piezas de tamaño de bocado circular.")</f>
        <v>El chef está cortando el hulte en piezas de tamaño de bocado circular.</v>
      </c>
    </row>
    <row r="50">
      <c r="A50" s="4" t="s">
        <v>53</v>
      </c>
      <c r="B50" s="4" t="s">
        <v>62</v>
      </c>
      <c r="C50" s="5" t="str">
        <f>IFERROR(__xludf.DUMMYFUNCTION("GOOGLETRANSLATE(B50,""en"",""es-ES"")"),"Una mujer come las piezas cortadas de Hulte.")</f>
        <v>Una mujer come las piezas cortadas de Hulte.</v>
      </c>
    </row>
    <row r="51">
      <c r="A51" s="4" t="s">
        <v>53</v>
      </c>
      <c r="B51" s="4" t="s">
        <v>63</v>
      </c>
      <c r="C51" s="5" t="str">
        <f>IFERROR(__xludf.DUMMYFUNCTION("GOOGLETRANSLATE(B51,""en"",""es-ES"")"),"El chef corta un poco de cilantro en el mostrador de la cocina.")</f>
        <v>El chef corta un poco de cilantro en el mostrador de la cocina.</v>
      </c>
    </row>
    <row r="52">
      <c r="A52" s="4" t="s">
        <v>53</v>
      </c>
      <c r="B52" s="4" t="s">
        <v>64</v>
      </c>
      <c r="C52" s="5" t="str">
        <f>IFERROR(__xludf.DUMMYFUNCTION("GOOGLETRANSLATE(B52,""en"",""es-ES"")"),"Luego, el chef coloca los ingredientes en una ensaladera.")</f>
        <v>Luego, el chef coloca los ingredientes en una ensaladera.</v>
      </c>
    </row>
    <row r="53">
      <c r="A53" s="4" t="s">
        <v>53</v>
      </c>
      <c r="B53" s="4" t="s">
        <v>65</v>
      </c>
      <c r="C53" s="5" t="str">
        <f>IFERROR(__xludf.DUMMYFUNCTION("GOOGLETRANSLATE(B53,""en"",""es-ES"")"),"El producto terminado se muestra en la pantalla, seguido de un grupo de personas sentadas juntas y disfrutando de la ensalada.")</f>
        <v>El producto terminado se muestra en la pantalla, seguido de un grupo de personas sentadas juntas y disfrutando de la ensalada.</v>
      </c>
    </row>
    <row r="54">
      <c r="A54" s="4" t="s">
        <v>53</v>
      </c>
      <c r="B54" s="4" t="s">
        <v>66</v>
      </c>
      <c r="C54" s="5" t="str">
        <f>IFERROR(__xludf.DUMMYFUNCTION("GOOGLETRANSLATE(B54,""en"",""es-ES"")"),"Los créditos finales se muestran en la pantalla.")</f>
        <v>Los créditos finales se muestran en la pantalla.</v>
      </c>
    </row>
    <row r="55">
      <c r="A55" s="4" t="s">
        <v>67</v>
      </c>
      <c r="B55" s="4" t="s">
        <v>68</v>
      </c>
      <c r="C55" s="5" t="str">
        <f>IFERROR(__xludf.DUMMYFUNCTION("GOOGLETRANSLATE(B55,""en"",""es-ES"")"),"Un hombre con traje está sentado detrás de un escritorio.")</f>
        <v>Un hombre con traje está sentado detrás de un escritorio.</v>
      </c>
    </row>
    <row r="56">
      <c r="A56" s="4" t="s">
        <v>67</v>
      </c>
      <c r="B56" s="4" t="s">
        <v>69</v>
      </c>
      <c r="C56" s="5" t="str">
        <f>IFERROR(__xludf.DUMMYFUNCTION("GOOGLETRANSLATE(B56,""en"",""es-ES"")"),"La gente juega lacrosse en un campo de hierba.")</f>
        <v>La gente juega lacrosse en un campo de hierba.</v>
      </c>
    </row>
    <row r="57">
      <c r="A57" s="4" t="s">
        <v>67</v>
      </c>
      <c r="B57" s="4" t="s">
        <v>70</v>
      </c>
      <c r="C57" s="5" t="str">
        <f>IFERROR(__xludf.DUMMYFUNCTION("GOOGLETRANSLATE(B57,""en"",""es-ES"")"),"Una persona con uniforme amarillo está parado frente a una red de bloqueo de red.")</f>
        <v>Una persona con uniforme amarillo está parado frente a una red de bloqueo de red.</v>
      </c>
    </row>
    <row r="58">
      <c r="A58" s="4" t="s">
        <v>71</v>
      </c>
      <c r="B58" s="4" t="s">
        <v>72</v>
      </c>
      <c r="C58" s="5" t="str">
        <f>IFERROR(__xludf.DUMMYFUNCTION("GOOGLETRANSLATE(B58,""en"",""es-ES"")"),"Se ve a una niña trepando por un juego de barras de mono seguido de su salud a la cámara.")</f>
        <v>Se ve a una niña trepando por un juego de barras de mono seguido de su salud a la cámara.</v>
      </c>
    </row>
    <row r="59">
      <c r="A59" s="4" t="s">
        <v>71</v>
      </c>
      <c r="B59" s="4" t="s">
        <v>73</v>
      </c>
      <c r="C59" s="5" t="str">
        <f>IFERROR(__xludf.DUMMYFUNCTION("GOOGLETRANSLATE(B59,""en"",""es-ES"")"),"Ella regresa a las barras y salta a la mitad de la mitad.")</f>
        <v>Ella regresa a las barras y salta a la mitad de la mitad.</v>
      </c>
    </row>
    <row r="60">
      <c r="A60" s="4" t="s">
        <v>74</v>
      </c>
      <c r="B60" s="4" t="s">
        <v>75</v>
      </c>
      <c r="C60" s="5" t="str">
        <f>IFERROR(__xludf.DUMMYFUNCTION("GOOGLETRANSLATE(B60,""en"",""es-ES"")"),"Una cámara se mueve sobre una zona nevada y conduce a un hombre de pie sobre una tabla de snowboard y cabalga por una montaña.")</f>
        <v>Una cámara se mueve sobre una zona nevada y conduce a un hombre de pie sobre una tabla de snowboard y cabalga por una montaña.</v>
      </c>
    </row>
    <row r="61">
      <c r="A61" s="4" t="s">
        <v>74</v>
      </c>
      <c r="B61" s="4" t="s">
        <v>76</v>
      </c>
      <c r="C61" s="5" t="str">
        <f>IFERROR(__xludf.DUMMYFUNCTION("GOOGLETRANSLATE(B61,""en"",""es-ES"")"),"El hombre se acerca a sí mismo montando por la colina y termina con él apagando la cámara.")</f>
        <v>El hombre se acerca a sí mismo montando por la colina y termina con él apagando la cámara.</v>
      </c>
    </row>
    <row r="62">
      <c r="A62" s="4" t="s">
        <v>77</v>
      </c>
      <c r="B62" s="4" t="s">
        <v>78</v>
      </c>
      <c r="C62" s="5" t="str">
        <f>IFERROR(__xludf.DUMMYFUNCTION("GOOGLETRANSLATE(B62,""en"",""es-ES"")"),"Se ve una sala de juegos seguida por un niño que se desliza por un tobogán y subiendo de nuevo.")</f>
        <v>Se ve una sala de juegos seguida por un niño que se desliza por un tobogán y subiendo de nuevo.</v>
      </c>
    </row>
    <row r="63">
      <c r="A63" s="4" t="s">
        <v>77</v>
      </c>
      <c r="B63" s="4" t="s">
        <v>79</v>
      </c>
      <c r="C63" s="5" t="str">
        <f>IFERROR(__xludf.DUMMYFUNCTION("GOOGLETRANSLATE(B63,""en"",""es-ES"")"),"Se desliza hacia abajo nuevamente, esta vez aterrizando sobre su espalda, y continúa deslizándose varias veces más.")</f>
        <v>Se desliza hacia abajo nuevamente, esta vez aterrizando sobre su espalda, y continúa deslizándose varias veces más.</v>
      </c>
    </row>
    <row r="64">
      <c r="A64" s="4" t="s">
        <v>80</v>
      </c>
      <c r="B64" s="4" t="s">
        <v>81</v>
      </c>
      <c r="C64" s="5" t="str">
        <f>IFERROR(__xludf.DUMMYFUNCTION("GOOGLETRANSLATE(B64,""en"",""es-ES"")"),"Un hombre y una mujer están sentados en sofás rojos con camisetas deportivas que cuelgan en la pared y una pantalla azul en la pared detrás de ellos en el medio de ellos.")</f>
        <v>Un hombre y una mujer están sentados en sofás rojos con camisetas deportivas que cuelgan en la pared y una pantalla azul en la pared detrás de ellos en el medio de ellos.</v>
      </c>
    </row>
    <row r="65">
      <c r="A65" s="4" t="s">
        <v>80</v>
      </c>
      <c r="B65" s="4" t="s">
        <v>82</v>
      </c>
      <c r="C65" s="5" t="str">
        <f>IFERROR(__xludf.DUMMYFUNCTION("GOOGLETRANSLATE(B65,""en"",""es-ES"")"),"La mujer recoge un portapapeles a su lado y suaviza los papeles que están encima mientras sonríe, cruza las piernas y se sienta hacia atrás.")</f>
        <v>La mujer recoge un portapapeles a su lado y suaviza los papeles que están encima mientras sonríe, cruza las piernas y se sienta hacia atrás.</v>
      </c>
    </row>
    <row r="66">
      <c r="A66" s="4" t="s">
        <v>80</v>
      </c>
      <c r="B66" s="4" t="s">
        <v>83</v>
      </c>
      <c r="C66" s="5" t="str">
        <f>IFERROR(__xludf.DUMMYFUNCTION("GOOGLETRANSLATE(B66,""en"",""es-ES"")"),"El hombre habla todo este tiempo mientras la mujer se siente cómoda en su sofá y la mujer habla brevemente.")</f>
        <v>El hombre habla todo este tiempo mientras la mujer se siente cómoda en su sofá y la mujer habla brevemente.</v>
      </c>
    </row>
    <row r="67">
      <c r="A67" s="4" t="s">
        <v>80</v>
      </c>
      <c r="B67" s="4" t="s">
        <v>84</v>
      </c>
      <c r="C67" s="5" t="str">
        <f>IFERROR(__xludf.DUMMYFUNCTION("GOOGLETRANSLATE(B67,""en"",""es-ES"")"),"Comienzan a jugar varios clips y muestra brevemente partes de una ciudad, entonces la mayor parte es de hombres al aire libre y jugando fútbol en la arena en un medio de la ciudad, y ocasionalmente se producen palabras azules en la pantalla cuando se hace"&amp;"n ciertas jugadas en el juego. .")</f>
        <v>Comienzan a jugar varios clips y muestra brevemente partes de una ciudad, entonces la mayor parte es de hombres al aire libre y jugando fútbol en la arena en un medio de la ciudad, y ocasionalmente se producen palabras azules en la pantalla cuando se hacen ciertas jugadas en el juego. .</v>
      </c>
    </row>
    <row r="68">
      <c r="A68" s="4" t="s">
        <v>80</v>
      </c>
      <c r="B68" s="4" t="s">
        <v>85</v>
      </c>
      <c r="C68" s="5" t="str">
        <f>IFERROR(__xludf.DUMMYFUNCTION("GOOGLETRANSLATE(B68,""en"",""es-ES"")"),"Cuando los clips terminan, el hombre y la mujer en el sofá comienzan a hablar y ella baja su portapapeles.")</f>
        <v>Cuando los clips terminan, el hombre y la mujer en el sofá comienzan a hablar y ella baja su portapapeles.</v>
      </c>
    </row>
    <row r="69">
      <c r="A69" s="4" t="s">
        <v>86</v>
      </c>
      <c r="B69" s="4" t="s">
        <v>87</v>
      </c>
      <c r="C69" s="5" t="str">
        <f>IFERROR(__xludf.DUMMYFUNCTION("GOOGLETRANSLATE(B69,""en"",""es-ES"")"),"Se ve al ex presidente caminando en un gran campo al lado de una mujer y rodeada de una gran multitud.")</f>
        <v>Se ve al ex presidente caminando en un gran campo al lado de una mujer y rodeada de una gran multitud.</v>
      </c>
    </row>
    <row r="70">
      <c r="A70" s="4" t="s">
        <v>86</v>
      </c>
      <c r="B70" s="4" t="s">
        <v>88</v>
      </c>
      <c r="C70" s="5" t="str">
        <f>IFERROR(__xludf.DUMMYFUNCTION("GOOGLETRANSLATE(B70,""en"",""es-ES"")"),"El hombre da un discurso mientras la gente aplaude y se da la mano con los demás.")</f>
        <v>El hombre da un discurso mientras la gente aplaude y se da la mano con los demás.</v>
      </c>
    </row>
    <row r="71">
      <c r="A71" s="4" t="s">
        <v>86</v>
      </c>
      <c r="B71" s="4" t="s">
        <v>89</v>
      </c>
      <c r="C71" s="5" t="str">
        <f>IFERROR(__xludf.DUMMYFUNCTION("GOOGLETRANSLATE(B71,""en"",""es-ES"")"),"El hombre luego comparte una cerveza con otras personas a su alrededor.")</f>
        <v>El hombre luego comparte una cerveza con otras personas a su alrededor.</v>
      </c>
    </row>
    <row r="72">
      <c r="A72" s="4" t="s">
        <v>90</v>
      </c>
      <c r="B72" s="4" t="s">
        <v>91</v>
      </c>
      <c r="C72" s="5" t="str">
        <f>IFERROR(__xludf.DUMMYFUNCTION("GOOGLETRANSLATE(B72,""en"",""es-ES"")"),"Cuatro niños están afuera en la playa jugando en la arena, dos niños a la izquierda y dos niñas a la derecha.")</f>
        <v>Cuatro niños están afuera en la playa jugando en la arena, dos niños a la izquierda y dos niñas a la derecha.</v>
      </c>
    </row>
    <row r="73">
      <c r="A73" s="4" t="s">
        <v>90</v>
      </c>
      <c r="B73" s="4" t="s">
        <v>92</v>
      </c>
      <c r="C73" s="5" t="str">
        <f>IFERROR(__xludf.DUMMYFUNCTION("GOOGLETRANSLATE(B73,""en"",""es-ES"")"),"Las chicas tienen unos seis castillos de arena y un gran círculo que lo rodea llena de agua.")</f>
        <v>Las chicas tienen unos seis castillos de arena y un gran círculo que lo rodea llena de agua.</v>
      </c>
    </row>
    <row r="74">
      <c r="A74" s="4" t="s">
        <v>90</v>
      </c>
      <c r="B74" s="4" t="s">
        <v>93</v>
      </c>
      <c r="C74" s="5" t="str">
        <f>IFERROR(__xludf.DUMMYFUNCTION("GOOGLETRANSLATE(B74,""en"",""es-ES"")"),"Luego salen corriendo a la playa para agarrar más agua cuando el niño viene y mira su trabajo.")</f>
        <v>Luego salen corriendo a la playa para agarrar más agua cuando el niño viene y mira su trabajo.</v>
      </c>
    </row>
    <row r="75">
      <c r="A75" s="4" t="s">
        <v>90</v>
      </c>
      <c r="B75" s="4" t="s">
        <v>94</v>
      </c>
      <c r="C75" s="5" t="str">
        <f>IFERROR(__xludf.DUMMYFUNCTION("GOOGLETRANSLATE(B75,""en"",""es-ES"")"),"Una vez que hayan terminado, las dos chicas salen corriendo al agua pero luego se detienen a mitad de camino para regresar y obtener sus flotadores.")</f>
        <v>Una vez que hayan terminado, las dos chicas salen corriendo al agua pero luego se detienen a mitad de camino para regresar y obtener sus flotadores.</v>
      </c>
    </row>
    <row r="76">
      <c r="A76" s="4" t="s">
        <v>95</v>
      </c>
      <c r="B76" s="4" t="s">
        <v>96</v>
      </c>
      <c r="C76" s="5" t="str">
        <f>IFERROR(__xludf.DUMMYFUNCTION("GOOGLETRANSLATE(B76,""en"",""es-ES"")"),"Se ve una gran pila de hojas voladas con disparos de un soplador que se muestra.")</f>
        <v>Se ve una gran pila de hojas voladas con disparos de un soplador que se muestra.</v>
      </c>
    </row>
    <row r="77">
      <c r="A77" s="4" t="s">
        <v>95</v>
      </c>
      <c r="B77" s="4" t="s">
        <v>97</v>
      </c>
      <c r="C77" s="5" t="str">
        <f>IFERROR(__xludf.DUMMYFUNCTION("GOOGLETRANSLATE(B77,""en"",""es-ES"")"),"Las hojas continúan mostrando soplando, así como una máquina sentada en la distancia.")</f>
        <v>Las hojas continúan mostrando soplando, así como una máquina sentada en la distancia.</v>
      </c>
    </row>
    <row r="78">
      <c r="A78" s="4" t="s">
        <v>98</v>
      </c>
      <c r="B78" s="4" t="s">
        <v>99</v>
      </c>
      <c r="C78" s="5" t="str">
        <f>IFERROR(__xludf.DUMMYFUNCTION("GOOGLETRANSLATE(B78,""en"",""es-ES"")"),"Se ve a un jugador de baloncesto driblar una pelota en varios tiros para la cámara y conduce al jugador haciendo canastas una y otra vez.")</f>
        <v>Se ve a un jugador de baloncesto driblar una pelota en varios tiros para la cámara y conduce al jugador haciendo canastas una y otra vez.</v>
      </c>
    </row>
    <row r="79">
      <c r="A79" s="4" t="s">
        <v>98</v>
      </c>
      <c r="B79" s="4" t="s">
        <v>100</v>
      </c>
      <c r="C79" s="5" t="str">
        <f>IFERROR(__xludf.DUMMYFUNCTION("GOOGLETRANSLATE(B79,""en"",""es-ES"")"),"Luego se ve al hombre hablando con la cámara y hace una transición a él anotando varias canastas más.")</f>
        <v>Luego se ve al hombre hablando con la cámara y hace una transición a él anotando varias canastas más.</v>
      </c>
    </row>
    <row r="80">
      <c r="A80" s="4" t="s">
        <v>101</v>
      </c>
      <c r="B80" s="4" t="s">
        <v>102</v>
      </c>
      <c r="C80" s="5" t="str">
        <f>IFERROR(__xludf.DUMMYFUNCTION("GOOGLETRANSLATE(B80,""en"",""es-ES"")"),"La gente está de pie en una habitación haciendo ejercicio.")</f>
        <v>La gente está de pie en una habitación haciendo ejercicio.</v>
      </c>
    </row>
    <row r="81">
      <c r="A81" s="4" t="s">
        <v>101</v>
      </c>
      <c r="B81" s="4" t="s">
        <v>103</v>
      </c>
      <c r="C81" s="5" t="str">
        <f>IFERROR(__xludf.DUMMYFUNCTION("GOOGLETRANSLATE(B81,""en"",""es-ES"")"),"Están bajando y bajando en pequeños taburetes de paso.")</f>
        <v>Están bajando y bajando en pequeños taburetes de paso.</v>
      </c>
    </row>
    <row r="82">
      <c r="A82" s="4" t="s">
        <v>101</v>
      </c>
      <c r="B82" s="4" t="s">
        <v>104</v>
      </c>
      <c r="C82" s="5" t="str">
        <f>IFERROR(__xludf.DUMMYFUNCTION("GOOGLETRANSLATE(B82,""en"",""es-ES"")"),"Continúan trabajando en la habitación.")</f>
        <v>Continúan trabajando en la habitación.</v>
      </c>
    </row>
    <row r="83">
      <c r="A83" s="4" t="s">
        <v>105</v>
      </c>
      <c r="B83" s="4" t="s">
        <v>106</v>
      </c>
      <c r="C83" s="5" t="str">
        <f>IFERROR(__xludf.DUMMYFUNCTION("GOOGLETRANSLATE(B83,""en"",""es-ES"")"),"Se está reproduciendo un video en blanco y negro de personas que tocan lacrosse en un campo.")</f>
        <v>Se está reproduciendo un video en blanco y negro de personas que tocan lacrosse en un campo.</v>
      </c>
    </row>
    <row r="84">
      <c r="A84" s="4" t="s">
        <v>105</v>
      </c>
      <c r="B84" s="4" t="s">
        <v>107</v>
      </c>
      <c r="C84" s="5" t="str">
        <f>IFERROR(__xludf.DUMMYFUNCTION("GOOGLETRANSLATE(B84,""en"",""es-ES"")"),"Luego vuelve al color y se divide en múltiples marcos y velocidades.")</f>
        <v>Luego vuelve al color y se divide en múltiples marcos y velocidades.</v>
      </c>
    </row>
    <row r="85">
      <c r="A85" s="4" t="s">
        <v>105</v>
      </c>
      <c r="B85" s="4" t="s">
        <v>108</v>
      </c>
      <c r="C85" s="5" t="str">
        <f>IFERROR(__xludf.DUMMYFUNCTION("GOOGLETRANSLATE(B85,""en"",""es-ES"")"),"El video incluye numerosos clips de jugadores en juegos de lacrosse, golpeando la pelota hacia goles opuestos.")</f>
        <v>El video incluye numerosos clips de jugadores en juegos de lacrosse, golpeando la pelota hacia goles opuestos.</v>
      </c>
    </row>
    <row r="86">
      <c r="A86" s="4" t="s">
        <v>109</v>
      </c>
      <c r="B86" s="4" t="s">
        <v>110</v>
      </c>
      <c r="C86" s="5" t="str">
        <f>IFERROR(__xludf.DUMMYFUNCTION("GOOGLETRANSLATE(B86,""en"",""es-ES"")"),"Un hombre está jugando las gaitas frente a la gente.")</f>
        <v>Un hombre está jugando las gaitas frente a la gente.</v>
      </c>
    </row>
    <row r="87">
      <c r="A87" s="4" t="s">
        <v>109</v>
      </c>
      <c r="B87" s="4" t="s">
        <v>111</v>
      </c>
      <c r="C87" s="5" t="str">
        <f>IFERROR(__xludf.DUMMYFUNCTION("GOOGLETRANSLATE(B87,""en"",""es-ES"")"),"La gente en el sofá frente a él comienza a reír.")</f>
        <v>La gente en el sofá frente a él comienza a reír.</v>
      </c>
    </row>
    <row r="88">
      <c r="A88" s="4" t="s">
        <v>112</v>
      </c>
      <c r="B88" s="4" t="s">
        <v>113</v>
      </c>
      <c r="C88" s="5" t="str">
        <f>IFERROR(__xludf.DUMMYFUNCTION("GOOGLETRANSLATE(B88,""en"",""es-ES"")"),"Se ve a un hombre acolchando una canoa a lo largo del agua mientras la cámara lo captura desde varios ángulos.")</f>
        <v>Se ve a un hombre acolchando una canoa a lo largo del agua mientras la cámara lo captura desde varios ángulos.</v>
      </c>
    </row>
    <row r="89">
      <c r="A89" s="4" t="s">
        <v>112</v>
      </c>
      <c r="B89" s="4" t="s">
        <v>114</v>
      </c>
      <c r="C89" s="5" t="str">
        <f>IFERROR(__xludf.DUMMYFUNCTION("GOOGLETRANSLATE(B89,""en"",""es-ES"")"),"El hombre continúa cabalgando seguido de realizar varias formas de cambiar la canoa.")</f>
        <v>El hombre continúa cabalgando seguido de realizar varias formas de cambiar la canoa.</v>
      </c>
    </row>
    <row r="90">
      <c r="A90" s="4" t="s">
        <v>115</v>
      </c>
      <c r="B90" s="4" t="s">
        <v>116</v>
      </c>
      <c r="C90" s="5" t="str">
        <f>IFERROR(__xludf.DUMMYFUNCTION("GOOGLETRANSLATE(B90,""en"",""es-ES"")"),"Un hombre está parado sobre hielo con su poste de pie a su lado.")</f>
        <v>Un hombre está parado sobre hielo con su poste de pie a su lado.</v>
      </c>
    </row>
    <row r="91">
      <c r="A91" s="4" t="s">
        <v>115</v>
      </c>
      <c r="B91" s="4" t="s">
        <v>117</v>
      </c>
      <c r="C91" s="5" t="str">
        <f>IFERROR(__xludf.DUMMYFUNCTION("GOOGLETRANSLATE(B91,""en"",""es-ES"")"),"El hombre agarra su poste de pesca y comienza a pescar en el agujero en el hielo.")</f>
        <v>El hombre agarra su poste de pesca y comienza a pescar en el agujero en el hielo.</v>
      </c>
    </row>
    <row r="92">
      <c r="A92" s="4" t="s">
        <v>115</v>
      </c>
      <c r="B92" s="4" t="s">
        <v>118</v>
      </c>
      <c r="C92" s="5" t="str">
        <f>IFERROR(__xludf.DUMMYFUNCTION("GOOGLETRANSLATE(B92,""en"",""es-ES"")"),"El hombre parece haber atrapado algo y se arrodilla para tirar de su línea de pesca a mano.")</f>
        <v>El hombre parece haber atrapado algo y se arrodilla para tirar de su línea de pesca a mano.</v>
      </c>
    </row>
    <row r="93">
      <c r="A93" s="4" t="s">
        <v>115</v>
      </c>
      <c r="B93" s="4" t="s">
        <v>119</v>
      </c>
      <c r="C93" s="5" t="str">
        <f>IFERROR(__xludf.DUMMYFUNCTION("GOOGLETRANSLATE(B93,""en"",""es-ES"")"),"El hombre saca un pez del agua y posa con él.")</f>
        <v>El hombre saca un pez del agua y posa con él.</v>
      </c>
    </row>
    <row r="94">
      <c r="A94" s="4" t="s">
        <v>115</v>
      </c>
      <c r="B94" s="4" t="s">
        <v>120</v>
      </c>
      <c r="C94" s="5" t="str">
        <f>IFERROR(__xludf.DUMMYFUNCTION("GOOGLETRANSLATE(B94,""en"",""es-ES"")"),"El hombre se desabrocha el gancho de la boca del pez.")</f>
        <v>El hombre se desabrocha el gancho de la boca del pez.</v>
      </c>
    </row>
    <row r="95">
      <c r="A95" s="4" t="s">
        <v>115</v>
      </c>
      <c r="B95" s="4" t="s">
        <v>121</v>
      </c>
      <c r="C95" s="5" t="str">
        <f>IFERROR(__xludf.DUMMYFUNCTION("GOOGLETRANSLATE(B95,""en"",""es-ES"")"),"El hombre besa el pez y lo libera nuevamente en el agujero.")</f>
        <v>El hombre besa el pez y lo libera nuevamente en el agujero.</v>
      </c>
    </row>
    <row r="96">
      <c r="A96" s="4" t="s">
        <v>122</v>
      </c>
      <c r="B96" s="4" t="s">
        <v>123</v>
      </c>
      <c r="C96" s="5" t="str">
        <f>IFERROR(__xludf.DUMMYFUNCTION("GOOGLETRANSLATE(B96,""en"",""es-ES"")"),"Un hombre estaba sentado dentro de una habitación.")</f>
        <v>Un hombre estaba sentado dentro de una habitación.</v>
      </c>
    </row>
    <row r="97">
      <c r="A97" s="4" t="s">
        <v>122</v>
      </c>
      <c r="B97" s="4" t="s">
        <v>124</v>
      </c>
      <c r="C97" s="5" t="str">
        <f>IFERROR(__xludf.DUMMYFUNCTION("GOOGLETRANSLATE(B97,""en"",""es-ES"")"),"Está sosteniendo un tazón de fideos y caldo.")</f>
        <v>Está sosteniendo un tazón de fideos y caldo.</v>
      </c>
    </row>
    <row r="98">
      <c r="A98" s="4" t="s">
        <v>122</v>
      </c>
      <c r="B98" s="4" t="s">
        <v>125</v>
      </c>
      <c r="C98" s="5" t="str">
        <f>IFERROR(__xludf.DUMMYFUNCTION("GOOGLETRANSLATE(B98,""en"",""es-ES"")"),"Está bebiendo el caldo de un tazón.")</f>
        <v>Está bebiendo el caldo de un tazón.</v>
      </c>
    </row>
    <row r="99">
      <c r="A99" s="4" t="s">
        <v>126</v>
      </c>
      <c r="B99" s="4" t="s">
        <v>127</v>
      </c>
      <c r="C99" s="5" t="str">
        <f>IFERROR(__xludf.DUMMYFUNCTION("GOOGLETRANSLATE(B99,""en"",""es-ES"")"),"Un niño pequeño está acostado en una pelota de ejercicios.")</f>
        <v>Un niño pequeño está acostado en una pelota de ejercicios.</v>
      </c>
    </row>
    <row r="100">
      <c r="A100" s="4" t="s">
        <v>126</v>
      </c>
      <c r="B100" s="4" t="s">
        <v>128</v>
      </c>
      <c r="C100" s="5" t="str">
        <f>IFERROR(__xludf.DUMMYFUNCTION("GOOGLETRANSLATE(B100,""en"",""es-ES"")"),"El niño cae y vuelve a la pelota antes de que se caiga nuevamente.")</f>
        <v>El niño cae y vuelve a la pelota antes de que se caiga nuevamente.</v>
      </c>
    </row>
    <row r="101">
      <c r="A101" s="4" t="s">
        <v>126</v>
      </c>
      <c r="B101" s="4" t="s">
        <v>129</v>
      </c>
      <c r="C101" s="5" t="str">
        <f>IFERROR(__xludf.DUMMYFUNCTION("GOOGLETRANSLATE(B101,""en"",""es-ES"")"),"Intenta sentarse en la pelota pero la pelota se aleja.")</f>
        <v>Intenta sentarse en la pelota pero la pelota se aleja.</v>
      </c>
    </row>
    <row r="102">
      <c r="A102" s="4" t="s">
        <v>126</v>
      </c>
      <c r="B102" s="4" t="s">
        <v>130</v>
      </c>
      <c r="C102" s="5" t="str">
        <f>IFERROR(__xludf.DUMMYFUNCTION("GOOGLETRANSLATE(B102,""en"",""es-ES"")"),"Lo recupera y continúa sentándose y caído del balón.")</f>
        <v>Lo recupera y continúa sentándose y caído del balón.</v>
      </c>
    </row>
    <row r="103">
      <c r="A103" s="4" t="s">
        <v>131</v>
      </c>
      <c r="B103" s="4" t="s">
        <v>132</v>
      </c>
      <c r="C103" s="5" t="str">
        <f>IFERROR(__xludf.DUMMYFUNCTION("GOOGLETRANSLATE(B103,""en"",""es-ES"")"),"Una mujer se pone un par de zapatos mientras está sentada en una silla de oficina.")</f>
        <v>Una mujer se pone un par de zapatos mientras está sentada en una silla de oficina.</v>
      </c>
    </row>
    <row r="104">
      <c r="A104" s="4" t="s">
        <v>131</v>
      </c>
      <c r="B104" s="4" t="s">
        <v>133</v>
      </c>
      <c r="C104" s="5" t="str">
        <f>IFERROR(__xludf.DUMMYFUNCTION("GOOGLETRANSLATE(B104,""en"",""es-ES"")"),"La mujer se abrochan los zapatos.")</f>
        <v>La mujer se abrochan los zapatos.</v>
      </c>
    </row>
    <row r="105">
      <c r="A105" s="4" t="s">
        <v>134</v>
      </c>
      <c r="B105" s="4" t="s">
        <v>135</v>
      </c>
      <c r="C105" s="5" t="str">
        <f>IFERROR(__xludf.DUMMYFUNCTION("GOOGLETRANSLATE(B105,""en"",""es-ES"")"),"Se ve un primer plano de una rueda de bicicleta que conduce a las manos de una persona empujando el neumático.")</f>
        <v>Se ve un primer plano de una rueda de bicicleta que conduce a las manos de una persona empujando el neumático.</v>
      </c>
    </row>
    <row r="106">
      <c r="A106" s="4" t="s">
        <v>134</v>
      </c>
      <c r="B106" s="4" t="s">
        <v>136</v>
      </c>
      <c r="C106" s="5" t="str">
        <f>IFERROR(__xludf.DUMMYFUNCTION("GOOGLETRANSLATE(B106,""en"",""es-ES"")"),"La persona usa una herramienta a lo largo del neumático para ayudar a avanzar.")</f>
        <v>La persona usa una herramienta a lo largo del neumático para ayudar a avanzar.</v>
      </c>
    </row>
    <row r="107">
      <c r="A107" s="4" t="s">
        <v>134</v>
      </c>
      <c r="B107" s="4" t="s">
        <v>137</v>
      </c>
      <c r="C107" s="5" t="str">
        <f>IFERROR(__xludf.DUMMYFUNCTION("GOOGLETRANSLATE(B107,""en"",""es-ES"")"),"La persona finalmente empuja el neumático por sus lados.")</f>
        <v>La persona finalmente empuja el neumático por sus lados.</v>
      </c>
    </row>
    <row r="108">
      <c r="A108" s="4" t="s">
        <v>138</v>
      </c>
      <c r="B108" s="4" t="s">
        <v>139</v>
      </c>
      <c r="C108" s="5" t="str">
        <f>IFERROR(__xludf.DUMMYFUNCTION("GOOGLETRANSLATE(B108,""en"",""es-ES"")"),"Se ve a una mujer arrodillada en el piso y tirando de un equipo de ejercicio.")</f>
        <v>Se ve a una mujer arrodillada en el piso y tirando de un equipo de ejercicio.</v>
      </c>
    </row>
    <row r="109">
      <c r="A109" s="4" t="s">
        <v>138</v>
      </c>
      <c r="B109" s="4" t="s">
        <v>140</v>
      </c>
      <c r="C109" s="5" t="str">
        <f>IFERROR(__xludf.DUMMYFUNCTION("GOOGLETRANSLATE(B109,""en"",""es-ES"")"),"La mujer comienza a girar su cuerpo con el equipo mientras habla con la cámara.")</f>
        <v>La mujer comienza a girar su cuerpo con el equipo mientras habla con la cámara.</v>
      </c>
    </row>
    <row r="110">
      <c r="A110" s="4" t="s">
        <v>138</v>
      </c>
      <c r="B110" s="4" t="s">
        <v>141</v>
      </c>
      <c r="C110" s="5" t="str">
        <f>IFERROR(__xludf.DUMMYFUNCTION("GOOGLETRANSLATE(B110,""en"",""es-ES"")"),"Ella continúa tirando de la palanca mientras mira hacia la cámara.")</f>
        <v>Ella continúa tirando de la palanca mientras mira hacia la cámara.</v>
      </c>
    </row>
    <row r="111">
      <c r="A111" s="4" t="s">
        <v>142</v>
      </c>
      <c r="B111" s="4" t="s">
        <v>143</v>
      </c>
      <c r="C111" s="5" t="str">
        <f>IFERROR(__xludf.DUMMYFUNCTION("GOOGLETRANSLATE(B111,""en"",""es-ES"")"),"Tres personas se encuentran junto a la esquina de un edificio.")</f>
        <v>Tres personas se encuentran junto a la esquina de un edificio.</v>
      </c>
    </row>
    <row r="112">
      <c r="A112" s="4" t="s">
        <v>142</v>
      </c>
      <c r="B112" s="4" t="s">
        <v>144</v>
      </c>
      <c r="C112" s="5" t="str">
        <f>IFERROR(__xludf.DUMMYFUNCTION("GOOGLETRANSLATE(B112,""en"",""es-ES"")"),"Una de las personas, un niño, hace una reverencia.")</f>
        <v>Una de las personas, un niño, hace una reverencia.</v>
      </c>
    </row>
    <row r="113">
      <c r="A113" s="4" t="s">
        <v>142</v>
      </c>
      <c r="B113" s="4" t="s">
        <v>145</v>
      </c>
      <c r="C113" s="5" t="str">
        <f>IFERROR(__xludf.DUMMYFUNCTION("GOOGLETRANSLATE(B113,""en"",""es-ES"")"),"Una multitud de personas lo ve.")</f>
        <v>Una multitud de personas lo ve.</v>
      </c>
    </row>
    <row r="114">
      <c r="A114" s="4" t="s">
        <v>142</v>
      </c>
      <c r="B114" s="4" t="s">
        <v>146</v>
      </c>
      <c r="C114" s="5" t="str">
        <f>IFERROR(__xludf.DUMMYFUNCTION("GOOGLETRANSLATE(B114,""en"",""es-ES"")"),"Procede a realizar varios movimientos de karate, como inclinar, volteretas y volteos.")</f>
        <v>Procede a realizar varios movimientos de karate, como inclinar, volteretas y volteos.</v>
      </c>
    </row>
    <row r="115">
      <c r="A115" s="4" t="s">
        <v>147</v>
      </c>
      <c r="B115" s="4" t="s">
        <v>148</v>
      </c>
      <c r="C115" s="5" t="str">
        <f>IFERROR(__xludf.DUMMYFUNCTION("GOOGLETRANSLATE(B115,""en"",""es-ES"")"),"Una persona está sosteniendo una flauta.")</f>
        <v>Una persona está sosteniendo una flauta.</v>
      </c>
    </row>
    <row r="116">
      <c r="A116" s="4" t="s">
        <v>147</v>
      </c>
      <c r="B116" s="4" t="s">
        <v>149</v>
      </c>
      <c r="C116" s="5" t="str">
        <f>IFERROR(__xludf.DUMMYFUNCTION("GOOGLETRANSLATE(B116,""en"",""es-ES"")"),"La persona muestra una digitación para la segunda octava de la nota.")</f>
        <v>La persona muestra una digitación para la segunda octava de la nota.</v>
      </c>
    </row>
    <row r="117">
      <c r="A117" s="4" t="s">
        <v>147</v>
      </c>
      <c r="B117" s="4" t="s">
        <v>150</v>
      </c>
      <c r="C117" s="5" t="str">
        <f>IFERROR(__xludf.DUMMYFUNCTION("GOOGLETRANSLATE(B117,""en"",""es-ES"")"),"La persona muestra la digitación en la tercera octava.")</f>
        <v>La persona muestra la digitación en la tercera octava.</v>
      </c>
    </row>
    <row r="118">
      <c r="A118" s="4" t="s">
        <v>147</v>
      </c>
      <c r="B118" s="4" t="s">
        <v>151</v>
      </c>
      <c r="C118" s="5" t="str">
        <f>IFERROR(__xludf.DUMMYFUNCTION("GOOGLETRANSLATE(B118,""en"",""es-ES"")"),"La mujer habla directamente con la cámara.")</f>
        <v>La mujer habla directamente con la cámara.</v>
      </c>
    </row>
    <row r="119">
      <c r="A119" s="4" t="s">
        <v>152</v>
      </c>
      <c r="B119" s="4" t="s">
        <v>153</v>
      </c>
      <c r="C119" s="5" t="str">
        <f>IFERROR(__xludf.DUMMYFUNCTION("GOOGLETRANSLATE(B119,""en"",""es-ES"")"),"Una introducción conduce a varias fotos de un jugador de tenis y líderes en imágenes de video del jugador que juega partidos.")</f>
        <v>Una introducción conduce a varias fotos de un jugador de tenis y líderes en imágenes de video del jugador que juega partidos.</v>
      </c>
    </row>
    <row r="120">
      <c r="A120" s="4" t="s">
        <v>152</v>
      </c>
      <c r="B120" s="4" t="s">
        <v>154</v>
      </c>
      <c r="C120" s="5" t="str">
        <f>IFERROR(__xludf.DUMMYFUNCTION("GOOGLETRANSLATE(B120,""en"",""es-ES"")"),"El tenista se muestra en varios tiros de juegos que realizan acrobacias increíbles y apretan sus puños para celebrar al final.")</f>
        <v>El tenista se muestra en varios tiros de juegos que realizan acrobacias increíbles y apretan sus puños para celebrar al final.</v>
      </c>
    </row>
    <row r="121">
      <c r="A121" s="4" t="s">
        <v>155</v>
      </c>
      <c r="B121" s="4" t="s">
        <v>156</v>
      </c>
      <c r="C121" s="5" t="str">
        <f>IFERROR(__xludf.DUMMYFUNCTION("GOOGLETRANSLATE(B121,""en"",""es-ES"")"),"Los bailarines del hiphop actúan frente a una multitud.")</f>
        <v>Los bailarines del hiphop actúan frente a una multitud.</v>
      </c>
    </row>
    <row r="122">
      <c r="A122" s="4" t="s">
        <v>155</v>
      </c>
      <c r="B122" s="4" t="s">
        <v>157</v>
      </c>
      <c r="C122" s="5" t="str">
        <f>IFERROR(__xludf.DUMMYFUNCTION("GOOGLETRANSLATE(B122,""en"",""es-ES"")"),"Todos están haciendo el mismo baile básico y les toman fotos.")</f>
        <v>Todos están haciendo el mismo baile básico y les toman fotos.</v>
      </c>
    </row>
    <row r="123">
      <c r="A123" s="4" t="s">
        <v>158</v>
      </c>
      <c r="B123" s="4" t="s">
        <v>159</v>
      </c>
      <c r="C123" s="5" t="str">
        <f>IFERROR(__xludf.DUMMYFUNCTION("GOOGLETRANSLATE(B123,""en"",""es-ES"")"),"Se muestra un río turbio junto a una fila de árboles.")</f>
        <v>Se muestra un río turbio junto a una fila de árboles.</v>
      </c>
    </row>
    <row r="124">
      <c r="A124" s="4" t="s">
        <v>158</v>
      </c>
      <c r="B124" s="4" t="s">
        <v>160</v>
      </c>
      <c r="C124" s="5" t="str">
        <f>IFERROR(__xludf.DUMMYFUNCTION("GOOGLETRANSLATE(B124,""en"",""es-ES"")"),"Un grupo de personas en intertubes pasan lentamente.")</f>
        <v>Un grupo de personas en intertubes pasan lentamente.</v>
      </c>
    </row>
    <row r="125">
      <c r="A125" s="4" t="s">
        <v>158</v>
      </c>
      <c r="B125" s="4" t="s">
        <v>161</v>
      </c>
      <c r="C125" s="5" t="str">
        <f>IFERROR(__xludf.DUMMYFUNCTION("GOOGLETRANSLATE(B125,""en"",""es-ES"")"),"Luego vemos aguas rápidas a medida que los tubérculos pasan por pequeñas caídas.")</f>
        <v>Luego vemos aguas rápidas a medida que los tubérculos pasan por pequeñas caídas.</v>
      </c>
    </row>
    <row r="126">
      <c r="A126" s="4" t="s">
        <v>162</v>
      </c>
      <c r="B126" s="4" t="s">
        <v>163</v>
      </c>
      <c r="C126" s="5" t="str">
        <f>IFERROR(__xludf.DUMMYFUNCTION("GOOGLETRANSLATE(B126,""en"",""es-ES"")"),"Tres chicas están hablando en la playa.")</f>
        <v>Tres chicas están hablando en la playa.</v>
      </c>
    </row>
    <row r="127">
      <c r="A127" s="4" t="s">
        <v>162</v>
      </c>
      <c r="B127" s="4" t="s">
        <v>164</v>
      </c>
      <c r="C127" s="5" t="str">
        <f>IFERROR(__xludf.DUMMYFUNCTION("GOOGLETRANSLATE(B127,""en"",""es-ES"")"),"Hacen varios volteos en la playa.")</f>
        <v>Hacen varios volteos en la playa.</v>
      </c>
    </row>
    <row r="128">
      <c r="A128" s="4" t="s">
        <v>162</v>
      </c>
      <c r="B128" s="4" t="s">
        <v>165</v>
      </c>
      <c r="C128" s="5" t="str">
        <f>IFERROR(__xludf.DUMMYFUNCTION("GOOGLETRANSLATE(B128,""en"",""es-ES"")"),"Levantan a una de las chicas para un truco.")</f>
        <v>Levantan a una de las chicas para un truco.</v>
      </c>
    </row>
    <row r="129">
      <c r="A129" s="4" t="s">
        <v>166</v>
      </c>
      <c r="B129" s="4" t="s">
        <v>167</v>
      </c>
      <c r="C129" s="5" t="str">
        <f>IFERROR(__xludf.DUMMYFUNCTION("GOOGLETRANSLATE(B129,""en"",""es-ES"")"),"La cámara se dirige por encima del terreno exuberante y verde sobre lo que parece una cordillera.")</f>
        <v>La cámara se dirige por encima del terreno exuberante y verde sobre lo que parece una cordillera.</v>
      </c>
    </row>
    <row r="130">
      <c r="A130" s="4" t="s">
        <v>166</v>
      </c>
      <c r="B130" s="4" t="s">
        <v>168</v>
      </c>
      <c r="C130" s="5" t="str">
        <f>IFERROR(__xludf.DUMMYFUNCTION("GOOGLETRANSLATE(B130,""en"",""es-ES"")"),"Un hombre se muestra cubierto de sudor y luego salta a través de varias colinas realizando acrobacias en una bicicleta de tierra.")</f>
        <v>Un hombre se muestra cubierto de sudor y luego salta a través de varias colinas realizando acrobacias en una bicicleta de tierra.</v>
      </c>
    </row>
    <row r="131">
      <c r="A131" s="4" t="s">
        <v>166</v>
      </c>
      <c r="B131" s="4" t="s">
        <v>169</v>
      </c>
      <c r="C131" s="5" t="str">
        <f>IFERROR(__xludf.DUMMYFUNCTION("GOOGLETRANSLATE(B131,""en"",""es-ES"")"),"Gira y voltea y realiza todo tipo de acrobacias.")</f>
        <v>Gira y voltea y realiza todo tipo de acrobacias.</v>
      </c>
    </row>
    <row r="132">
      <c r="A132" s="4" t="s">
        <v>166</v>
      </c>
      <c r="B132" s="4" t="s">
        <v>170</v>
      </c>
      <c r="C132" s="5" t="str">
        <f>IFERROR(__xludf.DUMMYFUNCTION("GOOGLETRANSLATE(B132,""en"",""es-ES"")"),"Es altamente hábil y saltando sobre todo.")</f>
        <v>Es altamente hábil y saltando sobre todo.</v>
      </c>
    </row>
    <row r="133">
      <c r="A133" s="4" t="s">
        <v>166</v>
      </c>
      <c r="B133" s="4" t="s">
        <v>171</v>
      </c>
      <c r="C133" s="5" t="str">
        <f>IFERROR(__xludf.DUMMYFUNCTION("GOOGLETRANSLATE(B133,""en"",""es-ES"")"),"Luego, el video muestra a varios hombres en bicicletas de tierra saltando en varios lugares diferentes y muestra la acción desde una variedad de ángulos.")</f>
        <v>Luego, el video muestra a varios hombres en bicicletas de tierra saltando en varios lugares diferentes y muestra la acción desde una variedad de ángulos.</v>
      </c>
    </row>
    <row r="134">
      <c r="A134" s="4" t="s">
        <v>166</v>
      </c>
      <c r="B134" s="4" t="s">
        <v>172</v>
      </c>
      <c r="C134" s="5" t="str">
        <f>IFERROR(__xludf.DUMMYFUNCTION("GOOGLETRANSLATE(B134,""en"",""es-ES"")"),"Los hombres continúan realizando sus aturdimientos en varios otros paisajes.")</f>
        <v>Los hombres continúan realizando sus aturdimientos en varios otros paisajes.</v>
      </c>
    </row>
    <row r="135">
      <c r="A135" s="4" t="s">
        <v>173</v>
      </c>
      <c r="B135" s="4" t="s">
        <v>174</v>
      </c>
      <c r="C135" s="5" t="str">
        <f>IFERROR(__xludf.DUMMYFUNCTION("GOOGLETRANSLATE(B135,""en"",""es-ES"")"),"Una mujer camina por una pista.")</f>
        <v>Una mujer camina por una pista.</v>
      </c>
    </row>
    <row r="136">
      <c r="A136" s="4" t="s">
        <v>173</v>
      </c>
      <c r="B136" s="4" t="s">
        <v>175</v>
      </c>
      <c r="C136" s="5" t="str">
        <f>IFERROR(__xludf.DUMMYFUNCTION("GOOGLETRANSLATE(B136,""en"",""es-ES"")"),"Ella despega en una carrera rápida.")</f>
        <v>Ella despega en una carrera rápida.</v>
      </c>
    </row>
    <row r="137">
      <c r="A137" s="4" t="s">
        <v>173</v>
      </c>
      <c r="B137" s="4" t="s">
        <v>176</v>
      </c>
      <c r="C137" s="5" t="str">
        <f>IFERROR(__xludf.DUMMYFUNCTION("GOOGLETRANSLATE(B137,""en"",""es-ES"")"),"Ella salta sobre una barra y sobre una colchoneta.")</f>
        <v>Ella salta sobre una barra y sobre una colchoneta.</v>
      </c>
    </row>
    <row r="138">
      <c r="A138" s="4" t="s">
        <v>177</v>
      </c>
      <c r="B138" s="4" t="s">
        <v>178</v>
      </c>
      <c r="C138" s="5" t="str">
        <f>IFERROR(__xludf.DUMMYFUNCTION("GOOGLETRANSLATE(B138,""en"",""es-ES"")"),"Una persona está cortando limas en un tablero.")</f>
        <v>Una persona está cortando limas en un tablero.</v>
      </c>
    </row>
    <row r="139">
      <c r="A139" s="4" t="s">
        <v>177</v>
      </c>
      <c r="B139" s="4" t="s">
        <v>179</v>
      </c>
      <c r="C139" s="5" t="str">
        <f>IFERROR(__xludf.DUMMYFUNCTION("GOOGLETRANSLATE(B139,""en"",""es-ES"")"),"Pusieron las limas y el azúcar en una licuadora.")</f>
        <v>Pusieron las limas y el azúcar en una licuadora.</v>
      </c>
    </row>
    <row r="140">
      <c r="A140" s="4" t="s">
        <v>177</v>
      </c>
      <c r="B140" s="4" t="s">
        <v>180</v>
      </c>
      <c r="C140" s="5" t="str">
        <f>IFERROR(__xludf.DUMMYFUNCTION("GOOGLETRANSLATE(B140,""en"",""es-ES"")"),"Casan el jugo y lo vierten en un frasco.")</f>
        <v>Casan el jugo y lo vierten en un frasco.</v>
      </c>
    </row>
    <row r="141">
      <c r="A141" s="4" t="s">
        <v>177</v>
      </c>
      <c r="B141" s="4" t="s">
        <v>181</v>
      </c>
      <c r="C141" s="5" t="str">
        <f>IFERROR(__xludf.DUMMYFUNCTION("GOOGLETRANSLATE(B141,""en"",""es-ES"")"),"Pusieron una pajita y una cuña de lima en el borde del vaso.")</f>
        <v>Pusieron una pajita y una cuña de lima en el borde del vaso.</v>
      </c>
    </row>
    <row r="142">
      <c r="A142" s="4" t="s">
        <v>182</v>
      </c>
      <c r="B142" s="4" t="s">
        <v>183</v>
      </c>
      <c r="C142" s="5" t="str">
        <f>IFERROR(__xludf.DUMMYFUNCTION("GOOGLETRANSLATE(B142,""en"",""es-ES"")"),"Un niño fraza el fregadero de la cocina con un cepillo.")</f>
        <v>Un niño fraza el fregadero de la cocina con un cepillo.</v>
      </c>
    </row>
    <row r="143">
      <c r="A143" s="4" t="s">
        <v>182</v>
      </c>
      <c r="B143" s="4" t="s">
        <v>184</v>
      </c>
      <c r="C143" s="5" t="str">
        <f>IFERROR(__xludf.DUMMYFUNCTION("GOOGLETRANSLATE(B143,""en"",""es-ES"")"),"El niño enciende el grifo del fregadero.")</f>
        <v>El niño enciende el grifo del fregadero.</v>
      </c>
    </row>
    <row r="144">
      <c r="A144" s="4" t="s">
        <v>182</v>
      </c>
      <c r="B144" s="4" t="s">
        <v>185</v>
      </c>
      <c r="C144" s="5" t="str">
        <f>IFERROR(__xludf.DUMMYFUNCTION("GOOGLETRANSLATE(B144,""en"",""es-ES"")"),"El niño usa la boquilla del grifo para enjuagar el fregadero.")</f>
        <v>El niño usa la boquilla del grifo para enjuagar el fregadero.</v>
      </c>
    </row>
    <row r="145">
      <c r="A145" s="4" t="s">
        <v>182</v>
      </c>
      <c r="B145" s="4" t="s">
        <v>186</v>
      </c>
      <c r="C145" s="5" t="str">
        <f>IFERROR(__xludf.DUMMYFUNCTION("GOOGLETRANSLATE(B145,""en"",""es-ES"")"),"El niño devuelve la boquilla del fregadero al grifo y apaga el agua.")</f>
        <v>El niño devuelve la boquilla del fregadero al grifo y apaga el agua.</v>
      </c>
    </row>
    <row r="146">
      <c r="A146" s="4" t="s">
        <v>187</v>
      </c>
      <c r="B146" s="4" t="s">
        <v>188</v>
      </c>
      <c r="C146" s="5" t="str">
        <f>IFERROR(__xludf.DUMMYFUNCTION("GOOGLETRANSLATE(B146,""en"",""es-ES"")"),"Un hombre en un estudio desnudo muestra una serie de artes marciales se mueven solo frente a una cámara.")</f>
        <v>Un hombre en un estudio desnudo muestra una serie de artes marciales se mueven solo frente a una cámara.</v>
      </c>
    </row>
    <row r="147">
      <c r="A147" s="4" t="s">
        <v>187</v>
      </c>
      <c r="B147" s="4" t="s">
        <v>189</v>
      </c>
      <c r="C147" s="5" t="str">
        <f>IFERROR(__xludf.DUMMYFUNCTION("GOOGLETRANSLATE(B147,""en"",""es-ES"")"),"Un hombre aparece con una camiseta blanca y pantalones negros, descalzo y comienza a mostrar movimientos de artes marciales.")</f>
        <v>Un hombre aparece con una camiseta blanca y pantalones negros, descalzo y comienza a mostrar movimientos de artes marciales.</v>
      </c>
    </row>
    <row r="148">
      <c r="A148" s="4" t="s">
        <v>187</v>
      </c>
      <c r="B148" s="4" t="s">
        <v>190</v>
      </c>
      <c r="C148" s="5" t="str">
        <f>IFERROR(__xludf.DUMMYFUNCTION("GOOGLETRANSLATE(B148,""en"",""es-ES"")"),"El hombre comienza a usar movimientos que exhiben trabajo en el piso y la luz cae junto con una parada de cabeza.")</f>
        <v>El hombre comienza a usar movimientos que exhiben trabajo en el piso y la luz cae junto con una parada de cabeza.</v>
      </c>
    </row>
    <row r="149">
      <c r="A149" s="4" t="s">
        <v>187</v>
      </c>
      <c r="B149" s="4" t="s">
        <v>191</v>
      </c>
      <c r="C149" s="5" t="str">
        <f>IFERROR(__xludf.DUMMYFUNCTION("GOOGLETRANSLATE(B149,""en"",""es-ES"")"),"El hombre progresa a saltos mortales controlados y el trabajo de lado a lado junto con patadas altas.")</f>
        <v>El hombre progresa a saltos mortales controlados y el trabajo de lado a lado junto con patadas altas.</v>
      </c>
    </row>
    <row r="150">
      <c r="A150" s="4" t="s">
        <v>192</v>
      </c>
      <c r="B150" s="4" t="s">
        <v>193</v>
      </c>
      <c r="C150" s="5" t="str">
        <f>IFERROR(__xludf.DUMMYFUNCTION("GOOGLETRANSLATE(B150,""en"",""es-ES"")"),"Se muestra a un concesionario colocando tarjetas en una mesa, mientras que las manos de otras personas se muestran a un lado.")</f>
        <v>Se muestra a un concesionario colocando tarjetas en una mesa, mientras que las manos de otras personas se muestran a un lado.</v>
      </c>
    </row>
    <row r="151">
      <c r="A151" s="4" t="s">
        <v>192</v>
      </c>
      <c r="B151" s="4" t="s">
        <v>194</v>
      </c>
      <c r="C151" s="5" t="str">
        <f>IFERROR(__xludf.DUMMYFUNCTION("GOOGLETRANSLATE(B151,""en"",""es-ES"")"),"La persona luego presenta cartas mientras otra persona presenta sus chips.")</f>
        <v>La persona luego presenta cartas mientras otra persona presenta sus chips.</v>
      </c>
    </row>
    <row r="152">
      <c r="A152" s="4" t="s">
        <v>195</v>
      </c>
      <c r="B152" s="4" t="s">
        <v>196</v>
      </c>
      <c r="C152" s="5" t="str">
        <f>IFERROR(__xludf.DUMMYFUNCTION("GOOGLETRANSLATE(B152,""en"",""es-ES"")"),"Varias personas están afuera con equipos y números fijados a ellos trotando a un ritmo lento a las costuras para ser un maratón o un 5K.")</f>
        <v>Varias personas están afuera con equipos y números fijados a ellos trotando a un ritmo lento a las costuras para ser un maratón o un 5K.</v>
      </c>
    </row>
    <row r="153">
      <c r="A153" s="4" t="s">
        <v>195</v>
      </c>
      <c r="B153" s="4" t="s">
        <v>197</v>
      </c>
      <c r="C153" s="5" t="str">
        <f>IFERROR(__xludf.DUMMYFUNCTION("GOOGLETRANSLATE(B153,""en"",""es-ES"")"),"Sin embargo, una señora vestida de negro parece ser el punto focal a lo largo del video y está caminando a un ritmo extremadamente lento durante todo el tiempo.")</f>
        <v>Sin embargo, una señora vestida de negro parece ser el punto focal a lo largo del video y está caminando a un ritmo extremadamente lento durante todo el tiempo.</v>
      </c>
    </row>
    <row r="154">
      <c r="A154" s="4" t="s">
        <v>195</v>
      </c>
      <c r="B154" s="4" t="s">
        <v>198</v>
      </c>
      <c r="C154" s="5" t="str">
        <f>IFERROR(__xludf.DUMMYFUNCTION("GOOGLETRANSLATE(B154,""en"",""es-ES"")"),"Después de que se muestra a la multitud y se ve a más personas corriendo por la ciudad o incluso participando en una silla de ruedas mientras las personas al lado las animan.")</f>
        <v>Después de que se muestra a la multitud y se ve a más personas corriendo por la ciudad o incluso participando en una silla de ruedas mientras las personas al lado las animan.</v>
      </c>
    </row>
    <row r="155">
      <c r="A155" s="4" t="s">
        <v>199</v>
      </c>
      <c r="B155" s="4" t="s">
        <v>200</v>
      </c>
      <c r="C155" s="5" t="str">
        <f>IFERROR(__xludf.DUMMYFUNCTION("GOOGLETRANSLATE(B155,""en"",""es-ES"")"),"Se muestra a un hombre parado frente a un fondo azul, ya que se muestran muchas armónicas y comienza a tocarlas.")</f>
        <v>Se muestra a un hombre parado frente a un fondo azul, ya que se muestran muchas armónicas y comienza a tocarlas.</v>
      </c>
    </row>
    <row r="156">
      <c r="A156" s="4" t="s">
        <v>199</v>
      </c>
      <c r="B156" s="4" t="s">
        <v>201</v>
      </c>
      <c r="C156" s="5" t="str">
        <f>IFERROR(__xludf.DUMMYFUNCTION("GOOGLETRANSLATE(B156,""en"",""es-ES"")"),"Luego se le muestra hablando en la cámara y entrando en detalles con respecto a las características de los productos.")</f>
        <v>Luego se le muestra hablando en la cámara y entrando en detalles con respecto a las características de los productos.</v>
      </c>
    </row>
    <row r="157">
      <c r="A157" s="4" t="s">
        <v>199</v>
      </c>
      <c r="B157" s="4" t="s">
        <v>202</v>
      </c>
      <c r="C157" s="5" t="str">
        <f>IFERROR(__xludf.DUMMYFUNCTION("GOOGLETRANSLATE(B157,""en"",""es-ES"")"),"Él muestra cuántos tiene en su abrigo y continúa hablando.")</f>
        <v>Él muestra cuántos tiene en su abrigo y continúa hablando.</v>
      </c>
    </row>
    <row r="158">
      <c r="A158" s="4" t="s">
        <v>199</v>
      </c>
      <c r="B158" s="4" t="s">
        <v>203</v>
      </c>
      <c r="C158" s="5" t="str">
        <f>IFERROR(__xludf.DUMMYFUNCTION("GOOGLETRANSLATE(B158,""en"",""es-ES"")"),"Luego se le muestra tocando otra armónica mientras da instrucciones al respecto.")</f>
        <v>Luego se le muestra tocando otra armónica mientras da instrucciones al respecto.</v>
      </c>
    </row>
    <row r="159">
      <c r="A159" s="4" t="s">
        <v>199</v>
      </c>
      <c r="B159" s="4" t="s">
        <v>204</v>
      </c>
      <c r="C159" s="5" t="str">
        <f>IFERROR(__xludf.DUMMYFUNCTION("GOOGLETRANSLATE(B159,""en"",""es-ES"")"),"Él habla un poco más y muestra su armónica nuevamente, ya que el video va a una pantalla de título final que lee Howcast Original "".")</f>
        <v>Él habla un poco más y muestra su armónica nuevamente, ya que el video va a una pantalla de título final que lee Howcast Original ".</v>
      </c>
    </row>
    <row r="160">
      <c r="A160" s="4" t="s">
        <v>205</v>
      </c>
      <c r="B160" s="4" t="s">
        <v>206</v>
      </c>
      <c r="C160" s="5" t="str">
        <f>IFERROR(__xludf.DUMMYFUNCTION("GOOGLETRANSLATE(B160,""en"",""es-ES"")"),"Un niño con pantalones cortos blancos está de pie en una habitación.")</f>
        <v>Un niño con pantalones cortos blancos está de pie en una habitación.</v>
      </c>
    </row>
    <row r="161">
      <c r="A161" s="4" t="s">
        <v>205</v>
      </c>
      <c r="B161" s="4" t="s">
        <v>207</v>
      </c>
      <c r="C161" s="5" t="str">
        <f>IFERROR(__xludf.DUMMYFUNCTION("GOOGLETRANSLATE(B161,""en"",""es-ES"")"),"Se pone algo en la boca.")</f>
        <v>Se pone algo en la boca.</v>
      </c>
    </row>
    <row r="162">
      <c r="A162" s="4" t="s">
        <v>205</v>
      </c>
      <c r="B162" s="4" t="s">
        <v>208</v>
      </c>
      <c r="C162" s="5" t="str">
        <f>IFERROR(__xludf.DUMMYFUNCTION("GOOGLETRANSLATE(B162,""en"",""es-ES"")"),"Él patea sus piernas hacia un lado.")</f>
        <v>Él patea sus piernas hacia un lado.</v>
      </c>
    </row>
    <row r="163">
      <c r="A163" s="4" t="s">
        <v>205</v>
      </c>
      <c r="B163" s="4" t="s">
        <v>209</v>
      </c>
      <c r="C163" s="5" t="str">
        <f>IFERROR(__xludf.DUMMYFUNCTION("GOOGLETRANSLATE(B163,""en"",""es-ES"")"),"La arrodilla hacia el suelo.")</f>
        <v>La arrodilla hacia el suelo.</v>
      </c>
    </row>
    <row r="164">
      <c r="A164" s="4" t="s">
        <v>210</v>
      </c>
      <c r="B164" s="4" t="s">
        <v>211</v>
      </c>
      <c r="C164" s="5" t="str">
        <f>IFERROR(__xludf.DUMMYFUNCTION("GOOGLETRANSLATE(B164,""en"",""es-ES"")"),"Se ve a un pequeño grupo de personas sentados a un lado y conducen a dos personas bailando juntas.")</f>
        <v>Se ve a un pequeño grupo de personas sentados a un lado y conducen a dos personas bailando juntas.</v>
      </c>
    </row>
    <row r="165">
      <c r="A165" s="4" t="s">
        <v>210</v>
      </c>
      <c r="B165" s="4" t="s">
        <v>212</v>
      </c>
      <c r="C165" s="5" t="str">
        <f>IFERROR(__xludf.DUMMYFUNCTION("GOOGLETRANSLATE(B165,""en"",""es-ES"")"),"La gente continúa bailando por el piso y termina aplaudiendo con la banda.")</f>
        <v>La gente continúa bailando por el piso y termina aplaudiendo con la banda.</v>
      </c>
    </row>
    <row r="166">
      <c r="A166" s="4" t="s">
        <v>213</v>
      </c>
      <c r="B166" s="4" t="s">
        <v>214</v>
      </c>
      <c r="C166" s="5" t="str">
        <f>IFERROR(__xludf.DUMMYFUNCTION("GOOGLETRANSLATE(B166,""en"",""es-ES"")"),"Un corredor prueba una pierna protésica en una carrera de larga distancia.")</f>
        <v>Un corredor prueba una pierna protésica en una carrera de larga distancia.</v>
      </c>
    </row>
    <row r="167">
      <c r="A167" s="4" t="s">
        <v>213</v>
      </c>
      <c r="B167" s="4" t="s">
        <v>215</v>
      </c>
      <c r="C167" s="5" t="str">
        <f>IFERROR(__xludf.DUMMYFUNCTION("GOOGLETRANSLATE(B167,""en"",""es-ES"")"),"Él corre dentro y luego corre afuera.")</f>
        <v>Él corre dentro y luego corre afuera.</v>
      </c>
    </row>
    <row r="168">
      <c r="A168" s="4" t="s">
        <v>216</v>
      </c>
      <c r="B168" s="4" t="s">
        <v>217</v>
      </c>
      <c r="C168" s="5" t="str">
        <f>IFERROR(__xludf.DUMMYFUNCTION("GOOGLETRANSLATE(B168,""en"",""es-ES"")"),"Se ve a un pequeño grupo de personas deambulando por una cancha de tenis golpeando una pelota sobre la red.")</f>
        <v>Se ve a un pequeño grupo de personas deambulando por una cancha de tenis golpeando una pelota sobre la red.</v>
      </c>
    </row>
    <row r="169">
      <c r="A169" s="4" t="s">
        <v>216</v>
      </c>
      <c r="B169" s="4" t="s">
        <v>218</v>
      </c>
      <c r="C169" s="5" t="str">
        <f>IFERROR(__xludf.DUMMYFUNCTION("GOOGLETRANSLATE(B169,""en"",""es-ES"")"),"La gente golpeó la pelota hacia atrás y cuarto mientras que otros miran a un lado.")</f>
        <v>La gente golpeó la pelota hacia atrás y cuarto mientras que otros miran a un lado.</v>
      </c>
    </row>
    <row r="170">
      <c r="A170" s="4" t="s">
        <v>216</v>
      </c>
      <c r="B170" s="4" t="s">
        <v>219</v>
      </c>
      <c r="C170" s="5" t="str">
        <f>IFERROR(__xludf.DUMMYFUNCTION("GOOGLETRANSLATE(B170,""en"",""es-ES"")"),"Continúan jugando el juego y otros.")</f>
        <v>Continúan jugando el juego y otros.</v>
      </c>
    </row>
    <row r="171">
      <c r="A171" s="4" t="s">
        <v>220</v>
      </c>
      <c r="B171" s="4" t="s">
        <v>221</v>
      </c>
      <c r="C171" s="5" t="str">
        <f>IFERROR(__xludf.DUMMYFUNCTION("GOOGLETRANSLATE(B171,""en"",""es-ES"")"),"Un joven con una camisa blanca y un casco y pantalones negros sostiene un patineta en sus manos mientras camina.")</f>
        <v>Un joven con una camisa blanca y un casco y pantalones negros sostiene un patineta en sus manos mientras camina.</v>
      </c>
    </row>
    <row r="172">
      <c r="A172" s="4" t="s">
        <v>220</v>
      </c>
      <c r="B172" s="4" t="s">
        <v>222</v>
      </c>
      <c r="C172" s="5" t="str">
        <f>IFERROR(__xludf.DUMMYFUNCTION("GOOGLETRANSLATE(B172,""en"",""es-ES"")"),"Él baja la patineta y comienza a patinar en un camino de asfalto.")</f>
        <v>Él baja la patineta y comienza a patinar en un camino de asfalto.</v>
      </c>
    </row>
    <row r="173">
      <c r="A173" s="4" t="s">
        <v>220</v>
      </c>
      <c r="B173" s="4" t="s">
        <v>223</v>
      </c>
      <c r="C173" s="5" t="str">
        <f>IFERROR(__xludf.DUMMYFUNCTION("GOOGLETRANSLATE(B173,""en"",""es-ES"")"),"Voltea la patineta varias veces y sigue círculos.")</f>
        <v>Voltea la patineta varias veces y sigue círculos.</v>
      </c>
    </row>
    <row r="174">
      <c r="A174" s="4" t="s">
        <v>220</v>
      </c>
      <c r="B174" s="4" t="s">
        <v>224</v>
      </c>
      <c r="C174" s="5" t="str">
        <f>IFERROR(__xludf.DUMMYFUNCTION("GOOGLETRANSLATE(B174,""en"",""es-ES"")"),"Dos personas pasan junto a él mientras continúa con patineta.")</f>
        <v>Dos personas pasan junto a él mientras continúa con patineta.</v>
      </c>
    </row>
    <row r="175">
      <c r="A175" s="4" t="s">
        <v>220</v>
      </c>
      <c r="B175" s="4" t="s">
        <v>225</v>
      </c>
      <c r="C175" s="5" t="str">
        <f>IFERROR(__xludf.DUMMYFUNCTION("GOOGLETRANSLATE(B175,""en"",""es-ES"")"),"El hombre comienza a acelerar en su patineta mientras se va por el camino.")</f>
        <v>El hombre comienza a acelerar en su patineta mientras se va por el camino.</v>
      </c>
    </row>
    <row r="176">
      <c r="A176" s="4" t="s">
        <v>220</v>
      </c>
      <c r="B176" s="4" t="s">
        <v>226</v>
      </c>
      <c r="C176" s="5" t="str">
        <f>IFERROR(__xludf.DUMMYFUNCTION("GOOGLETRANSLATE(B176,""en"",""es-ES"")"),"También patina más allá de un lago en un camino largo y sinuoso.")</f>
        <v>También patina más allá de un lago en un camino largo y sinuoso.</v>
      </c>
    </row>
    <row r="177">
      <c r="A177" s="4" t="s">
        <v>220</v>
      </c>
      <c r="B177" s="4" t="s">
        <v>227</v>
      </c>
      <c r="C177" s="5" t="str">
        <f>IFERROR(__xludf.DUMMYFUNCTION("GOOGLETRANSLATE(B177,""en"",""es-ES"")"),"Patina más allá de un campo y montañas que están llenas de vegetación.")</f>
        <v>Patina más allá de un campo y montañas que están llenas de vegetación.</v>
      </c>
    </row>
    <row r="178">
      <c r="A178" s="4" t="s">
        <v>220</v>
      </c>
      <c r="B178" s="4" t="s">
        <v>228</v>
      </c>
      <c r="C178" s="5" t="str">
        <f>IFERROR(__xludf.DUMMYFUNCTION("GOOGLETRANSLATE(B178,""en"",""es-ES"")"),"Intenta varias acrobacias y trucos en su patineta.")</f>
        <v>Intenta varias acrobacias y trucos en su patineta.</v>
      </c>
    </row>
    <row r="179">
      <c r="A179" s="4" t="s">
        <v>220</v>
      </c>
      <c r="B179" s="4" t="s">
        <v>229</v>
      </c>
      <c r="C179" s="5" t="str">
        <f>IFERROR(__xludf.DUMMYFUNCTION("GOOGLETRANSLATE(B179,""en"",""es-ES"")"),"Continúa patinando por las carreteras.")</f>
        <v>Continúa patinando por las carreteras.</v>
      </c>
    </row>
    <row r="180">
      <c r="A180" s="4" t="s">
        <v>220</v>
      </c>
      <c r="B180" s="4" t="s">
        <v>230</v>
      </c>
      <c r="C180" s="5" t="str">
        <f>IFERROR(__xludf.DUMMYFUNCTION("GOOGLETRANSLATE(B180,""en"",""es-ES"")"),"Se cae de la patineta al costado de la carretera, pero vuelve a él y patina.")</f>
        <v>Se cae de la patineta al costado de la carretera, pero vuelve a él y patina.</v>
      </c>
    </row>
    <row r="181">
      <c r="A181" s="4" t="s">
        <v>231</v>
      </c>
      <c r="B181" s="4" t="s">
        <v>232</v>
      </c>
      <c r="C181" s="5" t="str">
        <f>IFERROR(__xludf.DUMMYFUNCTION("GOOGLETRANSLATE(B181,""en"",""es-ES"")"),"Los atletas arrojan una jabalina durante una competencia.")</f>
        <v>Los atletas arrojan una jabalina durante una competencia.</v>
      </c>
    </row>
    <row r="182">
      <c r="A182" s="4" t="s">
        <v>231</v>
      </c>
      <c r="B182" s="4" t="s">
        <v>233</v>
      </c>
      <c r="C182" s="5" t="str">
        <f>IFERROR(__xludf.DUMMYFUNCTION("GOOGLETRANSLATE(B182,""en"",""es-ES"")"),"Un hombre practica su postura de lanzamiento caminando y haciendo medio lanzamiento sin jabalina.")</f>
        <v>Un hombre practica su postura de lanzamiento caminando y haciendo medio lanzamiento sin jabalina.</v>
      </c>
    </row>
    <row r="183">
      <c r="A183" s="4" t="s">
        <v>231</v>
      </c>
      <c r="B183" s="4" t="s">
        <v>234</v>
      </c>
      <c r="C183" s="5" t="str">
        <f>IFERROR(__xludf.DUMMYFUNCTION("GOOGLETRANSLATE(B183,""en"",""es-ES"")"),"Un hombre practica su postura de lanzamiento caminando y haciendo medio lanzamiento sosteniendo una jabalina.")</f>
        <v>Un hombre practica su postura de lanzamiento caminando y haciendo medio lanzamiento sosteniendo una jabalina.</v>
      </c>
    </row>
    <row r="184">
      <c r="A184" s="4" t="s">
        <v>231</v>
      </c>
      <c r="B184" s="4" t="s">
        <v>235</v>
      </c>
      <c r="C184" s="5" t="str">
        <f>IFERROR(__xludf.DUMMYFUNCTION("GOOGLETRANSLATE(B184,""en"",""es-ES"")"),"El hombre balancea un martillo.")</f>
        <v>El hombre balancea un martillo.</v>
      </c>
    </row>
    <row r="185">
      <c r="A185" s="4" t="s">
        <v>231</v>
      </c>
      <c r="B185" s="4" t="s">
        <v>236</v>
      </c>
      <c r="C185" s="5" t="str">
        <f>IFERROR(__xludf.DUMMYFUNCTION("GOOGLETRANSLATE(B185,""en"",""es-ES"")"),"El hombre lanza una pelota pesada.")</f>
        <v>El hombre lanza una pelota pesada.</v>
      </c>
    </row>
    <row r="186">
      <c r="A186" s="4" t="s">
        <v>231</v>
      </c>
      <c r="B186" s="4" t="s">
        <v>237</v>
      </c>
      <c r="C186" s="5" t="str">
        <f>IFERROR(__xludf.DUMMYFUNCTION("GOOGLETRANSLATE(B186,""en"",""es-ES"")"),"Los atletas entrenan en un gimnasio haciendo movimientos de lanzamiento en máquinas de cable ponderadas.")</f>
        <v>Los atletas entrenan en un gimnasio haciendo movimientos de lanzamiento en máquinas de cable ponderadas.</v>
      </c>
    </row>
    <row r="187">
      <c r="A187" s="4" t="s">
        <v>238</v>
      </c>
      <c r="B187" s="4" t="s">
        <v>239</v>
      </c>
      <c r="C187" s="5" t="str">
        <f>IFERROR(__xludf.DUMMYFUNCTION("GOOGLETRANSLATE(B187,""en"",""es-ES"")"),"Vemos a una persona afilar un cuchillo en un disco de lijado.")</f>
        <v>Vemos a una persona afilar un cuchillo en un disco de lijado.</v>
      </c>
    </row>
    <row r="188">
      <c r="A188" s="4" t="s">
        <v>238</v>
      </c>
      <c r="B188" s="4" t="s">
        <v>240</v>
      </c>
      <c r="C188" s="5" t="str">
        <f>IFERROR(__xludf.DUMMYFUNCTION("GOOGLETRANSLATE(B188,""en"",""es-ES"")"),"La persona lo toca y lo apaga.")</f>
        <v>La persona lo toca y lo apaga.</v>
      </c>
    </row>
    <row r="189">
      <c r="A189" s="4" t="s">
        <v>238</v>
      </c>
      <c r="B189" s="4" t="s">
        <v>241</v>
      </c>
      <c r="C189" s="5" t="str">
        <f>IFERROR(__xludf.DUMMYFUNCTION("GOOGLETRANSLATE(B189,""en"",""es-ES"")"),"La persona lo enciende y luego apagó.")</f>
        <v>La persona lo enciende y luego apagó.</v>
      </c>
    </row>
    <row r="190">
      <c r="A190" s="4" t="s">
        <v>238</v>
      </c>
      <c r="B190" s="4" t="s">
        <v>242</v>
      </c>
      <c r="C190" s="5" t="str">
        <f>IFERROR(__xludf.DUMMYFUNCTION("GOOGLETRANSLATE(B190,""en"",""es-ES"")"),"Vemos al hombre hablando con la cámara.")</f>
        <v>Vemos al hombre hablando con la cámara.</v>
      </c>
    </row>
    <row r="191">
      <c r="A191" s="4" t="s">
        <v>243</v>
      </c>
      <c r="B191" s="4" t="s">
        <v>244</v>
      </c>
      <c r="C191" s="5" t="str">
        <f>IFERROR(__xludf.DUMMYFUNCTION("GOOGLETRANSLATE(B191,""en"",""es-ES"")"),"El texto se muestra en los Centros para el Control de Enfermedades con respecto al lavado de manos adecuado.")</f>
        <v>El texto se muestra en los Centros para el Control de Enfermedades con respecto al lavado de manos adecuado.</v>
      </c>
    </row>
    <row r="192">
      <c r="A192" s="4" t="s">
        <v>243</v>
      </c>
      <c r="B192" s="4" t="s">
        <v>245</v>
      </c>
      <c r="C192" s="5" t="str">
        <f>IFERROR(__xludf.DUMMYFUNCTION("GOOGLETRANSLATE(B192,""en"",""es-ES"")"),"A una mujer se le muestra enjabando las manos mientras el agua corre en un fregadero.")</f>
        <v>A una mujer se le muestra enjabando las manos mientras el agua corre en un fregadero.</v>
      </c>
    </row>
    <row r="193">
      <c r="A193" s="4" t="s">
        <v>243</v>
      </c>
      <c r="B193" s="4" t="s">
        <v>246</v>
      </c>
      <c r="C193" s="5" t="str">
        <f>IFERROR(__xludf.DUMMYFUNCTION("GOOGLETRANSLATE(B193,""en"",""es-ES"")"),"Ella busca una toalla y luego gira el grifo con una mano.")</f>
        <v>Ella busca una toalla y luego gira el grifo con una mano.</v>
      </c>
    </row>
    <row r="194">
      <c r="A194" s="4" t="s">
        <v>243</v>
      </c>
      <c r="B194" s="4" t="s">
        <v>247</v>
      </c>
      <c r="C194" s="5" t="str">
        <f>IFERROR(__xludf.DUMMYFUNCTION("GOOGLETRANSLATE(B194,""en"",""es-ES"")"),"Ella jueve sus manos, luego enjuague con el agua antes de agarrar otra toalla para apagar el grifo y desechando la toalla.")</f>
        <v>Ella jueve sus manos, luego enjuague con el agua antes de agarrar otra toalla para apagar el grifo y desechando la toalla.</v>
      </c>
    </row>
    <row r="195">
      <c r="A195" s="4" t="s">
        <v>248</v>
      </c>
      <c r="B195" s="4" t="s">
        <v>249</v>
      </c>
      <c r="C195" s="5" t="str">
        <f>IFERROR(__xludf.DUMMYFUNCTION("GOOGLETRANSLATE(B195,""en"",""es-ES"")"),"Las personas hacen ejercicio en máquinas de acondicionamiento físico mientras las personas se sientan al frente y miran.")</f>
        <v>Las personas hacen ejercicio en máquinas de acondicionamiento físico mientras las personas se sientan al frente y miran.</v>
      </c>
    </row>
    <row r="196">
      <c r="A196" s="4" t="s">
        <v>248</v>
      </c>
      <c r="B196" s="4" t="s">
        <v>250</v>
      </c>
      <c r="C196" s="5" t="str">
        <f>IFERROR(__xludf.DUMMYFUNCTION("GOOGLETRANSLATE(B196,""en"",""es-ES"")"),"Un hombre pasa en el frente sosteniendo una chaqueta y se pone de pie a continuación un televisor.")</f>
        <v>Un hombre pasa en el frente sosteniendo una chaqueta y se pone de pie a continuación un televisor.</v>
      </c>
    </row>
    <row r="197">
      <c r="A197" s="4" t="s">
        <v>248</v>
      </c>
      <c r="B197" s="4" t="s">
        <v>251</v>
      </c>
      <c r="C197" s="5" t="str">
        <f>IFERROR(__xludf.DUMMYFUNCTION("GOOGLETRANSLATE(B197,""en"",""es-ES"")"),"Un grupo de mujeres camina por la gente delantera haciendo ejercicio.")</f>
        <v>Un grupo de mujeres camina por la gente delantera haciendo ejercicio.</v>
      </c>
    </row>
    <row r="198">
      <c r="A198" s="4" t="s">
        <v>252</v>
      </c>
      <c r="B198" s="4" t="s">
        <v>253</v>
      </c>
      <c r="C198" s="5" t="str">
        <f>IFERROR(__xludf.DUMMYFUNCTION("GOOGLETRANSLATE(B198,""en"",""es-ES"")"),"Un hombre está jugando las gaitas en la parte inferior de las escaleras en la sala de estar de una casa, con un botón y pantalones de vestir, junto con calcetines.")</f>
        <v>Un hombre está jugando las gaitas en la parte inferior de las escaleras en la sala de estar de una casa, con un botón y pantalones de vestir, junto con calcetines.</v>
      </c>
    </row>
    <row r="199">
      <c r="A199" s="4" t="s">
        <v>252</v>
      </c>
      <c r="B199" s="4" t="s">
        <v>254</v>
      </c>
      <c r="C199" s="5" t="str">
        <f>IFERROR(__xludf.DUMMYFUNCTION("GOOGLETRANSLATE(B199,""en"",""es-ES"")"),"Comienza a aprovechar su pie junto con el ritmo de su melodía, comienza a aprovechar su pie izquierdo en un ritmo de ida y vuelta con el pie derecho.")</f>
        <v>Comienza a aprovechar su pie junto con el ritmo de su melodía, comienza a aprovechar su pie izquierdo en un ritmo de ida y vuelta con el pie derecho.</v>
      </c>
    </row>
    <row r="200">
      <c r="A200" s="4" t="s">
        <v>252</v>
      </c>
      <c r="B200" s="4" t="s">
        <v>255</v>
      </c>
      <c r="C200" s="5" t="str">
        <f>IFERROR(__xludf.DUMMYFUNCTION("GOOGLETRANSLATE(B200,""en"",""es-ES"")"),"Termina y sonríe a la cámara.")</f>
        <v>Termina y sonríe a la cámara.</v>
      </c>
    </row>
    <row r="201">
      <c r="A201" s="4" t="s">
        <v>256</v>
      </c>
      <c r="B201" s="4" t="s">
        <v>257</v>
      </c>
      <c r="C201" s="5" t="str">
        <f>IFERROR(__xludf.DUMMYFUNCTION("GOOGLETRANSLATE(B201,""en"",""es-ES"")"),"La gente está trabajando en una tienda de bicicletas arreglando una bicicleta.")</f>
        <v>La gente está trabajando en una tienda de bicicletas arreglando una bicicleta.</v>
      </c>
    </row>
    <row r="202">
      <c r="A202" s="4" t="s">
        <v>256</v>
      </c>
      <c r="B202" s="4" t="s">
        <v>258</v>
      </c>
      <c r="C202" s="5" t="str">
        <f>IFERROR(__xludf.DUMMYFUNCTION("GOOGLETRANSLATE(B202,""en"",""es-ES"")"),"Volvieron a poner las ruedas en la bicicleta.")</f>
        <v>Volvieron a poner las ruedas en la bicicleta.</v>
      </c>
    </row>
    <row r="203">
      <c r="A203" s="4" t="s">
        <v>256</v>
      </c>
      <c r="B203" s="4" t="s">
        <v>259</v>
      </c>
      <c r="C203" s="5" t="str">
        <f>IFERROR(__xludf.DUMMYFUNCTION("GOOGLETRANSLATE(B203,""en"",""es-ES"")"),"Puso el asiento en la bicicleta.")</f>
        <v>Puso el asiento en la bicicleta.</v>
      </c>
    </row>
    <row r="204">
      <c r="A204" s="4" t="s">
        <v>256</v>
      </c>
      <c r="B204" s="4" t="s">
        <v>260</v>
      </c>
      <c r="C204" s="5" t="str">
        <f>IFERROR(__xludf.DUMMYFUNCTION("GOOGLETRANSLATE(B204,""en"",""es-ES"")"),"La bicicleta se junta en el piso.")</f>
        <v>La bicicleta se junta en el piso.</v>
      </c>
    </row>
    <row r="205">
      <c r="A205" s="4" t="s">
        <v>261</v>
      </c>
      <c r="B205" s="4" t="s">
        <v>262</v>
      </c>
      <c r="C205" s="5" t="str">
        <f>IFERROR(__xludf.DUMMYFUNCTION("GOOGLETRANSLATE(B205,""en"",""es-ES"")"),"Un hombre está dando consejos sobre actividades al aire libre, específicamente en hongos y se muestra un primer plano y el hombre habla de ello.")</f>
        <v>Un hombre está dando consejos sobre actividades al aire libre, específicamente en hongos y se muestra un primer plano y el hombre habla de ello.</v>
      </c>
    </row>
    <row r="206">
      <c r="A206" s="4" t="s">
        <v>261</v>
      </c>
      <c r="B206" s="4" t="s">
        <v>263</v>
      </c>
      <c r="C206" s="5" t="str">
        <f>IFERROR(__xludf.DUMMYFUNCTION("GOOGLETRANSLATE(B206,""en"",""es-ES"")"),"El hombre corta uno y luego lo corta por la mitad.")</f>
        <v>El hombre corta uno y luego lo corta por la mitad.</v>
      </c>
    </row>
    <row r="207">
      <c r="A207" s="4" t="s">
        <v>261</v>
      </c>
      <c r="B207" s="4" t="s">
        <v>264</v>
      </c>
      <c r="C207" s="5" t="str">
        <f>IFERROR(__xludf.DUMMYFUNCTION("GOOGLETRANSLATE(B207,""en"",""es-ES"")"),"Otro hombre habla sobre la experiencia.")</f>
        <v>Otro hombre habla sobre la experiencia.</v>
      </c>
    </row>
    <row r="208">
      <c r="A208" s="4" t="s">
        <v>265</v>
      </c>
      <c r="B208" s="4" t="s">
        <v>266</v>
      </c>
      <c r="C208" s="5" t="str">
        <f>IFERROR(__xludf.DUMMYFUNCTION("GOOGLETRANSLATE(B208,""en"",""es-ES"")"),"Se ve a un joven que lleva un sombrero hablando con la cámara y sosteniendo una tabla.")</f>
        <v>Se ve a un joven que lleva un sombrero hablando con la cámara y sosteniendo una tabla.</v>
      </c>
    </row>
    <row r="209">
      <c r="A209" s="4" t="s">
        <v>265</v>
      </c>
      <c r="B209" s="4" t="s">
        <v>267</v>
      </c>
      <c r="C209" s="5" t="str">
        <f>IFERROR(__xludf.DUMMYFUNCTION("GOOGLETRANSLATE(B209,""en"",""es-ES"")"),"Continúa hablando y comienza a tocar una armónica.")</f>
        <v>Continúa hablando y comienza a tocar una armónica.</v>
      </c>
    </row>
    <row r="210">
      <c r="A210" s="4" t="s">
        <v>265</v>
      </c>
      <c r="B210" s="4" t="s">
        <v>268</v>
      </c>
      <c r="C210" s="5" t="str">
        <f>IFERROR(__xludf.DUMMYFUNCTION("GOOGLETRANSLATE(B210,""en"",""es-ES"")"),"Él sostiene más el letrero mientras continúa jugando y hablando con la cámara.")</f>
        <v>Él sostiene más el letrero mientras continúa jugando y hablando con la cámara.</v>
      </c>
    </row>
    <row r="211">
      <c r="A211" s="4" t="s">
        <v>269</v>
      </c>
      <c r="B211" s="4" t="s">
        <v>270</v>
      </c>
      <c r="C211" s="5" t="str">
        <f>IFERROR(__xludf.DUMMYFUNCTION("GOOGLETRANSLATE(B211,""en"",""es-ES"")"),"Una persona camina por el techo de un equipo de escalada, luego baja por la pared y llega al piso y camina hacia adelante.")</f>
        <v>Una persona camina por el techo de un equipo de escalada, luego baja por la pared y llega al piso y camina hacia adelante.</v>
      </c>
    </row>
    <row r="212">
      <c r="A212" s="4" t="s">
        <v>269</v>
      </c>
      <c r="B212" s="4" t="s">
        <v>271</v>
      </c>
      <c r="C212" s="5" t="str">
        <f>IFERROR(__xludf.DUMMYFUNCTION("GOOGLETRANSLATE(B212,""en"",""es-ES"")"),"El hombre se para con las manos en el borde del equipo y desciende por la caminata con las manos, luego camina sobre las manos hacia un lado.")</f>
        <v>El hombre se para con las manos en el borde del equipo y desciende por la caminata con las manos, luego camina sobre las manos hacia un lado.</v>
      </c>
    </row>
    <row r="213">
      <c r="A213" s="4" t="s">
        <v>272</v>
      </c>
      <c r="B213" s="4" t="s">
        <v>273</v>
      </c>
      <c r="C213" s="5" t="str">
        <f>IFERROR(__xludf.DUMMYFUNCTION("GOOGLETRANSLATE(B213,""en"",""es-ES"")"),"Se ve a una mujer sosteniendo dos perros con una correa y procede a desengancharlos y dejarlos ir.")</f>
        <v>Se ve a una mujer sosteniendo dos perros con una correa y procede a desengancharlos y dejarlos ir.</v>
      </c>
    </row>
    <row r="214">
      <c r="A214" s="4" t="s">
        <v>272</v>
      </c>
      <c r="B214" s="4" t="s">
        <v>274</v>
      </c>
      <c r="C214" s="5" t="str">
        <f>IFERROR(__xludf.DUMMYFUNCTION("GOOGLETRANSLATE(B214,""en"",""es-ES"")"),"Uno abajo luego hace su negocio en una bolsa atada a él y corre detrás de las bicicletas.")</f>
        <v>Uno abajo luego hace su negocio en una bolsa atada a él y corre detrás de las bicicletas.</v>
      </c>
    </row>
    <row r="215">
      <c r="A215" s="4" t="s">
        <v>275</v>
      </c>
      <c r="B215" s="4" t="s">
        <v>276</v>
      </c>
      <c r="C215" s="5" t="str">
        <f>IFERROR(__xludf.DUMMYFUNCTION("GOOGLETRANSLATE(B215,""en"",""es-ES"")"),"Una niña está parada en una cancha con una cuerda de salto.")</f>
        <v>Una niña está parada en una cancha con una cuerda de salto.</v>
      </c>
    </row>
    <row r="216">
      <c r="A216" s="4" t="s">
        <v>275</v>
      </c>
      <c r="B216" s="4" t="s">
        <v>277</v>
      </c>
      <c r="C216" s="5" t="str">
        <f>IFERROR(__xludf.DUMMYFUNCTION("GOOGLETRANSLATE(B216,""en"",""es-ES"")"),"Ella comienza a saltar frente a una mesa de jueces.")</f>
        <v>Ella comienza a saltar frente a una mesa de jueces.</v>
      </c>
    </row>
    <row r="217">
      <c r="A217" s="4" t="s">
        <v>275</v>
      </c>
      <c r="B217" s="4" t="s">
        <v>278</v>
      </c>
      <c r="C217" s="5" t="str">
        <f>IFERROR(__xludf.DUMMYFUNCTION("GOOGLETRANSLATE(B217,""en"",""es-ES"")"),"Ella salta, gira y voltea con la cuerda.")</f>
        <v>Ella salta, gira y voltea con la cuerda.</v>
      </c>
    </row>
    <row r="218">
      <c r="A218" s="4" t="s">
        <v>279</v>
      </c>
      <c r="B218" s="4" t="s">
        <v>280</v>
      </c>
      <c r="C218" s="5" t="str">
        <f>IFERROR(__xludf.DUMMYFUNCTION("GOOGLETRANSLATE(B218,""en"",""es-ES"")"),"Dos hombres con ropa de ejercicio se enfrentan a la pared y comienzan a hablar sobre hacer ejercicio.")</f>
        <v>Dos hombres con ropa de ejercicio se enfrentan a la pared y comienzan a hablar sobre hacer ejercicio.</v>
      </c>
    </row>
    <row r="219">
      <c r="A219" s="4" t="s">
        <v>279</v>
      </c>
      <c r="B219" s="4" t="s">
        <v>281</v>
      </c>
      <c r="C219" s="5" t="str">
        <f>IFERROR(__xludf.DUMMYFUNCTION("GOOGLETRANSLATE(B219,""en"",""es-ES"")"),"Luego se muestra un hombre y se dobla y muestra la forma correcta de levantar la barra con peso.")</f>
        <v>Luego se muestra un hombre y se dobla y muestra la forma correcta de levantar la barra con peso.</v>
      </c>
    </row>
    <row r="220">
      <c r="A220" s="4" t="s">
        <v>279</v>
      </c>
      <c r="B220" s="4" t="s">
        <v>282</v>
      </c>
      <c r="C220" s="5" t="str">
        <f>IFERROR(__xludf.DUMMYFUNCTION("GOOGLETRANSLATE(B220,""en"",""es-ES"")"),"Luego se muestra una repetición y el niño se dobla de las rodillas y luego se voltea la muñeca y se la lleva sobre su hombro mientras baja en una posición en cuclillas.")</f>
        <v>Luego se muestra una repetición y el niño se dobla de las rodillas y luego se voltea la muñeca y se la lleva sobre su hombro mientras baja en una posición en cuclillas.</v>
      </c>
    </row>
    <row r="221">
      <c r="A221" s="4" t="s">
        <v>283</v>
      </c>
      <c r="B221" s="4" t="s">
        <v>284</v>
      </c>
      <c r="C221" s="5" t="str">
        <f>IFERROR(__xludf.DUMMYFUNCTION("GOOGLETRANSLATE(B221,""en"",""es-ES"")"),"Se ve a un hombre arrodillado en un gimnasio.")</f>
        <v>Se ve a un hombre arrodillado en un gimnasio.</v>
      </c>
    </row>
    <row r="222">
      <c r="A222" s="4" t="s">
        <v>283</v>
      </c>
      <c r="B222" s="4" t="s">
        <v>285</v>
      </c>
      <c r="C222" s="5" t="str">
        <f>IFERROR(__xludf.DUMMYFUNCTION("GOOGLETRANSLATE(B222,""en"",""es-ES"")"),"Se inclina varias veces.")</f>
        <v>Se inclina varias veces.</v>
      </c>
    </row>
    <row r="223">
      <c r="A223" s="4" t="s">
        <v>283</v>
      </c>
      <c r="B223" s="4" t="s">
        <v>286</v>
      </c>
      <c r="C223" s="5" t="str">
        <f>IFERROR(__xludf.DUMMYFUNCTION("GOOGLETRANSLATE(B223,""en"",""es-ES"")"),"Está realizando movimientos de estiramiento lento.")</f>
        <v>Está realizando movimientos de estiramiento lento.</v>
      </c>
    </row>
    <row r="224">
      <c r="A224" s="4" t="s">
        <v>287</v>
      </c>
      <c r="B224" s="4" t="s">
        <v>288</v>
      </c>
      <c r="C224" s="5" t="str">
        <f>IFERROR(__xludf.DUMMYFUNCTION("GOOGLETRANSLATE(B224,""en"",""es-ES"")"),"Una persona está usando un soplador de hojas para soplar las hojas en una pila.")</f>
        <v>Una persona está usando un soplador de hojas para soplar las hojas en una pila.</v>
      </c>
    </row>
    <row r="225">
      <c r="A225" s="4" t="s">
        <v>287</v>
      </c>
      <c r="B225" s="4" t="s">
        <v>289</v>
      </c>
      <c r="C225" s="5" t="str">
        <f>IFERROR(__xludf.DUMMYFUNCTION("GOOGLETRANSLATE(B225,""en"",""es-ES"")"),"Las hojas explotan sobre un seto.")</f>
        <v>Las hojas explotan sobre un seto.</v>
      </c>
    </row>
    <row r="226">
      <c r="A226" s="4" t="s">
        <v>287</v>
      </c>
      <c r="B226" s="4" t="s">
        <v>290</v>
      </c>
      <c r="C226" s="5" t="str">
        <f>IFERROR(__xludf.DUMMYFUNCTION("GOOGLETRANSLATE(B226,""en"",""es-ES"")"),"Caminan frente a un árbol.")</f>
        <v>Caminan frente a un árbol.</v>
      </c>
    </row>
    <row r="227">
      <c r="A227" s="4" t="s">
        <v>291</v>
      </c>
      <c r="B227" s="4" t="s">
        <v>292</v>
      </c>
      <c r="C227" s="5" t="str">
        <f>IFERROR(__xludf.DUMMYFUNCTION("GOOGLETRANSLATE(B227,""en"",""es-ES"")"),"Un grupo de personas se sienta en la parte superior de un tobogán de nieve en un tubo.")</f>
        <v>Un grupo de personas se sienta en la parte superior de un tobogán de nieve en un tubo.</v>
      </c>
    </row>
    <row r="228">
      <c r="A228" s="4" t="s">
        <v>291</v>
      </c>
      <c r="B228" s="4" t="s">
        <v>293</v>
      </c>
      <c r="C228" s="5" t="str">
        <f>IFERROR(__xludf.DUMMYFUNCTION("GOOGLETRANSLATE(B228,""en"",""es-ES"")"),"La persona que sostiene la cámara comienza su viaje y él está fuera de las laderas de la nieve.")</f>
        <v>La persona que sostiene la cámara comienza su viaje y él está fuera de las laderas de la nieve.</v>
      </c>
    </row>
    <row r="229">
      <c r="A229" s="4" t="s">
        <v>291</v>
      </c>
      <c r="B229" s="4" t="s">
        <v>294</v>
      </c>
      <c r="C229" s="5" t="str">
        <f>IFERROR(__xludf.DUMMYFUNCTION("GOOGLETRANSLATE(B229,""en"",""es-ES"")"),"Cuando llega al fondo, se colocan varias esteras negras frente a él para ayudar a frenarlo.")</f>
        <v>Cuando llega al fondo, se colocan varias esteras negras frente a él para ayudar a frenarlo.</v>
      </c>
    </row>
    <row r="230">
      <c r="A230" s="4" t="s">
        <v>295</v>
      </c>
      <c r="B230" s="4" t="s">
        <v>296</v>
      </c>
      <c r="C230" s="5" t="str">
        <f>IFERROR(__xludf.DUMMYFUNCTION("GOOGLETRANSLATE(B230,""en"",""es-ES"")"),"Se muestran varias tomas de una ciudad seguidas por una niña que juega contra el violín y muchas otras observaciones.")</f>
        <v>Se muestran varias tomas de una ciudad seguidas por una niña que juega contra el violín y muchas otras observaciones.</v>
      </c>
    </row>
    <row r="231">
      <c r="A231" s="4" t="s">
        <v>295</v>
      </c>
      <c r="B231" s="4" t="s">
        <v>297</v>
      </c>
      <c r="C231" s="5" t="str">
        <f>IFERROR(__xludf.DUMMYFUNCTION("GOOGLETRANSLATE(B231,""en"",""es-ES"")"),"Otra chica interviene y se une a ella cantando y varios otros también se unen para cantar.")</f>
        <v>Otra chica interviene y se une a ella cantando y varios otros también se unen para cantar.</v>
      </c>
    </row>
    <row r="232">
      <c r="A232" s="4" t="s">
        <v>295</v>
      </c>
      <c r="B232" s="4" t="s">
        <v>298</v>
      </c>
      <c r="C232" s="5" t="str">
        <f>IFERROR(__xludf.DUMMYFUNCTION("GOOGLETRANSLATE(B232,""en"",""es-ES"")"),"Un mimo entra con fuegos artificiales mientras el grupo todavía canta y muchos se ven riendo y sonriendo.")</f>
        <v>Un mimo entra con fuegos artificiales mientras el grupo todavía canta y muchos se ven riendo y sonriendo.</v>
      </c>
    </row>
    <row r="233">
      <c r="A233" s="4" t="s">
        <v>299</v>
      </c>
      <c r="B233" s="4" t="s">
        <v>300</v>
      </c>
      <c r="C233" s="5" t="str">
        <f>IFERROR(__xludf.DUMMYFUNCTION("GOOGLETRANSLATE(B233,""en"",""es-ES"")"),"Dos hombres hacen ejercicio dentro de un gimnasio, luego un hombre salta a la cuerda cruzando los brazos y también el movimiento de la cuerda en el frente.")</f>
        <v>Dos hombres hacen ejercicio dentro de un gimnasio, luego un hombre salta a la cuerda cruzando los brazos y también el movimiento de la cuerda en el frente.</v>
      </c>
    </row>
    <row r="234">
      <c r="A234" s="4" t="s">
        <v>299</v>
      </c>
      <c r="B234" s="4" t="s">
        <v>301</v>
      </c>
      <c r="C234" s="5" t="str">
        <f>IFERROR(__xludf.DUMMYFUNCTION("GOOGLETRANSLATE(B234,""en"",""es-ES"")"),"El hombre mueve la cuerda con su mano derecha, luego mueve ambas manos mientras se salta.")</f>
        <v>El hombre mueve la cuerda con su mano derecha, luego mueve ambas manos mientras se salta.</v>
      </c>
    </row>
    <row r="235">
      <c r="A235" s="4" t="s">
        <v>299</v>
      </c>
      <c r="B235" s="4" t="s">
        <v>302</v>
      </c>
      <c r="C235" s="5" t="str">
        <f>IFERROR(__xludf.DUMMYFUNCTION("GOOGLETRANSLATE(B235,""en"",""es-ES"")"),"Luego, el hombre salta cruzando los brazos, después de que salta normal por mucho tiempo.")</f>
        <v>Luego, el hombre salta cruzando los brazos, después de que salta normal por mucho tiempo.</v>
      </c>
    </row>
    <row r="236">
      <c r="A236" s="4" t="s">
        <v>299</v>
      </c>
      <c r="B236" s="4" t="s">
        <v>303</v>
      </c>
      <c r="C236" s="5" t="str">
        <f>IFERROR(__xludf.DUMMYFUNCTION("GOOGLETRANSLATE(B236,""en"",""es-ES"")"),"Luego, un joven salta a la cuerda levantando los pies en alto, luego cruzó los brazos saltando.")</f>
        <v>Luego, un joven salta a la cuerda levantando los pies en alto, luego cruzó los brazos saltando.</v>
      </c>
    </row>
    <row r="237">
      <c r="A237" s="4" t="s">
        <v>299</v>
      </c>
      <c r="B237" s="4" t="s">
        <v>304</v>
      </c>
      <c r="C237" s="5" t="str">
        <f>IFERROR(__xludf.DUMMYFUNCTION("GOOGLETRANSLATE(B237,""en"",""es-ES"")"),"Después, el joven mueve la cuerda con la mano derecha, luego la mueve con ambas manos y también mueve la cuerda en el frente.")</f>
        <v>Después, el joven mueve la cuerda con la mano derecha, luego la mueve con ambas manos y también mueve la cuerda en el frente.</v>
      </c>
    </row>
    <row r="238">
      <c r="A238" s="4" t="s">
        <v>299</v>
      </c>
      <c r="B238" s="4" t="s">
        <v>305</v>
      </c>
      <c r="C238" s="5" t="str">
        <f>IFERROR(__xludf.DUMMYFUNCTION("GOOGLETRANSLATE(B238,""en"",""es-ES"")"),"Después, el joven salta alternando cruzando los brazos, saltando y moviendo la cuerda en la parte delantera.")</f>
        <v>Después, el joven salta alternando cruzando los brazos, saltando y moviendo la cuerda en la parte delantera.</v>
      </c>
    </row>
    <row r="239">
      <c r="A239" s="4" t="s">
        <v>306</v>
      </c>
      <c r="B239" s="4" t="s">
        <v>307</v>
      </c>
      <c r="C239" s="5" t="str">
        <f>IFERROR(__xludf.DUMMYFUNCTION("GOOGLETRANSLATE(B239,""en"",""es-ES"")"),"Un hombre está sentado encima de un caballo.")</f>
        <v>Un hombre está sentado encima de un caballo.</v>
      </c>
    </row>
    <row r="240">
      <c r="A240" s="4" t="s">
        <v>306</v>
      </c>
      <c r="B240" s="4" t="s">
        <v>308</v>
      </c>
      <c r="C240" s="5" t="str">
        <f>IFERROR(__xludf.DUMMYFUNCTION("GOOGLETRANSLATE(B240,""en"",""es-ES"")"),"Comienza a ser perseguido por la arena por un hombre empujando una carretilla.")</f>
        <v>Comienza a ser perseguido por la arena por un hombre empujando una carretilla.</v>
      </c>
    </row>
    <row r="241">
      <c r="A241" s="4" t="s">
        <v>306</v>
      </c>
      <c r="B241" s="4" t="s">
        <v>309</v>
      </c>
      <c r="C241" s="5" t="str">
        <f>IFERROR(__xludf.DUMMYFUNCTION("GOOGLETRANSLATE(B241,""en"",""es-ES"")"),"El caballo corre desde Bull in the Pen.")</f>
        <v>El caballo corre desde Bull in the Pen.</v>
      </c>
    </row>
    <row r="242">
      <c r="A242" s="4" t="s">
        <v>310</v>
      </c>
      <c r="B242" s="4" t="s">
        <v>311</v>
      </c>
      <c r="C242" s="5" t="str">
        <f>IFERROR(__xludf.DUMMYFUNCTION("GOOGLETRANSLATE(B242,""en"",""es-ES"")"),"Se muestra un faro en la playa antes de ver a un hombre corriendo con una tabla de surf.")</f>
        <v>Se muestra un faro en la playa antes de ver a un hombre corriendo con una tabla de surf.</v>
      </c>
    </row>
    <row r="243">
      <c r="A243" s="4" t="s">
        <v>310</v>
      </c>
      <c r="B243" s="4" t="s">
        <v>312</v>
      </c>
      <c r="C243" s="5" t="str">
        <f>IFERROR(__xludf.DUMMYFUNCTION("GOOGLETRANSLATE(B243,""en"",""es-ES"")"),"El hombre monta una ola, luego a través de ella.")</f>
        <v>El hombre monta una ola, luego a través de ella.</v>
      </c>
    </row>
    <row r="244">
      <c r="A244" s="4" t="s">
        <v>310</v>
      </c>
      <c r="B244" s="4" t="s">
        <v>313</v>
      </c>
      <c r="C244" s="5" t="str">
        <f>IFERROR(__xludf.DUMMYFUNCTION("GOOGLETRANSLATE(B244,""en"",""es-ES"")"),"Completa varias acrobacias antes de caminar hacia la playa con el tablero debajo de su brazo.")</f>
        <v>Completa varias acrobacias antes de caminar hacia la playa con el tablero debajo de su brazo.</v>
      </c>
    </row>
    <row r="245">
      <c r="A245" s="4" t="s">
        <v>314</v>
      </c>
      <c r="B245" s="4" t="s">
        <v>315</v>
      </c>
      <c r="C245" s="5" t="str">
        <f>IFERROR(__xludf.DUMMYFUNCTION("GOOGLETRANSLATE(B245,""en"",""es-ES"")"),"Se muestra a un hombre volteando un violín en sus manos, tocando una canción popular en su violín.")</f>
        <v>Se muestra a un hombre volteando un violín en sus manos, tocando una canción popular en su violín.</v>
      </c>
    </row>
    <row r="246">
      <c r="A246" s="4" t="s">
        <v>314</v>
      </c>
      <c r="B246" s="4" t="s">
        <v>316</v>
      </c>
      <c r="C246" s="5" t="str">
        <f>IFERROR(__xludf.DUMMYFUNCTION("GOOGLETRANSLATE(B246,""en"",""es-ES"")"),"La cámara muestra al violinista desde varios ángulos tocando la canción popular y no rompiendo la concentración.")</f>
        <v>La cámara muestra al violinista desde varios ángulos tocando la canción popular y no rompiendo la concentración.</v>
      </c>
    </row>
    <row r="247">
      <c r="A247" s="4" t="s">
        <v>314</v>
      </c>
      <c r="B247" s="4" t="s">
        <v>317</v>
      </c>
      <c r="C247" s="5" t="str">
        <f>IFERROR(__xludf.DUMMYFUNCTION("GOOGLETRANSLATE(B247,""en"",""es-ES"")"),"La cámara se desplaza por todo el jugador y lo muestra tocando la canción completa.")</f>
        <v>La cámara se desplaza por todo el jugador y lo muestra tocando la canción completa.</v>
      </c>
    </row>
    <row r="248">
      <c r="A248" s="4" t="s">
        <v>318</v>
      </c>
      <c r="B248" s="4" t="s">
        <v>319</v>
      </c>
      <c r="C248" s="5" t="str">
        <f>IFERROR(__xludf.DUMMYFUNCTION("GOOGLETRANSLATE(B248,""en"",""es-ES"")"),"Una cámara se acerca a una persona que monta en un tubo.")</f>
        <v>Una cámara se acerca a una persona que monta en un tubo.</v>
      </c>
    </row>
    <row r="249">
      <c r="A249" s="4" t="s">
        <v>318</v>
      </c>
      <c r="B249" s="4" t="s">
        <v>320</v>
      </c>
      <c r="C249" s="5" t="str">
        <f>IFERROR(__xludf.DUMMYFUNCTION("GOOGLETRANSLATE(B249,""en"",""es-ES"")"),"Se ve a más personas montando en tubos detrás del hombre.")</f>
        <v>Se ve a más personas montando en tubos detrás del hombre.</v>
      </c>
    </row>
    <row r="250">
      <c r="A250" s="4" t="s">
        <v>318</v>
      </c>
      <c r="B250" s="4" t="s">
        <v>321</v>
      </c>
      <c r="C250" s="5" t="str">
        <f>IFERROR(__xludf.DUMMYFUNCTION("GOOGLETRANSLATE(B250,""en"",""es-ES"")"),"La gente continúa montando por el área por el río.")</f>
        <v>La gente continúa montando por el área por el río.</v>
      </c>
    </row>
    <row r="251">
      <c r="A251" s="4" t="s">
        <v>322</v>
      </c>
      <c r="B251" s="4" t="s">
        <v>323</v>
      </c>
      <c r="C251" s="5" t="str">
        <f>IFERROR(__xludf.DUMMYFUNCTION("GOOGLETRANSLATE(B251,""en"",""es-ES"")"),"Un hombre entrena a una caja de patadas mientras dos hombres miran sentados en la habitación.")</f>
        <v>Un hombre entrena a una caja de patadas mientras dos hombres miran sentados en la habitación.</v>
      </c>
    </row>
    <row r="252">
      <c r="A252" s="4" t="s">
        <v>322</v>
      </c>
      <c r="B252" s="4" t="s">
        <v>324</v>
      </c>
      <c r="C252" s="5" t="str">
        <f>IFERROR(__xludf.DUMMYFUNCTION("GOOGLETRANSLATE(B252,""en"",""es-ES"")"),"Luego, el hombre se queda y patea al niño que le da como arrodilla.")</f>
        <v>Luego, el hombre se queda y patea al niño que le da como arrodilla.</v>
      </c>
    </row>
    <row r="253">
      <c r="A253" s="4" t="s">
        <v>322</v>
      </c>
      <c r="B253" s="4" t="s">
        <v>325</v>
      </c>
      <c r="C253" s="5" t="str">
        <f>IFERROR(__xludf.DUMMYFUNCTION("GOOGLETRANSLATE(B253,""en"",""es-ES"")"),"Después, el hombre entrena a otro niño mientras muestra movimientos.")</f>
        <v>Después, el hombre entrena a otro niño mientras muestra movimientos.</v>
      </c>
    </row>
    <row r="254">
      <c r="A254" s="4" t="s">
        <v>322</v>
      </c>
      <c r="B254" s="4" t="s">
        <v>326</v>
      </c>
      <c r="C254" s="5" t="str">
        <f>IFERROR(__xludf.DUMMYFUNCTION("GOOGLETRANSLATE(B254,""en"",""es-ES"")"),"Después, el hombre se puede practicar patadas, luego el hombre lee y abraza al niño que continúa practicando Kick Box.")</f>
        <v>Después, el hombre se puede practicar patadas, luego el hombre lee y abraza al niño que continúa practicando Kick Box.</v>
      </c>
    </row>
    <row r="255">
      <c r="A255" s="4" t="s">
        <v>327</v>
      </c>
      <c r="B255" s="4" t="s">
        <v>328</v>
      </c>
      <c r="C255" s="5" t="str">
        <f>IFERROR(__xludf.DUMMYFUNCTION("GOOGLETRANSLATE(B255,""en"",""es-ES"")"),"Se muestra a la gente caminando por una playa.")</f>
        <v>Se muestra a la gente caminando por una playa.</v>
      </c>
    </row>
    <row r="256">
      <c r="A256" s="4" t="s">
        <v>327</v>
      </c>
      <c r="B256" s="4" t="s">
        <v>329</v>
      </c>
      <c r="C256" s="5" t="str">
        <f>IFERROR(__xludf.DUMMYFUNCTION("GOOGLETRANSLATE(B256,""en"",""es-ES"")"),"Varias personas en equipo de paintball están corriendo a través de una carrera de obstáculos.")</f>
        <v>Varias personas en equipo de paintball están corriendo a través de una carrera de obstáculos.</v>
      </c>
    </row>
    <row r="257">
      <c r="A257" s="4" t="s">
        <v>327</v>
      </c>
      <c r="B257" s="4" t="s">
        <v>330</v>
      </c>
      <c r="C257" s="5" t="str">
        <f>IFERROR(__xludf.DUMMYFUNCTION("GOOGLETRANSLATE(B257,""en"",""es-ES"")"),"La gente se dispara, escondiéndose detrás de los obstáculos.")</f>
        <v>La gente se dispara, escondiéndose detrás de los obstáculos.</v>
      </c>
    </row>
    <row r="258">
      <c r="A258" s="4" t="s">
        <v>327</v>
      </c>
      <c r="B258" s="4" t="s">
        <v>331</v>
      </c>
      <c r="C258" s="5" t="str">
        <f>IFERROR(__xludf.DUMMYFUNCTION("GOOGLETRANSLATE(B258,""en"",""es-ES"")"),"El ganador baila y corre por el campo.")</f>
        <v>El ganador baila y corre por el campo.</v>
      </c>
    </row>
    <row r="259">
      <c r="A259" s="4" t="s">
        <v>332</v>
      </c>
      <c r="B259" s="4" t="s">
        <v>333</v>
      </c>
      <c r="C259" s="5" t="str">
        <f>IFERROR(__xludf.DUMMYFUNCTION("GOOGLETRANSLATE(B259,""en"",""es-ES"")"),"Se ve a un niño pequeño sentado detrás de una batería tocando la batería.")</f>
        <v>Se ve a un niño pequeño sentado detrás de una batería tocando la batería.</v>
      </c>
    </row>
    <row r="260">
      <c r="A260" s="4" t="s">
        <v>332</v>
      </c>
      <c r="B260" s="4" t="s">
        <v>334</v>
      </c>
      <c r="C260" s="5" t="str">
        <f>IFERROR(__xludf.DUMMYFUNCTION("GOOGLETRANSLATE(B260,""en"",""es-ES"")"),"El niño continúa tocando el instrumento mientras la cámara se acerca a él.")</f>
        <v>El niño continúa tocando el instrumento mientras la cámara se acerca a él.</v>
      </c>
    </row>
    <row r="261">
      <c r="A261" s="4" t="s">
        <v>335</v>
      </c>
      <c r="B261" s="4" t="s">
        <v>336</v>
      </c>
      <c r="C261" s="5" t="str">
        <f>IFERROR(__xludf.DUMMYFUNCTION("GOOGLETRANSLATE(B261,""en"",""es-ES"")"),"Una familia tiene un picnic y va tubería de balsas inflables en un cuerpo estrecho de agua rodeado de árboles, en un día lluvioso.")</f>
        <v>Una familia tiene un picnic y va tubería de balsas inflables en un cuerpo estrecho de agua rodeado de árboles, en un día lluvioso.</v>
      </c>
    </row>
    <row r="262">
      <c r="A262" s="4" t="s">
        <v>335</v>
      </c>
      <c r="B262" s="4" t="s">
        <v>337</v>
      </c>
      <c r="C262" s="5" t="str">
        <f>IFERROR(__xludf.DUMMYFUNCTION("GOOGLETRANSLATE(B262,""en"",""es-ES"")"),"Una familia de personas se sienta en una mesa de picnic de madera al aire libre, comiendo, renunciando a la cámara.")</f>
        <v>Una familia de personas se sienta en una mesa de picnic de madera al aire libre, comiendo, renunciando a la cámara.</v>
      </c>
    </row>
    <row r="263">
      <c r="A263" s="4" t="s">
        <v>335</v>
      </c>
      <c r="B263" s="4" t="s">
        <v>338</v>
      </c>
      <c r="C263" s="5" t="str">
        <f>IFERROR(__xludf.DUMMYFUNCTION("GOOGLETRANSLATE(B263,""en"",""es-ES"")"),"La familia observa el clima al aire libre cuando comienza a llover y una niña se sale corriendo a la lluvia y baila en él.")</f>
        <v>La familia observa el clima al aire libre cuando comienza a llover y una niña se sale corriendo a la lluvia y baila en él.</v>
      </c>
    </row>
    <row r="264">
      <c r="A264" s="4" t="s">
        <v>335</v>
      </c>
      <c r="B264" s="4" t="s">
        <v>339</v>
      </c>
      <c r="C264" s="5" t="str">
        <f>IFERROR(__xludf.DUMMYFUNCTION("GOOGLETRANSLATE(B264,""en"",""es-ES"")"),"Luego aparece la familia, flotando, hablando y sonriendo en tubos inflables en un cuerpo estrecho de agua.")</f>
        <v>Luego aparece la familia, flotando, hablando y sonriendo en tubos inflables en un cuerpo estrecho de agua.</v>
      </c>
    </row>
    <row r="265">
      <c r="A265" s="4" t="s">
        <v>335</v>
      </c>
      <c r="B265" s="4" t="s">
        <v>340</v>
      </c>
      <c r="C265" s="5" t="str">
        <f>IFERROR(__xludf.DUMMYFUNCTION("GOOGLETRANSLATE(B265,""en"",""es-ES"")"),"El evento termina y la familia deja un área bordeada por una cerca de madera.")</f>
        <v>El evento termina y la familia deja un área bordeada por una cerca de madera.</v>
      </c>
    </row>
    <row r="266">
      <c r="A266" s="4" t="s">
        <v>341</v>
      </c>
      <c r="B266" s="4" t="s">
        <v>342</v>
      </c>
      <c r="C266" s="5" t="str">
        <f>IFERROR(__xludf.DUMMYFUNCTION("GOOGLETRANSLATE(B266,""en"",""es-ES"")"),"Un hombre toca la guitarra y la armónica al mismo tiempo.")</f>
        <v>Un hombre toca la guitarra y la armónica al mismo tiempo.</v>
      </c>
    </row>
    <row r="267">
      <c r="A267" s="4" t="s">
        <v>341</v>
      </c>
      <c r="B267" s="4" t="s">
        <v>343</v>
      </c>
      <c r="C267" s="5" t="str">
        <f>IFERROR(__xludf.DUMMYFUNCTION("GOOGLETRANSLATE(B267,""en"",""es-ES"")"),"Luego, el hombre canta mientras toca la guitarra.")</f>
        <v>Luego, el hombre canta mientras toca la guitarra.</v>
      </c>
    </row>
    <row r="268">
      <c r="A268" s="4" t="s">
        <v>341</v>
      </c>
      <c r="B268" s="4" t="s">
        <v>344</v>
      </c>
      <c r="C268" s="5" t="str">
        <f>IFERROR(__xludf.DUMMYFUNCTION("GOOGLETRANSLATE(B268,""en"",""es-ES"")"),"Después, el hombre continúa tocando tanto la guitarra como la armónica, luego cantar.")</f>
        <v>Después, el hombre continúa tocando tanto la guitarra como la armónica, luego cantar.</v>
      </c>
    </row>
    <row r="269">
      <c r="A269" s="4" t="s">
        <v>341</v>
      </c>
      <c r="B269" s="4" t="s">
        <v>345</v>
      </c>
      <c r="C269" s="5" t="str">
        <f>IFERROR(__xludf.DUMMYFUNCTION("GOOGLETRANSLATE(B269,""en"",""es-ES"")"),"Luego, el hombre toca la armónica y la guitarra juntos.")</f>
        <v>Luego, el hombre toca la armónica y la guitarra juntos.</v>
      </c>
    </row>
    <row r="270">
      <c r="A270" s="4" t="s">
        <v>346</v>
      </c>
      <c r="B270" s="4" t="s">
        <v>347</v>
      </c>
      <c r="C270" s="5" t="str">
        <f>IFERROR(__xludf.DUMMYFUNCTION("GOOGLETRANSLATE(B270,""en"",""es-ES"")"),"El video es sobre Wallwik y el sistema de eliminación de papel tapiz.")</f>
        <v>El video es sobre Wallwik y el sistema de eliminación de papel tapiz.</v>
      </c>
    </row>
    <row r="271">
      <c r="A271" s="4" t="s">
        <v>346</v>
      </c>
      <c r="B271" s="4" t="s">
        <v>348</v>
      </c>
      <c r="C271" s="5" t="str">
        <f>IFERROR(__xludf.DUMMYFUNCTION("GOOGLETRANSLATE(B271,""en"",""es-ES"")"),"Muestra a una mujer quitando papel tapiz de la pared de una manera conveniente y fácil.")</f>
        <v>Muestra a una mujer quitando papel tapiz de la pared de una manera conveniente y fácil.</v>
      </c>
    </row>
    <row r="272">
      <c r="A272" s="4" t="s">
        <v>346</v>
      </c>
      <c r="B272" s="4" t="s">
        <v>349</v>
      </c>
      <c r="C272" s="5" t="str">
        <f>IFERROR(__xludf.DUMMYFUNCTION("GOOGLETRANSLATE(B272,""en"",""es-ES"")"),"Ella está utilizando una herramienta de fregado para rascar el fondo de pantalla de la pared.")</f>
        <v>Ella está utilizando una herramienta de fregado para rascar el fondo de pantalla de la pared.</v>
      </c>
    </row>
    <row r="273">
      <c r="A273" s="4" t="s">
        <v>346</v>
      </c>
      <c r="B273" s="4" t="s">
        <v>350</v>
      </c>
      <c r="C273" s="5" t="str">
        <f>IFERROR(__xludf.DUMMYFUNCTION("GOOGLETRANSLATE(B273,""en"",""es-ES"")"),"Luego usa una solución de jabón y sumerge la hoja en la solución.")</f>
        <v>Luego usa una solución de jabón y sumerge la hoja en la solución.</v>
      </c>
    </row>
    <row r="274">
      <c r="A274" s="4" t="s">
        <v>346</v>
      </c>
      <c r="B274" s="4" t="s">
        <v>351</v>
      </c>
      <c r="C274" s="5" t="str">
        <f>IFERROR(__xludf.DUMMYFUNCTION("GOOGLETRANSLATE(B274,""en"",""es-ES"")"),"Hay un hombre colgando las sábanas húmedas en la pared.")</f>
        <v>Hay un hombre colgando las sábanas húmedas en la pared.</v>
      </c>
    </row>
    <row r="275">
      <c r="A275" s="4" t="s">
        <v>346</v>
      </c>
      <c r="B275" s="4" t="s">
        <v>352</v>
      </c>
      <c r="C275" s="5" t="str">
        <f>IFERROR(__xludf.DUMMYFUNCTION("GOOGLETRANSLATE(B275,""en"",""es-ES"")"),"Una mujer usa un rociador en las hojas húmedas y se los rocía.")</f>
        <v>Una mujer usa un rociador en las hojas húmedas y se los rocía.</v>
      </c>
    </row>
    <row r="276">
      <c r="A276" s="4" t="s">
        <v>346</v>
      </c>
      <c r="B276" s="4" t="s">
        <v>353</v>
      </c>
      <c r="C276" s="5" t="str">
        <f>IFERROR(__xludf.DUMMYFUNCTION("GOOGLETRANSLATE(B276,""en"",""es-ES"")"),"Luego, un hombre y una mujer comienzan a despegar el viejo fondo de pantalla de la pared.")</f>
        <v>Luego, un hombre y una mujer comienzan a despegar el viejo fondo de pantalla de la pared.</v>
      </c>
    </row>
    <row r="277">
      <c r="A277" s="4" t="s">
        <v>346</v>
      </c>
      <c r="B277" s="4" t="s">
        <v>354</v>
      </c>
      <c r="C277" s="5" t="str">
        <f>IFERROR(__xludf.DUMMYFUNCTION("GOOGLETRANSLATE(B277,""en"",""es-ES"")"),"El video muestra instrucciones sobre cómo usar los productos de Wallwik.")</f>
        <v>El video muestra instrucciones sobre cómo usar los productos de Wallwik.</v>
      </c>
    </row>
    <row r="278">
      <c r="A278" s="4" t="s">
        <v>355</v>
      </c>
      <c r="B278" s="4" t="s">
        <v>356</v>
      </c>
      <c r="C278" s="5" t="str">
        <f>IFERROR(__xludf.DUMMYFUNCTION("GOOGLETRANSLATE(B278,""en"",""es-ES"")"),"El video comienza con una secuencia de título.")</f>
        <v>El video comienza con una secuencia de título.</v>
      </c>
    </row>
    <row r="279">
      <c r="A279" s="4" t="s">
        <v>355</v>
      </c>
      <c r="B279" s="4" t="s">
        <v>357</v>
      </c>
      <c r="C279" s="5" t="str">
        <f>IFERROR(__xludf.DUMMYFUNCTION("GOOGLETRANSLATE(B279,""en"",""es-ES"")"),"Un joven se muestra en un gimnasio realizando trucos con una cuerda de salto mientras la música se reproduce en el fondo.")</f>
        <v>Un joven se muestra en un gimnasio realizando trucos con una cuerda de salto mientras la música se reproduce en el fondo.</v>
      </c>
    </row>
    <row r="280">
      <c r="A280" s="4" t="s">
        <v>355</v>
      </c>
      <c r="B280" s="4" t="s">
        <v>358</v>
      </c>
      <c r="C280" s="5" t="str">
        <f>IFERROR(__xludf.DUMMYFUNCTION("GOOGLETRANSLATE(B280,""en"",""es-ES"")"),"Luego se acuesta y comienza a hacer trucos en el piso.")</f>
        <v>Luego se acuesta y comienza a hacer trucos en el piso.</v>
      </c>
    </row>
    <row r="281">
      <c r="A281" s="4" t="s">
        <v>355</v>
      </c>
      <c r="B281" s="4" t="s">
        <v>359</v>
      </c>
      <c r="C281" s="5" t="str">
        <f>IFERROR(__xludf.DUMMYFUNCTION("GOOGLETRANSLATE(B281,""en"",""es-ES"")"),"El joven se levanta de nuevo y hace más trucos mientras está de pie.")</f>
        <v>El joven se levanta de nuevo y hace más trucos mientras está de pie.</v>
      </c>
    </row>
    <row r="282">
      <c r="A282" s="4" t="s">
        <v>355</v>
      </c>
      <c r="B282" s="4" t="s">
        <v>360</v>
      </c>
      <c r="C282" s="5" t="str">
        <f>IFERROR(__xludf.DUMMYFUNCTION("GOOGLETRANSLATE(B282,""en"",""es-ES"")"),"En un momento, sus amigos ayudan con los trucos de la cuerda de salto.")</f>
        <v>En un momento, sus amigos ayudan con los trucos de la cuerda de salto.</v>
      </c>
    </row>
    <row r="283">
      <c r="A283" s="4" t="s">
        <v>355</v>
      </c>
      <c r="B283" s="4" t="s">
        <v>361</v>
      </c>
      <c r="C283" s="5" t="str">
        <f>IFERROR(__xludf.DUMMYFUNCTION("GOOGLETRANSLATE(B283,""en"",""es-ES"")"),"El video termina con créditos que muestran el nombre del joven, junto con los nombres de quienes lo ayudaron.")</f>
        <v>El video termina con créditos que muestran el nombre del joven, junto con los nombres de quienes lo ayudaron.</v>
      </c>
    </row>
    <row r="284">
      <c r="A284" s="4" t="s">
        <v>362</v>
      </c>
      <c r="B284" s="4" t="s">
        <v>363</v>
      </c>
      <c r="C284" s="5" t="str">
        <f>IFERROR(__xludf.DUMMYFUNCTION("GOOGLETRANSLATE(B284,""en"",""es-ES"")"),"Se ve a una dama poniendo cera en los zapatos de un hombre.")</f>
        <v>Se ve a una dama poniendo cera en los zapatos de un hombre.</v>
      </c>
    </row>
    <row r="285">
      <c r="A285" s="4" t="s">
        <v>362</v>
      </c>
      <c r="B285" s="4" t="s">
        <v>364</v>
      </c>
      <c r="C285" s="5" t="str">
        <f>IFERROR(__xludf.DUMMYFUNCTION("GOOGLETRANSLATE(B285,""en"",""es-ES"")"),"Vemos la tela colgando en la pared.")</f>
        <v>Vemos la tela colgando en la pared.</v>
      </c>
    </row>
    <row r="286">
      <c r="A286" s="4" t="s">
        <v>362</v>
      </c>
      <c r="B286" s="4" t="s">
        <v>365</v>
      </c>
      <c r="C286" s="5" t="str">
        <f>IFERROR(__xludf.DUMMYFUNCTION("GOOGLETRANSLATE(B286,""en"",""es-ES"")"),"Vemos las huellas en la plataforma.")</f>
        <v>Vemos las huellas en la plataforma.</v>
      </c>
    </row>
    <row r="287">
      <c r="A287" s="4" t="s">
        <v>362</v>
      </c>
      <c r="B287" s="4" t="s">
        <v>366</v>
      </c>
      <c r="C287" s="5" t="str">
        <f>IFERROR(__xludf.DUMMYFUNCTION("GOOGLETRANSLATE(B287,""en"",""es-ES"")"),"La mujer frota los zapatos de los hombres con un paño.")</f>
        <v>La mujer frota los zapatos de los hombres con un paño.</v>
      </c>
    </row>
    <row r="288">
      <c r="A288" s="4" t="s">
        <v>362</v>
      </c>
      <c r="B288" s="4" t="s">
        <v>367</v>
      </c>
      <c r="C288" s="5" t="str">
        <f>IFERROR(__xludf.DUMMYFUNCTION("GOOGLETRANSLATE(B288,""en"",""es-ES"")"),"Vemos la tela en la pared, luego las líneas de tela cerca del letrero de brillo.")</f>
        <v>Vemos la tela en la pared, luego las líneas de tela cerca del letrero de brillo.</v>
      </c>
    </row>
    <row r="289">
      <c r="A289" s="4" t="s">
        <v>362</v>
      </c>
      <c r="B289" s="4" t="s">
        <v>368</v>
      </c>
      <c r="C289" s="5" t="str">
        <f>IFERROR(__xludf.DUMMYFUNCTION("GOOGLETRANSLATE(B289,""en"",""es-ES"")"),"Un hombre está parado en una plataforma.")</f>
        <v>Un hombre está parado en una plataforma.</v>
      </c>
    </row>
    <row r="290">
      <c r="A290" s="4" t="s">
        <v>362</v>
      </c>
      <c r="B290" s="4" t="s">
        <v>369</v>
      </c>
      <c r="C290" s="5" t="str">
        <f>IFERROR(__xludf.DUMMYFUNCTION("GOOGLETRANSLATE(B290,""en"",""es-ES"")"),"Vemos al hombre holográfico en la pared con el papel.")</f>
        <v>Vemos al hombre holográfico en la pared con el papel.</v>
      </c>
    </row>
    <row r="291">
      <c r="A291" s="4" t="s">
        <v>370</v>
      </c>
      <c r="B291" s="4" t="s">
        <v>371</v>
      </c>
      <c r="C291" s="5" t="str">
        <f>IFERROR(__xludf.DUMMYFUNCTION("GOOGLETRANSLATE(B291,""en"",""es-ES"")"),"Se muestra un Audi A3 negro de dos puertas y luego la cámara se acerca a los neumáticos.")</f>
        <v>Se muestra un Audi A3 negro de dos puertas y luego la cámara se acerca a los neumáticos.</v>
      </c>
    </row>
    <row r="292">
      <c r="A292" s="4" t="s">
        <v>370</v>
      </c>
      <c r="B292" s="4" t="s">
        <v>372</v>
      </c>
      <c r="C292" s="5" t="str">
        <f>IFERROR(__xludf.DUMMYFUNCTION("GOOGLETRANSLATE(B292,""en"",""es-ES"")"),"Luego, un dedo toca la luz de emergencia y las luces del automóvil comienzan a parpadear.")</f>
        <v>Luego, un dedo toca la luz de emergencia y las luces del automóvil comienzan a parpadear.</v>
      </c>
    </row>
    <row r="293">
      <c r="A293" s="4" t="s">
        <v>370</v>
      </c>
      <c r="B293" s="4" t="s">
        <v>373</v>
      </c>
      <c r="C293" s="5" t="str">
        <f>IFERROR(__xludf.DUMMYFUNCTION("GOOGLETRANSLATE(B293,""en"",""es-ES"")"),"A continuación, se abre el camión y la persona elimina la llanta de refacción y el gato.")</f>
        <v>A continuación, se abre el camión y la persona elimina la llanta de refacción y el gato.</v>
      </c>
    </row>
    <row r="294">
      <c r="A294" s="4" t="s">
        <v>370</v>
      </c>
      <c r="B294" s="4" t="s">
        <v>374</v>
      </c>
      <c r="C294" s="5" t="str">
        <f>IFERROR(__xludf.DUMMYFUNCTION("GOOGLETRANSLATE(B294,""en"",""es-ES"")"),"Luego levanta el auto y continúa aflojando los pernos en la rueda del automóvil.")</f>
        <v>Luego levanta el auto y continúa aflojando los pernos en la rueda del automóvil.</v>
      </c>
    </row>
    <row r="295">
      <c r="A295" s="4" t="s">
        <v>370</v>
      </c>
      <c r="B295" s="4" t="s">
        <v>375</v>
      </c>
      <c r="C295" s="5" t="str">
        <f>IFERROR(__xludf.DUMMYFUNCTION("GOOGLETRANSLATE(B295,""en"",""es-ES"")"),"Una vez suelta, se retira la rueda y se coloca el repuesto y se realizan las mismas acciones en reversa.")</f>
        <v>Una vez suelta, se retira la rueda y se coloca el repuesto y se realizan las mismas acciones en reversa.</v>
      </c>
    </row>
    <row r="296">
      <c r="A296" s="4" t="s">
        <v>376</v>
      </c>
      <c r="B296" s="4" t="s">
        <v>377</v>
      </c>
      <c r="C296" s="5" t="str">
        <f>IFERROR(__xludf.DUMMYFUNCTION("GOOGLETRANSLATE(B296,""en"",""es-ES"")"),"Una mujer combina artículos en un tazón.")</f>
        <v>Una mujer combina artículos en un tazón.</v>
      </c>
    </row>
    <row r="297">
      <c r="A297" s="4" t="s">
        <v>376</v>
      </c>
      <c r="B297" s="4" t="s">
        <v>378</v>
      </c>
      <c r="C297" s="5" t="str">
        <f>IFERROR(__xludf.DUMMYFUNCTION("GOOGLETRANSLATE(B297,""en"",""es-ES"")"),"Ella lo frota en una mesa de madera.")</f>
        <v>Ella lo frota en una mesa de madera.</v>
      </c>
    </row>
    <row r="298">
      <c r="A298" s="4" t="s">
        <v>376</v>
      </c>
      <c r="B298" s="4" t="s">
        <v>379</v>
      </c>
      <c r="C298" s="5" t="str">
        <f>IFERROR(__xludf.DUMMYFUNCTION("GOOGLETRANSLATE(B298,""en"",""es-ES"")"),"Ella se ríe y pone sus manos en el aire.")</f>
        <v>Ella se ríe y pone sus manos en el aire.</v>
      </c>
    </row>
    <row r="299">
      <c r="A299" s="4" t="s">
        <v>380</v>
      </c>
      <c r="B299" s="4" t="s">
        <v>381</v>
      </c>
      <c r="C299" s="5" t="str">
        <f>IFERROR(__xludf.DUMMYFUNCTION("GOOGLETRANSLATE(B299,""en"",""es-ES"")"),"Dos chicas se paran entre una niña en un taburete de salón y comienzan a cepillarsela y separarse de su cabello.")</f>
        <v>Dos chicas se paran entre una niña en un taburete de salón y comienzan a cepillarsela y separarse de su cabello.</v>
      </c>
    </row>
    <row r="300">
      <c r="A300" s="4" t="s">
        <v>380</v>
      </c>
      <c r="B300" s="4" t="s">
        <v>382</v>
      </c>
      <c r="C300" s="5" t="str">
        <f>IFERROR(__xludf.DUMMYFUNCTION("GOOGLETRANSLATE(B300,""en"",""es-ES"")"),"Una mujer trenza su cabello continuamente para finalmente crear una trenza francesa.")</f>
        <v>Una mujer trenza su cabello continuamente para finalmente crear una trenza francesa.</v>
      </c>
    </row>
    <row r="301">
      <c r="A301" s="4" t="s">
        <v>380</v>
      </c>
      <c r="B301" s="4" t="s">
        <v>383</v>
      </c>
      <c r="C301" s="5" t="str">
        <f>IFERROR(__xludf.DUMMYFUNCTION("GOOGLETRANSLATE(B301,""en"",""es-ES"")"),"Ambas mujeres están hablando con la cámara mientras presentan la trenza que acaba de hacer.")</f>
        <v>Ambas mujeres están hablando con la cámara mientras presentan la trenza que acaba de hacer.</v>
      </c>
    </row>
    <row r="302">
      <c r="A302" s="4" t="s">
        <v>384</v>
      </c>
      <c r="B302" s="4" t="s">
        <v>385</v>
      </c>
      <c r="C302" s="5" t="str">
        <f>IFERROR(__xludf.DUMMYFUNCTION("GOOGLETRANSLATE(B302,""en"",""es-ES"")"),"Vemos una colorida escena de apertura.")</f>
        <v>Vemos una colorida escena de apertura.</v>
      </c>
    </row>
    <row r="303">
      <c r="A303" s="4" t="s">
        <v>384</v>
      </c>
      <c r="B303" s="4" t="s">
        <v>386</v>
      </c>
      <c r="C303" s="5" t="str">
        <f>IFERROR(__xludf.DUMMYFUNCTION("GOOGLETRANSLATE(B303,""en"",""es-ES"")"),"Los niños con ropa colorida caminan en un escenario y se ponen en su lugar.")</f>
        <v>Los niños con ropa colorida caminan en un escenario y se ponen en su lugar.</v>
      </c>
    </row>
    <row r="304">
      <c r="A304" s="4" t="s">
        <v>384</v>
      </c>
      <c r="B304" s="4" t="s">
        <v>387</v>
      </c>
      <c r="C304" s="5" t="str">
        <f>IFERROR(__xludf.DUMMYFUNCTION("GOOGLETRANSLATE(B304,""en"",""es-ES"")"),"Los niños realizan Zumba en un escenario.")</f>
        <v>Los niños realizan Zumba en un escenario.</v>
      </c>
    </row>
    <row r="305">
      <c r="A305" s="4" t="s">
        <v>384</v>
      </c>
      <c r="B305" s="4" t="s">
        <v>388</v>
      </c>
      <c r="C305" s="5" t="str">
        <f>IFERROR(__xludf.DUMMYFUNCTION("GOOGLETRANSLATE(B305,""en"",""es-ES"")"),"La niña en segundo lugar desde la izquierda va en la dirección equivocada y casi se encuentra con otra chica.")</f>
        <v>La niña en segundo lugar desde la izquierda va en la dirección equivocada y casi se encuentra con otra chica.</v>
      </c>
    </row>
    <row r="306">
      <c r="A306" s="4" t="s">
        <v>384</v>
      </c>
      <c r="B306" s="4" t="s">
        <v>389</v>
      </c>
      <c r="C306" s="5" t="str">
        <f>IFERROR(__xludf.DUMMYFUNCTION("GOOGLETRANSLATE(B306,""en"",""es-ES"")"),"Vemos una pantalla final.")</f>
        <v>Vemos una pantalla final.</v>
      </c>
    </row>
    <row r="307">
      <c r="A307" s="4" t="s">
        <v>390</v>
      </c>
      <c r="B307" s="4" t="s">
        <v>391</v>
      </c>
      <c r="C307" s="5" t="str">
        <f>IFERROR(__xludf.DUMMYFUNCTION("GOOGLETRANSLATE(B307,""en"",""es-ES"")"),"Un hombre que lleva una camisa a rayas baila con una chica en una blusa marrón en un festival callejero.")</f>
        <v>Un hombre que lleva una camisa a rayas baila con una chica en una blusa marrón en un festival callejero.</v>
      </c>
    </row>
    <row r="308">
      <c r="A308" s="4" t="s">
        <v>390</v>
      </c>
      <c r="B308" s="4" t="s">
        <v>392</v>
      </c>
      <c r="C308" s="5" t="str">
        <f>IFERROR(__xludf.DUMMYFUNCTION("GOOGLETRANSLATE(B308,""en"",""es-ES"")"),"Otra pareja se une y baila en un festival callejero mientras los artistas tocan en un escenario.")</f>
        <v>Otra pareja se une y baila en un festival callejero mientras los artistas tocan en un escenario.</v>
      </c>
    </row>
    <row r="309">
      <c r="A309" s="4" t="s">
        <v>390</v>
      </c>
      <c r="B309" s="4" t="s">
        <v>393</v>
      </c>
      <c r="C309" s="5" t="str">
        <f>IFERROR(__xludf.DUMMYFUNCTION("GOOGLETRANSLATE(B309,""en"",""es-ES"")"),"Los espectadores pasan mientras el grupo continúa bailando.")</f>
        <v>Los espectadores pasan mientras el grupo continúa bailando.</v>
      </c>
    </row>
    <row r="310">
      <c r="A310" s="4" t="s">
        <v>394</v>
      </c>
      <c r="B310" s="4" t="s">
        <v>395</v>
      </c>
      <c r="C310" s="5" t="str">
        <f>IFERROR(__xludf.DUMMYFUNCTION("GOOGLETRANSLATE(B310,""en"",""es-ES"")"),"El hombre está rasgando un tambor.")</f>
        <v>El hombre está rasgando un tambor.</v>
      </c>
    </row>
    <row r="311">
      <c r="A311" s="4" t="s">
        <v>394</v>
      </c>
      <c r="B311" s="4" t="s">
        <v>396</v>
      </c>
      <c r="C311" s="5" t="str">
        <f>IFERROR(__xludf.DUMMYFUNCTION("GOOGLETRANSLATE(B311,""en"",""es-ES"")"),"El hombre llora el otro tambor mientras movía su pierna.")</f>
        <v>El hombre llora el otro tambor mientras movía su pierna.</v>
      </c>
    </row>
    <row r="312">
      <c r="A312" s="4" t="s">
        <v>394</v>
      </c>
      <c r="B312" s="4" t="s">
        <v>397</v>
      </c>
      <c r="C312" s="5" t="str">
        <f>IFERROR(__xludf.DUMMYFUNCTION("GOOGLETRANSLATE(B312,""en"",""es-ES"")"),"El hombre toca dos tambores al mismo tiempo.")</f>
        <v>El hombre toca dos tambores al mismo tiempo.</v>
      </c>
    </row>
    <row r="313">
      <c r="A313" s="4" t="s">
        <v>398</v>
      </c>
      <c r="B313" s="4" t="s">
        <v>399</v>
      </c>
      <c r="C313" s="5" t="str">
        <f>IFERROR(__xludf.DUMMYFUNCTION("GOOGLETRANSLATE(B313,""en"",""es-ES"")"),"La mujer está sentada junto a la chimenea sosteniendo un violín.")</f>
        <v>La mujer está sentada junto a la chimenea sosteniendo un violín.</v>
      </c>
    </row>
    <row r="314">
      <c r="A314" s="4" t="s">
        <v>398</v>
      </c>
      <c r="B314" s="4" t="s">
        <v>400</v>
      </c>
      <c r="C314" s="5" t="str">
        <f>IFERROR(__xludf.DUMMYFUNCTION("GOOGLETRANSLATE(B314,""en"",""es-ES"")"),"La mujer colocó el violín entre el cuello y el hombro y comenzó a tocarse el violín con el palo.")</f>
        <v>La mujer colocó el violín entre el cuello y el hombro y comenzó a tocarse el violín con el palo.</v>
      </c>
    </row>
    <row r="315">
      <c r="A315" s="4" t="s">
        <v>398</v>
      </c>
      <c r="B315" s="4" t="s">
        <v>401</v>
      </c>
      <c r="C315" s="5" t="str">
        <f>IFERROR(__xludf.DUMMYFUNCTION("GOOGLETRANSLATE(B315,""en"",""es-ES"")"),"La señora puso el violín en su regazo y habló.")</f>
        <v>La señora puso el violín en su regazo y habló.</v>
      </c>
    </row>
    <row r="316">
      <c r="A316" s="4" t="s">
        <v>402</v>
      </c>
      <c r="B316" s="4" t="s">
        <v>403</v>
      </c>
      <c r="C316" s="5" t="str">
        <f>IFERROR(__xludf.DUMMYFUNCTION("GOOGLETRANSLATE(B316,""en"",""es-ES"")"),"Un hombre se sienta en una silla mientras se corta el pelo.")</f>
        <v>Un hombre se sienta en una silla mientras se corta el pelo.</v>
      </c>
    </row>
    <row r="317">
      <c r="A317" s="4" t="s">
        <v>402</v>
      </c>
      <c r="B317" s="4" t="s">
        <v>404</v>
      </c>
      <c r="C317" s="5" t="str">
        <f>IFERROR(__xludf.DUMMYFUNCTION("GOOGLETRANSLATE(B317,""en"",""es-ES"")"),"Un hombre con una camisa negra mueve una luz.")</f>
        <v>Un hombre con una camisa negra mueve una luz.</v>
      </c>
    </row>
    <row r="318">
      <c r="A318" s="4" t="s">
        <v>402</v>
      </c>
      <c r="B318" s="4" t="s">
        <v>405</v>
      </c>
      <c r="C318" s="5" t="str">
        <f>IFERROR(__xludf.DUMMYFUNCTION("GOOGLETRANSLATE(B318,""en"",""es-ES"")"),"La gente lucha detrás del estilista.")</f>
        <v>La gente lucha detrás del estilista.</v>
      </c>
    </row>
    <row r="319">
      <c r="A319" s="4" t="s">
        <v>402</v>
      </c>
      <c r="B319" s="4" t="s">
        <v>406</v>
      </c>
      <c r="C319" s="5" t="str">
        <f>IFERROR(__xludf.DUMMYFUNCTION("GOOGLETRANSLATE(B319,""en"",""es-ES"")"),"Un estilista se mete continuamente y corta el cabello del hombre.")</f>
        <v>Un estilista se mete continuamente y corta el cabello del hombre.</v>
      </c>
    </row>
    <row r="320">
      <c r="A320" s="4" t="s">
        <v>402</v>
      </c>
      <c r="B320" s="4" t="s">
        <v>407</v>
      </c>
      <c r="C320" s="5" t="str">
        <f>IFERROR(__xludf.DUMMYFUNCTION("GOOGLETRANSLATE(B320,""en"",""es-ES"")"),"Los estilistas frotan un poco de pomada en el cabello del hombre.")</f>
        <v>Los estilistas frotan un poco de pomada en el cabello del hombre.</v>
      </c>
    </row>
    <row r="321">
      <c r="A321" s="4" t="s">
        <v>402</v>
      </c>
      <c r="B321" s="4" t="s">
        <v>408</v>
      </c>
      <c r="C321" s="5" t="str">
        <f>IFERROR(__xludf.DUMMYFUNCTION("GOOGLETRANSLATE(B321,""en"",""es-ES"")"),"Se ve al hombre posando.")</f>
        <v>Se ve al hombre posando.</v>
      </c>
    </row>
    <row r="322">
      <c r="A322" s="4" t="s">
        <v>409</v>
      </c>
      <c r="B322" s="4" t="s">
        <v>410</v>
      </c>
      <c r="C322" s="5" t="str">
        <f>IFERROR(__xludf.DUMMYFUNCTION("GOOGLETRANSLATE(B322,""en"",""es-ES"")"),"Un escuadrón de alegría adolescente que dirige el escuadrón sobre una colchoneta y entra en formación.")</f>
        <v>Un escuadrón de alegría adolescente que dirige el escuadrón sobre una colchoneta y entra en formación.</v>
      </c>
    </row>
    <row r="323">
      <c r="A323" s="4" t="s">
        <v>409</v>
      </c>
      <c r="B323" s="4" t="s">
        <v>411</v>
      </c>
      <c r="C323" s="5" t="str">
        <f>IFERROR(__xludf.DUMMYFUNCTION("GOOGLETRANSLATE(B323,""en"",""es-ES"")"),"La rutina comienza en un desafío de Manikin y todos comienzan a hacer un volteo.")</f>
        <v>La rutina comienza en un desafío de Manikin y todos comienzan a hacer un volteo.</v>
      </c>
    </row>
    <row r="324">
      <c r="A324" s="4" t="s">
        <v>409</v>
      </c>
      <c r="B324" s="4" t="s">
        <v>412</v>
      </c>
      <c r="C324" s="5" t="str">
        <f>IFERROR(__xludf.DUMMYFUNCTION("GOOGLETRANSLATE(B324,""en"",""es-ES"")"),"Después, realizan varios saltos de straddle y comienzan a arrojar grados.")</f>
        <v>Después, realizan varios saltos de straddle y comienzan a arrojar grados.</v>
      </c>
    </row>
    <row r="325">
      <c r="A325" s="4" t="s">
        <v>409</v>
      </c>
      <c r="B325" s="4" t="s">
        <v>413</v>
      </c>
      <c r="C325" s="5" t="str">
        <f>IFERROR(__xludf.DUMMYFUNCTION("GOOGLETRANSLATE(B325,""en"",""es-ES"")"),"Una vez que las acrobacias terminan, la mitad del equipo comienza a hacer ruedas de carrito y todas se encuentran en el medio para hacer acrobacias en el aire.")</f>
        <v>Una vez que las acrobacias terminan, la mitad del equipo comienza a hacer ruedas de carrito y todas se encuentran en el medio para hacer acrobacias en el aire.</v>
      </c>
    </row>
    <row r="326">
      <c r="A326" s="4" t="s">
        <v>409</v>
      </c>
      <c r="B326" s="4" t="s">
        <v>414</v>
      </c>
      <c r="C326" s="5" t="str">
        <f>IFERROR(__xludf.DUMMYFUNCTION("GOOGLETRANSLATE(B326,""en"",""es-ES"")"),"Se hacen más acrobacias y las chicas terminan aterrizando en una división, luego se levantan y se abrazan en el medio de la colchoneta.")</f>
        <v>Se hacen más acrobacias y las chicas terminan aterrizando en una división, luego se levantan y se abrazan en el medio de la colchoneta.</v>
      </c>
    </row>
    <row r="327">
      <c r="A327" s="4" t="s">
        <v>415</v>
      </c>
      <c r="B327" s="4" t="s">
        <v>416</v>
      </c>
      <c r="C327" s="5" t="str">
        <f>IFERROR(__xludf.DUMMYFUNCTION("GOOGLETRANSLATE(B327,""en"",""es-ES"")"),"Una mujer que lleva una capucha y gafas está hablando.")</f>
        <v>Una mujer que lleva una capucha y gafas está hablando.</v>
      </c>
    </row>
    <row r="328">
      <c r="A328" s="4" t="s">
        <v>415</v>
      </c>
      <c r="B328" s="4" t="s">
        <v>417</v>
      </c>
      <c r="C328" s="5" t="str">
        <f>IFERROR(__xludf.DUMMYFUNCTION("GOOGLETRANSLATE(B328,""en"",""es-ES"")"),"Ella está sosteniendo un bastón y lo gira en sus manos.")</f>
        <v>Ella está sosteniendo un bastón y lo gira en sus manos.</v>
      </c>
    </row>
    <row r="329">
      <c r="A329" s="4" t="s">
        <v>418</v>
      </c>
      <c r="B329" s="4" t="s">
        <v>419</v>
      </c>
      <c r="C329" s="5" t="str">
        <f>IFERROR(__xludf.DUMMYFUNCTION("GOOGLETRANSLATE(B329,""en"",""es-ES"")"),"Se ve a una mujer parada detrás de un fregadero y lavando los platos mientras habla con la cámara.")</f>
        <v>Se ve a una mujer parada detrás de un fregadero y lavando los platos mientras habla con la cámara.</v>
      </c>
    </row>
    <row r="330">
      <c r="A330" s="4" t="s">
        <v>418</v>
      </c>
      <c r="B330" s="4" t="s">
        <v>420</v>
      </c>
      <c r="C330" s="5" t="str">
        <f>IFERROR(__xludf.DUMMYFUNCTION("GOOGLETRANSLATE(B330,""en"",""es-ES"")"),"La mujer continúa lavando los cubiertos mientras mira a la cámara y sonriendo.")</f>
        <v>La mujer continúa lavando los cubiertos mientras mira a la cámara y sonriendo.</v>
      </c>
    </row>
    <row r="331">
      <c r="A331" s="4" t="s">
        <v>421</v>
      </c>
      <c r="B331" s="4" t="s">
        <v>422</v>
      </c>
      <c r="C331" s="5" t="str">
        <f>IFERROR(__xludf.DUMMYFUNCTION("GOOGLETRANSLATE(B331,""en"",""es-ES"")"),"Un hombre con un sombrero negro está golpeando una pelota en la hierba con un club.")</f>
        <v>Un hombre con un sombrero negro está golpeando una pelota en la hierba con un club.</v>
      </c>
    </row>
    <row r="332">
      <c r="A332" s="4" t="s">
        <v>421</v>
      </c>
      <c r="B332" s="4" t="s">
        <v>423</v>
      </c>
      <c r="C332" s="5" t="str">
        <f>IFERROR(__xludf.DUMMYFUNCTION("GOOGLETRANSLATE(B332,""en"",""es-ES"")"),"Él continúa hablando con la cámara.")</f>
        <v>Él continúa hablando con la cámara.</v>
      </c>
    </row>
    <row r="333">
      <c r="A333" s="4" t="s">
        <v>421</v>
      </c>
      <c r="B333" s="4" t="s">
        <v>424</v>
      </c>
      <c r="C333" s="5" t="str">
        <f>IFERROR(__xludf.DUMMYFUNCTION("GOOGLETRANSLATE(B333,""en"",""es-ES"")"),"Él sostiene un pequeño trofeo.")</f>
        <v>Él sostiene un pequeño trofeo.</v>
      </c>
    </row>
    <row r="334">
      <c r="A334" s="4" t="s">
        <v>425</v>
      </c>
      <c r="B334" s="4" t="s">
        <v>426</v>
      </c>
      <c r="C334" s="5" t="str">
        <f>IFERROR(__xludf.DUMMYFUNCTION("GOOGLETRANSLATE(B334,""en"",""es-ES"")"),"Un grupo de personas está en un campo.")</f>
        <v>Un grupo de personas está en un campo.</v>
      </c>
    </row>
    <row r="335">
      <c r="A335" s="4" t="s">
        <v>425</v>
      </c>
      <c r="B335" s="4" t="s">
        <v>427</v>
      </c>
      <c r="C335" s="5" t="str">
        <f>IFERROR(__xludf.DUMMYFUNCTION("GOOGLETRANSLATE(B335,""en"",""es-ES"")"),"Adjuntan una cámara a una de las cabezas del jugador.")</f>
        <v>Adjuntan una cámara a una de las cabezas del jugador.</v>
      </c>
    </row>
    <row r="336">
      <c r="A336" s="4" t="s">
        <v>425</v>
      </c>
      <c r="B336" s="4" t="s">
        <v>428</v>
      </c>
      <c r="C336" s="5" t="str">
        <f>IFERROR(__xludf.DUMMYFUNCTION("GOOGLETRANSLATE(B336,""en"",""es-ES"")"),"Se levantan sobre sus cabezas en acrobacias de porristas que se pueden ver desde la vista de la cámara.")</f>
        <v>Se levantan sobre sus cabezas en acrobacias de porristas que se pueden ver desde la vista de la cámara.</v>
      </c>
    </row>
    <row r="337">
      <c r="A337" s="4" t="s">
        <v>425</v>
      </c>
      <c r="B337" s="4" t="s">
        <v>429</v>
      </c>
      <c r="C337" s="5" t="str">
        <f>IFERROR(__xludf.DUMMYFUNCTION("GOOGLETRANSLATE(B337,""en"",""es-ES"")"),"Sonríen y se ríen mientras continúan realizando acrobacias.")</f>
        <v>Sonríen y se ríen mientras continúan realizando acrobacias.</v>
      </c>
    </row>
    <row r="338">
      <c r="A338" s="4" t="s">
        <v>430</v>
      </c>
      <c r="B338" s="4" t="s">
        <v>431</v>
      </c>
      <c r="C338" s="5" t="str">
        <f>IFERROR(__xludf.DUMMYFUNCTION("GOOGLETRANSLATE(B338,""en"",""es-ES"")"),"Se ve a un gran grupo de personas de pie cuando se muestran varios clips de un hombre que intenta saltar sobre un bar.")</f>
        <v>Se ve a un gran grupo de personas de pie cuando se muestran varios clips de un hombre que intenta saltar sobre un bar.</v>
      </c>
    </row>
    <row r="339">
      <c r="A339" s="4" t="s">
        <v>430</v>
      </c>
      <c r="B339" s="4" t="s">
        <v>432</v>
      </c>
      <c r="C339" s="5" t="str">
        <f>IFERROR(__xludf.DUMMYFUNCTION("GOOGLETRANSLATE(B339,""en"",""es-ES"")"),"El hombre completa el salto después de un par de intentos y se muestra nuevamente en cámara lenta.")</f>
        <v>El hombre completa el salto después de un par de intentos y se muestra nuevamente en cámara lenta.</v>
      </c>
    </row>
    <row r="340">
      <c r="A340" s="4" t="s">
        <v>430</v>
      </c>
      <c r="B340" s="4" t="s">
        <v>433</v>
      </c>
      <c r="C340" s="5" t="str">
        <f>IFERROR(__xludf.DUMMYFUNCTION("GOOGLETRANSLATE(B340,""en"",""es-ES"")"),"El hombre intenta saltar más alto varias veces más y termina derribando la barra cada vez.")</f>
        <v>El hombre intenta saltar más alto varias veces más y termina derribando la barra cada vez.</v>
      </c>
    </row>
    <row r="341">
      <c r="A341" s="4" t="s">
        <v>434</v>
      </c>
      <c r="B341" s="4" t="s">
        <v>435</v>
      </c>
      <c r="C341" s="5" t="str">
        <f>IFERROR(__xludf.DUMMYFUNCTION("GOOGLETRANSLATE(B341,""en"",""es-ES"")"),"Una mujer se ríe mientras salta a la cuerda dentro de un gimnasio.")</f>
        <v>Una mujer se ríe mientras salta a la cuerda dentro de un gimnasio.</v>
      </c>
    </row>
    <row r="342">
      <c r="A342" s="4" t="s">
        <v>434</v>
      </c>
      <c r="B342" s="4" t="s">
        <v>436</v>
      </c>
      <c r="C342" s="5" t="str">
        <f>IFERROR(__xludf.DUMMYFUNCTION("GOOGLETRANSLATE(B342,""en"",""es-ES"")"),"Ella continúa saltando durante un largo período de tiempo, acelerando y cambiando posiciones a medida que los hombres con cámaras la graban.")</f>
        <v>Ella continúa saltando durante un largo período de tiempo, acelerando y cambiando posiciones a medida que los hombres con cámaras la graban.</v>
      </c>
    </row>
    <row r="343">
      <c r="A343" s="4" t="s">
        <v>437</v>
      </c>
      <c r="B343" s="4" t="s">
        <v>438</v>
      </c>
      <c r="C343" s="5" t="str">
        <f>IFERROR(__xludf.DUMMYFUNCTION("GOOGLETRANSLATE(B343,""en"",""es-ES"")"),"Una mujer que usa una camisa de estampado de leopardo y una chaqueta de mezclilla está haciendo un tutorial sobre uñas falsas y cómo usarlas.")</f>
        <v>Una mujer que usa una camisa de estampado de leopardo y una chaqueta de mezclilla está haciendo un tutorial sobre uñas falsas y cómo usarlas.</v>
      </c>
    </row>
    <row r="344">
      <c r="A344" s="4" t="s">
        <v>437</v>
      </c>
      <c r="B344" s="4" t="s">
        <v>439</v>
      </c>
      <c r="C344" s="5" t="str">
        <f>IFERROR(__xludf.DUMMYFUNCTION("GOOGLETRANSLATE(B344,""en"",""es-ES"")"),"Ella está sosteniendo un paquete de las uñas postizas en la mano mientras explica el proceso.")</f>
        <v>Ella está sosteniendo un paquete de las uñas postizas en la mano mientras explica el proceso.</v>
      </c>
    </row>
    <row r="345">
      <c r="A345" s="4" t="s">
        <v>437</v>
      </c>
      <c r="B345" s="4" t="s">
        <v>440</v>
      </c>
      <c r="C345" s="5" t="str">
        <f>IFERROR(__xludf.DUMMYFUNCTION("GOOGLETRANSLATE(B345,""en"",""es-ES"")"),"Luego demuestra cómo colocar las uñas postizas encima de sus uñas.")</f>
        <v>Luego demuestra cómo colocar las uñas postizas encima de sus uñas.</v>
      </c>
    </row>
    <row r="346">
      <c r="A346" s="4" t="s">
        <v>437</v>
      </c>
      <c r="B346" s="4" t="s">
        <v>441</v>
      </c>
      <c r="C346" s="5" t="str">
        <f>IFERROR(__xludf.DUMMYFUNCTION("GOOGLETRANSLATE(B346,""en"",""es-ES"")"),"Luego toma una lista de uñas y presenta los extremos de las uñas para suavizarlo.")</f>
        <v>Luego toma una lista de uñas y presenta los extremos de las uñas para suavizarlo.</v>
      </c>
    </row>
    <row r="347">
      <c r="A347" s="4" t="s">
        <v>437</v>
      </c>
      <c r="B347" s="4" t="s">
        <v>442</v>
      </c>
      <c r="C347" s="5" t="str">
        <f>IFERROR(__xludf.DUMMYFUNCTION("GOOGLETRANSLATE(B347,""en"",""es-ES"")"),"Luego usa un poco de pegamento para pegar las uñas sobre sus uñas.")</f>
        <v>Luego usa un poco de pegamento para pegar las uñas sobre sus uñas.</v>
      </c>
    </row>
    <row r="348">
      <c r="A348" s="4" t="s">
        <v>437</v>
      </c>
      <c r="B348" s="4" t="s">
        <v>443</v>
      </c>
      <c r="C348" s="5" t="str">
        <f>IFERROR(__xludf.DUMMYFUNCTION("GOOGLETRANSLATE(B348,""en"",""es-ES"")"),"Luego recorta el exceso para acortar las uñas, seguido de presentar las uñas.")</f>
        <v>Luego recorta el exceso para acortar las uñas, seguido de presentar las uñas.</v>
      </c>
    </row>
    <row r="349">
      <c r="A349" s="4" t="s">
        <v>437</v>
      </c>
      <c r="B349" s="4" t="s">
        <v>444</v>
      </c>
      <c r="C349" s="5" t="str">
        <f>IFERROR(__xludf.DUMMYFUNCTION("GOOGLETRANSLATE(B349,""en"",""es-ES"")"),"También usa un poco de esmalte de uñas verde lima y pinta las uñas para terminar el proceso y hacerlas brillantes.")</f>
        <v>También usa un poco de esmalte de uñas verde lima y pinta las uñas para terminar el proceso y hacerlas brillantes.</v>
      </c>
    </row>
    <row r="350">
      <c r="A350" s="4" t="s">
        <v>445</v>
      </c>
      <c r="B350" s="4" t="s">
        <v>446</v>
      </c>
      <c r="C350" s="5" t="str">
        <f>IFERROR(__xludf.DUMMYFUNCTION("GOOGLETRANSLATE(B350,""en"",""es-ES"")"),"Un cocinero está parado frente a una estufa grande.")</f>
        <v>Un cocinero está parado frente a una estufa grande.</v>
      </c>
    </row>
    <row r="351">
      <c r="A351" s="4" t="s">
        <v>445</v>
      </c>
      <c r="B351" s="4" t="s">
        <v>447</v>
      </c>
      <c r="C351" s="5" t="str">
        <f>IFERROR(__xludf.DUMMYFUNCTION("GOOGLETRANSLATE(B351,""en"",""es-ES"")"),"Está cubierto de ingredientes y sartenes en quemadores.")</f>
        <v>Está cubierto de ingredientes y sartenes en quemadores.</v>
      </c>
    </row>
    <row r="352">
      <c r="A352" s="4" t="s">
        <v>445</v>
      </c>
      <c r="B352" s="4" t="s">
        <v>448</v>
      </c>
      <c r="C352" s="5" t="str">
        <f>IFERROR(__xludf.DUMMYFUNCTION("GOOGLETRANSLATE(B352,""en"",""es-ES"")"),"El hombre crea una tortilla gigante, finalmente volteándola sobre un plato y entregándola a un patrón.")</f>
        <v>El hombre crea una tortilla gigante, finalmente volteándola sobre un plato y entregándola a un patrón.</v>
      </c>
    </row>
    <row r="353">
      <c r="A353" s="4" t="s">
        <v>449</v>
      </c>
      <c r="B353" s="4" t="s">
        <v>450</v>
      </c>
      <c r="C353" s="5" t="str">
        <f>IFERROR(__xludf.DUMMYFUNCTION("GOOGLETRANSLATE(B353,""en"",""es-ES"")"),"Un anciano con cabello gris, con camisa roja y pantalones negros está goteando la pelota en una cancha interior, goteó la pelota uno al lado del otro, entre sus piernas.")</f>
        <v>Un anciano con cabello gris, con camisa roja y pantalones negros está goteando la pelota en una cancha interior, goteó la pelota uno al lado del otro, entre sus piernas.</v>
      </c>
    </row>
    <row r="354">
      <c r="A354" s="4" t="s">
        <v>449</v>
      </c>
      <c r="B354" s="4" t="s">
        <v>451</v>
      </c>
      <c r="C354" s="5" t="str">
        <f>IFERROR(__xludf.DUMMYFUNCTION("GOOGLETRANSLATE(B354,""en"",""es-ES"")"),"Él disparó la pelota en el ring, luego comienza a gotear de nuevo a un lado a otro y entre sus piernas, y dispara la pelota en el ring.")</f>
        <v>Él disparó la pelota en el ring, luego comienza a gotear de nuevo a un lado a otro y entre sus piernas, y dispara la pelota en el ring.</v>
      </c>
    </row>
    <row r="355">
      <c r="A355" s="4" t="s">
        <v>452</v>
      </c>
      <c r="B355" s="4" t="s">
        <v>453</v>
      </c>
      <c r="C355" s="5" t="str">
        <f>IFERROR(__xludf.DUMMYFUNCTION("GOOGLETRANSLATE(B355,""en"",""es-ES"")"),"Un grupo de animadoras proviene del escenario lateral y comienza a sonreír y saludar a la multitud antes de establecerse en su formación.")</f>
        <v>Un grupo de animadoras proviene del escenario lateral y comienza a sonreír y saludar a la multitud antes de establecerse en su formación.</v>
      </c>
    </row>
    <row r="356">
      <c r="A356" s="4" t="s">
        <v>452</v>
      </c>
      <c r="B356" s="4" t="s">
        <v>454</v>
      </c>
      <c r="C356" s="5" t="str">
        <f>IFERROR(__xludf.DUMMYFUNCTION("GOOGLETRANSLATE(B356,""en"",""es-ES"")"),"Comienza la rutina y comienzan a hacer Hurkies, arrojándose en el aire y sosteniéndose mutuamente.")</f>
        <v>Comienza la rutina y comienzan a hacer Hurkies, arrojándose en el aire y sosteniéndose mutuamente.</v>
      </c>
    </row>
    <row r="357">
      <c r="A357" s="4" t="s">
        <v>452</v>
      </c>
      <c r="B357" s="4" t="s">
        <v>455</v>
      </c>
      <c r="C357" s="5" t="str">
        <f>IFERROR(__xludf.DUMMYFUNCTION("GOOGLETRANSLATE(B357,""en"",""es-ES"")"),"Al hacer la mitad de la rutina, la mitad de las chicas se sientan en la espalda detrás del resto de las animadoras mientras hacen una parte de la rutina.")</f>
        <v>Al hacer la mitad de la rutina, la mitad de las chicas se sientan en la espalda detrás del resto de las animadoras mientras hacen una parte de la rutina.</v>
      </c>
    </row>
    <row r="358">
      <c r="A358" s="4" t="s">
        <v>452</v>
      </c>
      <c r="B358" s="4" t="s">
        <v>456</v>
      </c>
      <c r="C358" s="5" t="str">
        <f>IFERROR(__xludf.DUMMYFUNCTION("GOOGLETRANSLATE(B358,""en"",""es-ES"")"),"La rutina termina y todos corren por el escenario con los dedos espirituales antes de abandonar el escenario.")</f>
        <v>La rutina termina y todos corren por el escenario con los dedos espirituales antes de abandonar el escenario.</v>
      </c>
    </row>
    <row r="359">
      <c r="A359" s="4" t="s">
        <v>457</v>
      </c>
      <c r="B359" s="4" t="s">
        <v>458</v>
      </c>
      <c r="C359" s="5" t="str">
        <f>IFERROR(__xludf.DUMMYFUNCTION("GOOGLETRANSLATE(B359,""en"",""es-ES"")"),"La música se reproduce mientras los surfistas montan en las olas.")</f>
        <v>La música se reproduce mientras los surfistas montan en las olas.</v>
      </c>
    </row>
    <row r="360">
      <c r="A360" s="4" t="s">
        <v>457</v>
      </c>
      <c r="B360" s="4" t="s">
        <v>459</v>
      </c>
      <c r="C360" s="5" t="str">
        <f>IFERROR(__xludf.DUMMYFUNCTION("GOOGLETRANSLATE(B360,""en"",""es-ES"")"),"Se muestra a algunos hombres preparándose para surfear, preparar su tabla y vestirse.")</f>
        <v>Se muestra a algunos hombres preparándose para surfear, preparar su tabla y vestirse.</v>
      </c>
    </row>
    <row r="361">
      <c r="A361" s="4" t="s">
        <v>457</v>
      </c>
      <c r="B361" s="4" t="s">
        <v>460</v>
      </c>
      <c r="C361" s="5" t="str">
        <f>IFERROR(__xludf.DUMMYFUNCTION("GOOGLETRANSLATE(B361,""en"",""es-ES"")"),"Un helicóptero cabalga sobre la costa donde viajan los surfistas.")</f>
        <v>Un helicóptero cabalga sobre la costa donde viajan los surfistas.</v>
      </c>
    </row>
    <row r="362">
      <c r="A362" s="4" t="s">
        <v>457</v>
      </c>
      <c r="B362" s="4" t="s">
        <v>461</v>
      </c>
      <c r="C362" s="5" t="str">
        <f>IFERROR(__xludf.DUMMYFUNCTION("GOOGLETRANSLATE(B362,""en"",""es-ES"")"),"Una pareja se ríe juntas en la playa en una tienda de campaña esperando más surf.")</f>
        <v>Una pareja se ríe juntas en la playa en una tienda de campaña esperando más surf.</v>
      </c>
    </row>
    <row r="363">
      <c r="A363" s="4" t="s">
        <v>457</v>
      </c>
      <c r="B363" s="4" t="s">
        <v>462</v>
      </c>
      <c r="C363" s="5" t="str">
        <f>IFERROR(__xludf.DUMMYFUNCTION("GOOGLETRANSLATE(B363,""en"",""es-ES"")"),"Luego se muestra a un hombre preparando su tabla con cera de surf.")</f>
        <v>Luego se muestra a un hombre preparando su tabla con cera de surf.</v>
      </c>
    </row>
    <row r="364">
      <c r="A364" s="4" t="s">
        <v>457</v>
      </c>
      <c r="B364" s="4" t="s">
        <v>463</v>
      </c>
      <c r="C364" s="5" t="str">
        <f>IFERROR(__xludf.DUMMYFUNCTION("GOOGLETRANSLATE(B364,""en"",""es-ES"")"),"La multitud mira a otros montando olas.")</f>
        <v>La multitud mira a otros montando olas.</v>
      </c>
    </row>
    <row r="365">
      <c r="A365" s="4" t="s">
        <v>457</v>
      </c>
      <c r="B365" s="4" t="s">
        <v>464</v>
      </c>
      <c r="C365" s="5" t="str">
        <f>IFERROR(__xludf.DUMMYFUNCTION("GOOGLETRANSLATE(B365,""en"",""es-ES"")"),"La multitud aplaude a los múltiples el surf corre.")</f>
        <v>La multitud aplaude a los múltiples el surf corre.</v>
      </c>
    </row>
    <row r="366">
      <c r="A366" s="4" t="s">
        <v>457</v>
      </c>
      <c r="B366" s="4" t="s">
        <v>465</v>
      </c>
      <c r="C366" s="5" t="str">
        <f>IFERROR(__xludf.DUMMYFUNCTION("GOOGLETRANSLATE(B366,""en"",""es-ES"")"),"Kelly Slater aparece en una carrera exitosa, seguida de más clips montando las olas.")</f>
        <v>Kelly Slater aparece en una carrera exitosa, seguida de más clips montando las olas.</v>
      </c>
    </row>
    <row r="367">
      <c r="A367" s="4" t="s">
        <v>457</v>
      </c>
      <c r="B367" s="4" t="s">
        <v>466</v>
      </c>
      <c r="C367" s="5" t="str">
        <f>IFERROR(__xludf.DUMMYFUNCTION("GOOGLETRANSLATE(B367,""en"",""es-ES"")"),"Kelly Slater se detiene a Mid Wave para concluir la historia.")</f>
        <v>Kelly Slater se detiene a Mid Wave para concluir la historia.</v>
      </c>
    </row>
    <row r="368">
      <c r="A368" s="4" t="s">
        <v>457</v>
      </c>
      <c r="B368" s="4" t="s">
        <v>467</v>
      </c>
      <c r="C368" s="5" t="str">
        <f>IFERROR(__xludf.DUMMYFUNCTION("GOOGLETRANSLATE(B368,""en"",""es-ES"")"),"Luego se muestran créditos de música y productores.")</f>
        <v>Luego se muestran créditos de música y productores.</v>
      </c>
    </row>
    <row r="369">
      <c r="A369" s="4" t="s">
        <v>468</v>
      </c>
      <c r="B369" s="4" t="s">
        <v>469</v>
      </c>
      <c r="C369" s="5" t="str">
        <f>IFERROR(__xludf.DUMMYFUNCTION("GOOGLETRANSLATE(B369,""en"",""es-ES"")"),"Vemos un título dorado en una pantalla negra.")</f>
        <v>Vemos un título dorado en una pantalla negra.</v>
      </c>
    </row>
    <row r="370">
      <c r="A370" s="4" t="s">
        <v>468</v>
      </c>
      <c r="B370" s="4" t="s">
        <v>470</v>
      </c>
      <c r="C370" s="5" t="str">
        <f>IFERROR(__xludf.DUMMYFUNCTION("GOOGLETRANSLATE(B370,""en"",""es-ES"")"),"Un hombre está jugando una armónica mientras las flechas apuntan a números por encima de él.")</f>
        <v>Un hombre está jugando una armónica mientras las flechas apuntan a números por encima de él.</v>
      </c>
    </row>
    <row r="371">
      <c r="A371" s="4" t="s">
        <v>468</v>
      </c>
      <c r="B371" s="4" t="s">
        <v>471</v>
      </c>
      <c r="C371" s="5" t="str">
        <f>IFERROR(__xludf.DUMMYFUNCTION("GOOGLETRANSLATE(B371,""en"",""es-ES"")"),"Vemos otra pantalla de título y más flechas en los números.")</f>
        <v>Vemos otra pantalla de título y más flechas en los números.</v>
      </c>
    </row>
    <row r="372">
      <c r="A372" s="4" t="s">
        <v>468</v>
      </c>
      <c r="B372" s="4" t="s">
        <v>472</v>
      </c>
      <c r="C372" s="5" t="str">
        <f>IFERROR(__xludf.DUMMYFUNCTION("GOOGLETRANSLATE(B372,""en"",""es-ES"")"),"La pantalla del título regresa y el hombre juega con las flechas sobre él nuevamente.")</f>
        <v>La pantalla del título regresa y el hombre juega con las flechas sobre él nuevamente.</v>
      </c>
    </row>
    <row r="373">
      <c r="A373" s="4" t="s">
        <v>468</v>
      </c>
      <c r="B373" s="4" t="s">
        <v>473</v>
      </c>
      <c r="C373" s="5" t="str">
        <f>IFERROR(__xludf.DUMMYFUNCTION("GOOGLETRANSLATE(B373,""en"",""es-ES"")"),"La cuarta pantalla de título y el hombre juegan con flechas de arriba.")</f>
        <v>La cuarta pantalla de título y el hombre juegan con flechas de arriba.</v>
      </c>
    </row>
    <row r="374">
      <c r="A374" s="4" t="s">
        <v>468</v>
      </c>
      <c r="B374" s="4" t="s">
        <v>474</v>
      </c>
      <c r="C374" s="5" t="str">
        <f>IFERROR(__xludf.DUMMYFUNCTION("GOOGLETRANSLATE(B374,""en"",""es-ES"")"),"El nombre aparece y el video termina.")</f>
        <v>El nombre aparece y el video termina.</v>
      </c>
    </row>
    <row r="375">
      <c r="A375" s="4" t="s">
        <v>475</v>
      </c>
      <c r="B375" s="4" t="s">
        <v>476</v>
      </c>
      <c r="C375" s="5" t="str">
        <f>IFERROR(__xludf.DUMMYFUNCTION("GOOGLETRANSLATE(B375,""en"",""es-ES"")"),"Un hombre se pone un casco con una cámara montada sobre ella.")</f>
        <v>Un hombre se pone un casco con una cámara montada sobre ella.</v>
      </c>
    </row>
    <row r="376">
      <c r="A376" s="4" t="s">
        <v>475</v>
      </c>
      <c r="B376" s="4" t="s">
        <v>477</v>
      </c>
      <c r="C376" s="5" t="str">
        <f>IFERROR(__xludf.DUMMYFUNCTION("GOOGLETRANSLATE(B376,""en"",""es-ES"")"),"El hombre participa en un partido de lacrosse con la grabación de la cámara en la perspectiva en primera persona.")</f>
        <v>El hombre participa en un partido de lacrosse con la grabación de la cámara en la perspectiva en primera persona.</v>
      </c>
    </row>
    <row r="377">
      <c r="A377" s="4" t="s">
        <v>475</v>
      </c>
      <c r="B377" s="4" t="s">
        <v>478</v>
      </c>
      <c r="C377" s="5" t="str">
        <f>IFERROR(__xludf.DUMMYFUNCTION("GOOGLETRANSLATE(B377,""en"",""es-ES"")"),"El hombre hace un disparo exitoso a puerta y los cinco, un compañero de equipo.")</f>
        <v>El hombre hace un disparo exitoso a puerta y los cinco, un compañero de equipo.</v>
      </c>
    </row>
    <row r="378">
      <c r="A378" s="4" t="s">
        <v>475</v>
      </c>
      <c r="B378" s="4" t="s">
        <v>479</v>
      </c>
      <c r="C378" s="5" t="str">
        <f>IFERROR(__xludf.DUMMYFUNCTION("GOOGLETRANSLATE(B378,""en"",""es-ES"")"),"Los dos equipos se dan la mano después del juego.")</f>
        <v>Los dos equipos se dan la mano después del juego.</v>
      </c>
    </row>
    <row r="379">
      <c r="A379" s="4" t="s">
        <v>475</v>
      </c>
      <c r="B379" s="4" t="s">
        <v>480</v>
      </c>
      <c r="C379" s="5" t="str">
        <f>IFERROR(__xludf.DUMMYFUNCTION("GOOGLETRANSLATE(B379,""en"",""es-ES"")"),"El hombre camina hacia un grupo de personas vestidas de negro.")</f>
        <v>El hombre camina hacia un grupo de personas vestidas de negro.</v>
      </c>
    </row>
    <row r="380">
      <c r="A380" s="4" t="s">
        <v>481</v>
      </c>
      <c r="B380" s="4" t="s">
        <v>482</v>
      </c>
      <c r="C380" s="5" t="str">
        <f>IFERROR(__xludf.DUMMYFUNCTION("GOOGLETRANSLATE(B380,""en"",""es-ES"")"),"Se ve a un niño pequeño trepando en un camello y una mujer frente a él.")</f>
        <v>Se ve a un niño pequeño trepando en un camello y una mujer frente a él.</v>
      </c>
    </row>
    <row r="381">
      <c r="A381" s="4" t="s">
        <v>481</v>
      </c>
      <c r="B381" s="4" t="s">
        <v>483</v>
      </c>
      <c r="C381" s="5" t="str">
        <f>IFERROR(__xludf.DUMMYFUNCTION("GOOGLETRANSLATE(B381,""en"",""es-ES"")"),"Un hombre se para el camello sobre sus piernas y camina por el área.")</f>
        <v>Un hombre se para el camello sobre sus piernas y camina por el área.</v>
      </c>
    </row>
    <row r="382">
      <c r="A382" s="4" t="s">
        <v>481</v>
      </c>
      <c r="B382" s="4" t="s">
        <v>484</v>
      </c>
      <c r="C382" s="5" t="str">
        <f>IFERROR(__xludf.DUMMYFUNCTION("GOOGLETRANSLATE(B382,""en"",""es-ES"")"),"El hombre continúa caminando con los camellos mientras la cámara se mueve hacia sus movimientos.")</f>
        <v>El hombre continúa caminando con los camellos mientras la cámara se mueve hacia sus movimientos.</v>
      </c>
    </row>
    <row r="383">
      <c r="A383" s="4" t="s">
        <v>485</v>
      </c>
      <c r="B383" s="4" t="s">
        <v>486</v>
      </c>
      <c r="C383" s="5" t="str">
        <f>IFERROR(__xludf.DUMMYFUNCTION("GOOGLETRANSLATE(B383,""en"",""es-ES"")"),"Una introducción conduce a un hombre en mujeres sentados junto a una piscina y a hablar.")</f>
        <v>Una introducción conduce a un hombre en mujeres sentados junto a una piscina y a hablar.</v>
      </c>
    </row>
    <row r="384">
      <c r="A384" s="4" t="s">
        <v>485</v>
      </c>
      <c r="B384" s="4" t="s">
        <v>487</v>
      </c>
      <c r="C384" s="5" t="str">
        <f>IFERROR(__xludf.DUMMYFUNCTION("GOOGLETRANSLATE(B384,""en"",""es-ES"")"),"Luego se muestra a las personas bajo el agua con equipo de buceo y enseñando señales de mano mientras el hombre habla con la cámara sobre la superficie.")</f>
        <v>Luego se muestra a las personas bajo el agua con equipo de buceo y enseñando señales de mano mientras el hombre habla con la cámara sobre la superficie.</v>
      </c>
    </row>
    <row r="385">
      <c r="A385" s="4" t="s">
        <v>488</v>
      </c>
      <c r="B385" s="4" t="s">
        <v>489</v>
      </c>
      <c r="C385" s="5" t="str">
        <f>IFERROR(__xludf.DUMMYFUNCTION("GOOGLETRANSLATE(B385,""en"",""es-ES"")"),"Se ve a una persona en varios disparos que viajan en una canoa y sonreír a lo lejos.")</f>
        <v>Se ve a una persona en varios disparos que viajan en una canoa y sonreír a lo lejos.</v>
      </c>
    </row>
    <row r="386">
      <c r="A386" s="4" t="s">
        <v>488</v>
      </c>
      <c r="B386" s="4" t="s">
        <v>490</v>
      </c>
      <c r="C386" s="5" t="str">
        <f>IFERROR(__xludf.DUMMYFUNCTION("GOOGLETRANSLATE(B386,""en"",""es-ES"")"),"Se ve a otra persona sentada en una canoa y demuestra cómo darse la vuelta correctamente.")</f>
        <v>Se ve a otra persona sentada en una canoa y demuestra cómo darse la vuelta correctamente.</v>
      </c>
    </row>
    <row r="387">
      <c r="A387" s="4" t="s">
        <v>488</v>
      </c>
      <c r="B387" s="4" t="s">
        <v>491</v>
      </c>
      <c r="C387" s="5" t="str">
        <f>IFERROR(__xludf.DUMMYFUNCTION("GOOGLETRANSLATE(B387,""en"",""es-ES"")"),"El hombre continúa moviéndose a lo largo del agua moviendo su paleta mientras la cámara captura sus movimientos.")</f>
        <v>El hombre continúa moviéndose a lo largo del agua moviendo su paleta mientras la cámara captura sus movimientos.</v>
      </c>
    </row>
    <row r="388">
      <c r="A388" s="4" t="s">
        <v>492</v>
      </c>
      <c r="B388" s="4" t="s">
        <v>493</v>
      </c>
      <c r="C388" s="5" t="str">
        <f>IFERROR(__xludf.DUMMYFUNCTION("GOOGLETRANSLATE(B388,""en"",""es-ES"")"),"Un grupo de hombres cabalga sobre caballos mientras llevan palos grandes y los sostienen en el aire.")</f>
        <v>Un grupo de hombres cabalga sobre caballos mientras llevan palos grandes y los sostienen en el aire.</v>
      </c>
    </row>
    <row r="389">
      <c r="A389" s="4" t="s">
        <v>492</v>
      </c>
      <c r="B389" s="4" t="s">
        <v>494</v>
      </c>
      <c r="C389" s="5" t="str">
        <f>IFERROR(__xludf.DUMMYFUNCTION("GOOGLETRANSLATE(B389,""en"",""es-ES"")"),"Un hombre se acerca al camarógrafo y cerca de la multitud por unos momentos.")</f>
        <v>Un hombre se acerca al camarógrafo y cerca de la multitud por unos momentos.</v>
      </c>
    </row>
    <row r="390">
      <c r="A390" s="4" t="s">
        <v>492</v>
      </c>
      <c r="B390" s="4" t="s">
        <v>495</v>
      </c>
      <c r="C390" s="5" t="str">
        <f>IFERROR(__xludf.DUMMYFUNCTION("GOOGLETRANSLATE(B390,""en"",""es-ES"")"),"El hombre de los caballos regresa al establo para esperar su regreso, y finalmente regresa al ring.")</f>
        <v>El hombre de los caballos regresa al establo para esperar su regreso, y finalmente regresa al ring.</v>
      </c>
    </row>
    <row r="391">
      <c r="A391" s="4" t="s">
        <v>496</v>
      </c>
      <c r="B391" s="4" t="s">
        <v>497</v>
      </c>
      <c r="C391" s="5" t="str">
        <f>IFERROR(__xludf.DUMMYFUNCTION("GOOGLETRANSLATE(B391,""en"",""es-ES"")"),"Un hombre sale a un lado en un césped y comienza a mover los brazos y las piernas.")</f>
        <v>Un hombre sale a un lado en un césped y comienza a mover los brazos y las piernas.</v>
      </c>
    </row>
    <row r="392">
      <c r="A392" s="4" t="s">
        <v>496</v>
      </c>
      <c r="B392" s="4" t="s">
        <v>498</v>
      </c>
      <c r="C392" s="5" t="str">
        <f>IFERROR(__xludf.DUMMYFUNCTION("GOOGLETRANSLATE(B392,""en"",""es-ES"")"),"Lentamente mueve los brazos en varios movimientos mientras pisa de lado a lado.")</f>
        <v>Lentamente mueve los brazos en varios movimientos mientras pisa de lado a lado.</v>
      </c>
    </row>
    <row r="393">
      <c r="A393" s="4" t="s">
        <v>496</v>
      </c>
      <c r="B393" s="4" t="s">
        <v>499</v>
      </c>
      <c r="C393" s="5" t="str">
        <f>IFERROR(__xludf.DUMMYFUNCTION("GOOGLETRANSLATE(B393,""en"",""es-ES"")"),"Él mueve las piernas y sus brazos continuamente siguiendo hasta que termina la actuación.")</f>
        <v>Él mueve las piernas y sus brazos continuamente siguiendo hasta que termina la actuación.</v>
      </c>
    </row>
    <row r="394">
      <c r="A394" s="4" t="s">
        <v>500</v>
      </c>
      <c r="B394" s="4" t="s">
        <v>501</v>
      </c>
      <c r="C394" s="5" t="str">
        <f>IFERROR(__xludf.DUMMYFUNCTION("GOOGLETRANSLATE(B394,""en"",""es-ES"")"),"La persona con camisa negra está tocando la batería.")</f>
        <v>La persona con camisa negra está tocando la batería.</v>
      </c>
    </row>
    <row r="395">
      <c r="A395" s="4" t="s">
        <v>500</v>
      </c>
      <c r="B395" s="4" t="s">
        <v>502</v>
      </c>
      <c r="C395" s="5" t="str">
        <f>IFERROR(__xludf.DUMMYFUNCTION("GOOGLETRANSLATE(B395,""en"",""es-ES"")"),"La cámara se acercó a la batería mientras la persona continúa tocando.")</f>
        <v>La cámara se acercó a la batería mientras la persona continúa tocando.</v>
      </c>
    </row>
    <row r="396">
      <c r="A396" s="4" t="s">
        <v>500</v>
      </c>
      <c r="B396" s="4" t="s">
        <v>503</v>
      </c>
      <c r="C396" s="5" t="str">
        <f>IFERROR(__xludf.DUMMYFUNCTION("GOOGLETRANSLATE(B396,""en"",""es-ES"")"),"La cámara cambió a la vista mirando hacia abajo la batería.")</f>
        <v>La cámara cambió a la vista mirando hacia abajo la batería.</v>
      </c>
    </row>
    <row r="397">
      <c r="A397" s="4" t="s">
        <v>504</v>
      </c>
      <c r="B397" s="4" t="s">
        <v>505</v>
      </c>
      <c r="C397" s="5" t="str">
        <f>IFERROR(__xludf.DUMMYFUNCTION("GOOGLETRANSLATE(B397,""en"",""es-ES"")"),"Una persona arroja un disco con un palo, el disco llega a un triángulo en el piso donde se encuentran dos personas.")</f>
        <v>Una persona arroja un disco con un palo, el disco llega a un triángulo en el piso donde se encuentran dos personas.</v>
      </c>
    </row>
    <row r="398">
      <c r="A398" s="4" t="s">
        <v>504</v>
      </c>
      <c r="B398" s="4" t="s">
        <v>506</v>
      </c>
      <c r="C398" s="5" t="str">
        <f>IFERROR(__xludf.DUMMYFUNCTION("GOOGLETRANSLATE(B398,""en"",""es-ES"")"),"Luego, otro disco se desliza en el piso para detenerse dentro del triángulo.")</f>
        <v>Luego, otro disco se desliza en el piso para detenerse dentro del triángulo.</v>
      </c>
    </row>
    <row r="399">
      <c r="A399" s="4" t="s">
        <v>504</v>
      </c>
      <c r="B399" s="4" t="s">
        <v>507</v>
      </c>
      <c r="C399" s="5" t="str">
        <f>IFERROR(__xludf.DUMMYFUNCTION("GOOGLETRANSLATE(B399,""en"",""es-ES"")"),"Después, la persona arroja otro disco que se detiene dentro del triángulo.")</f>
        <v>Después, la persona arroja otro disco que se detiene dentro del triángulo.</v>
      </c>
    </row>
    <row r="400">
      <c r="A400" s="4" t="s">
        <v>504</v>
      </c>
      <c r="B400" s="4" t="s">
        <v>508</v>
      </c>
      <c r="C400" s="5" t="str">
        <f>IFERROR(__xludf.DUMMYFUNCTION("GOOGLETRANSLATE(B400,""en"",""es-ES"")"),"Las reglas, oh, el juego de shuffleboard se muestra en un tablero.")</f>
        <v>Las reglas, oh, el juego de shuffleboard se muestra en un tablero.</v>
      </c>
    </row>
    <row r="401">
      <c r="A401" s="4" t="s">
        <v>509</v>
      </c>
      <c r="B401" s="4" t="s">
        <v>510</v>
      </c>
      <c r="C401" s="5" t="str">
        <f>IFERROR(__xludf.DUMMYFUNCTION("GOOGLETRANSLATE(B401,""en"",""es-ES"")"),"Las bolas de pintura volan a los hombres frente a una tienda de campaña.")</f>
        <v>Las bolas de pintura volan a los hombres frente a una tienda de campaña.</v>
      </c>
    </row>
    <row r="402">
      <c r="A402" s="4" t="s">
        <v>509</v>
      </c>
      <c r="B402" s="4" t="s">
        <v>511</v>
      </c>
      <c r="C402" s="5" t="str">
        <f>IFERROR(__xludf.DUMMYFUNCTION("GOOGLETRANSLATE(B402,""en"",""es-ES"")"),"Los hombres vuelven a la tienda.")</f>
        <v>Los hombres vuelven a la tienda.</v>
      </c>
    </row>
    <row r="403">
      <c r="A403" s="4" t="s">
        <v>509</v>
      </c>
      <c r="B403" s="4" t="s">
        <v>512</v>
      </c>
      <c r="C403" s="5" t="str">
        <f>IFERROR(__xludf.DUMMYFUNCTION("GOOGLETRANSLATE(B403,""en"",""es-ES"")"),"La gente se está preparando para la competencia de paintball.")</f>
        <v>La gente se está preparando para la competencia de paintball.</v>
      </c>
    </row>
    <row r="404">
      <c r="A404" s="4" t="s">
        <v>509</v>
      </c>
      <c r="B404" s="4" t="s">
        <v>513</v>
      </c>
      <c r="C404" s="5" t="str">
        <f>IFERROR(__xludf.DUMMYFUNCTION("GOOGLETRANSLATE(B404,""en"",""es-ES"")"),"Las bolas de pintura salen de la boca de un hombre.")</f>
        <v>Las bolas de pintura salen de la boca de un hombre.</v>
      </c>
    </row>
    <row r="405">
      <c r="A405" s="4" t="s">
        <v>509</v>
      </c>
      <c r="B405" s="4" t="s">
        <v>514</v>
      </c>
      <c r="C405" s="5" t="str">
        <f>IFERROR(__xludf.DUMMYFUNCTION("GOOGLETRANSLATE(B405,""en"",""es-ES"")"),"El sol se esta poniendo.")</f>
        <v>El sol se esta poniendo.</v>
      </c>
    </row>
    <row r="406">
      <c r="A406" s="4" t="s">
        <v>515</v>
      </c>
      <c r="B406" s="4" t="s">
        <v>516</v>
      </c>
      <c r="C406" s="5" t="str">
        <f>IFERROR(__xludf.DUMMYFUNCTION("GOOGLETRANSLATE(B406,""en"",""es-ES"")"),"Una introducción conduce a varios clips de una persona que levanta pesas pesadas sobre sus hombros y sus brazos por todas partes.")</f>
        <v>Una introducción conduce a varios clips de una persona que levanta pesas pesadas sobre sus hombros y sus brazos por todas partes.</v>
      </c>
    </row>
    <row r="407">
      <c r="A407" s="4" t="s">
        <v>515</v>
      </c>
      <c r="B407" s="4" t="s">
        <v>517</v>
      </c>
      <c r="C407" s="5" t="str">
        <f>IFERROR(__xludf.DUMMYFUNCTION("GOOGLETRANSLATE(B407,""en"",""es-ES"")"),"Se muestran más tomas de atletas que realizan acrobacias impresionantes mientras miran a lo lejos y las personas que miden sus lanzamientos.")</f>
        <v>Se muestran más tomas de atletas que realizan acrobacias impresionantes mientras miran a lo lejos y las personas que miden sus lanzamientos.</v>
      </c>
    </row>
    <row r="408">
      <c r="A408" s="4" t="s">
        <v>518</v>
      </c>
      <c r="B408" s="4" t="s">
        <v>519</v>
      </c>
      <c r="C408" s="5" t="str">
        <f>IFERROR(__xludf.DUMMYFUNCTION("GOOGLETRANSLATE(B408,""en"",""es-ES"")"),"Un hombre está tocando platillos bajo una luz brillante en un escenario.")</f>
        <v>Un hombre está tocando platillos bajo una luz brillante en un escenario.</v>
      </c>
    </row>
    <row r="409">
      <c r="A409" s="4" t="s">
        <v>518</v>
      </c>
      <c r="B409" s="4" t="s">
        <v>520</v>
      </c>
      <c r="C409" s="5" t="str">
        <f>IFERROR(__xludf.DUMMYFUNCTION("GOOGLETRANSLATE(B409,""en"",""es-ES"")"),"Se le une una mujer en un bombo.")</f>
        <v>Se le une una mujer en un bombo.</v>
      </c>
    </row>
    <row r="410">
      <c r="A410" s="4" t="s">
        <v>518</v>
      </c>
      <c r="B410" s="4" t="s">
        <v>521</v>
      </c>
      <c r="C410" s="5" t="str">
        <f>IFERROR(__xludf.DUMMYFUNCTION("GOOGLETRANSLATE(B410,""en"",""es-ES"")"),"Luego se les une otros bateristas, y un hombre en un gran conjunto en el fondo.")</f>
        <v>Luego se les une otros bateristas, y un hombre en un gran conjunto en el fondo.</v>
      </c>
    </row>
    <row r="411">
      <c r="A411" s="4" t="s">
        <v>518</v>
      </c>
      <c r="B411" s="4" t="s">
        <v>522</v>
      </c>
      <c r="C411" s="5" t="str">
        <f>IFERROR(__xludf.DUMMYFUNCTION("GOOGLETRANSLATE(B411,""en"",""es-ES"")"),"Las luces parpadean mientras funcionan al unísono.")</f>
        <v>Las luces parpadean mientras funcionan al unísono.</v>
      </c>
    </row>
    <row r="412">
      <c r="A412" s="4" t="s">
        <v>523</v>
      </c>
      <c r="B412" s="4" t="s">
        <v>524</v>
      </c>
      <c r="C412" s="5" t="str">
        <f>IFERROR(__xludf.DUMMYFUNCTION("GOOGLETRANSLATE(B412,""en"",""es-ES"")"),"Se está mostrando un montaje de corredores de toros.")</f>
        <v>Se está mostrando un montaje de corredores de toros.</v>
      </c>
    </row>
    <row r="413">
      <c r="A413" s="4" t="s">
        <v>523</v>
      </c>
      <c r="B413" s="4" t="s">
        <v>525</v>
      </c>
      <c r="C413" s="5" t="str">
        <f>IFERROR(__xludf.DUMMYFUNCTION("GOOGLETRANSLATE(B413,""en"",""es-ES"")"),"El Matador está siendo golpeado por el toro, mientras que otros matadores intentan distraer el toro.")</f>
        <v>El Matador está siendo golpeado por el toro, mientras que otros matadores intentan distraer el toro.</v>
      </c>
    </row>
    <row r="414">
      <c r="A414" s="4" t="s">
        <v>526</v>
      </c>
      <c r="B414" s="4" t="s">
        <v>527</v>
      </c>
      <c r="C414" s="5" t="str">
        <f>IFERROR(__xludf.DUMMYFUNCTION("GOOGLETRANSLATE(B414,""en"",""es-ES"")"),"Una mujer con los ojos vendados en un patio y balanceándose a una piñata que se movía.")</f>
        <v>Una mujer con los ojos vendados en un patio y balanceándose a una piñata que se movía.</v>
      </c>
    </row>
    <row r="415">
      <c r="A415" s="4" t="s">
        <v>526</v>
      </c>
      <c r="B415" s="4" t="s">
        <v>528</v>
      </c>
      <c r="C415" s="5" t="str">
        <f>IFERROR(__xludf.DUMMYFUNCTION("GOOGLETRANSLATE(B415,""en"",""es-ES"")"),"Varias personas a su alrededor son relojes y no pueden evitar reír.")</f>
        <v>Varias personas a su alrededor son relojes y no pueden evitar reír.</v>
      </c>
    </row>
    <row r="416">
      <c r="A416" s="4" t="s">
        <v>526</v>
      </c>
      <c r="B416" s="4" t="s">
        <v>529</v>
      </c>
      <c r="C416" s="5" t="str">
        <f>IFERROR(__xludf.DUMMYFUNCTION("GOOGLETRANSLATE(B416,""en"",""es-ES"")"),"La mujer también se ríe y finalmente golpea la piñata para que los niños lo agarren.")</f>
        <v>La mujer también se ríe y finalmente golpea la piñata para que los niños lo agarren.</v>
      </c>
    </row>
    <row r="417">
      <c r="A417" s="4" t="s">
        <v>530</v>
      </c>
      <c r="B417" s="4" t="s">
        <v>531</v>
      </c>
      <c r="C417" s="5" t="str">
        <f>IFERROR(__xludf.DUMMYFUNCTION("GOOGLETRANSLATE(B417,""en"",""es-ES"")"),"Un hombre está hablando con la cámara desde un estacionamiento.")</f>
        <v>Un hombre está hablando con la cámara desde un estacionamiento.</v>
      </c>
    </row>
    <row r="418">
      <c r="A418" s="4" t="s">
        <v>530</v>
      </c>
      <c r="B418" s="4" t="s">
        <v>532</v>
      </c>
      <c r="C418" s="5" t="str">
        <f>IFERROR(__xludf.DUMMYFUNCTION("GOOGLETRANSLATE(B418,""en"",""es-ES"")"),"Corre por la calle mientras continúa hablando.")</f>
        <v>Corre por la calle mientras continúa hablando.</v>
      </c>
    </row>
    <row r="419">
      <c r="A419" s="4" t="s">
        <v>530</v>
      </c>
      <c r="B419" s="4" t="s">
        <v>533</v>
      </c>
      <c r="C419" s="5" t="str">
        <f>IFERROR(__xludf.DUMMYFUNCTION("GOOGLETRANSLATE(B419,""en"",""es-ES"")"),"Corre a varias calles de la ciudad, sin detenerse.")</f>
        <v>Corre a varias calles de la ciudad, sin detenerse.</v>
      </c>
    </row>
    <row r="420">
      <c r="A420" s="4" t="s">
        <v>534</v>
      </c>
      <c r="B420" s="4" t="s">
        <v>535</v>
      </c>
      <c r="C420" s="5" t="str">
        <f>IFERROR(__xludf.DUMMYFUNCTION("GOOGLETRANSLATE(B420,""en"",""es-ES"")"),"Un hombre está parado afuera junto a la acera cortando un juego de setos.")</f>
        <v>Un hombre está parado afuera junto a la acera cortando un juego de setos.</v>
      </c>
    </row>
    <row r="421">
      <c r="A421" s="4" t="s">
        <v>534</v>
      </c>
      <c r="B421" s="4" t="s">
        <v>536</v>
      </c>
      <c r="C421" s="5" t="str">
        <f>IFERROR(__xludf.DUMMYFUNCTION("GOOGLETRANSLATE(B421,""en"",""es-ES"")"),"Cuando termina por el costado, se mueve al frente de la planta y continúa cortando la planta.")</f>
        <v>Cuando termina por el costado, se mueve al frente de la planta y continúa cortando la planta.</v>
      </c>
    </row>
    <row r="422">
      <c r="A422" s="4" t="s">
        <v>534</v>
      </c>
      <c r="B422" s="4" t="s">
        <v>537</v>
      </c>
      <c r="C422" s="5" t="str">
        <f>IFERROR(__xludf.DUMMYFUNCTION("GOOGLETRANSLATE(B422,""en"",""es-ES"")"),"Una vez que se muestra una pequeña porción, mira la planta y luego corta el artículo en su mano.")</f>
        <v>Una vez que se muestra una pequeña porción, mira la planta y luego corta el artículo en su mano.</v>
      </c>
    </row>
    <row r="423">
      <c r="A423" s="4" t="s">
        <v>538</v>
      </c>
      <c r="B423" s="4" t="s">
        <v>539</v>
      </c>
      <c r="C423" s="5" t="str">
        <f>IFERROR(__xludf.DUMMYFUNCTION("GOOGLETRANSLATE(B423,""en"",""es-ES"")"),"Un hombre está hablando con la cámara.")</f>
        <v>Un hombre está hablando con la cámara.</v>
      </c>
    </row>
    <row r="424">
      <c r="A424" s="4" t="s">
        <v>538</v>
      </c>
      <c r="B424" s="4" t="s">
        <v>540</v>
      </c>
      <c r="C424" s="5" t="str">
        <f>IFERROR(__xludf.DUMMYFUNCTION("GOOGLETRANSLATE(B424,""en"",""es-ES"")"),"Se muestra un campo olímpico con muchas personas caminando sobre él.")</f>
        <v>Se muestra un campo olímpico con muchas personas caminando sobre él.</v>
      </c>
    </row>
    <row r="425">
      <c r="A425" s="4" t="s">
        <v>538</v>
      </c>
      <c r="B425" s="4" t="s">
        <v>541</v>
      </c>
      <c r="C425" s="5" t="str">
        <f>IFERROR(__xludf.DUMMYFUNCTION("GOOGLETRANSLATE(B425,""en"",""es-ES"")"),"El hombre corre por una tira de pista y salta a un montón de arena.")</f>
        <v>El hombre corre por una tira de pista y salta a un montón de arena.</v>
      </c>
    </row>
    <row r="426">
      <c r="A426" s="4" t="s">
        <v>538</v>
      </c>
      <c r="B426" s="4" t="s">
        <v>542</v>
      </c>
      <c r="C426" s="5" t="str">
        <f>IFERROR(__xludf.DUMMYFUNCTION("GOOGLETRANSLATE(B426,""en"",""es-ES"")"),"Tiene una bandera envuelta a su alrededor y saluda a la audiencia.")</f>
        <v>Tiene una bandera envuelta a su alrededor y saluda a la audiencia.</v>
      </c>
    </row>
    <row r="427">
      <c r="A427" s="4" t="s">
        <v>543</v>
      </c>
      <c r="B427" s="4" t="s">
        <v>544</v>
      </c>
      <c r="C427" s="5" t="str">
        <f>IFERROR(__xludf.DUMMYFUNCTION("GOOGLETRANSLATE(B427,""en"",""es-ES"")"),"La gente está en una piscina jugando waterpolo.")</f>
        <v>La gente está en una piscina jugando waterpolo.</v>
      </c>
    </row>
    <row r="428">
      <c r="A428" s="4" t="s">
        <v>543</v>
      </c>
      <c r="B428" s="4" t="s">
        <v>545</v>
      </c>
      <c r="C428" s="5" t="str">
        <f>IFERROR(__xludf.DUMMYFUNCTION("GOOGLETRANSLATE(B428,""en"",""es-ES"")"),"Un hombre con una camisa blanca camina junto a la piscina.")</f>
        <v>Un hombre con una camisa blanca camina junto a la piscina.</v>
      </c>
    </row>
    <row r="429">
      <c r="A429" s="4" t="s">
        <v>543</v>
      </c>
      <c r="B429" s="4" t="s">
        <v>546</v>
      </c>
      <c r="C429" s="5" t="str">
        <f>IFERROR(__xludf.DUMMYFUNCTION("GOOGLETRANSLATE(B429,""en"",""es-ES"")"),"Una mujer que sostiene a un perro está parado en un muelle.")</f>
        <v>Una mujer que sostiene a un perro está parado en un muelle.</v>
      </c>
    </row>
    <row r="430">
      <c r="A430" s="4" t="s">
        <v>547</v>
      </c>
      <c r="B430" s="4" t="s">
        <v>548</v>
      </c>
      <c r="C430" s="5" t="str">
        <f>IFERROR(__xludf.DUMMYFUNCTION("GOOGLETRANSLATE(B430,""en"",""es-ES"")"),"Se ve a una niña hablando con la cámara con la mano en la cadera y la lleva a sostener varios ingredientes.")</f>
        <v>Se ve a una niña hablando con la cámara con la mano en la cadera y la lleva a sostener varios ingredientes.</v>
      </c>
    </row>
    <row r="431">
      <c r="A431" s="4" t="s">
        <v>547</v>
      </c>
      <c r="B431" s="4" t="s">
        <v>549</v>
      </c>
      <c r="C431" s="5" t="str">
        <f>IFERROR(__xludf.DUMMYFUNCTION("GOOGLETRANSLATE(B431,""en"",""es-ES"")"),"Luego mezcla los ingredientes sobre una rebanada de pan y crea un sándwich mientras verta las papas fritas a un lado.")</f>
        <v>Luego mezcla los ingredientes sobre una rebanada de pan y crea un sándwich mientras verta las papas fritas a un lado.</v>
      </c>
    </row>
    <row r="432">
      <c r="A432" s="4" t="s">
        <v>547</v>
      </c>
      <c r="B432" s="4" t="s">
        <v>550</v>
      </c>
      <c r="C432" s="5" t="str">
        <f>IFERROR(__xludf.DUMMYFUNCTION("GOOGLETRANSLATE(B432,""en"",""es-ES"")"),"Luego presenta el plato mientras habla con la cámara y sostiene varios líquidos.")</f>
        <v>Luego presenta el plato mientras habla con la cámara y sostiene varios líquidos.</v>
      </c>
    </row>
    <row r="433">
      <c r="A433" s="4" t="s">
        <v>551</v>
      </c>
      <c r="B433" s="4" t="s">
        <v>552</v>
      </c>
      <c r="C433" s="5" t="str">
        <f>IFERROR(__xludf.DUMMYFUNCTION("GOOGLETRANSLATE(B433,""en"",""es-ES"")"),"Vemos a dos hombres caminando y saltando sobre puestos de salto.")</f>
        <v>Vemos a dos hombres caminando y saltando sobre puestos de salto.</v>
      </c>
    </row>
    <row r="434">
      <c r="A434" s="4" t="s">
        <v>551</v>
      </c>
      <c r="B434" s="4" t="s">
        <v>553</v>
      </c>
      <c r="C434" s="5" t="str">
        <f>IFERROR(__xludf.DUMMYFUNCTION("GOOGLETRANSLATE(B434,""en"",""es-ES"")"),"Un hombre salta por el camino, el otro como un hombre los fotografia.")</f>
        <v>Un hombre salta por el camino, el otro como un hombre los fotografia.</v>
      </c>
    </row>
    <row r="435">
      <c r="A435" s="4" t="s">
        <v>551</v>
      </c>
      <c r="B435" s="4" t="s">
        <v>554</v>
      </c>
      <c r="C435" s="5" t="str">
        <f>IFERROR(__xludf.DUMMYFUNCTION("GOOGLETRANSLATE(B435,""en"",""es-ES"")"),"Un hombre en bicicleta pasa a los hombres.")</f>
        <v>Un hombre en bicicleta pasa a los hombres.</v>
      </c>
    </row>
    <row r="436">
      <c r="A436" s="4" t="s">
        <v>551</v>
      </c>
      <c r="B436" s="4" t="s">
        <v>555</v>
      </c>
      <c r="C436" s="5" t="str">
        <f>IFERROR(__xludf.DUMMYFUNCTION("GOOGLETRANSLATE(B436,""en"",""es-ES"")"),"Cuatro bicicletas pasan a los hombres.")</f>
        <v>Cuatro bicicletas pasan a los hombres.</v>
      </c>
    </row>
    <row r="437">
      <c r="A437" s="4" t="s">
        <v>556</v>
      </c>
      <c r="B437" s="4" t="s">
        <v>557</v>
      </c>
      <c r="C437" s="5" t="str">
        <f>IFERROR(__xludf.DUMMYFUNCTION("GOOGLETRANSLATE(B437,""en"",""es-ES"")"),"Un niño salta sobre un trampolín mientras se atrapa una muñeca de peluche en los hombros en el aire.")</f>
        <v>Un niño salta sobre un trampolín mientras se atrapa una muñeca de peluche en los hombros en el aire.</v>
      </c>
    </row>
    <row r="438">
      <c r="A438" s="4" t="s">
        <v>556</v>
      </c>
      <c r="B438" s="4" t="s">
        <v>558</v>
      </c>
      <c r="C438" s="5" t="str">
        <f>IFERROR(__xludf.DUMMYFUNCTION("GOOGLETRANSLATE(B438,""en"",""es-ES"")"),"El niño recurre y aterriza de espaldas en el trampolín.")</f>
        <v>El niño recurre y aterriza de espaldas en el trampolín.</v>
      </c>
    </row>
    <row r="439">
      <c r="A439" s="4" t="s">
        <v>556</v>
      </c>
      <c r="B439" s="4" t="s">
        <v>559</v>
      </c>
      <c r="C439" s="5" t="str">
        <f>IFERROR(__xludf.DUMMYFUNCTION("GOOGLETRANSLATE(B439,""en"",""es-ES"")"),"El niño salta y atrapa la muñeca y la golpea entre sus piernas en el trampolín.")</f>
        <v>El niño salta y atrapa la muñeca y la golpea entre sus piernas en el trampolín.</v>
      </c>
    </row>
    <row r="440">
      <c r="A440" s="4" t="s">
        <v>556</v>
      </c>
      <c r="B440" s="4" t="s">
        <v>560</v>
      </c>
      <c r="C440" s="5" t="str">
        <f>IFERROR(__xludf.DUMMYFUNCTION("GOOGLETRANSLATE(B440,""en"",""es-ES"")"),"El niño pierde tratando de atrapar la muñeca y cae en el trampolín.")</f>
        <v>El niño pierde tratando de atrapar la muñeca y cae en el trampolín.</v>
      </c>
    </row>
    <row r="441">
      <c r="A441" s="4" t="s">
        <v>561</v>
      </c>
      <c r="B441" s="4" t="s">
        <v>562</v>
      </c>
      <c r="C441" s="5" t="str">
        <f>IFERROR(__xludf.DUMMYFUNCTION("GOOGLETRANSLATE(B441,""en"",""es-ES"")"),"Se ve a dos personas hablando entre sí mientras están parados en los muelles y hablan con la cámara.")</f>
        <v>Se ve a dos personas hablando entre sí mientras están parados en los muelles y hablan con la cámara.</v>
      </c>
    </row>
    <row r="442">
      <c r="A442" s="4" t="s">
        <v>561</v>
      </c>
      <c r="B442" s="4" t="s">
        <v>563</v>
      </c>
      <c r="C442" s="5" t="str">
        <f>IFERROR(__xludf.DUMMYFUNCTION("GOOGLETRANSLATE(B442,""en"",""es-ES"")"),"Las personas se divierten alrededor de los que se cortan el pelo, comiendo comida y el hombre preparando un bote.")</f>
        <v>Las personas se divierten alrededor de los que se cortan el pelo, comiendo comida y el hombre preparando un bote.</v>
      </c>
    </row>
    <row r="443">
      <c r="A443" s="4" t="s">
        <v>561</v>
      </c>
      <c r="B443" s="4" t="s">
        <v>564</v>
      </c>
      <c r="C443" s="5" t="str">
        <f>IFERROR(__xludf.DUMMYFUNCTION("GOOGLETRANSLATE(B443,""en"",""es-ES"")"),"Se muestran varias tomas de una cocina, así como a las personas que viajan en el bote y aún siguen hablando con la cámara.")</f>
        <v>Se muestran varias tomas de una cocina, así como a las personas que viajan en el bote y aún siguen hablando con la cámara.</v>
      </c>
    </row>
    <row r="444">
      <c r="A444" s="4" t="s">
        <v>565</v>
      </c>
      <c r="B444" s="4" t="s">
        <v>566</v>
      </c>
      <c r="C444" s="5" t="str">
        <f>IFERROR(__xludf.DUMMYFUNCTION("GOOGLETRANSLATE(B444,""en"",""es-ES"")"),"Se muestra el nombre del negocio.")</f>
        <v>Se muestra el nombre del negocio.</v>
      </c>
    </row>
    <row r="445">
      <c r="A445" s="4" t="s">
        <v>565</v>
      </c>
      <c r="B445" s="4" t="s">
        <v>567</v>
      </c>
      <c r="C445" s="5" t="str">
        <f>IFERROR(__xludf.DUMMYFUNCTION("GOOGLETRANSLATE(B445,""en"",""es-ES"")"),"Una persona está trenzando el cabello de un cliente.")</f>
        <v>Una persona está trenzando el cabello de un cliente.</v>
      </c>
    </row>
    <row r="446">
      <c r="A446" s="4" t="s">
        <v>565</v>
      </c>
      <c r="B446" s="4" t="s">
        <v>568</v>
      </c>
      <c r="C446" s="5" t="str">
        <f>IFERROR(__xludf.DUMMYFUNCTION("GOOGLETRANSLATE(B446,""en"",""es-ES"")"),"Una persona está ejecutando una tijera a través de una trenza.")</f>
        <v>Una persona está ejecutando una tijera a través de una trenza.</v>
      </c>
    </row>
    <row r="447">
      <c r="A447" s="4" t="s">
        <v>565</v>
      </c>
      <c r="B447" s="4" t="s">
        <v>569</v>
      </c>
      <c r="C447" s="5" t="str">
        <f>IFERROR(__xludf.DUMMYFUNCTION("GOOGLETRANSLATE(B447,""en"",""es-ES"")"),"Una persona está aplicando barras a las trenzas.")</f>
        <v>Una persona está aplicando barras a las trenzas.</v>
      </c>
    </row>
    <row r="448">
      <c r="A448" s="4" t="s">
        <v>565</v>
      </c>
      <c r="B448" s="4" t="s">
        <v>570</v>
      </c>
      <c r="C448" s="5" t="str">
        <f>IFERROR(__xludf.DUMMYFUNCTION("GOOGLETRANSLATE(B448,""en"",""es-ES"")"),"Una persona está poniendo trenzas con cañas en agua.")</f>
        <v>Una persona está poniendo trenzas con cañas en agua.</v>
      </c>
    </row>
    <row r="449">
      <c r="A449" s="4" t="s">
        <v>565</v>
      </c>
      <c r="B449" s="4" t="s">
        <v>571</v>
      </c>
      <c r="C449" s="5" t="str">
        <f>IFERROR(__xludf.DUMMYFUNCTION("GOOGLETRANSLATE(B449,""en"",""es-ES"")"),"Un cliente con gafas de lectura está hablando.")</f>
        <v>Un cliente con gafas de lectura está hablando.</v>
      </c>
    </row>
    <row r="450">
      <c r="A450" s="4" t="s">
        <v>565</v>
      </c>
      <c r="B450" s="4" t="s">
        <v>572</v>
      </c>
      <c r="C450" s="5" t="str">
        <f>IFERROR(__xludf.DUMMYFUNCTION("GOOGLETRANSLATE(B450,""en"",""es-ES"")"),"Un cliente se va después de que se realicen trenzas.")</f>
        <v>Un cliente se va después de que se realicen trenzas.</v>
      </c>
    </row>
    <row r="451">
      <c r="A451" s="4" t="s">
        <v>565</v>
      </c>
      <c r="B451" s="4" t="s">
        <v>573</v>
      </c>
      <c r="C451" s="5" t="str">
        <f>IFERROR(__xludf.DUMMYFUNCTION("GOOGLETRANSLATE(B451,""en"",""es-ES"")"),"Se muestran los créditos del video.")</f>
        <v>Se muestran los créditos del video.</v>
      </c>
    </row>
    <row r="452">
      <c r="A452" s="4" t="s">
        <v>574</v>
      </c>
      <c r="B452" s="4" t="s">
        <v>575</v>
      </c>
      <c r="C452" s="5" t="str">
        <f>IFERROR(__xludf.DUMMYFUNCTION("GOOGLETRANSLATE(B452,""en"",""es-ES"")"),"Una mujer de pie con chaqueta atlética en un patio cubierto de hierba y boscoso.")</f>
        <v>Una mujer de pie con chaqueta atlética en un patio cubierto de hierba y boscoso.</v>
      </c>
    </row>
    <row r="453">
      <c r="A453" s="4" t="s">
        <v>574</v>
      </c>
      <c r="B453" s="4" t="s">
        <v>576</v>
      </c>
      <c r="C453" s="5" t="str">
        <f>IFERROR(__xludf.DUMMYFUNCTION("GOOGLETRANSLATE(B453,""en"",""es-ES"")"),"La mujer entra en un área de taller abierto.")</f>
        <v>La mujer entra en un área de taller abierto.</v>
      </c>
    </row>
    <row r="454">
      <c r="A454" s="4" t="s">
        <v>574</v>
      </c>
      <c r="B454" s="4" t="s">
        <v>577</v>
      </c>
      <c r="C454" s="5" t="str">
        <f>IFERROR(__xludf.DUMMYFUNCTION("GOOGLETRANSLATE(B454,""en"",""es-ES"")"),"Los registros se apilan en posición vertical en un bloque de corte.")</f>
        <v>Los registros se apilan en posición vertical en un bloque de corte.</v>
      </c>
    </row>
    <row r="455">
      <c r="A455" s="4" t="s">
        <v>574</v>
      </c>
      <c r="B455" s="4" t="s">
        <v>578</v>
      </c>
      <c r="C455" s="5" t="str">
        <f>IFERROR(__xludf.DUMMYFUNCTION("GOOGLETRANSLATE(B455,""en"",""es-ES"")"),"La mujer usa un hacha para dividir los registros por la mitad.")</f>
        <v>La mujer usa un hacha para dividir los registros por la mitad.</v>
      </c>
    </row>
    <row r="456">
      <c r="A456" s="4" t="s">
        <v>579</v>
      </c>
      <c r="B456" s="4" t="s">
        <v>580</v>
      </c>
      <c r="C456" s="5" t="str">
        <f>IFERROR(__xludf.DUMMYFUNCTION("GOOGLETRANSLATE(B456,""en"",""es-ES"")"),"Los autos conducen por la carretera con bastante rapidez.")</f>
        <v>Los autos conducen por la carretera con bastante rapidez.</v>
      </c>
    </row>
    <row r="457">
      <c r="A457" s="4" t="s">
        <v>579</v>
      </c>
      <c r="B457" s="4" t="s">
        <v>581</v>
      </c>
      <c r="C457" s="5" t="str">
        <f>IFERROR(__xludf.DUMMYFUNCTION("GOOGLETRANSLATE(B457,""en"",""es-ES"")"),"Se detienen, un hombre sale y ayuda a dos mujeres a salir.")</f>
        <v>Se detienen, un hombre sale y ayuda a dos mujeres a salir.</v>
      </c>
    </row>
    <row r="458">
      <c r="A458" s="4" t="s">
        <v>579</v>
      </c>
      <c r="B458" s="4" t="s">
        <v>582</v>
      </c>
      <c r="C458" s="5" t="str">
        <f>IFERROR(__xludf.DUMMYFUNCTION("GOOGLETRANSLATE(B458,""en"",""es-ES"")"),"Entran en un bar y arrojan una pelota a una bebida de chicas que comienzan una guerra de cerveza pong.")</f>
        <v>Entran en un bar y arrojan una pelota a una bebida de chicas que comienzan una guerra de cerveza pong.</v>
      </c>
    </row>
    <row r="459">
      <c r="A459" s="4" t="s">
        <v>579</v>
      </c>
      <c r="B459" s="4" t="s">
        <v>583</v>
      </c>
      <c r="C459" s="5" t="str">
        <f>IFERROR(__xludf.DUMMYFUNCTION("GOOGLETRANSLATE(B459,""en"",""es-ES"")"),"Se despierta en su dormitorio y luego hace clic en su iPad para comenzar un campeonato de cerveza pong.")</f>
        <v>Se despierta en su dormitorio y luego hace clic en su iPad para comenzar un campeonato de cerveza pong.</v>
      </c>
    </row>
    <row r="460">
      <c r="A460" s="4" t="s">
        <v>584</v>
      </c>
      <c r="B460" s="4" t="s">
        <v>585</v>
      </c>
      <c r="C460" s="5" t="str">
        <f>IFERROR(__xludf.DUMMYFUNCTION("GOOGLETRANSLATE(B460,""en"",""es-ES"")"),"Una joven con una chaqueta gris encendida está parada frente a un fregadero en espuma.")</f>
        <v>Una joven con una chaqueta gris encendida está parada frente a un fregadero en espuma.</v>
      </c>
    </row>
    <row r="461">
      <c r="A461" s="4" t="s">
        <v>584</v>
      </c>
      <c r="B461" s="4" t="s">
        <v>586</v>
      </c>
      <c r="C461" s="5" t="str">
        <f>IFERROR(__xludf.DUMMYFUNCTION("GOOGLETRANSLATE(B461,""en"",""es-ES"")"),"Luego enciende el agua y comienza a enjuagarse las manos y flexionar sus dedos para asegurarse de que todo el jabón esté apagado.")</f>
        <v>Luego enciende el agua y comienza a enjuagarse las manos y flexionar sus dedos para asegurarse de que todo el jabón esté apagado.</v>
      </c>
    </row>
    <row r="462">
      <c r="A462" s="4" t="s">
        <v>584</v>
      </c>
      <c r="B462" s="4" t="s">
        <v>587</v>
      </c>
      <c r="C462" s="5" t="str">
        <f>IFERROR(__xludf.DUMMYFUNCTION("GOOGLETRANSLATE(B462,""en"",""es-ES"")"),"Después de que termine, agarra una toalla blanca, seca las manos y se limpia la boca.")</f>
        <v>Después de que termine, agarra una toalla blanca, seca las manos y se limpia la boca.</v>
      </c>
    </row>
    <row r="463">
      <c r="A463" s="4" t="s">
        <v>588</v>
      </c>
      <c r="B463" s="4" t="s">
        <v>589</v>
      </c>
      <c r="C463" s="5" t="str">
        <f>IFERROR(__xludf.DUMMYFUNCTION("GOOGLETRANSLATE(B463,""en"",""es-ES"")"),"Varios percusionistas se encuentran en un campo.")</f>
        <v>Varios percusionistas se encuentran en un campo.</v>
      </c>
    </row>
    <row r="464">
      <c r="A464" s="4" t="s">
        <v>588</v>
      </c>
      <c r="B464" s="4" t="s">
        <v>590</v>
      </c>
      <c r="C464" s="5" t="str">
        <f>IFERROR(__xludf.DUMMYFUNCTION("GOOGLETRANSLATE(B464,""en"",""es-ES"")"),"Marchan en su lugar en el campo.")</f>
        <v>Marchan en su lugar en el campo.</v>
      </c>
    </row>
    <row r="465">
      <c r="A465" s="4" t="s">
        <v>588</v>
      </c>
      <c r="B465" s="4" t="s">
        <v>591</v>
      </c>
      <c r="C465" s="5" t="str">
        <f>IFERROR(__xludf.DUMMYFUNCTION("GOOGLETRANSLATE(B465,""en"",""es-ES"")"),"Están tocando en sincronización.")</f>
        <v>Están tocando en sincronización.</v>
      </c>
    </row>
    <row r="466">
      <c r="A466" s="4" t="s">
        <v>588</v>
      </c>
      <c r="B466" s="4" t="s">
        <v>592</v>
      </c>
      <c r="C466" s="5" t="str">
        <f>IFERROR(__xludf.DUMMYFUNCTION("GOOGLETRANSLATE(B466,""en"",""es-ES"")"),"Una mujer pasa con una cámara de video.")</f>
        <v>Una mujer pasa con una cámara de video.</v>
      </c>
    </row>
    <row r="467">
      <c r="A467" s="4" t="s">
        <v>593</v>
      </c>
      <c r="B467" s="4" t="s">
        <v>594</v>
      </c>
      <c r="C467" s="5" t="str">
        <f>IFERROR(__xludf.DUMMYFUNCTION("GOOGLETRANSLATE(B467,""en"",""es-ES"")"),"Una niña con varios piercings faciales su visto frotando loción por toda la cara y en polvo de las mejillas y la cara.")</f>
        <v>Una niña con varios piercings faciales su visto frotando loción por toda la cara y en polvo de las mejillas y la cara.</v>
      </c>
    </row>
    <row r="468">
      <c r="A468" s="4" t="s">
        <v>593</v>
      </c>
      <c r="B468" s="4" t="s">
        <v>595</v>
      </c>
      <c r="C468" s="5" t="str">
        <f>IFERROR(__xludf.DUMMYFUNCTION("GOOGLETRANSLATE(B468,""en"",""es-ES"")"),"Luego pone el delineador seguido de rímel y delineador de labios.")</f>
        <v>Luego pone el delineador seguido de rímel y delineador de labios.</v>
      </c>
    </row>
    <row r="469">
      <c r="A469" s="4" t="s">
        <v>593</v>
      </c>
      <c r="B469" s="4" t="s">
        <v>596</v>
      </c>
      <c r="C469" s="5" t="str">
        <f>IFERROR(__xludf.DUMMYFUNCTION("GOOGLETRANSLATE(B469,""en"",""es-ES"")"),"Ella colorea en sus cejas y se pone pestañas falsas, luego frota un poco de negro y más rímel.")</f>
        <v>Ella colorea en sus cejas y se pone pestañas falsas, luego frota un poco de negro y más rímel.</v>
      </c>
    </row>
    <row r="470">
      <c r="A470" s="4" t="s">
        <v>593</v>
      </c>
      <c r="B470" s="4" t="s">
        <v>597</v>
      </c>
      <c r="C470" s="5" t="str">
        <f>IFERROR(__xludf.DUMMYFUNCTION("GOOGLETRANSLATE(B470,""en"",""es-ES"")"),"Ella se sonroja un poco en sus mejillas y luego sonríe y saluda a la cámara.")</f>
        <v>Ella se sonroja un poco en sus mejillas y luego sonríe y saluda a la cámara.</v>
      </c>
    </row>
    <row r="471">
      <c r="A471" s="4" t="s">
        <v>598</v>
      </c>
      <c r="B471" s="4" t="s">
        <v>599</v>
      </c>
      <c r="C471" s="5" t="str">
        <f>IFERROR(__xludf.DUMMYFUNCTION("GOOGLETRANSLATE(B471,""en"",""es-ES"")"),"El hombre mira la cámara y luego vuelve a mirar en otro lugar y hablar.")</f>
        <v>El hombre mira la cámara y luego vuelve a mirar en otro lugar y hablar.</v>
      </c>
    </row>
    <row r="472">
      <c r="A472" s="4" t="s">
        <v>598</v>
      </c>
      <c r="B472" s="4" t="s">
        <v>600</v>
      </c>
      <c r="C472" s="5" t="str">
        <f>IFERROR(__xludf.DUMMYFUNCTION("GOOGLETRANSLATE(B472,""en"",""es-ES"")"),"Luego, las tazas que sostienen que tienen un líquido azul en él se colocan en sus bocas y ambas de gárgaras hasta que tienen muchas burbujas formadas en la boca.")</f>
        <v>Luego, las tazas que sostienen que tienen un líquido azul en él se colocan en sus bocas y ambas de gárgaras hasta que tienen muchas burbujas formadas en la boca.</v>
      </c>
    </row>
    <row r="473">
      <c r="A473" s="4" t="s">
        <v>601</v>
      </c>
      <c r="B473" s="4" t="s">
        <v>602</v>
      </c>
      <c r="C473" s="5" t="str">
        <f>IFERROR(__xludf.DUMMYFUNCTION("GOOGLETRANSLATE(B473,""en"",""es-ES"")"),"La gente patina en una competencia en el camino mientras se dobla y retenía los brazos hacia atrás.")</f>
        <v>La gente patina en una competencia en el camino mientras se dobla y retenía los brazos hacia atrás.</v>
      </c>
    </row>
    <row r="474">
      <c r="A474" s="4" t="s">
        <v>601</v>
      </c>
      <c r="B474" s="4" t="s">
        <v>603</v>
      </c>
      <c r="C474" s="5" t="str">
        <f>IFERROR(__xludf.DUMMYFUNCTION("GOOGLETRANSLATE(B474,""en"",""es-ES"")"),"Luego, un patinador abre sus brazos y indica a otros que avancen.")</f>
        <v>Luego, un patinador abre sus brazos y indica a otros que avancen.</v>
      </c>
    </row>
    <row r="475">
      <c r="A475" s="4" t="s">
        <v>601</v>
      </c>
      <c r="B475" s="4" t="s">
        <v>604</v>
      </c>
      <c r="C475" s="5" t="str">
        <f>IFERROR(__xludf.DUMMYFUNCTION("GOOGLETRANSLATE(B475,""en"",""es-ES"")"),"Luego, los skaters pasan en los espectadores delanteros que miran a un lado de la carretera.")</f>
        <v>Luego, los skaters pasan en los espectadores delanteros que miran a un lado de la carretera.</v>
      </c>
    </row>
    <row r="476">
      <c r="A476" s="4" t="s">
        <v>601</v>
      </c>
      <c r="B476" s="4" t="s">
        <v>605</v>
      </c>
      <c r="C476" s="5" t="str">
        <f>IFERROR(__xludf.DUMMYFUNCTION("GOOGLETRANSLATE(B476,""en"",""es-ES"")"),"La gente toma una foto a los skaters.")</f>
        <v>La gente toma una foto a los skaters.</v>
      </c>
    </row>
    <row r="477">
      <c r="A477" s="4" t="s">
        <v>601</v>
      </c>
      <c r="B477" s="4" t="s">
        <v>606</v>
      </c>
      <c r="C477" s="5" t="str">
        <f>IFERROR(__xludf.DUMMYFUNCTION("GOOGLETRANSLATE(B477,""en"",""es-ES"")"),"Un patinador cae en el camino.")</f>
        <v>Un patinador cae en el camino.</v>
      </c>
    </row>
    <row r="478">
      <c r="A478" s="4" t="s">
        <v>601</v>
      </c>
      <c r="B478" s="4" t="s">
        <v>607</v>
      </c>
      <c r="C478" s="5" t="str">
        <f>IFERROR(__xludf.DUMMYFUNCTION("GOOGLETRANSLATE(B478,""en"",""es-ES"")"),"La gente continúa el skate en el camino.")</f>
        <v>La gente continúa el skate en el camino.</v>
      </c>
    </row>
    <row r="479">
      <c r="A479" s="4" t="s">
        <v>608</v>
      </c>
      <c r="B479" s="4" t="s">
        <v>609</v>
      </c>
      <c r="C479" s="5" t="str">
        <f>IFERROR(__xludf.DUMMYFUNCTION("GOOGLETRANSLATE(B479,""en"",""es-ES"")"),"Un grupo monta caballos jugando un juego de polo en un campo.")</f>
        <v>Un grupo monta caballos jugando un juego de polo en un campo.</v>
      </c>
    </row>
    <row r="480">
      <c r="A480" s="4" t="s">
        <v>608</v>
      </c>
      <c r="B480" s="4" t="s">
        <v>610</v>
      </c>
      <c r="C480" s="5" t="str">
        <f>IFERROR(__xludf.DUMMYFUNCTION("GOOGLETRANSLATE(B480,""en"",""es-ES"")"),"El grupo lucha por la pelota y viaja en una formación apretada.")</f>
        <v>El grupo lucha por la pelota y viaja en una formación apretada.</v>
      </c>
    </row>
    <row r="481">
      <c r="A481" s="4" t="s">
        <v>608</v>
      </c>
      <c r="B481" s="4" t="s">
        <v>611</v>
      </c>
      <c r="C481" s="5" t="str">
        <f>IFERROR(__xludf.DUMMYFUNCTION("GOOGLETRANSLATE(B481,""en"",""es-ES"")"),"Un miembro del equipo se separa y se dirige hacia la meta en su caballo.")</f>
        <v>Un miembro del equipo se separa y se dirige hacia la meta en su caballo.</v>
      </c>
    </row>
    <row r="482">
      <c r="A482" s="4" t="s">
        <v>612</v>
      </c>
      <c r="B482" s="4" t="s">
        <v>613</v>
      </c>
      <c r="C482" s="5" t="str">
        <f>IFERROR(__xludf.DUMMYFUNCTION("GOOGLETRANSLATE(B482,""en"",""es-ES"")"),"Un joven está rapeando por el costado de un acantilado.")</f>
        <v>Un joven está rapeando por el costado de un acantilado.</v>
      </c>
    </row>
    <row r="483">
      <c r="A483" s="4" t="s">
        <v>612</v>
      </c>
      <c r="B483" s="4" t="s">
        <v>614</v>
      </c>
      <c r="C483" s="5" t="str">
        <f>IFERROR(__xludf.DUMMYFUNCTION("GOOGLETRANSLATE(B483,""en"",""es-ES"")"),"Otro hombre observa y ayuda desde abajo.")</f>
        <v>Otro hombre observa y ayuda desde abajo.</v>
      </c>
    </row>
    <row r="484">
      <c r="A484" s="4" t="s">
        <v>612</v>
      </c>
      <c r="B484" s="4" t="s">
        <v>615</v>
      </c>
      <c r="C484" s="5" t="str">
        <f>IFERROR(__xludf.DUMMYFUNCTION("GOOGLETRANSLATE(B484,""en"",""es-ES"")"),"El hombre continúa subiendo hasta llegar a la cima.")</f>
        <v>El hombre continúa subiendo hasta llegar a la cima.</v>
      </c>
    </row>
    <row r="485">
      <c r="A485" s="4" t="s">
        <v>616</v>
      </c>
      <c r="B485" s="4" t="s">
        <v>617</v>
      </c>
      <c r="C485" s="5" t="str">
        <f>IFERROR(__xludf.DUMMYFUNCTION("GOOGLETRANSLATE(B485,""en"",""es-ES"")"),"La gente está jugando al cricket juntos afuera.")</f>
        <v>La gente está jugando al cricket juntos afuera.</v>
      </c>
    </row>
    <row r="486">
      <c r="A486" s="4" t="s">
        <v>616</v>
      </c>
      <c r="B486" s="4" t="s">
        <v>618</v>
      </c>
      <c r="C486" s="5" t="str">
        <f>IFERROR(__xludf.DUMMYFUNCTION("GOOGLETRANSLATE(B486,""en"",""es-ES"")"),"Un grupo de personas sostiene un trofeo.")</f>
        <v>Un grupo de personas sostiene un trofeo.</v>
      </c>
    </row>
    <row r="487">
      <c r="A487" s="4" t="s">
        <v>616</v>
      </c>
      <c r="B487" s="4" t="s">
        <v>619</v>
      </c>
      <c r="C487" s="5" t="str">
        <f>IFERROR(__xludf.DUMMYFUNCTION("GOOGLETRANSLATE(B487,""en"",""es-ES"")"),"La gente camina afuera jugando al cricket.")</f>
        <v>La gente camina afuera jugando al cricket.</v>
      </c>
    </row>
    <row r="488">
      <c r="A488" s="4" t="s">
        <v>620</v>
      </c>
      <c r="B488" s="4" t="s">
        <v>621</v>
      </c>
      <c r="C488" s="5" t="str">
        <f>IFERROR(__xludf.DUMMYFUNCTION("GOOGLETRANSLATE(B488,""en"",""es-ES"")"),"Una mujer está de pie junto a un baño en bikini.")</f>
        <v>Una mujer está de pie junto a un baño en bikini.</v>
      </c>
    </row>
    <row r="489">
      <c r="A489" s="4" t="s">
        <v>620</v>
      </c>
      <c r="B489" s="4" t="s">
        <v>622</v>
      </c>
      <c r="C489" s="5" t="str">
        <f>IFERROR(__xludf.DUMMYFUNCTION("GOOGLETRANSLATE(B489,""en"",""es-ES"")"),"Un hombre está frotando protector solar sobre sus piernas.")</f>
        <v>Un hombre está frotando protector solar sobre sus piernas.</v>
      </c>
    </row>
    <row r="490">
      <c r="A490" s="4" t="s">
        <v>620</v>
      </c>
      <c r="B490" s="4" t="s">
        <v>623</v>
      </c>
      <c r="C490" s="5" t="str">
        <f>IFERROR(__xludf.DUMMYFUNCTION("GOOGLETRANSLATE(B490,""en"",""es-ES"")"),"Ella comienza a frotar su pierna.")</f>
        <v>Ella comienza a frotar su pierna.</v>
      </c>
    </row>
    <row r="491">
      <c r="A491" s="4" t="s">
        <v>624</v>
      </c>
      <c r="B491" s="4" t="s">
        <v>625</v>
      </c>
      <c r="C491" s="5" t="str">
        <f>IFERROR(__xludf.DUMMYFUNCTION("GOOGLETRANSLATE(B491,""en"",""es-ES"")"),"Se ve a una mujer hablando con la cámara mientras sostiene varios objetos.")</f>
        <v>Se ve a una mujer hablando con la cámara mientras sostiene varios objetos.</v>
      </c>
    </row>
    <row r="492">
      <c r="A492" s="4" t="s">
        <v>624</v>
      </c>
      <c r="B492" s="4" t="s">
        <v>626</v>
      </c>
      <c r="C492" s="5" t="str">
        <f>IFERROR(__xludf.DUMMYFUNCTION("GOOGLETRANSLATE(B492,""en"",""es-ES"")"),"La cinta adhesiva en el ojo y comienza a poner el delineador sobre su ojo.")</f>
        <v>La cinta adhesiva en el ojo y comienza a poner el delineador sobre su ojo.</v>
      </c>
    </row>
    <row r="493">
      <c r="A493" s="4" t="s">
        <v>624</v>
      </c>
      <c r="B493" s="4" t="s">
        <v>627</v>
      </c>
      <c r="C493" s="5" t="str">
        <f>IFERROR(__xludf.DUMMYFUNCTION("GOOGLETRANSLATE(B493,""en"",""es-ES"")"),"Ella continúa poniendo el maquillaje mientras habla con la cámara y se quita la cinta al final.")</f>
        <v>Ella continúa poniendo el maquillaje mientras habla con la cámara y se quita la cinta al final.</v>
      </c>
    </row>
    <row r="494">
      <c r="A494" s="4" t="s">
        <v>628</v>
      </c>
      <c r="B494" s="4" t="s">
        <v>629</v>
      </c>
      <c r="C494" s="5" t="str">
        <f>IFERROR(__xludf.DUMMYFUNCTION("GOOGLETRANSLATE(B494,""en"",""es-ES"")"),"El hombre que usa una camisa morada sostiene una tubería de gas.")</f>
        <v>El hombre que usa una camisa morada sostiene una tubería de gas.</v>
      </c>
    </row>
    <row r="495">
      <c r="A495" s="4" t="s">
        <v>628</v>
      </c>
      <c r="B495" s="4" t="s">
        <v>630</v>
      </c>
      <c r="C495" s="5" t="str">
        <f>IFERROR(__xludf.DUMMYFUNCTION("GOOGLETRANSLATE(B495,""en"",""es-ES"")"),"El hombre está usando la tubería para iluminar el fuego de madera.")</f>
        <v>El hombre está usando la tubería para iluminar el fuego de madera.</v>
      </c>
    </row>
    <row r="496">
      <c r="A496" s="4" t="s">
        <v>628</v>
      </c>
      <c r="B496" s="4" t="s">
        <v>631</v>
      </c>
      <c r="C496" s="5" t="str">
        <f>IFERROR(__xludf.DUMMYFUNCTION("GOOGLETRANSLATE(B496,""en"",""es-ES"")"),"El hombre está parado afuera de una casa iluminando un fuego de leña.")</f>
        <v>El hombre está parado afuera de una casa iluminando un fuego de leña.</v>
      </c>
    </row>
    <row r="497">
      <c r="A497" s="4" t="s">
        <v>632</v>
      </c>
      <c r="B497" s="4" t="s">
        <v>633</v>
      </c>
      <c r="C497" s="5" t="str">
        <f>IFERROR(__xludf.DUMMYFUNCTION("GOOGLETRANSLATE(B497,""en"",""es-ES"")"),"Se ve a un hombre parado en un campo con un perro mientras se aferra a los juguetes.")</f>
        <v>Se ve a un hombre parado en un campo con un perro mientras se aferra a los juguetes.</v>
      </c>
    </row>
    <row r="498">
      <c r="A498" s="4" t="s">
        <v>632</v>
      </c>
      <c r="B498" s="4" t="s">
        <v>634</v>
      </c>
      <c r="C498" s="5" t="str">
        <f>IFERROR(__xludf.DUMMYFUNCTION("GOOGLETRANSLATE(B498,""en"",""es-ES"")"),"El hombre luego comienza a lanzar los juguetes mientras el perro los persigue.")</f>
        <v>El hombre luego comienza a lanzar los juguetes mientras el perro los persigue.</v>
      </c>
    </row>
    <row r="499">
      <c r="A499" s="4" t="s">
        <v>632</v>
      </c>
      <c r="B499" s="4" t="s">
        <v>635</v>
      </c>
      <c r="C499" s="5" t="str">
        <f>IFERROR(__xludf.DUMMYFUNCTION("GOOGLETRANSLATE(B499,""en"",""es-ES"")"),"Los hombres continúan haciendo trucos con el perro y terminan con una imagen.")</f>
        <v>Los hombres continúan haciendo trucos con el perro y terminan con una imagen.</v>
      </c>
    </row>
    <row r="500">
      <c r="A500" s="4" t="s">
        <v>636</v>
      </c>
      <c r="B500" s="4" t="s">
        <v>637</v>
      </c>
      <c r="C500" s="5" t="str">
        <f>IFERROR(__xludf.DUMMYFUNCTION("GOOGLETRANSLATE(B500,""en"",""es-ES"")"),"Una periódica rubia mayor está leyendo una historia.")</f>
        <v>Una periódica rubia mayor está leyendo una historia.</v>
      </c>
    </row>
    <row r="501">
      <c r="A501" s="4" t="s">
        <v>636</v>
      </c>
      <c r="B501" s="4" t="s">
        <v>638</v>
      </c>
      <c r="C501" s="5" t="str">
        <f>IFERROR(__xludf.DUMMYFUNCTION("GOOGLETRANSLATE(B501,""en"",""es-ES"")"),"Se muestran varias imágenes de la historia del shuffleboard.")</f>
        <v>Se muestran varias imágenes de la historia del shuffleboard.</v>
      </c>
    </row>
    <row r="502">
      <c r="A502" s="4" t="s">
        <v>636</v>
      </c>
      <c r="B502" s="4" t="s">
        <v>639</v>
      </c>
      <c r="C502" s="5" t="str">
        <f>IFERROR(__xludf.DUMMYFUNCTION("GOOGLETRANSLATE(B502,""en"",""es-ES"")"),"Un hombre mayor es entrevistado para la cámara.")</f>
        <v>Un hombre mayor es entrevistado para la cámara.</v>
      </c>
    </row>
    <row r="503">
      <c r="A503" s="4" t="s">
        <v>636</v>
      </c>
      <c r="B503" s="4" t="s">
        <v>640</v>
      </c>
      <c r="C503" s="5" t="str">
        <f>IFERROR(__xludf.DUMMYFUNCTION("GOOGLETRANSLATE(B503,""en"",""es-ES"")"),"Se muestran varios clips de personas tocando ShuffleBoard.")</f>
        <v>Se muestran varios clips de personas tocando ShuffleBoard.</v>
      </c>
    </row>
    <row r="504">
      <c r="A504" s="4" t="s">
        <v>636</v>
      </c>
      <c r="B504" s="4" t="s">
        <v>641</v>
      </c>
      <c r="C504" s="5" t="str">
        <f>IFERROR(__xludf.DUMMYFUNCTION("GOOGLETRANSLATE(B504,""en"",""es-ES"")"),"El reportero rubio mayor termina la noticia.")</f>
        <v>El reportero rubio mayor termina la noticia.</v>
      </c>
    </row>
    <row r="505">
      <c r="A505" s="4" t="s">
        <v>642</v>
      </c>
      <c r="B505" s="4" t="s">
        <v>643</v>
      </c>
      <c r="C505" s="5" t="str">
        <f>IFERROR(__xludf.DUMMYFUNCTION("GOOGLETRANSLATE(B505,""en"",""es-ES"")"),"Se muestran varias tomas de luchadores.")</f>
        <v>Se muestran varias tomas de luchadores.</v>
      </c>
    </row>
    <row r="506">
      <c r="A506" s="4" t="s">
        <v>642</v>
      </c>
      <c r="B506" s="4" t="s">
        <v>644</v>
      </c>
      <c r="C506" s="5" t="str">
        <f>IFERROR(__xludf.DUMMYFUNCTION("GOOGLETRANSLATE(B506,""en"",""es-ES"")"),"Todos están haciendo volteos desde la esquina.")</f>
        <v>Todos están haciendo volteos desde la esquina.</v>
      </c>
    </row>
    <row r="507">
      <c r="A507" s="4" t="s">
        <v>642</v>
      </c>
      <c r="B507" s="4" t="s">
        <v>645</v>
      </c>
      <c r="C507" s="5" t="str">
        <f>IFERROR(__xludf.DUMMYFUNCTION("GOOGLETRANSLATE(B507,""en"",""es-ES"")"),"La tierra en su oponente.")</f>
        <v>La tierra en su oponente.</v>
      </c>
    </row>
    <row r="508">
      <c r="A508" s="4" t="s">
        <v>642</v>
      </c>
      <c r="B508" s="4" t="s">
        <v>646</v>
      </c>
      <c r="C508" s="5" t="str">
        <f>IFERROR(__xludf.DUMMYFUNCTION("GOOGLETRANSLATE(B508,""en"",""es-ES"")"),"Los derriban al suelo.")</f>
        <v>Los derriban al suelo.</v>
      </c>
    </row>
    <row r="509">
      <c r="A509" s="4" t="s">
        <v>647</v>
      </c>
      <c r="B509" s="4" t="s">
        <v>648</v>
      </c>
      <c r="C509" s="5" t="str">
        <f>IFERROR(__xludf.DUMMYFUNCTION("GOOGLETRANSLATE(B509,""en"",""es-ES"")"),"Una persona invisible demuestra cómo quitar e instalar una válvula de neumático en una llanta con una herramienta especial.")</f>
        <v>Una persona invisible demuestra cómo quitar e instalar una válvula de neumático en una llanta con una herramienta especial.</v>
      </c>
    </row>
    <row r="510">
      <c r="A510" s="4" t="s">
        <v>647</v>
      </c>
      <c r="B510" s="4" t="s">
        <v>649</v>
      </c>
      <c r="C510" s="5" t="str">
        <f>IFERROR(__xludf.DUMMYFUNCTION("GOOGLETRANSLATE(B510,""en"",""es-ES"")"),"Se ve un par de manos produciendo una herramienta de metal sobre un neumático de pared amarillo que se encuentra sobre una superficie plana.")</f>
        <v>Se ve un par de manos produciendo una herramienta de metal sobre un neumático de pared amarillo que se encuentra sobre una superficie plana.</v>
      </c>
    </row>
    <row r="511">
      <c r="A511" s="4" t="s">
        <v>647</v>
      </c>
      <c r="B511" s="4" t="s">
        <v>650</v>
      </c>
      <c r="C511" s="5" t="str">
        <f>IFERROR(__xludf.DUMMYFUNCTION("GOOGLETRANSLATE(B511,""en"",""es-ES"")"),"La mano usa la herramienta curva de metal para sacar la válvula del neumático antiguo de su orificio.")</f>
        <v>La mano usa la herramienta curva de metal para sacar la válvula del neumático antiguo de su orificio.</v>
      </c>
    </row>
    <row r="512">
      <c r="A512" s="4" t="s">
        <v>647</v>
      </c>
      <c r="B512" s="4" t="s">
        <v>651</v>
      </c>
      <c r="C512" s="5" t="str">
        <f>IFERROR(__xludf.DUMMYFUNCTION("GOOGLETRANSLATE(B512,""en"",""es-ES"")"),"La mano luego usa una herramienta de metal, negro y para insertar una nueva válvula en el neumático.")</f>
        <v>La mano luego usa una herramienta de metal, negro y para insertar una nueva válvula en el neumático.</v>
      </c>
    </row>
    <row r="513">
      <c r="A513" s="4" t="s">
        <v>652</v>
      </c>
      <c r="B513" s="4" t="s">
        <v>653</v>
      </c>
      <c r="C513" s="5" t="str">
        <f>IFERROR(__xludf.DUMMYFUNCTION("GOOGLETRANSLATE(B513,""en"",""es-ES"")"),"Las manos de una persona se ven moviéndose alrededor de un gato y recortando sus garras mientras el gato se queda quieto y mira a su alrededor.")</f>
        <v>Las manos de una persona se ven moviéndose alrededor de un gato y recortando sus garras mientras el gato se queda quieto y mira a su alrededor.</v>
      </c>
    </row>
    <row r="514">
      <c r="A514" s="4" t="s">
        <v>652</v>
      </c>
      <c r="B514" s="4" t="s">
        <v>654</v>
      </c>
      <c r="C514" s="5" t="str">
        <f>IFERROR(__xludf.DUMMYFUNCTION("GOOGLETRANSLATE(B514,""en"",""es-ES"")"),"La persona luego presenta las uñas del gato y se acerca al final del vientre del gato.")</f>
        <v>La persona luego presenta las uñas del gato y se acerca al final del vientre del gato.</v>
      </c>
    </row>
    <row r="515">
      <c r="A515" s="4" t="s">
        <v>655</v>
      </c>
      <c r="B515" s="4" t="s">
        <v>656</v>
      </c>
      <c r="C515" s="5" t="str">
        <f>IFERROR(__xludf.DUMMYFUNCTION("GOOGLETRANSLATE(B515,""en"",""es-ES"")"),"Un hombre está sentado en una estera negra en un gimnasio.")</f>
        <v>Un hombre está sentado en una estera negra en un gimnasio.</v>
      </c>
    </row>
    <row r="516">
      <c r="A516" s="4" t="s">
        <v>655</v>
      </c>
      <c r="B516" s="4" t="s">
        <v>657</v>
      </c>
      <c r="C516" s="5" t="str">
        <f>IFERROR(__xludf.DUMMYFUNCTION("GOOGLETRANSLATE(B516,""en"",""es-ES"")"),"Se recuesta y hace abdominales en la colchoneta.")</f>
        <v>Se recuesta y hace abdominales en la colchoneta.</v>
      </c>
    </row>
    <row r="517">
      <c r="A517" s="4" t="s">
        <v>655</v>
      </c>
      <c r="B517" s="4" t="s">
        <v>658</v>
      </c>
      <c r="C517" s="5" t="str">
        <f>IFERROR(__xludf.DUMMYFUNCTION("GOOGLETRANSLATE(B517,""en"",""es-ES"")"),"Se sienta y continúa hablando.")</f>
        <v>Se sienta y continúa hablando.</v>
      </c>
    </row>
    <row r="518">
      <c r="A518" s="4" t="s">
        <v>659</v>
      </c>
      <c r="B518" s="4" t="s">
        <v>660</v>
      </c>
      <c r="C518" s="5" t="str">
        <f>IFERROR(__xludf.DUMMYFUNCTION("GOOGLETRANSLATE(B518,""en"",""es-ES"")"),"Una cámara se mueve alrededor de un hombre sin camisa sentado en la nieve seguido del hombre snowboard y hombres que subían por una colina.")</f>
        <v>Una cámara se mueve alrededor de un hombre sin camisa sentado en la nieve seguido del hombre snowboard y hombres que subían por una colina.</v>
      </c>
    </row>
    <row r="519">
      <c r="A519" s="4" t="s">
        <v>659</v>
      </c>
      <c r="B519" s="4" t="s">
        <v>661</v>
      </c>
      <c r="C519" s="5" t="str">
        <f>IFERROR(__xludf.DUMMYFUNCTION("GOOGLETRANSLATE(B519,""en"",""es-ES"")"),"Se muestran varias tomas de personas que montan por la colina nevada y hacen trucos frente a la cámara.")</f>
        <v>Se muestran varias tomas de personas que montan por la colina nevada y hacen trucos frente a la cámara.</v>
      </c>
    </row>
    <row r="520">
      <c r="A520" s="4" t="s">
        <v>662</v>
      </c>
      <c r="B520" s="4" t="s">
        <v>663</v>
      </c>
      <c r="C520" s="5" t="str">
        <f>IFERROR(__xludf.DUMMYFUNCTION("GOOGLETRANSLATE(B520,""en"",""es-ES"")"),"Se ve a un hombre de las cavernas caminando por una roca morada.")</f>
        <v>Se ve a un hombre de las cavernas caminando por una roca morada.</v>
      </c>
    </row>
    <row r="521">
      <c r="A521" s="4" t="s">
        <v>662</v>
      </c>
      <c r="B521" s="4" t="s">
        <v>664</v>
      </c>
      <c r="C521" s="5" t="str">
        <f>IFERROR(__xludf.DUMMYFUNCTION("GOOGLETRANSLATE(B521,""en"",""es-ES"")"),"Se encuentra con un perro grande y el perro come el hombre de las cavernas.")</f>
        <v>Se encuentra con un perro grande y el perro come el hombre de las cavernas.</v>
      </c>
    </row>
    <row r="522">
      <c r="A522" s="4" t="s">
        <v>662</v>
      </c>
      <c r="B522" s="4" t="s">
        <v>665</v>
      </c>
      <c r="C522" s="5" t="str">
        <f>IFERROR(__xludf.DUMMYFUNCTION("GOOGLETRANSLATE(B522,""en"",""es-ES"")"),"Un dios camina un caniche.")</f>
        <v>Un dios camina un caniche.</v>
      </c>
    </row>
    <row r="523">
      <c r="A523" s="4" t="s">
        <v>662</v>
      </c>
      <c r="B523" s="4" t="s">
        <v>666</v>
      </c>
      <c r="C523" s="5" t="str">
        <f>IFERROR(__xludf.DUMMYFUNCTION("GOOGLETRANSLATE(B523,""en"",""es-ES"")"),"Un vaquero pasea a su perro y recibe un disparo afuera de un salón.")</f>
        <v>Un vaquero pasea a su perro y recibe un disparo afuera de un salón.</v>
      </c>
    </row>
    <row r="524">
      <c r="A524" s="4" t="s">
        <v>662</v>
      </c>
      <c r="B524" s="4" t="s">
        <v>667</v>
      </c>
      <c r="C524" s="5" t="str">
        <f>IFERROR(__xludf.DUMMYFUNCTION("GOOGLETRANSLATE(B524,""en"",""es-ES"")"),"Se ve a Chaplin paseando a su perro.")</f>
        <v>Se ve a Chaplin paseando a su perro.</v>
      </c>
    </row>
    <row r="525">
      <c r="A525" s="4" t="s">
        <v>662</v>
      </c>
      <c r="B525" s="4" t="s">
        <v>668</v>
      </c>
      <c r="C525" s="5" t="str">
        <f>IFERROR(__xludf.DUMMYFUNCTION("GOOGLETRANSLATE(B525,""en"",""es-ES"")"),"Un perro hippie se acuesta en el piso y parece ser alucinante.")</f>
        <v>Un perro hippie se acuesta en el piso y parece ser alucinante.</v>
      </c>
    </row>
    <row r="526">
      <c r="A526" s="4" t="s">
        <v>662</v>
      </c>
      <c r="B526" s="4" t="s">
        <v>669</v>
      </c>
      <c r="C526" s="5" t="str">
        <f>IFERROR(__xludf.DUMMYFUNCTION("GOOGLETRANSLATE(B526,""en"",""es-ES"")"),"Se ve a los perros y la nave espacial explorando el espacio.")</f>
        <v>Se ve a los perros y la nave espacial explorando el espacio.</v>
      </c>
    </row>
    <row r="527">
      <c r="A527" s="4" t="s">
        <v>670</v>
      </c>
      <c r="B527" s="4" t="s">
        <v>671</v>
      </c>
      <c r="C527" s="5" t="str">
        <f>IFERROR(__xludf.DUMMYFUNCTION("GOOGLETRANSLATE(B527,""en"",""es-ES"")"),"Un hombre con ropa negra afecta el cuchillo en una piedra.")</f>
        <v>Un hombre con ropa negra afecta el cuchillo en una piedra.</v>
      </c>
    </row>
    <row r="528">
      <c r="A528" s="4" t="s">
        <v>670</v>
      </c>
      <c r="B528" s="4" t="s">
        <v>672</v>
      </c>
      <c r="C528" s="5" t="str">
        <f>IFERROR(__xludf.DUMMYFUNCTION("GOOGLETRANSLATE(B528,""en"",""es-ES"")"),"El hombre a su lado en mangas largas azules dibujando algo en la mesa con el dedo.")</f>
        <v>El hombre a su lado en mangas largas azules dibujando algo en la mesa con el dedo.</v>
      </c>
    </row>
    <row r="529">
      <c r="A529" s="4" t="s">
        <v>670</v>
      </c>
      <c r="B529" s="4" t="s">
        <v>673</v>
      </c>
      <c r="C529" s="5" t="str">
        <f>IFERROR(__xludf.DUMMYFUNCTION("GOOGLETRANSLATE(B529,""en"",""es-ES"")"),"El hombre gira el cuchillo para afilar el otro lado y luego límpielo con toalla de papel.")</f>
        <v>El hombre gira el cuchillo para afilar el otro lado y luego límpielo con toalla de papel.</v>
      </c>
    </row>
    <row r="530">
      <c r="A530" s="4" t="s">
        <v>670</v>
      </c>
      <c r="B530" s="4" t="s">
        <v>674</v>
      </c>
      <c r="C530" s="5" t="str">
        <f>IFERROR(__xludf.DUMMYFUNCTION("GOOGLETRANSLATE(B530,""en"",""es-ES"")"),"El hombre con camisa azul marino apunta al cuchillo mientras el hombre afilaba el cuchillo intenta afilarlo una mano.")</f>
        <v>El hombre con camisa azul marino apunta al cuchillo mientras el hombre afilaba el cuchillo intenta afilarlo una mano.</v>
      </c>
    </row>
    <row r="531">
      <c r="A531" s="4" t="s">
        <v>670</v>
      </c>
      <c r="B531" s="4" t="s">
        <v>675</v>
      </c>
      <c r="C531" s="5" t="str">
        <f>IFERROR(__xludf.DUMMYFUNCTION("GOOGLETRANSLATE(B531,""en"",""es-ES"")"),"Continúa agudizando el cuchillo, vuelve a girarlo para afilar aún más el otro lado y limpiarlo nuevamente con toalla de papel.")</f>
        <v>Continúa agudizando el cuchillo, vuelve a girarlo para afilar aún más el otro lado y limpiarlo nuevamente con toalla de papel.</v>
      </c>
    </row>
    <row r="532">
      <c r="A532" s="4" t="s">
        <v>670</v>
      </c>
      <c r="B532" s="4" t="s">
        <v>676</v>
      </c>
      <c r="C532" s="5" t="str">
        <f>IFERROR(__xludf.DUMMYFUNCTION("GOOGLETRANSLATE(B532,""en"",""es-ES"")"),"Lanza la toalla de papel vieja y sucia y alcanza el rollo de toalla de papel y limpia el cuchillo.")</f>
        <v>Lanza la toalla de papel vieja y sucia y alcanza el rollo de toalla de papel y limpia el cuchillo.</v>
      </c>
    </row>
    <row r="533">
      <c r="A533" s="4" t="s">
        <v>677</v>
      </c>
      <c r="B533" s="4" t="s">
        <v>678</v>
      </c>
      <c r="C533" s="5" t="str">
        <f>IFERROR(__xludf.DUMMYFUNCTION("GOOGLETRANSLATE(B533,""en"",""es-ES"")"),"Una cámara se mueve alrededor de un área nevada y pasa a varias personas en los tubos por una colina.")</f>
        <v>Una cámara se mueve alrededor de un área nevada y pasa a varias personas en los tubos por una colina.</v>
      </c>
    </row>
    <row r="534">
      <c r="A534" s="4" t="s">
        <v>677</v>
      </c>
      <c r="B534" s="4" t="s">
        <v>679</v>
      </c>
      <c r="C534" s="5" t="str">
        <f>IFERROR(__xludf.DUMMYFUNCTION("GOOGLETRANSLATE(B534,""en"",""es-ES"")"),"La gente se ríe mientras sube por la colina cuando una persona se cae y la cámara se mueve alrededor de la gente.")</f>
        <v>La gente se ríe mientras sube por la colina cuando una persona se cae y la cámara se mueve alrededor de la gente.</v>
      </c>
    </row>
    <row r="535">
      <c r="A535" s="4" t="s">
        <v>677</v>
      </c>
      <c r="B535" s="4" t="s">
        <v>680</v>
      </c>
      <c r="C535" s="5" t="str">
        <f>IFERROR(__xludf.DUMMYFUNCTION("GOOGLETRANSLATE(B535,""en"",""es-ES"")"),"La cámara muestra una toma más de las personas que viajan por la larga colina juntas.")</f>
        <v>La cámara muestra una toma más de las personas que viajan por la larga colina juntas.</v>
      </c>
    </row>
    <row r="536">
      <c r="A536" s="4" t="s">
        <v>681</v>
      </c>
      <c r="B536" s="4" t="s">
        <v>682</v>
      </c>
      <c r="C536" s="5" t="str">
        <f>IFERROR(__xludf.DUMMYFUNCTION("GOOGLETRANSLATE(B536,""en"",""es-ES"")"),"Un hombre está sentado en un lago congelado, pescando a través de un agujero y rodeado de equipo de pesca.")</f>
        <v>Un hombre está sentado en un lago congelado, pescando a través de un agujero y rodeado de equipo de pesca.</v>
      </c>
    </row>
    <row r="537">
      <c r="A537" s="4" t="s">
        <v>681</v>
      </c>
      <c r="B537" s="4" t="s">
        <v>683</v>
      </c>
      <c r="C537" s="5" t="str">
        <f>IFERROR(__xludf.DUMMYFUNCTION("GOOGLETRANSLATE(B537,""en"",""es-ES"")"),"Se aleja de sus cosas, y un pez tira de su poste hacia el agua, desapareciendo con él.")</f>
        <v>Se aleja de sus cosas, y un pez tira de su poste hacia el agua, desapareciendo con él.</v>
      </c>
    </row>
    <row r="538">
      <c r="A538" s="4" t="s">
        <v>681</v>
      </c>
      <c r="B538" s="4" t="s">
        <v>684</v>
      </c>
      <c r="C538" s="5" t="str">
        <f>IFERROR(__xludf.DUMMYFUNCTION("GOOGLETRANSLATE(B538,""en"",""es-ES"")"),"Se para con enojo con las manos en las caderas, luego consigue otro poste para tratar de recuperarlo.")</f>
        <v>Se para con enojo con las manos en las caderas, luego consigue otro poste para tratar de recuperarlo.</v>
      </c>
    </row>
    <row r="539">
      <c r="A539" s="4" t="s">
        <v>685</v>
      </c>
      <c r="B539" s="4" t="s">
        <v>686</v>
      </c>
      <c r="C539" s="5" t="str">
        <f>IFERROR(__xludf.DUMMYFUNCTION("GOOGLETRANSLATE(B539,""en"",""es-ES"")"),"Un hombre está parado en un escenario realizando diferentes movimientos.")</f>
        <v>Un hombre está parado en un escenario realizando diferentes movimientos.</v>
      </c>
    </row>
    <row r="540">
      <c r="A540" s="4" t="s">
        <v>685</v>
      </c>
      <c r="B540" s="4" t="s">
        <v>687</v>
      </c>
      <c r="C540" s="5" t="str">
        <f>IFERROR(__xludf.DUMMYFUNCTION("GOOGLETRANSLATE(B540,""en"",""es-ES"")"),"Sale del escenario y alguien más camina al escenario.")</f>
        <v>Sale del escenario y alguien más camina al escenario.</v>
      </c>
    </row>
    <row r="541">
      <c r="A541" s="4" t="s">
        <v>688</v>
      </c>
      <c r="B541" s="4" t="s">
        <v>689</v>
      </c>
      <c r="C541" s="5" t="str">
        <f>IFERROR(__xludf.DUMMYFUNCTION("GOOGLETRANSLATE(B541,""en"",""es-ES"")"),"Esta mujer le está mostrando a sus espectadores cómo hacer un Chambord Royale.")</f>
        <v>Esta mujer le está mostrando a sus espectadores cómo hacer un Chambord Royale.</v>
      </c>
    </row>
    <row r="542">
      <c r="A542" s="4" t="s">
        <v>688</v>
      </c>
      <c r="B542" s="4" t="s">
        <v>690</v>
      </c>
      <c r="C542" s="5" t="str">
        <f>IFERROR(__xludf.DUMMYFUNCTION("GOOGLETRANSLATE(B542,""en"",""es-ES"")"),"Primero, llena su agitador a mitad de camino con hielo y luego agrega vodka y chambord y pone una onza de ambos y luego agrega un poco de jugo de piña y jugo de arándano.")</f>
        <v>Primero, llena su agitador a mitad de camino con hielo y luego agrega vodka y chambord y pone una onza de ambos y luego agrega un poco de jugo de piña y jugo de arándano.</v>
      </c>
    </row>
    <row r="543">
      <c r="A543" s="4" t="s">
        <v>688</v>
      </c>
      <c r="B543" s="4" t="s">
        <v>691</v>
      </c>
      <c r="C543" s="5" t="str">
        <f>IFERROR(__xludf.DUMMYFUNCTION("GOOGLETRANSLATE(B543,""en"",""es-ES"")"),"Luego sacude todo y se tensa la bebida en la taza de cóctel.")</f>
        <v>Luego sacude todo y se tensa la bebida en la taza de cóctel.</v>
      </c>
    </row>
    <row r="544">
      <c r="A544" s="4" t="s">
        <v>692</v>
      </c>
      <c r="B544" s="4" t="s">
        <v>693</v>
      </c>
      <c r="C544" s="5" t="str">
        <f>IFERROR(__xludf.DUMMYFUNCTION("GOOGLETRANSLATE(B544,""en"",""es-ES"")"),"Este peroSn se muestra haciendo un sándwich que incluye carne de almuerzo, queso suizo y mayonesa.")</f>
        <v>Este peroSn se muestra haciendo un sándwich que incluye carne de almuerzo, queso suizo y mayonesa.</v>
      </c>
    </row>
    <row r="545">
      <c r="A545" s="4" t="s">
        <v>692</v>
      </c>
      <c r="B545" s="4" t="s">
        <v>694</v>
      </c>
      <c r="C545" s="5" t="str">
        <f>IFERROR(__xludf.DUMMYFUNCTION("GOOGLETRANSLATE(B545,""en"",""es-ES"")"),"Luego mezcla un huevo y leche juntos y coloca el sándwich en la mezcla.")</f>
        <v>Luego mezcla un huevo y leche juntos y coloca el sándwich en la mezcla.</v>
      </c>
    </row>
    <row r="546">
      <c r="A546" s="4" t="s">
        <v>692</v>
      </c>
      <c r="B546" s="4" t="s">
        <v>695</v>
      </c>
      <c r="C546" s="5" t="str">
        <f>IFERROR(__xludf.DUMMYFUNCTION("GOOGLETRANSLATE(B546,""en"",""es-ES"")"),"Puso el sándwich en una sartén que está en la estufa un poco, y luego pone el sándwich en un plato en forma de cuadrado blanco, lo que supongo que comió.")</f>
        <v>Puso el sándwich en una sartén que está en la estufa un poco, y luego pone el sándwich en un plato en forma de cuadrado blanco, lo que supongo que comió.</v>
      </c>
    </row>
    <row r="547">
      <c r="A547" s="4" t="s">
        <v>696</v>
      </c>
      <c r="B547" s="4" t="s">
        <v>697</v>
      </c>
      <c r="C547" s="5" t="str">
        <f>IFERROR(__xludf.DUMMYFUNCTION("GOOGLETRANSLATE(B547,""en"",""es-ES"")"),"Un hombre muy grande y musculoso se muestra en un gimnasio con una barra de pesas mientras la música de piano se reproduce en el fondo.")</f>
        <v>Un hombre muy grande y musculoso se muestra en un gimnasio con una barra de pesas mientras la música de piano se reproduce en el fondo.</v>
      </c>
    </row>
    <row r="548">
      <c r="A548" s="4" t="s">
        <v>696</v>
      </c>
      <c r="B548" s="4" t="s">
        <v>698</v>
      </c>
      <c r="C548" s="5" t="str">
        <f>IFERROR(__xludf.DUMMYFUNCTION("GOOGLETRANSLATE(B548,""en"",""es-ES"")"),"El video comienza con el peso en el piso y el hombre que se está preparando para levantarlo.")</f>
        <v>El video comienza con el peso en el piso y el hombre que se está preparando para levantarlo.</v>
      </c>
    </row>
    <row r="549">
      <c r="A549" s="4" t="s">
        <v>696</v>
      </c>
      <c r="B549" s="4" t="s">
        <v>699</v>
      </c>
      <c r="C549" s="5" t="str">
        <f>IFERROR(__xludf.DUMMYFUNCTION("GOOGLETRANSLATE(B549,""en"",""es-ES"")"),"Levanta el peso y primero lo lleva paralelo a sus hombros.")</f>
        <v>Levanta el peso y primero lo lleva paralelo a sus hombros.</v>
      </c>
    </row>
    <row r="550">
      <c r="A550" s="4" t="s">
        <v>696</v>
      </c>
      <c r="B550" s="4" t="s">
        <v>700</v>
      </c>
      <c r="C550" s="5" t="str">
        <f>IFERROR(__xludf.DUMMYFUNCTION("GOOGLETRANSLATE(B550,""en"",""es-ES"")"),"Luego lo levanta completamente sobre su cabeza con los brazos extendidos.")</f>
        <v>Luego lo levanta completamente sobre su cabeza con los brazos extendidos.</v>
      </c>
    </row>
    <row r="551">
      <c r="A551" s="4" t="s">
        <v>696</v>
      </c>
      <c r="B551" s="4" t="s">
        <v>701</v>
      </c>
      <c r="C551" s="5" t="str">
        <f>IFERROR(__xludf.DUMMYFUNCTION("GOOGLETRANSLATE(B551,""en"",""es-ES"")"),"Después de dejar sus brazos en alto durante varios segundos, permite que el peso caiga al suelo.")</f>
        <v>Después de dejar sus brazos en alto durante varios segundos, permite que el peso caiga al suelo.</v>
      </c>
    </row>
    <row r="552">
      <c r="A552" s="4" t="s">
        <v>702</v>
      </c>
      <c r="B552" s="4" t="s">
        <v>703</v>
      </c>
      <c r="C552" s="5" t="str">
        <f>IFERROR(__xludf.DUMMYFUNCTION("GOOGLETRANSLATE(B552,""en"",""es-ES"")"),"Una introducción conduce a una mujer sacando un cubo y unir un trapeador.")</f>
        <v>Una introducción conduce a una mujer sacando un cubo y unir un trapeador.</v>
      </c>
    </row>
    <row r="553">
      <c r="A553" s="4" t="s">
        <v>702</v>
      </c>
      <c r="B553" s="4" t="s">
        <v>704</v>
      </c>
      <c r="C553" s="5" t="str">
        <f>IFERROR(__xludf.DUMMYFUNCTION("GOOGLETRANSLATE(B553,""en"",""es-ES"")"),"La cámara se mueve alrededor del cubo y la mujer continúa usando el trapeador dentro del cubo y moviéndose alrededor del objeto.")</f>
        <v>La cámara se mueve alrededor del cubo y la mujer continúa usando el trapeador dentro del cubo y moviéndose alrededor del objeto.</v>
      </c>
    </row>
    <row r="554">
      <c r="A554" s="4" t="s">
        <v>705</v>
      </c>
      <c r="B554" s="4" t="s">
        <v>706</v>
      </c>
      <c r="C554" s="5" t="str">
        <f>IFERROR(__xludf.DUMMYFUNCTION("GOOGLETRANSLATE(B554,""en"",""es-ES"")"),"Un hombre con una camisa roja está sentada en una bicicleta de ejercicios.")</f>
        <v>Un hombre con una camisa roja está sentada en una bicicleta de ejercicios.</v>
      </c>
    </row>
    <row r="555">
      <c r="A555" s="4" t="s">
        <v>705</v>
      </c>
      <c r="B555" s="4" t="s">
        <v>707</v>
      </c>
      <c r="C555" s="5" t="str">
        <f>IFERROR(__xludf.DUMMYFUNCTION("GOOGLETRANSLATE(B555,""en"",""es-ES"")"),"Él está moviendo las piernas en los pedales.")</f>
        <v>Él está moviendo las piernas en los pedales.</v>
      </c>
    </row>
    <row r="556">
      <c r="A556" s="4" t="s">
        <v>705</v>
      </c>
      <c r="B556" s="4" t="s">
        <v>708</v>
      </c>
      <c r="C556" s="5" t="str">
        <f>IFERROR(__xludf.DUMMYFUNCTION("GOOGLETRANSLATE(B556,""en"",""es-ES"")"),"Hay otras bicicletas a su lado.")</f>
        <v>Hay otras bicicletas a su lado.</v>
      </c>
    </row>
    <row r="557">
      <c r="A557" s="4" t="s">
        <v>709</v>
      </c>
      <c r="B557" s="4" t="s">
        <v>710</v>
      </c>
      <c r="C557" s="5" t="str">
        <f>IFERROR(__xludf.DUMMYFUNCTION("GOOGLETRANSLATE(B557,""en"",""es-ES"")"),"Se ve a un hombre arrodillado en el suelo balanceando sus brazos hacia atrás y cuarto.")</f>
        <v>Se ve a un hombre arrodillado en el suelo balanceando sus brazos hacia atrás y cuarto.</v>
      </c>
    </row>
    <row r="558">
      <c r="A558" s="4" t="s">
        <v>709</v>
      </c>
      <c r="B558" s="4" t="s">
        <v>711</v>
      </c>
      <c r="C558" s="5" t="str">
        <f>IFERROR(__xludf.DUMMYFUNCTION("GOOGLETRANSLATE(B558,""en"",""es-ES"")"),"El texto se mueve por su rostro mientras balancea sus brazos.")</f>
        <v>El texto se mueve por su rostro mientras balancea sus brazos.</v>
      </c>
    </row>
    <row r="559">
      <c r="A559" s="4" t="s">
        <v>709</v>
      </c>
      <c r="B559" s="4" t="s">
        <v>712</v>
      </c>
      <c r="C559" s="5" t="str">
        <f>IFERROR(__xludf.DUMMYFUNCTION("GOOGLETRANSLATE(B559,""en"",""es-ES"")"),"El hombre continúa balanceando los brazos y termina con créditos rodando.")</f>
        <v>El hombre continúa balanceando los brazos y termina con créditos rodando.</v>
      </c>
    </row>
    <row r="560">
      <c r="A560" s="4" t="s">
        <v>713</v>
      </c>
      <c r="B560" s="4" t="s">
        <v>714</v>
      </c>
      <c r="C560" s="5" t="str">
        <f>IFERROR(__xludf.DUMMYFUNCTION("GOOGLETRANSLATE(B560,""en"",""es-ES"")"),"Se ve un primer plano de un banco de madera seguido por una persona que mezcla ingredientes.")</f>
        <v>Se ve un primer plano de un banco de madera seguido por una persona que mezcla ingredientes.</v>
      </c>
    </row>
    <row r="561">
      <c r="A561" s="4" t="s">
        <v>713</v>
      </c>
      <c r="B561" s="4" t="s">
        <v>715</v>
      </c>
      <c r="C561" s="5" t="str">
        <f>IFERROR(__xludf.DUMMYFUNCTION("GOOGLETRANSLATE(B561,""en"",""es-ES"")"),"Luego se ve a una persona sosteniendo un trapo y limpiando el banco.")</f>
        <v>Luego se ve a una persona sosteniendo un trapo y limpiando el banco.</v>
      </c>
    </row>
    <row r="562">
      <c r="A562" s="4" t="s">
        <v>713</v>
      </c>
      <c r="B562" s="4" t="s">
        <v>716</v>
      </c>
      <c r="C562" s="5" t="str">
        <f>IFERROR(__xludf.DUMMYFUNCTION("GOOGLETRANSLATE(B562,""en"",""es-ES"")"),"Más ingredientes se mezclan después que conduce a más limpieza con el trapo.")</f>
        <v>Más ingredientes se mezclan después que conduce a más limpieza con el trapo.</v>
      </c>
    </row>
    <row r="563">
      <c r="A563" s="4" t="s">
        <v>717</v>
      </c>
      <c r="B563" s="4" t="s">
        <v>718</v>
      </c>
      <c r="C563" s="5" t="str">
        <f>IFERROR(__xludf.DUMMYFUNCTION("GOOGLETRANSLATE(B563,""en"",""es-ES"")"),"Una niña está empujando a dos niños pequeños en un columpio en el patio trasero.")</f>
        <v>Una niña está empujando a dos niños pequeños en un columpio en el patio trasero.</v>
      </c>
    </row>
    <row r="564">
      <c r="A564" s="4" t="s">
        <v>717</v>
      </c>
      <c r="B564" s="4" t="s">
        <v>719</v>
      </c>
      <c r="C564" s="5" t="str">
        <f>IFERROR(__xludf.DUMMYFUNCTION("GOOGLETRANSLATE(B564,""en"",""es-ES"")"),"Ella sonríe a la cámara mientras empuja a los niños de un lado a otro.")</f>
        <v>Ella sonríe a la cámara mientras empuja a los niños de un lado a otro.</v>
      </c>
    </row>
    <row r="565">
      <c r="A565" s="4" t="s">
        <v>720</v>
      </c>
      <c r="B565" s="4" t="s">
        <v>721</v>
      </c>
      <c r="C565" s="5" t="str">
        <f>IFERROR(__xludf.DUMMYFUNCTION("GOOGLETRANSLATE(B565,""en"",""es-ES"")"),"Se ve a una banda sentada en el escenario con un hombre tocando la batería y una mujer que lo entrevista.")</f>
        <v>Se ve a una banda sentada en el escenario con un hombre tocando la batería y una mujer que lo entrevista.</v>
      </c>
    </row>
    <row r="566">
      <c r="A566" s="4" t="s">
        <v>720</v>
      </c>
      <c r="B566" s="4" t="s">
        <v>722</v>
      </c>
      <c r="C566" s="5" t="str">
        <f>IFERROR(__xludf.DUMMYFUNCTION("GOOGLETRANSLATE(B566,""en"",""es-ES"")"),"El hombre continúa jugando mientras las mujeres hablan a la multitud y canta mientras juegan.")</f>
        <v>El hombre continúa jugando mientras las mujeres hablan a la multitud y canta mientras juegan.</v>
      </c>
    </row>
    <row r="567">
      <c r="A567" s="4" t="s">
        <v>723</v>
      </c>
      <c r="B567" s="4" t="s">
        <v>724</v>
      </c>
      <c r="C567" s="5" t="str">
        <f>IFERROR(__xludf.DUMMYFUNCTION("GOOGLETRANSLATE(B567,""en"",""es-ES"")"),"Se muestran varios disparos de sillines de caballos y varias personas que montan estas sillas de montar en caballos.")</f>
        <v>Se muestran varios disparos de sillines de caballos y varias personas que montan estas sillas de montar en caballos.</v>
      </c>
    </row>
    <row r="568">
      <c r="A568" s="4" t="s">
        <v>723</v>
      </c>
      <c r="B568" s="4" t="s">
        <v>725</v>
      </c>
      <c r="C568" s="5" t="str">
        <f>IFERROR(__xludf.DUMMYFUNCTION("GOOGLETRANSLATE(B568,""en"",""es-ES"")"),"Una niña envuelve la cuerda alrededor de su silla de montar mientras otros practican en sillas de montar colocadas.")</f>
        <v>Una niña envuelve la cuerda alrededor de su silla de montar mientras otros practican en sillas de montar colocadas.</v>
      </c>
    </row>
    <row r="569">
      <c r="A569" s="4" t="s">
        <v>723</v>
      </c>
      <c r="B569" s="4" t="s">
        <v>726</v>
      </c>
      <c r="C569" s="5" t="str">
        <f>IFERROR(__xludf.DUMMYFUNCTION("GOOGLETRANSLATE(B569,""en"",""es-ES"")"),"La gente viaja alrededor de las sillas de montar y muestra varios caddies y cómo montarlos.")</f>
        <v>La gente viaja alrededor de las sillas de montar y muestra varios caddies y cómo montarlos.</v>
      </c>
    </row>
    <row r="570">
      <c r="A570" s="4" t="s">
        <v>723</v>
      </c>
      <c r="B570" s="4" t="s">
        <v>727</v>
      </c>
      <c r="C570" s="5" t="str">
        <f>IFERROR(__xludf.DUMMYFUNCTION("GOOGLETRANSLATE(B570,""en"",""es-ES"")"),"Un turista está siendo entrevistado sobre experiencia en conducción, pero vio a otros conducir y se sintió segura.")</f>
        <v>Un turista está siendo entrevistado sobre experiencia en conducción, pero vio a otros conducir y se sintió segura.</v>
      </c>
    </row>
    <row r="571">
      <c r="A571" s="4" t="s">
        <v>723</v>
      </c>
      <c r="B571" s="4" t="s">
        <v>728</v>
      </c>
      <c r="C571" s="5" t="str">
        <f>IFERROR(__xludf.DUMMYFUNCTION("GOOGLETRANSLATE(B571,""en"",""es-ES"")"),"Se muestran altavoces de un hombre sobre su experiencia y varios disparos de los caballos y la vida silvestre.")</f>
        <v>Se muestran altavoces de un hombre sobre su experiencia y varios disparos de los caballos y la vida silvestre.</v>
      </c>
    </row>
    <row r="572">
      <c r="A572" s="4" t="s">
        <v>729</v>
      </c>
      <c r="B572" s="4" t="s">
        <v>730</v>
      </c>
      <c r="C572" s="5" t="str">
        <f>IFERROR(__xludf.DUMMYFUNCTION("GOOGLETRANSLATE(B572,""en"",""es-ES"")"),"Un hombre balancea su pierna en el aire creando letras y vemos una pantalla de apertura.")</f>
        <v>Un hombre balancea su pierna en el aire creando letras y vemos una pantalla de apertura.</v>
      </c>
    </row>
    <row r="573">
      <c r="A573" s="4" t="s">
        <v>729</v>
      </c>
      <c r="B573" s="4" t="s">
        <v>731</v>
      </c>
      <c r="C573" s="5" t="str">
        <f>IFERROR(__xludf.DUMMYFUNCTION("GOOGLETRANSLATE(B573,""en"",""es-ES"")"),"Dos hombres están en dos habitaciones diferentes realizando movimientos de capoeira.")</f>
        <v>Dos hombres están en dos habitaciones diferentes realizando movimientos de capoeira.</v>
      </c>
    </row>
    <row r="574">
      <c r="A574" s="4" t="s">
        <v>729</v>
      </c>
      <c r="B574" s="4" t="s">
        <v>732</v>
      </c>
      <c r="C574" s="5" t="str">
        <f>IFERROR(__xludf.DUMMYFUNCTION("GOOGLETRANSLATE(B574,""en"",""es-ES"")"),"Un hombre hace un movimiento de parada de manos.")</f>
        <v>Un hombre hace un movimiento de parada de manos.</v>
      </c>
    </row>
    <row r="575">
      <c r="A575" s="4" t="s">
        <v>729</v>
      </c>
      <c r="B575" s="4" t="s">
        <v>733</v>
      </c>
      <c r="C575" s="5" t="str">
        <f>IFERROR(__xludf.DUMMYFUNCTION("GOOGLETRANSLATE(B575,""en"",""es-ES"")"),"El hombre hace una parada de manos y hace una pausa.")</f>
        <v>El hombre hace una parada de manos y hace una pausa.</v>
      </c>
    </row>
    <row r="576">
      <c r="A576" s="4" t="s">
        <v>729</v>
      </c>
      <c r="B576" s="4" t="s">
        <v>734</v>
      </c>
      <c r="C576" s="5" t="str">
        <f>IFERROR(__xludf.DUMMYFUNCTION("GOOGLETRANSLATE(B576,""en"",""es-ES"")"),"Vemos el sitio web en una pantalla negra.")</f>
        <v>Vemos el sitio web en una pantalla negra.</v>
      </c>
    </row>
    <row r="577">
      <c r="A577" s="4" t="s">
        <v>729</v>
      </c>
      <c r="B577" s="4" t="s">
        <v>735</v>
      </c>
      <c r="C577" s="5" t="str">
        <f>IFERROR(__xludf.DUMMYFUNCTION("GOOGLETRANSLATE(B577,""en"",""es-ES"")"),"Vemos cuatro pantallas con imágenes de hombres que hacen capoeira.")</f>
        <v>Vemos cuatro pantallas con imágenes de hombres que hacen capoeira.</v>
      </c>
    </row>
    <row r="578">
      <c r="A578" s="4" t="s">
        <v>736</v>
      </c>
      <c r="B578" s="4" t="s">
        <v>737</v>
      </c>
      <c r="C578" s="5" t="str">
        <f>IFERROR(__xludf.DUMMYFUNCTION("GOOGLETRANSLATE(B578,""en"",""es-ES"")"),"Alguien se está cepillando los dientes con un cepillo de dientes eléctrico.")</f>
        <v>Alguien se está cepillando los dientes con un cepillo de dientes eléctrico.</v>
      </c>
    </row>
    <row r="579">
      <c r="A579" s="4" t="s">
        <v>736</v>
      </c>
      <c r="B579" s="4" t="s">
        <v>738</v>
      </c>
      <c r="C579" s="5" t="str">
        <f>IFERROR(__xludf.DUMMYFUNCTION("GOOGLETRANSLATE(B579,""en"",""es-ES"")"),"Llevan aparatos ortopédicos, por lo que se aseguran de fregar muy bien.")</f>
        <v>Llevan aparatos ortopédicos, por lo que se aseguran de fregar muy bien.</v>
      </c>
    </row>
    <row r="580">
      <c r="A580" s="4" t="s">
        <v>736</v>
      </c>
      <c r="B580" s="4" t="s">
        <v>739</v>
      </c>
      <c r="C580" s="5" t="str">
        <f>IFERROR(__xludf.DUMMYFUNCTION("GOOGLETRANSLATE(B580,""en"",""es-ES"")"),"Puedes ver que la lengua se mueve nunca realmente se siente cómoda dentro de la boca.")</f>
        <v>Puedes ver que la lengua se mueve nunca realmente se siente cómoda dentro de la boca.</v>
      </c>
    </row>
    <row r="581">
      <c r="A581" s="4" t="s">
        <v>736</v>
      </c>
      <c r="B581" s="4" t="s">
        <v>740</v>
      </c>
      <c r="C581" s="5" t="str">
        <f>IFERROR(__xludf.DUMMYFUNCTION("GOOGLETRANSLATE(B581,""en"",""es-ES"")"),"El hombre continúa cepillando, la pasta de dientes arrojando sus labios un poco.")</f>
        <v>El hombre continúa cepillando, la pasta de dientes arrojando sus labios un poco.</v>
      </c>
    </row>
    <row r="582">
      <c r="A582" s="4" t="s">
        <v>741</v>
      </c>
      <c r="B582" s="4" t="s">
        <v>742</v>
      </c>
      <c r="C582" s="5" t="str">
        <f>IFERROR(__xludf.DUMMYFUNCTION("GOOGLETRANSLATE(B582,""en"",""es-ES"")"),"Una persona rocía un fregadero y lo limpia con una toalla.")</f>
        <v>Una persona rocía un fregadero y lo limpia con una toalla.</v>
      </c>
    </row>
    <row r="583">
      <c r="A583" s="4" t="s">
        <v>741</v>
      </c>
      <c r="B583" s="4" t="s">
        <v>743</v>
      </c>
      <c r="C583" s="5" t="str">
        <f>IFERROR(__xludf.DUMMYFUNCTION("GOOGLETRANSLATE(B583,""en"",""es-ES"")"),"Rocían una bañera y la limpian con una toalla.")</f>
        <v>Rocían una bañera y la limpian con una toalla.</v>
      </c>
    </row>
    <row r="584">
      <c r="A584" s="4" t="s">
        <v>741</v>
      </c>
      <c r="B584" s="4" t="s">
        <v>744</v>
      </c>
      <c r="C584" s="5" t="str">
        <f>IFERROR(__xludf.DUMMYFUNCTION("GOOGLETRANSLATE(B584,""en"",""es-ES"")"),"Rocían un inodoro y lo limpian con un inodoro.")</f>
        <v>Rocían un inodoro y lo limpian con un inodoro.</v>
      </c>
    </row>
    <row r="585">
      <c r="A585" s="4" t="s">
        <v>745</v>
      </c>
      <c r="B585" s="4" t="s">
        <v>746</v>
      </c>
      <c r="C585" s="5" t="str">
        <f>IFERROR(__xludf.DUMMYFUNCTION("GOOGLETRANSLATE(B585,""en"",""es-ES"")"),"Hay varias personas reunidas en un parque de patinaje con patinetas.")</f>
        <v>Hay varias personas reunidas en un parque de patinaje con patinetas.</v>
      </c>
    </row>
    <row r="586">
      <c r="A586" s="4" t="s">
        <v>745</v>
      </c>
      <c r="B586" s="4" t="s">
        <v>747</v>
      </c>
      <c r="C586" s="5" t="str">
        <f>IFERROR(__xludf.DUMMYFUNCTION("GOOGLETRANSLATE(B586,""en"",""es-ES"")"),"Hay un joven con un sombrero rojo hablando de un evento de skate en Red Bull Skate Arcade.")</f>
        <v>Hay un joven con un sombrero rojo hablando de un evento de skate en Red Bull Skate Arcade.</v>
      </c>
    </row>
    <row r="587">
      <c r="A587" s="4" t="s">
        <v>745</v>
      </c>
      <c r="B587" s="4" t="s">
        <v>748</v>
      </c>
      <c r="C587" s="5" t="str">
        <f>IFERROR(__xludf.DUMMYFUNCTION("GOOGLETRANSLATE(B587,""en"",""es-ES"")"),"Varios espectadores se reúnen en la sala de juegos junto con un panel de jueces.")</f>
        <v>Varios espectadores se reúnen en la sala de juegos junto con un panel de jueces.</v>
      </c>
    </row>
    <row r="588">
      <c r="A588" s="4" t="s">
        <v>745</v>
      </c>
      <c r="B588" s="4" t="s">
        <v>749</v>
      </c>
      <c r="C588" s="5" t="str">
        <f>IFERROR(__xludf.DUMMYFUNCTION("GOOGLETRANSLATE(B588,""en"",""es-ES"")"),"Algunos de los participantes superan el calor al salpicar el agua sobre sí mismos.")</f>
        <v>Algunos de los participantes superan el calor al salpicar el agua sobre sí mismos.</v>
      </c>
    </row>
    <row r="589">
      <c r="A589" s="4" t="s">
        <v>745</v>
      </c>
      <c r="B589" s="4" t="s">
        <v>750</v>
      </c>
      <c r="C589" s="5" t="str">
        <f>IFERROR(__xludf.DUMMYFUNCTION("GOOGLETRANSLATE(B589,""en"",""es-ES"")"),"Los participantes comienzan sus acrobacias en las patinetas mientras pasan por rampas y pendientes empinadas.")</f>
        <v>Los participantes comienzan sus acrobacias en las patinetas mientras pasan por rampas y pendientes empinadas.</v>
      </c>
    </row>
    <row r="590">
      <c r="A590" s="4" t="s">
        <v>745</v>
      </c>
      <c r="B590" s="4" t="s">
        <v>751</v>
      </c>
      <c r="C590" s="5" t="str">
        <f>IFERROR(__xludf.DUMMYFUNCTION("GOOGLETRANSLATE(B590,""en"",""es-ES"")"),"Varios participantes muestran sus acrobacias mientras los espectadores animan y aplauden por ellos.")</f>
        <v>Varios participantes muestran sus acrobacias mientras los espectadores animan y aplauden por ellos.</v>
      </c>
    </row>
    <row r="591">
      <c r="A591" s="4" t="s">
        <v>745</v>
      </c>
      <c r="B591" s="4" t="s">
        <v>752</v>
      </c>
      <c r="C591" s="5" t="str">
        <f>IFERROR(__xludf.DUMMYFUNCTION("GOOGLETRANSLATE(B591,""en"",""es-ES"")"),"Muestran sus acrobacias aterradoras pero impresionantes mientras las paredes y rampas empinadas sin caer.")</f>
        <v>Muestran sus acrobacias aterradoras pero impresionantes mientras las paredes y rampas empinadas sin caer.</v>
      </c>
    </row>
    <row r="592">
      <c r="A592" s="4" t="s">
        <v>745</v>
      </c>
      <c r="B592" s="4" t="s">
        <v>753</v>
      </c>
      <c r="C592" s="5" t="str">
        <f>IFERROR(__xludf.DUMMYFUNCTION("GOOGLETRANSLATE(B592,""en"",""es-ES"")"),"Las multitudes los animan y los aplauden.")</f>
        <v>Las multitudes los animan y los aplauden.</v>
      </c>
    </row>
    <row r="593">
      <c r="A593" s="4" t="s">
        <v>745</v>
      </c>
      <c r="B593" s="4" t="s">
        <v>754</v>
      </c>
      <c r="C593" s="5" t="str">
        <f>IFERROR(__xludf.DUMMYFUNCTION("GOOGLETRANSLATE(B593,""en"",""es-ES"")"),"Los ganadores reciben certificados y premios por ganar.")</f>
        <v>Los ganadores reciben certificados y premios por ganar.</v>
      </c>
    </row>
    <row r="594">
      <c r="A594" s="4" t="s">
        <v>755</v>
      </c>
      <c r="B594" s="4" t="s">
        <v>756</v>
      </c>
      <c r="C594" s="5" t="str">
        <f>IFERROR(__xludf.DUMMYFUNCTION("GOOGLETRANSLATE(B594,""en"",""es-ES"")"),"Una persona arroja un frisbee para que su perro se recupere durante un evento en un campo deportivo.")</f>
        <v>Una persona arroja un frisbee para que su perro se recupere durante un evento en un campo deportivo.</v>
      </c>
    </row>
    <row r="595">
      <c r="A595" s="4" t="s">
        <v>755</v>
      </c>
      <c r="B595" s="4" t="s">
        <v>757</v>
      </c>
      <c r="C595" s="5" t="str">
        <f>IFERROR(__xludf.DUMMYFUNCTION("GOOGLETRANSLATE(B595,""en"",""es-ES"")"),"El perro atrapa el frisbee y lo lleva de vuelta al entrenador.")</f>
        <v>El perro atrapa el frisbee y lo lleva de vuelta al entrenador.</v>
      </c>
    </row>
    <row r="596">
      <c r="A596" s="4" t="s">
        <v>758</v>
      </c>
      <c r="B596" s="4" t="s">
        <v>759</v>
      </c>
      <c r="C596" s="5" t="str">
        <f>IFERROR(__xludf.DUMMYFUNCTION("GOOGLETRANSLATE(B596,""en"",""es-ES"")"),"Hay una mujer que representa a Jamaica participando en un evento de salto de longitud.")</f>
        <v>Hay una mujer que representa a Jamaica participando en un evento de salto de longitud.</v>
      </c>
    </row>
    <row r="597">
      <c r="A597" s="4" t="s">
        <v>758</v>
      </c>
      <c r="B597" s="4" t="s">
        <v>760</v>
      </c>
      <c r="C597" s="5" t="str">
        <f>IFERROR(__xludf.DUMMYFUNCTION("GOOGLETRANSLATE(B597,""en"",""es-ES"")"),"Hay otra mujer haciendo salto de largo desde otro país.")</f>
        <v>Hay otra mujer haciendo salto de largo desde otro país.</v>
      </c>
    </row>
    <row r="598">
      <c r="A598" s="4" t="s">
        <v>758</v>
      </c>
      <c r="B598" s="4" t="s">
        <v>761</v>
      </c>
      <c r="C598" s="5" t="str">
        <f>IFERROR(__xludf.DUMMYFUNCTION("GOOGLETRANSLATE(B598,""en"",""es-ES"")"),"Varios otros concursantes participan en la misma competencia de salto de longitud.")</f>
        <v>Varios otros concursantes participan en la misma competencia de salto de longitud.</v>
      </c>
    </row>
    <row r="599">
      <c r="A599" s="4" t="s">
        <v>758</v>
      </c>
      <c r="B599" s="4" t="s">
        <v>762</v>
      </c>
      <c r="C599" s="5" t="str">
        <f>IFERROR(__xludf.DUMMYFUNCTION("GOOGLETRANSLATE(B599,""en"",""es-ES"")"),"Hay espectadores que los observan mientras compiten entre sí.")</f>
        <v>Hay espectadores que los observan mientras compiten entre sí.</v>
      </c>
    </row>
    <row r="600">
      <c r="A600" s="4" t="s">
        <v>758</v>
      </c>
      <c r="B600" s="4" t="s">
        <v>763</v>
      </c>
      <c r="C600" s="5" t="str">
        <f>IFERROR(__xludf.DUMMYFUNCTION("GOOGLETRANSLATE(B600,""en"",""es-ES"")"),"El concursante de Estambul hace un salto muy largo en el pozo de arena.")</f>
        <v>El concursante de Estambul hace un salto muy largo en el pozo de arena.</v>
      </c>
    </row>
    <row r="601">
      <c r="A601" s="4" t="s">
        <v>758</v>
      </c>
      <c r="B601" s="4" t="s">
        <v>764</v>
      </c>
      <c r="C601" s="5" t="str">
        <f>IFERROR(__xludf.DUMMYFUNCTION("GOOGLETRANSLATE(B601,""en"",""es-ES"")"),"Los concursantes continúan compitiendo en el evento deportivo.")</f>
        <v>Los concursantes continúan compitiendo en el evento deportivo.</v>
      </c>
    </row>
    <row r="602">
      <c r="A602" s="4" t="s">
        <v>765</v>
      </c>
      <c r="B602" s="4" t="s">
        <v>766</v>
      </c>
      <c r="C602" s="5" t="str">
        <f>IFERROR(__xludf.DUMMYFUNCTION("GOOGLETRANSLATE(B602,""en"",""es-ES"")"),"Se ve a un hombre sentado en un equipo de ejercicio con un entrenador parado frente a él.")</f>
        <v>Se ve a un hombre sentado en un equipo de ejercicio con un entrenador parado frente a él.</v>
      </c>
    </row>
    <row r="603">
      <c r="A603" s="4" t="s">
        <v>765</v>
      </c>
      <c r="B603" s="4" t="s">
        <v>767</v>
      </c>
      <c r="C603" s="5" t="str">
        <f>IFERROR(__xludf.DUMMYFUNCTION("GOOGLETRANSLATE(B603,""en"",""es-ES"")"),"El hombre luego retrocede y el cuarto en la máquina, mientras que el otro hombre ayuda.")</f>
        <v>El hombre luego retrocede y el cuarto en la máquina, mientras que el otro hombre ayuda.</v>
      </c>
    </row>
    <row r="604">
      <c r="A604" s="4" t="s">
        <v>765</v>
      </c>
      <c r="B604" s="4" t="s">
        <v>768</v>
      </c>
      <c r="C604" s="5" t="str">
        <f>IFERROR(__xludf.DUMMYFUNCTION("GOOGLETRANSLATE(B604,""en"",""es-ES"")"),"Se le muestra nuevamente en otros clips que se mueven y el entrenador ayuda.")</f>
        <v>Se le muestra nuevamente en otros clips que se mueven y el entrenador ayuda.</v>
      </c>
    </row>
    <row r="605">
      <c r="A605" s="4" t="s">
        <v>769</v>
      </c>
      <c r="B605" s="4" t="s">
        <v>770</v>
      </c>
      <c r="C605" s="5" t="str">
        <f>IFERROR(__xludf.DUMMYFUNCTION("GOOGLETRANSLATE(B605,""en"",""es-ES"")"),"Vemos las pantallas de título y presentaciones.")</f>
        <v>Vemos las pantallas de título y presentaciones.</v>
      </c>
    </row>
    <row r="606">
      <c r="A606" s="4" t="s">
        <v>769</v>
      </c>
      <c r="B606" s="4" t="s">
        <v>771</v>
      </c>
      <c r="C606" s="5" t="str">
        <f>IFERROR(__xludf.DUMMYFUNCTION("GOOGLETRANSLATE(B606,""en"",""es-ES"")"),"Vemos un bote con un hombre en él.")</f>
        <v>Vemos un bote con un hombre en él.</v>
      </c>
    </row>
    <row r="607">
      <c r="A607" s="4" t="s">
        <v>769</v>
      </c>
      <c r="B607" s="4" t="s">
        <v>772</v>
      </c>
      <c r="C607" s="5" t="str">
        <f>IFERROR(__xludf.DUMMYFUNCTION("GOOGLETRANSLATE(B607,""en"",""es-ES"")"),"Vemos gente y el interior del bote.")</f>
        <v>Vemos gente y el interior del bote.</v>
      </c>
    </row>
    <row r="608">
      <c r="A608" s="4" t="s">
        <v>769</v>
      </c>
      <c r="B608" s="4" t="s">
        <v>773</v>
      </c>
      <c r="C608" s="5" t="str">
        <f>IFERROR(__xludf.DUMMYFUNCTION("GOOGLETRANSLATE(B608,""en"",""es-ES"")"),"El hombre Wakeboards alrededor de un lago.")</f>
        <v>El hombre Wakeboards alrededor de un lago.</v>
      </c>
    </row>
    <row r="609">
      <c r="A609" s="4" t="s">
        <v>769</v>
      </c>
      <c r="B609" s="4" t="s">
        <v>774</v>
      </c>
      <c r="C609" s="5" t="str">
        <f>IFERROR(__xludf.DUMMYFUNCTION("GOOGLETRANSLATE(B609,""en"",""es-ES"")"),"Vemos el bote con gente en él.")</f>
        <v>Vemos el bote con gente en él.</v>
      </c>
    </row>
    <row r="610">
      <c r="A610" s="4" t="s">
        <v>769</v>
      </c>
      <c r="B610" s="4" t="s">
        <v>775</v>
      </c>
      <c r="C610" s="5" t="str">
        <f>IFERROR(__xludf.DUMMYFUNCTION("GOOGLETRANSLATE(B610,""en"",""es-ES"")"),"El hombre saca la escalera y se sube al bote, luego vemos que un bote despega y en una sala de espectáculos.")</f>
        <v>El hombre saca la escalera y se sube al bote, luego vemos que un bote despega y en una sala de espectáculos.</v>
      </c>
    </row>
    <row r="611">
      <c r="A611" s="4" t="s">
        <v>769</v>
      </c>
      <c r="B611" s="4" t="s">
        <v>776</v>
      </c>
      <c r="C611" s="5" t="str">
        <f>IFERROR(__xludf.DUMMYFUNCTION("GOOGLETRANSLATE(B611,""en"",""es-ES"")"),"El hombre se cae del wakeboard 2 veces.")</f>
        <v>El hombre se cae del wakeboard 2 veces.</v>
      </c>
    </row>
    <row r="612">
      <c r="A612" s="4" t="s">
        <v>769</v>
      </c>
      <c r="B612" s="4" t="s">
        <v>777</v>
      </c>
      <c r="C612" s="5" t="str">
        <f>IFERROR(__xludf.DUMMYFUNCTION("GOOGLETRANSLATE(B612,""en"",""es-ES"")"),"Vemos la pantalla de título final.")</f>
        <v>Vemos la pantalla de título final.</v>
      </c>
    </row>
    <row r="613">
      <c r="A613" s="4" t="s">
        <v>778</v>
      </c>
      <c r="B613" s="4" t="s">
        <v>779</v>
      </c>
      <c r="C613" s="5" t="str">
        <f>IFERROR(__xludf.DUMMYFUNCTION("GOOGLETRANSLATE(B613,""en"",""es-ES"")"),"Al principio se muestra al hombre engañando al toro.")</f>
        <v>Al principio se muestra al hombre engañando al toro.</v>
      </c>
    </row>
    <row r="614">
      <c r="A614" s="4" t="s">
        <v>778</v>
      </c>
      <c r="B614" s="4" t="s">
        <v>780</v>
      </c>
      <c r="C614" s="5" t="str">
        <f>IFERROR(__xludf.DUMMYFUNCTION("GOOGLETRANSLATE(B614,""en"",""es-ES"")"),"Se ha mostrado a muchos otros hombres engañando toros frente a grandes multitudes.")</f>
        <v>Se ha mostrado a muchos otros hombres engañando toros frente a grandes multitudes.</v>
      </c>
    </row>
    <row r="615">
      <c r="A615" s="4" t="s">
        <v>781</v>
      </c>
      <c r="B615" s="4" t="s">
        <v>782</v>
      </c>
      <c r="C615" s="5" t="str">
        <f>IFERROR(__xludf.DUMMYFUNCTION("GOOGLETRANSLATE(B615,""en"",""es-ES"")"),"Un joven gimnasta masculino es una arena parada en una colchoneta que se prepara para hacer su rutina.")</f>
        <v>Un joven gimnasta masculino es una arena parada en una colchoneta que se prepara para hacer su rutina.</v>
      </c>
    </row>
    <row r="616">
      <c r="A616" s="4" t="s">
        <v>781</v>
      </c>
      <c r="B616" s="4" t="s">
        <v>783</v>
      </c>
      <c r="C616" s="5" t="str">
        <f>IFERROR(__xludf.DUMMYFUNCTION("GOOGLETRANSLATE(B616,""en"",""es-ES"")"),"Luego, el niño se acercó a los bares y hace una serie de columpios y se paran manuales en el aire.")</f>
        <v>Luego, el niño se acercó a los bares y hace una serie de columpios y se paran manuales en el aire.</v>
      </c>
    </row>
    <row r="617">
      <c r="A617" s="4" t="s">
        <v>781</v>
      </c>
      <c r="B617" s="4" t="s">
        <v>784</v>
      </c>
      <c r="C617" s="5" t="str">
        <f>IFERROR(__xludf.DUMMYFUNCTION("GOOGLETRANSLATE(B617,""en"",""es-ES"")"),"Mientras actúa, agrega varios flips y roda a su actuación antes de finalmente saltar de las barras.")</f>
        <v>Mientras actúa, agrega varios flips y roda a su actuación antes de finalmente saltar de las barras.</v>
      </c>
    </row>
    <row r="618">
      <c r="A618" s="4" t="s">
        <v>785</v>
      </c>
      <c r="B618" s="4" t="s">
        <v>786</v>
      </c>
      <c r="C618" s="5" t="str">
        <f>IFERROR(__xludf.DUMMYFUNCTION("GOOGLETRANSLATE(B618,""en"",""es-ES"")"),"Los hombres juegan bádminton en la arena.")</f>
        <v>Los hombres juegan bádminton en la arena.</v>
      </c>
    </row>
    <row r="619">
      <c r="A619" s="4" t="s">
        <v>785</v>
      </c>
      <c r="B619" s="4" t="s">
        <v>787</v>
      </c>
      <c r="C619" s="5" t="str">
        <f>IFERROR(__xludf.DUMMYFUNCTION("GOOGLETRANSLATE(B619,""en"",""es-ES"")"),"Un hombre a la izquierda sirve al birdie a ambos hombres a la derecha lo extrañan.")</f>
        <v>Un hombre a la izquierda sirve al birdie a ambos hombres a la derecha lo extrañan.</v>
      </c>
    </row>
    <row r="620">
      <c r="A620" s="4" t="s">
        <v>785</v>
      </c>
      <c r="B620" s="4" t="s">
        <v>788</v>
      </c>
      <c r="C620" s="5" t="str">
        <f>IFERROR(__xludf.DUMMYFUNCTION("GOOGLETRANSLATE(B620,""en"",""es-ES"")"),"El hombre de la derecha sirve y el hombre de la izquierda lo devuelve pero golpea la red.")</f>
        <v>El hombre de la derecha sirve y el hombre de la izquierda lo devuelve pero golpea la red.</v>
      </c>
    </row>
    <row r="621">
      <c r="A621" s="4" t="s">
        <v>785</v>
      </c>
      <c r="B621" s="4" t="s">
        <v>789</v>
      </c>
      <c r="C621" s="5" t="str">
        <f>IFERROR(__xludf.DUMMYFUNCTION("GOOGLETRANSLATE(B621,""en"",""es-ES"")"),"Un hombre se para a la izquierda observando.")</f>
        <v>Un hombre se para a la izquierda observando.</v>
      </c>
    </row>
    <row r="622">
      <c r="A622" s="4" t="s">
        <v>790</v>
      </c>
      <c r="B622" s="4" t="s">
        <v>791</v>
      </c>
      <c r="C622" s="5" t="str">
        <f>IFERROR(__xludf.DUMMYFUNCTION("GOOGLETRANSLATE(B622,""en"",""es-ES"")"),"Un hombre pone yeso en una base.")</f>
        <v>Un hombre pone yeso en una base.</v>
      </c>
    </row>
    <row r="623">
      <c r="A623" s="4" t="s">
        <v>790</v>
      </c>
      <c r="B623" s="4" t="s">
        <v>792</v>
      </c>
      <c r="C623" s="5" t="str">
        <f>IFERROR(__xludf.DUMMYFUNCTION("GOOGLETRANSLATE(B623,""en"",""es-ES"")"),"El hombre se acerca y lo frota en el techo.")</f>
        <v>El hombre se acerca y lo frota en el techo.</v>
      </c>
    </row>
    <row r="624">
      <c r="A624" s="4" t="s">
        <v>790</v>
      </c>
      <c r="B624" s="4" t="s">
        <v>793</v>
      </c>
      <c r="C624" s="5" t="str">
        <f>IFERROR(__xludf.DUMMYFUNCTION("GOOGLETRANSLATE(B624,""en"",""es-ES"")"),"Vemos los pilotes sobre el que el hombre está caminando.")</f>
        <v>Vemos los pilotes sobre el que el hombre está caminando.</v>
      </c>
    </row>
    <row r="625">
      <c r="A625" s="4" t="s">
        <v>790</v>
      </c>
      <c r="B625" s="4" t="s">
        <v>794</v>
      </c>
      <c r="C625" s="5" t="str">
        <f>IFERROR(__xludf.DUMMYFUNCTION("GOOGLETRANSLATE(B625,""en"",""es-ES"")"),"La cámara se vuelve tambaleante y borrosa.")</f>
        <v>La cámara se vuelve tambaleante y borrosa.</v>
      </c>
    </row>
    <row r="626">
      <c r="A626" s="4" t="s">
        <v>790</v>
      </c>
      <c r="B626" s="4" t="s">
        <v>795</v>
      </c>
      <c r="C626" s="5" t="str">
        <f>IFERROR(__xludf.DUMMYFUNCTION("GOOGLETRANSLATE(B626,""en"",""es-ES"")"),"El hombre se dobla para agarrar más yeso.")</f>
        <v>El hombre se dobla para agarrar más yeso.</v>
      </c>
    </row>
    <row r="627">
      <c r="A627" s="4" t="s">
        <v>790</v>
      </c>
      <c r="B627" s="4" t="s">
        <v>796</v>
      </c>
      <c r="C627" s="5" t="str">
        <f>IFERROR(__xludf.DUMMYFUNCTION("GOOGLETRANSLATE(B627,""en"",""es-ES"")"),"El hombre sonríe y el video termina.")</f>
        <v>El hombre sonríe y el video termina.</v>
      </c>
    </row>
    <row r="628">
      <c r="A628" s="4" t="s">
        <v>797</v>
      </c>
      <c r="B628" s="4" t="s">
        <v>798</v>
      </c>
      <c r="C628" s="5" t="str">
        <f>IFERROR(__xludf.DUMMYFUNCTION("GOOGLETRANSLATE(B628,""en"",""es-ES"")"),"Hay un hombre asintiendo en el primer cuadro.")</f>
        <v>Hay un hombre asintiendo en el primer cuadro.</v>
      </c>
    </row>
    <row r="629">
      <c r="A629" s="4" t="s">
        <v>797</v>
      </c>
      <c r="B629" s="4" t="s">
        <v>799</v>
      </c>
      <c r="C629" s="5" t="str">
        <f>IFERROR(__xludf.DUMMYFUNCTION("GOOGLETRANSLATE(B629,""en"",""es-ES"")"),"Las películas de video al hombre que colocan el papel de la pared primero midiéndolo, alineando el patrón y poniéndolo en la pared.")</f>
        <v>Las películas de video al hombre que colocan el papel de la pared primero midiéndolo, alineando el patrón y poniéndolo en la pared.</v>
      </c>
    </row>
    <row r="630">
      <c r="A630" s="4" t="s">
        <v>797</v>
      </c>
      <c r="B630" s="4" t="s">
        <v>800</v>
      </c>
      <c r="C630" s="5" t="str">
        <f>IFERROR(__xludf.DUMMYFUNCTION("GOOGLETRANSLATE(B630,""en"",""es-ES"")"),"Luego desenrosca un interruptor de luz y lo saca solo un poco, haciendo algunas ranuras en la tela o el papel, luego poniendo el interruptor de luz sobre el nuevo papel de pared.")</f>
        <v>Luego desenrosca un interruptor de luz y lo saca solo un poco, haciendo algunas ranuras en la tela o el papel, luego poniendo el interruptor de luz sobre el nuevo papel de pared.</v>
      </c>
    </row>
    <row r="631">
      <c r="A631" s="4" t="s">
        <v>797</v>
      </c>
      <c r="B631" s="4" t="s">
        <v>801</v>
      </c>
      <c r="C631" s="5" t="str">
        <f>IFERROR(__xludf.DUMMYFUNCTION("GOOGLETRANSLATE(B631,""en"",""es-ES"")"),"La cámara muestra papel de pared en una habitación terminada, pasando por diferentes habitaciones con diferentes papeles de pared.")</f>
        <v>La cámara muestra papel de pared en una habitación terminada, pasando por diferentes habitaciones con diferentes papeles de pared.</v>
      </c>
    </row>
    <row r="632">
      <c r="A632" s="4" t="s">
        <v>797</v>
      </c>
      <c r="B632" s="4" t="s">
        <v>802</v>
      </c>
      <c r="C632" s="5" t="str">
        <f>IFERROR(__xludf.DUMMYFUNCTION("GOOGLETRANSLATE(B632,""en"",""es-ES"")"),"Más tarde, se ve al hombre midiendo y marcando la pared, extendiendo más papel de pared y poniéndolo en la pared.")</f>
        <v>Más tarde, se ve al hombre midiendo y marcando la pared, extendiendo más papel de pared y poniéndolo en la pared.</v>
      </c>
    </row>
    <row r="633">
      <c r="A633" s="4" t="s">
        <v>797</v>
      </c>
      <c r="B633" s="4" t="s">
        <v>803</v>
      </c>
      <c r="C633" s="5" t="str">
        <f>IFERROR(__xludf.DUMMYFUNCTION("GOOGLETRANSLATE(B633,""en"",""es-ES"")"),"Luego muestra dos tablas que parecen estar empapadas en la pared.")</f>
        <v>Luego muestra dos tablas que parecen estar empapadas en la pared.</v>
      </c>
    </row>
    <row r="634">
      <c r="A634" s="4" t="s">
        <v>804</v>
      </c>
      <c r="B634" s="4" t="s">
        <v>805</v>
      </c>
      <c r="C634" s="5" t="str">
        <f>IFERROR(__xludf.DUMMYFUNCTION("GOOGLETRANSLATE(B634,""en"",""es-ES"")"),"Una introducción de texto conduce a una imagen de un perro y el mismo perro que corre a lo largo del patio.")</f>
        <v>Una introducción de texto conduce a una imagen de un perro y el mismo perro que corre a lo largo del patio.</v>
      </c>
    </row>
    <row r="635">
      <c r="A635" s="4" t="s">
        <v>804</v>
      </c>
      <c r="B635" s="4" t="s">
        <v>806</v>
      </c>
      <c r="C635" s="5" t="str">
        <f>IFERROR(__xludf.DUMMYFUNCTION("GOOGLETRANSLATE(B635,""en"",""es-ES"")"),"El perro se ve en varios clips persiguiendo después de un frisbee.")</f>
        <v>El perro se ve en varios clips persiguiendo después de un frisbee.</v>
      </c>
    </row>
    <row r="636">
      <c r="A636" s="4" t="s">
        <v>804</v>
      </c>
      <c r="B636" s="4" t="s">
        <v>807</v>
      </c>
      <c r="C636" s="5" t="str">
        <f>IFERROR(__xludf.DUMMYFUNCTION("GOOGLETRANSLATE(B636,""en"",""es-ES"")"),"Un hombre arroja el frisbee al perro en el patio que continúa persiguiéndolo.")</f>
        <v>Un hombre arroja el frisbee al perro en el patio que continúa persiguiéndolo.</v>
      </c>
    </row>
    <row r="637">
      <c r="A637" s="4" t="s">
        <v>808</v>
      </c>
      <c r="B637" s="4" t="s">
        <v>809</v>
      </c>
      <c r="C637" s="5" t="str">
        <f>IFERROR(__xludf.DUMMYFUNCTION("GOOGLETRANSLATE(B637,""en"",""es-ES"")"),"Las personas corren con un palo alargado y lo usan para elevar sus cuerpos sobre un obstáculo elevado.")</f>
        <v>Las personas corren con un palo alargado y lo usan para elevar sus cuerpos sobre un obstáculo elevado.</v>
      </c>
    </row>
    <row r="638">
      <c r="A638" s="4" t="s">
        <v>808</v>
      </c>
      <c r="B638" s="4" t="s">
        <v>810</v>
      </c>
      <c r="C638" s="5" t="str">
        <f>IFERROR(__xludf.DUMMYFUNCTION("GOOGLETRANSLATE(B638,""en"",""es-ES"")"),"Un tipo toca la parte posterior del individuo mientras levanta su cuerpo.")</f>
        <v>Un tipo toca la parte posterior del individuo mientras levanta su cuerpo.</v>
      </c>
    </row>
    <row r="639">
      <c r="A639" s="4" t="s">
        <v>808</v>
      </c>
      <c r="B639" s="4" t="s">
        <v>811</v>
      </c>
      <c r="C639" s="5" t="str">
        <f>IFERROR(__xludf.DUMMYFUNCTION("GOOGLETRANSLATE(B639,""en"",""es-ES"")"),"El tipo parece que se cae mientras intenta levantar su cuerpo porque el clip se invierte.")</f>
        <v>El tipo parece que se cae mientras intenta levantar su cuerpo porque el clip se invierte.</v>
      </c>
    </row>
    <row r="640">
      <c r="A640" s="4" t="s">
        <v>808</v>
      </c>
      <c r="B640" s="4" t="s">
        <v>573</v>
      </c>
      <c r="C640" s="5" t="str">
        <f>IFERROR(__xludf.DUMMYFUNCTION("GOOGLETRANSLATE(B640,""en"",""es-ES"")"),"Se muestran los créditos del video.")</f>
        <v>Se muestran los créditos del video.</v>
      </c>
    </row>
    <row r="641">
      <c r="A641" s="4" t="s">
        <v>812</v>
      </c>
      <c r="B641" s="4" t="s">
        <v>813</v>
      </c>
      <c r="C641" s="5" t="str">
        <f>IFERROR(__xludf.DUMMYFUNCTION("GOOGLETRANSLATE(B641,""en"",""es-ES"")"),"Una cámara se enfrenta a una persona de pie en una cocina y luego baila en el piso.")</f>
        <v>Una cámara se enfrenta a una persona de pie en una cocina y luego baila en el piso.</v>
      </c>
    </row>
    <row r="642">
      <c r="A642" s="4" t="s">
        <v>812</v>
      </c>
      <c r="B642" s="4" t="s">
        <v>814</v>
      </c>
      <c r="C642" s="5" t="str">
        <f>IFERROR(__xludf.DUMMYFUNCTION("GOOGLETRANSLATE(B642,""en"",""es-ES"")"),"El hombre continúa bailando mientras mira a la cámara y canta.")</f>
        <v>El hombre continúa bailando mientras mira a la cámara y canta.</v>
      </c>
    </row>
    <row r="643">
      <c r="A643" s="4" t="s">
        <v>815</v>
      </c>
      <c r="B643" s="4" t="s">
        <v>816</v>
      </c>
      <c r="C643" s="5" t="str">
        <f>IFERROR(__xludf.DUMMYFUNCTION("GOOGLETRANSLATE(B643,""en"",""es-ES"")"),"Se ve a un gran grupo de animadoras que se encuentran con una arena animando y comienzan a realizar una rutina entre sí.")</f>
        <v>Se ve a un gran grupo de animadoras que se encuentran con una arena animando y comienzan a realizar una rutina entre sí.</v>
      </c>
    </row>
    <row r="644">
      <c r="A644" s="4" t="s">
        <v>815</v>
      </c>
      <c r="B644" s="4" t="s">
        <v>817</v>
      </c>
      <c r="C644" s="5" t="str">
        <f>IFERROR(__xludf.DUMMYFUNCTION("GOOGLETRANSLATE(B644,""en"",""es-ES"")"),"Las chicas continúan animando por el escenario mientras se levantan y realizan trucos y sartenes para la audiencia al final.")</f>
        <v>Las chicas continúan animando por el escenario mientras se levantan y realizan trucos y sartenes para la audiencia al final.</v>
      </c>
    </row>
    <row r="645">
      <c r="A645" s="4" t="s">
        <v>818</v>
      </c>
      <c r="B645" s="4" t="s">
        <v>819</v>
      </c>
      <c r="C645" s="5" t="str">
        <f>IFERROR(__xludf.DUMMYFUNCTION("GOOGLETRANSLATE(B645,""en"",""es-ES"")"),"Una mujer está sentada en una silla en un comedor.")</f>
        <v>Una mujer está sentada en una silla en un comedor.</v>
      </c>
    </row>
    <row r="646">
      <c r="A646" s="4" t="s">
        <v>818</v>
      </c>
      <c r="B646" s="4" t="s">
        <v>820</v>
      </c>
      <c r="C646" s="5" t="str">
        <f>IFERROR(__xludf.DUMMYFUNCTION("GOOGLETRANSLATE(B646,""en"",""es-ES"")"),"Ella muestra sus pies descalzos y su forma.")</f>
        <v>Ella muestra sus pies descalzos y su forma.</v>
      </c>
    </row>
    <row r="647">
      <c r="A647" s="4" t="s">
        <v>818</v>
      </c>
      <c r="B647" s="4" t="s">
        <v>821</v>
      </c>
      <c r="C647" s="5" t="str">
        <f>IFERROR(__xludf.DUMMYFUNCTION("GOOGLETRANSLATE(B647,""en"",""es-ES"")"),"Luego se pone e intenta atar sus zapatos alrededor de los pies hinchados.")</f>
        <v>Luego se pone e intenta atar sus zapatos alrededor de los pies hinchados.</v>
      </c>
    </row>
    <row r="648">
      <c r="A648" s="4" t="s">
        <v>822</v>
      </c>
      <c r="B648" s="4" t="s">
        <v>823</v>
      </c>
      <c r="C648" s="5" t="str">
        <f>IFERROR(__xludf.DUMMYFUNCTION("GOOGLETRANSLATE(B648,""en"",""es-ES"")"),"Dos niños están subiendo una pared de roca.")</f>
        <v>Dos niños están subiendo una pared de roca.</v>
      </c>
    </row>
    <row r="649">
      <c r="A649" s="4" t="s">
        <v>822</v>
      </c>
      <c r="B649" s="4" t="s">
        <v>824</v>
      </c>
      <c r="C649" s="5" t="str">
        <f>IFERROR(__xludf.DUMMYFUNCTION("GOOGLETRANSLATE(B649,""en"",""es-ES"")"),"Los adultos están guiando las líneas.")</f>
        <v>Los adultos están guiando las líneas.</v>
      </c>
    </row>
    <row r="650">
      <c r="A650" s="4" t="s">
        <v>822</v>
      </c>
      <c r="B650" s="4" t="s">
        <v>825</v>
      </c>
      <c r="C650" s="5" t="str">
        <f>IFERROR(__xludf.DUMMYFUNCTION("GOOGLETRANSLATE(B650,""en"",""es-ES"")"),"Los niños continúan subiendo.")</f>
        <v>Los niños continúan subiendo.</v>
      </c>
    </row>
    <row r="651">
      <c r="A651" s="4" t="s">
        <v>822</v>
      </c>
      <c r="B651" s="4" t="s">
        <v>826</v>
      </c>
      <c r="C651" s="5" t="str">
        <f>IFERROR(__xludf.DUMMYFUNCTION("GOOGLETRANSLATE(B651,""en"",""es-ES"")"),"El de la derecha llegará a la cima primero.")</f>
        <v>El de la derecha llegará a la cima primero.</v>
      </c>
    </row>
    <row r="652">
      <c r="A652" s="4" t="s">
        <v>822</v>
      </c>
      <c r="B652" s="4" t="s">
        <v>827</v>
      </c>
      <c r="C652" s="5" t="str">
        <f>IFERROR(__xludf.DUMMYFUNCTION("GOOGLETRANSLATE(B652,""en"",""es-ES"")"),"El de la izquierda no llegó a la cima, ambos regresaron por la pared.")</f>
        <v>El de la izquierda no llegó a la cima, ambos regresaron por la pared.</v>
      </c>
    </row>
    <row r="653">
      <c r="A653" s="4" t="s">
        <v>828</v>
      </c>
      <c r="B653" s="4" t="s">
        <v>829</v>
      </c>
      <c r="C653" s="5" t="str">
        <f>IFERROR(__xludf.DUMMYFUNCTION("GOOGLETRANSLATE(B653,""en"",""es-ES"")"),"Una mujer y un hombre hacen ejercicio sentado en una máquina cardiovascular.")</f>
        <v>Una mujer y un hombre hacen ejercicio sentado en una máquina cardiovascular.</v>
      </c>
    </row>
    <row r="654">
      <c r="A654" s="4" t="s">
        <v>828</v>
      </c>
      <c r="B654" s="4" t="s">
        <v>830</v>
      </c>
      <c r="C654" s="5" t="str">
        <f>IFERROR(__xludf.DUMMYFUNCTION("GOOGLETRANSLATE(B654,""en"",""es-ES"")"),"Una mujer trabaja sentada en una máquina cardiovascular.")</f>
        <v>Una mujer trabaja sentada en una máquina cardiovascular.</v>
      </c>
    </row>
    <row r="655">
      <c r="A655" s="4" t="s">
        <v>828</v>
      </c>
      <c r="B655" s="4" t="s">
        <v>831</v>
      </c>
      <c r="C655" s="5" t="str">
        <f>IFERROR(__xludf.DUMMYFUNCTION("GOOGLETRANSLATE(B655,""en"",""es-ES"")"),"Un hombre se sienta a continuación, una mujer realizando entrenamientos cardiovasculares.")</f>
        <v>Un hombre se sienta a continuación, una mujer realizando entrenamientos cardiovasculares.</v>
      </c>
    </row>
    <row r="656">
      <c r="A656" s="4" t="s">
        <v>832</v>
      </c>
      <c r="B656" s="4" t="s">
        <v>833</v>
      </c>
      <c r="C656" s="5" t="str">
        <f>IFERROR(__xludf.DUMMYFUNCTION("GOOGLETRANSLATE(B656,""en"",""es-ES"")"),"Una niña está jugando a la raya en una acera.")</f>
        <v>Una niña está jugando a la raya en una acera.</v>
      </c>
    </row>
    <row r="657">
      <c r="A657" s="4" t="s">
        <v>832</v>
      </c>
      <c r="B657" s="4" t="s">
        <v>834</v>
      </c>
      <c r="C657" s="5" t="str">
        <f>IFERROR(__xludf.DUMMYFUNCTION("GOOGLETRANSLATE(B657,""en"",""es-ES"")"),"Ella llega al final y se da vuelta para regresar.")</f>
        <v>Ella llega al final y se da vuelta para regresar.</v>
      </c>
    </row>
    <row r="658">
      <c r="A658" s="4" t="s">
        <v>832</v>
      </c>
      <c r="B658" s="4" t="s">
        <v>835</v>
      </c>
      <c r="C658" s="5" t="str">
        <f>IFERROR(__xludf.DUMMYFUNCTION("GOOGLETRANSLATE(B658,""en"",""es-ES"")"),"Otra chica arroja un disco a la acera y comienza a jugar a la rama.")</f>
        <v>Otra chica arroja un disco a la acera y comienza a jugar a la rama.</v>
      </c>
    </row>
    <row r="659">
      <c r="A659" s="4" t="s">
        <v>836</v>
      </c>
      <c r="B659" s="4" t="s">
        <v>837</v>
      </c>
      <c r="C659" s="5" t="str">
        <f>IFERROR(__xludf.DUMMYFUNCTION("GOOGLETRANSLATE(B659,""en"",""es-ES"")"),"Una persona resuelve un rompecabezas de cubo volteando las piezas.")</f>
        <v>Una persona resuelve un rompecabezas de cubo volteando las piezas.</v>
      </c>
    </row>
    <row r="660">
      <c r="A660" s="4" t="s">
        <v>836</v>
      </c>
      <c r="B660" s="4" t="s">
        <v>838</v>
      </c>
      <c r="C660" s="5" t="str">
        <f>IFERROR(__xludf.DUMMYFUNCTION("GOOGLETRANSLATE(B660,""en"",""es-ES"")"),"La persona resuelve el rompecabezas y muestra un cronómetro.")</f>
        <v>La persona resuelve el rompecabezas y muestra un cronómetro.</v>
      </c>
    </row>
    <row r="661">
      <c r="A661" s="4" t="s">
        <v>839</v>
      </c>
      <c r="B661" s="4" t="s">
        <v>840</v>
      </c>
      <c r="C661" s="5" t="str">
        <f>IFERROR(__xludf.DUMMYFUNCTION("GOOGLETRANSLATE(B661,""en"",""es-ES"")"),"Se ve a dos niños pequeños cabalgando en un camello más allá de un grupo de personas y un hombre que los guía.")</f>
        <v>Se ve a dos niños pequeños cabalgando en un camello más allá de un grupo de personas y un hombre que los guía.</v>
      </c>
    </row>
    <row r="662">
      <c r="A662" s="4" t="s">
        <v>839</v>
      </c>
      <c r="B662" s="4" t="s">
        <v>841</v>
      </c>
      <c r="C662" s="5" t="str">
        <f>IFERROR(__xludf.DUMMYFUNCTION("GOOGLETRANSLATE(B662,""en"",""es-ES"")"),"El hombre continúa llevando al camello con los niños en la cima y termina con ellos bajando y otros caminando.")</f>
        <v>El hombre continúa llevando al camello con los niños en la cima y termina con ellos bajando y otros caminando.</v>
      </c>
    </row>
    <row r="663">
      <c r="A663" s="4" t="s">
        <v>842</v>
      </c>
      <c r="B663" s="4" t="s">
        <v>843</v>
      </c>
      <c r="C663" s="5" t="str">
        <f>IFERROR(__xludf.DUMMYFUNCTION("GOOGLETRANSLATE(B663,""en"",""es-ES"")"),"Se ve a los niños pequeños saltando sobre una colchoneta y cuarto mientras dos mujeres mayores los miran a un lado.")</f>
        <v>Se ve a los niños pequeños saltando sobre una colchoneta y cuarto mientras dos mujeres mayores los miran a un lado.</v>
      </c>
    </row>
    <row r="664">
      <c r="A664" s="4" t="s">
        <v>842</v>
      </c>
      <c r="B664" s="4" t="s">
        <v>844</v>
      </c>
      <c r="C664" s="5" t="str">
        <f>IFERROR(__xludf.DUMMYFUNCTION("GOOGLETRANSLATE(B664,""en"",""es-ES"")"),"El niño luego da un gran salto y la niña se para frente a él.")</f>
        <v>El niño luego da un gran salto y la niña se para frente a él.</v>
      </c>
    </row>
    <row r="665">
      <c r="A665" s="4" t="s">
        <v>845</v>
      </c>
      <c r="B665" s="4" t="s">
        <v>846</v>
      </c>
      <c r="C665" s="5" t="str">
        <f>IFERROR(__xludf.DUMMYFUNCTION("GOOGLETRANSLATE(B665,""en"",""es-ES"")"),"Un hombre se acerca a una cucharada de nieve.")</f>
        <v>Un hombre se acerca a una cucharada de nieve.</v>
      </c>
    </row>
    <row r="666">
      <c r="A666" s="4" t="s">
        <v>845</v>
      </c>
      <c r="B666" s="4" t="s">
        <v>847</v>
      </c>
      <c r="C666" s="5" t="str">
        <f>IFERROR(__xludf.DUMMYFUNCTION("GOOGLETRANSLATE(B666,""en"",""es-ES"")"),"El hombre pala la nieve en un techo mientras el camarógrafo habla.")</f>
        <v>El hombre pala la nieve en un techo mientras el camarógrafo habla.</v>
      </c>
    </row>
    <row r="667">
      <c r="A667" s="4" t="s">
        <v>845</v>
      </c>
      <c r="B667" s="4" t="s">
        <v>848</v>
      </c>
      <c r="C667" s="5" t="str">
        <f>IFERROR(__xludf.DUMMYFUNCTION("GOOGLETRANSLATE(B667,""en"",""es-ES"")"),"El hombre deja de sacar la nieve.")</f>
        <v>El hombre deja de sacar la nieve.</v>
      </c>
    </row>
    <row r="668">
      <c r="A668" s="4" t="s">
        <v>849</v>
      </c>
      <c r="B668" s="4" t="s">
        <v>850</v>
      </c>
      <c r="C668" s="5" t="str">
        <f>IFERROR(__xludf.DUMMYFUNCTION("GOOGLETRANSLATE(B668,""en"",""es-ES"")"),"Un hombre sentado en un soplador de hojas comienza la máquina y sopla una gran pila de hojas en el cepillo cercano.")</f>
        <v>Un hombre sentado en un soplador de hojas comienza la máquina y sopla una gran pila de hojas en el cepillo cercano.</v>
      </c>
    </row>
    <row r="669">
      <c r="A669" s="4" t="s">
        <v>849</v>
      </c>
      <c r="B669" s="4" t="s">
        <v>851</v>
      </c>
      <c r="C669" s="5" t="str">
        <f>IFERROR(__xludf.DUMMYFUNCTION("GOOGLETRANSLATE(B669,""en"",""es-ES"")"),"Vemos el vehículo de vuelta y vamos de un lado a otro soplando las hojas.")</f>
        <v>Vemos el vehículo de vuelta y vamos de un lado a otro soplando las hojas.</v>
      </c>
    </row>
    <row r="670">
      <c r="A670" s="4" t="s">
        <v>849</v>
      </c>
      <c r="B670" s="4" t="s">
        <v>852</v>
      </c>
      <c r="C670" s="5" t="str">
        <f>IFERROR(__xludf.DUMMYFUNCTION("GOOGLETRANSLATE(B670,""en"",""es-ES"")"),"El camarógrafo detiene el vehículo y sale.")</f>
        <v>El camarógrafo detiene el vehículo y sale.</v>
      </c>
    </row>
    <row r="671">
      <c r="A671" s="4" t="s">
        <v>849</v>
      </c>
      <c r="B671" s="4" t="s">
        <v>853</v>
      </c>
      <c r="C671" s="5" t="str">
        <f>IFERROR(__xludf.DUMMYFUNCTION("GOOGLETRANSLATE(B671,""en"",""es-ES"")"),"Vemos el vehículo completo desde el frente y vemos el campo.")</f>
        <v>Vemos el vehículo completo desde el frente y vemos el campo.</v>
      </c>
    </row>
    <row r="672">
      <c r="A672" s="4" t="s">
        <v>854</v>
      </c>
      <c r="B672" s="4" t="s">
        <v>855</v>
      </c>
      <c r="C672" s="5" t="str">
        <f>IFERROR(__xludf.DUMMYFUNCTION("GOOGLETRANSLATE(B672,""en"",""es-ES"")"),"Vemos a un hombre levantar los brazos y prepararnos para montar el caballo de pomo.")</f>
        <v>Vemos a un hombre levantar los brazos y prepararnos para montar el caballo de pomo.</v>
      </c>
    </row>
    <row r="673">
      <c r="A673" s="4" t="s">
        <v>854</v>
      </c>
      <c r="B673" s="4" t="s">
        <v>856</v>
      </c>
      <c r="C673" s="5" t="str">
        <f>IFERROR(__xludf.DUMMYFUNCTION("GOOGLETRANSLATE(B673,""en"",""es-ES"")"),"El hombre monta el caballo de pomo.")</f>
        <v>El hombre monta el caballo de pomo.</v>
      </c>
    </row>
    <row r="674">
      <c r="A674" s="4" t="s">
        <v>854</v>
      </c>
      <c r="B674" s="4" t="s">
        <v>857</v>
      </c>
      <c r="C674" s="5" t="str">
        <f>IFERROR(__xludf.DUMMYFUNCTION("GOOGLETRANSLATE(B674,""en"",""es-ES"")"),"El hombre hace una parada de manos y arroja sus piernas abiertas sobre el pomo.")</f>
        <v>El hombre hace una parada de manos y arroja sus piernas abiertas sobre el pomo.</v>
      </c>
    </row>
    <row r="675">
      <c r="A675" s="4" t="s">
        <v>854</v>
      </c>
      <c r="B675" s="4" t="s">
        <v>858</v>
      </c>
      <c r="C675" s="5" t="str">
        <f>IFERROR(__xludf.DUMMYFUNCTION("GOOGLETRANSLATE(B675,""en"",""es-ES"")"),"El hombre gira en el caballo de pomo.")</f>
        <v>El hombre gira en el caballo de pomo.</v>
      </c>
    </row>
    <row r="676">
      <c r="A676" s="4" t="s">
        <v>854</v>
      </c>
      <c r="B676" s="4" t="s">
        <v>859</v>
      </c>
      <c r="C676" s="5" t="str">
        <f>IFERROR(__xludf.DUMMYFUNCTION("GOOGLETRANSLATE(B676,""en"",""es-ES"")"),"El hombre hace una parada de manos y desmonta.")</f>
        <v>El hombre hace una parada de manos y desmonta.</v>
      </c>
    </row>
    <row r="677">
      <c r="A677" s="4" t="s">
        <v>854</v>
      </c>
      <c r="B677" s="4" t="s">
        <v>860</v>
      </c>
      <c r="C677" s="5" t="str">
        <f>IFERROR(__xludf.DUMMYFUNCTION("GOOGLETRANSLATE(B677,""en"",""es-ES"")"),"El hombre levanta los brazos y se aleja.")</f>
        <v>El hombre levanta los brazos y se aleja.</v>
      </c>
    </row>
    <row r="678">
      <c r="A678" s="4" t="s">
        <v>854</v>
      </c>
      <c r="B678" s="4" t="s">
        <v>861</v>
      </c>
      <c r="C678" s="5" t="str">
        <f>IFERROR(__xludf.DUMMYFUNCTION("GOOGLETRANSLATE(B678,""en"",""es-ES"")"),"El hombre sacude la mano de otro hombre.")</f>
        <v>El hombre sacude la mano de otro hombre.</v>
      </c>
    </row>
    <row r="679">
      <c r="A679" s="4" t="s">
        <v>862</v>
      </c>
      <c r="B679" s="4" t="s">
        <v>863</v>
      </c>
      <c r="C679" s="5" t="str">
        <f>IFERROR(__xludf.DUMMYFUNCTION("GOOGLETRANSLATE(B679,""en"",""es-ES"")"),"Varias personas están jugando en una piscina pública.")</f>
        <v>Varias personas están jugando en una piscina pública.</v>
      </c>
    </row>
    <row r="680">
      <c r="A680" s="4" t="s">
        <v>862</v>
      </c>
      <c r="B680" s="4" t="s">
        <v>864</v>
      </c>
      <c r="C680" s="5" t="str">
        <f>IFERROR(__xludf.DUMMYFUNCTION("GOOGLETRANSLATE(B680,""en"",""es-ES"")"),"Nadan en el agua, jugando un juego con una pelota.")</f>
        <v>Nadan en el agua, jugando un juego con una pelota.</v>
      </c>
    </row>
    <row r="681">
      <c r="A681" s="4" t="s">
        <v>862</v>
      </c>
      <c r="B681" s="4" t="s">
        <v>865</v>
      </c>
      <c r="C681" s="5" t="str">
        <f>IFERROR(__xludf.DUMMYFUNCTION("GOOGLETRANSLATE(B681,""en"",""es-ES"")"),"Golpearon la pelota de un lado a otro, tratando de mantenerla el uno del otro.")</f>
        <v>Golpearon la pelota de un lado a otro, tratando de mantenerla el uno del otro.</v>
      </c>
    </row>
    <row r="682">
      <c r="A682" s="4" t="s">
        <v>866</v>
      </c>
      <c r="B682" s="4" t="s">
        <v>867</v>
      </c>
      <c r="C682" s="5" t="str">
        <f>IFERROR(__xludf.DUMMYFUNCTION("GOOGLETRANSLATE(B682,""en"",""es-ES"")"),"Se ve a una mujer hablando con la cámara y presentando varios líquidos a la cámara.")</f>
        <v>Se ve a una mujer hablando con la cámara y presentando varios líquidos a la cámara.</v>
      </c>
    </row>
    <row r="683">
      <c r="A683" s="4" t="s">
        <v>866</v>
      </c>
      <c r="B683" s="4" t="s">
        <v>868</v>
      </c>
      <c r="C683" s="5" t="str">
        <f>IFERROR(__xludf.DUMMYFUNCTION("GOOGLETRANSLATE(B683,""en"",""es-ES"")"),"Ella es la punta de un vaso y sumerge el vidrio en azúcar en un plato.")</f>
        <v>Ella es la punta de un vaso y sumerge el vidrio en azúcar en un plato.</v>
      </c>
    </row>
    <row r="684">
      <c r="A684" s="4" t="s">
        <v>866</v>
      </c>
      <c r="B684" s="4" t="s">
        <v>869</v>
      </c>
      <c r="C684" s="5" t="str">
        <f>IFERROR(__xludf.DUMMYFUNCTION("GOOGLETRANSLATE(B684,""en"",""es-ES"")"),"Ella vierte varios líquidos en una batidora y sacude la mezcla.")</f>
        <v>Ella vierte varios líquidos en una batidora y sacude la mezcla.</v>
      </c>
    </row>
    <row r="685">
      <c r="A685" s="4" t="s">
        <v>866</v>
      </c>
      <c r="B685" s="4" t="s">
        <v>870</v>
      </c>
      <c r="C685" s="5" t="str">
        <f>IFERROR(__xludf.DUMMYFUNCTION("GOOGLETRANSLATE(B685,""en"",""es-ES"")"),"Ella vierte la bebida en el vaso mientras sigue hablando con la cámara.")</f>
        <v>Ella vierte la bebida en el vaso mientras sigue hablando con la cámara.</v>
      </c>
    </row>
    <row r="686">
      <c r="A686" s="4" t="s">
        <v>871</v>
      </c>
      <c r="B686" s="4" t="s">
        <v>872</v>
      </c>
      <c r="C686" s="5" t="str">
        <f>IFERROR(__xludf.DUMMYFUNCTION("GOOGLETRANSLATE(B686,""en"",""es-ES"")"),"Se ve a un grupo de personas parados en un campo arenoso con uno arrojando una pelota de fútbol a otro.")</f>
        <v>Se ve a un grupo de personas parados en un campo arenoso con uno arrojando una pelota de fútbol a otro.</v>
      </c>
    </row>
    <row r="687">
      <c r="A687" s="4" t="s">
        <v>871</v>
      </c>
      <c r="B687" s="4" t="s">
        <v>873</v>
      </c>
      <c r="C687" s="5" t="str">
        <f>IFERROR(__xludf.DUMMYFUNCTION("GOOGLETRANSLATE(B687,""en"",""es-ES"")"),"La otra persona anota un gol y otros jugadores saltan sobre él y lo felicitan.")</f>
        <v>La otra persona anota un gol y otros jugadores saltan sobre él y lo felicitan.</v>
      </c>
    </row>
    <row r="688">
      <c r="A688" s="4" t="s">
        <v>871</v>
      </c>
      <c r="B688" s="4" t="s">
        <v>874</v>
      </c>
      <c r="C688" s="5" t="str">
        <f>IFERROR(__xludf.DUMMYFUNCTION("GOOGLETRANSLATE(B688,""en"",""es-ES"")"),"El mismo objetivo se muestra varias veces más desde diferentes ángulos.")</f>
        <v>El mismo objetivo se muestra varias veces más desde diferentes ángulos.</v>
      </c>
    </row>
    <row r="689">
      <c r="A689" s="4" t="s">
        <v>875</v>
      </c>
      <c r="B689" s="4" t="s">
        <v>876</v>
      </c>
      <c r="C689" s="5" t="str">
        <f>IFERROR(__xludf.DUMMYFUNCTION("GOOGLETRANSLATE(B689,""en"",""es-ES"")"),"El hombre está parado frente a una moto y coloca una tapa del inodoro en el asiento negro de Leather.")</f>
        <v>El hombre está parado frente a una moto y coloca una tapa del inodoro en el asiento negro de Leather.</v>
      </c>
    </row>
    <row r="690">
      <c r="A690" s="4" t="s">
        <v>875</v>
      </c>
      <c r="B690" s="4" t="s">
        <v>877</v>
      </c>
      <c r="C690" s="5" t="str">
        <f>IFERROR(__xludf.DUMMYFUNCTION("GOOGLETRANSLATE(B690,""en"",""es-ES"")"),"El hombre conduce la moto por la calle y un perro corre a su lado.")</f>
        <v>El hombre conduce la moto por la calle y un perro corre a su lado.</v>
      </c>
    </row>
    <row r="691">
      <c r="A691" s="4" t="s">
        <v>875</v>
      </c>
      <c r="B691" s="4" t="s">
        <v>878</v>
      </c>
      <c r="C691" s="5" t="str">
        <f>IFERROR(__xludf.DUMMYFUNCTION("GOOGLETRANSLATE(B691,""en"",""es-ES"")"),"El hombre abre el tronco de la moto y lo cierra.")</f>
        <v>El hombre abre el tronco de la moto y lo cierra.</v>
      </c>
    </row>
    <row r="692">
      <c r="A692" s="4" t="s">
        <v>879</v>
      </c>
      <c r="B692" s="4" t="s">
        <v>880</v>
      </c>
      <c r="C692" s="5" t="str">
        <f>IFERROR(__xludf.DUMMYFUNCTION("GOOGLETRANSLATE(B692,""en"",""es-ES"")"),"Se ve a un gran grupo de personas nadando alrededor de una piscina mientras un entrenador grita a los lados.")</f>
        <v>Se ve a un gran grupo de personas nadando alrededor de una piscina mientras un entrenador grita a los lados.</v>
      </c>
    </row>
    <row r="693">
      <c r="A693" s="4" t="s">
        <v>879</v>
      </c>
      <c r="B693" s="4" t="s">
        <v>881</v>
      </c>
      <c r="C693" s="5" t="str">
        <f>IFERROR(__xludf.DUMMYFUNCTION("GOOGLETRANSLATE(B693,""en"",""es-ES"")"),"Las tomas de personas que juegan se muestran cuando uno golpea al otro.")</f>
        <v>Las tomas de personas que juegan se muestran cuando uno golpea al otro.</v>
      </c>
    </row>
    <row r="694">
      <c r="A694" s="4" t="s">
        <v>879</v>
      </c>
      <c r="B694" s="4" t="s">
        <v>882</v>
      </c>
      <c r="C694" s="5" t="str">
        <f>IFERROR(__xludf.DUMMYFUNCTION("GOOGLETRANSLATE(B694,""en"",""es-ES"")"),"Los entrenadores se gritan el uno al otro mientras la gente todavía juega el juego.")</f>
        <v>Los entrenadores se gritan el uno al otro mientras la gente todavía juega el juego.</v>
      </c>
    </row>
    <row r="695">
      <c r="A695" s="4" t="s">
        <v>883</v>
      </c>
      <c r="B695" s="4" t="s">
        <v>884</v>
      </c>
      <c r="C695" s="5" t="str">
        <f>IFERROR(__xludf.DUMMYFUNCTION("GOOGLETRANSLATE(B695,""en"",""es-ES"")"),"Un niño pequeño está de pie comiendo helado.")</f>
        <v>Un niño pequeño está de pie comiendo helado.</v>
      </c>
    </row>
    <row r="696">
      <c r="A696" s="4" t="s">
        <v>883</v>
      </c>
      <c r="B696" s="4" t="s">
        <v>885</v>
      </c>
      <c r="C696" s="5" t="str">
        <f>IFERROR(__xludf.DUMMYFUNCTION("GOOGLETRANSLATE(B696,""en"",""es-ES"")"),"Hay un perro en el suelo detrás de él.")</f>
        <v>Hay un perro en el suelo detrás de él.</v>
      </c>
    </row>
    <row r="697">
      <c r="A697" s="4" t="s">
        <v>883</v>
      </c>
      <c r="B697" s="4" t="s">
        <v>886</v>
      </c>
      <c r="C697" s="5" t="str">
        <f>IFERROR(__xludf.DUMMYFUNCTION("GOOGLETRANSLATE(B697,""en"",""es-ES"")"),"Se ríe y se da vuelta.")</f>
        <v>Se ríe y se da vuelta.</v>
      </c>
    </row>
    <row r="698">
      <c r="A698" s="4" t="s">
        <v>887</v>
      </c>
      <c r="B698" s="4" t="s">
        <v>888</v>
      </c>
      <c r="C698" s="5" t="str">
        <f>IFERROR(__xludf.DUMMYFUNCTION("GOOGLETRANSLATE(B698,""en"",""es-ES"")"),"Una niña está sentada en una silla grande con dos chicas a su lado y un hombre tatuando su pie.")</f>
        <v>Una niña está sentada en una silla grande con dos chicas a su lado y un hombre tatuando su pie.</v>
      </c>
    </row>
    <row r="699">
      <c r="A699" s="4" t="s">
        <v>887</v>
      </c>
      <c r="B699" s="4" t="s">
        <v>889</v>
      </c>
      <c r="C699" s="5" t="str">
        <f>IFERROR(__xludf.DUMMYFUNCTION("GOOGLETRANSLATE(B699,""en"",""es-ES"")"),"Otro hombre entra en el cuadro y las chicas continúan hablando entre sí mientras el artista.")</f>
        <v>Otro hombre entra en el cuadro y las chicas continúan hablando entre sí mientras el artista.</v>
      </c>
    </row>
    <row r="700">
      <c r="A700" s="4" t="s">
        <v>890</v>
      </c>
      <c r="B700" s="4" t="s">
        <v>891</v>
      </c>
      <c r="C700" s="5" t="str">
        <f>IFERROR(__xludf.DUMMYFUNCTION("GOOGLETRANSLATE(B700,""en"",""es-ES"")"),"Una mujer detrás de una barra muestra cómo hacer una bebida mixta.")</f>
        <v>Una mujer detrás de una barra muestra cómo hacer una bebida mixta.</v>
      </c>
    </row>
    <row r="701">
      <c r="A701" s="4" t="s">
        <v>890</v>
      </c>
      <c r="B701" s="4" t="s">
        <v>892</v>
      </c>
      <c r="C701" s="5" t="str">
        <f>IFERROR(__xludf.DUMMYFUNCTION("GOOGLETRANSLATE(B701,""en"",""es-ES"")"),"Aparece una serie de tomas con una persona vertiendo alcohol en una copa de martini y luego la pantalla se desvanece en la pantalla del título de video que muestra un nombre de sitio web, el nombre de la bebida que está haciendo y la persona que la hará.")</f>
        <v>Aparece una serie de tomas con una persona vertiendo alcohol en una copa de martini y luego la pantalla se desvanece en la pantalla del título de video que muestra un nombre de sitio web, el nombre de la bebida que está haciendo y la persona que la hará.</v>
      </c>
    </row>
    <row r="702">
      <c r="A702" s="4" t="s">
        <v>890</v>
      </c>
      <c r="B702" s="4" t="s">
        <v>893</v>
      </c>
      <c r="C702" s="5" t="str">
        <f>IFERROR(__xludf.DUMMYFUNCTION("GOOGLETRANSLATE(B702,""en"",""es-ES"")"),"Se muestra una dirección de sitio web en la parte inferior de la pantalla.")</f>
        <v>Se muestra una dirección de sitio web en la parte inferior de la pantalla.</v>
      </c>
    </row>
    <row r="703">
      <c r="A703" s="4" t="s">
        <v>890</v>
      </c>
      <c r="B703" s="4" t="s">
        <v>894</v>
      </c>
      <c r="C703" s="5" t="str">
        <f>IFERROR(__xludf.DUMMYFUNCTION("GOOGLETRANSLATE(B703,""en"",""es-ES"")"),"Una niña de pie detrás de la barra explica los ingredientes que está usando para la bebida, las cantidades que está usando, y los mezcla todos en un vaso y presenta la bebida.")</f>
        <v>Una niña de pie detrás de la barra explica los ingredientes que está usando para la bebida, las cantidades que está usando, y los mezcla todos en un vaso y presenta la bebida.</v>
      </c>
    </row>
    <row r="704">
      <c r="A704" s="4" t="s">
        <v>890</v>
      </c>
      <c r="B704" s="4" t="s">
        <v>895</v>
      </c>
      <c r="C704" s="5" t="str">
        <f>IFERROR(__xludf.DUMMYFUNCTION("GOOGLETRANSLATE(B704,""en"",""es-ES"")"),"La cámara se acerca a la bebida y se desvanece hacia el negro para terminar el video.")</f>
        <v>La cámara se acerca a la bebida y se desvanece hacia el negro para terminar el video.</v>
      </c>
    </row>
    <row r="705">
      <c r="A705" s="4" t="s">
        <v>896</v>
      </c>
      <c r="B705" s="4" t="s">
        <v>897</v>
      </c>
      <c r="C705" s="5" t="str">
        <f>IFERROR(__xludf.DUMMYFUNCTION("GOOGLETRANSLATE(B705,""en"",""es-ES"")"),"Una mujer parada afuera cerca de una cancha de tenis hablando de cosas.")</f>
        <v>Una mujer parada afuera cerca de una cancha de tenis hablando de cosas.</v>
      </c>
    </row>
    <row r="706">
      <c r="A706" s="4" t="s">
        <v>896</v>
      </c>
      <c r="B706" s="4" t="s">
        <v>898</v>
      </c>
      <c r="C706" s="5" t="str">
        <f>IFERROR(__xludf.DUMMYFUNCTION("GOOGLETRANSLATE(B706,""en"",""es-ES"")"),"Una chica de negro con un bastón practicando sus movimientos y baila dentro del estudio.")</f>
        <v>Una chica de negro con un bastón practicando sus movimientos y baila dentro del estudio.</v>
      </c>
    </row>
    <row r="707">
      <c r="A707" s="4" t="s">
        <v>896</v>
      </c>
      <c r="B707" s="4" t="s">
        <v>899</v>
      </c>
      <c r="C707" s="5" t="str">
        <f>IFERROR(__xludf.DUMMYFUNCTION("GOOGLETRANSLATE(B707,""en"",""es-ES"")"),"Su entrenador hace una entrevista mientras se sienta con las manos juntas.")</f>
        <v>Su entrenador hace una entrevista mientras se sienta con las manos juntas.</v>
      </c>
    </row>
    <row r="708">
      <c r="A708" s="4" t="s">
        <v>896</v>
      </c>
      <c r="B708" s="4" t="s">
        <v>900</v>
      </c>
      <c r="C708" s="5" t="str">
        <f>IFERROR(__xludf.DUMMYFUNCTION("GOOGLETRANSLATE(B708,""en"",""es-ES"")"),"La niña continúa practicando sola en el estudio.")</f>
        <v>La niña continúa practicando sola en el estudio.</v>
      </c>
    </row>
    <row r="709">
      <c r="A709" s="4" t="s">
        <v>901</v>
      </c>
      <c r="B709" s="4" t="s">
        <v>902</v>
      </c>
      <c r="C709" s="5" t="str">
        <f>IFERROR(__xludf.DUMMYFUNCTION("GOOGLETRANSLATE(B709,""en"",""es-ES"")"),"Una joven presenta el video y explica lo que le hará a Wood.")</f>
        <v>Una joven presenta el video y explica lo que le hará a Wood.</v>
      </c>
    </row>
    <row r="710">
      <c r="A710" s="4" t="s">
        <v>901</v>
      </c>
      <c r="B710" s="4" t="s">
        <v>903</v>
      </c>
      <c r="C710" s="5" t="str">
        <f>IFERROR(__xludf.DUMMYFUNCTION("GOOGLETRANSLATE(B710,""en"",""es-ES"")"),"Ella coloca un trozo de burbujas y se asegura de que cubra alrededor de la mitad de la madera.")</f>
        <v>Ella coloca un trozo de burbujas y se asegura de que cubra alrededor de la mitad de la madera.</v>
      </c>
    </row>
    <row r="711">
      <c r="A711" s="4" t="s">
        <v>901</v>
      </c>
      <c r="B711" s="4" t="s">
        <v>904</v>
      </c>
      <c r="C711" s="5" t="str">
        <f>IFERROR(__xludf.DUMMYFUNCTION("GOOGLETRANSLATE(B711,""en"",""es-ES"")"),"Luego cubre el resto de la madera y la cruza como una tabla.")</f>
        <v>Luego cubre el resto de la madera y la cruza como una tabla.</v>
      </c>
    </row>
    <row r="712">
      <c r="A712" s="4" t="s">
        <v>905</v>
      </c>
      <c r="B712" s="4" t="s">
        <v>906</v>
      </c>
      <c r="C712" s="5" t="str">
        <f>IFERROR(__xludf.DUMMYFUNCTION("GOOGLETRANSLATE(B712,""en"",""es-ES"")"),"La gente está realizando acrobacias gimnásticas frente a una audiencia.")</f>
        <v>La gente está realizando acrobacias gimnásticas frente a una audiencia.</v>
      </c>
    </row>
    <row r="713">
      <c r="A713" s="4" t="s">
        <v>905</v>
      </c>
      <c r="B713" s="4" t="s">
        <v>907</v>
      </c>
      <c r="C713" s="5" t="str">
        <f>IFERROR(__xludf.DUMMYFUNCTION("GOOGLETRANSLATE(B713,""en"",""es-ES"")"),"Un chico bloquea los brazos alrededor de las barras sobre su cabeza.")</f>
        <v>Un chico bloquea los brazos alrededor de las barras sobre su cabeza.</v>
      </c>
    </row>
    <row r="714">
      <c r="A714" s="4" t="s">
        <v>905</v>
      </c>
      <c r="B714" s="4" t="s">
        <v>908</v>
      </c>
      <c r="C714" s="5" t="str">
        <f>IFERROR(__xludf.DUMMYFUNCTION("GOOGLETRANSLATE(B714,""en"",""es-ES"")"),"El tipo balancea su cuerpo mientras se aferran a los bares.")</f>
        <v>El tipo balancea su cuerpo mientras se aferran a los bares.</v>
      </c>
    </row>
    <row r="715">
      <c r="A715" s="4" t="s">
        <v>905</v>
      </c>
      <c r="B715" s="4" t="s">
        <v>909</v>
      </c>
      <c r="C715" s="5" t="str">
        <f>IFERROR(__xludf.DUMMYFUNCTION("GOOGLETRANSLATE(B715,""en"",""es-ES"")"),"El tipo sale de las barras y aterriza en sus pies, aplaude y comienza a irse.")</f>
        <v>El tipo sale de las barras y aterriza en sus pies, aplaude y comienza a irse.</v>
      </c>
    </row>
    <row r="716">
      <c r="A716" s="4" t="s">
        <v>905</v>
      </c>
      <c r="B716" s="4" t="s">
        <v>910</v>
      </c>
      <c r="C716" s="5" t="str">
        <f>IFERROR(__xludf.DUMMYFUNCTION("GOOGLETRANSLATE(B716,""en"",""es-ES"")"),"Un hombre se acerca al chico aplaudiendo.")</f>
        <v>Un hombre se acerca al chico aplaudiendo.</v>
      </c>
    </row>
    <row r="717">
      <c r="A717" s="4" t="s">
        <v>911</v>
      </c>
      <c r="B717" s="4" t="s">
        <v>912</v>
      </c>
      <c r="C717" s="5" t="str">
        <f>IFERROR(__xludf.DUMMYFUNCTION("GOOGLETRANSLATE(B717,""en"",""es-ES"")"),"Dos gymasts se están actuando frente a una multitud.")</f>
        <v>Dos gymasts se están actuando frente a una multitud.</v>
      </c>
    </row>
    <row r="718">
      <c r="A718" s="4" t="s">
        <v>911</v>
      </c>
      <c r="B718" s="4" t="s">
        <v>913</v>
      </c>
      <c r="C718" s="5" t="str">
        <f>IFERROR(__xludf.DUMMYFUNCTION("GOOGLETRANSLATE(B718,""en"",""es-ES"")"),"Uno está girando constantemente en una viga.")</f>
        <v>Uno está girando constantemente en una viga.</v>
      </c>
    </row>
    <row r="719">
      <c r="A719" s="4" t="s">
        <v>911</v>
      </c>
      <c r="B719" s="4" t="s">
        <v>914</v>
      </c>
      <c r="C719" s="5" t="str">
        <f>IFERROR(__xludf.DUMMYFUNCTION("GOOGLETRANSLATE(B719,""en"",""es-ES"")"),"El hombre en monturas rojas y comienza a girar, realizando varios trucos.")</f>
        <v>El hombre en monturas rojas y comienza a girar, realizando varios trucos.</v>
      </c>
    </row>
    <row r="720">
      <c r="A720" s="4" t="s">
        <v>911</v>
      </c>
      <c r="B720" s="4" t="s">
        <v>915</v>
      </c>
      <c r="C720" s="5" t="str">
        <f>IFERROR(__xludf.DUMMYFUNCTION("GOOGLETRANSLATE(B720,""en"",""es-ES"")"),"El hombre desmonta y pone un brazo victorioso en el aire.")</f>
        <v>El hombre desmonta y pone un brazo victorioso en el aire.</v>
      </c>
    </row>
    <row r="721">
      <c r="A721" s="4" t="s">
        <v>916</v>
      </c>
      <c r="B721" s="4" t="s">
        <v>917</v>
      </c>
      <c r="C721" s="5" t="str">
        <f>IFERROR(__xludf.DUMMYFUNCTION("GOOGLETRANSLATE(B721,""en"",""es-ES"")"),"Un niño saca una cadena de una máquina de fitness en el hogar mientras habla.")</f>
        <v>Un niño saca una cadena de una máquina de fitness en el hogar mientras habla.</v>
      </c>
    </row>
    <row r="722">
      <c r="A722" s="4" t="s">
        <v>916</v>
      </c>
      <c r="B722" s="4" t="s">
        <v>918</v>
      </c>
      <c r="C722" s="5" t="str">
        <f>IFERROR(__xludf.DUMMYFUNCTION("GOOGLETRANSLATE(B722,""en"",""es-ES"")"),"Luego, el niño cae por el suelo.")</f>
        <v>Luego, el niño cae por el suelo.</v>
      </c>
    </row>
    <row r="723">
      <c r="A723" s="4" t="s">
        <v>919</v>
      </c>
      <c r="B723" s="4" t="s">
        <v>920</v>
      </c>
      <c r="C723" s="5" t="str">
        <f>IFERROR(__xludf.DUMMYFUNCTION("GOOGLETRANSLATE(B723,""en"",""es-ES"")"),"Hay un gran equipo de participantes que se preparan para participar en una actividad de tubo de agua.")</f>
        <v>Hay un gran equipo de participantes que se preparan para participar en una actividad de tubo de agua.</v>
      </c>
    </row>
    <row r="724">
      <c r="A724" s="4" t="s">
        <v>919</v>
      </c>
      <c r="B724" s="4" t="s">
        <v>921</v>
      </c>
      <c r="C724" s="5" t="str">
        <f>IFERROR(__xludf.DUMMYFUNCTION("GOOGLETRANSLATE(B724,""en"",""es-ES"")"),"Caminan por un terreno montañoso hasta el río.")</f>
        <v>Caminan por un terreno montañoso hasta el río.</v>
      </c>
    </row>
    <row r="725">
      <c r="A725" s="4" t="s">
        <v>919</v>
      </c>
      <c r="B725" s="4" t="s">
        <v>922</v>
      </c>
      <c r="C725" s="5" t="str">
        <f>IFERROR(__xludf.DUMMYFUNCTION("GOOGLETRANSLATE(B725,""en"",""es-ES"")"),"Entran en sus tubos y comienzan a bajar por los rápidos.")</f>
        <v>Entran en sus tubos y comienzan a bajar por los rápidos.</v>
      </c>
    </row>
    <row r="726">
      <c r="A726" s="4" t="s">
        <v>919</v>
      </c>
      <c r="B726" s="4" t="s">
        <v>923</v>
      </c>
      <c r="C726" s="5" t="str">
        <f>IFERROR(__xludf.DUMMYFUNCTION("GOOGLETRANSLATE(B726,""en"",""es-ES"")"),"Los participantes parecen muy tranquilos y felices mientras saludan a la cámara.")</f>
        <v>Los participantes parecen muy tranquilos y felices mientras saludan a la cámara.</v>
      </c>
    </row>
    <row r="727">
      <c r="A727" s="4" t="s">
        <v>919</v>
      </c>
      <c r="B727" s="4" t="s">
        <v>924</v>
      </c>
      <c r="C727" s="5" t="str">
        <f>IFERROR(__xludf.DUMMYFUNCTION("GOOGLETRANSLATE(B727,""en"",""es-ES"")"),"Todos comienzan su viaje por los rápidos a medida que el agua comienza a ser más turbulento.")</f>
        <v>Todos comienzan su viaje por los rápidos a medida que el agua comienza a ser más turbulento.</v>
      </c>
    </row>
    <row r="728">
      <c r="A728" s="4" t="s">
        <v>919</v>
      </c>
      <c r="B728" s="4" t="s">
        <v>925</v>
      </c>
      <c r="C728" s="5" t="str">
        <f>IFERROR(__xludf.DUMMYFUNCTION("GOOGLETRANSLATE(B728,""en"",""es-ES"")"),"Continúan avanzando con la corriente de agua a medida que fluyen constantemente a través del agua.")</f>
        <v>Continúan avanzando con la corriente de agua a medida que fluyen constantemente a través del agua.</v>
      </c>
    </row>
    <row r="729">
      <c r="A729" s="4" t="s">
        <v>919</v>
      </c>
      <c r="B729" s="4" t="s">
        <v>926</v>
      </c>
      <c r="C729" s="5" t="str">
        <f>IFERROR(__xludf.DUMMYFUNCTION("GOOGLETRANSLATE(B729,""en"",""es-ES"")"),"Luego, todos llegan a las orillas del río donde el agua está tranquila y constante.")</f>
        <v>Luego, todos llegan a las orillas del río donde el agua está tranquila y constante.</v>
      </c>
    </row>
    <row r="730">
      <c r="A730" s="4" t="s">
        <v>927</v>
      </c>
      <c r="B730" s="4" t="s">
        <v>928</v>
      </c>
      <c r="C730" s="5" t="str">
        <f>IFERROR(__xludf.DUMMYFUNCTION("GOOGLETRANSLATE(B730,""en"",""es-ES"")"),"El video está representado por North Face y Cliff Bar, donde muestran a los alumnos de montaña en el Parque Nacional Yosemite.")</f>
        <v>El video está representado por North Face y Cliff Bar, donde muestran a los alumnos de montaña en el Parque Nacional Yosemite.</v>
      </c>
    </row>
    <row r="731">
      <c r="A731" s="4" t="s">
        <v>927</v>
      </c>
      <c r="B731" s="4" t="s">
        <v>929</v>
      </c>
      <c r="C731" s="5" t="str">
        <f>IFERROR(__xludf.DUMMYFUNCTION("GOOGLETRANSLATE(B731,""en"",""es-ES"")"),"Hay varias personas hablando sobre la fascinación de la escalada.")</f>
        <v>Hay varias personas hablando sobre la fascinación de la escalada.</v>
      </c>
    </row>
    <row r="732">
      <c r="A732" s="4" t="s">
        <v>927</v>
      </c>
      <c r="B732" s="4" t="s">
        <v>930</v>
      </c>
      <c r="C732" s="5" t="str">
        <f>IFERROR(__xludf.DUMMYFUNCTION("GOOGLETRANSLATE(B732,""en"",""es-ES"")"),"Hay fotos de personas con pañuelos que se muestran sentados en las cimas de las montañas.")</f>
        <v>Hay fotos de personas con pañuelos que se muestran sentados en las cimas de las montañas.</v>
      </c>
    </row>
    <row r="733">
      <c r="A733" s="4" t="s">
        <v>927</v>
      </c>
      <c r="B733" s="4" t="s">
        <v>931</v>
      </c>
      <c r="C733" s="5" t="str">
        <f>IFERROR(__xludf.DUMMYFUNCTION("GOOGLETRANSLATE(B733,""en"",""es-ES"")"),"Hay un hombre que está escalando en una pendiente empinada.")</f>
        <v>Hay un hombre que está escalando en una pendiente empinada.</v>
      </c>
    </row>
    <row r="734">
      <c r="A734" s="4" t="s">
        <v>927</v>
      </c>
      <c r="B734" s="4" t="s">
        <v>932</v>
      </c>
      <c r="C734" s="5" t="str">
        <f>IFERROR(__xludf.DUMMYFUNCTION("GOOGLETRANSLATE(B734,""en"",""es-ES"")"),"Otro hombre da un salto desde la cima de la montaña en un intento de saltar desde esa altura.")</f>
        <v>Otro hombre da un salto desde la cima de la montaña en un intento de saltar desde esa altura.</v>
      </c>
    </row>
    <row r="735">
      <c r="A735" s="4" t="s">
        <v>933</v>
      </c>
      <c r="B735" s="4" t="s">
        <v>934</v>
      </c>
      <c r="C735" s="5" t="str">
        <f>IFERROR(__xludf.DUMMYFUNCTION("GOOGLETRANSLATE(B735,""en"",""es-ES"")"),"Un grupo de niños jóvenes está dentro de una cancha de baloncesto.")</f>
        <v>Un grupo de niños jóvenes está dentro de una cancha de baloncesto.</v>
      </c>
    </row>
    <row r="736">
      <c r="A736" s="4" t="s">
        <v>933</v>
      </c>
      <c r="B736" s="4" t="s">
        <v>935</v>
      </c>
      <c r="C736" s="5" t="str">
        <f>IFERROR(__xludf.DUMMYFUNCTION("GOOGLETRANSLATE(B736,""en"",""es-ES"")"),"Juegan un juego mientras el entrenador los anima y los instruye.")</f>
        <v>Juegan un juego mientras el entrenador los anima y los instruye.</v>
      </c>
    </row>
    <row r="737">
      <c r="A737" s="4" t="s">
        <v>933</v>
      </c>
      <c r="B737" s="4" t="s">
        <v>936</v>
      </c>
      <c r="C737" s="5" t="str">
        <f>IFERROR(__xludf.DUMMYFUNCTION("GOOGLETRANSLATE(B737,""en"",""es-ES"")"),"Algunos de los chicos observan desde la barrera, esperando su turno.")</f>
        <v>Algunos de los chicos observan desde la barrera, esperando su turno.</v>
      </c>
    </row>
    <row r="738">
      <c r="A738" s="4" t="s">
        <v>937</v>
      </c>
      <c r="B738" s="4" t="s">
        <v>938</v>
      </c>
      <c r="C738" s="5" t="str">
        <f>IFERROR(__xludf.DUMMYFUNCTION("GOOGLETRANSLATE(B738,""en"",""es-ES"")"),"Se muestran escenas de invierno con vehículos y nevadas pesadas.")</f>
        <v>Se muestran escenas de invierno con vehículos y nevadas pesadas.</v>
      </c>
    </row>
    <row r="739">
      <c r="A739" s="4" t="s">
        <v>937</v>
      </c>
      <c r="B739" s="4" t="s">
        <v>939</v>
      </c>
      <c r="C739" s="5" t="str">
        <f>IFERROR(__xludf.DUMMYFUNCTION("GOOGLETRANSLATE(B739,""en"",""es-ES"")"),"Se muestran escenas del interior de un aeropuerto, con personas caminando o esperando.")</f>
        <v>Se muestran escenas del interior de un aeropuerto, con personas caminando o esperando.</v>
      </c>
    </row>
    <row r="740">
      <c r="A740" s="4" t="s">
        <v>937</v>
      </c>
      <c r="B740" s="4" t="s">
        <v>940</v>
      </c>
      <c r="C740" s="5" t="str">
        <f>IFERROR(__xludf.DUMMYFUNCTION("GOOGLETRANSLATE(B740,""en"",""es-ES"")"),"Una mujer habla con la cámara.")</f>
        <v>Una mujer habla con la cámara.</v>
      </c>
    </row>
    <row r="741">
      <c r="A741" s="4" t="s">
        <v>937</v>
      </c>
      <c r="B741" s="4" t="s">
        <v>941</v>
      </c>
      <c r="C741" s="5" t="str">
        <f>IFERROR(__xludf.DUMMYFUNCTION("GOOGLETRANSLATE(B741,""en"",""es-ES"")"),"Un hombre limpia la nieve de un auto.")</f>
        <v>Un hombre limpia la nieve de un auto.</v>
      </c>
    </row>
    <row r="742">
      <c r="A742" s="4" t="s">
        <v>937</v>
      </c>
      <c r="B742" s="4" t="s">
        <v>942</v>
      </c>
      <c r="C742" s="5" t="str">
        <f>IFERROR(__xludf.DUMMYFUNCTION("GOOGLETRANSLATE(B742,""en"",""es-ES"")"),"Se muestran más escenas de una tormenta de invierno.")</f>
        <v>Se muestran más escenas de una tormenta de invierno.</v>
      </c>
    </row>
    <row r="743">
      <c r="A743" s="4" t="s">
        <v>937</v>
      </c>
      <c r="B743" s="4" t="s">
        <v>943</v>
      </c>
      <c r="C743" s="5" t="str">
        <f>IFERROR(__xludf.DUMMYFUNCTION("GOOGLETRANSLATE(B743,""en"",""es-ES"")"),"Se muestran escenas de personas que limpian la nieve de sus vehículos.")</f>
        <v>Se muestran escenas de personas que limpian la nieve de sus vehículos.</v>
      </c>
    </row>
    <row r="744">
      <c r="A744" s="4" t="s">
        <v>937</v>
      </c>
      <c r="B744" s="4" t="s">
        <v>944</v>
      </c>
      <c r="C744" s="5" t="str">
        <f>IFERROR(__xludf.DUMMYFUNCTION("GOOGLETRANSLATE(B744,""en"",""es-ES"")"),"Una mujer diferente habla con la cámara.")</f>
        <v>Una mujer diferente habla con la cámara.</v>
      </c>
    </row>
    <row r="745">
      <c r="A745" s="4" t="s">
        <v>937</v>
      </c>
      <c r="B745" s="4" t="s">
        <v>945</v>
      </c>
      <c r="C745" s="5" t="str">
        <f>IFERROR(__xludf.DUMMYFUNCTION("GOOGLETRANSLATE(B745,""en"",""es-ES"")"),"Un coche se aleja de la cámara.")</f>
        <v>Un coche se aleja de la cámara.</v>
      </c>
    </row>
    <row r="746">
      <c r="A746" s="4" t="s">
        <v>937</v>
      </c>
      <c r="B746" s="4" t="s">
        <v>946</v>
      </c>
      <c r="C746" s="5" t="str">
        <f>IFERROR(__xludf.DUMMYFUNCTION("GOOGLETRANSLATE(B746,""en"",""es-ES"")"),"Dos personas hablan con la cámara.")</f>
        <v>Dos personas hablan con la cámara.</v>
      </c>
    </row>
    <row r="747">
      <c r="A747" s="4" t="s">
        <v>937</v>
      </c>
      <c r="B747" s="4" t="s">
        <v>947</v>
      </c>
      <c r="C747" s="5" t="str">
        <f>IFERROR(__xludf.DUMMYFUNCTION("GOOGLETRANSLATE(B747,""en"",""es-ES"")"),"Un camión se aleja de la cámara.")</f>
        <v>Un camión se aleja de la cámara.</v>
      </c>
    </row>
    <row r="748">
      <c r="A748" s="4" t="s">
        <v>948</v>
      </c>
      <c r="B748" s="4" t="s">
        <v>949</v>
      </c>
      <c r="C748" s="5" t="str">
        <f>IFERROR(__xludf.DUMMYFUNCTION("GOOGLETRANSLATE(B748,""en"",""es-ES"")"),"Una mujer se muestra con un pincel y un pedazo de lienzo.")</f>
        <v>Una mujer se muestra con un pincel y un pedazo de lienzo.</v>
      </c>
    </row>
    <row r="749">
      <c r="A749" s="4" t="s">
        <v>948</v>
      </c>
      <c r="B749" s="4" t="s">
        <v>950</v>
      </c>
      <c r="C749" s="5" t="str">
        <f>IFERROR(__xludf.DUMMYFUNCTION("GOOGLETRANSLATE(B749,""en"",""es-ES"")"),"Ella usa pintura verde para llenar un dibujo de una planta.")</f>
        <v>Ella usa pintura verde para llenar un dibujo de una planta.</v>
      </c>
    </row>
    <row r="750">
      <c r="A750" s="4" t="s">
        <v>948</v>
      </c>
      <c r="B750" s="4" t="s">
        <v>951</v>
      </c>
      <c r="C750" s="5" t="str">
        <f>IFERROR(__xludf.DUMMYFUNCTION("GOOGLETRANSLATE(B750,""en"",""es-ES"")"),"Ella da la vuelta en círculos, pintando la imagen.")</f>
        <v>Ella da la vuelta en círculos, pintando la imagen.</v>
      </c>
    </row>
    <row r="751">
      <c r="A751" s="4" t="s">
        <v>952</v>
      </c>
      <c r="B751" s="4" t="s">
        <v>953</v>
      </c>
      <c r="C751" s="5" t="str">
        <f>IFERROR(__xludf.DUMMYFUNCTION("GOOGLETRANSLATE(B751,""en"",""es-ES"")"),"Un hombre blanco está vestido afuera con un uniforme de Escocia de pie afuera en medio de un cementerio.")</f>
        <v>Un hombre blanco está vestido afuera con un uniforme de Escocia de pie afuera en medio de un cementerio.</v>
      </c>
    </row>
    <row r="752">
      <c r="A752" s="4" t="s">
        <v>952</v>
      </c>
      <c r="B752" s="4" t="s">
        <v>954</v>
      </c>
      <c r="C752" s="5" t="str">
        <f>IFERROR(__xludf.DUMMYFUNCTION("GOOGLETRANSLATE(B752,""en"",""es-ES"")"),"Mientras está de pie, toca las tuberías de la bolsa con la bandera estadounidense colgando de ellos.")</f>
        <v>Mientras está de pie, toca las tuberías de la bolsa con la bandera estadounidense colgando de ellos.</v>
      </c>
    </row>
    <row r="753">
      <c r="A753" s="4" t="s">
        <v>952</v>
      </c>
      <c r="B753" s="4" t="s">
        <v>955</v>
      </c>
      <c r="C753" s="5" t="str">
        <f>IFERROR(__xludf.DUMMYFUNCTION("GOOGLETRANSLATE(B753,""en"",""es-ES"")"),"Cuando termina, comienza a mirar a su derecha, sacude la cabeza, me da la respiración y sigue jugando.")</f>
        <v>Cuando termina, comienza a mirar a su derecha, sacude la cabeza, me da la respiración y sigue jugando.</v>
      </c>
    </row>
    <row r="754">
      <c r="A754" s="4" t="s">
        <v>956</v>
      </c>
      <c r="B754" s="4" t="s">
        <v>957</v>
      </c>
      <c r="C754" s="5" t="str">
        <f>IFERROR(__xludf.DUMMYFUNCTION("GOOGLETRANSLATE(B754,""en"",""es-ES"")"),"Una señal de primer plano es seguida por una joven pareja que mira a la cámara.")</f>
        <v>Una señal de primer plano es seguida por una joven pareja que mira a la cámara.</v>
      </c>
    </row>
    <row r="755">
      <c r="A755" s="4" t="s">
        <v>956</v>
      </c>
      <c r="B755" s="4" t="s">
        <v>958</v>
      </c>
      <c r="C755" s="5" t="str">
        <f>IFERROR(__xludf.DUMMYFUNCTION("GOOGLETRANSLATE(B755,""en"",""es-ES"")"),"Otras personas son vistas de pie a un lado y observando a los otros dos.")</f>
        <v>Otras personas son vistas de pie a un lado y observando a los otros dos.</v>
      </c>
    </row>
    <row r="756">
      <c r="A756" s="4" t="s">
        <v>956</v>
      </c>
      <c r="B756" s="4" t="s">
        <v>959</v>
      </c>
      <c r="C756" s="5" t="str">
        <f>IFERROR(__xludf.DUMMYFUNCTION("GOOGLETRANSLATE(B756,""en"",""es-ES"")"),"El coupé se aferra y luego salta del costado mientras los demás se paran y miran.")</f>
        <v>El coupé se aferra y luego salta del costado mientras los demás se paran y miran.</v>
      </c>
    </row>
    <row r="757">
      <c r="A757" s="4" t="s">
        <v>960</v>
      </c>
      <c r="B757" s="4" t="s">
        <v>961</v>
      </c>
      <c r="C757" s="5" t="str">
        <f>IFERROR(__xludf.DUMMYFUNCTION("GOOGLETRANSLATE(B757,""en"",""es-ES"")"),"Se ve a una persona realizando varios flips y trucos frente a la audiencia y conduce a un niño de pie en el medio.")</f>
        <v>Se ve a una persona realizando varios flips y trucos frente a la audiencia y conduce a un niño de pie en el medio.</v>
      </c>
    </row>
    <row r="758">
      <c r="A758" s="4" t="s">
        <v>960</v>
      </c>
      <c r="B758" s="4" t="s">
        <v>962</v>
      </c>
      <c r="C758" s="5" t="str">
        <f>IFERROR(__xludf.DUMMYFUNCTION("GOOGLETRANSLATE(B758,""en"",""es-ES"")"),"El niño y el hombre luchan uno contra el otro haciendo varios trucos y terminan con el brazo del niño.")</f>
        <v>El niño y el hombre luchan uno contra el otro haciendo varios trucos y terminan con el brazo del niño.</v>
      </c>
    </row>
    <row r="759">
      <c r="A759" s="4" t="s">
        <v>960</v>
      </c>
      <c r="B759" s="4" t="s">
        <v>963</v>
      </c>
      <c r="C759" s="5" t="str">
        <f>IFERROR(__xludf.DUMMYFUNCTION("GOOGLETRANSLATE(B759,""en"",""es-ES"")"),"Luego aplaude al niño y a varias personas en el aplauso.")</f>
        <v>Luego aplaude al niño y a varias personas en el aplauso.</v>
      </c>
    </row>
    <row r="760">
      <c r="A760" s="4" t="s">
        <v>964</v>
      </c>
      <c r="B760" s="4" t="s">
        <v>965</v>
      </c>
      <c r="C760" s="5" t="str">
        <f>IFERROR(__xludf.DUMMYFUNCTION("GOOGLETRANSLATE(B760,""en"",""es-ES"")"),"Un niño pequeño haciendo karate está gritando comandos.")</f>
        <v>Un niño pequeño haciendo karate está gritando comandos.</v>
      </c>
    </row>
    <row r="761">
      <c r="A761" s="4" t="s">
        <v>964</v>
      </c>
      <c r="B761" s="4" t="s">
        <v>966</v>
      </c>
      <c r="C761" s="5" t="str">
        <f>IFERROR(__xludf.DUMMYFUNCTION("GOOGLETRANSLATE(B761,""en"",""es-ES"")"),"Comienza a hacer algunos de sus movimientos de karate, moviéndose por toda la cancha.")</f>
        <v>Comienza a hacer algunos de sus movimientos de karate, moviéndose por toda la cancha.</v>
      </c>
    </row>
    <row r="762">
      <c r="A762" s="4" t="s">
        <v>964</v>
      </c>
      <c r="B762" s="4" t="s">
        <v>967</v>
      </c>
      <c r="C762" s="5" t="str">
        <f>IFERROR(__xludf.DUMMYFUNCTION("GOOGLETRANSLATE(B762,""en"",""es-ES"")"),"Es un cinturón azul que se juzga por sus habilidades.")</f>
        <v>Es un cinturón azul que se juzga por sus habilidades.</v>
      </c>
    </row>
    <row r="763">
      <c r="A763" s="4" t="s">
        <v>964</v>
      </c>
      <c r="B763" s="4" t="s">
        <v>968</v>
      </c>
      <c r="C763" s="5" t="str">
        <f>IFERROR(__xludf.DUMMYFUNCTION("GOOGLETRANSLATE(B763,""en"",""es-ES"")"),"Se inclina con gracia antes de irse y los jueces arrojan sus banderas.")</f>
        <v>Se inclina con gracia antes de irse y los jueces arrojan sus banderas.</v>
      </c>
    </row>
    <row r="764">
      <c r="A764" s="4" t="s">
        <v>969</v>
      </c>
      <c r="B764" s="4" t="s">
        <v>970</v>
      </c>
      <c r="C764" s="5" t="str">
        <f>IFERROR(__xludf.DUMMYFUNCTION("GOOGLETRANSLATE(B764,""en"",""es-ES"")"),"Un grupo de hombres está parado en una tabla de buceo y toman términos saltando de la mesa de buceo.")</f>
        <v>Un grupo de hombres está parado en una tabla de buceo y toman términos saltando de la mesa de buceo.</v>
      </c>
    </row>
    <row r="765">
      <c r="A765" s="4" t="s">
        <v>969</v>
      </c>
      <c r="B765" s="4" t="s">
        <v>971</v>
      </c>
      <c r="C765" s="5" t="str">
        <f>IFERROR(__xludf.DUMMYFUNCTION("GOOGLETRANSLATE(B765,""en"",""es-ES"")"),"A medida que la última persona salta del tablero, se muestra a un grupo de hombres caminando por la piscina.")</f>
        <v>A medida que la última persona salta del tablero, se muestra a un grupo de hombres caminando por la piscina.</v>
      </c>
    </row>
    <row r="766">
      <c r="A766" s="4" t="s">
        <v>972</v>
      </c>
      <c r="B766" s="4" t="s">
        <v>973</v>
      </c>
      <c r="C766" s="5" t="str">
        <f>IFERROR(__xludf.DUMMYFUNCTION("GOOGLETRANSLATE(B766,""en"",""es-ES"")"),"Una mujer con cabello rubio, una chaqueta morada y guantes negros está parado cerca de una conversación estable.")</f>
        <v>Una mujer con cabello rubio, una chaqueta morada y guantes negros está parado cerca de una conversación estable.</v>
      </c>
    </row>
    <row r="767">
      <c r="A767" s="4" t="s">
        <v>972</v>
      </c>
      <c r="B767" s="4" t="s">
        <v>974</v>
      </c>
      <c r="C767" s="5" t="str">
        <f>IFERROR(__xludf.DUMMYFUNCTION("GOOGLETRANSLATE(B767,""en"",""es-ES"")"),"Mientras continúa hablando, se muestra su silla y comienza a hablar sobre los detalles de la misma.")</f>
        <v>Mientras continúa hablando, se muestra su silla y comienza a hablar sobre los detalles de la misma.</v>
      </c>
    </row>
    <row r="768">
      <c r="A768" s="4" t="s">
        <v>972</v>
      </c>
      <c r="B768" s="4" t="s">
        <v>975</v>
      </c>
      <c r="C768" s="5" t="str">
        <f>IFERROR(__xludf.DUMMYFUNCTION("GOOGLETRANSLATE(B768,""en"",""es-ES"")"),"La señora lo pone en el caballo y comienza a frotar ciertas partes para asegurarse de que sea seguro.")</f>
        <v>La señora lo pone en el caballo y comienza a frotar ciertas partes para asegurarse de que sea seguro.</v>
      </c>
    </row>
    <row r="769">
      <c r="A769" s="4" t="s">
        <v>976</v>
      </c>
      <c r="B769" s="4" t="s">
        <v>977</v>
      </c>
      <c r="C769" s="5" t="str">
        <f>IFERROR(__xludf.DUMMYFUNCTION("GOOGLETRANSLATE(B769,""en"",""es-ES"")"),"Se muestra un primer plano de un globo con una persona que apunta una narguile.")</f>
        <v>Se muestra un primer plano de un globo con una persona que apunta una narguile.</v>
      </c>
    </row>
    <row r="770">
      <c r="A770" s="4" t="s">
        <v>976</v>
      </c>
      <c r="B770" s="4" t="s">
        <v>978</v>
      </c>
      <c r="C770" s="5" t="str">
        <f>IFERROR(__xludf.DUMMYFUNCTION("GOOGLETRANSLATE(B770,""en"",""es-ES"")"),"Luego se ve al hombre mirando de cerca la cámara.")</f>
        <v>Luego se ve al hombre mirando de cerca la cámara.</v>
      </c>
    </row>
    <row r="771">
      <c r="A771" s="4" t="s">
        <v>976</v>
      </c>
      <c r="B771" s="4" t="s">
        <v>979</v>
      </c>
      <c r="C771" s="5" t="str">
        <f>IFERROR(__xludf.DUMMYFUNCTION("GOOGLETRANSLATE(B771,""en"",""es-ES"")"),"Finalmente le quita los anillos de humo de su boca.")</f>
        <v>Finalmente le quita los anillos de humo de su boca.</v>
      </c>
    </row>
    <row r="772">
      <c r="A772" s="4" t="s">
        <v>980</v>
      </c>
      <c r="B772" s="4" t="s">
        <v>981</v>
      </c>
      <c r="C772" s="5" t="str">
        <f>IFERROR(__xludf.DUMMYFUNCTION("GOOGLETRANSLATE(B772,""en"",""es-ES"")"),"La palabra curling aparece en la pantalla numerosas veces.")</f>
        <v>La palabra curling aparece en la pantalla numerosas veces.</v>
      </c>
    </row>
    <row r="773">
      <c r="A773" s="4" t="s">
        <v>980</v>
      </c>
      <c r="B773" s="4" t="s">
        <v>982</v>
      </c>
      <c r="C773" s="5" t="str">
        <f>IFERROR(__xludf.DUMMYFUNCTION("GOOGLETRANSLATE(B773,""en"",""es-ES"")"),"Se muestra a una mujer que le seca el cabello, se cepillan y se rizó por un especialista.")</f>
        <v>Se muestra a una mujer que le seca el cabello, se cepillan y se rizó por un especialista.</v>
      </c>
    </row>
    <row r="774">
      <c r="A774" s="4" t="s">
        <v>980</v>
      </c>
      <c r="B774" s="4" t="s">
        <v>983</v>
      </c>
      <c r="C774" s="5" t="str">
        <f>IFERROR(__xludf.DUMMYFUNCTION("GOOGLETRANSLATE(B774,""en"",""es-ES"")"),"Él coloca su cabello es rodillos, luego los derriba y lo establece.")</f>
        <v>Él coloca su cabello es rodillos, luego los derriba y lo establece.</v>
      </c>
    </row>
    <row r="775">
      <c r="A775" s="4" t="s">
        <v>980</v>
      </c>
      <c r="B775" s="4" t="s">
        <v>984</v>
      </c>
      <c r="C775" s="5" t="str">
        <f>IFERROR(__xludf.DUMMYFUNCTION("GOOGLETRANSLATE(B775,""en"",""es-ES"")"),"Luego posa con su nuevo peinado.")</f>
        <v>Luego posa con su nuevo peinado.</v>
      </c>
    </row>
    <row r="776">
      <c r="A776" s="4" t="s">
        <v>985</v>
      </c>
      <c r="B776" s="4" t="s">
        <v>986</v>
      </c>
      <c r="C776" s="5" t="str">
        <f>IFERROR(__xludf.DUMMYFUNCTION("GOOGLETRANSLATE(B776,""en"",""es-ES"")"),"Se muestran varias tomas de un edificio, así como un lago rodeado de árboles.")</f>
        <v>Se muestran varias tomas de un edificio, así como un lago rodeado de árboles.</v>
      </c>
    </row>
    <row r="777">
      <c r="A777" s="4" t="s">
        <v>985</v>
      </c>
      <c r="B777" s="4" t="s">
        <v>987</v>
      </c>
      <c r="C777" s="5" t="str">
        <f>IFERROR(__xludf.DUMMYFUNCTION("GOOGLETRANSLATE(B777,""en"",""es-ES"")"),"Se ve a muchas personas montar canoas y se muestran los pies y las piernas de una persona.")</f>
        <v>Se ve a muchas personas montar canoas y se muestran los pies y las piernas de una persona.</v>
      </c>
    </row>
    <row r="778">
      <c r="A778" s="4" t="s">
        <v>985</v>
      </c>
      <c r="B778" s="4" t="s">
        <v>988</v>
      </c>
      <c r="C778" s="5" t="str">
        <f>IFERROR(__xludf.DUMMYFUNCTION("GOOGLETRANSLATE(B778,""en"",""es-ES"")"),"La gente viaja por el río mientras la cámara se mete en más paisajes y árboles.")</f>
        <v>La gente viaja por el río mientras la cámara se mete en más paisajes y árboles.</v>
      </c>
    </row>
    <row r="779">
      <c r="A779" s="4" t="s">
        <v>989</v>
      </c>
      <c r="B779" s="4" t="s">
        <v>990</v>
      </c>
      <c r="C779" s="5" t="str">
        <f>IFERROR(__xludf.DUMMYFUNCTION("GOOGLETRANSLATE(B779,""en"",""es-ES"")"),"Vemos a un niño en cuclillas en la tierra.")</f>
        <v>Vemos a un niño en cuclillas en la tierra.</v>
      </c>
    </row>
    <row r="780">
      <c r="A780" s="4" t="s">
        <v>989</v>
      </c>
      <c r="B780" s="4" t="s">
        <v>991</v>
      </c>
      <c r="C780" s="5" t="str">
        <f>IFERROR(__xludf.DUMMYFUNCTION("GOOGLETRANSLATE(B780,""en"",""es-ES"")"),"Luego vemos la pantalla del título.")</f>
        <v>Luego vemos la pantalla del título.</v>
      </c>
    </row>
    <row r="781">
      <c r="A781" s="4" t="s">
        <v>989</v>
      </c>
      <c r="B781" s="4" t="s">
        <v>992</v>
      </c>
      <c r="C781" s="5" t="str">
        <f>IFERROR(__xludf.DUMMYFUNCTION("GOOGLETRANSLATE(B781,""en"",""es-ES"")"),"El niño intenta hacer una fogata usando un pedernal.")</f>
        <v>El niño intenta hacer una fogata usando un pedernal.</v>
      </c>
    </row>
    <row r="782">
      <c r="A782" s="4" t="s">
        <v>989</v>
      </c>
      <c r="B782" s="4" t="s">
        <v>993</v>
      </c>
      <c r="C782" s="5" t="str">
        <f>IFERROR(__xludf.DUMMYFUNCTION("GOOGLETRANSLATE(B782,""en"",""es-ES"")"),"Las pequeñas llamas comienzan y crecen.")</f>
        <v>Las pequeñas llamas comienzan y crecen.</v>
      </c>
    </row>
    <row r="783">
      <c r="A783" s="4" t="s">
        <v>989</v>
      </c>
      <c r="B783" s="4" t="s">
        <v>994</v>
      </c>
      <c r="C783" s="5" t="str">
        <f>IFERROR(__xludf.DUMMYFUNCTION("GOOGLETRANSLATE(B783,""en"",""es-ES"")"),"El niño se levanta al lado de su fuego.")</f>
        <v>El niño se levanta al lado de su fuego.</v>
      </c>
    </row>
    <row r="784">
      <c r="A784" s="4" t="s">
        <v>989</v>
      </c>
      <c r="B784" s="4" t="s">
        <v>995</v>
      </c>
      <c r="C784" s="5" t="str">
        <f>IFERROR(__xludf.DUMMYFUNCTION("GOOGLETRANSLATE(B784,""en"",""es-ES"")"),"Vemos 2 tarjetas de título sobre incendios iniciales para la supervivencia y el sitio web se muestra antes de las pantallas finales.")</f>
        <v>Vemos 2 tarjetas de título sobre incendios iniciales para la supervivencia y el sitio web se muestra antes de las pantallas finales.</v>
      </c>
    </row>
    <row r="785">
      <c r="A785" s="4" t="s">
        <v>996</v>
      </c>
      <c r="B785" s="4" t="s">
        <v>997</v>
      </c>
      <c r="C785" s="5" t="str">
        <f>IFERROR(__xludf.DUMMYFUNCTION("GOOGLETRANSLATE(B785,""en"",""es-ES"")"),"Un grupo de personas está parado en un estacionamiento.")</f>
        <v>Un grupo de personas está parado en un estacionamiento.</v>
      </c>
    </row>
    <row r="786">
      <c r="A786" s="4" t="s">
        <v>996</v>
      </c>
      <c r="B786" s="4" t="s">
        <v>998</v>
      </c>
      <c r="C786" s="5" t="str">
        <f>IFERROR(__xludf.DUMMYFUNCTION("GOOGLETRANSLATE(B786,""en"",""es-ES"")"),"La gente se mueve en varias técnicas de artes marciales.")</f>
        <v>La gente se mueve en varias técnicas de artes marciales.</v>
      </c>
    </row>
    <row r="787">
      <c r="A787" s="4" t="s">
        <v>996</v>
      </c>
      <c r="B787" s="4" t="s">
        <v>999</v>
      </c>
      <c r="C787" s="5" t="str">
        <f>IFERROR(__xludf.DUMMYFUNCTION("GOOGLETRANSLATE(B787,""en"",""es-ES"")"),"Patan y golpean de un lado a otro.")</f>
        <v>Patan y golpean de un lado a otro.</v>
      </c>
    </row>
    <row r="788">
      <c r="A788" s="4" t="s">
        <v>1000</v>
      </c>
      <c r="B788" s="4" t="s">
        <v>1001</v>
      </c>
      <c r="C788" s="5" t="str">
        <f>IFERROR(__xludf.DUMMYFUNCTION("GOOGLETRANSLATE(B788,""en"",""es-ES"")"),"Vemos una llanta pinchada en un automóvil.")</f>
        <v>Vemos una llanta pinchada en un automóvil.</v>
      </c>
    </row>
    <row r="789">
      <c r="A789" s="4" t="s">
        <v>1000</v>
      </c>
      <c r="B789" s="4" t="s">
        <v>1002</v>
      </c>
      <c r="C789" s="5" t="str">
        <f>IFERROR(__xludf.DUMMYFUNCTION("GOOGLETRANSLATE(B789,""en"",""es-ES"")"),"El propietario saca la llanta y las herramientas de repuesto.")</f>
        <v>El propietario saca la llanta y las herramientas de repuesto.</v>
      </c>
    </row>
    <row r="790">
      <c r="A790" s="4" t="s">
        <v>1000</v>
      </c>
      <c r="B790" s="4" t="s">
        <v>1003</v>
      </c>
      <c r="C790" s="5" t="str">
        <f>IFERROR(__xludf.DUMMYFUNCTION("GOOGLETRANSLATE(B790,""en"",""es-ES"")"),"La persona sube el auto.")</f>
        <v>La persona sube el auto.</v>
      </c>
    </row>
    <row r="791">
      <c r="A791" s="4" t="s">
        <v>1000</v>
      </c>
      <c r="B791" s="4" t="s">
        <v>1004</v>
      </c>
      <c r="C791" s="5" t="str">
        <f>IFERROR(__xludf.DUMMYFUNCTION("GOOGLETRANSLATE(B791,""en"",""es-ES"")"),"La persona pone su mano debajo del neumático elevado.")</f>
        <v>La persona pone su mano debajo del neumático elevado.</v>
      </c>
    </row>
    <row r="792">
      <c r="A792" s="4" t="s">
        <v>1000</v>
      </c>
      <c r="B792" s="4" t="s">
        <v>1005</v>
      </c>
      <c r="C792" s="5" t="str">
        <f>IFERROR(__xludf.DUMMYFUNCTION("GOOGLETRANSLATE(B792,""en"",""es-ES"")"),"El hombre se quita el neumático malo.")</f>
        <v>El hombre se quita el neumático malo.</v>
      </c>
    </row>
    <row r="793">
      <c r="A793" s="4" t="s">
        <v>1000</v>
      </c>
      <c r="B793" s="4" t="s">
        <v>1006</v>
      </c>
      <c r="C793" s="5" t="str">
        <f>IFERROR(__xludf.DUMMYFUNCTION("GOOGLETRANSLATE(B793,""en"",""es-ES"")"),"El hombre muestra un tornillo en su neumático.")</f>
        <v>El hombre muestra un tornillo en su neumático.</v>
      </c>
    </row>
    <row r="794">
      <c r="A794" s="4" t="s">
        <v>1000</v>
      </c>
      <c r="B794" s="4" t="s">
        <v>1007</v>
      </c>
      <c r="C794" s="5" t="str">
        <f>IFERROR(__xludf.DUMMYFUNCTION("GOOGLETRANSLATE(B794,""en"",""es-ES"")"),"El hombre se pone la llanta de repuesto.")</f>
        <v>El hombre se pone la llanta de repuesto.</v>
      </c>
    </row>
    <row r="795">
      <c r="A795" s="4" t="s">
        <v>1000</v>
      </c>
      <c r="B795" s="4" t="s">
        <v>1008</v>
      </c>
      <c r="C795" s="5" t="str">
        <f>IFERROR(__xludf.DUMMYFUNCTION("GOOGLETRANSLATE(B795,""en"",""es-ES"")"),"El hombre baja el auto sobre el repuesto.")</f>
        <v>El hombre baja el auto sobre el repuesto.</v>
      </c>
    </row>
    <row r="796">
      <c r="A796" s="4" t="s">
        <v>1009</v>
      </c>
      <c r="B796" s="4" t="s">
        <v>1010</v>
      </c>
      <c r="C796" s="5" t="str">
        <f>IFERROR(__xludf.DUMMYFUNCTION("GOOGLETRANSLATE(B796,""en"",""es-ES"")"),"Un hombre en una canoa habla y remos en un lago rodeado de grandes rocas, árboles, follaje, kayaks callejeros y otras personas en canoas.")</f>
        <v>Un hombre en una canoa habla y remos en un lago rodeado de grandes rocas, árboles, follaje, kayaks callejeros y otras personas en canoas.</v>
      </c>
    </row>
    <row r="797">
      <c r="A797" s="4" t="s">
        <v>1009</v>
      </c>
      <c r="B797" s="4" t="s">
        <v>1011</v>
      </c>
      <c r="C797" s="5" t="str">
        <f>IFERROR(__xludf.DUMMYFUNCTION("GOOGLETRANSLATE(B797,""en"",""es-ES"")"),"El hombre comienza en una vista de perfil que sostiene una paleta mientras está sentado en una canoa y habla con una cámara ocasionalmente apuntando a una orilla cercana con la paleta.")</f>
        <v>El hombre comienza en una vista de perfil que sostiene una paleta mientras está sentado en una canoa y habla con una cámara ocasionalmente apuntando a una orilla cercana con la paleta.</v>
      </c>
    </row>
    <row r="798">
      <c r="A798" s="4" t="s">
        <v>1009</v>
      </c>
      <c r="B798" s="4" t="s">
        <v>1012</v>
      </c>
      <c r="C798" s="5" t="str">
        <f>IFERROR(__xludf.DUMMYFUNCTION("GOOGLETRANSLATE(B798,""en"",""es-ES"")"),"Luego, el hombre usa la paleta en el agua para empujar la canoa más profundamente hacia el agua.")</f>
        <v>Luego, el hombre usa la paleta en el agua para empujar la canoa más profundamente hacia el agua.</v>
      </c>
    </row>
    <row r="799">
      <c r="A799" s="4" t="s">
        <v>1009</v>
      </c>
      <c r="B799" s="4" t="s">
        <v>1013</v>
      </c>
      <c r="C799" s="5" t="str">
        <f>IFERROR(__xludf.DUMMYFUNCTION("GOOGLETRANSLATE(B799,""en"",""es-ES"")"),"El hombre comienza a remar libremente en el agua, pasando por el camino, un grupo de personas en una canoa y varias canoas y kayaks callejeros en el agua, antes de enfrentar la cámara nuevamente en un primer plano y hablando.")</f>
        <v>El hombre comienza a remar libremente en el agua, pasando por el camino, un grupo de personas en una canoa y varias canoas y kayaks callejeros en el agua, antes de enfrentar la cámara nuevamente en un primer plano y hablando.</v>
      </c>
    </row>
    <row r="800">
      <c r="A800" s="4" t="s">
        <v>1014</v>
      </c>
      <c r="B800" s="4" t="s">
        <v>1015</v>
      </c>
      <c r="C800" s="5" t="str">
        <f>IFERROR(__xludf.DUMMYFUNCTION("GOOGLETRANSLATE(B800,""en"",""es-ES"")"),"Las palabras blancas aparecen en la pantalla y dicen ""El sueño americano"" y un hombre que lleva un casco salta al camino de la colina de la tierra y continúa caminando hacia abajo, agarra su patineta y comienza a patinar en la carretera al final de la c"&amp;"olina de un muy pintoresco área.")</f>
        <v>Las palabras blancas aparecen en la pantalla y dicen "El sueño americano" y un hombre que lleva un casco salta al camino de la colina de la tierra y continúa caminando hacia abajo, agarra su patineta y comienza a patinar en la carretera al final de la colina de un muy pintoresco área.</v>
      </c>
    </row>
    <row r="801">
      <c r="A801" s="4" t="s">
        <v>1014</v>
      </c>
      <c r="B801" s="4" t="s">
        <v>1016</v>
      </c>
      <c r="C801" s="5" t="str">
        <f>IFERROR(__xludf.DUMMYFUNCTION("GOOGLETRANSLATE(B801,""en"",""es-ES"")"),"El hombre ahora está patinando en una carretera en una zona residencial donde pasa muchas casas con autos estacionados en las carreteras.")</f>
        <v>El hombre ahora está patinando en una carretera en una zona residencial donde pasa muchas casas con autos estacionados en las carreteras.</v>
      </c>
    </row>
    <row r="802">
      <c r="A802" s="4" t="s">
        <v>1014</v>
      </c>
      <c r="B802" s="4" t="s">
        <v>1017</v>
      </c>
      <c r="C802" s="5" t="str">
        <f>IFERROR(__xludf.DUMMYFUNCTION("GOOGLETRANSLATE(B802,""en"",""es-ES"")"),"El hombre continúa patinando a través de áreas residenciales, bordes de agua a lo largo de parques, puertos, ciudades y etc.")</f>
        <v>El hombre continúa patinando a través de áreas residenciales, bordes de agua a lo largo de parques, puertos, ciudades y etc.</v>
      </c>
    </row>
    <row r="803">
      <c r="A803" s="4" t="s">
        <v>1014</v>
      </c>
      <c r="B803" s="4" t="s">
        <v>1018</v>
      </c>
      <c r="C803" s="5" t="str">
        <f>IFERROR(__xludf.DUMMYFUNCTION("GOOGLETRANSLATE(B803,""en"",""es-ES"")"),"El hombre termina con un paseo por una playa rocosa y llevando su patineta sobre su hombro derecho.")</f>
        <v>El hombre termina con un paseo por una playa rocosa y llevando su patineta sobre su hombro derecho.</v>
      </c>
    </row>
    <row r="804">
      <c r="A804" s="4" t="s">
        <v>1019</v>
      </c>
      <c r="B804" s="4" t="s">
        <v>1020</v>
      </c>
      <c r="C804" s="5" t="str">
        <f>IFERROR(__xludf.DUMMYFUNCTION("GOOGLETRANSLATE(B804,""en"",""es-ES"")"),"Una mujer sostiene un micrófono de pie afuera de una habitación.")</f>
        <v>Una mujer sostiene un micrófono de pie afuera de una habitación.</v>
      </c>
    </row>
    <row r="805">
      <c r="A805" s="4" t="s">
        <v>1019</v>
      </c>
      <c r="B805" s="4" t="s">
        <v>1021</v>
      </c>
      <c r="C805" s="5" t="str">
        <f>IFERROR(__xludf.DUMMYFUNCTION("GOOGLETRANSLATE(B805,""en"",""es-ES"")"),"La gente juega a la pelota de pared en la habitación.")</f>
        <v>La gente juega a la pelota de pared en la habitación.</v>
      </c>
    </row>
    <row r="806">
      <c r="A806" s="4" t="s">
        <v>1019</v>
      </c>
      <c r="B806" s="4" t="s">
        <v>1022</v>
      </c>
      <c r="C806" s="5" t="str">
        <f>IFERROR(__xludf.DUMMYFUNCTION("GOOGLETRANSLATE(B806,""en"",""es-ES"")"),"La mujer sostiene un trozo de papel.")</f>
        <v>La mujer sostiene un trozo de papel.</v>
      </c>
    </row>
    <row r="807">
      <c r="A807" s="4" t="s">
        <v>1023</v>
      </c>
      <c r="B807" s="4" t="s">
        <v>1024</v>
      </c>
      <c r="C807" s="5" t="str">
        <f>IFERROR(__xludf.DUMMYFUNCTION("GOOGLETRANSLATE(B807,""en"",""es-ES"")"),"El logotipo ""Llumar"" aparece en la pantalla.")</f>
        <v>El logotipo "Llumar" aparece en la pantalla.</v>
      </c>
    </row>
    <row r="808">
      <c r="A808" s="4" t="s">
        <v>1023</v>
      </c>
      <c r="B808" s="4" t="s">
        <v>1025</v>
      </c>
      <c r="C808" s="5" t="str">
        <f>IFERROR(__xludf.DUMMYFUNCTION("GOOGLETRANSLATE(B808,""en"",""es-ES"")"),"Una niña con una piscina camina hacia una mesa de billar, la cámara se centra en su tapa de corte bajo.")</f>
        <v>Una niña con una piscina camina hacia una mesa de billar, la cámara se centra en su tapa de corte bajo.</v>
      </c>
    </row>
    <row r="809">
      <c r="A809" s="4" t="s">
        <v>1023</v>
      </c>
      <c r="B809" s="4" t="s">
        <v>1026</v>
      </c>
      <c r="C809" s="5" t="str">
        <f>IFERROR(__xludf.DUMMYFUNCTION("GOOGLETRANSLATE(B809,""en"",""es-ES"")"),"Varias mujeres juegan a la mesa en la mesa revelando ropa.")</f>
        <v>Varias mujeres juegan a la mesa en la mesa revelando ropa.</v>
      </c>
    </row>
    <row r="810">
      <c r="A810" s="4" t="s">
        <v>1023</v>
      </c>
      <c r="B810" s="4" t="s">
        <v>1027</v>
      </c>
      <c r="C810" s="5" t="str">
        <f>IFERROR(__xludf.DUMMYFUNCTION("GOOGLETRANSLATE(B810,""en"",""es-ES"")"),"El logotipo ""Llumar"" reaparece en la pantalla.")</f>
        <v>El logotipo "Llumar" reaparece en la pantalla.</v>
      </c>
    </row>
    <row r="811">
      <c r="A811" s="4" t="s">
        <v>1028</v>
      </c>
      <c r="B811" s="4" t="s">
        <v>1029</v>
      </c>
      <c r="C811" s="5" t="str">
        <f>IFERROR(__xludf.DUMMYFUNCTION("GOOGLETRANSLATE(B811,""en"",""es-ES"")"),"Se ve a una niña parada en una cancha de tenis sosteniendo una raqueta.")</f>
        <v>Se ve a una niña parada en una cancha de tenis sosteniendo una raqueta.</v>
      </c>
    </row>
    <row r="812">
      <c r="A812" s="4" t="s">
        <v>1028</v>
      </c>
      <c r="B812" s="4" t="s">
        <v>1030</v>
      </c>
      <c r="C812" s="5" t="str">
        <f>IFERROR(__xludf.DUMMYFUNCTION("GOOGLETRANSLATE(B812,""en"",""es-ES"")"),"La mujer comienza a balancear la raqueta mientras otro niño se encuentra a su lado.")</f>
        <v>La mujer comienza a balancear la raqueta mientras otro niño se encuentra a su lado.</v>
      </c>
    </row>
    <row r="813">
      <c r="A813" s="4" t="s">
        <v>1028</v>
      </c>
      <c r="B813" s="4" t="s">
        <v>1031</v>
      </c>
      <c r="C813" s="5" t="str">
        <f>IFERROR(__xludf.DUMMYFUNCTION("GOOGLETRANSLATE(B813,""en"",""es-ES"")"),"La mujer continúa balanceándose y regresa al niño.")</f>
        <v>La mujer continúa balanceándose y regresa al niño.</v>
      </c>
    </row>
    <row r="814">
      <c r="A814" s="4" t="s">
        <v>1032</v>
      </c>
      <c r="B814" s="4" t="s">
        <v>1033</v>
      </c>
      <c r="C814" s="5" t="str">
        <f>IFERROR(__xludf.DUMMYFUNCTION("GOOGLETRANSLATE(B814,""en"",""es-ES"")"),"Varios hombres están jugando fútbol en un gimnasio.")</f>
        <v>Varios hombres están jugando fútbol en un gimnasio.</v>
      </c>
    </row>
    <row r="815">
      <c r="A815" s="4" t="s">
        <v>1032</v>
      </c>
      <c r="B815" s="4" t="s">
        <v>1034</v>
      </c>
      <c r="C815" s="5" t="str">
        <f>IFERROR(__xludf.DUMMYFUNCTION("GOOGLETRANSLATE(B815,""en"",""es-ES"")"),"Hay algunos espectadores en el fondo.")</f>
        <v>Hay algunos espectadores en el fondo.</v>
      </c>
    </row>
    <row r="816">
      <c r="A816" s="4" t="s">
        <v>1032</v>
      </c>
      <c r="B816" s="4" t="s">
        <v>1035</v>
      </c>
      <c r="C816" s="5" t="str">
        <f>IFERROR(__xludf.DUMMYFUNCTION("GOOGLETRANSLATE(B816,""en"",""es-ES"")"),"Otro grupo de hombres está jugando fútbol.")</f>
        <v>Otro grupo de hombres está jugando fútbol.</v>
      </c>
    </row>
    <row r="817">
      <c r="A817" s="4" t="s">
        <v>1032</v>
      </c>
      <c r="B817" s="4" t="s">
        <v>1036</v>
      </c>
      <c r="C817" s="5" t="str">
        <f>IFERROR(__xludf.DUMMYFUNCTION("GOOGLETRANSLATE(B817,""en"",""es-ES"")"),"Hay espectadores en el fondo.")</f>
        <v>Hay espectadores en el fondo.</v>
      </c>
    </row>
    <row r="818">
      <c r="A818" s="4" t="s">
        <v>1032</v>
      </c>
      <c r="B818" s="4" t="s">
        <v>1037</v>
      </c>
      <c r="C818" s="5" t="str">
        <f>IFERROR(__xludf.DUMMYFUNCTION("GOOGLETRANSLATE(B818,""en"",""es-ES"")"),"Se muestran varias escenas de fútbol con espectadores.")</f>
        <v>Se muestran varias escenas de fútbol con espectadores.</v>
      </c>
    </row>
    <row r="819">
      <c r="A819" s="4" t="s">
        <v>1038</v>
      </c>
      <c r="B819" s="4" t="s">
        <v>1039</v>
      </c>
      <c r="C819" s="5" t="str">
        <f>IFERROR(__xludf.DUMMYFUNCTION("GOOGLETRANSLATE(B819,""en"",""es-ES"")"),"Se ve a un par de chicas montando por un largo tobogán en medio de un parque.")</f>
        <v>Se ve a un par de chicas montando por un largo tobogán en medio de un parque.</v>
      </c>
    </row>
    <row r="820">
      <c r="A820" s="4" t="s">
        <v>1038</v>
      </c>
      <c r="B820" s="4" t="s">
        <v>1040</v>
      </c>
      <c r="C820" s="5" t="str">
        <f>IFERROR(__xludf.DUMMYFUNCTION("GOOGLETRANSLATE(B820,""en"",""es-ES"")"),"Más niños bajan por el tobogán mientras una madre ayuda a los niños en la cima.")</f>
        <v>Más niños bajan por el tobogán mientras una madre ayuda a los niños en la cima.</v>
      </c>
    </row>
    <row r="821">
      <c r="A821" s="4" t="s">
        <v>1041</v>
      </c>
      <c r="B821" s="4" t="s">
        <v>1042</v>
      </c>
      <c r="C821" s="5" t="str">
        <f>IFERROR(__xludf.DUMMYFUNCTION("GOOGLETRANSLATE(B821,""en"",""es-ES"")"),"Se ve a una mujer sentada sosteniendo un helado mientras mira la cámara.")</f>
        <v>Se ve a una mujer sentada sosteniendo un helado mientras mira la cámara.</v>
      </c>
    </row>
    <row r="822">
      <c r="A822" s="4" t="s">
        <v>1041</v>
      </c>
      <c r="B822" s="4" t="s">
        <v>1043</v>
      </c>
      <c r="C822" s="5" t="str">
        <f>IFERROR(__xludf.DUMMYFUNCTION("GOOGLETRANSLATE(B822,""en"",""es-ES"")"),"Ella continúa comiendo el helado mientras la cámara se prepara y la mira comer.")</f>
        <v>Ella continúa comiendo el helado mientras la cámara se prepara y la mira comer.</v>
      </c>
    </row>
    <row r="823">
      <c r="A823" s="4" t="s">
        <v>1044</v>
      </c>
      <c r="B823" s="4" t="s">
        <v>1045</v>
      </c>
      <c r="C823" s="5" t="str">
        <f>IFERROR(__xludf.DUMMYFUNCTION("GOOGLETRANSLATE(B823,""en"",""es-ES"")"),"Se ve a un hombre tocando un juego de gaitas mientras la gente detrás de él empuja las bicicletas.")</f>
        <v>Se ve a un hombre tocando un juego de gaitas mientras la gente detrás de él empuja las bicicletas.</v>
      </c>
    </row>
    <row r="824">
      <c r="A824" s="4" t="s">
        <v>1044</v>
      </c>
      <c r="B824" s="4" t="s">
        <v>1046</v>
      </c>
      <c r="C824" s="5" t="str">
        <f>IFERROR(__xludf.DUMMYFUNCTION("GOOGLETRANSLATE(B824,""en"",""es-ES"")"),"Se lo ve jugando nuevamente mientras más personas entran y salen de marco con niños y perros.")</f>
        <v>Se lo ve jugando nuevamente mientras más personas entran y salen de marco con niños y perros.</v>
      </c>
    </row>
    <row r="825">
      <c r="A825" s="4" t="s">
        <v>1044</v>
      </c>
      <c r="B825" s="4" t="s">
        <v>1047</v>
      </c>
      <c r="C825" s="5" t="str">
        <f>IFERROR(__xludf.DUMMYFUNCTION("GOOGLETRANSLATE(B825,""en"",""es-ES"")"),"Algunas personas se detienen para escucharlo jugar y se detiene para mirar a la cámara.")</f>
        <v>Algunas personas se detienen para escucharlo jugar y se detiene para mirar a la cámara.</v>
      </c>
    </row>
    <row r="826">
      <c r="A826" s="4" t="s">
        <v>1048</v>
      </c>
      <c r="B826" s="4" t="s">
        <v>1049</v>
      </c>
      <c r="C826" s="5" t="str">
        <f>IFERROR(__xludf.DUMMYFUNCTION("GOOGLETRANSLATE(B826,""en"",""es-ES"")"),"Un bailarín del vientre vestido de rojo y negro está demostrando cómo cadera y brillo.")</f>
        <v>Un bailarín del vientre vestido de rojo y negro está demostrando cómo cadera y brillo.</v>
      </c>
    </row>
    <row r="827">
      <c r="A827" s="4" t="s">
        <v>1048</v>
      </c>
      <c r="B827" s="4" t="s">
        <v>1050</v>
      </c>
      <c r="C827" s="5" t="str">
        <f>IFERROR(__xludf.DUMMYFUNCTION("GOOGLETRANSLATE(B827,""en"",""es-ES"")"),"Ella está de pie con los pies de ancho de la cadera.")</f>
        <v>Ella está de pie con los pies de ancho de la cadera.</v>
      </c>
    </row>
    <row r="828">
      <c r="A828" s="4" t="s">
        <v>1048</v>
      </c>
      <c r="B828" s="4" t="s">
        <v>1051</v>
      </c>
      <c r="C828" s="5" t="str">
        <f>IFERROR(__xludf.DUMMYFUNCTION("GOOGLETRANSLATE(B828,""en"",""es-ES"")"),"Luego muestra cómo hacer el trabajo de los pies mientras mueve sus caderas en círculos.")</f>
        <v>Luego muestra cómo hacer el trabajo de los pies mientras mueve sus caderas en círculos.</v>
      </c>
    </row>
    <row r="829">
      <c r="A829" s="4" t="s">
        <v>1048</v>
      </c>
      <c r="B829" s="4" t="s">
        <v>1052</v>
      </c>
      <c r="C829" s="5" t="str">
        <f>IFERROR(__xludf.DUMMYFUNCTION("GOOGLETRANSLATE(B829,""en"",""es-ES"")"),"Simultáneamente mueve sus caderas y mientras se mueve de lado.")</f>
        <v>Simultáneamente mueve sus caderas y mientras se mueve de lado.</v>
      </c>
    </row>
    <row r="830">
      <c r="A830" s="4" t="s">
        <v>1048</v>
      </c>
      <c r="B830" s="4" t="s">
        <v>1053</v>
      </c>
      <c r="C830" s="5" t="str">
        <f>IFERROR(__xludf.DUMMYFUNCTION("GOOGLETRANSLATE(B830,""en"",""es-ES"")"),"Luego extiende sus manos y hacia arriba a un lado mientras continúa moviéndose hacia un lado.")</f>
        <v>Luego extiende sus manos y hacia arriba a un lado mientras continúa moviéndose hacia un lado.</v>
      </c>
    </row>
    <row r="831">
      <c r="A831" s="4" t="s">
        <v>1048</v>
      </c>
      <c r="B831" s="4" t="s">
        <v>1054</v>
      </c>
      <c r="C831" s="5" t="str">
        <f>IFERROR(__xludf.DUMMYFUNCTION("GOOGLETRANSLATE(B831,""en"",""es-ES"")"),"Ella repite los pasos yendo y viniendo mientras gira sus caderas.")</f>
        <v>Ella repite los pasos yendo y viniendo mientras gira sus caderas.</v>
      </c>
    </row>
    <row r="832">
      <c r="A832" s="4" t="s">
        <v>1055</v>
      </c>
      <c r="B832" s="4" t="s">
        <v>1056</v>
      </c>
      <c r="C832" s="5" t="str">
        <f>IFERROR(__xludf.DUMMYFUNCTION("GOOGLETRANSLATE(B832,""en"",""es-ES"")"),"Una mujer constructora corporal levanta lentamente una barra gigante de pesas en el aire.")</f>
        <v>Una mujer constructora corporal levanta lentamente una barra gigante de pesas en el aire.</v>
      </c>
    </row>
    <row r="833">
      <c r="A833" s="4" t="s">
        <v>1055</v>
      </c>
      <c r="B833" s="4" t="s">
        <v>1057</v>
      </c>
      <c r="C833" s="5" t="str">
        <f>IFERROR(__xludf.DUMMYFUNCTION("GOOGLETRANSLATE(B833,""en"",""es-ES"")"),"Ella lo levanta a su pecho, luego sobre su cabeza antes de congelarse en su lugar.")</f>
        <v>Ella lo levanta a su pecho, luego sobre su cabeza antes de congelarse en su lugar.</v>
      </c>
    </row>
    <row r="834">
      <c r="A834" s="4" t="s">
        <v>1058</v>
      </c>
      <c r="B834" s="4" t="s">
        <v>1059</v>
      </c>
      <c r="C834" s="5" t="str">
        <f>IFERROR(__xludf.DUMMYFUNCTION("GOOGLETRANSLATE(B834,""en"",""es-ES"")"),"Un equipo de porristas se desempeña en una alfombra azul.")</f>
        <v>Un equipo de porristas se desempeña en una alfombra azul.</v>
      </c>
    </row>
    <row r="835">
      <c r="A835" s="4" t="s">
        <v>1058</v>
      </c>
      <c r="B835" s="4" t="s">
        <v>1060</v>
      </c>
      <c r="C835" s="5" t="str">
        <f>IFERROR(__xludf.DUMMYFUNCTION("GOOGLETRANSLATE(B835,""en"",""es-ES"")"),"Bailan y caen durante su rutina.")</f>
        <v>Bailan y caen durante su rutina.</v>
      </c>
    </row>
    <row r="836">
      <c r="A836" s="4" t="s">
        <v>1061</v>
      </c>
      <c r="B836" s="4" t="s">
        <v>1062</v>
      </c>
      <c r="C836" s="5" t="str">
        <f>IFERROR(__xludf.DUMMYFUNCTION("GOOGLETRANSLATE(B836,""en"",""es-ES"")"),"La química de la torta explica cómo hacer un experimento en el hogar, dan todos los ingredientes necesarios y comienzan a explicar lo que harán.")</f>
        <v>La química de la torta explica cómo hacer un experimento en el hogar, dan todos los ingredientes necesarios y comienzan a explicar lo que harán.</v>
      </c>
    </row>
    <row r="837">
      <c r="A837" s="4" t="s">
        <v>1061</v>
      </c>
      <c r="B837" s="4" t="s">
        <v>1063</v>
      </c>
      <c r="C837" s="5" t="str">
        <f>IFERROR(__xludf.DUMMYFUNCTION("GOOGLETRANSLATE(B837,""en"",""es-ES"")"),"El comienzo de dar instrucciones paso a paso sobre cómo mezclar los ingredientes.")</f>
        <v>El comienzo de dar instrucciones paso a paso sobre cómo mezclar los ingredientes.</v>
      </c>
    </row>
    <row r="838">
      <c r="A838" s="4" t="s">
        <v>1061</v>
      </c>
      <c r="B838" s="4" t="s">
        <v>1064</v>
      </c>
      <c r="C838" s="5" t="str">
        <f>IFERROR(__xludf.DUMMYFUNCTION("GOOGLETRANSLATE(B838,""en"",""es-ES"")"),"Dan información muy detallada sobre qué hacer antes de ponerlos en el horno.")</f>
        <v>Dan información muy detallada sobre qué hacer antes de ponerlos en el horno.</v>
      </c>
    </row>
    <row r="839">
      <c r="A839" s="4" t="s">
        <v>1061</v>
      </c>
      <c r="B839" s="4" t="s">
        <v>1065</v>
      </c>
      <c r="C839" s="5" t="str">
        <f>IFERROR(__xludf.DUMMYFUNCTION("GOOGLETRANSLATE(B839,""en"",""es-ES"")"),"Una vez, salen del horno, explican la diferencia entre todos los pasteles y los diferentes ingredientes que no pusieron en cada uno para ver por qué los resultados fueron diferentes.")</f>
        <v>Una vez, salen del horno, explican la diferencia entre todos los pasteles y los diferentes ingredientes que no pusieron en cada uno para ver por qué los resultados fueron diferentes.</v>
      </c>
    </row>
    <row r="840">
      <c r="A840" s="4" t="s">
        <v>1066</v>
      </c>
      <c r="B840" s="4" t="s">
        <v>1067</v>
      </c>
      <c r="C840" s="5" t="str">
        <f>IFERROR(__xludf.DUMMYFUNCTION("GOOGLETRANSLATE(B840,""en"",""es-ES"")"),"Un hombre conduce una máquina de corte para cortar la hierba de un patio trasero.")</f>
        <v>Un hombre conduce una máquina de corte para cortar la hierba de un patio trasero.</v>
      </c>
    </row>
    <row r="841">
      <c r="A841" s="4" t="s">
        <v>1066</v>
      </c>
      <c r="B841" s="4" t="s">
        <v>1068</v>
      </c>
      <c r="C841" s="5" t="str">
        <f>IFERROR(__xludf.DUMMYFUNCTION("GOOGLETRANSLATE(B841,""en"",""es-ES"")"),"El hombre pasa al frente de la casa para continuar cortando las otras partes del patio.")</f>
        <v>El hombre pasa al frente de la casa para continuar cortando las otras partes del patio.</v>
      </c>
    </row>
    <row r="842">
      <c r="A842" s="4" t="s">
        <v>1069</v>
      </c>
      <c r="B842" s="4" t="s">
        <v>1070</v>
      </c>
      <c r="C842" s="5" t="str">
        <f>IFERROR(__xludf.DUMMYFUNCTION("GOOGLETRANSLATE(B842,""en"",""es-ES"")"),"Se ven dos personas interpretando varias artes marciales entre sí mientras un gran grupo de personas mira a los lados.")</f>
        <v>Se ven dos personas interpretando varias artes marciales entre sí mientras un gran grupo de personas mira a los lados.</v>
      </c>
    </row>
    <row r="843">
      <c r="A843" s="4" t="s">
        <v>1069</v>
      </c>
      <c r="B843" s="4" t="s">
        <v>1071</v>
      </c>
      <c r="C843" s="5" t="str">
        <f>IFERROR(__xludf.DUMMYFUNCTION("GOOGLETRANSLATE(B843,""en"",""es-ES"")"),"Más personas se paran en el medio y actúan entre sí y terminan con personas que se mueven y se agarran unos a otras.")</f>
        <v>Más personas se paran en el medio y actúan entre sí y terminan con personas que se mueven y se agarran unos a otras.</v>
      </c>
    </row>
    <row r="844">
      <c r="A844" s="4" t="s">
        <v>1072</v>
      </c>
      <c r="B844" s="4" t="s">
        <v>1073</v>
      </c>
      <c r="C844" s="5" t="str">
        <f>IFERROR(__xludf.DUMMYFUNCTION("GOOGLETRANSLATE(B844,""en"",""es-ES"")"),"Dos jóvenes están parados en el interior, hablando con la cámara.")</f>
        <v>Dos jóvenes están parados en el interior, hablando con la cámara.</v>
      </c>
    </row>
    <row r="845">
      <c r="A845" s="4" t="s">
        <v>1072</v>
      </c>
      <c r="B845" s="4" t="s">
        <v>1074</v>
      </c>
      <c r="C845" s="5" t="str">
        <f>IFERROR(__xludf.DUMMYFUNCTION("GOOGLETRANSLATE(B845,""en"",""es-ES"")"),"Demuestran cómo corren en una pista y hacen un salto de longitud a la arena.")</f>
        <v>Demuestran cómo corren en una pista y hacen un salto de longitud a la arena.</v>
      </c>
    </row>
    <row r="846">
      <c r="A846" s="4" t="s">
        <v>1075</v>
      </c>
      <c r="B846" s="4" t="s">
        <v>1076</v>
      </c>
      <c r="C846" s="5" t="str">
        <f>IFERROR(__xludf.DUMMYFUNCTION("GOOGLETRANSLATE(B846,""en"",""es-ES"")"),"Se muestra una cerca frente a una casa.")</f>
        <v>Se muestra una cerca frente a una casa.</v>
      </c>
    </row>
    <row r="847">
      <c r="A847" s="4" t="s">
        <v>1075</v>
      </c>
      <c r="B847" s="4" t="s">
        <v>1077</v>
      </c>
      <c r="C847" s="5" t="str">
        <f>IFERROR(__xludf.DUMMYFUNCTION("GOOGLETRANSLATE(B847,""en"",""es-ES"")"),"Un hombre con blanco comienza a pintar la cerca.")</f>
        <v>Un hombre con blanco comienza a pintar la cerca.</v>
      </c>
    </row>
    <row r="848">
      <c r="A848" s="4" t="s">
        <v>1078</v>
      </c>
      <c r="B848" s="4" t="s">
        <v>1079</v>
      </c>
      <c r="C848" s="5" t="str">
        <f>IFERROR(__xludf.DUMMYFUNCTION("GOOGLETRANSLATE(B848,""en"",""es-ES"")"),"Una persona con pantalones azules está rastrillando algunas hojas caídas del suelo.")</f>
        <v>Una persona con pantalones azules está rastrillando algunas hojas caídas del suelo.</v>
      </c>
    </row>
    <row r="849">
      <c r="A849" s="4" t="s">
        <v>1078</v>
      </c>
      <c r="B849" s="4" t="s">
        <v>1080</v>
      </c>
      <c r="C849" s="5" t="str">
        <f>IFERROR(__xludf.DUMMYFUNCTION("GOOGLETRANSLATE(B849,""en"",""es-ES"")"),"Hay un perro negro y un perro blanco que salta alrededor de la persona rastrillando las hojas.")</f>
        <v>Hay un perro negro y un perro blanco que salta alrededor de la persona rastrillando las hojas.</v>
      </c>
    </row>
    <row r="850">
      <c r="A850" s="4" t="s">
        <v>1078</v>
      </c>
      <c r="B850" s="4" t="s">
        <v>1081</v>
      </c>
      <c r="C850" s="5" t="str">
        <f>IFERROR(__xludf.DUMMYFUNCTION("GOOGLETRANSLATE(B850,""en"",""es-ES"")"),"El perro blanco está tratando de morder el rastrillo.")</f>
        <v>El perro blanco está tratando de morder el rastrillo.</v>
      </c>
    </row>
    <row r="851">
      <c r="A851" s="4" t="s">
        <v>1078</v>
      </c>
      <c r="B851" s="4" t="s">
        <v>1082</v>
      </c>
      <c r="C851" s="5" t="str">
        <f>IFERROR(__xludf.DUMMYFUNCTION("GOOGLETRANSLATE(B851,""en"",""es-ES"")"),"Ambos perros están jugando alrededor del hombre rastrillando las hojas, tratando de morder el rastrillo.")</f>
        <v>Ambos perros están jugando alrededor del hombre rastrillando las hojas, tratando de morder el rastrillo.</v>
      </c>
    </row>
    <row r="852">
      <c r="A852" s="4" t="s">
        <v>1078</v>
      </c>
      <c r="B852" s="4" t="s">
        <v>1083</v>
      </c>
      <c r="C852" s="5" t="str">
        <f>IFERROR(__xludf.DUMMYFUNCTION("GOOGLETRANSLATE(B852,""en"",""es-ES"")"),"La persona está moviendo el rastrillo en los círculos mientras los perros saltan a su alrededor.")</f>
        <v>La persona está moviendo el rastrillo en los círculos mientras los perros saltan a su alrededor.</v>
      </c>
    </row>
    <row r="853">
      <c r="A853" s="4" t="s">
        <v>1084</v>
      </c>
      <c r="B853" s="4" t="s">
        <v>1085</v>
      </c>
      <c r="C853" s="5" t="str">
        <f>IFERROR(__xludf.DUMMYFUNCTION("GOOGLETRANSLATE(B853,""en"",""es-ES"")"),"Una mariposa está volando en la pantalla con palabras en diapositivas.")</f>
        <v>Una mariposa está volando en la pantalla con palabras en diapositivas.</v>
      </c>
    </row>
    <row r="854">
      <c r="A854" s="4" t="s">
        <v>1084</v>
      </c>
      <c r="B854" s="4" t="s">
        <v>1086</v>
      </c>
      <c r="C854" s="5" t="str">
        <f>IFERROR(__xludf.DUMMYFUNCTION("GOOGLETRANSLATE(B854,""en"",""es-ES"")"),"Una persona está mezclando ingredientes en un tazón.")</f>
        <v>Una persona está mezclando ingredientes en un tazón.</v>
      </c>
    </row>
    <row r="855">
      <c r="A855" s="4" t="s">
        <v>1084</v>
      </c>
      <c r="B855" s="4" t="s">
        <v>1087</v>
      </c>
      <c r="C855" s="5" t="str">
        <f>IFERROR(__xludf.DUMMYFUNCTION("GOOGLETRANSLATE(B855,""en"",""es-ES"")"),"Cucharan la masa en una bandeja de galletas.")</f>
        <v>Cucharan la masa en una bandeja de galletas.</v>
      </c>
    </row>
    <row r="856">
      <c r="A856" s="4" t="s">
        <v>1084</v>
      </c>
      <c r="B856" s="4" t="s">
        <v>1088</v>
      </c>
      <c r="C856" s="5" t="str">
        <f>IFERROR(__xludf.DUMMYFUNCTION("GOOGLETRANSLATE(B856,""en"",""es-ES"")"),"Las galletas para hornear se muestran apiladas en un plato.")</f>
        <v>Las galletas para hornear se muestran apiladas en un plato.</v>
      </c>
    </row>
    <row r="857">
      <c r="A857" s="4" t="s">
        <v>1089</v>
      </c>
      <c r="B857" s="4" t="s">
        <v>1090</v>
      </c>
      <c r="C857" s="5" t="str">
        <f>IFERROR(__xludf.DUMMYFUNCTION("GOOGLETRANSLATE(B857,""en"",""es-ES"")"),"Se ve a una persona sentada en una silla y la lleva a pelar una papa con un cuchillo.")</f>
        <v>Se ve a una persona sentada en una silla y la lleva a pelar una papa con un cuchillo.</v>
      </c>
    </row>
    <row r="858">
      <c r="A858" s="4" t="s">
        <v>1089</v>
      </c>
      <c r="B858" s="4" t="s">
        <v>1091</v>
      </c>
      <c r="C858" s="5" t="str">
        <f>IFERROR(__xludf.DUMMYFUNCTION("GOOGLETRANSLATE(B858,""en"",""es-ES"")"),"La persona luego termina de pelar las papas y dejarla.")</f>
        <v>La persona luego termina de pelar las papas y dejarla.</v>
      </c>
    </row>
    <row r="859">
      <c r="A859" s="4" t="s">
        <v>1092</v>
      </c>
      <c r="B859" s="4" t="s">
        <v>1093</v>
      </c>
      <c r="C859" s="5" t="str">
        <f>IFERROR(__xludf.DUMMYFUNCTION("GOOGLETRANSLATE(B859,""en"",""es-ES"")"),"Se ve a una persona cortando varias frutas mientras también se ve hablando con la cámara.")</f>
        <v>Se ve a una persona cortando varias frutas mientras también se ve hablando con la cámara.</v>
      </c>
    </row>
    <row r="860">
      <c r="A860" s="4" t="s">
        <v>1092</v>
      </c>
      <c r="B860" s="4" t="s">
        <v>1094</v>
      </c>
      <c r="C860" s="5" t="str">
        <f>IFERROR(__xludf.DUMMYFUNCTION("GOOGLETRANSLATE(B860,""en"",""es-ES"")"),"La persona mezcla varios ingredientes en un recipiente de agua.")</f>
        <v>La persona mezcla varios ingredientes en un recipiente de agua.</v>
      </c>
    </row>
    <row r="861">
      <c r="A861" s="4" t="s">
        <v>1092</v>
      </c>
      <c r="B861" s="4" t="s">
        <v>1095</v>
      </c>
      <c r="C861" s="5" t="str">
        <f>IFERROR(__xludf.DUMMYFUNCTION("GOOGLETRANSLATE(B861,""en"",""es-ES"")"),"La persona gira alrededor del contenedor al final.")</f>
        <v>La persona gira alrededor del contenedor al final.</v>
      </c>
    </row>
    <row r="862">
      <c r="A862" s="4" t="s">
        <v>1096</v>
      </c>
      <c r="B862" s="4" t="s">
        <v>1097</v>
      </c>
      <c r="C862" s="5" t="str">
        <f>IFERROR(__xludf.DUMMYFUNCTION("GOOGLETRANSLATE(B862,""en"",""es-ES"")"),"La mano de una persona lava un gato gris en una tina blanca de agua.")</f>
        <v>La mano de una persona lava un gato gris en una tina blanca de agua.</v>
      </c>
    </row>
    <row r="863">
      <c r="A863" s="4" t="s">
        <v>1096</v>
      </c>
      <c r="B863" s="4" t="s">
        <v>1098</v>
      </c>
      <c r="C863" s="5" t="str">
        <f>IFERROR(__xludf.DUMMYFUNCTION("GOOGLETRANSLATE(B863,""en"",""es-ES"")"),"Un gato gris está sentado en una tina blanca de agua clara, empapada en agua.")</f>
        <v>Un gato gris está sentado en una tina blanca de agua clara, empapada en agua.</v>
      </c>
    </row>
    <row r="864">
      <c r="A864" s="4" t="s">
        <v>1096</v>
      </c>
      <c r="B864" s="4" t="s">
        <v>1099</v>
      </c>
      <c r="C864" s="5" t="str">
        <f>IFERROR(__xludf.DUMMYFUNCTION("GOOGLETRANSLATE(B864,""en"",""es-ES"")"),"Aparece una mano con un tatuaje y limpia la espalda del gato con un paño rojo.")</f>
        <v>Aparece una mano con un tatuaje y limpia la espalda del gato con un paño rojo.</v>
      </c>
    </row>
    <row r="865">
      <c r="A865" s="4" t="s">
        <v>1096</v>
      </c>
      <c r="B865" s="4" t="s">
        <v>1100</v>
      </c>
      <c r="C865" s="5" t="str">
        <f>IFERROR(__xludf.DUMMYFUNCTION("GOOGLETRANSLATE(B865,""en"",""es-ES"")"),"La mano luego limpia el cuello del gato y la parte posterior de su cabeza con la tela roja.")</f>
        <v>La mano luego limpia el cuello del gato y la parte posterior de su cabeza con la tela roja.</v>
      </c>
    </row>
    <row r="866">
      <c r="A866" s="4" t="s">
        <v>1096</v>
      </c>
      <c r="B866" s="4" t="s">
        <v>1101</v>
      </c>
      <c r="C866" s="5" t="str">
        <f>IFERROR(__xludf.DUMMYFUNCTION("GOOGLETRANSLATE(B866,""en"",""es-ES"")"),"La mano, finalmente, deja que la tela roja caiga en el agua mientras la mano se sostiene hasta la nariz del gato.")</f>
        <v>La mano, finalmente, deja que la tela roja caiga en el agua mientras la mano se sostiene hasta la nariz del gato.</v>
      </c>
    </row>
    <row r="867">
      <c r="A867" s="4" t="s">
        <v>1102</v>
      </c>
      <c r="B867" s="4" t="s">
        <v>1103</v>
      </c>
      <c r="C867" s="5" t="str">
        <f>IFERROR(__xludf.DUMMYFUNCTION("GOOGLETRANSLATE(B867,""en"",""es-ES"")"),"Una niña está de pie de espalda a una cancha.")</f>
        <v>Una niña está de pie de espalda a una cancha.</v>
      </c>
    </row>
    <row r="868">
      <c r="A868" s="4" t="s">
        <v>1102</v>
      </c>
      <c r="B868" s="4" t="s">
        <v>1104</v>
      </c>
      <c r="C868" s="5" t="str">
        <f>IFERROR(__xludf.DUMMYFUNCTION("GOOGLETRANSLATE(B868,""en"",""es-ES"")"),"Ella gira, dejando caer accidentalmente una cuerda.")</f>
        <v>Ella gira, dejando caer accidentalmente una cuerda.</v>
      </c>
    </row>
    <row r="869">
      <c r="A869" s="4" t="s">
        <v>1102</v>
      </c>
      <c r="B869" s="4" t="s">
        <v>1105</v>
      </c>
      <c r="C869" s="5" t="str">
        <f>IFERROR(__xludf.DUMMYFUNCTION("GOOGLETRANSLATE(B869,""en"",""es-ES"")"),"Luego actúa, girando y saltando con la cuerda.")</f>
        <v>Luego actúa, girando y saltando con la cuerda.</v>
      </c>
    </row>
    <row r="870">
      <c r="A870" s="4" t="s">
        <v>1106</v>
      </c>
      <c r="B870" s="4" t="s">
        <v>1107</v>
      </c>
      <c r="C870" s="5" t="str">
        <f>IFERROR(__xludf.DUMMYFUNCTION("GOOGLETRANSLATE(B870,""en"",""es-ES"")"),"Se ve a una persona paleando un poco de nieve con la cámara colocada en su cabeza.")</f>
        <v>Se ve a una persona paleando un poco de nieve con la cámara colocada en su cabeza.</v>
      </c>
    </row>
    <row r="871">
      <c r="A871" s="4" t="s">
        <v>1106</v>
      </c>
      <c r="B871" s="4" t="s">
        <v>1108</v>
      </c>
      <c r="C871" s="5" t="str">
        <f>IFERROR(__xludf.DUMMYFUNCTION("GOOGLETRANSLATE(B871,""en"",""es-ES"")"),"Muestra varios disparos de él paleando la nieve, un primer plano de su rostro y panorámicamente por el área.")</f>
        <v>Muestra varios disparos de él paleando la nieve, un primer plano de su rostro y panorámicamente por el área.</v>
      </c>
    </row>
    <row r="872">
      <c r="A872" s="4" t="s">
        <v>1109</v>
      </c>
      <c r="B872" s="4" t="s">
        <v>1110</v>
      </c>
      <c r="C872" s="5" t="str">
        <f>IFERROR(__xludf.DUMMYFUNCTION("GOOGLETRANSLATE(B872,""en"",""es-ES"")"),"Un chef muestra todos los ingredientes para hacer pasta.")</f>
        <v>Un chef muestra todos los ingredientes para hacer pasta.</v>
      </c>
    </row>
    <row r="873">
      <c r="A873" s="4" t="s">
        <v>1109</v>
      </c>
      <c r="B873" s="4" t="s">
        <v>1111</v>
      </c>
      <c r="C873" s="5" t="str">
        <f>IFERROR(__xludf.DUMMYFUNCTION("GOOGLETRANSLATE(B873,""en"",""es-ES"")"),"Luego, el chef pone la pasta en agua caliente, luego vierte aceite en una sartén.")</f>
        <v>Luego, el chef pone la pasta en agua caliente, luego vierte aceite en una sartén.</v>
      </c>
    </row>
    <row r="874">
      <c r="A874" s="4" t="s">
        <v>1109</v>
      </c>
      <c r="B874" s="4" t="s">
        <v>1112</v>
      </c>
      <c r="C874" s="5" t="str">
        <f>IFERROR(__xludf.DUMMYFUNCTION("GOOGLETRANSLATE(B874,""en"",""es-ES"")"),"Luego, el chef agrega a la sartén el ajo, los tomates, la albahaca, la sal, la pimienta y la pasta cocida y la mezcla.")</f>
        <v>Luego, el chef agrega a la sartén el ajo, los tomates, la albahaca, la sal, la pimienta y la pasta cocida y la mezcla.</v>
      </c>
    </row>
    <row r="875">
      <c r="A875" s="4" t="s">
        <v>1109</v>
      </c>
      <c r="B875" s="4" t="s">
        <v>1113</v>
      </c>
      <c r="C875" s="5" t="str">
        <f>IFERROR(__xludf.DUMMYFUNCTION("GOOGLETRANSLATE(B875,""en"",""es-ES"")"),"Después, el chef agrega el queso parmesano en la parte superior de la pasta y sirve en un plato.")</f>
        <v>Después, el chef agrega el queso parmesano en la parte superior de la pasta y sirve en un plato.</v>
      </c>
    </row>
    <row r="876">
      <c r="A876" s="4" t="s">
        <v>1109</v>
      </c>
      <c r="B876" s="4" t="s">
        <v>1114</v>
      </c>
      <c r="C876" s="5" t="str">
        <f>IFERROR(__xludf.DUMMYFUNCTION("GOOGLETRANSLATE(B876,""en"",""es-ES"")"),"El chef puso queso y dos hojas verdes en la parte superior de la pasta en el plato.")</f>
        <v>El chef puso queso y dos hojas verdes en la parte superior de la pasta en el plato.</v>
      </c>
    </row>
    <row r="877">
      <c r="A877" s="4" t="s">
        <v>1115</v>
      </c>
      <c r="B877" s="4" t="s">
        <v>1116</v>
      </c>
      <c r="C877" s="5" t="str">
        <f>IFERROR(__xludf.DUMMYFUNCTION("GOOGLETRANSLATE(B877,""en"",""es-ES"")"),"Una persona instala una alfombra con una máquina.")</f>
        <v>Una persona instala una alfombra con una máquina.</v>
      </c>
    </row>
    <row r="878">
      <c r="A878" s="4" t="s">
        <v>1115</v>
      </c>
      <c r="B878" s="4" t="s">
        <v>1117</v>
      </c>
      <c r="C878" s="5" t="str">
        <f>IFERROR(__xludf.DUMMYFUNCTION("GOOGLETRANSLATE(B878,""en"",""es-ES"")"),"La persona corta un trozo de alfombra manchada.")</f>
        <v>La persona corta un trozo de alfombra manchada.</v>
      </c>
    </row>
    <row r="879">
      <c r="A879" s="4" t="s">
        <v>1115</v>
      </c>
      <c r="B879" s="4" t="s">
        <v>1118</v>
      </c>
      <c r="C879" s="5" t="str">
        <f>IFERROR(__xludf.DUMMYFUNCTION("GOOGLETRANSLATE(B879,""en"",""es-ES"")"),"Luego, la persona reemplaza con una nueva pieza y arbusto.")</f>
        <v>Luego, la persona reemplaza con una nueva pieza y arbusto.</v>
      </c>
    </row>
    <row r="880">
      <c r="A880" s="4" t="s">
        <v>1119</v>
      </c>
      <c r="B880" s="4" t="s">
        <v>1120</v>
      </c>
      <c r="C880" s="5" t="str">
        <f>IFERROR(__xludf.DUMMYFUNCTION("GOOGLETRANSLATE(B880,""en"",""es-ES"")"),"El hombre está corriendo en una pista de carreras y salta de longitud mientras la gente en los grados lo está mirando aplaudir.")</f>
        <v>El hombre está corriendo en una pista de carreras y salta de longitud mientras la gente en los grados lo está mirando aplaudir.</v>
      </c>
    </row>
    <row r="881">
      <c r="A881" s="4" t="s">
        <v>1119</v>
      </c>
      <c r="B881" s="4" t="s">
        <v>1121</v>
      </c>
      <c r="C881" s="5" t="str">
        <f>IFERROR(__xludf.DUMMYFUNCTION("GOOGLETRANSLATE(B881,""en"",""es-ES"")"),"La gente al lado de la pista de carreras está sentada a un lado.")</f>
        <v>La gente al lado de la pista de carreras está sentada a un lado.</v>
      </c>
    </row>
    <row r="882">
      <c r="A882" s="4" t="s">
        <v>1122</v>
      </c>
      <c r="B882" s="4" t="s">
        <v>1123</v>
      </c>
      <c r="C882" s="5" t="str">
        <f>IFERROR(__xludf.DUMMYFUNCTION("GOOGLETRANSLATE(B882,""en"",""es-ES"")"),"Se ve a una mujer sentada detrás de un conjunto de tambores de bongo y tocando mientras habla con la cámara.")</f>
        <v>Se ve a una mujer sentada detrás de un conjunto de tambores de bongo y tocando mientras habla con la cámara.</v>
      </c>
    </row>
    <row r="883">
      <c r="A883" s="4" t="s">
        <v>1122</v>
      </c>
      <c r="B883" s="4" t="s">
        <v>1124</v>
      </c>
      <c r="C883" s="5" t="str">
        <f>IFERROR(__xludf.DUMMYFUNCTION("GOOGLETRANSLATE(B883,""en"",""es-ES"")"),"La mujer continúa golpeando la batería mientras habla con la cámara y cantando.")</f>
        <v>La mujer continúa golpeando la batería mientras habla con la cámara y cantando.</v>
      </c>
    </row>
    <row r="884">
      <c r="A884" s="4" t="s">
        <v>1125</v>
      </c>
      <c r="B884" s="4" t="s">
        <v>1126</v>
      </c>
      <c r="C884" s="5" t="str">
        <f>IFERROR(__xludf.DUMMYFUNCTION("GOOGLETRANSLATE(B884,""en"",""es-ES"")"),"Una mujer está acostada en una cama con el cabello extendido.")</f>
        <v>Una mujer está acostada en una cama con el cabello extendido.</v>
      </c>
    </row>
    <row r="885">
      <c r="A885" s="4" t="s">
        <v>1125</v>
      </c>
      <c r="B885" s="4" t="s">
        <v>1127</v>
      </c>
      <c r="C885" s="5" t="str">
        <f>IFERROR(__xludf.DUMMYFUNCTION("GOOGLETRANSLATE(B885,""en"",""es-ES"")"),"Hay varias imágenes de ella desde atrás con cabello muy largo.")</f>
        <v>Hay varias imágenes de ella desde atrás con cabello muy largo.</v>
      </c>
    </row>
    <row r="886">
      <c r="A886" s="4" t="s">
        <v>1125</v>
      </c>
      <c r="B886" s="4" t="s">
        <v>1128</v>
      </c>
      <c r="C886" s="5" t="str">
        <f>IFERROR(__xludf.DUMMYFUNCTION("GOOGLETRANSLATE(B886,""en"",""es-ES"")"),"Luego vemos numerosas imágenes de ella con el cabello cortado hasta el alcance de los hombros.")</f>
        <v>Luego vemos numerosas imágenes de ella con el cabello cortado hasta el alcance de los hombros.</v>
      </c>
    </row>
    <row r="887">
      <c r="A887" s="4" t="s">
        <v>1129</v>
      </c>
      <c r="B887" s="4" t="s">
        <v>1130</v>
      </c>
      <c r="C887" s="5" t="str">
        <f>IFERROR(__xludf.DUMMYFUNCTION("GOOGLETRANSLATE(B887,""en"",""es-ES"")"),"Un hombre con un abrigo rojo está afuera en un snowboard.")</f>
        <v>Un hombre con un abrigo rojo está afuera en un snowboard.</v>
      </c>
    </row>
    <row r="888">
      <c r="A888" s="4" t="s">
        <v>1129</v>
      </c>
      <c r="B888" s="4" t="s">
        <v>1131</v>
      </c>
      <c r="C888" s="5" t="str">
        <f>IFERROR(__xludf.DUMMYFUNCTION("GOOGLETRANSLATE(B888,""en"",""es-ES"")"),"Comienza a seguir un curso y haciendo algunos trucos realmente geniales mientras se mueve.")</f>
        <v>Comienza a seguir un curso y haciendo algunos trucos realmente geniales mientras se mueve.</v>
      </c>
    </row>
    <row r="889">
      <c r="A889" s="4" t="s">
        <v>1129</v>
      </c>
      <c r="B889" s="4" t="s">
        <v>1132</v>
      </c>
      <c r="C889" s="5" t="str">
        <f>IFERROR(__xludf.DUMMYFUNCTION("GOOGLETRANSLATE(B889,""en"",""es-ES"")"),"Algunos hombres se frotan sus tablas y otro sube al campo y comienzan a hacer algunas flips y esas cosas en el aire.")</f>
        <v>Algunos hombres se frotan sus tablas y otro sube al campo y comienzan a hacer algunas flips y esas cosas en el aire.</v>
      </c>
    </row>
    <row r="890">
      <c r="A890" s="4" t="s">
        <v>1129</v>
      </c>
      <c r="B890" s="4" t="s">
        <v>1133</v>
      </c>
      <c r="C890" s="5" t="str">
        <f>IFERROR(__xludf.DUMMYFUNCTION("GOOGLETRANSLATE(B890,""en"",""es-ES"")"),"Todas estas son personas bastante experimentadas en los tableros, incluso están abordando el agua y pasando un buen rato.")</f>
        <v>Todas estas son personas bastante experimentadas en los tableros, incluso están abordando el agua y pasando un buen rato.</v>
      </c>
    </row>
    <row r="891">
      <c r="A891" s="4" t="s">
        <v>1134</v>
      </c>
      <c r="B891" s="4" t="s">
        <v>1135</v>
      </c>
      <c r="C891" s="5" t="str">
        <f>IFERROR(__xludf.DUMMYFUNCTION("GOOGLETRANSLATE(B891,""en"",""es-ES"")"),"La mujer está hablando con la cámara sosteniendo un micrófono y entrevistando a jugadores de Voleyball.")</f>
        <v>La mujer está hablando con la cámara sosteniendo un micrófono y entrevistando a jugadores de Voleyball.</v>
      </c>
    </row>
    <row r="892">
      <c r="A892" s="4" t="s">
        <v>1134</v>
      </c>
      <c r="B892" s="4" t="s">
        <v>1136</v>
      </c>
      <c r="C892" s="5" t="str">
        <f>IFERROR(__xludf.DUMMYFUNCTION("GOOGLETRANSLATE(B892,""en"",""es-ES"")"),"Los hombres están parados en un campo arenoso que se entrevistan.")</f>
        <v>Los hombres están parados en un campo arenoso que se entrevistan.</v>
      </c>
    </row>
    <row r="893">
      <c r="A893" s="4" t="s">
        <v>1134</v>
      </c>
      <c r="B893" s="4" t="s">
        <v>1137</v>
      </c>
      <c r="C893" s="5" t="str">
        <f>IFERROR(__xludf.DUMMYFUNCTION("GOOGLETRANSLATE(B893,""en"",""es-ES"")"),"Los hombres están en Sandy Field mostrando a él chica cómo jugar al fútbol de playa.")</f>
        <v>Los hombres están en Sandy Field mostrando a él chica cómo jugar al fútbol de playa.</v>
      </c>
    </row>
    <row r="894">
      <c r="A894" s="4" t="s">
        <v>1134</v>
      </c>
      <c r="B894" s="4" t="s">
        <v>1138</v>
      </c>
      <c r="C894" s="5" t="str">
        <f>IFERROR(__xludf.DUMMYFUNCTION("GOOGLETRANSLATE(B894,""en"",""es-ES"")"),"La mujer está en el frente de la red que habla con la cámara.")</f>
        <v>La mujer está en el frente de la red que habla con la cámara.</v>
      </c>
    </row>
    <row r="895">
      <c r="A895" s="4" t="s">
        <v>1139</v>
      </c>
      <c r="B895" s="4" t="s">
        <v>1140</v>
      </c>
      <c r="C895" s="5" t="str">
        <f>IFERROR(__xludf.DUMMYFUNCTION("GOOGLETRANSLATE(B895,""en"",""es-ES"")"),"Un hombre se bombea para hacer un salto de longitud y luego lo hace.")</f>
        <v>Un hombre se bombea para hacer un salto de longitud y luego lo hace.</v>
      </c>
    </row>
    <row r="896">
      <c r="A896" s="4" t="s">
        <v>1139</v>
      </c>
      <c r="B896" s="4" t="s">
        <v>1141</v>
      </c>
      <c r="C896" s="5" t="str">
        <f>IFERROR(__xludf.DUMMYFUNCTION("GOOGLETRANSLATE(B896,""en"",""es-ES"")"),"Otros van a continuación e intentan bombear a la multitud por sus respectivos saltos de larga duración.")</f>
        <v>Otros van a continuación e intentan bombear a la multitud por sus respectivos saltos de larga duración.</v>
      </c>
    </row>
    <row r="897">
      <c r="A897" s="4" t="s">
        <v>1142</v>
      </c>
      <c r="B897" s="4" t="s">
        <v>1143</v>
      </c>
      <c r="C897" s="5" t="str">
        <f>IFERROR(__xludf.DUMMYFUNCTION("GOOGLETRANSLATE(B897,""en"",""es-ES"")"),"Una mujer negra está hablando con la pantalla con el pelo largo y rizado y un suéter negro.")</f>
        <v>Una mujer negra está hablando con la pantalla con el pelo largo y rizado y un suéter negro.</v>
      </c>
    </row>
    <row r="898">
      <c r="A898" s="4" t="s">
        <v>1142</v>
      </c>
      <c r="B898" s="4" t="s">
        <v>1144</v>
      </c>
      <c r="C898" s="5" t="str">
        <f>IFERROR(__xludf.DUMMYFUNCTION("GOOGLETRANSLATE(B898,""en"",""es-ES"")"),"Se muestra un secador y la señora comienza a secarse el cabello de una niña.")</f>
        <v>Se muestra un secador y la señora comienza a secarse el cabello de una niña.</v>
      </c>
    </row>
    <row r="899">
      <c r="A899" s="4" t="s">
        <v>1142</v>
      </c>
      <c r="B899" s="4" t="s">
        <v>1145</v>
      </c>
      <c r="C899" s="5" t="str">
        <f>IFERROR(__xludf.DUMMYFUNCTION("GOOGLETRANSLATE(B899,""en"",""es-ES"")"),"El cabello de la niña se muestra extremadamente rizado y la joven tiene problemas para secarse el cabello.")</f>
        <v>El cabello de la niña se muestra extremadamente rizado y la joven tiene problemas para secarse el cabello.</v>
      </c>
    </row>
    <row r="900">
      <c r="A900" s="4" t="s">
        <v>1142</v>
      </c>
      <c r="B900" s="4" t="s">
        <v>1146</v>
      </c>
      <c r="C900" s="5" t="str">
        <f>IFERROR(__xludf.DUMMYFUNCTION("GOOGLETRANSLATE(B900,""en"",""es-ES"")"),"El secador Red by Kiss se muestra nuevamente y la dama continúa secando el cabello de la joven.")</f>
        <v>El secador Red by Kiss se muestra nuevamente y la dama continúa secando el cabello de la joven.</v>
      </c>
    </row>
    <row r="901">
      <c r="A901" s="4" t="s">
        <v>1147</v>
      </c>
      <c r="B901" s="4" t="s">
        <v>1148</v>
      </c>
      <c r="C901" s="5" t="str">
        <f>IFERROR(__xludf.DUMMYFUNCTION("GOOGLETRANSLATE(B901,""en"",""es-ES"")"),"El hombre está poniendo los ascensores en un poste.")</f>
        <v>El hombre está poniendo los ascensores en un poste.</v>
      </c>
    </row>
    <row r="902">
      <c r="A902" s="4" t="s">
        <v>1147</v>
      </c>
      <c r="B902" s="4" t="s">
        <v>1149</v>
      </c>
      <c r="C902" s="5" t="str">
        <f>IFERROR(__xludf.DUMMYFUNCTION("GOOGLETRANSLATE(B902,""en"",""es-ES"")"),"El hombre está de pie en el medio de una habitación en un gimnasio levantando peso.")</f>
        <v>El hombre está de pie en el medio de una habitación en un gimnasio levantando peso.</v>
      </c>
    </row>
    <row r="903">
      <c r="A903" s="4" t="s">
        <v>1147</v>
      </c>
      <c r="B903" s="4" t="s">
        <v>1150</v>
      </c>
      <c r="C903" s="5" t="str">
        <f>IFERROR(__xludf.DUMMYFUNCTION("GOOGLETRANSLATE(B903,""en"",""es-ES"")"),"Muchos ascensores diferentes están apilados en el gimnasio.")</f>
        <v>Muchos ascensores diferentes están apilados en el gimnasio.</v>
      </c>
    </row>
    <row r="904">
      <c r="A904" s="4" t="s">
        <v>1151</v>
      </c>
      <c r="B904" s="4" t="s">
        <v>1152</v>
      </c>
      <c r="C904" s="5" t="str">
        <f>IFERROR(__xludf.DUMMYFUNCTION("GOOGLETRANSLATE(B904,""en"",""es-ES"")"),"Se ve a una persona correr por el camino con equipos y hablar con la cámara.")</f>
        <v>Se ve a una persona correr por el camino con equipos y hablar con la cámara.</v>
      </c>
    </row>
    <row r="905">
      <c r="A905" s="4" t="s">
        <v>1151</v>
      </c>
      <c r="B905" s="4" t="s">
        <v>1153</v>
      </c>
      <c r="C905" s="5" t="str">
        <f>IFERROR(__xludf.DUMMYFUNCTION("GOOGLETRANSLATE(B905,""en"",""es-ES"")"),"El hombre corre usando cuerdas y hablando con la cámara.")</f>
        <v>El hombre corre usando cuerdas y hablando con la cámara.</v>
      </c>
    </row>
    <row r="906">
      <c r="A906" s="4" t="s">
        <v>1151</v>
      </c>
      <c r="B906" s="4" t="s">
        <v>1154</v>
      </c>
      <c r="C906" s="5" t="str">
        <f>IFERROR(__xludf.DUMMYFUNCTION("GOOGLETRANSLATE(B906,""en"",""es-ES"")"),"El hombre continúa hablando mientras se muestran más disparos de él corriendo.")</f>
        <v>El hombre continúa hablando mientras se muestran más disparos de él corriendo.</v>
      </c>
    </row>
    <row r="907">
      <c r="A907" s="4" t="s">
        <v>1155</v>
      </c>
      <c r="B907" s="4" t="s">
        <v>1156</v>
      </c>
      <c r="C907" s="5" t="str">
        <f>IFERROR(__xludf.DUMMYFUNCTION("GOOGLETRANSLATE(B907,""en"",""es-ES"")"),"La gente está sentada en los puestos mirando a la gente.")</f>
        <v>La gente está sentada en los puestos mirando a la gente.</v>
      </c>
    </row>
    <row r="908">
      <c r="A908" s="4" t="s">
        <v>1155</v>
      </c>
      <c r="B908" s="4" t="s">
        <v>1157</v>
      </c>
      <c r="C908" s="5" t="str">
        <f>IFERROR(__xludf.DUMMYFUNCTION("GOOGLETRANSLATE(B908,""en"",""es-ES"")"),"La gente está en túnicas.")</f>
        <v>La gente está en túnicas.</v>
      </c>
    </row>
    <row r="909">
      <c r="A909" s="4" t="s">
        <v>1155</v>
      </c>
      <c r="B909" s="4" t="s">
        <v>1158</v>
      </c>
      <c r="C909" s="5" t="str">
        <f>IFERROR(__xludf.DUMMYFUNCTION("GOOGLETRANSLATE(B909,""en"",""es-ES"")"),"Están haciendo movimientos de karate al suelo.")</f>
        <v>Están haciendo movimientos de karate al suelo.</v>
      </c>
    </row>
    <row r="910">
      <c r="A910" s="4" t="s">
        <v>1159</v>
      </c>
      <c r="B910" s="4" t="s">
        <v>1160</v>
      </c>
      <c r="C910" s="5" t="str">
        <f>IFERROR(__xludf.DUMMYFUNCTION("GOOGLETRANSLATE(B910,""en"",""es-ES"")"),"Un hombre habla sobre un arco que está usando frente a un campo abierto.")</f>
        <v>Un hombre habla sobre un arco que está usando frente a un campo abierto.</v>
      </c>
    </row>
    <row r="911">
      <c r="A911" s="4" t="s">
        <v>1159</v>
      </c>
      <c r="B911" s="4" t="s">
        <v>1161</v>
      </c>
      <c r="C911" s="5" t="str">
        <f>IFERROR(__xludf.DUMMYFUNCTION("GOOGLETRANSLATE(B911,""en"",""es-ES"")"),"El hombre muestra cómo usar el arco golpeando un objetivo en el campo.")</f>
        <v>El hombre muestra cómo usar el arco golpeando un objetivo en el campo.</v>
      </c>
    </row>
    <row r="912">
      <c r="A912" s="4" t="s">
        <v>1159</v>
      </c>
      <c r="B912" s="4" t="s">
        <v>1162</v>
      </c>
      <c r="C912" s="5" t="str">
        <f>IFERROR(__xludf.DUMMYFUNCTION("GOOGLETRANSLATE(B912,""en"",""es-ES"")"),"Varios vehículos conducen por una carretera detrás del campo.")</f>
        <v>Varios vehículos conducen por una carretera detrás del campo.</v>
      </c>
    </row>
    <row r="913">
      <c r="A913" s="4" t="s">
        <v>1159</v>
      </c>
      <c r="B913" s="4" t="s">
        <v>1163</v>
      </c>
      <c r="C913" s="5" t="str">
        <f>IFERROR(__xludf.DUMMYFUNCTION("GOOGLETRANSLATE(B913,""en"",""es-ES"")"),"Las vacas pastan detrás de la carretera.")</f>
        <v>Las vacas pastan detrás de la carretera.</v>
      </c>
    </row>
    <row r="914">
      <c r="A914" s="4" t="s">
        <v>1159</v>
      </c>
      <c r="B914" s="4" t="s">
        <v>1164</v>
      </c>
      <c r="C914" s="5" t="str">
        <f>IFERROR(__xludf.DUMMYFUNCTION("GOOGLETRANSLATE(B914,""en"",""es-ES"")"),"El hombre golpea su último objetivo y se aleja.")</f>
        <v>El hombre golpea su último objetivo y se aleja.</v>
      </c>
    </row>
    <row r="915">
      <c r="A915" s="4" t="s">
        <v>1165</v>
      </c>
      <c r="B915" s="4" t="s">
        <v>1166</v>
      </c>
      <c r="C915" s="5" t="str">
        <f>IFERROR(__xludf.DUMMYFUNCTION("GOOGLETRANSLATE(B915,""en"",""es-ES"")"),"Un camarero masculino se encuentra detrás de una barra frente a bebidas y tazas de mezcla.")</f>
        <v>Un camarero masculino se encuentra detrás de una barra frente a bebidas y tazas de mezcla.</v>
      </c>
    </row>
    <row r="916">
      <c r="A916" s="4" t="s">
        <v>1165</v>
      </c>
      <c r="B916" s="4" t="s">
        <v>1167</v>
      </c>
      <c r="C916" s="5" t="str">
        <f>IFERROR(__xludf.DUMMYFUNCTION("GOOGLETRANSLATE(B916,""en"",""es-ES"")"),"El hombre recoge un SUP de acero y vierte su contenido de hielo en un vaso que sostiene en la mano opuesta.")</f>
        <v>El hombre recoge un SUP de acero y vierte su contenido de hielo en un vaso que sostiene en la mano opuesta.</v>
      </c>
    </row>
    <row r="917">
      <c r="A917" s="4" t="s">
        <v>1165</v>
      </c>
      <c r="B917" s="4" t="s">
        <v>1168</v>
      </c>
      <c r="C917" s="5" t="str">
        <f>IFERROR(__xludf.DUMMYFUNCTION("GOOGLETRANSLATE(B917,""en"",""es-ES"")"),"El hombre luego toma un pequeño vaso de chupito de acero y lo llena con Liquir.")</f>
        <v>El hombre luego toma un pequeño vaso de chupito de acero y lo llena con Liquir.</v>
      </c>
    </row>
    <row r="918">
      <c r="A918" s="4" t="s">
        <v>1165</v>
      </c>
      <c r="B918" s="4" t="s">
        <v>1169</v>
      </c>
      <c r="C918" s="5" t="str">
        <f>IFERROR(__xludf.DUMMYFUNCTION("GOOGLETRANSLATE(B918,""en"",""es-ES"")"),"El hombre luego vierte el Liquir desde el vaso de chupito en la taza de vidrio con hielo.")</f>
        <v>El hombre luego vierte el Liquir desde el vaso de chupito en la taza de vidrio con hielo.</v>
      </c>
    </row>
    <row r="919">
      <c r="A919" s="4" t="s">
        <v>1165</v>
      </c>
      <c r="B919" s="4" t="s">
        <v>1170</v>
      </c>
      <c r="C919" s="5" t="str">
        <f>IFERROR(__xludf.DUMMYFUNCTION("GOOGLETRANSLATE(B919,""en"",""es-ES"")"),"El hombre recoge otro vaso con jugo rojo dentro y lo vierte en el vaso con hielo antes de volver a bajar.")</f>
        <v>El hombre recoge otro vaso con jugo rojo dentro y lo vierte en el vaso con hielo antes de volver a bajar.</v>
      </c>
    </row>
    <row r="920">
      <c r="A920" s="4" t="s">
        <v>1165</v>
      </c>
      <c r="B920" s="4" t="s">
        <v>1171</v>
      </c>
      <c r="C920" s="5" t="str">
        <f>IFERROR(__xludf.DUMMYFUNCTION("GOOGLETRANSLATE(B920,""en"",""es-ES"")"),"El hombre vierte la taza con todos los líquidos en una taza de mezcla y luego la usa para cubrir y agitar la batidora.")</f>
        <v>El hombre vierte la taza con todos los líquidos en una taza de mezcla y luego la usa para cubrir y agitar la batidora.</v>
      </c>
    </row>
    <row r="921">
      <c r="A921" s="4" t="s">
        <v>1165</v>
      </c>
      <c r="B921" s="4" t="s">
        <v>1172</v>
      </c>
      <c r="C921" s="5" t="str">
        <f>IFERROR(__xludf.DUMMYFUNCTION("GOOGLETRANSLATE(B921,""en"",""es-ES"")"),"El hombre deja de temblar y se hepra de las dos tazas, poniéndolas de vuelta en el mostrador.")</f>
        <v>El hombre deja de temblar y se hepra de las dos tazas, poniéndolas de vuelta en el mostrador.</v>
      </c>
    </row>
    <row r="922">
      <c r="A922" s="4" t="s">
        <v>1165</v>
      </c>
      <c r="B922" s="4" t="s">
        <v>1173</v>
      </c>
      <c r="C922" s="5" t="str">
        <f>IFERROR(__xludf.DUMMYFUNCTION("GOOGLETRANSLATE(B922,""en"",""es-ES"")"),"El hombre agarra un tercer vaso vacío y lo mueve al lado opuesto del mostrador.")</f>
        <v>El hombre agarra un tercer vaso vacío y lo mueve al lado opuesto del mostrador.</v>
      </c>
    </row>
    <row r="923">
      <c r="A923" s="4" t="s">
        <v>1165</v>
      </c>
      <c r="B923" s="4" t="s">
        <v>1174</v>
      </c>
      <c r="C923" s="5" t="str">
        <f>IFERROR(__xludf.DUMMYFUNCTION("GOOGLETRANSLATE(B923,""en"",""es-ES"")"),"El hombre recoge la batidora y vierte su contenido en el vaso vacío antes de volver a colocarlo.")</f>
        <v>El hombre recoge la batidora y vierte su contenido en el vaso vacío antes de volver a colocarlo.</v>
      </c>
    </row>
    <row r="924">
      <c r="A924" s="4" t="s">
        <v>1165</v>
      </c>
      <c r="B924" s="4" t="s">
        <v>1175</v>
      </c>
      <c r="C924" s="5" t="str">
        <f>IFERROR(__xludf.DUMMYFUNCTION("GOOGLETRANSLATE(B924,""en"",""es-ES"")"),"Luego, el hombre agrega un staw y un paraguas en miniatura a la bebida para decorar antes de sostener el vaso.")</f>
        <v>Luego, el hombre agrega un staw y un paraguas en miniatura a la bebida para decorar antes de sostener el vaso.</v>
      </c>
    </row>
    <row r="925">
      <c r="A925" s="4" t="s">
        <v>1176</v>
      </c>
      <c r="B925" s="4" t="s">
        <v>1177</v>
      </c>
      <c r="C925" s="5" t="str">
        <f>IFERROR(__xludf.DUMMYFUNCTION("GOOGLETRANSLATE(B925,""en"",""es-ES"")"),"Una mujer levanta a un gato de la mesa y se sienta con él en su regazo.")</f>
        <v>Una mujer levanta a un gato de la mesa y se sienta con él en su regazo.</v>
      </c>
    </row>
    <row r="926">
      <c r="A926" s="4" t="s">
        <v>1176</v>
      </c>
      <c r="B926" s="4" t="s">
        <v>1178</v>
      </c>
      <c r="C926" s="5" t="str">
        <f>IFERROR(__xludf.DUMMYFUNCTION("GOOGLETRANSLATE(B926,""en"",""es-ES"")"),"La mujer usa tijeras de recorte para cortar las garras de los gatos.")</f>
        <v>La mujer usa tijeras de recorte para cortar las garras de los gatos.</v>
      </c>
    </row>
    <row r="927">
      <c r="A927" s="4" t="s">
        <v>1179</v>
      </c>
      <c r="B927" s="4" t="s">
        <v>1180</v>
      </c>
      <c r="C927" s="5" t="str">
        <f>IFERROR(__xludf.DUMMYFUNCTION("GOOGLETRANSLATE(B927,""en"",""es-ES"")"),"Una persona invisible navega varias páginas de Amazon Dot en equipos de ejercicio.")</f>
        <v>Una persona invisible navega varias páginas de Amazon Dot en equipos de ejercicio.</v>
      </c>
    </row>
    <row r="928">
      <c r="A928" s="4" t="s">
        <v>1179</v>
      </c>
      <c r="B928" s="4" t="s">
        <v>1181</v>
      </c>
      <c r="C928" s="5" t="str">
        <f>IFERROR(__xludf.DUMMYFUNCTION("GOOGLETRANSLATE(B928,""en"",""es-ES"")"),"Se muestra una página de Amazon que muestra una máquina de ejercicios, seguida de otra imagen de una página de Amazon que muestra a una mujer que usa una máquina de ejercicios junto con un precio e información sobre el equipo.")</f>
        <v>Se muestra una página de Amazon que muestra una máquina de ejercicios, seguida de otra imagen de una página de Amazon que muestra a una mujer que usa una máquina de ejercicios junto con un precio e información sobre el equipo.</v>
      </c>
    </row>
    <row r="929">
      <c r="A929" s="4" t="s">
        <v>1179</v>
      </c>
      <c r="B929" s="4" t="s">
        <v>1182</v>
      </c>
      <c r="C929" s="5" t="str">
        <f>IFERROR(__xludf.DUMMYFUNCTION("GOOGLETRANSLATE(B929,""en"",""es-ES"")"),"Se muestra otra página que muestra un entrenador elíptico en el que un mouse de computadora activo está navegando por la revisión del elemento en el que se muestra otro modelo de entrenador elíptico en otra página.")</f>
        <v>Se muestra otra página que muestra un entrenador elíptico en el que un mouse de computadora activo está navegando por la revisión del elemento en el que se muestra otro modelo de entrenador elíptico en otra página.</v>
      </c>
    </row>
    <row r="930">
      <c r="A930" s="4" t="s">
        <v>1183</v>
      </c>
      <c r="B930" s="4" t="s">
        <v>1184</v>
      </c>
      <c r="C930" s="5" t="str">
        <f>IFERROR(__xludf.DUMMYFUNCTION("GOOGLETRANSLATE(B930,""en"",""es-ES"")"),"Una mujer está extendiendo crema de afeitar en las piernas de otra mujer.")</f>
        <v>Una mujer está extendiendo crema de afeitar en las piernas de otra mujer.</v>
      </c>
    </row>
    <row r="931">
      <c r="A931" s="4" t="s">
        <v>1183</v>
      </c>
      <c r="B931" s="4" t="s">
        <v>1185</v>
      </c>
      <c r="C931" s="5" t="str">
        <f>IFERROR(__xludf.DUMMYFUNCTION("GOOGLETRANSLATE(B931,""en"",""es-ES"")"),"Ella pone sus manos bajo el agua y comienza a afeitarse las piernas de la mujer por ella.")</f>
        <v>Ella pone sus manos bajo el agua y comienza a afeitarse las piernas de la mujer por ella.</v>
      </c>
    </row>
    <row r="932">
      <c r="A932" s="4" t="s">
        <v>1183</v>
      </c>
      <c r="B932" s="4" t="s">
        <v>1186</v>
      </c>
      <c r="C932" s="5" t="str">
        <f>IFERROR(__xludf.DUMMYFUNCTION("GOOGLETRANSLATE(B932,""en"",""es-ES"")"),"Ella comienza de abajo hacia arriba de la pierna y continúa ese movimiento.")</f>
        <v>Ella comienza de abajo hacia arriba de la pierna y continúa ese movimiento.</v>
      </c>
    </row>
    <row r="933">
      <c r="A933" s="4" t="s">
        <v>1183</v>
      </c>
      <c r="B933" s="4" t="s">
        <v>1187</v>
      </c>
      <c r="C933" s="5" t="str">
        <f>IFERROR(__xludf.DUMMYFUNCTION("GOOGLETRANSLATE(B933,""en"",""es-ES"")"),"El video es muy inestable, pero la mujer continúa afeitando la pierna de sus amigos.")</f>
        <v>El video es muy inestable, pero la mujer continúa afeitando la pierna de sus amigos.</v>
      </c>
    </row>
    <row r="934">
      <c r="A934" s="4" t="s">
        <v>1188</v>
      </c>
      <c r="B934" s="4" t="s">
        <v>1189</v>
      </c>
      <c r="C934" s="5" t="str">
        <f>IFERROR(__xludf.DUMMYFUNCTION("GOOGLETRANSLATE(B934,""en"",""es-ES"")"),"Una piñata cuelga de un árbol, mientras un grupo de chicas se encuentra frente a él.")</f>
        <v>Una piñata cuelga de un árbol, mientras un grupo de chicas se encuentra frente a él.</v>
      </c>
    </row>
    <row r="935">
      <c r="A935" s="4" t="s">
        <v>1188</v>
      </c>
      <c r="B935" s="4" t="s">
        <v>1190</v>
      </c>
      <c r="C935" s="5" t="str">
        <f>IFERROR(__xludf.DUMMYFUNCTION("GOOGLETRANSLATE(B935,""en"",""es-ES"")"),"Uno tiene un palo y tiene los ojos vendados.")</f>
        <v>Uno tiene un palo y tiene los ojos vendados.</v>
      </c>
    </row>
    <row r="936">
      <c r="A936" s="4" t="s">
        <v>1188</v>
      </c>
      <c r="B936" s="4" t="s">
        <v>1191</v>
      </c>
      <c r="C936" s="5" t="str">
        <f>IFERROR(__xludf.DUMMYFUNCTION("GOOGLETRANSLATE(B936,""en"",""es-ES"")"),"Ella golpea la piñata, luego se aleja.")</f>
        <v>Ella golpea la piñata, luego se aleja.</v>
      </c>
    </row>
    <row r="937">
      <c r="A937" s="4" t="s">
        <v>1192</v>
      </c>
      <c r="B937" s="4" t="s">
        <v>1193</v>
      </c>
      <c r="C937" s="5" t="str">
        <f>IFERROR(__xludf.DUMMYFUNCTION("GOOGLETRANSLATE(B937,""en"",""es-ES"")"),"Una mujer con una camisa rosa está montando una bicicleta en bicicleta.")</f>
        <v>Una mujer con una camisa rosa está montando una bicicleta en bicicleta.</v>
      </c>
    </row>
    <row r="938">
      <c r="A938" s="4" t="s">
        <v>1192</v>
      </c>
      <c r="B938" s="4" t="s">
        <v>1194</v>
      </c>
      <c r="C938" s="5" t="str">
        <f>IFERROR(__xludf.DUMMYFUNCTION("GOOGLETRANSLATE(B938,""en"",""es-ES"")"),"Luego está haciendo flexiones en el suelo.")</f>
        <v>Luego está haciendo flexiones en el suelo.</v>
      </c>
    </row>
    <row r="939">
      <c r="A939" s="4" t="s">
        <v>1192</v>
      </c>
      <c r="B939" s="4" t="s">
        <v>1195</v>
      </c>
      <c r="C939" s="5" t="str">
        <f>IFERROR(__xludf.DUMMYFUNCTION("GOOGLETRANSLATE(B939,""en"",""es-ES"")"),"Ella hace sentadillas en el suelo.")</f>
        <v>Ella hace sentadillas en el suelo.</v>
      </c>
    </row>
    <row r="940">
      <c r="A940" s="4" t="s">
        <v>1196</v>
      </c>
      <c r="B940" s="4" t="s">
        <v>1197</v>
      </c>
      <c r="C940" s="5" t="str">
        <f>IFERROR(__xludf.DUMMYFUNCTION("GOOGLETRANSLATE(B940,""en"",""es-ES"")"),"Un hombre está sentado, hablando con un presentador de un programa de entrevistas.")</f>
        <v>Un hombre está sentado, hablando con un presentador de un programa de entrevistas.</v>
      </c>
    </row>
    <row r="941">
      <c r="A941" s="4" t="s">
        <v>1196</v>
      </c>
      <c r="B941" s="4" t="s">
        <v>1198</v>
      </c>
      <c r="C941" s="5" t="str">
        <f>IFERROR(__xludf.DUMMYFUNCTION("GOOGLETRANSLATE(B941,""en"",""es-ES"")"),"Están animados mientras se hablan el uno al otro.")</f>
        <v>Están animados mientras se hablan el uno al otro.</v>
      </c>
    </row>
    <row r="942">
      <c r="A942" s="4" t="s">
        <v>1196</v>
      </c>
      <c r="B942" s="4" t="s">
        <v>1199</v>
      </c>
      <c r="C942" s="5" t="str">
        <f>IFERROR(__xludf.DUMMYFUNCTION("GOOGLETRANSLATE(B942,""en"",""es-ES"")"),"Continúan hablando, luego el anfitrión le presenta al hombre un regalo.")</f>
        <v>Continúan hablando, luego el anfitrión le presenta al hombre un regalo.</v>
      </c>
    </row>
    <row r="943">
      <c r="A943" s="4" t="s">
        <v>1200</v>
      </c>
      <c r="B943" s="4" t="s">
        <v>1201</v>
      </c>
      <c r="C943" s="5" t="str">
        <f>IFERROR(__xludf.DUMMYFUNCTION("GOOGLETRANSLATE(B943,""en"",""es-ES"")"),"Un hombre está sentado adentro en una silla inhalando una tubería que parecía que era un oboe.")</f>
        <v>Un hombre está sentado adentro en una silla inhalando una tubería que parecía que era un oboe.</v>
      </c>
    </row>
    <row r="944">
      <c r="A944" s="4" t="s">
        <v>1200</v>
      </c>
      <c r="B944" s="4" t="s">
        <v>1202</v>
      </c>
      <c r="C944" s="5" t="str">
        <f>IFERROR(__xludf.DUMMYFUNCTION("GOOGLETRANSLATE(B944,""en"",""es-ES"")"),"Se saca la manguera de la boca y comienza a exhalar formando O en el aire.")</f>
        <v>Se saca la manguera de la boca y comienza a exhalar formando O en el aire.</v>
      </c>
    </row>
    <row r="945">
      <c r="A945" s="4" t="s">
        <v>1200</v>
      </c>
      <c r="B945" s="4" t="s">
        <v>1203</v>
      </c>
      <c r="C945" s="5" t="str">
        <f>IFERROR(__xludf.DUMMYFUNCTION("GOOGLETRANSLATE(B945,""en"",""es-ES"")"),"Comienza a volar su humo en un recipiente y hace algunos círculos realmente geniales que nunca había visto algo así.")</f>
        <v>Comienza a volar su humo en un recipiente y hace algunos círculos realmente geniales que nunca había visto algo así.</v>
      </c>
    </row>
    <row r="946">
      <c r="A946" s="4" t="s">
        <v>1200</v>
      </c>
      <c r="B946" s="4" t="s">
        <v>1204</v>
      </c>
      <c r="C946" s="5" t="str">
        <f>IFERROR(__xludf.DUMMYFUNCTION("GOOGLETRANSLATE(B946,""en"",""es-ES"")"),"Es genial cómo está formando las O, simplemente relajándose y disfruta de una simple diversión.")</f>
        <v>Es genial cómo está formando las O, simplemente relajándose y disfruta de una simple diversión.</v>
      </c>
    </row>
    <row r="947">
      <c r="A947" s="4" t="s">
        <v>1205</v>
      </c>
      <c r="B947" s="4" t="s">
        <v>1206</v>
      </c>
      <c r="C947" s="5" t="str">
        <f>IFERROR(__xludf.DUMMYFUNCTION("GOOGLETRANSLATE(B947,""en"",""es-ES"")"),"Un hombre se encuentra al frente de su minivan y lo muestra.")</f>
        <v>Un hombre se encuentra al frente de su minivan y lo muestra.</v>
      </c>
    </row>
    <row r="948">
      <c r="A948" s="4" t="s">
        <v>1205</v>
      </c>
      <c r="B948" s="4" t="s">
        <v>1207</v>
      </c>
      <c r="C948" s="5" t="str">
        <f>IFERROR(__xludf.DUMMYFUNCTION("GOOGLETRANSLATE(B948,""en"",""es-ES"")"),"El hombre se apoya en el portón trasero de su camioneta y muestra características de carga de almacenamiento en el interior.")</f>
        <v>El hombre se apoya en el portón trasero de su camioneta y muestra características de carga de almacenamiento en el interior.</v>
      </c>
    </row>
    <row r="949">
      <c r="A949" s="4" t="s">
        <v>1205</v>
      </c>
      <c r="B949" s="4" t="s">
        <v>1208</v>
      </c>
      <c r="C949" s="5" t="str">
        <f>IFERROR(__xludf.DUMMYFUNCTION("GOOGLETRANSLATE(B949,""en"",""es-ES"")"),"El hombre reúne los postes.")</f>
        <v>El hombre reúne los postes.</v>
      </c>
    </row>
    <row r="950">
      <c r="A950" s="4" t="s">
        <v>1205</v>
      </c>
      <c r="B950" s="4" t="s">
        <v>1209</v>
      </c>
      <c r="C950" s="5" t="str">
        <f>IFERROR(__xludf.DUMMYFUNCTION("GOOGLETRANSLATE(B950,""en"",""es-ES"")"),"El hombre se sienta en el asiento de los conductores de la camioneta y coloca el marco de la barra en un enchufe y lo gira.")</f>
        <v>El hombre se sienta en el asiento de los conductores de la camioneta y coloca el marco de la barra en un enchufe y lo gira.</v>
      </c>
    </row>
    <row r="951">
      <c r="A951" s="4" t="s">
        <v>1205</v>
      </c>
      <c r="B951" s="4" t="s">
        <v>1210</v>
      </c>
      <c r="C951" s="5" t="str">
        <f>IFERROR(__xludf.DUMMYFUNCTION("GOOGLETRANSLATE(B951,""en"",""es-ES"")"),"El hombre ajusta la varilla y extiende debajo de la camioneta para eliminar una llanta de repuesto.")</f>
        <v>El hombre ajusta la varilla y extiende debajo de la camioneta para eliminar una llanta de repuesto.</v>
      </c>
    </row>
    <row r="952">
      <c r="A952" s="4" t="s">
        <v>1205</v>
      </c>
      <c r="B952" s="4" t="s">
        <v>1211</v>
      </c>
      <c r="C952" s="5" t="str">
        <f>IFERROR(__xludf.DUMMYFUNCTION("GOOGLETRANSLATE(B952,""en"",""es-ES"")"),"El hombre elimina la llanta de repuesto de su recinto.")</f>
        <v>El hombre elimina la llanta de repuesto de su recinto.</v>
      </c>
    </row>
    <row r="953">
      <c r="A953" s="4" t="s">
        <v>1205</v>
      </c>
      <c r="B953" s="4" t="s">
        <v>1212</v>
      </c>
      <c r="C953" s="5" t="str">
        <f>IFERROR(__xludf.DUMMYFUNCTION("GOOGLETRANSLATE(B953,""en"",""es-ES"")"),"El hombre trabaja en la instalación del neumático nuevo.")</f>
        <v>El hombre trabaja en la instalación del neumático nuevo.</v>
      </c>
    </row>
    <row r="954">
      <c r="A954" s="4" t="s">
        <v>1213</v>
      </c>
      <c r="B954" s="4" t="s">
        <v>1214</v>
      </c>
      <c r="C954" s="5" t="str">
        <f>IFERROR(__xludf.DUMMYFUNCTION("GOOGLETRANSLATE(B954,""en"",""es-ES"")"),"Se ve a una mujer joven sentada en un kayak mirando a la cámara.")</f>
        <v>Se ve a una mujer joven sentada en un kayak mirando a la cámara.</v>
      </c>
    </row>
    <row r="955">
      <c r="A955" s="4" t="s">
        <v>1213</v>
      </c>
      <c r="B955" s="4" t="s">
        <v>1215</v>
      </c>
      <c r="C955" s="5" t="str">
        <f>IFERROR(__xludf.DUMMYFUNCTION("GOOGLETRANSLATE(B955,""en"",""es-ES"")"),"La niña comienza a mover la paleta hacia atrás y cuarto.")</f>
        <v>La niña comienza a mover la paleta hacia atrás y cuarto.</v>
      </c>
    </row>
    <row r="956">
      <c r="A956" s="4" t="s">
        <v>1213</v>
      </c>
      <c r="B956" s="4" t="s">
        <v>1216</v>
      </c>
      <c r="C956" s="5" t="str">
        <f>IFERROR(__xludf.DUMMYFUNCTION("GOOGLETRANSLATE(B956,""en"",""es-ES"")"),"Hace una pausa para remar para reírse a lo lejos.")</f>
        <v>Hace una pausa para remar para reírse a lo lejos.</v>
      </c>
    </row>
    <row r="957">
      <c r="A957" s="4" t="s">
        <v>1217</v>
      </c>
      <c r="B957" s="4" t="s">
        <v>1218</v>
      </c>
      <c r="C957" s="5" t="str">
        <f>IFERROR(__xludf.DUMMYFUNCTION("GOOGLETRANSLATE(B957,""en"",""es-ES"")"),"Hay dos adolescentes jugando y resolviendo el cubo de Rubic.")</f>
        <v>Hay dos adolescentes jugando y resolviendo el cubo de Rubic.</v>
      </c>
    </row>
    <row r="958">
      <c r="A958" s="4" t="s">
        <v>1217</v>
      </c>
      <c r="B958" s="4" t="s">
        <v>1219</v>
      </c>
      <c r="C958" s="5" t="str">
        <f>IFERROR(__xludf.DUMMYFUNCTION("GOOGLETRANSLATE(B958,""en"",""es-ES"")"),"Otro niño pequeño entra allí y mira la cámara.")</f>
        <v>Otro niño pequeño entra allí y mira la cámara.</v>
      </c>
    </row>
    <row r="959">
      <c r="A959" s="4" t="s">
        <v>1217</v>
      </c>
      <c r="B959" s="4" t="s">
        <v>1220</v>
      </c>
      <c r="C959" s="5" t="str">
        <f>IFERROR(__xludf.DUMMYFUNCTION("GOOGLETRANSLATE(B959,""en"",""es-ES"")"),"Los adolescentes compiten entre sí para resolver el cubo.")</f>
        <v>Los adolescentes compiten entre sí para resolver el cubo.</v>
      </c>
    </row>
    <row r="960">
      <c r="A960" s="4" t="s">
        <v>1217</v>
      </c>
      <c r="B960" s="4" t="s">
        <v>1221</v>
      </c>
      <c r="C960" s="5" t="str">
        <f>IFERROR(__xludf.DUMMYFUNCTION("GOOGLETRANSLATE(B960,""en"",""es-ES"")"),"Ambos terminan casi al mismo tiempo y resuelven el cubo de Rubic.")</f>
        <v>Ambos terminan casi al mismo tiempo y resuelven el cubo de Rubic.</v>
      </c>
    </row>
    <row r="961">
      <c r="A961" s="4" t="s">
        <v>1217</v>
      </c>
      <c r="B961" s="4" t="s">
        <v>1222</v>
      </c>
      <c r="C961" s="5" t="str">
        <f>IFERROR(__xludf.DUMMYFUNCTION("GOOGLETRANSLATE(B961,""en"",""es-ES"")"),"Orgullosamente muestran sus habilidades en la cámara.")</f>
        <v>Orgullosamente muestran sus habilidades en la cámara.</v>
      </c>
    </row>
    <row r="962">
      <c r="A962" s="4" t="s">
        <v>1223</v>
      </c>
      <c r="B962" s="4" t="s">
        <v>1224</v>
      </c>
      <c r="C962" s="5" t="str">
        <f>IFERROR(__xludf.DUMMYFUNCTION("GOOGLETRANSLATE(B962,""en"",""es-ES"")"),"El atleta masculino está de pie junto a los dos postes, levantó los brazos y luego saltó sobre los postes con los brazos, mientras debajo de él, un hombre sacó una viga roja.")</f>
        <v>El atleta masculino está de pie junto a los dos postes, levantó los brazos y luego saltó sobre los postes con los brazos, mientras debajo de él, un hombre sacó una viga roja.</v>
      </c>
    </row>
    <row r="963">
      <c r="A963" s="4" t="s">
        <v>1223</v>
      </c>
      <c r="B963" s="4" t="s">
        <v>1225</v>
      </c>
      <c r="C963" s="5" t="str">
        <f>IFERROR(__xludf.DUMMYFUNCTION("GOOGLETRANSLATE(B963,""en"",""es-ES"")"),"El atleta realiza su exposición en los postes, se para sobre sus brazos mientras sus pies y piernas se extienden hacia arriba en el aire, se da vuelta, gira, salta y gira y luego saltó sobre la colchoneta, de pie recto.")</f>
        <v>El atleta realiza su exposición en los postes, se para sobre sus brazos mientras sus pies y piernas se extienden hacia arriba en el aire, se da vuelta, gira, salta y gira y luego saltó sobre la colchoneta, de pie recto.</v>
      </c>
    </row>
    <row r="964">
      <c r="A964" s="4" t="s">
        <v>1226</v>
      </c>
      <c r="B964" s="4" t="s">
        <v>1227</v>
      </c>
      <c r="C964" s="5" t="str">
        <f>IFERROR(__xludf.DUMMYFUNCTION("GOOGLETRANSLATE(B964,""en"",""es-ES"")"),"María está demostrando cómo hacer una bebida de cóctel Nyquil.")</f>
        <v>María está demostrando cómo hacer una bebida de cóctel Nyquil.</v>
      </c>
    </row>
    <row r="965">
      <c r="A965" s="4" t="s">
        <v>1226</v>
      </c>
      <c r="B965" s="4" t="s">
        <v>1228</v>
      </c>
      <c r="C965" s="5" t="str">
        <f>IFERROR(__xludf.DUMMYFUNCTION("GOOGLETRANSLATE(B965,""en"",""es-ES"")"),"Ella muestra los ingredientes necesarios para la bebida.")</f>
        <v>Ella muestra los ingredientes necesarios para la bebida.</v>
      </c>
    </row>
    <row r="966">
      <c r="A966" s="4" t="s">
        <v>1226</v>
      </c>
      <c r="B966" s="4" t="s">
        <v>1229</v>
      </c>
      <c r="C966" s="5" t="str">
        <f>IFERROR(__xludf.DUMMYFUNCTION("GOOGLETRANSLATE(B966,""en"",""es-ES"")"),"Ella señala a vodka, jagermeister y colorante de alimentos.")</f>
        <v>Ella señala a vodka, jagermeister y colorante de alimentos.</v>
      </c>
    </row>
    <row r="967">
      <c r="A967" s="4" t="s">
        <v>1226</v>
      </c>
      <c r="B967" s="4" t="s">
        <v>1230</v>
      </c>
      <c r="C967" s="5" t="str">
        <f>IFERROR(__xludf.DUMMYFUNCTION("GOOGLETRANSLATE(B967,""en"",""es-ES"")"),"Luego toma un agitador y vierte y vodka y el Jagermeister.")</f>
        <v>Luego toma un agitador y vierte y vodka y el Jagermeister.</v>
      </c>
    </row>
    <row r="968">
      <c r="A968" s="4" t="s">
        <v>1226</v>
      </c>
      <c r="B968" s="4" t="s">
        <v>1231</v>
      </c>
      <c r="C968" s="5" t="str">
        <f>IFERROR(__xludf.DUMMYFUNCTION("GOOGLETRANSLATE(B968,""en"",""es-ES"")"),"Luego agrega un poco de hielo y lo sacude.")</f>
        <v>Luego agrega un poco de hielo y lo sacude.</v>
      </c>
    </row>
    <row r="969">
      <c r="A969" s="4" t="s">
        <v>1226</v>
      </c>
      <c r="B969" s="4" t="s">
        <v>1232</v>
      </c>
      <c r="C969" s="5" t="str">
        <f>IFERROR(__xludf.DUMMYFUNCTION("GOOGLETRANSLATE(B969,""en"",""es-ES"")"),"Ella usa un colador para colar la bebida en un cóctel y coloca el vaso sobre la mesa.")</f>
        <v>Ella usa un colador para colar la bebida en un cóctel y coloca el vaso sobre la mesa.</v>
      </c>
    </row>
    <row r="970">
      <c r="A970" s="4" t="s">
        <v>1233</v>
      </c>
      <c r="B970" s="4" t="s">
        <v>1234</v>
      </c>
      <c r="C970" s="5" t="str">
        <f>IFERROR(__xludf.DUMMYFUNCTION("GOOGLETRANSLATE(B970,""en"",""es-ES"")"),"Hay algunos hombres afeitados con gel de afeitado Gillette.")</f>
        <v>Hay algunos hombres afeitados con gel de afeitado Gillette.</v>
      </c>
    </row>
    <row r="971">
      <c r="A971" s="4" t="s">
        <v>1233</v>
      </c>
      <c r="B971" s="4" t="s">
        <v>1235</v>
      </c>
      <c r="C971" s="5" t="str">
        <f>IFERROR(__xludf.DUMMYFUNCTION("GOOGLETRANSLATE(B971,""en"",""es-ES"")"),"Hay una modelo cuya cara está completamente cubierta de gel de afeitar y está usando una navaja de navaja para afeitarse la cara.")</f>
        <v>Hay una modelo cuya cara está completamente cubierta de gel de afeitar y está usando una navaja de navaja para afeitarse la cara.</v>
      </c>
    </row>
    <row r="972">
      <c r="A972" s="4" t="s">
        <v>1233</v>
      </c>
      <c r="B972" s="4" t="s">
        <v>1236</v>
      </c>
      <c r="C972" s="5" t="str">
        <f>IFERROR(__xludf.DUMMYFUNCTION("GOOGLETRANSLATE(B972,""en"",""es-ES"")"),"Otro modelo masculino también tiene toda su cara enjuiciada con gel de afeitar.")</f>
        <v>Otro modelo masculino también tiene toda su cara enjuiciada con gel de afeitar.</v>
      </c>
    </row>
    <row r="973">
      <c r="A973" s="4" t="s">
        <v>1233</v>
      </c>
      <c r="B973" s="4" t="s">
        <v>1237</v>
      </c>
      <c r="C973" s="5" t="str">
        <f>IFERROR(__xludf.DUMMYFUNCTION("GOOGLETRANSLATE(B973,""en"",""es-ES"")"),"También se afeita la cara con una maquinilla de afeitar azul.")</f>
        <v>También se afeita la cara con una maquinilla de afeitar azul.</v>
      </c>
    </row>
    <row r="974">
      <c r="A974" s="4" t="s">
        <v>1233</v>
      </c>
      <c r="B974" s="4" t="s">
        <v>1238</v>
      </c>
      <c r="C974" s="5" t="str">
        <f>IFERROR(__xludf.DUMMYFUNCTION("GOOGLETRANSLATE(B974,""en"",""es-ES"")"),"Se afeita las mejillas y el área de bigote.")</f>
        <v>Se afeita las mejillas y el área de bigote.</v>
      </c>
    </row>
    <row r="975">
      <c r="A975" s="4" t="s">
        <v>1233</v>
      </c>
      <c r="B975" s="4" t="s">
        <v>1239</v>
      </c>
      <c r="C975" s="5" t="str">
        <f>IFERROR(__xludf.DUMMYFUNCTION("GOOGLETRANSLATE(B975,""en"",""es-ES"")"),"Bomba una pequeña cantidad de gel en sus manos.")</f>
        <v>Bomba una pequeña cantidad de gel en sus manos.</v>
      </c>
    </row>
    <row r="976">
      <c r="A976" s="4" t="s">
        <v>1233</v>
      </c>
      <c r="B976" s="4" t="s">
        <v>1240</v>
      </c>
      <c r="C976" s="5" t="str">
        <f>IFERROR(__xludf.DUMMYFUNCTION("GOOGLETRANSLATE(B976,""en"",""es-ES"")"),"Luego muestra la diferencia entre la crema de espuma regular y la crema de afeitar en gel y continúa teniendo.")</f>
        <v>Luego muestra la diferencia entre la crema de espuma regular y la crema de afeitar en gel y continúa teniendo.</v>
      </c>
    </row>
    <row r="977">
      <c r="A977" s="4" t="s">
        <v>1233</v>
      </c>
      <c r="B977" s="4" t="s">
        <v>1241</v>
      </c>
      <c r="C977" s="5" t="str">
        <f>IFERROR(__xludf.DUMMYFUNCTION("GOOGLETRANSLATE(B977,""en"",""es-ES"")"),"Luego posa con una modelo de dama que toca su rostro para sentir su piel suave.")</f>
        <v>Luego posa con una modelo de dama que toca su rostro para sentir su piel suave.</v>
      </c>
    </row>
    <row r="978">
      <c r="A978" s="4" t="s">
        <v>1233</v>
      </c>
      <c r="B978" s="4" t="s">
        <v>1242</v>
      </c>
      <c r="C978" s="5" t="str">
        <f>IFERROR(__xludf.DUMMYFUNCTION("GOOGLETRANSLATE(B978,""en"",""es-ES"")"),"Se muestra todo el juego de afeitado Gillette.")</f>
        <v>Se muestra todo el juego de afeitado Gillette.</v>
      </c>
    </row>
    <row r="979">
      <c r="A979" s="4" t="s">
        <v>1243</v>
      </c>
      <c r="B979" s="4" t="s">
        <v>1244</v>
      </c>
      <c r="C979" s="5" t="str">
        <f>IFERROR(__xludf.DUMMYFUNCTION("GOOGLETRANSLATE(B979,""en"",""es-ES"")"),"Una introducción para una marca Sporting de canoa aparece en la pantalla.")</f>
        <v>Una introducción para una marca Sporting de canoa aparece en la pantalla.</v>
      </c>
    </row>
    <row r="980">
      <c r="A980" s="4" t="s">
        <v>1243</v>
      </c>
      <c r="B980" s="4" t="s">
        <v>1245</v>
      </c>
      <c r="C980" s="5" t="str">
        <f>IFERROR(__xludf.DUMMYFUNCTION("GOOGLETRANSLATE(B980,""en"",""es-ES"")"),"Se muestra a varias personas preparándose para llevar sus canoas al agua en un día nevado.")</f>
        <v>Se muestra a varias personas preparándose para llevar sus canoas al agua en un día nevado.</v>
      </c>
    </row>
    <row r="981">
      <c r="A981" s="4" t="s">
        <v>1243</v>
      </c>
      <c r="B981" s="4" t="s">
        <v>1246</v>
      </c>
      <c r="C981" s="5" t="str">
        <f>IFERROR(__xludf.DUMMYFUNCTION("GOOGLETRANSLATE(B981,""en"",""es-ES"")"),"Varias otras personas se bajan de un autobús y se dirigen hacia el agua.")</f>
        <v>Varias otras personas se bajan de un autobús y se dirigen hacia el agua.</v>
      </c>
    </row>
    <row r="982">
      <c r="A982" s="4" t="s">
        <v>1243</v>
      </c>
      <c r="B982" s="4" t="s">
        <v>1247</v>
      </c>
      <c r="C982" s="5" t="str">
        <f>IFERROR(__xludf.DUMMYFUNCTION("GOOGLETRANSLATE(B982,""en"",""es-ES"")"),"Luego se muestra a las personas haciendo varias canoas y ejercicios de entrenamiento de esquí.")</f>
        <v>Luego se muestra a las personas haciendo varias canoas y ejercicios de entrenamiento de esquí.</v>
      </c>
    </row>
    <row r="983">
      <c r="A983" s="4" t="s">
        <v>1243</v>
      </c>
      <c r="B983" s="4" t="s">
        <v>1248</v>
      </c>
      <c r="C983" s="5" t="str">
        <f>IFERROR(__xludf.DUMMYFUNCTION("GOOGLETRANSLATE(B983,""en"",""es-ES"")"),"Luego, en el agua, las personas se muestran en piragüismo y se divierten.")</f>
        <v>Luego, en el agua, las personas se muestran en piragüismo y se divierten.</v>
      </c>
    </row>
    <row r="984">
      <c r="A984" s="4" t="s">
        <v>1243</v>
      </c>
      <c r="B984" s="4" t="s">
        <v>1249</v>
      </c>
      <c r="C984" s="5" t="str">
        <f>IFERROR(__xludf.DUMMYFUNCTION("GOOGLETRANSLATE(B984,""en"",""es-ES"")"),"El video termina con el sitio web de CanoeSport que se muestra.")</f>
        <v>El video termina con el sitio web de CanoeSport que se muestra.</v>
      </c>
    </row>
    <row r="985">
      <c r="A985" s="4" t="s">
        <v>1250</v>
      </c>
      <c r="B985" s="4" t="s">
        <v>1251</v>
      </c>
      <c r="C985" s="5" t="str">
        <f>IFERROR(__xludf.DUMMYFUNCTION("GOOGLETRANSLATE(B985,""en"",""es-ES"")"),"Se muestran los créditos del clip.")</f>
        <v>Se muestran los créditos del clip.</v>
      </c>
    </row>
    <row r="986">
      <c r="A986" s="4" t="s">
        <v>1250</v>
      </c>
      <c r="B986" s="4" t="s">
        <v>1252</v>
      </c>
      <c r="C986" s="5" t="str">
        <f>IFERROR(__xludf.DUMMYFUNCTION("GOOGLETRANSLATE(B986,""en"",""es-ES"")"),"Una persona apoya las manos en la parte superior de la batería.")</f>
        <v>Una persona apoya las manos en la parte superior de la batería.</v>
      </c>
    </row>
    <row r="987">
      <c r="A987" s="4" t="s">
        <v>1250</v>
      </c>
      <c r="B987" s="4" t="s">
        <v>1253</v>
      </c>
      <c r="C987" s="5" t="str">
        <f>IFERROR(__xludf.DUMMYFUNCTION("GOOGLETRANSLATE(B987,""en"",""es-ES"")"),"La persona está tocando la batería.")</f>
        <v>La persona está tocando la batería.</v>
      </c>
    </row>
    <row r="988">
      <c r="A988" s="4" t="s">
        <v>1250</v>
      </c>
      <c r="B988" s="4" t="s">
        <v>1254</v>
      </c>
      <c r="C988" s="5" t="str">
        <f>IFERROR(__xludf.DUMMYFUNCTION("GOOGLETRANSLATE(B988,""en"",""es-ES"")"),"La persona aplaude sus manos.")</f>
        <v>La persona aplaude sus manos.</v>
      </c>
    </row>
    <row r="989">
      <c r="A989" s="4" t="s">
        <v>1250</v>
      </c>
      <c r="B989" s="4" t="s">
        <v>1255</v>
      </c>
      <c r="C989" s="5" t="str">
        <f>IFERROR(__xludf.DUMMYFUNCTION("GOOGLETRANSLATE(B989,""en"",""es-ES"")"),"La persona junta los dedos.")</f>
        <v>La persona junta los dedos.</v>
      </c>
    </row>
    <row r="990">
      <c r="A990" s="4" t="s">
        <v>1250</v>
      </c>
      <c r="B990" s="4" t="s">
        <v>1251</v>
      </c>
      <c r="C990" s="5" t="str">
        <f>IFERROR(__xludf.DUMMYFUNCTION("GOOGLETRANSLATE(B990,""en"",""es-ES"")"),"Se muestran los créditos del clip.")</f>
        <v>Se muestran los créditos del clip.</v>
      </c>
    </row>
    <row r="991">
      <c r="A991" s="4" t="s">
        <v>1256</v>
      </c>
      <c r="B991" s="4" t="s">
        <v>1257</v>
      </c>
      <c r="C991" s="5" t="str">
        <f>IFERROR(__xludf.DUMMYFUNCTION("GOOGLETRANSLATE(B991,""en"",""es-ES"")"),"Una mujer sostiene una bola amarilla detrás de su cuello.")</f>
        <v>Una mujer sostiene una bola amarilla detrás de su cuello.</v>
      </c>
    </row>
    <row r="992">
      <c r="A992" s="4" t="s">
        <v>1256</v>
      </c>
      <c r="B992" s="4" t="s">
        <v>1258</v>
      </c>
      <c r="C992" s="5" t="str">
        <f>IFERROR(__xludf.DUMMYFUNCTION("GOOGLETRANSLATE(B992,""en"",""es-ES"")"),"Ella se da la vuelta y lanza la pelota en un campo.")</f>
        <v>Ella se da la vuelta y lanza la pelota en un campo.</v>
      </c>
    </row>
    <row r="993">
      <c r="A993" s="4" t="s">
        <v>1256</v>
      </c>
      <c r="B993" s="4" t="s">
        <v>1259</v>
      </c>
      <c r="C993" s="5" t="str">
        <f>IFERROR(__xludf.DUMMYFUNCTION("GOOGLETRANSLATE(B993,""en"",""es-ES"")"),"La gente corre para medir la distancia.")</f>
        <v>La gente corre para medir la distancia.</v>
      </c>
    </row>
    <row r="994">
      <c r="A994" s="4" t="s">
        <v>1256</v>
      </c>
      <c r="B994" s="4" t="s">
        <v>1260</v>
      </c>
      <c r="C994" s="5" t="str">
        <f>IFERROR(__xludf.DUMMYFUNCTION("GOOGLETRANSLATE(B994,""en"",""es-ES"")"),"Un hombre con una camisa roja sostiene una pelota detrás de su cuello.")</f>
        <v>Un hombre con una camisa roja sostiene una pelota detrás de su cuello.</v>
      </c>
    </row>
    <row r="995">
      <c r="A995" s="4" t="s">
        <v>1256</v>
      </c>
      <c r="B995" s="4" t="s">
        <v>1261</v>
      </c>
      <c r="C995" s="5" t="str">
        <f>IFERROR(__xludf.DUMMYFUNCTION("GOOGLETRANSLATE(B995,""en"",""es-ES"")"),"Se da la vuelta y lanza la pelota en el campo.")</f>
        <v>Se da la vuelta y lanza la pelota en el campo.</v>
      </c>
    </row>
    <row r="996">
      <c r="A996" s="4" t="s">
        <v>1256</v>
      </c>
      <c r="B996" s="4" t="s">
        <v>1262</v>
      </c>
      <c r="C996" s="5" t="str">
        <f>IFERROR(__xludf.DUMMYFUNCTION("GOOGLETRANSLATE(B996,""en"",""es-ES"")"),"La gente corre para medir la distancia.")</f>
        <v>La gente corre para medir la distancia.</v>
      </c>
    </row>
    <row r="997">
      <c r="A997" s="4" t="s">
        <v>1256</v>
      </c>
      <c r="B997" s="4" t="s">
        <v>1263</v>
      </c>
      <c r="C997" s="5" t="str">
        <f>IFERROR(__xludf.DUMMYFUNCTION("GOOGLETRANSLATE(B997,""en"",""es-ES"")"),"Otra mujer sostiene una pelota detrás de su cuello.")</f>
        <v>Otra mujer sostiene una pelota detrás de su cuello.</v>
      </c>
    </row>
    <row r="998">
      <c r="A998" s="4" t="s">
        <v>1256</v>
      </c>
      <c r="B998" s="4" t="s">
        <v>1264</v>
      </c>
      <c r="C998" s="5" t="str">
        <f>IFERROR(__xludf.DUMMYFUNCTION("GOOGLETRANSLATE(B998,""en"",""es-ES"")"),"Ella también se da la vuelta y lanza la pelota al campo.")</f>
        <v>Ella también se da la vuelta y lanza la pelota al campo.</v>
      </c>
    </row>
    <row r="999">
      <c r="A999" s="4" t="s">
        <v>1256</v>
      </c>
      <c r="B999" s="4" t="s">
        <v>1265</v>
      </c>
      <c r="C999" s="5" t="str">
        <f>IFERROR(__xludf.DUMMYFUNCTION("GOOGLETRANSLATE(B999,""en"",""es-ES"")"),"La gente corre para medir la distancia.")</f>
        <v>La gente corre para medir la distancia.</v>
      </c>
    </row>
    <row r="1000">
      <c r="A1000" s="4" t="s">
        <v>1256</v>
      </c>
      <c r="B1000" s="4" t="s">
        <v>1266</v>
      </c>
      <c r="C1000" s="5" t="str">
        <f>IFERROR(__xludf.DUMMYFUNCTION("GOOGLETRANSLATE(B1000,""en"",""es-ES"")"),"Ella saluda a la multitud.")</f>
        <v>Ella saluda a la multitud.</v>
      </c>
    </row>
    <row r="1001">
      <c r="A1001" s="4" t="s">
        <v>1256</v>
      </c>
      <c r="B1001" s="4" t="s">
        <v>1267</v>
      </c>
      <c r="C1001" s="5" t="str">
        <f>IFERROR(__xludf.DUMMYFUNCTION("GOOGLETRANSLATE(B1001,""en"",""es-ES"")"),"Luego vuelve a lanzar la pelota.")</f>
        <v>Luego vuelve a lanzar la pelota.</v>
      </c>
    </row>
    <row r="1002">
      <c r="A1002" s="4" t="s">
        <v>1256</v>
      </c>
      <c r="B1002" s="4" t="s">
        <v>1268</v>
      </c>
      <c r="C1002" s="5" t="str">
        <f>IFERROR(__xludf.DUMMYFUNCTION("GOOGLETRANSLATE(B1002,""en"",""es-ES"")"),"Los resultados luego parpadean en la pantalla.")</f>
        <v>Los resultados luego parpadean en la pantalla.</v>
      </c>
    </row>
    <row r="1003">
      <c r="A1003" s="4" t="s">
        <v>1269</v>
      </c>
      <c r="B1003" s="4" t="s">
        <v>1270</v>
      </c>
      <c r="C1003" s="5" t="str">
        <f>IFERROR(__xludf.DUMMYFUNCTION("GOOGLETRANSLATE(B1003,""en"",""es-ES"")"),"Una introducción comienza y comienza a mostrar a un grupo de personas.")</f>
        <v>Una introducción comienza y comienza a mostrar a un grupo de personas.</v>
      </c>
    </row>
    <row r="1004">
      <c r="A1004" s="4" t="s">
        <v>1269</v>
      </c>
      <c r="B1004" s="4" t="s">
        <v>1271</v>
      </c>
      <c r="C1004" s="5" t="str">
        <f>IFERROR(__xludf.DUMMYFUNCTION("GOOGLETRANSLATE(B1004,""en"",""es-ES"")"),"Varias personas realizan una rutina de baile junto con un instructor que realiza el frente y el centro.")</f>
        <v>Varias personas realizan una rutina de baile junto con un instructor que realiza el frente y el centro.</v>
      </c>
    </row>
    <row r="1005">
      <c r="A1005" s="4" t="s">
        <v>1269</v>
      </c>
      <c r="B1005" s="4" t="s">
        <v>1272</v>
      </c>
      <c r="C1005" s="5" t="str">
        <f>IFERROR(__xludf.DUMMYFUNCTION("GOOGLETRANSLATE(B1005,""en"",""es-ES"")"),"La rutina continúa con la gente y el instructor moviéndose con sus brazos y piernas haciendo varios movimientos a la música.")</f>
        <v>La rutina continúa con la gente y el instructor moviéndose con sus brazos y piernas haciendo varios movimientos a la música.</v>
      </c>
    </row>
    <row r="1006">
      <c r="A1006" s="4" t="s">
        <v>1273</v>
      </c>
      <c r="B1006" s="4" t="s">
        <v>1274</v>
      </c>
      <c r="C1006" s="5" t="str">
        <f>IFERROR(__xludf.DUMMYFUNCTION("GOOGLETRANSLATE(B1006,""en"",""es-ES"")"),"Un niño y una niña están sentados detrás de una mesa.")</f>
        <v>Un niño y una niña están sentados detrás de una mesa.</v>
      </c>
    </row>
    <row r="1007">
      <c r="A1007" s="4" t="s">
        <v>1273</v>
      </c>
      <c r="B1007" s="4" t="s">
        <v>1275</v>
      </c>
      <c r="C1007" s="5" t="str">
        <f>IFERROR(__xludf.DUMMYFUNCTION("GOOGLETRANSLATE(B1007,""en"",""es-ES"")"),"Comienzan a armar la lucha sobre la mesa.")</f>
        <v>Comienzan a armar la lucha sobre la mesa.</v>
      </c>
    </row>
    <row r="1008">
      <c r="A1008" s="4" t="s">
        <v>1273</v>
      </c>
      <c r="B1008" s="4" t="s">
        <v>1276</v>
      </c>
      <c r="C1008" s="5" t="str">
        <f>IFERROR(__xludf.DUMMYFUNCTION("GOOGLETRANSLATE(B1008,""en"",""es-ES"")"),"El hombre gana y sonríe.")</f>
        <v>El hombre gana y sonríe.</v>
      </c>
    </row>
    <row r="1009">
      <c r="A1009" s="4" t="s">
        <v>1277</v>
      </c>
      <c r="B1009" s="4" t="s">
        <v>1278</v>
      </c>
      <c r="C1009" s="5" t="str">
        <f>IFERROR(__xludf.DUMMYFUNCTION("GOOGLETRANSLATE(B1009,""en"",""es-ES"")"),"Vemos una pareja abriendo pantallas de título.")</f>
        <v>Vemos una pareja abriendo pantallas de título.</v>
      </c>
    </row>
    <row r="1010">
      <c r="A1010" s="4" t="s">
        <v>1277</v>
      </c>
      <c r="B1010" s="4" t="s">
        <v>1279</v>
      </c>
      <c r="C1010" s="5" t="str">
        <f>IFERROR(__xludf.DUMMYFUNCTION("GOOGLETRANSLATE(B1010,""en"",""es-ES"")"),"Un hombre se afeita con una afeitadora recta.")</f>
        <v>Un hombre se afeita con una afeitadora recta.</v>
      </c>
    </row>
    <row r="1011">
      <c r="A1011" s="4" t="s">
        <v>1277</v>
      </c>
      <c r="B1011" s="4" t="s">
        <v>1280</v>
      </c>
      <c r="C1011" s="5" t="str">
        <f>IFERROR(__xludf.DUMMYFUNCTION("GOOGLETRANSLATE(B1011,""en"",""es-ES"")"),"Vemos al hombre detrás de él y los hombres se abrazan y hablan.")</f>
        <v>Vemos al hombre detrás de él y los hombres se abrazan y hablan.</v>
      </c>
    </row>
    <row r="1012">
      <c r="A1012" s="4" t="s">
        <v>1277</v>
      </c>
      <c r="B1012" s="4" t="s">
        <v>1281</v>
      </c>
      <c r="C1012" s="5" t="str">
        <f>IFERROR(__xludf.DUMMYFUNCTION("GOOGLETRANSLATE(B1012,""en"",""es-ES"")"),"El hombre vuelve a afeitarse la cara.")</f>
        <v>El hombre vuelve a afeitarse la cara.</v>
      </c>
    </row>
    <row r="1013">
      <c r="A1013" s="4" t="s">
        <v>1277</v>
      </c>
      <c r="B1013" s="4" t="s">
        <v>1282</v>
      </c>
      <c r="C1013" s="5" t="str">
        <f>IFERROR(__xludf.DUMMYFUNCTION("GOOGLETRANSLATE(B1013,""en"",""es-ES"")"),"Vemos al hombre en la parte trasera nuevamente.")</f>
        <v>Vemos al hombre en la parte trasera nuevamente.</v>
      </c>
    </row>
    <row r="1014">
      <c r="A1014" s="4" t="s">
        <v>1277</v>
      </c>
      <c r="B1014" s="4" t="s">
        <v>1283</v>
      </c>
      <c r="C1014" s="5" t="str">
        <f>IFERROR(__xludf.DUMMYFUNCTION("GOOGLETRANSLATE(B1014,""en"",""es-ES"")"),"El hombre afeitado habla y vemos las pantallas de título final.")</f>
        <v>El hombre afeitado habla y vemos las pantallas de título final.</v>
      </c>
    </row>
    <row r="1015">
      <c r="A1015" s="4" t="s">
        <v>1284</v>
      </c>
      <c r="B1015" s="4" t="s">
        <v>1285</v>
      </c>
      <c r="C1015" s="5" t="str">
        <f>IFERROR(__xludf.DUMMYFUNCTION("GOOGLETRANSLATE(B1015,""en"",""es-ES"")"),"Se muestra un primer plano de productos seguido por una mujer, abre el paquete frente a un espejo.")</f>
        <v>Se muestra un primer plano de productos seguido por una mujer, abre el paquete frente a un espejo.</v>
      </c>
    </row>
    <row r="1016">
      <c r="A1016" s="4" t="s">
        <v>1284</v>
      </c>
      <c r="B1016" s="4" t="s">
        <v>1286</v>
      </c>
      <c r="C1016" s="5" t="str">
        <f>IFERROR(__xludf.DUMMYFUNCTION("GOOGLETRANSLATE(B1016,""en"",""es-ES"")"),"La mujer se pone el paquete en la boca, lo golpea y luego lo escupe.")</f>
        <v>La mujer se pone el paquete en la boca, lo golpea y luego lo escupe.</v>
      </c>
    </row>
    <row r="1017">
      <c r="A1017" s="4" t="s">
        <v>1287</v>
      </c>
      <c r="B1017" s="4" t="s">
        <v>1288</v>
      </c>
      <c r="C1017" s="5" t="str">
        <f>IFERROR(__xludf.DUMMYFUNCTION("GOOGLETRANSLATE(B1017,""en"",""es-ES"")"),"Se ve a un hombre parado en el escenario sosteniendo un instrumentos en sus manos.")</f>
        <v>Se ve a un hombre parado en el escenario sosteniendo un instrumentos en sus manos.</v>
      </c>
    </row>
    <row r="1018">
      <c r="A1018" s="4" t="s">
        <v>1287</v>
      </c>
      <c r="B1018" s="4" t="s">
        <v>1289</v>
      </c>
      <c r="C1018" s="5" t="str">
        <f>IFERROR(__xludf.DUMMYFUNCTION("GOOGLETRANSLATE(B1018,""en"",""es-ES"")"),"Luego recoge el instrumento y comienza a tocar en el escenario.")</f>
        <v>Luego recoge el instrumento y comienza a tocar en el escenario.</v>
      </c>
    </row>
    <row r="1019">
      <c r="A1019" s="4" t="s">
        <v>1287</v>
      </c>
      <c r="B1019" s="4" t="s">
        <v>1290</v>
      </c>
      <c r="C1019" s="5" t="str">
        <f>IFERROR(__xludf.DUMMYFUNCTION("GOOGLETRANSLATE(B1019,""en"",""es-ES"")"),"El hombre continúa jugando y termina mirando hacia otro lado.")</f>
        <v>El hombre continúa jugando y termina mirando hacia otro lado.</v>
      </c>
    </row>
    <row r="1020">
      <c r="A1020" s="4" t="s">
        <v>1291</v>
      </c>
      <c r="B1020" s="4" t="s">
        <v>1292</v>
      </c>
      <c r="C1020" s="5" t="str">
        <f>IFERROR(__xludf.DUMMYFUNCTION("GOOGLETRANSLATE(B1020,""en"",""es-ES"")"),"El video comienza con un telón de fondo de un área nevada y presenta los nombres de las personas en el video y que es el ""viaje de snowboard Wisp 2014"".")</f>
        <v>El video comienza con un telón de fondo de un área nevada y presenta los nombres de las personas en el video y que es el "viaje de snowboard Wisp 2014".</v>
      </c>
    </row>
    <row r="1021">
      <c r="A1021" s="4" t="s">
        <v>1291</v>
      </c>
      <c r="B1021" s="4" t="s">
        <v>1293</v>
      </c>
      <c r="C1021" s="5" t="str">
        <f>IFERROR(__xludf.DUMMYFUNCTION("GOOGLETRANSLATE(B1021,""en"",""es-ES"")"),"Luego, el video entra en numerosos segmentos diferentes de un grupo de personas diferentes snowboard mientras hace trucos durante el día o de la noche y en varios lugares diferentes.")</f>
        <v>Luego, el video entra en numerosos segmentos diferentes de un grupo de personas diferentes snowboard mientras hace trucos durante el día o de la noche y en varios lugares diferentes.</v>
      </c>
    </row>
    <row r="1022">
      <c r="A1022" s="4" t="s">
        <v>1291</v>
      </c>
      <c r="B1022" s="4" t="s">
        <v>1294</v>
      </c>
      <c r="C1022" s="5" t="str">
        <f>IFERROR(__xludf.DUMMYFUNCTION("GOOGLETRANSLATE(B1022,""en"",""es-ES"")"),"El outro va al gris y luego se desvanece a negro.")</f>
        <v>El outro va al gris y luego se desvanece a negro.</v>
      </c>
    </row>
    <row r="1023">
      <c r="A1023" s="4" t="s">
        <v>1295</v>
      </c>
      <c r="B1023" s="4" t="s">
        <v>1296</v>
      </c>
      <c r="C1023" s="5" t="str">
        <f>IFERROR(__xludf.DUMMYFUNCTION("GOOGLETRANSLATE(B1023,""en"",""es-ES"")"),"Se muestra un gran intertubo en la pantalla.")</f>
        <v>Se muestra un gran intertubo en la pantalla.</v>
      </c>
    </row>
    <row r="1024">
      <c r="A1024" s="4" t="s">
        <v>1295</v>
      </c>
      <c r="B1024" s="4" t="s">
        <v>1297</v>
      </c>
      <c r="C1024" s="5" t="str">
        <f>IFERROR(__xludf.DUMMYFUNCTION("GOOGLETRANSLATE(B1024,""en"",""es-ES"")"),"Un montón de trineos suben a los tubos.")</f>
        <v>Un montón de trineos suben a los tubos.</v>
      </c>
    </row>
    <row r="1025">
      <c r="A1025" s="4" t="s">
        <v>1295</v>
      </c>
      <c r="B1025" s="4" t="s">
        <v>1298</v>
      </c>
      <c r="C1025" s="5" t="str">
        <f>IFERROR(__xludf.DUMMYFUNCTION("GOOGLETRANSLATE(B1025,""en"",""es-ES"")"),"Los montan por una colina empinada juntos.")</f>
        <v>Los montan por una colina empinada juntos.</v>
      </c>
    </row>
    <row r="1026">
      <c r="A1026" s="4" t="s">
        <v>1299</v>
      </c>
      <c r="B1026" s="4" t="s">
        <v>1300</v>
      </c>
      <c r="C1026" s="5" t="str">
        <f>IFERROR(__xludf.DUMMYFUNCTION("GOOGLETRANSLATE(B1026,""en"",""es-ES"")"),"Un presentador de noticias femenino presenta una historia.")</f>
        <v>Un presentador de noticias femenino presenta una historia.</v>
      </c>
    </row>
    <row r="1027">
      <c r="A1027" s="4" t="s">
        <v>1299</v>
      </c>
      <c r="B1027" s="4" t="s">
        <v>1301</v>
      </c>
      <c r="C1027" s="5" t="str">
        <f>IFERROR(__xludf.DUMMYFUNCTION("GOOGLETRANSLATE(B1027,""en"",""es-ES"")"),"Una reportera femenina de noticias habla de un instructor de acondicionamiento físico dentro de un gimnasio, donde los ciclistas están montando bicicletas de fitness.")</f>
        <v>Una reportera femenina de noticias habla de un instructor de acondicionamiento físico dentro de un gimnasio, donde los ciclistas están montando bicicletas de fitness.</v>
      </c>
    </row>
    <row r="1028">
      <c r="A1028" s="4" t="s">
        <v>1299</v>
      </c>
      <c r="B1028" s="4" t="s">
        <v>1302</v>
      </c>
      <c r="C1028" s="5" t="str">
        <f>IFERROR(__xludf.DUMMYFUNCTION("GOOGLETRANSLATE(B1028,""en"",""es-ES"")"),"Los ejercicios como el yoga y el ciclismo son demostrados por aquellos en el gimnasio.")</f>
        <v>Los ejercicios como el yoga y el ciclismo son demostrados por aquellos en el gimnasio.</v>
      </c>
    </row>
    <row r="1029">
      <c r="A1029" s="4" t="s">
        <v>1299</v>
      </c>
      <c r="B1029" s="4" t="s">
        <v>1303</v>
      </c>
      <c r="C1029" s="5" t="str">
        <f>IFERROR(__xludf.DUMMYFUNCTION("GOOGLETRANSLATE(B1029,""en"",""es-ES"")"),"La reportera de noticias femeninas continúa hablando con el instructor de fitness.")</f>
        <v>La reportera de noticias femeninas continúa hablando con el instructor de fitness.</v>
      </c>
    </row>
    <row r="1030">
      <c r="A1030" s="4" t="s">
        <v>1299</v>
      </c>
      <c r="B1030" s="4" t="s">
        <v>1304</v>
      </c>
      <c r="C1030" s="5" t="str">
        <f>IFERROR(__xludf.DUMMYFUNCTION("GOOGLETRANSLATE(B1030,""en"",""es-ES"")"),"Ella habla con el ancla en el estudio.")</f>
        <v>Ella habla con el ancla en el estudio.</v>
      </c>
    </row>
    <row r="1031">
      <c r="A1031" s="4" t="s">
        <v>1305</v>
      </c>
      <c r="B1031" s="4" t="s">
        <v>1306</v>
      </c>
      <c r="C1031" s="5" t="str">
        <f>IFERROR(__xludf.DUMMYFUNCTION("GOOGLETRANSLATE(B1031,""en"",""es-ES"")"),"Una bicicleta se encuentra en un camino lleno de baches sin pavimentar.")</f>
        <v>Una bicicleta se encuentra en un camino lleno de baches sin pavimentar.</v>
      </c>
    </row>
    <row r="1032">
      <c r="A1032" s="4" t="s">
        <v>1305</v>
      </c>
      <c r="B1032" s="4" t="s">
        <v>1307</v>
      </c>
      <c r="C1032" s="5" t="str">
        <f>IFERROR(__xludf.DUMMYFUNCTION("GOOGLETRANSLATE(B1032,""en"",""es-ES"")"),"La gente monta bicicletas muy rápido en el camino y dando saltos de altura al pasar la parte llena de baches de la carretera.")</f>
        <v>La gente monta bicicletas muy rápido en el camino y dando saltos de altura al pasar la parte llena de baches de la carretera.</v>
      </c>
    </row>
    <row r="1033">
      <c r="A1033" s="4" t="s">
        <v>1305</v>
      </c>
      <c r="B1033" s="4" t="s">
        <v>1308</v>
      </c>
      <c r="C1033" s="5" t="str">
        <f>IFERROR(__xludf.DUMMYFUNCTION("GOOGLETRANSLATE(B1033,""en"",""es-ES"")"),"Las sombras de un motociclista se lanzan en el camino lleno de baches.")</f>
        <v>Las sombras de un motociclista se lanzan en el camino lleno de baches.</v>
      </c>
    </row>
    <row r="1034">
      <c r="A1034" s="4" t="s">
        <v>1309</v>
      </c>
      <c r="B1034" s="4" t="s">
        <v>1310</v>
      </c>
      <c r="C1034" s="5" t="str">
        <f>IFERROR(__xludf.DUMMYFUNCTION("GOOGLETRANSLATE(B1034,""en"",""es-ES"")"),"Se ve a un niño entregando un conjunto de barras de mono mientras niños corrían.")</f>
        <v>Se ve a un niño entregando un conjunto de barras de mono mientras niños corrían.</v>
      </c>
    </row>
    <row r="1035">
      <c r="A1035" s="4" t="s">
        <v>1309</v>
      </c>
      <c r="B1035" s="4" t="s">
        <v>1311</v>
      </c>
      <c r="C1035" s="5" t="str">
        <f>IFERROR(__xludf.DUMMYFUNCTION("GOOGLETRANSLATE(B1035,""en"",""es-ES"")"),"La niña luego comienza a trepar por el set de bares de mono.")</f>
        <v>La niña luego comienza a trepar por el set de bares de mono.</v>
      </c>
    </row>
    <row r="1036">
      <c r="A1036" s="4" t="s">
        <v>1309</v>
      </c>
      <c r="B1036" s="4" t="s">
        <v>1312</v>
      </c>
      <c r="C1036" s="5" t="str">
        <f>IFERROR(__xludf.DUMMYFUNCTION("GOOGLETRANSLATE(B1036,""en"",""es-ES"")"),"Ella sube hasta el final y salta del costado.")</f>
        <v>Ella sube hasta el final y salta del costado.</v>
      </c>
    </row>
    <row r="1037">
      <c r="A1037" s="4" t="s">
        <v>1313</v>
      </c>
      <c r="B1037" s="4" t="s">
        <v>1314</v>
      </c>
      <c r="C1037" s="5" t="str">
        <f>IFERROR(__xludf.DUMMYFUNCTION("GOOGLETRANSLATE(B1037,""en"",""es-ES"")"),"Un primer plano de un eje de engranaje se ve siguiendo a alguien que abre un baúl y saca un neumático.")</f>
        <v>Un primer plano de un eje de engranaje se ve siguiendo a alguien que abre un baúl y saca un neumático.</v>
      </c>
    </row>
    <row r="1038">
      <c r="A1038" s="4" t="s">
        <v>1313</v>
      </c>
      <c r="B1038" s="4" t="s">
        <v>1315</v>
      </c>
      <c r="C1038" s="5" t="str">
        <f>IFERROR(__xludf.DUMMYFUNCTION("GOOGLETRANSLATE(B1038,""en"",""es-ES"")"),"La persona pone un gato debajo del auto y comienza a desenroscar el neumático y quitarse.")</f>
        <v>La persona pone un gato debajo del auto y comienza a desenroscar el neumático y quitarse.</v>
      </c>
    </row>
    <row r="1039">
      <c r="A1039" s="4" t="s">
        <v>1313</v>
      </c>
      <c r="B1039" s="4" t="s">
        <v>1316</v>
      </c>
      <c r="C1039" s="5" t="str">
        <f>IFERROR(__xludf.DUMMYFUNCTION("GOOGLETRANSLATE(B1039,""en"",""es-ES"")"),"La persona pone un neumático nuevo y lo atornilla en su lugar mientras se quita el gato y vuelve a poner el cubo.")</f>
        <v>La persona pone un neumático nuevo y lo atornilla en su lugar mientras se quita el gato y vuelve a poner el cubo.</v>
      </c>
    </row>
    <row r="1040">
      <c r="A1040" s="4" t="s">
        <v>1317</v>
      </c>
      <c r="B1040" s="4" t="s">
        <v>1318</v>
      </c>
      <c r="C1040" s="5" t="str">
        <f>IFERROR(__xludf.DUMMYFUNCTION("GOOGLETRANSLATE(B1040,""en"",""es-ES"")"),"Los créditos iniciales se muestran para un video sobre bolos.")</f>
        <v>Los créditos iniciales se muestran para un video sobre bolos.</v>
      </c>
    </row>
    <row r="1041">
      <c r="A1041" s="4" t="s">
        <v>1317</v>
      </c>
      <c r="B1041" s="4" t="s">
        <v>1319</v>
      </c>
      <c r="C1041" s="5" t="str">
        <f>IFERROR(__xludf.DUMMYFUNCTION("GOOGLETRANSLATE(B1041,""en"",""es-ES"")"),"Luego, el video muestra a varios jugadores de bolos haciendo trucos de bolos en una bolera.")</f>
        <v>Luego, el video muestra a varios jugadores de bolos haciendo trucos de bolos en una bolera.</v>
      </c>
    </row>
    <row r="1042">
      <c r="A1042" s="4" t="s">
        <v>1317</v>
      </c>
      <c r="B1042" s="4" t="s">
        <v>1320</v>
      </c>
      <c r="C1042" s="5" t="str">
        <f>IFERROR(__xludf.DUMMYFUNCTION("GOOGLETRANSLATE(B1042,""en"",""es-ES"")"),"Un crédito entra en la pantalla que presenta el truco final de graduación.")</f>
        <v>Un crédito entra en la pantalla que presenta el truco final de graduación.</v>
      </c>
    </row>
    <row r="1043">
      <c r="A1043" s="4" t="s">
        <v>1317</v>
      </c>
      <c r="B1043" s="4" t="s">
        <v>1321</v>
      </c>
      <c r="C1043" s="5" t="str">
        <f>IFERROR(__xludf.DUMMYFUNCTION("GOOGLETRANSLATE(B1043,""en"",""es-ES"")"),"Un hombre lanza la pelota y simultáneamente se arroja por el callejón también.")</f>
        <v>Un hombre lanza la pelota y simultáneamente se arroja por el callejón también.</v>
      </c>
    </row>
    <row r="1044">
      <c r="A1044" s="4" t="s">
        <v>1317</v>
      </c>
      <c r="B1044" s="4" t="s">
        <v>1322</v>
      </c>
      <c r="C1044" s="5" t="str">
        <f>IFERROR(__xludf.DUMMYFUNCTION("GOOGLETRANSLATE(B1044,""en"",""es-ES"")"),"Los créditos de cierre luego com en la pantalla para finalizar el video.")</f>
        <v>Los créditos de cierre luego com en la pantalla para finalizar el video.</v>
      </c>
    </row>
    <row r="1045">
      <c r="A1045" s="4" t="s">
        <v>1323</v>
      </c>
      <c r="B1045" s="4" t="s">
        <v>1324</v>
      </c>
      <c r="C1045" s="5" t="str">
        <f>IFERROR(__xludf.DUMMYFUNCTION("GOOGLETRANSLATE(B1045,""en"",""es-ES"")"),"Un niño pequeño pinta las uñas de otro individuo.")</f>
        <v>Un niño pequeño pinta las uñas de otro individuo.</v>
      </c>
    </row>
    <row r="1046">
      <c r="A1046" s="4" t="s">
        <v>1323</v>
      </c>
      <c r="B1046" s="4" t="s">
        <v>1325</v>
      </c>
      <c r="C1046" s="5" t="str">
        <f>IFERROR(__xludf.DUMMYFUNCTION("GOOGLETRANSLATE(B1046,""en"",""es-ES"")"),"El otro individuo examina las uñas.")</f>
        <v>El otro individuo examina las uñas.</v>
      </c>
    </row>
    <row r="1047">
      <c r="A1047" s="4" t="s">
        <v>1326</v>
      </c>
      <c r="B1047" s="4" t="s">
        <v>1327</v>
      </c>
      <c r="C1047" s="5" t="str">
        <f>IFERROR(__xludf.DUMMYFUNCTION("GOOGLETRANSLATE(B1047,""en"",""es-ES"")"),"Un hombre monta una viga frente a una multitud.")</f>
        <v>Un hombre monta una viga frente a una multitud.</v>
      </c>
    </row>
    <row r="1048">
      <c r="A1048" s="4" t="s">
        <v>1326</v>
      </c>
      <c r="B1048" s="4" t="s">
        <v>1328</v>
      </c>
      <c r="C1048" s="5" t="str">
        <f>IFERROR(__xludf.DUMMYFUNCTION("GOOGLETRANSLATE(B1048,""en"",""es-ES"")"),"La gimnasta comienza a caer, aguantar, sostener y girar en círculos en las vigas altas para la multitud.")</f>
        <v>La gimnasta comienza a caer, aguantar, sostener y girar en círculos en las vigas altas para la multitud.</v>
      </c>
    </row>
    <row r="1049">
      <c r="A1049" s="4" t="s">
        <v>1326</v>
      </c>
      <c r="B1049" s="4" t="s">
        <v>1329</v>
      </c>
      <c r="C1049" s="5" t="str">
        <f>IFERROR(__xludf.DUMMYFUNCTION("GOOGLETRANSLATE(B1049,""en"",""es-ES"")"),"Desmita con gracia, levantando los brazos a la multitud antes de alejarse.")</f>
        <v>Desmita con gracia, levantando los brazos a la multitud antes de alejarse.</v>
      </c>
    </row>
    <row r="1050">
      <c r="A1050" s="4" t="s">
        <v>1330</v>
      </c>
      <c r="B1050" s="4" t="s">
        <v>1331</v>
      </c>
      <c r="C1050" s="5" t="str">
        <f>IFERROR(__xludf.DUMMYFUNCTION("GOOGLETRANSLATE(B1050,""en"",""es-ES"")"),"Varios jóvenes, hablan y ríen mientras están de pie alrededor de una mesa cubierta de latas de cerveza y vasos de plástico azules.")</f>
        <v>Varios jóvenes, hablan y ríen mientras están de pie alrededor de una mesa cubierta de latas de cerveza y vasos de plástico azules.</v>
      </c>
    </row>
    <row r="1051">
      <c r="A1051" s="4" t="s">
        <v>1330</v>
      </c>
      <c r="B1051" s="4" t="s">
        <v>1332</v>
      </c>
      <c r="C1051" s="5" t="str">
        <f>IFERROR(__xludf.DUMMYFUNCTION("GOOGLETRANSLATE(B1051,""en"",""es-ES"")"),"Un joven se para una mesa en una habitación hablando con dos mujeres y algunos más hombres, ocasionalmente riendo y sonriendo.")</f>
        <v>Un joven se para una mesa en una habitación hablando con dos mujeres y algunos más hombres, ocasionalmente riendo y sonriendo.</v>
      </c>
    </row>
    <row r="1052">
      <c r="A1052" s="4" t="s">
        <v>1330</v>
      </c>
      <c r="B1052" s="4" t="s">
        <v>1333</v>
      </c>
      <c r="C1052" s="5" t="str">
        <f>IFERROR(__xludf.DUMMYFUNCTION("GOOGLETRANSLATE(B1052,""en"",""es-ES"")"),"Se arroja una pequeña bolas blancas a través de la mesa mientras la gente intenta tirar las bolas en las copas azules desde la mesa.")</f>
        <v>Se arroja una pequeña bolas blancas a través de la mesa mientras la gente intenta tirar las bolas en las copas azules desde la mesa.</v>
      </c>
    </row>
    <row r="1053">
      <c r="A1053" s="4" t="s">
        <v>1330</v>
      </c>
      <c r="B1053" s="4" t="s">
        <v>1334</v>
      </c>
      <c r="C1053" s="5" t="str">
        <f>IFERROR(__xludf.DUMMYFUNCTION("GOOGLETRANSLATE(B1053,""en"",""es-ES"")"),"En los momentos finales del clip, una pelota vuela sobre la mesa y los hombres reaccionan de una manera triunfante arrojando sus brazos en el aire en celebración.")</f>
        <v>En los momentos finales del clip, una pelota vuela sobre la mesa y los hombres reaccionan de una manera triunfante arrojando sus brazos en el aire en celebración.</v>
      </c>
    </row>
    <row r="1054">
      <c r="A1054" s="4" t="s">
        <v>1335</v>
      </c>
      <c r="B1054" s="4" t="s">
        <v>1336</v>
      </c>
      <c r="C1054" s="5" t="str">
        <f>IFERROR(__xludf.DUMMYFUNCTION("GOOGLETRANSLATE(B1054,""en"",""es-ES"")"),"Un grupo de hombres jóvenes posa y tonterías frente a una mesa llena de copas rojas.")</f>
        <v>Un grupo de hombres jóvenes posa y tonterías frente a una mesa llena de copas rojas.</v>
      </c>
    </row>
    <row r="1055">
      <c r="A1055" s="4" t="s">
        <v>1335</v>
      </c>
      <c r="B1055" s="4" t="s">
        <v>1337</v>
      </c>
      <c r="C1055" s="5" t="str">
        <f>IFERROR(__xludf.DUMMYFUNCTION("GOOGLETRANSLATE(B1055,""en"",""es-ES"")"),"Un joven de negro pone dos vasos de chupito sobre la mesa.")</f>
        <v>Un joven de negro pone dos vasos de chupito sobre la mesa.</v>
      </c>
    </row>
    <row r="1056">
      <c r="A1056" s="4" t="s">
        <v>1335</v>
      </c>
      <c r="B1056" s="4" t="s">
        <v>1338</v>
      </c>
      <c r="C1056" s="5" t="str">
        <f>IFERROR(__xludf.DUMMYFUNCTION("GOOGLETRANSLATE(B1056,""en"",""es-ES"")"),"Otro grupo de hombres jóvenes se sientan en sillas afuera.")</f>
        <v>Otro grupo de hombres jóvenes se sientan en sillas afuera.</v>
      </c>
    </row>
    <row r="1057">
      <c r="A1057" s="4" t="s">
        <v>1335</v>
      </c>
      <c r="B1057" s="4" t="s">
        <v>1339</v>
      </c>
      <c r="C1057" s="5" t="str">
        <f>IFERROR(__xludf.DUMMYFUNCTION("GOOGLETRANSLATE(B1057,""en"",""es-ES"")"),"Un joven de gris rebota una pelota en la mesa y en una de las copas y celebra con el joven a su lado.")</f>
        <v>Un joven de gris rebota una pelota en la mesa y en una de las copas y celebra con el joven a su lado.</v>
      </c>
    </row>
    <row r="1058">
      <c r="A1058" s="4" t="s">
        <v>1335</v>
      </c>
      <c r="B1058" s="4" t="s">
        <v>1340</v>
      </c>
      <c r="C1058" s="5" t="str">
        <f>IFERROR(__xludf.DUMMYFUNCTION("GOOGLETRANSLATE(B1058,""en"",""es-ES"")"),"Un joven de negro rebota en una pelota hacia las tazas pero falla.")</f>
        <v>Un joven de negro rebota en una pelota hacia las tazas pero falla.</v>
      </c>
    </row>
    <row r="1059">
      <c r="A1059" s="4" t="s">
        <v>1335</v>
      </c>
      <c r="B1059" s="4" t="s">
        <v>1341</v>
      </c>
      <c r="C1059" s="5" t="str">
        <f>IFERROR(__xludf.DUMMYFUNCTION("GOOGLETRANSLATE(B1059,""en"",""es-ES"")"),"Otro hombre levanta la mano al lado de las tazas.")</f>
        <v>Otro hombre levanta la mano al lado de las tazas.</v>
      </c>
    </row>
    <row r="1060">
      <c r="A1060" s="4" t="s">
        <v>1335</v>
      </c>
      <c r="B1060" s="4" t="s">
        <v>1342</v>
      </c>
      <c r="C1060" s="5" t="str">
        <f>IFERROR(__xludf.DUMMYFUNCTION("GOOGLETRANSLATE(B1060,""en"",""es-ES"")"),"Los dos hombres que rebotaron en las bolas en las tazas treparon los vasos de chupito y luego beben el tiro.")</f>
        <v>Los dos hombres que rebotaron en las bolas en las tazas treparon los vasos de chupito y luego beben el tiro.</v>
      </c>
    </row>
    <row r="1061">
      <c r="A1061" s="4" t="s">
        <v>1335</v>
      </c>
      <c r="B1061" s="4" t="s">
        <v>1343</v>
      </c>
      <c r="C1061" s="5" t="str">
        <f>IFERROR(__xludf.DUMMYFUNCTION("GOOGLETRANSLATE(B1061,""en"",""es-ES"")"),"Un joven de negro da palmaditas en la parte posterior del joven en gris.")</f>
        <v>Un joven de negro da palmaditas en la parte posterior del joven en gris.</v>
      </c>
    </row>
    <row r="1062">
      <c r="A1062" s="4" t="s">
        <v>1335</v>
      </c>
      <c r="B1062" s="4" t="s">
        <v>1344</v>
      </c>
      <c r="C1062" s="5" t="str">
        <f>IFERROR(__xludf.DUMMYFUNCTION("GOOGLETRANSLATE(B1062,""en"",""es-ES"")"),"El joven con bebidas grises de una de las copas rojas en la mesa mientras el joven de negro finge golpearlo.")</f>
        <v>El joven con bebidas grises de una de las copas rojas en la mesa mientras el joven de negro finge golpearlo.</v>
      </c>
    </row>
    <row r="1063">
      <c r="A1063" s="4" t="s">
        <v>1335</v>
      </c>
      <c r="B1063" s="4" t="s">
        <v>1345</v>
      </c>
      <c r="C1063" s="5" t="str">
        <f>IFERROR(__xludf.DUMMYFUNCTION("GOOGLETRANSLATE(B1063,""en"",""es-ES"")"),"Otro joven reorganiza las tazas restantes en la mesa.")</f>
        <v>Otro joven reorganiza las tazas restantes en la mesa.</v>
      </c>
    </row>
    <row r="1064">
      <c r="A1064" s="4" t="s">
        <v>1335</v>
      </c>
      <c r="B1064" s="4" t="s">
        <v>1346</v>
      </c>
      <c r="C1064" s="5" t="str">
        <f>IFERROR(__xludf.DUMMYFUNCTION("GOOGLETRANSLATE(B1064,""en"",""es-ES"")"),"El joven en gris y el joven con puño negro.")</f>
        <v>El joven en gris y el joven con puño negro.</v>
      </c>
    </row>
    <row r="1065">
      <c r="A1065" s="4" t="s">
        <v>1347</v>
      </c>
      <c r="B1065" s="4" t="s">
        <v>1348</v>
      </c>
      <c r="C1065" s="5" t="str">
        <f>IFERROR(__xludf.DUMMYFUNCTION("GOOGLETRANSLATE(B1065,""en"",""es-ES"")"),"Se está jugando un juego de voleibol entre el equipo azul y amarillo.")</f>
        <v>Se está jugando un juego de voleibol entre el equipo azul y amarillo.</v>
      </c>
    </row>
    <row r="1066">
      <c r="A1066" s="4" t="s">
        <v>1347</v>
      </c>
      <c r="B1066" s="4" t="s">
        <v>1349</v>
      </c>
      <c r="C1066" s="5" t="str">
        <f>IFERROR(__xludf.DUMMYFUNCTION("GOOGLETRANSLATE(B1066,""en"",""es-ES"")"),"El equipo amarillo sirve la pelota y se golpea continuamente de un lado a otro hasta que el equipo amarillo obtiene un punto.")</f>
        <v>El equipo amarillo sirve la pelota y se golpea continuamente de un lado a otro hasta que el equipo amarillo obtiene un punto.</v>
      </c>
    </row>
    <row r="1067">
      <c r="A1067" s="4" t="s">
        <v>1347</v>
      </c>
      <c r="B1067" s="4" t="s">
        <v>1350</v>
      </c>
      <c r="C1067" s="5" t="str">
        <f>IFERROR(__xludf.DUMMYFUNCTION("GOOGLETRANSLATE(B1067,""en"",""es-ES"")"),"Un jugador en el equipo amarillo cae y los jugadores en cada equipo la ayudan.")</f>
        <v>Un jugador en el equipo amarillo cae y los jugadores en cada equipo la ayudan.</v>
      </c>
    </row>
    <row r="1068">
      <c r="A1068" s="4" t="s">
        <v>1347</v>
      </c>
      <c r="B1068" s="4" t="s">
        <v>1351</v>
      </c>
      <c r="C1068" s="5" t="str">
        <f>IFERROR(__xludf.DUMMYFUNCTION("GOOGLETRANSLATE(B1068,""en"",""es-ES"")"),"Se quitan el zapato y se calcan y masajea su pierna.")</f>
        <v>Se quitan el zapato y se calcan y masajea su pierna.</v>
      </c>
    </row>
    <row r="1069">
      <c r="A1069" s="4" t="s">
        <v>1347</v>
      </c>
      <c r="B1069" s="4" t="s">
        <v>1352</v>
      </c>
      <c r="C1069" s="5" t="str">
        <f>IFERROR(__xludf.DUMMYFUNCTION("GOOGLETRANSLATE(B1069,""en"",""es-ES"")"),"Dos personas proceden a recogerla con la ayuda de un tercero y sacarla de la cancha y colocarla a un lado para continuar con cuidado.")</f>
        <v>Dos personas proceden a recogerla con la ayuda de un tercero y sacarla de la cancha y colocarla a un lado para continuar con cuidado.</v>
      </c>
    </row>
    <row r="1070">
      <c r="A1070" s="4" t="s">
        <v>1353</v>
      </c>
      <c r="B1070" s="4" t="s">
        <v>1354</v>
      </c>
      <c r="C1070" s="5" t="str">
        <f>IFERROR(__xludf.DUMMYFUNCTION("GOOGLETRANSLATE(B1070,""en"",""es-ES"")"),"Un hombre con una camisa roja está trabajando en una máquina de ejercicios.")</f>
        <v>Un hombre con una camisa roja está trabajando en una máquina de ejercicios.</v>
      </c>
    </row>
    <row r="1071">
      <c r="A1071" s="4" t="s">
        <v>1353</v>
      </c>
      <c r="B1071" s="4" t="s">
        <v>1355</v>
      </c>
      <c r="C1071" s="5" t="str">
        <f>IFERROR(__xludf.DUMMYFUNCTION("GOOGLETRANSLATE(B1071,""en"",""es-ES"")"),"Una mujer con una camisa morada camina detrás de él.")</f>
        <v>Una mujer con una camisa morada camina detrás de él.</v>
      </c>
    </row>
    <row r="1072">
      <c r="A1072" s="4" t="s">
        <v>1353</v>
      </c>
      <c r="B1072" s="4" t="s">
        <v>1356</v>
      </c>
      <c r="C1072" s="5" t="str">
        <f>IFERROR(__xludf.DUMMYFUNCTION("GOOGLETRANSLATE(B1072,""en"",""es-ES"")"),"Dos personas están hablando entre sí detrás de él.")</f>
        <v>Dos personas están hablando entre sí detrás de él.</v>
      </c>
    </row>
    <row r="1073">
      <c r="A1073" s="4" t="s">
        <v>1357</v>
      </c>
      <c r="B1073" s="4" t="s">
        <v>1358</v>
      </c>
      <c r="C1073" s="5" t="str">
        <f>IFERROR(__xludf.DUMMYFUNCTION("GOOGLETRANSLATE(B1073,""en"",""es-ES"")"),"Se ve a un gran grupo de personas sosteniendo banderas y caminando en círculo mientras muchos otros miran a los lados.")</f>
        <v>Se ve a un gran grupo de personas sosteniendo banderas y caminando en círculo mientras muchos otros miran a los lados.</v>
      </c>
    </row>
    <row r="1074">
      <c r="A1074" s="4" t="s">
        <v>1357</v>
      </c>
      <c r="B1074" s="4" t="s">
        <v>1359</v>
      </c>
      <c r="C1074" s="5" t="str">
        <f>IFERROR(__xludf.DUMMYFUNCTION("GOOGLETRANSLATE(B1074,""en"",""es-ES"")"),"Luego se ven dos personas caminando hacia el círculo y conducen a un combate de lucha entre los dos.")</f>
        <v>Luego se ven dos personas caminando hacia el círculo y conducen a un combate de lucha entre los dos.</v>
      </c>
    </row>
    <row r="1075">
      <c r="A1075" s="4" t="s">
        <v>1357</v>
      </c>
      <c r="B1075" s="4" t="s">
        <v>1360</v>
      </c>
      <c r="C1075" s="5" t="str">
        <f>IFERROR(__xludf.DUMMYFUNCTION("GOOGLETRANSLATE(B1075,""en"",""es-ES"")"),"Un hombre se inclina hacia el otro y el ganador se aleja del escenario.")</f>
        <v>Un hombre se inclina hacia el otro y el ganador se aleja del escenario.</v>
      </c>
    </row>
    <row r="1076">
      <c r="A1076" s="4" t="s">
        <v>1361</v>
      </c>
      <c r="B1076" s="4" t="s">
        <v>1362</v>
      </c>
      <c r="C1076" s="5" t="str">
        <f>IFERROR(__xludf.DUMMYFUNCTION("GOOGLETRANSLATE(B1076,""en"",""es-ES"")"),"Hay un hombre sentado en una concurrida calle de la ciudad con un turbante y fumando un cigarrillo.")</f>
        <v>Hay un hombre sentado en una concurrida calle de la ciudad con un turbante y fumando un cigarrillo.</v>
      </c>
    </row>
    <row r="1077">
      <c r="A1077" s="4" t="s">
        <v>1361</v>
      </c>
      <c r="B1077" s="4" t="s">
        <v>1363</v>
      </c>
      <c r="C1077" s="5" t="str">
        <f>IFERROR(__xludf.DUMMYFUNCTION("GOOGLETRANSLATE(B1077,""en"",""es-ES"")"),"Hay varias personas pasando junto a él.")</f>
        <v>Hay varias personas pasando junto a él.</v>
      </c>
    </row>
    <row r="1078">
      <c r="A1078" s="4" t="s">
        <v>1361</v>
      </c>
      <c r="B1078" s="4" t="s">
        <v>1364</v>
      </c>
      <c r="C1078" s="5" t="str">
        <f>IFERROR(__xludf.DUMMYFUNCTION("GOOGLETRANSLATE(B1078,""en"",""es-ES"")"),"Continúa fumando el cigarrillo mientras inhala y exhala el humo.")</f>
        <v>Continúa fumando el cigarrillo mientras inhala y exhala el humo.</v>
      </c>
    </row>
    <row r="1079">
      <c r="A1079" s="4" t="s">
        <v>1361</v>
      </c>
      <c r="B1079" s="4" t="s">
        <v>1365</v>
      </c>
      <c r="C1079" s="5" t="str">
        <f>IFERROR(__xludf.DUMMYFUNCTION("GOOGLETRANSLATE(B1079,""en"",""es-ES"")"),"Hay mucho tráfico en la calle, así como muchas personas que caminan por la calle.")</f>
        <v>Hay mucho tráfico en la calle, así como muchas personas que caminan por la calle.</v>
      </c>
    </row>
    <row r="1080">
      <c r="A1080" s="4" t="s">
        <v>1366</v>
      </c>
      <c r="B1080" s="4" t="s">
        <v>1367</v>
      </c>
      <c r="C1080" s="5" t="str">
        <f>IFERROR(__xludf.DUMMYFUNCTION("GOOGLETRANSLATE(B1080,""en"",""es-ES"")"),"Dos personas se muestran parasailing juntas a través del agua del océano.")</f>
        <v>Dos personas se muestran parasailing juntas a través del agua del océano.</v>
      </c>
    </row>
    <row r="1081">
      <c r="A1081" s="4" t="s">
        <v>1366</v>
      </c>
      <c r="B1081" s="4" t="s">
        <v>1368</v>
      </c>
      <c r="C1081" s="5" t="str">
        <f>IFERROR(__xludf.DUMMYFUNCTION("GOOGLETRANSLATE(B1081,""en"",""es-ES"")"),"Mueven sus velas a medida que van.")</f>
        <v>Mueven sus velas a medida que van.</v>
      </c>
    </row>
    <row r="1082">
      <c r="A1082" s="4" t="s">
        <v>1369</v>
      </c>
      <c r="B1082" s="4" t="s">
        <v>1370</v>
      </c>
      <c r="C1082" s="5" t="str">
        <f>IFERROR(__xludf.DUMMYFUNCTION("GOOGLETRANSLATE(B1082,""en"",""es-ES"")"),"Se ven dos personas montando en esquís detrás de un bote con una persona que tiene un hijo sobre los hombros.")</f>
        <v>Se ven dos personas montando en esquís detrás de un bote con una persona que tiene un hijo sobre los hombros.</v>
      </c>
    </row>
    <row r="1083">
      <c r="A1083" s="4" t="s">
        <v>1369</v>
      </c>
      <c r="B1083" s="4" t="s">
        <v>1371</v>
      </c>
      <c r="C1083" s="5" t="str">
        <f>IFERROR(__xludf.DUMMYFUNCTION("GOOGLETRANSLATE(B1083,""en"",""es-ES"")"),"Todas las personas se aferran entre sí mientras el niño pequeño se sube encima y se cae al final.")</f>
        <v>Todas las personas se aferran entre sí mientras el niño pequeño se sube encima y se cae al final.</v>
      </c>
    </row>
    <row r="1084">
      <c r="A1084" s="4" t="s">
        <v>1372</v>
      </c>
      <c r="B1084" s="4" t="s">
        <v>1373</v>
      </c>
      <c r="C1084" s="5" t="str">
        <f>IFERROR(__xludf.DUMMYFUNCTION("GOOGLETRANSLATE(B1084,""en"",""es-ES"")"),"Vemos una pantalla de apertura y un hombre corre y hace un salto de altura a quince pies.")</f>
        <v>Vemos una pantalla de apertura y un hombre corre y hace un salto de altura a quince pies.</v>
      </c>
    </row>
    <row r="1085">
      <c r="A1085" s="4" t="s">
        <v>1372</v>
      </c>
      <c r="B1085" s="4" t="s">
        <v>1374</v>
      </c>
      <c r="C1085" s="5" t="str">
        <f>IFERROR(__xludf.DUMMYFUNCTION("GOOGLETRANSLATE(B1085,""en"",""es-ES"")"),"Vemos a un hombre saltar el salto de altura en una pista a varias altura con muchas escenas cortadas.")</f>
        <v>Vemos a un hombre saltar el salto de altura en una pista a varias altura con muchas escenas cortadas.</v>
      </c>
    </row>
    <row r="1086">
      <c r="A1086" s="4" t="s">
        <v>1372</v>
      </c>
      <c r="B1086" s="4" t="s">
        <v>1375</v>
      </c>
      <c r="C1086" s="5" t="str">
        <f>IFERROR(__xludf.DUMMYFUNCTION("GOOGLETRANSLATE(B1086,""en"",""es-ES"")"),"Vemos diecisiete años y una quieta del hombre.")</f>
        <v>Vemos diecisiete años y una quieta del hombre.</v>
      </c>
    </row>
    <row r="1087">
      <c r="A1087" s="4" t="s">
        <v>1372</v>
      </c>
      <c r="B1087" s="4" t="s">
        <v>1376</v>
      </c>
      <c r="C1087" s="5" t="str">
        <f>IFERROR(__xludf.DUMMYFUNCTION("GOOGLETRANSLATE(B1087,""en"",""es-ES"")"),"Vemos quince nueve desplazamiento por la pantalla.")</f>
        <v>Vemos quince nueve desplazamiento por la pantalla.</v>
      </c>
    </row>
    <row r="1088">
      <c r="A1088" s="4" t="s">
        <v>1372</v>
      </c>
      <c r="B1088" s="4" t="s">
        <v>1377</v>
      </c>
      <c r="C1088" s="5" t="str">
        <f>IFERROR(__xludf.DUMMYFUNCTION("GOOGLETRANSLATE(B1088,""en"",""es-ES"")"),"Vemos una serie de aún del hombre y dieciséis seis.")</f>
        <v>Vemos una serie de aún del hombre y dieciséis seis.</v>
      </c>
    </row>
    <row r="1089">
      <c r="A1089" s="4" t="s">
        <v>1372</v>
      </c>
      <c r="B1089" s="4" t="s">
        <v>1378</v>
      </c>
      <c r="C1089" s="5" t="str">
        <f>IFERROR(__xludf.DUMMYFUNCTION("GOOGLETRANSLATE(B1089,""en"",""es-ES"")"),"Diecisiete dos pergaminos por la pantalla.")</f>
        <v>Diecisiete dos pergaminos por la pantalla.</v>
      </c>
    </row>
    <row r="1090">
      <c r="A1090" s="4" t="s">
        <v>1372</v>
      </c>
      <c r="B1090" s="4" t="s">
        <v>1379</v>
      </c>
      <c r="C1090" s="5" t="str">
        <f>IFERROR(__xludf.DUMMYFUNCTION("GOOGLETRANSLATE(B1090,""en"",""es-ES"")"),"Vemos diecisiete nueve desplazados por la pantalla.")</f>
        <v>Vemos diecisiete nueve desplazados por la pantalla.</v>
      </c>
    </row>
    <row r="1091">
      <c r="A1091" s="4" t="s">
        <v>1372</v>
      </c>
      <c r="B1091" s="4" t="s">
        <v>1380</v>
      </c>
      <c r="C1091" s="5" t="str">
        <f>IFERROR(__xludf.DUMMYFUNCTION("GOOGLETRANSLATE(B1091,""en"",""es-ES"")"),"Luego vemos los créditos finales.")</f>
        <v>Luego vemos los créditos finales.</v>
      </c>
    </row>
    <row r="1092">
      <c r="A1092" s="4" t="s">
        <v>1381</v>
      </c>
      <c r="B1092" s="4" t="s">
        <v>1382</v>
      </c>
      <c r="C1092" s="5" t="str">
        <f>IFERROR(__xludf.DUMMYFUNCTION("GOOGLETRANSLATE(B1092,""en"",""es-ES"")"),"Un hombre en una toga patina en Rollerblades en un estacionamiento.")</f>
        <v>Un hombre en una toga patina en Rollerblades en un estacionamiento.</v>
      </c>
    </row>
    <row r="1093">
      <c r="A1093" s="4" t="s">
        <v>1381</v>
      </c>
      <c r="B1093" s="4" t="s">
        <v>1383</v>
      </c>
      <c r="C1093" s="5" t="str">
        <f>IFERROR(__xludf.DUMMYFUNCTION("GOOGLETRANSLATE(B1093,""en"",""es-ES"")"),"Una persona que sostiene una cámara está de pie al lado mirando al hombre en Rollerblades.")</f>
        <v>Una persona que sostiene una cámara está de pie al lado mirando al hombre en Rollerblades.</v>
      </c>
    </row>
    <row r="1094">
      <c r="A1094" s="4" t="s">
        <v>1384</v>
      </c>
      <c r="B1094" s="4" t="s">
        <v>1385</v>
      </c>
      <c r="C1094" s="5" t="str">
        <f>IFERROR(__xludf.DUMMYFUNCTION("GOOGLETRANSLATE(B1094,""en"",""es-ES"")"),"Se ve a un niño pequeño mirando la cámara con una taza de café.")</f>
        <v>Se ve a un niño pequeño mirando la cámara con una taza de café.</v>
      </c>
    </row>
    <row r="1095">
      <c r="A1095" s="4" t="s">
        <v>1384</v>
      </c>
      <c r="B1095" s="4" t="s">
        <v>1386</v>
      </c>
      <c r="C1095" s="5" t="str">
        <f>IFERROR(__xludf.DUMMYFUNCTION("GOOGLETRANSLATE(B1095,""en"",""es-ES"")"),"La niña saca una copa de la taza y la vuelve a bajar.")</f>
        <v>La niña saca una copa de la taza y la vuelve a bajar.</v>
      </c>
    </row>
    <row r="1096">
      <c r="A1096" s="4" t="s">
        <v>1384</v>
      </c>
      <c r="B1096" s="4" t="s">
        <v>1387</v>
      </c>
      <c r="C1096" s="5" t="str">
        <f>IFERROR(__xludf.DUMMYFUNCTION("GOOGLETRANSLATE(B1096,""en"",""es-ES"")"),"Ella continúa bebiendo del contenedor y mira hacia la cámara.")</f>
        <v>Ella continúa bebiendo del contenedor y mira hacia la cámara.</v>
      </c>
    </row>
    <row r="1097">
      <c r="A1097" s="4" t="s">
        <v>1388</v>
      </c>
      <c r="B1097" s="4" t="s">
        <v>1389</v>
      </c>
      <c r="C1097" s="5" t="str">
        <f>IFERROR(__xludf.DUMMYFUNCTION("GOOGLETRANSLATE(B1097,""en"",""es-ES"")"),"Se ven dos hombres de pie antes de un juego de dardos y comienzan a lanzar dardos al tablero.")</f>
        <v>Se ven dos hombres de pie antes de un juego de dardos y comienzan a lanzar dardos al tablero.</v>
      </c>
    </row>
    <row r="1098">
      <c r="A1098" s="4" t="s">
        <v>1388</v>
      </c>
      <c r="B1098" s="4" t="s">
        <v>1390</v>
      </c>
      <c r="C1098" s="5" t="str">
        <f>IFERROR(__xludf.DUMMYFUNCTION("GOOGLETRANSLATE(B1098,""en"",""es-ES"")"),"Los hombres miran hacia atrás y se ríen entre ellos mientras todavía juegan.")</f>
        <v>Los hombres miran hacia atrás y se ríen entre ellos mientras todavía juegan.</v>
      </c>
    </row>
    <row r="1099">
      <c r="A1099" s="4" t="s">
        <v>1388</v>
      </c>
      <c r="B1099" s="4" t="s">
        <v>1391</v>
      </c>
      <c r="C1099" s="5" t="str">
        <f>IFERROR(__xludf.DUMMYFUNCTION("GOOGLETRANSLATE(B1099,""en"",""es-ES"")"),"Continúan jugando con otros a su alrededor y terminan estrechándose con otro.")</f>
        <v>Continúan jugando con otros a su alrededor y terminan estrechándose con otro.</v>
      </c>
    </row>
    <row r="1100">
      <c r="A1100" s="4" t="s">
        <v>1392</v>
      </c>
      <c r="B1100" s="4" t="s">
        <v>1393</v>
      </c>
      <c r="C1100" s="5" t="str">
        <f>IFERROR(__xludf.DUMMYFUNCTION("GOOGLETRANSLATE(B1100,""en"",""es-ES"")"),"La mujer con uniforme negro arrojó la bola de jabalina.")</f>
        <v>La mujer con uniforme negro arrojó la bola de jabalina.</v>
      </c>
    </row>
    <row r="1101">
      <c r="A1101" s="4" t="s">
        <v>1392</v>
      </c>
      <c r="B1101" s="4" t="s">
        <v>1394</v>
      </c>
      <c r="C1101" s="5" t="str">
        <f>IFERROR(__xludf.DUMMYFUNCTION("GOOGLETRANSLATE(B1101,""en"",""es-ES"")"),"La pequeña mujer con camisa amarilla y mangas negras arrojó la pelota.")</f>
        <v>La pequeña mujer con camisa amarilla y mangas negras arrojó la pelota.</v>
      </c>
    </row>
    <row r="1102">
      <c r="A1102" s="4" t="s">
        <v>1392</v>
      </c>
      <c r="B1102" s="4" t="s">
        <v>1395</v>
      </c>
      <c r="C1102" s="5" t="str">
        <f>IFERROR(__xludf.DUMMYFUNCTION("GOOGLETRANSLATE(B1102,""en"",""es-ES"")"),"La mujer con camisa blanca y pantalones negros se estiró un poco y luego arrojó la pelota.")</f>
        <v>La mujer con camisa blanca y pantalones negros se estiró un poco y luego arrojó la pelota.</v>
      </c>
    </row>
    <row r="1103">
      <c r="A1103" s="4" t="s">
        <v>1392</v>
      </c>
      <c r="B1103" s="4" t="s">
        <v>1396</v>
      </c>
      <c r="C1103" s="5" t="str">
        <f>IFERROR(__xludf.DUMMYFUNCTION("GOOGLETRANSLATE(B1103,""en"",""es-ES"")"),"Los atletas uno por uno arrojaron la bola de jabalina, mientras que a los lados hay personas que miden cuán lejos fue lanzado.")</f>
        <v>Los atletas uno por uno arrojaron la bola de jabalina, mientras que a los lados hay personas que miden cuán lejos fue lanzado.</v>
      </c>
    </row>
    <row r="1104">
      <c r="A1104" s="4" t="s">
        <v>1397</v>
      </c>
      <c r="B1104" s="4" t="s">
        <v>1398</v>
      </c>
      <c r="C1104" s="5" t="str">
        <f>IFERROR(__xludf.DUMMYFUNCTION("GOOGLETRANSLATE(B1104,""en"",""es-ES"")"),"Hay un hombre que sale de su garaje con un soplador de hoja eléctrica.")</f>
        <v>Hay un hombre que sale de su garaje con un soplador de hoja eléctrica.</v>
      </c>
    </row>
    <row r="1105">
      <c r="A1105" s="4" t="s">
        <v>1397</v>
      </c>
      <c r="B1105" s="4" t="s">
        <v>1399</v>
      </c>
      <c r="C1105" s="5" t="str">
        <f>IFERROR(__xludf.DUMMYFUNCTION("GOOGLETRANSLATE(B1105,""en"",""es-ES"")"),"Comienza a soplar las hojas de su patio para la limpieza de otoño.")</f>
        <v>Comienza a soplar las hojas de su patio para la limpieza de otoño.</v>
      </c>
    </row>
    <row r="1106">
      <c r="A1106" s="4" t="s">
        <v>1397</v>
      </c>
      <c r="B1106" s="4" t="s">
        <v>1400</v>
      </c>
      <c r="C1106" s="5" t="str">
        <f>IFERROR(__xludf.DUMMYFUNCTION("GOOGLETRANSLATE(B1106,""en"",""es-ES"")"),"Camina alrededor de su patio con el soplador mientras limpia las hojas.")</f>
        <v>Camina alrededor de su patio con el soplador mientras limpia las hojas.</v>
      </c>
    </row>
    <row r="1107">
      <c r="A1107" s="4" t="s">
        <v>1401</v>
      </c>
      <c r="B1107" s="4" t="s">
        <v>1402</v>
      </c>
      <c r="C1107" s="5" t="str">
        <f>IFERROR(__xludf.DUMMYFUNCTION("GOOGLETRANSLATE(B1107,""en"",""es-ES"")"),"Un buceador se aferra a una roca mientras arroja un signo de paz en el aire.")</f>
        <v>Un buceador se aferra a una roca mientras arroja un signo de paz en el aire.</v>
      </c>
    </row>
    <row r="1108">
      <c r="A1108" s="4" t="s">
        <v>1401</v>
      </c>
      <c r="B1108" s="4" t="s">
        <v>1403</v>
      </c>
      <c r="C1108" s="5" t="str">
        <f>IFERROR(__xludf.DUMMYFUNCTION("GOOGLETRANSLATE(B1108,""en"",""es-ES"")"),"El hombre suelta la roca y pone dos señales de paz en el aire.")</f>
        <v>El hombre suelta la roca y pone dos señales de paz en el aire.</v>
      </c>
    </row>
    <row r="1109">
      <c r="A1109" s="4" t="s">
        <v>1401</v>
      </c>
      <c r="B1109" s="4" t="s">
        <v>1404</v>
      </c>
      <c r="C1109" s="5" t="str">
        <f>IFERROR(__xludf.DUMMYFUNCTION("GOOGLETRANSLATE(B1109,""en"",""es-ES"")"),"El hombre arregla su snorkel y gafas.")</f>
        <v>El hombre arregla su snorkel y gafas.</v>
      </c>
    </row>
    <row r="1110">
      <c r="A1110" s="4" t="s">
        <v>1405</v>
      </c>
      <c r="B1110" s="4" t="s">
        <v>1406</v>
      </c>
      <c r="C1110" s="5" t="str">
        <f>IFERROR(__xludf.DUMMYFUNCTION("GOOGLETRANSLATE(B1110,""en"",""es-ES"")"),"Las luces azules iluminan un escenario.")</f>
        <v>Las luces azules iluminan un escenario.</v>
      </c>
    </row>
    <row r="1111">
      <c r="A1111" s="4" t="s">
        <v>1405</v>
      </c>
      <c r="B1111" s="4" t="s">
        <v>1407</v>
      </c>
      <c r="C1111" s="5" t="str">
        <f>IFERROR(__xludf.DUMMYFUNCTION("GOOGLETRANSLATE(B1111,""en"",""es-ES"")"),"La silueta de un hombre es visible y vemos la arena con luz azul.")</f>
        <v>La silueta de un hombre es visible y vemos la arena con luz azul.</v>
      </c>
    </row>
    <row r="1112">
      <c r="A1112" s="4" t="s">
        <v>1405</v>
      </c>
      <c r="B1112" s="4" t="s">
        <v>1408</v>
      </c>
      <c r="C1112" s="5" t="str">
        <f>IFERROR(__xludf.DUMMYFUNCTION("GOOGLETRANSLATE(B1112,""en"",""es-ES"")"),"El hombre en el escenario se ilumina con luz roja.")</f>
        <v>El hombre en el escenario se ilumina con luz roja.</v>
      </c>
    </row>
    <row r="1113">
      <c r="A1113" s="4" t="s">
        <v>1405</v>
      </c>
      <c r="B1113" s="4" t="s">
        <v>1409</v>
      </c>
      <c r="C1113" s="5" t="str">
        <f>IFERROR(__xludf.DUMMYFUNCTION("GOOGLETRANSLATE(B1113,""en"",""es-ES"")"),"Vemos la arena en azul y el jugador de saxo en rojo.")</f>
        <v>Vemos la arena en azul y el jugador de saxo en rojo.</v>
      </c>
    </row>
    <row r="1114">
      <c r="A1114" s="4" t="s">
        <v>1405</v>
      </c>
      <c r="B1114" s="4" t="s">
        <v>1410</v>
      </c>
      <c r="C1114" s="5" t="str">
        <f>IFERROR(__xludf.DUMMYFUNCTION("GOOGLETRANSLATE(B1114,""en"",""es-ES"")"),"Vemos a otro miembro de la banda.")</f>
        <v>Vemos a otro miembro de la banda.</v>
      </c>
    </row>
    <row r="1115">
      <c r="A1115" s="4" t="s">
        <v>1405</v>
      </c>
      <c r="B1115" s="4" t="s">
        <v>1411</v>
      </c>
      <c r="C1115" s="5" t="str">
        <f>IFERROR(__xludf.DUMMYFUNCTION("GOOGLETRANSLATE(B1115,""en"",""es-ES"")"),"Vemos al hombre en el saxofón jugando de cerca y lejos.")</f>
        <v>Vemos al hombre en el saxofón jugando de cerca y lejos.</v>
      </c>
    </row>
    <row r="1116">
      <c r="A1116" s="4" t="s">
        <v>1405</v>
      </c>
      <c r="B1116" s="4" t="s">
        <v>1412</v>
      </c>
      <c r="C1116" s="5" t="str">
        <f>IFERROR(__xludf.DUMMYFUNCTION("GOOGLETRANSLATE(B1116,""en"",""es-ES"")"),"Vemos toda la arena y el hombre jugando de cerca.")</f>
        <v>Vemos toda la arena y el hombre jugando de cerca.</v>
      </c>
    </row>
    <row r="1117">
      <c r="A1117" s="4" t="s">
        <v>1405</v>
      </c>
      <c r="B1117" s="4" t="s">
        <v>1413</v>
      </c>
      <c r="C1117" s="5" t="str">
        <f>IFERROR(__xludf.DUMMYFUNCTION("GOOGLETRANSLATE(B1117,""en"",""es-ES"")"),"Salimos del hombre a la audiencia.")</f>
        <v>Salimos del hombre a la audiencia.</v>
      </c>
    </row>
    <row r="1118">
      <c r="A1118" s="4" t="s">
        <v>1414</v>
      </c>
      <c r="B1118" s="4" t="s">
        <v>1415</v>
      </c>
      <c r="C1118" s="5" t="str">
        <f>IFERROR(__xludf.DUMMYFUNCTION("GOOGLETRANSLATE(B1118,""en"",""es-ES"")"),"Se ve a una persona nadando las profundidades del piso de una piscina.")</f>
        <v>Se ve a una persona nadando las profundidades del piso de una piscina.</v>
      </c>
    </row>
    <row r="1119">
      <c r="A1119" s="4" t="s">
        <v>1414</v>
      </c>
      <c r="B1119" s="4" t="s">
        <v>1416</v>
      </c>
      <c r="C1119" s="5" t="str">
        <f>IFERROR(__xludf.DUMMYFUNCTION("GOOGLETRANSLATE(B1119,""en"",""es-ES"")"),"El hombre aparece ante la cámara, su rostro mostrando.")</f>
        <v>El hombre aparece ante la cámara, su rostro mostrando.</v>
      </c>
    </row>
    <row r="1120">
      <c r="A1120" s="4" t="s">
        <v>1414</v>
      </c>
      <c r="B1120" s="4" t="s">
        <v>1417</v>
      </c>
      <c r="C1120" s="5" t="str">
        <f>IFERROR(__xludf.DUMMYFUNCTION("GOOGLETRANSLATE(B1120,""en"",""es-ES"")"),"Luego nada lentamente hacia la superficie.")</f>
        <v>Luego nada lentamente hacia la superficie.</v>
      </c>
    </row>
    <row r="1121">
      <c r="A1121" s="4" t="s">
        <v>1418</v>
      </c>
      <c r="B1121" s="4" t="s">
        <v>1419</v>
      </c>
      <c r="C1121" s="5" t="str">
        <f>IFERROR(__xludf.DUMMYFUNCTION("GOOGLETRANSLATE(B1121,""en"",""es-ES"")"),"Se ve un conjunto de instrucciones con diagramas.")</f>
        <v>Se ve un conjunto de instrucciones con diagramas.</v>
      </c>
    </row>
    <row r="1122">
      <c r="A1122" s="4" t="s">
        <v>1418</v>
      </c>
      <c r="B1122" s="4" t="s">
        <v>1420</v>
      </c>
      <c r="C1122" s="5" t="str">
        <f>IFERROR(__xludf.DUMMYFUNCTION("GOOGLETRANSLATE(B1122,""en"",""es-ES"")"),"Un hombre utiliza una herramienta para reparar los enlaces individuales de una cadena de bicicletas.")</f>
        <v>Un hombre utiliza una herramienta para reparar los enlaces individuales de una cadena de bicicletas.</v>
      </c>
    </row>
    <row r="1123">
      <c r="A1123" s="4" t="s">
        <v>1418</v>
      </c>
      <c r="B1123" s="4" t="s">
        <v>1421</v>
      </c>
      <c r="C1123" s="5" t="str">
        <f>IFERROR(__xludf.DUMMYFUNCTION("GOOGLETRANSLATE(B1123,""en"",""es-ES"")"),"La cadena de bicicletas se vuelve a sumar en los engranajes de bicicleta utilizando una herramienta especializada.")</f>
        <v>La cadena de bicicletas se vuelve a sumar en los engranajes de bicicleta utilizando una herramienta especializada.</v>
      </c>
    </row>
    <row r="1124">
      <c r="A1124" s="4" t="s">
        <v>1418</v>
      </c>
      <c r="B1124" s="4" t="s">
        <v>1422</v>
      </c>
      <c r="C1124" s="5" t="str">
        <f>IFERROR(__xludf.DUMMYFUNCTION("GOOGLETRANSLATE(B1124,""en"",""es-ES"")"),"La persona inspecciona la cadena recién reemplazada a mano.")</f>
        <v>La persona inspecciona la cadena recién reemplazada a mano.</v>
      </c>
    </row>
    <row r="1125">
      <c r="A1125" s="4" t="s">
        <v>1418</v>
      </c>
      <c r="B1125" s="4" t="s">
        <v>1423</v>
      </c>
      <c r="C1125" s="5" t="str">
        <f>IFERROR(__xludf.DUMMYFUNCTION("GOOGLETRANSLATE(B1125,""en"",""es-ES"")"),"La persona apunta a diferentes áreas en el engranaje de la bicicleta con la bicicleta en el estante después de que se completa el trabajo.")</f>
        <v>La persona apunta a diferentes áreas en el engranaje de la bicicleta con la bicicleta en el estante después de que se completa el trabajo.</v>
      </c>
    </row>
    <row r="1126">
      <c r="A1126" s="4" t="s">
        <v>1424</v>
      </c>
      <c r="B1126" s="4" t="s">
        <v>1425</v>
      </c>
      <c r="C1126" s="5" t="str">
        <f>IFERROR(__xludf.DUMMYFUNCTION("GOOGLETRANSLATE(B1126,""en"",""es-ES"")"),"Se ve a un chef hablando con la cámara sosteniendo un cuchillo y un afilador.")</f>
        <v>Se ve a un chef hablando con la cámara sosteniendo un cuchillo y un afilador.</v>
      </c>
    </row>
    <row r="1127">
      <c r="A1127" s="4" t="s">
        <v>1424</v>
      </c>
      <c r="B1127" s="4" t="s">
        <v>1426</v>
      </c>
      <c r="C1127" s="5" t="str">
        <f>IFERROR(__xludf.DUMMYFUNCTION("GOOGLETRANSLATE(B1127,""en"",""es-ES"")"),"Luego, el hombre agudiza el cuchillo en un tablero en la mesa y en el afilador.")</f>
        <v>Luego, el hombre agudiza el cuchillo en un tablero en la mesa y en el afilador.</v>
      </c>
    </row>
    <row r="1128">
      <c r="A1128" s="4" t="s">
        <v>1427</v>
      </c>
      <c r="B1128" s="4" t="s">
        <v>1428</v>
      </c>
      <c r="C1128" s="5" t="str">
        <f>IFERROR(__xludf.DUMMYFUNCTION("GOOGLETRANSLATE(B1128,""en"",""es-ES"")"),"Una joven con los ojos vendados cambia un palo salvajemente cuando un hombre sostiene una piñata en lo alto de su cabeza sobre una cuerda en una fiesta de cumpleaños.")</f>
        <v>Una joven con los ojos vendados cambia un palo salvajemente cuando un hombre sostiene una piñata en lo alto de su cabeza sobre una cuerda en una fiesta de cumpleaños.</v>
      </c>
    </row>
    <row r="1129">
      <c r="A1129" s="4" t="s">
        <v>1427</v>
      </c>
      <c r="B1129" s="4" t="s">
        <v>1429</v>
      </c>
      <c r="C1129" s="5" t="str">
        <f>IFERROR(__xludf.DUMMYFUNCTION("GOOGLETRANSLATE(B1129,""en"",""es-ES"")"),"Luego, la mujer se balancea unas pocas veces más cuando el hombre levanta la piñata hacia arriba y hacia abajo con la cuerda adjunta y, mientras hace esto, elimina un pedazo de la piñata y algunos niños se reúnen alrededor de ella para ver si se cayeron d"&amp;"ulces.")</f>
        <v>Luego, la mujer se balancea unas pocas veces más cuando el hombre levanta la piñata hacia arriba y hacia abajo con la cuerda adjunta y, mientras hace esto, elimina un pedazo de la piñata y algunos niños se reúnen alrededor de ella para ver si se cayeron dulces.</v>
      </c>
    </row>
    <row r="1130">
      <c r="A1130" s="4" t="s">
        <v>1427</v>
      </c>
      <c r="B1130" s="4" t="s">
        <v>1430</v>
      </c>
      <c r="C1130" s="5" t="str">
        <f>IFERROR(__xludf.DUMMYFUNCTION("GOOGLETRANSLATE(B1130,""en"",""es-ES"")"),"La mujer siente por la piñata varias veces con el palo, pero no se balancea mientras los niños continúan mirando con asombro.")</f>
        <v>La mujer siente por la piñata varias veces con el palo, pero no se balancea mientras los niños continúan mirando con asombro.</v>
      </c>
    </row>
    <row r="1131">
      <c r="A1131" s="4" t="s">
        <v>1431</v>
      </c>
      <c r="B1131" s="4" t="s">
        <v>1432</v>
      </c>
      <c r="C1131" s="5" t="str">
        <f>IFERROR(__xludf.DUMMYFUNCTION("GOOGLETRANSLATE(B1131,""en"",""es-ES"")"),"Se muestran varias tomas de mujeres que ponen loción en una playa, mientras que la cámara se desplaza desde varios lados.")</f>
        <v>Se muestran varias tomas de mujeres que ponen loción en una playa, mientras que la cámara se desplaza desde varios lados.</v>
      </c>
    </row>
    <row r="1132">
      <c r="A1132" s="4" t="s">
        <v>1431</v>
      </c>
      <c r="B1132" s="4" t="s">
        <v>1433</v>
      </c>
      <c r="C1132" s="5" t="str">
        <f>IFERROR(__xludf.DUMMYFUNCTION("GOOGLETRANSLATE(B1132,""en"",""es-ES"")"),"Se muestran más disparos de mujeres en varios ángulos frotando loción en todos sus cuerpos y mirando a la distancia seductoramente.")</f>
        <v>Se muestran más disparos de mujeres en varios ángulos frotando loción en todos sus cuerpos y mirando a la distancia seductoramente.</v>
      </c>
    </row>
    <row r="1133">
      <c r="A1133" s="4" t="s">
        <v>1434</v>
      </c>
      <c r="B1133" s="4" t="s">
        <v>1435</v>
      </c>
      <c r="C1133" s="5" t="str">
        <f>IFERROR(__xludf.DUMMYFUNCTION("GOOGLETRANSLATE(B1133,""en"",""es-ES"")"),"Un equipo de alegría comienza a sostener carteles mientras su mascota corre detrás de ellos.")</f>
        <v>Un equipo de alegría comienza a sostener carteles mientras su mascota corre detrás de ellos.</v>
      </c>
    </row>
    <row r="1134">
      <c r="A1134" s="4" t="s">
        <v>1434</v>
      </c>
      <c r="B1134" s="4" t="s">
        <v>1436</v>
      </c>
      <c r="C1134" s="5" t="str">
        <f>IFERROR(__xludf.DUMMYFUNCTION("GOOGLETRANSLATE(B1134,""en"",""es-ES"")"),"Luego comienzan a hacer una rutina y algunas de las chicas corren con serpentinas mientras el resto sostienen a las chicas para su truco.")</f>
        <v>Luego comienzan a hacer una rutina y algunas de las chicas corren con serpentinas mientras el resto sostienen a las chicas para su truco.</v>
      </c>
    </row>
    <row r="1135">
      <c r="A1135" s="4" t="s">
        <v>1434</v>
      </c>
      <c r="B1135" s="4" t="s">
        <v>1437</v>
      </c>
      <c r="C1135" s="5" t="str">
        <f>IFERROR(__xludf.DUMMYFUNCTION("GOOGLETRANSLATE(B1135,""en"",""es-ES"")"),"El truco está terminado y el retiro de regreso a su posición original y comienza a hacer volteretas y otros trucos y acrobacias junto con su mascota.")</f>
        <v>El truco está terminado y el retiro de regreso a su posición original y comienza a hacer volteretas y otros trucos y acrobacias junto con su mascota.</v>
      </c>
    </row>
    <row r="1136">
      <c r="A1136" s="4" t="s">
        <v>1434</v>
      </c>
      <c r="B1136" s="4" t="s">
        <v>1438</v>
      </c>
      <c r="C1136" s="5" t="str">
        <f>IFERROR(__xludf.DUMMYFUNCTION("GOOGLETRANSLATE(B1136,""en"",""es-ES"")"),"A medida que la rutina continúa, se realizan más acrobacias y la mascota de Tiger continúa animando con las chicas.")</f>
        <v>A medida que la rutina continúa, se realizan más acrobacias y la mascota de Tiger continúa animando con las chicas.</v>
      </c>
    </row>
    <row r="1137">
      <c r="A1137" s="4" t="s">
        <v>1439</v>
      </c>
      <c r="B1137" s="4" t="s">
        <v>1440</v>
      </c>
      <c r="C1137" s="5" t="str">
        <f>IFERROR(__xludf.DUMMYFUNCTION("GOOGLETRANSLATE(B1137,""en"",""es-ES"")"),"Un niño y un hombre se turnan para jugar al billar mientras una multitud observa.")</f>
        <v>Un niño y un hombre se turnan para jugar al billar mientras una multitud observa.</v>
      </c>
    </row>
    <row r="1138">
      <c r="A1138" s="4" t="s">
        <v>1439</v>
      </c>
      <c r="B1138" s="4" t="s">
        <v>1441</v>
      </c>
      <c r="C1138" s="5" t="str">
        <f>IFERROR(__xludf.DUMMYFUNCTION("GOOGLETRANSLATE(B1138,""en"",""es-ES"")"),"El hombre se limpia la cara con una toalla.")</f>
        <v>El hombre se limpia la cara con una toalla.</v>
      </c>
    </row>
    <row r="1139">
      <c r="A1139" s="4" t="s">
        <v>1439</v>
      </c>
      <c r="B1139" s="4" t="s">
        <v>1442</v>
      </c>
      <c r="C1139" s="5" t="str">
        <f>IFERROR(__xludf.DUMMYFUNCTION("GOOGLETRANSLATE(B1139,""en"",""es-ES"")"),"El niño gana y la multitud aplaude.")</f>
        <v>El niño gana y la multitud aplaude.</v>
      </c>
    </row>
    <row r="1140">
      <c r="A1140" s="4" t="s">
        <v>1439</v>
      </c>
      <c r="B1140" s="4" t="s">
        <v>1443</v>
      </c>
      <c r="C1140" s="5" t="str">
        <f>IFERROR(__xludf.DUMMYFUNCTION("GOOGLETRANSLATE(B1140,""en"",""es-ES"")"),"Varios hombres recogen al niño en celebración.")</f>
        <v>Varios hombres recogen al niño en celebración.</v>
      </c>
    </row>
    <row r="1141">
      <c r="A1141" s="4" t="s">
        <v>1439</v>
      </c>
      <c r="B1141" s="4" t="s">
        <v>1444</v>
      </c>
      <c r="C1141" s="5" t="str">
        <f>IFERROR(__xludf.DUMMYFUNCTION("GOOGLETRANSLATE(B1141,""en"",""es-ES"")"),"El disparo ganador se reproduce en cámara lenta.")</f>
        <v>El disparo ganador se reproduce en cámara lenta.</v>
      </c>
    </row>
    <row r="1142">
      <c r="A1142" s="4" t="s">
        <v>1445</v>
      </c>
      <c r="B1142" s="4" t="s">
        <v>1446</v>
      </c>
      <c r="C1142" s="5" t="str">
        <f>IFERROR(__xludf.DUMMYFUNCTION("GOOGLETRANSLATE(B1142,""en"",""es-ES"")"),"Se ve a una mujer sosteniendo un hilo de cuerda en sus manos y comienza a tejer la cuerda con sus manos.")</f>
        <v>Se ve a una mujer sosteniendo un hilo de cuerda en sus manos y comienza a tejer la cuerda con sus manos.</v>
      </c>
    </row>
    <row r="1143">
      <c r="A1143" s="4" t="s">
        <v>1445</v>
      </c>
      <c r="B1143" s="4" t="s">
        <v>1447</v>
      </c>
      <c r="C1143" s="5" t="str">
        <f>IFERROR(__xludf.DUMMYFUNCTION("GOOGLETRANSLATE(B1143,""en"",""es-ES"")"),"Ella continúa con la cuerda con sus manos y termina sosteniendo el hilo para mostrar.")</f>
        <v>Ella continúa con la cuerda con sus manos y termina sosteniendo el hilo para mostrar.</v>
      </c>
    </row>
    <row r="1144">
      <c r="A1144" s="4" t="s">
        <v>1448</v>
      </c>
      <c r="B1144" s="4" t="s">
        <v>1449</v>
      </c>
      <c r="C1144" s="5" t="str">
        <f>IFERROR(__xludf.DUMMYFUNCTION("GOOGLETRANSLATE(B1144,""en"",""es-ES"")"),"Un hombre sentado en una balsa en el agua habla con la cámara.")</f>
        <v>Un hombre sentado en una balsa en el agua habla con la cámara.</v>
      </c>
    </row>
    <row r="1145">
      <c r="A1145" s="4" t="s">
        <v>1448</v>
      </c>
      <c r="B1145" s="4" t="s">
        <v>1450</v>
      </c>
      <c r="C1145" s="5" t="str">
        <f>IFERROR(__xludf.DUMMYFUNCTION("GOOGLETRANSLATE(B1145,""en"",""es-ES"")"),"El hombre demuestra técnicas mientras habla con la cámara.")</f>
        <v>El hombre demuestra técnicas mientras habla con la cámara.</v>
      </c>
    </row>
    <row r="1146">
      <c r="A1146" s="4" t="s">
        <v>1448</v>
      </c>
      <c r="B1146" s="4" t="s">
        <v>1451</v>
      </c>
      <c r="C1146" s="5" t="str">
        <f>IFERROR(__xludf.DUMMYFUNCTION("GOOGLETRANSLATE(B1146,""en"",""es-ES"")"),"El hombre balsa río abajo mientras remaba.")</f>
        <v>El hombre balsa río abajo mientras remaba.</v>
      </c>
    </row>
    <row r="1147">
      <c r="A1147" s="4" t="s">
        <v>1452</v>
      </c>
      <c r="B1147" s="4" t="s">
        <v>1453</v>
      </c>
      <c r="C1147" s="5" t="str">
        <f>IFERROR(__xludf.DUMMYFUNCTION("GOOGLETRANSLATE(B1147,""en"",""es-ES"")"),"Alexandra Raisman de Massachusetts se ve con leotardos morados, preparándose para hacer gimnasia en el bar de caballos.")</f>
        <v>Alexandra Raisman de Massachusetts se ve con leotardos morados, preparándose para hacer gimnasia en el bar de caballos.</v>
      </c>
    </row>
    <row r="1148">
      <c r="A1148" s="4" t="s">
        <v>1452</v>
      </c>
      <c r="B1148" s="4" t="s">
        <v>1454</v>
      </c>
      <c r="C1148" s="5" t="str">
        <f>IFERROR(__xludf.DUMMYFUNCTION("GOOGLETRANSLATE(B1148,""en"",""es-ES"")"),"Ella salta directamente a la barra de caballos y hace algunas volteidades frontales y traseras.")</f>
        <v>Ella salta directamente a la barra de caballos y hace algunas volteidades frontales y traseras.</v>
      </c>
    </row>
    <row r="1149">
      <c r="A1149" s="4" t="s">
        <v>1452</v>
      </c>
      <c r="B1149" s="4" t="s">
        <v>1455</v>
      </c>
      <c r="C1149" s="5" t="str">
        <f>IFERROR(__xludf.DUMMYFUNCTION("GOOGLETRANSLATE(B1149,""en"",""es-ES"")"),"Luego hace algunos brotes de la mano trasera en la barra de caballos.")</f>
        <v>Luego hace algunos brotes de la mano trasera en la barra de caballos.</v>
      </c>
    </row>
    <row r="1150">
      <c r="A1150" s="4" t="s">
        <v>1452</v>
      </c>
      <c r="B1150" s="4" t="s">
        <v>1456</v>
      </c>
      <c r="C1150" s="5" t="str">
        <f>IFERROR(__xludf.DUMMYFUNCTION("GOOGLETRANSLATE(B1150,""en"",""es-ES"")"),"Ella salta rápidamente sobre la barra de caballos mientras mantiene el control completo sobre el cuerpo y el equilibrio.")</f>
        <v>Ella salta rápidamente sobre la barra de caballos mientras mantiene el control completo sobre el cuerpo y el equilibrio.</v>
      </c>
    </row>
    <row r="1151">
      <c r="A1151" s="4" t="s">
        <v>1452</v>
      </c>
      <c r="B1151" s="4" t="s">
        <v>1457</v>
      </c>
      <c r="C1151" s="5" t="str">
        <f>IFERROR(__xludf.DUMMYFUNCTION("GOOGLETRANSLATE(B1151,""en"",""es-ES"")"),"Ella hace una vuelta final y un volteo delantero y luego se sale de la barra de caballos.")</f>
        <v>Ella hace una vuelta final y un volteo delantero y luego se sale de la barra de caballos.</v>
      </c>
    </row>
    <row r="1152">
      <c r="A1152" s="4" t="s">
        <v>1452</v>
      </c>
      <c r="B1152" s="4" t="s">
        <v>1458</v>
      </c>
      <c r="C1152" s="5" t="str">
        <f>IFERROR(__xludf.DUMMYFUNCTION("GOOGLETRANSLATE(B1152,""en"",""es-ES"")"),"Los espectadores la animan mientras se aleja.")</f>
        <v>Los espectadores la animan mientras se aleja.</v>
      </c>
    </row>
    <row r="1153">
      <c r="A1153" s="4" t="s">
        <v>1459</v>
      </c>
      <c r="B1153" s="4" t="s">
        <v>1460</v>
      </c>
      <c r="C1153" s="5" t="str">
        <f>IFERROR(__xludf.DUMMYFUNCTION("GOOGLETRANSLATE(B1153,""en"",""es-ES"")"),"Se ve a un hombre inclinarse sobre una explosión en medio de los bateristas.")</f>
        <v>Se ve a un hombre inclinarse sobre una explosión en medio de los bateristas.</v>
      </c>
    </row>
    <row r="1154">
      <c r="A1154" s="4" t="s">
        <v>1459</v>
      </c>
      <c r="B1154" s="4" t="s">
        <v>1461</v>
      </c>
      <c r="C1154" s="5" t="str">
        <f>IFERROR(__xludf.DUMMYFUNCTION("GOOGLETRANSLATE(B1154,""en"",""es-ES"")"),"La gente golpeó la batería continuamente mientras la cámara se aplica.")</f>
        <v>La gente golpeó la batería continuamente mientras la cámara se aplica.</v>
      </c>
    </row>
    <row r="1155">
      <c r="A1155" s="4" t="s">
        <v>1459</v>
      </c>
      <c r="B1155" s="4" t="s">
        <v>1462</v>
      </c>
      <c r="C1155" s="5" t="str">
        <f>IFERROR(__xludf.DUMMYFUNCTION("GOOGLETRANSLATE(B1155,""en"",""es-ES"")"),"Los hombres tambalean mientras la cámara los rodeaba.")</f>
        <v>Los hombres tambalean mientras la cámara los rodeaba.</v>
      </c>
    </row>
    <row r="1156">
      <c r="A1156" s="4" t="s">
        <v>1463</v>
      </c>
      <c r="B1156" s="4" t="s">
        <v>1464</v>
      </c>
      <c r="C1156" s="5" t="str">
        <f>IFERROR(__xludf.DUMMYFUNCTION("GOOGLETRANSLATE(B1156,""en"",""es-ES"")"),"Un hombre de noticias está hablando frente a un grupo de personas.")</f>
        <v>Un hombre de noticias está hablando frente a un grupo de personas.</v>
      </c>
    </row>
    <row r="1157">
      <c r="A1157" s="4" t="s">
        <v>1463</v>
      </c>
      <c r="B1157" s="4" t="s">
        <v>1465</v>
      </c>
      <c r="C1157" s="5" t="str">
        <f>IFERROR(__xludf.DUMMYFUNCTION("GOOGLETRANSLATE(B1157,""en"",""es-ES"")"),"Un hombre se muestra en una tabla de buceo en lo alto de un acantilado.")</f>
        <v>Un hombre se muestra en una tabla de buceo en lo alto de un acantilado.</v>
      </c>
    </row>
    <row r="1158">
      <c r="A1158" s="4" t="s">
        <v>1463</v>
      </c>
      <c r="B1158" s="4" t="s">
        <v>1466</v>
      </c>
      <c r="C1158" s="5" t="str">
        <f>IFERROR(__xludf.DUMMYFUNCTION("GOOGLETRANSLATE(B1158,""en"",""es-ES"")"),"Se sumerge, saltando a las aguas poco profundas de abajo.")</f>
        <v>Se sumerge, saltando a las aguas poco profundas de abajo.</v>
      </c>
    </row>
    <row r="1159">
      <c r="A1159" s="4" t="s">
        <v>1467</v>
      </c>
      <c r="B1159" s="4" t="s">
        <v>1468</v>
      </c>
      <c r="C1159" s="5" t="str">
        <f>IFERROR(__xludf.DUMMYFUNCTION("GOOGLETRANSLATE(B1159,""en"",""es-ES"")"),"El hombre está enluciendo la pared.")</f>
        <v>El hombre está enluciendo la pared.</v>
      </c>
    </row>
    <row r="1160">
      <c r="A1160" s="4" t="s">
        <v>1467</v>
      </c>
      <c r="B1160" s="4" t="s">
        <v>1469</v>
      </c>
      <c r="C1160" s="5" t="str">
        <f>IFERROR(__xludf.DUMMYFUNCTION("GOOGLETRANSLATE(B1160,""en"",""es-ES"")"),"El hombre se dobla y luego continúa enyesando la pared.")</f>
        <v>El hombre se dobla y luego continúa enyesando la pared.</v>
      </c>
    </row>
    <row r="1161">
      <c r="A1161" s="4" t="s">
        <v>1467</v>
      </c>
      <c r="B1161" s="4" t="s">
        <v>1470</v>
      </c>
      <c r="C1161" s="5" t="str">
        <f>IFERROR(__xludf.DUMMYFUNCTION("GOOGLETRANSLATE(B1161,""en"",""es-ES"")"),"El hombre cubre la pared con yeso rosa hasta que toda la pared esté cubierta.")</f>
        <v>El hombre cubre la pared con yeso rosa hasta que toda la pared esté cubierta.</v>
      </c>
    </row>
    <row r="1162">
      <c r="A1162" s="4" t="s">
        <v>1471</v>
      </c>
      <c r="B1162" s="4" t="s">
        <v>1472</v>
      </c>
      <c r="C1162" s="5" t="str">
        <f>IFERROR(__xludf.DUMMYFUNCTION("GOOGLETRANSLATE(B1162,""en"",""es-ES"")"),"Se muestra un hombre con una camisa naranja y guantes azules que operan una máquina de antorcha de fuego.")</f>
        <v>Se muestra un hombre con una camisa naranja y guantes azules que operan una máquina de antorcha de fuego.</v>
      </c>
    </row>
    <row r="1163">
      <c r="A1163" s="4" t="s">
        <v>1471</v>
      </c>
      <c r="B1163" s="4" t="s">
        <v>1473</v>
      </c>
      <c r="C1163" s="5" t="str">
        <f>IFERROR(__xludf.DUMMYFUNCTION("GOOGLETRANSLATE(B1163,""en"",""es-ES"")"),"Se muestran dos personas más y se muestra un primer plano.")</f>
        <v>Se muestran dos personas más y se muestra un primer plano.</v>
      </c>
    </row>
    <row r="1164">
      <c r="A1164" s="4" t="s">
        <v>1471</v>
      </c>
      <c r="B1164" s="4" t="s">
        <v>1474</v>
      </c>
      <c r="C1164" s="5" t="str">
        <f>IFERROR(__xludf.DUMMYFUNCTION("GOOGLETRANSLATE(B1164,""en"",""es-ES"")"),"Por último, la cámara se desplaza sobre un hombre de pie de la altura de una máquina.")</f>
        <v>Por último, la cámara se desplaza sobre un hombre de pie de la altura de una máquina.</v>
      </c>
    </row>
    <row r="1165">
      <c r="A1165" s="4" t="s">
        <v>1475</v>
      </c>
      <c r="B1165" s="4" t="s">
        <v>1476</v>
      </c>
      <c r="C1165" s="5" t="str">
        <f>IFERROR(__xludf.DUMMYFUNCTION("GOOGLETRANSLATE(B1165,""en"",""es-ES"")"),"Se ve un primer plano de una mano que se apaga contra un hombre poniendo guantes.")</f>
        <v>Se ve un primer plano de una mano que se apaga contra un hombre poniendo guantes.</v>
      </c>
    </row>
    <row r="1166">
      <c r="A1166" s="4" t="s">
        <v>1475</v>
      </c>
      <c r="B1166" s="4" t="s">
        <v>1477</v>
      </c>
      <c r="C1166" s="5" t="str">
        <f>IFERROR(__xludf.DUMMYFUNCTION("GOOGLETRANSLATE(B1166,""en"",""es-ES"")"),"El hombre luego ensambla una antorcha y comienza a quemar un trozo de metal frente a él.")</f>
        <v>El hombre luego ensambla una antorcha y comienza a quemar un trozo de metal frente a él.</v>
      </c>
    </row>
    <row r="1167">
      <c r="A1167" s="4" t="s">
        <v>1475</v>
      </c>
      <c r="B1167" s="4" t="s">
        <v>1478</v>
      </c>
      <c r="C1167" s="5" t="str">
        <f>IFERROR(__xludf.DUMMYFUNCTION("GOOGLETRANSLATE(B1167,""en"",""es-ES"")"),"El hombre continúa trabajando y martillando los objetos, así como arándalo a un lado.")</f>
        <v>El hombre continúa trabajando y martillando los objetos, así como arándalo a un lado.</v>
      </c>
    </row>
    <row r="1168">
      <c r="A1168" s="4" t="s">
        <v>1479</v>
      </c>
      <c r="B1168" s="4" t="s">
        <v>1480</v>
      </c>
      <c r="C1168" s="5" t="str">
        <f>IFERROR(__xludf.DUMMYFUNCTION("GOOGLETRANSLATE(B1168,""en"",""es-ES"")"),"Dos hombres están parados al costado de la cancha que sostiene el baloncesto.")</f>
        <v>Dos hombres están parados al costado de la cancha que sostiene el baloncesto.</v>
      </c>
    </row>
    <row r="1169">
      <c r="A1169" s="4" t="s">
        <v>1479</v>
      </c>
      <c r="B1169" s="4" t="s">
        <v>1481</v>
      </c>
      <c r="C1169" s="5" t="str">
        <f>IFERROR(__xludf.DUMMYFUNCTION("GOOGLETRANSLATE(B1169,""en"",""es-ES"")"),"Los hombres están dando una entrevista, hablando con la cámara, mientras un hombre habla, el otro hombre está escuchando, luego viceversa.")</f>
        <v>Los hombres están dando una entrevista, hablando con la cámara, mientras un hombre habla, el otro hombre está escuchando, luego viceversa.</v>
      </c>
    </row>
    <row r="1170">
      <c r="A1170" s="4" t="s">
        <v>1479</v>
      </c>
      <c r="B1170" s="4" t="s">
        <v>1482</v>
      </c>
      <c r="C1170" s="5" t="str">
        <f>IFERROR(__xludf.DUMMYFUNCTION("GOOGLETRANSLATE(B1170,""en"",""es-ES"")"),"El hombre fue a la canasta driblar a la pelota, los hombres corrieron hacia la canasta y le dispararon la pelota.")</f>
        <v>El hombre fue a la canasta driblar a la pelota, los hombres corrieron hacia la canasta y le dispararon la pelota.</v>
      </c>
    </row>
    <row r="1171">
      <c r="A1171" s="4" t="s">
        <v>1483</v>
      </c>
      <c r="B1171" s="4" t="s">
        <v>1484</v>
      </c>
      <c r="C1171" s="5" t="str">
        <f>IFERROR(__xludf.DUMMYFUNCTION("GOOGLETRANSLATE(B1171,""en"",""es-ES"")"),"Un hombre con camisa gris y gorra está sentada al lado de un motor de bote, mientras que detrás de él hay una mujer que monta una tabla de surf y sostiene un arnés unido al bote.")</f>
        <v>Un hombre con camisa gris y gorra está sentada al lado de un motor de bote, mientras que detrás de él hay una mujer que monta una tabla de surf y sostiene un arnés unido al bote.</v>
      </c>
    </row>
    <row r="1172">
      <c r="A1172" s="4" t="s">
        <v>1483</v>
      </c>
      <c r="B1172" s="4" t="s">
        <v>1485</v>
      </c>
      <c r="C1172" s="5" t="str">
        <f>IFERROR(__xludf.DUMMYFUNCTION("GOOGLETRANSLATE(B1172,""en"",""es-ES"")"),"Cuando la mujer que movía los delfines comenzaron a nadar con ella, las aletas de los Dolphins son visibles mientras nadan hacia arriba y hacia abajo.")</f>
        <v>Cuando la mujer que movía los delfines comenzaron a nadar con ella, las aletas de los Dolphins son visibles mientras nadan hacia arriba y hacia abajo.</v>
      </c>
    </row>
    <row r="1173">
      <c r="A1173" s="4" t="s">
        <v>1486</v>
      </c>
      <c r="B1173" s="4" t="s">
        <v>1487</v>
      </c>
      <c r="C1173" s="5" t="str">
        <f>IFERROR(__xludf.DUMMYFUNCTION("GOOGLETRANSLATE(B1173,""en"",""es-ES"")"),"Vemos una pantalla de título de apertura.")</f>
        <v>Vemos una pantalla de título de apertura.</v>
      </c>
    </row>
    <row r="1174">
      <c r="A1174" s="4" t="s">
        <v>1486</v>
      </c>
      <c r="B1174" s="4" t="s">
        <v>1488</v>
      </c>
      <c r="C1174" s="5" t="str">
        <f>IFERROR(__xludf.DUMMYFUNCTION("GOOGLETRANSLATE(B1174,""en"",""es-ES"")"),"Vemos a una dama poniendo protector solar en un baño y en la playa.")</f>
        <v>Vemos a una dama poniendo protector solar en un baño y en la playa.</v>
      </c>
    </row>
    <row r="1175">
      <c r="A1175" s="4" t="s">
        <v>1486</v>
      </c>
      <c r="B1175" s="4" t="s">
        <v>1489</v>
      </c>
      <c r="C1175" s="5" t="str">
        <f>IFERROR(__xludf.DUMMYFUNCTION("GOOGLETRANSLATE(B1175,""en"",""es-ES"")"),"Vemos una pantalla de título y vemos a la señora comprar su protector solar y otra pantalla de título.")</f>
        <v>Vemos una pantalla de título y vemos a la señora comprar su protector solar y otra pantalla de título.</v>
      </c>
    </row>
    <row r="1176">
      <c r="A1176" s="4" t="s">
        <v>1486</v>
      </c>
      <c r="B1176" s="4" t="s">
        <v>1490</v>
      </c>
      <c r="C1176" s="5" t="str">
        <f>IFERROR(__xludf.DUMMYFUNCTION("GOOGLETRANSLATE(B1176,""en"",""es-ES"")"),"La señora arroja una botella y mira a su teléfono antes de ir al baño y ponerse el protector solar.")</f>
        <v>La señora arroja una botella y mira a su teléfono antes de ir al baño y ponerse el protector solar.</v>
      </c>
    </row>
    <row r="1177">
      <c r="A1177" s="4" t="s">
        <v>1486</v>
      </c>
      <c r="B1177" s="4" t="s">
        <v>1491</v>
      </c>
      <c r="C1177" s="5" t="str">
        <f>IFERROR(__xludf.DUMMYFUNCTION("GOOGLETRANSLATE(B1177,""en"",""es-ES"")"),"Vemos una pantalla de título y la señora aplica protector solar y una amiga le pone algo de espaldas.")</f>
        <v>Vemos una pantalla de título y la señora aplica protector solar y una amiga le pone algo de espaldas.</v>
      </c>
    </row>
    <row r="1178">
      <c r="A1178" s="4" t="s">
        <v>1486</v>
      </c>
      <c r="B1178" s="4" t="s">
        <v>1492</v>
      </c>
      <c r="C1178" s="5" t="str">
        <f>IFERROR(__xludf.DUMMYFUNCTION("GOOGLETRANSLATE(B1178,""en"",""es-ES"")"),"La señora se pone el protector solar en la playa y su amiga corre en la playa.")</f>
        <v>La señora se pone el protector solar en la playa y su amiga corre en la playa.</v>
      </c>
    </row>
    <row r="1179">
      <c r="A1179" s="4" t="s">
        <v>1486</v>
      </c>
      <c r="B1179" s="4" t="s">
        <v>1493</v>
      </c>
      <c r="C1179" s="5" t="str">
        <f>IFERROR(__xludf.DUMMYFUNCTION("GOOGLETRANSLATE(B1179,""en"",""es-ES"")"),"Vemos una pantalla de título y la pantalla final.")</f>
        <v>Vemos una pantalla de título y la pantalla final.</v>
      </c>
    </row>
    <row r="1180">
      <c r="A1180" s="4" t="s">
        <v>1494</v>
      </c>
      <c r="B1180" s="4" t="s">
        <v>1495</v>
      </c>
      <c r="C1180" s="5" t="str">
        <f>IFERROR(__xludf.DUMMYFUNCTION("GOOGLETRANSLATE(B1180,""en"",""es-ES"")"),"Un grupo de niños está dentro de un edificio.")</f>
        <v>Un grupo de niños está dentro de un edificio.</v>
      </c>
    </row>
    <row r="1181">
      <c r="A1181" s="4" t="s">
        <v>1494</v>
      </c>
      <c r="B1181" s="4" t="s">
        <v>1496</v>
      </c>
      <c r="C1181" s="5" t="str">
        <f>IFERROR(__xludf.DUMMYFUNCTION("GOOGLETRANSLATE(B1181,""en"",""es-ES"")"),"Todos están montando autos para el parachoques alrededor de una pista.")</f>
        <v>Todos están montando autos para el parachoques alrededor de una pista.</v>
      </c>
    </row>
    <row r="1182">
      <c r="A1182" s="4" t="s">
        <v>1494</v>
      </c>
      <c r="B1182" s="4" t="s">
        <v>1497</v>
      </c>
      <c r="C1182" s="5" t="str">
        <f>IFERROR(__xludf.DUMMYFUNCTION("GOOGLETRANSLATE(B1182,""en"",""es-ES"")"),"Se golpean y se golpean el uno al otro.")</f>
        <v>Se golpean y se golpean el uno al otro.</v>
      </c>
    </row>
    <row r="1183">
      <c r="A1183" s="4" t="s">
        <v>1498</v>
      </c>
      <c r="B1183" s="4" t="s">
        <v>1499</v>
      </c>
      <c r="C1183" s="5" t="str">
        <f>IFERROR(__xludf.DUMMYFUNCTION("GOOGLETRANSLATE(B1183,""en"",""es-ES"")"),"Una persona está resolviendo un rompecabezas de cubo que giraba las piezas para que coincida con los colores.")</f>
        <v>Una persona está resolviendo un rompecabezas de cubo que giraba las piezas para que coincida con los colores.</v>
      </c>
    </row>
    <row r="1184">
      <c r="A1184" s="4" t="s">
        <v>1498</v>
      </c>
      <c r="B1184" s="4" t="s">
        <v>1500</v>
      </c>
      <c r="C1184" s="5" t="str">
        <f>IFERROR(__xludf.DUMMYFUNCTION("GOOGLETRANSLATE(B1184,""en"",""es-ES"")"),"Cuando la persona coincide con todo el color, apunta la mesa y pone el rompecabezas del cubo.")</f>
        <v>Cuando la persona coincide con todo el color, apunta la mesa y pone el rompecabezas del cubo.</v>
      </c>
    </row>
    <row r="1185">
      <c r="A1185" s="4" t="s">
        <v>1501</v>
      </c>
      <c r="B1185" s="4" t="s">
        <v>1502</v>
      </c>
      <c r="C1185" s="5" t="str">
        <f>IFERROR(__xludf.DUMMYFUNCTION("GOOGLETRANSLATE(B1185,""en"",""es-ES"")"),"Vemos una pantalla de apertura de GoPro.")</f>
        <v>Vemos una pantalla de apertura de GoPro.</v>
      </c>
    </row>
    <row r="1186">
      <c r="A1186" s="4" t="s">
        <v>1501</v>
      </c>
      <c r="B1186" s="4" t="s">
        <v>1503</v>
      </c>
      <c r="C1186" s="5" t="str">
        <f>IFERROR(__xludf.DUMMYFUNCTION("GOOGLETRANSLATE(B1186,""en"",""es-ES"")"),"Vemos a una dama caminando con una balsa en un río.")</f>
        <v>Vemos a una dama caminando con una balsa en un río.</v>
      </c>
    </row>
    <row r="1187">
      <c r="A1187" s="4" t="s">
        <v>1501</v>
      </c>
      <c r="B1187" s="4" t="s">
        <v>1504</v>
      </c>
      <c r="C1187" s="5" t="str">
        <f>IFERROR(__xludf.DUMMYFUNCTION("GOOGLETRANSLATE(B1187,""en"",""es-ES"")"),"Vemos personas montando balsas en el río.")</f>
        <v>Vemos personas montando balsas en el río.</v>
      </c>
    </row>
    <row r="1188">
      <c r="A1188" s="4" t="s">
        <v>1501</v>
      </c>
      <c r="B1188" s="4" t="s">
        <v>1505</v>
      </c>
      <c r="C1188" s="5" t="str">
        <f>IFERROR(__xludf.DUMMYFUNCTION("GOOGLETRANSLATE(B1188,""en"",""es-ES"")"),"Vemos las piernas de un hombre y la dama pasa.")</f>
        <v>Vemos las piernas de un hombre y la dama pasa.</v>
      </c>
    </row>
    <row r="1189">
      <c r="A1189" s="4" t="s">
        <v>1501</v>
      </c>
      <c r="B1189" s="4" t="s">
        <v>1506</v>
      </c>
      <c r="C1189" s="5" t="str">
        <f>IFERROR(__xludf.DUMMYFUNCTION("GOOGLETRANSLATE(B1189,""en"",""es-ES"")"),"Vemos a la señora entregando una bebida en una lata al camarógrafo.")</f>
        <v>Vemos a la señora entregando una bebida en una lata al camarógrafo.</v>
      </c>
    </row>
    <row r="1190">
      <c r="A1190" s="4" t="s">
        <v>1501</v>
      </c>
      <c r="B1190" s="4" t="s">
        <v>1507</v>
      </c>
      <c r="C1190" s="5" t="str">
        <f>IFERROR(__xludf.DUMMYFUNCTION("GOOGLETRANSLATE(B1190,""en"",""es-ES"")"),"El camarógrafo va bajo una rama que está al otro lado del agua.")</f>
        <v>El camarógrafo va bajo una rama que está al otro lado del agua.</v>
      </c>
    </row>
    <row r="1191">
      <c r="A1191" s="4" t="s">
        <v>1501</v>
      </c>
      <c r="B1191" s="4" t="s">
        <v>1508</v>
      </c>
      <c r="C1191" s="5" t="str">
        <f>IFERROR(__xludf.DUMMYFUNCTION("GOOGLETRANSLATE(B1191,""en"",""es-ES"")"),"Luego vemos la escena final de GoPro.")</f>
        <v>Luego vemos la escena final de GoPro.</v>
      </c>
    </row>
    <row r="1192">
      <c r="A1192" s="4" t="s">
        <v>1509</v>
      </c>
      <c r="B1192" s="4" t="s">
        <v>1510</v>
      </c>
      <c r="C1192" s="5" t="str">
        <f>IFERROR(__xludf.DUMMYFUNCTION("GOOGLETRANSLATE(B1192,""en"",""es-ES"")"),"Varias personas son vistas corriendo por el camino alrededor de un toro con algunos sosteniendo palos en sus manos.")</f>
        <v>Varias personas son vistas corriendo por el camino alrededor de un toro con algunos sosteniendo palos en sus manos.</v>
      </c>
    </row>
    <row r="1193">
      <c r="A1193" s="4" t="s">
        <v>1509</v>
      </c>
      <c r="B1193" s="4" t="s">
        <v>1511</v>
      </c>
      <c r="C1193" s="5" t="str">
        <f>IFERROR(__xludf.DUMMYFUNCTION("GOOGLETRANSLATE(B1193,""en"",""es-ES"")"),"La gente se apiñan alrededor del toro que agita palos y sigue al toro mientras se enoja.")</f>
        <v>La gente se apiñan alrededor del toro que agita palos y sigue al toro mientras se enoja.</v>
      </c>
    </row>
    <row r="1194">
      <c r="A1194" s="4" t="s">
        <v>1509</v>
      </c>
      <c r="B1194" s="4" t="s">
        <v>1512</v>
      </c>
      <c r="C1194" s="5" t="str">
        <f>IFERROR(__xludf.DUMMYFUNCTION("GOOGLETRANSLATE(B1194,""en"",""es-ES"")"),"Se muestra otro toro y los dos pelean mientras la gente se para y anime a los lados.")</f>
        <v>Se muestra otro toro y los dos pelean mientras la gente se para y anime a los lados.</v>
      </c>
    </row>
    <row r="1195">
      <c r="A1195" s="4" t="s">
        <v>1513</v>
      </c>
      <c r="B1195" s="4" t="s">
        <v>1514</v>
      </c>
      <c r="C1195" s="5" t="str">
        <f>IFERROR(__xludf.DUMMYFUNCTION("GOOGLETRANSLATE(B1195,""en"",""es-ES"")"),"La gente está sentada en barcos en el agua.")</f>
        <v>La gente está sentada en barcos en el agua.</v>
      </c>
    </row>
    <row r="1196">
      <c r="A1196" s="4" t="s">
        <v>1513</v>
      </c>
      <c r="B1196" s="4" t="s">
        <v>1515</v>
      </c>
      <c r="C1196" s="5" t="str">
        <f>IFERROR(__xludf.DUMMYFUNCTION("GOOGLETRANSLATE(B1196,""en"",""es-ES"")"),"Un hombre está de pie en un bote rojo rojo.")</f>
        <v>Un hombre está de pie en un bote rojo rojo.</v>
      </c>
    </row>
    <row r="1197">
      <c r="A1197" s="4" t="s">
        <v>1513</v>
      </c>
      <c r="B1197" s="4" t="s">
        <v>1516</v>
      </c>
      <c r="C1197" s="5" t="str">
        <f>IFERROR(__xludf.DUMMYFUNCTION("GOOGLETRANSLATE(B1197,""en"",""es-ES"")"),"Un bote se voltea y la cámara entra al agua.")</f>
        <v>Un bote se voltea y la cámara entra al agua.</v>
      </c>
    </row>
    <row r="1198">
      <c r="A1198" s="4" t="s">
        <v>1513</v>
      </c>
      <c r="B1198" s="4" t="s">
        <v>1517</v>
      </c>
      <c r="C1198" s="5" t="str">
        <f>IFERROR(__xludf.DUMMYFUNCTION("GOOGLETRANSLATE(B1198,""en"",""es-ES"")"),"Dos personas de pie en un muelle levantan su bote fuera del agua.")</f>
        <v>Dos personas de pie en un muelle levantan su bote fuera del agua.</v>
      </c>
    </row>
    <row r="1199">
      <c r="A1199" s="4" t="s">
        <v>1518</v>
      </c>
      <c r="B1199" s="4" t="s">
        <v>1519</v>
      </c>
      <c r="C1199" s="5" t="str">
        <f>IFERROR(__xludf.DUMMYFUNCTION("GOOGLETRANSLATE(B1199,""en"",""es-ES"")"),"Un pintor aplica yeso a una pared con una herramienta ancha de borde plano.")</f>
        <v>Un pintor aplica yeso a una pared con una herramienta ancha de borde plano.</v>
      </c>
    </row>
    <row r="1200">
      <c r="A1200" s="4" t="s">
        <v>1518</v>
      </c>
      <c r="B1200" s="4" t="s">
        <v>1520</v>
      </c>
      <c r="C1200" s="5" t="str">
        <f>IFERROR(__xludf.DUMMYFUNCTION("GOOGLETRANSLATE(B1200,""en"",""es-ES"")"),"El hombre mueve alambre eléctrico entregando el tiempo para enyesarse a su alrededor.")</f>
        <v>El hombre mueve alambre eléctrico entregando el tiempo para enyesarse a su alrededor.</v>
      </c>
    </row>
    <row r="1201">
      <c r="A1201" s="4" t="s">
        <v>1518</v>
      </c>
      <c r="B1201" s="4" t="s">
        <v>1521</v>
      </c>
      <c r="C1201" s="5" t="str">
        <f>IFERROR(__xludf.DUMMYFUNCTION("GOOGLETRANSLATE(B1201,""en"",""es-ES"")"),"Otras habitaciones de la casa se ven en diferentes etapas de integridad.")</f>
        <v>Otras habitaciones de la casa se ven en diferentes etapas de integridad.</v>
      </c>
    </row>
    <row r="1202">
      <c r="A1202" s="4" t="s">
        <v>1522</v>
      </c>
      <c r="B1202" s="4" t="s">
        <v>1523</v>
      </c>
      <c r="C1202" s="5" t="str">
        <f>IFERROR(__xludf.DUMMYFUNCTION("GOOGLETRANSLATE(B1202,""en"",""es-ES"")"),"Un hombre salta en un camión firmado con líneas blancas, cuando llega a la tercera línea salta alto y aterriza en el sandbox.")</f>
        <v>Un hombre salta en un camión firmado con líneas blancas, cuando llega a la tercera línea salta alto y aterriza en el sandbox.</v>
      </c>
    </row>
    <row r="1203">
      <c r="A1203" s="4" t="s">
        <v>1522</v>
      </c>
      <c r="B1203" s="4" t="s">
        <v>1524</v>
      </c>
      <c r="C1203" s="5" t="str">
        <f>IFERROR(__xludf.DUMMYFUNCTION("GOOGLETRANSLATE(B1203,""en"",""es-ES"")"),"La reproducción de un hombre que actúa de largo salto se muestra varias veces.")</f>
        <v>La reproducción de un hombre que actúa de largo salto se muestra varias veces.</v>
      </c>
    </row>
    <row r="1204">
      <c r="A1204" s="4" t="s">
        <v>1525</v>
      </c>
      <c r="B1204" s="4" t="s">
        <v>1526</v>
      </c>
      <c r="C1204" s="5" t="str">
        <f>IFERROR(__xludf.DUMMYFUNCTION("GOOGLETRANSLATE(B1204,""en"",""es-ES"")"),"Una niña animadora se encuentra en la hierba.")</f>
        <v>Una niña animadora se encuentra en la hierba.</v>
      </c>
    </row>
    <row r="1205">
      <c r="A1205" s="4" t="s">
        <v>1525</v>
      </c>
      <c r="B1205" s="4" t="s">
        <v>1527</v>
      </c>
      <c r="C1205" s="5" t="str">
        <f>IFERROR(__xludf.DUMMYFUNCTION("GOOGLETRANSLATE(B1205,""en"",""es-ES"")"),"Un joven que usa una gorra de béisbol la tiene una lata de pastel y bromea con ella.")</f>
        <v>Un joven que usa una gorra de béisbol la tiene una lata de pastel y bromea con ella.</v>
      </c>
    </row>
    <row r="1206">
      <c r="A1206" s="4" t="s">
        <v>1525</v>
      </c>
      <c r="B1206" s="4" t="s">
        <v>1528</v>
      </c>
      <c r="C1206" s="5" t="str">
        <f>IFERROR(__xludf.DUMMYFUNCTION("GOOGLETRANSLATE(B1206,""en"",""es-ES"")"),"El hombre empuja una lata de pastel en la cara de las chicas como una broma que la pone muy desordenada.")</f>
        <v>El hombre empuja una lata de pastel en la cara de las chicas como una broma que la pone muy desordenada.</v>
      </c>
    </row>
    <row r="1207">
      <c r="A1207" s="4" t="s">
        <v>1525</v>
      </c>
      <c r="B1207" s="4" t="s">
        <v>1529</v>
      </c>
      <c r="C1207" s="5" t="str">
        <f>IFERROR(__xludf.DUMMYFUNCTION("GOOGLETRANSLATE(B1207,""en"",""es-ES"")"),"Una niña en la clase de gimnasia cae por una alfombra roja con el equipo mirando.")</f>
        <v>Una niña en la clase de gimnasia cae por una alfombra roja con el equipo mirando.</v>
      </c>
    </row>
    <row r="1208">
      <c r="A1208" s="4" t="s">
        <v>1525</v>
      </c>
      <c r="B1208" s="4" t="s">
        <v>1530</v>
      </c>
      <c r="C1208" s="5" t="str">
        <f>IFERROR(__xludf.DUMMYFUNCTION("GOOGLETRANSLATE(B1208,""en"",""es-ES"")"),"Una mujer animadora cajas con una mascota durante un partido de fútbol.")</f>
        <v>Una mujer animadora cajas con una mascota durante un partido de fútbol.</v>
      </c>
    </row>
    <row r="1209">
      <c r="A1209" s="4" t="s">
        <v>1525</v>
      </c>
      <c r="B1209" s="4" t="s">
        <v>1531</v>
      </c>
      <c r="C1209" s="5" t="str">
        <f>IFERROR(__xludf.DUMMYFUNCTION("GOOGLETRANSLATE(B1209,""en"",""es-ES"")"),"La mascota envuelve a la niña y la lleva a su uniforme.")</f>
        <v>La mascota envuelve a la niña y la lleva a su uniforme.</v>
      </c>
    </row>
    <row r="1210">
      <c r="A1210" s="4" t="s">
        <v>1525</v>
      </c>
      <c r="B1210" s="4" t="s">
        <v>1532</v>
      </c>
      <c r="C1210" s="5" t="str">
        <f>IFERROR(__xludf.DUMMYFUNCTION("GOOGLETRANSLATE(B1210,""en"",""es-ES"")"),"Un grupo de liderazgo de alegría se une en un círculo tomado de la mano y voltea a los miembros del equipo cuando uno cae al suelo.")</f>
        <v>Un grupo de liderazgo de alegría se une en un círculo tomado de la mano y voltea a los miembros del equipo cuando uno cae al suelo.</v>
      </c>
    </row>
    <row r="1211">
      <c r="A1211" s="4" t="s">
        <v>1525</v>
      </c>
      <c r="B1211" s="4" t="s">
        <v>1533</v>
      </c>
      <c r="C1211" s="5" t="str">
        <f>IFERROR(__xludf.DUMMYFUNCTION("GOOGLETRANSLATE(B1211,""en"",""es-ES"")"),"Un grupo de animadoras en negro a espalda se voltea en una pista de fútbol.")</f>
        <v>Un grupo de animadoras en negro a espalda se voltea en una pista de fútbol.</v>
      </c>
    </row>
    <row r="1212">
      <c r="A1212" s="4" t="s">
        <v>1525</v>
      </c>
      <c r="B1212" s="4" t="s">
        <v>1534</v>
      </c>
      <c r="C1212" s="5" t="str">
        <f>IFERROR(__xludf.DUMMYFUNCTION("GOOGLETRANSLATE(B1212,""en"",""es-ES"")"),"Un grupo de niñas se alzan [un compañero de equipo para hacer una pirámide humana.")</f>
        <v>Un grupo de niñas se alzan [un compañero de equipo para hacer una pirámide humana.</v>
      </c>
    </row>
    <row r="1213">
      <c r="A1213" s="4" t="s">
        <v>1525</v>
      </c>
      <c r="B1213" s="4" t="s">
        <v>1535</v>
      </c>
      <c r="C1213" s="5" t="str">
        <f>IFERROR(__xludf.DUMMYFUNCTION("GOOGLETRANSLATE(B1213,""en"",""es-ES"")"),"El compañero de equipo cae al suelo y aterriza encima de los demás.")</f>
        <v>El compañero de equipo cae al suelo y aterriza encima de los demás.</v>
      </c>
    </row>
    <row r="1214">
      <c r="A1214" s="4" t="s">
        <v>1525</v>
      </c>
      <c r="B1214" s="4" t="s">
        <v>1536</v>
      </c>
      <c r="C1214" s="5" t="str">
        <f>IFERROR(__xludf.DUMMYFUNCTION("GOOGLETRANSLATE(B1214,""en"",""es-ES"")"),"Un hombre con camisa hawaiana establece un trampolín durante una competencia de baloncesto.")</f>
        <v>Un hombre con camisa hawaiana establece un trampolín durante una competencia de baloncesto.</v>
      </c>
    </row>
    <row r="1215">
      <c r="A1215" s="4" t="s">
        <v>1525</v>
      </c>
      <c r="B1215" s="4" t="s">
        <v>1537</v>
      </c>
      <c r="C1215" s="5" t="str">
        <f>IFERROR(__xludf.DUMMYFUNCTION("GOOGLETRANSLATE(B1215,""en"",""es-ES"")"),"Un grupo de animadoras sostiene a una mujer junta frente al trampolín.")</f>
        <v>Un grupo de animadoras sostiene a una mujer junta frente al trampolín.</v>
      </c>
    </row>
    <row r="1216">
      <c r="A1216" s="4" t="s">
        <v>1525</v>
      </c>
      <c r="B1216" s="4" t="s">
        <v>1538</v>
      </c>
      <c r="C1216" s="5" t="str">
        <f>IFERROR(__xludf.DUMMYFUNCTION("GOOGLETRANSLATE(B1216,""en"",""es-ES"")"),"El hombre regresa corriendo y salta sobre el trampolín, pero derriba a la niña mientras realiza su truco.")</f>
        <v>El hombre regresa corriendo y salta sobre el trampolín, pero derriba a la niña mientras realiza su truco.</v>
      </c>
    </row>
    <row r="1217">
      <c r="A1217" s="4" t="s">
        <v>1525</v>
      </c>
      <c r="B1217" s="4" t="s">
        <v>1539</v>
      </c>
      <c r="C1217" s="5" t="str">
        <f>IFERROR(__xludf.DUMMYFUNCTION("GOOGLETRANSLATE(B1217,""en"",""es-ES"")"),"Un grupo de animadoras en rojo hace saltos mortales en el campo cuando uno cae.")</f>
        <v>Un grupo de animadoras en rojo hace saltos mortales en el campo cuando uno cae.</v>
      </c>
    </row>
    <row r="1218">
      <c r="A1218" s="4" t="s">
        <v>1525</v>
      </c>
      <c r="B1218" s="4" t="s">
        <v>1540</v>
      </c>
      <c r="C1218" s="5" t="str">
        <f>IFERROR(__xludf.DUMMYFUNCTION("GOOGLETRANSLATE(B1218,""en"",""es-ES"")"),"Una chica de porrista en negro hace una mano de espalda y cae al suelo.")</f>
        <v>Una chica de porrista en negro hace una mano de espalda y cae al suelo.</v>
      </c>
    </row>
    <row r="1219">
      <c r="A1219" s="4" t="s">
        <v>1525</v>
      </c>
      <c r="B1219" s="4" t="s">
        <v>1541</v>
      </c>
      <c r="C1219" s="5" t="str">
        <f>IFERROR(__xludf.DUMMYFUNCTION("GOOGLETRANSLATE(B1219,""en"",""es-ES"")"),"Un grupo de animadoras bailan junto con Pomm Poms.")</f>
        <v>Un grupo de animadoras bailan junto con Pomm Poms.</v>
      </c>
    </row>
    <row r="1220">
      <c r="A1220" s="4" t="s">
        <v>1525</v>
      </c>
      <c r="B1220" s="4" t="s">
        <v>1542</v>
      </c>
      <c r="C1220" s="5" t="str">
        <f>IFERROR(__xludf.DUMMYFUNCTION("GOOGLETRANSLATE(B1220,""en"",""es-ES"")"),"Otro grupo de animadoras en el fondo eleva a sus compañeros de equipo cuando uno se cae.")</f>
        <v>Otro grupo de animadoras en el fondo eleva a sus compañeros de equipo cuando uno se cae.</v>
      </c>
    </row>
    <row r="1221">
      <c r="A1221" s="4" t="s">
        <v>1525</v>
      </c>
      <c r="B1221" s="4" t="s">
        <v>1543</v>
      </c>
      <c r="C1221" s="5" t="str">
        <f>IFERROR(__xludf.DUMMYFUNCTION("GOOGLETRANSLATE(B1221,""en"",""es-ES"")"),"Un grupo de animadoras en Blue Levanta a compañeros de equipo en competencia cuando uno cae al suelo.")</f>
        <v>Un grupo de animadoras en Blue Levanta a compañeros de equipo en competencia cuando uno cae al suelo.</v>
      </c>
    </row>
    <row r="1222">
      <c r="A1222" s="4" t="s">
        <v>1525</v>
      </c>
      <c r="B1222" s="4" t="s">
        <v>1544</v>
      </c>
      <c r="C1222" s="5" t="str">
        <f>IFERROR(__xludf.DUMMYFUNCTION("GOOGLETRANSLATE(B1222,""en"",""es-ES"")"),"Una chica con camisa blanca habla con la cámara.")</f>
        <v>Una chica con camisa blanca habla con la cámara.</v>
      </c>
    </row>
    <row r="1223">
      <c r="A1223" s="4" t="s">
        <v>1525</v>
      </c>
      <c r="B1223" s="4" t="s">
        <v>1545</v>
      </c>
      <c r="C1223" s="5" t="str">
        <f>IFERROR(__xludf.DUMMYFUNCTION("GOOGLETRANSLATE(B1223,""en"",""es-ES"")"),"La niña hace un salto de verano pero cae al suelo.")</f>
        <v>La niña hace un salto de verano pero cae al suelo.</v>
      </c>
    </row>
    <row r="1224">
      <c r="A1224" s="4" t="s">
        <v>1525</v>
      </c>
      <c r="B1224" s="4" t="s">
        <v>1546</v>
      </c>
      <c r="C1224" s="5" t="str">
        <f>IFERROR(__xludf.DUMMYFUNCTION("GOOGLETRANSLATE(B1224,""en"",""es-ES"")"),"Una chica con camisa verde con amigos hace una patada alta en un campo pero cae al suelo.")</f>
        <v>Una chica con camisa verde con amigos hace una patada alta en un campo pero cae al suelo.</v>
      </c>
    </row>
    <row r="1225">
      <c r="A1225" s="4" t="s">
        <v>1525</v>
      </c>
      <c r="B1225" s="4" t="s">
        <v>1547</v>
      </c>
      <c r="C1225" s="5" t="str">
        <f>IFERROR(__xludf.DUMMYFUNCTION("GOOGLETRANSLATE(B1225,""en"",""es-ES"")"),"Una animadora cae al suelo mientras baila con el grupo.")</f>
        <v>Una animadora cae al suelo mientras baila con el grupo.</v>
      </c>
    </row>
    <row r="1226">
      <c r="A1226" s="4" t="s">
        <v>1525</v>
      </c>
      <c r="B1226" s="4" t="s">
        <v>1548</v>
      </c>
      <c r="C1226" s="5" t="str">
        <f>IFERROR(__xludf.DUMMYFUNCTION("GOOGLETRANSLATE(B1226,""en"",""es-ES"")"),"Una animadora es levantada en manos del equipo cuando cae al suelo.")</f>
        <v>Una animadora es levantada en manos del equipo cuando cae al suelo.</v>
      </c>
    </row>
    <row r="1227">
      <c r="A1227" s="4" t="s">
        <v>1525</v>
      </c>
      <c r="B1227" s="4" t="s">
        <v>1549</v>
      </c>
      <c r="C1227" s="5" t="str">
        <f>IFERROR(__xludf.DUMMYFUNCTION("GOOGLETRANSLATE(B1227,""en"",""es-ES"")"),"Un grupo de animadoras en amarillo levantamiento temático en una pirámide pero dejarla.")</f>
        <v>Un grupo de animadoras en amarillo levantamiento temático en una pirámide pero dejarla.</v>
      </c>
    </row>
    <row r="1228">
      <c r="A1228" s="4" t="s">
        <v>1525</v>
      </c>
      <c r="B1228" s="4" t="s">
        <v>1550</v>
      </c>
      <c r="C1228" s="5" t="str">
        <f>IFERROR(__xludf.DUMMYFUNCTION("GOOGLETRANSLATE(B1228,""en"",""es-ES"")"),"Un grupo de mujeres salta de un trampolín y hace volcadas durante la competencia de baloncesto.")</f>
        <v>Un grupo de mujeres salta de un trampolín y hace volcadas durante la competencia de baloncesto.</v>
      </c>
    </row>
    <row r="1229">
      <c r="A1229" s="4" t="s">
        <v>1525</v>
      </c>
      <c r="B1229" s="4" t="s">
        <v>1551</v>
      </c>
      <c r="C1229" s="5" t="str">
        <f>IFERROR(__xludf.DUMMYFUNCTION("GOOGLETRANSLATE(B1229,""en"",""es-ES"")"),"Una niña extraña el trampolín y se encuentra con el tapete.")</f>
        <v>Una niña extraña el trampolín y se encuentra con el tapete.</v>
      </c>
    </row>
    <row r="1230">
      <c r="A1230" s="4" t="s">
        <v>1525</v>
      </c>
      <c r="B1230" s="4" t="s">
        <v>1552</v>
      </c>
      <c r="C1230" s="5" t="str">
        <f>IFERROR(__xludf.DUMMYFUNCTION("GOOGLETRANSLATE(B1230,""en"",""es-ES"")"),"Los hombres del equipo de baloncesto se apresuran a verla.")</f>
        <v>Los hombres del equipo de baloncesto se apresuran a verla.</v>
      </c>
    </row>
    <row r="1231">
      <c r="A1231" s="4" t="s">
        <v>1553</v>
      </c>
      <c r="B1231" s="4" t="s">
        <v>1554</v>
      </c>
      <c r="C1231" s="5" t="str">
        <f>IFERROR(__xludf.DUMMYFUNCTION("GOOGLETRANSLATE(B1231,""en"",""es-ES"")"),"Un grupo de hombres en máscaras se reúne alrededor de objetivos.")</f>
        <v>Un grupo de hombres en máscaras se reúne alrededor de objetivos.</v>
      </c>
    </row>
    <row r="1232">
      <c r="A1232" s="4" t="s">
        <v>1553</v>
      </c>
      <c r="B1232" s="4" t="s">
        <v>1555</v>
      </c>
      <c r="C1232" s="5" t="str">
        <f>IFERROR(__xludf.DUMMYFUNCTION("GOOGLETRANSLATE(B1232,""en"",""es-ES"")"),"Están sosteniendo pistolas de pintura mientras corren por el campo.")</f>
        <v>Están sosteniendo pistolas de pintura mientras corren por el campo.</v>
      </c>
    </row>
    <row r="1233">
      <c r="A1233" s="4" t="s">
        <v>1553</v>
      </c>
      <c r="B1233" s="4" t="s">
        <v>1556</v>
      </c>
      <c r="C1233" s="5" t="str">
        <f>IFERROR(__xludf.DUMMYFUNCTION("GOOGLETRANSLATE(B1233,""en"",""es-ES"")"),"Se esconden detrás de los obstáculos, disparándose el uno al otro.")</f>
        <v>Se esconden detrás de los obstáculos, disparándose el uno al otro.</v>
      </c>
    </row>
    <row r="1234">
      <c r="A1234" s="4" t="s">
        <v>1557</v>
      </c>
      <c r="B1234" s="4" t="s">
        <v>1558</v>
      </c>
      <c r="C1234" s="5" t="str">
        <f>IFERROR(__xludf.DUMMYFUNCTION("GOOGLETRANSLATE(B1234,""en"",""es-ES"")"),"Se ve a un hombre corriendo por la calle sosteniendo una caja y hablando con otra.")</f>
        <v>Se ve a un hombre corriendo por la calle sosteniendo una caja y hablando con otra.</v>
      </c>
    </row>
    <row r="1235">
      <c r="A1235" s="4" t="s">
        <v>1557</v>
      </c>
      <c r="B1235" s="4" t="s">
        <v>1559</v>
      </c>
      <c r="C1235" s="5" t="str">
        <f>IFERROR(__xludf.DUMMYFUNCTION("GOOGLETRANSLATE(B1235,""en"",""es-ES"")"),"El hombre luego juega un juego con una niña pequeña y se inclina después de cada juego.")</f>
        <v>El hombre luego juega un juego con una niña pequeña y se inclina después de cada juego.</v>
      </c>
    </row>
    <row r="1236">
      <c r="A1236" s="4" t="s">
        <v>1557</v>
      </c>
      <c r="B1236" s="4" t="s">
        <v>1560</v>
      </c>
      <c r="C1236" s="5" t="str">
        <f>IFERROR(__xludf.DUMMYFUNCTION("GOOGLETRANSLATE(B1236,""en"",""es-ES"")"),"Los dos continúan jugando con el hombre riéndose de la cámara y él le dio un beso al final.")</f>
        <v>Los dos continúan jugando con el hombre riéndose de la cámara y él le dio un beso al final.</v>
      </c>
    </row>
    <row r="1237">
      <c r="A1237" s="4" t="s">
        <v>1561</v>
      </c>
      <c r="B1237" s="4" t="s">
        <v>1562</v>
      </c>
      <c r="C1237" s="5" t="str">
        <f>IFERROR(__xludf.DUMMYFUNCTION("GOOGLETRANSLATE(B1237,""en"",""es-ES"")"),"Un hombre recoge una pelota y la pone detrás de su cuello y la arroja al campo.")</f>
        <v>Un hombre recoge una pelota y la pone detrás de su cuello y la arroja al campo.</v>
      </c>
    </row>
    <row r="1238">
      <c r="A1238" s="4" t="s">
        <v>1561</v>
      </c>
      <c r="B1238" s="4" t="s">
        <v>1563</v>
      </c>
      <c r="C1238" s="5" t="str">
        <f>IFERROR(__xludf.DUMMYFUNCTION("GOOGLETRANSLATE(B1238,""en"",""es-ES"")"),"Otro hombre con una camisa azul recoge una pelota y la pone detrás de la oreja y la arroja al campo.")</f>
        <v>Otro hombre con una camisa azul recoge una pelota y la pone detrás de la oreja y la arroja al campo.</v>
      </c>
    </row>
    <row r="1239">
      <c r="A1239" s="4" t="s">
        <v>1561</v>
      </c>
      <c r="B1239" s="4" t="s">
        <v>1564</v>
      </c>
      <c r="C1239" s="5" t="str">
        <f>IFERROR(__xludf.DUMMYFUNCTION("GOOGLETRANSLATE(B1239,""en"",""es-ES"")"),"La gente mide la distancia en el campo.")</f>
        <v>La gente mide la distancia en el campo.</v>
      </c>
    </row>
    <row r="1240">
      <c r="A1240" s="4" t="s">
        <v>1561</v>
      </c>
      <c r="B1240" s="4" t="s">
        <v>1565</v>
      </c>
      <c r="C1240" s="5" t="str">
        <f>IFERROR(__xludf.DUMMYFUNCTION("GOOGLETRANSLATE(B1240,""en"",""es-ES"")"),"El hombre se pone una camiseta blanca y pone los brazos en el aire.")</f>
        <v>El hombre se pone una camiseta blanca y pone los brazos en el aire.</v>
      </c>
    </row>
    <row r="1241">
      <c r="A1241" s="4" t="s">
        <v>1561</v>
      </c>
      <c r="B1241" s="4" t="s">
        <v>1566</v>
      </c>
      <c r="C1241" s="5" t="str">
        <f>IFERROR(__xludf.DUMMYFUNCTION("GOOGLETRANSLATE(B1241,""en"",""es-ES"")"),"Otro hombre lanza una pelota al campo.")</f>
        <v>Otro hombre lanza una pelota al campo.</v>
      </c>
    </row>
    <row r="1242">
      <c r="A1242" s="4" t="s">
        <v>1567</v>
      </c>
      <c r="B1242" s="4" t="s">
        <v>1568</v>
      </c>
      <c r="C1242" s="5" t="str">
        <f>IFERROR(__xludf.DUMMYFUNCTION("GOOGLETRANSLATE(B1242,""en"",""es-ES"")"),"Una mujer sostiene la sección posterior del cabello de una niña mientras se prepara para peinarlo.")</f>
        <v>Una mujer sostiene la sección posterior del cabello de una niña mientras se prepara para peinarlo.</v>
      </c>
    </row>
    <row r="1243">
      <c r="A1243" s="4" t="s">
        <v>1567</v>
      </c>
      <c r="B1243" s="4" t="s">
        <v>1569</v>
      </c>
      <c r="C1243" s="5" t="str">
        <f>IFERROR(__xludf.DUMMYFUNCTION("GOOGLETRANSLATE(B1243,""en"",""es-ES"")"),"La mujer usa un peine de selección para separarse.")</f>
        <v>La mujer usa un peine de selección para separarse.</v>
      </c>
    </row>
    <row r="1244">
      <c r="A1244" s="4" t="s">
        <v>1567</v>
      </c>
      <c r="B1244" s="4" t="s">
        <v>1570</v>
      </c>
      <c r="C1244" s="5" t="str">
        <f>IFERROR(__xludf.DUMMYFUNCTION("GOOGLETRANSLATE(B1244,""en"",""es-ES"")"),"La mujer recorta secciones de cabello.")</f>
        <v>La mujer recorta secciones de cabello.</v>
      </c>
    </row>
    <row r="1245">
      <c r="A1245" s="4" t="s">
        <v>1567</v>
      </c>
      <c r="B1245" s="4" t="s">
        <v>1571</v>
      </c>
      <c r="C1245" s="5" t="str">
        <f>IFERROR(__xludf.DUMMYFUNCTION("GOOGLETRANSLATE(B1245,""en"",""es-ES"")"),"La mujer se tira de mechones de pelos para que se enderezen.")</f>
        <v>La mujer se tira de mechones de pelos para que se enderezen.</v>
      </c>
    </row>
    <row r="1246">
      <c r="A1246" s="4" t="s">
        <v>1567</v>
      </c>
      <c r="B1246" s="4" t="s">
        <v>1572</v>
      </c>
      <c r="C1246" s="5" t="str">
        <f>IFERROR(__xludf.DUMMYFUNCTION("GOOGLETRANSLATE(B1246,""en"",""es-ES"")"),"La mujer les trenza los mechones del cabello juntos.")</f>
        <v>La mujer les trenza los mechones del cabello juntos.</v>
      </c>
    </row>
    <row r="1247">
      <c r="A1247" s="4" t="s">
        <v>1573</v>
      </c>
      <c r="B1247" s="4" t="s">
        <v>1574</v>
      </c>
      <c r="C1247" s="5" t="str">
        <f>IFERROR(__xludf.DUMMYFUNCTION("GOOGLETRANSLATE(B1247,""en"",""es-ES"")"),"Se muestra una imagen de un hombre que posa con trofeos y flexionando sus bíceps.")</f>
        <v>Se muestra una imagen de un hombre que posa con trofeos y flexionando sus bíceps.</v>
      </c>
    </row>
    <row r="1248">
      <c r="A1248" s="4" t="s">
        <v>1573</v>
      </c>
      <c r="B1248" s="4" t="s">
        <v>1575</v>
      </c>
      <c r="C1248" s="5" t="str">
        <f>IFERROR(__xludf.DUMMYFUNCTION("GOOGLETRANSLATE(B1248,""en"",""es-ES"")"),"Las imágenes cortan en videos, ya que gana múltiples partidos y trofeos de lucha de brazos.")</f>
        <v>Las imágenes cortan en videos, ya que gana múltiples partidos y trofeos de lucha de brazos.</v>
      </c>
    </row>
    <row r="1249">
      <c r="A1249" s="4" t="s">
        <v>1573</v>
      </c>
      <c r="B1249" s="4" t="s">
        <v>1576</v>
      </c>
      <c r="C1249" s="5" t="str">
        <f>IFERROR(__xludf.DUMMYFUNCTION("GOOGLETRANSLATE(B1249,""en"",""es-ES"")"),"En las escenas finales, una gran audiencia habla mientras lo ven ganar una vez más.")</f>
        <v>En las escenas finales, una gran audiencia habla mientras lo ven ganar una vez más.</v>
      </c>
    </row>
    <row r="1250">
      <c r="A1250" s="4" t="s">
        <v>1577</v>
      </c>
      <c r="B1250" s="4" t="s">
        <v>1578</v>
      </c>
      <c r="C1250" s="5" t="str">
        <f>IFERROR(__xludf.DUMMYFUNCTION("GOOGLETRANSLATE(B1250,""en"",""es-ES"")"),"El hombre está parado en una pista de hielo que practica hockey.")</f>
        <v>El hombre está parado en una pista de hielo que practica hockey.</v>
      </c>
    </row>
    <row r="1251">
      <c r="A1251" s="4" t="s">
        <v>1577</v>
      </c>
      <c r="B1251" s="4" t="s">
        <v>1579</v>
      </c>
      <c r="C1251" s="5" t="str">
        <f>IFERROR(__xludf.DUMMYFUNCTION("GOOGLETRANSLATE(B1251,""en"",""es-ES"")"),"El hombre está poniendo uniforme de hockey.")</f>
        <v>El hombre está poniendo uniforme de hockey.</v>
      </c>
    </row>
    <row r="1252">
      <c r="A1252" s="4" t="s">
        <v>1580</v>
      </c>
      <c r="B1252" s="4" t="s">
        <v>1581</v>
      </c>
      <c r="C1252" s="5" t="str">
        <f>IFERROR(__xludf.DUMMYFUNCTION("GOOGLETRANSLATE(B1252,""en"",""es-ES"")"),"Hay varias personas reunidas en la calle donde se suena música en vivo.")</f>
        <v>Hay varias personas reunidas en la calle donde se suena música en vivo.</v>
      </c>
    </row>
    <row r="1253">
      <c r="A1253" s="4" t="s">
        <v>1580</v>
      </c>
      <c r="B1253" s="4" t="s">
        <v>1582</v>
      </c>
      <c r="C1253" s="5" t="str">
        <f>IFERROR(__xludf.DUMMYFUNCTION("GOOGLETRANSLATE(B1253,""en"",""es-ES"")"),"Hay parejas bailando juntas en la música que hacen el estilo de baile de salsa.")</f>
        <v>Hay parejas bailando juntas en la música que hacen el estilo de baile de salsa.</v>
      </c>
    </row>
    <row r="1254">
      <c r="A1254" s="4" t="s">
        <v>1580</v>
      </c>
      <c r="B1254" s="4" t="s">
        <v>1583</v>
      </c>
      <c r="C1254" s="5" t="str">
        <f>IFERROR(__xludf.DUMMYFUNCTION("GOOGLETRANSLATE(B1254,""en"",""es-ES"")"),"Hay muchos restaurantes y tiendas en esa plaza de la ciudad donde se reúnen a la gente para ver bailar a las parejas.")</f>
        <v>Hay muchos restaurantes y tiendas en esa plaza de la ciudad donde se reúnen a la gente para ver bailar a las parejas.</v>
      </c>
    </row>
    <row r="1255">
      <c r="A1255" s="4" t="s">
        <v>1580</v>
      </c>
      <c r="B1255" s="4" t="s">
        <v>1584</v>
      </c>
      <c r="C1255" s="5" t="str">
        <f>IFERROR(__xludf.DUMMYFUNCTION("GOOGLETRANSLATE(B1255,""en"",""es-ES"")"),"Algunos de los espectadores están grabando en video a los bailarines.")</f>
        <v>Algunos de los espectadores están grabando en video a los bailarines.</v>
      </c>
    </row>
    <row r="1256">
      <c r="A1256" s="4" t="s">
        <v>1580</v>
      </c>
      <c r="B1256" s="4" t="s">
        <v>1585</v>
      </c>
      <c r="C1256" s="5" t="str">
        <f>IFERROR(__xludf.DUMMYFUNCTION("GOOGLETRANSLATE(B1256,""en"",""es-ES"")"),"Las parejas continúan bailando hasta que termina la música.")</f>
        <v>Las parejas continúan bailando hasta que termina la música.</v>
      </c>
    </row>
    <row r="1257">
      <c r="A1257" s="4" t="s">
        <v>1580</v>
      </c>
      <c r="B1257" s="4" t="s">
        <v>1586</v>
      </c>
      <c r="C1257" s="5" t="str">
        <f>IFERROR(__xludf.DUMMYFUNCTION("GOOGLETRANSLATE(B1257,""en"",""es-ES"")"),"Un chico besa a su novia en la mejilla después de que termine el baile.")</f>
        <v>Un chico besa a su novia en la mejilla después de que termine el baile.</v>
      </c>
    </row>
    <row r="1258">
      <c r="A1258" s="4" t="s">
        <v>1587</v>
      </c>
      <c r="B1258" s="4" t="s">
        <v>1588</v>
      </c>
      <c r="C1258" s="5" t="str">
        <f>IFERROR(__xludf.DUMMYFUNCTION("GOOGLETRANSLATE(B1258,""en"",""es-ES"")"),"Se ve a un hombre sosteniendo un palo y conduce a clips de hombres que juegan hockey de campo.")</f>
        <v>Se ve a un hombre sosteniendo un palo y conduce a clips de hombres que juegan hockey de campo.</v>
      </c>
    </row>
    <row r="1259">
      <c r="A1259" s="4" t="s">
        <v>1587</v>
      </c>
      <c r="B1259" s="4" t="s">
        <v>1589</v>
      </c>
      <c r="C1259" s="5" t="str">
        <f>IFERROR(__xludf.DUMMYFUNCTION("GOOGLETRANSLATE(B1259,""en"",""es-ES"")"),"Se ve a los hombres corriendo arriba y abajo de un campo persiguiendo después de una pelota y anotando un gol.")</f>
        <v>Se ve a los hombres corriendo arriba y abajo de un campo persiguiendo después de una pelota y anotando un gol.</v>
      </c>
    </row>
    <row r="1260">
      <c r="A1260" s="4" t="s">
        <v>1587</v>
      </c>
      <c r="B1260" s="4" t="s">
        <v>1590</v>
      </c>
      <c r="C1260" s="5" t="str">
        <f>IFERROR(__xludf.DUMMYFUNCTION("GOOGLETRANSLATE(B1260,""en"",""es-ES"")"),"Se muestran varios clips de personas que juegan este juego y celebran con compañeros de equipo.")</f>
        <v>Se muestran varios clips de personas que juegan este juego y celebran con compañeros de equipo.</v>
      </c>
    </row>
    <row r="1261">
      <c r="A1261" s="4" t="s">
        <v>1591</v>
      </c>
      <c r="B1261" s="4" t="s">
        <v>1592</v>
      </c>
      <c r="C1261" s="5" t="str">
        <f>IFERROR(__xludf.DUMMYFUNCTION("GOOGLETRANSLATE(B1261,""en"",""es-ES"")"),"Una introducción conduce a una cámara que sigue alrededor de un partido de lacrosse y se detiene para mostrar los movimientos de los jugadores.")</f>
        <v>Una introducción conduce a una cámara que sigue alrededor de un partido de lacrosse y se detiene para mostrar los movimientos de los jugadores.</v>
      </c>
    </row>
    <row r="1262">
      <c r="A1262" s="4" t="s">
        <v>1591</v>
      </c>
      <c r="B1262" s="4" t="s">
        <v>1593</v>
      </c>
      <c r="C1262" s="5" t="str">
        <f>IFERROR(__xludf.DUMMYFUNCTION("GOOGLETRANSLATE(B1262,""en"",""es-ES"")"),"El juego continúa mientras la gente juega y corre persiguiendo una pelota.")</f>
        <v>El juego continúa mientras la gente juega y corre persiguiendo una pelota.</v>
      </c>
    </row>
    <row r="1263">
      <c r="A1263" s="4" t="s">
        <v>1594</v>
      </c>
      <c r="B1263" s="4" t="s">
        <v>1595</v>
      </c>
      <c r="C1263" s="5" t="str">
        <f>IFERROR(__xludf.DUMMYFUNCTION("GOOGLETRANSLATE(B1263,""en"",""es-ES"")"),"El hombre de la camisa de rayas corrió hacia el camino estrecho y saltó y saltó sobre el suelo arenoso.")</f>
        <v>El hombre de la camisa de rayas corrió hacia el camino estrecho y saltó y saltó sobre el suelo arenoso.</v>
      </c>
    </row>
    <row r="1264">
      <c r="A1264" s="4" t="s">
        <v>1594</v>
      </c>
      <c r="B1264" s="4" t="s">
        <v>1596</v>
      </c>
      <c r="C1264" s="5" t="str">
        <f>IFERROR(__xludf.DUMMYFUNCTION("GOOGLETRANSLATE(B1264,""en"",""es-ES"")"),"Los hombres son saltados uno por uno en el suelo arenoso mientras un hombre y una mujer sostienen un rastrillo y suavizan el suelo.")</f>
        <v>Los hombres son saltados uno por uno en el suelo arenoso mientras un hombre y una mujer sostienen un rastrillo y suavizan el suelo.</v>
      </c>
    </row>
    <row r="1265">
      <c r="A1265" s="4" t="s">
        <v>1594</v>
      </c>
      <c r="B1265" s="4" t="s">
        <v>1597</v>
      </c>
      <c r="C1265" s="5" t="str">
        <f>IFERROR(__xludf.DUMMYFUNCTION("GOOGLETRANSLATE(B1265,""en"",""es-ES"")"),"Dos personas sostienen una cinta métrica y miden el salto.")</f>
        <v>Dos personas sostienen una cinta métrica y miden el salto.</v>
      </c>
    </row>
    <row r="1266">
      <c r="A1266" s="4" t="s">
        <v>1598</v>
      </c>
      <c r="B1266" s="4" t="s">
        <v>1599</v>
      </c>
      <c r="C1266" s="5" t="str">
        <f>IFERROR(__xludf.DUMMYFUNCTION("GOOGLETRANSLATE(B1266,""en"",""es-ES"")"),"Las palabras se muestran en la pantalla.")</f>
        <v>Las palabras se muestran en la pantalla.</v>
      </c>
    </row>
    <row r="1267">
      <c r="A1267" s="4" t="s">
        <v>1598</v>
      </c>
      <c r="B1267" s="4" t="s">
        <v>1600</v>
      </c>
      <c r="C1267" s="5" t="str">
        <f>IFERROR(__xludf.DUMMYFUNCTION("GOOGLETRANSLATE(B1267,""en"",""es-ES"")"),"Un hombre habla mientras está parado frente a una colina.")</f>
        <v>Un hombre habla mientras está parado frente a una colina.</v>
      </c>
    </row>
    <row r="1268">
      <c r="A1268" s="4" t="s">
        <v>1598</v>
      </c>
      <c r="B1268" s="4" t="s">
        <v>1601</v>
      </c>
      <c r="C1268" s="5" t="str">
        <f>IFERROR(__xludf.DUMMYFUNCTION("GOOGLETRANSLATE(B1268,""en"",""es-ES"")"),"El hombre sostiene una pala de pie frente a un pequeño árbol.")</f>
        <v>El hombre sostiene una pala de pie frente a un pequeño árbol.</v>
      </c>
    </row>
    <row r="1269">
      <c r="A1269" s="4" t="s">
        <v>1598</v>
      </c>
      <c r="B1269" s="4" t="s">
        <v>1602</v>
      </c>
      <c r="C1269" s="5" t="str">
        <f>IFERROR(__xludf.DUMMYFUNCTION("GOOGLETRANSLATE(B1269,""en"",""es-ES"")"),"El hombre continúa hablando y luego saca algunas malezas y tierra alrededor del árbol.")</f>
        <v>El hombre continúa hablando y luego saca algunas malezas y tierra alrededor del árbol.</v>
      </c>
    </row>
    <row r="1270">
      <c r="A1270" s="4" t="s">
        <v>1598</v>
      </c>
      <c r="B1270" s="4" t="s">
        <v>1603</v>
      </c>
      <c r="C1270" s="5" t="str">
        <f>IFERROR(__xludf.DUMMYFUNCTION("GOOGLETRANSLATE(B1270,""en"",""es-ES"")"),"Él recoge rocas alrededor del árbol.")</f>
        <v>Él recoge rocas alrededor del árbol.</v>
      </c>
    </row>
    <row r="1271">
      <c r="A1271" s="4" t="s">
        <v>1598</v>
      </c>
      <c r="B1271" s="4" t="s">
        <v>1604</v>
      </c>
      <c r="C1271" s="5" t="str">
        <f>IFERROR(__xludf.DUMMYFUNCTION("GOOGLETRANSLATE(B1271,""en"",""es-ES"")"),"Hay un cubo blanco frente a él de corteza que pone alrededor del árbol.")</f>
        <v>Hay un cubo blanco frente a él de corteza que pone alrededor del árbol.</v>
      </c>
    </row>
    <row r="1272">
      <c r="A1272" s="4" t="s">
        <v>1605</v>
      </c>
      <c r="B1272" s="4" t="s">
        <v>1606</v>
      </c>
      <c r="C1272" s="5" t="str">
        <f>IFERROR(__xludf.DUMMYFUNCTION("GOOGLETRANSLATE(B1272,""en"",""es-ES"")"),"Dos chicas están sentadas en el porche de una casa mientras se afeita las piernas.")</f>
        <v>Dos chicas están sentadas en el porche de una casa mientras se afeita las piernas.</v>
      </c>
    </row>
    <row r="1273">
      <c r="A1273" s="4" t="s">
        <v>1605</v>
      </c>
      <c r="B1273" s="4" t="s">
        <v>1607</v>
      </c>
      <c r="C1273" s="5" t="str">
        <f>IFERROR(__xludf.DUMMYFUNCTION("GOOGLETRANSLATE(B1273,""en"",""es-ES"")"),"Un niño sale y mira antes de alejarse.")</f>
        <v>Un niño sale y mira antes de alejarse.</v>
      </c>
    </row>
    <row r="1274">
      <c r="A1274" s="4" t="s">
        <v>1605</v>
      </c>
      <c r="B1274" s="4" t="s">
        <v>1608</v>
      </c>
      <c r="C1274" s="5" t="str">
        <f>IFERROR(__xludf.DUMMYFUNCTION("GOOGLETRANSLATE(B1274,""en"",""es-ES"")"),"Las chicas continúan enjabando y afeitándose.")</f>
        <v>Las chicas continúan enjabando y afeitándose.</v>
      </c>
    </row>
    <row r="1275">
      <c r="A1275" s="4" t="s">
        <v>1609</v>
      </c>
      <c r="B1275" s="4" t="s">
        <v>1610</v>
      </c>
      <c r="C1275" s="5" t="str">
        <f>IFERROR(__xludf.DUMMYFUNCTION("GOOGLETRANSLATE(B1275,""en"",""es-ES"")"),"Un hombre usa un mazo para salir con hielo de un automóvil mientras está nevando afuera y un hombre lo vide desde atrás.")</f>
        <v>Un hombre usa un mazo para salir con hielo de un automóvil mientras está nevando afuera y un hombre lo vide desde atrás.</v>
      </c>
    </row>
    <row r="1276">
      <c r="A1276" s="4" t="s">
        <v>1609</v>
      </c>
      <c r="B1276" s="4" t="s">
        <v>1611</v>
      </c>
      <c r="C1276" s="5" t="str">
        <f>IFERROR(__xludf.DUMMYFUNCTION("GOOGLETRANSLATE(B1276,""en"",""es-ES"")"),"Un hombre con un abrigo y guantes de invierno negro usa un mazo para encender el hielo de un automóvil cubierto de hielo en la nieve.")</f>
        <v>Un hombre con un abrigo y guantes de invierno negro usa un mazo para encender el hielo de un automóvil cubierto de hielo en la nieve.</v>
      </c>
    </row>
    <row r="1277">
      <c r="A1277" s="4" t="s">
        <v>1609</v>
      </c>
      <c r="B1277" s="4" t="s">
        <v>1612</v>
      </c>
      <c r="C1277" s="5" t="str">
        <f>IFERROR(__xludf.DUMMYFUNCTION("GOOGLETRANSLATE(B1277,""en"",""es-ES"")"),"Luego, el hombre toma las llaves de su auto e intenta abrir el tronco que está congelado y requiere que se abran.")</f>
        <v>Luego, el hombre toma las llaves de su auto e intenta abrir el tronco que está congelado y requiere que se abran.</v>
      </c>
    </row>
    <row r="1278">
      <c r="A1278" s="4" t="s">
        <v>1609</v>
      </c>
      <c r="B1278" s="4" t="s">
        <v>1613</v>
      </c>
      <c r="C1278" s="5" t="str">
        <f>IFERROR(__xludf.DUMMYFUNCTION("GOOGLETRANSLATE(B1278,""en"",""es-ES"")"),"El hombre continúa golpeando el hielo en el auto con el mazo mientras el hielo se interrumpe en trozos.")</f>
        <v>El hombre continúa golpeando el hielo en el auto con el mazo mientras el hielo se interrumpe en trozos.</v>
      </c>
    </row>
    <row r="1279">
      <c r="A1279" s="4" t="s">
        <v>1609</v>
      </c>
      <c r="B1279" s="4" t="s">
        <v>1614</v>
      </c>
      <c r="C1279" s="5" t="str">
        <f>IFERROR(__xludf.DUMMYFUNCTION("GOOGLETRANSLATE(B1279,""en"",""es-ES"")"),"El hombre intenta abrir su baúl nuevamente, esta vez la abertura es más fácil y el hombre sube a la cajuela del automóvil hasta la parte delantera del automóvil para abrir la puerta del conductor desde el asiento interior de los conductores.")</f>
        <v>El hombre intenta abrir su baúl nuevamente, esta vez la abertura es más fácil y el hombre sube a la cajuela del automóvil hasta la parte delantera del automóvil para abrir la puerta del conductor desde el asiento interior de los conductores.</v>
      </c>
    </row>
    <row r="1280">
      <c r="A1280" s="4" t="s">
        <v>1615</v>
      </c>
      <c r="B1280" s="4" t="s">
        <v>1616</v>
      </c>
      <c r="C1280" s="5" t="str">
        <f>IFERROR(__xludf.DUMMYFUNCTION("GOOGLETRANSLATE(B1280,""en"",""es-ES"")"),"Se ve una alfombra grande con un bar en la parte superior y dos personas mirando a los lados.")</f>
        <v>Se ve una alfombra grande con un bar en la parte superior y dos personas mirando a los lados.</v>
      </c>
    </row>
    <row r="1281">
      <c r="A1281" s="4" t="s">
        <v>1615</v>
      </c>
      <c r="B1281" s="4" t="s">
        <v>1617</v>
      </c>
      <c r="C1281" s="5" t="str">
        <f>IFERROR(__xludf.DUMMYFUNCTION("GOOGLETRANSLATE(B1281,""en"",""es-ES"")"),"Luego se ve a un hombre corriendo desde un lado.")</f>
        <v>Luego se ve a un hombre corriendo desde un lado.</v>
      </c>
    </row>
    <row r="1282">
      <c r="A1282" s="4" t="s">
        <v>1615</v>
      </c>
      <c r="B1282" s="4" t="s">
        <v>1618</v>
      </c>
      <c r="C1282" s="5" t="str">
        <f>IFERROR(__xludf.DUMMYFUNCTION("GOOGLETRANSLATE(B1282,""en"",""es-ES"")"),"El hombre salta sobre la viga y se levanta en la colchoneta.")</f>
        <v>El hombre salta sobre la viga y se levanta en la colchoneta.</v>
      </c>
    </row>
    <row r="1283">
      <c r="A1283" s="4" t="s">
        <v>1619</v>
      </c>
      <c r="B1283" s="4" t="s">
        <v>1620</v>
      </c>
      <c r="C1283" s="5" t="str">
        <f>IFERROR(__xludf.DUMMYFUNCTION("GOOGLETRANSLATE(B1283,""en"",""es-ES"")"),"Se muestra a una persona afuera cepillando nieve de un automóvil con luces encendidas.")</f>
        <v>Se muestra a una persona afuera cepillando nieve de un automóvil con luces encendidas.</v>
      </c>
    </row>
    <row r="1284">
      <c r="A1284" s="4" t="s">
        <v>1619</v>
      </c>
      <c r="B1284" s="4" t="s">
        <v>1621</v>
      </c>
      <c r="C1284" s="5" t="str">
        <f>IFERROR(__xludf.DUMMYFUNCTION("GOOGLETRANSLATE(B1284,""en"",""es-ES"")"),"El hombre camina alrededor del auto empujando más nieve y cerrando la puerta.")</f>
        <v>El hombre camina alrededor del auto empujando más nieve y cerrando la puerta.</v>
      </c>
    </row>
    <row r="1285">
      <c r="A1285" s="4" t="s">
        <v>1622</v>
      </c>
      <c r="B1285" s="4" t="s">
        <v>1623</v>
      </c>
      <c r="C1285" s="5" t="str">
        <f>IFERROR(__xludf.DUMMYFUNCTION("GOOGLETRANSLATE(B1285,""en"",""es-ES"")"),"Aparece una pantalla negra con un título blanco.")</f>
        <v>Aparece una pantalla negra con un título blanco.</v>
      </c>
    </row>
    <row r="1286">
      <c r="A1286" s="4" t="s">
        <v>1622</v>
      </c>
      <c r="B1286" s="4" t="s">
        <v>1624</v>
      </c>
      <c r="C1286" s="5" t="str">
        <f>IFERROR(__xludf.DUMMYFUNCTION("GOOGLETRANSLATE(B1286,""en"",""es-ES"")"),"Un cocinero está frente a una estufa profesional que pone el condimento en una sartén de metal y calienta una sartén sobre una llama azul iluminada de gas.")</f>
        <v>Un cocinero está frente a una estufa profesional que pone el condimento en una sartén de metal y calienta una sartén sobre una llama azul iluminada de gas.</v>
      </c>
    </row>
    <row r="1287">
      <c r="A1287" s="4" t="s">
        <v>1622</v>
      </c>
      <c r="B1287" s="4" t="s">
        <v>1625</v>
      </c>
      <c r="C1287" s="5" t="str">
        <f>IFERROR(__xludf.DUMMYFUNCTION("GOOGLETRANSLATE(B1287,""en"",""es-ES"")"),"El cocinero ahora saca una gran porción de huevo mixto de una olla de metal grande en la pequeña sartén de metal.")</f>
        <v>El cocinero ahora saca una gran porción de huevo mixto de una olla de metal grande en la pequeña sartén de metal.</v>
      </c>
    </row>
    <row r="1288">
      <c r="A1288" s="4" t="s">
        <v>1622</v>
      </c>
      <c r="B1288" s="4" t="s">
        <v>1626</v>
      </c>
      <c r="C1288" s="5" t="str">
        <f>IFERROR(__xludf.DUMMYFUNCTION("GOOGLETRANSLATE(B1288,""en"",""es-ES"")"),"Comienza a batir la mezcla de huevo con dos palos de madera, sosteniendo la sartén sobre el quemador.")</f>
        <v>Comienza a batir la mezcla de huevo con dos palos de madera, sosteniendo la sartén sobre el quemador.</v>
      </c>
    </row>
    <row r="1289">
      <c r="A1289" s="4" t="s">
        <v>1622</v>
      </c>
      <c r="B1289" s="4" t="s">
        <v>1627</v>
      </c>
      <c r="C1289" s="5" t="str">
        <f>IFERROR(__xludf.DUMMYFUNCTION("GOOGLETRANSLATE(B1289,""en"",""es-ES"")"),"Cuando el huevo está casi completamente cocido, el hombre comienza a dar forma al huevo dentro de la sartén con los palitos de madera en forma de tortilla.")</f>
        <v>Cuando el huevo está casi completamente cocido, el hombre comienza a dar forma al huevo dentro de la sartén con los palitos de madera en forma de tortilla.</v>
      </c>
    </row>
    <row r="1290">
      <c r="A1290" s="4" t="s">
        <v>1622</v>
      </c>
      <c r="B1290" s="4" t="s">
        <v>1628</v>
      </c>
      <c r="C1290" s="5" t="str">
        <f>IFERROR(__xludf.DUMMYFUNCTION("GOOGLETRANSLATE(B1290,""en"",""es-ES"")"),"Él rueda la tortilla de un lado a otro en la sartén.")</f>
        <v>Él rueda la tortilla de un lado a otro en la sartén.</v>
      </c>
    </row>
    <row r="1291">
      <c r="A1291" s="4" t="s">
        <v>1622</v>
      </c>
      <c r="B1291" s="4" t="s">
        <v>1629</v>
      </c>
      <c r="C1291" s="5" t="str">
        <f>IFERROR(__xludf.DUMMYFUNCTION("GOOGLETRANSLATE(B1291,""en"",""es-ES"")"),"Termine la pantalla negra y una palabra azul.")</f>
        <v>Termine la pantalla negra y una palabra azul.</v>
      </c>
    </row>
    <row r="1292">
      <c r="A1292" s="4" t="s">
        <v>1630</v>
      </c>
      <c r="B1292" s="4" t="s">
        <v>1631</v>
      </c>
      <c r="C1292" s="5" t="str">
        <f>IFERROR(__xludf.DUMMYFUNCTION("GOOGLETRANSLATE(B1292,""en"",""es-ES"")"),"Se muestra un primer plano de zapatos de ballet, seguido de una mujer que se los pone y se mueve en un dormitorio.")</f>
        <v>Se muestra un primer plano de zapatos de ballet, seguido de una mujer que se los pone y se mueve en un dormitorio.</v>
      </c>
    </row>
    <row r="1293">
      <c r="A1293" s="4" t="s">
        <v>1630</v>
      </c>
      <c r="B1293" s="4" t="s">
        <v>1632</v>
      </c>
      <c r="C1293" s="5" t="str">
        <f>IFERROR(__xludf.DUMMYFUNCTION("GOOGLETRANSLATE(B1293,""en"",""es-ES"")"),"Mueve los brazos y los pies en los zapatos de punta y le azota el cabello por toda la habitación.")</f>
        <v>Mueve los brazos y los pies en los zapatos de punta y le azota el cabello por toda la habitación.</v>
      </c>
    </row>
    <row r="1294">
      <c r="A1294" s="4" t="s">
        <v>1633</v>
      </c>
      <c r="B1294" s="4" t="s">
        <v>1634</v>
      </c>
      <c r="C1294" s="5" t="str">
        <f>IFERROR(__xludf.DUMMYFUNCTION("GOOGLETRANSLATE(B1294,""en"",""es-ES"")"),"Se ve a una persona mezclando varios ingredientes en una licuadora, además de rodar en una pelota y hablar con la cámara.")</f>
        <v>Se ve a una persona mezclando varios ingredientes en una licuadora, además de rodar en una pelota y hablar con la cámara.</v>
      </c>
    </row>
    <row r="1295">
      <c r="A1295" s="4" t="s">
        <v>1633</v>
      </c>
      <c r="B1295" s="4" t="s">
        <v>1635</v>
      </c>
      <c r="C1295" s="5" t="str">
        <f>IFERROR(__xludf.DUMMYFUNCTION("GOOGLETRANSLATE(B1295,""en"",""es-ES"")"),"El hombre habla con otros chefs y les indica cómo rodar una bola de áspera.")</f>
        <v>El hombre habla con otros chefs y les indica cómo rodar una bola de áspera.</v>
      </c>
    </row>
    <row r="1296">
      <c r="A1296" s="4" t="s">
        <v>1633</v>
      </c>
      <c r="B1296" s="4" t="s">
        <v>1636</v>
      </c>
      <c r="C1296" s="5" t="str">
        <f>IFERROR(__xludf.DUMMYFUNCTION("GOOGLETRANSLATE(B1296,""en"",""es-ES"")"),"Luego pone la masa en una máquina para hacer espagueti y luego los coloca en un plato para presentar.")</f>
        <v>Luego pone la masa en una máquina para hacer espagueti y luego los coloca en un plato para presentar.</v>
      </c>
    </row>
    <row r="1297">
      <c r="A1297" s="4" t="s">
        <v>1637</v>
      </c>
      <c r="B1297" s="4" t="s">
        <v>1638</v>
      </c>
      <c r="C1297" s="5" t="str">
        <f>IFERROR(__xludf.DUMMYFUNCTION("GOOGLETRANSLATE(B1297,""en"",""es-ES"")"),"Se ve a una persona inclinándose hacia adelante en una viga de gimnasia mientras se mueve las manos para mantener el equilibrio.")</f>
        <v>Se ve a una persona inclinándose hacia adelante en una viga de gimnasia mientras se mueve las manos para mantener el equilibrio.</v>
      </c>
    </row>
    <row r="1298">
      <c r="A1298" s="4" t="s">
        <v>1637</v>
      </c>
      <c r="B1298" s="4" t="s">
        <v>1639</v>
      </c>
      <c r="C1298" s="5" t="str">
        <f>IFERROR(__xludf.DUMMYFUNCTION("GOOGLETRANSLATE(B1298,""en"",""es-ES"")"),"Luego, el hombre intenta un volteo pero aterriza sobre su estómago y se cae, alejándose de dolor y su salto se muestra nuevamente en cámara lenta.")</f>
        <v>Luego, el hombre intenta un volteo pero aterriza sobre su estómago y se cae, alejándose de dolor y su salto se muestra nuevamente en cámara lenta.</v>
      </c>
    </row>
    <row r="1299">
      <c r="A1299" s="4" t="s">
        <v>1640</v>
      </c>
      <c r="B1299" s="4" t="s">
        <v>1641</v>
      </c>
      <c r="C1299" s="5" t="str">
        <f>IFERROR(__xludf.DUMMYFUNCTION("GOOGLETRANSLATE(B1299,""en"",""es-ES"")"),"Cuatro personas juegan con Foosball en una mesa de Foosball.")</f>
        <v>Cuatro personas juegan con Foosball en una mesa de Foosball.</v>
      </c>
    </row>
    <row r="1300">
      <c r="A1300" s="4" t="s">
        <v>1640</v>
      </c>
      <c r="B1300" s="4" t="s">
        <v>1642</v>
      </c>
      <c r="C1300" s="5" t="str">
        <f>IFERROR(__xludf.DUMMYFUNCTION("GOOGLETRANSLATE(B1300,""en"",""es-ES"")"),"Una de las chicas que juegan saca un brazo fuera de lugar sobre la mesa.")</f>
        <v>Una de las chicas que juegan saca un brazo fuera de lugar sobre la mesa.</v>
      </c>
    </row>
    <row r="1301">
      <c r="A1301" s="4" t="s">
        <v>1640</v>
      </c>
      <c r="B1301" s="4" t="s">
        <v>1643</v>
      </c>
      <c r="C1301" s="5" t="str">
        <f>IFERROR(__xludf.DUMMYFUNCTION("GOOGLETRANSLATE(B1301,""en"",""es-ES"")"),"La misma chica extiende la mesa para controlar un brazo al otro lado.")</f>
        <v>La misma chica extiende la mesa para controlar un brazo al otro lado.</v>
      </c>
    </row>
    <row r="1302">
      <c r="A1302" s="4" t="s">
        <v>1640</v>
      </c>
      <c r="B1302" s="4" t="s">
        <v>1644</v>
      </c>
      <c r="C1302" s="5" t="str">
        <f>IFERROR(__xludf.DUMMYFUNCTION("GOOGLETRANSLATE(B1302,""en"",""es-ES"")"),"La niña del otro lado intenta detenerla.")</f>
        <v>La niña del otro lado intenta detenerla.</v>
      </c>
    </row>
    <row r="1303">
      <c r="A1303" s="4" t="s">
        <v>1640</v>
      </c>
      <c r="B1303" s="4" t="s">
        <v>1645</v>
      </c>
      <c r="C1303" s="5" t="str">
        <f>IFERROR(__xludf.DUMMYFUNCTION("GOOGLETRANSLATE(B1303,""en"",""es-ES"")"),"Una quinta persona se sienta en una silla mirando.")</f>
        <v>Una quinta persona se sienta en una silla mirando.</v>
      </c>
    </row>
    <row r="1304">
      <c r="A1304" s="4" t="s">
        <v>1646</v>
      </c>
      <c r="B1304" s="4" t="s">
        <v>1647</v>
      </c>
      <c r="C1304" s="5" t="str">
        <f>IFERROR(__xludf.DUMMYFUNCTION("GOOGLETRANSLATE(B1304,""en"",""es-ES"")"),"Una gimnasta masculina con un leotardo azul está haciendo gimnasia en un bar de caballos.")</f>
        <v>Una gimnasta masculina con un leotardo azul está haciendo gimnasia en un bar de caballos.</v>
      </c>
    </row>
    <row r="1305">
      <c r="A1305" s="4" t="s">
        <v>1646</v>
      </c>
      <c r="B1305" s="4" t="s">
        <v>1648</v>
      </c>
      <c r="C1305" s="5" t="str">
        <f>IFERROR(__xludf.DUMMYFUNCTION("GOOGLETRANSLATE(B1305,""en"",""es-ES"")"),"Está actuando en un estadio interior lleno de espectadores.")</f>
        <v>Está actuando en un estadio interior lleno de espectadores.</v>
      </c>
    </row>
    <row r="1306">
      <c r="A1306" s="4" t="s">
        <v>1646</v>
      </c>
      <c r="B1306" s="4" t="s">
        <v>1649</v>
      </c>
      <c r="C1306" s="5" t="str">
        <f>IFERROR(__xludf.DUMMYFUNCTION("GOOGLETRANSLATE(B1306,""en"",""es-ES"")"),"Continúa sobresaliendo en hacer sus movimientos constantemente en la barra de caballos.")</f>
        <v>Continúa sobresaliendo en hacer sus movimientos constantemente en la barra de caballos.</v>
      </c>
    </row>
    <row r="1307">
      <c r="A1307" s="4" t="s">
        <v>1646</v>
      </c>
      <c r="B1307" s="4" t="s">
        <v>1650</v>
      </c>
      <c r="C1307" s="5" t="str">
        <f>IFERROR(__xludf.DUMMYFUNCTION("GOOGLETRANSLATE(B1307,""en"",""es-ES"")"),"Después de que termine, se deja del bar y uno de los entrenadores lo abraza mientras la multitud lo anima.")</f>
        <v>Después de que termine, se deja del bar y uno de los entrenadores lo abraza mientras la multitud lo anima.</v>
      </c>
    </row>
    <row r="1308">
      <c r="A1308" s="4" t="s">
        <v>1651</v>
      </c>
      <c r="B1308" s="4" t="s">
        <v>1652</v>
      </c>
      <c r="C1308" s="5" t="str">
        <f>IFERROR(__xludf.DUMMYFUNCTION("GOOGLETRANSLATE(B1308,""en"",""es-ES"")"),"Se muestra una bailarina en la clase calentando sus pies y alejándose llorando.")</f>
        <v>Se muestra una bailarina en la clase calentando sus pies y alejándose llorando.</v>
      </c>
    </row>
    <row r="1309">
      <c r="A1309" s="4" t="s">
        <v>1651</v>
      </c>
      <c r="B1309" s="4" t="s">
        <v>1653</v>
      </c>
      <c r="C1309" s="5" t="str">
        <f>IFERROR(__xludf.DUMMYFUNCTION("GOOGLETRANSLATE(B1309,""en"",""es-ES"")"),"Varios actores hablan con la cámara sobre la filmación de una película sobre ballet y los movimientos que aprendieron.")</f>
        <v>Varios actores hablan con la cámara sobre la filmación de una película sobre ballet y los movimientos que aprendieron.</v>
      </c>
    </row>
    <row r="1310">
      <c r="A1310" s="4" t="s">
        <v>1651</v>
      </c>
      <c r="B1310" s="4" t="s">
        <v>1654</v>
      </c>
      <c r="C1310" s="5" t="str">
        <f>IFERROR(__xludf.DUMMYFUNCTION("GOOGLETRANSLATE(B1310,""en"",""es-ES"")"),"Las bailarinas se mueven alrededor del set mientras la cámara está rodando.")</f>
        <v>Las bailarinas se mueven alrededor del set mientras la cámara está rodando.</v>
      </c>
    </row>
    <row r="1311">
      <c r="A1311" s="4" t="s">
        <v>1651</v>
      </c>
      <c r="B1311" s="4" t="s">
        <v>1655</v>
      </c>
      <c r="C1311" s="5" t="str">
        <f>IFERROR(__xludf.DUMMYFUNCTION("GOOGLETRANSLATE(B1311,""en"",""es-ES"")"),"Los actores continúan hablando de trucos y lo que aprendieron.")</f>
        <v>Los actores continúan hablando de trucos y lo que aprendieron.</v>
      </c>
    </row>
    <row r="1312">
      <c r="A1312" s="4" t="s">
        <v>1651</v>
      </c>
      <c r="B1312" s="4" t="s">
        <v>1656</v>
      </c>
      <c r="C1312" s="5" t="str">
        <f>IFERROR(__xludf.DUMMYFUNCTION("GOOGLETRANSLATE(B1312,""en"",""es-ES"")"),"Un hombre toca el violín mientras se filma la escena final y todos están bailando.")</f>
        <v>Un hombre toca el violín mientras se filma la escena final y todos están bailando.</v>
      </c>
    </row>
    <row r="1313">
      <c r="A1313" s="4" t="s">
        <v>1657</v>
      </c>
      <c r="B1313" s="4" t="s">
        <v>1658</v>
      </c>
      <c r="C1313" s="5" t="str">
        <f>IFERROR(__xludf.DUMMYFUNCTION("GOOGLETRANSLATE(B1313,""en"",""es-ES"")"),"Varios artículos se muestran en un piso y conducen a una mujer que sostiene los productos y habla con la cámara.")</f>
        <v>Varios artículos se muestran en un piso y conducen a una mujer que sostiene los productos y habla con la cámara.</v>
      </c>
    </row>
    <row r="1314">
      <c r="A1314" s="4" t="s">
        <v>1657</v>
      </c>
      <c r="B1314" s="4" t="s">
        <v>1659</v>
      </c>
      <c r="C1314" s="5" t="str">
        <f>IFERROR(__xludf.DUMMYFUNCTION("GOOGLETRANSLATE(B1314,""en"",""es-ES"")"),"Ella levanta su zapato y enciende un partido sobre el esmalte.")</f>
        <v>Ella levanta su zapato y enciende un partido sobre el esmalte.</v>
      </c>
    </row>
    <row r="1315">
      <c r="A1315" s="4" t="s">
        <v>1657</v>
      </c>
      <c r="B1315" s="4" t="s">
        <v>1660</v>
      </c>
      <c r="C1315" s="5" t="str">
        <f>IFERROR(__xludf.DUMMYFUNCTION("GOOGLETRANSLATE(B1315,""en"",""es-ES"")"),"Luego toma un trapo y corre sobre la bota con el esmalte en pequeños círculos.")</f>
        <v>Luego toma un trapo y corre sobre la bota con el esmalte en pequeños círculos.</v>
      </c>
    </row>
    <row r="1316">
      <c r="A1316" s="4" t="s">
        <v>1661</v>
      </c>
      <c r="B1316" s="4" t="s">
        <v>1662</v>
      </c>
      <c r="C1316" s="5" t="str">
        <f>IFERROR(__xludf.DUMMYFUNCTION("GOOGLETRANSLATE(B1316,""en"",""es-ES"")"),"Se muestra una imagen fija de la espalda de un individuo.")</f>
        <v>Se muestra una imagen fija de la espalda de un individuo.</v>
      </c>
    </row>
    <row r="1317">
      <c r="A1317" s="4" t="s">
        <v>1661</v>
      </c>
      <c r="B1317" s="4" t="s">
        <v>1663</v>
      </c>
      <c r="C1317" s="5" t="str">
        <f>IFERROR(__xludf.DUMMYFUNCTION("GOOGLETRANSLATE(B1317,""en"",""es-ES"")"),"Algún tipo de elemento se muestra en primer plano.")</f>
        <v>Algún tipo de elemento se muestra en primer plano.</v>
      </c>
    </row>
    <row r="1318">
      <c r="A1318" s="4" t="s">
        <v>1661</v>
      </c>
      <c r="B1318" s="4" t="s">
        <v>1664</v>
      </c>
      <c r="C1318" s="5" t="str">
        <f>IFERROR(__xludf.DUMMYFUNCTION("GOOGLETRANSLATE(B1318,""en"",""es-ES"")"),"Un hombre y una mujer hablan con la cámara en un entorno de noticias.")</f>
        <v>Un hombre y una mujer hablan con la cámara en un entorno de noticias.</v>
      </c>
    </row>
    <row r="1319">
      <c r="A1319" s="4" t="s">
        <v>1661</v>
      </c>
      <c r="B1319" s="4" t="s">
        <v>1665</v>
      </c>
      <c r="C1319" s="5" t="str">
        <f>IFERROR(__xludf.DUMMYFUNCTION("GOOGLETRANSLATE(B1319,""en"",""es-ES"")"),"Las escenas de los asistentes a la playa de verano se muestran en un contexto de informe de noticias.")</f>
        <v>Las escenas de los asistentes a la playa de verano se muestran en un contexto de informe de noticias.</v>
      </c>
    </row>
    <row r="1320">
      <c r="A1320" s="4" t="s">
        <v>1661</v>
      </c>
      <c r="B1320" s="4" t="s">
        <v>1666</v>
      </c>
      <c r="C1320" s="5" t="str">
        <f>IFERROR(__xludf.DUMMYFUNCTION("GOOGLETRANSLATE(B1320,""en"",""es-ES"")"),"Se muestra a un hombre caminando cerca de un bote con perros.")</f>
        <v>Se muestra a un hombre caminando cerca de un bote con perros.</v>
      </c>
    </row>
    <row r="1321">
      <c r="A1321" s="4" t="s">
        <v>1661</v>
      </c>
      <c r="B1321" s="4" t="s">
        <v>1667</v>
      </c>
      <c r="C1321" s="5" t="str">
        <f>IFERROR(__xludf.DUMMYFUNCTION("GOOGLETRANSLATE(B1321,""en"",""es-ES"")"),"El hombre se muestra cerca de una parrilla.")</f>
        <v>El hombre se muestra cerca de una parrilla.</v>
      </c>
    </row>
    <row r="1322">
      <c r="A1322" s="4" t="s">
        <v>1661</v>
      </c>
      <c r="B1322" s="4" t="s">
        <v>1668</v>
      </c>
      <c r="C1322" s="5" t="str">
        <f>IFERROR(__xludf.DUMMYFUNCTION("GOOGLETRANSLATE(B1322,""en"",""es-ES"")"),"Un corte rápido de un elemento de antes se muestra de cerca.")</f>
        <v>Un corte rápido de un elemento de antes se muestra de cerca.</v>
      </c>
    </row>
    <row r="1323">
      <c r="A1323" s="4" t="s">
        <v>1661</v>
      </c>
      <c r="B1323" s="4" t="s">
        <v>1669</v>
      </c>
      <c r="C1323" s="5" t="str">
        <f>IFERROR(__xludf.DUMMYFUNCTION("GOOGLETRANSLATE(B1323,""en"",""es-ES"")"),"El hombre es entrevistado mientras está sentado, con un corte rápido de él caminando.")</f>
        <v>El hombre es entrevistado mientras está sentado, con un corte rápido de él caminando.</v>
      </c>
    </row>
    <row r="1324">
      <c r="A1324" s="4" t="s">
        <v>1661</v>
      </c>
      <c r="B1324" s="4" t="s">
        <v>1670</v>
      </c>
      <c r="C1324" s="5" t="str">
        <f>IFERROR(__xludf.DUMMYFUNCTION("GOOGLETRANSLATE(B1324,""en"",""es-ES"")"),"El hombre se quita la camisa.")</f>
        <v>El hombre se quita la camisa.</v>
      </c>
    </row>
    <row r="1325">
      <c r="A1325" s="4" t="s">
        <v>1661</v>
      </c>
      <c r="B1325" s="4" t="s">
        <v>1671</v>
      </c>
      <c r="C1325" s="5" t="str">
        <f>IFERROR(__xludf.DUMMYFUNCTION("GOOGLETRANSLATE(B1325,""en"",""es-ES"")"),"Se muestran más escenas de cerca del artículo.")</f>
        <v>Se muestran más escenas de cerca del artículo.</v>
      </c>
    </row>
    <row r="1326">
      <c r="A1326" s="4" t="s">
        <v>1661</v>
      </c>
      <c r="B1326" s="4" t="s">
        <v>1672</v>
      </c>
      <c r="C1326" s="5" t="str">
        <f>IFERROR(__xludf.DUMMYFUNCTION("GOOGLETRANSLATE(B1326,""en"",""es-ES"")"),"Se muestran imágenes fijas y videos de daño en la piel.")</f>
        <v>Se muestran imágenes fijas y videos de daño en la piel.</v>
      </c>
    </row>
    <row r="1327">
      <c r="A1327" s="4" t="s">
        <v>1661</v>
      </c>
      <c r="B1327" s="4" t="s">
        <v>1673</v>
      </c>
      <c r="C1327" s="5" t="str">
        <f>IFERROR(__xludf.DUMMYFUNCTION("GOOGLETRANSLATE(B1327,""en"",""es-ES"")"),"El hombre habla en un entorno interior.")</f>
        <v>El hombre habla en un entorno interior.</v>
      </c>
    </row>
    <row r="1328">
      <c r="A1328" s="4" t="s">
        <v>1661</v>
      </c>
      <c r="B1328" s="4" t="s">
        <v>1674</v>
      </c>
      <c r="C1328" s="5" t="str">
        <f>IFERROR(__xludf.DUMMYFUNCTION("GOOGLETRANSLATE(B1328,""en"",""es-ES"")"),"Se muestra otra imagen aún del elemento.")</f>
        <v>Se muestra otra imagen aún del elemento.</v>
      </c>
    </row>
    <row r="1329">
      <c r="A1329" s="4" t="s">
        <v>1661</v>
      </c>
      <c r="B1329" s="4" t="s">
        <v>1675</v>
      </c>
      <c r="C1329" s="5" t="str">
        <f>IFERROR(__xludf.DUMMYFUNCTION("GOOGLETRANSLATE(B1329,""en"",""es-ES"")"),"El hombre es entrevistado sentado nuevamente.")</f>
        <v>El hombre es entrevistado sentado nuevamente.</v>
      </c>
    </row>
    <row r="1330">
      <c r="A1330" s="4" t="s">
        <v>1661</v>
      </c>
      <c r="B1330" s="4" t="s">
        <v>1676</v>
      </c>
      <c r="C1330" s="5" t="str">
        <f>IFERROR(__xludf.DUMMYFUNCTION("GOOGLETRANSLATE(B1330,""en"",""es-ES"")"),"Se muestra una pantalla fija de texto.")</f>
        <v>Se muestra una pantalla fija de texto.</v>
      </c>
    </row>
    <row r="1331">
      <c r="A1331" s="4" t="s">
        <v>1661</v>
      </c>
      <c r="B1331" s="4" t="s">
        <v>1677</v>
      </c>
      <c r="C1331" s="5" t="str">
        <f>IFERROR(__xludf.DUMMYFUNCTION("GOOGLETRANSLATE(B1331,""en"",""es-ES"")"),"Un hombre diferente habla con la cámara mientras se muestra un logotipo a su lado.")</f>
        <v>Un hombre diferente habla con la cámara mientras se muestra un logotipo a su lado.</v>
      </c>
    </row>
    <row r="1332">
      <c r="A1332" s="4" t="s">
        <v>1661</v>
      </c>
      <c r="B1332" s="4" t="s">
        <v>1678</v>
      </c>
      <c r="C1332" s="5" t="str">
        <f>IFERROR(__xludf.DUMMYFUNCTION("GOOGLETRANSLATE(B1332,""en"",""es-ES"")"),"Se muestra una página web sobre el primer hombre.")</f>
        <v>Se muestra una página web sobre el primer hombre.</v>
      </c>
    </row>
    <row r="1333">
      <c r="A1333" s="4" t="s">
        <v>1679</v>
      </c>
      <c r="B1333" s="4" t="s">
        <v>1680</v>
      </c>
      <c r="C1333" s="5" t="str">
        <f>IFERROR(__xludf.DUMMYFUNCTION("GOOGLETRANSLATE(B1333,""en"",""es-ES"")"),"Un hombre está bailando en un escenario con una camisa amarilla.")</f>
        <v>Un hombre está bailando en un escenario con una camisa amarilla.</v>
      </c>
    </row>
    <row r="1334">
      <c r="A1334" s="4" t="s">
        <v>1679</v>
      </c>
      <c r="B1334" s="4" t="s">
        <v>1681</v>
      </c>
      <c r="C1334" s="5" t="str">
        <f>IFERROR(__xludf.DUMMYFUNCTION("GOOGLETRANSLATE(B1334,""en"",""es-ES"")"),"La gente en la audiencia que lo veía está bailando con él.")</f>
        <v>La gente en la audiencia que lo veía está bailando con él.</v>
      </c>
    </row>
    <row r="1335">
      <c r="A1335" s="4" t="s">
        <v>1679</v>
      </c>
      <c r="B1335" s="4" t="s">
        <v>1682</v>
      </c>
      <c r="C1335" s="5" t="str">
        <f>IFERROR(__xludf.DUMMYFUNCTION("GOOGLETRANSLATE(B1335,""en"",""es-ES"")"),"Un hombre camina frente a la multitud.")</f>
        <v>Un hombre camina frente a la multitud.</v>
      </c>
    </row>
    <row r="1336">
      <c r="A1336" s="4" t="s">
        <v>1683</v>
      </c>
      <c r="B1336" s="4" t="s">
        <v>1684</v>
      </c>
      <c r="C1336" s="5" t="str">
        <f>IFERROR(__xludf.DUMMYFUNCTION("GOOGLETRANSLATE(B1336,""en"",""es-ES"")"),"Un caballo patea a un hombre con una camisa roja.")</f>
        <v>Un caballo patea a un hombre con una camisa roja.</v>
      </c>
    </row>
    <row r="1337">
      <c r="A1337" s="4" t="s">
        <v>1683</v>
      </c>
      <c r="B1337" s="4" t="s">
        <v>1685</v>
      </c>
      <c r="C1337" s="5" t="str">
        <f>IFERROR(__xludf.DUMMYFUNCTION("GOOGLETRANSLATE(B1337,""en"",""es-ES"")"),"Una chica con una camisa gris es arrojada de un caballo.")</f>
        <v>Una chica con una camisa gris es arrojada de un caballo.</v>
      </c>
    </row>
    <row r="1338">
      <c r="A1338" s="4" t="s">
        <v>1683</v>
      </c>
      <c r="B1338" s="4" t="s">
        <v>1686</v>
      </c>
      <c r="C1338" s="5" t="str">
        <f>IFERROR(__xludf.DUMMYFUNCTION("GOOGLETRANSLATE(B1338,""en"",""es-ES"")"),"Un hombre que monta un caballo se sacude.")</f>
        <v>Un hombre que monta un caballo se sacude.</v>
      </c>
    </row>
    <row r="1339">
      <c r="A1339" s="4" t="s">
        <v>1683</v>
      </c>
      <c r="B1339" s="4" t="s">
        <v>1687</v>
      </c>
      <c r="C1339" s="5" t="str">
        <f>IFERROR(__xludf.DUMMYFUNCTION("GOOGLETRANSLATE(B1339,""en"",""es-ES"")"),"Un caballo se inclina hacia atrás con una persona.")</f>
        <v>Un caballo se inclina hacia atrás con una persona.</v>
      </c>
    </row>
    <row r="1340">
      <c r="A1340" s="4" t="s">
        <v>1683</v>
      </c>
      <c r="B1340" s="4" t="s">
        <v>1688</v>
      </c>
      <c r="C1340" s="5" t="str">
        <f>IFERROR(__xludf.DUMMYFUNCTION("GOOGLETRANSLATE(B1340,""en"",""es-ES"")"),"Un hombre monta sobre un caballo y vuela.")</f>
        <v>Un hombre monta sobre un caballo y vuela.</v>
      </c>
    </row>
    <row r="1341">
      <c r="A1341" s="4" t="s">
        <v>1683</v>
      </c>
      <c r="B1341" s="4" t="s">
        <v>1689</v>
      </c>
      <c r="C1341" s="5" t="str">
        <f>IFERROR(__xludf.DUMMYFUNCTION("GOOGLETRANSLATE(B1341,""en"",""es-ES"")"),"Un caballo blanco pierde un salto y la persona se cae.")</f>
        <v>Un caballo blanco pierde un salto y la persona se cae.</v>
      </c>
    </row>
    <row r="1342">
      <c r="A1342" s="4" t="s">
        <v>1683</v>
      </c>
      <c r="B1342" s="4" t="s">
        <v>1690</v>
      </c>
      <c r="C1342" s="5" t="str">
        <f>IFERROR(__xludf.DUMMYFUNCTION("GOOGLETRANSLATE(B1342,""en"",""es-ES"")"),"Un hombre es golpeado por una cuerda mientras persigue una pantorrilla.")</f>
        <v>Un hombre es golpeado por una cuerda mientras persigue una pantorrilla.</v>
      </c>
    </row>
    <row r="1343">
      <c r="A1343" s="4" t="s">
        <v>1683</v>
      </c>
      <c r="B1343" s="4" t="s">
        <v>1691</v>
      </c>
      <c r="C1343" s="5" t="str">
        <f>IFERROR(__xludf.DUMMYFUNCTION("GOOGLETRANSLATE(B1343,""en"",""es-ES"")"),"Un caballo se pone la cabeza atrapado en un bote de basura.")</f>
        <v>Un caballo se pone la cabeza atrapado en un bote de basura.</v>
      </c>
    </row>
    <row r="1344">
      <c r="A1344" s="4" t="s">
        <v>1692</v>
      </c>
      <c r="B1344" s="4" t="s">
        <v>1693</v>
      </c>
      <c r="C1344" s="5" t="str">
        <f>IFERROR(__xludf.DUMMYFUNCTION("GOOGLETRANSLATE(B1344,""en"",""es-ES"")"),"Las palabras ""Cómo volar una cometa sin viento"" aparecen en una pantalla negra.")</f>
        <v>Las palabras "Cómo volar una cometa sin viento" aparecen en una pantalla negra.</v>
      </c>
    </row>
    <row r="1345">
      <c r="A1345" s="4" t="s">
        <v>1692</v>
      </c>
      <c r="B1345" s="4" t="s">
        <v>1694</v>
      </c>
      <c r="C1345" s="5" t="str">
        <f>IFERROR(__xludf.DUMMYFUNCTION("GOOGLETRANSLATE(B1345,""en"",""es-ES"")"),"El hombre que usa una camiseta amarilla aparece en un gran campo suburbano.")</f>
        <v>El hombre que usa una camiseta amarilla aparece en un gran campo suburbano.</v>
      </c>
    </row>
    <row r="1346">
      <c r="A1346" s="4" t="s">
        <v>1692</v>
      </c>
      <c r="B1346" s="4" t="s">
        <v>1695</v>
      </c>
      <c r="C1346" s="5" t="str">
        <f>IFERROR(__xludf.DUMMYFUNCTION("GOOGLETRANSLATE(B1346,""en"",""es-ES"")"),"El hombre reúne una cometa de color arcoiris con colas amarillas largas.")</f>
        <v>El hombre reúne una cometa de color arcoiris con colas amarillas largas.</v>
      </c>
    </row>
    <row r="1347">
      <c r="A1347" s="4" t="s">
        <v>1692</v>
      </c>
      <c r="B1347" s="4" t="s">
        <v>1696</v>
      </c>
      <c r="C1347" s="5" t="str">
        <f>IFERROR(__xludf.DUMMYFUNCTION("GOOGLETRANSLATE(B1347,""en"",""es-ES"")"),"El hombre conduce un pequeño tractor de corte verde mientras sostiene la cuerda de la cometa mientras vuela arriba.")</f>
        <v>El hombre conduce un pequeño tractor de corte verde mientras sostiene la cuerda de la cometa mientras vuela arriba.</v>
      </c>
    </row>
    <row r="1348">
      <c r="A1348" s="4" t="s">
        <v>1692</v>
      </c>
      <c r="B1348" s="4" t="s">
        <v>1697</v>
      </c>
      <c r="C1348" s="5" t="str">
        <f>IFERROR(__xludf.DUMMYFUNCTION("GOOGLETRANSLATE(B1348,""en"",""es-ES"")"),"Una joven habla en la pantalla y luego conduce el tractor mientras sostiene la cometa voladora.")</f>
        <v>Una joven habla en la pantalla y luego conduce el tractor mientras sostiene la cometa voladora.</v>
      </c>
    </row>
    <row r="1349">
      <c r="A1349" s="4" t="s">
        <v>1698</v>
      </c>
      <c r="B1349" s="4" t="s">
        <v>1699</v>
      </c>
      <c r="C1349" s="5" t="str">
        <f>IFERROR(__xludf.DUMMYFUNCTION("GOOGLETRANSLATE(B1349,""en"",""es-ES"")"),"Se muestra a una niña jugando al tenis de mesa, golpeando la pelota extremadamente rápido de un lado a otro sobre la red.")</f>
        <v>Se muestra a una niña jugando al tenis de mesa, golpeando la pelota extremadamente rápido de un lado a otro sobre la red.</v>
      </c>
    </row>
    <row r="1350">
      <c r="A1350" s="4" t="s">
        <v>1698</v>
      </c>
      <c r="B1350" s="4" t="s">
        <v>1700</v>
      </c>
      <c r="C1350" s="5" t="str">
        <f>IFERROR(__xludf.DUMMYFUNCTION("GOOGLETRANSLATE(B1350,""en"",""es-ES"")"),"Algunas de las bolas vuelan junto a ella, pero ella continúa golpeando bolas nuevas sin detenerse.")</f>
        <v>Algunas de las bolas vuelan junto a ella, pero ella continúa golpeando bolas nuevas sin detenerse.</v>
      </c>
    </row>
    <row r="1351">
      <c r="A1351" s="4" t="s">
        <v>1701</v>
      </c>
      <c r="B1351" s="4" t="s">
        <v>1702</v>
      </c>
      <c r="C1351" s="5" t="str">
        <f>IFERROR(__xludf.DUMMYFUNCTION("GOOGLETRANSLATE(B1351,""en"",""es-ES"")"),"Un hombre se acerca y se atribuye las manos.")</f>
        <v>Un hombre se acerca y se atribuye las manos.</v>
      </c>
    </row>
    <row r="1352">
      <c r="A1352" s="4" t="s">
        <v>1701</v>
      </c>
      <c r="B1352" s="4" t="s">
        <v>1703</v>
      </c>
      <c r="C1352" s="5" t="str">
        <f>IFERROR(__xludf.DUMMYFUNCTION("GOOGLETRANSLATE(B1352,""en"",""es-ES"")"),"El hombre camina por los bares, estira y se para allí.")</f>
        <v>El hombre camina por los bares, estira y se para allí.</v>
      </c>
    </row>
    <row r="1353">
      <c r="A1353" s="4" t="s">
        <v>1701</v>
      </c>
      <c r="B1353" s="4" t="s">
        <v>1704</v>
      </c>
      <c r="C1353" s="5" t="str">
        <f>IFERROR(__xludf.DUMMYFUNCTION("GOOGLETRANSLATE(B1353,""en"",""es-ES"")"),"El hombre monta las barras y comienza a girar.")</f>
        <v>El hombre monta las barras y comienza a girar.</v>
      </c>
    </row>
    <row r="1354">
      <c r="A1354" s="4" t="s">
        <v>1701</v>
      </c>
      <c r="B1354" s="4" t="s">
        <v>1705</v>
      </c>
      <c r="C1354" s="5" t="str">
        <f>IFERROR(__xludf.DUMMYFUNCTION("GOOGLETRANSLATE(B1354,""en"",""es-ES"")"),"El hombre voltea y desmonta.")</f>
        <v>El hombre voltea y desmonta.</v>
      </c>
    </row>
    <row r="1355">
      <c r="A1355" s="4" t="s">
        <v>1701</v>
      </c>
      <c r="B1355" s="4" t="s">
        <v>1706</v>
      </c>
      <c r="C1355" s="5" t="str">
        <f>IFERROR(__xludf.DUMMYFUNCTION("GOOGLETRANSLATE(B1355,""en"",""es-ES"")"),"El hombre se aleja de los bares.")</f>
        <v>El hombre se aleja de los bares.</v>
      </c>
    </row>
    <row r="1356">
      <c r="A1356" s="4" t="s">
        <v>1707</v>
      </c>
      <c r="B1356" s="4" t="s">
        <v>1708</v>
      </c>
      <c r="C1356" s="5" t="str">
        <f>IFERROR(__xludf.DUMMYFUNCTION("GOOGLETRANSLATE(B1356,""en"",""es-ES"")"),"Una mujer habla, luego sostiene el tubo de vacío y señala la boquilla.")</f>
        <v>Una mujer habla, luego sostiene el tubo de vacío y señala la boquilla.</v>
      </c>
    </row>
    <row r="1357">
      <c r="A1357" s="4" t="s">
        <v>1707</v>
      </c>
      <c r="B1357" s="4" t="s">
        <v>1709</v>
      </c>
      <c r="C1357" s="5" t="str">
        <f>IFERROR(__xludf.DUMMYFUNCTION("GOOGLETRANSLATE(B1357,""en"",""es-ES"")"),"La mujer aspira la tierra en una alfombra, luego extiende el tubo mientras explica.")</f>
        <v>La mujer aspira la tierra en una alfombra, luego extiende el tubo mientras explica.</v>
      </c>
    </row>
    <row r="1358">
      <c r="A1358" s="4" t="s">
        <v>1707</v>
      </c>
      <c r="B1358" s="4" t="s">
        <v>1710</v>
      </c>
      <c r="C1358" s="5" t="str">
        <f>IFERROR(__xludf.DUMMYFUNCTION("GOOGLETRANSLATE(B1358,""en"",""es-ES"")"),"Luego, la mujer pone una boquilla pequeña y aspira un sofá, luego explica cómo quitar el recipiente de polvo.")</f>
        <v>Luego, la mujer pone una boquilla pequeña y aspira un sofá, luego explica cómo quitar el recipiente de polvo.</v>
      </c>
    </row>
    <row r="1359">
      <c r="A1359" s="4" t="s">
        <v>1707</v>
      </c>
      <c r="B1359" s="4" t="s">
        <v>1711</v>
      </c>
      <c r="C1359" s="5" t="str">
        <f>IFERROR(__xludf.DUMMYFUNCTION("GOOGLETRANSLATE(B1359,""en"",""es-ES"")"),"La mujer continúa explicando junto al vacío.")</f>
        <v>La mujer continúa explicando junto al vacío.</v>
      </c>
    </row>
    <row r="1360">
      <c r="A1360" s="4" t="s">
        <v>1712</v>
      </c>
      <c r="B1360" s="4" t="s">
        <v>1713</v>
      </c>
      <c r="C1360" s="5" t="str">
        <f>IFERROR(__xludf.DUMMYFUNCTION("GOOGLETRANSLATE(B1360,""en"",""es-ES"")"),"Dos hombres montan caballos en un campo polvoriento en las montañas.")</f>
        <v>Dos hombres montan caballos en un campo polvoriento en las montañas.</v>
      </c>
    </row>
    <row r="1361">
      <c r="A1361" s="4" t="s">
        <v>1712</v>
      </c>
      <c r="B1361" s="4" t="s">
        <v>1714</v>
      </c>
      <c r="C1361" s="5" t="str">
        <f>IFERROR(__xludf.DUMMYFUNCTION("GOOGLETRANSLATE(B1361,""en"",""es-ES"")"),"Los hombres y una mujer con kufiyyas en sus cabezas están parados en el postre al lado de los caballos.")</f>
        <v>Los hombres y una mujer con kufiyyas en sus cabezas están parados en el postre al lado de los caballos.</v>
      </c>
    </row>
    <row r="1362">
      <c r="A1362" s="4" t="s">
        <v>1712</v>
      </c>
      <c r="B1362" s="4" t="s">
        <v>1715</v>
      </c>
      <c r="C1362" s="5" t="str">
        <f>IFERROR(__xludf.DUMMYFUNCTION("GOOGLETRANSLATE(B1362,""en"",""es-ES"")"),"Se muestra el postre con montañas en la distancia y los hombres están de pie junto a los niños que viajan por los caballos y van al desierto.")</f>
        <v>Se muestra el postre con montañas en la distancia y los hombres están de pie junto a los niños que viajan por los caballos y van al desierto.</v>
      </c>
    </row>
    <row r="1363">
      <c r="A1363" s="4" t="s">
        <v>1716</v>
      </c>
      <c r="B1363" s="4" t="s">
        <v>1717</v>
      </c>
      <c r="C1363" s="5" t="str">
        <f>IFERROR(__xludf.DUMMYFUNCTION("GOOGLETRANSLATE(B1363,""en"",""es-ES"")"),"Un hombre y una mujer están parados en un bar.")</f>
        <v>Un hombre y una mujer están parados en un bar.</v>
      </c>
    </row>
    <row r="1364">
      <c r="A1364" s="4" t="s">
        <v>1716</v>
      </c>
      <c r="B1364" s="4" t="s">
        <v>1718</v>
      </c>
      <c r="C1364" s="5" t="str">
        <f>IFERROR(__xludf.DUMMYFUNCTION("GOOGLETRANSLATE(B1364,""en"",""es-ES"")"),"Vemos al hombre y a una mujer bailando el salón de baile.")</f>
        <v>Vemos al hombre y a una mujer bailando el salón de baile.</v>
      </c>
    </row>
    <row r="1365">
      <c r="A1365" s="4" t="s">
        <v>1716</v>
      </c>
      <c r="B1365" s="4" t="s">
        <v>1719</v>
      </c>
      <c r="C1365" s="5" t="str">
        <f>IFERROR(__xludf.DUMMYFUNCTION("GOOGLETRANSLATE(B1365,""en"",""es-ES"")"),"La señora patea su pierna detrás y frente a ella.")</f>
        <v>La señora patea su pierna detrás y frente a ella.</v>
      </c>
    </row>
    <row r="1366">
      <c r="A1366" s="4" t="s">
        <v>1716</v>
      </c>
      <c r="B1366" s="4" t="s">
        <v>1720</v>
      </c>
      <c r="C1366" s="5" t="str">
        <f>IFERROR(__xludf.DUMMYFUNCTION("GOOGLETRANSLATE(B1366,""en"",""es-ES"")"),"Acercamos las piernas de los bailarines.")</f>
        <v>Acercamos las piernas de los bailarines.</v>
      </c>
    </row>
    <row r="1367">
      <c r="A1367" s="4" t="s">
        <v>1716</v>
      </c>
      <c r="B1367" s="4" t="s">
        <v>1721</v>
      </c>
      <c r="C1367" s="5" t="str">
        <f>IFERROR(__xludf.DUMMYFUNCTION("GOOGLETRANSLATE(B1367,""en"",""es-ES"")"),"La cámara se vuelve borrosa y la escena termina.")</f>
        <v>La cámara se vuelve borrosa y la escena termina.</v>
      </c>
    </row>
    <row r="1368">
      <c r="A1368" s="4" t="s">
        <v>1722</v>
      </c>
      <c r="B1368" s="4" t="s">
        <v>1723</v>
      </c>
      <c r="C1368" s="5" t="str">
        <f>IFERROR(__xludf.DUMMYFUNCTION("GOOGLETRANSLATE(B1368,""en"",""es-ES"")"),"Se muestra un grupo de hembras tocando un partido de waterpolo en una piscina interior.")</f>
        <v>Se muestra un grupo de hembras tocando un partido de waterpolo en una piscina interior.</v>
      </c>
    </row>
    <row r="1369">
      <c r="A1369" s="4" t="s">
        <v>1722</v>
      </c>
      <c r="B1369" s="4" t="s">
        <v>1724</v>
      </c>
      <c r="C1369" s="5" t="str">
        <f>IFERROR(__xludf.DUMMYFUNCTION("GOOGLETRANSLATE(B1369,""en"",""es-ES"")"),"Parece ser un torneo, ya que son altamente competitivos y hacen todo lo posible.")</f>
        <v>Parece ser un torneo, ya que son altamente competitivos y hacen todo lo posible.</v>
      </c>
    </row>
    <row r="1370">
      <c r="A1370" s="4" t="s">
        <v>1722</v>
      </c>
      <c r="B1370" s="4" t="s">
        <v>1725</v>
      </c>
      <c r="C1370" s="5" t="str">
        <f>IFERROR(__xludf.DUMMYFUNCTION("GOOGLETRANSLATE(B1370,""en"",""es-ES"")"),"Varias tomas de la acción se muestran en movimiento normal y en cámara lenta.")</f>
        <v>Varias tomas de la acción se muestran en movimiento normal y en cámara lenta.</v>
      </c>
    </row>
    <row r="1371">
      <c r="A1371" s="4" t="s">
        <v>1722</v>
      </c>
      <c r="B1371" s="4" t="s">
        <v>1726</v>
      </c>
      <c r="C1371" s="5" t="str">
        <f>IFERROR(__xludf.DUMMYFUNCTION("GOOGLETRANSLATE(B1371,""en"",""es-ES"")"),"El partido parece estar muy tenso ya que ambos equipos están haciendo todo lo posible para anotar y ambos porteros ponen una gran defensa.")</f>
        <v>El partido parece estar muy tenso ya que ambos equipos están haciendo todo lo posible para anotar y ambos porteros ponen una gran defensa.</v>
      </c>
    </row>
    <row r="1372">
      <c r="A1372" s="4" t="s">
        <v>1722</v>
      </c>
      <c r="B1372" s="4" t="s">
        <v>1727</v>
      </c>
      <c r="C1372" s="5" t="str">
        <f>IFERROR(__xludf.DUMMYFUNCTION("GOOGLETRANSLATE(B1372,""en"",""es-ES"")"),"Una joven que jugó en el partido se muestra con toda su familia mientras toman una foto.")</f>
        <v>Una joven que jugó en el partido se muestra con toda su familia mientras toman una foto.</v>
      </c>
    </row>
    <row r="1373">
      <c r="A1373" s="4" t="s">
        <v>1728</v>
      </c>
      <c r="B1373" s="4" t="s">
        <v>1729</v>
      </c>
      <c r="C1373" s="5" t="str">
        <f>IFERROR(__xludf.DUMMYFUNCTION("GOOGLETRANSLATE(B1373,""en"",""es-ES"")"),"Un hombre se acerca a un baúl de pie junto a una suciedad.")</f>
        <v>Un hombre se acerca a un baúl de pie junto a una suciedad.</v>
      </c>
    </row>
    <row r="1374">
      <c r="A1374" s="4" t="s">
        <v>1728</v>
      </c>
      <c r="B1374" s="4" t="s">
        <v>1730</v>
      </c>
      <c r="C1374" s="5" t="str">
        <f>IFERROR(__xludf.DUMMYFUNCTION("GOOGLETRANSLATE(B1374,""en"",""es-ES"")"),"Agarra un hacha sentada en la tierra.")</f>
        <v>Agarra un hacha sentada en la tierra.</v>
      </c>
    </row>
    <row r="1375">
      <c r="A1375" s="4" t="s">
        <v>1728</v>
      </c>
      <c r="B1375" s="4" t="s">
        <v>1731</v>
      </c>
      <c r="C1375" s="5" t="str">
        <f>IFERROR(__xludf.DUMMYFUNCTION("GOOGLETRANSLATE(B1375,""en"",""es-ES"")"),"Toma el hacha y corta el tronco por la mitad.")</f>
        <v>Toma el hacha y corta el tronco por la mitad.</v>
      </c>
    </row>
    <row r="1376">
      <c r="A1376" s="4" t="s">
        <v>1728</v>
      </c>
      <c r="B1376" s="4" t="s">
        <v>1732</v>
      </c>
      <c r="C1376" s="5" t="str">
        <f>IFERROR(__xludf.DUMMYFUNCTION("GOOGLETRANSLATE(B1376,""en"",""es-ES"")"),"El tronco cae y recoge una de las mitades.")</f>
        <v>El tronco cae y recoge una de las mitades.</v>
      </c>
    </row>
    <row r="1377">
      <c r="A1377" s="4" t="s">
        <v>1728</v>
      </c>
      <c r="B1377" s="4" t="s">
        <v>1733</v>
      </c>
      <c r="C1377" s="5" t="str">
        <f>IFERROR(__xludf.DUMMYFUNCTION("GOOGLETRANSLATE(B1377,""en"",""es-ES"")"),"Lleva el hacha al tronco y lo corta por la mitad.")</f>
        <v>Lleva el hacha al tronco y lo corta por la mitad.</v>
      </c>
    </row>
    <row r="1378">
      <c r="A1378" s="4" t="s">
        <v>1728</v>
      </c>
      <c r="B1378" s="4" t="s">
        <v>1734</v>
      </c>
      <c r="C1378" s="5" t="str">
        <f>IFERROR(__xludf.DUMMYFUNCTION("GOOGLETRANSLATE(B1378,""en"",""es-ES"")"),"Él se encuentra con el otro baúl y lo corta por la mitad.")</f>
        <v>Él se encuentra con el otro baúl y lo corta por la mitad.</v>
      </c>
    </row>
    <row r="1379">
      <c r="A1379" s="4" t="s">
        <v>1735</v>
      </c>
      <c r="B1379" s="4" t="s">
        <v>1736</v>
      </c>
      <c r="C1379" s="5" t="str">
        <f>IFERROR(__xludf.DUMMYFUNCTION("GOOGLETRANSLATE(B1379,""en"",""es-ES"")"),"Dos hombres están parados en la mesa en posición de lucha libre.")</f>
        <v>Dos hombres están parados en la mesa en posición de lucha libre.</v>
      </c>
    </row>
    <row r="1380">
      <c r="A1380" s="4" t="s">
        <v>1735</v>
      </c>
      <c r="B1380" s="4" t="s">
        <v>1737</v>
      </c>
      <c r="C1380" s="5" t="str">
        <f>IFERROR(__xludf.DUMMYFUNCTION("GOOGLETRANSLATE(B1380,""en"",""es-ES"")"),"Una mujer está posicionando a los hombres, sosteniendo sus manos.")</f>
        <v>Una mujer está posicionando a los hombres, sosteniendo sus manos.</v>
      </c>
    </row>
    <row r="1381">
      <c r="A1381" s="4" t="s">
        <v>1735</v>
      </c>
      <c r="B1381" s="4" t="s">
        <v>1738</v>
      </c>
      <c r="C1381" s="5" t="str">
        <f>IFERROR(__xludf.DUMMYFUNCTION("GOOGLETRANSLATE(B1381,""en"",""es-ES"")"),"Un hombre sin gafas se inclina a un lado con su peso.")</f>
        <v>Un hombre sin gafas se inclina a un lado con su peso.</v>
      </c>
    </row>
    <row r="1382">
      <c r="A1382" s="4" t="s">
        <v>1735</v>
      </c>
      <c r="B1382" s="4" t="s">
        <v>1739</v>
      </c>
      <c r="C1382" s="5" t="str">
        <f>IFERROR(__xludf.DUMMYFUNCTION("GOOGLETRANSLATE(B1382,""en"",""es-ES"")"),"El hombre con vidrio puso la mano del otro hombre y ganó.")</f>
        <v>El hombre con vidrio puso la mano del otro hombre y ganó.</v>
      </c>
    </row>
    <row r="1383">
      <c r="A1383" s="4" t="s">
        <v>1740</v>
      </c>
      <c r="B1383" s="4" t="s">
        <v>1741</v>
      </c>
      <c r="C1383" s="5" t="str">
        <f>IFERROR(__xludf.DUMMYFUNCTION("GOOGLETRANSLATE(B1383,""en"",""es-ES"")"),"Las mujeres están de pie en una sala de entrenamiento.")</f>
        <v>Las mujeres están de pie en una sala de entrenamiento.</v>
      </c>
    </row>
    <row r="1384">
      <c r="A1384" s="4" t="s">
        <v>1740</v>
      </c>
      <c r="B1384" s="4" t="s">
        <v>1742</v>
      </c>
      <c r="C1384" s="5" t="str">
        <f>IFERROR(__xludf.DUMMYFUNCTION("GOOGLETRANSLATE(B1384,""en"",""es-ES"")"),"Las damas están bailando el vientre.")</f>
        <v>Las damas están bailando el vientre.</v>
      </c>
    </row>
    <row r="1385">
      <c r="A1385" s="4" t="s">
        <v>1740</v>
      </c>
      <c r="B1385" s="4" t="s">
        <v>1743</v>
      </c>
      <c r="C1385" s="5" t="str">
        <f>IFERROR(__xludf.DUMMYFUNCTION("GOOGLETRANSLATE(B1385,""en"",""es-ES"")"),"Las damas bajan y arrojan su cabello hacia atrás.")</f>
        <v>Las damas bajan y arrojan su cabello hacia atrás.</v>
      </c>
    </row>
    <row r="1386">
      <c r="A1386" s="4" t="s">
        <v>1740</v>
      </c>
      <c r="B1386" s="4" t="s">
        <v>1744</v>
      </c>
      <c r="C1386" s="5" t="str">
        <f>IFERROR(__xludf.DUMMYFUNCTION("GOOGLETRANSLATE(B1386,""en"",""es-ES"")"),"Balancean sus cuerpos bañados.")</f>
        <v>Balancean sus cuerpos bañados.</v>
      </c>
    </row>
    <row r="1387">
      <c r="A1387" s="4" t="s">
        <v>1740</v>
      </c>
      <c r="B1387" s="4" t="s">
        <v>1745</v>
      </c>
      <c r="C1387" s="5" t="str">
        <f>IFERROR(__xludf.DUMMYFUNCTION("GOOGLETRANSLATE(B1387,""en"",""es-ES"")"),"Las damas se sumergen y doblan hacia atrás.")</f>
        <v>Las damas se sumergen y doblan hacia atrás.</v>
      </c>
    </row>
    <row r="1388">
      <c r="A1388" s="4" t="s">
        <v>1740</v>
      </c>
      <c r="B1388" s="4" t="s">
        <v>1746</v>
      </c>
      <c r="C1388" s="5" t="str">
        <f>IFERROR(__xludf.DUMMYFUNCTION("GOOGLETRANSLATE(B1388,""en"",""es-ES"")"),"Las damas arrojan su cabello hacia adelante y hacia atrás.")</f>
        <v>Las damas arrojan su cabello hacia adelante y hacia atrás.</v>
      </c>
    </row>
    <row r="1389">
      <c r="A1389" s="4" t="s">
        <v>1740</v>
      </c>
      <c r="B1389" s="4" t="s">
        <v>1747</v>
      </c>
      <c r="C1389" s="5" t="str">
        <f>IFERROR(__xludf.DUMMYFUNCTION("GOOGLETRANSLATE(B1389,""en"",""es-ES"")"),"2:43 Un hombre está en la habitación en la parte posterior y se dobla.")</f>
        <v>2:43 Un hombre está en la habitación en la parte posterior y se dobla.</v>
      </c>
    </row>
    <row r="1390">
      <c r="A1390" s="4" t="s">
        <v>1740</v>
      </c>
      <c r="B1390" s="4" t="s">
        <v>1748</v>
      </c>
      <c r="C1390" s="5" t="str">
        <f>IFERROR(__xludf.DUMMYFUNCTION("GOOGLETRANSLATE(B1390,""en"",""es-ES"")"),"Las damas terminan de bailar y harán un arco.")</f>
        <v>Las damas terminan de bailar y harán un arco.</v>
      </c>
    </row>
    <row r="1391">
      <c r="A1391" s="4" t="s">
        <v>1749</v>
      </c>
      <c r="B1391" s="4" t="s">
        <v>1750</v>
      </c>
      <c r="C1391" s="5" t="str">
        <f>IFERROR(__xludf.DUMMYFUNCTION("GOOGLETRANSLATE(B1391,""en"",""es-ES"")"),"Es una noche afuera en un rancho de caballos y mucha gente está de pie.")</f>
        <v>Es una noche afuera en un rancho de caballos y mucha gente está de pie.</v>
      </c>
    </row>
    <row r="1392">
      <c r="A1392" s="4" t="s">
        <v>1749</v>
      </c>
      <c r="B1392" s="4" t="s">
        <v>1751</v>
      </c>
      <c r="C1392" s="5" t="str">
        <f>IFERROR(__xludf.DUMMYFUNCTION("GOOGLETRANSLATE(B1392,""en"",""es-ES"")"),"De repente, un caballo con un hombre que cabalga sobre él rápidamente comienza a correr y hay una pantorrilla con el caballo que corre frente a ellos.")</f>
        <v>De repente, un caballo con un hombre que cabalga sobre él rápidamente comienza a correr y hay una pantorrilla con el caballo que corre frente a ellos.</v>
      </c>
    </row>
    <row r="1393">
      <c r="A1393" s="4" t="s">
        <v>1749</v>
      </c>
      <c r="B1393" s="4" t="s">
        <v>1752</v>
      </c>
      <c r="C1393" s="5" t="str">
        <f>IFERROR(__xludf.DUMMYFUNCTION("GOOGLETRANSLATE(B1393,""en"",""es-ES"")"),"El hombre lassos de la pantorrilla, salta del caballo, tira la pantorrilla a un lado y lo ata rápidamente.")</f>
        <v>El hombre lassos de la pantorrilla, salta del caballo, tira la pantorrilla a un lado y lo ata rápidamente.</v>
      </c>
    </row>
    <row r="1394">
      <c r="A1394" s="4" t="s">
        <v>1749</v>
      </c>
      <c r="B1394" s="4" t="s">
        <v>1753</v>
      </c>
      <c r="C1394" s="5" t="str">
        <f>IFERROR(__xludf.DUMMYFUNCTION("GOOGLETRANSLATE(B1394,""en"",""es-ES"")"),"El hombre se levanta, regresa a su caballo, vuelve a subir y el caballo lentamente comienza a caminar mientras el ternero intenta ponerse de pie.")</f>
        <v>El hombre se levanta, regresa a su caballo, vuelve a subir y el caballo lentamente comienza a caminar mientras el ternero intenta ponerse de pie.</v>
      </c>
    </row>
    <row r="1395">
      <c r="A1395" s="4" t="s">
        <v>1754</v>
      </c>
      <c r="B1395" s="4" t="s">
        <v>1755</v>
      </c>
      <c r="C1395" s="5" t="str">
        <f>IFERROR(__xludf.DUMMYFUNCTION("GOOGLETRANSLATE(B1395,""en"",""es-ES"")"),"Vemos una pantalla de apertura con una luna.")</f>
        <v>Vemos una pantalla de apertura con una luna.</v>
      </c>
    </row>
    <row r="1396">
      <c r="A1396" s="4" t="s">
        <v>1754</v>
      </c>
      <c r="B1396" s="4" t="s">
        <v>1756</v>
      </c>
      <c r="C1396" s="5" t="str">
        <f>IFERROR(__xludf.DUMMYFUNCTION("GOOGLETRANSLATE(B1396,""en"",""es-ES"")"),"Una señora aparece sosteniendo una calabaza.")</f>
        <v>Una señora aparece sosteniendo una calabaza.</v>
      </c>
    </row>
    <row r="1397">
      <c r="A1397" s="4" t="s">
        <v>1754</v>
      </c>
      <c r="B1397" s="4" t="s">
        <v>1757</v>
      </c>
      <c r="C1397" s="5" t="str">
        <f>IFERROR(__xludf.DUMMYFUNCTION("GOOGLETRANSLATE(B1397,""en"",""es-ES"")"),"Vemos a la dama en la mano inferior izquierda de la pantalla hablando.")</f>
        <v>Vemos a la dama en la mano inferior izquierda de la pantalla hablando.</v>
      </c>
    </row>
    <row r="1398">
      <c r="A1398" s="4" t="s">
        <v>1754</v>
      </c>
      <c r="B1398" s="4" t="s">
        <v>1758</v>
      </c>
      <c r="C1398" s="5" t="str">
        <f>IFERROR(__xludf.DUMMYFUNCTION("GOOGLETRANSLATE(B1398,""en"",""es-ES"")"),"Vemos a una persona abierta y limpia una calabaza.")</f>
        <v>Vemos a una persona abierta y limpia una calabaza.</v>
      </c>
    </row>
    <row r="1399">
      <c r="A1399" s="4" t="s">
        <v>1754</v>
      </c>
      <c r="B1399" s="4" t="s">
        <v>1759</v>
      </c>
      <c r="C1399" s="5" t="str">
        <f>IFERROR(__xludf.DUMMYFUNCTION("GOOGLETRANSLATE(B1399,""en"",""es-ES"")"),"Vemos a la persona tallar un dibujo en una calabaza.")</f>
        <v>Vemos a la persona tallar un dibujo en una calabaza.</v>
      </c>
    </row>
    <row r="1400">
      <c r="A1400" s="4" t="s">
        <v>1754</v>
      </c>
      <c r="B1400" s="4" t="s">
        <v>1760</v>
      </c>
      <c r="C1400" s="5" t="str">
        <f>IFERROR(__xludf.DUMMYFUNCTION("GOOGLETRANSLATE(B1400,""en"",""es-ES"")"),"Vemos a una persona dibujar la calabaza con un marcador negro.")</f>
        <v>Vemos a una persona dibujar la calabaza con un marcador negro.</v>
      </c>
    </row>
    <row r="1401">
      <c r="A1401" s="4" t="s">
        <v>1754</v>
      </c>
      <c r="B1401" s="4" t="s">
        <v>1761</v>
      </c>
      <c r="C1401" s="5" t="str">
        <f>IFERROR(__xludf.DUMMYFUNCTION("GOOGLETRANSLATE(B1401,""en"",""es-ES"")"),"Vemos la linterna Jack O con una vela.")</f>
        <v>Vemos la linterna Jack O con una vela.</v>
      </c>
    </row>
    <row r="1402">
      <c r="A1402" s="4" t="s">
        <v>1762</v>
      </c>
      <c r="B1402" s="4" t="s">
        <v>1763</v>
      </c>
      <c r="C1402" s="5" t="str">
        <f>IFERROR(__xludf.DUMMYFUNCTION("GOOGLETRANSLATE(B1402,""en"",""es-ES"")"),"Una chica gimnástica está realizando un rayo de equilibrio.")</f>
        <v>Una chica gimnástica está realizando un rayo de equilibrio.</v>
      </c>
    </row>
    <row r="1403">
      <c r="A1403" s="4" t="s">
        <v>1762</v>
      </c>
      <c r="B1403" s="4" t="s">
        <v>1764</v>
      </c>
      <c r="C1403" s="5" t="str">
        <f>IFERROR(__xludf.DUMMYFUNCTION("GOOGLETRANSLATE(B1403,""en"",""es-ES"")"),"La niña se está preparando para subir a la viga de una almohadilla de salto.")</f>
        <v>La niña se está preparando para subir a la viga de una almohadilla de salto.</v>
      </c>
    </row>
    <row r="1404">
      <c r="A1404" s="4" t="s">
        <v>1762</v>
      </c>
      <c r="B1404" s="4" t="s">
        <v>1765</v>
      </c>
      <c r="C1404" s="5" t="str">
        <f>IFERROR(__xludf.DUMMYFUNCTION("GOOGLETRANSLATE(B1404,""en"",""es-ES"")"),"La niña se desempeña sin problemas en la viga.")</f>
        <v>La niña se desempeña sin problemas en la viga.</v>
      </c>
    </row>
    <row r="1405">
      <c r="A1405" s="4" t="s">
        <v>1762</v>
      </c>
      <c r="B1405" s="4" t="s">
        <v>1766</v>
      </c>
      <c r="C1405" s="5" t="str">
        <f>IFERROR(__xludf.DUMMYFUNCTION("GOOGLETRANSLATE(B1405,""en"",""es-ES"")"),"La niña aterriza perfectamente en el piso con una gran sonrisa.")</f>
        <v>La niña aterriza perfectamente en el piso con una gran sonrisa.</v>
      </c>
    </row>
    <row r="1406">
      <c r="A1406" s="4" t="s">
        <v>1767</v>
      </c>
      <c r="B1406" s="4" t="s">
        <v>1768</v>
      </c>
      <c r="C1406" s="5" t="str">
        <f>IFERROR(__xludf.DUMMYFUNCTION("GOOGLETRANSLATE(B1406,""en"",""es-ES"")"),"Se ve a un hombre usando una máquina en un largo tramo de hojas mientras se mueve hacia arriba y hacia abajo del césped.")</f>
        <v>Se ve a un hombre usando una máquina en un largo tramo de hojas mientras se mueve hacia arriba y hacia abajo del césped.</v>
      </c>
    </row>
    <row r="1407">
      <c r="A1407" s="4" t="s">
        <v>1767</v>
      </c>
      <c r="B1407" s="4" t="s">
        <v>1769</v>
      </c>
      <c r="C1407" s="5" t="str">
        <f>IFERROR(__xludf.DUMMYFUNCTION("GOOGLETRANSLATE(B1407,""en"",""es-ES"")"),"Continúa empujando las hojas alrededor del área y subiendo hacia arriba y hacia abajo del césped.")</f>
        <v>Continúa empujando las hojas alrededor del área y subiendo hacia arriba y hacia abajo del césped.</v>
      </c>
    </row>
    <row r="1408">
      <c r="A1408" s="4" t="s">
        <v>1770</v>
      </c>
      <c r="B1408" s="4" t="s">
        <v>1771</v>
      </c>
      <c r="C1408" s="5" t="str">
        <f>IFERROR(__xludf.DUMMYFUNCTION("GOOGLETRANSLATE(B1408,""en"",""es-ES"")"),"Un hombre presenta el tema del video, que es cómo hacer una foto de Smash en Badminton.")</f>
        <v>Un hombre presenta el tema del video, que es cómo hacer una foto de Smash en Badminton.</v>
      </c>
    </row>
    <row r="1409">
      <c r="A1409" s="4" t="s">
        <v>1770</v>
      </c>
      <c r="B1409" s="4" t="s">
        <v>1772</v>
      </c>
      <c r="C1409" s="5" t="str">
        <f>IFERROR(__xludf.DUMMYFUNCTION("GOOGLETRANSLATE(B1409,""en"",""es-ES"")"),"Lentamente demuestra el enfoque y la forma necesarios de la toma.")</f>
        <v>Lentamente demuestra el enfoque y la forma necesarios de la toma.</v>
      </c>
    </row>
    <row r="1410">
      <c r="A1410" s="4" t="s">
        <v>1770</v>
      </c>
      <c r="B1410" s="4" t="s">
        <v>1773</v>
      </c>
      <c r="C1410" s="5" t="str">
        <f>IFERROR(__xludf.DUMMYFUNCTION("GOOGLETRANSLATE(B1410,""en"",""es-ES"")"),"Luego vemos a un jugador realizar el tiro varias veces mientras otra persona lo prepara.")</f>
        <v>Luego vemos a un jugador realizar el tiro varias veces mientras otra persona lo prepara.</v>
      </c>
    </row>
    <row r="1411">
      <c r="A1411" s="4" t="s">
        <v>1774</v>
      </c>
      <c r="B1411" s="4" t="s">
        <v>1775</v>
      </c>
      <c r="C1411" s="5" t="str">
        <f>IFERROR(__xludf.DUMMYFUNCTION("GOOGLETRANSLATE(B1411,""en"",""es-ES"")"),"Una gimnasta masculina con un atuendo azul aplica polvo de tiza en sus manos.")</f>
        <v>Una gimnasta masculina con un atuendo azul aplica polvo de tiza en sus manos.</v>
      </c>
    </row>
    <row r="1412">
      <c r="A1412" s="4" t="s">
        <v>1774</v>
      </c>
      <c r="B1412" s="4" t="s">
        <v>1776</v>
      </c>
      <c r="C1412" s="5" t="str">
        <f>IFERROR(__xludf.DUMMYFUNCTION("GOOGLETRANSLATE(B1412,""en"",""es-ES"")"),"Aparece una infografía, que muestra su nombre como Danell Leyva de los Estados Unidos.")</f>
        <v>Aparece una infografía, que muestra su nombre como Danell Leyva de los Estados Unidos.</v>
      </c>
    </row>
    <row r="1413">
      <c r="A1413" s="4" t="s">
        <v>1774</v>
      </c>
      <c r="B1413" s="4" t="s">
        <v>1777</v>
      </c>
      <c r="C1413" s="5" t="str">
        <f>IFERROR(__xludf.DUMMYFUNCTION("GOOGLETRANSLATE(B1413,""en"",""es-ES"")"),"Se acerca a un bares y olas paralelas.")</f>
        <v>Se acerca a un bares y olas paralelas.</v>
      </c>
    </row>
    <row r="1414">
      <c r="A1414" s="4" t="s">
        <v>1774</v>
      </c>
      <c r="B1414" s="4" t="s">
        <v>1778</v>
      </c>
      <c r="C1414" s="5" t="str">
        <f>IFERROR(__xludf.DUMMYFUNCTION("GOOGLETRANSLATE(B1414,""en"",""es-ES"")"),"Realiza su rutina, ejecutando muchas volteretas y paradas de manos.")</f>
        <v>Realiza su rutina, ejecutando muchas volteretas y paradas de manos.</v>
      </c>
    </row>
    <row r="1415">
      <c r="A1415" s="4" t="s">
        <v>1774</v>
      </c>
      <c r="B1415" s="4" t="s">
        <v>1779</v>
      </c>
      <c r="C1415" s="5" t="str">
        <f>IFERROR(__xludf.DUMMYFUNCTION("GOOGLETRANSLATE(B1415,""en"",""es-ES"")"),"Desmita mal, cayendo y aterrizando sobre su espalda junto a la colchoneta.")</f>
        <v>Desmita mal, cayendo y aterrizando sobre su espalda junto a la colchoneta.</v>
      </c>
    </row>
    <row r="1416">
      <c r="A1416" s="4" t="s">
        <v>1774</v>
      </c>
      <c r="B1416" s="4" t="s">
        <v>1780</v>
      </c>
      <c r="C1416" s="5" t="str">
        <f>IFERROR(__xludf.DUMMYFUNCTION("GOOGLETRANSLATE(B1416,""en"",""es-ES"")"),"Él retrocede a la colchoneta y levanta brevemente los brazos.")</f>
        <v>Él retrocede a la colchoneta y levanta brevemente los brazos.</v>
      </c>
    </row>
    <row r="1417">
      <c r="A1417" s="4" t="s">
        <v>1781</v>
      </c>
      <c r="B1417" s="4" t="s">
        <v>1782</v>
      </c>
      <c r="C1417" s="5" t="str">
        <f>IFERROR(__xludf.DUMMYFUNCTION("GOOGLETRANSLATE(B1417,""en"",""es-ES"")"),"Los jugadores de hockey salen al hielo, saludándose.")</f>
        <v>Los jugadores de hockey salen al hielo, saludándose.</v>
      </c>
    </row>
    <row r="1418">
      <c r="A1418" s="4" t="s">
        <v>1781</v>
      </c>
      <c r="B1418" s="4" t="s">
        <v>1783</v>
      </c>
      <c r="C1418" s="5" t="str">
        <f>IFERROR(__xludf.DUMMYFUNCTION("GOOGLETRANSLATE(B1418,""en"",""es-ES"")"),"Juegan el juego, tratando de superar a sus oponentes en la meta.")</f>
        <v>Juegan el juego, tratando de superar a sus oponentes en la meta.</v>
      </c>
    </row>
    <row r="1419">
      <c r="A1419" s="4" t="s">
        <v>1781</v>
      </c>
      <c r="B1419" s="4" t="s">
        <v>1784</v>
      </c>
      <c r="C1419" s="5" t="str">
        <f>IFERROR(__xludf.DUMMYFUNCTION("GOOGLETRANSLATE(B1419,""en"",""es-ES"")"),"Rodan sobre el hielo lentamente.")</f>
        <v>Rodan sobre el hielo lentamente.</v>
      </c>
    </row>
    <row r="1420">
      <c r="A1420" s="4" t="s">
        <v>1785</v>
      </c>
      <c r="B1420" s="4" t="s">
        <v>1786</v>
      </c>
      <c r="C1420" s="5" t="str">
        <f>IFERROR(__xludf.DUMMYFUNCTION("GOOGLETRANSLATE(B1420,""en"",""es-ES"")"),"Una mujer atlética se estira con una pelota y balanceando sus piernas hacia atrás y cuarto.")</f>
        <v>Una mujer atlética se estira con una pelota y balanceando sus piernas hacia atrás y cuarto.</v>
      </c>
    </row>
    <row r="1421">
      <c r="A1421" s="4" t="s">
        <v>1785</v>
      </c>
      <c r="B1421" s="4" t="s">
        <v>1787</v>
      </c>
      <c r="C1421" s="5" t="str">
        <f>IFERROR(__xludf.DUMMYFUNCTION("GOOGLETRANSLATE(B1421,""en"",""es-ES"")"),"Ella lanza la pelota y nuevamente se prepara para otro lanzamiento.")</f>
        <v>Ella lanza la pelota y nuevamente se prepara para otro lanzamiento.</v>
      </c>
    </row>
    <row r="1422">
      <c r="A1422" s="4" t="s">
        <v>1785</v>
      </c>
      <c r="B1422" s="4" t="s">
        <v>1788</v>
      </c>
      <c r="C1422" s="5" t="str">
        <f>IFERROR(__xludf.DUMMYFUNCTION("GOOGLETRANSLATE(B1422,""en"",""es-ES"")"),"Ella gira tirando la pelota una vez más con un tercer lanzamiento seguido poco después.")</f>
        <v>Ella gira tirando la pelota una vez más con un tercer lanzamiento seguido poco después.</v>
      </c>
    </row>
    <row r="1423">
      <c r="A1423" s="4" t="s">
        <v>1785</v>
      </c>
      <c r="B1423" s="4" t="s">
        <v>1789</v>
      </c>
      <c r="C1423" s="5" t="str">
        <f>IFERROR(__xludf.DUMMYFUNCTION("GOOGLETRANSLATE(B1423,""en"",""es-ES"")"),"Ella realiza un último lanzamiento y se gira una vez más.")</f>
        <v>Ella realiza un último lanzamiento y se gira una vez más.</v>
      </c>
    </row>
    <row r="1424">
      <c r="A1424" s="4" t="s">
        <v>1790</v>
      </c>
      <c r="B1424" s="4" t="s">
        <v>1791</v>
      </c>
      <c r="C1424" s="5" t="str">
        <f>IFERROR(__xludf.DUMMYFUNCTION("GOOGLETRANSLATE(B1424,""en"",""es-ES"")"),"Las bolas de algodón se incendian y se apagan de varias maneras.")</f>
        <v>Las bolas de algodón se incendian y se apagan de varias maneras.</v>
      </c>
    </row>
    <row r="1425">
      <c r="A1425" s="4" t="s">
        <v>1790</v>
      </c>
      <c r="B1425" s="4" t="s">
        <v>1792</v>
      </c>
      <c r="C1425" s="5" t="str">
        <f>IFERROR(__xludf.DUMMYFUNCTION("GOOGLETRANSLATE(B1425,""en"",""es-ES"")"),"Se usa un hacha para apagar el fuego.")</f>
        <v>Se usa un hacha para apagar el fuego.</v>
      </c>
    </row>
    <row r="1426">
      <c r="A1426" s="4" t="s">
        <v>1790</v>
      </c>
      <c r="B1426" s="4" t="s">
        <v>1793</v>
      </c>
      <c r="C1426" s="5" t="str">
        <f>IFERROR(__xludf.DUMMYFUNCTION("GOOGLETRANSLATE(B1426,""en"",""es-ES"")"),"Se usa un trozo de madera para apagar el fuego.")</f>
        <v>Se usa un trozo de madera para apagar el fuego.</v>
      </c>
    </row>
    <row r="1427">
      <c r="A1427" s="4" t="s">
        <v>1794</v>
      </c>
      <c r="B1427" s="4" t="s">
        <v>1795</v>
      </c>
      <c r="C1427" s="5" t="str">
        <f>IFERROR(__xludf.DUMMYFUNCTION("GOOGLETRANSLATE(B1427,""en"",""es-ES"")"),"Una mujer lava la cabeza de un hombre y se corta el cabello, luego la mujer se encuentra con el siguiente hombre, toca la cabeza del joven.")</f>
        <v>Una mujer lava la cabeza de un hombre y se corta el cabello, luego la mujer se encuentra con el siguiente hombre, toca la cabeza del joven.</v>
      </c>
    </row>
    <row r="1428">
      <c r="A1428" s="4" t="s">
        <v>1794</v>
      </c>
      <c r="B1428" s="4" t="s">
        <v>1796</v>
      </c>
      <c r="C1428" s="5" t="str">
        <f>IFERROR(__xludf.DUMMYFUNCTION("GOOGLETRANSLATE(B1428,""en"",""es-ES"")"),"La mujer corta el cabello de un joven usando primero una máquina, y luego un peine y un tijeras.")</f>
        <v>La mujer corta el cabello de un joven usando primero una máquina, y luego un peine y un tijeras.</v>
      </c>
    </row>
    <row r="1429">
      <c r="A1429" s="4" t="s">
        <v>1794</v>
      </c>
      <c r="B1429" s="4" t="s">
        <v>1797</v>
      </c>
      <c r="C1429" s="5" t="str">
        <f>IFERROR(__xludf.DUMMYFUNCTION("GOOGLETRANSLATE(B1429,""en"",""es-ES"")"),"Luego, la mujer se seca el cabello con una secadora y cepilla la cabeza.")</f>
        <v>Luego, la mujer se seca el cabello con una secadora y cepilla la cabeza.</v>
      </c>
    </row>
    <row r="1430">
      <c r="A1430" s="4" t="s">
        <v>1794</v>
      </c>
      <c r="B1430" s="4" t="s">
        <v>1798</v>
      </c>
      <c r="C1430" s="5" t="str">
        <f>IFERROR(__xludf.DUMMYFUNCTION("GOOGLETRANSLATE(B1430,""en"",""es-ES"")"),"Después, la mujer toma crema en sus manos y peina la cabeza del hombre con los dedos para dar forma al cabello.")</f>
        <v>Después, la mujer toma crema en sus manos y peina la cabeza del hombre con los dedos para dar forma al cabello.</v>
      </c>
    </row>
    <row r="1431">
      <c r="A1431" s="4" t="s">
        <v>1794</v>
      </c>
      <c r="B1431" s="4" t="s">
        <v>1799</v>
      </c>
      <c r="C1431" s="5" t="str">
        <f>IFERROR(__xludf.DUMMYFUNCTION("GOOGLETRANSLATE(B1431,""en"",""es-ES"")"),"Luego, la mujer explica el peinado.")</f>
        <v>Luego, la mujer explica el peinado.</v>
      </c>
    </row>
    <row r="1432">
      <c r="A1432" s="4" t="s">
        <v>1800</v>
      </c>
      <c r="B1432" s="4" t="s">
        <v>1801</v>
      </c>
      <c r="C1432" s="5" t="str">
        <f>IFERROR(__xludf.DUMMYFUNCTION("GOOGLETRANSLATE(B1432,""en"",""es-ES"")"),"La gente camina por los pasillos de un hospital, luego un médico revisa la pierna herida de un hombre que dejó chispas verdes en la pierna y una máquina.")</f>
        <v>La gente camina por los pasillos de un hospital, luego un médico revisa la pierna herida de un hombre que dejó chispas verdes en la pierna y una máquina.</v>
      </c>
    </row>
    <row r="1433">
      <c r="A1433" s="4" t="s">
        <v>1800</v>
      </c>
      <c r="B1433" s="4" t="s">
        <v>1802</v>
      </c>
      <c r="C1433" s="5" t="str">
        <f>IFERROR(__xludf.DUMMYFUNCTION("GOOGLETRANSLATE(B1433,""en"",""es-ES"")"),"Luego, el hombre hace una llamada y deja destellos verdes en el teléfono que pasa a la mano de una enfermera que agarra el teléfono.")</f>
        <v>Luego, el hombre hace una llamada y deja destellos verdes en el teléfono que pasa a la mano de una enfermera que agarra el teléfono.</v>
      </c>
    </row>
    <row r="1434">
      <c r="A1434" s="4" t="s">
        <v>1800</v>
      </c>
      <c r="B1434" s="4" t="s">
        <v>1803</v>
      </c>
      <c r="C1434" s="5" t="str">
        <f>IFERROR(__xludf.DUMMYFUNCTION("GOOGLETRANSLATE(B1434,""en"",""es-ES"")"),"Después de que la enfermera entra a visitar a un hombre enfermo y dos médicos que llevan destellos verdes en sus manos que deja al hombre enfermo.")</f>
        <v>Después de que la enfermera entra a visitar a un hombre enfermo y dos médicos que llevan destellos verdes en sus manos que deja al hombre enfermo.</v>
      </c>
    </row>
    <row r="1435">
      <c r="A1435" s="4" t="s">
        <v>1800</v>
      </c>
      <c r="B1435" s="4" t="s">
        <v>1804</v>
      </c>
      <c r="C1435" s="5" t="str">
        <f>IFERROR(__xludf.DUMMYFUNCTION("GOOGLETRANSLATE(B1435,""en"",""es-ES"")"),"Una persona que lava la mano, usa la mano desinfectación y limpia un estetoscopio para deshacerse de los microbios.")</f>
        <v>Una persona que lava la mano, usa la mano desinfectación y limpia un estetoscopio para deshacerse de los microbios.</v>
      </c>
    </row>
    <row r="1436">
      <c r="A1436" s="4" t="s">
        <v>1805</v>
      </c>
      <c r="B1436" s="4" t="s">
        <v>1806</v>
      </c>
      <c r="C1436" s="5" t="str">
        <f>IFERROR(__xludf.DUMMYFUNCTION("GOOGLETRANSLATE(B1436,""en"",""es-ES"")"),"Un atleta se prepara para realizar un salto de longitud en un estadio lleno de gente, luego un hombre blanco corre y salta alto para aterrizar en la arena.")</f>
        <v>Un atleta se prepara para realizar un salto de longitud en un estadio lleno de gente, luego un hombre blanco corre y salta alto para aterrizar en la arena.</v>
      </c>
    </row>
    <row r="1437">
      <c r="A1437" s="4" t="s">
        <v>1805</v>
      </c>
      <c r="B1437" s="4" t="s">
        <v>1807</v>
      </c>
      <c r="C1437" s="5" t="str">
        <f>IFERROR(__xludf.DUMMYFUNCTION("GOOGLETRANSLATE(B1437,""en"",""es-ES"")"),"Además, tres machos negros corren rápido y saltan alto para realizar saltos de longitud.")</f>
        <v>Además, tres machos negros corren rápido y saltan alto para realizar saltos de longitud.</v>
      </c>
    </row>
    <row r="1438">
      <c r="A1438" s="4" t="s">
        <v>1805</v>
      </c>
      <c r="B1438" s="4" t="s">
        <v>1808</v>
      </c>
      <c r="C1438" s="5" t="str">
        <f>IFERROR(__xludf.DUMMYFUNCTION("GOOGLETRANSLATE(B1438,""en"",""es-ES"")"),"Además, un hombre blanco realiza salto de longitud, así como dos hombres negros hacen saltos largos.")</f>
        <v>Además, un hombre blanco realiza salto de longitud, así como dos hombres negros hacen saltos largos.</v>
      </c>
    </row>
    <row r="1439">
      <c r="A1439" s="4" t="s">
        <v>1805</v>
      </c>
      <c r="B1439" s="4" t="s">
        <v>1809</v>
      </c>
      <c r="C1439" s="5" t="str">
        <f>IFERROR(__xludf.DUMMYFUNCTION("GOOGLETRANSLATE(B1439,""en"",""es-ES"")"),"Una junta de puntaje se muestra y puntuación, mientras una persona se queda y se quita su dulce suéter.")</f>
        <v>Una junta de puntaje se muestra y puntuación, mientras una persona se queda y se quita su dulce suéter.</v>
      </c>
    </row>
    <row r="1440">
      <c r="A1440" s="4" t="s">
        <v>1805</v>
      </c>
      <c r="B1440" s="4" t="s">
        <v>1810</v>
      </c>
      <c r="C1440" s="5" t="str">
        <f>IFERROR(__xludf.DUMMYFUNCTION("GOOGLETRANSLATE(B1440,""en"",""es-ES"")"),"Un hombre negro salta a la altura de las carreras que celebran su triunfo.")</f>
        <v>Un hombre negro salta a la altura de las carreras que celebran su triunfo.</v>
      </c>
    </row>
    <row r="1441">
      <c r="A1441" s="4" t="s">
        <v>1811</v>
      </c>
      <c r="B1441" s="4" t="s">
        <v>1812</v>
      </c>
      <c r="C1441" s="5" t="str">
        <f>IFERROR(__xludf.DUMMYFUNCTION("GOOGLETRANSLATE(B1441,""en"",""es-ES"")"),"Aparece una pantalla con instrucciones sobre cómo adjuntar un remolque de bicicleta de instep.")</f>
        <v>Aparece una pantalla con instrucciones sobre cómo adjuntar un remolque de bicicleta de instep.</v>
      </c>
    </row>
    <row r="1442">
      <c r="A1442" s="4" t="s">
        <v>1811</v>
      </c>
      <c r="B1442" s="4" t="s">
        <v>1813</v>
      </c>
      <c r="C1442" s="5" t="str">
        <f>IFERROR(__xludf.DUMMYFUNCTION("GOOGLETRANSLATE(B1442,""en"",""es-ES"")"),"Un hombre está mostrando cómo unir un remolque de bicicleta de emparejamiento en la rueda trasera de una bicicleta.")</f>
        <v>Un hombre está mostrando cómo unir un remolque de bicicleta de emparejamiento en la rueda trasera de una bicicleta.</v>
      </c>
    </row>
    <row r="1443">
      <c r="A1443" s="4" t="s">
        <v>1811</v>
      </c>
      <c r="B1443" s="4" t="s">
        <v>1814</v>
      </c>
      <c r="C1443" s="5" t="str">
        <f>IFERROR(__xludf.DUMMYFUNCTION("GOOGLETRANSLATE(B1443,""en"",""es-ES"")"),"Luego, el hombre continúa explicando el proceso sentado en el comedor.")</f>
        <v>Luego, el hombre continúa explicando el proceso sentado en el comedor.</v>
      </c>
    </row>
    <row r="1444">
      <c r="A1444" s="4" t="s">
        <v>1811</v>
      </c>
      <c r="B1444" s="4" t="s">
        <v>1815</v>
      </c>
      <c r="C1444" s="5" t="str">
        <f>IFERROR(__xludf.DUMMYFUNCTION("GOOGLETRANSLATE(B1444,""en"",""es-ES"")"),"Dos niños pequeños están sentados en un remolque de bicicleta, mientras que el hombre coloca los cinturones de seguridad.")</f>
        <v>Dos niños pequeños están sentados en un remolque de bicicleta, mientras que el hombre coloca los cinturones de seguridad.</v>
      </c>
    </row>
    <row r="1445">
      <c r="A1445" s="4" t="s">
        <v>1816</v>
      </c>
      <c r="B1445" s="4" t="s">
        <v>1817</v>
      </c>
      <c r="C1445" s="5" t="str">
        <f>IFERROR(__xludf.DUMMYFUNCTION("GOOGLETRANSLATE(B1445,""en"",""es-ES"")"),"Un filtro en blanco y negro se dirige a un partido de fútbol en un campo interior.")</f>
        <v>Un filtro en blanco y negro se dirige a un partido de fútbol en un campo interior.</v>
      </c>
    </row>
    <row r="1446">
      <c r="A1446" s="4" t="s">
        <v>1816</v>
      </c>
      <c r="B1446" s="4" t="s">
        <v>1818</v>
      </c>
      <c r="C1446" s="5" t="str">
        <f>IFERROR(__xludf.DUMMYFUNCTION("GOOGLETRANSLATE(B1446,""en"",""es-ES"")"),"Luego se muestra el color a medida que más personas juegan fútbol y el cuarto se muestran en varios disparos.")</f>
        <v>Luego se muestra el color a medida que más personas juegan fútbol y el cuarto se muestran en varios disparos.</v>
      </c>
    </row>
    <row r="1447">
      <c r="A1447" s="4" t="s">
        <v>1819</v>
      </c>
      <c r="B1447" s="4" t="s">
        <v>1820</v>
      </c>
      <c r="C1447" s="5" t="str">
        <f>IFERROR(__xludf.DUMMYFUNCTION("GOOGLETRANSLATE(B1447,""en"",""es-ES"")"),"Se ve a un gran grupo de personas corriendo alrededor de un campo jugando lacrosse mientras otros miran.")</f>
        <v>Se ve a un gran grupo de personas corriendo alrededor de un campo jugando lacrosse mientras otros miran.</v>
      </c>
    </row>
    <row r="1448">
      <c r="A1448" s="4" t="s">
        <v>1819</v>
      </c>
      <c r="B1448" s="4" t="s">
        <v>1821</v>
      </c>
      <c r="C1448" s="5" t="str">
        <f>IFERROR(__xludf.DUMMYFUNCTION("GOOGLETRANSLATE(B1448,""en"",""es-ES"")"),"El juego continúa mientras la gente todavía los mira a los lados.")</f>
        <v>El juego continúa mientras la gente todavía los mira a los lados.</v>
      </c>
    </row>
    <row r="1449">
      <c r="A1449" s="4" t="s">
        <v>1819</v>
      </c>
      <c r="B1449" s="4" t="s">
        <v>1822</v>
      </c>
      <c r="C1449" s="5" t="str">
        <f>IFERROR(__xludf.DUMMYFUNCTION("GOOGLETRANSLATE(B1449,""en"",""es-ES"")"),"Se detienen varias veces para hablar entre ellos y continúan jugando.")</f>
        <v>Se detienen varias veces para hablar entre ellos y continúan jugando.</v>
      </c>
    </row>
    <row r="1450">
      <c r="A1450" s="4" t="s">
        <v>1823</v>
      </c>
      <c r="B1450" s="4" t="s">
        <v>1824</v>
      </c>
      <c r="C1450" s="5" t="str">
        <f>IFERROR(__xludf.DUMMYFUNCTION("GOOGLETRANSLATE(B1450,""en"",""es-ES"")"),"Se ve a una persona montando olas en el agua, así como a las personas de fiesta en una casa.")</f>
        <v>Se ve a una persona montando olas en el agua, así como a las personas de fiesta en una casa.</v>
      </c>
    </row>
    <row r="1451">
      <c r="A1451" s="4" t="s">
        <v>1823</v>
      </c>
      <c r="B1451" s="4" t="s">
        <v>1825</v>
      </c>
      <c r="C1451" s="5" t="str">
        <f>IFERROR(__xludf.DUMMYFUNCTION("GOOGLETRANSLATE(B1451,""en"",""es-ES"")"),"Se muestra un DJ tocando música y personas que bailan y surfean los surfios.")</f>
        <v>Se muestra un DJ tocando música y personas que bailan y surfean los surfios.</v>
      </c>
    </row>
    <row r="1452">
      <c r="A1452" s="4" t="s">
        <v>1823</v>
      </c>
      <c r="B1452" s="4" t="s">
        <v>1826</v>
      </c>
      <c r="C1452" s="5" t="str">
        <f>IFERROR(__xludf.DUMMYFUNCTION("GOOGLETRANSLATE(B1452,""en"",""es-ES"")"),"Se muestran más tomas de personas que surgen y se divierten en la casa.")</f>
        <v>Se muestran más tomas de personas que surgen y se divierten en la casa.</v>
      </c>
    </row>
    <row r="1453">
      <c r="A1453" s="4" t="s">
        <v>1827</v>
      </c>
      <c r="B1453" s="4" t="s">
        <v>1828</v>
      </c>
      <c r="C1453" s="5" t="str">
        <f>IFERROR(__xludf.DUMMYFUNCTION("GOOGLETRANSLATE(B1453,""en"",""es-ES"")"),"Vemos una pantalla de apertura en blanco.")</f>
        <v>Vemos una pantalla de apertura en blanco.</v>
      </c>
    </row>
    <row r="1454">
      <c r="A1454" s="4" t="s">
        <v>1827</v>
      </c>
      <c r="B1454" s="4" t="s">
        <v>1829</v>
      </c>
      <c r="C1454" s="5" t="str">
        <f>IFERROR(__xludf.DUMMYFUNCTION("GOOGLETRANSLATE(B1454,""en"",""es-ES"")"),"Luego vemos personas en Tube jugando en un río.")</f>
        <v>Luego vemos personas en Tube jugando en un río.</v>
      </c>
    </row>
    <row r="1455">
      <c r="A1455" s="4" t="s">
        <v>1827</v>
      </c>
      <c r="B1455" s="4" t="s">
        <v>1830</v>
      </c>
      <c r="C1455" s="5" t="str">
        <f>IFERROR(__xludf.DUMMYFUNCTION("GOOGLETRANSLATE(B1455,""en"",""es-ES"")"),"Un niño con gafas de sol flota más allá de la cámara.")</f>
        <v>Un niño con gafas de sol flota más allá de la cámara.</v>
      </c>
    </row>
    <row r="1456">
      <c r="A1456" s="4" t="s">
        <v>1827</v>
      </c>
      <c r="B1456" s="4" t="s">
        <v>1831</v>
      </c>
      <c r="C1456" s="5" t="str">
        <f>IFERROR(__xludf.DUMMYFUNCTION("GOOGLETRANSLATE(B1456,""en"",""es-ES"")"),"Un niño arroja un signo de paz a la cámara.")</f>
        <v>Un niño arroja un signo de paz a la cámara.</v>
      </c>
    </row>
    <row r="1457">
      <c r="A1457" s="4" t="s">
        <v>1827</v>
      </c>
      <c r="B1457" s="4" t="s">
        <v>1832</v>
      </c>
      <c r="C1457" s="5" t="str">
        <f>IFERROR(__xludf.DUMMYFUNCTION("GOOGLETRANSLATE(B1457,""en"",""es-ES"")"),"La gente pasa por una cascada en sus balsas.")</f>
        <v>La gente pasa por una cascada en sus balsas.</v>
      </c>
    </row>
    <row r="1458">
      <c r="A1458" s="4" t="s">
        <v>1827</v>
      </c>
      <c r="B1458" s="4" t="s">
        <v>1833</v>
      </c>
      <c r="C1458" s="5" t="str">
        <f>IFERROR(__xludf.DUMMYFUNCTION("GOOGLETRANSLATE(B1458,""en"",""es-ES"")"),"Vemos a un grupo de personas saltar al agua.")</f>
        <v>Vemos a un grupo de personas saltar al agua.</v>
      </c>
    </row>
    <row r="1459">
      <c r="A1459" s="4" t="s">
        <v>1834</v>
      </c>
      <c r="B1459" s="4" t="s">
        <v>1835</v>
      </c>
      <c r="C1459" s="5" t="str">
        <f>IFERROR(__xludf.DUMMYFUNCTION("GOOGLETRANSLATE(B1459,""en"",""es-ES"")"),"Un niño toca una flauta cromada dentro de la casa.")</f>
        <v>Un niño toca una flauta cromada dentro de la casa.</v>
      </c>
    </row>
    <row r="1460">
      <c r="A1460" s="4" t="s">
        <v>1834</v>
      </c>
      <c r="B1460" s="4" t="s">
        <v>1836</v>
      </c>
      <c r="C1460" s="5" t="str">
        <f>IFERROR(__xludf.DUMMYFUNCTION("GOOGLETRANSLATE(B1460,""en"",""es-ES"")"),"La chica termina la canción y baja la flauta.")</f>
        <v>La chica termina la canción y baja la flauta.</v>
      </c>
    </row>
    <row r="1461">
      <c r="A1461" s="4" t="s">
        <v>1837</v>
      </c>
      <c r="B1461" s="4" t="s">
        <v>1838</v>
      </c>
      <c r="C1461" s="5" t="str">
        <f>IFERROR(__xludf.DUMMYFUNCTION("GOOGLETRANSLATE(B1461,""en"",""es-ES"")"),"Dos hombres juegan al futbolín en una arena con dos árbitros parados cerca de ver la fama.")</f>
        <v>Dos hombres juegan al futbolín en una arena con dos árbitros parados cerca de ver la fama.</v>
      </c>
    </row>
    <row r="1462">
      <c r="A1462" s="4" t="s">
        <v>1837</v>
      </c>
      <c r="B1462" s="4" t="s">
        <v>1839</v>
      </c>
      <c r="C1462" s="5" t="str">
        <f>IFERROR(__xludf.DUMMYFUNCTION("GOOGLETRANSLATE(B1462,""en"",""es-ES"")"),"Vemos al blanqueador como espectadores.")</f>
        <v>Vemos al blanqueador como espectadores.</v>
      </c>
    </row>
    <row r="1463">
      <c r="A1463" s="4" t="s">
        <v>1837</v>
      </c>
      <c r="B1463" s="4" t="s">
        <v>1840</v>
      </c>
      <c r="C1463" s="5" t="str">
        <f>IFERROR(__xludf.DUMMYFUNCTION("GOOGLETRANSLATE(B1463,""en"",""es-ES"")"),"Se califica un punto y se ve a las personas aplaudiendo y una repetición y una pantalla de título.")</f>
        <v>Se califica un punto y se ve a las personas aplaudiendo y una repetición y una pantalla de título.</v>
      </c>
    </row>
    <row r="1464">
      <c r="A1464" s="4" t="s">
        <v>1837</v>
      </c>
      <c r="B1464" s="4" t="s">
        <v>1841</v>
      </c>
      <c r="C1464" s="5" t="str">
        <f>IFERROR(__xludf.DUMMYFUNCTION("GOOGLETRANSLATE(B1464,""en"",""es-ES"")"),"El hombre en gris retrocede y las limpieza sudan.")</f>
        <v>El hombre en gris retrocede y las limpieza sudan.</v>
      </c>
    </row>
    <row r="1465">
      <c r="A1465" s="4" t="s">
        <v>1837</v>
      </c>
      <c r="B1465" s="4" t="s">
        <v>1842</v>
      </c>
      <c r="C1465" s="5" t="str">
        <f>IFERROR(__xludf.DUMMYFUNCTION("GOOGLETRANSLATE(B1465,""en"",""es-ES"")"),"Vemos al hombre de negro hablando con la gente detrás de él antes de que los hombres regresen al juego.")</f>
        <v>Vemos al hombre de negro hablando con la gente detrás de él antes de que los hombres regresen al juego.</v>
      </c>
    </row>
    <row r="1466">
      <c r="A1466" s="4" t="s">
        <v>1837</v>
      </c>
      <c r="B1466" s="4" t="s">
        <v>777</v>
      </c>
      <c r="C1466" s="5" t="str">
        <f>IFERROR(__xludf.DUMMYFUNCTION("GOOGLETRANSLATE(B1466,""en"",""es-ES"")"),"Vemos la pantalla de título final.")</f>
        <v>Vemos la pantalla de título final.</v>
      </c>
    </row>
    <row r="1467">
      <c r="A1467" s="4" t="s">
        <v>1843</v>
      </c>
      <c r="B1467" s="4" t="s">
        <v>1844</v>
      </c>
      <c r="C1467" s="5" t="str">
        <f>IFERROR(__xludf.DUMMYFUNCTION("GOOGLETRANSLATE(B1467,""en"",""es-ES"")"),"Dos personas trepan por una muro de escalada por la noche frente a una estrecha piscina de agua que rodea por una multitud de espectadores.")</f>
        <v>Dos personas trepan por una muro de escalada por la noche frente a una estrecha piscina de agua que rodea por una multitud de espectadores.</v>
      </c>
    </row>
    <row r="1468">
      <c r="A1468" s="4" t="s">
        <v>1843</v>
      </c>
      <c r="B1468" s="4" t="s">
        <v>1845</v>
      </c>
      <c r="C1468" s="5" t="str">
        <f>IFERROR(__xludf.DUMMYFUNCTION("GOOGLETRANSLATE(B1468,""en"",""es-ES"")"),"Las dos personas suben lentamente por la pared, cuando a medio camino, la persona a la izquierda cae de la pared y hacia el agua de abajo.")</f>
        <v>Las dos personas suben lentamente por la pared, cuando a medio camino, la persona a la izquierda cae de la pared y hacia el agua de abajo.</v>
      </c>
    </row>
    <row r="1469">
      <c r="A1469" s="4" t="s">
        <v>1843</v>
      </c>
      <c r="B1469" s="4" t="s">
        <v>1846</v>
      </c>
      <c r="C1469" s="5" t="str">
        <f>IFERROR(__xludf.DUMMYFUNCTION("GOOGLETRANSLATE(B1469,""en"",""es-ES"")"),"Otra carrera por la pared comienza en la que la persona a la derecha cae y la persona de la izquierda sube a la parte superior de la pared y luego salta de la pared hacia el agua.")</f>
        <v>Otra carrera por la pared comienza en la que la persona a la derecha cae y la persona de la izquierda sube a la parte superior de la pared y luego salta de la pared hacia el agua.</v>
      </c>
    </row>
    <row r="1470">
      <c r="A1470" s="4" t="s">
        <v>1843</v>
      </c>
      <c r="B1470" s="4" t="s">
        <v>1847</v>
      </c>
      <c r="C1470" s="5" t="str">
        <f>IFERROR(__xludf.DUMMYFUNCTION("GOOGLETRANSLATE(B1470,""en"",""es-ES"")"),"En el mismo entorno, pero ahora durante el día, una persona solitaria que usa catapultas de esquís a través del aire más allá de la pared de escalada de roca y aterriza en el agua de abajo.")</f>
        <v>En el mismo entorno, pero ahora durante el día, una persona solitaria que usa catapultas de esquís a través del aire más allá de la pared de escalada de roca y aterriza en el agua de abajo.</v>
      </c>
    </row>
    <row r="1471">
      <c r="A1471" s="4" t="s">
        <v>1848</v>
      </c>
      <c r="B1471" s="4" t="s">
        <v>1849</v>
      </c>
      <c r="C1471" s="5" t="str">
        <f>IFERROR(__xludf.DUMMYFUNCTION("GOOGLETRANSLATE(B1471,""en"",""es-ES"")"),"Una audiencia que mira a Pans en una gran pista y atletas que se encuentran con un pozo.")</f>
        <v>Una audiencia que mira a Pans en una gran pista y atletas que se encuentran con un pozo.</v>
      </c>
    </row>
    <row r="1472">
      <c r="A1472" s="4" t="s">
        <v>1848</v>
      </c>
      <c r="B1472" s="4" t="s">
        <v>1850</v>
      </c>
      <c r="C1472" s="5" t="str">
        <f>IFERROR(__xludf.DUMMYFUNCTION("GOOGLETRANSLATE(B1472,""en"",""es-ES"")"),"Se muestra a varias personas corriendo por la pista mientras la audiencia aplaude y las personas hablan con la cámara.")</f>
        <v>Se muestra a varias personas corriendo por la pista mientras la audiencia aplaude y las personas hablan con la cámara.</v>
      </c>
    </row>
    <row r="1473">
      <c r="A1473" s="4" t="s">
        <v>1851</v>
      </c>
      <c r="B1473" s="4" t="s">
        <v>1852</v>
      </c>
      <c r="C1473" s="5" t="str">
        <f>IFERROR(__xludf.DUMMYFUNCTION("GOOGLETRANSLATE(B1473,""en"",""es-ES"")"),"Un joven saca una rueda y muestra la estructura adecuada de una rueda.")</f>
        <v>Un joven saca una rueda y muestra la estructura adecuada de una rueda.</v>
      </c>
    </row>
    <row r="1474">
      <c r="A1474" s="4" t="s">
        <v>1851</v>
      </c>
      <c r="B1474" s="4" t="s">
        <v>1853</v>
      </c>
      <c r="C1474" s="5" t="str">
        <f>IFERROR(__xludf.DUMMYFUNCTION("GOOGLETRANSLATE(B1474,""en"",""es-ES"")"),"Verifica la presión actual del neumático y comienza a bombear aire al neumático.")</f>
        <v>Verifica la presión actual del neumático y comienza a bombear aire al neumático.</v>
      </c>
    </row>
    <row r="1475">
      <c r="A1475" s="4" t="s">
        <v>1851</v>
      </c>
      <c r="B1475" s="4" t="s">
        <v>1854</v>
      </c>
      <c r="C1475" s="5" t="str">
        <f>IFERROR(__xludf.DUMMYFUNCTION("GOOGLETRANSLATE(B1475,""en"",""es-ES"")"),"Muestra la diferencia entre una buena banda de rodadura y una banda de rodadura, así como cuándo saber cuándo reemplazar sus neumáticos.")</f>
        <v>Muestra la diferencia entre una buena banda de rodadura y una banda de rodadura, así como cuándo saber cuándo reemplazar sus neumáticos.</v>
      </c>
    </row>
    <row r="1476">
      <c r="A1476" s="4" t="s">
        <v>1855</v>
      </c>
      <c r="B1476" s="4" t="s">
        <v>1856</v>
      </c>
      <c r="C1476" s="5" t="str">
        <f>IFERROR(__xludf.DUMMYFUNCTION("GOOGLETRANSLATE(B1476,""en"",""es-ES"")"),"Se muestra un primer plano de un fregadero seguido por una persona frotando con un trapo desde varios ángulos.")</f>
        <v>Se muestra un primer plano de un fregadero seguido por una persona frotando con un trapo desde varios ángulos.</v>
      </c>
    </row>
    <row r="1477">
      <c r="A1477" s="4" t="s">
        <v>1855</v>
      </c>
      <c r="B1477" s="4" t="s">
        <v>1857</v>
      </c>
      <c r="C1477" s="5" t="str">
        <f>IFERROR(__xludf.DUMMYFUNCTION("GOOGLETRANSLATE(B1477,""en"",""es-ES"")"),"El fregadero se muestra nuevamente por sí mismo seguido de agua goteando hacia abajo.")</f>
        <v>El fregadero se muestra nuevamente por sí mismo seguido de agua goteando hacia abajo.</v>
      </c>
    </row>
    <row r="1478">
      <c r="A1478" s="4" t="s">
        <v>1858</v>
      </c>
      <c r="B1478" s="4" t="s">
        <v>1859</v>
      </c>
      <c r="C1478" s="5" t="str">
        <f>IFERROR(__xludf.DUMMYFUNCTION("GOOGLETRANSLATE(B1478,""en"",""es-ES"")"),"Vemos a una dama que toma una habitación y le tocó el cabello.")</f>
        <v>Vemos a una dama que toma una habitación y le tocó el cabello.</v>
      </c>
    </row>
    <row r="1479">
      <c r="A1479" s="4" t="s">
        <v>1858</v>
      </c>
      <c r="B1479" s="4" t="s">
        <v>1860</v>
      </c>
      <c r="C1479" s="5" t="str">
        <f>IFERROR(__xludf.DUMMYFUNCTION("GOOGLETRANSLATE(B1479,""en"",""es-ES"")"),"Hay una pantalla de título.")</f>
        <v>Hay una pantalla de título.</v>
      </c>
    </row>
    <row r="1480">
      <c r="A1480" s="4" t="s">
        <v>1858</v>
      </c>
      <c r="B1480" s="4" t="s">
        <v>1861</v>
      </c>
      <c r="C1480" s="5" t="str">
        <f>IFERROR(__xludf.DUMMYFUNCTION("GOOGLETRANSLATE(B1480,""en"",""es-ES"")"),"La señora nos muestra los productos y herramientas que usa en su cabello.")</f>
        <v>La señora nos muestra los productos y herramientas que usa en su cabello.</v>
      </c>
    </row>
    <row r="1481">
      <c r="A1481" s="4" t="s">
        <v>1858</v>
      </c>
      <c r="B1481" s="4" t="s">
        <v>1862</v>
      </c>
      <c r="C1481" s="5" t="str">
        <f>IFERROR(__xludf.DUMMYFUNCTION("GOOGLETRANSLATE(B1481,""en"",""es-ES"")"),"Vemos a la dama preparándose el cabello.")</f>
        <v>Vemos a la dama preparándose el cabello.</v>
      </c>
    </row>
    <row r="1482">
      <c r="A1482" s="4" t="s">
        <v>1858</v>
      </c>
      <c r="B1482" s="4" t="s">
        <v>1863</v>
      </c>
      <c r="C1482" s="5" t="str">
        <f>IFERROR(__xludf.DUMMYFUNCTION("GOOGLETRANSLATE(B1482,""en"",""es-ES"")"),"La señora secciona su cabello y agrega producto.")</f>
        <v>La señora secciona su cabello y agrega producto.</v>
      </c>
    </row>
    <row r="1483">
      <c r="A1483" s="4" t="s">
        <v>1858</v>
      </c>
      <c r="B1483" s="4" t="s">
        <v>1864</v>
      </c>
      <c r="C1483" s="5" t="str">
        <f>IFERROR(__xludf.DUMMYFUNCTION("GOOGLETRANSLATE(B1483,""en"",""es-ES"")"),"La señora se tuerce el cabello alrededor de su dedo.")</f>
        <v>La señora se tuerce el cabello alrededor de su dedo.</v>
      </c>
    </row>
    <row r="1484">
      <c r="A1484" s="4" t="s">
        <v>1858</v>
      </c>
      <c r="B1484" s="4" t="s">
        <v>1865</v>
      </c>
      <c r="C1484" s="5" t="str">
        <f>IFERROR(__xludf.DUMMYFUNCTION("GOOGLETRANSLATE(B1484,""en"",""es-ES"")"),"La señora comienza a sonarte con su cabello.")</f>
        <v>La señora comienza a sonarte con su cabello.</v>
      </c>
    </row>
    <row r="1485">
      <c r="A1485" s="4" t="s">
        <v>1858</v>
      </c>
      <c r="B1485" s="4" t="s">
        <v>1866</v>
      </c>
      <c r="C1485" s="5" t="str">
        <f>IFERROR(__xludf.DUMMYFUNCTION("GOOGLETRANSLATE(B1485,""en"",""es-ES"")"),"Vemos imágenes del cabello de las damas terminadas.")</f>
        <v>Vemos imágenes del cabello de las damas terminadas.</v>
      </c>
    </row>
    <row r="1486">
      <c r="A1486" s="4" t="s">
        <v>1867</v>
      </c>
      <c r="B1486" s="4" t="s">
        <v>1868</v>
      </c>
      <c r="C1486" s="5" t="str">
        <f>IFERROR(__xludf.DUMMYFUNCTION("GOOGLETRANSLATE(B1486,""en"",""es-ES"")"),"Se muestra un cuerpo de agua.")</f>
        <v>Se muestra un cuerpo de agua.</v>
      </c>
    </row>
    <row r="1487">
      <c r="A1487" s="4" t="s">
        <v>1867</v>
      </c>
      <c r="B1487" s="4" t="s">
        <v>1869</v>
      </c>
      <c r="C1487" s="5" t="str">
        <f>IFERROR(__xludf.DUMMYFUNCTION("GOOGLETRANSLATE(B1487,""en"",""es-ES"")"),"Una persona saca una tapa de una olla.")</f>
        <v>Una persona saca una tapa de una olla.</v>
      </c>
    </row>
    <row r="1488">
      <c r="A1488" s="4" t="s">
        <v>1867</v>
      </c>
      <c r="B1488" s="4" t="s">
        <v>1870</v>
      </c>
      <c r="C1488" s="5" t="str">
        <f>IFERROR(__xludf.DUMMYFUNCTION("GOOGLETRANSLATE(B1488,""en"",""es-ES"")"),"Muestran un campamento con una tienda de campaña.")</f>
        <v>Muestran un campamento con una tienda de campaña.</v>
      </c>
    </row>
    <row r="1489">
      <c r="A1489" s="4" t="s">
        <v>1867</v>
      </c>
      <c r="B1489" s="4" t="s">
        <v>1871</v>
      </c>
      <c r="C1489" s="5" t="str">
        <f>IFERROR(__xludf.DUMMYFUNCTION("GOOGLETRANSLATE(B1489,""en"",""es-ES"")"),"Pusieron una tela en el cubo.")</f>
        <v>Pusieron una tela en el cubo.</v>
      </c>
    </row>
    <row r="1490">
      <c r="A1490" s="4" t="s">
        <v>1872</v>
      </c>
      <c r="B1490" s="4" t="s">
        <v>1873</v>
      </c>
      <c r="C1490" s="5" t="str">
        <f>IFERROR(__xludf.DUMMYFUNCTION("GOOGLETRANSLATE(B1490,""en"",""es-ES"")"),"Hay dos hombres jugando tenis de mesa en un estadio interior.")</f>
        <v>Hay dos hombres jugando tenis de mesa en un estadio interior.</v>
      </c>
    </row>
    <row r="1491">
      <c r="A1491" s="4" t="s">
        <v>1872</v>
      </c>
      <c r="B1491" s="4" t="s">
        <v>1874</v>
      </c>
      <c r="C1491" s="5" t="str">
        <f>IFERROR(__xludf.DUMMYFUNCTION("GOOGLETRANSLATE(B1491,""en"",""es-ES"")"),"Uno de los jugadores lleva azul y el otro jugador está en una camisa roja.")</f>
        <v>Uno de los jugadores lleva azul y el otro jugador está en una camisa roja.</v>
      </c>
    </row>
    <row r="1492">
      <c r="A1492" s="4" t="s">
        <v>1872</v>
      </c>
      <c r="B1492" s="4" t="s">
        <v>1875</v>
      </c>
      <c r="C1492" s="5" t="str">
        <f>IFERROR(__xludf.DUMMYFUNCTION("GOOGLETRANSLATE(B1492,""en"",""es-ES"")"),"Hay una persona vestida con una camisa negra sentada cerca de los jugadores.")</f>
        <v>Hay una persona vestida con una camisa negra sentada cerca de los jugadores.</v>
      </c>
    </row>
    <row r="1493">
      <c r="A1493" s="4" t="s">
        <v>1872</v>
      </c>
      <c r="B1493" s="4" t="s">
        <v>1876</v>
      </c>
      <c r="C1493" s="5" t="str">
        <f>IFERROR(__xludf.DUMMYFUNCTION("GOOGLETRANSLATE(B1493,""en"",""es-ES"")"),"Hay varios espectadores sentados en el estadio.")</f>
        <v>Hay varios espectadores sentados en el estadio.</v>
      </c>
    </row>
    <row r="1494">
      <c r="A1494" s="4" t="s">
        <v>1872</v>
      </c>
      <c r="B1494" s="4" t="s">
        <v>1877</v>
      </c>
      <c r="C1494" s="5" t="str">
        <f>IFERROR(__xludf.DUMMYFUNCTION("GOOGLETRANSLATE(B1494,""en"",""es-ES"")"),"Continúan jugando un rally por algún tiempo.")</f>
        <v>Continúan jugando un rally por algún tiempo.</v>
      </c>
    </row>
    <row r="1495">
      <c r="A1495" s="4" t="s">
        <v>1872</v>
      </c>
      <c r="B1495" s="4" t="s">
        <v>1878</v>
      </c>
      <c r="C1495" s="5" t="str">
        <f>IFERROR(__xludf.DUMMYFUNCTION("GOOGLETRANSLATE(B1495,""en"",""es-ES"")"),"El jugador de la camisa roja pierde la pelota y le da a su oponente un punto ganador.")</f>
        <v>El jugador de la camisa roja pierde la pelota y le da a su oponente un punto ganador.</v>
      </c>
    </row>
    <row r="1496">
      <c r="A1496" s="4" t="s">
        <v>1872</v>
      </c>
      <c r="B1496" s="4" t="s">
        <v>1879</v>
      </c>
      <c r="C1496" s="5" t="str">
        <f>IFERROR(__xludf.DUMMYFUNCTION("GOOGLETRANSLATE(B1496,""en"",""es-ES"")"),"El jugador de azul aplaude en voz alta después de su punto ganador y se divide en un baile.")</f>
        <v>El jugador de azul aplaude en voz alta después de su punto ganador y se divide en un baile.</v>
      </c>
    </row>
    <row r="1497">
      <c r="A1497" s="4" t="s">
        <v>1872</v>
      </c>
      <c r="B1497" s="4" t="s">
        <v>1880</v>
      </c>
      <c r="C1497" s="5" t="str">
        <f>IFERROR(__xludf.DUMMYFUNCTION("GOOGLETRANSLATE(B1497,""en"",""es-ES"")"),"Continúa bailando y va hacia su oponente para burlarse de él.")</f>
        <v>Continúa bailando y va hacia su oponente para burlarse de él.</v>
      </c>
    </row>
    <row r="1498">
      <c r="A1498" s="4" t="s">
        <v>1872</v>
      </c>
      <c r="B1498" s="4" t="s">
        <v>1881</v>
      </c>
      <c r="C1498" s="5" t="str">
        <f>IFERROR(__xludf.DUMMYFUNCTION("GOOGLETRANSLATE(B1498,""en"",""es-ES"")"),"Luego regresa a la mesa de tenis.")</f>
        <v>Luego regresa a la mesa de tenis.</v>
      </c>
    </row>
    <row r="1499">
      <c r="A1499" s="4" t="s">
        <v>1872</v>
      </c>
      <c r="B1499" s="4" t="s">
        <v>1882</v>
      </c>
      <c r="C1499" s="5" t="str">
        <f>IFERROR(__xludf.DUMMYFUNCTION("GOOGLETRANSLATE(B1499,""en"",""es-ES"")"),"El hombre vestido de negro muestra la partitura.")</f>
        <v>El hombre vestido de negro muestra la partitura.</v>
      </c>
    </row>
    <row r="1500">
      <c r="A1500" s="4" t="s">
        <v>1883</v>
      </c>
      <c r="B1500" s="4" t="s">
        <v>1884</v>
      </c>
      <c r="C1500" s="5" t="str">
        <f>IFERROR(__xludf.DUMMYFUNCTION("GOOGLETRANSLATE(B1500,""en"",""es-ES"")"),"Se muestra un primer plano de folletos con una persona que los abren y lee.")</f>
        <v>Se muestra un primer plano de folletos con una persona que los abren y lee.</v>
      </c>
    </row>
    <row r="1501">
      <c r="A1501" s="4" t="s">
        <v>1883</v>
      </c>
      <c r="B1501" s="4" t="s">
        <v>1885</v>
      </c>
      <c r="C1501" s="5" t="str">
        <f>IFERROR(__xludf.DUMMYFUNCTION("GOOGLETRANSLATE(B1501,""en"",""es-ES"")"),"La mujer marca un nombre y lo despega para ponerse un calcetín.")</f>
        <v>La mujer marca un nombre y lo despega para ponerse un calcetín.</v>
      </c>
    </row>
    <row r="1502">
      <c r="A1502" s="4" t="s">
        <v>1883</v>
      </c>
      <c r="B1502" s="4" t="s">
        <v>1886</v>
      </c>
      <c r="C1502" s="5" t="str">
        <f>IFERROR(__xludf.DUMMYFUNCTION("GOOGLETRANSLATE(B1502,""en"",""es-ES"")"),"La mujer luego pone un hierro sobre el nombre y despega el papel para mostrar cómo etiquetar adecuadamente un regalo.")</f>
        <v>La mujer luego pone un hierro sobre el nombre y despega el papel para mostrar cómo etiquetar adecuadamente un regalo.</v>
      </c>
    </row>
    <row r="1503">
      <c r="A1503" s="4" t="s">
        <v>1887</v>
      </c>
      <c r="B1503" s="4" t="s">
        <v>1888</v>
      </c>
      <c r="C1503" s="5" t="str">
        <f>IFERROR(__xludf.DUMMYFUNCTION("GOOGLETRANSLATE(B1503,""en"",""es-ES"")"),"Un levantador de pesas femenino levanta una barra con las piernas.")</f>
        <v>Un levantador de pesas femenino levanta una barra con las piernas.</v>
      </c>
    </row>
    <row r="1504">
      <c r="A1504" s="4" t="s">
        <v>1887</v>
      </c>
      <c r="B1504" s="4" t="s">
        <v>1889</v>
      </c>
      <c r="C1504" s="5" t="str">
        <f>IFERROR(__xludf.DUMMYFUNCTION("GOOGLETRANSLATE(B1504,""en"",""es-ES"")"),"Ella lo lleva al estómago y luego tira.")</f>
        <v>Ella lo lleva al estómago y luego tira.</v>
      </c>
    </row>
    <row r="1505">
      <c r="A1505" s="4" t="s">
        <v>1887</v>
      </c>
      <c r="B1505" s="4" t="s">
        <v>1890</v>
      </c>
      <c r="C1505" s="5" t="str">
        <f>IFERROR(__xludf.DUMMYFUNCTION("GOOGLETRANSLATE(B1505,""en"",""es-ES"")"),"Ella sube y baja, trabajando sus abdominales.")</f>
        <v>Ella sube y baja, trabajando sus abdominales.</v>
      </c>
    </row>
    <row r="1506">
      <c r="A1506" s="4" t="s">
        <v>1891</v>
      </c>
      <c r="B1506" s="4" t="s">
        <v>1892</v>
      </c>
      <c r="C1506" s="5" t="str">
        <f>IFERROR(__xludf.DUMMYFUNCTION("GOOGLETRANSLATE(B1506,""en"",""es-ES"")"),"Información sobre el sitio de blackjack IIS proporcionado.")</f>
        <v>Información sobre el sitio de blackjack IIS proporcionado.</v>
      </c>
    </row>
    <row r="1507">
      <c r="A1507" s="4" t="s">
        <v>1891</v>
      </c>
      <c r="B1507" s="4" t="s">
        <v>1893</v>
      </c>
      <c r="C1507" s="5" t="str">
        <f>IFERROR(__xludf.DUMMYFUNCTION("GOOGLETRANSLATE(B1507,""en"",""es-ES"")"),"Se muestran dos personas jugando en un casino.")</f>
        <v>Se muestran dos personas jugando en un casino.</v>
      </c>
    </row>
    <row r="1508">
      <c r="A1508" s="4" t="s">
        <v>1891</v>
      </c>
      <c r="B1508" s="4" t="s">
        <v>1894</v>
      </c>
      <c r="C1508" s="5" t="str">
        <f>IFERROR(__xludf.DUMMYFUNCTION("GOOGLETRANSLATE(B1508,""en"",""es-ES"")"),"Un representante de Blackjack está mostrando un juego de juego de casino.")</f>
        <v>Un representante de Blackjack está mostrando un juego de juego de casino.</v>
      </c>
    </row>
    <row r="1509">
      <c r="A1509" s="4" t="s">
        <v>1891</v>
      </c>
      <c r="B1509" s="4" t="s">
        <v>1895</v>
      </c>
      <c r="C1509" s="5" t="str">
        <f>IFERROR(__xludf.DUMMYFUNCTION("GOOGLETRANSLATE(B1509,""en"",""es-ES"")"),"Él pone a las cartas en la mesa contra los tokens.")</f>
        <v>Él pone a las cartas en la mesa contra los tokens.</v>
      </c>
    </row>
    <row r="1510">
      <c r="A1510" s="4" t="s">
        <v>1891</v>
      </c>
      <c r="B1510" s="4" t="s">
        <v>1896</v>
      </c>
      <c r="C1510" s="5" t="str">
        <f>IFERROR(__xludf.DUMMYFUNCTION("GOOGLETRANSLATE(B1510,""en"",""es-ES"")"),"Hay varias fichas apiladas sobre la mesa.")</f>
        <v>Hay varias fichas apiladas sobre la mesa.</v>
      </c>
    </row>
    <row r="1511">
      <c r="A1511" s="4" t="s">
        <v>1891</v>
      </c>
      <c r="B1511" s="4" t="s">
        <v>1897</v>
      </c>
      <c r="C1511" s="5" t="str">
        <f>IFERROR(__xludf.DUMMYFUNCTION("GOOGLETRANSLATE(B1511,""en"",""es-ES"")"),"Está explicando cómo jugar el juego de juego para maximizar el dinero.")</f>
        <v>Está explicando cómo jugar el juego de juego para maximizar el dinero.</v>
      </c>
    </row>
    <row r="1512">
      <c r="A1512" s="4" t="s">
        <v>1891</v>
      </c>
      <c r="B1512" s="4" t="s">
        <v>1898</v>
      </c>
      <c r="C1512" s="5" t="str">
        <f>IFERROR(__xludf.DUMMYFUNCTION("GOOGLETRANSLATE(B1512,""en"",""es-ES"")"),"Pone más cartas sobre la mesa y toma una mano para ganar más fichas.")</f>
        <v>Pone más cartas sobre la mesa y toma una mano para ganar más fichas.</v>
      </c>
    </row>
    <row r="1513">
      <c r="A1513" s="4" t="s">
        <v>1891</v>
      </c>
      <c r="B1513" s="4" t="s">
        <v>1899</v>
      </c>
      <c r="C1513" s="5" t="str">
        <f>IFERROR(__xludf.DUMMYFUNCTION("GOOGLETRANSLATE(B1513,""en"",""es-ES"")"),"Se proporciona información sobre cómo descargar la aplicación en la pantalla.")</f>
        <v>Se proporciona información sobre cómo descargar la aplicación en la pantalla.</v>
      </c>
    </row>
    <row r="1514">
      <c r="A1514" s="4" t="s">
        <v>1900</v>
      </c>
      <c r="B1514" s="4" t="s">
        <v>1901</v>
      </c>
      <c r="C1514" s="5" t="str">
        <f>IFERROR(__xludf.DUMMYFUNCTION("GOOGLETRANSLATE(B1514,""en"",""es-ES"")"),"A medida que la cámara camina, mostraba los setos bien mantenidos, en el centro de dos setos hay un camino estrecho que conduce a un campo más amplio rodeado de más setos.")</f>
        <v>A medida que la cámara camina, mostraba los setos bien mantenidos, en el centro de dos setos hay un camino estrecho que conduce a un campo más amplio rodeado de más setos.</v>
      </c>
    </row>
    <row r="1515">
      <c r="A1515" s="4" t="s">
        <v>1900</v>
      </c>
      <c r="B1515" s="4" t="s">
        <v>1902</v>
      </c>
      <c r="C1515" s="5" t="str">
        <f>IFERROR(__xludf.DUMMYFUNCTION("GOOGLETRANSLATE(B1515,""en"",""es-ES"")"),"A un lado del seto hay un hombre con camisa negra, está parado en una escalera, está recortando los setos.")</f>
        <v>A un lado del seto hay un hombre con camisa negra, está parado en una escalera, está recortando los setos.</v>
      </c>
    </row>
    <row r="1516">
      <c r="A1516" s="4" t="s">
        <v>1900</v>
      </c>
      <c r="B1516" s="4" t="s">
        <v>1903</v>
      </c>
      <c r="C1516" s="5" t="str">
        <f>IFERROR(__xludf.DUMMYFUNCTION("GOOGLETRANSLATE(B1516,""en"",""es-ES"")"),"Cerca del hombre hay un banco vacío, en el costado hay setos más bien recortados.")</f>
        <v>Cerca del hombre hay un banco vacío, en el costado hay setos más bien recortados.</v>
      </c>
    </row>
    <row r="1517">
      <c r="A1517" s="4" t="s">
        <v>1904</v>
      </c>
      <c r="B1517" s="4" t="s">
        <v>1905</v>
      </c>
      <c r="C1517" s="5" t="str">
        <f>IFERROR(__xludf.DUMMYFUNCTION("GOOGLETRANSLATE(B1517,""en"",""es-ES"")"),"Se ve a un hombre hablando con la cámara mientras sostiene una caja para mostrar un instrumento en el interior.")</f>
        <v>Se ve a un hombre hablando con la cámara mientras sostiene una caja para mostrar un instrumento en el interior.</v>
      </c>
    </row>
    <row r="1518">
      <c r="A1518" s="4" t="s">
        <v>1904</v>
      </c>
      <c r="B1518" s="4" t="s">
        <v>1906</v>
      </c>
      <c r="C1518" s="5" t="str">
        <f>IFERROR(__xludf.DUMMYFUNCTION("GOOGLETRANSLATE(B1518,""en"",""es-ES"")"),"El hombre saca la armónica y continúa mostrándola a la cámara.")</f>
        <v>El hombre saca la armónica y continúa mostrándola a la cámara.</v>
      </c>
    </row>
    <row r="1519">
      <c r="A1519" s="4" t="s">
        <v>1904</v>
      </c>
      <c r="B1519" s="4" t="s">
        <v>1907</v>
      </c>
      <c r="C1519" s="5" t="str">
        <f>IFERROR(__xludf.DUMMYFUNCTION("GOOGLETRANSLATE(B1519,""en"",""es-ES"")"),"El hombre toca la armónica y hace una pausa para sostenerla en la pantalla, así como una imagen.")</f>
        <v>El hombre toca la armónica y hace una pausa para sostenerla en la pantalla, así como una imagen.</v>
      </c>
    </row>
    <row r="1520">
      <c r="A1520" s="4" t="s">
        <v>1908</v>
      </c>
      <c r="B1520" s="4" t="s">
        <v>1909</v>
      </c>
      <c r="C1520" s="5" t="str">
        <f>IFERROR(__xludf.DUMMYFUNCTION("GOOGLETRANSLATE(B1520,""en"",""es-ES"")"),"Hay una mujer comiendo helado de una bañera y hablando con el camarógrafo.")</f>
        <v>Hay una mujer comiendo helado de una bañera y hablando con el camarógrafo.</v>
      </c>
    </row>
    <row r="1521">
      <c r="A1521" s="4" t="s">
        <v>1908</v>
      </c>
      <c r="B1521" s="4" t="s">
        <v>1910</v>
      </c>
      <c r="C1521" s="5" t="str">
        <f>IFERROR(__xludf.DUMMYFUNCTION("GOOGLETRANSLATE(B1521,""en"",""es-ES"")"),"Y él trata de mirar la bañera, pero ella la aleja.")</f>
        <v>Y él trata de mirar la bañera, pero ella la aleja.</v>
      </c>
    </row>
    <row r="1522">
      <c r="A1522" s="4" t="s">
        <v>1908</v>
      </c>
      <c r="B1522" s="4" t="s">
        <v>1911</v>
      </c>
      <c r="C1522" s="5" t="str">
        <f>IFERROR(__xludf.DUMMYFUNCTION("GOOGLETRANSLATE(B1522,""en"",""es-ES"")"),"La persona de la cámara se sienta para continuar hablando con la mujer.")</f>
        <v>La persona de la cámara se sienta para continuar hablando con la mujer.</v>
      </c>
    </row>
    <row r="1523">
      <c r="A1523" s="4" t="s">
        <v>1908</v>
      </c>
      <c r="B1523" s="4" t="s">
        <v>1912</v>
      </c>
      <c r="C1523" s="5" t="str">
        <f>IFERROR(__xludf.DUMMYFUNCTION("GOOGLETRANSLATE(B1523,""en"",""es-ES"")"),"Ella se levanta y él la sigue por la casa mientras entra a la cocina.")</f>
        <v>Ella se levanta y él la sigue por la casa mientras entra a la cocina.</v>
      </c>
    </row>
    <row r="1524">
      <c r="A1524" s="4" t="s">
        <v>1908</v>
      </c>
      <c r="B1524" s="4" t="s">
        <v>1913</v>
      </c>
      <c r="C1524" s="5" t="str">
        <f>IFERROR(__xludf.DUMMYFUNCTION("GOOGLETRANSLATE(B1524,""en"",""es-ES"")"),"Ella pone el resto del helado en el congelador y enjuaga la cuchara.")</f>
        <v>Ella pone el resto del helado en el congelador y enjuaga la cuchara.</v>
      </c>
    </row>
    <row r="1525">
      <c r="A1525" s="4" t="s">
        <v>1914</v>
      </c>
      <c r="B1525" s="4" t="s">
        <v>1915</v>
      </c>
      <c r="C1525" s="5" t="str">
        <f>IFERROR(__xludf.DUMMYFUNCTION("GOOGLETRANSLATE(B1525,""en"",""es-ES"")"),"Se ve a un hombre atlético subiendo a un círculo y lanzando una discusión a la distancia.")</f>
        <v>Se ve a un hombre atlético subiendo a un círculo y lanzando una discusión a la distancia.</v>
      </c>
    </row>
    <row r="1526">
      <c r="A1526" s="4" t="s">
        <v>1914</v>
      </c>
      <c r="B1526" s="4" t="s">
        <v>1916</v>
      </c>
      <c r="C1526" s="5" t="str">
        <f>IFERROR(__xludf.DUMMYFUNCTION("GOOGLETRANSLATE(B1526,""en"",""es-ES"")"),"Luego corre con entusiasmo mientras las cámaras lo siguen y muestran a otros atletas girando el disco.")</f>
        <v>Luego corre con entusiasmo mientras las cámaras lo siguen y muestran a otros atletas girando el disco.</v>
      </c>
    </row>
    <row r="1527">
      <c r="A1527" s="4" t="s">
        <v>1914</v>
      </c>
      <c r="B1527" s="4" t="s">
        <v>1917</v>
      </c>
      <c r="C1527" s="5" t="str">
        <f>IFERROR(__xludf.DUMMYFUNCTION("GOOGLETRANSLATE(B1527,""en"",""es-ES"")"),"Se muestran más disparos de personas que celebran y el atleta se encuentra con las gradas.")</f>
        <v>Se muestran más disparos de personas que celebran y el atleta se encuentra con las gradas.</v>
      </c>
    </row>
    <row r="1528">
      <c r="A1528" s="4" t="s">
        <v>1918</v>
      </c>
      <c r="B1528" s="4" t="s">
        <v>1919</v>
      </c>
      <c r="C1528" s="5" t="str">
        <f>IFERROR(__xludf.DUMMYFUNCTION("GOOGLETRANSLATE(B1528,""en"",""es-ES"")"),"Una mujer está sentada en una mesa usando una narguile mientras otra mujer hace caras tontas y gestos detrás de ella.")</f>
        <v>Una mujer está sentada en una mesa usando una narguile mientras otra mujer hace caras tontas y gestos detrás de ella.</v>
      </c>
    </row>
    <row r="1529">
      <c r="A1529" s="4" t="s">
        <v>1918</v>
      </c>
      <c r="B1529" s="4" t="s">
        <v>1920</v>
      </c>
      <c r="C1529" s="5" t="str">
        <f>IFERROR(__xludf.DUMMYFUNCTION("GOOGLETRANSLATE(B1529,""en"",""es-ES"")"),"Hablan animadamente con la persona detrás de la cámara.")</f>
        <v>Hablan animadamente con la persona detrás de la cámara.</v>
      </c>
    </row>
    <row r="1530">
      <c r="A1530" s="4" t="s">
        <v>1918</v>
      </c>
      <c r="B1530" s="4" t="s">
        <v>1921</v>
      </c>
      <c r="C1530" s="5" t="str">
        <f>IFERROR(__xludf.DUMMYFUNCTION("GOOGLETRANSLATE(B1530,""en"",""es-ES"")"),"Hay un primer plano de los elementos en la mesa frente a ellos.")</f>
        <v>Hay un primer plano de los elementos en la mesa frente a ellos.</v>
      </c>
    </row>
    <row r="1531">
      <c r="A1531" s="4" t="s">
        <v>1918</v>
      </c>
      <c r="B1531" s="4" t="s">
        <v>1922</v>
      </c>
      <c r="C1531" s="5" t="str">
        <f>IFERROR(__xludf.DUMMYFUNCTION("GOOGLETRANSLATE(B1531,""en"",""es-ES"")"),"La mujer con la cámara se vuelve enfrentada antes de apuntar hacia las otras mujeres.")</f>
        <v>La mujer con la cámara se vuelve enfrentada antes de apuntar hacia las otras mujeres.</v>
      </c>
    </row>
    <row r="1532">
      <c r="A1532" s="4" t="s">
        <v>1918</v>
      </c>
      <c r="B1532" s="4" t="s">
        <v>1923</v>
      </c>
      <c r="C1532" s="5" t="str">
        <f>IFERROR(__xludf.DUMMYFUNCTION("GOOGLETRANSLATE(B1532,""en"",""es-ES"")"),"Una de las mujeres tose como una nube de humo la golpea en la cara.")</f>
        <v>Una de las mujeres tose como una nube de humo la golpea en la cara.</v>
      </c>
    </row>
    <row r="1533">
      <c r="A1533" s="4" t="s">
        <v>1924</v>
      </c>
      <c r="B1533" s="4" t="s">
        <v>1925</v>
      </c>
      <c r="C1533" s="5" t="str">
        <f>IFERROR(__xludf.DUMMYFUNCTION("GOOGLETRANSLATE(B1533,""en"",""es-ES"")"),"El hombre está saltando con pilotes en una acera.")</f>
        <v>El hombre está saltando con pilotes en una acera.</v>
      </c>
    </row>
    <row r="1534">
      <c r="A1534" s="4" t="s">
        <v>1924</v>
      </c>
      <c r="B1534" s="4" t="s">
        <v>1926</v>
      </c>
      <c r="C1534" s="5" t="str">
        <f>IFERROR(__xludf.DUMMYFUNCTION("GOOGLETRANSLATE(B1534,""en"",""es-ES"")"),"Un campo de hierba verde tranquilo está detrás de los zancos de Wearinf.")</f>
        <v>Un campo de hierba verde tranquilo está detrás de los zancos de Wearinf.</v>
      </c>
    </row>
    <row r="1535">
      <c r="A1535" s="4" t="s">
        <v>1924</v>
      </c>
      <c r="B1535" s="4" t="s">
        <v>1927</v>
      </c>
      <c r="C1535" s="5" t="str">
        <f>IFERROR(__xludf.DUMMYFUNCTION("GOOGLETRANSLATE(B1535,""en"",""es-ES"")"),"El hombre lleva suéter blanco y zancos y está en un parque verde cubierto de hierba.")</f>
        <v>El hombre lleva suéter blanco y zancos y está en un parque verde cubierto de hierba.</v>
      </c>
    </row>
    <row r="1536">
      <c r="A1536" s="4" t="s">
        <v>1928</v>
      </c>
      <c r="B1536" s="4" t="s">
        <v>1929</v>
      </c>
      <c r="C1536" s="5" t="str">
        <f>IFERROR(__xludf.DUMMYFUNCTION("GOOGLETRANSLATE(B1536,""en"",""es-ES"")"),"Se ve a un anfitrión hablando con la cámara y conduce a un entrenador que habla con otros que hacen ejercicio detrás de ella.")</f>
        <v>Se ve a un anfitrión hablando con la cámara y conduce a un entrenador que habla con otros que hacen ejercicio detrás de ella.</v>
      </c>
    </row>
    <row r="1537">
      <c r="A1537" s="4" t="s">
        <v>1928</v>
      </c>
      <c r="B1537" s="4" t="s">
        <v>1930</v>
      </c>
      <c r="C1537" s="5" t="str">
        <f>IFERROR(__xludf.DUMMYFUNCTION("GOOGLETRANSLATE(B1537,""en"",""es-ES"")"),"Se muestran y termina más tomas de personas que hacen ejercicio en bicicletas con el entrenador caminando y hablando.")</f>
        <v>Se muestran y termina más tomas de personas que hacen ejercicio en bicicletas con el entrenador caminando y hablando.</v>
      </c>
    </row>
    <row r="1538">
      <c r="A1538" s="4" t="s">
        <v>1931</v>
      </c>
      <c r="B1538" s="4" t="s">
        <v>1932</v>
      </c>
      <c r="C1538" s="5" t="str">
        <f>IFERROR(__xludf.DUMMYFUNCTION("GOOGLETRANSLATE(B1538,""en"",""es-ES"")"),"Una mujer está parada en una cancha de tenis hablando.")</f>
        <v>Una mujer está parada en una cancha de tenis hablando.</v>
      </c>
    </row>
    <row r="1539">
      <c r="A1539" s="4" t="s">
        <v>1931</v>
      </c>
      <c r="B1539" s="4" t="s">
        <v>1933</v>
      </c>
      <c r="C1539" s="5" t="str">
        <f>IFERROR(__xludf.DUMMYFUNCTION("GOOGLETRANSLATE(B1539,""en"",""es-ES"")"),"Ella comienza a jugar al tenis en la cancha.")</f>
        <v>Ella comienza a jugar al tenis en la cancha.</v>
      </c>
    </row>
    <row r="1540">
      <c r="A1540" s="4" t="s">
        <v>1931</v>
      </c>
      <c r="B1540" s="4" t="s">
        <v>1934</v>
      </c>
      <c r="C1540" s="5" t="str">
        <f>IFERROR(__xludf.DUMMYFUNCTION("GOOGLETRANSLATE(B1540,""en"",""es-ES"")"),"Ella sirve una pelota de tenis en la cancha varias veces.")</f>
        <v>Ella sirve una pelota de tenis en la cancha varias veces.</v>
      </c>
    </row>
    <row r="1541">
      <c r="A1541" s="4" t="s">
        <v>1935</v>
      </c>
      <c r="B1541" s="4" t="s">
        <v>1936</v>
      </c>
      <c r="C1541" s="5" t="str">
        <f>IFERROR(__xludf.DUMMYFUNCTION("GOOGLETRANSLATE(B1541,""en"",""es-ES"")"),"Varias personas están afuera en una estación de esquí sentada en los tubos.")</f>
        <v>Varias personas están afuera en una estación de esquí sentada en los tubos.</v>
      </c>
    </row>
    <row r="1542">
      <c r="A1542" s="4" t="s">
        <v>1935</v>
      </c>
      <c r="B1542" s="4" t="s">
        <v>1937</v>
      </c>
      <c r="C1542" s="5" t="str">
        <f>IFERROR(__xludf.DUMMYFUNCTION("GOOGLETRANSLATE(B1542,""en"",""es-ES"")"),"Después, los tres individuos en el frente son tirados por la pendiente y comienzan a deslizarse hacia abajo.")</f>
        <v>Después, los tres individuos en el frente son tirados por la pendiente y comienzan a deslizarse hacia abajo.</v>
      </c>
    </row>
    <row r="1543">
      <c r="A1543" s="4" t="s">
        <v>1935</v>
      </c>
      <c r="B1543" s="4" t="s">
        <v>1938</v>
      </c>
      <c r="C1543" s="5" t="str">
        <f>IFERROR(__xludf.DUMMYFUNCTION("GOOGLETRANSLATE(B1543,""en"",""es-ES"")"),"Una vez que están fuera, el hombre que lo empujó se aleja y más personas comienzan a bajar.")</f>
        <v>Una vez que están fuera, el hombre que lo empujó se aleja y más personas comienzan a bajar.</v>
      </c>
    </row>
    <row r="1544">
      <c r="A1544" s="4" t="s">
        <v>1939</v>
      </c>
      <c r="B1544" s="4" t="s">
        <v>1940</v>
      </c>
      <c r="C1544" s="5" t="str">
        <f>IFERROR(__xludf.DUMMYFUNCTION("GOOGLETRANSLATE(B1544,""en"",""es-ES"")"),"Se ve a un hombre sosteniendo un vaso mientras habla con la cámara cuando otro hombre entra y comienza a pintar la pared.")</f>
        <v>Se ve a un hombre sosteniendo un vaso mientras habla con la cámara cuando otro hombre entra y comienza a pintar la pared.</v>
      </c>
    </row>
    <row r="1545">
      <c r="A1545" s="4" t="s">
        <v>1939</v>
      </c>
      <c r="B1545" s="4" t="s">
        <v>1941</v>
      </c>
      <c r="C1545" s="5" t="str">
        <f>IFERROR(__xludf.DUMMYFUNCTION("GOOGLETRANSLATE(B1545,""en"",""es-ES"")"),"El hombre continúa pintando hacia arriba y hacia abajo de la pared mientras la cámara lo captura y el otro hombre se aleja.")</f>
        <v>El hombre continúa pintando hacia arriba y hacia abajo de la pared mientras la cámara lo captura y el otro hombre se aleja.</v>
      </c>
    </row>
    <row r="1546">
      <c r="A1546" s="4" t="s">
        <v>1942</v>
      </c>
      <c r="B1546" s="4" t="s">
        <v>1943</v>
      </c>
      <c r="C1546" s="5" t="str">
        <f>IFERROR(__xludf.DUMMYFUNCTION("GOOGLETRANSLATE(B1546,""en"",""es-ES"")"),"Una animación que demuestra la longitud del arco de una herramienta de tipo de soldadura que emite calor.")</f>
        <v>Una animación que demuestra la longitud del arco de una herramienta de tipo de soldadura que emite calor.</v>
      </c>
    </row>
    <row r="1547">
      <c r="A1547" s="4" t="s">
        <v>1942</v>
      </c>
      <c r="B1547" s="4" t="s">
        <v>1944</v>
      </c>
      <c r="C1547" s="5" t="str">
        <f>IFERROR(__xludf.DUMMYFUNCTION("GOOGLETRANSLATE(B1547,""en"",""es-ES"")"),"Una demostración de la herramienta que emite calor en tiempo real.")</f>
        <v>Una demostración de la herramienta que emite calor en tiempo real.</v>
      </c>
    </row>
    <row r="1548">
      <c r="A1548" s="4" t="s">
        <v>1942</v>
      </c>
      <c r="B1548" s="4" t="s">
        <v>1945</v>
      </c>
      <c r="C1548" s="5" t="str">
        <f>IFERROR(__xludf.DUMMYFUNCTION("GOOGLETRANSLATE(B1548,""en"",""es-ES"")"),"Un gráfico que ilustra el largo arco de la herramienta que documenta el voltaje y el amperaje.")</f>
        <v>Un gráfico que ilustra el largo arco de la herramienta que documenta el voltaje y el amperaje.</v>
      </c>
    </row>
    <row r="1549">
      <c r="A1549" s="4" t="s">
        <v>1942</v>
      </c>
      <c r="B1549" s="4" t="s">
        <v>1946</v>
      </c>
      <c r="C1549" s="5" t="str">
        <f>IFERROR(__xludf.DUMMYFUNCTION("GOOGLETRANSLATE(B1549,""en"",""es-ES"")"),"La herramienta se muestra en tiempo real emitiendo calor con una foto de un material soldado.")</f>
        <v>La herramienta se muestra en tiempo real emitiendo calor con una foto de un material soldado.</v>
      </c>
    </row>
    <row r="1550">
      <c r="A1550" s="4" t="s">
        <v>1942</v>
      </c>
      <c r="B1550" s="4" t="s">
        <v>1947</v>
      </c>
      <c r="C1550" s="5" t="str">
        <f>IFERROR(__xludf.DUMMYFUNCTION("GOOGLETRANSLATE(B1550,""en"",""es-ES"")"),"Un gráfico ilustra el arco corto con el voltaje y el amperaje documentado.")</f>
        <v>Un gráfico ilustra el arco corto con el voltaje y el amperaje documentado.</v>
      </c>
    </row>
    <row r="1551">
      <c r="A1551" s="4" t="s">
        <v>1942</v>
      </c>
      <c r="B1551" s="4" t="s">
        <v>1948</v>
      </c>
      <c r="C1551" s="5" t="str">
        <f>IFERROR(__xludf.DUMMYFUNCTION("GOOGLETRANSLATE(B1551,""en"",""es-ES"")"),"Un hombre con un abrigo azul y guantes de naranja usa la herramienta de arco.")</f>
        <v>Un hombre con un abrigo azul y guantes de naranja usa la herramienta de arco.</v>
      </c>
    </row>
    <row r="1552">
      <c r="A1552" s="4" t="s">
        <v>1949</v>
      </c>
      <c r="B1552" s="4" t="s">
        <v>1950</v>
      </c>
      <c r="C1552" s="5" t="str">
        <f>IFERROR(__xludf.DUMMYFUNCTION("GOOGLETRANSLATE(B1552,""en"",""es-ES"")"),"Un hombre está colocando fichas en el piso.")</f>
        <v>Un hombre está colocando fichas en el piso.</v>
      </c>
    </row>
    <row r="1553">
      <c r="A1553" s="4" t="s">
        <v>1949</v>
      </c>
      <c r="B1553" s="4" t="s">
        <v>1951</v>
      </c>
      <c r="C1553" s="5" t="str">
        <f>IFERROR(__xludf.DUMMYFUNCTION("GOOGLETRANSLATE(B1553,""en"",""es-ES"")"),"Aparece una mujer, eliminando los mosaicos de una caja y hablando de ellas.")</f>
        <v>Aparece una mujer, eliminando los mosaicos de una caja y hablando de ellas.</v>
      </c>
    </row>
    <row r="1554">
      <c r="A1554" s="4" t="s">
        <v>1949</v>
      </c>
      <c r="B1554" s="4" t="s">
        <v>1952</v>
      </c>
      <c r="C1554" s="5" t="str">
        <f>IFERROR(__xludf.DUMMYFUNCTION("GOOGLETRANSLATE(B1554,""en"",""es-ES"")"),"La mujer se arrodilla sobre el suelo, cortando y aplicando fichas.")</f>
        <v>La mujer se arrodilla sobre el suelo, cortando y aplicando fichas.</v>
      </c>
    </row>
    <row r="1555">
      <c r="A1555" s="4" t="s">
        <v>1949</v>
      </c>
      <c r="B1555" s="4" t="s">
        <v>1953</v>
      </c>
      <c r="C1555" s="5" t="str">
        <f>IFERROR(__xludf.DUMMYFUNCTION("GOOGLETRANSLATE(B1555,""en"",""es-ES"")"),"Un hombre roda un rodillo de presión sobre el piso terminado antes de que la mujer regrese, hablando sobre el producto terminado.")</f>
        <v>Un hombre roda un rodillo de presión sobre el piso terminado antes de que la mujer regrese, hablando sobre el producto terminado.</v>
      </c>
    </row>
    <row r="1556">
      <c r="A1556" s="4" t="s">
        <v>1954</v>
      </c>
      <c r="B1556" s="4" t="s">
        <v>1955</v>
      </c>
      <c r="C1556" s="5" t="str">
        <f>IFERROR(__xludf.DUMMYFUNCTION("GOOGLETRANSLATE(B1556,""en"",""es-ES"")"),"Una niña le está dando un baño a un perro pequeño.")</f>
        <v>Una niña le está dando un baño a un perro pequeño.</v>
      </c>
    </row>
    <row r="1557">
      <c r="A1557" s="4" t="s">
        <v>1954</v>
      </c>
      <c r="B1557" s="4" t="s">
        <v>1956</v>
      </c>
      <c r="C1557" s="5" t="str">
        <f>IFERROR(__xludf.DUMMYFUNCTION("GOOGLETRANSLATE(B1557,""en"",""es-ES"")"),"Ella tiene una botella de naranja en la mano.")</f>
        <v>Ella tiene una botella de naranja en la mano.</v>
      </c>
    </row>
    <row r="1558">
      <c r="A1558" s="4" t="s">
        <v>1957</v>
      </c>
      <c r="B1558" s="4" t="s">
        <v>1958</v>
      </c>
      <c r="C1558" s="5" t="str">
        <f>IFERROR(__xludf.DUMMYFUNCTION("GOOGLETRANSLATE(B1558,""en"",""es-ES"")"),"Aparece una pantalla de introducción blanca con un arte rojo, blanco y negro en el lado izquierdo de palabras rojas y negras a la derecha que dicen ""Inglaterra Squash &amp; Racketball"" y el sitio web en negro en la parte inferior.")</f>
        <v>Aparece una pantalla de introducción blanca con un arte rojo, blanco y negro en el lado izquierdo de palabras rojas y negras a la derecha que dicen "Inglaterra Squash &amp; Racketball" y el sitio web en negro en la parte inferior.</v>
      </c>
    </row>
    <row r="1559">
      <c r="A1559" s="4" t="s">
        <v>1957</v>
      </c>
      <c r="B1559" s="4" t="s">
        <v>1959</v>
      </c>
      <c r="C1559" s="5" t="str">
        <f>IFERROR(__xludf.DUMMYFUNCTION("GOOGLETRANSLATE(B1559,""en"",""es-ES"")"),"Un hombre aparece con una raqueta y está hablando con la cámara mientras golpea una raqueta y luego juegan varios clips pequeños que incluyen que él también golpea el racketball, así como otras personas que juegan.")</f>
        <v>Un hombre aparece con una raqueta y está hablando con la cámara mientras golpea una raqueta y luego juegan varios clips pequeños que incluyen que él también golpea el racketball, así como otras personas que juegan.</v>
      </c>
    </row>
    <row r="1560">
      <c r="A1560" s="4" t="s">
        <v>1957</v>
      </c>
      <c r="B1560" s="4" t="s">
        <v>1960</v>
      </c>
      <c r="C1560" s="5" t="str">
        <f>IFERROR(__xludf.DUMMYFUNCTION("GOOGLETRANSLATE(B1560,""en"",""es-ES"")"),"Aparece la pantalla de outro y es exactamente como la pantalla de introducción blanca.")</f>
        <v>Aparece la pantalla de outro y es exactamente como la pantalla de introducción blanca.</v>
      </c>
    </row>
    <row r="1561">
      <c r="A1561" s="4" t="s">
        <v>1961</v>
      </c>
      <c r="B1561" s="4" t="s">
        <v>1962</v>
      </c>
      <c r="C1561" s="5" t="str">
        <f>IFERROR(__xludf.DUMMYFUNCTION("GOOGLETRANSLATE(B1561,""en"",""es-ES"")"),"Hay personas que se arrojan bolas en la piscina.")</f>
        <v>Hay personas que se arrojan bolas en la piscina.</v>
      </c>
    </row>
    <row r="1562">
      <c r="A1562" s="4" t="s">
        <v>1961</v>
      </c>
      <c r="B1562" s="4" t="s">
        <v>1963</v>
      </c>
      <c r="C1562" s="5" t="str">
        <f>IFERROR(__xludf.DUMMYFUNCTION("GOOGLETRANSLATE(B1562,""en"",""es-ES"")"),"Hay personas que nadan al otro lado de la piscina.")</f>
        <v>Hay personas que nadan al otro lado de la piscina.</v>
      </c>
    </row>
    <row r="1563">
      <c r="A1563" s="4" t="s">
        <v>1964</v>
      </c>
      <c r="B1563" s="4" t="s">
        <v>1965</v>
      </c>
      <c r="C1563" s="5" t="str">
        <f>IFERROR(__xludf.DUMMYFUNCTION("GOOGLETRANSLATE(B1563,""en"",""es-ES"")"),"La mujer camina con bikini y comiendo un chocolate es un día nevado.")</f>
        <v>La mujer camina con bikini y comiendo un chocolate es un día nevado.</v>
      </c>
    </row>
    <row r="1564">
      <c r="A1564" s="4" t="s">
        <v>1964</v>
      </c>
      <c r="B1564" s="4" t="s">
        <v>1966</v>
      </c>
      <c r="C1564" s="5" t="str">
        <f>IFERROR(__xludf.DUMMYFUNCTION("GOOGLETRANSLATE(B1564,""en"",""es-ES"")"),"La gente está en la acera mirando a la niña caminar.")</f>
        <v>La gente está en la acera mirando a la niña caminar.</v>
      </c>
    </row>
    <row r="1565">
      <c r="A1565" s="4" t="s">
        <v>1964</v>
      </c>
      <c r="B1565" s="4" t="s">
        <v>1967</v>
      </c>
      <c r="C1565" s="5" t="str">
        <f>IFERROR(__xludf.DUMMYFUNCTION("GOOGLETRANSLATE(B1565,""en"",""es-ES"")"),"La mujer está en un restaurante con bikini y dos Aiter la están mirando.")</f>
        <v>La mujer está en un restaurante con bikini y dos Aiter la están mirando.</v>
      </c>
    </row>
    <row r="1566">
      <c r="A1566" s="4" t="s">
        <v>1964</v>
      </c>
      <c r="B1566" s="4" t="s">
        <v>1968</v>
      </c>
      <c r="C1566" s="5" t="str">
        <f>IFERROR(__xludf.DUMMYFUNCTION("GOOGLETRANSLATE(B1566,""en"",""es-ES"")"),"La mujer entra en un aeropuerto comiendo un restaurante.")</f>
        <v>La mujer entra en un aeropuerto comiendo un restaurante.</v>
      </c>
    </row>
    <row r="1567">
      <c r="A1567" s="4" t="s">
        <v>1969</v>
      </c>
      <c r="B1567" s="4" t="s">
        <v>1970</v>
      </c>
      <c r="C1567" s="5" t="str">
        <f>IFERROR(__xludf.DUMMYFUNCTION("GOOGLETRANSLATE(B1567,""en"",""es-ES"")"),"Una niña se está maquillando en la cara.")</f>
        <v>Una niña se está maquillando en la cara.</v>
      </c>
    </row>
    <row r="1568">
      <c r="A1568" s="4" t="s">
        <v>1969</v>
      </c>
      <c r="B1568" s="4" t="s">
        <v>1971</v>
      </c>
      <c r="C1568" s="5" t="str">
        <f>IFERROR(__xludf.DUMMYFUNCTION("GOOGLETRANSLATE(B1568,""en"",""es-ES"")"),"Ella pone lápiz labial en sus labios.")</f>
        <v>Ella pone lápiz labial en sus labios.</v>
      </c>
    </row>
    <row r="1569">
      <c r="A1569" s="4" t="s">
        <v>1969</v>
      </c>
      <c r="B1569" s="4" t="s">
        <v>1972</v>
      </c>
      <c r="C1569" s="5" t="str">
        <f>IFERROR(__xludf.DUMMYFUNCTION("GOOGLETRANSLATE(B1569,""en"",""es-ES"")"),"Ella pone a máscara en sus pestañas.")</f>
        <v>Ella pone a máscara en sus pestañas.</v>
      </c>
    </row>
    <row r="1570">
      <c r="A1570" s="4" t="s">
        <v>1969</v>
      </c>
      <c r="B1570" s="4" t="s">
        <v>1973</v>
      </c>
      <c r="C1570" s="5" t="str">
        <f>IFERROR(__xludf.DUMMYFUNCTION("GOOGLETRANSLATE(B1570,""en"",""es-ES"")"),"Ella rocía spray de su camisa.")</f>
        <v>Ella rocía spray de su camisa.</v>
      </c>
    </row>
    <row r="1571">
      <c r="A1571" s="4" t="s">
        <v>1969</v>
      </c>
      <c r="B1571" s="4" t="s">
        <v>1974</v>
      </c>
      <c r="C1571" s="5" t="str">
        <f>IFERROR(__xludf.DUMMYFUNCTION("GOOGLETRANSLATE(B1571,""en"",""es-ES"")"),"Ella pone sombra de ojos en sus ojos.")</f>
        <v>Ella pone sombra de ojos en sus ojos.</v>
      </c>
    </row>
    <row r="1572">
      <c r="A1572" s="4" t="s">
        <v>1975</v>
      </c>
      <c r="B1572" s="4" t="s">
        <v>1976</v>
      </c>
      <c r="C1572" s="5" t="str">
        <f>IFERROR(__xludf.DUMMYFUNCTION("GOOGLETRANSLATE(B1572,""en"",""es-ES"")"),"Se ve a una gimnasta estar preparada antes de una viga y luego saltar para realizar una rutina.")</f>
        <v>Se ve a una gimnasta estar preparada antes de una viga y luego saltar para realizar una rutina.</v>
      </c>
    </row>
    <row r="1573">
      <c r="A1573" s="4" t="s">
        <v>1975</v>
      </c>
      <c r="B1573" s="4" t="s">
        <v>1977</v>
      </c>
      <c r="C1573" s="5" t="str">
        <f>IFERROR(__xludf.DUMMYFUNCTION("GOOGLETRANSLATE(B1573,""en"",""es-ES"")"),"Luego, la niña realiza varios volteos y trucos en la viga, terminando con ella saltando de un lado con las piernas juntas y sosteniendo los brazos hacia arriba.")</f>
        <v>Luego, la niña realiza varios volteos y trucos en la viga, terminando con ella saltando de un lado con las piernas juntas y sosteniendo los brazos hacia arriba.</v>
      </c>
    </row>
    <row r="1574">
      <c r="A1574" s="4" t="s">
        <v>1978</v>
      </c>
      <c r="B1574" s="4" t="s">
        <v>1979</v>
      </c>
      <c r="C1574" s="5" t="str">
        <f>IFERROR(__xludf.DUMMYFUNCTION("GOOGLETRANSLATE(B1574,""en"",""es-ES"")"),"Una niña se sienta frente a una mesa, tocando un acordeo.")</f>
        <v>Una niña se sienta frente a una mesa, tocando un acordeo.</v>
      </c>
    </row>
    <row r="1575">
      <c r="A1575" s="4" t="s">
        <v>1978</v>
      </c>
      <c r="B1575" s="4" t="s">
        <v>1980</v>
      </c>
      <c r="C1575" s="5" t="str">
        <f>IFERROR(__xludf.DUMMYFUNCTION("GOOGLETRANSLATE(B1575,""en"",""es-ES"")"),"Ella mira a la cámara mientras toca el teclado y tira del Accordian dentro y fuera.")</f>
        <v>Ella mira a la cámara mientras toca el teclado y tira del Accordian dentro y fuera.</v>
      </c>
    </row>
    <row r="1576">
      <c r="A1576" s="4" t="s">
        <v>1981</v>
      </c>
      <c r="B1576" s="4" t="s">
        <v>1982</v>
      </c>
      <c r="C1576" s="5" t="str">
        <f>IFERROR(__xludf.DUMMYFUNCTION("GOOGLETRANSLATE(B1576,""en"",""es-ES"")"),"Una dama tira y arregla su atuendo.")</f>
        <v>Una dama tira y arregla su atuendo.</v>
      </c>
    </row>
    <row r="1577">
      <c r="A1577" s="4" t="s">
        <v>1981</v>
      </c>
      <c r="B1577" s="4" t="s">
        <v>1983</v>
      </c>
      <c r="C1577" s="5" t="str">
        <f>IFERROR(__xludf.DUMMYFUNCTION("GOOGLETRANSLATE(B1577,""en"",""es-ES"")"),"La dama se mete con su cabello.")</f>
        <v>La dama se mete con su cabello.</v>
      </c>
    </row>
    <row r="1578">
      <c r="A1578" s="4" t="s">
        <v>1981</v>
      </c>
      <c r="B1578" s="4" t="s">
        <v>1984</v>
      </c>
      <c r="C1578" s="5" t="str">
        <f>IFERROR(__xludf.DUMMYFUNCTION("GOOGLETRANSLATE(B1578,""en"",""es-ES"")"),"La señora intenta los zapatos mientras está de pie y sentada.")</f>
        <v>La señora intenta los zapatos mientras está de pie y sentada.</v>
      </c>
    </row>
    <row r="1579">
      <c r="A1579" s="4" t="s">
        <v>1985</v>
      </c>
      <c r="B1579" s="4" t="s">
        <v>1986</v>
      </c>
      <c r="C1579" s="5" t="str">
        <f>IFERROR(__xludf.DUMMYFUNCTION("GOOGLETRANSLATE(B1579,""en"",""es-ES"")"),"Se muestra una introducción de mapas y una casa de cerca.")</f>
        <v>Se muestra una introducción de mapas y una casa de cerca.</v>
      </c>
    </row>
    <row r="1580">
      <c r="A1580" s="4" t="s">
        <v>1985</v>
      </c>
      <c r="B1580" s="4" t="s">
        <v>1987</v>
      </c>
      <c r="C1580" s="5" t="str">
        <f>IFERROR(__xludf.DUMMYFUNCTION("GOOGLETRANSLATE(B1580,""en"",""es-ES"")"),"Luego se muestra un primer plano de un techo, así como logotipos.")</f>
        <v>Luego se muestra un primer plano de un techo, así como logotipos.</v>
      </c>
    </row>
    <row r="1581">
      <c r="A1581" s="4" t="s">
        <v>1985</v>
      </c>
      <c r="B1581" s="4" t="s">
        <v>1988</v>
      </c>
      <c r="C1581" s="5" t="str">
        <f>IFERROR(__xludf.DUMMYFUNCTION("GOOGLETRANSLATE(B1581,""en"",""es-ES"")"),"Se muestran más imágenes de camiones estacionados y logotipos.")</f>
        <v>Se muestran más imágenes de camiones estacionados y logotipos.</v>
      </c>
    </row>
    <row r="1582">
      <c r="A1582" s="4" t="s">
        <v>1989</v>
      </c>
      <c r="B1582" s="4" t="s">
        <v>1990</v>
      </c>
      <c r="C1582" s="5" t="str">
        <f>IFERROR(__xludf.DUMMYFUNCTION("GOOGLETRANSLATE(B1582,""en"",""es-ES"")"),"Pole Vault Greats está en la pantalla.")</f>
        <v>Pole Vault Greats está en la pantalla.</v>
      </c>
    </row>
    <row r="1583">
      <c r="A1583" s="4" t="s">
        <v>1989</v>
      </c>
      <c r="B1583" s="4" t="s">
        <v>1991</v>
      </c>
      <c r="C1583" s="5" t="str">
        <f>IFERROR(__xludf.DUMMYFUNCTION("GOOGLETRANSLATE(B1583,""en"",""es-ES"")"),"Hay varias escenas de hombres y mujeres con salto con pértiga.")</f>
        <v>Hay varias escenas de hombres y mujeres con salto con pértiga.</v>
      </c>
    </row>
    <row r="1584">
      <c r="A1584" s="4" t="s">
        <v>1992</v>
      </c>
      <c r="B1584" s="4" t="s">
        <v>1487</v>
      </c>
      <c r="C1584" s="5" t="str">
        <f>IFERROR(__xludf.DUMMYFUNCTION("GOOGLETRANSLATE(B1584,""en"",""es-ES"")"),"Vemos una pantalla de título de apertura.")</f>
        <v>Vemos una pantalla de título de apertura.</v>
      </c>
    </row>
    <row r="1585">
      <c r="A1585" s="4" t="s">
        <v>1992</v>
      </c>
      <c r="B1585" s="4" t="s">
        <v>1993</v>
      </c>
      <c r="C1585" s="5" t="str">
        <f>IFERROR(__xludf.DUMMYFUNCTION("GOOGLETRANSLATE(B1585,""en"",""es-ES"")"),"Las herramientas se sientan en una mesa y vemos a una persona desempacar una bicicleta y ensamblarla.")</f>
        <v>Las herramientas se sientan en una mesa y vemos a una persona desempacar una bicicleta y ensamblarla.</v>
      </c>
    </row>
    <row r="1586">
      <c r="A1586" s="4" t="s">
        <v>1992</v>
      </c>
      <c r="B1586" s="4" t="s">
        <v>1994</v>
      </c>
      <c r="C1586" s="5" t="str">
        <f>IFERROR(__xludf.DUMMYFUNCTION("GOOGLETRANSLATE(B1586,""en"",""es-ES"")"),"Vemos al hombre poner una llanta en la bicicleta.")</f>
        <v>Vemos al hombre poner una llanta en la bicicleta.</v>
      </c>
    </row>
    <row r="1587">
      <c r="A1587" s="4" t="s">
        <v>1992</v>
      </c>
      <c r="B1587" s="4" t="s">
        <v>1995</v>
      </c>
      <c r="C1587" s="5" t="str">
        <f>IFERROR(__xludf.DUMMYFUNCTION("GOOGLETRANSLATE(B1587,""en"",""es-ES"")"),"Una persona aprieta las bodegas en el manillar.")</f>
        <v>Una persona aprieta las bodegas en el manillar.</v>
      </c>
    </row>
    <row r="1588">
      <c r="A1588" s="4" t="s">
        <v>1992</v>
      </c>
      <c r="B1588" s="4" t="s">
        <v>1996</v>
      </c>
      <c r="C1588" s="5" t="str">
        <f>IFERROR(__xludf.DUMMYFUNCTION("GOOGLETRANSLATE(B1588,""en"",""es-ES"")"),"El hombre pone grasa en las paletas y las instala antes de transmitir los neumáticos.")</f>
        <v>El hombre pone grasa en las paletas y las instala antes de transmitir los neumáticos.</v>
      </c>
    </row>
    <row r="1589">
      <c r="A1589" s="4" t="s">
        <v>1992</v>
      </c>
      <c r="B1589" s="4" t="s">
        <v>1997</v>
      </c>
      <c r="C1589" s="5" t="str">
        <f>IFERROR(__xludf.DUMMYFUNCTION("GOOGLETRANSLATE(B1589,""en"",""es-ES"")"),"Luego vemos la bicicleta terminada.")</f>
        <v>Luego vemos la bicicleta terminada.</v>
      </c>
    </row>
    <row r="1590">
      <c r="A1590" s="4" t="s">
        <v>1992</v>
      </c>
      <c r="B1590" s="4" t="s">
        <v>1998</v>
      </c>
      <c r="C1590" s="5" t="str">
        <f>IFERROR(__xludf.DUMMYFUNCTION("GOOGLETRANSLATE(B1590,""en"",""es-ES"")"),"Se muestra la pantalla de título final.")</f>
        <v>Se muestra la pantalla de título final.</v>
      </c>
    </row>
    <row r="1591">
      <c r="A1591" s="4" t="s">
        <v>1999</v>
      </c>
      <c r="B1591" s="4" t="s">
        <v>2000</v>
      </c>
      <c r="C1591" s="5" t="str">
        <f>IFERROR(__xludf.DUMMYFUNCTION("GOOGLETRANSLATE(B1591,""en"",""es-ES"")"),"Se ve a un hombre sacando sombras de una ventana y quitando las barras por los lados.")</f>
        <v>Se ve a un hombre sacando sombras de una ventana y quitando las barras por los lados.</v>
      </c>
    </row>
    <row r="1592">
      <c r="A1592" s="4" t="s">
        <v>1999</v>
      </c>
      <c r="B1592" s="4" t="s">
        <v>2001</v>
      </c>
      <c r="C1592" s="5" t="str">
        <f>IFERROR(__xludf.DUMMYFUNCTION("GOOGLETRANSLATE(B1592,""en"",""es-ES"")"),"Otro hombre lo ayuda colocando barras más nuevas en la ventana y cortando las tablas para que encajen.")</f>
        <v>Otro hombre lo ayuda colocando barras más nuevas en la ventana y cortando las tablas para que encajen.</v>
      </c>
    </row>
    <row r="1593">
      <c r="A1593" s="4" t="s">
        <v>1999</v>
      </c>
      <c r="B1593" s="4" t="s">
        <v>2002</v>
      </c>
      <c r="C1593" s="5" t="str">
        <f>IFERROR(__xludf.DUMMYFUNCTION("GOOGLETRANSLATE(B1593,""en"",""es-ES"")"),"Al final, las bandejas de la cámara alrededor del nuevo techo que muestra sus excelentes resultados.")</f>
        <v>Al final, las bandejas de la cámara alrededor del nuevo techo que muestra sus excelentes resultados.</v>
      </c>
    </row>
    <row r="1594">
      <c r="A1594" s="4" t="s">
        <v>2003</v>
      </c>
      <c r="B1594" s="4" t="s">
        <v>2004</v>
      </c>
      <c r="C1594" s="5" t="str">
        <f>IFERROR(__xludf.DUMMYFUNCTION("GOOGLETRANSLATE(B1594,""en"",""es-ES"")"),"La gente corre motocross en un camino lleno de baches en el bosque.")</f>
        <v>La gente corre motocross en un camino lleno de baches en el bosque.</v>
      </c>
    </row>
    <row r="1595">
      <c r="A1595" s="4" t="s">
        <v>2003</v>
      </c>
      <c r="B1595" s="4" t="s">
        <v>2005</v>
      </c>
      <c r="C1595" s="5" t="str">
        <f>IFERROR(__xludf.DUMMYFUNCTION("GOOGLETRANSLATE(B1595,""en"",""es-ES"")"),"Una persona sube un bulto con una motocicleta.")</f>
        <v>Una persona sube un bulto con una motocicleta.</v>
      </c>
    </row>
    <row r="1596">
      <c r="A1596" s="4" t="s">
        <v>2003</v>
      </c>
      <c r="B1596" s="4" t="s">
        <v>2006</v>
      </c>
      <c r="C1596" s="5" t="str">
        <f>IFERROR(__xludf.DUMMYFUNCTION("GOOGLETRANSLATE(B1596,""en"",""es-ES"")"),"También la gente monta motocicletas en una superficie plana sin pavimentar.")</f>
        <v>También la gente monta motocicletas en una superficie plana sin pavimentar.</v>
      </c>
    </row>
    <row r="1597">
      <c r="A1597" s="4" t="s">
        <v>2007</v>
      </c>
      <c r="B1597" s="4" t="s">
        <v>2008</v>
      </c>
      <c r="C1597" s="5" t="str">
        <f>IFERROR(__xludf.DUMMYFUNCTION("GOOGLETRANSLATE(B1597,""en"",""es-ES"")"),"Una niña se encuentra en un tablero de buceo.")</f>
        <v>Una niña se encuentra en un tablero de buceo.</v>
      </c>
    </row>
    <row r="1598">
      <c r="A1598" s="4" t="s">
        <v>2007</v>
      </c>
      <c r="B1598" s="4" t="s">
        <v>2009</v>
      </c>
      <c r="C1598" s="5" t="str">
        <f>IFERROR(__xludf.DUMMYFUNCTION("GOOGLETRANSLATE(B1598,""en"",""es-ES"")"),"Luego la niña salta, voltea y se sumerge en la piscina.")</f>
        <v>Luego la niña salta, voltea y se sumerge en la piscina.</v>
      </c>
    </row>
    <row r="1599">
      <c r="A1599" s="4" t="s">
        <v>2007</v>
      </c>
      <c r="B1599" s="4" t="s">
        <v>2010</v>
      </c>
      <c r="C1599" s="5" t="str">
        <f>IFERROR(__xludf.DUMMYFUNCTION("GOOGLETRANSLATE(B1599,""en"",""es-ES"")"),"La gente está en la piscina.")</f>
        <v>La gente está en la piscina.</v>
      </c>
    </row>
    <row r="1600">
      <c r="A1600" s="4" t="s">
        <v>2011</v>
      </c>
      <c r="B1600" s="4" t="s">
        <v>2012</v>
      </c>
      <c r="C1600" s="5" t="str">
        <f>IFERROR(__xludf.DUMMYFUNCTION("GOOGLETRANSLATE(B1600,""en"",""es-ES"")"),"Kid se balancea en un patio de recreo.")</f>
        <v>Kid se balancea en un patio de recreo.</v>
      </c>
    </row>
    <row r="1601">
      <c r="A1601" s="4" t="s">
        <v>2011</v>
      </c>
      <c r="B1601" s="4" t="s">
        <v>2013</v>
      </c>
      <c r="C1601" s="5" t="str">
        <f>IFERROR(__xludf.DUMMYFUNCTION("GOOGLETRANSLATE(B1601,""en"",""es-ES"")"),"La mujer corre hacia los columpios y se sienta.")</f>
        <v>La mujer corre hacia los columpios y se sienta.</v>
      </c>
    </row>
    <row r="1602">
      <c r="A1602" s="4" t="s">
        <v>2011</v>
      </c>
      <c r="B1602" s="4" t="s">
        <v>2014</v>
      </c>
      <c r="C1602" s="5" t="str">
        <f>IFERROR(__xludf.DUMMYFUNCTION("GOOGLETRANSLATE(B1602,""en"",""es-ES"")"),"La mujer se para y los pisos.")</f>
        <v>La mujer se para y los pisos.</v>
      </c>
    </row>
    <row r="1603">
      <c r="A1603" s="4" t="s">
        <v>2015</v>
      </c>
      <c r="B1603" s="4" t="s">
        <v>2016</v>
      </c>
      <c r="C1603" s="5" t="str">
        <f>IFERROR(__xludf.DUMMYFUNCTION("GOOGLETRANSLATE(B1603,""en"",""es-ES"")"),"Un hombre está sentado en las escaleras tocando una armónica.")</f>
        <v>Un hombre está sentado en las escaleras tocando una armónica.</v>
      </c>
    </row>
    <row r="1604">
      <c r="A1604" s="4" t="s">
        <v>2015</v>
      </c>
      <c r="B1604" s="4" t="s">
        <v>2017</v>
      </c>
      <c r="C1604" s="5" t="str">
        <f>IFERROR(__xludf.DUMMYFUNCTION("GOOGLETRANSLATE(B1604,""en"",""es-ES"")"),"Él se pone de pie y continúa jugando.")</f>
        <v>Él se pone de pie y continúa jugando.</v>
      </c>
    </row>
    <row r="1605">
      <c r="A1605" s="4" t="s">
        <v>2015</v>
      </c>
      <c r="B1605" s="4" t="s">
        <v>2018</v>
      </c>
      <c r="C1605" s="5" t="str">
        <f>IFERROR(__xludf.DUMMYFUNCTION("GOOGLETRANSLATE(B1605,""en"",""es-ES"")"),"Las palabras aparecen en la pantalla.")</f>
        <v>Las palabras aparecen en la pantalla.</v>
      </c>
    </row>
    <row r="1606">
      <c r="A1606" s="4" t="s">
        <v>2019</v>
      </c>
      <c r="B1606" s="4" t="s">
        <v>2020</v>
      </c>
      <c r="C1606" s="5" t="str">
        <f>IFERROR(__xludf.DUMMYFUNCTION("GOOGLETRANSLATE(B1606,""en"",""es-ES"")"),"Se muestra un primer plano de una bolsa de mezcla de cemento.")</f>
        <v>Se muestra un primer plano de una bolsa de mezcla de cemento.</v>
      </c>
    </row>
    <row r="1607">
      <c r="A1607" s="4" t="s">
        <v>2019</v>
      </c>
      <c r="B1607" s="4" t="s">
        <v>2021</v>
      </c>
      <c r="C1607" s="5" t="str">
        <f>IFERROR(__xludf.DUMMYFUNCTION("GOOGLETRANSLATE(B1607,""en"",""es-ES"")"),"Un hombre agrega agua a un recipiente mientras otro observa.")</f>
        <v>Un hombre agrega agua a un recipiente mientras otro observa.</v>
      </c>
    </row>
    <row r="1608">
      <c r="A1608" s="4" t="s">
        <v>2019</v>
      </c>
      <c r="B1608" s="4" t="s">
        <v>2022</v>
      </c>
      <c r="C1608" s="5" t="str">
        <f>IFERROR(__xludf.DUMMYFUNCTION("GOOGLETRANSLATE(B1608,""en"",""es-ES"")"),"El primer hombre vierte la mezcla de cemento en el recipiente.")</f>
        <v>El primer hombre vierte la mezcla de cemento en el recipiente.</v>
      </c>
    </row>
    <row r="1609">
      <c r="A1609" s="4" t="s">
        <v>2019</v>
      </c>
      <c r="B1609" s="4" t="s">
        <v>2023</v>
      </c>
      <c r="C1609" s="5" t="str">
        <f>IFERROR(__xludf.DUMMYFUNCTION("GOOGLETRANSLATE(B1609,""en"",""es-ES"")"),"El segundo hombre usa una batidora en el contenedor.")</f>
        <v>El segundo hombre usa una batidora en el contenedor.</v>
      </c>
    </row>
    <row r="1610">
      <c r="A1610" s="4" t="s">
        <v>2019</v>
      </c>
      <c r="B1610" s="4" t="s">
        <v>2024</v>
      </c>
      <c r="C1610" s="5" t="str">
        <f>IFERROR(__xludf.DUMMYFUNCTION("GOOGLETRANSLATE(B1610,""en"",""es-ES"")"),"Uno de los hombres aplica la mezcla a una pared.")</f>
        <v>Uno de los hombres aplica la mezcla a una pared.</v>
      </c>
    </row>
    <row r="1611">
      <c r="A1611" s="4" t="s">
        <v>2025</v>
      </c>
      <c r="B1611" s="4" t="s">
        <v>2026</v>
      </c>
      <c r="C1611" s="5" t="str">
        <f>IFERROR(__xludf.DUMMYFUNCTION("GOOGLETRANSLATE(B1611,""en"",""es-ES"")"),"Los créditos de apertura muestran la descripción del video.")</f>
        <v>Los créditos de apertura muestran la descripción del video.</v>
      </c>
    </row>
    <row r="1612">
      <c r="A1612" s="4" t="s">
        <v>2025</v>
      </c>
      <c r="B1612" s="4" t="s">
        <v>2027</v>
      </c>
      <c r="C1612" s="5" t="str">
        <f>IFERROR(__xludf.DUMMYFUNCTION("GOOGLETRANSLATE(B1612,""en"",""es-ES"")"),"Una mujer saluda su mano y reconoce su cabello y su cara mientras continúa hablando.")</f>
        <v>Una mujer saluda su mano y reconoce su cabello y su cara mientras continúa hablando.</v>
      </c>
    </row>
    <row r="1613">
      <c r="A1613" s="4" t="s">
        <v>2025</v>
      </c>
      <c r="B1613" s="4" t="s">
        <v>2028</v>
      </c>
      <c r="C1613" s="5" t="str">
        <f>IFERROR(__xludf.DUMMYFUNCTION("GOOGLETRANSLATE(B1613,""en"",""es-ES"")"),"La mujer tiene el pelo abajo y comienza a peinar su cabello.")</f>
        <v>La mujer tiene el pelo abajo y comienza a peinar su cabello.</v>
      </c>
    </row>
    <row r="1614">
      <c r="A1614" s="4" t="s">
        <v>2025</v>
      </c>
      <c r="B1614" s="4" t="s">
        <v>2029</v>
      </c>
      <c r="C1614" s="5" t="str">
        <f>IFERROR(__xludf.DUMMYFUNCTION("GOOGLETRANSLATE(B1614,""en"",""es-ES"")"),"Ella completa el peinado y continúa hablando.")</f>
        <v>Ella completa el peinado y continúa hablando.</v>
      </c>
    </row>
    <row r="1615">
      <c r="A1615" s="4" t="s">
        <v>2030</v>
      </c>
      <c r="B1615" s="4" t="s">
        <v>2031</v>
      </c>
      <c r="C1615" s="5" t="str">
        <f>IFERROR(__xludf.DUMMYFUNCTION("GOOGLETRANSLATE(B1615,""en"",""es-ES"")"),"Hay un hombre con una camisa blanca en un campo abierto haciendo un tutorial para la aldea experta sobre cómo jugar lacrosse.")</f>
        <v>Hay un hombre con una camisa blanca en un campo abierto haciendo un tutorial para la aldea experta sobre cómo jugar lacrosse.</v>
      </c>
    </row>
    <row r="1616">
      <c r="A1616" s="4" t="s">
        <v>2030</v>
      </c>
      <c r="B1616" s="4" t="s">
        <v>2032</v>
      </c>
      <c r="C1616" s="5" t="str">
        <f>IFERROR(__xludf.DUMMYFUNCTION("GOOGLETRANSLATE(B1616,""en"",""es-ES"")"),"Está sosteniendo un palo de lacrosse en sus manos mientras explica las técnicas del juego.")</f>
        <v>Está sosteniendo un palo de lacrosse en sus manos mientras explica las técnicas del juego.</v>
      </c>
    </row>
    <row r="1617">
      <c r="A1617" s="4" t="s">
        <v>2030</v>
      </c>
      <c r="B1617" s="4" t="s">
        <v>2033</v>
      </c>
      <c r="C1617" s="5" t="str">
        <f>IFERROR(__xludf.DUMMYFUNCTION("GOOGLETRANSLATE(B1617,""en"",""es-ES"")"),"Hace gestos manuales para demostrar el método correcto para sostener el palo de lacrosse para una técnica de juego efectiva.")</f>
        <v>Hace gestos manuales para demostrar el método correcto para sostener el palo de lacrosse para una técnica de juego efectiva.</v>
      </c>
    </row>
    <row r="1618">
      <c r="A1618" s="4" t="s">
        <v>2034</v>
      </c>
      <c r="B1618" s="4" t="s">
        <v>2035</v>
      </c>
      <c r="C1618" s="5" t="str">
        <f>IFERROR(__xludf.DUMMYFUNCTION("GOOGLETRANSLATE(B1618,""en"",""es-ES"")"),"Un gran grupo de personas está en un carnaval jugando en sus propios autos de parachoques y algunas se topan entre sí y se detienen.")</f>
        <v>Un gran grupo de personas está en un carnaval jugando en sus propios autos de parachoques y algunas se topan entre sí y se detienen.</v>
      </c>
    </row>
    <row r="1619">
      <c r="A1619" s="4" t="s">
        <v>2034</v>
      </c>
      <c r="B1619" s="4" t="s">
        <v>2036</v>
      </c>
      <c r="C1619" s="5" t="str">
        <f>IFERROR(__xludf.DUMMYFUNCTION("GOOGLETRANSLATE(B1619,""en"",""es-ES"")"),"Se ríen y comienzan a alejar sus autos de parachoques unos de otros.")</f>
        <v>Se ríen y comienzan a alejar sus autos de parachoques unos de otros.</v>
      </c>
    </row>
    <row r="1620">
      <c r="A1620" s="4" t="s">
        <v>2034</v>
      </c>
      <c r="B1620" s="4" t="s">
        <v>2037</v>
      </c>
      <c r="C1620" s="5" t="str">
        <f>IFERROR(__xludf.DUMMYFUNCTION("GOOGLETRANSLATE(B1620,""en"",""es-ES"")"),"La gente comienza a conducir nuevamente, donde todos continúan topando el uno con el otro o simplemente conducen.")</f>
        <v>La gente comienza a conducir nuevamente, donde todos continúan topando el uno con el otro o simplemente conducen.</v>
      </c>
    </row>
    <row r="1621">
      <c r="A1621" s="4" t="s">
        <v>2034</v>
      </c>
      <c r="B1621" s="4" t="s">
        <v>2038</v>
      </c>
      <c r="C1621" s="5" t="str">
        <f>IFERROR(__xludf.DUMMYFUNCTION("GOOGLETRANSLATE(B1621,""en"",""es-ES"")"),"Finalmente, todos los autos de parachoques se detienen y el viaje ha terminado.")</f>
        <v>Finalmente, todos los autos de parachoques se detienen y el viaje ha terminado.</v>
      </c>
    </row>
    <row r="1622">
      <c r="A1622" s="4" t="s">
        <v>2039</v>
      </c>
      <c r="B1622" s="4" t="s">
        <v>2040</v>
      </c>
      <c r="C1622" s="5" t="str">
        <f>IFERROR(__xludf.DUMMYFUNCTION("GOOGLETRANSLATE(B1622,""en"",""es-ES"")"),"Los ingredientes están sentados en un bloque de madera.")</f>
        <v>Los ingredientes están sentados en un bloque de madera.</v>
      </c>
    </row>
    <row r="1623">
      <c r="A1623" s="4" t="s">
        <v>2039</v>
      </c>
      <c r="B1623" s="4" t="s">
        <v>2041</v>
      </c>
      <c r="C1623" s="5" t="str">
        <f>IFERROR(__xludf.DUMMYFUNCTION("GOOGLETRANSLATE(B1623,""en"",""es-ES"")"),"Una persona comienza a mezclar los ingredientes.")</f>
        <v>Una persona comienza a mezclar los ingredientes.</v>
      </c>
    </row>
    <row r="1624">
      <c r="A1624" s="4" t="s">
        <v>2039</v>
      </c>
      <c r="B1624" s="4" t="s">
        <v>2042</v>
      </c>
      <c r="C1624" s="5" t="str">
        <f>IFERROR(__xludf.DUMMYFUNCTION("GOOGLETRANSLATE(B1624,""en"",""es-ES"")"),"Las palabras entran en la pantalla al final.")</f>
        <v>Las palabras entran en la pantalla al final.</v>
      </c>
    </row>
    <row r="1625">
      <c r="A1625" s="4" t="s">
        <v>2043</v>
      </c>
      <c r="B1625" s="4" t="s">
        <v>2044</v>
      </c>
      <c r="C1625" s="5" t="str">
        <f>IFERROR(__xludf.DUMMYFUNCTION("GOOGLETRANSLATE(B1625,""en"",""es-ES"")"),"Se ve un logotipo con pistones de motor y se muestra un descargo de responsabilidad.")</f>
        <v>Se ve un logotipo con pistones de motor y se muestra un descargo de responsabilidad.</v>
      </c>
    </row>
    <row r="1626">
      <c r="A1626" s="4" t="s">
        <v>2043</v>
      </c>
      <c r="B1626" s="4" t="s">
        <v>2045</v>
      </c>
      <c r="C1626" s="5" t="str">
        <f>IFERROR(__xludf.DUMMYFUNCTION("GOOGLETRANSLATE(B1626,""en"",""es-ES"")"),"Dos mujeres en los pantalones de ejercicio de gimnasio montan en bicicletas estacionarias en un gimnasio juntas.")</f>
        <v>Dos mujeres en los pantalones de ejercicio de gimnasio montan en bicicletas estacionarias en un gimnasio juntas.</v>
      </c>
    </row>
    <row r="1627">
      <c r="A1627" s="4" t="s">
        <v>2046</v>
      </c>
      <c r="B1627" s="4" t="s">
        <v>2047</v>
      </c>
      <c r="C1627" s="5" t="str">
        <f>IFERROR(__xludf.DUMMYFUNCTION("GOOGLETRANSLATE(B1627,""en"",""es-ES"")"),"Se ve a una mujer hablando con la cámara y conduce a las noticias entrevistando a un hombre.")</f>
        <v>Se ve a una mujer hablando con la cámara y conduce a las noticias entrevistando a un hombre.</v>
      </c>
    </row>
    <row r="1628">
      <c r="A1628" s="4" t="s">
        <v>2046</v>
      </c>
      <c r="B1628" s="4" t="s">
        <v>2048</v>
      </c>
      <c r="C1628" s="5" t="str">
        <f>IFERROR(__xludf.DUMMYFUNCTION("GOOGLETRANSLATE(B1628,""en"",""es-ES"")"),"Luego se muestran varias tomas de dos toros que luchan contra otros mientras otros miran y hablan con la cámara.")</f>
        <v>Luego se muestran varias tomas de dos toros que luchan contra otros mientras otros miran y hablan con la cámara.</v>
      </c>
    </row>
    <row r="1629">
      <c r="A1629" s="4" t="s">
        <v>2049</v>
      </c>
      <c r="B1629" s="4" t="s">
        <v>2050</v>
      </c>
      <c r="C1629" s="5" t="str">
        <f>IFERROR(__xludf.DUMMYFUNCTION("GOOGLETRANSLATE(B1629,""en"",""es-ES"")"),"Se ve a una persona usando zapatillas y sosteniendo un palo en sus manos.")</f>
        <v>Se ve a una persona usando zapatillas y sosteniendo un palo en sus manos.</v>
      </c>
    </row>
    <row r="1630">
      <c r="A1630" s="4" t="s">
        <v>2049</v>
      </c>
      <c r="B1630" s="4" t="s">
        <v>2051</v>
      </c>
      <c r="C1630" s="5" t="str">
        <f>IFERROR(__xludf.DUMMYFUNCTION("GOOGLETRANSLATE(B1630,""en"",""es-ES"")"),"La persona luego comienza a caminar por una habitación empujando la pelota con el palo.")</f>
        <v>La persona luego comienza a caminar por una habitación empujando la pelota con el palo.</v>
      </c>
    </row>
    <row r="1631">
      <c r="A1631" s="4" t="s">
        <v>2049</v>
      </c>
      <c r="B1631" s="4" t="s">
        <v>2052</v>
      </c>
      <c r="C1631" s="5" t="str">
        <f>IFERROR(__xludf.DUMMYFUNCTION("GOOGLETRANSLATE(B1631,""en"",""es-ES"")"),"La persona continúa golpeando la pelota mientras camina por la habitación.")</f>
        <v>La persona continúa golpeando la pelota mientras camina por la habitación.</v>
      </c>
    </row>
    <row r="1632">
      <c r="A1632" s="4" t="s">
        <v>2053</v>
      </c>
      <c r="B1632" s="4" t="s">
        <v>2054</v>
      </c>
      <c r="C1632" s="5" t="str">
        <f>IFERROR(__xludf.DUMMYFUNCTION("GOOGLETRANSLATE(B1632,""en"",""es-ES"")"),"Se ve a un niño pequeño montando una patineta por un camino después de un grupo de niños mayores.")</f>
        <v>Se ve a un niño pequeño montando una patineta por un camino después de un grupo de niños mayores.</v>
      </c>
    </row>
    <row r="1633">
      <c r="A1633" s="4" t="s">
        <v>2053</v>
      </c>
      <c r="B1633" s="4" t="s">
        <v>2055</v>
      </c>
      <c r="C1633" s="5" t="str">
        <f>IFERROR(__xludf.DUMMYFUNCTION("GOOGLETRANSLATE(B1633,""en"",""es-ES"")"),"Se muestran varios disparos de él paseando, así como a él fallando y viajando más.")</f>
        <v>Se muestran varios disparos de él paseando, así como a él fallando y viajando más.</v>
      </c>
    </row>
    <row r="1634">
      <c r="A1634" s="4" t="s">
        <v>2053</v>
      </c>
      <c r="B1634" s="4" t="s">
        <v>2056</v>
      </c>
      <c r="C1634" s="5" t="str">
        <f>IFERROR(__xludf.DUMMYFUNCTION("GOOGLETRANSLATE(B1634,""en"",""es-ES"")"),"El puño golpea al camarógrafo y se muestran más tiros de él paseando.")</f>
        <v>El puño golpea al camarógrafo y se muestran más tiros de él paseando.</v>
      </c>
    </row>
    <row r="1635">
      <c r="A1635" s="4" t="s">
        <v>2057</v>
      </c>
      <c r="B1635" s="4" t="s">
        <v>2058</v>
      </c>
      <c r="C1635" s="5" t="str">
        <f>IFERROR(__xludf.DUMMYFUNCTION("GOOGLETRANSLATE(B1635,""en"",""es-ES"")"),"Una niña está sentada en el fondo de las escaleras mientras intenta ponerse los zapatos.")</f>
        <v>Una niña está sentada en el fondo de las escaleras mientras intenta ponerse los zapatos.</v>
      </c>
    </row>
    <row r="1636">
      <c r="A1636" s="4" t="s">
        <v>2057</v>
      </c>
      <c r="B1636" s="4" t="s">
        <v>2059</v>
      </c>
      <c r="C1636" s="5" t="str">
        <f>IFERROR(__xludf.DUMMYFUNCTION("GOOGLETRANSLATE(B1636,""en"",""es-ES"")"),"Mira a lo lejos en una mansión disgustada, al mismo tiempo que aparece bastante distraída.")</f>
        <v>Mira a lo lejos en una mansión disgustada, al mismo tiempo que aparece bastante distraída.</v>
      </c>
    </row>
    <row r="1637">
      <c r="A1637" s="4" t="s">
        <v>2057</v>
      </c>
      <c r="B1637" s="4" t="s">
        <v>2060</v>
      </c>
      <c r="C1637" s="5" t="str">
        <f>IFERROR(__xludf.DUMMYFUNCTION("GOOGLETRANSLATE(B1637,""en"",""es-ES"")"),"Ella termina atando los cordones de sus zapatos y riendo para sí misma y a la persona que la filmaba.")</f>
        <v>Ella termina atando los cordones de sus zapatos y riendo para sí misma y a la persona que la filmaba.</v>
      </c>
    </row>
    <row r="1638">
      <c r="A1638" s="4" t="s">
        <v>2061</v>
      </c>
      <c r="B1638" s="4" t="s">
        <v>2062</v>
      </c>
      <c r="C1638" s="5" t="str">
        <f>IFERROR(__xludf.DUMMYFUNCTION("GOOGLETRANSLATE(B1638,""en"",""es-ES"")"),"Una mujer vestida con ropa de gimnasia está haciendo un tutorial sobre girar en un gimnasio.")</f>
        <v>Una mujer vestida con ropa de gimnasia está haciendo un tutorial sobre girar en un gimnasio.</v>
      </c>
    </row>
    <row r="1639">
      <c r="A1639" s="4" t="s">
        <v>2061</v>
      </c>
      <c r="B1639" s="4" t="s">
        <v>2063</v>
      </c>
      <c r="C1639" s="5" t="str">
        <f>IFERROR(__xludf.DUMMYFUNCTION("GOOGLETRANSLATE(B1639,""en"",""es-ES"")"),"Ella está demostrando las pesas que usará.")</f>
        <v>Ella está demostrando las pesas que usará.</v>
      </c>
    </row>
    <row r="1640">
      <c r="A1640" s="4" t="s">
        <v>2061</v>
      </c>
      <c r="B1640" s="4" t="s">
        <v>2064</v>
      </c>
      <c r="C1640" s="5" t="str">
        <f>IFERROR(__xludf.DUMMYFUNCTION("GOOGLETRANSLATE(B1640,""en"",""es-ES"")"),"Luego demuestra la bicicleta de ejercicios y continúa en bicicleta junto con otras mujeres en el gimnasio.")</f>
        <v>Luego demuestra la bicicleta de ejercicios y continúa en bicicleta junto con otras mujeres en el gimnasio.</v>
      </c>
    </row>
    <row r="1641">
      <c r="A1641" s="4" t="s">
        <v>2061</v>
      </c>
      <c r="B1641" s="4" t="s">
        <v>2065</v>
      </c>
      <c r="C1641" s="5" t="str">
        <f>IFERROR(__xludf.DUMMYFUNCTION("GOOGLETRANSLATE(B1641,""en"",""es-ES"")"),"Ella explica cómo hacer un ejercicio riguroso en la bicicleta.")</f>
        <v>Ella explica cómo hacer un ejercicio riguroso en la bicicleta.</v>
      </c>
    </row>
    <row r="1642">
      <c r="A1642" s="4" t="s">
        <v>2061</v>
      </c>
      <c r="B1642" s="4" t="s">
        <v>2066</v>
      </c>
      <c r="C1642" s="5" t="str">
        <f>IFERROR(__xludf.DUMMYFUNCTION("GOOGLETRANSLATE(B1642,""en"",""es-ES"")"),"Hay varias otras mujeres que también están en bicicleta en la bicicleta de ejercicios con ella.")</f>
        <v>Hay varias otras mujeres que también están en bicicleta en la bicicleta de ejercicios con ella.</v>
      </c>
    </row>
    <row r="1643">
      <c r="A1643" s="4" t="s">
        <v>2067</v>
      </c>
      <c r="B1643" s="4" t="s">
        <v>2068</v>
      </c>
      <c r="C1643" s="5" t="str">
        <f>IFERROR(__xludf.DUMMYFUNCTION("GOOGLETRANSLATE(B1643,""en"",""es-ES"")"),"Vemos a una niña de esquiar acuático.")</f>
        <v>Vemos a una niña de esquiar acuático.</v>
      </c>
    </row>
    <row r="1644">
      <c r="A1644" s="4" t="s">
        <v>2067</v>
      </c>
      <c r="B1644" s="4" t="s">
        <v>2069</v>
      </c>
      <c r="C1644" s="5" t="str">
        <f>IFERROR(__xludf.DUMMYFUNCTION("GOOGLETRANSLATE(B1644,""en"",""es-ES"")"),"Vemos a un hombre sosteniendo a un niño esquí acuático.")</f>
        <v>Vemos a un hombre sosteniendo a un niño esquí acuático.</v>
      </c>
    </row>
    <row r="1645">
      <c r="A1645" s="4" t="s">
        <v>2067</v>
      </c>
      <c r="B1645" s="4" t="s">
        <v>2070</v>
      </c>
      <c r="C1645" s="5" t="str">
        <f>IFERROR(__xludf.DUMMYFUNCTION("GOOGLETRANSLATE(B1645,""en"",""es-ES"")"),"El hombre se deja ir y agarra su chaqueta nuevamente.")</f>
        <v>El hombre se deja ir y agarra su chaqueta nuevamente.</v>
      </c>
    </row>
    <row r="1646">
      <c r="A1646" s="4" t="s">
        <v>2067</v>
      </c>
      <c r="B1646" s="4" t="s">
        <v>2071</v>
      </c>
      <c r="C1646" s="5" t="str">
        <f>IFERROR(__xludf.DUMMYFUNCTION("GOOGLETRANSLATE(B1646,""en"",""es-ES"")"),"El hombre señala a los esquís.")</f>
        <v>El hombre señala a los esquís.</v>
      </c>
    </row>
    <row r="1647">
      <c r="A1647" s="4" t="s">
        <v>2067</v>
      </c>
      <c r="B1647" s="4" t="s">
        <v>2072</v>
      </c>
      <c r="C1647" s="5" t="str">
        <f>IFERROR(__xludf.DUMMYFUNCTION("GOOGLETRANSLATE(B1647,""en"",""es-ES"")"),"El hombre izquierda va y agarra la chaqueta nuevamente.")</f>
        <v>El hombre izquierda va y agarra la chaqueta nuevamente.</v>
      </c>
    </row>
    <row r="1648">
      <c r="A1648" s="4" t="s">
        <v>2073</v>
      </c>
      <c r="B1648" s="4" t="s">
        <v>2074</v>
      </c>
      <c r="C1648" s="5" t="str">
        <f>IFERROR(__xludf.DUMMYFUNCTION("GOOGLETRANSLATE(B1648,""en"",""es-ES"")"),"Un hombre está sonriendo a la cámara.")</f>
        <v>Un hombre está sonriendo a la cámara.</v>
      </c>
    </row>
    <row r="1649">
      <c r="A1649" s="4" t="s">
        <v>2073</v>
      </c>
      <c r="B1649" s="4" t="s">
        <v>2075</v>
      </c>
      <c r="C1649" s="5" t="str">
        <f>IFERROR(__xludf.DUMMYFUNCTION("GOOGLETRANSLATE(B1649,""en"",""es-ES"")"),"Él está planchando ropa en una tabla de planchar.")</f>
        <v>Él está planchando ropa en una tabla de planchar.</v>
      </c>
    </row>
    <row r="1650">
      <c r="A1650" s="4" t="s">
        <v>2073</v>
      </c>
      <c r="B1650" s="4" t="s">
        <v>2076</v>
      </c>
      <c r="C1650" s="5" t="str">
        <f>IFERROR(__xludf.DUMMYFUNCTION("GOOGLETRANSLATE(B1650,""en"",""es-ES"")"),"Él voltea la ropa y hierve al otro lado.")</f>
        <v>Él voltea la ropa y hierve al otro lado.</v>
      </c>
    </row>
    <row r="1651">
      <c r="A1651" s="4" t="s">
        <v>2077</v>
      </c>
      <c r="B1651" s="4" t="s">
        <v>2078</v>
      </c>
      <c r="C1651" s="5" t="str">
        <f>IFERROR(__xludf.DUMMYFUNCTION("GOOGLETRANSLATE(B1651,""en"",""es-ES"")"),"Un niño con una camisa naranja está de pie en una habitación.")</f>
        <v>Un niño con una camisa naranja está de pie en una habitación.</v>
      </c>
    </row>
    <row r="1652">
      <c r="A1652" s="4" t="s">
        <v>2077</v>
      </c>
      <c r="B1652" s="4" t="s">
        <v>2079</v>
      </c>
      <c r="C1652" s="5" t="str">
        <f>IFERROR(__xludf.DUMMYFUNCTION("GOOGLETRANSLATE(B1652,""en"",""es-ES"")"),"Comienza a golpear un saco de boxeo.")</f>
        <v>Comienza a golpear un saco de boxeo.</v>
      </c>
    </row>
    <row r="1653">
      <c r="A1653" s="4" t="s">
        <v>2077</v>
      </c>
      <c r="B1653" s="4" t="s">
        <v>2080</v>
      </c>
      <c r="C1653" s="5" t="str">
        <f>IFERROR(__xludf.DUMMYFUNCTION("GOOGLETRANSLATE(B1653,""en"",""es-ES"")"),"El saco de boxeo se mueve en el aire.")</f>
        <v>El saco de boxeo se mueve en el aire.</v>
      </c>
    </row>
    <row r="1654">
      <c r="A1654" s="4" t="s">
        <v>2081</v>
      </c>
      <c r="B1654" s="4" t="s">
        <v>1251</v>
      </c>
      <c r="C1654" s="5" t="str">
        <f>IFERROR(__xludf.DUMMYFUNCTION("GOOGLETRANSLATE(B1654,""en"",""es-ES"")"),"Se muestran los créditos del clip.")</f>
        <v>Se muestran los créditos del clip.</v>
      </c>
    </row>
    <row r="1655">
      <c r="A1655" s="4" t="s">
        <v>2081</v>
      </c>
      <c r="B1655" s="4" t="s">
        <v>2082</v>
      </c>
      <c r="C1655" s="5" t="str">
        <f>IFERROR(__xludf.DUMMYFUNCTION("GOOGLETRANSLATE(B1655,""en"",""es-ES"")"),"Un niño remula un bote.")</f>
        <v>Un niño remula un bote.</v>
      </c>
    </row>
    <row r="1656">
      <c r="A1656" s="4" t="s">
        <v>2081</v>
      </c>
      <c r="B1656" s="4" t="s">
        <v>573</v>
      </c>
      <c r="C1656" s="5" t="str">
        <f>IFERROR(__xludf.DUMMYFUNCTION("GOOGLETRANSLATE(B1656,""en"",""es-ES"")"),"Se muestran los créditos del video.")</f>
        <v>Se muestran los créditos del video.</v>
      </c>
    </row>
    <row r="1657">
      <c r="A1657" s="4" t="s">
        <v>2083</v>
      </c>
      <c r="B1657" s="4" t="s">
        <v>2084</v>
      </c>
      <c r="C1657" s="5" t="str">
        <f>IFERROR(__xludf.DUMMYFUNCTION("GOOGLETRANSLATE(B1657,""en"",""es-ES"")"),"Se ve a un hombre afuera bailando para sí mismo mientras limpia un trapo en el auto.")</f>
        <v>Se ve a un hombre afuera bailando para sí mismo mientras limpia un trapo en el auto.</v>
      </c>
    </row>
    <row r="1658">
      <c r="A1658" s="4" t="s">
        <v>2083</v>
      </c>
      <c r="B1658" s="4" t="s">
        <v>2085</v>
      </c>
      <c r="C1658" s="5" t="str">
        <f>IFERROR(__xludf.DUMMYFUNCTION("GOOGLETRANSLATE(B1658,""en"",""es-ES"")"),"El clima está lloviendo y el hombre continúa bailando alrededor del auto sosteniendo un trapo.")</f>
        <v>El clima está lloviendo y el hombre continúa bailando alrededor del auto sosteniendo un trapo.</v>
      </c>
    </row>
    <row r="1659">
      <c r="A1659" s="4" t="s">
        <v>2083</v>
      </c>
      <c r="B1659" s="4" t="s">
        <v>2086</v>
      </c>
      <c r="C1659" s="5" t="str">
        <f>IFERROR(__xludf.DUMMYFUNCTION("GOOGLETRANSLATE(B1659,""en"",""es-ES"")"),"El hombre se mueve al frente del auto seguido de quitarse la camisa y saludar a la cámara.")</f>
        <v>El hombre se mueve al frente del auto seguido de quitarse la camisa y saludar a la cámara.</v>
      </c>
    </row>
    <row r="1660">
      <c r="A1660" s="4" t="s">
        <v>2087</v>
      </c>
      <c r="B1660" s="4" t="s">
        <v>2088</v>
      </c>
      <c r="C1660" s="5" t="str">
        <f>IFERROR(__xludf.DUMMYFUNCTION("GOOGLETRANSLATE(B1660,""en"",""es-ES"")"),"Se muestra una gran multitud aplaudiendo y dos anfitriones que hablan al principio.")</f>
        <v>Se muestra una gran multitud aplaudiendo y dos anfitriones que hablan al principio.</v>
      </c>
    </row>
    <row r="1661">
      <c r="A1661" s="4" t="s">
        <v>2087</v>
      </c>
      <c r="B1661" s="4" t="s">
        <v>2089</v>
      </c>
      <c r="C1661" s="5" t="str">
        <f>IFERROR(__xludf.DUMMYFUNCTION("GOOGLETRANSLATE(B1661,""en"",""es-ES"")"),"Luego se muestra una línea de hombres con trajes de lucha de sumo.")</f>
        <v>Luego se muestra una línea de hombres con trajes de lucha de sumo.</v>
      </c>
    </row>
    <row r="1662">
      <c r="A1662" s="4" t="s">
        <v>2087</v>
      </c>
      <c r="B1662" s="4" t="s">
        <v>2090</v>
      </c>
      <c r="C1662" s="5" t="str">
        <f>IFERROR(__xludf.DUMMYFUNCTION("GOOGLETRANSLATE(B1662,""en"",""es-ES"")"),"Dos personas entran en el ring y comienzan a pelear.")</f>
        <v>Dos personas entran en el ring y comienzan a pelear.</v>
      </c>
    </row>
    <row r="1663">
      <c r="A1663" s="4" t="s">
        <v>2087</v>
      </c>
      <c r="B1663" s="4" t="s">
        <v>2091</v>
      </c>
      <c r="C1663" s="5" t="str">
        <f>IFERROR(__xludf.DUMMYFUNCTION("GOOGLETRANSLATE(B1663,""en"",""es-ES"")"),"Las dos personas se agarran el cuello y tratan de derribar a su oponente al suelo.")</f>
        <v>Las dos personas se agarran el cuello y tratan de derribar a su oponente al suelo.</v>
      </c>
    </row>
    <row r="1664">
      <c r="A1664" s="4" t="s">
        <v>2092</v>
      </c>
      <c r="B1664" s="4" t="s">
        <v>2093</v>
      </c>
      <c r="C1664" s="5" t="str">
        <f>IFERROR(__xludf.DUMMYFUNCTION("GOOGLETRANSLATE(B1664,""en"",""es-ES"")"),"La cámara captura un primer plano de una mujer mayor que maquillan y golpean sus labios a la cámara.")</f>
        <v>La cámara captura un primer plano de una mujer mayor que maquillan y golpean sus labios a la cámara.</v>
      </c>
    </row>
    <row r="1665">
      <c r="A1665" s="4" t="s">
        <v>2092</v>
      </c>
      <c r="B1665" s="4" t="s">
        <v>2094</v>
      </c>
      <c r="C1665" s="5" t="str">
        <f>IFERROR(__xludf.DUMMYFUNCTION("GOOGLETRANSLATE(B1665,""en"",""es-ES"")"),"Luego se pone el rímel, así como más lápiz labial y asiente con la cabeza hacia atrás y la cuarta sonriente.")</f>
        <v>Luego se pone el rímel, así como más lápiz labial y asiente con la cabeza hacia atrás y la cuarta sonriente.</v>
      </c>
    </row>
    <row r="1666">
      <c r="A1666" s="4" t="s">
        <v>2095</v>
      </c>
      <c r="B1666" s="4" t="s">
        <v>2096</v>
      </c>
      <c r="C1666" s="5" t="str">
        <f>IFERROR(__xludf.DUMMYFUNCTION("GOOGLETRANSLATE(B1666,""en"",""es-ES"")"),"Un hombre que lleva un sombrero blanco está demostrando cómo hacer una bebida caribeña.")</f>
        <v>Un hombre que lleva un sombrero blanco está demostrando cómo hacer una bebida caribeña.</v>
      </c>
    </row>
    <row r="1667">
      <c r="A1667" s="4" t="s">
        <v>2095</v>
      </c>
      <c r="B1667" s="4" t="s">
        <v>2097</v>
      </c>
      <c r="C1667" s="5" t="str">
        <f>IFERROR(__xludf.DUMMYFUNCTION("GOOGLETRANSLATE(B1667,""en"",""es-ES"")"),"Muestra un tazón lleno de cítricos.")</f>
        <v>Muestra un tazón lleno de cítricos.</v>
      </c>
    </row>
    <row r="1668">
      <c r="A1668" s="4" t="s">
        <v>2095</v>
      </c>
      <c r="B1668" s="4" t="s">
        <v>2098</v>
      </c>
      <c r="C1668" s="5" t="str">
        <f>IFERROR(__xludf.DUMMYFUNCTION("GOOGLETRANSLATE(B1668,""en"",""es-ES"")"),"Toma un exprimidor de limón y algunos limones, limas y naranjas.")</f>
        <v>Toma un exprimidor de limón y algunos limones, limas y naranjas.</v>
      </c>
    </row>
    <row r="1669">
      <c r="A1669" s="4" t="s">
        <v>2095</v>
      </c>
      <c r="B1669" s="4" t="s">
        <v>2099</v>
      </c>
      <c r="C1669" s="5" t="str">
        <f>IFERROR(__xludf.DUMMYFUNCTION("GOOGLETRANSLATE(B1669,""en"",""es-ES"")"),"Luego juega las naranjas y el limón en el exprimidor.")</f>
        <v>Luego juega las naranjas y el limón en el exprimidor.</v>
      </c>
    </row>
    <row r="1670">
      <c r="A1670" s="4" t="s">
        <v>2095</v>
      </c>
      <c r="B1670" s="4" t="s">
        <v>2100</v>
      </c>
      <c r="C1670" s="5" t="str">
        <f>IFERROR(__xludf.DUMMYFUNCTION("GOOGLETRANSLATE(B1670,""en"",""es-ES"")"),"Luego vacía el jugo un tazón de cóctel grande.")</f>
        <v>Luego vacía el jugo un tazón de cóctel grande.</v>
      </c>
    </row>
    <row r="1671">
      <c r="A1671" s="4" t="s">
        <v>2095</v>
      </c>
      <c r="B1671" s="4" t="s">
        <v>2101</v>
      </c>
      <c r="C1671" s="5" t="str">
        <f>IFERROR(__xludf.DUMMYFUNCTION("GOOGLETRANSLATE(B1671,""en"",""es-ES"")"),"Agrega ron al jugo junto con un poco de extracto de vainilla.")</f>
        <v>Agrega ron al jugo junto con un poco de extracto de vainilla.</v>
      </c>
    </row>
    <row r="1672">
      <c r="A1672" s="4" t="s">
        <v>2095</v>
      </c>
      <c r="B1672" s="4" t="s">
        <v>2102</v>
      </c>
      <c r="C1672" s="5" t="str">
        <f>IFERROR(__xludf.DUMMYFUNCTION("GOOGLETRANSLATE(B1672,""en"",""es-ES"")"),"También mezcla azúcar y ron y bate la bebida.")</f>
        <v>También mezcla azúcar y ron y bate la bebida.</v>
      </c>
    </row>
    <row r="1673">
      <c r="A1673" s="4" t="s">
        <v>2095</v>
      </c>
      <c r="B1673" s="4" t="s">
        <v>2103</v>
      </c>
      <c r="C1673" s="5" t="str">
        <f>IFERROR(__xludf.DUMMYFUNCTION("GOOGLETRANSLATE(B1673,""en"",""es-ES"")"),"Finalmente agrega un tazón lleno de agua y lo revuelve bien.")</f>
        <v>Finalmente agrega un tazón lleno de agua y lo revuelve bien.</v>
      </c>
    </row>
    <row r="1674">
      <c r="A1674" s="4" t="s">
        <v>2095</v>
      </c>
      <c r="B1674" s="4" t="s">
        <v>2104</v>
      </c>
      <c r="C1674" s="5" t="str">
        <f>IFERROR(__xludf.DUMMYFUNCTION("GOOGLETRANSLATE(B1674,""en"",""es-ES"")"),"Vierta la bebida en vasos de cóctel y la coloca en el mostrador de la cocina.")</f>
        <v>Vierta la bebida en vasos de cóctel y la coloca en el mostrador de la cocina.</v>
      </c>
    </row>
    <row r="1675">
      <c r="A1675" s="4" t="s">
        <v>2105</v>
      </c>
      <c r="B1675" s="4" t="s">
        <v>2106</v>
      </c>
      <c r="C1675" s="5" t="str">
        <f>IFERROR(__xludf.DUMMYFUNCTION("GOOGLETRANSLATE(B1675,""en"",""es-ES"")"),"Se muestra un gran bote navegando a través del agua del océano.")</f>
        <v>Se muestra un gran bote navegando a través del agua del océano.</v>
      </c>
    </row>
    <row r="1676">
      <c r="A1676" s="4" t="s">
        <v>2105</v>
      </c>
      <c r="B1676" s="4" t="s">
        <v>2107</v>
      </c>
      <c r="C1676" s="5" t="str">
        <f>IFERROR(__xludf.DUMMYFUNCTION("GOOGLETRANSLATE(B1676,""en"",""es-ES"")"),"Un hombre con equipo de buceo sube por un lado.")</f>
        <v>Un hombre con equipo de buceo sube por un lado.</v>
      </c>
    </row>
    <row r="1677">
      <c r="A1677" s="4" t="s">
        <v>2105</v>
      </c>
      <c r="B1677" s="4" t="s">
        <v>2108</v>
      </c>
      <c r="C1677" s="5" t="str">
        <f>IFERROR(__xludf.DUMMYFUNCTION("GOOGLETRANSLATE(B1677,""en"",""es-ES"")"),"Trabaja para sacar una bolsa grande en el bote, tratando de no volcar.")</f>
        <v>Trabaja para sacar una bolsa grande en el bote, tratando de no volcar.</v>
      </c>
    </row>
    <row r="1678">
      <c r="A1678" s="4" t="s">
        <v>2109</v>
      </c>
      <c r="B1678" s="4" t="s">
        <v>2110</v>
      </c>
      <c r="C1678" s="5" t="str">
        <f>IFERROR(__xludf.DUMMYFUNCTION("GOOGLETRANSLATE(B1678,""en"",""es-ES"")"),"Un hombre vestido con equipo de nieve está parado sobre un cuerpo de agua congelado y doblándose mientras mira en un agujero de pez en el que se encuentra su poste de pesca.")</f>
        <v>Un hombre vestido con equipo de nieve está parado sobre un cuerpo de agua congelado y doblándose mientras mira en un agujero de pez en el que se encuentra su poste de pesca.</v>
      </c>
    </row>
    <row r="1679">
      <c r="A1679" s="4" t="s">
        <v>2109</v>
      </c>
      <c r="B1679" s="4" t="s">
        <v>2111</v>
      </c>
      <c r="C1679" s="5" t="str">
        <f>IFERROR(__xludf.DUMMYFUNCTION("GOOGLETRANSLATE(B1679,""en"",""es-ES"")"),"El hombre tira de su poste de pesca, de rodillas y continúa levantando lentamente el poste de pesca y el camarógrafo que ya había bajado la cámara se dobla y agarra el pescado y lo coloca sobre el hielo.")</f>
        <v>El hombre tira de su poste de pesca, de rodillas y continúa levantando lentamente el poste de pesca y el camarógrafo que ya había bajado la cámara se dobla y agarra el pescado y lo coloca sobre el hielo.</v>
      </c>
    </row>
    <row r="1680">
      <c r="A1680" s="4" t="s">
        <v>2109</v>
      </c>
      <c r="B1680" s="4" t="s">
        <v>2112</v>
      </c>
      <c r="C1680" s="5" t="str">
        <f>IFERROR(__xludf.DUMMYFUNCTION("GOOGLETRANSLATE(B1680,""en"",""es-ES"")"),"El hombre recoge la cámara y inclina la cámara hacia el pez en el hielo y el hombre que estaba pescando está sonriendo, se desabrochan el pez y luego la sostiene en el aire.")</f>
        <v>El hombre recoge la cámara y inclina la cámara hacia el pez en el hielo y el hombre que estaba pescando está sonriendo, se desabrochan el pez y luego la sostiene en el aire.</v>
      </c>
    </row>
    <row r="1681">
      <c r="A1681" s="4" t="s">
        <v>2113</v>
      </c>
      <c r="B1681" s="4" t="s">
        <v>2114</v>
      </c>
      <c r="C1681" s="5" t="str">
        <f>IFERROR(__xludf.DUMMYFUNCTION("GOOGLETRANSLATE(B1681,""en"",""es-ES"")"),"La gente maneja toros en un anillo de rodeo, un hombre es arrojado al aire por un toro.")</f>
        <v>La gente maneja toros en un anillo de rodeo, un hombre es arrojado al aire por un toro.</v>
      </c>
    </row>
    <row r="1682">
      <c r="A1682" s="4" t="s">
        <v>2113</v>
      </c>
      <c r="B1682" s="4" t="s">
        <v>2115</v>
      </c>
      <c r="C1682" s="5" t="str">
        <f>IFERROR(__xludf.DUMMYFUNCTION("GOOGLETRANSLATE(B1682,""en"",""es-ES"")"),"Las personas son tiradas por toros al suelo mientras salta y patean con las patas traseras mientras la gente mira el rodeo.")</f>
        <v>Las personas son tiradas por toros al suelo mientras salta y patean con las patas traseras mientras la gente mira el rodeo.</v>
      </c>
    </row>
    <row r="1683">
      <c r="A1683" s="4" t="s">
        <v>2113</v>
      </c>
      <c r="B1683" s="4" t="s">
        <v>2116</v>
      </c>
      <c r="C1683" s="5" t="str">
        <f>IFERROR(__xludf.DUMMYFUNCTION("GOOGLETRANSLATE(B1683,""en"",""es-ES"")"),"Varias personas que montan toros son arrojados al suelo, mientras que otras personas distraen a los toros que salta y patea.")</f>
        <v>Varias personas que montan toros son arrojados al suelo, mientras que otras personas distraen a los toros que salta y patea.</v>
      </c>
    </row>
    <row r="1684">
      <c r="A1684" s="4" t="s">
        <v>2117</v>
      </c>
      <c r="B1684" s="4" t="s">
        <v>2118</v>
      </c>
      <c r="C1684" s="5" t="str">
        <f>IFERROR(__xludf.DUMMYFUNCTION("GOOGLETRANSLATE(B1684,""en"",""es-ES"")"),"Dos sumos muy grandes están en un círculo elevado haciendo calentamientos de piernas y en cuclillas mientras otro hombre en el medio vestido con árbitros japoneses.")</f>
        <v>Dos sumos muy grandes están en un círculo elevado haciendo calentamientos de piernas y en cuclillas mientras otro hombre en el medio vestido con árbitros japoneses.</v>
      </c>
    </row>
    <row r="1685">
      <c r="A1685" s="4" t="s">
        <v>2117</v>
      </c>
      <c r="B1685" s="4" t="s">
        <v>2119</v>
      </c>
      <c r="C1685" s="5" t="str">
        <f>IFERROR(__xludf.DUMMYFUNCTION("GOOGLETRANSLATE(B1685,""en"",""es-ES"")"),"El árbitro les permite saber cuándo comenzar y los sumos luchan mientras el árbitro camina alrededor del ring y los monitorea.")</f>
        <v>El árbitro les permite saber cuándo comenzar y los sumos luchan mientras el árbitro camina alrededor del ring y los monitorea.</v>
      </c>
    </row>
    <row r="1686">
      <c r="A1686" s="4" t="s">
        <v>2117</v>
      </c>
      <c r="B1686" s="4" t="s">
        <v>2120</v>
      </c>
      <c r="C1686" s="5" t="str">
        <f>IFERROR(__xludf.DUMMYFUNCTION("GOOGLETRANSLATE(B1686,""en"",""es-ES"")"),"Finalmente, uno de los hombres puede sacar a otro hombre del ring, dejan de luchar, el perdedor camina hacia su final y se inclinan el uno al otro y ambos abandonan el anillo.")</f>
        <v>Finalmente, uno de los hombres puede sacar a otro hombre del ring, dejan de luchar, el perdedor camina hacia su final y se inclinan el uno al otro y ambos abandonan el anillo.</v>
      </c>
    </row>
    <row r="1687">
      <c r="A1687" s="4" t="s">
        <v>2121</v>
      </c>
      <c r="B1687" s="4" t="s">
        <v>2122</v>
      </c>
      <c r="C1687" s="5" t="str">
        <f>IFERROR(__xludf.DUMMYFUNCTION("GOOGLETRANSLATE(B1687,""en"",""es-ES"")"),"Una chica está vertiendo algo en un fregadero.")</f>
        <v>Una chica está vertiendo algo en un fregadero.</v>
      </c>
    </row>
    <row r="1688">
      <c r="A1688" s="4" t="s">
        <v>2121</v>
      </c>
      <c r="B1688" s="4" t="s">
        <v>2123</v>
      </c>
      <c r="C1688" s="5" t="str">
        <f>IFERROR(__xludf.DUMMYFUNCTION("GOOGLETRANSLATE(B1688,""en"",""es-ES"")"),"Ella se aleja y se limpia las manos con una toalla.")</f>
        <v>Ella se aleja y se limpia las manos con una toalla.</v>
      </c>
    </row>
    <row r="1689">
      <c r="A1689" s="4" t="s">
        <v>2121</v>
      </c>
      <c r="B1689" s="4" t="s">
        <v>2124</v>
      </c>
      <c r="C1689" s="5" t="str">
        <f>IFERROR(__xludf.DUMMYFUNCTION("GOOGLETRANSLATE(B1689,""en"",""es-ES"")"),"Ella vierte el tazón en un cubo en el suelo.")</f>
        <v>Ella vierte el tazón en un cubo en el suelo.</v>
      </c>
    </row>
    <row r="1690">
      <c r="A1690" s="4" t="s">
        <v>2121</v>
      </c>
      <c r="B1690" s="4" t="s">
        <v>2125</v>
      </c>
      <c r="C1690" s="5" t="str">
        <f>IFERROR(__xludf.DUMMYFUNCTION("GOOGLETRANSLATE(B1690,""en"",""es-ES"")"),"Ella comienza a limpiar el piso con una toalla.")</f>
        <v>Ella comienza a limpiar el piso con una toalla.</v>
      </c>
    </row>
    <row r="1691">
      <c r="A1691" s="4" t="s">
        <v>2121</v>
      </c>
      <c r="B1691" s="4" t="s">
        <v>2126</v>
      </c>
      <c r="C1691" s="5" t="str">
        <f>IFERROR(__xludf.DUMMYFUNCTION("GOOGLETRANSLATE(B1691,""en"",""es-ES"")"),"Ella mueve el cubo al frente del aula y lo arroja.")</f>
        <v>Ella mueve el cubo al frente del aula y lo arroja.</v>
      </c>
    </row>
    <row r="1692">
      <c r="A1692" s="4" t="s">
        <v>2127</v>
      </c>
      <c r="B1692" s="4" t="s">
        <v>2128</v>
      </c>
      <c r="C1692" s="5" t="str">
        <f>IFERROR(__xludf.DUMMYFUNCTION("GOOGLETRANSLATE(B1692,""en"",""es-ES"")"),"Vemos la pantalla del título para el video.")</f>
        <v>Vemos la pantalla del título para el video.</v>
      </c>
    </row>
    <row r="1693">
      <c r="A1693" s="4" t="s">
        <v>2127</v>
      </c>
      <c r="B1693" s="4" t="s">
        <v>2129</v>
      </c>
      <c r="C1693" s="5" t="str">
        <f>IFERROR(__xludf.DUMMYFUNCTION("GOOGLETRANSLATE(B1693,""en"",""es-ES"")"),"Cambiamos a una mujer que se pone su ropa de clima frío.")</f>
        <v>Cambiamos a una mujer que se pone su ropa de clima frío.</v>
      </c>
    </row>
    <row r="1694">
      <c r="A1694" s="4" t="s">
        <v>2127</v>
      </c>
      <c r="B1694" s="4" t="s">
        <v>2130</v>
      </c>
      <c r="C1694" s="5" t="str">
        <f>IFERROR(__xludf.DUMMYFUNCTION("GOOGLETRANSLATE(B1694,""en"",""es-ES"")"),"Ella agarra una pala y se aleja.")</f>
        <v>Ella agarra una pala y se aleja.</v>
      </c>
    </row>
    <row r="1695">
      <c r="A1695" s="4" t="s">
        <v>2127</v>
      </c>
      <c r="B1695" s="4" t="s">
        <v>2131</v>
      </c>
      <c r="C1695" s="5" t="str">
        <f>IFERROR(__xludf.DUMMYFUNCTION("GOOGLETRANSLATE(B1695,""en"",""es-ES"")"),"Vemos a la dama sentada y acostada en una silla y leyendo.")</f>
        <v>Vemos a la dama sentada y acostada en una silla y leyendo.</v>
      </c>
    </row>
    <row r="1696">
      <c r="A1696" s="4" t="s">
        <v>2127</v>
      </c>
      <c r="B1696" s="4" t="s">
        <v>2132</v>
      </c>
      <c r="C1696" s="5" t="str">
        <f>IFERROR(__xludf.DUMMYFUNCTION("GOOGLETRANSLATE(B1696,""en"",""es-ES"")"),"La señora está afuera paleando la nieve y hablando.")</f>
        <v>La señora está afuera paleando la nieve y hablando.</v>
      </c>
    </row>
    <row r="1697">
      <c r="A1697" s="4" t="s">
        <v>2127</v>
      </c>
      <c r="B1697" s="4" t="s">
        <v>2133</v>
      </c>
      <c r="C1697" s="5" t="str">
        <f>IFERROR(__xludf.DUMMYFUNCTION("GOOGLETRANSLATE(B1697,""en"",""es-ES"")"),"Vemos artículos en línea sobre la pala.")</f>
        <v>Vemos artículos en línea sobre la pala.</v>
      </c>
    </row>
    <row r="1698">
      <c r="A1698" s="4" t="s">
        <v>2127</v>
      </c>
      <c r="B1698" s="4" t="s">
        <v>2134</v>
      </c>
      <c r="C1698" s="5" t="str">
        <f>IFERROR(__xludf.DUMMYFUNCTION("GOOGLETRANSLATE(B1698,""en"",""es-ES"")"),"La señora está saltando y calentando.")</f>
        <v>La señora está saltando y calentando.</v>
      </c>
    </row>
    <row r="1699">
      <c r="A1699" s="4" t="s">
        <v>2127</v>
      </c>
      <c r="B1699" s="4" t="s">
        <v>2135</v>
      </c>
      <c r="C1699" s="5" t="str">
        <f>IFERROR(__xludf.DUMMYFUNCTION("GOOGLETRANSLATE(B1699,""en"",""es-ES"")"),"Vemos una ciudad nevada y luego la gente pala nieve.")</f>
        <v>Vemos una ciudad nevada y luego la gente pala nieve.</v>
      </c>
    </row>
    <row r="1700">
      <c r="A1700" s="4" t="s">
        <v>2136</v>
      </c>
      <c r="B1700" s="4" t="s">
        <v>2137</v>
      </c>
      <c r="C1700" s="5" t="str">
        <f>IFERROR(__xludf.DUMMYFUNCTION("GOOGLETRANSLATE(B1700,""en"",""es-ES"")"),"Se ve a una persona parada en una cancha que sostiene una raqueta de tenis.")</f>
        <v>Se ve a una persona parada en una cancha que sostiene una raqueta de tenis.</v>
      </c>
    </row>
    <row r="1701">
      <c r="A1701" s="4" t="s">
        <v>2136</v>
      </c>
      <c r="B1701" s="4" t="s">
        <v>2138</v>
      </c>
      <c r="C1701" s="5" t="str">
        <f>IFERROR(__xludf.DUMMYFUNCTION("GOOGLETRANSLATE(B1701,""en"",""es-ES"")"),"El hombre luego demuestra varios movimientos con la raqueta de tenis y golpea la pelota a otro.")</f>
        <v>El hombre luego demuestra varios movimientos con la raqueta de tenis y golpea la pelota a otro.</v>
      </c>
    </row>
    <row r="1702">
      <c r="A1702" s="4" t="s">
        <v>2136</v>
      </c>
      <c r="B1702" s="4" t="s">
        <v>2139</v>
      </c>
      <c r="C1702" s="5" t="str">
        <f>IFERROR(__xludf.DUMMYFUNCTION("GOOGLETRANSLATE(B1702,""en"",""es-ES"")"),"Los dos retroceden continuamente la pelota y cuarta entre sí.")</f>
        <v>Los dos retroceden continuamente la pelota y cuarta entre sí.</v>
      </c>
    </row>
    <row r="1703">
      <c r="A1703" s="4" t="s">
        <v>2140</v>
      </c>
      <c r="B1703" s="4" t="s">
        <v>2141</v>
      </c>
      <c r="C1703" s="5" t="str">
        <f>IFERROR(__xludf.DUMMYFUNCTION("GOOGLETRANSLATE(B1703,""en"",""es-ES"")"),"Una mujer está sentada con gafas de sol verdes.")</f>
        <v>Una mujer está sentada con gafas de sol verdes.</v>
      </c>
    </row>
    <row r="1704">
      <c r="A1704" s="4" t="s">
        <v>2140</v>
      </c>
      <c r="B1704" s="4" t="s">
        <v>2142</v>
      </c>
      <c r="C1704" s="5" t="str">
        <f>IFERROR(__xludf.DUMMYFUNCTION("GOOGLETRANSLATE(B1704,""en"",""es-ES"")"),"Ella está hablando por el teléfono celular.")</f>
        <v>Ella está hablando por el teléfono celular.</v>
      </c>
    </row>
    <row r="1705">
      <c r="A1705" s="4" t="s">
        <v>2140</v>
      </c>
      <c r="B1705" s="4" t="s">
        <v>2143</v>
      </c>
      <c r="C1705" s="5" t="str">
        <f>IFERROR(__xludf.DUMMYFUNCTION("GOOGLETRANSLATE(B1705,""en"",""es-ES"")"),"Ella está montando en un coche.")</f>
        <v>Ella está montando en un coche.</v>
      </c>
    </row>
    <row r="1706">
      <c r="A1706" s="4" t="s">
        <v>2140</v>
      </c>
      <c r="B1706" s="4" t="s">
        <v>2144</v>
      </c>
      <c r="C1706" s="5" t="str">
        <f>IFERROR(__xludf.DUMMYFUNCTION("GOOGLETRANSLATE(B1706,""en"",""es-ES"")"),"Ella está acostada en una silla tatuada el pie.")</f>
        <v>Ella está acostada en una silla tatuada el pie.</v>
      </c>
    </row>
    <row r="1707">
      <c r="A1707" s="4" t="s">
        <v>2140</v>
      </c>
      <c r="B1707" s="4" t="s">
        <v>2145</v>
      </c>
      <c r="C1707" s="5" t="str">
        <f>IFERROR(__xludf.DUMMYFUNCTION("GOOGLETRANSLATE(B1707,""en"",""es-ES"")"),"Ella está mostrando su tatuaje de pie.")</f>
        <v>Ella está mostrando su tatuaje de pie.</v>
      </c>
    </row>
    <row r="1708">
      <c r="A1708" s="4" t="s">
        <v>2140</v>
      </c>
      <c r="B1708" s="4" t="s">
        <v>2146</v>
      </c>
      <c r="C1708" s="5" t="str">
        <f>IFERROR(__xludf.DUMMYFUNCTION("GOOGLETRANSLATE(B1708,""en"",""es-ES"")"),"Ella está sentada afuera hablando de nuevo.")</f>
        <v>Ella está sentada afuera hablando de nuevo.</v>
      </c>
    </row>
    <row r="1709">
      <c r="A1709" s="4" t="s">
        <v>2147</v>
      </c>
      <c r="B1709" s="4" t="s">
        <v>2148</v>
      </c>
      <c r="C1709" s="5" t="str">
        <f>IFERROR(__xludf.DUMMYFUNCTION("GOOGLETRANSLATE(B1709,""en"",""es-ES"")"),"Se ve a una mujer exprimiendo la loción de una botella en su piel y frotándola en sus brazos.")</f>
        <v>Se ve a una mujer exprimiendo la loción de una botella en su piel y frotándola en sus brazos.</v>
      </c>
    </row>
    <row r="1710">
      <c r="A1710" s="4" t="s">
        <v>2147</v>
      </c>
      <c r="B1710" s="4" t="s">
        <v>2149</v>
      </c>
      <c r="C1710" s="5" t="str">
        <f>IFERROR(__xludf.DUMMYFUNCTION("GOOGLETRANSLATE(B1710,""en"",""es-ES"")"),"Se muestran más imágenes en la pantalla de las personas y las lociones, así como los pasos sobre cómo usarla correctamente.")</f>
        <v>Se muestran más imágenes en la pantalla de las personas y las lociones, así como los pasos sobre cómo usarla correctamente.</v>
      </c>
    </row>
    <row r="1711">
      <c r="A1711" s="4" t="s">
        <v>2150</v>
      </c>
      <c r="B1711" s="4" t="s">
        <v>2151</v>
      </c>
      <c r="C1711" s="5" t="str">
        <f>IFERROR(__xludf.DUMMYFUNCTION("GOOGLETRANSLATE(B1711,""en"",""es-ES"")"),"Los hombres tiran de una cuerda en un juego de tira y afloja.")</f>
        <v>Los hombres tiran de una cuerda en un juego de tira y afloja.</v>
      </c>
    </row>
    <row r="1712">
      <c r="A1712" s="4" t="s">
        <v>2150</v>
      </c>
      <c r="B1712" s="4" t="s">
        <v>2152</v>
      </c>
      <c r="C1712" s="5" t="str">
        <f>IFERROR(__xludf.DUMMYFUNCTION("GOOGLETRANSLATE(B1712,""en"",""es-ES"")"),"Una dama se dobla para tomar una foto y una dama camina y filma el par.")</f>
        <v>Una dama se dobla para tomar una foto y una dama camina y filma el par.</v>
      </c>
    </row>
    <row r="1713">
      <c r="A1713" s="4" t="s">
        <v>2150</v>
      </c>
      <c r="B1713" s="4" t="s">
        <v>2153</v>
      </c>
      <c r="C1713" s="5" t="str">
        <f>IFERROR(__xludf.DUMMYFUNCTION("GOOGLETRANSLATE(B1713,""en"",""es-ES"")"),"Vemos una torre en el campo.")</f>
        <v>Vemos una torre en el campo.</v>
      </c>
    </row>
    <row r="1714">
      <c r="A1714" s="4" t="s">
        <v>2150</v>
      </c>
      <c r="B1714" s="4" t="s">
        <v>2154</v>
      </c>
      <c r="C1714" s="5" t="str">
        <f>IFERROR(__xludf.DUMMYFUNCTION("GOOGLETRANSLATE(B1714,""en"",""es-ES"")"),"Los hombres soltaron la cuerda, un hombre cae y aplaude.")</f>
        <v>Los hombres soltaron la cuerda, un hombre cae y aplaude.</v>
      </c>
    </row>
    <row r="1715">
      <c r="A1715" s="4" t="s">
        <v>2150</v>
      </c>
      <c r="B1715" s="4" t="s">
        <v>2155</v>
      </c>
      <c r="C1715" s="5" t="str">
        <f>IFERROR(__xludf.DUMMYFUNCTION("GOOGLETRANSLATE(B1715,""en"",""es-ES"")"),"Un hombre sonríe y da un pulgar a la cámara.")</f>
        <v>Un hombre sonríe y da un pulgar a la cámara.</v>
      </c>
    </row>
    <row r="1716">
      <c r="A1716" s="4" t="s">
        <v>2156</v>
      </c>
      <c r="B1716" s="4" t="s">
        <v>2157</v>
      </c>
      <c r="C1716" s="5" t="str">
        <f>IFERROR(__xludf.DUMMYFUNCTION("GOOGLETRANSLATE(B1716,""en"",""es-ES"")"),"La gente está jugando un juego en un campo.")</f>
        <v>La gente está jugando un juego en un campo.</v>
      </c>
    </row>
    <row r="1717">
      <c r="A1717" s="4" t="s">
        <v>2156</v>
      </c>
      <c r="B1717" s="4" t="s">
        <v>2158</v>
      </c>
      <c r="C1717" s="5" t="str">
        <f>IFERROR(__xludf.DUMMYFUNCTION("GOOGLETRANSLATE(B1717,""en"",""es-ES"")"),"El hombre con el mazo y el hombre con el sombrero rojo corren de un lado a otro.")</f>
        <v>El hombre con el mazo y el hombre con el sombrero rojo corren de un lado a otro.</v>
      </c>
    </row>
    <row r="1718">
      <c r="A1718" s="4" t="s">
        <v>2156</v>
      </c>
      <c r="B1718" s="4" t="s">
        <v>2159</v>
      </c>
      <c r="C1718" s="5" t="str">
        <f>IFERROR(__xludf.DUMMYFUNCTION("GOOGLETRANSLATE(B1718,""en"",""es-ES"")"),"Un hombre con una camisa azul corre hacia el plato.")</f>
        <v>Un hombre con una camisa azul corre hacia el plato.</v>
      </c>
    </row>
    <row r="1719">
      <c r="A1719" s="4" t="s">
        <v>2156</v>
      </c>
      <c r="B1719" s="4" t="s">
        <v>2160</v>
      </c>
      <c r="C1719" s="5" t="str">
        <f>IFERROR(__xludf.DUMMYFUNCTION("GOOGLETRANSLATE(B1719,""en"",""es-ES"")"),"El hombre con el mazo se muestra golpeando en cámara lenta.")</f>
        <v>El hombre con el mazo se muestra golpeando en cámara lenta.</v>
      </c>
    </row>
    <row r="1720">
      <c r="A1720" s="4" t="s">
        <v>2156</v>
      </c>
      <c r="B1720" s="4" t="s">
        <v>2161</v>
      </c>
      <c r="C1720" s="5" t="str">
        <f>IFERROR(__xludf.DUMMYFUNCTION("GOOGLETRANSLATE(B1720,""en"",""es-ES"")"),"Una mujer está a la altura y se muestra corriendo después de recibir un golpe.")</f>
        <v>Una mujer está a la altura y se muestra corriendo después de recibir un golpe.</v>
      </c>
    </row>
    <row r="1721">
      <c r="A1721" s="4" t="s">
        <v>2162</v>
      </c>
      <c r="B1721" s="4" t="s">
        <v>2163</v>
      </c>
      <c r="C1721" s="5" t="str">
        <f>IFERROR(__xludf.DUMMYFUNCTION("GOOGLETRANSLATE(B1721,""en"",""es-ES"")"),"Un hombre está parasailing en el océano.")</f>
        <v>Un hombre está parasailing en el océano.</v>
      </c>
    </row>
    <row r="1722">
      <c r="A1722" s="4" t="s">
        <v>2162</v>
      </c>
      <c r="B1722" s="4" t="s">
        <v>2164</v>
      </c>
      <c r="C1722" s="5" t="str">
        <f>IFERROR(__xludf.DUMMYFUNCTION("GOOGLETRANSLATE(B1722,""en"",""es-ES"")"),"Otras personas también comienzan a navegar en el agua, algunas caen.")</f>
        <v>Otras personas también comienzan a navegar en el agua, algunas caen.</v>
      </c>
    </row>
    <row r="1723">
      <c r="A1723" s="4" t="s">
        <v>2165</v>
      </c>
      <c r="B1723" s="4" t="s">
        <v>2166</v>
      </c>
      <c r="C1723" s="5" t="str">
        <f>IFERROR(__xludf.DUMMYFUNCTION("GOOGLETRANSLATE(B1723,""en"",""es-ES"")"),"Vemos a un hombre decorando un árbol de Navidad.")</f>
        <v>Vemos a un hombre decorando un árbol de Navidad.</v>
      </c>
    </row>
    <row r="1724">
      <c r="A1724" s="4" t="s">
        <v>2165</v>
      </c>
      <c r="B1724" s="4" t="s">
        <v>2167</v>
      </c>
      <c r="C1724" s="5" t="str">
        <f>IFERROR(__xludf.DUMMYFUNCTION("GOOGLETRANSLATE(B1724,""en"",""es-ES"")"),"El hombre agrega una cadena de luces.")</f>
        <v>El hombre agrega una cadena de luces.</v>
      </c>
    </row>
    <row r="1725">
      <c r="A1725" s="4" t="s">
        <v>2165</v>
      </c>
      <c r="B1725" s="4" t="s">
        <v>2168</v>
      </c>
      <c r="C1725" s="5" t="str">
        <f>IFERROR(__xludf.DUMMYFUNCTION("GOOGLETRANSLATE(B1725,""en"",""es-ES"")"),"Una niña numera bulbos al árbol.")</f>
        <v>Una niña numera bulbos al árbol.</v>
      </c>
    </row>
    <row r="1726">
      <c r="A1726" s="4" t="s">
        <v>2165</v>
      </c>
      <c r="B1726" s="4" t="s">
        <v>2169</v>
      </c>
      <c r="C1726" s="5" t="str">
        <f>IFERROR(__xludf.DUMMYFUNCTION("GOOGLETRANSLATE(B1726,""en"",""es-ES"")"),"El hombre enciende las luces.")</f>
        <v>El hombre enciende las luces.</v>
      </c>
    </row>
    <row r="1727">
      <c r="A1727" s="4" t="s">
        <v>2165</v>
      </c>
      <c r="B1727" s="4" t="s">
        <v>2170</v>
      </c>
      <c r="C1727" s="5" t="str">
        <f>IFERROR(__xludf.DUMMYFUNCTION("GOOGLETRANSLATE(B1727,""en"",""es-ES"")"),"El hombre y la niña agregan bombillas al árbol.")</f>
        <v>El hombre y la niña agregan bombillas al árbol.</v>
      </c>
    </row>
    <row r="1728">
      <c r="A1728" s="4" t="s">
        <v>2165</v>
      </c>
      <c r="B1728" s="4" t="s">
        <v>2171</v>
      </c>
      <c r="C1728" s="5" t="str">
        <f>IFERROR(__xludf.DUMMYFUNCTION("GOOGLETRANSLATE(B1728,""en"",""es-ES"")"),"La señora sube y posee las escaleras.")</f>
        <v>La señora sube y posee las escaleras.</v>
      </c>
    </row>
    <row r="1729">
      <c r="A1729" s="4" t="s">
        <v>2165</v>
      </c>
      <c r="B1729" s="4" t="s">
        <v>2172</v>
      </c>
      <c r="C1729" s="5" t="str">
        <f>IFERROR(__xludf.DUMMYFUNCTION("GOOGLETRANSLATE(B1729,""en"",""es-ES"")"),"La señora agrega adornos al árbol.")</f>
        <v>La señora agrega adornos al árbol.</v>
      </c>
    </row>
    <row r="1730">
      <c r="A1730" s="4" t="s">
        <v>2165</v>
      </c>
      <c r="B1730" s="4" t="s">
        <v>2173</v>
      </c>
      <c r="C1730" s="5" t="str">
        <f>IFERROR(__xludf.DUMMYFUNCTION("GOOGLETRANSLATE(B1730,""en"",""es-ES"")"),"El hombre se para en una escalera y agrega adornos.")</f>
        <v>El hombre se para en una escalera y agrega adornos.</v>
      </c>
    </row>
    <row r="1731">
      <c r="A1731" s="4" t="s">
        <v>2165</v>
      </c>
      <c r="B1731" s="4" t="s">
        <v>2174</v>
      </c>
      <c r="C1731" s="5" t="str">
        <f>IFERROR(__xludf.DUMMYFUNCTION("GOOGLETRANSLATE(B1731,""en"",""es-ES"")"),"La señora apaga las luces y la familia mira juntas el árbol.")</f>
        <v>La señora apaga las luces y la familia mira juntas el árbol.</v>
      </c>
    </row>
    <row r="1732">
      <c r="A1732" s="4" t="s">
        <v>2165</v>
      </c>
      <c r="B1732" s="4" t="s">
        <v>2175</v>
      </c>
      <c r="C1732" s="5" t="str">
        <f>IFERROR(__xludf.DUMMYFUNCTION("GOOGLETRANSLATE(B1732,""en"",""es-ES"")"),"El hombre y la mujer se besan.")</f>
        <v>El hombre y la mujer se besan.</v>
      </c>
    </row>
    <row r="1733">
      <c r="A1733" s="4" t="s">
        <v>2176</v>
      </c>
      <c r="B1733" s="4" t="s">
        <v>2177</v>
      </c>
      <c r="C1733" s="5" t="str">
        <f>IFERROR(__xludf.DUMMYFUNCTION("GOOGLETRANSLATE(B1733,""en"",""es-ES"")"),"Dos hombres están parados en un campo detrás de una fila de casas.")</f>
        <v>Dos hombres están parados en un campo detrás de una fila de casas.</v>
      </c>
    </row>
    <row r="1734">
      <c r="A1734" s="4" t="s">
        <v>2176</v>
      </c>
      <c r="B1734" s="4" t="s">
        <v>2178</v>
      </c>
      <c r="C1734" s="5" t="str">
        <f>IFERROR(__xludf.DUMMYFUNCTION("GOOGLETRANSLATE(B1734,""en"",""es-ES"")"),"Uno balancea un bate y corre hacia el campo, persiguiendo una pelota.")</f>
        <v>Uno balancea un bate y corre hacia el campo, persiguiendo una pelota.</v>
      </c>
    </row>
    <row r="1735">
      <c r="A1735" s="4" t="s">
        <v>2176</v>
      </c>
      <c r="B1735" s="4" t="s">
        <v>2179</v>
      </c>
      <c r="C1735" s="5" t="str">
        <f>IFERROR(__xludf.DUMMYFUNCTION("GOOGLETRANSLATE(B1735,""en"",""es-ES"")"),"La pelota se lleva de vuelta al bateador, y continúa el juego de cricket con sus compañeros de equipo.")</f>
        <v>La pelota se lleva de vuelta al bateador, y continúa el juego de cricket con sus compañeros de equipo.</v>
      </c>
    </row>
    <row r="1736">
      <c r="A1736" s="4" t="s">
        <v>2180</v>
      </c>
      <c r="B1736" s="4" t="s">
        <v>2181</v>
      </c>
      <c r="C1736" s="5" t="str">
        <f>IFERROR(__xludf.DUMMYFUNCTION("GOOGLETRANSLATE(B1736,""en"",""es-ES"")"),"Se ve a un hombre parado en un gran campo y lo lleva a mover los brazos y las piernas alrededor del área.")</f>
        <v>Se ve a un hombre parado en un gran campo y lo lleva a mover los brazos y las piernas alrededor del área.</v>
      </c>
    </row>
    <row r="1737">
      <c r="A1737" s="4" t="s">
        <v>2180</v>
      </c>
      <c r="B1737" s="4" t="s">
        <v>2182</v>
      </c>
      <c r="C1737" s="5" t="str">
        <f>IFERROR(__xludf.DUMMYFUNCTION("GOOGLETRANSLATE(B1737,""en"",""es-ES"")"),"El hombre continúa moviéndose alrededor del área moviendo las manos hacia arriba y hacia abajo y mirando a lo lejos.")</f>
        <v>El hombre continúa moviéndose alrededor del área moviendo las manos hacia arriba y hacia abajo y mirando a lo lejos.</v>
      </c>
    </row>
    <row r="1738">
      <c r="A1738" s="4" t="s">
        <v>2183</v>
      </c>
      <c r="B1738" s="4" t="s">
        <v>2184</v>
      </c>
      <c r="C1738" s="5" t="str">
        <f>IFERROR(__xludf.DUMMYFUNCTION("GOOGLETRANSLATE(B1738,""en"",""es-ES"")"),"Se ven dos personas haciendo un baile de ballet en el escenario seguido de una mujer que bailan mientras otras miran a un lado.")</f>
        <v>Se ven dos personas haciendo un baile de ballet en el escenario seguido de una mujer que bailan mientras otras miran a un lado.</v>
      </c>
    </row>
    <row r="1739">
      <c r="A1739" s="4" t="s">
        <v>2183</v>
      </c>
      <c r="B1739" s="4" t="s">
        <v>2185</v>
      </c>
      <c r="C1739" s="5" t="str">
        <f>IFERROR(__xludf.DUMMYFUNCTION("GOOGLETRANSLATE(B1739,""en"",""es-ES"")"),"La mujer continúa girando con el hombre entrando y saliendo del marco y termina con ella inclinándose ante la audiencia.")</f>
        <v>La mujer continúa girando con el hombre entrando y saliendo del marco y termina con ella inclinándose ante la audiencia.</v>
      </c>
    </row>
    <row r="1740">
      <c r="A1740" s="4" t="s">
        <v>2186</v>
      </c>
      <c r="B1740" s="4" t="s">
        <v>2187</v>
      </c>
      <c r="C1740" s="5" t="str">
        <f>IFERROR(__xludf.DUMMYFUNCTION("GOOGLETRANSLATE(B1740,""en"",""es-ES"")"),"Un perro negro camina por un césped.")</f>
        <v>Un perro negro camina por un césped.</v>
      </c>
    </row>
    <row r="1741">
      <c r="A1741" s="4" t="s">
        <v>2186</v>
      </c>
      <c r="B1741" s="4" t="s">
        <v>2188</v>
      </c>
      <c r="C1741" s="5" t="str">
        <f>IFERROR(__xludf.DUMMYFUNCTION("GOOGLETRANSLATE(B1741,""en"",""es-ES"")"),"Una dama rastrilla se va del césped a la acera del pavimento.")</f>
        <v>Una dama rastrilla se va del césped a la acera del pavimento.</v>
      </c>
    </row>
    <row r="1742">
      <c r="A1742" s="4" t="s">
        <v>2186</v>
      </c>
      <c r="B1742" s="4" t="s">
        <v>2189</v>
      </c>
      <c r="C1742" s="5" t="str">
        <f>IFERROR(__xludf.DUMMYFUNCTION("GOOGLETRANSLATE(B1742,""en"",""es-ES"")"),"La señora deja de rastrillar, se da vuelta y habla más gestos.")</f>
        <v>La señora deja de rastrillar, se da vuelta y habla más gestos.</v>
      </c>
    </row>
    <row r="1743">
      <c r="A1743" s="4" t="s">
        <v>2186</v>
      </c>
      <c r="B1743" s="4" t="s">
        <v>2190</v>
      </c>
      <c r="C1743" s="5" t="str">
        <f>IFERROR(__xludf.DUMMYFUNCTION("GOOGLETRANSLATE(B1743,""en"",""es-ES"")"),"Una pelota blanca rueda a un auto estacionado.")</f>
        <v>Una pelota blanca rueda a un auto estacionado.</v>
      </c>
    </row>
    <row r="1744">
      <c r="A1744" s="4" t="s">
        <v>2191</v>
      </c>
      <c r="B1744" s="4" t="s">
        <v>2192</v>
      </c>
      <c r="C1744" s="5" t="str">
        <f>IFERROR(__xludf.DUMMYFUNCTION("GOOGLETRANSLATE(B1744,""en"",""es-ES"")"),"Se ve a una mujer arrodillada en el marco al lado de un patio.")</f>
        <v>Se ve a una mujer arrodillada en el marco al lado de un patio.</v>
      </c>
    </row>
    <row r="1745">
      <c r="A1745" s="4" t="s">
        <v>2191</v>
      </c>
      <c r="B1745" s="4" t="s">
        <v>2193</v>
      </c>
      <c r="C1745" s="5" t="str">
        <f>IFERROR(__xludf.DUMMYFUNCTION("GOOGLETRANSLATE(B1745,""en"",""es-ES"")"),"Luego muestra varias herramientas de limpieza y las frota a lo largo de una silla.")</f>
        <v>Luego muestra varias herramientas de limpieza y las frota a lo largo de una silla.</v>
      </c>
    </row>
    <row r="1746">
      <c r="A1746" s="4" t="s">
        <v>2191</v>
      </c>
      <c r="B1746" s="4" t="s">
        <v>2194</v>
      </c>
      <c r="C1746" s="5" t="str">
        <f>IFERROR(__xludf.DUMMYFUNCTION("GOOGLETRANSLATE(B1746,""en"",""es-ES"")"),"Ella trae la silla adentro y vierte pintura en un cubo y pinta a lo largo del costado.")</f>
        <v>Ella trae la silla adentro y vierte pintura en un cubo y pinta a lo largo del costado.</v>
      </c>
    </row>
    <row r="1747">
      <c r="A1747" s="4" t="s">
        <v>2191</v>
      </c>
      <c r="B1747" s="4" t="s">
        <v>2195</v>
      </c>
      <c r="C1747" s="5" t="str">
        <f>IFERROR(__xludf.DUMMYFUNCTION("GOOGLETRANSLATE(B1747,""en"",""es-ES"")"),"Ella muestra la silla afuera nuevamente mientras habla con la cámara.")</f>
        <v>Ella muestra la silla afuera nuevamente mientras habla con la cámara.</v>
      </c>
    </row>
    <row r="1748">
      <c r="A1748" s="4" t="s">
        <v>2196</v>
      </c>
      <c r="B1748" s="4" t="s">
        <v>2197</v>
      </c>
      <c r="C1748" s="5" t="str">
        <f>IFERROR(__xludf.DUMMYFUNCTION("GOOGLETRANSLATE(B1748,""en"",""es-ES"")"),"Un presentador de noticias de mujer morena lleva una camisa blanca y un blazer azul real sobre ella y está hablando en la cámara.")</f>
        <v>Un presentador de noticias de mujer morena lleva una camisa blanca y un blazer azul real sobre ella y está hablando en la cámara.</v>
      </c>
    </row>
    <row r="1749">
      <c r="A1749" s="4" t="s">
        <v>2196</v>
      </c>
      <c r="B1749" s="4" t="s">
        <v>2198</v>
      </c>
      <c r="C1749" s="5" t="str">
        <f>IFERROR(__xludf.DUMMYFUNCTION("GOOGLETRANSLATE(B1749,""en"",""es-ES"")"),"Comienza un clip y presenta a personas que se ejecutan y las palabras en la pantalla dicen que son novatos que están entrenando para ejecutar un maratón en Tel Aviv, Israel.")</f>
        <v>Comienza un clip y presenta a personas que se ejecutan y las palabras en la pantalla dicen que son novatos que están entrenando para ejecutar un maratón en Tel Aviv, Israel.</v>
      </c>
    </row>
    <row r="1750">
      <c r="A1750" s="4" t="s">
        <v>2196</v>
      </c>
      <c r="B1750" s="4" t="s">
        <v>2199</v>
      </c>
      <c r="C1750" s="5" t="str">
        <f>IFERROR(__xludf.DUMMYFUNCTION("GOOGLETRANSLATE(B1750,""en"",""es-ES"")"),"Un hombre aparece entrenandolos y diferentes maratonistas en el entrenamiento se turnan para ser entrevistados mientras continúan cambiando y vienen a todos los que pasan por el entrenamiento.")</f>
        <v>Un hombre aparece entrenandolos y diferentes maratonistas en el entrenamiento se turnan para ser entrevistados mientras continúan cambiando y vienen a todos los que pasan por el entrenamiento.</v>
      </c>
    </row>
    <row r="1751">
      <c r="A1751" s="4" t="s">
        <v>2196</v>
      </c>
      <c r="B1751" s="4" t="s">
        <v>2200</v>
      </c>
      <c r="C1751" s="5" t="str">
        <f>IFERROR(__xludf.DUMMYFUNCTION("GOOGLETRANSLATE(B1751,""en"",""es-ES"")"),"El último clip es la vista desde el comienzo de un maratón y cientos de personas comienzan a correr cuando salen de la línea de salida.")</f>
        <v>El último clip es la vista desde el comienzo de un maratón y cientos de personas comienzan a correr cuando salen de la línea de salida.</v>
      </c>
    </row>
    <row r="1752">
      <c r="A1752" s="4" t="s">
        <v>2201</v>
      </c>
      <c r="B1752" s="4" t="s">
        <v>2202</v>
      </c>
      <c r="C1752" s="5" t="str">
        <f>IFERROR(__xludf.DUMMYFUNCTION("GOOGLETRANSLATE(B1752,""en"",""es-ES"")"),"Hay una niña parada en su baño haciendo un tutorial sobre cómo aplicar el lápiz labial.")</f>
        <v>Hay una niña parada en su baño haciendo un tutorial sobre cómo aplicar el lápiz labial.</v>
      </c>
    </row>
    <row r="1753">
      <c r="A1753" s="4" t="s">
        <v>2201</v>
      </c>
      <c r="B1753" s="4" t="s">
        <v>2203</v>
      </c>
      <c r="C1753" s="5" t="str">
        <f>IFERROR(__xludf.DUMMYFUNCTION("GOOGLETRANSLATE(B1753,""en"",""es-ES"")"),"Ella abre su gabinete de espejo y saca su lápiz labial.")</f>
        <v>Ella abre su gabinete de espejo y saca su lápiz labial.</v>
      </c>
    </row>
    <row r="1754">
      <c r="A1754" s="4" t="s">
        <v>2201</v>
      </c>
      <c r="B1754" s="4" t="s">
        <v>2204</v>
      </c>
      <c r="C1754" s="5" t="str">
        <f>IFERROR(__xludf.DUMMYFUNCTION("GOOGLETRANSLATE(B1754,""en"",""es-ES"")"),"Ella comienza a aplicar el lápiz labial en sus labios.")</f>
        <v>Ella comienza a aplicar el lápiz labial en sus labios.</v>
      </c>
    </row>
    <row r="1755">
      <c r="A1755" s="4" t="s">
        <v>2201</v>
      </c>
      <c r="B1755" s="4" t="s">
        <v>2205</v>
      </c>
      <c r="C1755" s="5" t="str">
        <f>IFERROR(__xludf.DUMMYFUNCTION("GOOGLETRANSLATE(B1755,""en"",""es-ES"")"),"Luego usa el mismo lápiz labial y lo abalanza en sus mejillas.")</f>
        <v>Luego usa el mismo lápiz labial y lo abalanza en sus mejillas.</v>
      </c>
    </row>
    <row r="1756">
      <c r="A1756" s="4" t="s">
        <v>2201</v>
      </c>
      <c r="B1756" s="4" t="s">
        <v>2206</v>
      </c>
      <c r="C1756" s="5" t="str">
        <f>IFERROR(__xludf.DUMMYFUNCTION("GOOGLETRANSLATE(B1756,""en"",""es-ES"")"),"Ella usa sus dedos para manchar el lápiz labial de manera uniforme en sus pómulos.")</f>
        <v>Ella usa sus dedos para manchar el lápiz labial de manera uniforme en sus pómulos.</v>
      </c>
    </row>
    <row r="1757">
      <c r="A1757" s="4" t="s">
        <v>2201</v>
      </c>
      <c r="B1757" s="4" t="s">
        <v>2207</v>
      </c>
      <c r="C1757" s="5" t="str">
        <f>IFERROR(__xludf.DUMMYFUNCTION("GOOGLETRANSLATE(B1757,""en"",""es-ES"")"),"Luego hace pucheros y sonríe para la cámara, golpeando una pose.")</f>
        <v>Luego hace pucheros y sonríe para la cámara, golpeando una pose.</v>
      </c>
    </row>
    <row r="1758">
      <c r="A1758" s="4" t="s">
        <v>2208</v>
      </c>
      <c r="B1758" s="4" t="s">
        <v>2209</v>
      </c>
      <c r="C1758" s="5" t="str">
        <f>IFERROR(__xludf.DUMMYFUNCTION("GOOGLETRANSLATE(B1758,""en"",""es-ES"")"),"Un niño pequeño sostiene un soplador de hojas.")</f>
        <v>Un niño pequeño sostiene un soplador de hojas.</v>
      </c>
    </row>
    <row r="1759">
      <c r="A1759" s="4" t="s">
        <v>2208</v>
      </c>
      <c r="B1759" s="4" t="s">
        <v>2210</v>
      </c>
      <c r="C1759" s="5" t="str">
        <f>IFERROR(__xludf.DUMMYFUNCTION("GOOGLETRANSLATE(B1759,""en"",""es-ES"")"),"Un adolescente está rastrillando el césped.")</f>
        <v>Un adolescente está rastrillando el césped.</v>
      </c>
    </row>
    <row r="1760">
      <c r="A1760" s="4" t="s">
        <v>2208</v>
      </c>
      <c r="B1760" s="4" t="s">
        <v>2211</v>
      </c>
      <c r="C1760" s="5" t="str">
        <f>IFERROR(__xludf.DUMMYFUNCTION("GOOGLETRANSLATE(B1760,""en"",""es-ES"")"),"Un adolescente arroja un rastrillo lleno de hojas en el niño pequeño.")</f>
        <v>Un adolescente arroja un rastrillo lleno de hojas en el niño pequeño.</v>
      </c>
    </row>
    <row r="1761">
      <c r="A1761" s="4" t="s">
        <v>2212</v>
      </c>
      <c r="B1761" s="4" t="s">
        <v>2213</v>
      </c>
      <c r="C1761" s="5" t="str">
        <f>IFERROR(__xludf.DUMMYFUNCTION("GOOGLETRANSLATE(B1761,""en"",""es-ES"")"),"Aparece una foto de un hombre todavía, mientras que muchas palabras blancas van desplazándose desde la parte inferior hasta la parte superior.")</f>
        <v>Aparece una foto de un hombre todavía, mientras que muchas palabras blancas van desplazándose desde la parte inferior hasta la parte superior.</v>
      </c>
    </row>
    <row r="1762">
      <c r="A1762" s="4" t="s">
        <v>2212</v>
      </c>
      <c r="B1762" s="4" t="s">
        <v>2214</v>
      </c>
      <c r="C1762" s="5" t="str">
        <f>IFERROR(__xludf.DUMMYFUNCTION("GOOGLETRANSLATE(B1762,""en"",""es-ES"")"),"El hombre ahora se encuentra en un área de corte de racquetball pequeña adjunta y está pasando por las mociones de golpear una pelota con su raqueta con las palabras ""no recomendadas"" en la esquina superior izquierda.")</f>
        <v>El hombre ahora se encuentra en un área de corte de racquetball pequeña adjunta y está pasando por las mociones de golpear una pelota con su raqueta con las palabras "no recomendadas" en la esquina superior izquierda.</v>
      </c>
    </row>
    <row r="1763">
      <c r="A1763" s="4" t="s">
        <v>2212</v>
      </c>
      <c r="B1763" s="4" t="s">
        <v>2215</v>
      </c>
      <c r="C1763" s="5" t="str">
        <f>IFERROR(__xludf.DUMMYFUNCTION("GOOGLETRANSLATE(B1763,""en"",""es-ES"")"),"Aparece rápidamente una pantalla y tiene texto blanco que dice ""Suscríbase a este canal de YouTube"".")</f>
        <v>Aparece rápidamente una pantalla y tiene texto blanco que dice "Suscríbase a este canal de YouTube".</v>
      </c>
    </row>
    <row r="1764">
      <c r="A1764" s="4" t="s">
        <v>2212</v>
      </c>
      <c r="B1764" s="4" t="s">
        <v>2216</v>
      </c>
      <c r="C1764" s="5" t="str">
        <f>IFERROR(__xludf.DUMMYFUNCTION("GOOGLETRANSLATE(B1764,""en"",""es-ES"")"),"El hombre se muestra nuevamente jugando Racquetball en la cancha hasta que aparece la pantalla de Outro e incluye una gran cantidad de redacción blanca que se desplaza de abajo a la parte superior.")</f>
        <v>El hombre se muestra nuevamente jugando Racquetball en la cancha hasta que aparece la pantalla de Outro e incluye una gran cantidad de redacción blanca que se desplaza de abajo a la parte superior.</v>
      </c>
    </row>
    <row r="1765">
      <c r="A1765" s="4" t="s">
        <v>2217</v>
      </c>
      <c r="B1765" s="4" t="s">
        <v>2218</v>
      </c>
      <c r="C1765" s="5" t="str">
        <f>IFERROR(__xludf.DUMMYFUNCTION("GOOGLETRANSLATE(B1765,""en"",""es-ES"")"),"Se ve a algunos niños parados en un escenario seguidos por los niños empujando un disco a lo largo del hielo.")</f>
        <v>Se ve a algunos niños parados en un escenario seguidos por los niños empujando un disco a lo largo del hielo.</v>
      </c>
    </row>
    <row r="1766">
      <c r="A1766" s="4" t="s">
        <v>2217</v>
      </c>
      <c r="B1766" s="4" t="s">
        <v>2219</v>
      </c>
      <c r="C1766" s="5" t="str">
        <f>IFERROR(__xludf.DUMMYFUNCTION("GOOGLETRANSLATE(B1766,""en"",""es-ES"")"),"Se muestra a varias personas jugando el juego a su alrededor y rastreando a la audiencia que reacciona, así como a las personas de pie en los lados.")</f>
        <v>Se muestra a varias personas jugando el juego a su alrededor y rastreando a la audiencia que reacciona, así como a las personas de pie en los lados.</v>
      </c>
    </row>
    <row r="1767">
      <c r="A1767" s="4" t="s">
        <v>2220</v>
      </c>
      <c r="B1767" s="4" t="s">
        <v>2221</v>
      </c>
      <c r="C1767" s="5" t="str">
        <f>IFERROR(__xludf.DUMMYFUNCTION("GOOGLETRANSLATE(B1767,""en"",""es-ES"")"),"Un hombre sale de una puerta en un caballo.")</f>
        <v>Un hombre sale de una puerta en un caballo.</v>
      </c>
    </row>
    <row r="1768">
      <c r="A1768" s="4" t="s">
        <v>2220</v>
      </c>
      <c r="B1768" s="4" t="s">
        <v>2222</v>
      </c>
      <c r="C1768" s="5" t="str">
        <f>IFERROR(__xludf.DUMMYFUNCTION("GOOGLETRANSLATE(B1768,""en"",""es-ES"")"),"Él lassos y cuerdas de un ternero.")</f>
        <v>Él lassos y cuerdas de un ternero.</v>
      </c>
    </row>
    <row r="1769">
      <c r="A1769" s="4" t="s">
        <v>2220</v>
      </c>
      <c r="B1769" s="4" t="s">
        <v>2223</v>
      </c>
      <c r="C1769" s="5" t="str">
        <f>IFERROR(__xludf.DUMMYFUNCTION("GOOGLETRANSLATE(B1769,""en"",""es-ES"")"),"Luego salta hacia abajo y ata el ternero.")</f>
        <v>Luego salta hacia abajo y ata el ternero.</v>
      </c>
    </row>
    <row r="1770">
      <c r="A1770" s="4" t="s">
        <v>2224</v>
      </c>
      <c r="B1770" s="4" t="s">
        <v>2225</v>
      </c>
      <c r="C1770" s="5" t="str">
        <f>IFERROR(__xludf.DUMMYFUNCTION("GOOGLETRANSLATE(B1770,""en"",""es-ES"")"),"Una persona juega un violín frente a una gran multitud de personas.")</f>
        <v>Una persona juega un violín frente a una gran multitud de personas.</v>
      </c>
    </row>
    <row r="1771">
      <c r="A1771" s="4" t="s">
        <v>2224</v>
      </c>
      <c r="B1771" s="4" t="s">
        <v>2226</v>
      </c>
      <c r="C1771" s="5" t="str">
        <f>IFERROR(__xludf.DUMMYFUNCTION("GOOGLETRANSLATE(B1771,""en"",""es-ES"")"),"La gente le da una ovación de pie al final.")</f>
        <v>La gente le da una ovación de pie al final.</v>
      </c>
    </row>
    <row r="1772">
      <c r="A1772" s="4" t="s">
        <v>2227</v>
      </c>
      <c r="B1772" s="4" t="s">
        <v>2228</v>
      </c>
      <c r="C1772" s="5" t="str">
        <f>IFERROR(__xludf.DUMMYFUNCTION("GOOGLETRANSLATE(B1772,""en"",""es-ES"")"),"Un hombre en un tablero de buceo camina hasta el final.")</f>
        <v>Un hombre en un tablero de buceo camina hasta el final.</v>
      </c>
    </row>
    <row r="1773">
      <c r="A1773" s="4" t="s">
        <v>2227</v>
      </c>
      <c r="B1773" s="4" t="s">
        <v>2229</v>
      </c>
      <c r="C1773" s="5" t="str">
        <f>IFERROR(__xludf.DUMMYFUNCTION("GOOGLETRANSLATE(B1773,""en"",""es-ES"")"),"El hombre rebota en el tablero dos veces y luego se sumerge en el agua.")</f>
        <v>El hombre rebota en el tablero dos veces y luego se sumerge en el agua.</v>
      </c>
    </row>
    <row r="1774">
      <c r="A1774" s="4" t="s">
        <v>2227</v>
      </c>
      <c r="B1774" s="4" t="s">
        <v>2230</v>
      </c>
      <c r="C1774" s="5" t="str">
        <f>IFERROR(__xludf.DUMMYFUNCTION("GOOGLETRANSLATE(B1774,""en"",""es-ES"")"),"El hombre aparece y nada hacia el borde de la piscina.")</f>
        <v>El hombre aparece y nada hacia el borde de la piscina.</v>
      </c>
    </row>
    <row r="1775">
      <c r="A1775" s="4" t="s">
        <v>2231</v>
      </c>
      <c r="B1775" s="4" t="s">
        <v>2232</v>
      </c>
      <c r="C1775" s="5" t="str">
        <f>IFERROR(__xludf.DUMMYFUNCTION("GOOGLETRANSLATE(B1775,""en"",""es-ES"")"),"Una mujer con cabello rosa posa para la cámara.")</f>
        <v>Una mujer con cabello rosa posa para la cámara.</v>
      </c>
    </row>
    <row r="1776">
      <c r="A1776" s="4" t="s">
        <v>2231</v>
      </c>
      <c r="B1776" s="4" t="s">
        <v>2233</v>
      </c>
      <c r="C1776" s="5" t="str">
        <f>IFERROR(__xludf.DUMMYFUNCTION("GOOGLETRANSLATE(B1776,""en"",""es-ES"")"),"Se quita el cabello con las manos antes de separarlo en secciones.")</f>
        <v>Se quita el cabello con las manos antes de separarlo en secciones.</v>
      </c>
    </row>
    <row r="1777">
      <c r="A1777" s="4" t="s">
        <v>2231</v>
      </c>
      <c r="B1777" s="4" t="s">
        <v>2234</v>
      </c>
      <c r="C1777" s="5" t="str">
        <f>IFERROR(__xludf.DUMMYFUNCTION("GOOGLETRANSLATE(B1777,""en"",""es-ES"")"),"Luego trenza el cabello por el costado de su cabeza.")</f>
        <v>Luego trenza el cabello por el costado de su cabeza.</v>
      </c>
    </row>
    <row r="1778">
      <c r="A1778" s="4" t="s">
        <v>2235</v>
      </c>
      <c r="B1778" s="4" t="s">
        <v>2236</v>
      </c>
      <c r="C1778" s="5" t="str">
        <f>IFERROR(__xludf.DUMMYFUNCTION("GOOGLETRANSLATE(B1778,""en"",""es-ES"")"),"Un niño pequeño atraviesa una ruta en el suelo.")</f>
        <v>Un niño pequeño atraviesa una ruta en el suelo.</v>
      </c>
    </row>
    <row r="1779">
      <c r="A1779" s="4" t="s">
        <v>2235</v>
      </c>
      <c r="B1779" s="4" t="s">
        <v>2237</v>
      </c>
      <c r="C1779" s="5" t="str">
        <f>IFERROR(__xludf.DUMMYFUNCTION("GOOGLETRANSLATE(B1779,""en"",""es-ES"")"),"Regresa al principio y trata de saltar.")</f>
        <v>Regresa al principio y trata de saltar.</v>
      </c>
    </row>
    <row r="1780">
      <c r="A1780" s="4" t="s">
        <v>2235</v>
      </c>
      <c r="B1780" s="4" t="s">
        <v>2238</v>
      </c>
      <c r="C1780" s="5" t="str">
        <f>IFERROR(__xludf.DUMMYFUNCTION("GOOGLETRANSLATE(B1780,""en"",""es-ES"")"),"Se sube al final.")</f>
        <v>Se sube al final.</v>
      </c>
    </row>
    <row r="1781">
      <c r="A1781" s="4" t="s">
        <v>2239</v>
      </c>
      <c r="B1781" s="4" t="s">
        <v>2240</v>
      </c>
      <c r="C1781" s="5" t="str">
        <f>IFERROR(__xludf.DUMMYFUNCTION("GOOGLETRANSLATE(B1781,""en"",""es-ES"")"),"Se ve a un hombre parado en un gran campo detrás de un trozo de maquinaria pesada.")</f>
        <v>Se ve a un hombre parado en un gran campo detrás de un trozo de maquinaria pesada.</v>
      </c>
    </row>
    <row r="1782">
      <c r="A1782" s="4" t="s">
        <v>2239</v>
      </c>
      <c r="B1782" s="4" t="s">
        <v>2241</v>
      </c>
      <c r="C1782" s="5" t="str">
        <f>IFERROR(__xludf.DUMMYFUNCTION("GOOGLETRANSLATE(B1782,""en"",""es-ES"")"),"El hombre empuja la máquina a lo largo de una hierba alta mientras la cámara sigue sus movimientos.")</f>
        <v>El hombre empuja la máquina a lo largo de una hierba alta mientras la cámara sigue sus movimientos.</v>
      </c>
    </row>
    <row r="1783">
      <c r="A1783" s="4" t="s">
        <v>2239</v>
      </c>
      <c r="B1783" s="4" t="s">
        <v>2242</v>
      </c>
      <c r="C1783" s="5" t="str">
        <f>IFERROR(__xludf.DUMMYFUNCTION("GOOGLETRANSLATE(B1783,""en"",""es-ES"")"),"El hombre continúa empujando a lo largo de la hierba alta.")</f>
        <v>El hombre continúa empujando a lo largo de la hierba alta.</v>
      </c>
    </row>
    <row r="1784">
      <c r="A1784" s="4" t="s">
        <v>2243</v>
      </c>
      <c r="B1784" s="4" t="s">
        <v>2244</v>
      </c>
      <c r="C1784" s="5" t="str">
        <f>IFERROR(__xludf.DUMMYFUNCTION("GOOGLETRANSLATE(B1784,""en"",""es-ES"")"),"El conejo blanco está en la jaula.")</f>
        <v>El conejo blanco está en la jaula.</v>
      </c>
    </row>
    <row r="1785">
      <c r="A1785" s="4" t="s">
        <v>2243</v>
      </c>
      <c r="B1785" s="4" t="s">
        <v>2245</v>
      </c>
      <c r="C1785" s="5" t="str">
        <f>IFERROR(__xludf.DUMMYFUNCTION("GOOGLETRANSLATE(B1785,""en"",""es-ES"")"),"El conejo está limpiando sus manos lamiéndolo.")</f>
        <v>El conejo está limpiando sus manos lamiéndolo.</v>
      </c>
    </row>
    <row r="1786">
      <c r="A1786" s="4" t="s">
        <v>2243</v>
      </c>
      <c r="B1786" s="4" t="s">
        <v>2246</v>
      </c>
      <c r="C1786" s="5" t="str">
        <f>IFERROR(__xludf.DUMMYFUNCTION("GOOGLETRANSLATE(B1786,""en"",""es-ES"")"),"El conejo se limpió la espalda y luego bajó al primer piso de su jaula.")</f>
        <v>El conejo se limpió la espalda y luego bajó al primer piso de su jaula.</v>
      </c>
    </row>
    <row r="1787">
      <c r="A1787" s="4" t="s">
        <v>2247</v>
      </c>
      <c r="B1787" s="4" t="s">
        <v>2248</v>
      </c>
      <c r="C1787" s="5" t="str">
        <f>IFERROR(__xludf.DUMMYFUNCTION("GOOGLETRANSLATE(B1787,""en"",""es-ES"")"),"Dos equipos jugando lanzando bolas para golpear a un oponente.")</f>
        <v>Dos equipos jugando lanzando bolas para golpear a un oponente.</v>
      </c>
    </row>
    <row r="1788">
      <c r="A1788" s="4" t="s">
        <v>2247</v>
      </c>
      <c r="B1788" s="4" t="s">
        <v>2249</v>
      </c>
      <c r="C1788" s="5" t="str">
        <f>IFERROR(__xludf.DUMMYFUNCTION("GOOGLETRANSLATE(B1788,""en"",""es-ES"")"),"Los jugadores sostienen dos bolas y se lanzan para golpear y oponentes.")</f>
        <v>Los jugadores sostienen dos bolas y se lanzan para golpear y oponentes.</v>
      </c>
    </row>
    <row r="1789">
      <c r="A1789" s="4" t="s">
        <v>2247</v>
      </c>
      <c r="B1789" s="4" t="s">
        <v>2250</v>
      </c>
      <c r="C1789" s="5" t="str">
        <f>IFERROR(__xludf.DUMMYFUNCTION("GOOGLETRANSLATE(B1789,""en"",""es-ES"")"),"Un niño que sostiene una pelota arroja a otro jugador y los oponentes también lanza la pelota.")</f>
        <v>Un niño que sostiene una pelota arroja a otro jugador y los oponentes también lanza la pelota.</v>
      </c>
    </row>
    <row r="1790">
      <c r="A1790" s="4" t="s">
        <v>2251</v>
      </c>
      <c r="B1790" s="4" t="s">
        <v>2252</v>
      </c>
      <c r="C1790" s="5" t="str">
        <f>IFERROR(__xludf.DUMMYFUNCTION("GOOGLETRANSLATE(B1790,""en"",""es-ES"")"),"Una mujer comienza a caminar por una acera de piedra de adoquines con botas marrones y luego se la ve girando un hula hoop.")</f>
        <v>Una mujer comienza a caminar por una acera de piedra de adoquines con botas marrones y luego se la ve girando un hula hoop.</v>
      </c>
    </row>
    <row r="1791">
      <c r="A1791" s="4" t="s">
        <v>2251</v>
      </c>
      <c r="B1791" s="4" t="s">
        <v>2253</v>
      </c>
      <c r="C1791" s="5" t="str">
        <f>IFERROR(__xludf.DUMMYFUNCTION("GOOGLETRANSLATE(B1791,""en"",""es-ES"")"),"Con el hula hoop, la niña comienza a voltear y bailar con él entre sus piernas.")</f>
        <v>Con el hula hoop, la niña comienza a voltear y bailar con él entre sus piernas.</v>
      </c>
    </row>
    <row r="1792">
      <c r="A1792" s="4" t="s">
        <v>2251</v>
      </c>
      <c r="B1792" s="4" t="s">
        <v>2254</v>
      </c>
      <c r="C1792" s="5" t="str">
        <f>IFERROR(__xludf.DUMMYFUNCTION("GOOGLETRANSLATE(B1792,""en"",""es-ES"")"),"Ella progresa y agrega otra cadera de hula y ambos continúan al mismo tiempo.")</f>
        <v>Ella progresa y agrega otra cadera de hula y ambos continúan al mismo tiempo.</v>
      </c>
    </row>
    <row r="1793">
      <c r="A1793" s="4" t="s">
        <v>2251</v>
      </c>
      <c r="B1793" s="4" t="s">
        <v>2255</v>
      </c>
      <c r="C1793" s="5" t="str">
        <f>IFERROR(__xludf.DUMMYFUNCTION("GOOGLETRANSLATE(B1793,""en"",""es-ES"")"),"En su próximo entorno, tiene alrededor de cinco alrededor de su cuerpo y continúa bailando.")</f>
        <v>En su próximo entorno, tiene alrededor de cinco alrededor de su cuerpo y continúa bailando.</v>
      </c>
    </row>
    <row r="1794">
      <c r="A1794" s="4" t="s">
        <v>2251</v>
      </c>
      <c r="B1794" s="4" t="s">
        <v>2256</v>
      </c>
      <c r="C1794" s="5" t="str">
        <f>IFERROR(__xludf.DUMMYFUNCTION("GOOGLETRANSLATE(B1794,""en"",""es-ES"")"),"Ella continúa haciendo lo mismo con diferentes cantidades y con otras partes del cuerpo cuando la gente viene y toma fotos de ella mostrando su talento.")</f>
        <v>Ella continúa haciendo lo mismo con diferentes cantidades y con otras partes del cuerpo cuando la gente viene y toma fotos de ella mostrando su talento.</v>
      </c>
    </row>
    <row r="1795">
      <c r="A1795" s="4" t="s">
        <v>2251</v>
      </c>
      <c r="B1795" s="4" t="s">
        <v>2257</v>
      </c>
      <c r="C1795" s="5" t="str">
        <f>IFERROR(__xludf.DUMMYFUNCTION("GOOGLETRANSLATE(B1795,""en"",""es-ES"")"),"Por último, aparecen otros videos pequeños que muestran anuncios para la página de YouTube de las hermanas Jump Rope.")</f>
        <v>Por último, aparecen otros videos pequeños que muestran anuncios para la página de YouTube de las hermanas Jump Rope.</v>
      </c>
    </row>
    <row r="1796">
      <c r="A1796" s="4" t="s">
        <v>2258</v>
      </c>
      <c r="B1796" s="4" t="s">
        <v>2259</v>
      </c>
      <c r="C1796" s="5" t="str">
        <f>IFERROR(__xludf.DUMMYFUNCTION("GOOGLETRANSLATE(B1796,""en"",""es-ES"")"),"Dos equipos juegan fútbol en una cancha de fútbol interior, el equipo que usa una camiseta blanca gana la competencia.")</f>
        <v>Dos equipos juegan fútbol en una cancha de fútbol interior, el equipo que usa una camiseta blanca gana la competencia.</v>
      </c>
    </row>
    <row r="1797">
      <c r="A1797" s="4" t="s">
        <v>2258</v>
      </c>
      <c r="B1797" s="4" t="s">
        <v>2260</v>
      </c>
      <c r="C1797" s="5" t="str">
        <f>IFERROR(__xludf.DUMMYFUNCTION("GOOGLETRANSLATE(B1797,""en"",""es-ES"")"),"El jugador anota y celebra con un compañero de equipo.")</f>
        <v>El jugador anota y celebra con un compañero de equipo.</v>
      </c>
    </row>
    <row r="1798">
      <c r="A1798" s="4" t="s">
        <v>2258</v>
      </c>
      <c r="B1798" s="4" t="s">
        <v>2261</v>
      </c>
      <c r="C1798" s="5" t="str">
        <f>IFERROR(__xludf.DUMMYFUNCTION("GOOGLETRANSLATE(B1798,""en"",""es-ES"")"),"Otros equipos juegan al fútbol, ​​un jugador con uniforme blanco recibe una pelota y un puntaje.")</f>
        <v>Otros equipos juegan al fútbol, ​​un jugador con uniforme blanco recibe una pelota y un puntaje.</v>
      </c>
    </row>
    <row r="1799">
      <c r="A1799" s="4" t="s">
        <v>2258</v>
      </c>
      <c r="B1799" s="4" t="s">
        <v>2262</v>
      </c>
      <c r="C1799" s="5" t="str">
        <f>IFERROR(__xludf.DUMMYFUNCTION("GOOGLETRANSLATE(B1799,""en"",""es-ES"")"),"Dos equipos juegan fútbol y el jugador con los puntajes de uniforme amarillo.")</f>
        <v>Dos equipos juegan fútbol y el jugador con los puntajes de uniforme amarillo.</v>
      </c>
    </row>
    <row r="1800">
      <c r="A1800" s="4" t="s">
        <v>2258</v>
      </c>
      <c r="B1800" s="4" t="s">
        <v>2263</v>
      </c>
      <c r="C1800" s="5" t="str">
        <f>IFERROR(__xludf.DUMMYFUNCTION("GOOGLETRANSLATE(B1800,""en"",""es-ES"")"),"Dos equipos de niñas compiten, una niña con puntajes de uniforme rojo y el equipo gana.")</f>
        <v>Dos equipos de niñas compiten, una niña con puntajes de uniforme rojo y el equipo gana.</v>
      </c>
    </row>
    <row r="1801">
      <c r="A1801" s="4" t="s">
        <v>2258</v>
      </c>
      <c r="B1801" s="4" t="s">
        <v>2264</v>
      </c>
      <c r="C1801" s="5" t="str">
        <f>IFERROR(__xludf.DUMMYFUNCTION("GOOGLETRANSLATE(B1801,""en"",""es-ES"")"),"Luego, un jugador con un puntaje de uniforme blanco con un movimiento espectacular.")</f>
        <v>Luego, un jugador con un puntaje de uniforme blanco con un movimiento espectacular.</v>
      </c>
    </row>
    <row r="1802">
      <c r="A1802" s="4" t="s">
        <v>2265</v>
      </c>
      <c r="B1802" s="4" t="s">
        <v>2266</v>
      </c>
      <c r="C1802" s="5" t="str">
        <f>IFERROR(__xludf.DUMMYFUNCTION("GOOGLETRANSLATE(B1802,""en"",""es-ES"")"),"Aparece una introducción de efecto especial y aparece una palabra azul en el medio de la pantalla y dice ""Howcast"".")</f>
        <v>Aparece una introducción de efecto especial y aparece una palabra azul en el medio de la pantalla y dice "Howcast".</v>
      </c>
    </row>
    <row r="1803">
      <c r="A1803" s="4" t="s">
        <v>2265</v>
      </c>
      <c r="B1803" s="4" t="s">
        <v>2267</v>
      </c>
      <c r="C1803" s="5" t="str">
        <f>IFERROR(__xludf.DUMMYFUNCTION("GOOGLETRANSLATE(B1803,""en"",""es-ES"")"),"Una mujer está acostada en una cama en un negocio con un hombre sentado a su lado y una lista de cosas aparecen en la pantalla bajo las palabras ""necesitarás"" aparecen en la pantalla.")</f>
        <v>Una mujer está acostada en una cama en un negocio con un hombre sentado a su lado y una lista de cosas aparecen en la pantalla bajo las palabras "necesitarás" aparecen en la pantalla.</v>
      </c>
    </row>
    <row r="1804">
      <c r="A1804" s="4" t="s">
        <v>2265</v>
      </c>
      <c r="B1804" s="4" t="s">
        <v>2268</v>
      </c>
      <c r="C1804" s="5" t="str">
        <f>IFERROR(__xludf.DUMMYFUNCTION("GOOGLETRANSLATE(B1804,""en"",""es-ES"")"),"Se muestra a la mujer haciendo varias cosas cuando aparecen pasos bajo cada acción que hace, e incluso aparecen consejos en la pantalla que llevan a la mujer acostada en la cama mientras un hombre la tatuaba.")</f>
        <v>Se muestra a la mujer haciendo varias cosas cuando aparecen pasos bajo cada acción que hace, e incluso aparecen consejos en la pantalla que llevan a la mujer acostada en la cama mientras un hombre la tatuaba.</v>
      </c>
    </row>
    <row r="1805">
      <c r="A1805" s="4" t="s">
        <v>2265</v>
      </c>
      <c r="B1805" s="4" t="s">
        <v>2269</v>
      </c>
      <c r="C1805" s="5" t="str">
        <f>IFERROR(__xludf.DUMMYFUNCTION("GOOGLETRANSLATE(B1805,""en"",""es-ES"")"),"Cuando ha terminado de tatuarla, sostiene una botella blanca con una gorra verde y habla con ella mientras lo muestra y las palabras blancas aparecen en la pantalla dando una advertencia de que ""aplicar demasiada anestesia tópica y luego cubrir el tatuaj"&amp;"e puede causar convulsiones"".")</f>
        <v>Cuando ha terminado de tatuarla, sostiene una botella blanca con una gorra verde y habla con ella mientras lo muestra y las palabras blancas aparecen en la pantalla dando una advertencia de que "aplicar demasiada anestesia tópica y luego cubrir el tatuaje puede causar convulsiones".</v>
      </c>
    </row>
    <row r="1806">
      <c r="A1806" s="4" t="s">
        <v>2265</v>
      </c>
      <c r="B1806" s="4" t="s">
        <v>2270</v>
      </c>
      <c r="C1806" s="5" t="str">
        <f>IFERROR(__xludf.DUMMYFUNCTION("GOOGLETRANSLATE(B1806,""en"",""es-ES"")"),"La mujer se levanta para mostrar su tatuaje y la mujer se muestra brevemente tomando el sol con el tatuaje cubierto.")</f>
        <v>La mujer se levanta para mostrar su tatuaje y la mujer se muestra brevemente tomando el sol con el tatuaje cubierto.</v>
      </c>
    </row>
    <row r="1807">
      <c r="A1807" s="4" t="s">
        <v>2265</v>
      </c>
      <c r="B1807" s="4" t="s">
        <v>2271</v>
      </c>
      <c r="C1807" s="5" t="str">
        <f>IFERROR(__xludf.DUMMYFUNCTION("GOOGLETRANSLATE(B1807,""en"",""es-ES"")"),"Se muestra un primer plano de su tatuaje y aparecen palabras sobre él que los ""demócratas de Say tienen más probabilidades de tener tatuajes"", luego aparece una pantalla blanca con las palabras azules en el medio que dicen ""Howcast"".")</f>
        <v>Se muestra un primer plano de su tatuaje y aparecen palabras sobre él que los "demócratas de Say tienen más probabilidades de tener tatuajes", luego aparece una pantalla blanca con las palabras azules en el medio que dicen "Howcast".</v>
      </c>
    </row>
    <row r="1808">
      <c r="A1808" s="4" t="s">
        <v>2272</v>
      </c>
      <c r="B1808" s="4" t="s">
        <v>2273</v>
      </c>
      <c r="C1808" s="5" t="str">
        <f>IFERROR(__xludf.DUMMYFUNCTION("GOOGLETRANSLATE(B1808,""en"",""es-ES"")"),"Un hombre está sentado mientras alguien se aferra a sus zapatos.")</f>
        <v>Un hombre está sentado mientras alguien se aferra a sus zapatos.</v>
      </c>
    </row>
    <row r="1809">
      <c r="A1809" s="4" t="s">
        <v>2272</v>
      </c>
      <c r="B1809" s="4" t="s">
        <v>2274</v>
      </c>
      <c r="C1809" s="5" t="str">
        <f>IFERROR(__xludf.DUMMYFUNCTION("GOOGLETRANSLATE(B1809,""en"",""es-ES"")"),"La persona usa un cepillo para limpiar los zapatos de Torougly.")</f>
        <v>La persona usa un cepillo para limpiar los zapatos de Torougly.</v>
      </c>
    </row>
    <row r="1810">
      <c r="A1810" s="4" t="s">
        <v>2272</v>
      </c>
      <c r="B1810" s="4" t="s">
        <v>2275</v>
      </c>
      <c r="C1810" s="5" t="str">
        <f>IFERROR(__xludf.DUMMYFUNCTION("GOOGLETRANSLATE(B1810,""en"",""es-ES"")"),"Luego usan esmalte para brillarlos.")</f>
        <v>Luego usan esmalte para brillarlos.</v>
      </c>
    </row>
    <row r="1811">
      <c r="A1811" s="4" t="s">
        <v>2276</v>
      </c>
      <c r="B1811" s="4" t="s">
        <v>2277</v>
      </c>
      <c r="C1811" s="5" t="str">
        <f>IFERROR(__xludf.DUMMYFUNCTION("GOOGLETRANSLATE(B1811,""en"",""es-ES"")"),"Se ve a una niña caminando hasta el final de un tablero de buceo con varias otras personas a su alrededor.")</f>
        <v>Se ve a una niña caminando hasta el final de un tablero de buceo con varias otras personas a su alrededor.</v>
      </c>
    </row>
    <row r="1812">
      <c r="A1812" s="4" t="s">
        <v>2276</v>
      </c>
      <c r="B1812" s="4" t="s">
        <v>2278</v>
      </c>
      <c r="C1812" s="5" t="str">
        <f>IFERROR(__xludf.DUMMYFUNCTION("GOOGLETRANSLATE(B1812,""en"",""es-ES"")"),"La niña levanta los brazos y luego se sumerge en la piscina.")</f>
        <v>La niña levanta los brazos y luego se sumerge en la piscina.</v>
      </c>
    </row>
    <row r="1813">
      <c r="A1813" s="4" t="s">
        <v>2276</v>
      </c>
      <c r="B1813" s="4" t="s">
        <v>2279</v>
      </c>
      <c r="C1813" s="5" t="str">
        <f>IFERROR(__xludf.DUMMYFUNCTION("GOOGLETRANSLATE(B1813,""en"",""es-ES"")"),"Ella ha visto nuevamente venir a la superficie en la piscina y nadar hasta el borde.")</f>
        <v>Ella ha visto nuevamente venir a la superficie en la piscina y nadar hasta el borde.</v>
      </c>
    </row>
    <row r="1814">
      <c r="A1814" s="4" t="s">
        <v>2280</v>
      </c>
      <c r="B1814" s="4" t="s">
        <v>2281</v>
      </c>
      <c r="C1814" s="5" t="str">
        <f>IFERROR(__xludf.DUMMYFUNCTION("GOOGLETRANSLATE(B1814,""en"",""es-ES"")"),"Una gimnasta femenina está girando y saltando sobre un par de vigas altas mientras su entrenador observa, preparado para atraparla.")</f>
        <v>Una gimnasta femenina está girando y saltando sobre un par de vigas altas mientras su entrenador observa, preparado para atraparla.</v>
      </c>
    </row>
    <row r="1815">
      <c r="A1815" s="4" t="s">
        <v>2280</v>
      </c>
      <c r="B1815" s="4" t="s">
        <v>2282</v>
      </c>
      <c r="C1815" s="5" t="str">
        <f>IFERROR(__xludf.DUMMYFUNCTION("GOOGLETRANSLATE(B1815,""en"",""es-ES"")"),"Él pisa la viga mientras ella desmonta, brazos en el aire.")</f>
        <v>Él pisa la viga mientras ella desmonta, brazos en el aire.</v>
      </c>
    </row>
    <row r="1816">
      <c r="A1816" s="4" t="s">
        <v>2283</v>
      </c>
      <c r="B1816" s="4" t="s">
        <v>2284</v>
      </c>
      <c r="C1816" s="5" t="str">
        <f>IFERROR(__xludf.DUMMYFUNCTION("GOOGLETRANSLATE(B1816,""en"",""es-ES"")"),"Dos hombres hacen maniobras en una canoa que gira la canoa que ayuda con los remeros.")</f>
        <v>Dos hombres hacen maniobras en una canoa que gira la canoa que ayuda con los remeros.</v>
      </c>
    </row>
    <row r="1817">
      <c r="A1817" s="4" t="s">
        <v>2283</v>
      </c>
      <c r="B1817" s="4" t="s">
        <v>2285</v>
      </c>
      <c r="C1817" s="5" t="str">
        <f>IFERROR(__xludf.DUMMYFUNCTION("GOOGLETRANSLATE(B1817,""en"",""es-ES"")"),"Luego, los hombres giran la canoa lejos de los remeros de la proa mientras reman rápidamente los remos.")</f>
        <v>Luego, los hombres giran la canoa lejos de los remeros de la proa mientras reman rápidamente los remos.</v>
      </c>
    </row>
    <row r="1818">
      <c r="A1818" s="4" t="s">
        <v>2283</v>
      </c>
      <c r="B1818" s="4" t="s">
        <v>2286</v>
      </c>
      <c r="C1818" s="5" t="str">
        <f>IFERROR(__xludf.DUMMYFUNCTION("GOOGLETRANSLATE(B1818,""en"",""es-ES"")"),"Después, los hombres deslizan la canoa hacia adelante usando los remos para avanzar.")</f>
        <v>Después, los hombres deslizan la canoa hacia adelante usando los remos para avanzar.</v>
      </c>
    </row>
    <row r="1819">
      <c r="A1819" s="4" t="s">
        <v>2283</v>
      </c>
      <c r="B1819" s="4" t="s">
        <v>2287</v>
      </c>
      <c r="C1819" s="5" t="str">
        <f>IFERROR(__xludf.DUMMYFUNCTION("GOOGLETRANSLATE(B1819,""en"",""es-ES"")"),"Luego, los hombres navegan en el río hasta que llegan a la orilla del río.")</f>
        <v>Luego, los hombres navegan en el río hasta que llegan a la orilla del río.</v>
      </c>
    </row>
    <row r="1820">
      <c r="A1820" s="4" t="s">
        <v>2288</v>
      </c>
      <c r="B1820" s="4" t="s">
        <v>2289</v>
      </c>
      <c r="C1820" s="5" t="str">
        <f>IFERROR(__xludf.DUMMYFUNCTION("GOOGLETRANSLATE(B1820,""en"",""es-ES"")"),"Vemos a un hombre en BMX Bike Arena hablando.")</f>
        <v>Vemos a un hombre en BMX Bike Arena hablando.</v>
      </c>
    </row>
    <row r="1821">
      <c r="A1821" s="4" t="s">
        <v>2288</v>
      </c>
      <c r="B1821" s="4" t="s">
        <v>2290</v>
      </c>
      <c r="C1821" s="5" t="str">
        <f>IFERROR(__xludf.DUMMYFUNCTION("GOOGLETRANSLATE(B1821,""en"",""es-ES"")"),"Vemos que la gente trae bicicletas por una rampa.")</f>
        <v>Vemos que la gente trae bicicletas por una rampa.</v>
      </c>
    </row>
    <row r="1822">
      <c r="A1822" s="4" t="s">
        <v>2288</v>
      </c>
      <c r="B1822" s="4" t="s">
        <v>2291</v>
      </c>
      <c r="C1822" s="5" t="str">
        <f>IFERROR(__xludf.DUMMYFUNCTION("GOOGLETRANSLATE(B1822,""en"",""es-ES"")"),"Vemos que la gente comienza cuando se abre la puerta.")</f>
        <v>Vemos que la gente comienza cuando se abre la puerta.</v>
      </c>
    </row>
    <row r="1823">
      <c r="A1823" s="4" t="s">
        <v>2288</v>
      </c>
      <c r="B1823" s="4" t="s">
        <v>2292</v>
      </c>
      <c r="C1823" s="5" t="str">
        <f>IFERROR(__xludf.DUMMYFUNCTION("GOOGLETRANSLATE(B1823,""en"",""es-ES"")"),"Luego vemos gente montando bicicletas.")</f>
        <v>Luego vemos gente montando bicicletas.</v>
      </c>
    </row>
    <row r="1824">
      <c r="A1824" s="4" t="s">
        <v>2288</v>
      </c>
      <c r="B1824" s="4" t="s">
        <v>2293</v>
      </c>
      <c r="C1824" s="5" t="str">
        <f>IFERROR(__xludf.DUMMYFUNCTION("GOOGLETRANSLATE(B1824,""en"",""es-ES"")"),"Vemos a un hombre limpiar la suciedad de su cabello y apagar la cámara.")</f>
        <v>Vemos a un hombre limpiar la suciedad de su cabello y apagar la cámara.</v>
      </c>
    </row>
    <row r="1825">
      <c r="A1825" s="4" t="s">
        <v>2294</v>
      </c>
      <c r="B1825" s="4" t="s">
        <v>2295</v>
      </c>
      <c r="C1825" s="5" t="str">
        <f>IFERROR(__xludf.DUMMYFUNCTION("GOOGLETRANSLATE(B1825,""en"",""es-ES"")"),"Se ve a un hombre sosteniendo una máquina de pintura y rociándola alrededor de todos los muebles.")</f>
        <v>Se ve a un hombre sosteniendo una máquina de pintura y rociándola alrededor de todos los muebles.</v>
      </c>
    </row>
    <row r="1826">
      <c r="A1826" s="4" t="s">
        <v>2294</v>
      </c>
      <c r="B1826" s="4" t="s">
        <v>2296</v>
      </c>
      <c r="C1826" s="5" t="str">
        <f>IFERROR(__xludf.DUMMYFUNCTION("GOOGLETRANSLATE(B1826,""en"",""es-ES"")"),"Continúa pintando alrededor del área mientras la cámara se mueve alrededor de sus movimientos.")</f>
        <v>Continúa pintando alrededor del área mientras la cámara se mueve alrededor de sus movimientos.</v>
      </c>
    </row>
    <row r="1827">
      <c r="A1827" s="4" t="s">
        <v>2294</v>
      </c>
      <c r="B1827" s="4" t="s">
        <v>2297</v>
      </c>
      <c r="C1827" s="5" t="str">
        <f>IFERROR(__xludf.DUMMYFUNCTION("GOOGLETRANSLATE(B1827,""en"",""es-ES"")"),"Termina la pintura y las bandejas de la cámara alrededor de los muebles.")</f>
        <v>Termina la pintura y las bandejas de la cámara alrededor de los muebles.</v>
      </c>
    </row>
    <row r="1828">
      <c r="A1828" s="4" t="s">
        <v>2298</v>
      </c>
      <c r="B1828" s="4" t="s">
        <v>2299</v>
      </c>
      <c r="C1828" s="5" t="str">
        <f>IFERROR(__xludf.DUMMYFUNCTION("GOOGLETRANSLATE(B1828,""en"",""es-ES"")"),"Se ve a una mujer hablando con la cámara mientras está sentada en una silla.")</f>
        <v>Se ve a una mujer hablando con la cámara mientras está sentada en una silla.</v>
      </c>
    </row>
    <row r="1829">
      <c r="A1829" s="4" t="s">
        <v>2298</v>
      </c>
      <c r="B1829" s="4" t="s">
        <v>2300</v>
      </c>
      <c r="C1829" s="5" t="str">
        <f>IFERROR(__xludf.DUMMYFUNCTION("GOOGLETRANSLATE(B1829,""en"",""es-ES"")"),"Luego levanta una lente de contacto y le pone uno en el ojo.")</f>
        <v>Luego levanta una lente de contacto y le pone uno en el ojo.</v>
      </c>
    </row>
    <row r="1830">
      <c r="A1830" s="4" t="s">
        <v>2298</v>
      </c>
      <c r="B1830" s="4" t="s">
        <v>2301</v>
      </c>
      <c r="C1830" s="5" t="str">
        <f>IFERROR(__xludf.DUMMYFUNCTION("GOOGLETRANSLATE(B1830,""en"",""es-ES"")"),"Ella pone otro contacto en su ojo y sonríe a la cámara.")</f>
        <v>Ella pone otro contacto en su ojo y sonríe a la cámara.</v>
      </c>
    </row>
    <row r="1831">
      <c r="A1831" s="4" t="s">
        <v>2302</v>
      </c>
      <c r="B1831" s="4" t="s">
        <v>2303</v>
      </c>
      <c r="C1831" s="5" t="str">
        <f>IFERROR(__xludf.DUMMYFUNCTION("GOOGLETRANSLATE(B1831,""en"",""es-ES"")"),"Se ve a un gran grupo de personas jugando alrededor de un gimnasio arrojándose bolas entre sí y rebotando.")</f>
        <v>Se ve a un gran grupo de personas jugando alrededor de un gimnasio arrojándose bolas entre sí y rebotando.</v>
      </c>
    </row>
    <row r="1832">
      <c r="A1832" s="4" t="s">
        <v>2302</v>
      </c>
      <c r="B1832" s="4" t="s">
        <v>2304</v>
      </c>
      <c r="C1832" s="5" t="str">
        <f>IFERROR(__xludf.DUMMYFUNCTION("GOOGLETRANSLATE(B1832,""en"",""es-ES"")"),"La gente continúa lanzando bolas cuando uno golpea la cámara y muestra la cara de una persona.")</f>
        <v>La gente continúa lanzando bolas cuando uno golpea la cámara y muestra la cara de una persona.</v>
      </c>
    </row>
    <row r="1833">
      <c r="A1833" s="4" t="s">
        <v>2302</v>
      </c>
      <c r="B1833" s="4" t="s">
        <v>2305</v>
      </c>
      <c r="C1833" s="5" t="str">
        <f>IFERROR(__xludf.DUMMYFUNCTION("GOOGLETRANSLATE(B1833,""en"",""es-ES"")"),"El juego continúa con la gente arrojando bolas y personas mirando a los lados.")</f>
        <v>El juego continúa con la gente arrojando bolas y personas mirando a los lados.</v>
      </c>
    </row>
    <row r="1834">
      <c r="A1834" s="4" t="s">
        <v>2306</v>
      </c>
      <c r="B1834" s="4" t="s">
        <v>2307</v>
      </c>
      <c r="C1834" s="5" t="str">
        <f>IFERROR(__xludf.DUMMYFUNCTION("GOOGLETRANSLATE(B1834,""en"",""es-ES"")"),"Un grupo de personas está bajo una cobertura.")</f>
        <v>Un grupo de personas está bajo una cobertura.</v>
      </c>
    </row>
    <row r="1835">
      <c r="A1835" s="4" t="s">
        <v>2306</v>
      </c>
      <c r="B1835" s="4" t="s">
        <v>2308</v>
      </c>
      <c r="C1835" s="5" t="str">
        <f>IFERROR(__xludf.DUMMYFUNCTION("GOOGLETRANSLATE(B1835,""en"",""es-ES"")"),"Están montando en una serie de autos de parachoques.")</f>
        <v>Están montando en una serie de autos de parachoques.</v>
      </c>
    </row>
    <row r="1836">
      <c r="A1836" s="4" t="s">
        <v>2306</v>
      </c>
      <c r="B1836" s="4" t="s">
        <v>2309</v>
      </c>
      <c r="C1836" s="5" t="str">
        <f>IFERROR(__xludf.DUMMYFUNCTION("GOOGLETRANSLATE(B1836,""en"",""es-ES"")"),"Los autos se topan entre sí mientras conducen.")</f>
        <v>Los autos se topan entre sí mientras conducen.</v>
      </c>
    </row>
    <row r="1837">
      <c r="A1837" s="4" t="s">
        <v>2310</v>
      </c>
      <c r="B1837" s="4" t="s">
        <v>2311</v>
      </c>
      <c r="C1837" s="5" t="str">
        <f>IFERROR(__xludf.DUMMYFUNCTION("GOOGLETRANSLATE(B1837,""en"",""es-ES"")"),"Se muestra una bolsa de absorbente de maestro de derrames en la pantalla.")</f>
        <v>Se muestra una bolsa de absorbente de maestro de derrames en la pantalla.</v>
      </c>
    </row>
    <row r="1838">
      <c r="A1838" s="4" t="s">
        <v>2310</v>
      </c>
      <c r="B1838" s="4" t="s">
        <v>2312</v>
      </c>
      <c r="C1838" s="5" t="str">
        <f>IFERROR(__xludf.DUMMYFUNCTION("GOOGLETRANSLATE(B1838,""en"",""es-ES"")"),"Un hombre se para en un almacén hablando con la cámara y vierte un poco de líquido en el suelo.")</f>
        <v>Un hombre se para en un almacén hablando con la cámara y vierte un poco de líquido en el suelo.</v>
      </c>
    </row>
    <row r="1839">
      <c r="A1839" s="4" t="s">
        <v>2310</v>
      </c>
      <c r="B1839" s="4" t="s">
        <v>2313</v>
      </c>
      <c r="C1839" s="5" t="str">
        <f>IFERROR(__xludf.DUMMYFUNCTION("GOOGLETRANSLATE(B1839,""en"",""es-ES"")"),"Toma un tazón de material y lo roció sobre los derrames.")</f>
        <v>Toma un tazón de material y lo roció sobre los derrames.</v>
      </c>
    </row>
    <row r="1840">
      <c r="A1840" s="4" t="s">
        <v>2310</v>
      </c>
      <c r="B1840" s="4" t="s">
        <v>2314</v>
      </c>
      <c r="C1840" s="5" t="str">
        <f>IFERROR(__xludf.DUMMYFUNCTION("GOOGLETRANSLATE(B1840,""en"",""es-ES"")"),"Luego barre el material con una escoba y una bandeja de polvo.")</f>
        <v>Luego barre el material con una escoba y una bandeja de polvo.</v>
      </c>
    </row>
    <row r="1841">
      <c r="A1841" s="4" t="s">
        <v>2315</v>
      </c>
      <c r="B1841" s="4" t="s">
        <v>2316</v>
      </c>
      <c r="C1841" s="5" t="str">
        <f>IFERROR(__xludf.DUMMYFUNCTION("GOOGLETRANSLATE(B1841,""en"",""es-ES"")"),"Una mujer está grabando video a algunos hombres en una sala de estar poniendo chaquetas.")</f>
        <v>Una mujer está grabando video a algunos hombres en una sala de estar poniendo chaquetas.</v>
      </c>
    </row>
    <row r="1842">
      <c r="A1842" s="4" t="s">
        <v>2315</v>
      </c>
      <c r="B1842" s="4" t="s">
        <v>2317</v>
      </c>
      <c r="C1842" s="5" t="str">
        <f>IFERROR(__xludf.DUMMYFUNCTION("GOOGLETRANSLATE(B1842,""en"",""es-ES"")"),"Uno de los hombres hace que la persona de la cámara lo siga mientras toma una escoba y camina por un pasillo y sale de una puerta a un estacionamiento cubierto de nieve.")</f>
        <v>Uno de los hombres hace que la persona de la cámara lo siga mientras toma una escoba y camina por un pasillo y sale de una puerta a un estacionamiento cubierto de nieve.</v>
      </c>
    </row>
    <row r="1843">
      <c r="A1843" s="4" t="s">
        <v>2315</v>
      </c>
      <c r="B1843" s="4" t="s">
        <v>2318</v>
      </c>
      <c r="C1843" s="5" t="str">
        <f>IFERROR(__xludf.DUMMYFUNCTION("GOOGLETRANSLATE(B1843,""en"",""es-ES"")"),"Salen al estacionamiento cuando otro hombre sale.")</f>
        <v>Salen al estacionamiento cuando otro hombre sale.</v>
      </c>
    </row>
    <row r="1844">
      <c r="A1844" s="4" t="s">
        <v>2315</v>
      </c>
      <c r="B1844" s="4" t="s">
        <v>2319</v>
      </c>
      <c r="C1844" s="5" t="str">
        <f>IFERROR(__xludf.DUMMYFUNCTION("GOOGLETRANSLATE(B1844,""en"",""es-ES"")"),"El hombre con la escoba cepilla la nieve de un SUV, ya que otro hombre hace lo mismo en un automóvil a su lado.")</f>
        <v>El hombre con la escoba cepilla la nieve de un SUV, ya que otro hombre hace lo mismo en un automóvil a su lado.</v>
      </c>
    </row>
    <row r="1845">
      <c r="A1845" s="4" t="s">
        <v>2320</v>
      </c>
      <c r="B1845" s="4" t="s">
        <v>2321</v>
      </c>
      <c r="C1845" s="5" t="str">
        <f>IFERROR(__xludf.DUMMYFUNCTION("GOOGLETRANSLATE(B1845,""en"",""es-ES"")"),"Una niña levanta un cepillo y camina hacia el caballo.")</f>
        <v>Una niña levanta un cepillo y camina hacia el caballo.</v>
      </c>
    </row>
    <row r="1846">
      <c r="A1846" s="4" t="s">
        <v>2320</v>
      </c>
      <c r="B1846" s="4" t="s">
        <v>2322</v>
      </c>
      <c r="C1846" s="5" t="str">
        <f>IFERROR(__xludf.DUMMYFUNCTION("GOOGLETRANSLATE(B1846,""en"",""es-ES"")"),"La niña cepilla el abrigo del caballo en un establo.")</f>
        <v>La niña cepilla el abrigo del caballo en un establo.</v>
      </c>
    </row>
    <row r="1847">
      <c r="A1847" s="4" t="s">
        <v>2320</v>
      </c>
      <c r="B1847" s="4" t="s">
        <v>2323</v>
      </c>
      <c r="C1847" s="5" t="str">
        <f>IFERROR(__xludf.DUMMYFUNCTION("GOOGLETRANSLATE(B1847,""en"",""es-ES"")"),"La niña elimina los aparatos anchos del caballo.")</f>
        <v>La niña elimina los aparatos anchos del caballo.</v>
      </c>
    </row>
    <row r="1848">
      <c r="A1848" s="4" t="s">
        <v>2320</v>
      </c>
      <c r="B1848" s="4" t="s">
        <v>2324</v>
      </c>
      <c r="C1848" s="5" t="str">
        <f>IFERROR(__xludf.DUMMYFUNCTION("GOOGLETRANSLATE(B1848,""en"",""es-ES"")"),"La niña envuelve los aparatos ortopédicos y los guarda.")</f>
        <v>La niña envuelve los aparatos ortopédicos y los guarda.</v>
      </c>
    </row>
    <row r="1849">
      <c r="A1849" s="4" t="s">
        <v>2320</v>
      </c>
      <c r="B1849" s="4" t="s">
        <v>2325</v>
      </c>
      <c r="C1849" s="5" t="str">
        <f>IFERROR(__xludf.DUMMYFUNCTION("GOOGLETRANSLATE(B1849,""en"",""es-ES"")"),"Un caballo saca la cabeza de un establo y un hombre observa.")</f>
        <v>Un caballo saca la cabeza de un establo y un hombre observa.</v>
      </c>
    </row>
    <row r="1850">
      <c r="A1850" s="4" t="s">
        <v>2326</v>
      </c>
      <c r="B1850" s="4" t="s">
        <v>2327</v>
      </c>
      <c r="C1850" s="5" t="str">
        <f>IFERROR(__xludf.DUMMYFUNCTION("GOOGLETRANSLATE(B1850,""en"",""es-ES"")"),"Se demuestran varios tipos de lanzamientos de disparos y terminología.")</f>
        <v>Se demuestran varios tipos de lanzamientos de disparos y terminología.</v>
      </c>
    </row>
    <row r="1851">
      <c r="A1851" s="4" t="s">
        <v>2326</v>
      </c>
      <c r="B1851" s="4" t="s">
        <v>2328</v>
      </c>
      <c r="C1851" s="5" t="str">
        <f>IFERROR(__xludf.DUMMYFUNCTION("GOOGLETRANSLATE(B1851,""en"",""es-ES"")"),"Los diferentes lanzamientos muestran diferentes tipos de bloques.")</f>
        <v>Los diferentes lanzamientos muestran diferentes tipos de bloques.</v>
      </c>
    </row>
    <row r="1852">
      <c r="A1852" s="4" t="s">
        <v>2326</v>
      </c>
      <c r="B1852" s="4" t="s">
        <v>2329</v>
      </c>
      <c r="C1852" s="5" t="str">
        <f>IFERROR(__xludf.DUMMYFUNCTION("GOOGLETRANSLATE(B1852,""en"",""es-ES"")"),"Estos se utilizan en varios tipos de honda.")</f>
        <v>Estos se utilizan en varios tipos de honda.</v>
      </c>
    </row>
    <row r="1853">
      <c r="A1853" s="4" t="s">
        <v>2326</v>
      </c>
      <c r="B1853" s="4" t="s">
        <v>2330</v>
      </c>
      <c r="C1853" s="5" t="str">
        <f>IFERROR(__xludf.DUMMYFUNCTION("GOOGLETRANSLATE(B1853,""en"",""es-ES"")"),"Algunos nombres de algunos de los lanzamientos son el tiro de deslizamiento, el tiro de giro y el lanzamiento de la posición.")</f>
        <v>Algunos nombres de algunos de los lanzamientos son el tiro de deslizamiento, el tiro de giro y el lanzamiento de la posición.</v>
      </c>
    </row>
    <row r="1854">
      <c r="A1854" s="4" t="s">
        <v>2331</v>
      </c>
      <c r="B1854" s="4" t="s">
        <v>2332</v>
      </c>
      <c r="C1854" s="5" t="str">
        <f>IFERROR(__xludf.DUMMYFUNCTION("GOOGLETRANSLATE(B1854,""en"",""es-ES"")"),"Se ve a un pequeño perro vistiendo un atuendo y caminando sobre dos piernas mientras la gente lo rodea y mira.")</f>
        <v>Se ve a un pequeño perro vistiendo un atuendo y caminando sobre dos piernas mientras la gente lo rodea y mira.</v>
      </c>
    </row>
    <row r="1855">
      <c r="A1855" s="4" t="s">
        <v>2331</v>
      </c>
      <c r="B1855" s="4" t="s">
        <v>2333</v>
      </c>
      <c r="C1855" s="5" t="str">
        <f>IFERROR(__xludf.DUMMYFUNCTION("GOOGLETRANSLATE(B1855,""en"",""es-ES"")"),"El perro continúa caminando y mirando a su alrededor mientras la gente mira.")</f>
        <v>El perro continúa caminando y mirando a su alrededor mientras la gente mira.</v>
      </c>
    </row>
    <row r="1856">
      <c r="A1856" s="4" t="s">
        <v>2334</v>
      </c>
      <c r="B1856" s="4" t="s">
        <v>2335</v>
      </c>
      <c r="C1856" s="5" t="str">
        <f>IFERROR(__xludf.DUMMYFUNCTION("GOOGLETRANSLATE(B1856,""en"",""es-ES"")"),"Aparece una montaña llena de nieve y un hombre comienza a esquiar por las laderas.")</f>
        <v>Aparece una montaña llena de nieve y un hombre comienza a esquiar por las laderas.</v>
      </c>
    </row>
    <row r="1857">
      <c r="A1857" s="4" t="s">
        <v>2334</v>
      </c>
      <c r="B1857" s="4" t="s">
        <v>2336</v>
      </c>
      <c r="C1857" s="5" t="str">
        <f>IFERROR(__xludf.DUMMYFUNCTION("GOOGLETRANSLATE(B1857,""en"",""es-ES"")"),"Mientras esquía, aparecen más hombres antes de reaparecer solo.")</f>
        <v>Mientras esquía, aparecen más hombres antes de reaparecer solo.</v>
      </c>
    </row>
    <row r="1858">
      <c r="A1858" s="4" t="s">
        <v>2334</v>
      </c>
      <c r="B1858" s="4" t="s">
        <v>2337</v>
      </c>
      <c r="C1858" s="5" t="str">
        <f>IFERROR(__xludf.DUMMYFUNCTION("GOOGLETRANSLATE(B1858,""en"",""es-ES"")"),"Una vez solo, el hombre esquía rápidamente por las laderas y hace giros y se arrodilla mientras esquía.")</f>
        <v>Una vez solo, el hombre esquía rápidamente por las laderas y hace giros y se arrodilla mientras esquía.</v>
      </c>
    </row>
    <row r="1859">
      <c r="A1859" s="4" t="s">
        <v>2334</v>
      </c>
      <c r="B1859" s="4" t="s">
        <v>2338</v>
      </c>
      <c r="C1859" s="5" t="str">
        <f>IFERROR(__xludf.DUMMYFUNCTION("GOOGLETRANSLATE(B1859,""en"",""es-ES"")"),"Finalmente, va rápidamente y termina volteando en una pila de nieve.")</f>
        <v>Finalmente, va rápidamente y termina volteando en una pila de nieve.</v>
      </c>
    </row>
    <row r="1860">
      <c r="A1860" s="4" t="s">
        <v>2339</v>
      </c>
      <c r="B1860" s="4" t="s">
        <v>2340</v>
      </c>
      <c r="C1860" s="5" t="str">
        <f>IFERROR(__xludf.DUMMYFUNCTION("GOOGLETRANSLATE(B1860,""en"",""es-ES"")"),"Un hombre y una mujer están sentados en dos rosquillas flotantes separadas, el hombre de azul, la mujer en el verde, y ambos están sonriendo, el hombre levanta su brazo izquierdo para saludar.")</f>
        <v>Un hombre y una mujer están sentados en dos rosquillas flotantes separadas, el hombre de azul, la mujer en el verde, y ambos están sonriendo, el hombre levanta su brazo izquierdo para saludar.</v>
      </c>
    </row>
    <row r="1861">
      <c r="A1861" s="4" t="s">
        <v>2339</v>
      </c>
      <c r="B1861" s="4" t="s">
        <v>2341</v>
      </c>
      <c r="C1861" s="5" t="str">
        <f>IFERROR(__xludf.DUMMYFUNCTION("GOOGLETRANSLATE(B1861,""en"",""es-ES"")"),"Un grupo de personas también está en donas flotantes de diferentes colores, jugando, cayendo en el agua y pasando un buen rato.")</f>
        <v>Un grupo de personas también está en donas flotantes de diferentes colores, jugando, cayendo en el agua y pasando un buen rato.</v>
      </c>
    </row>
    <row r="1862">
      <c r="A1862" s="4" t="s">
        <v>2339</v>
      </c>
      <c r="B1862" s="4" t="s">
        <v>2342</v>
      </c>
      <c r="C1862" s="5" t="str">
        <f>IFERROR(__xludf.DUMMYFUNCTION("GOOGLETRANSLATE(B1862,""en"",""es-ES"")"),"Una mujer de pelo marrón de pie en una pila de rosquillas flotantes está sosteniendo un micrófono y hablando, y comienzan a jugar otros clips que incluyen paisajes del lago, entrevistando a varias personas de edades y ambos sexos, personas que caminan con"&amp;" sus donas flotantes, letreros en el Lago, gente divirtiéndose y etc.")</f>
        <v>Una mujer de pelo marrón de pie en una pila de rosquillas flotantes está sosteniendo un micrófono y hablando, y comienzan a jugar otros clips que incluyen paisajes del lago, entrevistando a varias personas de edades y ambos sexos, personas que caminan con sus donas flotantes, letreros en el Lago, gente divirtiéndose y etc.</v>
      </c>
    </row>
    <row r="1863">
      <c r="A1863" s="4" t="s">
        <v>2339</v>
      </c>
      <c r="B1863" s="4" t="s">
        <v>2343</v>
      </c>
      <c r="C1863" s="5" t="str">
        <f>IFERROR(__xludf.DUMMYFUNCTION("GOOGLETRANSLATE(B1863,""en"",""es-ES"")"),"La mujer ahora está sentada en una rosquilla flotante verde, todavía sosteniendo el micrófono y todavía hablando.")</f>
        <v>La mujer ahora está sentada en una rosquilla flotante verde, todavía sosteniendo el micrófono y todavía hablando.</v>
      </c>
    </row>
    <row r="1864">
      <c r="A1864" s="4" t="s">
        <v>2339</v>
      </c>
      <c r="B1864" s="4" t="s">
        <v>2344</v>
      </c>
      <c r="C1864" s="5" t="str">
        <f>IFERROR(__xludf.DUMMYFUNCTION("GOOGLETRANSLATE(B1864,""en"",""es-ES"")"),"Aparece una pantalla blanca con un logotipo granate y blanco, luego cambia a otra pantalla blanca que tiene un sitio web azul en el medio.")</f>
        <v>Aparece una pantalla blanca con un logotipo granate y blanco, luego cambia a otra pantalla blanca que tiene un sitio web azul en el medio.</v>
      </c>
    </row>
    <row r="1865">
      <c r="A1865" s="4" t="s">
        <v>2345</v>
      </c>
      <c r="B1865" s="4" t="s">
        <v>2346</v>
      </c>
      <c r="C1865" s="5" t="str">
        <f>IFERROR(__xludf.DUMMYFUNCTION("GOOGLETRANSLATE(B1865,""en"",""es-ES"")"),"Los hombres viajan en un avión y llega a la cima de una montaña.")</f>
        <v>Los hombres viajan en un avión y llega a la cima de una montaña.</v>
      </c>
    </row>
    <row r="1866">
      <c r="A1866" s="4" t="s">
        <v>2345</v>
      </c>
      <c r="B1866" s="4" t="s">
        <v>2347</v>
      </c>
      <c r="C1866" s="5" t="str">
        <f>IFERROR(__xludf.DUMMYFUNCTION("GOOGLETRANSLATE(B1866,""en"",""es-ES"")"),"Luego, los hombres bajan por el avión y esquian por la colina.")</f>
        <v>Luego, los hombres bajan por el avión y esquian por la colina.</v>
      </c>
    </row>
    <row r="1867">
      <c r="A1867" s="4" t="s">
        <v>2345</v>
      </c>
      <c r="B1867" s="4" t="s">
        <v>2348</v>
      </c>
      <c r="C1867" s="5" t="str">
        <f>IFERROR(__xludf.DUMMYFUNCTION("GOOGLETRANSLATE(B1867,""en"",""es-ES"")"),"Una persona esquía detrás de un hombre por la ladera de la montaña.")</f>
        <v>Una persona esquía detrás de un hombre por la ladera de la montaña.</v>
      </c>
    </row>
    <row r="1868">
      <c r="A1868" s="4" t="s">
        <v>2345</v>
      </c>
      <c r="B1868" s="4" t="s">
        <v>2349</v>
      </c>
      <c r="C1868" s="5" t="str">
        <f>IFERROR(__xludf.DUMMYFUNCTION("GOOGLETRANSLATE(B1868,""en"",""es-ES"")"),"Una eliminación de nieve despejó la nieve del camino.")</f>
        <v>Una eliminación de nieve despejó la nieve del camino.</v>
      </c>
    </row>
    <row r="1869">
      <c r="A1869" s="4" t="s">
        <v>2345</v>
      </c>
      <c r="B1869" s="4" t="s">
        <v>2350</v>
      </c>
      <c r="C1869" s="5" t="str">
        <f>IFERROR(__xludf.DUMMYFUNCTION("GOOGLETRANSLATE(B1869,""en"",""es-ES"")"),"Después, los hombres esquían por la colina en el medio de los árboles.")</f>
        <v>Después, los hombres esquían por la colina en el medio de los árboles.</v>
      </c>
    </row>
    <row r="1870">
      <c r="A1870" s="4" t="s">
        <v>2345</v>
      </c>
      <c r="B1870" s="4" t="s">
        <v>2351</v>
      </c>
      <c r="C1870" s="5" t="str">
        <f>IFERROR(__xludf.DUMMYFUNCTION("GOOGLETRANSLATE(B1870,""en"",""es-ES"")"),"Los hombres esquian en una zona de madera que es desigual.")</f>
        <v>Los hombres esquian en una zona de madera que es desigual.</v>
      </c>
    </row>
    <row r="1871">
      <c r="A1871" s="4" t="s">
        <v>2352</v>
      </c>
      <c r="B1871" s="4" t="s">
        <v>2353</v>
      </c>
      <c r="C1871" s="5" t="str">
        <f>IFERROR(__xludf.DUMMYFUNCTION("GOOGLETRANSLATE(B1871,""en"",""es-ES"")"),"Una gimnasta que lleva un atuendo azul se aclaza en el A Balance Beam y realiza un soporte para la mano con una división en una competencia frente a una enorme bandera estadounidense.")</f>
        <v>Una gimnasta que lleva un atuendo azul se aclaza en el A Balance Beam y realiza un soporte para la mano con una división en una competencia frente a una enorme bandera estadounidense.</v>
      </c>
    </row>
    <row r="1872">
      <c r="A1872" s="4" t="s">
        <v>2352</v>
      </c>
      <c r="B1872" s="4" t="s">
        <v>2354</v>
      </c>
      <c r="C1872" s="5" t="str">
        <f>IFERROR(__xludf.DUMMYFUNCTION("GOOGLETRANSLATE(B1872,""en"",""es-ES"")"),"La gimnasta procede en la viga de equilibrio y realiza un salto mortal delantero y luego tres saltos mortales hacia atrás consecutivos seguidos.")</f>
        <v>La gimnasta procede en la viga de equilibrio y realiza un salto mortal delantero y luego tres saltos mortales hacia atrás consecutivos seguidos.</v>
      </c>
    </row>
    <row r="1873">
      <c r="A1873" s="4" t="s">
        <v>2352</v>
      </c>
      <c r="B1873" s="4" t="s">
        <v>2355</v>
      </c>
      <c r="C1873" s="5" t="str">
        <f>IFERROR(__xludf.DUMMYFUNCTION("GOOGLETRANSLATE(B1873,""en"",""es-ES"")"),"La gimnasta continúa con su actuación en la barra paralela con movimientos de giro, movimientos de salto y movimientos de baile.")</f>
        <v>La gimnasta continúa con su actuación en la barra paralela con movimientos de giro, movimientos de salto y movimientos de baile.</v>
      </c>
    </row>
    <row r="1874">
      <c r="A1874" s="4" t="s">
        <v>2352</v>
      </c>
      <c r="B1874" s="4" t="s">
        <v>2356</v>
      </c>
      <c r="C1874" s="5" t="str">
        <f>IFERROR(__xludf.DUMMYFUNCTION("GOOGLETRANSLATE(B1874,""en"",""es-ES"")"),"La gimnasta se prepara para el desmontaje en un extremo del bar paralelo, una salto mortal delantero en el bar paralelo y un salto mortal con un giro y aterriza perfectamente.")</f>
        <v>La gimnasta se prepara para el desmontaje en un extremo del bar paralelo, una salto mortal delantero en el bar paralelo y un salto mortal con un giro y aterriza perfectamente.</v>
      </c>
    </row>
    <row r="1875">
      <c r="A1875" s="4" t="s">
        <v>2357</v>
      </c>
      <c r="B1875" s="4" t="s">
        <v>2358</v>
      </c>
      <c r="C1875" s="5" t="str">
        <f>IFERROR(__xludf.DUMMYFUNCTION("GOOGLETRANSLATE(B1875,""en"",""es-ES"")"),"Un grupo de hombres se reúne en un círculo en una habitación.")</f>
        <v>Un grupo de hombres se reúne en un círculo en una habitación.</v>
      </c>
    </row>
    <row r="1876">
      <c r="A1876" s="4" t="s">
        <v>2357</v>
      </c>
      <c r="B1876" s="4" t="s">
        <v>2359</v>
      </c>
      <c r="C1876" s="5" t="str">
        <f>IFERROR(__xludf.DUMMYFUNCTION("GOOGLETRANSLATE(B1876,""en"",""es-ES"")"),"Se dan las manos del otro, luego comienzan a pelear en el ring de las personas.")</f>
        <v>Se dan las manos del otro, luego comienzan a pelear en el ring de las personas.</v>
      </c>
    </row>
    <row r="1877">
      <c r="A1877" s="4" t="s">
        <v>2357</v>
      </c>
      <c r="B1877" s="4" t="s">
        <v>2360</v>
      </c>
      <c r="C1877" s="5" t="str">
        <f>IFERROR(__xludf.DUMMYFUNCTION("GOOGLETRANSLATE(B1877,""en"",""es-ES"")"),"Giran y patean, nunca se golpean.")</f>
        <v>Giran y patean, nunca se golpean.</v>
      </c>
    </row>
    <row r="1878">
      <c r="A1878" s="4" t="s">
        <v>2357</v>
      </c>
      <c r="B1878" s="4" t="s">
        <v>2361</v>
      </c>
      <c r="C1878" s="5" t="str">
        <f>IFERROR(__xludf.DUMMYFUNCTION("GOOGLETRANSLATE(B1878,""en"",""es-ES"")"),"Cuando terminan, el grupo se une, aplaudiendo como grupo.")</f>
        <v>Cuando terminan, el grupo se une, aplaudiendo como grupo.</v>
      </c>
    </row>
    <row r="1879">
      <c r="A1879" s="4" t="s">
        <v>2362</v>
      </c>
      <c r="B1879" s="4" t="s">
        <v>2363</v>
      </c>
      <c r="C1879" s="5" t="str">
        <f>IFERROR(__xludf.DUMMYFUNCTION("GOOGLETRANSLATE(B1879,""en"",""es-ES"")"),"Una persona pone material de sellado alrededor de tablones de acero y un techo.")</f>
        <v>Una persona pone material de sellado alrededor de tablones de acero y un techo.</v>
      </c>
    </row>
    <row r="1880">
      <c r="A1880" s="4" t="s">
        <v>2362</v>
      </c>
      <c r="B1880" s="4" t="s">
        <v>2364</v>
      </c>
      <c r="C1880" s="5" t="str">
        <f>IFERROR(__xludf.DUMMYFUNCTION("GOOGLETRANSLATE(B1880,""en"",""es-ES"")"),"Luego, el hombre pinta un techo con pintura negra.")</f>
        <v>Luego, el hombre pinta un techo con pintura negra.</v>
      </c>
    </row>
    <row r="1881">
      <c r="A1881" s="4" t="s">
        <v>2365</v>
      </c>
      <c r="B1881" s="4" t="s">
        <v>2366</v>
      </c>
      <c r="C1881" s="5" t="str">
        <f>IFERROR(__xludf.DUMMYFUNCTION("GOOGLETRANSLATE(B1881,""en"",""es-ES"")"),"Un niño se encuentra en un tablero de buceo en una competencia olímpica.")</f>
        <v>Un niño se encuentra en un tablero de buceo en una competencia olímpica.</v>
      </c>
    </row>
    <row r="1882">
      <c r="A1882" s="4" t="s">
        <v>2365</v>
      </c>
      <c r="B1882" s="4" t="s">
        <v>2367</v>
      </c>
      <c r="C1882" s="5" t="str">
        <f>IFERROR(__xludf.DUMMYFUNCTION("GOOGLETRANSLATE(B1882,""en"",""es-ES"")"),"Luego, el niño salta y hace cuatro volteos en el aire y cae al agua.")</f>
        <v>Luego, el niño salta y hace cuatro volteos en el aire y cae al agua.</v>
      </c>
    </row>
    <row r="1883">
      <c r="A1883" s="4" t="s">
        <v>2365</v>
      </c>
      <c r="B1883" s="4" t="s">
        <v>2368</v>
      </c>
      <c r="C1883" s="5" t="str">
        <f>IFERROR(__xludf.DUMMYFUNCTION("GOOGLETRANSLATE(B1883,""en"",""es-ES"")"),"La multitud aplaude al niño sosteniendo banderas británicas.")</f>
        <v>La multitud aplaude al niño sosteniendo banderas británicas.</v>
      </c>
    </row>
    <row r="1884">
      <c r="A1884" s="4" t="s">
        <v>2365</v>
      </c>
      <c r="B1884" s="4" t="s">
        <v>2369</v>
      </c>
      <c r="C1884" s="5" t="str">
        <f>IFERROR(__xludf.DUMMYFUNCTION("GOOGLETRANSLATE(B1884,""en"",""es-ES"")"),"Un hombre abraza al chico que se ve feliz, y el niño camina.")</f>
        <v>Un hombre abraza al chico que se ve feliz, y el niño camina.</v>
      </c>
    </row>
    <row r="1885">
      <c r="A1885" s="4" t="s">
        <v>2365</v>
      </c>
      <c r="B1885" s="4" t="s">
        <v>2370</v>
      </c>
      <c r="C1885" s="5" t="str">
        <f>IFERROR(__xludf.DUMMYFUNCTION("GOOGLETRANSLATE(B1885,""en"",""es-ES"")"),"El niño salta de una tabla de buceo y hace cuatro volteos en el aire antes de entrar en el agua.")</f>
        <v>El niño salta de una tabla de buceo y hace cuatro volteos en el aire antes de entrar en el agua.</v>
      </c>
    </row>
    <row r="1886">
      <c r="A1886" s="4" t="s">
        <v>2371</v>
      </c>
      <c r="B1886" s="4" t="s">
        <v>2372</v>
      </c>
      <c r="C1886" s="5" t="str">
        <f>IFERROR(__xludf.DUMMYFUNCTION("GOOGLETRANSLATE(B1886,""en"",""es-ES"")"),"El video comienza con varias tomas de personas que suben por largos caminos en patinetas en rápido movimiento y lento.")</f>
        <v>El video comienza con varias tomas de personas que suben por largos caminos en patinetas en rápido movimiento y lento.</v>
      </c>
    </row>
    <row r="1887">
      <c r="A1887" s="4" t="s">
        <v>2371</v>
      </c>
      <c r="B1887" s="4" t="s">
        <v>2373</v>
      </c>
      <c r="C1887" s="5" t="str">
        <f>IFERROR(__xludf.DUMMYFUNCTION("GOOGLETRANSLATE(B1887,""en"",""es-ES"")"),"La gente realiza varios saltos y trucos por estas largas y sinuosas carreteras y muestra al huésped hablando en la cámara.")</f>
        <v>La gente realiza varios saltos y trucos por estas largas y sinuosas carreteras y muestra al huésped hablando en la cámara.</v>
      </c>
    </row>
    <row r="1888">
      <c r="A1888" s="4" t="s">
        <v>2374</v>
      </c>
      <c r="B1888" s="4" t="s">
        <v>2375</v>
      </c>
      <c r="C1888" s="5" t="str">
        <f>IFERROR(__xludf.DUMMYFUNCTION("GOOGLETRANSLATE(B1888,""en"",""es-ES"")"),"Un grupo de peces nadan en el fondo del océano.")</f>
        <v>Un grupo de peces nadan en el fondo del océano.</v>
      </c>
    </row>
    <row r="1889">
      <c r="A1889" s="4" t="s">
        <v>2374</v>
      </c>
      <c r="B1889" s="4" t="s">
        <v>2376</v>
      </c>
      <c r="C1889" s="5" t="str">
        <f>IFERROR(__xludf.DUMMYFUNCTION("GOOGLETRANSLATE(B1889,""en"",""es-ES"")"),"Un largo pez amarillo pasa la cámara.")</f>
        <v>Un largo pez amarillo pasa la cámara.</v>
      </c>
    </row>
    <row r="1890">
      <c r="A1890" s="4" t="s">
        <v>2374</v>
      </c>
      <c r="B1890" s="4" t="s">
        <v>2377</v>
      </c>
      <c r="C1890" s="5" t="str">
        <f>IFERROR(__xludf.DUMMYFUNCTION("GOOGLETRANSLATE(B1890,""en"",""es-ES"")"),"Los buceadores se reúnen en un bote mientras un hombre habla.")</f>
        <v>Los buceadores se reúnen en un bote mientras un hombre habla.</v>
      </c>
    </row>
    <row r="1891">
      <c r="A1891" s="4" t="s">
        <v>2374</v>
      </c>
      <c r="B1891" s="4" t="s">
        <v>2378</v>
      </c>
      <c r="C1891" s="5" t="str">
        <f>IFERROR(__xludf.DUMMYFUNCTION("GOOGLETRANSLATE(B1891,""en"",""es-ES"")"),"Vemos varios peces y un tiburón.")</f>
        <v>Vemos varios peces y un tiburón.</v>
      </c>
    </row>
    <row r="1892">
      <c r="A1892" s="4" t="s">
        <v>2374</v>
      </c>
      <c r="B1892" s="4" t="s">
        <v>2379</v>
      </c>
      <c r="C1892" s="5" t="str">
        <f>IFERROR(__xludf.DUMMYFUNCTION("GOOGLETRANSLATE(B1892,""en"",""es-ES"")"),"Los buceadores bucean, mirando el pescado y agitando la cámara.")</f>
        <v>Los buceadores bucean, mirando el pescado y agitando la cámara.</v>
      </c>
    </row>
    <row r="1893">
      <c r="A1893" s="4" t="s">
        <v>2380</v>
      </c>
      <c r="B1893" s="4" t="s">
        <v>2381</v>
      </c>
      <c r="C1893" s="5" t="str">
        <f>IFERROR(__xludf.DUMMYFUNCTION("GOOGLETRANSLATE(B1893,""en"",""es-ES"")"),"Un niño hace reparaciones en una bicicleta desmontada con el uso de una soldadura en un patio trasero cerca de los escalones traseros de una casa.")</f>
        <v>Un niño hace reparaciones en una bicicleta desmontada con el uso de una soldadura en un patio trasero cerca de los escalones traseros de una casa.</v>
      </c>
    </row>
    <row r="1894">
      <c r="A1894" s="4" t="s">
        <v>2380</v>
      </c>
      <c r="B1894" s="4" t="s">
        <v>2382</v>
      </c>
      <c r="C1894" s="5" t="str">
        <f>IFERROR(__xludf.DUMMYFUNCTION("GOOGLETRANSLATE(B1894,""en"",""es-ES"")"),"Un niño entra en la escena y tira de un par de guantes mientras usa una máscara protectora deportiva, enciende una máquina azul en los escalones posteriores y recoge una soldadura.")</f>
        <v>Un niño entra en la escena y tira de un par de guantes mientras usa una máscara protectora deportiva, enciende una máquina azul en los escalones posteriores y recoge una soldadura.</v>
      </c>
    </row>
    <row r="1895">
      <c r="A1895" s="4" t="s">
        <v>2380</v>
      </c>
      <c r="B1895" s="4" t="s">
        <v>2383</v>
      </c>
      <c r="C1895" s="5" t="str">
        <f>IFERROR(__xludf.DUMMYFUNCTION("GOOGLETRANSLATE(B1895,""en"",""es-ES"")"),"El niño luego comienza a soldar una bicicleta desmontada en el suelo en un patio trasero.")</f>
        <v>El niño luego comienza a soldar una bicicleta desmontada en el suelo en un patio trasero.</v>
      </c>
    </row>
    <row r="1896">
      <c r="A1896" s="4" t="s">
        <v>2380</v>
      </c>
      <c r="B1896" s="4" t="s">
        <v>2384</v>
      </c>
      <c r="C1896" s="5" t="str">
        <f>IFERROR(__xludf.DUMMYFUNCTION("GOOGLETRANSLATE(B1896,""en"",""es-ES"")"),"El niño luego se levanta y sale de la escena después de levantar la tapa de su máscara.")</f>
        <v>El niño luego se levanta y sale de la escena después de levantar la tapa de su máscara.</v>
      </c>
    </row>
    <row r="1897">
      <c r="A1897" s="4" t="s">
        <v>2385</v>
      </c>
      <c r="B1897" s="4" t="s">
        <v>2386</v>
      </c>
      <c r="C1897" s="5" t="str">
        <f>IFERROR(__xludf.DUMMYFUNCTION("GOOGLETRANSLATE(B1897,""en"",""es-ES"")"),"El equipo de cricket de Sri Lanka está jugando contra otro país.")</f>
        <v>El equipo de cricket de Sri Lanka está jugando contra otro país.</v>
      </c>
    </row>
    <row r="1898">
      <c r="A1898" s="4" t="s">
        <v>2385</v>
      </c>
      <c r="B1898" s="4" t="s">
        <v>2387</v>
      </c>
      <c r="C1898" s="5" t="str">
        <f>IFERROR(__xludf.DUMMYFUNCTION("GOOGLETRANSLATE(B1898,""en"",""es-ES"")"),"Los jugadores de cricket están jugando un juego competitivo en el campo.")</f>
        <v>Los jugadores de cricket están jugando un juego competitivo en el campo.</v>
      </c>
    </row>
    <row r="1899">
      <c r="A1899" s="4" t="s">
        <v>2385</v>
      </c>
      <c r="B1899" s="4" t="s">
        <v>2388</v>
      </c>
      <c r="C1899" s="5" t="str">
        <f>IFERROR(__xludf.DUMMYFUNCTION("GOOGLETRANSLATE(B1899,""en"",""es-ES"")"),"El equipo de Sri Lanka está representado por el uniforme azul.")</f>
        <v>El equipo de Sri Lanka está representado por el uniforme azul.</v>
      </c>
    </row>
    <row r="1900">
      <c r="A1900" s="4" t="s">
        <v>2385</v>
      </c>
      <c r="B1900" s="4" t="s">
        <v>2389</v>
      </c>
      <c r="C1900" s="5" t="str">
        <f>IFERROR(__xludf.DUMMYFUNCTION("GOOGLETRANSLATE(B1900,""en"",""es-ES"")"),"El bateador anota cuatro carreras cuando el jugador de bolos arroja una pelota por encima.")</f>
        <v>El bateador anota cuatro carreras cuando el jugador de bolos arroja una pelota por encima.</v>
      </c>
    </row>
    <row r="1901">
      <c r="A1901" s="4" t="s">
        <v>2385</v>
      </c>
      <c r="B1901" s="4" t="s">
        <v>2390</v>
      </c>
      <c r="C1901" s="5" t="str">
        <f>IFERROR(__xludf.DUMMYFUNCTION("GOOGLETRANSLATE(B1901,""en"",""es-ES"")"),"El video muestra diferentes partidos de cricket que tienen lugar donde Sri Lanka está jugando contra equipos de diferentes países.")</f>
        <v>El video muestra diferentes partidos de cricket que tienen lugar donde Sri Lanka está jugando contra equipos de diferentes países.</v>
      </c>
    </row>
    <row r="1902">
      <c r="A1902" s="4" t="s">
        <v>2385</v>
      </c>
      <c r="B1902" s="4" t="s">
        <v>2391</v>
      </c>
      <c r="C1902" s="5" t="str">
        <f>IFERROR(__xludf.DUMMYFUNCTION("GOOGLETRANSLATE(B1902,""en"",""es-ES"")"),"El estadio está lleno de espectadores que animan a los jugadores de cricket.")</f>
        <v>El estadio está lleno de espectadores que animan a los jugadores de cricket.</v>
      </c>
    </row>
    <row r="1903">
      <c r="A1903" s="4" t="s">
        <v>2385</v>
      </c>
      <c r="B1903" s="4" t="s">
        <v>2392</v>
      </c>
      <c r="C1903" s="5" t="str">
        <f>IFERROR(__xludf.DUMMYFUNCTION("GOOGLETRANSLATE(B1903,""en"",""es-ES"")"),"El partido va en pleno apogeo cuando los bateadores anotan cuatro carreras.")</f>
        <v>El partido va en pleno apogeo cuando los bateadores anotan cuatro carreras.</v>
      </c>
    </row>
    <row r="1904">
      <c r="A1904" s="4" t="s">
        <v>2385</v>
      </c>
      <c r="B1904" s="4" t="s">
        <v>2393</v>
      </c>
      <c r="C1904" s="5" t="str">
        <f>IFERROR(__xludf.DUMMYFUNCTION("GOOGLETRANSLATE(B1904,""en"",""es-ES"")"),"El jardinero corre para atrapar la pelota después de que el bateador lo golpea alto, casi atrapar la pelota para que se limpie audaz.")</f>
        <v>El jardinero corre para atrapar la pelota después de que el bateador lo golpea alto, casi atrapar la pelota para que se limpie audaz.</v>
      </c>
    </row>
    <row r="1905">
      <c r="A1905" s="4" t="s">
        <v>2394</v>
      </c>
      <c r="B1905" s="4" t="s">
        <v>2395</v>
      </c>
      <c r="C1905" s="5" t="str">
        <f>IFERROR(__xludf.DUMMYFUNCTION("GOOGLETRANSLATE(B1905,""en"",""es-ES"")"),"Alguien sostiene una cámara bajo el agua y nadando en el océano.")</f>
        <v>Alguien sostiene una cámara bajo el agua y nadando en el océano.</v>
      </c>
    </row>
    <row r="1906">
      <c r="A1906" s="4" t="s">
        <v>2394</v>
      </c>
      <c r="B1906" s="4" t="s">
        <v>2396</v>
      </c>
      <c r="C1906" s="5" t="str">
        <f>IFERROR(__xludf.DUMMYFUNCTION("GOOGLETRANSLATE(B1906,""en"",""es-ES"")"),"Camina a varios tiros de hombres jugando fútbol en una playa y patear la pelota.")</f>
        <v>Camina a varios tiros de hombres jugando fútbol en una playa y patear la pelota.</v>
      </c>
    </row>
    <row r="1907">
      <c r="A1907" s="4" t="s">
        <v>2394</v>
      </c>
      <c r="B1907" s="4" t="s">
        <v>2397</v>
      </c>
      <c r="C1907" s="5" t="str">
        <f>IFERROR(__xludf.DUMMYFUNCTION("GOOGLETRANSLATE(B1907,""en"",""es-ES"")"),"La cámara se reproduce sobre la pelota seguida de varios tiros más del hombre jugando.")</f>
        <v>La cámara se reproduce sobre la pelota seguida de varios tiros más del hombre jugando.</v>
      </c>
    </row>
    <row r="1908">
      <c r="A1908" s="4" t="s">
        <v>2398</v>
      </c>
      <c r="B1908" s="4" t="s">
        <v>2399</v>
      </c>
      <c r="C1908" s="5" t="str">
        <f>IFERROR(__xludf.DUMMYFUNCTION("GOOGLETRANSLATE(B1908,""en"",""es-ES"")"),"Se muestra una gran roca seguida por personas que se mueven alrededor de los objetos y que conducen a un nuevo segmento.")</f>
        <v>Se muestra una gran roca seguida por personas que se mueven alrededor de los objetos y que conducen a un nuevo segmento.</v>
      </c>
    </row>
    <row r="1909">
      <c r="A1909" s="4" t="s">
        <v>2398</v>
      </c>
      <c r="B1909" s="4" t="s">
        <v>2400</v>
      </c>
      <c r="C1909" s="5" t="str">
        <f>IFERROR(__xludf.DUMMYFUNCTION("GOOGLETRANSLATE(B1909,""en"",""es-ES"")"),"Luego se ve a un hombre cortando una calabaza mientras una mujer habla y conduce a un informe meteorológico.")</f>
        <v>Luego se ve a un hombre cortando una calabaza mientras una mujer habla y conduce a un informe meteorológico.</v>
      </c>
    </row>
    <row r="1910">
      <c r="A1910" s="4" t="s">
        <v>2398</v>
      </c>
      <c r="B1910" s="4" t="s">
        <v>2401</v>
      </c>
      <c r="C1910" s="5" t="str">
        <f>IFERROR(__xludf.DUMMYFUNCTION("GOOGLETRANSLATE(B1910,""en"",""es-ES"")"),"Luego, el hombre muestra la calabaza alrededor de un grupo de personas y de cerca.")</f>
        <v>Luego, el hombre muestra la calabaza alrededor de un grupo de personas y de cerca.</v>
      </c>
    </row>
    <row r="1911">
      <c r="A1911" s="4" t="s">
        <v>2402</v>
      </c>
      <c r="B1911" s="4" t="s">
        <v>2403</v>
      </c>
      <c r="C1911" s="5" t="str">
        <f>IFERROR(__xludf.DUMMYFUNCTION("GOOGLETRANSLATE(B1911,""en"",""es-ES"")"),"Un patinador masculino está patinando, saltó sobre la barandilla y luego se resbaló y cayó sobre su espalda y una mano lo ayudó a levantarse.")</f>
        <v>Un patinador masculino está patinando, saltó sobre la barandilla y luego se resbaló y cayó sobre su espalda y una mano lo ayudó a levantarse.</v>
      </c>
    </row>
    <row r="1912">
      <c r="A1912" s="4" t="s">
        <v>2402</v>
      </c>
      <c r="B1912" s="4" t="s">
        <v>2404</v>
      </c>
      <c r="C1912" s="5" t="str">
        <f>IFERROR(__xludf.DUMMYFUNCTION("GOOGLETRANSLATE(B1912,""en"",""es-ES"")"),"Un niño saltó a una plataforma con su patineta y se resbaló y cayó.")</f>
        <v>Un niño saltó a una plataforma con su patineta y se resbaló y cayó.</v>
      </c>
    </row>
    <row r="1913">
      <c r="A1913" s="4" t="s">
        <v>2402</v>
      </c>
      <c r="B1913" s="4" t="s">
        <v>2405</v>
      </c>
      <c r="C1913" s="5" t="str">
        <f>IFERROR(__xludf.DUMMYFUNCTION("GOOGLETRANSLATE(B1913,""en"",""es-ES"")"),"Los skaters saltaron a la plataforma o barandas y se resbalaron y cayeron al suelo.")</f>
        <v>Los skaters saltaron a la plataforma o barandas y se resbalaron y cayeron al suelo.</v>
      </c>
    </row>
    <row r="1914">
      <c r="A1914" s="4" t="s">
        <v>2406</v>
      </c>
      <c r="B1914" s="4" t="s">
        <v>2407</v>
      </c>
      <c r="C1914" s="5" t="str">
        <f>IFERROR(__xludf.DUMMYFUNCTION("GOOGLETRANSLATE(B1914,""en"",""es-ES"")"),"Una familia habla sobre hacer alimentos saludables.")</f>
        <v>Una familia habla sobre hacer alimentos saludables.</v>
      </c>
    </row>
    <row r="1915">
      <c r="A1915" s="4" t="s">
        <v>2406</v>
      </c>
      <c r="B1915" s="4" t="s">
        <v>2408</v>
      </c>
      <c r="C1915" s="5" t="str">
        <f>IFERROR(__xludf.DUMMYFUNCTION("GOOGLETRANSLATE(B1915,""en"",""es-ES"")"),"Comienzan haciendo batidos y leen ingredientes del azúcar de coco.")</f>
        <v>Comienzan haciendo batidos y leen ingredientes del azúcar de coco.</v>
      </c>
    </row>
    <row r="1916">
      <c r="A1916" s="4" t="s">
        <v>2406</v>
      </c>
      <c r="B1916" s="4" t="s">
        <v>2409</v>
      </c>
      <c r="C1916" s="5" t="str">
        <f>IFERROR(__xludf.DUMMYFUNCTION("GOOGLETRANSLATE(B1916,""en"",""es-ES"")"),"Mezcla la comida y preparan la comida y luego mezclan el batido.")</f>
        <v>Mezcla la comida y preparan la comida y luego mezclan el batido.</v>
      </c>
    </row>
    <row r="1917">
      <c r="A1917" s="4" t="s">
        <v>2410</v>
      </c>
      <c r="B1917" s="4" t="s">
        <v>2411</v>
      </c>
      <c r="C1917" s="5" t="str">
        <f>IFERROR(__xludf.DUMMYFUNCTION("GOOGLETRANSLATE(B1917,""en"",""es-ES"")"),"Un hombre y una mujer están tomando café afuera al lado de una caravana.")</f>
        <v>Un hombre y una mujer están tomando café afuera al lado de una caravana.</v>
      </c>
    </row>
    <row r="1918">
      <c r="A1918" s="4" t="s">
        <v>2410</v>
      </c>
      <c r="B1918" s="4" t="s">
        <v>2412</v>
      </c>
      <c r="C1918" s="5" t="str">
        <f>IFERROR(__xludf.DUMMYFUNCTION("GOOGLETRANSLATE(B1918,""en"",""es-ES"")"),"El hombre está tocando la guitarra.")</f>
        <v>El hombre está tocando la guitarra.</v>
      </c>
    </row>
    <row r="1919">
      <c r="A1919" s="4" t="s">
        <v>2410</v>
      </c>
      <c r="B1919" s="4" t="s">
        <v>2413</v>
      </c>
      <c r="C1919" s="5" t="str">
        <f>IFERROR(__xludf.DUMMYFUNCTION("GOOGLETRANSLATE(B1919,""en"",""es-ES"")"),"La mujer camina hacia la cámara y comienza a mostrar documentos en papel.")</f>
        <v>La mujer camina hacia la cámara y comienza a mostrar documentos en papel.</v>
      </c>
    </row>
    <row r="1920">
      <c r="A1920" s="4" t="s">
        <v>2410</v>
      </c>
      <c r="B1920" s="4" t="s">
        <v>2414</v>
      </c>
      <c r="C1920" s="5" t="str">
        <f>IFERROR(__xludf.DUMMYFUNCTION("GOOGLETRANSLATE(B1920,""en"",""es-ES"")"),"Ella arroja los papeles y camina de regreso al hombre.")</f>
        <v>Ella arroja los papeles y camina de regreso al hombre.</v>
      </c>
    </row>
    <row r="1921">
      <c r="A1921" s="4" t="s">
        <v>2415</v>
      </c>
      <c r="B1921" s="4" t="s">
        <v>2416</v>
      </c>
      <c r="C1921" s="5" t="str">
        <f>IFERROR(__xludf.DUMMYFUNCTION("GOOGLETRANSLATE(B1921,""en"",""es-ES"")"),"Un niño en un equipo lanza un baloncesto a otros miembros del equipo.")</f>
        <v>Un niño en un equipo lanza un baloncesto a otros miembros del equipo.</v>
      </c>
    </row>
    <row r="1922">
      <c r="A1922" s="4" t="s">
        <v>2415</v>
      </c>
      <c r="B1922" s="4" t="s">
        <v>2417</v>
      </c>
      <c r="C1922" s="5" t="str">
        <f>IFERROR(__xludf.DUMMYFUNCTION("GOOGLETRANSLATE(B1922,""en"",""es-ES"")"),"Otros se unen, algunos cayeron cuando son golpeados con la pelota.")</f>
        <v>Otros se unen, algunos cayeron cuando son golpeados con la pelota.</v>
      </c>
    </row>
    <row r="1923">
      <c r="A1923" s="4" t="s">
        <v>2418</v>
      </c>
      <c r="B1923" s="4" t="s">
        <v>2419</v>
      </c>
      <c r="C1923" s="5" t="str">
        <f>IFERROR(__xludf.DUMMYFUNCTION("GOOGLETRANSLATE(B1923,""en"",""es-ES"")"),"Se ve a un hombre arrodillado junto a un perro frotando su espalda mientras otro hombre vierte agua sobre el cuerpo del perro.")</f>
        <v>Se ve a un hombre arrodillado junto a un perro frotando su espalda mientras otro hombre vierte agua sobre el cuerpo del perro.</v>
      </c>
    </row>
    <row r="1924">
      <c r="A1924" s="4" t="s">
        <v>2418</v>
      </c>
      <c r="B1924" s="4" t="s">
        <v>2420</v>
      </c>
      <c r="C1924" s="5" t="str">
        <f>IFERROR(__xludf.DUMMYFUNCTION("GOOGLETRANSLATE(B1924,""en"",""es-ES"")"),"El hombre continúa fregando mientras el otro vierte agua y termina con el perro huyendo.")</f>
        <v>El hombre continúa fregando mientras el otro vierte agua y termina con el perro huyendo.</v>
      </c>
    </row>
    <row r="1925">
      <c r="A1925" s="4" t="s">
        <v>2421</v>
      </c>
      <c r="B1925" s="4" t="s">
        <v>2422</v>
      </c>
      <c r="C1925" s="5" t="str">
        <f>IFERROR(__xludf.DUMMYFUNCTION("GOOGLETRANSLATE(B1925,""en"",""es-ES"")"),"Una mujer le cepilla el pelo largo en casa.")</f>
        <v>Una mujer le cepilla el pelo largo en casa.</v>
      </c>
    </row>
    <row r="1926">
      <c r="A1926" s="4" t="s">
        <v>2421</v>
      </c>
      <c r="B1926" s="4" t="s">
        <v>2423</v>
      </c>
      <c r="C1926" s="5" t="str">
        <f>IFERROR(__xludf.DUMMYFUNCTION("GOOGLETRANSLATE(B1926,""en"",""es-ES"")"),"La mujer se sienta en el sofá.")</f>
        <v>La mujer se sienta en el sofá.</v>
      </c>
    </row>
    <row r="1927">
      <c r="A1927" s="4" t="s">
        <v>2421</v>
      </c>
      <c r="B1927" s="4" t="s">
        <v>2424</v>
      </c>
      <c r="C1927" s="5" t="str">
        <f>IFERROR(__xludf.DUMMYFUNCTION("GOOGLETRANSLATE(B1927,""en"",""es-ES"")"),"La mujer se levanta y se da vuelta.")</f>
        <v>La mujer se levanta y se da vuelta.</v>
      </c>
    </row>
    <row r="1928">
      <c r="A1928" s="4" t="s">
        <v>2421</v>
      </c>
      <c r="B1928" s="4" t="s">
        <v>2425</v>
      </c>
      <c r="C1928" s="5" t="str">
        <f>IFERROR(__xludf.DUMMYFUNCTION("GOOGLETRANSLATE(B1928,""en"",""es-ES"")"),"La persona se da vuelta sale de la vista.")</f>
        <v>La persona se da vuelta sale de la vista.</v>
      </c>
    </row>
    <row r="1929">
      <c r="A1929" s="4" t="s">
        <v>2426</v>
      </c>
      <c r="B1929" s="4" t="s">
        <v>2427</v>
      </c>
      <c r="C1929" s="5" t="str">
        <f>IFERROR(__xludf.DUMMYFUNCTION("GOOGLETRANSLATE(B1929,""en"",""es-ES"")"),"Muchos postres están en un cinturón deslizante en un mostrador.")</f>
        <v>Muchos postres están en un cinturón deslizante en un mostrador.</v>
      </c>
    </row>
    <row r="1930">
      <c r="A1930" s="4" t="s">
        <v>2426</v>
      </c>
      <c r="B1930" s="4" t="s">
        <v>2428</v>
      </c>
      <c r="C1930" s="5" t="str">
        <f>IFERROR(__xludf.DUMMYFUNCTION("GOOGLETRANSLATE(B1930,""en"",""es-ES"")"),"Se muestra una puesta de sol en una playa y en un lago.")</f>
        <v>Se muestra una puesta de sol en una playa y en un lago.</v>
      </c>
    </row>
    <row r="1931">
      <c r="A1931" s="4" t="s">
        <v>2426</v>
      </c>
      <c r="B1931" s="4" t="s">
        <v>2429</v>
      </c>
      <c r="C1931" s="5" t="str">
        <f>IFERROR(__xludf.DUMMYFUNCTION("GOOGLETRANSLATE(B1931,""en"",""es-ES"")"),"La gente está haciendo kayak en un lago que va a través del lago con gran vegetación de Gren.")</f>
        <v>La gente está haciendo kayak en un lago que va a través del lago con gran vegetación de Gren.</v>
      </c>
    </row>
    <row r="1932">
      <c r="A1932" s="4" t="s">
        <v>2430</v>
      </c>
      <c r="B1932" s="4" t="s">
        <v>2431</v>
      </c>
      <c r="C1932" s="5" t="str">
        <f>IFERROR(__xludf.DUMMYFUNCTION("GOOGLETRANSLATE(B1932,""en"",""es-ES"")"),"Se muestran a dos jóvenes corriendo corriendo y cuarto por una cancha golpeando una pelota de tenis.")</f>
        <v>Se muestran a dos jóvenes corriendo corriendo y cuarto por una cancha golpeando una pelota de tenis.</v>
      </c>
    </row>
    <row r="1933">
      <c r="A1933" s="4" t="s">
        <v>2430</v>
      </c>
      <c r="B1933" s="4" t="s">
        <v>2432</v>
      </c>
      <c r="C1933" s="5" t="str">
        <f>IFERROR(__xludf.DUMMYFUNCTION("GOOGLETRANSLATE(B1933,""en"",""es-ES"")"),"Siguen golpeando la pelota contra la pared y persiguiendo la pelota.")</f>
        <v>Siguen golpeando la pelota contra la pared y persiguiendo la pelota.</v>
      </c>
    </row>
    <row r="1934">
      <c r="A1934" s="4" t="s">
        <v>2430</v>
      </c>
      <c r="B1934" s="4" t="s">
        <v>2433</v>
      </c>
      <c r="C1934" s="5" t="str">
        <f>IFERROR(__xludf.DUMMYFUNCTION("GOOGLETRANSLATE(B1934,""en"",""es-ES"")"),"Uno hace una pausa y golpea la pelota en su raqueta y nuevamente la arroja para que los niños jueguen.")</f>
        <v>Uno hace una pausa y golpea la pelota en su raqueta y nuevamente la arroja para que los niños jueguen.</v>
      </c>
    </row>
    <row r="1935">
      <c r="A1935" s="4" t="s">
        <v>2430</v>
      </c>
      <c r="B1935" s="4" t="s">
        <v>2434</v>
      </c>
      <c r="C1935" s="5" t="str">
        <f>IFERROR(__xludf.DUMMYFUNCTION("GOOGLETRANSLATE(B1935,""en"",""es-ES"")"),"Uno cae en el suelo hacia el final y el otro lo ayuda.")</f>
        <v>Uno cae en el suelo hacia el final y el otro lo ayuda.</v>
      </c>
    </row>
    <row r="1936">
      <c r="A1936" s="4" t="s">
        <v>2435</v>
      </c>
      <c r="B1936" s="4" t="s">
        <v>2436</v>
      </c>
      <c r="C1936" s="5" t="str">
        <f>IFERROR(__xludf.DUMMYFUNCTION("GOOGLETRANSLATE(B1936,""en"",""es-ES"")"),"Una mujer habla con la cámara mientras se baña a un bebé en la bañera.")</f>
        <v>Una mujer habla con la cámara mientras se baña a un bebé en la bañera.</v>
      </c>
    </row>
    <row r="1937">
      <c r="A1937" s="4" t="s">
        <v>2435</v>
      </c>
      <c r="B1937" s="4" t="s">
        <v>2437</v>
      </c>
      <c r="C1937" s="5" t="str">
        <f>IFERROR(__xludf.DUMMYFUNCTION("GOOGLETRANSLATE(B1937,""en"",""es-ES"")"),"La mujer demuestra una pequeña almohadilla de fregado a la cámara.")</f>
        <v>La mujer demuestra una pequeña almohadilla de fregado a la cámara.</v>
      </c>
    </row>
    <row r="1938">
      <c r="A1938" s="4" t="s">
        <v>2435</v>
      </c>
      <c r="B1938" s="4" t="s">
        <v>2438</v>
      </c>
      <c r="C1938" s="5" t="str">
        <f>IFERROR(__xludf.DUMMYFUNCTION("GOOGLETRANSLATE(B1938,""en"",""es-ES"")"),"La mujer usa la almohadilla del bebé.")</f>
        <v>La mujer usa la almohadilla del bebé.</v>
      </c>
    </row>
    <row r="1939">
      <c r="A1939" s="4" t="s">
        <v>2439</v>
      </c>
      <c r="B1939" s="4" t="s">
        <v>2440</v>
      </c>
      <c r="C1939" s="5" t="str">
        <f>IFERROR(__xludf.DUMMYFUNCTION("GOOGLETRANSLATE(B1939,""en"",""es-ES"")"),"Algunas personas flotan en el océano en una balsa amarilla.")</f>
        <v>Algunas personas flotan en el océano en una balsa amarilla.</v>
      </c>
    </row>
    <row r="1940">
      <c r="A1940" s="4" t="s">
        <v>2439</v>
      </c>
      <c r="B1940" s="4" t="s">
        <v>2441</v>
      </c>
      <c r="C1940" s="5" t="str">
        <f>IFERROR(__xludf.DUMMYFUNCTION("GOOGLETRANSLATE(B1940,""en"",""es-ES"")"),"Flotan por grandes rocas y acantilados.")</f>
        <v>Flotan por grandes rocas y acantilados.</v>
      </c>
    </row>
    <row r="1941">
      <c r="A1941" s="4" t="s">
        <v>2442</v>
      </c>
      <c r="B1941" s="4" t="s">
        <v>2443</v>
      </c>
      <c r="C1941" s="5" t="str">
        <f>IFERROR(__xludf.DUMMYFUNCTION("GOOGLETRANSLATE(B1941,""en"",""es-ES"")"),"Un hombre se dobla en una estera.")</f>
        <v>Un hombre se dobla en una estera.</v>
      </c>
    </row>
    <row r="1942">
      <c r="A1942" s="4" t="s">
        <v>2442</v>
      </c>
      <c r="B1942" s="4" t="s">
        <v>2444</v>
      </c>
      <c r="C1942" s="5" t="str">
        <f>IFERROR(__xludf.DUMMYFUNCTION("GOOGLETRANSLATE(B1942,""en"",""es-ES"")"),"Él toma un gran peso y lo levanta sobre su cabeza.")</f>
        <v>Él toma un gran peso y lo levanta sobre su cabeza.</v>
      </c>
    </row>
    <row r="1943">
      <c r="A1943" s="4" t="s">
        <v>2442</v>
      </c>
      <c r="B1943" s="4" t="s">
        <v>2445</v>
      </c>
      <c r="C1943" s="5" t="str">
        <f>IFERROR(__xludf.DUMMYFUNCTION("GOOGLETRANSLATE(B1943,""en"",""es-ES"")"),"Él deja caer el peso en el suelo.")</f>
        <v>Él deja caer el peso en el suelo.</v>
      </c>
    </row>
    <row r="1944">
      <c r="A1944" s="4" t="s">
        <v>2442</v>
      </c>
      <c r="B1944" s="4" t="s">
        <v>2446</v>
      </c>
      <c r="C1944" s="5" t="str">
        <f>IFERROR(__xludf.DUMMYFUNCTION("GOOGLETRANSLATE(B1944,""en"",""es-ES"")"),"Un hombre con una camisa azul aplaude.")</f>
        <v>Un hombre con una camisa azul aplaude.</v>
      </c>
    </row>
    <row r="1945">
      <c r="A1945" s="4" t="s">
        <v>2447</v>
      </c>
      <c r="B1945" s="4" t="s">
        <v>2448</v>
      </c>
      <c r="C1945" s="5" t="str">
        <f>IFERROR(__xludf.DUMMYFUNCTION("GOOGLETRANSLATE(B1945,""en"",""es-ES"")"),"Este bebé golpea la pelota y se cae.")</f>
        <v>Este bebé golpea la pelota y se cae.</v>
      </c>
    </row>
    <row r="1946">
      <c r="A1946" s="4" t="s">
        <v>2447</v>
      </c>
      <c r="B1946" s="4" t="s">
        <v>2449</v>
      </c>
      <c r="C1946" s="5" t="str">
        <f>IFERROR(__xludf.DUMMYFUNCTION("GOOGLETRANSLATE(B1946,""en"",""es-ES"")"),"Luego se levanta y agarra el palo para intentar golpear la pelota nuevamente.")</f>
        <v>Luego se levanta y agarra el palo para intentar golpear la pelota nuevamente.</v>
      </c>
    </row>
    <row r="1947">
      <c r="A1947" s="4" t="s">
        <v>2447</v>
      </c>
      <c r="B1947" s="4" t="s">
        <v>2450</v>
      </c>
      <c r="C1947" s="5" t="str">
        <f>IFERROR(__xludf.DUMMYFUNCTION("GOOGLETRANSLATE(B1947,""en"",""es-ES"")"),"Luego cae de nuevo y se levanta mientras sostiene el palo y agarra la pelota golpeándola muy lejos.")</f>
        <v>Luego cae de nuevo y se levanta mientras sostiene el palo y agarra la pelota golpeándola muy lejos.</v>
      </c>
    </row>
    <row r="1948">
      <c r="A1948" s="4" t="s">
        <v>2451</v>
      </c>
      <c r="B1948" s="4" t="s">
        <v>2452</v>
      </c>
      <c r="C1948" s="5" t="str">
        <f>IFERROR(__xludf.DUMMYFUNCTION("GOOGLETRANSLATE(B1948,""en"",""es-ES"")"),"Un padre está tatuando a su hijo muy pequeño que parece que tiene unos 3 años.")</f>
        <v>Un padre está tatuando a su hijo muy pequeño que parece que tiene unos 3 años.</v>
      </c>
    </row>
    <row r="1949">
      <c r="A1949" s="4" t="s">
        <v>2451</v>
      </c>
      <c r="B1949" s="4" t="s">
        <v>2453</v>
      </c>
      <c r="C1949" s="5" t="str">
        <f>IFERROR(__xludf.DUMMYFUNCTION("GOOGLETRANSLATE(B1949,""en"",""es-ES"")"),"Él está llorando porque duele y su madre mala lo mantiene presionado mientras se tatuan el brazo.")</f>
        <v>Él está llorando porque duele y su madre mala lo mantiene presionado mientras se tatuan el brazo.</v>
      </c>
    </row>
    <row r="1950">
      <c r="A1950" s="4" t="s">
        <v>2451</v>
      </c>
      <c r="B1950" s="4" t="s">
        <v>2454</v>
      </c>
      <c r="C1950" s="5" t="str">
        <f>IFERROR(__xludf.DUMMYFUNCTION("GOOGLETRANSLATE(B1950,""en"",""es-ES"")"),"Siguen adelante con el tatuaje que está en la parte superior del brazo, pero no puedes decir qué se están tatuando.")</f>
        <v>Siguen adelante con el tatuaje que está en la parte superior del brazo, pero no puedes decir qué se están tatuando.</v>
      </c>
    </row>
    <row r="1951">
      <c r="A1951" s="4" t="s">
        <v>2451</v>
      </c>
      <c r="B1951" s="4" t="s">
        <v>2455</v>
      </c>
      <c r="C1951" s="5" t="str">
        <f>IFERROR(__xludf.DUMMYFUNCTION("GOOGLETRANSLATE(B1951,""en"",""es-ES"")"),"El artista toma algo verde y comienza a sacudirlo.")</f>
        <v>El artista toma algo verde y comienza a sacudirlo.</v>
      </c>
    </row>
    <row r="1952">
      <c r="A1952" s="4" t="s">
        <v>2456</v>
      </c>
      <c r="B1952" s="4" t="s">
        <v>2457</v>
      </c>
      <c r="C1952" s="5" t="str">
        <f>IFERROR(__xludf.DUMMYFUNCTION("GOOGLETRANSLATE(B1952,""en"",""es-ES"")"),"Varias personas en una piscina interior saltan de una tabla de buceo hacia el agua de la piscina a continuación que exhiben una mezcla de técnicas de buceo avanzadas y percances de técnicas de buceo.")</f>
        <v>Varias personas en una piscina interior saltan de una tabla de buceo hacia el agua de la piscina a continuación que exhiben una mezcla de técnicas de buceo avanzadas y percances de técnicas de buceo.</v>
      </c>
    </row>
    <row r="1953">
      <c r="A1953" s="4" t="s">
        <v>2456</v>
      </c>
      <c r="B1953" s="4" t="s">
        <v>2458</v>
      </c>
      <c r="C1953" s="5" t="str">
        <f>IFERROR(__xludf.DUMMYFUNCTION("GOOGLETRANSLATE(B1953,""en"",""es-ES"")"),"Varios buzos saltan del tablero de buceo hacia el agua a continuación realizando muchas técnicas, incluidas las flips.")</f>
        <v>Varios buzos saltan del tablero de buceo hacia el agua a continuación realizando muchas técnicas, incluidas las flips.</v>
      </c>
    </row>
    <row r="1954">
      <c r="A1954" s="4" t="s">
        <v>2456</v>
      </c>
      <c r="B1954" s="4" t="s">
        <v>2459</v>
      </c>
      <c r="C1954" s="5" t="str">
        <f>IFERROR(__xludf.DUMMYFUNCTION("GOOGLETRANSLATE(B1954,""en"",""es-ES"")"),"Más, se muestran inmersiones menos exitosas cerca del final del clip antes de que la escena se desvanezca a Black.")</f>
        <v>Más, se muestran inmersiones menos exitosas cerca del final del clip antes de que la escena se desvanezca a Black.</v>
      </c>
    </row>
    <row r="1955">
      <c r="A1955" s="4" t="s">
        <v>2460</v>
      </c>
      <c r="B1955" s="4" t="s">
        <v>2461</v>
      </c>
      <c r="C1955" s="5" t="str">
        <f>IFERROR(__xludf.DUMMYFUNCTION("GOOGLETRANSLATE(B1955,""en"",""es-ES"")"),"Se ve a un hombre arrodillado en una estera y demostrando cómo hacer un ejercicio adecuado pero moviendo los brazos y las piernas.")</f>
        <v>Se ve a un hombre arrodillado en una estera y demostrando cómo hacer un ejercicio adecuado pero moviendo los brazos y las piernas.</v>
      </c>
    </row>
    <row r="1956">
      <c r="A1956" s="4" t="s">
        <v>2460</v>
      </c>
      <c r="B1956" s="4" t="s">
        <v>2462</v>
      </c>
      <c r="C1956" s="5" t="str">
        <f>IFERROR(__xludf.DUMMYFUNCTION("GOOGLETRANSLATE(B1956,""en"",""es-ES"")"),"El hombre se mueve hacia atrás y el cuarto mientras se mueve los brazos y las piernas y habla con la cámara.")</f>
        <v>El hombre se mueve hacia atrás y el cuarto mientras se mueve los brazos y las piernas y habla con la cámara.</v>
      </c>
    </row>
    <row r="1957">
      <c r="A1957" s="4" t="s">
        <v>2463</v>
      </c>
      <c r="B1957" s="4" t="s">
        <v>2464</v>
      </c>
      <c r="C1957" s="5" t="str">
        <f>IFERROR(__xludf.DUMMYFUNCTION("GOOGLETRANSLATE(B1957,""en"",""es-ES"")"),"La gente montando bicicletas alrededor de una pista de tierra.")</f>
        <v>La gente montando bicicletas alrededor de una pista de tierra.</v>
      </c>
    </row>
    <row r="1958">
      <c r="A1958" s="4" t="s">
        <v>2463</v>
      </c>
      <c r="B1958" s="4" t="s">
        <v>2465</v>
      </c>
      <c r="C1958" s="5" t="str">
        <f>IFERROR(__xludf.DUMMYFUNCTION("GOOGLETRANSLATE(B1958,""en"",""es-ES"")"),"Dos hombres chocan entre sí y se caen.")</f>
        <v>Dos hombres chocan entre sí y se caen.</v>
      </c>
    </row>
    <row r="1959">
      <c r="A1959" s="4" t="s">
        <v>2463</v>
      </c>
      <c r="B1959" s="4" t="s">
        <v>2466</v>
      </c>
      <c r="C1959" s="5" t="str">
        <f>IFERROR(__xludf.DUMMYFUNCTION("GOOGLETRANSLATE(B1959,""en"",""es-ES"")"),"Varias personas chocan entre sí y caen en la pista.")</f>
        <v>Varias personas chocan entre sí y caen en la pista.</v>
      </c>
    </row>
    <row r="1960">
      <c r="A1960" s="4" t="s">
        <v>2467</v>
      </c>
      <c r="B1960" s="4" t="s">
        <v>2468</v>
      </c>
      <c r="C1960" s="5" t="str">
        <f>IFERROR(__xludf.DUMMYFUNCTION("GOOGLETRANSLATE(B1960,""en"",""es-ES"")"),"La gente está interactuando en un campo de atletismo.")</f>
        <v>La gente está interactuando en un campo de atletismo.</v>
      </c>
    </row>
    <row r="1961">
      <c r="A1961" s="4" t="s">
        <v>2467</v>
      </c>
      <c r="B1961" s="4" t="s">
        <v>2469</v>
      </c>
      <c r="C1961" s="5" t="str">
        <f>IFERROR(__xludf.DUMMYFUNCTION("GOOGLETRANSLATE(B1961,""en"",""es-ES"")"),"La banda de música está caminando con sus instrumentos por una pista.")</f>
        <v>La banda de música está caminando con sus instrumentos por una pista.</v>
      </c>
    </row>
    <row r="1962">
      <c r="A1962" s="4" t="s">
        <v>2467</v>
      </c>
      <c r="B1962" s="4" t="s">
        <v>2470</v>
      </c>
      <c r="C1962" s="5" t="str">
        <f>IFERROR(__xludf.DUMMYFUNCTION("GOOGLETRANSLATE(B1962,""en"",""es-ES"")"),"Los bateristas están actuando mientras caminan.")</f>
        <v>Los bateristas están actuando mientras caminan.</v>
      </c>
    </row>
    <row r="1963">
      <c r="A1963" s="4" t="s">
        <v>2471</v>
      </c>
      <c r="B1963" s="4" t="s">
        <v>2472</v>
      </c>
      <c r="C1963" s="5" t="str">
        <f>IFERROR(__xludf.DUMMYFUNCTION("GOOGLETRANSLATE(B1963,""en"",""es-ES"")"),"Una mujer está sentada en una cama en una habitación.")</f>
        <v>Una mujer está sentada en una cama en una habitación.</v>
      </c>
    </row>
    <row r="1964">
      <c r="A1964" s="4" t="s">
        <v>2471</v>
      </c>
      <c r="B1964" s="4" t="s">
        <v>2473</v>
      </c>
      <c r="C1964" s="5" t="str">
        <f>IFERROR(__xludf.DUMMYFUNCTION("GOOGLETRANSLATE(B1964,""en"",""es-ES"")"),"Ella pasa sus manos por su cabello mientras habla.")</f>
        <v>Ella pasa sus manos por su cabello mientras habla.</v>
      </c>
    </row>
    <row r="1965">
      <c r="A1965" s="4" t="s">
        <v>2471</v>
      </c>
      <c r="B1965" s="4" t="s">
        <v>2474</v>
      </c>
      <c r="C1965" s="5" t="str">
        <f>IFERROR(__xludf.DUMMYFUNCTION("GOOGLETRANSLATE(B1965,""en"",""es-ES"")"),"Ella abre una caja de cigarrillos y fuma un cigarrillo mientras habla.")</f>
        <v>Ella abre una caja de cigarrillos y fuma un cigarrillo mientras habla.</v>
      </c>
    </row>
    <row r="1966">
      <c r="A1966" s="4" t="s">
        <v>2475</v>
      </c>
      <c r="B1966" s="4" t="s">
        <v>2476</v>
      </c>
      <c r="C1966" s="5" t="str">
        <f>IFERROR(__xludf.DUMMYFUNCTION("GOOGLETRANSLATE(B1966,""en"",""es-ES"")"),"Las mujeres en bikinis están jugando voleibol en la playa.")</f>
        <v>Las mujeres en bikinis están jugando voleibol en la playa.</v>
      </c>
    </row>
    <row r="1967">
      <c r="A1967" s="4" t="s">
        <v>2475</v>
      </c>
      <c r="B1967" s="4" t="s">
        <v>2477</v>
      </c>
      <c r="C1967" s="5" t="str">
        <f>IFERROR(__xludf.DUMMYFUNCTION("GOOGLETRANSLATE(B1967,""en"",""es-ES"")"),"Una de las mujeres cae en la arena.")</f>
        <v>Una de las mujeres cae en la arena.</v>
      </c>
    </row>
    <row r="1968">
      <c r="A1968" s="4" t="s">
        <v>2475</v>
      </c>
      <c r="B1968" s="4" t="s">
        <v>2478</v>
      </c>
      <c r="C1968" s="5" t="str">
        <f>IFERROR(__xludf.DUMMYFUNCTION("GOOGLETRANSLATE(B1968,""en"",""es-ES"")"),"Pusen para una foto en la playa.")</f>
        <v>Pusen para una foto en la playa.</v>
      </c>
    </row>
    <row r="1969">
      <c r="A1969" s="4" t="s">
        <v>2479</v>
      </c>
      <c r="B1969" s="4" t="s">
        <v>2480</v>
      </c>
      <c r="C1969" s="5" t="str">
        <f>IFERROR(__xludf.DUMMYFUNCTION("GOOGLETRANSLATE(B1969,""en"",""es-ES"")"),"Vemos dos pantallas de título de apertura.")</f>
        <v>Vemos dos pantallas de título de apertura.</v>
      </c>
    </row>
    <row r="1970">
      <c r="A1970" s="4" t="s">
        <v>2479</v>
      </c>
      <c r="B1970" s="4" t="s">
        <v>2481</v>
      </c>
      <c r="C1970" s="5" t="str">
        <f>IFERROR(__xludf.DUMMYFUNCTION("GOOGLETRANSLATE(B1970,""en"",""es-ES"")"),"Vemos a un hombre detrás de un bar hablando.")</f>
        <v>Vemos a un hombre detrás de un bar hablando.</v>
      </c>
    </row>
    <row r="1971">
      <c r="A1971" s="4" t="s">
        <v>2479</v>
      </c>
      <c r="B1971" s="4" t="s">
        <v>2482</v>
      </c>
      <c r="C1971" s="5" t="str">
        <f>IFERROR(__xludf.DUMMYFUNCTION("GOOGLETRANSLATE(B1971,""en"",""es-ES"")"),"El hombre agrega hielo a un vaso Martin y un vaso alto.")</f>
        <v>El hombre agrega hielo a un vaso Martin y un vaso alto.</v>
      </c>
    </row>
    <row r="1972">
      <c r="A1972" s="4" t="s">
        <v>2479</v>
      </c>
      <c r="B1972" s="4" t="s">
        <v>2483</v>
      </c>
      <c r="C1972" s="5" t="str">
        <f>IFERROR(__xludf.DUMMYFUNCTION("GOOGLETRANSLATE(B1972,""en"",""es-ES"")"),"El hombre agrega tres disparos al vaso y lo sacude.")</f>
        <v>El hombre agrega tres disparos al vaso y lo sacude.</v>
      </c>
    </row>
    <row r="1973">
      <c r="A1973" s="4" t="s">
        <v>2479</v>
      </c>
      <c r="B1973" s="4" t="s">
        <v>2484</v>
      </c>
      <c r="C1973" s="5" t="str">
        <f>IFERROR(__xludf.DUMMYFUNCTION("GOOGLETRANSLATE(B1973,""en"",""es-ES"")"),"El hombre pone un colador en el vaso y vierte el hielo del vaso martini.")</f>
        <v>El hombre pone un colador en el vaso y vierte el hielo del vaso martini.</v>
      </c>
    </row>
    <row r="1974">
      <c r="A1974" s="4" t="s">
        <v>2479</v>
      </c>
      <c r="B1974" s="4" t="s">
        <v>2485</v>
      </c>
      <c r="C1974" s="5" t="str">
        <f>IFERROR(__xludf.DUMMYFUNCTION("GOOGLETRANSLATE(B1974,""en"",""es-ES"")"),"El hombre vierte la bebida verde lima en la copa de martini y agrega una cereza y una pajita.")</f>
        <v>El hombre vierte la bebida verde lima en la copa de martini y agrega una cereza y una pajita.</v>
      </c>
    </row>
    <row r="1975">
      <c r="A1975" s="4" t="s">
        <v>2479</v>
      </c>
      <c r="B1975" s="4" t="s">
        <v>2486</v>
      </c>
      <c r="C1975" s="5" t="str">
        <f>IFERROR(__xludf.DUMMYFUNCTION("GOOGLETRANSLATE(B1975,""en"",""es-ES"")"),"Vemos la pantalla de cierre.")</f>
        <v>Vemos la pantalla de cierre.</v>
      </c>
    </row>
    <row r="1976">
      <c r="A1976" s="4" t="s">
        <v>2487</v>
      </c>
      <c r="B1976" s="4" t="s">
        <v>2488</v>
      </c>
      <c r="C1976" s="5" t="str">
        <f>IFERROR(__xludf.DUMMYFUNCTION("GOOGLETRANSLATE(B1976,""en"",""es-ES"")"),"Un hombre mayor está configurando su cámara y luego se va a tomar el cortacésped.")</f>
        <v>Un hombre mayor está configurando su cámara y luego se va a tomar el cortacésped.</v>
      </c>
    </row>
    <row r="1977">
      <c r="A1977" s="4" t="s">
        <v>2487</v>
      </c>
      <c r="B1977" s="4" t="s">
        <v>2489</v>
      </c>
      <c r="C1977" s="5" t="str">
        <f>IFERROR(__xludf.DUMMYFUNCTION("GOOGLETRANSLATE(B1977,""en"",""es-ES"")"),"Aparece en el lado izquierdo montando por la acera hasta que alcanza su césped.")</f>
        <v>Aparece en el lado izquierdo montando por la acera hasta que alcanza su césped.</v>
      </c>
    </row>
    <row r="1978">
      <c r="A1978" s="4" t="s">
        <v>2487</v>
      </c>
      <c r="B1978" s="4" t="s">
        <v>2490</v>
      </c>
      <c r="C1978" s="5" t="str">
        <f>IFERROR(__xludf.DUMMYFUNCTION("GOOGLETRANSLATE(B1978,""en"",""es-ES"")"),"Él da un giro y comienza a trabajar a través de la hierba, yendo en círculos hasta que llega al centro del césped.")</f>
        <v>Él da un giro y comienza a trabajar a través de la hierba, yendo en círculos hasta que llega al centro del césped.</v>
      </c>
    </row>
    <row r="1979">
      <c r="A1979" s="4" t="s">
        <v>2487</v>
      </c>
      <c r="B1979" s="4" t="s">
        <v>2491</v>
      </c>
      <c r="C1979" s="5" t="str">
        <f>IFERROR(__xludf.DUMMYFUNCTION("GOOGLETRANSLATE(B1979,""en"",""es-ES"")"),"Luego regresa y llega a un pequeño parche de hierba que perdió la primera vez.")</f>
        <v>Luego regresa y llega a un pequeño parche de hierba que perdió la primera vez.</v>
      </c>
    </row>
    <row r="1980">
      <c r="A1980" s="4" t="s">
        <v>2487</v>
      </c>
      <c r="B1980" s="4" t="s">
        <v>2492</v>
      </c>
      <c r="C1980" s="5" t="str">
        <f>IFERROR(__xludf.DUMMYFUNCTION("GOOGLETRANSLATE(B1980,""en"",""es-ES"")"),"Regresa una vez más asegurándose de no perderse ningún lugar, y se deja de su cortacésped para apagar la cámara.")</f>
        <v>Regresa una vez más asegurándose de no perderse ningún lugar, y se deja de su cortacésped para apagar la cámara.</v>
      </c>
    </row>
    <row r="1981">
      <c r="A1981" s="4" t="s">
        <v>2493</v>
      </c>
      <c r="B1981" s="4" t="s">
        <v>2494</v>
      </c>
      <c r="C1981" s="5" t="str">
        <f>IFERROR(__xludf.DUMMYFUNCTION("GOOGLETRANSLATE(B1981,""en"",""es-ES"")"),"Los copos de nieve se muestran cayendo por la pantalla antes de ver un árbol de Navidad.")</f>
        <v>Los copos de nieve se muestran cayendo por la pantalla antes de ver un árbol de Navidad.</v>
      </c>
    </row>
    <row r="1982">
      <c r="A1982" s="4" t="s">
        <v>2493</v>
      </c>
      <c r="B1982" s="4" t="s">
        <v>2495</v>
      </c>
      <c r="C1982" s="5" t="str">
        <f>IFERROR(__xludf.DUMMYFUNCTION("GOOGLETRANSLATE(B1982,""en"",""es-ES"")"),"Una mujer habla antes de que comience a preparar y decorar el árbol.")</f>
        <v>Una mujer habla antes de que comience a preparar y decorar el árbol.</v>
      </c>
    </row>
    <row r="1983">
      <c r="A1983" s="4" t="s">
        <v>2493</v>
      </c>
      <c r="B1983" s="4" t="s">
        <v>2496</v>
      </c>
      <c r="C1983" s="5" t="str">
        <f>IFERROR(__xludf.DUMMYFUNCTION("GOOGLETRANSLATE(B1983,""en"",""es-ES"")"),"Ella aplica una gran cantidad de adornos y luces, y el árbol se muestra varios estados diferentes de decoración.")</f>
        <v>Ella aplica una gran cantidad de adornos y luces, y el árbol se muestra varios estados diferentes de decoración.</v>
      </c>
    </row>
    <row r="1984">
      <c r="A1984" s="4" t="s">
        <v>2497</v>
      </c>
      <c r="B1984" s="4" t="s">
        <v>2498</v>
      </c>
      <c r="C1984" s="5" t="str">
        <f>IFERROR(__xludf.DUMMYFUNCTION("GOOGLETRANSLATE(B1984,""en"",""es-ES"")"),"Se ve a dos personas paradas alrededor de un gimnasio golpeando un birdie el uno al otro.")</f>
        <v>Se ve a dos personas paradas alrededor de un gimnasio golpeando un birdie el uno al otro.</v>
      </c>
    </row>
    <row r="1985">
      <c r="A1985" s="4" t="s">
        <v>2497</v>
      </c>
      <c r="B1985" s="4" t="s">
        <v>2499</v>
      </c>
      <c r="C1985" s="5" t="str">
        <f>IFERROR(__xludf.DUMMYFUNCTION("GOOGLETRANSLATE(B1985,""en"",""es-ES"")"),"Los hombres golpean el objeto y cuarto mientras que otros miran a un lado.")</f>
        <v>Los hombres golpean el objeto y cuarto mientras que otros miran a un lado.</v>
      </c>
    </row>
    <row r="1986">
      <c r="A1986" s="4" t="s">
        <v>2497</v>
      </c>
      <c r="B1986" s="4" t="s">
        <v>2500</v>
      </c>
      <c r="C1986" s="5" t="str">
        <f>IFERROR(__xludf.DUMMYFUNCTION("GOOGLETRANSLATE(B1986,""en"",""es-ES"")"),"La gente continúa viendo a los dos jugar y uno fuera del costado se quita la camisa.")</f>
        <v>La gente continúa viendo a los dos jugar y uno fuera del costado se quita la camisa.</v>
      </c>
    </row>
    <row r="1987">
      <c r="A1987" s="4" t="s">
        <v>2501</v>
      </c>
      <c r="B1987" s="4" t="s">
        <v>2502</v>
      </c>
      <c r="C1987" s="5" t="str">
        <f>IFERROR(__xludf.DUMMYFUNCTION("GOOGLETRANSLATE(B1987,""en"",""es-ES"")"),"Un grupo de personas está afuera jugando un juego de croquet en el patio.")</f>
        <v>Un grupo de personas está afuera jugando un juego de croquet en el patio.</v>
      </c>
    </row>
    <row r="1988">
      <c r="A1988" s="4" t="s">
        <v>2501</v>
      </c>
      <c r="B1988" s="4" t="s">
        <v>2503</v>
      </c>
      <c r="C1988" s="5" t="str">
        <f>IFERROR(__xludf.DUMMYFUNCTION("GOOGLETRANSLATE(B1988,""en"",""es-ES"")"),"Una de las mujeres en un kirt tiene su mano a la espalda solo viéndolas jugar.")</f>
        <v>Una de las mujeres en un kirt tiene su mano a la espalda solo viéndolas jugar.</v>
      </c>
    </row>
    <row r="1989">
      <c r="A1989" s="4" t="s">
        <v>2501</v>
      </c>
      <c r="B1989" s="4" t="s">
        <v>2504</v>
      </c>
      <c r="C1989" s="5" t="str">
        <f>IFERROR(__xludf.DUMMYFUNCTION("GOOGLETRANSLATE(B1989,""en"",""es-ES"")"),"La otra mujer es la única mujer que juega, se turna y luego vuelve a los hombres.")</f>
        <v>La otra mujer es la única mujer que juega, se turna y luego vuelve a los hombres.</v>
      </c>
    </row>
    <row r="1990">
      <c r="A1990" s="4" t="s">
        <v>2501</v>
      </c>
      <c r="B1990" s="4" t="s">
        <v>2505</v>
      </c>
      <c r="C1990" s="5" t="str">
        <f>IFERROR(__xludf.DUMMYFUNCTION("GOOGLETRANSLATE(B1990,""en"",""es-ES"")"),"El hombre en sandalias golpeó la pelota negra y luego es una vez más el turno de la mujer.")</f>
        <v>El hombre en sandalias golpeó la pelota negra y luego es una vez más el turno de la mujer.</v>
      </c>
    </row>
    <row r="1991">
      <c r="A1991" s="4" t="s">
        <v>2506</v>
      </c>
      <c r="B1991" s="4" t="s">
        <v>2507</v>
      </c>
      <c r="C1991" s="5" t="str">
        <f>IFERROR(__xludf.DUMMYFUNCTION("GOOGLETRANSLATE(B1991,""en"",""es-ES"")"),"Un hombre se acerca y toma un peso.")</f>
        <v>Un hombre se acerca y toma un peso.</v>
      </c>
    </row>
    <row r="1992">
      <c r="A1992" s="4" t="s">
        <v>2506</v>
      </c>
      <c r="B1992" s="4" t="s">
        <v>2508</v>
      </c>
      <c r="C1992" s="5" t="str">
        <f>IFERROR(__xludf.DUMMYFUNCTION("GOOGLETRANSLATE(B1992,""en"",""es-ES"")"),"Lo levanta sobre sus hombros y luego sobre su cabeza.")</f>
        <v>Lo levanta sobre sus hombros y luego sobre su cabeza.</v>
      </c>
    </row>
    <row r="1993">
      <c r="A1993" s="4" t="s">
        <v>2506</v>
      </c>
      <c r="B1993" s="4" t="s">
        <v>2509</v>
      </c>
      <c r="C1993" s="5" t="str">
        <f>IFERROR(__xludf.DUMMYFUNCTION("GOOGLETRANSLATE(B1993,""en"",""es-ES"")"),"Una persona se levanta y pone su puño en el aire.")</f>
        <v>Una persona se levanta y pone su puño en el aire.</v>
      </c>
    </row>
    <row r="1994">
      <c r="A1994" s="4" t="s">
        <v>2506</v>
      </c>
      <c r="B1994" s="4" t="s">
        <v>2510</v>
      </c>
      <c r="C1994" s="5" t="str">
        <f>IFERROR(__xludf.DUMMYFUNCTION("GOOGLETRANSLATE(B1994,""en"",""es-ES"")"),"Otro hombre a su lado toma un peso y lo levanta sobre su cabeza.")</f>
        <v>Otro hombre a su lado toma un peso y lo levanta sobre su cabeza.</v>
      </c>
    </row>
    <row r="1995">
      <c r="A1995" s="4" t="s">
        <v>2506</v>
      </c>
      <c r="B1995" s="4" t="s">
        <v>2511</v>
      </c>
      <c r="C1995" s="5" t="str">
        <f>IFERROR(__xludf.DUMMYFUNCTION("GOOGLETRANSLATE(B1995,""en"",""es-ES"")"),"Los hombres se dan la mano antes de caminar.")</f>
        <v>Los hombres se dan la mano antes de caminar.</v>
      </c>
    </row>
    <row r="1996">
      <c r="A1996" s="4" t="s">
        <v>2512</v>
      </c>
      <c r="B1996" s="4" t="s">
        <v>2513</v>
      </c>
      <c r="C1996" s="5" t="str">
        <f>IFERROR(__xludf.DUMMYFUNCTION("GOOGLETRANSLATE(B1996,""en"",""es-ES"")"),"Se ve a un hombre parado en un pozo de arena y comienza a girar y tirar el objeto.")</f>
        <v>Se ve a un hombre parado en un pozo de arena y comienza a girar y tirar el objeto.</v>
      </c>
    </row>
    <row r="1997">
      <c r="A1997" s="4" t="s">
        <v>2512</v>
      </c>
      <c r="B1997" s="4" t="s">
        <v>2514</v>
      </c>
      <c r="C1997" s="5" t="str">
        <f>IFERROR(__xludf.DUMMYFUNCTION("GOOGLETRANSLATE(B1997,""en"",""es-ES"")"),"El hombre se muestra varias veces girando y arrojando el objeto a lo lejos.")</f>
        <v>El hombre se muestra varias veces girando y arrojando el objeto a lo lejos.</v>
      </c>
    </row>
    <row r="1998">
      <c r="A1998" s="4" t="s">
        <v>2515</v>
      </c>
      <c r="B1998" s="4" t="s">
        <v>2516</v>
      </c>
      <c r="C1998" s="5" t="str">
        <f>IFERROR(__xludf.DUMMYFUNCTION("GOOGLETRANSLATE(B1998,""en"",""es-ES"")"),"Una compañía de bicicletas está mostrando sus bicicletas y cómo solucionarlas.")</f>
        <v>Una compañía de bicicletas está mostrando sus bicicletas y cómo solucionarlas.</v>
      </c>
    </row>
    <row r="1999">
      <c r="A1999" s="4" t="s">
        <v>2515</v>
      </c>
      <c r="B1999" s="4" t="s">
        <v>2517</v>
      </c>
      <c r="C1999" s="5" t="str">
        <f>IFERROR(__xludf.DUMMYFUNCTION("GOOGLETRANSLATE(B1999,""en"",""es-ES"")"),"Hay una introducción del logotipo de la compañía de bicicletas.")</f>
        <v>Hay una introducción del logotipo de la compañía de bicicletas.</v>
      </c>
    </row>
    <row r="2000">
      <c r="A2000" s="4" t="s">
        <v>2515</v>
      </c>
      <c r="B2000" s="4" t="s">
        <v>2518</v>
      </c>
      <c r="C2000" s="5" t="str">
        <f>IFERROR(__xludf.DUMMYFUNCTION("GOOGLETRANSLATE(B2000,""en"",""es-ES"")"),"Entonces un hombre da un poco a hablar sobre las bicicletas.")</f>
        <v>Entonces un hombre da un poco a hablar sobre las bicicletas.</v>
      </c>
    </row>
    <row r="2001">
      <c r="A2001" s="4" t="s">
        <v>2515</v>
      </c>
      <c r="B2001" s="4" t="s">
        <v>2519</v>
      </c>
      <c r="C2001" s="5" t="str">
        <f>IFERROR(__xludf.DUMMYFUNCTION("GOOGLETRANSLATE(B2001,""en"",""es-ES"")"),"Una persona con guantes muestra algunas herramientas y pegar.")</f>
        <v>Una persona con guantes muestra algunas herramientas y pegar.</v>
      </c>
    </row>
    <row r="2002">
      <c r="A2002" s="4" t="s">
        <v>2515</v>
      </c>
      <c r="B2002" s="4" t="s">
        <v>2520</v>
      </c>
      <c r="C2002" s="5" t="str">
        <f>IFERROR(__xludf.DUMMYFUNCTION("GOOGLETRANSLATE(B2002,""en"",""es-ES"")"),"Luego usa las herramientas y pegue para arreglar el mango de la bicicleta.")</f>
        <v>Luego usa las herramientas y pegue para arreglar el mango de la bicicleta.</v>
      </c>
    </row>
    <row r="2003">
      <c r="A2003" s="4" t="s">
        <v>2515</v>
      </c>
      <c r="B2003" s="4" t="s">
        <v>2521</v>
      </c>
      <c r="C2003" s="5" t="str">
        <f>IFERROR(__xludf.DUMMYFUNCTION("GOOGLETRANSLATE(B2003,""en"",""es-ES"")"),"Luego, la persona muestra el producto terminado de un mango totalmente ajustable.")</f>
        <v>Luego, la persona muestra el producto terminado de un mango totalmente ajustable.</v>
      </c>
    </row>
    <row r="2004">
      <c r="A2004" s="4" t="s">
        <v>2515</v>
      </c>
      <c r="B2004" s="4" t="s">
        <v>2522</v>
      </c>
      <c r="C2004" s="5" t="str">
        <f>IFERROR(__xludf.DUMMYFUNCTION("GOOGLETRANSLATE(B2004,""en"",""es-ES"")"),"La pantalla final muestra nuevamente el logotipo de la compañía de bicicletas.")</f>
        <v>La pantalla final muestra nuevamente el logotipo de la compañía de bicicletas.</v>
      </c>
    </row>
    <row r="2005">
      <c r="A2005" s="4" t="s">
        <v>2523</v>
      </c>
      <c r="B2005" s="4" t="s">
        <v>2524</v>
      </c>
      <c r="C2005" s="5" t="str">
        <f>IFERROR(__xludf.DUMMYFUNCTION("GOOGLETRANSLATE(B2005,""en"",""es-ES"")"),"Una persona con pantalones azules entra en apilar a un chico con un traje rosa.")</f>
        <v>Una persona con pantalones azules entra en apilar a un chico con un traje rosa.</v>
      </c>
    </row>
    <row r="2006">
      <c r="A2006" s="4" t="s">
        <v>2523</v>
      </c>
      <c r="B2006" s="4" t="s">
        <v>2525</v>
      </c>
      <c r="C2006" s="5" t="str">
        <f>IFERROR(__xludf.DUMMYFUNCTION("GOOGLETRANSLATE(B2006,""en"",""es-ES"")"),"El chico del traje rosa se venga.")</f>
        <v>El chico del traje rosa se venga.</v>
      </c>
    </row>
    <row r="2007">
      <c r="A2007" s="4" t="s">
        <v>2526</v>
      </c>
      <c r="B2007" s="4" t="s">
        <v>2527</v>
      </c>
      <c r="C2007" s="5" t="str">
        <f>IFERROR(__xludf.DUMMYFUNCTION("GOOGLETRANSLATE(B2007,""en"",""es-ES"")"),"Se ve a un gran grupo de personas montar a lo largo del agua en botes.")</f>
        <v>Se ve a un gran grupo de personas montar a lo largo del agua en botes.</v>
      </c>
    </row>
    <row r="2008">
      <c r="A2008" s="4" t="s">
        <v>2526</v>
      </c>
      <c r="B2008" s="4" t="s">
        <v>2528</v>
      </c>
      <c r="C2008" s="5" t="str">
        <f>IFERROR(__xludf.DUMMYFUNCTION("GOOGLETRANSLATE(B2008,""en"",""es-ES"")"),"Una persona se estrella contra otra y muestra a una persona hablando con la cámara.")</f>
        <v>Una persona se estrella contra otra y muestra a una persona hablando con la cámara.</v>
      </c>
    </row>
    <row r="2009">
      <c r="A2009" s="4" t="s">
        <v>2526</v>
      </c>
      <c r="B2009" s="4" t="s">
        <v>2529</v>
      </c>
      <c r="C2009" s="5" t="str">
        <f>IFERROR(__xludf.DUMMYFUNCTION("GOOGLETRANSLATE(B2009,""en"",""es-ES"")"),"Se muestran más clips de los barcos juntos y se muestran logotipos.")</f>
        <v>Se muestran más clips de los barcos juntos y se muestran logotipos.</v>
      </c>
    </row>
    <row r="2010">
      <c r="A2010" s="4" t="s">
        <v>2530</v>
      </c>
      <c r="B2010" s="4" t="s">
        <v>2531</v>
      </c>
      <c r="C2010" s="5" t="str">
        <f>IFERROR(__xludf.DUMMYFUNCTION("GOOGLETRANSLATE(B2010,""en"",""es-ES"")"),"Se ve a un gran grupo de personas de pie alrededor de una pista que conduce a varias personas corriendo por el camino.")</f>
        <v>Se ve a un gran grupo de personas de pie alrededor de una pista que conduce a varias personas corriendo por el camino.</v>
      </c>
    </row>
    <row r="2011">
      <c r="A2011" s="4" t="s">
        <v>2530</v>
      </c>
      <c r="B2011" s="4" t="s">
        <v>2532</v>
      </c>
      <c r="C2011" s="5" t="str">
        <f>IFERROR(__xludf.DUMMYFUNCTION("GOOGLETRANSLATE(B2011,""en"",""es-ES"")"),"Se ve a una mujer hablando con la cámara mientras se ve a varias personas corriendo y bebiendo agua.")</f>
        <v>Se ve a una mujer hablando con la cámara mientras se ve a varias personas corriendo y bebiendo agua.</v>
      </c>
    </row>
    <row r="2012">
      <c r="A2012" s="4" t="s">
        <v>2530</v>
      </c>
      <c r="B2012" s="4" t="s">
        <v>2533</v>
      </c>
      <c r="C2012" s="5" t="str">
        <f>IFERROR(__xludf.DUMMYFUNCTION("GOOGLETRANSLATE(B2012,""en"",""es-ES"")"),"Más personas que hablan con la cámara mientras los muestran ejecutándose en diferentes lugares.")</f>
        <v>Más personas que hablan con la cámara mientras los muestran ejecutándose en diferentes lugares.</v>
      </c>
    </row>
    <row r="2013">
      <c r="A2013" s="4" t="s">
        <v>2534</v>
      </c>
      <c r="B2013" s="4" t="s">
        <v>2535</v>
      </c>
      <c r="C2013" s="5" t="str">
        <f>IFERROR(__xludf.DUMMYFUNCTION("GOOGLETRANSLATE(B2013,""en"",""es-ES"")"),"Hay cinco damas tocando ShuffleBoard en una cancha de shuffleboard cubierto.")</f>
        <v>Hay cinco damas tocando ShuffleBoard en una cancha de shuffleboard cubierto.</v>
      </c>
    </row>
    <row r="2014">
      <c r="A2014" s="4" t="s">
        <v>2534</v>
      </c>
      <c r="B2014" s="4" t="s">
        <v>2536</v>
      </c>
      <c r="C2014" s="5" t="str">
        <f>IFERROR(__xludf.DUMMYFUNCTION("GOOGLETRANSLATE(B2014,""en"",""es-ES"")"),"Hay tres mujeres en verde y dos mujeres vestidas con camisas de color crema que juegan entre sí.")</f>
        <v>Hay tres mujeres en verde y dos mujeres vestidas con camisas de color crema que juegan entre sí.</v>
      </c>
    </row>
    <row r="2015">
      <c r="A2015" s="4" t="s">
        <v>2534</v>
      </c>
      <c r="B2015" s="4" t="s">
        <v>2537</v>
      </c>
      <c r="C2015" s="5" t="str">
        <f>IFERROR(__xludf.DUMMYFUNCTION("GOOGLETRANSLATE(B2015,""en"",""es-ES"")"),"Una señora del equipo verde comienza a apuntar el palo para golpear el disco, mientras que otro miembro del equipo la ayuda a reorganizar los discos.")</f>
        <v>Una señora del equipo verde comienza a apuntar el palo para golpear el disco, mientras que otro miembro del equipo la ayuda a reorganizar los discos.</v>
      </c>
    </row>
    <row r="2016">
      <c r="A2016" s="4" t="s">
        <v>2534</v>
      </c>
      <c r="B2016" s="4" t="s">
        <v>2538</v>
      </c>
      <c r="C2016" s="5" t="str">
        <f>IFERROR(__xludf.DUMMYFUNCTION("GOOGLETRANSLATE(B2016,""en"",""es-ES"")"),"Luego dispara el disco con el palo y retrocede para darle una oportunidad a su oponente.")</f>
        <v>Luego dispara el disco con el palo y retrocede para darle una oportunidad a su oponente.</v>
      </c>
    </row>
    <row r="2017">
      <c r="A2017" s="4" t="s">
        <v>2534</v>
      </c>
      <c r="B2017" s="4" t="s">
        <v>2539</v>
      </c>
      <c r="C2017" s="5" t="str">
        <f>IFERROR(__xludf.DUMMYFUNCTION("GOOGLETRANSLATE(B2017,""en"",""es-ES"")"),"Un jugador del equipo de crema luego golpea el disco con su palo, pero no tiene mucho éxito.")</f>
        <v>Un jugador del equipo de crema luego golpea el disco con su palo, pero no tiene mucho éxito.</v>
      </c>
    </row>
    <row r="2018">
      <c r="A2018" s="4" t="s">
        <v>2534</v>
      </c>
      <c r="B2018" s="4" t="s">
        <v>2540</v>
      </c>
      <c r="C2018" s="5" t="str">
        <f>IFERROR(__xludf.DUMMYFUNCTION("GOOGLETRANSLATE(B2018,""en"",""es-ES"")"),"Un hombre interviene y reemplaza el disco en el shuffleboard.")</f>
        <v>Un hombre interviene y reemplaza el disco en el shuffleboard.</v>
      </c>
    </row>
    <row r="2019">
      <c r="A2019" s="4" t="s">
        <v>2534</v>
      </c>
      <c r="B2019" s="4" t="s">
        <v>2541</v>
      </c>
      <c r="C2019" s="5" t="str">
        <f>IFERROR(__xludf.DUMMYFUNCTION("GOOGLETRANSLATE(B2019,""en"",""es-ES"")"),"Entonces otro jugador del equipo verde se adelanta para jugar.")</f>
        <v>Entonces otro jugador del equipo verde se adelanta para jugar.</v>
      </c>
    </row>
    <row r="2020">
      <c r="A2020" s="4" t="s">
        <v>2542</v>
      </c>
      <c r="B2020" s="4" t="s">
        <v>2543</v>
      </c>
      <c r="C2020" s="5" t="str">
        <f>IFERROR(__xludf.DUMMYFUNCTION("GOOGLETRANSLATE(B2020,""en"",""es-ES"")"),"Un hombre lleva un delantal y de pie en su cocina.")</f>
        <v>Un hombre lleva un delantal y de pie en su cocina.</v>
      </c>
    </row>
    <row r="2021">
      <c r="A2021" s="4" t="s">
        <v>2542</v>
      </c>
      <c r="B2021" s="4" t="s">
        <v>2544</v>
      </c>
      <c r="C2021" s="5" t="str">
        <f>IFERROR(__xludf.DUMMYFUNCTION("GOOGLETRANSLATE(B2021,""en"",""es-ES"")"),"Se muestran varios alimentos en tazones.")</f>
        <v>Se muestran varios alimentos en tazones.</v>
      </c>
    </row>
    <row r="2022">
      <c r="A2022" s="4" t="s">
        <v>2542</v>
      </c>
      <c r="B2022" s="4" t="s">
        <v>2545</v>
      </c>
      <c r="C2022" s="5" t="str">
        <f>IFERROR(__xludf.DUMMYFUNCTION("GOOGLETRANSLATE(B2022,""en"",""es-ES"")"),"Un tazón blanco se llena de azúcar, huevos y mantequilla de maní, luego se mezcla.")</f>
        <v>Un tazón blanco se llena de azúcar, huevos y mantequilla de maní, luego se mezcla.</v>
      </c>
    </row>
    <row r="2023">
      <c r="A2023" s="4" t="s">
        <v>2542</v>
      </c>
      <c r="B2023" s="4" t="s">
        <v>2546</v>
      </c>
      <c r="C2023" s="5" t="str">
        <f>IFERROR(__xludf.DUMMYFUNCTION("GOOGLETRANSLATE(B2023,""en"",""es-ES"")"),"Presiona bolas de masa de galletas sobre una sartén y las hornea.")</f>
        <v>Presiona bolas de masa de galletas sobre una sartén y las hornea.</v>
      </c>
    </row>
    <row r="2024">
      <c r="A2024" s="4" t="s">
        <v>2542</v>
      </c>
      <c r="B2024" s="4" t="s">
        <v>2547</v>
      </c>
      <c r="C2024" s="5" t="str">
        <f>IFERROR(__xludf.DUMMYFUNCTION("GOOGLETRANSLATE(B2024,""en"",""es-ES"")"),"Come una de las galletas para la cámara mientras habla de ellas.")</f>
        <v>Come una de las galletas para la cámara mientras habla de ellas.</v>
      </c>
    </row>
    <row r="2025">
      <c r="A2025" s="4" t="s">
        <v>2548</v>
      </c>
      <c r="B2025" s="4" t="s">
        <v>2549</v>
      </c>
      <c r="C2025" s="5" t="str">
        <f>IFERROR(__xludf.DUMMYFUNCTION("GOOGLETRANSLATE(B2025,""en"",""es-ES"")"),"Una mujer con cabello rubio corto está sentada en una silla hablando.")</f>
        <v>Una mujer con cabello rubio corto está sentada en una silla hablando.</v>
      </c>
    </row>
    <row r="2026">
      <c r="A2026" s="4" t="s">
        <v>2548</v>
      </c>
      <c r="B2026" s="4" t="s">
        <v>2550</v>
      </c>
      <c r="C2026" s="5" t="str">
        <f>IFERROR(__xludf.DUMMYFUNCTION("GOOGLETRANSLATE(B2026,""en"",""es-ES"")"),"Ella levanta un rizador de cabello y lo pone en su cabello.")</f>
        <v>Ella levanta un rizador de cabello y lo pone en su cabello.</v>
      </c>
    </row>
    <row r="2027">
      <c r="A2027" s="4" t="s">
        <v>2548</v>
      </c>
      <c r="B2027" s="4" t="s">
        <v>2551</v>
      </c>
      <c r="C2027" s="5" t="str">
        <f>IFERROR(__xludf.DUMMYFUNCTION("GOOGLETRANSLATE(B2027,""en"",""es-ES"")"),"Ella lo saca y continúa hablando.")</f>
        <v>Ella lo saca y continúa hablando.</v>
      </c>
    </row>
    <row r="2028">
      <c r="A2028" s="4" t="s">
        <v>2552</v>
      </c>
      <c r="B2028" s="4" t="s">
        <v>2553</v>
      </c>
      <c r="C2028" s="5" t="str">
        <f>IFERROR(__xludf.DUMMYFUNCTION("GOOGLETRANSLATE(B2028,""en"",""es-ES"")"),"Se ve a un hombre de un hombre sosteniendo una taza de café y lo lleva a tomar un sorbo.")</f>
        <v>Se ve a un hombre de un hombre sosteniendo una taza de café y lo lleva a tomar un sorbo.</v>
      </c>
    </row>
    <row r="2029">
      <c r="A2029" s="4" t="s">
        <v>2552</v>
      </c>
      <c r="B2029" s="4" t="s">
        <v>2554</v>
      </c>
      <c r="C2029" s="5" t="str">
        <f>IFERROR(__xludf.DUMMYFUNCTION("GOOGLETRANSLATE(B2029,""en"",""es-ES"")"),"Asiente con la cabeza con la aprobación del café y se muestra nuevamente bebiendo más café junto a una persona.")</f>
        <v>Asiente con la cabeza con la aprobación del café y se muestra nuevamente bebiendo más café junto a una persona.</v>
      </c>
    </row>
    <row r="2030">
      <c r="A2030" s="4" t="s">
        <v>2555</v>
      </c>
      <c r="B2030" s="4" t="s">
        <v>2556</v>
      </c>
      <c r="C2030" s="5" t="str">
        <f>IFERROR(__xludf.DUMMYFUNCTION("GOOGLETRANSLATE(B2030,""en"",""es-ES"")"),"Dos hombres navegan sobre el agua azul, con su bote blanco con banderas blancas, luego evitaron las boyas en el agua.")</f>
        <v>Dos hombres navegan sobre el agua azul, con su bote blanco con banderas blancas, luego evitaron las boyas en el agua.</v>
      </c>
    </row>
    <row r="2031">
      <c r="A2031" s="4" t="s">
        <v>2555</v>
      </c>
      <c r="B2031" s="4" t="s">
        <v>2557</v>
      </c>
      <c r="C2031" s="5" t="str">
        <f>IFERROR(__xludf.DUMMYFUNCTION("GOOGLETRANSLATE(B2031,""en"",""es-ES"")"),"Un plan escrito en un papel blanco con bolígrafo negro, y luego el plan se pone en acción, cuando el bote blanco navega en el agua y se da la vuelta.")</f>
        <v>Un plan escrito en un papel blanco con bolígrafo negro, y luego el plan se pone en acción, cuando el bote blanco navega en el agua y se da la vuelta.</v>
      </c>
    </row>
    <row r="2032">
      <c r="A2032" s="4" t="s">
        <v>2558</v>
      </c>
      <c r="B2032" s="4" t="s">
        <v>2559</v>
      </c>
      <c r="C2032" s="5" t="str">
        <f>IFERROR(__xludf.DUMMYFUNCTION("GOOGLETRANSLATE(B2032,""en"",""es-ES"")"),"Un hombre y un niño caminan alrededor de un fuego de madera que sostiene sábanas y con sombreros en conserva, mientras una multitud se encuentra en círculo.")</f>
        <v>Un hombre y un niño caminan alrededor de un fuego de madera que sostiene sábanas y con sombreros en conserva, mientras una multitud se encuentra en círculo.</v>
      </c>
    </row>
    <row r="2033">
      <c r="A2033" s="4" t="s">
        <v>2558</v>
      </c>
      <c r="B2033" s="4" t="s">
        <v>2560</v>
      </c>
      <c r="C2033" s="5" t="str">
        <f>IFERROR(__xludf.DUMMYFUNCTION("GOOGLETRANSLATE(B2033,""en"",""es-ES"")"),"Entonces, el hombre se pone de pie y habla con la gente.")</f>
        <v>Entonces, el hombre se pone de pie y habla con la gente.</v>
      </c>
    </row>
    <row r="2034">
      <c r="A2034" s="4" t="s">
        <v>2558</v>
      </c>
      <c r="B2034" s="4" t="s">
        <v>2561</v>
      </c>
      <c r="C2034" s="5" t="str">
        <f>IFERROR(__xludf.DUMMYFUNCTION("GOOGLETRANSLATE(B2034,""en"",""es-ES"")"),"De repente, el fuego y el humo salen del fuego de madera con destellos.")</f>
        <v>De repente, el fuego y el humo salen del fuego de madera con destellos.</v>
      </c>
    </row>
    <row r="2035">
      <c r="A2035" s="4" t="s">
        <v>2562</v>
      </c>
      <c r="B2035" s="4" t="s">
        <v>2563</v>
      </c>
      <c r="C2035" s="5" t="str">
        <f>IFERROR(__xludf.DUMMYFUNCTION("GOOGLETRANSLATE(B2035,""en"",""es-ES"")"),"Varias personas se muestran en una fiesta jugando juegos diferentes y divirtiéndose.")</f>
        <v>Varias personas se muestran en una fiesta jugando juegos diferentes y divirtiéndose.</v>
      </c>
    </row>
    <row r="2036">
      <c r="A2036" s="4" t="s">
        <v>2562</v>
      </c>
      <c r="B2036" s="4" t="s">
        <v>2564</v>
      </c>
      <c r="C2036" s="5" t="str">
        <f>IFERROR(__xludf.DUMMYFUNCTION("GOOGLETRANSLATE(B2036,""en"",""es-ES"")"),"Un hombre comienza a hablar con una de las mujeres mientras juega uno de los juegos.")</f>
        <v>Un hombre comienza a hablar con una de las mujeres mientras juega uno de los juegos.</v>
      </c>
    </row>
    <row r="2037">
      <c r="A2037" s="4" t="s">
        <v>2562</v>
      </c>
      <c r="B2037" s="4" t="s">
        <v>2565</v>
      </c>
      <c r="C2037" s="5" t="str">
        <f>IFERROR(__xludf.DUMMYFUNCTION("GOOGLETRANSLATE(B2037,""en"",""es-ES"")"),"El juego comienza a calentarse mientras varias de las mujeres se ríen y bromean.")</f>
        <v>El juego comienza a calentarse mientras varias de las mujeres se ríen y bromean.</v>
      </c>
    </row>
    <row r="2038">
      <c r="A2038" s="4" t="s">
        <v>2562</v>
      </c>
      <c r="B2038" s="4" t="s">
        <v>2566</v>
      </c>
      <c r="C2038" s="5" t="str">
        <f>IFERROR(__xludf.DUMMYFUNCTION("GOOGLETRANSLATE(B2038,""en"",""es-ES"")"),"Una de las mujeres toma una foto de las mujeres risas jugando el juego.")</f>
        <v>Una de las mujeres toma una foto de las mujeres risas jugando el juego.</v>
      </c>
    </row>
    <row r="2039">
      <c r="A2039" s="4" t="s">
        <v>2562</v>
      </c>
      <c r="B2039" s="4" t="s">
        <v>2567</v>
      </c>
      <c r="C2039" s="5" t="str">
        <f>IFERROR(__xludf.DUMMYFUNCTION("GOOGLETRANSLATE(B2039,""en"",""es-ES"")"),"Un hombre ayuda mientras las mujeres intentan entender el juego.")</f>
        <v>Un hombre ayuda mientras las mujeres intentan entender el juego.</v>
      </c>
    </row>
    <row r="2040">
      <c r="A2040" s="4" t="s">
        <v>2568</v>
      </c>
      <c r="B2040" s="4" t="s">
        <v>1487</v>
      </c>
      <c r="C2040" s="5" t="str">
        <f>IFERROR(__xludf.DUMMYFUNCTION("GOOGLETRANSLATE(B2040,""en"",""es-ES"")"),"Vemos una pantalla de título de apertura.")</f>
        <v>Vemos una pantalla de título de apertura.</v>
      </c>
    </row>
    <row r="2041">
      <c r="A2041" s="4" t="s">
        <v>2568</v>
      </c>
      <c r="B2041" s="4" t="s">
        <v>2569</v>
      </c>
      <c r="C2041" s="5" t="str">
        <f>IFERROR(__xludf.DUMMYFUNCTION("GOOGLETRANSLATE(B2041,""en"",""es-ES"")"),"Vemos a un hombre en una barbería y vemos imágenes de la tienda.")</f>
        <v>Vemos a un hombre en una barbería y vemos imágenes de la tienda.</v>
      </c>
    </row>
    <row r="2042">
      <c r="A2042" s="4" t="s">
        <v>2568</v>
      </c>
      <c r="B2042" s="4" t="s">
        <v>2570</v>
      </c>
      <c r="C2042" s="5" t="str">
        <f>IFERROR(__xludf.DUMMYFUNCTION("GOOGLETRANSLATE(B2042,""en"",""es-ES"")"),"El barbero habla cortado con escenas de una barbería.")</f>
        <v>El barbero habla cortado con escenas de una barbería.</v>
      </c>
    </row>
    <row r="2043">
      <c r="A2043" s="4" t="s">
        <v>2568</v>
      </c>
      <c r="B2043" s="4" t="s">
        <v>2571</v>
      </c>
      <c r="C2043" s="5" t="str">
        <f>IFERROR(__xludf.DUMMYFUNCTION("GOOGLETRANSLATE(B2043,""en"",""es-ES"")"),"Vemos una bandera de Union Jack en el brazo de una silla.")</f>
        <v>Vemos una bandera de Union Jack en el brazo de una silla.</v>
      </c>
    </row>
    <row r="2044">
      <c r="A2044" s="4" t="s">
        <v>2568</v>
      </c>
      <c r="B2044" s="4" t="s">
        <v>2572</v>
      </c>
      <c r="C2044" s="5" t="str">
        <f>IFERROR(__xludf.DUMMYFUNCTION("GOOGLETRANSLATE(B2044,""en"",""es-ES"")"),"Un perro grande camina por la habitación.")</f>
        <v>Un perro grande camina por la habitación.</v>
      </c>
    </row>
    <row r="2045">
      <c r="A2045" s="4" t="s">
        <v>2568</v>
      </c>
      <c r="B2045" s="4" t="s">
        <v>2573</v>
      </c>
      <c r="C2045" s="5" t="str">
        <f>IFERROR(__xludf.DUMMYFUNCTION("GOOGLETRANSLATE(B2045,""en"",""es-ES"")"),"Vemos al hombre afeitarse a un hombre con una navaja de afeitar.")</f>
        <v>Vemos al hombre afeitarse a un hombre con una navaja de afeitar.</v>
      </c>
    </row>
    <row r="2046">
      <c r="A2046" s="4" t="s">
        <v>2568</v>
      </c>
      <c r="B2046" s="4" t="s">
        <v>777</v>
      </c>
      <c r="C2046" s="5" t="str">
        <f>IFERROR(__xludf.DUMMYFUNCTION("GOOGLETRANSLATE(B2046,""en"",""es-ES"")"),"Vemos la pantalla de título final.")</f>
        <v>Vemos la pantalla de título final.</v>
      </c>
    </row>
    <row r="2047">
      <c r="A2047" s="4" t="s">
        <v>2574</v>
      </c>
      <c r="B2047" s="4" t="s">
        <v>2575</v>
      </c>
      <c r="C2047" s="5" t="str">
        <f>IFERROR(__xludf.DUMMYFUNCTION("GOOGLETRANSLATE(B2047,""en"",""es-ES"")"),"Un hombre está sentado frente a un lienzo.")</f>
        <v>Un hombre está sentado frente a un lienzo.</v>
      </c>
    </row>
    <row r="2048">
      <c r="A2048" s="4" t="s">
        <v>2574</v>
      </c>
      <c r="B2048" s="4" t="s">
        <v>2576</v>
      </c>
      <c r="C2048" s="5" t="str">
        <f>IFERROR(__xludf.DUMMYFUNCTION("GOOGLETRANSLATE(B2048,""en"",""es-ES"")"),"Está usando una paleta para pintar una escena ombre.")</f>
        <v>Está usando una paleta para pintar una escena ombre.</v>
      </c>
    </row>
    <row r="2049">
      <c r="A2049" s="4" t="s">
        <v>2574</v>
      </c>
      <c r="B2049" s="4" t="s">
        <v>2577</v>
      </c>
      <c r="C2049" s="5" t="str">
        <f>IFERROR(__xludf.DUMMYFUNCTION("GOOGLETRANSLATE(B2049,""en"",""es-ES"")"),"Luego cubre la ombre a una silueta de un árbol en una colina.")</f>
        <v>Luego cubre la ombre a una silueta de un árbol en una colina.</v>
      </c>
    </row>
    <row r="2050">
      <c r="A2050" s="4" t="s">
        <v>2578</v>
      </c>
      <c r="B2050" s="4" t="s">
        <v>2579</v>
      </c>
      <c r="C2050" s="5" t="str">
        <f>IFERROR(__xludf.DUMMYFUNCTION("GOOGLETRANSLATE(B2050,""en"",""es-ES"")"),"Una pantalla negra es visible y comienzan a aparecer palabras blancas.")</f>
        <v>Una pantalla negra es visible y comienzan a aparecer palabras blancas.</v>
      </c>
    </row>
    <row r="2051">
      <c r="A2051" s="4" t="s">
        <v>2578</v>
      </c>
      <c r="B2051" s="4" t="s">
        <v>2580</v>
      </c>
      <c r="C2051" s="5" t="str">
        <f>IFERROR(__xludf.DUMMYFUNCTION("GOOGLETRANSLATE(B2051,""en"",""es-ES"")"),"A continuación, hay una línea de diez niños parados juntos detrás de una cuerda afuera en un gran campo cubierto de hierba.")</f>
        <v>A continuación, hay una línea de diez niños parados juntos detrás de una cuerda afuera en un gran campo cubierto de hierba.</v>
      </c>
    </row>
    <row r="2052">
      <c r="A2052" s="4" t="s">
        <v>2578</v>
      </c>
      <c r="B2052" s="4" t="s">
        <v>2581</v>
      </c>
      <c r="C2052" s="5" t="str">
        <f>IFERROR(__xludf.DUMMYFUNCTION("GOOGLETRANSLATE(B2052,""en"",""es-ES"")"),"Los niños forman un círculo y comienzan a inclinarse hacia la izquierda en una posición de salón para hacer ejercicio.")</f>
        <v>Los niños forman un círculo y comienzan a inclinarse hacia la izquierda en una posición de salón para hacer ejercicio.</v>
      </c>
    </row>
    <row r="2053">
      <c r="A2053" s="4" t="s">
        <v>2578</v>
      </c>
      <c r="B2053" s="4" t="s">
        <v>2582</v>
      </c>
      <c r="C2053" s="5" t="str">
        <f>IFERROR(__xludf.DUMMYFUNCTION("GOOGLETRANSLATE(B2053,""en"",""es-ES"")"),"Cuando hayan terminado, comienzan a tirar de la guerra y el hombre del lado izquierdo con un traje negro gana.")</f>
        <v>Cuando hayan terminado, comienzan a tirar de la guerra y el hombre del lado izquierdo con un traje negro gana.</v>
      </c>
    </row>
    <row r="2054">
      <c r="A2054" s="4" t="s">
        <v>2578</v>
      </c>
      <c r="B2054" s="4" t="s">
        <v>2583</v>
      </c>
      <c r="C2054" s="5" t="str">
        <f>IFERROR(__xludf.DUMMYFUNCTION("GOOGLETRANSLATE(B2054,""en"",""es-ES"")"),"Se muestra otro grupo de niños y comienzan a agacharse en un esfuerzo por ganar el juego.")</f>
        <v>Se muestra otro grupo de niños y comienzan a agacharse en un esfuerzo por ganar el juego.</v>
      </c>
    </row>
    <row r="2055">
      <c r="A2055" s="4" t="s">
        <v>2584</v>
      </c>
      <c r="B2055" s="4" t="s">
        <v>2585</v>
      </c>
      <c r="C2055" s="5" t="str">
        <f>IFERROR(__xludf.DUMMYFUNCTION("GOOGLETRANSLATE(B2055,""en"",""es-ES"")"),"Vemos a un instructor liderando una clase de aeróbicos.")</f>
        <v>Vemos a un instructor liderando una clase de aeróbicos.</v>
      </c>
    </row>
    <row r="2056">
      <c r="A2056" s="4" t="s">
        <v>2584</v>
      </c>
      <c r="B2056" s="4" t="s">
        <v>2586</v>
      </c>
      <c r="C2056" s="5" t="str">
        <f>IFERROR(__xludf.DUMMYFUNCTION("GOOGLETRANSLATE(B2056,""en"",""es-ES"")"),"La gente hace un baile de cintura para estallar.")</f>
        <v>La gente hace un baile de cintura para estallar.</v>
      </c>
    </row>
    <row r="2057">
      <c r="A2057" s="4" t="s">
        <v>2584</v>
      </c>
      <c r="B2057" s="4" t="s">
        <v>2587</v>
      </c>
      <c r="C2057" s="5" t="str">
        <f>IFERROR(__xludf.DUMMYFUNCTION("GOOGLETRANSLATE(B2057,""en"",""es-ES"")"),"La gente va y viene.")</f>
        <v>La gente va y viene.</v>
      </c>
    </row>
    <row r="2058">
      <c r="A2058" s="4" t="s">
        <v>2584</v>
      </c>
      <c r="B2058" s="4" t="s">
        <v>2588</v>
      </c>
      <c r="C2058" s="5" t="str">
        <f>IFERROR(__xludf.DUMMYFUNCTION("GOOGLETRANSLATE(B2058,""en"",""es-ES"")"),"Un hombre pasa por la puerta.")</f>
        <v>Un hombre pasa por la puerta.</v>
      </c>
    </row>
    <row r="2059">
      <c r="A2059" s="4" t="s">
        <v>2584</v>
      </c>
      <c r="B2059" s="4" t="s">
        <v>2589</v>
      </c>
      <c r="C2059" s="5" t="str">
        <f>IFERROR(__xludf.DUMMYFUNCTION("GOOGLETRANSLATE(B2059,""en"",""es-ES"")"),"Un hombre de azul entra en la habitación.")</f>
        <v>Un hombre de azul entra en la habitación.</v>
      </c>
    </row>
    <row r="2060">
      <c r="A2060" s="4" t="s">
        <v>2584</v>
      </c>
      <c r="B2060" s="4" t="s">
        <v>2590</v>
      </c>
      <c r="C2060" s="5" t="str">
        <f>IFERROR(__xludf.DUMMYFUNCTION("GOOGLETRANSLATE(B2060,""en"",""es-ES"")"),"La gente levanta las piernas en alto.")</f>
        <v>La gente levanta las piernas en alto.</v>
      </c>
    </row>
    <row r="2061">
      <c r="A2061" s="4" t="s">
        <v>2584</v>
      </c>
      <c r="B2061" s="4" t="s">
        <v>2591</v>
      </c>
      <c r="C2061" s="5" t="str">
        <f>IFERROR(__xludf.DUMMYFUNCTION("GOOGLETRANSLATE(B2061,""en"",""es-ES"")"),"El instructor termina y camina de un lado a otro.")</f>
        <v>El instructor termina y camina de un lado a otro.</v>
      </c>
    </row>
    <row r="2062">
      <c r="A2062" s="4" t="s">
        <v>2592</v>
      </c>
      <c r="B2062" s="4" t="s">
        <v>2593</v>
      </c>
      <c r="C2062" s="5" t="str">
        <f>IFERROR(__xludf.DUMMYFUNCTION("GOOGLETRANSLATE(B2062,""en"",""es-ES"")"),"Hay tres jóvenes en una casa.")</f>
        <v>Hay tres jóvenes en una casa.</v>
      </c>
    </row>
    <row r="2063">
      <c r="A2063" s="4" t="s">
        <v>2592</v>
      </c>
      <c r="B2063" s="4" t="s">
        <v>2594</v>
      </c>
      <c r="C2063" s="5" t="str">
        <f>IFERROR(__xludf.DUMMYFUNCTION("GOOGLETRANSLATE(B2063,""en"",""es-ES"")"),"Uno de los hombres está sentado en un sofá en la sala de estar comiendo un paquete de Doritos.")</f>
        <v>Uno de los hombres está sentado en un sofá en la sala de estar comiendo un paquete de Doritos.</v>
      </c>
    </row>
    <row r="2064">
      <c r="A2064" s="4" t="s">
        <v>2592</v>
      </c>
      <c r="B2064" s="4" t="s">
        <v>2595</v>
      </c>
      <c r="C2064" s="5" t="str">
        <f>IFERROR(__xludf.DUMMYFUNCTION("GOOGLETRANSLATE(B2064,""en"",""es-ES"")"),"Y hay otros dos hombres que lo miran mientras come.")</f>
        <v>Y hay otros dos hombres que lo miran mientras come.</v>
      </c>
    </row>
    <row r="2065">
      <c r="A2065" s="4" t="s">
        <v>2592</v>
      </c>
      <c r="B2065" s="4" t="s">
        <v>2596</v>
      </c>
      <c r="C2065" s="5" t="str">
        <f>IFERROR(__xludf.DUMMYFUNCTION("GOOGLETRANSLATE(B2065,""en"",""es-ES"")"),"Uno de los hombres se levanta y se lava las manos.")</f>
        <v>Uno de los hombres se levanta y se lava las manos.</v>
      </c>
    </row>
    <row r="2066">
      <c r="A2066" s="4" t="s">
        <v>2592</v>
      </c>
      <c r="B2066" s="4" t="s">
        <v>2597</v>
      </c>
      <c r="C2066" s="5" t="str">
        <f>IFERROR(__xludf.DUMMYFUNCTION("GOOGLETRANSLATE(B2066,""en"",""es-ES"")"),"Luego abre una lata de Coca -Cola y bebe de ella.")</f>
        <v>Luego abre una lata de Coca -Cola y bebe de ella.</v>
      </c>
    </row>
    <row r="2067">
      <c r="A2067" s="4" t="s">
        <v>2592</v>
      </c>
      <c r="B2067" s="4" t="s">
        <v>2598</v>
      </c>
      <c r="C2067" s="5" t="str">
        <f>IFERROR(__xludf.DUMMYFUNCTION("GOOGLETRANSLATE(B2067,""en"",""es-ES"")"),"Luego comienza a cortar tomates y lechuga para hacer un sándwich.")</f>
        <v>Luego comienza a cortar tomates y lechuga para hacer un sándwich.</v>
      </c>
    </row>
    <row r="2068">
      <c r="A2068" s="4" t="s">
        <v>2592</v>
      </c>
      <c r="B2068" s="4" t="s">
        <v>2599</v>
      </c>
      <c r="C2068" s="5" t="str">
        <f>IFERROR(__xludf.DUMMYFUNCTION("GOOGLETRANSLATE(B2068,""en"",""es-ES"")"),"Él corta un poco de jamón y hace dos tostadas en una tostadora.")</f>
        <v>Él corta un poco de jamón y hace dos tostadas en una tostadora.</v>
      </c>
    </row>
    <row r="2069">
      <c r="A2069" s="4" t="s">
        <v>2592</v>
      </c>
      <c r="B2069" s="4" t="s">
        <v>2600</v>
      </c>
      <c r="C2069" s="5" t="str">
        <f>IFERROR(__xludf.DUMMYFUNCTION("GOOGLETRANSLATE(B2069,""en"",""es-ES"")"),"Luego pone la mayonesa en el pan y lo cubre con la carne, la lechuga y el tomate.")</f>
        <v>Luego pone la mayonesa en el pan y lo cubre con la carne, la lechuga y el tomate.</v>
      </c>
    </row>
    <row r="2070">
      <c r="A2070" s="4" t="s">
        <v>2592</v>
      </c>
      <c r="B2070" s="4" t="s">
        <v>2601</v>
      </c>
      <c r="C2070" s="5" t="str">
        <f>IFERROR(__xludf.DUMMYFUNCTION("GOOGLETRANSLATE(B2070,""en"",""es-ES"")"),"Corta el sándwich por la mitad y lo sirve en un plato.")</f>
        <v>Corta el sándwich por la mitad y lo sirve en un plato.</v>
      </c>
    </row>
    <row r="2071">
      <c r="A2071" s="4" t="s">
        <v>2592</v>
      </c>
      <c r="B2071" s="4" t="s">
        <v>2602</v>
      </c>
      <c r="C2071" s="5" t="str">
        <f>IFERROR(__xludf.DUMMYFUNCTION("GOOGLETRANSLATE(B2071,""en"",""es-ES"")"),"Luego ofrece el plato de sándwich al hombre sentado en el sofá comiendo los Doritos.")</f>
        <v>Luego ofrece el plato de sándwich al hombre sentado en el sofá comiendo los Doritos.</v>
      </c>
    </row>
    <row r="2072">
      <c r="A2072" s="4" t="s">
        <v>2592</v>
      </c>
      <c r="B2072" s="4" t="s">
        <v>2603</v>
      </c>
      <c r="C2072" s="5" t="str">
        <f>IFERROR(__xludf.DUMMYFUNCTION("GOOGLETRANSLATE(B2072,""en"",""es-ES"")"),"El hombre toma el plato y le morde el sándwich mientras el otro hombre se encuentra junto a él y mira.")</f>
        <v>El hombre toma el plato y le morde el sándwich mientras el otro hombre se encuentra junto a él y mira.</v>
      </c>
    </row>
    <row r="2073">
      <c r="A2073" s="4" t="s">
        <v>2604</v>
      </c>
      <c r="B2073" s="4" t="s">
        <v>2605</v>
      </c>
      <c r="C2073" s="5" t="str">
        <f>IFERROR(__xludf.DUMMYFUNCTION("GOOGLETRANSLATE(B2073,""en"",""es-ES"")"),"Una persona recupera un instrumento de un armario.")</f>
        <v>Una persona recupera un instrumento de un armario.</v>
      </c>
    </row>
    <row r="2074">
      <c r="A2074" s="4" t="s">
        <v>2604</v>
      </c>
      <c r="B2074" s="4" t="s">
        <v>2606</v>
      </c>
      <c r="C2074" s="5" t="str">
        <f>IFERROR(__xludf.DUMMYFUNCTION("GOOGLETRANSLATE(B2074,""en"",""es-ES"")"),"El hombre examina el instrumento en su mano.")</f>
        <v>El hombre examina el instrumento en su mano.</v>
      </c>
    </row>
    <row r="2075">
      <c r="A2075" s="4" t="s">
        <v>2604</v>
      </c>
      <c r="B2075" s="4" t="s">
        <v>2607</v>
      </c>
      <c r="C2075" s="5" t="str">
        <f>IFERROR(__xludf.DUMMYFUNCTION("GOOGLETRANSLATE(B2075,""en"",""es-ES"")"),"La persona sostiene el violín en su barbilla y se prepara.")</f>
        <v>La persona sostiene el violín en su barbilla y se prepara.</v>
      </c>
    </row>
    <row r="2076">
      <c r="A2076" s="4" t="s">
        <v>2604</v>
      </c>
      <c r="B2076" s="4" t="s">
        <v>2608</v>
      </c>
      <c r="C2076" s="5" t="str">
        <f>IFERROR(__xludf.DUMMYFUNCTION("GOOGLETRANSLATE(B2076,""en"",""es-ES"")"),"La persona toca una canción en el violín.")</f>
        <v>La persona toca una canción en el violín.</v>
      </c>
    </row>
    <row r="2077">
      <c r="A2077" s="4" t="s">
        <v>2604</v>
      </c>
      <c r="B2077" s="4" t="s">
        <v>2609</v>
      </c>
      <c r="C2077" s="5" t="str">
        <f>IFERROR(__xludf.DUMMYFUNCTION("GOOGLETRANSLATE(B2077,""en"",""es-ES"")"),"El hombre termina la canción y baja el instrumento.")</f>
        <v>El hombre termina la canción y baja el instrumento.</v>
      </c>
    </row>
    <row r="2078">
      <c r="A2078" s="4" t="s">
        <v>2610</v>
      </c>
      <c r="B2078" s="4" t="s">
        <v>2611</v>
      </c>
      <c r="C2078" s="5" t="str">
        <f>IFERROR(__xludf.DUMMYFUNCTION("GOOGLETRANSLATE(B2078,""en"",""es-ES"")"),"Dos niñas toman una maleta y hacen un viaje a la ciudad de Nueva York.")</f>
        <v>Dos niñas toman una maleta y hacen un viaje a la ciudad de Nueva York.</v>
      </c>
    </row>
    <row r="2079">
      <c r="A2079" s="4" t="s">
        <v>2610</v>
      </c>
      <c r="B2079" s="4" t="s">
        <v>2612</v>
      </c>
      <c r="C2079" s="5" t="str">
        <f>IFERROR(__xludf.DUMMYFUNCTION("GOOGLETRANSLATE(B2079,""en"",""es-ES"")"),"Dos niñas se paran en una habitación vestida con disfraces que luego se transforman en trajes de bailarina.")</f>
        <v>Dos niñas se paran en una habitación vestida con disfraces que luego se transforman en trajes de bailarina.</v>
      </c>
    </row>
    <row r="2080">
      <c r="A2080" s="4" t="s">
        <v>2610</v>
      </c>
      <c r="B2080" s="4" t="s">
        <v>2613</v>
      </c>
      <c r="C2080" s="5" t="str">
        <f>IFERROR(__xludf.DUMMYFUNCTION("GOOGLETRANSLATE(B2080,""en"",""es-ES"")"),"Las dos chicas comienzan a bailar juntas mientras cantan o hablan en la cámara.")</f>
        <v>Las dos chicas comienzan a bailar juntas mientras cantan o hablan en la cámara.</v>
      </c>
    </row>
    <row r="2081">
      <c r="A2081" s="4" t="s">
        <v>2610</v>
      </c>
      <c r="B2081" s="4" t="s">
        <v>2614</v>
      </c>
      <c r="C2081" s="5" t="str">
        <f>IFERROR(__xludf.DUMMYFUNCTION("GOOGLETRANSLATE(B2081,""en"",""es-ES"")"),"El clip se desvanece a las dos chicas que se doblan y empacan ropa en una maleta en una habitación en una casa, las chicas empacan tutus en una maleta rosa y luego las cortan en un carruaje dibujado en las calles de Nueva York, hablando y señalando puntos"&amp;" de referencia.")</f>
        <v>El clip se desvanece a las dos chicas que se doblan y empacan ropa en una maleta en una habitación en una casa, las chicas empacan tutus en una maleta rosa y luego las cortan en un carruaje dibujado en las calles de Nueva York, hablando y señalando puntos de referencia.</v>
      </c>
    </row>
    <row r="2082">
      <c r="A2082" s="4" t="s">
        <v>2610</v>
      </c>
      <c r="B2082" s="4" t="s">
        <v>2615</v>
      </c>
      <c r="C2082" s="5" t="str">
        <f>IFERROR(__xludf.DUMMYFUNCTION("GOOGLETRANSLATE(B2082,""en"",""es-ES"")"),"El viaje termina y las dos chicas se encuentran con un edificio y luego cantan juntas en el borde de una fuente de agua antes de salir corriendo.")</f>
        <v>El viaje termina y las dos chicas se encuentran con un edificio y luego cantan juntas en el borde de una fuente de agua antes de salir corriendo.</v>
      </c>
    </row>
    <row r="2083">
      <c r="A2083" s="4" t="s">
        <v>2616</v>
      </c>
      <c r="B2083" s="4" t="s">
        <v>2617</v>
      </c>
      <c r="C2083" s="5" t="str">
        <f>IFERROR(__xludf.DUMMYFUNCTION("GOOGLETRANSLATE(B2083,""en"",""es-ES"")"),"Se ve a un hombre montando en una patineta mientras la cámara sigue sus movimientos.")</f>
        <v>Se ve a un hombre montando en una patineta mientras la cámara sigue sus movimientos.</v>
      </c>
    </row>
    <row r="2084">
      <c r="A2084" s="4" t="s">
        <v>2616</v>
      </c>
      <c r="B2084" s="4" t="s">
        <v>2618</v>
      </c>
      <c r="C2084" s="5" t="str">
        <f>IFERROR(__xludf.DUMMYFUNCTION("GOOGLETRANSLATE(B2084,""en"",""es-ES"")"),"El hombre patina por la calle a través de obstáculos y por la calle.")</f>
        <v>El hombre patina por la calle a través de obstáculos y por la calle.</v>
      </c>
    </row>
    <row r="2085">
      <c r="A2085" s="4" t="s">
        <v>2616</v>
      </c>
      <c r="B2085" s="4" t="s">
        <v>2619</v>
      </c>
      <c r="C2085" s="5" t="str">
        <f>IFERROR(__xludf.DUMMYFUNCTION("GOOGLETRANSLATE(B2085,""en"",""es-ES"")"),"Más personas continúan montando por la calle mientras la cámara los sigue.")</f>
        <v>Más personas continúan montando por la calle mientras la cámara los sigue.</v>
      </c>
    </row>
    <row r="2086">
      <c r="A2086" s="4" t="s">
        <v>2620</v>
      </c>
      <c r="B2086" s="4" t="s">
        <v>2621</v>
      </c>
      <c r="C2086" s="5" t="str">
        <f>IFERROR(__xludf.DUMMYFUNCTION("GOOGLETRANSLATE(B2086,""en"",""es-ES"")"),"Se ve a una bailarina del vientre moviéndose a lo largo de un escenario y realizando una rutina mientras muchos miran.")</f>
        <v>Se ve a una bailarina del vientre moviéndose a lo largo de un escenario y realizando una rutina mientras muchos miran.</v>
      </c>
    </row>
    <row r="2087">
      <c r="A2087" s="4" t="s">
        <v>2620</v>
      </c>
      <c r="B2087" s="4" t="s">
        <v>2622</v>
      </c>
      <c r="C2087" s="5" t="str">
        <f>IFERROR(__xludf.DUMMYFUNCTION("GOOGLETRANSLATE(B2087,""en"",""es-ES"")"),"Ella continúa la rutina y termina sacudiéndose el cabello y doblando hacia atrás para posar.")</f>
        <v>Ella continúa la rutina y termina sacudiéndose el cabello y doblando hacia atrás para posar.</v>
      </c>
    </row>
    <row r="2088">
      <c r="A2088" s="4" t="s">
        <v>2623</v>
      </c>
      <c r="B2088" s="4" t="s">
        <v>2624</v>
      </c>
      <c r="C2088" s="5" t="str">
        <f>IFERROR(__xludf.DUMMYFUNCTION("GOOGLETRANSLATE(B2088,""en"",""es-ES"")"),"Dos hombres cazan y disparan un búfalo en un desierto arenoso como el desierto.")</f>
        <v>Dos hombres cazan y disparan un búfalo en un desierto arenoso como el desierto.</v>
      </c>
    </row>
    <row r="2089">
      <c r="A2089" s="4" t="s">
        <v>2623</v>
      </c>
      <c r="B2089" s="4" t="s">
        <v>2625</v>
      </c>
      <c r="C2089" s="5" t="str">
        <f>IFERROR(__xludf.DUMMYFUNCTION("GOOGLETRANSLATE(B2089,""en"",""es-ES"")"),"Una habitación llena de animales rellenos y cazados en una habitación con muchos de ellos montados en las paredes.")</f>
        <v>Una habitación llena de animales rellenos y cazados en una habitación con muchos de ellos montados en las paredes.</v>
      </c>
    </row>
    <row r="2090">
      <c r="A2090" s="4" t="s">
        <v>2623</v>
      </c>
      <c r="B2090" s="4" t="s">
        <v>2626</v>
      </c>
      <c r="C2090" s="5" t="str">
        <f>IFERROR(__xludf.DUMMYFUNCTION("GOOGLETRANSLATE(B2090,""en"",""es-ES"")"),"Dos búfalos marrones están parados uno al lado del otro en un terreno arenoso en un clima extremadamente ventoso.")</f>
        <v>Dos búfalos marrones están parados uno al lado del otro en un terreno arenoso en un clima extremadamente ventoso.</v>
      </c>
    </row>
    <row r="2091">
      <c r="A2091" s="4" t="s">
        <v>2623</v>
      </c>
      <c r="B2091" s="4" t="s">
        <v>2627</v>
      </c>
      <c r="C2091" s="5" t="str">
        <f>IFERROR(__xludf.DUMMYFUNCTION("GOOGLETRANSLATE(B2091,""en"",""es-ES"")"),"Dos hombres miran a los dos búfalos desde una distancia con armas montadas con el objetivo de disparar mientras un camarógrafo está detrás de ellos filmando el incidente.")</f>
        <v>Dos hombres miran a los dos búfalos desde una distancia con armas montadas con el objetivo de disparar mientras un camarógrafo está detrás de ellos filmando el incidente.</v>
      </c>
    </row>
    <row r="2092">
      <c r="A2092" s="4" t="s">
        <v>2623</v>
      </c>
      <c r="B2092" s="4" t="s">
        <v>2628</v>
      </c>
      <c r="C2092" s="5" t="str">
        <f>IFERROR(__xludf.DUMMYFUNCTION("GOOGLETRANSLATE(B2092,""en"",""es-ES"")"),"Uno de los búfalos recibe un disparo por un arma de punta amarilla mientras se aleja.")</f>
        <v>Uno de los búfalos recibe un disparo por un arma de punta amarilla mientras se aleja.</v>
      </c>
    </row>
    <row r="2093">
      <c r="A2093" s="4" t="s">
        <v>2623</v>
      </c>
      <c r="B2093" s="4" t="s">
        <v>2629</v>
      </c>
      <c r="C2093" s="5" t="str">
        <f>IFERROR(__xludf.DUMMYFUNCTION("GOOGLETRANSLATE(B2093,""en"",""es-ES"")"),"Uno de los hombres se muestra de pie sobre el animal muerto.")</f>
        <v>Uno de los hombres se muestra de pie sobre el animal muerto.</v>
      </c>
    </row>
    <row r="2094">
      <c r="A2094" s="4" t="s">
        <v>2630</v>
      </c>
      <c r="B2094" s="4" t="s">
        <v>2631</v>
      </c>
      <c r="C2094" s="5" t="str">
        <f>IFERROR(__xludf.DUMMYFUNCTION("GOOGLETRANSLATE(B2094,""en"",""es-ES"")"),"La mujer está sentada frente a otros en una sala de consultoría y saca las gafas y se lavan las manos.")</f>
        <v>La mujer está sentada frente a otros en una sala de consultoría y saca las gafas y se lavan las manos.</v>
      </c>
    </row>
    <row r="2095">
      <c r="A2095" s="4" t="s">
        <v>2630</v>
      </c>
      <c r="B2095" s="4" t="s">
        <v>2632</v>
      </c>
      <c r="C2095" s="5" t="str">
        <f>IFERROR(__xludf.DUMMYFUNCTION("GOOGLETRANSLATE(B2095,""en"",""es-ES"")"),"La mujer le da lentes de contacto y la otra mujer lo sostiene con el dedo índice, ponga un poco de líquido y lo pone en el ojo, luego hace lo mismo con el otro contacto, ponga las lentes y habla con la otra mujer.")</f>
        <v>La mujer le da lentes de contacto y la otra mujer lo sostiene con el dedo índice, ponga un poco de líquido y lo pone en el ojo, luego hace lo mismo con el otro contacto, ponga las lentes y habla con la otra mujer.</v>
      </c>
    </row>
    <row r="2096">
      <c r="A2096" s="4" t="s">
        <v>2633</v>
      </c>
      <c r="B2096" s="4" t="s">
        <v>2634</v>
      </c>
      <c r="C2096" s="5" t="str">
        <f>IFERROR(__xludf.DUMMYFUNCTION("GOOGLETRANSLATE(B2096,""en"",""es-ES"")"),"Se ve a tres personas arrodilladas en una pequeña balsa y se voltean en el agua.")</f>
        <v>Se ve a tres personas arrodilladas en una pequeña balsa y se voltean en el agua.</v>
      </c>
    </row>
    <row r="2097">
      <c r="A2097" s="4" t="s">
        <v>2633</v>
      </c>
      <c r="B2097" s="4" t="s">
        <v>2635</v>
      </c>
      <c r="C2097" s="5" t="str">
        <f>IFERROR(__xludf.DUMMYFUNCTION("GOOGLETRANSLATE(B2097,""en"",""es-ES"")"),"Se ve a más personas acolchando y se mudan a las personas en el agua.")</f>
        <v>Se ve a más personas acolchando y se mudan a las personas en el agua.</v>
      </c>
    </row>
    <row r="2098">
      <c r="A2098" s="4" t="s">
        <v>2633</v>
      </c>
      <c r="B2098" s="4" t="s">
        <v>2636</v>
      </c>
      <c r="C2098" s="5" t="str">
        <f>IFERROR(__xludf.DUMMYFUNCTION("GOOGLETRANSLATE(B2098,""en"",""es-ES"")"),"La gente en el agua vuelve a entrar y finalmente se ponen en una canoa.")</f>
        <v>La gente en el agua vuelve a entrar y finalmente se ponen en una canoa.</v>
      </c>
    </row>
    <row r="2099">
      <c r="A2099" s="4" t="s">
        <v>2637</v>
      </c>
      <c r="B2099" s="4" t="s">
        <v>2638</v>
      </c>
      <c r="C2099" s="5" t="str">
        <f>IFERROR(__xludf.DUMMYFUNCTION("GOOGLETRANSLATE(B2099,""en"",""es-ES"")"),"Se ve un lago con la vista de un horizonte de la ciudad al otro lado del camino.")</f>
        <v>Se ve un lago con la vista de un horizonte de la ciudad al otro lado del camino.</v>
      </c>
    </row>
    <row r="2100">
      <c r="A2100" s="4" t="s">
        <v>2637</v>
      </c>
      <c r="B2100" s="4" t="s">
        <v>2639</v>
      </c>
      <c r="C2100" s="5" t="str">
        <f>IFERROR(__xludf.DUMMYFUNCTION("GOOGLETRANSLATE(B2100,""en"",""es-ES"")"),"Un grupo de caminantes camina por la acera cerca del lago.")</f>
        <v>Un grupo de caminantes camina por la acera cerca del lago.</v>
      </c>
    </row>
    <row r="2101">
      <c r="A2101" s="4" t="s">
        <v>2637</v>
      </c>
      <c r="B2101" s="4" t="s">
        <v>2640</v>
      </c>
      <c r="C2101" s="5" t="str">
        <f>IFERROR(__xludf.DUMMYFUNCTION("GOOGLETRANSLATE(B2101,""en"",""es-ES"")"),"Un hombre usa un soplador de nieve en un área de acera.")</f>
        <v>Un hombre usa un soplador de nieve en un área de acera.</v>
      </c>
    </row>
    <row r="2102">
      <c r="A2102" s="4" t="s">
        <v>2637</v>
      </c>
      <c r="B2102" s="4" t="s">
        <v>2641</v>
      </c>
      <c r="C2102" s="5" t="str">
        <f>IFERROR(__xludf.DUMMYFUNCTION("GOOGLETRANSLATE(B2102,""en"",""es-ES"")"),"La gente usa palas de nieve para despejar la acera.")</f>
        <v>La gente usa palas de nieve para despejar la acera.</v>
      </c>
    </row>
    <row r="2103">
      <c r="A2103" s="4" t="s">
        <v>2637</v>
      </c>
      <c r="B2103" s="4" t="s">
        <v>2642</v>
      </c>
      <c r="C2103" s="5" t="str">
        <f>IFERROR(__xludf.DUMMYFUNCTION("GOOGLETRANSLATE(B2103,""en"",""es-ES"")"),"Se utiliza una herramienta de jardinería de palas para romper el hielo.")</f>
        <v>Se utiliza una herramienta de jardinería de palas para romper el hielo.</v>
      </c>
    </row>
    <row r="2104">
      <c r="A2104" s="4" t="s">
        <v>2637</v>
      </c>
      <c r="B2104" s="4" t="s">
        <v>2643</v>
      </c>
      <c r="C2104" s="5" t="str">
        <f>IFERROR(__xludf.DUMMYFUNCTION("GOOGLETRANSLATE(B2104,""en"",""es-ES"")"),"Un hombre aplica sal al área de acera despejada.")</f>
        <v>Un hombre aplica sal al área de acera despejada.</v>
      </c>
    </row>
    <row r="2105">
      <c r="A2105" s="4" t="s">
        <v>2644</v>
      </c>
      <c r="B2105" s="4" t="s">
        <v>2645</v>
      </c>
      <c r="C2105" s="5" t="str">
        <f>IFERROR(__xludf.DUMMYFUNCTION("GOOGLETRANSLATE(B2105,""en"",""es-ES"")"),"Se ve a dos personas que pasan una pelota hacia atrás y cuarto en una piscina y conduce a una que habla con la cámara.")</f>
        <v>Se ve a dos personas que pasan una pelota hacia atrás y cuarto en una piscina y conduce a una que habla con la cámara.</v>
      </c>
    </row>
    <row r="2106">
      <c r="A2106" s="4" t="s">
        <v>2644</v>
      </c>
      <c r="B2106" s="4" t="s">
        <v>2646</v>
      </c>
      <c r="C2106" s="5" t="str">
        <f>IFERROR(__xludf.DUMMYFUNCTION("GOOGLETRANSLATE(B2106,""en"",""es-ES"")"),"El hombre demuestra cómo lanzar la pelota adecuadamente con las manos mientras todavía habla con la cámara.")</f>
        <v>El hombre demuestra cómo lanzar la pelota adecuadamente con las manos mientras todavía habla con la cámara.</v>
      </c>
    </row>
    <row r="2107">
      <c r="A2107" s="4" t="s">
        <v>2647</v>
      </c>
      <c r="B2107" s="4" t="s">
        <v>2648</v>
      </c>
      <c r="C2107" s="5" t="str">
        <f>IFERROR(__xludf.DUMMYFUNCTION("GOOGLETRANSLATE(B2107,""en"",""es-ES"")"),"Una mujer joven usa productos para el cabello y se seca el cabello directamente con una secadora que tiene un peine unido al final.")</f>
        <v>Una mujer joven usa productos para el cabello y se seca el cabello directamente con una secadora que tiene un peine unido al final.</v>
      </c>
    </row>
    <row r="2108">
      <c r="A2108" s="4" t="s">
        <v>2647</v>
      </c>
      <c r="B2108" s="4" t="s">
        <v>2649</v>
      </c>
      <c r="C2108" s="5" t="str">
        <f>IFERROR(__xludf.DUMMYFUNCTION("GOOGLETRANSLATE(B2108,""en"",""es-ES"")"),"La mujer comienza quitando un turbante de tela Terry de su cabeza y revelando un lote de cabello húmedo de mayo.")</f>
        <v>La mujer comienza quitando un turbante de tela Terry de su cabeza y revelando un lote de cabello húmedo de mayo.</v>
      </c>
    </row>
    <row r="2109">
      <c r="A2109" s="4" t="s">
        <v>2647</v>
      </c>
      <c r="B2109" s="4" t="s">
        <v>2650</v>
      </c>
      <c r="C2109" s="5" t="str">
        <f>IFERROR(__xludf.DUMMYFUNCTION("GOOGLETRANSLATE(B2109,""en"",""es-ES"")"),"La mujer luego comienza a poner la sección de su cabello en trenzas de giro.")</f>
        <v>La mujer luego comienza a poner la sección de su cabello en trenzas de giro.</v>
      </c>
    </row>
    <row r="2110">
      <c r="A2110" s="4" t="s">
        <v>2647</v>
      </c>
      <c r="B2110" s="4" t="s">
        <v>2651</v>
      </c>
      <c r="C2110" s="5" t="str">
        <f>IFERROR(__xludf.DUMMYFUNCTION("GOOGLETRANSLATE(B2110,""en"",""es-ES"")"),"Luego, las mujeres comienzan a secar secciones de su cabello con un secador de soplado unido.")</f>
        <v>Luego, las mujeres comienzan a secar secciones de su cabello con un secador de soplado unido.</v>
      </c>
    </row>
    <row r="2111">
      <c r="A2111" s="4" t="s">
        <v>2647</v>
      </c>
      <c r="B2111" s="4" t="s">
        <v>2652</v>
      </c>
      <c r="C2111" s="5" t="str">
        <f>IFERROR(__xludf.DUMMYFUNCTION("GOOGLETRANSLATE(B2111,""en"",""es-ES"")"),"La mujer balancea su cabello enderezado y sonríe.")</f>
        <v>La mujer balancea su cabello enderezado y sonríe.</v>
      </c>
    </row>
    <row r="2112">
      <c r="A2112" s="4" t="s">
        <v>2653</v>
      </c>
      <c r="B2112" s="4" t="s">
        <v>2654</v>
      </c>
      <c r="C2112" s="5" t="str">
        <f>IFERROR(__xludf.DUMMYFUNCTION("GOOGLETRANSLATE(B2112,""en"",""es-ES"")"),"Hay un sándwich que todavía está completo y se ha cortado por la mitad en una forma triangular y que aparecen palabras blancas en la pantalla que señalan que es un ""sándwich de reuben"".")</f>
        <v>Hay un sándwich que todavía está completo y se ha cortado por la mitad en una forma triangular y que aparecen palabras blancas en la pantalla que señalan que es un "sándwich de reuben".</v>
      </c>
    </row>
    <row r="2113">
      <c r="A2113" s="4" t="s">
        <v>2653</v>
      </c>
      <c r="B2113" s="4" t="s">
        <v>2655</v>
      </c>
      <c r="C2113" s="5" t="str">
        <f>IFERROR(__xludf.DUMMYFUNCTION("GOOGLETRANSLATE(B2113,""en"",""es-ES"")"),"Aparece un hombre en la cocina y está poniendo condimentos en una sartén y comienza a girar la sartén.")</f>
        <v>Aparece un hombre en la cocina y está poniendo condimentos en una sartén y comienza a girar la sartén.</v>
      </c>
    </row>
    <row r="2114">
      <c r="A2114" s="4" t="s">
        <v>2653</v>
      </c>
      <c r="B2114" s="4" t="s">
        <v>2656</v>
      </c>
      <c r="C2114" s="5" t="str">
        <f>IFERROR(__xludf.DUMMYFUNCTION("GOOGLETRANSLATE(B2114,""en"",""es-ES"")"),"Aparecen una introducción de 6 pequeños videos diferentes de alimentos y hay texto debajo de ""Steve's Cooking"" de ese Say.")</f>
        <v>Aparecen una introducción de 6 pequeños videos diferentes de alimentos y hay texto debajo de "Steve's Cooking" de ese Say.</v>
      </c>
    </row>
    <row r="2115">
      <c r="A2115" s="4" t="s">
        <v>2653</v>
      </c>
      <c r="B2115" s="4" t="s">
        <v>2657</v>
      </c>
      <c r="C2115" s="5" t="str">
        <f>IFERROR(__xludf.DUMMYFUNCTION("GOOGLETRANSLATE(B2115,""en"",""es-ES"")"),"Una gran pieza de carne cruda aparece en un plato blanco y la palabra Reuben parpadea varias veces como se muestra en varios ángulos diferentes.")</f>
        <v>Una gran pieza de carne cruda aparece en un plato blanco y la palabra Reuben parpadea varias veces como se muestra en varios ángulos diferentes.</v>
      </c>
    </row>
    <row r="2116">
      <c r="A2116" s="4" t="s">
        <v>2653</v>
      </c>
      <c r="B2116" s="4" t="s">
        <v>2658</v>
      </c>
      <c r="C2116" s="5" t="str">
        <f>IFERROR(__xludf.DUMMYFUNCTION("GOOGLETRANSLATE(B2116,""en"",""es-ES"")"),"Luego, el hombre coloca la carne en una olla grande y vierte líquidos hasta que esté completamente cubierto y comienza a sazonarla con varios condimentos y al mismo tiempo los nombres de los condimentos aparecen en la pantalla a medida que se caen cada co"&amp;"ndimento.")</f>
        <v>Luego, el hombre coloca la carne en una olla grande y vierte líquidos hasta que esté completamente cubierto y comienza a sazonarla con varios condimentos y al mismo tiempo los nombres de los condimentos aparecen en la pantalla a medida que se caen cada condimento.</v>
      </c>
    </row>
    <row r="2117">
      <c r="A2117" s="4" t="s">
        <v>2653</v>
      </c>
      <c r="B2117" s="4" t="s">
        <v>2659</v>
      </c>
      <c r="C2117" s="5" t="str">
        <f>IFERROR(__xludf.DUMMYFUNCTION("GOOGLETRANSLATE(B2117,""en"",""es-ES"")"),"Luego hay un tiro de primer plano de un cuchillo grande que aplasta a un montón de dientes de ajo que también se arrojan a la olla y los condimentos y la carne se agitan suavemente y luego muestra rápidamente que el agua ahora está hirviendo y que el text"&amp;"o aparece que ""se acerca"" Una hora por libra "", y una tapa se pone en la olla.")</f>
        <v>Luego hay un tiro de primer plano de un cuchillo grande que aplasta a un montón de dientes de ajo que también se arrojan a la olla y los condimentos y la carne se agitan suavemente y luego muestra rápidamente que el agua ahora está hirviendo y que el texto aparece que "se acerca" Una hora por libra ", y una tapa se pone en la olla.</v>
      </c>
    </row>
    <row r="2118">
      <c r="A2118" s="4" t="s">
        <v>2653</v>
      </c>
      <c r="B2118" s="4" t="s">
        <v>2660</v>
      </c>
      <c r="C2118" s="5" t="str">
        <f>IFERROR(__xludf.DUMMYFUNCTION("GOOGLETRANSLATE(B2118,""en"",""es-ES"")"),"Un par de pinzas sacan un trozo de carne de la olla y se coloca en un plato cuadrado blanco donde se coloca en una tabla de cortar y se corta en rodajas con un cuchillo grande.")</f>
        <v>Un par de pinzas sacan un trozo de carne de la olla y se coloca en un plato cuadrado blanco donde se coloca en una tabla de cortar y se corta en rodajas con un cuchillo grande.</v>
      </c>
    </row>
    <row r="2119">
      <c r="A2119" s="4" t="s">
        <v>2653</v>
      </c>
      <c r="B2119" s="4" t="s">
        <v>2661</v>
      </c>
      <c r="C2119" s="5" t="str">
        <f>IFERROR(__xludf.DUMMYFUNCTION("GOOGLETRANSLATE(B2119,""en"",""es-ES"")"),"Se muestra un tazón transparente grande y vacío y la mayonesa, la salsa de tomate, el condimento, la salsa de Worcesterchire y la salsa picante se ponen cucharas en el tazón.")</f>
        <v>Se muestra un tazón transparente grande y vacío y la mayonesa, la salsa de tomate, el condimento, la salsa de Worcesterchire y la salsa picante se ponen cucharas en el tazón.</v>
      </c>
    </row>
    <row r="2120">
      <c r="A2120" s="4" t="s">
        <v>2653</v>
      </c>
      <c r="B2120" s="4" t="s">
        <v>2662</v>
      </c>
      <c r="C2120" s="5" t="str">
        <f>IFERROR(__xludf.DUMMYFUNCTION("GOOGLETRANSLATE(B2120,""en"",""es-ES"")"),"Una cebolla púrpura, el apio y el perejil se cortan individualmente y cada uno se arroja individualmente al tazón donde comienza a mezclarse con un batidor y luego sazonarse con sal y pimienta y mezclar un poco más.")</f>
        <v>Una cebolla púrpura, el apio y el perejil se cortan individualmente y cada uno se arroja individualmente al tazón donde comienza a mezclarse con un batidor y luego sazonarse con sal y pimienta y mezclar un poco más.</v>
      </c>
    </row>
    <row r="2121">
      <c r="A2121" s="4" t="s">
        <v>2653</v>
      </c>
      <c r="B2121" s="4" t="s">
        <v>2663</v>
      </c>
      <c r="C2121" s="5" t="str">
        <f>IFERROR(__xludf.DUMMYFUNCTION("GOOGLETRANSLATE(B2121,""en"",""es-ES"")"),"Un dedo se sumerge en el tazón para sacar una muestra y la mezcla continúa durante un poco más.")</f>
        <v>Un dedo se sumerge en el tazón para sacar una muestra y la mezcla continúa durante un poco más.</v>
      </c>
    </row>
    <row r="2122">
      <c r="A2122" s="4" t="s">
        <v>2653</v>
      </c>
      <c r="B2122" s="4" t="s">
        <v>2664</v>
      </c>
      <c r="C2122" s="5" t="str">
        <f>IFERROR(__xludf.DUMMYFUNCTION("GOOGLETRANSLATE(B2122,""en"",""es-ES"")"),"Un pequeño cepillo con mantequilla derretida comienza a mantequilla de pan en ambos lados que se coloca en una parrilla plana y se voltea hasta que ambos lados estén a la parrilla.")</f>
        <v>Un pequeño cepillo con mantequilla derretida comienza a mantequilla de pan en ambos lados que se coloca en una parrilla plana y se voltea hasta que ambos lados estén a la parrilla.</v>
      </c>
    </row>
    <row r="2123">
      <c r="A2123" s="4" t="s">
        <v>2653</v>
      </c>
      <c r="B2123" s="4" t="s">
        <v>2665</v>
      </c>
      <c r="C2123" s="5" t="str">
        <f>IFERROR(__xludf.DUMMYFUNCTION("GOOGLETRANSLATE(B2123,""en"",""es-ES"")"),"Una comida blanca triturada se arroja a la parrilla y es agitada por una espátula negra.")</f>
        <v>Una comida blanca triturada se arroja a la parrilla y es agitada por una espátula negra.</v>
      </c>
    </row>
    <row r="2124">
      <c r="A2124" s="4" t="s">
        <v>2653</v>
      </c>
      <c r="B2124" s="4" t="s">
        <v>2666</v>
      </c>
      <c r="C2124" s="5" t="str">
        <f>IFERROR(__xludf.DUMMYFUNCTION("GOOGLETRANSLATE(B2124,""en"",""es-ES"")"),"Aparecen las delgadas rebanadas de carne al lado de la comida blanca rallada y se cubren con 3 rebanadas de queso suizo y se cubren con un tazón blanco hasta que el queso se derrita, luego la comida blanca rallada se recoge y se coloca sobre la carne y el"&amp;" queso.")</f>
        <v>Aparecen las delgadas rebanadas de carne al lado de la comida blanca rallada y se cubren con 3 rebanadas de queso suizo y se cubren con un tazón blanco hasta que el queso se derrita, luego la comida blanca rallada se recoge y se coloca sobre la carne y el queso.</v>
      </c>
    </row>
    <row r="2125">
      <c r="A2125" s="4" t="s">
        <v>2653</v>
      </c>
      <c r="B2125" s="4" t="s">
        <v>2667</v>
      </c>
      <c r="C2125" s="5" t="str">
        <f>IFERROR(__xludf.DUMMYFUNCTION("GOOGLETRANSLATE(B2125,""en"",""es-ES"")"),"Luego se muestra la salsa mixta del tazón transparente que se extiende sobre el pan con una cuchara y la carne, el queso y la comida blanca triturada se coloca sobre el pan, se cubre con el otro pan y luego se corta por la mitad en diagonal.")</f>
        <v>Luego se muestra la salsa mixta del tazón transparente que se extiende sobre el pan con una cuchara y la carne, el queso y la comida blanca triturada se coloca sobre el pan, se cubre con el otro pan y luego se corta por la mitad en diagonal.</v>
      </c>
    </row>
    <row r="2126">
      <c r="A2126" s="4" t="s">
        <v>2653</v>
      </c>
      <c r="B2126" s="4" t="s">
        <v>2668</v>
      </c>
      <c r="C2126" s="5" t="str">
        <f>IFERROR(__xludf.DUMMYFUNCTION("GOOGLETRANSLATE(B2126,""en"",""es-ES"")"),"Luego se separa el sándwich y una mano recoge la mitad para mostrarlo en diferentes ángulos, se morde varias veces y luego vuelve a colocar en el plato donde el resto del video lo muestra en ángulos diferentes y un clip corto anterior de la carne que se c"&amp;"orta.")</f>
        <v>Luego se separa el sándwich y una mano recoge la mitad para mostrarlo en diferentes ángulos, se morde varias veces y luego vuelve a colocar en el plato donde el resto del video lo muestra en ángulos diferentes y un clip corto anterior de la carne que se corta.</v>
      </c>
    </row>
    <row r="2127">
      <c r="A2127" s="4" t="s">
        <v>2669</v>
      </c>
      <c r="B2127" s="4" t="s">
        <v>2670</v>
      </c>
      <c r="C2127" s="5" t="str">
        <f>IFERROR(__xludf.DUMMYFUNCTION("GOOGLETRANSLATE(B2127,""en"",""es-ES"")"),"Se ve a un hombre grande de pie y inclinándose frente a otro hombre grande mientras uno sostiene las manos en el bets entre los dos hombres.")</f>
        <v>Se ve a un hombre grande de pie y inclinándose frente a otro hombre grande mientras uno sostiene las manos en el bets entre los dos hombres.</v>
      </c>
    </row>
    <row r="2128">
      <c r="A2128" s="4" t="s">
        <v>2669</v>
      </c>
      <c r="B2128" s="4" t="s">
        <v>2671</v>
      </c>
      <c r="C2128" s="5" t="str">
        <f>IFERROR(__xludf.DUMMYFUNCTION("GOOGLETRANSLATE(B2128,""en"",""es-ES"")"),"Varias personas se sientan alrededor del círculo y el círculo y los hombres se luchan entre sí.")</f>
        <v>Varias personas se sientan alrededor del círculo y el círculo y los hombres se luchan entre sí.</v>
      </c>
    </row>
    <row r="2129">
      <c r="A2129" s="4" t="s">
        <v>2669</v>
      </c>
      <c r="B2129" s="4" t="s">
        <v>2672</v>
      </c>
      <c r="C2129" s="5" t="str">
        <f>IFERROR(__xludf.DUMMYFUNCTION("GOOGLETRANSLATE(B2129,""en"",""es-ES"")"),"Uno empuja al otro al suelo y la audiencia aplaude.")</f>
        <v>Uno empuja al otro al suelo y la audiencia aplaude.</v>
      </c>
    </row>
    <row r="2130">
      <c r="A2130" s="4" t="s">
        <v>2669</v>
      </c>
      <c r="B2130" s="4" t="s">
        <v>2673</v>
      </c>
      <c r="C2130" s="5" t="str">
        <f>IFERROR(__xludf.DUMMYFUNCTION("GOOGLETRANSLATE(B2130,""en"",""es-ES"")"),"El hombre empuja a otro fuera del círculo y la audiencia aplaude una vez más.")</f>
        <v>El hombre empuja a otro fuera del círculo y la audiencia aplaude una vez más.</v>
      </c>
    </row>
    <row r="2131">
      <c r="A2131" s="4" t="s">
        <v>2674</v>
      </c>
      <c r="B2131" s="4" t="s">
        <v>2675</v>
      </c>
      <c r="C2131" s="5" t="str">
        <f>IFERROR(__xludf.DUMMYFUNCTION("GOOGLETRANSLATE(B2131,""en"",""es-ES"")"),"Un hombre saca el hielo sobre las ventanas de un automóvil.")</f>
        <v>Un hombre saca el hielo sobre las ventanas de un automóvil.</v>
      </c>
    </row>
    <row r="2132">
      <c r="A2132" s="4" t="s">
        <v>2674</v>
      </c>
      <c r="B2132" s="4" t="s">
        <v>2676</v>
      </c>
      <c r="C2132" s="5" t="str">
        <f>IFERROR(__xludf.DUMMYFUNCTION("GOOGLETRANSLATE(B2132,""en"",""es-ES"")"),"Una persona de pie mirando a un hombre saca hielo en un automóvil.")</f>
        <v>Una persona de pie mirando a un hombre saca hielo en un automóvil.</v>
      </c>
    </row>
    <row r="2133">
      <c r="A2133" s="4" t="s">
        <v>2677</v>
      </c>
      <c r="B2133" s="4" t="s">
        <v>2678</v>
      </c>
      <c r="C2133" s="5" t="str">
        <f>IFERROR(__xludf.DUMMYFUNCTION("GOOGLETRANSLATE(B2133,""en"",""es-ES"")"),"Una mujer agrega hielo en un vaso mientras habla.")</f>
        <v>Una mujer agrega hielo en un vaso mientras habla.</v>
      </c>
    </row>
    <row r="2134">
      <c r="A2134" s="4" t="s">
        <v>2677</v>
      </c>
      <c r="B2134" s="4" t="s">
        <v>2679</v>
      </c>
      <c r="C2134" s="5" t="str">
        <f>IFERROR(__xludf.DUMMYFUNCTION("GOOGLETRANSLATE(B2134,""en"",""es-ES"")"),"Luego, la mujer agrega jarabe en el vidrio usando una taza de medida.")</f>
        <v>Luego, la mujer agrega jarabe en el vidrio usando una taza de medida.</v>
      </c>
    </row>
    <row r="2135">
      <c r="A2135" s="4" t="s">
        <v>2677</v>
      </c>
      <c r="B2135" s="4" t="s">
        <v>2680</v>
      </c>
      <c r="C2135" s="5" t="str">
        <f>IFERROR(__xludf.DUMMYFUNCTION("GOOGLETRANSLATE(B2135,""en"",""es-ES"")"),"Después, la mujer agrega líquido al vidrio, luego vierte ello en una taza negra.")</f>
        <v>Después, la mujer agrega líquido al vidrio, luego vierte ello en una taza negra.</v>
      </c>
    </row>
    <row r="2136">
      <c r="A2136" s="4" t="s">
        <v>2677</v>
      </c>
      <c r="B2136" s="4" t="s">
        <v>2681</v>
      </c>
      <c r="C2136" s="5" t="str">
        <f>IFERROR(__xludf.DUMMYFUNCTION("GOOGLETRANSLATE(B2136,""en"",""es-ES"")"),"Después, la mujer sirve la mezcla en otro vaso.")</f>
        <v>Después, la mujer sirve la mezcla en otro vaso.</v>
      </c>
    </row>
    <row r="2137">
      <c r="A2137" s="4" t="s">
        <v>2682</v>
      </c>
      <c r="B2137" s="4" t="s">
        <v>2683</v>
      </c>
      <c r="C2137" s="5" t="str">
        <f>IFERROR(__xludf.DUMMYFUNCTION("GOOGLETRANSLATE(B2137,""en"",""es-ES"")"),"Dos hombres están haciendo artes marciales con otros a su alrededor.")</f>
        <v>Dos hombres están haciendo artes marciales con otros a su alrededor.</v>
      </c>
    </row>
    <row r="2138">
      <c r="A2138" s="4" t="s">
        <v>2682</v>
      </c>
      <c r="B2138" s="4" t="s">
        <v>2684</v>
      </c>
      <c r="C2138" s="5" t="str">
        <f>IFERROR(__xludf.DUMMYFUNCTION("GOOGLETRANSLATE(B2138,""en"",""es-ES"")"),"Se muestra a muchos otros hombres haciendo varias flips y trucos entre sí.")</f>
        <v>Se muestra a muchos otros hombres haciendo varias flips y trucos entre sí.</v>
      </c>
    </row>
    <row r="2139">
      <c r="A2139" s="4" t="s">
        <v>2682</v>
      </c>
      <c r="B2139" s="4" t="s">
        <v>2685</v>
      </c>
      <c r="C2139" s="5" t="str">
        <f>IFERROR(__xludf.DUMMYFUNCTION("GOOGLETRANSLATE(B2139,""en"",""es-ES"")"),"Dos hombres se vuelven cerca uno del otro mientras otros a su alrededor miran.")</f>
        <v>Dos hombres se vuelven cerca uno del otro mientras otros a su alrededor miran.</v>
      </c>
    </row>
    <row r="2140">
      <c r="A2140" s="4" t="s">
        <v>2686</v>
      </c>
      <c r="B2140" s="4" t="s">
        <v>2687</v>
      </c>
      <c r="C2140" s="5" t="str">
        <f>IFERROR(__xludf.DUMMYFUNCTION("GOOGLETRANSLATE(B2140,""en"",""es-ES"")"),"Un hombre está alisando una sustancia en un techo con una llana.")</f>
        <v>Un hombre está alisando una sustancia en un techo con una llana.</v>
      </c>
    </row>
    <row r="2141">
      <c r="A2141" s="4" t="s">
        <v>2686</v>
      </c>
      <c r="B2141" s="4" t="s">
        <v>2688</v>
      </c>
      <c r="C2141" s="5" t="str">
        <f>IFERROR(__xludf.DUMMYFUNCTION("GOOGLETRANSLATE(B2141,""en"",""es-ES"")"),"Se mueve rápidamente para suavizar las abolladuras.")</f>
        <v>Se mueve rápidamente para suavizar las abolladuras.</v>
      </c>
    </row>
    <row r="2142">
      <c r="A2142" s="4" t="s">
        <v>2686</v>
      </c>
      <c r="B2142" s="4" t="s">
        <v>2689</v>
      </c>
      <c r="C2142" s="5" t="str">
        <f>IFERROR(__xludf.DUMMYFUNCTION("GOOGLETRANSLATE(B2142,""en"",""es-ES"")"),"El hombre se mueve hacia la parte inferior y suaviza la parte superior.")</f>
        <v>El hombre se mueve hacia la parte inferior y suaviza la parte superior.</v>
      </c>
    </row>
    <row r="2143">
      <c r="A2143" s="4" t="s">
        <v>2686</v>
      </c>
      <c r="B2143" s="4" t="s">
        <v>2690</v>
      </c>
      <c r="C2143" s="5" t="str">
        <f>IFERROR(__xludf.DUMMYFUNCTION("GOOGLETRANSLATE(B2143,""en"",""es-ES"")"),"Termina y se aleja.")</f>
        <v>Termina y se aleja.</v>
      </c>
    </row>
    <row r="2144">
      <c r="A2144" s="4" t="s">
        <v>2691</v>
      </c>
      <c r="B2144" s="4" t="s">
        <v>2692</v>
      </c>
      <c r="C2144" s="5" t="str">
        <f>IFERROR(__xludf.DUMMYFUNCTION("GOOGLETRANSLATE(B2144,""en"",""es-ES"")"),"Una mujer rubia se encuentra junto a un puente gritando.")</f>
        <v>Una mujer rubia se encuentra junto a un puente gritando.</v>
      </c>
    </row>
    <row r="2145">
      <c r="A2145" s="4" t="s">
        <v>2691</v>
      </c>
      <c r="B2145" s="4" t="s">
        <v>2693</v>
      </c>
      <c r="C2145" s="5" t="str">
        <f>IFERROR(__xludf.DUMMYFUNCTION("GOOGLETRANSLATE(B2145,""en"",""es-ES"")"),"Una morena extiende hilo púrpura y rojo a la mujer.")</f>
        <v>Una morena extiende hilo púrpura y rojo a la mujer.</v>
      </c>
    </row>
    <row r="2146">
      <c r="A2146" s="4" t="s">
        <v>2691</v>
      </c>
      <c r="B2146" s="4" t="s">
        <v>2694</v>
      </c>
      <c r="C2146" s="5" t="str">
        <f>IFERROR(__xludf.DUMMYFUNCTION("GOOGLETRANSLATE(B2146,""en"",""es-ES"")"),"La mujer está alucinando esto y luego está haciendo una entrevista.")</f>
        <v>La mujer está alucinando esto y luego está haciendo una entrevista.</v>
      </c>
    </row>
    <row r="2147">
      <c r="A2147" s="4" t="s">
        <v>2691</v>
      </c>
      <c r="B2147" s="4" t="s">
        <v>2695</v>
      </c>
      <c r="C2147" s="5" t="str">
        <f>IFERROR(__xludf.DUMMYFUNCTION("GOOGLETRANSLATE(B2147,""en"",""es-ES"")"),"Un grupo de personas en un aula se unía alegremente y juega con hilo.")</f>
        <v>Un grupo de personas en un aula se unía alegremente y juega con hilo.</v>
      </c>
    </row>
    <row r="2148">
      <c r="A2148" s="4" t="s">
        <v>2691</v>
      </c>
      <c r="B2148" s="4" t="s">
        <v>2696</v>
      </c>
      <c r="C2148" s="5" t="str">
        <f>IFERROR(__xludf.DUMMYFUNCTION("GOOGLETRANSLATE(B2148,""en"",""es-ES"")"),"La mujer rubia alucina ver a la mujer que le dio el hilo y comienza a reír histéricamente.")</f>
        <v>La mujer rubia alucina ver a la mujer que le dio el hilo y comienza a reír histéricamente.</v>
      </c>
    </row>
    <row r="2149">
      <c r="A2149" s="4" t="s">
        <v>2691</v>
      </c>
      <c r="B2149" s="4" t="s">
        <v>2697</v>
      </c>
      <c r="C2149" s="5" t="str">
        <f>IFERROR(__xludf.DUMMYFUNCTION("GOOGLETRANSLATE(B2149,""en"",""es-ES"")"),"El grupo muestra alegremente su hilo.")</f>
        <v>El grupo muestra alegremente su hilo.</v>
      </c>
    </row>
    <row r="2150">
      <c r="A2150" s="4" t="s">
        <v>2698</v>
      </c>
      <c r="B2150" s="4" t="s">
        <v>2699</v>
      </c>
      <c r="C2150" s="5" t="str">
        <f>IFERROR(__xludf.DUMMYFUNCTION("GOOGLETRANSLATE(B2150,""en"",""es-ES"")"),"Una multitud mira un espectáculo de gimnasia.")</f>
        <v>Una multitud mira un espectáculo de gimnasia.</v>
      </c>
    </row>
    <row r="2151">
      <c r="A2151" s="4" t="s">
        <v>2698</v>
      </c>
      <c r="B2151" s="4" t="s">
        <v>2700</v>
      </c>
      <c r="C2151" s="5" t="str">
        <f>IFERROR(__xludf.DUMMYFUNCTION("GOOGLETRANSLATE(B2151,""en"",""es-ES"")"),"Una gimnasta corre hasta una barra alta y se alterna entre la barra alta y baja, realizando varios movimientos de gimnasia y volteos.")</f>
        <v>Una gimnasta corre hasta una barra alta y se alterna entre la barra alta y baja, realizando varios movimientos de gimnasia y volteos.</v>
      </c>
    </row>
    <row r="2152">
      <c r="A2152" s="4" t="s">
        <v>2698</v>
      </c>
      <c r="B2152" s="4" t="s">
        <v>2701</v>
      </c>
      <c r="C2152" s="5" t="str">
        <f>IFERROR(__xludf.DUMMYFUNCTION("GOOGLETRANSLATE(B2152,""en"",""es-ES"")"),"Ella sale de la barra y aterriza en sus pies.")</f>
        <v>Ella sale de la barra y aterriza en sus pies.</v>
      </c>
    </row>
    <row r="2153">
      <c r="A2153" s="4" t="s">
        <v>2698</v>
      </c>
      <c r="B2153" s="4" t="s">
        <v>2702</v>
      </c>
      <c r="C2153" s="5" t="str">
        <f>IFERROR(__xludf.DUMMYFUNCTION("GOOGLETRANSLATE(B2153,""en"",""es-ES"")"),"Sus compañeros gimnastas se extienden hacia ella con emoción.")</f>
        <v>Sus compañeros gimnastas se extienden hacia ella con emoción.</v>
      </c>
    </row>
    <row r="2154">
      <c r="A2154" s="4" t="s">
        <v>2703</v>
      </c>
      <c r="B2154" s="4" t="s">
        <v>2704</v>
      </c>
      <c r="C2154" s="5" t="str">
        <f>IFERROR(__xludf.DUMMYFUNCTION("GOOGLETRANSLATE(B2154,""en"",""es-ES"")"),"Un hombre con un atuendo azul pone tiza en sus manos.")</f>
        <v>Un hombre con un atuendo azul pone tiza en sus manos.</v>
      </c>
    </row>
    <row r="2155">
      <c r="A2155" s="4" t="s">
        <v>2703</v>
      </c>
      <c r="B2155" s="4" t="s">
        <v>2705</v>
      </c>
      <c r="C2155" s="5" t="str">
        <f>IFERROR(__xludf.DUMMYFUNCTION("GOOGLETRANSLATE(B2155,""en"",""es-ES"")"),"Un hombre con una camisa amarilla está mirando.")</f>
        <v>Un hombre con una camisa amarilla está mirando.</v>
      </c>
    </row>
    <row r="2156">
      <c r="A2156" s="4" t="s">
        <v>2703</v>
      </c>
      <c r="B2156" s="4" t="s">
        <v>2706</v>
      </c>
      <c r="C2156" s="5" t="str">
        <f>IFERROR(__xludf.DUMMYFUNCTION("GOOGLETRANSLATE(B2156,""en"",""es-ES"")"),"El hombre en el atuendo azul recoge un gran peso y lo levanta sobre su cabeza.")</f>
        <v>El hombre en el atuendo azul recoge un gran peso y lo levanta sobre su cabeza.</v>
      </c>
    </row>
    <row r="2157">
      <c r="A2157" s="4" t="s">
        <v>2703</v>
      </c>
      <c r="B2157" s="4" t="s">
        <v>2707</v>
      </c>
      <c r="C2157" s="5" t="str">
        <f>IFERROR(__xludf.DUMMYFUNCTION("GOOGLETRANSLATE(B2157,""en"",""es-ES"")"),"La multitud lo anima.")</f>
        <v>La multitud lo anima.</v>
      </c>
    </row>
    <row r="2158">
      <c r="A2158" s="4" t="s">
        <v>2703</v>
      </c>
      <c r="B2158" s="4" t="s">
        <v>2708</v>
      </c>
      <c r="C2158" s="5" t="str">
        <f>IFERROR(__xludf.DUMMYFUNCTION("GOOGLETRANSLATE(B2158,""en"",""es-ES"")"),"Le da a un hombre con un traje un abrazo.")</f>
        <v>Le da a un hombre con un traje un abrazo.</v>
      </c>
    </row>
    <row r="2159">
      <c r="A2159" s="4" t="s">
        <v>2709</v>
      </c>
      <c r="B2159" s="4" t="s">
        <v>2710</v>
      </c>
      <c r="C2159" s="5" t="str">
        <f>IFERROR(__xludf.DUMMYFUNCTION("GOOGLETRANSLATE(B2159,""en"",""es-ES"")"),"Tres hombres con tablas de snowboard sacan un ascensor de esquí, y un hombre ate su zapato.")</f>
        <v>Tres hombres con tablas de snowboard sacan un ascensor de esquí, y un hombre ate su zapato.</v>
      </c>
    </row>
    <row r="2160">
      <c r="A2160" s="4" t="s">
        <v>2709</v>
      </c>
      <c r="B2160" s="4" t="s">
        <v>2711</v>
      </c>
      <c r="C2160" s="5" t="str">
        <f>IFERROR(__xludf.DUMMYFUNCTION("GOOGLETRANSLATE(B2160,""en"",""es-ES"")"),"Luego, los hombres esquían por una colina cubierta de nieve.")</f>
        <v>Luego, los hombres esquían por una colina cubierta de nieve.</v>
      </c>
    </row>
    <row r="2161">
      <c r="A2161" s="4" t="s">
        <v>2709</v>
      </c>
      <c r="B2161" s="4" t="s">
        <v>2712</v>
      </c>
      <c r="C2161" s="5" t="str">
        <f>IFERROR(__xludf.DUMMYFUNCTION("GOOGLETRANSLATE(B2161,""en"",""es-ES"")"),"Un hombre dobla las piernas sobre la nieve, luego continúa esquiando con otros hombres.")</f>
        <v>Un hombre dobla las piernas sobre la nieve, luego continúa esquiando con otros hombres.</v>
      </c>
    </row>
    <row r="2162">
      <c r="A2162" s="4" t="s">
        <v>2713</v>
      </c>
      <c r="B2162" s="4" t="s">
        <v>2714</v>
      </c>
      <c r="C2162" s="5" t="str">
        <f>IFERROR(__xludf.DUMMYFUNCTION("GOOGLETRANSLATE(B2162,""en"",""es-ES"")"),"Un hombre que sostiene un lanzamiento de bala se encuentra en una base.")</f>
        <v>Un hombre que sostiene un lanzamiento de bala se encuentra en una base.</v>
      </c>
    </row>
    <row r="2163">
      <c r="A2163" s="4" t="s">
        <v>2713</v>
      </c>
      <c r="B2163" s="4" t="s">
        <v>2715</v>
      </c>
      <c r="C2163" s="5" t="str">
        <f>IFERROR(__xludf.DUMMYFUNCTION("GOOGLETRANSLATE(B2163,""en"",""es-ES"")"),"El hombre da la espalda a la cámara y se prepara para lanzar.")</f>
        <v>El hombre da la espalda a la cámara y se prepara para lanzar.</v>
      </c>
    </row>
    <row r="2164">
      <c r="A2164" s="4" t="s">
        <v>2713</v>
      </c>
      <c r="B2164" s="4" t="s">
        <v>2716</v>
      </c>
      <c r="C2164" s="5" t="str">
        <f>IFERROR(__xludf.DUMMYFUNCTION("GOOGLETRANSLATE(B2164,""en"",""es-ES"")"),"El hombre lanza la pelota y gira.")</f>
        <v>El hombre lanza la pelota y gira.</v>
      </c>
    </row>
    <row r="2165">
      <c r="A2165" s="4" t="s">
        <v>2717</v>
      </c>
      <c r="B2165" s="4" t="s">
        <v>2718</v>
      </c>
      <c r="C2165" s="5" t="str">
        <f>IFERROR(__xludf.DUMMYFUNCTION("GOOGLETRANSLATE(B2165,""en"",""es-ES"")"),"Una mujer está en sus manos y rodillas cortando hierba con algunas tijeras.")</f>
        <v>Una mujer está en sus manos y rodillas cortando hierba con algunas tijeras.</v>
      </c>
    </row>
    <row r="2166">
      <c r="A2166" s="4" t="s">
        <v>2717</v>
      </c>
      <c r="B2166" s="4" t="s">
        <v>2719</v>
      </c>
      <c r="C2166" s="5" t="str">
        <f>IFERROR(__xludf.DUMMYFUNCTION("GOOGLETRANSLATE(B2166,""en"",""es-ES"")"),"La cámara se desplaza para dar una vista completa de ella cortando la hierba.")</f>
        <v>La cámara se desplaza para dar una vista completa de ella cortando la hierba.</v>
      </c>
    </row>
    <row r="2167">
      <c r="A2167" s="4" t="s">
        <v>2717</v>
      </c>
      <c r="B2167" s="4" t="s">
        <v>2720</v>
      </c>
      <c r="C2167" s="5" t="str">
        <f>IFERROR(__xludf.DUMMYFUNCTION("GOOGLETRANSLATE(B2167,""en"",""es-ES"")"),"Ella hace una broma sobre la hierba que tiene puntas abiertas y malas raíces.")</f>
        <v>Ella hace una broma sobre la hierba que tiene puntas abiertas y malas raíces.</v>
      </c>
    </row>
    <row r="2168">
      <c r="A2168" s="4" t="s">
        <v>2717</v>
      </c>
      <c r="B2168" s="4" t="s">
        <v>2721</v>
      </c>
      <c r="C2168" s="5" t="str">
        <f>IFERROR(__xludf.DUMMYFUNCTION("GOOGLETRANSLATE(B2168,""en"",""es-ES"")"),"La cámara vuelve a un primer plano de la hierba y el video termina.")</f>
        <v>La cámara vuelve a un primer plano de la hierba y el video termina.</v>
      </c>
    </row>
    <row r="2169">
      <c r="A2169" s="4" t="s">
        <v>2722</v>
      </c>
      <c r="B2169" s="4" t="s">
        <v>2723</v>
      </c>
      <c r="C2169" s="5" t="str">
        <f>IFERROR(__xludf.DUMMYFUNCTION("GOOGLETRANSLATE(B2169,""en"",""es-ES"")"),"Una cámara se mueve alrededor de varias áreas boscosas y conduce a un niño que sostiene un soplador de hojas y sonríe a la cámara.")</f>
        <v>Una cámara se mueve alrededor de varias áreas boscosas y conduce a un niño que sostiene un soplador de hojas y sonríe a la cámara.</v>
      </c>
    </row>
    <row r="2170">
      <c r="A2170" s="4" t="s">
        <v>2722</v>
      </c>
      <c r="B2170" s="4" t="s">
        <v>2724</v>
      </c>
      <c r="C2170" s="5" t="str">
        <f>IFERROR(__xludf.DUMMYFUNCTION("GOOGLETRANSLATE(B2170,""en"",""es-ES"")"),"La cámara se mueve a un hombre mayor y luego de regreso a los niños que soplan hojas.")</f>
        <v>La cámara se mueve a un hombre mayor y luego de regreso a los niños que soplan hojas.</v>
      </c>
    </row>
    <row r="2171">
      <c r="A2171" s="4" t="s">
        <v>2725</v>
      </c>
      <c r="B2171" s="4" t="s">
        <v>2726</v>
      </c>
      <c r="C2171" s="5" t="str">
        <f>IFERROR(__xludf.DUMMYFUNCTION("GOOGLETRANSLATE(B2171,""en"",""es-ES"")"),"Un hombre con troncos verdes arroja a un hombre con troncos rojos en un anillo de lucha libre.")</f>
        <v>Un hombre con troncos verdes arroja a un hombre con troncos rojos en un anillo de lucha libre.</v>
      </c>
    </row>
    <row r="2172">
      <c r="A2172" s="4" t="s">
        <v>2725</v>
      </c>
      <c r="B2172" s="4" t="s">
        <v>2727</v>
      </c>
      <c r="C2172" s="5" t="str">
        <f>IFERROR(__xludf.DUMMYFUNCTION("GOOGLETRANSLATE(B2172,""en"",""es-ES"")"),"El hombre en troncos verdes sale del ring.")</f>
        <v>El hombre en troncos verdes sale del ring.</v>
      </c>
    </row>
    <row r="2173">
      <c r="A2173" s="4" t="s">
        <v>2725</v>
      </c>
      <c r="B2173" s="4" t="s">
        <v>2728</v>
      </c>
      <c r="C2173" s="5" t="str">
        <f>IFERROR(__xludf.DUMMYFUNCTION("GOOGLETRANSLATE(B2173,""en"",""es-ES"")"),"El hombre en troncos verdes arroja al otro hombre.")</f>
        <v>El hombre en troncos verdes arroja al otro hombre.</v>
      </c>
    </row>
    <row r="2174">
      <c r="A2174" s="4" t="s">
        <v>2725</v>
      </c>
      <c r="B2174" s="4" t="s">
        <v>2729</v>
      </c>
      <c r="C2174" s="5" t="str">
        <f>IFERROR(__xludf.DUMMYFUNCTION("GOOGLETRANSLATE(B2174,""en"",""es-ES"")"),"El hombre en troncos verdes bombaza al otro hombre.")</f>
        <v>El hombre en troncos verdes bombaza al otro hombre.</v>
      </c>
    </row>
    <row r="2175">
      <c r="A2175" s="4" t="s">
        <v>2725</v>
      </c>
      <c r="B2175" s="4" t="s">
        <v>2730</v>
      </c>
      <c r="C2175" s="5" t="str">
        <f>IFERROR(__xludf.DUMMYFUNCTION("GOOGLETRANSLATE(B2175,""en"",""es-ES"")"),"El hombre de troncos verdes atrae al otro hombre y gana el partido.")</f>
        <v>El hombre de troncos verdes atrae al otro hombre y gana el partido.</v>
      </c>
    </row>
    <row r="2176">
      <c r="A2176" s="4" t="s">
        <v>2731</v>
      </c>
      <c r="B2176" s="4" t="s">
        <v>2732</v>
      </c>
      <c r="C2176" s="5" t="str">
        <f>IFERROR(__xludf.DUMMYFUNCTION("GOOGLETRANSLATE(B2176,""en"",""es-ES"")"),"Está nevando fuera de una casa con una camioneta gris estacada y el hombre sostiene herramientas, baja la cámara y luego comienza a limpiar la nieve de la camioneta.")</f>
        <v>Está nevando fuera de una casa con una camioneta gris estacada y el hombre sostiene herramientas, baja la cámara y luego comienza a limpiar la nieve de la camioneta.</v>
      </c>
    </row>
    <row r="2177">
      <c r="A2177" s="4" t="s">
        <v>2731</v>
      </c>
      <c r="B2177" s="4" t="s">
        <v>2733</v>
      </c>
      <c r="C2177" s="5" t="str">
        <f>IFERROR(__xludf.DUMMYFUNCTION("GOOGLETRANSLATE(B2177,""en"",""es-ES"")"),"El hombre mueve la cámara y ajusta la posición y luego regresa a la camioneta comienza a limpiar la nieve de toda la parte superior de la camioneta.")</f>
        <v>El hombre mueve la cámara y ajusta la posición y luego regresa a la camioneta comienza a limpiar la nieve de toda la parte superior de la camioneta.</v>
      </c>
    </row>
    <row r="2178">
      <c r="A2178" s="4" t="s">
        <v>2731</v>
      </c>
      <c r="B2178" s="4" t="s">
        <v>2734</v>
      </c>
      <c r="C2178" s="5" t="str">
        <f>IFERROR(__xludf.DUMMYFUNCTION("GOOGLETRANSLATE(B2178,""en"",""es-ES"")"),"El hombre regresa a la cámara y la mueve una vez más para que pueda capturar una vista diferente y continúa limpiando la nieve del costado y la parte superior de la camioneta.")</f>
        <v>El hombre regresa a la cámara y la mueve una vez más para que pueda capturar una vista diferente y continúa limpiando la nieve del costado y la parte superior de la camioneta.</v>
      </c>
    </row>
    <row r="2179">
      <c r="A2179" s="4" t="s">
        <v>2731</v>
      </c>
      <c r="B2179" s="4" t="s">
        <v>2735</v>
      </c>
      <c r="C2179" s="5" t="str">
        <f>IFERROR(__xludf.DUMMYFUNCTION("GOOGLETRANSLATE(B2179,""en"",""es-ES"")"),"La pieza de la herramienta se rompe y el hombre lo agarra y lo muestra a la cámara y continúa hablando, sale de la cámara y luego muestra la cámara que ha arreglado la herramienta y luego mueve la cámara nuevamente.")</f>
        <v>La pieza de la herramienta se rompe y el hombre lo agarra y lo muestra a la cámara y continúa hablando, sale de la cámara y luego muestra la cámara que ha arreglado la herramienta y luego mueve la cámara nuevamente.</v>
      </c>
    </row>
    <row r="2180">
      <c r="A2180" s="4" t="s">
        <v>2731</v>
      </c>
      <c r="B2180" s="4" t="s">
        <v>2736</v>
      </c>
      <c r="C2180" s="5" t="str">
        <f>IFERROR(__xludf.DUMMYFUNCTION("GOOGLETRANSLATE(B2180,""en"",""es-ES"")"),"Aparece una mujer y toca la camioneta con las manos y comienza a limpiarse la nieve con solo las manos.")</f>
        <v>Aparece una mujer y toca la camioneta con las manos y comienza a limpiarse la nieve con solo las manos.</v>
      </c>
    </row>
    <row r="2181">
      <c r="A2181" s="4" t="s">
        <v>2737</v>
      </c>
      <c r="B2181" s="4" t="s">
        <v>2738</v>
      </c>
      <c r="C2181" s="5" t="str">
        <f>IFERROR(__xludf.DUMMYFUNCTION("GOOGLETRANSLATE(B2181,""en"",""es-ES"")"),"Primero se muestra una pantalla, mostrando qué canción tocará el hombre usando la guitarra.")</f>
        <v>Primero se muestra una pantalla, mostrando qué canción tocará el hombre usando la guitarra.</v>
      </c>
    </row>
    <row r="2182">
      <c r="A2182" s="4" t="s">
        <v>2737</v>
      </c>
      <c r="B2182" s="4" t="s">
        <v>2739</v>
      </c>
      <c r="C2182" s="5" t="str">
        <f>IFERROR(__xludf.DUMMYFUNCTION("GOOGLETRANSLATE(B2182,""en"",""es-ES"")"),"Luego se muestra al hombre sentado tocando la guitarra y nunca mira la cámara.")</f>
        <v>Luego se muestra al hombre sentado tocando la guitarra y nunca mira la cámara.</v>
      </c>
    </row>
    <row r="2183">
      <c r="A2183" s="4" t="s">
        <v>2737</v>
      </c>
      <c r="B2183" s="4" t="s">
        <v>2740</v>
      </c>
      <c r="C2183" s="5" t="str">
        <f>IFERROR(__xludf.DUMMYFUNCTION("GOOGLETRANSLATE(B2183,""en"",""es-ES"")"),"Finalmente, el video termina y lo único visto es la oscuridad.")</f>
        <v>Finalmente, el video termina y lo único visto es la oscuridad.</v>
      </c>
    </row>
    <row r="2184">
      <c r="A2184" s="4" t="s">
        <v>2741</v>
      </c>
      <c r="B2184" s="4" t="s">
        <v>2742</v>
      </c>
      <c r="C2184" s="5" t="str">
        <f>IFERROR(__xludf.DUMMYFUNCTION("GOOGLETRANSLATE(B2184,""en"",""es-ES"")"),"Se ve a una mujer parada lista en un tablero de buceo y la lleva a la extiende y realiza una inmersión impresionante.")</f>
        <v>Se ve a una mujer parada lista en un tablero de buceo y la lleva a la extiende y realiza una inmersión impresionante.</v>
      </c>
    </row>
    <row r="2185">
      <c r="A2185" s="4" t="s">
        <v>2741</v>
      </c>
      <c r="B2185" s="4" t="s">
        <v>2743</v>
      </c>
      <c r="C2185" s="5" t="str">
        <f>IFERROR(__xludf.DUMMYFUNCTION("GOOGLETRANSLATE(B2185,""en"",""es-ES"")"),"Se ve a la mujer varias veces más sumergirse en la piscina y llegar a la superficie.")</f>
        <v>Se ve a la mujer varias veces más sumergirse en la piscina y llegar a la superficie.</v>
      </c>
    </row>
    <row r="2186">
      <c r="A2186" s="4" t="s">
        <v>2744</v>
      </c>
      <c r="B2186" s="4" t="s">
        <v>2745</v>
      </c>
      <c r="C2186" s="5" t="str">
        <f>IFERROR(__xludf.DUMMYFUNCTION("GOOGLETRANSLATE(B2186,""en"",""es-ES"")"),"Un hombre habla en una oficina con una armónica.")</f>
        <v>Un hombre habla en una oficina con una armónica.</v>
      </c>
    </row>
    <row r="2187">
      <c r="A2187" s="4" t="s">
        <v>2744</v>
      </c>
      <c r="B2187" s="4" t="s">
        <v>2746</v>
      </c>
      <c r="C2187" s="5" t="str">
        <f>IFERROR(__xludf.DUMMYFUNCTION("GOOGLETRANSLATE(B2187,""en"",""es-ES"")"),"Luego, el hombre abre un soporte y enciende la radio.")</f>
        <v>Luego, el hombre abre un soporte y enciende la radio.</v>
      </c>
    </row>
    <row r="2188">
      <c r="A2188" s="4" t="s">
        <v>2744</v>
      </c>
      <c r="B2188" s="4" t="s">
        <v>2747</v>
      </c>
      <c r="C2188" s="5" t="str">
        <f>IFERROR(__xludf.DUMMYFUNCTION("GOOGLETRANSLATE(B2188,""en"",""es-ES"")"),"Después, el hombre Plyas la armónica.")</f>
        <v>Después, el hombre Plyas la armónica.</v>
      </c>
    </row>
    <row r="2189">
      <c r="A2189" s="4" t="s">
        <v>2748</v>
      </c>
      <c r="B2189" s="4" t="s">
        <v>2749</v>
      </c>
      <c r="C2189" s="5" t="str">
        <f>IFERROR(__xludf.DUMMYFUNCTION("GOOGLETRANSLATE(B2189,""en"",""es-ES"")"),"Se ve a un gran grupo de soldados del ejército sosteniendo una cuerda grande en un lado el uno del otro mientras otros soldados observan.")</f>
        <v>Se ve a un gran grupo de soldados del ejército sosteniendo una cuerda grande en un lado el uno del otro mientras otros soldados observan.</v>
      </c>
    </row>
    <row r="2190">
      <c r="A2190" s="4" t="s">
        <v>2748</v>
      </c>
      <c r="B2190" s="4" t="s">
        <v>2750</v>
      </c>
      <c r="C2190" s="5" t="str">
        <f>IFERROR(__xludf.DUMMYFUNCTION("GOOGLETRANSLATE(B2190,""en"",""es-ES"")"),"Un hombre se para en el medio y la gente comienza a sacar la cuerda unos de otros.")</f>
        <v>Un hombre se para en el medio y la gente comienza a sacar la cuerda unos de otros.</v>
      </c>
    </row>
    <row r="2191">
      <c r="A2191" s="4" t="s">
        <v>2748</v>
      </c>
      <c r="B2191" s="4" t="s">
        <v>2751</v>
      </c>
      <c r="C2191" s="5" t="str">
        <f>IFERROR(__xludf.DUMMYFUNCTION("GOOGLETRANSLATE(B2191,""en"",""es-ES"")"),"Un lado derriba a los demás y el resto del equipo anima mientras la cámara se desplaza.")</f>
        <v>Un lado derriba a los demás y el resto del equipo anima mientras la cámara se desplaza.</v>
      </c>
    </row>
    <row r="2192">
      <c r="A2192" s="4" t="s">
        <v>2752</v>
      </c>
      <c r="B2192" s="4" t="s">
        <v>2753</v>
      </c>
      <c r="C2192" s="5" t="str">
        <f>IFERROR(__xludf.DUMMYFUNCTION("GOOGLETRANSLATE(B2192,""en"",""es-ES"")"),"El video muestra dos países representados por uniformes azules y verdes que juegan profesionalmente el juego de cricket.")</f>
        <v>El video muestra dos países representados por uniformes azules y verdes que juegan profesionalmente el juego de cricket.</v>
      </c>
    </row>
    <row r="2193">
      <c r="A2193" s="4" t="s">
        <v>2752</v>
      </c>
      <c r="B2193" s="4" t="s">
        <v>2754</v>
      </c>
      <c r="C2193" s="5" t="str">
        <f>IFERROR(__xludf.DUMMYFUNCTION("GOOGLETRANSLATE(B2193,""en"",""es-ES"")"),"Los bateadores están bateando mientras el jugador de bolos está haciendo un tiro por encima.")</f>
        <v>Los bateadores están bateando mientras el jugador de bolos está haciendo un tiro por encima.</v>
      </c>
    </row>
    <row r="2194">
      <c r="A2194" s="4" t="s">
        <v>2752</v>
      </c>
      <c r="B2194" s="4" t="s">
        <v>2755</v>
      </c>
      <c r="C2194" s="5" t="str">
        <f>IFERROR(__xludf.DUMMYFUNCTION("GOOGLETRANSLATE(B2194,""en"",""es-ES"")"),"La siguiente escena muestra a un equipo de jugadores de cricket con uniformes blancos que se preparan para jugar mientras se reúnen en un círculo con su capitán.")</f>
        <v>La siguiente escena muestra a un equipo de jugadores de cricket con uniformes blancos que se preparan para jugar mientras se reúnen en un círculo con su capitán.</v>
      </c>
    </row>
    <row r="2195">
      <c r="A2195" s="4" t="s">
        <v>2756</v>
      </c>
      <c r="B2195" s="4" t="s">
        <v>2757</v>
      </c>
      <c r="C2195" s="5" t="str">
        <f>IFERROR(__xludf.DUMMYFUNCTION("GOOGLETRANSLATE(B2195,""en"",""es-ES"")"),"Una niña entra al centro de una habitación con un hula hoop.")</f>
        <v>Una niña entra al centro de una habitación con un hula hoop.</v>
      </c>
    </row>
    <row r="2196">
      <c r="A2196" s="4" t="s">
        <v>2756</v>
      </c>
      <c r="B2196" s="4" t="s">
        <v>2758</v>
      </c>
      <c r="C2196" s="5" t="str">
        <f>IFERROR(__xludf.DUMMYFUNCTION("GOOGLETRANSLATE(B2196,""en"",""es-ES"")"),"Ella hace varios actos y acrobacias con el aro, llevando la cabeza y los brazos dentro y fuera.")</f>
        <v>Ella hace varios actos y acrobacias con el aro, llevando la cabeza y los brazos dentro y fuera.</v>
      </c>
    </row>
    <row r="2197">
      <c r="A2197" s="4" t="s">
        <v>2759</v>
      </c>
      <c r="B2197" s="4" t="s">
        <v>2760</v>
      </c>
      <c r="C2197" s="5" t="str">
        <f>IFERROR(__xludf.DUMMYFUNCTION("GOOGLETRANSLATE(B2197,""en"",""es-ES"")"),"Se ve a una persona parada junto a un árbol mientras saluda y habla con la cámara.")</f>
        <v>Se ve a una persona parada junto a un árbol mientras saluda y habla con la cámara.</v>
      </c>
    </row>
    <row r="2198">
      <c r="A2198" s="4" t="s">
        <v>2759</v>
      </c>
      <c r="B2198" s="4" t="s">
        <v>2761</v>
      </c>
      <c r="C2198" s="5" t="str">
        <f>IFERROR(__xludf.DUMMYFUNCTION("GOOGLETRANSLATE(B2198,""en"",""es-ES"")"),"Luego, la persona sostiene la tierra y conduce a varios clips de ella rastrillando un árbol y apuntando a él.")</f>
        <v>Luego, la persona sostiene la tierra y conduce a varios clips de ella rastrillando un árbol y apuntando a él.</v>
      </c>
    </row>
    <row r="2199">
      <c r="A2199" s="4" t="s">
        <v>2762</v>
      </c>
      <c r="B2199" s="4" t="s">
        <v>2763</v>
      </c>
      <c r="C2199" s="5" t="str">
        <f>IFERROR(__xludf.DUMMYFUNCTION("GOOGLETRANSLATE(B2199,""en"",""es-ES"")"),"Aparece una pantalla de introducción de nubes y las palabras azules a través de ella dicen ""Hookah Trick Montage HD"".")</f>
        <v>Aparece una pantalla de introducción de nubes y las palabras azules a través de ella dicen "Hookah Trick Montage HD".</v>
      </c>
    </row>
    <row r="2200">
      <c r="A2200" s="4" t="s">
        <v>2762</v>
      </c>
      <c r="B2200" s="4" t="s">
        <v>2764</v>
      </c>
      <c r="C2200" s="5" t="str">
        <f>IFERROR(__xludf.DUMMYFUNCTION("GOOGLETRANSLATE(B2200,""en"",""es-ES"")"),"Varias palabras aparecen entre muchos clips diferentes de muchas personas diferentes que salen de humo de la boca y hacen muchos trucos diferentes; Y cuando las palabras se juntan, dicen ""es hora de hacerlo bien"".")</f>
        <v>Varias palabras aparecen entre muchos clips diferentes de muchas personas diferentes que salen de humo de la boca y hacen muchos trucos diferentes; Y cuando las palabras se juntan, dicen "es hora de hacerlo bien".</v>
      </c>
    </row>
    <row r="2201">
      <c r="A2201" s="4" t="s">
        <v>2762</v>
      </c>
      <c r="B2201" s="4" t="s">
        <v>2765</v>
      </c>
      <c r="C2201" s="5" t="str">
        <f>IFERROR(__xludf.DUMMYFUNCTION("GOOGLETRANSLATE(B2201,""en"",""es-ES"")"),"Cuando se realizan los clips, aparece una pantalla negra y aparecen letras azules y dice ""gracias por mirar"".")</f>
        <v>Cuando se realizan los clips, aparece una pantalla negra y aparecen letras azules y dice "gracias por mirar".</v>
      </c>
    </row>
    <row r="2202">
      <c r="A2202" s="4" t="s">
        <v>2766</v>
      </c>
      <c r="B2202" s="4" t="s">
        <v>2767</v>
      </c>
      <c r="C2202" s="5" t="str">
        <f>IFERROR(__xludf.DUMMYFUNCTION("GOOGLETRANSLATE(B2202,""en"",""es-ES"")"),"Un niño está en un coche de parachoques, girando solo.")</f>
        <v>Un niño está en un coche de parachoques, girando solo.</v>
      </c>
    </row>
    <row r="2203">
      <c r="A2203" s="4" t="s">
        <v>2766</v>
      </c>
      <c r="B2203" s="4" t="s">
        <v>2768</v>
      </c>
      <c r="C2203" s="5" t="str">
        <f>IFERROR(__xludf.DUMMYFUNCTION("GOOGLETRANSLATE(B2203,""en"",""es-ES"")"),"Se mueve hacia atrás y hacia adelante en su auto.")</f>
        <v>Se mueve hacia atrás y hacia adelante en su auto.</v>
      </c>
    </row>
    <row r="2204">
      <c r="A2204" s="4" t="s">
        <v>2766</v>
      </c>
      <c r="B2204" s="4" t="s">
        <v>2769</v>
      </c>
      <c r="C2204" s="5" t="str">
        <f>IFERROR(__xludf.DUMMYFUNCTION("GOOGLETRANSLATE(B2204,""en"",""es-ES"")"),"Se ve solo cuando finalmente se detiene.")</f>
        <v>Se ve solo cuando finalmente se detiene.</v>
      </c>
    </row>
    <row r="2205">
      <c r="A2205" s="4" t="s">
        <v>2770</v>
      </c>
      <c r="B2205" s="4" t="s">
        <v>2771</v>
      </c>
      <c r="C2205" s="5" t="str">
        <f>IFERROR(__xludf.DUMMYFUNCTION("GOOGLETRANSLATE(B2205,""en"",""es-ES"")"),"La gente interactúa en una arena de hielo en circulación.")</f>
        <v>La gente interactúa en una arena de hielo en circulación.</v>
      </c>
    </row>
    <row r="2206">
      <c r="A2206" s="4" t="s">
        <v>2770</v>
      </c>
      <c r="B2206" s="4" t="s">
        <v>2772</v>
      </c>
      <c r="C2206" s="5" t="str">
        <f>IFERROR(__xludf.DUMMYFUNCTION("GOOGLETRANSLATE(B2206,""en"",""es-ES"")"),"Una dama habla con un grupo de hombres.")</f>
        <v>Una dama habla con un grupo de hombres.</v>
      </c>
    </row>
    <row r="2207">
      <c r="A2207" s="4" t="s">
        <v>2770</v>
      </c>
      <c r="B2207" s="4" t="s">
        <v>2773</v>
      </c>
      <c r="C2207" s="5" t="str">
        <f>IFERROR(__xludf.DUMMYFUNCTION("GOOGLETRANSLATE(B2207,""en"",""es-ES"")"),"Un chico se desliza, cae en la arena de hielo y se ríe.")</f>
        <v>Un chico se desliza, cae en la arena de hielo y se ríe.</v>
      </c>
    </row>
    <row r="2208">
      <c r="A2208" s="4" t="s">
        <v>2770</v>
      </c>
      <c r="B2208" s="4" t="s">
        <v>2774</v>
      </c>
      <c r="C2208" s="5" t="str">
        <f>IFERROR(__xludf.DUMMYFUNCTION("GOOGLETRANSLATE(B2208,""en"",""es-ES"")"),"Un hombre abre la boca muy amplia para mostrar su emoción.")</f>
        <v>Un hombre abre la boca muy amplia para mostrar su emoción.</v>
      </c>
    </row>
    <row r="2209">
      <c r="A2209" s="4" t="s">
        <v>2770</v>
      </c>
      <c r="B2209" s="4" t="s">
        <v>2775</v>
      </c>
      <c r="C2209" s="5" t="str">
        <f>IFERROR(__xludf.DUMMYFUNCTION("GOOGLETRANSLATE(B2209,""en"",""es-ES"")"),"Una dama detiene la piedra círica con una escoba.")</f>
        <v>Una dama detiene la piedra círica con una escoba.</v>
      </c>
    </row>
    <row r="2210">
      <c r="A2210" s="4" t="s">
        <v>2770</v>
      </c>
      <c r="B2210" s="4" t="s">
        <v>2776</v>
      </c>
      <c r="C2210" s="5" t="str">
        <f>IFERROR(__xludf.DUMMYFUNCTION("GOOGLETRANSLATE(B2210,""en"",""es-ES"")"),"Se muestran los créditos con dos mini clips.")</f>
        <v>Se muestran los créditos con dos mini clips.</v>
      </c>
    </row>
    <row r="2211">
      <c r="A2211" s="4" t="s">
        <v>2777</v>
      </c>
      <c r="B2211" s="4" t="s">
        <v>2778</v>
      </c>
      <c r="C2211" s="5" t="str">
        <f>IFERROR(__xludf.DUMMYFUNCTION("GOOGLETRANSLATE(B2211,""en"",""es-ES"")"),"Un niño mayor y uno más joven están en una cancha de racquetball.")</f>
        <v>Un niño mayor y uno más joven están en una cancha de racquetball.</v>
      </c>
    </row>
    <row r="2212">
      <c r="A2212" s="4" t="s">
        <v>2777</v>
      </c>
      <c r="B2212" s="4" t="s">
        <v>2779</v>
      </c>
      <c r="C2212" s="5" t="str">
        <f>IFERROR(__xludf.DUMMYFUNCTION("GOOGLETRANSLATE(B2212,""en"",""es-ES"")"),"Golpearon la pelota de un lado a otro contra la pared.")</f>
        <v>Golpearon la pelota de un lado a otro contra la pared.</v>
      </c>
    </row>
    <row r="2213">
      <c r="A2213" s="4" t="s">
        <v>2777</v>
      </c>
      <c r="B2213" s="4" t="s">
        <v>2780</v>
      </c>
      <c r="C2213" s="5" t="str">
        <f>IFERROR(__xludf.DUMMYFUNCTION("GOOGLETRANSLATE(B2213,""en"",""es-ES"")"),"Continúan luchando por el balón, tratando de vencerse en el juego.")</f>
        <v>Continúan luchando por el balón, tratando de vencerse en el juego.</v>
      </c>
    </row>
    <row r="2214">
      <c r="A2214" s="4" t="s">
        <v>2781</v>
      </c>
      <c r="B2214" s="4" t="s">
        <v>2782</v>
      </c>
      <c r="C2214" s="5" t="str">
        <f>IFERROR(__xludf.DUMMYFUNCTION("GOOGLETRANSLATE(B2214,""en"",""es-ES"")"),"Vemos el título en una pantalla negra.")</f>
        <v>Vemos el título en una pantalla negra.</v>
      </c>
    </row>
    <row r="2215">
      <c r="A2215" s="4" t="s">
        <v>2781</v>
      </c>
      <c r="B2215" s="4" t="s">
        <v>2783</v>
      </c>
      <c r="C2215" s="5" t="str">
        <f>IFERROR(__xludf.DUMMYFUNCTION("GOOGLETRANSLATE(B2215,""en"",""es-ES"")"),"La gente está en línea en una pendiente de esquí.")</f>
        <v>La gente está en línea en una pendiente de esquí.</v>
      </c>
    </row>
    <row r="2216">
      <c r="A2216" s="4" t="s">
        <v>2781</v>
      </c>
      <c r="B2216" s="4" t="s">
        <v>2784</v>
      </c>
      <c r="C2216" s="5" t="str">
        <f>IFERROR(__xludf.DUMMYFUNCTION("GOOGLETRANSLATE(B2216,""en"",""es-ES"")"),"Vemos personas en balsas que se llevan cuesta arriba y personas que montan balsas por la pendiente.")</f>
        <v>Vemos personas en balsas que se llevan cuesta arriba y personas que montan balsas por la pendiente.</v>
      </c>
    </row>
    <row r="2217">
      <c r="A2217" s="4" t="s">
        <v>2781</v>
      </c>
      <c r="B2217" s="4" t="s">
        <v>2785</v>
      </c>
      <c r="C2217" s="5" t="str">
        <f>IFERROR(__xludf.DUMMYFUNCTION("GOOGLETRANSLATE(B2217,""en"",""es-ES"")"),"Vemos a un hombre en la cima de la montaña.")</f>
        <v>Vemos a un hombre en la cima de la montaña.</v>
      </c>
    </row>
    <row r="2218">
      <c r="A2218" s="4" t="s">
        <v>2781</v>
      </c>
      <c r="B2218" s="4" t="s">
        <v>2786</v>
      </c>
      <c r="C2218" s="5" t="str">
        <f>IFERROR(__xludf.DUMMYFUNCTION("GOOGLETRANSLATE(B2218,""en"",""es-ES"")"),"Vemos que la escritura indica que la cámara se dejó caer.")</f>
        <v>Vemos que la escritura indica que la cámara se dejó caer.</v>
      </c>
    </row>
    <row r="2219">
      <c r="A2219" s="4" t="s">
        <v>2781</v>
      </c>
      <c r="B2219" s="4" t="s">
        <v>2787</v>
      </c>
      <c r="C2219" s="5" t="str">
        <f>IFERROR(__xludf.DUMMYFUNCTION("GOOGLETRANSLATE(B2219,""en"",""es-ES"")"),"El hombre filma su rostro mientras se desliza cuesta abajo.")</f>
        <v>El hombre filma su rostro mientras se desliza cuesta abajo.</v>
      </c>
    </row>
    <row r="2220">
      <c r="A2220" s="4" t="s">
        <v>2781</v>
      </c>
      <c r="B2220" s="4" t="s">
        <v>2788</v>
      </c>
      <c r="C2220" s="5" t="str">
        <f>IFERROR(__xludf.DUMMYFUNCTION("GOOGLETRANSLATE(B2220,""en"",""es-ES"")"),"Vemos la cara de un joven mientras se mueve cuesta abajo.")</f>
        <v>Vemos la cara de un joven mientras se mueve cuesta abajo.</v>
      </c>
    </row>
    <row r="2221">
      <c r="A2221" s="4" t="s">
        <v>2781</v>
      </c>
      <c r="B2221" s="4" t="s">
        <v>2789</v>
      </c>
      <c r="C2221" s="5" t="str">
        <f>IFERROR(__xludf.DUMMYFUNCTION("GOOGLETRANSLATE(B2221,""en"",""es-ES"")"),"Vemos personas caminando hacia sus autos en el estacionamiento.")</f>
        <v>Vemos personas caminando hacia sus autos en el estacionamiento.</v>
      </c>
    </row>
    <row r="2222">
      <c r="A2222" s="4" t="s">
        <v>2781</v>
      </c>
      <c r="B2222" s="4" t="s">
        <v>2790</v>
      </c>
      <c r="C2222" s="5" t="str">
        <f>IFERROR(__xludf.DUMMYFUNCTION("GOOGLETRANSLATE(B2222,""en"",""es-ES"")"),"Al final vemos a un niño acostado en una balsa.")</f>
        <v>Al final vemos a un niño acostado en una balsa.</v>
      </c>
    </row>
    <row r="2223">
      <c r="A2223" s="4" t="s">
        <v>2791</v>
      </c>
      <c r="B2223" s="4" t="s">
        <v>2792</v>
      </c>
      <c r="C2223" s="5" t="str">
        <f>IFERROR(__xludf.DUMMYFUNCTION("GOOGLETRANSLATE(B2223,""en"",""es-ES"")"),"Se muestra una cuenta regresiva seguida de una mujer que atrapa bolas arrojadas.")</f>
        <v>Se muestra una cuenta regresiva seguida de una mujer que atrapa bolas arrojadas.</v>
      </c>
    </row>
    <row r="2224">
      <c r="A2224" s="4" t="s">
        <v>2791</v>
      </c>
      <c r="B2224" s="4" t="s">
        <v>2793</v>
      </c>
      <c r="C2224" s="5" t="str">
        <f>IFERROR(__xludf.DUMMYFUNCTION("GOOGLETRANSLATE(B2224,""en"",""es-ES"")"),"El número cuenta más y muestra más clips de mujeres jugando Dodgeball.")</f>
        <v>El número cuenta más y muestra más clips de mujeres jugando Dodgeball.</v>
      </c>
    </row>
    <row r="2225">
      <c r="A2225" s="4" t="s">
        <v>2791</v>
      </c>
      <c r="B2225" s="4" t="s">
        <v>2794</v>
      </c>
      <c r="C2225" s="5" t="str">
        <f>IFERROR(__xludf.DUMMYFUNCTION("GOOGLETRANSLATE(B2225,""en"",""es-ES"")"),"Se muestran varios números y clips más que terminan con personas que realizan lanzamientos impresionantes.")</f>
        <v>Se muestran varios números y clips más que terminan con personas que realizan lanzamientos impresionantes.</v>
      </c>
    </row>
    <row r="2226">
      <c r="A2226" s="4" t="s">
        <v>2795</v>
      </c>
      <c r="B2226" s="4" t="s">
        <v>2796</v>
      </c>
      <c r="C2226" s="5" t="str">
        <f>IFERROR(__xludf.DUMMYFUNCTION("GOOGLETRANSLATE(B2226,""en"",""es-ES"")"),"Un niño está cortando madera en un bosque.")</f>
        <v>Un niño está cortando madera en un bosque.</v>
      </c>
    </row>
    <row r="2227">
      <c r="A2227" s="4" t="s">
        <v>2795</v>
      </c>
      <c r="B2227" s="4" t="s">
        <v>2797</v>
      </c>
      <c r="C2227" s="5" t="str">
        <f>IFERROR(__xludf.DUMMYFUNCTION("GOOGLETRANSLATE(B2227,""en"",""es-ES"")"),"El niño casi deja caer el hacha.")</f>
        <v>El niño casi deja caer el hacha.</v>
      </c>
    </row>
    <row r="2228">
      <c r="A2228" s="4" t="s">
        <v>2795</v>
      </c>
      <c r="B2228" s="4" t="s">
        <v>2798</v>
      </c>
      <c r="C2228" s="5" t="str">
        <f>IFERROR(__xludf.DUMMYFUNCTION("GOOGLETRANSLATE(B2228,""en"",""es-ES"")"),"El niño mira la cámara.")</f>
        <v>El niño mira la cámara.</v>
      </c>
    </row>
    <row r="2229">
      <c r="A2229" s="4" t="s">
        <v>2799</v>
      </c>
      <c r="B2229" s="4" t="s">
        <v>2800</v>
      </c>
      <c r="C2229" s="5" t="str">
        <f>IFERROR(__xludf.DUMMYFUNCTION("GOOGLETRANSLATE(B2229,""en"",""es-ES"")"),"Se ve a una persona caminando de regreso al final de su automóvil y poniendo sus manos en sus caderas.")</f>
        <v>Se ve a una persona caminando de regreso al final de su automóvil y poniendo sus manos en sus caderas.</v>
      </c>
    </row>
    <row r="2230">
      <c r="A2230" s="4" t="s">
        <v>2799</v>
      </c>
      <c r="B2230" s="4" t="s">
        <v>2801</v>
      </c>
      <c r="C2230" s="5" t="str">
        <f>IFERROR(__xludf.DUMMYFUNCTION("GOOGLETRANSLATE(B2230,""en"",""es-ES"")"),"Se dan cuenta de que tienen una llanta pinchada y sacan un gato que intenta sacarlo.")</f>
        <v>Se dan cuenta de que tienen una llanta pinchada y sacan un gato que intenta sacarlo.</v>
      </c>
    </row>
    <row r="2231">
      <c r="A2231" s="4" t="s">
        <v>2799</v>
      </c>
      <c r="B2231" s="4" t="s">
        <v>2802</v>
      </c>
      <c r="C2231" s="5" t="str">
        <f>IFERROR(__xludf.DUMMYFUNCTION("GOOGLETRANSLATE(B2231,""en"",""es-ES"")"),"La mujer cae y falla hacia atrás en un puente, aterrizando en un camión.")</f>
        <v>La mujer cae y falla hacia atrás en un puente, aterrizando en un camión.</v>
      </c>
    </row>
    <row r="2232">
      <c r="A2232" s="4" t="s">
        <v>2803</v>
      </c>
      <c r="B2232" s="4" t="s">
        <v>2804</v>
      </c>
      <c r="C2232" s="5" t="str">
        <f>IFERROR(__xludf.DUMMYFUNCTION("GOOGLETRANSLATE(B2232,""en"",""es-ES"")"),"Un hombre con un polo azul habla con la cámara.")</f>
        <v>Un hombre con un polo azul habla con la cámara.</v>
      </c>
    </row>
    <row r="2233">
      <c r="A2233" s="4" t="s">
        <v>2803</v>
      </c>
      <c r="B2233" s="4" t="s">
        <v>2805</v>
      </c>
      <c r="C2233" s="5" t="str">
        <f>IFERROR(__xludf.DUMMYFUNCTION("GOOGLETRANSLATE(B2233,""en"",""es-ES"")"),"En un entorno diferente, el hombre está instruyendo a una mujer rubia sobre cómo realizar sentadillas.")</f>
        <v>En un entorno diferente, el hombre está instruyendo a una mujer rubia sobre cómo realizar sentadillas.</v>
      </c>
    </row>
    <row r="2234">
      <c r="A2234" s="4" t="s">
        <v>2803</v>
      </c>
      <c r="B2234" s="4" t="s">
        <v>2806</v>
      </c>
      <c r="C2234" s="5" t="str">
        <f>IFERROR(__xludf.DUMMYFUNCTION("GOOGLETRANSLATE(B2234,""en"",""es-ES"")"),"La mujer se sienta.")</f>
        <v>La mujer se sienta.</v>
      </c>
    </row>
    <row r="2235">
      <c r="A2235" s="4" t="s">
        <v>2803</v>
      </c>
      <c r="B2235" s="4" t="s">
        <v>2807</v>
      </c>
      <c r="C2235" s="5" t="str">
        <f>IFERROR(__xludf.DUMMYFUNCTION("GOOGLETRANSLATE(B2235,""en"",""es-ES"")"),"El hombre regresa para hablar con la cámara.")</f>
        <v>El hombre regresa para hablar con la cámara.</v>
      </c>
    </row>
    <row r="2236">
      <c r="A2236" s="4" t="s">
        <v>2808</v>
      </c>
      <c r="B2236" s="4" t="s">
        <v>2809</v>
      </c>
      <c r="C2236" s="5" t="str">
        <f>IFERROR(__xludf.DUMMYFUNCTION("GOOGLETRANSLATE(B2236,""en"",""es-ES"")"),"Se muestra un video cómo cambiar una llanta de repuesto.")</f>
        <v>Se muestra un video cómo cambiar una llanta de repuesto.</v>
      </c>
    </row>
    <row r="2237">
      <c r="A2237" s="4" t="s">
        <v>2808</v>
      </c>
      <c r="B2237" s="4" t="s">
        <v>2810</v>
      </c>
      <c r="C2237" s="5" t="str">
        <f>IFERROR(__xludf.DUMMYFUNCTION("GOOGLETRANSLATE(B2237,""en"",""es-ES"")"),"El primer neumático se quita y se reemplaza, pero no se hace nada más.")</f>
        <v>El primer neumático se quita y se reemplaza, pero no se hace nada más.</v>
      </c>
    </row>
    <row r="2238">
      <c r="A2238" s="4" t="s">
        <v>2811</v>
      </c>
      <c r="B2238" s="4" t="s">
        <v>2812</v>
      </c>
      <c r="C2238" s="5" t="str">
        <f>IFERROR(__xludf.DUMMYFUNCTION("GOOGLETRANSLATE(B2238,""en"",""es-ES"")"),"Vemos un tablero de dardos en una pared.")</f>
        <v>Vemos un tablero de dardos en una pared.</v>
      </c>
    </row>
    <row r="2239">
      <c r="A2239" s="4" t="s">
        <v>2811</v>
      </c>
      <c r="B2239" s="4" t="s">
        <v>2813</v>
      </c>
      <c r="C2239" s="5" t="str">
        <f>IFERROR(__xludf.DUMMYFUNCTION("GOOGLETRANSLATE(B2239,""en"",""es-ES"")"),"Dos hombres están jugando un juego de dardos.")</f>
        <v>Dos hombres están jugando un juego de dardos.</v>
      </c>
    </row>
    <row r="2240">
      <c r="A2240" s="4" t="s">
        <v>2811</v>
      </c>
      <c r="B2240" s="4" t="s">
        <v>2814</v>
      </c>
      <c r="C2240" s="5" t="str">
        <f>IFERROR(__xludf.DUMMYFUNCTION("GOOGLETRANSLATE(B2240,""en"",""es-ES"")"),"Vemos al operador de la cámara.")</f>
        <v>Vemos al operador de la cámara.</v>
      </c>
    </row>
    <row r="2241">
      <c r="A2241" s="4" t="s">
        <v>2811</v>
      </c>
      <c r="B2241" s="4" t="s">
        <v>2815</v>
      </c>
      <c r="C2241" s="5" t="str">
        <f>IFERROR(__xludf.DUMMYFUNCTION("GOOGLETRANSLATE(B2241,""en"",""es-ES"")"),"Vemos a un hombre de cerca en la cámara.")</f>
        <v>Vemos a un hombre de cerca en la cámara.</v>
      </c>
    </row>
    <row r="2242">
      <c r="A2242" s="4" t="s">
        <v>2811</v>
      </c>
      <c r="B2242" s="4" t="s">
        <v>2816</v>
      </c>
      <c r="C2242" s="5" t="str">
        <f>IFERROR(__xludf.DUMMYFUNCTION("GOOGLETRANSLATE(B2242,""en"",""es-ES"")"),"Vemos a un hombre de cerca.")</f>
        <v>Vemos a un hombre de cerca.</v>
      </c>
    </row>
    <row r="2243">
      <c r="A2243" s="4" t="s">
        <v>2811</v>
      </c>
      <c r="B2243" s="4" t="s">
        <v>2817</v>
      </c>
      <c r="C2243" s="5" t="str">
        <f>IFERROR(__xludf.DUMMYFUNCTION("GOOGLETRANSLATE(B2243,""en"",""es-ES"")"),"Vemos los calcetines de un hombre y un hombre cerca de la cámara.")</f>
        <v>Vemos los calcetines de un hombre y un hombre cerca de la cámara.</v>
      </c>
    </row>
    <row r="2244">
      <c r="A2244" s="4" t="s">
        <v>2818</v>
      </c>
      <c r="B2244" s="4" t="s">
        <v>2819</v>
      </c>
      <c r="C2244" s="5" t="str">
        <f>IFERROR(__xludf.DUMMYFUNCTION("GOOGLETRANSLATE(B2244,""en"",""es-ES"")"),"Se ve a un hombre hablando con la cámara y comienza a arrodillarse sobre un techo.")</f>
        <v>Se ve a un hombre hablando con la cámara y comienza a arrodillarse sobre un techo.</v>
      </c>
    </row>
    <row r="2245">
      <c r="A2245" s="4" t="s">
        <v>2818</v>
      </c>
      <c r="B2245" s="4" t="s">
        <v>2820</v>
      </c>
      <c r="C2245" s="5" t="str">
        <f>IFERROR(__xludf.DUMMYFUNCTION("GOOGLETRANSLATE(B2245,""en"",""es-ES"")"),"Luego, el hombre usa una herramienta para raspar los mosaicos en el techo, así como otra herramienta para volver a colocarlas.")</f>
        <v>Luego, el hombre usa una herramienta para raspar los mosaicos en el techo, así como otra herramienta para volver a colocarlas.</v>
      </c>
    </row>
    <row r="2246">
      <c r="A2246" s="4" t="s">
        <v>2818</v>
      </c>
      <c r="B2246" s="4" t="s">
        <v>2821</v>
      </c>
      <c r="C2246" s="5" t="str">
        <f>IFERROR(__xludf.DUMMYFUNCTION("GOOGLETRANSLATE(B2246,""en"",""es-ES"")"),"El hombre continúa quitándose los azulejos en el techo y pegando a otros y termina sonriendo a la cámara.")</f>
        <v>El hombre continúa quitándose los azulejos en el techo y pegando a otros y termina sonriendo a la cámara.</v>
      </c>
    </row>
    <row r="2247">
      <c r="A2247" s="4" t="s">
        <v>2822</v>
      </c>
      <c r="B2247" s="4" t="s">
        <v>2823</v>
      </c>
      <c r="C2247" s="5" t="str">
        <f>IFERROR(__xludf.DUMMYFUNCTION("GOOGLETRANSLATE(B2247,""en"",""es-ES"")"),"Una persona inicia un participante en un tubo para conducir por el tobogán de nieve.")</f>
        <v>Una persona inicia un participante en un tubo para conducir por el tobogán de nieve.</v>
      </c>
    </row>
    <row r="2248">
      <c r="A2248" s="4" t="s">
        <v>2822</v>
      </c>
      <c r="B2248" s="4" t="s">
        <v>2824</v>
      </c>
      <c r="C2248" s="5" t="str">
        <f>IFERROR(__xludf.DUMMYFUNCTION("GOOGLETRANSLATE(B2248,""en"",""es-ES"")"),"La cámara se dirige a dos tubérculos que están esperando para bajar.")</f>
        <v>La cámara se dirige a dos tubérculos que están esperando para bajar.</v>
      </c>
    </row>
    <row r="2249">
      <c r="A2249" s="4" t="s">
        <v>2822</v>
      </c>
      <c r="B2249" s="4" t="s">
        <v>2825</v>
      </c>
      <c r="C2249" s="5" t="str">
        <f>IFERROR(__xludf.DUMMYFUNCTION("GOOGLETRANSLATE(B2249,""en"",""es-ES"")"),"Las siguientes dos personas bajan por el tobogán.")</f>
        <v>Las siguientes dos personas bajan por el tobogán.</v>
      </c>
    </row>
    <row r="2250">
      <c r="A2250" s="4" t="s">
        <v>2822</v>
      </c>
      <c r="B2250" s="4" t="s">
        <v>2826</v>
      </c>
      <c r="C2250" s="5" t="str">
        <f>IFERROR(__xludf.DUMMYFUNCTION("GOOGLETRANSLATE(B2250,""en"",""es-ES"")"),"Finalmente, el camarógrafo toma el viaje y podemos vivir indirectamente a través de ellos.")</f>
        <v>Finalmente, el camarógrafo toma el viaje y podemos vivir indirectamente a través de ellos.</v>
      </c>
    </row>
    <row r="2251">
      <c r="A2251" s="4" t="s">
        <v>2827</v>
      </c>
      <c r="B2251" s="4" t="s">
        <v>2828</v>
      </c>
      <c r="C2251" s="5" t="str">
        <f>IFERROR(__xludf.DUMMYFUNCTION("GOOGLETRANSLATE(B2251,""en"",""es-ES"")"),"Se ve un peso ponte en una barra y conduce a un hombre arrodillado.")</f>
        <v>Se ve un peso ponte en una barra y conduce a un hombre arrodillado.</v>
      </c>
    </row>
    <row r="2252">
      <c r="A2252" s="4" t="s">
        <v>2827</v>
      </c>
      <c r="B2252" s="4" t="s">
        <v>2829</v>
      </c>
      <c r="C2252" s="5" t="str">
        <f>IFERROR(__xludf.DUMMYFUNCTION("GOOGLETRANSLATE(B2252,""en"",""es-ES"")"),"El hombre agarra un conjunto de pesas y comienza a levantarlo sobre su cabeza.")</f>
        <v>El hombre agarra un conjunto de pesas y comienza a levantarlo sobre su cabeza.</v>
      </c>
    </row>
    <row r="2253">
      <c r="A2253" s="4" t="s">
        <v>2827</v>
      </c>
      <c r="B2253" s="4" t="s">
        <v>2830</v>
      </c>
      <c r="C2253" s="5" t="str">
        <f>IFERROR(__xludf.DUMMYFUNCTION("GOOGLETRANSLATE(B2253,""en"",""es-ES"")"),"Él arroja el peso y luego de regreso al suelo.")</f>
        <v>Él arroja el peso y luego de regreso al suelo.</v>
      </c>
    </row>
    <row r="2254">
      <c r="A2254" s="4" t="s">
        <v>2831</v>
      </c>
      <c r="B2254" s="4" t="s">
        <v>2832</v>
      </c>
      <c r="C2254" s="5" t="str">
        <f>IFERROR(__xludf.DUMMYFUNCTION("GOOGLETRANSLATE(B2254,""en"",""es-ES"")"),"Un niño vestido con un polo burdeos está en una bolera y arroja la pelota en el aire y termina regresando en el otro carril.")</f>
        <v>Un niño vestido con un polo burdeos está en una bolera y arroja la pelota en el aire y termina regresando en el otro carril.</v>
      </c>
    </row>
    <row r="2255">
      <c r="A2255" s="4" t="s">
        <v>2831</v>
      </c>
      <c r="B2255" s="4" t="s">
        <v>2833</v>
      </c>
      <c r="C2255" s="5" t="str">
        <f>IFERROR(__xludf.DUMMYFUNCTION("GOOGLETRANSLATE(B2255,""en"",""es-ES"")"),"Se muestran más jugadores de bolos y comienzan a caer sobre los carriles como el intento de lanzar la pelota.")</f>
        <v>Se muestran más jugadores de bolos y comienzan a caer sobre los carriles como el intento de lanzar la pelota.</v>
      </c>
    </row>
    <row r="2256">
      <c r="A2256" s="4" t="s">
        <v>2831</v>
      </c>
      <c r="B2256" s="4" t="s">
        <v>2834</v>
      </c>
      <c r="C2256" s="5" t="str">
        <f>IFERROR(__xludf.DUMMYFUNCTION("GOOGLETRANSLATE(B2256,""en"",""es-ES"")"),"Un hombre luego viene y gira sobre su cabeza y termina golpeando los pasadores con las bolas.")</f>
        <v>Un hombre luego viene y gira sobre su cabeza y termina golpeando los pasadores con las bolas.</v>
      </c>
    </row>
    <row r="2257">
      <c r="A2257" s="4" t="s">
        <v>2831</v>
      </c>
      <c r="B2257" s="4" t="s">
        <v>2835</v>
      </c>
      <c r="C2257" s="5" t="str">
        <f>IFERROR(__xludf.DUMMYFUNCTION("GOOGLETRANSLATE(B2257,""en"",""es-ES"")"),"Finalmente, se lanza una pelota correctamente y el hombre lo felicita.")</f>
        <v>Finalmente, se lanza una pelota correctamente y el hombre lo felicita.</v>
      </c>
    </row>
    <row r="2258">
      <c r="A2258" s="4" t="s">
        <v>2836</v>
      </c>
      <c r="B2258" s="4" t="s">
        <v>2837</v>
      </c>
      <c r="C2258" s="5" t="str">
        <f>IFERROR(__xludf.DUMMYFUNCTION("GOOGLETRANSLATE(B2258,""en"",""es-ES"")"),"La gente está haciendo ejercicio en una habitación.")</f>
        <v>La gente está haciendo ejercicio en una habitación.</v>
      </c>
    </row>
    <row r="2259">
      <c r="A2259" s="4" t="s">
        <v>2836</v>
      </c>
      <c r="B2259" s="4" t="s">
        <v>2838</v>
      </c>
      <c r="C2259" s="5" t="str">
        <f>IFERROR(__xludf.DUMMYFUNCTION("GOOGLETRANSLATE(B2259,""en"",""es-ES"")"),"Están bajando y bajando sobre una alfombra azul.")</f>
        <v>Están bajando y bajando sobre una alfombra azul.</v>
      </c>
    </row>
    <row r="2260">
      <c r="A2260" s="4" t="s">
        <v>2836</v>
      </c>
      <c r="B2260" s="4" t="s">
        <v>2839</v>
      </c>
      <c r="C2260" s="5" t="str">
        <f>IFERROR(__xludf.DUMMYFUNCTION("GOOGLETRANSLATE(B2260,""en"",""es-ES"")"),"Comienzan a levantar las manos en el aire.")</f>
        <v>Comienzan a levantar las manos en el aire.</v>
      </c>
    </row>
    <row r="2261">
      <c r="A2261" s="4" t="s">
        <v>2840</v>
      </c>
      <c r="B2261" s="4" t="s">
        <v>2841</v>
      </c>
      <c r="C2261" s="5" t="str">
        <f>IFERROR(__xludf.DUMMYFUNCTION("GOOGLETRANSLATE(B2261,""en"",""es-ES"")"),"Un hombre está parado en un patio volando una cometa.")</f>
        <v>Un hombre está parado en un patio volando una cometa.</v>
      </c>
    </row>
    <row r="2262">
      <c r="A2262" s="4" t="s">
        <v>2840</v>
      </c>
      <c r="B2262" s="4" t="s">
        <v>2842</v>
      </c>
      <c r="C2262" s="5" t="str">
        <f>IFERROR(__xludf.DUMMYFUNCTION("GOOGLETRANSLATE(B2262,""en"",""es-ES"")"),"Una mujer está parada frente a él y vuela la cometa después.")</f>
        <v>Una mujer está parada frente a él y vuela la cometa después.</v>
      </c>
    </row>
    <row r="2263">
      <c r="A2263" s="4" t="s">
        <v>2840</v>
      </c>
      <c r="B2263" s="4" t="s">
        <v>2843</v>
      </c>
      <c r="C2263" s="5" t="str">
        <f>IFERROR(__xludf.DUMMYFUNCTION("GOOGLETRANSLATE(B2263,""en"",""es-ES"")"),"La cometa se muestra en el cielo.")</f>
        <v>La cometa se muestra en el cielo.</v>
      </c>
    </row>
    <row r="2264">
      <c r="A2264" s="4" t="s">
        <v>2840</v>
      </c>
      <c r="B2264" s="4" t="s">
        <v>2844</v>
      </c>
      <c r="C2264" s="5" t="str">
        <f>IFERROR(__xludf.DUMMYFUNCTION("GOOGLETRANSLATE(B2264,""en"",""es-ES"")"),"Otra mujer comienza a volar la cometa afuera.")</f>
        <v>Otra mujer comienza a volar la cometa afuera.</v>
      </c>
    </row>
    <row r="2265">
      <c r="A2265" s="4" t="s">
        <v>2845</v>
      </c>
      <c r="B2265" s="4" t="s">
        <v>2846</v>
      </c>
      <c r="C2265" s="5" t="str">
        <f>IFERROR(__xludf.DUMMYFUNCTION("GOOGLETRANSLATE(B2265,""en"",""es-ES"")"),"Un atleta establece su postura para lanzar un disco durante un evento de atletismo.")</f>
        <v>Un atleta establece su postura para lanzar un disco durante un evento de atletismo.</v>
      </c>
    </row>
    <row r="2266">
      <c r="A2266" s="4" t="s">
        <v>2845</v>
      </c>
      <c r="B2266" s="4" t="s">
        <v>2847</v>
      </c>
      <c r="C2266" s="5" t="str">
        <f>IFERROR(__xludf.DUMMYFUNCTION("GOOGLETRANSLATE(B2266,""en"",""es-ES"")"),"La mujer arroja el disco a través del campo.")</f>
        <v>La mujer arroja el disco a través del campo.</v>
      </c>
    </row>
    <row r="2267">
      <c r="A2267" s="4" t="s">
        <v>2845</v>
      </c>
      <c r="B2267" s="4" t="s">
        <v>2848</v>
      </c>
      <c r="C2267" s="5" t="str">
        <f>IFERROR(__xludf.DUMMYFUNCTION("GOOGLETRANSLATE(B2267,""en"",""es-ES"")"),"El atleta celebra el lanzamiento y la multitud aplaude.")</f>
        <v>El atleta celebra el lanzamiento y la multitud aplaude.</v>
      </c>
    </row>
    <row r="2268">
      <c r="A2268" s="4" t="s">
        <v>2845</v>
      </c>
      <c r="B2268" s="4" t="s">
        <v>2849</v>
      </c>
      <c r="C2268" s="5" t="str">
        <f>IFERROR(__xludf.DUMMYFUNCTION("GOOGLETRANSLATE(B2268,""en"",""es-ES"")"),"Se ve una repetición del lanzamiento de la mujer.")</f>
        <v>Se ve una repetición del lanzamiento de la mujer.</v>
      </c>
    </row>
    <row r="2269">
      <c r="A2269" s="4" t="s">
        <v>2850</v>
      </c>
      <c r="B2269" s="4" t="s">
        <v>2851</v>
      </c>
      <c r="C2269" s="5" t="str">
        <f>IFERROR(__xludf.DUMMYFUNCTION("GOOGLETRANSLATE(B2269,""en"",""es-ES"")"),"Un hombre explica mientras se encuentra en una cancha cercada.")</f>
        <v>Un hombre explica mientras se encuentra en una cancha cercada.</v>
      </c>
    </row>
    <row r="2270">
      <c r="A2270" s="4" t="s">
        <v>2850</v>
      </c>
      <c r="B2270" s="4" t="s">
        <v>2852</v>
      </c>
      <c r="C2270" s="5" t="str">
        <f>IFERROR(__xludf.DUMMYFUNCTION("GOOGLETRANSLATE(B2270,""en"",""es-ES"")"),"Luego, el hombre baila hip hop, y luego explica hacer demostraciones de hip hop.")</f>
        <v>Luego, el hombre baila hip hop, y luego explica hacer demostraciones de hip hop.</v>
      </c>
    </row>
    <row r="2271">
      <c r="A2271" s="4" t="s">
        <v>2850</v>
      </c>
      <c r="B2271" s="4" t="s">
        <v>2853</v>
      </c>
      <c r="C2271" s="5" t="str">
        <f>IFERROR(__xludf.DUMMYFUNCTION("GOOGLETRANSLATE(B2271,""en"",""es-ES"")"),"Después, el hombre se sienta en el suelo y levanta su cuerpo con las manos, los giran las piernas para hacer movimientos del hip hop.")</f>
        <v>Después, el hombre se sienta en el suelo y levanta su cuerpo con las manos, los giran las piernas para hacer movimientos del hip hop.</v>
      </c>
    </row>
    <row r="2272">
      <c r="A2272" s="4" t="s">
        <v>2854</v>
      </c>
      <c r="B2272" s="4" t="s">
        <v>2855</v>
      </c>
      <c r="C2272" s="5" t="str">
        <f>IFERROR(__xludf.DUMMYFUNCTION("GOOGLETRANSLATE(B2272,""en"",""es-ES"")"),"Un hombre está en un campo con Frisbees en la mano y lo arroja a su perro Husky blanco y negro.")</f>
        <v>Un hombre está en un campo con Frisbees en la mano y lo arroja a su perro Husky blanco y negro.</v>
      </c>
    </row>
    <row r="2273">
      <c r="A2273" s="4" t="s">
        <v>2854</v>
      </c>
      <c r="B2273" s="4" t="s">
        <v>2856</v>
      </c>
      <c r="C2273" s="5" t="str">
        <f>IFERROR(__xludf.DUMMYFUNCTION("GOOGLETRANSLATE(B2273,""en"",""es-ES"")"),"Los dos continúan haciendo trucos y el perro salta sobre el hombre hacia atrás.")</f>
        <v>Los dos continúan haciendo trucos y el perro salta sobre el hombre hacia atrás.</v>
      </c>
    </row>
    <row r="2274">
      <c r="A2274" s="4" t="s">
        <v>2854</v>
      </c>
      <c r="B2274" s="4" t="s">
        <v>2857</v>
      </c>
      <c r="C2274" s="5" t="str">
        <f>IFERROR(__xludf.DUMMYFUNCTION("GOOGLETRANSLATE(B2274,""en"",""es-ES"")"),"Se arrojan más frisbee y el perro atrapa al Frisbee y el hombre abraza al perro.")</f>
        <v>Se arrojan más frisbee y el perro atrapa al Frisbee y el hombre abraza al perro.</v>
      </c>
    </row>
    <row r="2275">
      <c r="A2275" s="4" t="s">
        <v>2858</v>
      </c>
      <c r="B2275" s="4" t="s">
        <v>2859</v>
      </c>
      <c r="C2275" s="5" t="str">
        <f>IFERROR(__xludf.DUMMYFUNCTION("GOOGLETRANSLATE(B2275,""en"",""es-ES"")"),"La gente saca los muebles de la sala de estar, incluso la alfombra y todo.")</f>
        <v>La gente saca los muebles de la sala de estar, incluso la alfombra y todo.</v>
      </c>
    </row>
    <row r="2276">
      <c r="A2276" s="4" t="s">
        <v>2858</v>
      </c>
      <c r="B2276" s="4" t="s">
        <v>2860</v>
      </c>
      <c r="C2276" s="5" t="str">
        <f>IFERROR(__xludf.DUMMYFUNCTION("GOOGLETRANSLATE(B2276,""en"",""es-ES"")"),"Entran y barren el piso y luego comienzan a dejar un poco de lona y madera.")</f>
        <v>Entran y barren el piso y luego comienzan a dejar un poco de lona y madera.</v>
      </c>
    </row>
    <row r="2277">
      <c r="A2277" s="4" t="s">
        <v>2858</v>
      </c>
      <c r="B2277" s="4" t="s">
        <v>2861</v>
      </c>
      <c r="C2277" s="5" t="str">
        <f>IFERROR(__xludf.DUMMYFUNCTION("GOOGLETRANSLATE(B2277,""en"",""es-ES"")"),"Están remodelando el piso de la alfombra a los pisos de madera.")</f>
        <v>Están remodelando el piso de la alfombra a los pisos de madera.</v>
      </c>
    </row>
    <row r="2278">
      <c r="A2278" s="4" t="s">
        <v>2858</v>
      </c>
      <c r="B2278" s="4" t="s">
        <v>2862</v>
      </c>
      <c r="C2278" s="5" t="str">
        <f>IFERROR(__xludf.DUMMYFUNCTION("GOOGLETRANSLATE(B2278,""en"",""es-ES"")"),"Una vez que el piso está listo, traen todos los muebles.")</f>
        <v>Una vez que el piso está listo, traen todos los muebles.</v>
      </c>
    </row>
    <row r="2279">
      <c r="A2279" s="4" t="s">
        <v>2863</v>
      </c>
      <c r="B2279" s="4" t="s">
        <v>2864</v>
      </c>
      <c r="C2279" s="5" t="str">
        <f>IFERROR(__xludf.DUMMYFUNCTION("GOOGLETRANSLATE(B2279,""en"",""es-ES"")"),"Se ve a una mujer hablando con la cámara y la lleva a cortar el cabello de una persona.")</f>
        <v>Se ve a una mujer hablando con la cámara y la lleva a cortar el cabello de una persona.</v>
      </c>
    </row>
    <row r="2280">
      <c r="A2280" s="4" t="s">
        <v>2863</v>
      </c>
      <c r="B2280" s="4" t="s">
        <v>2865</v>
      </c>
      <c r="C2280" s="5" t="str">
        <f>IFERROR(__xludf.DUMMYFUNCTION("GOOGLETRANSLATE(B2280,""en"",""es-ES"")"),"Ella continúa cortando y peinando el cabello mientras el hombre mira a lo lejos.")</f>
        <v>Ella continúa cortando y peinando el cabello mientras el hombre mira a lo lejos.</v>
      </c>
    </row>
    <row r="2281">
      <c r="A2281" s="4" t="s">
        <v>2866</v>
      </c>
      <c r="B2281" s="4" t="s">
        <v>2867</v>
      </c>
      <c r="C2281" s="5" t="str">
        <f>IFERROR(__xludf.DUMMYFUNCTION("GOOGLETRANSLATE(B2281,""en"",""es-ES"")"),"Hay un grupo de vigas con chalecos amarillos que se llevan a cabo una aventura.")</f>
        <v>Hay un grupo de vigas con chalecos amarillos que se llevan a cabo una aventura.</v>
      </c>
    </row>
    <row r="2282">
      <c r="A2282" s="4" t="s">
        <v>2866</v>
      </c>
      <c r="B2282" s="4" t="s">
        <v>2868</v>
      </c>
      <c r="C2282" s="5" t="str">
        <f>IFERROR(__xludf.DUMMYFUNCTION("GOOGLETRANSLATE(B2282,""en"",""es-ES"")"),"Están remando la balsa a través del río mientras las olas turbulentas brotan hacia su balsa.")</f>
        <v>Están remando la balsa a través del río mientras las olas turbulentas brotan hacia su balsa.</v>
      </c>
    </row>
    <row r="2283">
      <c r="A2283" s="4" t="s">
        <v>2866</v>
      </c>
      <c r="B2283" s="4" t="s">
        <v>2869</v>
      </c>
      <c r="C2283" s="5" t="str">
        <f>IFERROR(__xludf.DUMMYFUNCTION("GOOGLETRANSLATE(B2283,""en"",""es-ES"")"),"Continúan atravesando el río mientras permanecen a flote contra las feroces olas.")</f>
        <v>Continúan atravesando el río mientras permanecen a flote contra las feroces olas.</v>
      </c>
    </row>
    <row r="2284">
      <c r="A2284" s="4" t="s">
        <v>2866</v>
      </c>
      <c r="B2284" s="4" t="s">
        <v>2870</v>
      </c>
      <c r="C2284" s="5" t="str">
        <f>IFERROR(__xludf.DUMMYFUNCTION("GOOGLETRANSLATE(B2284,""en"",""es-ES"")"),"Las vigas se mantienen a flote a pesar de las olas turbulentas y agitadas del río.")</f>
        <v>Las vigas se mantienen a flote a pesar de las olas turbulentas y agitadas del río.</v>
      </c>
    </row>
    <row r="2285">
      <c r="A2285" s="4" t="s">
        <v>2866</v>
      </c>
      <c r="B2285" s="4" t="s">
        <v>2871</v>
      </c>
      <c r="C2285" s="5" t="str">
        <f>IFERROR(__xludf.DUMMYFUNCTION("GOOGLETRANSLATE(B2285,""en"",""es-ES"")"),"Algunas de las vigas están en la cima de una colina y una de las vigas se está sumergiendo en el agua.")</f>
        <v>Algunas de las vigas están en la cima de una colina y una de las vigas se está sumergiendo en el agua.</v>
      </c>
    </row>
    <row r="2286">
      <c r="A2286" s="4" t="s">
        <v>2866</v>
      </c>
      <c r="B2286" s="4" t="s">
        <v>2872</v>
      </c>
      <c r="C2286" s="5" t="str">
        <f>IFERROR(__xludf.DUMMYFUNCTION("GOOGLETRANSLATE(B2286,""en"",""es-ES"")"),"Las vigas continúan su viaje a través de las turbulentas aguas del río.")</f>
        <v>Las vigas continúan su viaje a través de las turbulentas aguas del río.</v>
      </c>
    </row>
    <row r="2287">
      <c r="A2287" s="4" t="s">
        <v>2866</v>
      </c>
      <c r="B2287" s="4" t="s">
        <v>2873</v>
      </c>
      <c r="C2287" s="5" t="str">
        <f>IFERROR(__xludf.DUMMYFUNCTION("GOOGLETRANSLATE(B2287,""en"",""es-ES"")"),"Hay una persona que salta de una grúa elevada al río.")</f>
        <v>Hay una persona que salta de una grúa elevada al río.</v>
      </c>
    </row>
    <row r="2288">
      <c r="A2288" s="4" t="s">
        <v>2874</v>
      </c>
      <c r="B2288" s="4" t="s">
        <v>2875</v>
      </c>
      <c r="C2288" s="5" t="str">
        <f>IFERROR(__xludf.DUMMYFUNCTION("GOOGLETRANSLATE(B2288,""en"",""es-ES"")"),"Una mujer está parada en una cocina desordenada frente al fregadero preparándose para cortar algo.")</f>
        <v>Una mujer está parada en una cocina desordenada frente al fregadero preparándose para cortar algo.</v>
      </c>
    </row>
    <row r="2289">
      <c r="A2289" s="4" t="s">
        <v>2874</v>
      </c>
      <c r="B2289" s="4" t="s">
        <v>2876</v>
      </c>
      <c r="C2289" s="5" t="str">
        <f>IFERROR(__xludf.DUMMYFUNCTION("GOOGLETRANSLATE(B2289,""en"",""es-ES"")"),"Ella agarra una papa y un pelador y comienza a quitarse los bordes.")</f>
        <v>Ella agarra una papa y un pelador y comienza a quitarse los bordes.</v>
      </c>
    </row>
    <row r="2290">
      <c r="A2290" s="4" t="s">
        <v>2874</v>
      </c>
      <c r="B2290" s="4" t="s">
        <v>2877</v>
      </c>
      <c r="C2290" s="5" t="str">
        <f>IFERROR(__xludf.DUMMYFUNCTION("GOOGLETRANSLATE(B2290,""en"",""es-ES"")"),"Mientras continúa cortando, dos chicas jóvenes caminan por la cocina y comienzan a verla y agarrar platos.")</f>
        <v>Mientras continúa cortando, dos chicas jóvenes caminan por la cocina y comienzan a verla y agarrar platos.</v>
      </c>
    </row>
    <row r="2291">
      <c r="A2291" s="4" t="s">
        <v>2878</v>
      </c>
      <c r="B2291" s="4" t="s">
        <v>2879</v>
      </c>
      <c r="C2291" s="5" t="str">
        <f>IFERROR(__xludf.DUMMYFUNCTION("GOOGLETRANSLATE(B2291,""en"",""es-ES"")"),"Wrestler está en un anillo haciendo un bloqueo de la cabeza y un hombre salta fuera del ring y empuja a los hombres.")</f>
        <v>Wrestler está en un anillo haciendo un bloqueo de la cabeza y un hombre salta fuera del ring y empuja a los hombres.</v>
      </c>
    </row>
    <row r="2292">
      <c r="A2292" s="4" t="s">
        <v>2878</v>
      </c>
      <c r="B2292" s="4" t="s">
        <v>2880</v>
      </c>
      <c r="C2292" s="5" t="str">
        <f>IFERROR(__xludf.DUMMYFUNCTION("GOOGLETRANSLATE(B2292,""en"",""es-ES"")"),"El árbitro está en el ring y cuenta los segundos de los beslers en el piso.")</f>
        <v>El árbitro está en el ring y cuenta los segundos de los beslers en el piso.</v>
      </c>
    </row>
    <row r="2293">
      <c r="A2293" s="4" t="s">
        <v>2881</v>
      </c>
      <c r="B2293" s="4" t="s">
        <v>2882</v>
      </c>
      <c r="C2293" s="5" t="str">
        <f>IFERROR(__xludf.DUMMYFUNCTION("GOOGLETRANSLATE(B2293,""en"",""es-ES"")"),"Se muestra a una mujer que organiza un segmento de noticias cuando la cámara se dirige a las noticias del protector solar.")</f>
        <v>Se muestra a una mujer que organiza un segmento de noticias cuando la cámara se dirige a las noticias del protector solar.</v>
      </c>
    </row>
    <row r="2294">
      <c r="A2294" s="4" t="s">
        <v>2881</v>
      </c>
      <c r="B2294" s="4" t="s">
        <v>2883</v>
      </c>
      <c r="C2294" s="5" t="str">
        <f>IFERROR(__xludf.DUMMYFUNCTION("GOOGLETRANSLATE(B2294,""en"",""es-ES"")"),"Varias personas son mostradas en una playa y entrevistadas por un periodista en protector solar.")</f>
        <v>Varias personas son mostradas en una playa y entrevistadas por un periodista en protector solar.</v>
      </c>
    </row>
    <row r="2295">
      <c r="A2295" s="4" t="s">
        <v>2881</v>
      </c>
      <c r="B2295" s="4" t="s">
        <v>2884</v>
      </c>
      <c r="C2295" s="5" t="str">
        <f>IFERROR(__xludf.DUMMYFUNCTION("GOOGLETRANSLATE(B2295,""en"",""es-ES"")"),"Se muestran botellas que contienen protector solar y personas que se ponen.")</f>
        <v>Se muestran botellas que contienen protector solar y personas que se ponen.</v>
      </c>
    </row>
    <row r="2296">
      <c r="A2296" s="4" t="s">
        <v>2881</v>
      </c>
      <c r="B2296" s="4" t="s">
        <v>2885</v>
      </c>
      <c r="C2296" s="5" t="str">
        <f>IFERROR(__xludf.DUMMYFUNCTION("GOOGLETRANSLATE(B2296,""en"",""es-ES"")"),"El periodista habla con las personas y las sartenes de regreso a las camisas utilizadas para el protector solar y las personas que viajan por todo el mundo.")</f>
        <v>El periodista habla con las personas y las sartenes de regreso a las camisas utilizadas para el protector solar y las personas que viajan por todo el mundo.</v>
      </c>
    </row>
    <row r="2297">
      <c r="A2297" s="4" t="s">
        <v>2886</v>
      </c>
      <c r="B2297" s="4" t="s">
        <v>1487</v>
      </c>
      <c r="C2297" s="5" t="str">
        <f>IFERROR(__xludf.DUMMYFUNCTION("GOOGLETRANSLATE(B2297,""en"",""es-ES"")"),"Vemos una pantalla de título de apertura.")</f>
        <v>Vemos una pantalla de título de apertura.</v>
      </c>
    </row>
    <row r="2298">
      <c r="A2298" s="4" t="s">
        <v>2886</v>
      </c>
      <c r="B2298" s="4" t="s">
        <v>2887</v>
      </c>
      <c r="C2298" s="5" t="str">
        <f>IFERROR(__xludf.DUMMYFUNCTION("GOOGLETRANSLATE(B2298,""en"",""es-ES"")"),"Un hombre sostiene una raqueta de bádminton en un gimnasio y habla.")</f>
        <v>Un hombre sostiene una raqueta de bádminton en un gimnasio y habla.</v>
      </c>
    </row>
    <row r="2299">
      <c r="A2299" s="4" t="s">
        <v>2886</v>
      </c>
      <c r="B2299" s="4" t="s">
        <v>2888</v>
      </c>
      <c r="C2299" s="5" t="str">
        <f>IFERROR(__xludf.DUMMYFUNCTION("GOOGLETRANSLATE(B2299,""en"",""es-ES"")"),"El hombre se inclina hacia la izquierda y sostiene la raqueta.")</f>
        <v>El hombre se inclina hacia la izquierda y sostiene la raqueta.</v>
      </c>
    </row>
    <row r="2300">
      <c r="A2300" s="4" t="s">
        <v>2886</v>
      </c>
      <c r="B2300" s="4" t="s">
        <v>2889</v>
      </c>
      <c r="C2300" s="5" t="str">
        <f>IFERROR(__xludf.DUMMYFUNCTION("GOOGLETRANSLATE(B2300,""en"",""es-ES"")"),"El hombre gira hacia la derecha y muestra su espalda a la cámara.")</f>
        <v>El hombre gira hacia la derecha y muestra su espalda a la cámara.</v>
      </c>
    </row>
    <row r="2301">
      <c r="A2301" s="4" t="s">
        <v>2886</v>
      </c>
      <c r="B2301" s="4" t="s">
        <v>2890</v>
      </c>
      <c r="C2301" s="5" t="str">
        <f>IFERROR(__xludf.DUMMYFUNCTION("GOOGLETRANSLATE(B2301,""en"",""es-ES"")"),"El hombre habla con la cámara y el hombre salta de un lado a otro por la pantalla.")</f>
        <v>El hombre habla con la cámara y el hombre salta de un lado a otro por la pantalla.</v>
      </c>
    </row>
    <row r="2302">
      <c r="A2302" s="4" t="s">
        <v>2886</v>
      </c>
      <c r="B2302" s="4" t="s">
        <v>2891</v>
      </c>
      <c r="C2302" s="5" t="str">
        <f>IFERROR(__xludf.DUMMYFUNCTION("GOOGLETRANSLATE(B2302,""en"",""es-ES"")"),"El hombre habla con la cámara y el hombre se inclina se fue una vez más.")</f>
        <v>El hombre habla con la cámara y el hombre se inclina se fue una vez más.</v>
      </c>
    </row>
    <row r="2303">
      <c r="A2303" s="4" t="s">
        <v>2886</v>
      </c>
      <c r="B2303" s="4" t="s">
        <v>2892</v>
      </c>
      <c r="C2303" s="5" t="str">
        <f>IFERROR(__xludf.DUMMYFUNCTION("GOOGLETRANSLATE(B2303,""en"",""es-ES"")"),"Vemos la pantalla de título de cierre.")</f>
        <v>Vemos la pantalla de título de cierre.</v>
      </c>
    </row>
    <row r="2304">
      <c r="A2304" s="4" t="s">
        <v>2893</v>
      </c>
      <c r="B2304" s="4" t="s">
        <v>2894</v>
      </c>
      <c r="C2304" s="5" t="str">
        <f>IFERROR(__xludf.DUMMYFUNCTION("GOOGLETRANSLATE(B2304,""en"",""es-ES"")"),"Un hombre se mete la barba frente a un espejo en su baño.")</f>
        <v>Un hombre se mete la barba frente a un espejo en su baño.</v>
      </c>
    </row>
    <row r="2305">
      <c r="A2305" s="4" t="s">
        <v>2893</v>
      </c>
      <c r="B2305" s="4" t="s">
        <v>2895</v>
      </c>
      <c r="C2305" s="5" t="str">
        <f>IFERROR(__xludf.DUMMYFUNCTION("GOOGLETRANSLATE(B2305,""en"",""es-ES"")"),"El hombre se extiende para recoger a Sizzors y luego le recorta el bigote.")</f>
        <v>El hombre se extiende para recoger a Sizzors y luego le recorta el bigote.</v>
      </c>
    </row>
    <row r="2306">
      <c r="A2306" s="4" t="s">
        <v>2893</v>
      </c>
      <c r="B2306" s="4" t="s">
        <v>2896</v>
      </c>
      <c r="C2306" s="5" t="str">
        <f>IFERROR(__xludf.DUMMYFUNCTION("GOOGLETRANSLATE(B2306,""en"",""es-ES"")"),"El hombre recoge loción que aplica a su cuello.")</f>
        <v>El hombre recoge loción que aplica a su cuello.</v>
      </c>
    </row>
    <row r="2307">
      <c r="A2307" s="4" t="s">
        <v>2893</v>
      </c>
      <c r="B2307" s="4" t="s">
        <v>2897</v>
      </c>
      <c r="C2307" s="5" t="str">
        <f>IFERROR(__xludf.DUMMYFUNCTION("GOOGLETRANSLATE(B2307,""en"",""es-ES"")"),"El hombre recoge un paquete de maquinillas de afeitar y las ensambla en su dispositivo de afeitar de acero.")</f>
        <v>El hombre recoge un paquete de maquinillas de afeitar y las ensambla en su dispositivo de afeitar de acero.</v>
      </c>
    </row>
    <row r="2308">
      <c r="A2308" s="4" t="s">
        <v>2893</v>
      </c>
      <c r="B2308" s="4" t="s">
        <v>2898</v>
      </c>
      <c r="C2308" s="5" t="str">
        <f>IFERROR(__xludf.DUMMYFUNCTION("GOOGLETRANSLATE(B2308,""en"",""es-ES"")"),"El hombre usa su navaja para recortar su rostro y barba.")</f>
        <v>El hombre usa su navaja para recortar su rostro y barba.</v>
      </c>
    </row>
    <row r="2309">
      <c r="A2309" s="4" t="s">
        <v>2893</v>
      </c>
      <c r="B2309" s="4" t="s">
        <v>2899</v>
      </c>
      <c r="C2309" s="5" t="str">
        <f>IFERROR(__xludf.DUMMYFUNCTION("GOOGLETRANSLATE(B2309,""en"",""es-ES"")"),"El hombre recoge un paquete y le aplica un producto a la cara.")</f>
        <v>El hombre recoge un paquete y le aplica un producto a la cara.</v>
      </c>
    </row>
    <row r="2310">
      <c r="A2310" s="4" t="s">
        <v>2893</v>
      </c>
      <c r="B2310" s="4" t="s">
        <v>2900</v>
      </c>
      <c r="C2310" s="5" t="str">
        <f>IFERROR(__xludf.DUMMYFUNCTION("GOOGLETRANSLATE(B2310,""en"",""es-ES"")"),"El hombre usa una toalla para limpiarse la cara.")</f>
        <v>El hombre usa una toalla para limpiarse la cara.</v>
      </c>
    </row>
    <row r="2311">
      <c r="A2311" s="4" t="s">
        <v>2893</v>
      </c>
      <c r="B2311" s="4" t="s">
        <v>2901</v>
      </c>
      <c r="C2311" s="5" t="str">
        <f>IFERROR(__xludf.DUMMYFUNCTION("GOOGLETRANSLATE(B2311,""en"",""es-ES"")"),"El hombre recoge una botella de aceite del mostrador y se la aplica a la barba.")</f>
        <v>El hombre recoge una botella de aceite del mostrador y se la aplica a la barba.</v>
      </c>
    </row>
    <row r="2312">
      <c r="A2312" s="4" t="s">
        <v>2902</v>
      </c>
      <c r="B2312" s="4" t="s">
        <v>2903</v>
      </c>
      <c r="C2312" s="5" t="str">
        <f>IFERROR(__xludf.DUMMYFUNCTION("GOOGLETRANSLATE(B2312,""en"",""es-ES"")"),"Se muestra un primer plano de un agujero de pesca con una persona que usa objetos para pescar y otro se destaca en la distancia.")</f>
        <v>Se muestra un primer plano de un agujero de pesca con una persona que usa objetos para pescar y otro se destaca en la distancia.</v>
      </c>
    </row>
    <row r="2313">
      <c r="A2313" s="4" t="s">
        <v>2902</v>
      </c>
      <c r="B2313" s="4" t="s">
        <v>2904</v>
      </c>
      <c r="C2313" s="5" t="str">
        <f>IFERROR(__xludf.DUMMYFUNCTION("GOOGLETRANSLATE(B2313,""en"",""es-ES"")"),"El hombre usa los objetos para capturar un pez y se acerca a un agujero.")</f>
        <v>El hombre usa los objetos para capturar un pez y se acerca a un agujero.</v>
      </c>
    </row>
    <row r="2314">
      <c r="A2314" s="4" t="s">
        <v>2902</v>
      </c>
      <c r="B2314" s="4" t="s">
        <v>2905</v>
      </c>
      <c r="C2314" s="5" t="str">
        <f>IFERROR(__xludf.DUMMYFUNCTION("GOOGLETRANSLATE(B2314,""en"",""es-ES"")"),"Finalmente empacan una carpa y la llevan con ellos mientras conducen.")</f>
        <v>Finalmente empacan una carpa y la llevan con ellos mientras conducen.</v>
      </c>
    </row>
    <row r="2315">
      <c r="A2315" s="4" t="s">
        <v>2906</v>
      </c>
      <c r="B2315" s="4" t="s">
        <v>2907</v>
      </c>
      <c r="C2315" s="5" t="str">
        <f>IFERROR(__xludf.DUMMYFUNCTION("GOOGLETRANSLATE(B2315,""en"",""es-ES"")"),"Un hombre con una camisa roja está de pie junto a una máquina de ejercicios.")</f>
        <v>Un hombre con una camisa roja está de pie junto a una máquina de ejercicios.</v>
      </c>
    </row>
    <row r="2316">
      <c r="A2316" s="4" t="s">
        <v>2906</v>
      </c>
      <c r="B2316" s="4" t="s">
        <v>2908</v>
      </c>
      <c r="C2316" s="5" t="str">
        <f>IFERROR(__xludf.DUMMYFUNCTION("GOOGLETRANSLATE(B2316,""en"",""es-ES"")"),"Se sube a la máquina y comienza a hacer ejercicio.")</f>
        <v>Se sube a la máquina y comienza a hacer ejercicio.</v>
      </c>
    </row>
    <row r="2317">
      <c r="A2317" s="4" t="s">
        <v>2906</v>
      </c>
      <c r="B2317" s="4" t="s">
        <v>1599</v>
      </c>
      <c r="C2317" s="5" t="str">
        <f>IFERROR(__xludf.DUMMYFUNCTION("GOOGLETRANSLATE(B2317,""en"",""es-ES"")"),"Las palabras se muestran en la pantalla.")</f>
        <v>Las palabras se muestran en la pantalla.</v>
      </c>
    </row>
    <row r="2318">
      <c r="A2318" s="4" t="s">
        <v>2909</v>
      </c>
      <c r="B2318" s="4" t="s">
        <v>2910</v>
      </c>
      <c r="C2318" s="5" t="str">
        <f>IFERROR(__xludf.DUMMYFUNCTION("GOOGLETRANSLATE(B2318,""en"",""es-ES"")"),"Una mujer recta el cabello de una joven con un cepillo y un secador de pelo.")</f>
        <v>Una mujer recta el cabello de una joven con un cepillo y un secador de pelo.</v>
      </c>
    </row>
    <row r="2319">
      <c r="A2319" s="4" t="s">
        <v>2909</v>
      </c>
      <c r="B2319" s="4" t="s">
        <v>2911</v>
      </c>
      <c r="C2319" s="5" t="str">
        <f>IFERROR(__xludf.DUMMYFUNCTION("GOOGLETRANSLATE(B2319,""en"",""es-ES"")"),"La mujer sostiene parte del cabello hacia arriba, luego se curva el cabello y el hierro para el cabello.")</f>
        <v>La mujer sostiene parte del cabello hacia arriba, luego se curva el cabello y el hierro para el cabello.</v>
      </c>
    </row>
    <row r="2320">
      <c r="A2320" s="4" t="s">
        <v>2912</v>
      </c>
      <c r="B2320" s="4" t="s">
        <v>2913</v>
      </c>
      <c r="C2320" s="5" t="str">
        <f>IFERROR(__xludf.DUMMYFUNCTION("GOOGLETRANSLATE(B2320,""en"",""es-ES"")"),"Se ve a un gran grupo de personas de pie alrededor de un estacionamiento con uno sosteniendo una pelota.")</f>
        <v>Se ve a un gran grupo de personas de pie alrededor de un estacionamiento con uno sosteniendo una pelota.</v>
      </c>
    </row>
    <row r="2321">
      <c r="A2321" s="4" t="s">
        <v>2912</v>
      </c>
      <c r="B2321" s="4" t="s">
        <v>2914</v>
      </c>
      <c r="C2321" s="5" t="str">
        <f>IFERROR(__xludf.DUMMYFUNCTION("GOOGLETRANSLATE(B2321,""en"",""es-ES"")"),"Luego, el grupo juega un juego de kickball mientras se mueve alrededor del área y se arroja pelotas unos a otros.")</f>
        <v>Luego, el grupo juega un juego de kickball mientras se mueve alrededor del área y se arroja pelotas unos a otros.</v>
      </c>
    </row>
    <row r="2322">
      <c r="A2322" s="4" t="s">
        <v>2912</v>
      </c>
      <c r="B2322" s="4" t="s">
        <v>2915</v>
      </c>
      <c r="C2322" s="5" t="str">
        <f>IFERROR(__xludf.DUMMYFUNCTION("GOOGLETRANSLATE(B2322,""en"",""es-ES"")"),"La gente continúa caminando mientras se miran y tiran la pelota.")</f>
        <v>La gente continúa caminando mientras se miran y tiran la pelota.</v>
      </c>
    </row>
    <row r="2323">
      <c r="A2323" s="4" t="s">
        <v>2916</v>
      </c>
      <c r="B2323" s="4" t="s">
        <v>2917</v>
      </c>
      <c r="C2323" s="5" t="str">
        <f>IFERROR(__xludf.DUMMYFUNCTION("GOOGLETRANSLATE(B2323,""en"",""es-ES"")"),"Se ve a un gran grupo de personas corriendo por un complejo de Disney mientras saluda a la cámara y se muestran varias tomas del reino.")</f>
        <v>Se ve a un gran grupo de personas corriendo por un complejo de Disney mientras saluda a la cámara y se muestran varias tomas del reino.</v>
      </c>
    </row>
    <row r="2324">
      <c r="A2324" s="4" t="s">
        <v>2916</v>
      </c>
      <c r="B2324" s="4" t="s">
        <v>2918</v>
      </c>
      <c r="C2324" s="5" t="str">
        <f>IFERROR(__xludf.DUMMYFUNCTION("GOOGLETRANSLATE(B2324,""en"",""es-ES"")"),"Muchos personajes se muestran saludando a los corredores, así como a más tomas de personas que pasan más allá de los personajes y pasan por la línea de meta y celebran.")</f>
        <v>Muchos personajes se muestran saludando a los corredores, así como a más tomas de personas que pasan más allá de los personajes y pasan por la línea de meta y celebran.</v>
      </c>
    </row>
    <row r="2325">
      <c r="A2325" s="4" t="s">
        <v>2919</v>
      </c>
      <c r="B2325" s="4" t="s">
        <v>2920</v>
      </c>
      <c r="C2325" s="5" t="str">
        <f>IFERROR(__xludf.DUMMYFUNCTION("GOOGLETRANSLATE(B2325,""en"",""es-ES"")"),"La persona con delantal negro rocía una espuma blanca en los zapatos.")</f>
        <v>La persona con delantal negro rocía una espuma blanca en los zapatos.</v>
      </c>
    </row>
    <row r="2326">
      <c r="A2326" s="4" t="s">
        <v>2919</v>
      </c>
      <c r="B2326" s="4" t="s">
        <v>2921</v>
      </c>
      <c r="C2326" s="5" t="str">
        <f>IFERROR(__xludf.DUMMYFUNCTION("GOOGLETRANSLATE(B2326,""en"",""es-ES"")"),"La persona cepilla los zapatos con espuma blanca.")</f>
        <v>La persona cepilla los zapatos con espuma blanca.</v>
      </c>
    </row>
    <row r="2327">
      <c r="A2327" s="4" t="s">
        <v>2919</v>
      </c>
      <c r="B2327" s="4" t="s">
        <v>2922</v>
      </c>
      <c r="C2327" s="5" t="str">
        <f>IFERROR(__xludf.DUMMYFUNCTION("GOOGLETRANSLATE(B2327,""en"",""es-ES"")"),"La persona cepilló los zapatos después de que la espuma se había ido y comenzó a rociar un químico y pulió la parte de metal de los zapatos.")</f>
        <v>La persona cepilló los zapatos después de que la espuma se había ido y comenzó a rociar un químico y pulió la parte de metal de los zapatos.</v>
      </c>
    </row>
    <row r="2328">
      <c r="A2328" s="4" t="s">
        <v>2923</v>
      </c>
      <c r="B2328" s="4" t="s">
        <v>2924</v>
      </c>
      <c r="C2328" s="5" t="str">
        <f>IFERROR(__xludf.DUMMYFUNCTION("GOOGLETRANSLATE(B2328,""en"",""es-ES"")"),"Se muestran varios disparos de un gran bote que viaja a lo largo de una tormenta dura.")</f>
        <v>Se muestran varios disparos de un gran bote que viaja a lo largo de una tormenta dura.</v>
      </c>
    </row>
    <row r="2329">
      <c r="A2329" s="4" t="s">
        <v>2923</v>
      </c>
      <c r="B2329" s="4" t="s">
        <v>2925</v>
      </c>
      <c r="C2329" s="5" t="str">
        <f>IFERROR(__xludf.DUMMYFUNCTION("GOOGLETRANSLATE(B2329,""en"",""es-ES"")"),"Se ve a un hombre dirigiendo el bote a través de la tormenta y hablando con una cámara con el video final de más tomas del bote.")</f>
        <v>Se ve a un hombre dirigiendo el bote a través de la tormenta y hablando con una cámara con el video final de más tomas del bote.</v>
      </c>
    </row>
    <row r="2330">
      <c r="A2330" s="4" t="s">
        <v>2926</v>
      </c>
      <c r="B2330" s="4" t="s">
        <v>2927</v>
      </c>
      <c r="C2330" s="5" t="str">
        <f>IFERROR(__xludf.DUMMYFUNCTION("GOOGLETRANSLATE(B2330,""en"",""es-ES"")"),"Se ve a un joven parado alrededor de una piscina seguido de varios clips del niño saltando en la piscina y nadando.")</f>
        <v>Se ve a un joven parado alrededor de una piscina seguido de varios clips del niño saltando en la piscina y nadando.</v>
      </c>
    </row>
    <row r="2331">
      <c r="A2331" s="4" t="s">
        <v>2926</v>
      </c>
      <c r="B2331" s="4" t="s">
        <v>2928</v>
      </c>
      <c r="C2331" s="5" t="str">
        <f>IFERROR(__xludf.DUMMYFUNCTION("GOOGLETRANSLATE(B2331,""en"",""es-ES"")"),"El niño continúa nadando alrededor de la piscina con un hombre nadando detrás de él y el niño sonriendo a la cámara.")</f>
        <v>El niño continúa nadando alrededor de la piscina con un hombre nadando detrás de él y el niño sonriendo a la cámara.</v>
      </c>
    </row>
    <row r="2332">
      <c r="A2332" s="4" t="s">
        <v>2929</v>
      </c>
      <c r="B2332" s="4" t="s">
        <v>2930</v>
      </c>
      <c r="C2332" s="5" t="str">
        <f>IFERROR(__xludf.DUMMYFUNCTION("GOOGLETRANSLATE(B2332,""en"",""es-ES"")"),"Tres niños están haciendo un castillo de arena en la playa.")</f>
        <v>Tres niños están haciendo un castillo de arena en la playa.</v>
      </c>
    </row>
    <row r="2333">
      <c r="A2333" s="4" t="s">
        <v>2929</v>
      </c>
      <c r="B2333" s="4" t="s">
        <v>2931</v>
      </c>
      <c r="C2333" s="5" t="str">
        <f>IFERROR(__xludf.DUMMYFUNCTION("GOOGLETRANSLATE(B2333,""en"",""es-ES"")"),"Un hombre está acostado junto a ellos en una toalla.")</f>
        <v>Un hombre está acostado junto a ellos en una toalla.</v>
      </c>
    </row>
    <row r="2334">
      <c r="A2334" s="4" t="s">
        <v>2932</v>
      </c>
      <c r="B2334" s="4" t="s">
        <v>2933</v>
      </c>
      <c r="C2334" s="5" t="str">
        <f>IFERROR(__xludf.DUMMYFUNCTION("GOOGLETRANSLATE(B2334,""en"",""es-ES"")"),"Después de que aparece un anuncio de Tissot, se muestra una fila de cercadores.")</f>
        <v>Después de que aparece un anuncio de Tissot, se muestra una fila de cercadores.</v>
      </c>
    </row>
    <row r="2335">
      <c r="A2335" s="4" t="s">
        <v>2932</v>
      </c>
      <c r="B2335" s="4" t="s">
        <v>2934</v>
      </c>
      <c r="C2335" s="5" t="str">
        <f>IFERROR(__xludf.DUMMYFUNCTION("GOOGLETRANSLATE(B2335,""en"",""es-ES"")"),"Alcanzan cinco y se muestran en varios clips luchando, luego de regreso a la fila de estar en el escenario.")</f>
        <v>Alcanzan cinco y se muestran en varios clips luchando, luego de regreso a la fila de estar en el escenario.</v>
      </c>
    </row>
    <row r="2336">
      <c r="A2336" s="4" t="s">
        <v>2932</v>
      </c>
      <c r="B2336" s="4" t="s">
        <v>2935</v>
      </c>
      <c r="C2336" s="5" t="str">
        <f>IFERROR(__xludf.DUMMYFUNCTION("GOOGLETRANSLATE(B2336,""en"",""es-ES"")"),"Uno está herido y se lleva.")</f>
        <v>Uno está herido y se lleva.</v>
      </c>
    </row>
    <row r="2337">
      <c r="A2337" s="4" t="s">
        <v>2936</v>
      </c>
      <c r="B2337" s="4" t="s">
        <v>1487</v>
      </c>
      <c r="C2337" s="5" t="str">
        <f>IFERROR(__xludf.DUMMYFUNCTION("GOOGLETRANSLATE(B2337,""en"",""es-ES"")"),"Vemos una pantalla de título de apertura.")</f>
        <v>Vemos una pantalla de título de apertura.</v>
      </c>
    </row>
    <row r="2338">
      <c r="A2338" s="4" t="s">
        <v>2936</v>
      </c>
      <c r="B2338" s="4" t="s">
        <v>2937</v>
      </c>
      <c r="C2338" s="5" t="str">
        <f>IFERROR(__xludf.DUMMYFUNCTION("GOOGLETRANSLATE(B2338,""en"",""es-ES"")"),"Un hombre sonriente con gafas de sol abre el enjuague bucal y las gigas.")</f>
        <v>Un hombre sonriente con gafas de sol abre el enjuague bucal y las gigas.</v>
      </c>
    </row>
    <row r="2339">
      <c r="A2339" s="4" t="s">
        <v>2936</v>
      </c>
      <c r="B2339" s="4" t="s">
        <v>2938</v>
      </c>
      <c r="C2339" s="5" t="str">
        <f>IFERROR(__xludf.DUMMYFUNCTION("GOOGLETRANSLATE(B2339,""en"",""es-ES"")"),"El hombre escupe en una taza.")</f>
        <v>El hombre escupe en una taza.</v>
      </c>
    </row>
    <row r="2340">
      <c r="A2340" s="4" t="s">
        <v>2936</v>
      </c>
      <c r="B2340" s="4" t="s">
        <v>2939</v>
      </c>
      <c r="C2340" s="5" t="str">
        <f>IFERROR(__xludf.DUMMYFUNCTION("GOOGLETRANSLATE(B2340,""en"",""es-ES"")"),"Una señora elimina una placa de la pared.")</f>
        <v>Una señora elimina una placa de la pared.</v>
      </c>
    </row>
    <row r="2341">
      <c r="A2341" s="4" t="s">
        <v>2936</v>
      </c>
      <c r="B2341" s="4" t="s">
        <v>2940</v>
      </c>
      <c r="C2341" s="5" t="str">
        <f>IFERROR(__xludf.DUMMYFUNCTION("GOOGLETRANSLATE(B2341,""en"",""es-ES"")"),"Vemos una pantalla de cierre.")</f>
        <v>Vemos una pantalla de cierre.</v>
      </c>
    </row>
    <row r="2342">
      <c r="A2342" s="4" t="s">
        <v>2941</v>
      </c>
      <c r="B2342" s="4" t="s">
        <v>1487</v>
      </c>
      <c r="C2342" s="5" t="str">
        <f>IFERROR(__xludf.DUMMYFUNCTION("GOOGLETRANSLATE(B2342,""en"",""es-ES"")"),"Vemos una pantalla de título de apertura.")</f>
        <v>Vemos una pantalla de título de apertura.</v>
      </c>
    </row>
    <row r="2343">
      <c r="A2343" s="4" t="s">
        <v>2941</v>
      </c>
      <c r="B2343" s="4" t="s">
        <v>2942</v>
      </c>
      <c r="C2343" s="5" t="str">
        <f>IFERROR(__xludf.DUMMYFUNCTION("GOOGLETRANSLATE(B2343,""en"",""es-ES"")"),"El hombre luego pone yeso en una base y lo aplica al techo mientras está en pilotes.")</f>
        <v>El hombre luego pone yeso en una base y lo aplica al techo mientras está en pilotes.</v>
      </c>
    </row>
    <row r="2344">
      <c r="A2344" s="4" t="s">
        <v>2941</v>
      </c>
      <c r="B2344" s="4" t="s">
        <v>2943</v>
      </c>
      <c r="C2344" s="5" t="str">
        <f>IFERROR(__xludf.DUMMYFUNCTION("GOOGLETRANSLATE(B2344,""en"",""es-ES"")"),"El hombre camina de un lado a otro alisando el yeso aplicado.")</f>
        <v>El hombre camina de un lado a otro alisando el yeso aplicado.</v>
      </c>
    </row>
    <row r="2345">
      <c r="A2345" s="4" t="s">
        <v>2941</v>
      </c>
      <c r="B2345" s="4" t="s">
        <v>2944</v>
      </c>
      <c r="C2345" s="5" t="str">
        <f>IFERROR(__xludf.DUMMYFUNCTION("GOOGLETRANSLATE(B2345,""en"",""es-ES"")"),"El hombre camina y apaga la cámara.")</f>
        <v>El hombre camina y apaga la cámara.</v>
      </c>
    </row>
    <row r="2346">
      <c r="A2346" s="4" t="s">
        <v>2941</v>
      </c>
      <c r="B2346" s="4" t="s">
        <v>777</v>
      </c>
      <c r="C2346" s="5" t="str">
        <f>IFERROR(__xludf.DUMMYFUNCTION("GOOGLETRANSLATE(B2346,""en"",""es-ES"")"),"Vemos la pantalla de título final.")</f>
        <v>Vemos la pantalla de título final.</v>
      </c>
    </row>
    <row r="2347">
      <c r="A2347" s="4" t="s">
        <v>2945</v>
      </c>
      <c r="B2347" s="4" t="s">
        <v>1251</v>
      </c>
      <c r="C2347" s="5" t="str">
        <f>IFERROR(__xludf.DUMMYFUNCTION("GOOGLETRANSLATE(B2347,""en"",""es-ES"")"),"Se muestran los créditos del clip.")</f>
        <v>Se muestran los créditos del clip.</v>
      </c>
    </row>
    <row r="2348">
      <c r="A2348" s="4" t="s">
        <v>2945</v>
      </c>
      <c r="B2348" s="4" t="s">
        <v>2946</v>
      </c>
      <c r="C2348" s="5" t="str">
        <f>IFERROR(__xludf.DUMMYFUNCTION("GOOGLETRANSLATE(B2348,""en"",""es-ES"")"),"Un hombre recoge una bota marrón y la cepilla.")</f>
        <v>Un hombre recoge una bota marrón y la cepilla.</v>
      </c>
    </row>
    <row r="2349">
      <c r="A2349" s="4" t="s">
        <v>2945</v>
      </c>
      <c r="B2349" s="4" t="s">
        <v>2947</v>
      </c>
      <c r="C2349" s="5" t="str">
        <f>IFERROR(__xludf.DUMMYFUNCTION("GOOGLETRANSLATE(B2349,""en"",""es-ES"")"),"Un hombre abre una lata de aerosol y rocía la bota.")</f>
        <v>Un hombre abre una lata de aerosol y rocía la bota.</v>
      </c>
    </row>
    <row r="2350">
      <c r="A2350" s="4" t="s">
        <v>2945</v>
      </c>
      <c r="B2350" s="4" t="s">
        <v>2948</v>
      </c>
      <c r="C2350" s="5" t="str">
        <f>IFERROR(__xludf.DUMMYFUNCTION("GOOGLETRANSLATE(B2350,""en"",""es-ES"")"),"Un hombre frota los productos de un tubo negro en el único borde de la bota.")</f>
        <v>Un hombre frota los productos de un tubo negro en el único borde de la bota.</v>
      </c>
    </row>
    <row r="2351">
      <c r="A2351" s="4" t="s">
        <v>2945</v>
      </c>
      <c r="B2351" s="4" t="s">
        <v>573</v>
      </c>
      <c r="C2351" s="5" t="str">
        <f>IFERROR(__xludf.DUMMYFUNCTION("GOOGLETRANSLATE(B2351,""en"",""es-ES"")"),"Se muestran los créditos del video.")</f>
        <v>Se muestran los créditos del video.</v>
      </c>
    </row>
    <row r="2352">
      <c r="A2352" s="4" t="s">
        <v>2949</v>
      </c>
      <c r="B2352" s="4" t="s">
        <v>2950</v>
      </c>
      <c r="C2352" s="5" t="str">
        <f>IFERROR(__xludf.DUMMYFUNCTION("GOOGLETRANSLATE(B2352,""en"",""es-ES"")"),"Un hombre con una camisa negra está parada afuera hablando.")</f>
        <v>Un hombre con una camisa negra está parada afuera hablando.</v>
      </c>
    </row>
    <row r="2353">
      <c r="A2353" s="4" t="s">
        <v>2949</v>
      </c>
      <c r="B2353" s="4" t="s">
        <v>2951</v>
      </c>
      <c r="C2353" s="5" t="str">
        <f>IFERROR(__xludf.DUMMYFUNCTION("GOOGLETRANSLATE(B2353,""en"",""es-ES"")"),"Luego está dentro de una piscina.")</f>
        <v>Luego está dentro de una piscina.</v>
      </c>
    </row>
    <row r="2354">
      <c r="A2354" s="4" t="s">
        <v>2949</v>
      </c>
      <c r="B2354" s="4" t="s">
        <v>2952</v>
      </c>
      <c r="C2354" s="5" t="str">
        <f>IFERROR(__xludf.DUMMYFUNCTION("GOOGLETRANSLATE(B2354,""en"",""es-ES"")"),"Está de vuelta afuera hablando con la cámara.")</f>
        <v>Está de vuelta afuera hablando con la cámara.</v>
      </c>
    </row>
    <row r="2355">
      <c r="A2355" s="4" t="s">
        <v>2953</v>
      </c>
      <c r="B2355" s="4" t="s">
        <v>2954</v>
      </c>
      <c r="C2355" s="5" t="str">
        <f>IFERROR(__xludf.DUMMYFUNCTION("GOOGLETRANSLATE(B2355,""en"",""es-ES"")"),"En la bolera, hay mucha gente.")</f>
        <v>En la bolera, hay mucha gente.</v>
      </c>
    </row>
    <row r="2356">
      <c r="A2356" s="4" t="s">
        <v>2953</v>
      </c>
      <c r="B2356" s="4" t="s">
        <v>2955</v>
      </c>
      <c r="C2356" s="5" t="str">
        <f>IFERROR(__xludf.DUMMYFUNCTION("GOOGLETRANSLATE(B2356,""en"",""es-ES"")"),"El niño rueda por su turno y golpea.")</f>
        <v>El niño rueda por su turno y golpea.</v>
      </c>
    </row>
    <row r="2357">
      <c r="A2357" s="4" t="s">
        <v>2953</v>
      </c>
      <c r="B2357" s="4" t="s">
        <v>2956</v>
      </c>
      <c r="C2357" s="5" t="str">
        <f>IFERROR(__xludf.DUMMYFUNCTION("GOOGLETRANSLATE(B2357,""en"",""es-ES"")"),"Espera a que su pelota regrese y se prepara para tomar su próximo turno, es otra huelga.")</f>
        <v>Espera a que su pelota regrese y se prepara para tomar su próximo turno, es otra huelga.</v>
      </c>
    </row>
    <row r="2358">
      <c r="A2358" s="4" t="s">
        <v>2953</v>
      </c>
      <c r="B2358" s="4" t="s">
        <v>2957</v>
      </c>
      <c r="C2358" s="5" t="str">
        <f>IFERROR(__xludf.DUMMYFUNCTION("GOOGLETRANSLATE(B2358,""en"",""es-ES"")"),"Da otro turno y hace otra huelga, todos lo felicitan y lo abrazan.")</f>
        <v>Da otro turno y hace otra huelga, todos lo felicitan y lo abrazan.</v>
      </c>
    </row>
    <row r="2359">
      <c r="A2359" s="4" t="s">
        <v>2958</v>
      </c>
      <c r="B2359" s="4" t="s">
        <v>2959</v>
      </c>
      <c r="C2359" s="5" t="str">
        <f>IFERROR(__xludf.DUMMYFUNCTION("GOOGLETRANSLATE(B2359,""en"",""es-ES"")"),"Se ve a una persona moverse a lo largo de una piscina mientras la cámara observa desde atrás.")</f>
        <v>Se ve a una persona moverse a lo largo de una piscina mientras la cámara observa desde atrás.</v>
      </c>
    </row>
    <row r="2360">
      <c r="A2360" s="4" t="s">
        <v>2958</v>
      </c>
      <c r="B2360" s="4" t="s">
        <v>2960</v>
      </c>
      <c r="C2360" s="5" t="str">
        <f>IFERROR(__xludf.DUMMYFUNCTION("GOOGLETRANSLATE(B2360,""en"",""es-ES"")"),"Luego se ve a un hombre hablando con la cámara y moviendo los brazos.")</f>
        <v>Luego se ve a un hombre hablando con la cámara y moviendo los brazos.</v>
      </c>
    </row>
    <row r="2361">
      <c r="A2361" s="4" t="s">
        <v>2958</v>
      </c>
      <c r="B2361" s="4" t="s">
        <v>2961</v>
      </c>
      <c r="C2361" s="5" t="str">
        <f>IFERROR(__xludf.DUMMYFUNCTION("GOOGLETRANSLATE(B2361,""en"",""es-ES"")"),"Se muestran más clips de la persona nadando a lo largo del agua.")</f>
        <v>Se muestran más clips de la persona nadando a lo largo del agua.</v>
      </c>
    </row>
    <row r="2362">
      <c r="A2362" s="4" t="s">
        <v>2962</v>
      </c>
      <c r="B2362" s="4" t="s">
        <v>2963</v>
      </c>
      <c r="C2362" s="5" t="str">
        <f>IFERROR(__xludf.DUMMYFUNCTION("GOOGLETRANSLATE(B2362,""en"",""es-ES"")"),"Un anclaje en un traje se encuentra con una computadora portátil en su escritorio transparente.")</f>
        <v>Un anclaje en un traje se encuentra con una computadora portátil en su escritorio transparente.</v>
      </c>
    </row>
    <row r="2363">
      <c r="A2363" s="4" t="s">
        <v>2962</v>
      </c>
      <c r="B2363" s="4" t="s">
        <v>2964</v>
      </c>
      <c r="C2363" s="5" t="str">
        <f>IFERROR(__xludf.DUMMYFUNCTION("GOOGLETRANSLATE(B2363,""en"",""es-ES"")"),"Un hombre es abordado por un toro.")</f>
        <v>Un hombre es abordado por un toro.</v>
      </c>
    </row>
    <row r="2364">
      <c r="A2364" s="4" t="s">
        <v>2962</v>
      </c>
      <c r="B2364" s="4" t="s">
        <v>2965</v>
      </c>
      <c r="C2364" s="5" t="str">
        <f>IFERROR(__xludf.DUMMYFUNCTION("GOOGLETRANSLATE(B2364,""en"",""es-ES"")"),"El hombre se levanta y su boca está sangrienta.")</f>
        <v>El hombre se levanta y su boca está sangrienta.</v>
      </c>
    </row>
    <row r="2365">
      <c r="A2365" s="4" t="s">
        <v>2962</v>
      </c>
      <c r="B2365" s="4" t="s">
        <v>2966</v>
      </c>
      <c r="C2365" s="5" t="str">
        <f>IFERROR(__xludf.DUMMYFUNCTION("GOOGLETRANSLATE(B2365,""en"",""es-ES"")"),"La gente ayuda al hombre a salir del área de tierra de rodeo.")</f>
        <v>La gente ayuda al hombre a salir del área de tierra de rodeo.</v>
      </c>
    </row>
    <row r="2366">
      <c r="A2366" s="4" t="s">
        <v>2967</v>
      </c>
      <c r="B2366" s="4" t="s">
        <v>2968</v>
      </c>
      <c r="C2366" s="5" t="str">
        <f>IFERROR(__xludf.DUMMYFUNCTION("GOOGLETRANSLATE(B2366,""en"",""es-ES"")"),"Un joven está parado en el escenario y, finalmente, varios otros niños se unen con faldas escocesas.")</f>
        <v>Un joven está parado en el escenario y, finalmente, varios otros niños se unen con faldas escocesas.</v>
      </c>
    </row>
    <row r="2367">
      <c r="A2367" s="4" t="s">
        <v>2967</v>
      </c>
      <c r="B2367" s="4" t="s">
        <v>2969</v>
      </c>
      <c r="C2367" s="5" t="str">
        <f>IFERROR(__xludf.DUMMYFUNCTION("GOOGLETRANSLATE(B2367,""en"",""es-ES"")"),"Se paran frente a un tambor y realizan una rutina usando solo tambores.")</f>
        <v>Se paran frente a un tambor y realizan una rutina usando solo tambores.</v>
      </c>
    </row>
    <row r="2368">
      <c r="A2368" s="4" t="s">
        <v>2967</v>
      </c>
      <c r="B2368" s="4" t="s">
        <v>2970</v>
      </c>
      <c r="C2368" s="5" t="str">
        <f>IFERROR(__xludf.DUMMYFUNCTION("GOOGLETRANSLATE(B2368,""en"",""es-ES"")"),"Los chicos giran y voltean sus palos constantemente y continúan realizando su rutina de batería.")</f>
        <v>Los chicos giran y voltean sus palos constantemente y continúan realizando su rutina de batería.</v>
      </c>
    </row>
    <row r="2369">
      <c r="A2369" s="4" t="s">
        <v>2967</v>
      </c>
      <c r="B2369" s="4" t="s">
        <v>2971</v>
      </c>
      <c r="C2369" s="5" t="str">
        <f>IFERROR(__xludf.DUMMYFUNCTION("GOOGLETRANSLATE(B2369,""en"",""es-ES"")"),"Uno se pone de pie y comienza a cantar una canción mientras los otros se unen.")</f>
        <v>Uno se pone de pie y comienza a cantar una canción mientras los otros se unen.</v>
      </c>
    </row>
    <row r="2370">
      <c r="A2370" s="4" t="s">
        <v>2967</v>
      </c>
      <c r="B2370" s="4" t="s">
        <v>2972</v>
      </c>
      <c r="C2370" s="5" t="str">
        <f>IFERROR(__xludf.DUMMYFUNCTION("GOOGLETRANSLATE(B2370,""en"",""es-ES"")"),"Los chicos vuelven a tocar la batería y finalmente terminan tocando la batería y más rápido que otros.")</f>
        <v>Los chicos vuelven a tocar la batería y finalmente terminan tocando la batería y más rápido que otros.</v>
      </c>
    </row>
    <row r="2371">
      <c r="A2371" s="4" t="s">
        <v>2973</v>
      </c>
      <c r="B2371" s="4" t="s">
        <v>2974</v>
      </c>
      <c r="C2371" s="5" t="str">
        <f>IFERROR(__xludf.DUMMYFUNCTION("GOOGLETRANSLATE(B2371,""en"",""es-ES"")"),"Se ven dos gatos acostados en una cama uno frente al otro.")</f>
        <v>Se ven dos gatos acostados en una cama uno frente al otro.</v>
      </c>
    </row>
    <row r="2372">
      <c r="A2372" s="4" t="s">
        <v>2973</v>
      </c>
      <c r="B2372" s="4" t="s">
        <v>2975</v>
      </c>
      <c r="C2372" s="5" t="str">
        <f>IFERROR(__xludf.DUMMYFUNCTION("GOOGLETRANSLATE(B2372,""en"",""es-ES"")"),"Un gato luego comienza a lamer al otro.")</f>
        <v>Un gato luego comienza a lamer al otro.</v>
      </c>
    </row>
    <row r="2373">
      <c r="A2373" s="4" t="s">
        <v>2973</v>
      </c>
      <c r="B2373" s="4" t="s">
        <v>2976</v>
      </c>
      <c r="C2373" s="5" t="str">
        <f>IFERROR(__xludf.DUMMYFUNCTION("GOOGLETRANSLATE(B2373,""en"",""es-ES"")"),"El primer gato luego se detiene y el otro lame después.")</f>
        <v>El primer gato luego se detiene y el otro lame después.</v>
      </c>
    </row>
    <row r="2374">
      <c r="A2374" s="4" t="s">
        <v>2977</v>
      </c>
      <c r="B2374" s="4" t="s">
        <v>2978</v>
      </c>
      <c r="C2374" s="5" t="str">
        <f>IFERROR(__xludf.DUMMYFUNCTION("GOOGLETRANSLATE(B2374,""en"",""es-ES"")"),"Se muestra un montaje de atletas que completan acrobacias y carreras increíbles, así como cientos de personas que observan en la audiencia.")</f>
        <v>Se muestra un montaje de atletas que completan acrobacias y carreras increíbles, así como cientos de personas que observan en la audiencia.</v>
      </c>
    </row>
    <row r="2375">
      <c r="A2375" s="4" t="s">
        <v>2977</v>
      </c>
      <c r="B2375" s="4" t="s">
        <v>2979</v>
      </c>
      <c r="C2375" s="5" t="str">
        <f>IFERROR(__xludf.DUMMYFUNCTION("GOOGLETRANSLATE(B2375,""en"",""es-ES"")"),"Los disparos conducen a varios atletas más saltando sobre un poste mientras detenían el medio, terminando con el disparo que se muestra nuevamente en cámara lenta.")</f>
        <v>Los disparos conducen a varios atletas más saltando sobre un poste mientras detenían el medio, terminando con el disparo que se muestra nuevamente en cámara lenta.</v>
      </c>
    </row>
    <row r="2376">
      <c r="A2376" s="4" t="s">
        <v>2977</v>
      </c>
      <c r="B2376" s="4" t="s">
        <v>2980</v>
      </c>
      <c r="C2376" s="5" t="str">
        <f>IFERROR(__xludf.DUMMYFUNCTION("GOOGLETRANSLATE(B2376,""en"",""es-ES"")"),"La gimnasta final saluda a la cámara y se aleja.")</f>
        <v>La gimnasta final saluda a la cámara y se aleja.</v>
      </c>
    </row>
    <row r="2377">
      <c r="A2377" s="4" t="s">
        <v>2981</v>
      </c>
      <c r="B2377" s="4" t="s">
        <v>2982</v>
      </c>
      <c r="C2377" s="5" t="str">
        <f>IFERROR(__xludf.DUMMYFUNCTION("GOOGLETRANSLATE(B2377,""en"",""es-ES"")"),"Se ve un buceo parado con los brazos a un lado.")</f>
        <v>Se ve un buceo parado con los brazos a un lado.</v>
      </c>
    </row>
    <row r="2378">
      <c r="A2378" s="4" t="s">
        <v>2981</v>
      </c>
      <c r="B2378" s="4" t="s">
        <v>2983</v>
      </c>
      <c r="C2378" s="5" t="str">
        <f>IFERROR(__xludf.DUMMYFUNCTION("GOOGLETRANSLATE(B2378,""en"",""es-ES"")"),"Luego, el hombre realiza una inmersión impresionante y es seguido por varios clips de otras personas que bucean.")</f>
        <v>Luego, el hombre realiza una inmersión impresionante y es seguido por varios clips de otras personas que bucean.</v>
      </c>
    </row>
    <row r="2379">
      <c r="A2379" s="4" t="s">
        <v>2984</v>
      </c>
      <c r="B2379" s="4" t="s">
        <v>2985</v>
      </c>
      <c r="C2379" s="5" t="str">
        <f>IFERROR(__xludf.DUMMYFUNCTION("GOOGLETRANSLATE(B2379,""en"",""es-ES"")"),"Un adolescente se encuentra en una pista, luego corre y salta mucho en una caja de arena, después de que el adolescente se pare y camina.")</f>
        <v>Un adolescente se encuentra en una pista, luego corre y salta mucho en una caja de arena, después de que el adolescente se pare y camina.</v>
      </c>
    </row>
    <row r="2380">
      <c r="A2380" s="4" t="s">
        <v>2984</v>
      </c>
      <c r="B2380" s="4" t="s">
        <v>2986</v>
      </c>
      <c r="C2380" s="5" t="str">
        <f>IFERROR(__xludf.DUMMYFUNCTION("GOOGLETRANSLATE(B2380,""en"",""es-ES"")"),"Una persona pasa detrás del adolescente.")</f>
        <v>Una persona pasa detrás del adolescente.</v>
      </c>
    </row>
    <row r="2381">
      <c r="A2381" s="4" t="s">
        <v>2984</v>
      </c>
      <c r="B2381" s="4" t="s">
        <v>2987</v>
      </c>
      <c r="C2381" s="5" t="str">
        <f>IFERROR(__xludf.DUMMYFUNCTION("GOOGLETRANSLATE(B2381,""en"",""es-ES"")"),"Un atleta realiza un salto de longitud en la caja de arena.")</f>
        <v>Un atleta realiza un salto de longitud en la caja de arena.</v>
      </c>
    </row>
    <row r="2382">
      <c r="A2382" s="4" t="s">
        <v>2984</v>
      </c>
      <c r="B2382" s="4" t="s">
        <v>2988</v>
      </c>
      <c r="C2382" s="5" t="str">
        <f>IFERROR(__xludf.DUMMYFUNCTION("GOOGLETRANSLATE(B2382,""en"",""es-ES"")"),"Otro atleta corre y salta mucho sobre la caja de arena.")</f>
        <v>Otro atleta corre y salta mucho sobre la caja de arena.</v>
      </c>
    </row>
    <row r="2383">
      <c r="A2383" s="4" t="s">
        <v>2989</v>
      </c>
      <c r="B2383" s="4" t="s">
        <v>2990</v>
      </c>
      <c r="C2383" s="5" t="str">
        <f>IFERROR(__xludf.DUMMYFUNCTION("GOOGLETRANSLATE(B2383,""en"",""es-ES"")"),"Hay hombres tienen sillas y están sentados en el metro haciendo algo de música.")</f>
        <v>Hay hombres tienen sillas y están sentados en el metro haciendo algo de música.</v>
      </c>
    </row>
    <row r="2384">
      <c r="A2384" s="4" t="s">
        <v>2989</v>
      </c>
      <c r="B2384" s="4" t="s">
        <v>2991</v>
      </c>
      <c r="C2384" s="5" t="str">
        <f>IFERROR(__xludf.DUMMYFUNCTION("GOOGLETRANSLATE(B2384,""en"",""es-ES"")"),"Uno de ellos es tocar la guitarra y dos están tocando el violín.")</f>
        <v>Uno de ellos es tocar la guitarra y dos están tocando el violín.</v>
      </c>
    </row>
    <row r="2385">
      <c r="A2385" s="4" t="s">
        <v>2989</v>
      </c>
      <c r="B2385" s="4" t="s">
        <v>2992</v>
      </c>
      <c r="C2385" s="5" t="str">
        <f>IFERROR(__xludf.DUMMYFUNCTION("GOOGLETRANSLATE(B2385,""en"",""es-ES"")"),"La gente camina junto a ellos y un niño empujando un cochecito y algunos otros niños vienen y se detienen para verlos un poco.")</f>
        <v>La gente camina junto a ellos y un niño empujando un cochecito y algunos otros niños vienen y se detienen para verlos un poco.</v>
      </c>
    </row>
    <row r="2386">
      <c r="A2386" s="4" t="s">
        <v>2989</v>
      </c>
      <c r="B2386" s="4" t="s">
        <v>2993</v>
      </c>
      <c r="C2386" s="5" t="str">
        <f>IFERROR(__xludf.DUMMYFUNCTION("GOOGLETRANSLATE(B2386,""en"",""es-ES"")"),"Hay una multitud que en realidad se ha detenido para verlos jugar, aplaudir y uno de ellos dejando dinero en su caso.")</f>
        <v>Hay una multitud que en realidad se ha detenido para verlos jugar, aplaudir y uno de ellos dejando dinero en su caso.</v>
      </c>
    </row>
    <row r="2387">
      <c r="A2387" s="4" t="s">
        <v>2994</v>
      </c>
      <c r="B2387" s="4" t="s">
        <v>2995</v>
      </c>
      <c r="C2387" s="5" t="str">
        <f>IFERROR(__xludf.DUMMYFUNCTION("GOOGLETRANSLATE(B2387,""en"",""es-ES"")"),"Un hombre salta a dos barras.")</f>
        <v>Un hombre salta a dos barras.</v>
      </c>
    </row>
    <row r="2388">
      <c r="A2388" s="4" t="s">
        <v>2994</v>
      </c>
      <c r="B2388" s="4" t="s">
        <v>2996</v>
      </c>
      <c r="C2388" s="5" t="str">
        <f>IFERROR(__xludf.DUMMYFUNCTION("GOOGLETRANSLATE(B2388,""en"",""es-ES"")"),"Hace una rutina de gimnasia en los bares.")</f>
        <v>Hace una rutina de gimnasia en los bares.</v>
      </c>
    </row>
    <row r="2389">
      <c r="A2389" s="4" t="s">
        <v>2994</v>
      </c>
      <c r="B2389" s="4" t="s">
        <v>2997</v>
      </c>
      <c r="C2389" s="5" t="str">
        <f>IFERROR(__xludf.DUMMYFUNCTION("GOOGLETRANSLATE(B2389,""en"",""es-ES"")"),"Un hombre con una chaqueta blanca lo mira actuar.")</f>
        <v>Un hombre con una chaqueta blanca lo mira actuar.</v>
      </c>
    </row>
    <row r="2390">
      <c r="A2390" s="4" t="s">
        <v>2994</v>
      </c>
      <c r="B2390" s="4" t="s">
        <v>2998</v>
      </c>
      <c r="C2390" s="5" t="str">
        <f>IFERROR(__xludf.DUMMYFUNCTION("GOOGLETRANSLATE(B2390,""en"",""es-ES"")"),"Él hace un volteo y aterriza en la colchoneta.")</f>
        <v>Él hace un volteo y aterriza en la colchoneta.</v>
      </c>
    </row>
    <row r="2391">
      <c r="A2391" s="4" t="s">
        <v>2994</v>
      </c>
      <c r="B2391" s="4" t="s">
        <v>2999</v>
      </c>
      <c r="C2391" s="5" t="str">
        <f>IFERROR(__xludf.DUMMYFUNCTION("GOOGLETRANSLATE(B2391,""en"",""es-ES"")"),"La multitud lo aplaude después de que aterriza.")</f>
        <v>La multitud lo aplaude después de que aterriza.</v>
      </c>
    </row>
    <row r="2392">
      <c r="A2392" s="4" t="s">
        <v>3000</v>
      </c>
      <c r="B2392" s="4" t="s">
        <v>3001</v>
      </c>
      <c r="C2392" s="5" t="str">
        <f>IFERROR(__xludf.DUMMYFUNCTION("GOOGLETRANSLATE(B2392,""en"",""es-ES"")"),"Se ve a dos hombres hablando con la cámara seguido de varios clips de personas que golpean una pelota.")</f>
        <v>Se ve a dos hombres hablando con la cámara seguido de varios clips de personas que golpean una pelota.</v>
      </c>
    </row>
    <row r="2393">
      <c r="A2393" s="4" t="s">
        <v>3000</v>
      </c>
      <c r="B2393" s="4" t="s">
        <v>3002</v>
      </c>
      <c r="C2393" s="5" t="str">
        <f>IFERROR(__xludf.DUMMYFUNCTION("GOOGLETRANSLATE(B2393,""en"",""es-ES"")"),"Se muestran más disparos de personas sosteniendo palos y golpear una pelota con otro entrenador cerca ayudando y hablando con la cámara.")</f>
        <v>Se muestran más disparos de personas sosteniendo palos y golpear una pelota con otro entrenador cerca ayudando y hablando con la cámara.</v>
      </c>
    </row>
    <row r="2394">
      <c r="A2394" s="4" t="s">
        <v>3003</v>
      </c>
      <c r="B2394" s="4" t="s">
        <v>3004</v>
      </c>
      <c r="C2394" s="5" t="str">
        <f>IFERROR(__xludf.DUMMYFUNCTION("GOOGLETRANSLATE(B2394,""en"",""es-ES"")"),"Se ve a una persona sentada en un taburete y junta varias partes de una bicicleta.")</f>
        <v>Se ve a una persona sentada en un taburete y junta varias partes de una bicicleta.</v>
      </c>
    </row>
    <row r="2395">
      <c r="A2395" s="4" t="s">
        <v>3003</v>
      </c>
      <c r="B2395" s="4" t="s">
        <v>3005</v>
      </c>
      <c r="C2395" s="5" t="str">
        <f>IFERROR(__xludf.DUMMYFUNCTION("GOOGLETRANSLATE(B2395,""en"",""es-ES"")"),"La persona continúa juntando la bicicleta y al final al final.")</f>
        <v>La persona continúa juntando la bicicleta y al final al final.</v>
      </c>
    </row>
    <row r="2396">
      <c r="A2396" s="4" t="s">
        <v>3006</v>
      </c>
      <c r="B2396" s="4" t="s">
        <v>3007</v>
      </c>
      <c r="C2396" s="5" t="str">
        <f>IFERROR(__xludf.DUMMYFUNCTION("GOOGLETRANSLATE(B2396,""en"",""es-ES"")"),"Un bote verde con acentos en blanco y negro sobre él se desliza sobre el agua.")</f>
        <v>Un bote verde con acentos en blanco y negro sobre él se desliza sobre el agua.</v>
      </c>
    </row>
    <row r="2397">
      <c r="A2397" s="4" t="s">
        <v>3006</v>
      </c>
      <c r="B2397" s="4" t="s">
        <v>3008</v>
      </c>
      <c r="C2397" s="5" t="str">
        <f>IFERROR(__xludf.DUMMYFUNCTION("GOOGLETRANSLATE(B2397,""en"",""es-ES"")"),"Un par de zapatos azules y negros están en una cubierta mientras se coloca un pie del lado derecho.")</f>
        <v>Un par de zapatos azules y negros están en una cubierta mientras se coloca un pie del lado derecho.</v>
      </c>
    </row>
    <row r="2398">
      <c r="A2398" s="4" t="s">
        <v>3006</v>
      </c>
      <c r="B2398" s="4" t="s">
        <v>3009</v>
      </c>
      <c r="C2398" s="5" t="str">
        <f>IFERROR(__xludf.DUMMYFUNCTION("GOOGLETRANSLATE(B2398,""en"",""es-ES"")"),"Un hombre ahora está parado en una tabla de agua a la que están unidos los zapatos azules y está sosteniendo una cuerda azul unida a un mango triangular.")</f>
        <v>Un hombre ahora está parado en una tabla de agua a la que están unidos los zapatos azules y está sosteniendo una cuerda azul unida a un mango triangular.</v>
      </c>
    </row>
    <row r="2399">
      <c r="A2399" s="4" t="s">
        <v>3006</v>
      </c>
      <c r="B2399" s="4" t="s">
        <v>3010</v>
      </c>
      <c r="C2399" s="5" t="str">
        <f>IFERROR(__xludf.DUMMYFUNCTION("GOOGLETRANSLATE(B2399,""en"",""es-ES"")"),"Las palabras blancas en una pantalla negra aparecen y leen el verano de Zucky Wakeboard 2015 y luego se desvanece.")</f>
        <v>Las palabras blancas en una pantalla negra aparecen y leen el verano de Zucky Wakeboard 2015 y luego se desvanece.</v>
      </c>
    </row>
    <row r="2400">
      <c r="A2400" s="4" t="s">
        <v>3006</v>
      </c>
      <c r="B2400" s="4" t="s">
        <v>3011</v>
      </c>
      <c r="C2400" s="5" t="str">
        <f>IFERROR(__xludf.DUMMYFUNCTION("GOOGLETRANSLATE(B2400,""en"",""es-ES"")"),"El hombre se muestra nuevamente y ahora está en movimiento de estampado mientras sostiene el mango conectado a la cuerda y está haciendo varios trucos de lado a lado, ocasionalmente saltando, girando y, a veces, haciendo todo a la vez.")</f>
        <v>El hombre se muestra nuevamente y ahora está en movimiento de estampado mientras sostiene el mango conectado a la cuerda y está haciendo varios trucos de lado a lado, ocasionalmente saltando, girando y, a veces, haciendo todo a la vez.</v>
      </c>
    </row>
    <row r="2401">
      <c r="A2401" s="4" t="s">
        <v>3006</v>
      </c>
      <c r="B2401" s="4" t="s">
        <v>3012</v>
      </c>
      <c r="C2401" s="5" t="str">
        <f>IFERROR(__xludf.DUMMYFUNCTION("GOOGLETRANSLATE(B2401,""en"",""es-ES"")"),"El video termina con palabras y números blancos en una pantalla negra que lee -end -editor: 05.")</f>
        <v>El video termina con palabras y números blancos en una pantalla negra que lee -end -editor: 05.</v>
      </c>
    </row>
    <row r="2402">
      <c r="A2402" s="4" t="s">
        <v>3013</v>
      </c>
      <c r="B2402" s="4" t="s">
        <v>3014</v>
      </c>
      <c r="C2402" s="5" t="str">
        <f>IFERROR(__xludf.DUMMYFUNCTION("GOOGLETRANSLATE(B2402,""en"",""es-ES"")"),"Un hombre está sentado en una silla giratoria con su pierna doblada sobre la otra.")</f>
        <v>Un hombre está sentado en una silla giratoria con su pierna doblada sobre la otra.</v>
      </c>
    </row>
    <row r="2403">
      <c r="A2403" s="4" t="s">
        <v>3013</v>
      </c>
      <c r="B2403" s="4" t="s">
        <v>3015</v>
      </c>
      <c r="C2403" s="5" t="str">
        <f>IFERROR(__xludf.DUMMYFUNCTION("GOOGLETRANSLATE(B2403,""en"",""es-ES"")"),"Otro hombre toma un paño y comienza a limpiar sus zapatos de cuero negro con un paño para que sea brillante.")</f>
        <v>Otro hombre toma un paño y comienza a limpiar sus zapatos de cuero negro con un paño para que sea brillante.</v>
      </c>
    </row>
    <row r="2404">
      <c r="A2404" s="4" t="s">
        <v>3013</v>
      </c>
      <c r="B2404" s="4" t="s">
        <v>3016</v>
      </c>
      <c r="C2404" s="5" t="str">
        <f>IFERROR(__xludf.DUMMYFUNCTION("GOOGLETRANSLATE(B2404,""en"",""es-ES"")"),"Limpia el zapato con un movimiento de ida y vuelta.")</f>
        <v>Limpia el zapato con un movimiento de ida y vuelta.</v>
      </c>
    </row>
    <row r="2405">
      <c r="A2405" s="4" t="s">
        <v>3017</v>
      </c>
      <c r="B2405" s="4" t="s">
        <v>3018</v>
      </c>
      <c r="C2405" s="5" t="str">
        <f>IFERROR(__xludf.DUMMYFUNCTION("GOOGLETRANSLATE(B2405,""en"",""es-ES"")"),"Una mujer con cabello rubio explica cómo hacer limonada de vodka de romero.")</f>
        <v>Una mujer con cabello rubio explica cómo hacer limonada de vodka de romero.</v>
      </c>
    </row>
    <row r="2406">
      <c r="A2406" s="4" t="s">
        <v>3017</v>
      </c>
      <c r="B2406" s="4" t="s">
        <v>3019</v>
      </c>
      <c r="C2406" s="5" t="str">
        <f>IFERROR(__xludf.DUMMYFUNCTION("GOOGLETRANSLATE(B2406,""en"",""es-ES"")"),"Aparecen dos frascos de líquido.")</f>
        <v>Aparecen dos frascos de líquido.</v>
      </c>
    </row>
    <row r="2407">
      <c r="A2407" s="4" t="s">
        <v>3017</v>
      </c>
      <c r="B2407" s="4" t="s">
        <v>3020</v>
      </c>
      <c r="C2407" s="5" t="str">
        <f>IFERROR(__xludf.DUMMYFUNCTION("GOOGLETRANSLATE(B2407,""en"",""es-ES"")"),"La mujer toma un sorbo del líquido.")</f>
        <v>La mujer toma un sorbo del líquido.</v>
      </c>
    </row>
    <row r="2408">
      <c r="A2408" s="4" t="s">
        <v>3017</v>
      </c>
      <c r="B2408" s="4" t="s">
        <v>3021</v>
      </c>
      <c r="C2408" s="5" t="str">
        <f>IFERROR(__xludf.DUMMYFUNCTION("GOOGLETRANSLATE(B2408,""en"",""es-ES"")"),"La mujer prepara el líquido con hierbas y azúcar en un tazón.")</f>
        <v>La mujer prepara el líquido con hierbas y azúcar en un tazón.</v>
      </c>
    </row>
    <row r="2409">
      <c r="A2409" s="4" t="s">
        <v>3017</v>
      </c>
      <c r="B2409" s="4" t="s">
        <v>3022</v>
      </c>
      <c r="C2409" s="5" t="str">
        <f>IFERROR(__xludf.DUMMYFUNCTION("GOOGLETRANSLATE(B2409,""en"",""es-ES"")"),"La mujer vierte el líquido en un vaso.")</f>
        <v>La mujer vierte el líquido en un vaso.</v>
      </c>
    </row>
    <row r="2410">
      <c r="A2410" s="4" t="s">
        <v>3017</v>
      </c>
      <c r="B2410" s="4" t="s">
        <v>3023</v>
      </c>
      <c r="C2410" s="5" t="str">
        <f>IFERROR(__xludf.DUMMYFUNCTION("GOOGLETRANSLATE(B2410,""en"",""es-ES"")"),"La mujer vierte el líquido en frascos con hielo.")</f>
        <v>La mujer vierte el líquido en frascos con hielo.</v>
      </c>
    </row>
    <row r="2411">
      <c r="A2411" s="4" t="s">
        <v>3017</v>
      </c>
      <c r="B2411" s="4" t="s">
        <v>3024</v>
      </c>
      <c r="C2411" s="5" t="str">
        <f>IFERROR(__xludf.DUMMYFUNCTION("GOOGLETRANSLATE(B2411,""en"",""es-ES"")"),"La mujer combina el brebaje.")</f>
        <v>La mujer combina el brebaje.</v>
      </c>
    </row>
    <row r="2412">
      <c r="A2412" s="4" t="s">
        <v>3017</v>
      </c>
      <c r="B2412" s="4" t="s">
        <v>3025</v>
      </c>
      <c r="C2412" s="5" t="str">
        <f>IFERROR(__xludf.DUMMYFUNCTION("GOOGLETRANSLATE(B2412,""en"",""es-ES"")"),"La mujer bebe el líquido en un frasco.")</f>
        <v>La mujer bebe el líquido en un frasco.</v>
      </c>
    </row>
    <row r="2413">
      <c r="A2413" s="4" t="s">
        <v>3017</v>
      </c>
      <c r="B2413" s="4" t="s">
        <v>3026</v>
      </c>
      <c r="C2413" s="5" t="str">
        <f>IFERROR(__xludf.DUMMYFUNCTION("GOOGLETRANSLATE(B2413,""en"",""es-ES"")"),"El video termina con una vista de los frascos con líquido.")</f>
        <v>El video termina con una vista de los frascos con líquido.</v>
      </c>
    </row>
    <row r="2414">
      <c r="A2414" s="4" t="s">
        <v>3027</v>
      </c>
      <c r="B2414" s="4" t="s">
        <v>3028</v>
      </c>
      <c r="C2414" s="5" t="str">
        <f>IFERROR(__xludf.DUMMYFUNCTION("GOOGLETRANSLATE(B2414,""en"",""es-ES"")"),"Se muestra a una mujer hablando con la cámara y que muestra varias tomas de niños sentados en una silla y actuando en la televisión.")</f>
        <v>Se muestra a una mujer hablando con la cámara y que muestra varias tomas de niños sentados en una silla y actuando en la televisión.</v>
      </c>
    </row>
    <row r="2415">
      <c r="A2415" s="4" t="s">
        <v>3027</v>
      </c>
      <c r="B2415" s="4" t="s">
        <v>3029</v>
      </c>
      <c r="C2415" s="5" t="str">
        <f>IFERROR(__xludf.DUMMYFUNCTION("GOOGLETRANSLATE(B2415,""en"",""es-ES"")"),"La mujer habla más con la cámara y pone un contacto en el ojo de las chicas.")</f>
        <v>La mujer habla más con la cámara y pone un contacto en el ojo de las chicas.</v>
      </c>
    </row>
    <row r="2416">
      <c r="A2416" s="4" t="s">
        <v>3027</v>
      </c>
      <c r="B2416" s="4" t="s">
        <v>3030</v>
      </c>
      <c r="C2416" s="5" t="str">
        <f>IFERROR(__xludf.DUMMYFUNCTION("GOOGLETRANSLATE(B2416,""en"",""es-ES"")"),"La niña sonríe en un espejo y muestra cómo saca los contactos y un recordatorio en su teléfono.")</f>
        <v>La niña sonríe en un espejo y muestra cómo saca los contactos y un recordatorio en su teléfono.</v>
      </c>
    </row>
    <row r="2417">
      <c r="A2417" s="4" t="s">
        <v>3027</v>
      </c>
      <c r="B2417" s="4" t="s">
        <v>3031</v>
      </c>
      <c r="C2417" s="5" t="str">
        <f>IFERROR(__xludf.DUMMYFUNCTION("GOOGLETRANSLATE(B2417,""en"",""es-ES"")"),"Una última mujer habla con la cámara y la niña anima y sonríe nuevamente.")</f>
        <v>Una última mujer habla con la cámara y la niña anima y sonríe nuevamente.</v>
      </c>
    </row>
    <row r="2418">
      <c r="A2418" s="4" t="s">
        <v>3032</v>
      </c>
      <c r="B2418" s="4" t="s">
        <v>3033</v>
      </c>
      <c r="C2418" s="5" t="str">
        <f>IFERROR(__xludf.DUMMYFUNCTION("GOOGLETRANSLATE(B2418,""en"",""es-ES"")"),"Un niño está sentado frente a un temporizador en un monitor de computadora.")</f>
        <v>Un niño está sentado frente a un temporizador en un monitor de computadora.</v>
      </c>
    </row>
    <row r="2419">
      <c r="A2419" s="4" t="s">
        <v>3032</v>
      </c>
      <c r="B2419" s="4" t="s">
        <v>3034</v>
      </c>
      <c r="C2419" s="5" t="str">
        <f>IFERROR(__xludf.DUMMYFUNCTION("GOOGLETRANSLATE(B2419,""en"",""es-ES"")"),"Tiene varios cubos de Rubik seguidos.")</f>
        <v>Tiene varios cubos de Rubik seguidos.</v>
      </c>
    </row>
    <row r="2420">
      <c r="A2420" s="4" t="s">
        <v>3032</v>
      </c>
      <c r="B2420" s="4" t="s">
        <v>3035</v>
      </c>
      <c r="C2420" s="5" t="str">
        <f>IFERROR(__xludf.DUMMYFUNCTION("GOOGLETRANSLATE(B2420,""en"",""es-ES"")"),"Se está cronometrando mientras intenta resolver el cubo.")</f>
        <v>Se está cronometrando mientras intenta resolver el cubo.</v>
      </c>
    </row>
    <row r="2421">
      <c r="A2421" s="4" t="s">
        <v>3032</v>
      </c>
      <c r="B2421" s="4" t="s">
        <v>3036</v>
      </c>
      <c r="C2421" s="5" t="str">
        <f>IFERROR(__xludf.DUMMYFUNCTION("GOOGLETRANSLATE(B2421,""en"",""es-ES"")"),"Se mueve rápidamente, resolviéndolos en poco tiempo.")</f>
        <v>Se mueve rápidamente, resolviéndolos en poco tiempo.</v>
      </c>
    </row>
    <row r="2422">
      <c r="A2422" s="4" t="s">
        <v>3032</v>
      </c>
      <c r="B2422" s="4" t="s">
        <v>3037</v>
      </c>
      <c r="C2422" s="5" t="str">
        <f>IFERROR(__xludf.DUMMYFUNCTION("GOOGLETRANSLATE(B2422,""en"",""es-ES"")"),"Se aprieta los puños de alegría.")</f>
        <v>Se aprieta los puños de alegría.</v>
      </c>
    </row>
    <row r="2423">
      <c r="A2423" s="4" t="s">
        <v>3038</v>
      </c>
      <c r="B2423" s="4" t="s">
        <v>3039</v>
      </c>
      <c r="C2423" s="5" t="str">
        <f>IFERROR(__xludf.DUMMYFUNCTION("GOOGLETRANSLATE(B2423,""en"",""es-ES"")"),"Las personas se muestran tocando la batería con baquetas de madera.")</f>
        <v>Las personas se muestran tocando la batería con baquetas de madera.</v>
      </c>
    </row>
    <row r="2424">
      <c r="A2424" s="4" t="s">
        <v>3038</v>
      </c>
      <c r="B2424" s="4" t="s">
        <v>3040</v>
      </c>
      <c r="C2424" s="5" t="str">
        <f>IFERROR(__xludf.DUMMYFUNCTION("GOOGLETRANSLATE(B2424,""en"",""es-ES"")"),"También hay personas detrás de ellos tocando platillos dorados.")</f>
        <v>También hay personas detrás de ellos tocando platillos dorados.</v>
      </c>
    </row>
    <row r="2425">
      <c r="A2425" s="4" t="s">
        <v>3038</v>
      </c>
      <c r="B2425" s="4" t="s">
        <v>3041</v>
      </c>
      <c r="C2425" s="5" t="str">
        <f>IFERROR(__xludf.DUMMYFUNCTION("GOOGLETRANSLATE(B2425,""en"",""es-ES"")"),"Después de un tiempo, todos dejan de jugar y se paran en silencio.")</f>
        <v>Después de un tiempo, todos dejan de jugar y se paran en silencio.</v>
      </c>
    </row>
    <row r="2426">
      <c r="A2426" s="4" t="s">
        <v>3042</v>
      </c>
      <c r="B2426" s="4" t="s">
        <v>3043</v>
      </c>
      <c r="C2426" s="5" t="str">
        <f>IFERROR(__xludf.DUMMYFUNCTION("GOOGLETRANSLATE(B2426,""en"",""es-ES"")"),"Una mujer se para con un vestido rojo.")</f>
        <v>Una mujer se para con un vestido rojo.</v>
      </c>
    </row>
    <row r="2427">
      <c r="A2427" s="4" t="s">
        <v>3042</v>
      </c>
      <c r="B2427" s="4" t="s">
        <v>3044</v>
      </c>
      <c r="C2427" s="5" t="str">
        <f>IFERROR(__xludf.DUMMYFUNCTION("GOOGLETRANSLATE(B2427,""en"",""es-ES"")"),"Ella está lanzando dardos a un tablero.")</f>
        <v>Ella está lanzando dardos a un tablero.</v>
      </c>
    </row>
    <row r="2428">
      <c r="A2428" s="4" t="s">
        <v>3042</v>
      </c>
      <c r="B2428" s="4" t="s">
        <v>3045</v>
      </c>
      <c r="C2428" s="5" t="str">
        <f>IFERROR(__xludf.DUMMYFUNCTION("GOOGLETRANSLATE(B2428,""en"",""es-ES"")"),"Ella arroja varios dardos en el tablero.")</f>
        <v>Ella arroja varios dardos en el tablero.</v>
      </c>
    </row>
    <row r="2429">
      <c r="A2429" s="4" t="s">
        <v>3042</v>
      </c>
      <c r="B2429" s="4" t="s">
        <v>3046</v>
      </c>
      <c r="C2429" s="5" t="str">
        <f>IFERROR(__xludf.DUMMYFUNCTION("GOOGLETRANSLATE(B2429,""en"",""es-ES"")"),"Ella arroja dardos en cámara lenta.")</f>
        <v>Ella arroja dardos en cámara lenta.</v>
      </c>
    </row>
    <row r="2430">
      <c r="A2430" s="4" t="s">
        <v>3047</v>
      </c>
      <c r="B2430" s="4" t="s">
        <v>3048</v>
      </c>
      <c r="C2430" s="5" t="str">
        <f>IFERROR(__xludf.DUMMYFUNCTION("GOOGLETRANSLATE(B2430,""en"",""es-ES"")"),"Una mujer está completando una rutina en los Juegos Olímpicos en el rayo de equilibrio.")</f>
        <v>Una mujer está completando una rutina en los Juegos Olímpicos en el rayo de equilibrio.</v>
      </c>
    </row>
    <row r="2431">
      <c r="A2431" s="4" t="s">
        <v>3047</v>
      </c>
      <c r="B2431" s="4" t="s">
        <v>3049</v>
      </c>
      <c r="C2431" s="5" t="str">
        <f>IFERROR(__xludf.DUMMYFUNCTION("GOOGLETRANSLATE(B2431,""en"",""es-ES"")"),"Ella salta hacia arriba y hacia abajo con gracia y luego cae para una deducción de un poco de punto.")</f>
        <v>Ella salta hacia arriba y hacia abajo con gracia y luego cae para una deducción de un poco de punto.</v>
      </c>
    </row>
    <row r="2432">
      <c r="A2432" s="4" t="s">
        <v>3047</v>
      </c>
      <c r="B2432" s="4" t="s">
        <v>3050</v>
      </c>
      <c r="C2432" s="5" t="str">
        <f>IFERROR(__xludf.DUMMYFUNCTION("GOOGLETRANSLATE(B2432,""en"",""es-ES"")"),"Ella termina su rutina y recibe un abrazo de su entrenador.")</f>
        <v>Ella termina su rutina y recibe un abrazo de su entrenador.</v>
      </c>
    </row>
    <row r="2433">
      <c r="A2433" s="4" t="s">
        <v>3051</v>
      </c>
      <c r="B2433" s="4" t="s">
        <v>3052</v>
      </c>
      <c r="C2433" s="5" t="str">
        <f>IFERROR(__xludf.DUMMYFUNCTION("GOOGLETRANSLATE(B2433,""en"",""es-ES"")"),"Una variedad de equipos masculinos y femeninos se alinean fuera de un edificio que se les deja entrar.")</f>
        <v>Una variedad de equipos masculinos y femeninos se alinean fuera de un edificio que se les deja entrar.</v>
      </c>
    </row>
    <row r="2434">
      <c r="A2434" s="4" t="s">
        <v>3051</v>
      </c>
      <c r="B2434" s="4" t="s">
        <v>3053</v>
      </c>
      <c r="C2434" s="5" t="str">
        <f>IFERROR(__xludf.DUMMYFUNCTION("GOOGLETRANSLATE(B2434,""en"",""es-ES"")"),"En el edificio, hay múltiples mesas de piscina y un hombre comienza a instruirlas sobre qué hacer.")</f>
        <v>En el edificio, hay múltiples mesas de piscina y un hombre comienza a instruirlas sobre qué hacer.</v>
      </c>
    </row>
    <row r="2435">
      <c r="A2435" s="4" t="s">
        <v>3051</v>
      </c>
      <c r="B2435" s="4" t="s">
        <v>3054</v>
      </c>
      <c r="C2435" s="5" t="str">
        <f>IFERROR(__xludf.DUMMYFUNCTION("GOOGLETRANSLATE(B2435,""en"",""es-ES"")"),"Diferentes personas comienzan a golpear las bolas y el instructor se acerca a ayudarlas.")</f>
        <v>Diferentes personas comienzan a golpear las bolas y el instructor se acerca a ayudarlas.</v>
      </c>
    </row>
    <row r="2436">
      <c r="A2436" s="4" t="s">
        <v>3055</v>
      </c>
      <c r="B2436" s="4" t="s">
        <v>3056</v>
      </c>
      <c r="C2436" s="5" t="str">
        <f>IFERROR(__xludf.DUMMYFUNCTION("GOOGLETRANSLATE(B2436,""en"",""es-ES"")"),"Un grupo de personas se ha reunido en un escenario.")</f>
        <v>Un grupo de personas se ha reunido en un escenario.</v>
      </c>
    </row>
    <row r="2437">
      <c r="A2437" s="4" t="s">
        <v>3055</v>
      </c>
      <c r="B2437" s="4" t="s">
        <v>3057</v>
      </c>
      <c r="C2437" s="5" t="str">
        <f>IFERROR(__xludf.DUMMYFUNCTION("GOOGLETRANSLATE(B2437,""en"",""es-ES"")"),"El público aplaude para los artistas.")</f>
        <v>El público aplaude para los artistas.</v>
      </c>
    </row>
    <row r="2438">
      <c r="A2438" s="4" t="s">
        <v>3055</v>
      </c>
      <c r="B2438" s="4" t="s">
        <v>3058</v>
      </c>
      <c r="C2438" s="5" t="str">
        <f>IFERROR(__xludf.DUMMYFUNCTION("GOOGLETRANSLATE(B2438,""en"",""es-ES"")"),"Se dan la mano y se abrazan cuando ruedan los créditos.")</f>
        <v>Se dan la mano y se abrazan cuando ruedan los créditos.</v>
      </c>
    </row>
    <row r="2439">
      <c r="A2439" s="4" t="s">
        <v>3059</v>
      </c>
      <c r="B2439" s="4" t="s">
        <v>3060</v>
      </c>
      <c r="C2439" s="5" t="str">
        <f>IFERROR(__xludf.DUMMYFUNCTION("GOOGLETRANSLATE(B2439,""en"",""es-ES"")"),"Una mujer está en una cocina, hablando.")</f>
        <v>Una mujer está en una cocina, hablando.</v>
      </c>
    </row>
    <row r="2440">
      <c r="A2440" s="4" t="s">
        <v>3059</v>
      </c>
      <c r="B2440" s="4" t="s">
        <v>3061</v>
      </c>
      <c r="C2440" s="5" t="str">
        <f>IFERROR(__xludf.DUMMYFUNCTION("GOOGLETRANSLATE(B2440,""en"",""es-ES"")"),"Ella está mostrando una variedad de coberturas de sándwich.")</f>
        <v>Ella está mostrando una variedad de coberturas de sándwich.</v>
      </c>
    </row>
    <row r="2441">
      <c r="A2441" s="4" t="s">
        <v>3059</v>
      </c>
      <c r="B2441" s="4" t="s">
        <v>3062</v>
      </c>
      <c r="C2441" s="5" t="str">
        <f>IFERROR(__xludf.DUMMYFUNCTION("GOOGLETRANSLATE(B2441,""en"",""es-ES"")"),"Ella coloca carne y queso en pan, luego cierra el sándwich.")</f>
        <v>Ella coloca carne y queso en pan, luego cierra el sándwich.</v>
      </c>
    </row>
    <row r="2442">
      <c r="A2442" s="4" t="s">
        <v>3063</v>
      </c>
      <c r="B2442" s="4" t="s">
        <v>3064</v>
      </c>
      <c r="C2442" s="5" t="str">
        <f>IFERROR(__xludf.DUMMYFUNCTION("GOOGLETRANSLATE(B2442,""en"",""es-ES"")"),"Muchas hembras, algunas con camisas azules y algunas con camisas blancas, corren en un campo jugando un juego.")</f>
        <v>Muchas hembras, algunas con camisas azules y algunas con camisas blancas, corren en un campo jugando un juego.</v>
      </c>
    </row>
    <row r="2443">
      <c r="A2443" s="4" t="s">
        <v>3063</v>
      </c>
      <c r="B2443" s="4" t="s">
        <v>3065</v>
      </c>
      <c r="C2443" s="5" t="str">
        <f>IFERROR(__xludf.DUMMYFUNCTION("GOOGLETRANSLATE(B2443,""en"",""es-ES"")"),"Algunas personas miran desde las gradas en el fondo.")</f>
        <v>Algunas personas miran desde las gradas en el fondo.</v>
      </c>
    </row>
    <row r="2444">
      <c r="A2444" s="4" t="s">
        <v>3063</v>
      </c>
      <c r="B2444" s="4" t="s">
        <v>3066</v>
      </c>
      <c r="C2444" s="5" t="str">
        <f>IFERROR(__xludf.DUMMYFUNCTION("GOOGLETRANSLATE(B2444,""en"",""es-ES"")"),"Dos árbitros corren y bajan el campo con los jugadores.")</f>
        <v>Dos árbitros corren y bajan el campo con los jugadores.</v>
      </c>
    </row>
    <row r="2445">
      <c r="A2445" s="4" t="s">
        <v>3063</v>
      </c>
      <c r="B2445" s="4" t="s">
        <v>3067</v>
      </c>
      <c r="C2445" s="5" t="str">
        <f>IFERROR(__xludf.DUMMYFUNCTION("GOOGLETRANSLATE(B2445,""en"",""es-ES"")"),"Otros jugadores observan desde la línea lateral cerca de una cerca.")</f>
        <v>Otros jugadores observan desde la línea lateral cerca de una cerca.</v>
      </c>
    </row>
    <row r="2446">
      <c r="A2446" s="4" t="s">
        <v>3063</v>
      </c>
      <c r="B2446" s="4" t="s">
        <v>3068</v>
      </c>
      <c r="C2446" s="5" t="str">
        <f>IFERROR(__xludf.DUMMYFUNCTION("GOOGLETRANSLATE(B2446,""en"",""es-ES"")"),"Un grupo de personas que mantienen el puntaje se sientan en una mesa en la banca.")</f>
        <v>Un grupo de personas que mantienen el puntaje se sientan en una mesa en la banca.</v>
      </c>
    </row>
    <row r="2447">
      <c r="A2447" s="4" t="s">
        <v>3063</v>
      </c>
      <c r="B2447" s="4" t="s">
        <v>3069</v>
      </c>
      <c r="C2447" s="5" t="str">
        <f>IFERROR(__xludf.DUMMYFUNCTION("GOOGLETRANSLATE(B2447,""en"",""es-ES"")"),"Algunas de las personas que miran desde las gradas están de pie ahora.")</f>
        <v>Algunas de las personas que miran desde las gradas están de pie ahora.</v>
      </c>
    </row>
    <row r="2448">
      <c r="A2448" s="4" t="s">
        <v>3063</v>
      </c>
      <c r="B2448" s="4" t="s">
        <v>3070</v>
      </c>
      <c r="C2448" s="5" t="str">
        <f>IFERROR(__xludf.DUMMYFUNCTION("GOOGLETRANSLATE(B2448,""en"",""es-ES"")"),"Un hombre con una sudadera azul camina en la banca.")</f>
        <v>Un hombre con una sudadera azul camina en la banca.</v>
      </c>
    </row>
    <row r="2449">
      <c r="A2449" s="4" t="s">
        <v>3071</v>
      </c>
      <c r="B2449" s="4" t="s">
        <v>3072</v>
      </c>
      <c r="C2449" s="5" t="str">
        <f>IFERROR(__xludf.DUMMYFUNCTION("GOOGLETRANSLATE(B2449,""en"",""es-ES"")"),"Afuera en el patio hay una dama vestida como un pastelito y está jugando un juego de cricket.")</f>
        <v>Afuera en el patio hay una dama vestida como un pastelito y está jugando un juego de cricket.</v>
      </c>
    </row>
    <row r="2450">
      <c r="A2450" s="4" t="s">
        <v>3071</v>
      </c>
      <c r="B2450" s="4" t="s">
        <v>3073</v>
      </c>
      <c r="C2450" s="5" t="str">
        <f>IFERROR(__xludf.DUMMYFUNCTION("GOOGLETRANSLATE(B2450,""en"",""es-ES"")"),"Ella golpea la pelota amarilla, pero no se mueve muy lejos.")</f>
        <v>Ella golpea la pelota amarilla, pero no se mueve muy lejos.</v>
      </c>
    </row>
    <row r="2451">
      <c r="A2451" s="4" t="s">
        <v>3071</v>
      </c>
      <c r="B2451" s="4" t="s">
        <v>3074</v>
      </c>
      <c r="C2451" s="5" t="str">
        <f>IFERROR(__xludf.DUMMYFUNCTION("GOOGLETRANSLATE(B2451,""en"",""es-ES"")"),"Ella tiene un poco de problemas para tratar de obtener una buena posición para golpear la pelota nuevamente.")</f>
        <v>Ella tiene un poco de problemas para tratar de obtener una buena posición para golpear la pelota nuevamente.</v>
      </c>
    </row>
    <row r="2452">
      <c r="A2452" s="4" t="s">
        <v>3071</v>
      </c>
      <c r="B2452" s="4" t="s">
        <v>3075</v>
      </c>
      <c r="C2452" s="5" t="str">
        <f>IFERROR(__xludf.DUMMYFUNCTION("GOOGLETRANSLATE(B2452,""en"",""es-ES"")"),"Cuando finalmente lo golpea nuevamente, no pasa por el curso como lo esperaba, así que está decepcionada.")</f>
        <v>Cuando finalmente lo golpea nuevamente, no pasa por el curso como lo esperaba, así que está decepcionada.</v>
      </c>
    </row>
    <row r="2453">
      <c r="A2453" s="4" t="s">
        <v>3076</v>
      </c>
      <c r="B2453" s="4" t="s">
        <v>3077</v>
      </c>
      <c r="C2453" s="5" t="str">
        <f>IFERROR(__xludf.DUMMYFUNCTION("GOOGLETRANSLATE(B2453,""en"",""es-ES"")"),"Hay un gimnasio interior donde dos concursantes están cercando entre sí.")</f>
        <v>Hay un gimnasio interior donde dos concursantes están cercando entre sí.</v>
      </c>
    </row>
    <row r="2454">
      <c r="A2454" s="4" t="s">
        <v>3076</v>
      </c>
      <c r="B2454" s="4" t="s">
        <v>3078</v>
      </c>
      <c r="C2454" s="5" t="str">
        <f>IFERROR(__xludf.DUMMYFUNCTION("GOOGLETRANSLATE(B2454,""en"",""es-ES"")"),"Hay una persona vestida de negro que es su árbitro.")</f>
        <v>Hay una persona vestida de negro que es su árbitro.</v>
      </c>
    </row>
    <row r="2455">
      <c r="A2455" s="4" t="s">
        <v>3076</v>
      </c>
      <c r="B2455" s="4" t="s">
        <v>3079</v>
      </c>
      <c r="C2455" s="5" t="str">
        <f>IFERROR(__xludf.DUMMYFUNCTION("GOOGLETRANSLATE(B2455,""en"",""es-ES"")"),"Otro par de concursantes también están cercando en el mismo evento.")</f>
        <v>Otro par de concursantes también están cercando en el mismo evento.</v>
      </c>
    </row>
    <row r="2456">
      <c r="A2456" s="4" t="s">
        <v>3076</v>
      </c>
      <c r="B2456" s="4" t="s">
        <v>3080</v>
      </c>
      <c r="C2456" s="5" t="str">
        <f>IFERROR(__xludf.DUMMYFUNCTION("GOOGLETRANSLATE(B2456,""en"",""es-ES"")"),"Dos hombres vestidos con equipo de esgrima continúan cerca del gimnasio.")</f>
        <v>Dos hombres vestidos con equipo de esgrima continúan cerca del gimnasio.</v>
      </c>
    </row>
    <row r="2457">
      <c r="A2457" s="4" t="s">
        <v>3081</v>
      </c>
      <c r="B2457" s="4" t="s">
        <v>3082</v>
      </c>
      <c r="C2457" s="5" t="str">
        <f>IFERROR(__xludf.DUMMYFUNCTION("GOOGLETRANSLATE(B2457,""en"",""es-ES"")"),"Una mujer monta un camello sosteniendo un montaje con su mano derecha mientras un hombre tira del camello.")</f>
        <v>Una mujer monta un camello sosteniendo un montaje con su mano derecha mientras un hombre tira del camello.</v>
      </c>
    </row>
    <row r="2458">
      <c r="A2458" s="4" t="s">
        <v>3081</v>
      </c>
      <c r="B2458" s="4" t="s">
        <v>3083</v>
      </c>
      <c r="C2458" s="5" t="str">
        <f>IFERROR(__xludf.DUMMYFUNCTION("GOOGLETRANSLATE(B2458,""en"",""es-ES"")"),"Luego, el camello se detiene y la mujer se baja del camello.")</f>
        <v>Luego, el camello se detiene y la mujer se baja del camello.</v>
      </c>
    </row>
    <row r="2459">
      <c r="A2459" s="4" t="s">
        <v>3084</v>
      </c>
      <c r="B2459" s="4" t="s">
        <v>3085</v>
      </c>
      <c r="C2459" s="5" t="str">
        <f>IFERROR(__xludf.DUMMYFUNCTION("GOOGLETRANSLATE(B2459,""en"",""es-ES"")"),"Dos hombres se ríen y se inclinan las cabezas que observan trabajos.")</f>
        <v>Dos hombres se ríen y se inclinan las cabezas que observan trabajos.</v>
      </c>
    </row>
    <row r="2460">
      <c r="A2460" s="4" t="s">
        <v>3084</v>
      </c>
      <c r="B2460" s="4" t="s">
        <v>3086</v>
      </c>
      <c r="C2460" s="5" t="str">
        <f>IFERROR(__xludf.DUMMYFUNCTION("GOOGLETRANSLATE(B2460,""en"",""es-ES"")"),"La persona pinta las uñas de sus amigos.")</f>
        <v>La persona pinta las uñas de sus amigos.</v>
      </c>
    </row>
    <row r="2461">
      <c r="A2461" s="4" t="s">
        <v>3084</v>
      </c>
      <c r="B2461" s="4" t="s">
        <v>3087</v>
      </c>
      <c r="C2461" s="5" t="str">
        <f>IFERROR(__xludf.DUMMYFUNCTION("GOOGLETRANSLATE(B2461,""en"",""es-ES"")"),"El hombre elimina la mano de sus amigos y continúa trabajando.")</f>
        <v>El hombre elimina la mano de sus amigos y continúa trabajando.</v>
      </c>
    </row>
    <row r="2462">
      <c r="A2462" s="4" t="s">
        <v>3088</v>
      </c>
      <c r="B2462" s="4" t="s">
        <v>3089</v>
      </c>
      <c r="C2462" s="5" t="str">
        <f>IFERROR(__xludf.DUMMYFUNCTION("GOOGLETRANSLATE(B2462,""en"",""es-ES"")"),"Una niña corre por la sala de estar dejando caer flores y tierra.")</f>
        <v>Una niña corre por la sala de estar dejando caer flores y tierra.</v>
      </c>
    </row>
    <row r="2463">
      <c r="A2463" s="4" t="s">
        <v>3088</v>
      </c>
      <c r="B2463" s="4" t="s">
        <v>3090</v>
      </c>
      <c r="C2463" s="5" t="str">
        <f>IFERROR(__xludf.DUMMYFUNCTION("GOOGLETRANSLATE(B2463,""en"",""es-ES"")"),"Una mujer agarra un vacío y aspira el piso.")</f>
        <v>Una mujer agarra un vacío y aspira el piso.</v>
      </c>
    </row>
    <row r="2464">
      <c r="A2464" s="4" t="s">
        <v>3088</v>
      </c>
      <c r="B2464" s="4" t="s">
        <v>3091</v>
      </c>
      <c r="C2464" s="5" t="str">
        <f>IFERROR(__xludf.DUMMYFUNCTION("GOOGLETRANSLATE(B2464,""en"",""es-ES"")"),"Ella inserta una herramienta en el vacío y se aspira a lo largo de los zócalos.")</f>
        <v>Ella inserta una herramienta en el vacío y se aspira a lo largo de los zócalos.</v>
      </c>
    </row>
    <row r="2465">
      <c r="A2465" s="4" t="s">
        <v>3088</v>
      </c>
      <c r="B2465" s="4" t="s">
        <v>3092</v>
      </c>
      <c r="C2465" s="5" t="str">
        <f>IFERROR(__xludf.DUMMYFUNCTION("GOOGLETRANSLATE(B2465,""en"",""es-ES"")"),"Ella usa una herramienta especial del vacío para aspirarse alrededor del sofá y la alfombra de la escalera.")</f>
        <v>Ella usa una herramienta especial del vacío para aspirarse alrededor del sofá y la alfombra de la escalera.</v>
      </c>
    </row>
    <row r="2466">
      <c r="A2466" s="4" t="s">
        <v>3088</v>
      </c>
      <c r="B2466" s="4" t="s">
        <v>3093</v>
      </c>
      <c r="C2466" s="5" t="str">
        <f>IFERROR(__xludf.DUMMYFUNCTION("GOOGLETRANSLATE(B2466,""en"",""es-ES"")"),"Ella usa otra herramienta del vacío para aspirarse alrededor de las ventanas.")</f>
        <v>Ella usa otra herramienta del vacío para aspirarse alrededor de las ventanas.</v>
      </c>
    </row>
    <row r="2467">
      <c r="A2467" s="4" t="s">
        <v>3088</v>
      </c>
      <c r="B2467" s="4" t="s">
        <v>3094</v>
      </c>
      <c r="C2467" s="5" t="str">
        <f>IFERROR(__xludf.DUMMYFUNCTION("GOOGLETRANSLATE(B2467,""en"",""es-ES"")"),"Ella saca una bandeja del vacío.")</f>
        <v>Ella saca una bandeja del vacío.</v>
      </c>
    </row>
    <row r="2468">
      <c r="A2468" s="4" t="s">
        <v>3095</v>
      </c>
      <c r="B2468" s="4" t="s">
        <v>3096</v>
      </c>
      <c r="C2468" s="5" t="str">
        <f>IFERROR(__xludf.DUMMYFUNCTION("GOOGLETRANSLATE(B2468,""en"",""es-ES"")"),"Un grupo de niños juega hockey en un campo con entrenadores entrenando mientras juegan.")</f>
        <v>Un grupo de niños juega hockey en un campo con entrenadores entrenando mientras juegan.</v>
      </c>
    </row>
    <row r="2469">
      <c r="A2469" s="4" t="s">
        <v>3095</v>
      </c>
      <c r="B2469" s="4" t="s">
        <v>3097</v>
      </c>
      <c r="C2469" s="5" t="str">
        <f>IFERROR(__xludf.DUMMYFUNCTION("GOOGLETRANSLATE(B2469,""en"",""es-ES"")"),"Un entrenador demuestra cómo bloquear un gol dentro de un gimnasio interior frente a un grupo de jóvenes.")</f>
        <v>Un entrenador demuestra cómo bloquear un gol dentro de un gimnasio interior frente a un grupo de jóvenes.</v>
      </c>
    </row>
    <row r="2470">
      <c r="A2470" s="4" t="s">
        <v>3095</v>
      </c>
      <c r="B2470" s="4" t="s">
        <v>3098</v>
      </c>
      <c r="C2470" s="5" t="str">
        <f>IFERROR(__xludf.DUMMYFUNCTION("GOOGLETRANSLATE(B2470,""en"",""es-ES"")"),"Luego, los niños emulan el entrenamiento mientras la cámara corta al entrenador que habla con la cámara.")</f>
        <v>Luego, los niños emulan el entrenamiento mientras la cámara corta al entrenador que habla con la cámara.</v>
      </c>
    </row>
    <row r="2471">
      <c r="A2471" s="4" t="s">
        <v>3095</v>
      </c>
      <c r="B2471" s="4" t="s">
        <v>3099</v>
      </c>
      <c r="C2471" s="5" t="str">
        <f>IFERROR(__xludf.DUMMYFUNCTION("GOOGLETRANSLATE(B2471,""en"",""es-ES"")"),"Los niños continúan jugando hockey hasta que la pantalla se desvanece.")</f>
        <v>Los niños continúan jugando hockey hasta que la pantalla se desvanece.</v>
      </c>
    </row>
    <row r="2472">
      <c r="A2472" s="4" t="s">
        <v>3100</v>
      </c>
      <c r="B2472" s="4" t="s">
        <v>3101</v>
      </c>
      <c r="C2472" s="5" t="str">
        <f>IFERROR(__xludf.DUMMYFUNCTION("GOOGLETRANSLATE(B2472,""en"",""es-ES"")"),"Se muestra un primer plano de una mini mesa de billar con señales y bolas.")</f>
        <v>Se muestra un primer plano de una mini mesa de billar con señales y bolas.</v>
      </c>
    </row>
    <row r="2473">
      <c r="A2473" s="4" t="s">
        <v>3100</v>
      </c>
      <c r="B2473" s="4" t="s">
        <v>3102</v>
      </c>
      <c r="C2473" s="5" t="str">
        <f>IFERROR(__xludf.DUMMYFUNCTION("GOOGLETRANSLATE(B2473,""en"",""es-ES"")"),"Un hombre usa la señal para disparar las bolas en los bolsillos.")</f>
        <v>Un hombre usa la señal para disparar las bolas en los bolsillos.</v>
      </c>
    </row>
    <row r="2474">
      <c r="A2474" s="4" t="s">
        <v>3100</v>
      </c>
      <c r="B2474" s="4" t="s">
        <v>3103</v>
      </c>
      <c r="C2474" s="5" t="str">
        <f>IFERROR(__xludf.DUMMYFUNCTION("GOOGLETRANSLATE(B2474,""en"",""es-ES"")"),"Se sienta una muñeca sobre la mesa para mostrar el tamaño.")</f>
        <v>Se sienta una muñeca sobre la mesa para mostrar el tamaño.</v>
      </c>
    </row>
    <row r="2475">
      <c r="A2475" s="4" t="s">
        <v>3100</v>
      </c>
      <c r="B2475" s="4" t="s">
        <v>3104</v>
      </c>
      <c r="C2475" s="5" t="str">
        <f>IFERROR(__xludf.DUMMYFUNCTION("GOOGLETRANSLATE(B2475,""en"",""es-ES"")"),"También dispara una bola de wiffle en la mesa y una mármol.")</f>
        <v>También dispara una bola de wiffle en la mesa y una mármol.</v>
      </c>
    </row>
    <row r="2476">
      <c r="A2476" s="4" t="s">
        <v>3105</v>
      </c>
      <c r="B2476" s="4" t="s">
        <v>3106</v>
      </c>
      <c r="C2476" s="5" t="str">
        <f>IFERROR(__xludf.DUMMYFUNCTION("GOOGLETRANSLATE(B2476,""en"",""es-ES"")"),"Dos hombres luchan dentro de un anillo de lucha libre.")</f>
        <v>Dos hombres luchan dentro de un anillo de lucha libre.</v>
      </c>
    </row>
    <row r="2477">
      <c r="A2477" s="4" t="s">
        <v>3105</v>
      </c>
      <c r="B2477" s="4" t="s">
        <v>3107</v>
      </c>
      <c r="C2477" s="5" t="str">
        <f>IFERROR(__xludf.DUMMYFUNCTION("GOOGLETRANSLATE(B2477,""en"",""es-ES"")"),"Se voltean y caen uno sobre el otro.")</f>
        <v>Se voltean y caen uno sobre el otro.</v>
      </c>
    </row>
    <row r="2478">
      <c r="A2478" s="4" t="s">
        <v>3105</v>
      </c>
      <c r="B2478" s="4" t="s">
        <v>3108</v>
      </c>
      <c r="C2478" s="5" t="str">
        <f>IFERROR(__xludf.DUMMYFUNCTION("GOOGLETRANSLATE(B2478,""en"",""es-ES"")"),"Uno de los luchadores ata al otro, y el conteo va a tres.")</f>
        <v>Uno de los luchadores ata al otro, y el conteo va a tres.</v>
      </c>
    </row>
    <row r="2479">
      <c r="A2479" s="4" t="s">
        <v>3109</v>
      </c>
      <c r="B2479" s="4" t="s">
        <v>3110</v>
      </c>
      <c r="C2479" s="5" t="str">
        <f>IFERROR(__xludf.DUMMYFUNCTION("GOOGLETRANSLATE(B2479,""en"",""es-ES"")"),"Dos personas con equipo de buceo están sentados al borde de un bote con la espalda al agua.")</f>
        <v>Dos personas con equipo de buceo están sentados al borde de un bote con la espalda al agua.</v>
      </c>
    </row>
    <row r="2480">
      <c r="A2480" s="4" t="s">
        <v>3109</v>
      </c>
      <c r="B2480" s="4" t="s">
        <v>3111</v>
      </c>
      <c r="C2480" s="5" t="str">
        <f>IFERROR(__xludf.DUMMYFUNCTION("GOOGLETRANSLATE(B2480,""en"",""es-ES"")"),"La persona de la derecha se inclina hacia atrás y salpica en el agua.")</f>
        <v>La persona de la derecha se inclina hacia atrás y salpica en el agua.</v>
      </c>
    </row>
    <row r="2481">
      <c r="A2481" s="4" t="s">
        <v>3109</v>
      </c>
      <c r="B2481" s="4" t="s">
        <v>3112</v>
      </c>
      <c r="C2481" s="5" t="str">
        <f>IFERROR(__xludf.DUMMYFUNCTION("GOOGLETRANSLATE(B2481,""en"",""es-ES"")"),"La siguiente persona también se inclina hacia atrás, pero no puede caer completamente en el agua porque están pegados a algo en el bote, por lo que sus piernas se agitan.")</f>
        <v>La siguiente persona también se inclina hacia atrás, pero no puede caer completamente en el agua porque están pegados a algo en el bote, por lo que sus piernas se agitan.</v>
      </c>
    </row>
    <row r="2482">
      <c r="A2482" s="4" t="s">
        <v>3113</v>
      </c>
      <c r="B2482" s="4" t="s">
        <v>3114</v>
      </c>
      <c r="C2482" s="5" t="str">
        <f>IFERROR(__xludf.DUMMYFUNCTION("GOOGLETRANSLATE(B2482,""en"",""es-ES"")"),"Un hombre en un chaleco de vida rojo demuestra cómo remar en una canoa a través de gestos y hablando con la cámara desde una canoa en un cuerpo de agua.")</f>
        <v>Un hombre en un chaleco de vida rojo demuestra cómo remar en una canoa a través de gestos y hablando con la cámara desde una canoa en un cuerpo de agua.</v>
      </c>
    </row>
    <row r="2483">
      <c r="A2483" s="4" t="s">
        <v>3113</v>
      </c>
      <c r="B2483" s="4" t="s">
        <v>3115</v>
      </c>
      <c r="C2483" s="5" t="str">
        <f>IFERROR(__xludf.DUMMYFUNCTION("GOOGLETRANSLATE(B2483,""en"",""es-ES"")"),"Un hombre en una canoa roja está remando con un remo en un pequeño cuerpo de agua mientras habla con la cámara.")</f>
        <v>Un hombre en una canoa roja está remando con un remo en un pequeño cuerpo de agua mientras habla con la cámara.</v>
      </c>
    </row>
    <row r="2484">
      <c r="A2484" s="4" t="s">
        <v>3113</v>
      </c>
      <c r="B2484" s="4" t="s">
        <v>3116</v>
      </c>
      <c r="C2484" s="5" t="str">
        <f>IFERROR(__xludf.DUMMYFUNCTION("GOOGLETRANSLATE(B2484,""en"",""es-ES"")"),"El hombre se desplaza ligeramente hacia un lado mientras habla usando la paleta como ancla en el agua y aparentemente demostrando cómo remar usando la paleta y los gestos de las manos para explicar cómo mover la paleta y la canoa en el agua.")</f>
        <v>El hombre se desplaza ligeramente hacia un lado mientras habla usando la paleta como ancla en el agua y aparentemente demostrando cómo remar usando la paleta y los gestos de las manos para explicar cómo mover la paleta y la canoa en el agua.</v>
      </c>
    </row>
    <row r="2485">
      <c r="A2485" s="4" t="s">
        <v>3113</v>
      </c>
      <c r="B2485" s="4" t="s">
        <v>3117</v>
      </c>
      <c r="C2485" s="5" t="str">
        <f>IFERROR(__xludf.DUMMYFUNCTION("GOOGLETRANSLATE(B2485,""en"",""es-ES"")"),"Luego, el hombre se aleja de la cámara con la paleta y se aleja en el agua antes de remar de regreso a la cámara nuevamente.")</f>
        <v>Luego, el hombre se aleja de la cámara con la paleta y se aleja en el agua antes de remar de regreso a la cámara nuevamente.</v>
      </c>
    </row>
    <row r="2486">
      <c r="A2486" s="4" t="s">
        <v>3118</v>
      </c>
      <c r="B2486" s="4" t="s">
        <v>3119</v>
      </c>
      <c r="C2486" s="5" t="str">
        <f>IFERROR(__xludf.DUMMYFUNCTION("GOOGLETRANSLATE(B2486,""en"",""es-ES"")"),"Un niño está fumando un cigarrillo.")</f>
        <v>Un niño está fumando un cigarrillo.</v>
      </c>
    </row>
    <row r="2487">
      <c r="A2487" s="4" t="s">
        <v>3118</v>
      </c>
      <c r="B2487" s="4" t="s">
        <v>3120</v>
      </c>
      <c r="C2487" s="5" t="str">
        <f>IFERROR(__xludf.DUMMYFUNCTION("GOOGLETRANSLATE(B2487,""en"",""es-ES"")"),"El niño voltea el cigarrillo e intentó poner el otro extremo del cigarrillo en la boca.")</f>
        <v>El niño voltea el cigarrillo e intentó poner el otro extremo del cigarrillo en la boca.</v>
      </c>
    </row>
    <row r="2488">
      <c r="A2488" s="4" t="s">
        <v>3118</v>
      </c>
      <c r="B2488" s="4" t="s">
        <v>3121</v>
      </c>
      <c r="C2488" s="5" t="str">
        <f>IFERROR(__xludf.DUMMYFUNCTION("GOOGLETRANSLATE(B2488,""en"",""es-ES"")"),"El niño continúa fumando, hace caras y luego fumó.")</f>
        <v>El niño continúa fumando, hace caras y luego fumó.</v>
      </c>
    </row>
    <row r="2489">
      <c r="A2489" s="4" t="s">
        <v>3122</v>
      </c>
      <c r="B2489" s="4" t="s">
        <v>3123</v>
      </c>
      <c r="C2489" s="5" t="str">
        <f>IFERROR(__xludf.DUMMYFUNCTION("GOOGLETRANSLATE(B2489,""en"",""es-ES"")"),"Se ve a un niño pequeño hablando con la cámara mientras sostiene un vaso y camina hacia un gabinete.")</f>
        <v>Se ve a un niño pequeño hablando con la cámara mientras sostiene un vaso y camina hacia un gabinete.</v>
      </c>
    </row>
    <row r="2490">
      <c r="A2490" s="4" t="s">
        <v>3122</v>
      </c>
      <c r="B2490" s="4" t="s">
        <v>3124</v>
      </c>
      <c r="C2490" s="5" t="str">
        <f>IFERROR(__xludf.DUMMYFUNCTION("GOOGLETRANSLATE(B2490,""en"",""es-ES"")"),"Ella llena el vaso y pega los limones en el agua.")</f>
        <v>Ella llena el vaso y pega los limones en el agua.</v>
      </c>
    </row>
    <row r="2491">
      <c r="A2491" s="4" t="s">
        <v>3122</v>
      </c>
      <c r="B2491" s="4" t="s">
        <v>3125</v>
      </c>
      <c r="C2491" s="5" t="str">
        <f>IFERROR(__xludf.DUMMYFUNCTION("GOOGLETRANSLATE(B2491,""en"",""es-ES"")"),"Luego usa una cuchara para beber el agua y una pajita y asintiendo con la cabeza saludando.")</f>
        <v>Luego usa una cuchara para beber el agua y una pajita y asintiendo con la cabeza saludando.</v>
      </c>
    </row>
    <row r="2492">
      <c r="A2492" s="4" t="s">
        <v>3126</v>
      </c>
      <c r="B2492" s="4" t="s">
        <v>3127</v>
      </c>
      <c r="C2492" s="5" t="str">
        <f>IFERROR(__xludf.DUMMYFUNCTION("GOOGLETRANSLATE(B2492,""en"",""es-ES"")"),"Un hombre está hablando dentro de un gimnasio.")</f>
        <v>Un hombre está hablando dentro de un gimnasio.</v>
      </c>
    </row>
    <row r="2493">
      <c r="A2493" s="4" t="s">
        <v>3126</v>
      </c>
      <c r="B2493" s="4" t="s">
        <v>3128</v>
      </c>
      <c r="C2493" s="5" t="str">
        <f>IFERROR(__xludf.DUMMYFUNCTION("GOOGLETRANSLATE(B2493,""en"",""es-ES"")"),"Un grupo de gimnastas femeninas forman un clúster, luego levanta a una niña sobre sus cabezas.")</f>
        <v>Un grupo de gimnastas femeninas forman un clúster, luego levanta a una niña sobre sus cabezas.</v>
      </c>
    </row>
    <row r="2494">
      <c r="A2494" s="4" t="s">
        <v>3126</v>
      </c>
      <c r="B2494" s="4" t="s">
        <v>3129</v>
      </c>
      <c r="C2494" s="5" t="str">
        <f>IFERROR(__xludf.DUMMYFUNCTION("GOOGLETRANSLATE(B2494,""en"",""es-ES"")"),"La sostienen por una pierna antes de girarla hacia abajo y atraparla en sus brazos.")</f>
        <v>La sostienen por una pierna antes de girarla hacia abajo y atraparla en sus brazos.</v>
      </c>
    </row>
    <row r="2495">
      <c r="A2495" s="4" t="s">
        <v>3130</v>
      </c>
      <c r="B2495" s="4" t="s">
        <v>3131</v>
      </c>
      <c r="C2495" s="5" t="str">
        <f>IFERROR(__xludf.DUMMYFUNCTION("GOOGLETRANSLATE(B2495,""en"",""es-ES"")"),"Las chicas juegan a Dodge Ball afuera con solo una pelota.")</f>
        <v>Las chicas juegan a Dodge Ball afuera con solo una pelota.</v>
      </c>
    </row>
    <row r="2496">
      <c r="A2496" s="4" t="s">
        <v>3130</v>
      </c>
      <c r="B2496" s="4" t="s">
        <v>3132</v>
      </c>
      <c r="C2496" s="5" t="str">
        <f>IFERROR(__xludf.DUMMYFUNCTION("GOOGLETRANSLATE(B2496,""en"",""es-ES"")"),"Una niña es golpeada con la pelota.")</f>
        <v>Una niña es golpeada con la pelota.</v>
      </c>
    </row>
    <row r="2497">
      <c r="A2497" s="4" t="s">
        <v>3130</v>
      </c>
      <c r="B2497" s="4" t="s">
        <v>3133</v>
      </c>
      <c r="C2497" s="5" t="str">
        <f>IFERROR(__xludf.DUMMYFUNCTION("GOOGLETRANSLATE(B2497,""en"",""es-ES"")"),"La niña sale del juego y se va y se aferra a la línea de ropa.")</f>
        <v>La niña sale del juego y se va y se aferra a la línea de ropa.</v>
      </c>
    </row>
    <row r="2498">
      <c r="A2498" s="4" t="s">
        <v>3134</v>
      </c>
      <c r="B2498" s="4" t="s">
        <v>3135</v>
      </c>
      <c r="C2498" s="5" t="str">
        <f>IFERROR(__xludf.DUMMYFUNCTION("GOOGLETRANSLATE(B2498,""en"",""es-ES"")"),"Se ve a una gimnasta mirando a lo lejos y frotándose las manos.")</f>
        <v>Se ve a una gimnasta mirando a lo lejos y frotándose las manos.</v>
      </c>
    </row>
    <row r="2499">
      <c r="A2499" s="4" t="s">
        <v>3134</v>
      </c>
      <c r="B2499" s="4" t="s">
        <v>3136</v>
      </c>
      <c r="C2499" s="5" t="str">
        <f>IFERROR(__xludf.DUMMYFUNCTION("GOOGLETRANSLATE(B2499,""en"",""es-ES"")"),"Ella levanta las manos y comienza a realizar una rutina de gimnasia en una viga.")</f>
        <v>Ella levanta las manos y comienza a realizar una rutina de gimnasia en una viga.</v>
      </c>
    </row>
    <row r="2500">
      <c r="A2500" s="4" t="s">
        <v>3134</v>
      </c>
      <c r="B2500" s="4" t="s">
        <v>3137</v>
      </c>
      <c r="C2500" s="5" t="str">
        <f>IFERROR(__xludf.DUMMYFUNCTION("GOOGLETRANSLATE(B2500,""en"",""es-ES"")"),"Se mueve a lo largo de la viga y termina saltando hacia abajo y otros aplaudiendo.")</f>
        <v>Se mueve a lo largo de la viga y termina saltando hacia abajo y otros aplaudiendo.</v>
      </c>
    </row>
    <row r="2501">
      <c r="A2501" s="4" t="s">
        <v>3138</v>
      </c>
      <c r="B2501" s="4" t="s">
        <v>3139</v>
      </c>
      <c r="C2501" s="5" t="str">
        <f>IFERROR(__xludf.DUMMYFUNCTION("GOOGLETRANSLATE(B2501,""en"",""es-ES"")"),"Dos viejos jugadores de gaita juegan entre sí.")</f>
        <v>Dos viejos jugadores de gaita juegan entre sí.</v>
      </c>
    </row>
    <row r="2502">
      <c r="A2502" s="4" t="s">
        <v>3138</v>
      </c>
      <c r="B2502" s="4" t="s">
        <v>3140</v>
      </c>
      <c r="C2502" s="5" t="str">
        <f>IFERROR(__xludf.DUMMYFUNCTION("GOOGLETRANSLATE(B2502,""en"",""es-ES"")"),"Un jugador de gaita gira.")</f>
        <v>Un jugador de gaita gira.</v>
      </c>
    </row>
    <row r="2503">
      <c r="A2503" s="4" t="s">
        <v>3138</v>
      </c>
      <c r="B2503" s="4" t="s">
        <v>3141</v>
      </c>
      <c r="C2503" s="5" t="str">
        <f>IFERROR(__xludf.DUMMYFUNCTION("GOOGLETRANSLATE(B2503,""en"",""es-ES"")"),"Los jugadores de gaita terminan de jugar.")</f>
        <v>Los jugadores de gaita terminan de jugar.</v>
      </c>
    </row>
    <row r="2504">
      <c r="A2504" s="4" t="s">
        <v>3138</v>
      </c>
      <c r="B2504" s="4" t="s">
        <v>3142</v>
      </c>
      <c r="C2504" s="5" t="str">
        <f>IFERROR(__xludf.DUMMYFUNCTION("GOOGLETRANSLATE(B2504,""en"",""es-ES"")"),"La multitud aplaude para los jugadores.")</f>
        <v>La multitud aplaude para los jugadores.</v>
      </c>
    </row>
    <row r="2505">
      <c r="A2505" s="4" t="s">
        <v>3143</v>
      </c>
      <c r="B2505" s="4" t="s">
        <v>3144</v>
      </c>
      <c r="C2505" s="5" t="str">
        <f>IFERROR(__xludf.DUMMYFUNCTION("GOOGLETRANSLATE(B2505,""en"",""es-ES"")"),"Un hombre está sentado en una silla con un tambor de mano mientras otro hombre toca a Bongos detrás de él.")</f>
        <v>Un hombre está sentado en una silla con un tambor de mano mientras otro hombre toca a Bongos detrás de él.</v>
      </c>
    </row>
    <row r="2506">
      <c r="A2506" s="4" t="s">
        <v>3143</v>
      </c>
      <c r="B2506" s="4" t="s">
        <v>3145</v>
      </c>
      <c r="C2506" s="5" t="str">
        <f>IFERROR(__xludf.DUMMYFUNCTION("GOOGLETRANSLATE(B2506,""en"",""es-ES"")"),"Juegan durante un período prolongado juntos.")</f>
        <v>Juegan durante un período prolongado juntos.</v>
      </c>
    </row>
    <row r="2507">
      <c r="A2507" s="4" t="s">
        <v>3146</v>
      </c>
      <c r="B2507" s="4" t="s">
        <v>3147</v>
      </c>
      <c r="C2507" s="5" t="str">
        <f>IFERROR(__xludf.DUMMYFUNCTION("GOOGLETRANSLATE(B2507,""en"",""es-ES"")"),"Vemos la tarjeta de título para el producto.")</f>
        <v>Vemos la tarjeta de título para el producto.</v>
      </c>
    </row>
    <row r="2508">
      <c r="A2508" s="4" t="s">
        <v>3146</v>
      </c>
      <c r="B2508" s="4" t="s">
        <v>3148</v>
      </c>
      <c r="C2508" s="5" t="str">
        <f>IFERROR(__xludf.DUMMYFUNCTION("GOOGLETRANSLATE(B2508,""en"",""es-ES"")"),"Vemos a una dama limpiando su piso.")</f>
        <v>Vemos a una dama limpiando su piso.</v>
      </c>
    </row>
    <row r="2509">
      <c r="A2509" s="4" t="s">
        <v>3146</v>
      </c>
      <c r="B2509" s="4" t="s">
        <v>3149</v>
      </c>
      <c r="C2509" s="5" t="str">
        <f>IFERROR(__xludf.DUMMYFUNCTION("GOOGLETRANSLATE(B2509,""en"",""es-ES"")"),"Vemos el producto de archivo adjunto al vacío y vemos el producto en acción.")</f>
        <v>Vemos el producto de archivo adjunto al vacío y vemos el producto en acción.</v>
      </c>
    </row>
    <row r="2510">
      <c r="A2510" s="4" t="s">
        <v>3146</v>
      </c>
      <c r="B2510" s="4" t="s">
        <v>3150</v>
      </c>
      <c r="C2510" s="5" t="str">
        <f>IFERROR(__xludf.DUMMYFUNCTION("GOOGLETRANSLATE(B2510,""en"",""es-ES"")"),"La señora muestra a cada lado y la vemos adjuntar el producto.")</f>
        <v>La señora muestra a cada lado y la vemos adjuntar el producto.</v>
      </c>
    </row>
    <row r="2511">
      <c r="A2511" s="4" t="s">
        <v>3146</v>
      </c>
      <c r="B2511" s="4" t="s">
        <v>3151</v>
      </c>
      <c r="C2511" s="5" t="str">
        <f>IFERROR(__xludf.DUMMYFUNCTION("GOOGLETRANSLATE(B2511,""en"",""es-ES"")"),"Vemos a la dama limpiando.")</f>
        <v>Vemos a la dama limpiando.</v>
      </c>
    </row>
    <row r="2512">
      <c r="A2512" s="4" t="s">
        <v>3146</v>
      </c>
      <c r="B2512" s="4" t="s">
        <v>3152</v>
      </c>
      <c r="C2512" s="5" t="str">
        <f>IFERROR(__xludf.DUMMYFUNCTION("GOOGLETRANSLATE(B2512,""en"",""es-ES"")"),"Luego vemos la facilidad de usar el archivo adjunto.")</f>
        <v>Luego vemos la facilidad de usar el archivo adjunto.</v>
      </c>
    </row>
    <row r="2513">
      <c r="A2513" s="4" t="s">
        <v>3146</v>
      </c>
      <c r="B2513" s="4" t="s">
        <v>3153</v>
      </c>
      <c r="C2513" s="5" t="str">
        <f>IFERROR(__xludf.DUMMYFUNCTION("GOOGLETRANSLATE(B2513,""en"",""es-ES"")"),"Vemos a la dama relajándose después de la limpieza.")</f>
        <v>Vemos a la dama relajándose después de la limpieza.</v>
      </c>
    </row>
    <row r="2514">
      <c r="A2514" s="4" t="s">
        <v>3146</v>
      </c>
      <c r="B2514" s="4" t="s">
        <v>3154</v>
      </c>
      <c r="C2514" s="5" t="str">
        <f>IFERROR(__xludf.DUMMYFUNCTION("GOOGLETRANSLATE(B2514,""en"",""es-ES"")"),"Vemos el producto de archivo adjunto nuevamente.")</f>
        <v>Vemos el producto de archivo adjunto nuevamente.</v>
      </c>
    </row>
    <row r="2515">
      <c r="A2515" s="4" t="s">
        <v>3146</v>
      </c>
      <c r="B2515" s="4" t="s">
        <v>3155</v>
      </c>
      <c r="C2515" s="5" t="str">
        <f>IFERROR(__xludf.DUMMYFUNCTION("GOOGLETRANSLATE(B2515,""en"",""es-ES"")"),"Vemos a la dama dando un pulgar hacia arriba.")</f>
        <v>Vemos a la dama dando un pulgar hacia arriba.</v>
      </c>
    </row>
    <row r="2516">
      <c r="A2516" s="4" t="s">
        <v>3146</v>
      </c>
      <c r="B2516" s="4" t="s">
        <v>3156</v>
      </c>
      <c r="C2516" s="5" t="str">
        <f>IFERROR(__xludf.DUMMYFUNCTION("GOOGLETRANSLATE(B2516,""en"",""es-ES"")"),"La pantalla del título regresa para finalizar el video.")</f>
        <v>La pantalla del título regresa para finalizar el video.</v>
      </c>
    </row>
    <row r="2517">
      <c r="A2517" s="4" t="s">
        <v>3157</v>
      </c>
      <c r="B2517" s="4" t="s">
        <v>3158</v>
      </c>
      <c r="C2517" s="5" t="str">
        <f>IFERROR(__xludf.DUMMYFUNCTION("GOOGLETRANSLATE(B2517,""en"",""es-ES"")"),"Se muestra a una persona dibujando varias líneas en un trozo de papel que conduce a varios clips de movimiento rápido de áreas nevadas.")</f>
        <v>Se muestra a una persona dibujando varias líneas en un trozo de papel que conduce a varios clips de movimiento rápido de áreas nevadas.</v>
      </c>
    </row>
    <row r="2518">
      <c r="A2518" s="4" t="s">
        <v>3157</v>
      </c>
      <c r="B2518" s="4" t="s">
        <v>3159</v>
      </c>
      <c r="C2518" s="5" t="str">
        <f>IFERROR(__xludf.DUMMYFUNCTION("GOOGLETRANSLATE(B2518,""en"",""es-ES"")"),"Se muestran más primeros planos seguidos por una persona que cabalga por la montaña.")</f>
        <v>Se muestran más primeros planos seguidos por una persona que cabalga por la montaña.</v>
      </c>
    </row>
    <row r="2519">
      <c r="A2519" s="4" t="s">
        <v>3157</v>
      </c>
      <c r="B2519" s="4" t="s">
        <v>3160</v>
      </c>
      <c r="C2519" s="5" t="str">
        <f>IFERROR(__xludf.DUMMYFUNCTION("GOOGLETRANSLATE(B2519,""en"",""es-ES"")"),"Se muestran más personas que conducen y conducen a varios tiros de personas que realizan trucos de esquí y snowboard por una montaña.")</f>
        <v>Se muestran más personas que conducen y conducen a varios tiros de personas que realizan trucos de esquí y snowboard por una montaña.</v>
      </c>
    </row>
    <row r="2520">
      <c r="A2520" s="4" t="s">
        <v>3161</v>
      </c>
      <c r="B2520" s="4" t="s">
        <v>3162</v>
      </c>
      <c r="C2520" s="5" t="str">
        <f>IFERROR(__xludf.DUMMYFUNCTION("GOOGLETRANSLATE(B2520,""en"",""es-ES"")"),"Un anuncio está en la pantalla primero.")</f>
        <v>Un anuncio está en la pantalla primero.</v>
      </c>
    </row>
    <row r="2521">
      <c r="A2521" s="4" t="s">
        <v>3161</v>
      </c>
      <c r="B2521" s="4" t="s">
        <v>3163</v>
      </c>
      <c r="C2521" s="5" t="str">
        <f>IFERROR(__xludf.DUMMYFUNCTION("GOOGLETRANSLATE(B2521,""en"",""es-ES"")"),"Una niña está saltando la cuerda mientras la gente mira.")</f>
        <v>Una niña está saltando la cuerda mientras la gente mira.</v>
      </c>
    </row>
    <row r="2522">
      <c r="A2522" s="4" t="s">
        <v>3161</v>
      </c>
      <c r="B2522" s="4" t="s">
        <v>3164</v>
      </c>
      <c r="C2522" s="5" t="str">
        <f>IFERROR(__xludf.DUMMYFUNCTION("GOOGLETRANSLATE(B2522,""en"",""es-ES"")"),"Ella está haciendo trucos y volteos mientras salta.")</f>
        <v>Ella está haciendo trucos y volteos mientras salta.</v>
      </c>
    </row>
    <row r="2523">
      <c r="A2523" s="4" t="s">
        <v>3161</v>
      </c>
      <c r="B2523" s="4" t="s">
        <v>3165</v>
      </c>
      <c r="C2523" s="5" t="str">
        <f>IFERROR(__xludf.DUMMYFUNCTION("GOOGLETRANSLATE(B2523,""en"",""es-ES"")"),"El video termina con créditos de los que juntaron el video.")</f>
        <v>El video termina con créditos de los que juntaron el video.</v>
      </c>
    </row>
    <row r="2524">
      <c r="A2524" s="4" t="s">
        <v>3166</v>
      </c>
      <c r="B2524" s="4" t="s">
        <v>3167</v>
      </c>
      <c r="C2524" s="5" t="str">
        <f>IFERROR(__xludf.DUMMYFUNCTION("GOOGLETRANSLATE(B2524,""en"",""es-ES"")"),"Se ve a una niña sentada frente a un piano y tocando el instrumento con las puntas de los dedos.")</f>
        <v>Se ve a una niña sentada frente a un piano y tocando el instrumento con las puntas de los dedos.</v>
      </c>
    </row>
    <row r="2525">
      <c r="A2525" s="4" t="s">
        <v>3166</v>
      </c>
      <c r="B2525" s="4" t="s">
        <v>3168</v>
      </c>
      <c r="C2525" s="5" t="str">
        <f>IFERROR(__xludf.DUMMYFUNCTION("GOOGLETRANSLATE(B2525,""en"",""es-ES"")"),"Ella continúa jugando mientras la cámara la captura desde lejos.")</f>
        <v>Ella continúa jugando mientras la cámara la captura desde lejos.</v>
      </c>
    </row>
    <row r="2526">
      <c r="A2526" s="4" t="s">
        <v>3169</v>
      </c>
      <c r="B2526" s="4" t="s">
        <v>3170</v>
      </c>
      <c r="C2526" s="5" t="str">
        <f>IFERROR(__xludf.DUMMYFUNCTION("GOOGLETRANSLATE(B2526,""en"",""es-ES"")"),"Se ve a una persona hablando mientras fuma un cigarrillo y se sale de humo de la boca.")</f>
        <v>Se ve a una persona hablando mientras fuma un cigarrillo y se sale de humo de la boca.</v>
      </c>
    </row>
    <row r="2527">
      <c r="A2527" s="4" t="s">
        <v>3169</v>
      </c>
      <c r="B2527" s="4" t="s">
        <v>3171</v>
      </c>
      <c r="C2527" s="5" t="str">
        <f>IFERROR(__xludf.DUMMYFUNCTION("GOOGLETRANSLATE(B2527,""en"",""es-ES"")"),"La persona continúa hablando mientras fuma el cigarrillo y sale gradualmente de humo mientras habla.")</f>
        <v>La persona continúa hablando mientras fuma el cigarrillo y sale gradualmente de humo mientras habla.</v>
      </c>
    </row>
    <row r="2528">
      <c r="A2528" s="4" t="s">
        <v>3172</v>
      </c>
      <c r="B2528" s="4" t="s">
        <v>3173</v>
      </c>
      <c r="C2528" s="5" t="str">
        <f>IFERROR(__xludf.DUMMYFUNCTION("GOOGLETRANSLATE(B2528,""en"",""es-ES"")"),"Tres hombres están de pie en un gimnasio hablando entre ellos.")</f>
        <v>Tres hombres están de pie en un gimnasio hablando entre ellos.</v>
      </c>
    </row>
    <row r="2529">
      <c r="A2529" s="4" t="s">
        <v>3172</v>
      </c>
      <c r="B2529" s="4" t="s">
        <v>3174</v>
      </c>
      <c r="C2529" s="5" t="str">
        <f>IFERROR(__xludf.DUMMYFUNCTION("GOOGLETRANSLATE(B2529,""en"",""es-ES"")"),"Los hombres abre la puerta de madera y entra en el gimnasio y están mirando a los primeros hombres, y entran en pánico.")</f>
        <v>Los hombres abre la puerta de madera y entra en el gimnasio y están mirando a los primeros hombres, y entran en pánico.</v>
      </c>
    </row>
    <row r="2530">
      <c r="A2530" s="4" t="s">
        <v>3172</v>
      </c>
      <c r="B2530" s="4" t="s">
        <v>3175</v>
      </c>
      <c r="C2530" s="5" t="str">
        <f>IFERROR(__xludf.DUMMYFUNCTION("GOOGLETRANSLATE(B2530,""en"",""es-ES"")"),"Los hombres comienzan a correr en la cancha tratando de tomar una pelota rosa y comenzar a jugar Dodgeball.")</f>
        <v>Los hombres comienzan a correr en la cancha tratando de tomar una pelota rosa y comenzar a jugar Dodgeball.</v>
      </c>
    </row>
    <row r="2531">
      <c r="A2531" s="4" t="s">
        <v>3172</v>
      </c>
      <c r="B2531" s="4" t="s">
        <v>3176</v>
      </c>
      <c r="C2531" s="5" t="str">
        <f>IFERROR(__xludf.DUMMYFUNCTION("GOOGLETRANSLATE(B2531,""en"",""es-ES"")"),"El hombre está hablando con la cámara en la fuente de una pared de ladrillo.")</f>
        <v>El hombre está hablando con la cámara en la fuente de una pared de ladrillo.</v>
      </c>
    </row>
    <row r="2532">
      <c r="A2532" s="4" t="s">
        <v>3177</v>
      </c>
      <c r="B2532" s="4" t="s">
        <v>3178</v>
      </c>
      <c r="C2532" s="5" t="str">
        <f>IFERROR(__xludf.DUMMYFUNCTION("GOOGLETRANSLATE(B2532,""en"",""es-ES"")"),"Se ve a una mujer hablando con la cámara y conduce a clips de su liderar una clase de ejercicio, así como tomas del estudio.")</f>
        <v>Se ve a una mujer hablando con la cámara y conduce a clips de su liderar una clase de ejercicio, así como tomas del estudio.</v>
      </c>
    </row>
    <row r="2533">
      <c r="A2533" s="4" t="s">
        <v>3177</v>
      </c>
      <c r="B2533" s="4" t="s">
        <v>3179</v>
      </c>
      <c r="C2533" s="5" t="str">
        <f>IFERROR(__xludf.DUMMYFUNCTION("GOOGLETRANSLATE(B2533,""en"",""es-ES"")"),"La mujer continúa viajando en la bicicleta de ejercicios mientras enseña a la clase y continúa hablando con la cámara.")</f>
        <v>La mujer continúa viajando en la bicicleta de ejercicios mientras enseña a la clase y continúa hablando con la cámara.</v>
      </c>
    </row>
    <row r="2534">
      <c r="A2534" s="4" t="s">
        <v>3180</v>
      </c>
      <c r="B2534" s="4" t="s">
        <v>3181</v>
      </c>
      <c r="C2534" s="5" t="str">
        <f>IFERROR(__xludf.DUMMYFUNCTION("GOOGLETRANSLATE(B2534,""en"",""es-ES"")"),"Una persona mueve cartas de póker y fichas sobre la mesa en un casino en la gente delantera.")</f>
        <v>Una persona mueve cartas de póker y fichas sobre la mesa en un casino en la gente delantera.</v>
      </c>
    </row>
    <row r="2535">
      <c r="A2535" s="4" t="s">
        <v>3180</v>
      </c>
      <c r="B2535" s="4" t="s">
        <v>3182</v>
      </c>
      <c r="C2535" s="5" t="str">
        <f>IFERROR(__xludf.DUMMYFUNCTION("GOOGLETRANSLATE(B2535,""en"",""es-ES"")"),"Un cliente toque con el dedo dentro de un cuadrado.")</f>
        <v>Un cliente toque con el dedo dentro de un cuadrado.</v>
      </c>
    </row>
    <row r="2536">
      <c r="A2536" s="4" t="s">
        <v>3180</v>
      </c>
      <c r="B2536" s="4" t="s">
        <v>3183</v>
      </c>
      <c r="C2536" s="5" t="str">
        <f>IFERROR(__xludf.DUMMYFUNCTION("GOOGLETRANSLATE(B2536,""en"",""es-ES"")"),"Luego, la persona apila todas las cartas y coloca las fichas dentro de los cuadrados.")</f>
        <v>Luego, la persona apila todas las cartas y coloca las fichas dentro de los cuadrados.</v>
      </c>
    </row>
    <row r="2537">
      <c r="A2537" s="4" t="s">
        <v>3180</v>
      </c>
      <c r="B2537" s="4" t="s">
        <v>3184</v>
      </c>
      <c r="C2537" s="5" t="str">
        <f>IFERROR(__xludf.DUMMYFUNCTION("GOOGLETRANSLATE(B2537,""en"",""es-ES"")"),"Luego, la gente comienza a apostar, mientras la mujer distribuye las cartas y recoge fichas.")</f>
        <v>Luego, la gente comienza a apostar, mientras la mujer distribuye las cartas y recoge fichas.</v>
      </c>
    </row>
    <row r="2538">
      <c r="A2538" s="4" t="s">
        <v>3180</v>
      </c>
      <c r="B2538" s="4" t="s">
        <v>3185</v>
      </c>
      <c r="C2538" s="5" t="str">
        <f>IFERROR(__xludf.DUMMYFUNCTION("GOOGLETRANSLATE(B2538,""en"",""es-ES"")"),"Después, el cliente muestra con la mano, luego la persona hace gestos con la mano que muestra la mesa.")</f>
        <v>Después, el cliente muestra con la mano, luego la persona hace gestos con la mano que muestra la mesa.</v>
      </c>
    </row>
    <row r="2539">
      <c r="A2539" s="4" t="s">
        <v>3180</v>
      </c>
      <c r="B2539" s="4" t="s">
        <v>3186</v>
      </c>
      <c r="C2539" s="5" t="str">
        <f>IFERROR(__xludf.DUMMYFUNCTION("GOOGLETRANSLATE(B2539,""en"",""es-ES"")"),"A continuación, la mujer recoge las cartas.")</f>
        <v>A continuación, la mujer recoge las cartas.</v>
      </c>
    </row>
    <row r="2540">
      <c r="A2540" s="4" t="s">
        <v>3187</v>
      </c>
      <c r="B2540" s="4" t="s">
        <v>3188</v>
      </c>
      <c r="C2540" s="5" t="str">
        <f>IFERROR(__xludf.DUMMYFUNCTION("GOOGLETRANSLATE(B2540,""en"",""es-ES"")"),"Se muestra un rodeo cuando un hombre carga por la puerta para tirar la cuerda alrededor de un ternero.")</f>
        <v>Se muestra un rodeo cuando un hombre carga por la puerta para tirar la cuerda alrededor de un ternero.</v>
      </c>
    </row>
    <row r="2541">
      <c r="A2541" s="4" t="s">
        <v>3187</v>
      </c>
      <c r="B2541" s="4" t="s">
        <v>3189</v>
      </c>
      <c r="C2541" s="5" t="str">
        <f>IFERROR(__xludf.DUMMYFUNCTION("GOOGLETRANSLATE(B2541,""en"",""es-ES"")"),"Instantáneamente tiene éxito y regresa a su caballo.")</f>
        <v>Instantáneamente tiene éxito y regresa a su caballo.</v>
      </c>
    </row>
    <row r="2542">
      <c r="A2542" s="4" t="s">
        <v>3190</v>
      </c>
      <c r="B2542" s="4" t="s">
        <v>3191</v>
      </c>
      <c r="C2542" s="5" t="str">
        <f>IFERROR(__xludf.DUMMYFUNCTION("GOOGLETRANSLATE(B2542,""en"",""es-ES"")"),"Un hombre está en un bar que demuestra cómo hacer bebidas.")</f>
        <v>Un hombre está en un bar que demuestra cómo hacer bebidas.</v>
      </c>
    </row>
    <row r="2543">
      <c r="A2543" s="4" t="s">
        <v>3190</v>
      </c>
      <c r="B2543" s="4" t="s">
        <v>3192</v>
      </c>
      <c r="C2543" s="5" t="str">
        <f>IFERROR(__xludf.DUMMYFUNCTION("GOOGLETRANSLATE(B2543,""en"",""es-ES"")"),"Llena un vaso con hielo.")</f>
        <v>Llena un vaso con hielo.</v>
      </c>
    </row>
    <row r="2544">
      <c r="A2544" s="4" t="s">
        <v>3190</v>
      </c>
      <c r="B2544" s="4" t="s">
        <v>3193</v>
      </c>
      <c r="C2544" s="5" t="str">
        <f>IFERROR(__xludf.DUMMYFUNCTION("GOOGLETRANSLATE(B2544,""en"",""es-ES"")"),"Luego comienza a medir varios licores en una taza, y luego lo verta en el vidrio.")</f>
        <v>Luego comienza a medir varios licores en una taza, y luego lo verta en el vidrio.</v>
      </c>
    </row>
    <row r="2545">
      <c r="A2545" s="4" t="s">
        <v>3190</v>
      </c>
      <c r="B2545" s="4" t="s">
        <v>3194</v>
      </c>
      <c r="C2545" s="5" t="str">
        <f>IFERROR(__xludf.DUMMYFUNCTION("GOOGLETRANSLATE(B2545,""en"",""es-ES"")"),"Él sacude la bebida y luego vierte la mezcla en vasos de chupito.")</f>
        <v>Él sacude la bebida y luego vierte la mezcla en vasos de chupito.</v>
      </c>
    </row>
    <row r="2546">
      <c r="A2546" s="4" t="s">
        <v>3190</v>
      </c>
      <c r="B2546" s="4" t="s">
        <v>3195</v>
      </c>
      <c r="C2546" s="5" t="str">
        <f>IFERROR(__xludf.DUMMYFUNCTION("GOOGLETRANSLATE(B2546,""en"",""es-ES"")"),"Finalmente pone otro licor en las gafas.")</f>
        <v>Finalmente pone otro licor en las gafas.</v>
      </c>
    </row>
    <row r="2547">
      <c r="A2547" s="4" t="s">
        <v>3190</v>
      </c>
      <c r="B2547" s="4" t="s">
        <v>3196</v>
      </c>
      <c r="C2547" s="5" t="str">
        <f>IFERROR(__xludf.DUMMYFUNCTION("GOOGLETRANSLATE(B2547,""en"",""es-ES"")"),"El video termina con el hombre sosteniendo ambas gafas.")</f>
        <v>El video termina con el hombre sosteniendo ambas gafas.</v>
      </c>
    </row>
    <row r="2548">
      <c r="A2548" s="4" t="s">
        <v>3197</v>
      </c>
      <c r="B2548" s="4" t="s">
        <v>3198</v>
      </c>
      <c r="C2548" s="5" t="str">
        <f>IFERROR(__xludf.DUMMYFUNCTION("GOOGLETRANSLATE(B2548,""en"",""es-ES"")"),"Se muestran varios disparos de corredores atléticos seguidos de disparos en cámara lenta de un atleta que corre un salto de longitud y celebrando.")</f>
        <v>Se muestran varios disparos de corredores atléticos seguidos de disparos en cámara lenta de un atleta que corre un salto de longitud y celebrando.</v>
      </c>
    </row>
    <row r="2549">
      <c r="A2549" s="4" t="s">
        <v>3197</v>
      </c>
      <c r="B2549" s="4" t="s">
        <v>3199</v>
      </c>
      <c r="C2549" s="5" t="str">
        <f>IFERROR(__xludf.DUMMYFUNCTION("GOOGLETRANSLATE(B2549,""en"",""es-ES"")"),"La cámara se mueve en escenas de hombres que se extienden y observan seguido de uno corriendo por el salto de longitud y animando a la multitud.")</f>
        <v>La cámara se mueve en escenas de hombres que se extienden y observan seguido de uno corriendo por el salto de longitud y animando a la multitud.</v>
      </c>
    </row>
    <row r="2550">
      <c r="A2550" s="4" t="s">
        <v>3197</v>
      </c>
      <c r="B2550" s="4" t="s">
        <v>3200</v>
      </c>
      <c r="C2550" s="5" t="str">
        <f>IFERROR(__xludf.DUMMYFUNCTION("GOOGLETRANSLATE(B2550,""en"",""es-ES"")"),"Su salto se muestra varias veces más seguido por el salto de otros realizando su salto frente a la gran multitud.")</f>
        <v>Su salto se muestra varias veces más seguido por el salto de otros realizando su salto frente a la gran multitud.</v>
      </c>
    </row>
    <row r="2551">
      <c r="A2551" s="4" t="s">
        <v>3201</v>
      </c>
      <c r="B2551" s="4" t="s">
        <v>3202</v>
      </c>
      <c r="C2551" s="5" t="str">
        <f>IFERROR(__xludf.DUMMYFUNCTION("GOOGLETRANSLATE(B2551,""en"",""es-ES"")"),"Las manos de un hombre se muestran en una mesa.")</f>
        <v>Las manos de un hombre se muestran en una mesa.</v>
      </c>
    </row>
    <row r="2552">
      <c r="A2552" s="4" t="s">
        <v>3201</v>
      </c>
      <c r="B2552" s="4" t="s">
        <v>3203</v>
      </c>
      <c r="C2552" s="5" t="str">
        <f>IFERROR(__xludf.DUMMYFUNCTION("GOOGLETRANSLATE(B2552,""en"",""es-ES"")"),"Coloque una caja de cartón sobre papel de envoltura.")</f>
        <v>Coloque una caja de cartón sobre papel de envoltura.</v>
      </c>
    </row>
    <row r="2553">
      <c r="A2553" s="4" t="s">
        <v>3201</v>
      </c>
      <c r="B2553" s="4" t="s">
        <v>3204</v>
      </c>
      <c r="C2553" s="5" t="str">
        <f>IFERROR(__xludf.DUMMYFUNCTION("GOOGLETRANSLATE(B2553,""en"",""es-ES"")"),"Comienza a envolver la caja, demostrando cómo envolver correctamente un presente.")</f>
        <v>Comienza a envolver la caja, demostrando cómo envolver correctamente un presente.</v>
      </c>
    </row>
    <row r="2554">
      <c r="A2554" s="4" t="s">
        <v>3201</v>
      </c>
      <c r="B2554" s="4" t="s">
        <v>3205</v>
      </c>
      <c r="C2554" s="5" t="str">
        <f>IFERROR(__xludf.DUMMYFUNCTION("GOOGLETRANSLATE(B2554,""en"",""es-ES"")"),"Peque el papel de envoltura alrededor de la caja.")</f>
        <v>Peque el papel de envoltura alrededor de la caja.</v>
      </c>
    </row>
    <row r="2555">
      <c r="A2555" s="4" t="s">
        <v>3201</v>
      </c>
      <c r="B2555" s="4" t="s">
        <v>3206</v>
      </c>
      <c r="C2555" s="5" t="str">
        <f>IFERROR(__xludf.DUMMYFUNCTION("GOOGLETRANSLATE(B2555,""en"",""es-ES"")"),"El hombre ata un arco alrededor de la caja mientras la cámara ralentiza el movimiento.")</f>
        <v>El hombre ata un arco alrededor de la caja mientras la cámara ralentiza el movimiento.</v>
      </c>
    </row>
    <row r="2556">
      <c r="A2556" s="4" t="s">
        <v>3201</v>
      </c>
      <c r="B2556" s="4" t="s">
        <v>3207</v>
      </c>
      <c r="C2556" s="5" t="str">
        <f>IFERROR(__xludf.DUMMYFUNCTION("GOOGLETRANSLATE(B2556,""en"",""es-ES"")"),"Él corta el exceso de reverencia, y vemos una pegatina con la cara de una mujer.")</f>
        <v>Él corta el exceso de reverencia, y vemos una pegatina con la cara de una mujer.</v>
      </c>
    </row>
    <row r="2557">
      <c r="A2557" s="4" t="s">
        <v>3208</v>
      </c>
      <c r="B2557" s="4" t="s">
        <v>3209</v>
      </c>
      <c r="C2557" s="5" t="str">
        <f>IFERROR(__xludf.DUMMYFUNCTION("GOOGLETRANSLATE(B2557,""en"",""es-ES"")"),"Una mujer que usa equipo de sudor y visto tratando de obtener una luz con un encendedor.")</f>
        <v>Una mujer que usa equipo de sudor y visto tratando de obtener una luz con un encendedor.</v>
      </c>
    </row>
    <row r="2558">
      <c r="A2558" s="4" t="s">
        <v>3208</v>
      </c>
      <c r="B2558" s="4" t="s">
        <v>3210</v>
      </c>
      <c r="C2558" s="5" t="str">
        <f>IFERROR(__xludf.DUMMYFUNCTION("GOOGLETRANSLATE(B2558,""en"",""es-ES"")"),"Ella no lo hace y comienza a caminar hacia la cámara.")</f>
        <v>Ella no lo hace y comienza a caminar hacia la cámara.</v>
      </c>
    </row>
    <row r="2559">
      <c r="A2559" s="4" t="s">
        <v>3211</v>
      </c>
      <c r="B2559" s="4" t="s">
        <v>3212</v>
      </c>
      <c r="C2559" s="5" t="str">
        <f>IFERROR(__xludf.DUMMYFUNCTION("GOOGLETRANSLATE(B2559,""en"",""es-ES"")"),"Se muestran varias tomas de primeros planos de porristas que conducen a clips de ellos realizando trucos y voltean entre sí.")</f>
        <v>Se muestran varias tomas de primeros planos de porristas que conducen a clips de ellos realizando trucos y voltean entre sí.</v>
      </c>
    </row>
    <row r="2560">
      <c r="A2560" s="4" t="s">
        <v>3211</v>
      </c>
      <c r="B2560" s="4" t="s">
        <v>3213</v>
      </c>
      <c r="C2560" s="5" t="str">
        <f>IFERROR(__xludf.DUMMYFUNCTION("GOOGLETRANSLATE(B2560,""en"",""es-ES"")"),"El video continúa con muchas tomas de las animadoras que se desempeñan juntos en cámara lenta y haciendo trucos entre ellos.")</f>
        <v>El video continúa con muchas tomas de las animadoras que se desempeñan juntos en cámara lenta y haciendo trucos entre ellos.</v>
      </c>
    </row>
    <row r="2561">
      <c r="A2561" s="4" t="s">
        <v>3214</v>
      </c>
      <c r="B2561" s="4" t="s">
        <v>3215</v>
      </c>
      <c r="C2561" s="5" t="str">
        <f>IFERROR(__xludf.DUMMYFUNCTION("GOOGLETRANSLATE(B2561,""en"",""es-ES"")"),"Una mujer rubia en un suéter verde está hablando.")</f>
        <v>Una mujer rubia en un suéter verde está hablando.</v>
      </c>
    </row>
    <row r="2562">
      <c r="A2562" s="4" t="s">
        <v>3214</v>
      </c>
      <c r="B2562" s="4" t="s">
        <v>3216</v>
      </c>
      <c r="C2562" s="5" t="str">
        <f>IFERROR(__xludf.DUMMYFUNCTION("GOOGLETRANSLATE(B2562,""en"",""es-ES"")"),"Ella muestra un plato lleno de ensalada de pasta y verduras.")</f>
        <v>Ella muestra un plato lleno de ensalada de pasta y verduras.</v>
      </c>
    </row>
    <row r="2563">
      <c r="A2563" s="4" t="s">
        <v>3214</v>
      </c>
      <c r="B2563" s="4" t="s">
        <v>3217</v>
      </c>
      <c r="C2563" s="5" t="str">
        <f>IFERROR(__xludf.DUMMYFUNCTION("GOOGLETRANSLATE(B2563,""en"",""es-ES"")"),"Ella muestra cómo hizo la salsa de pesto en una licuadora antes de mezclar mini tomates con la pasta.")</f>
        <v>Ella muestra cómo hizo la salsa de pesto en una licuadora antes de mezclar mini tomates con la pasta.</v>
      </c>
    </row>
    <row r="2564">
      <c r="A2564" s="4" t="s">
        <v>3214</v>
      </c>
      <c r="B2564" s="4" t="s">
        <v>3218</v>
      </c>
      <c r="C2564" s="5" t="str">
        <f>IFERROR(__xludf.DUMMYFUNCTION("GOOGLETRANSLATE(B2564,""en"",""es-ES"")"),"Ella regresa a la cámara, continuando hablando antes de ver una escena final de la pasta.")</f>
        <v>Ella regresa a la cámara, continuando hablando antes de ver una escena final de la pasta.</v>
      </c>
    </row>
    <row r="2565">
      <c r="A2565" s="4" t="s">
        <v>3219</v>
      </c>
      <c r="B2565" s="4" t="s">
        <v>3220</v>
      </c>
      <c r="C2565" s="5" t="str">
        <f>IFERROR(__xludf.DUMMYFUNCTION("GOOGLETRANSLATE(B2565,""en"",""es-ES"")"),"Varios hombres son representados afuera en sus uniformes de kayak listos para comenzar a rafting.")</f>
        <v>Varios hombres son representados afuera en sus uniformes de kayak listos para comenzar a rafting.</v>
      </c>
    </row>
    <row r="2566">
      <c r="A2566" s="4" t="s">
        <v>3219</v>
      </c>
      <c r="B2566" s="4" t="s">
        <v>3221</v>
      </c>
      <c r="C2566" s="5" t="str">
        <f>IFERROR(__xludf.DUMMYFUNCTION("GOOGLETRANSLATE(B2566,""en"",""es-ES"")"),"Varias personas comienzan el rafting y se muestran en barras y en autobuses.")</f>
        <v>Varias personas comienzan el rafting y se muestran en barras y en autobuses.</v>
      </c>
    </row>
    <row r="2567">
      <c r="A2567" s="4" t="s">
        <v>3219</v>
      </c>
      <c r="B2567" s="4" t="s">
        <v>3222</v>
      </c>
      <c r="C2567" s="5" t="str">
        <f>IFERROR(__xludf.DUMMYFUNCTION("GOOGLETRANSLATE(B2567,""en"",""es-ES"")"),"A medida que continúan el rafting, se muestra un cubo transparente con un círculo negro con varias líneas en cada balsa y la gente camina poniendo cigarrillos sobre él.")</f>
        <v>A medida que continúan el rafting, se muestra un cubo transparente con un círculo negro con varias líneas en cada balsa y la gente camina poniendo cigarrillos sobre él.</v>
      </c>
    </row>
    <row r="2568">
      <c r="A2568" s="4" t="s">
        <v>3219</v>
      </c>
      <c r="B2568" s="4" t="s">
        <v>3223</v>
      </c>
      <c r="C2568" s="5" t="str">
        <f>IFERROR(__xludf.DUMMYFUNCTION("GOOGLETRANSLATE(B2568,""en"",""es-ES"")"),"Más personas comenzaron a kayak y terminan volteando las balsas hasta que un hombre venga y comienza a hablar.")</f>
        <v>Más personas comenzaron a kayak y terminan volteando las balsas hasta que un hombre venga y comienza a hablar.</v>
      </c>
    </row>
    <row r="2569">
      <c r="A2569" s="4" t="s">
        <v>3224</v>
      </c>
      <c r="B2569" s="4" t="s">
        <v>3225</v>
      </c>
      <c r="C2569" s="5" t="str">
        <f>IFERROR(__xludf.DUMMYFUNCTION("GOOGLETRANSLATE(B2569,""en"",""es-ES"")"),"Las personas que usan cascos están remando un bote inflado por un cuerpo rocoso de agua.")</f>
        <v>Las personas que usan cascos están remando un bote inflado por un cuerpo rocoso de agua.</v>
      </c>
    </row>
    <row r="2570">
      <c r="A2570" s="4" t="s">
        <v>3224</v>
      </c>
      <c r="B2570" s="4" t="s">
        <v>3226</v>
      </c>
      <c r="C2570" s="5" t="str">
        <f>IFERROR(__xludf.DUMMYFUNCTION("GOOGLETRANSLATE(B2570,""en"",""es-ES"")"),"Las salpicaduras de agua en el bote inflado.")</f>
        <v>Las salpicaduras de agua en el bote inflado.</v>
      </c>
    </row>
    <row r="2571">
      <c r="A2571" s="4" t="s">
        <v>3224</v>
      </c>
      <c r="B2571" s="4" t="s">
        <v>3227</v>
      </c>
      <c r="C2571" s="5" t="str">
        <f>IFERROR(__xludf.DUMMYFUNCTION("GOOGLETRANSLATE(B2571,""en"",""es-ES"")"),"La gente deja de remar, y el bote está quieto.")</f>
        <v>La gente deja de remar, y el bote está quieto.</v>
      </c>
    </row>
    <row r="2572">
      <c r="A2572" s="4" t="s">
        <v>3228</v>
      </c>
      <c r="B2572" s="4" t="s">
        <v>3229</v>
      </c>
      <c r="C2572" s="5" t="str">
        <f>IFERROR(__xludf.DUMMYFUNCTION("GOOGLETRANSLATE(B2572,""en"",""es-ES"")"),"Un niño usa un trapeador para lavar el piso de una casa.")</f>
        <v>Un niño usa un trapeador para lavar el piso de una casa.</v>
      </c>
    </row>
    <row r="2573">
      <c r="A2573" s="4" t="s">
        <v>3228</v>
      </c>
      <c r="B2573" s="4" t="s">
        <v>3230</v>
      </c>
      <c r="C2573" s="5" t="str">
        <f>IFERROR(__xludf.DUMMYFUNCTION("GOOGLETRANSLATE(B2573,""en"",""es-ES"")"),"El niño gira el trapeador para que lo entregue.")</f>
        <v>El niño gira el trapeador para que lo entregue.</v>
      </c>
    </row>
    <row r="2574">
      <c r="A2574" s="4" t="s">
        <v>3231</v>
      </c>
      <c r="B2574" s="4" t="s">
        <v>3232</v>
      </c>
      <c r="C2574" s="5" t="str">
        <f>IFERROR(__xludf.DUMMYFUNCTION("GOOGLETRANSLATE(B2574,""en"",""es-ES"")"),"Una niña entra en un gimnasio mientras su nombre parpadea en la pantalla.")</f>
        <v>Una niña entra en un gimnasio mientras su nombre parpadea en la pantalla.</v>
      </c>
    </row>
    <row r="2575">
      <c r="A2575" s="4" t="s">
        <v>3231</v>
      </c>
      <c r="B2575" s="4" t="s">
        <v>3233</v>
      </c>
      <c r="C2575" s="5" t="str">
        <f>IFERROR(__xludf.DUMMYFUNCTION("GOOGLETRANSLATE(B2575,""en"",""es-ES"")"),"La niña realiza una rutina con un bastón.")</f>
        <v>La niña realiza una rutina con un bastón.</v>
      </c>
    </row>
    <row r="2576">
      <c r="A2576" s="4" t="s">
        <v>3231</v>
      </c>
      <c r="B2576" s="4" t="s">
        <v>3234</v>
      </c>
      <c r="C2576" s="5" t="str">
        <f>IFERROR(__xludf.DUMMYFUNCTION("GOOGLETRANSLATE(B2576,""en"",""es-ES"")"),"La niña hace un volteo, arroja su bastón y lo atrapa mientras está en el suelo.")</f>
        <v>La niña hace un volteo, arroja su bastón y lo atrapa mientras está en el suelo.</v>
      </c>
    </row>
    <row r="2577">
      <c r="A2577" s="4" t="s">
        <v>3231</v>
      </c>
      <c r="B2577" s="4" t="s">
        <v>3235</v>
      </c>
      <c r="C2577" s="5" t="str">
        <f>IFERROR(__xludf.DUMMYFUNCTION("GOOGLETRANSLATE(B2577,""en"",""es-ES"")"),"La niña hace una pausa y cuenta.")</f>
        <v>La niña hace una pausa y cuenta.</v>
      </c>
    </row>
    <row r="2578">
      <c r="A2578" s="4" t="s">
        <v>3231</v>
      </c>
      <c r="B2578" s="4" t="s">
        <v>3236</v>
      </c>
      <c r="C2578" s="5" t="str">
        <f>IFERROR(__xludf.DUMMYFUNCTION("GOOGLETRANSLATE(B2578,""en"",""es-ES"")"),"La niña se separa y pone su bastón en el suelo.")</f>
        <v>La niña se separa y pone su bastón en el suelo.</v>
      </c>
    </row>
    <row r="2579">
      <c r="A2579" s="4" t="s">
        <v>3237</v>
      </c>
      <c r="B2579" s="4" t="s">
        <v>3238</v>
      </c>
      <c r="C2579" s="5" t="str">
        <f>IFERROR(__xludf.DUMMYFUNCTION("GOOGLETRANSLATE(B2579,""en"",""es-ES"")"),"Se ve a un hombre hablando con la cámara sosteniendo una arandela de ventana y comienza a mojarse las ventanas.")</f>
        <v>Se ve a un hombre hablando con la cámara sosteniendo una arandela de ventana y comienza a mojarse las ventanas.</v>
      </c>
    </row>
    <row r="2580">
      <c r="A2580" s="4" t="s">
        <v>3237</v>
      </c>
      <c r="B2580" s="4" t="s">
        <v>3239</v>
      </c>
      <c r="C2580" s="5" t="str">
        <f>IFERROR(__xludf.DUMMYFUNCTION("GOOGLETRANSLATE(B2580,""en"",""es-ES"")"),"Luego señala la ventana mientras la limpia una y otra vez con varias herramientas.")</f>
        <v>Luego señala la ventana mientras la limpia una y otra vez con varias herramientas.</v>
      </c>
    </row>
    <row r="2581">
      <c r="A2581" s="4" t="s">
        <v>3240</v>
      </c>
      <c r="B2581" s="4" t="s">
        <v>3241</v>
      </c>
      <c r="C2581" s="5" t="str">
        <f>IFERROR(__xludf.DUMMYFUNCTION("GOOGLETRANSLATE(B2581,""en"",""es-ES"")"),"Una gimnasta está lista al final y luego voltea una viga.")</f>
        <v>Una gimnasta está lista al final y luego voltea una viga.</v>
      </c>
    </row>
    <row r="2582">
      <c r="A2582" s="4" t="s">
        <v>3240</v>
      </c>
      <c r="B2582" s="4" t="s">
        <v>3242</v>
      </c>
      <c r="C2582" s="5" t="str">
        <f>IFERROR(__xludf.DUMMYFUNCTION("GOOGLETRANSLATE(B2582,""en"",""es-ES"")"),"Ella realiza una rutina de gimnasia mientras varias personas a los costados la miran.")</f>
        <v>Ella realiza una rutina de gimnasia mientras varias personas a los costados la miran.</v>
      </c>
    </row>
    <row r="2583">
      <c r="A2583" s="4" t="s">
        <v>3240</v>
      </c>
      <c r="B2583" s="4" t="s">
        <v>3243</v>
      </c>
      <c r="C2583" s="5" t="str">
        <f>IFERROR(__xludf.DUMMYFUNCTION("GOOGLETRANSLATE(B2583,""en"",""es-ES"")"),"Ella continúa volteando la viga y haciendo varios trucos acrobáticos.")</f>
        <v>Ella continúa volteando la viga y haciendo varios trucos acrobáticos.</v>
      </c>
    </row>
    <row r="2584">
      <c r="A2584" s="4" t="s">
        <v>3240</v>
      </c>
      <c r="B2584" s="4" t="s">
        <v>3244</v>
      </c>
      <c r="C2584" s="5" t="str">
        <f>IFERROR(__xludf.DUMMYFUNCTION("GOOGLETRANSLATE(B2584,""en"",""es-ES"")"),"Ella salta hacia abajo y le da un abrazo al entrenador mientras la cámara muestra sus movimientos en cámara lenta y le habla a una mujer.")</f>
        <v>Ella salta hacia abajo y le da un abrazo al entrenador mientras la cámara muestra sus movimientos en cámara lenta y le habla a una mujer.</v>
      </c>
    </row>
    <row r="2585">
      <c r="A2585" s="4" t="s">
        <v>3245</v>
      </c>
      <c r="B2585" s="4" t="s">
        <v>3246</v>
      </c>
      <c r="C2585" s="5" t="str">
        <f>IFERROR(__xludf.DUMMYFUNCTION("GOOGLETRANSLATE(B2585,""en"",""es-ES"")"),"Se ve a dos personas tocando un conjunto de tambores de bongo mientras cantan y miran a la cámara.")</f>
        <v>Se ve a dos personas tocando un conjunto de tambores de bongo mientras cantan y miran a la cámara.</v>
      </c>
    </row>
    <row r="2586">
      <c r="A2586" s="4" t="s">
        <v>3245</v>
      </c>
      <c r="B2586" s="4" t="s">
        <v>3247</v>
      </c>
      <c r="C2586" s="5" t="str">
        <f>IFERROR(__xludf.DUMMYFUNCTION("GOOGLETRANSLATE(B2586,""en"",""es-ES"")"),"Los hombres juegan y terminan continuamente deteniéndose y sonriéndose unos a otros.")</f>
        <v>Los hombres juegan y terminan continuamente deteniéndose y sonriéndose unos a otros.</v>
      </c>
    </row>
    <row r="2587">
      <c r="A2587" s="4" t="s">
        <v>3248</v>
      </c>
      <c r="B2587" s="4" t="s">
        <v>3249</v>
      </c>
      <c r="C2587" s="5" t="str">
        <f>IFERROR(__xludf.DUMMYFUNCTION("GOOGLETRANSLATE(B2587,""en"",""es-ES"")"),"En un efecto especial acelerado, hay 3 personas que están palpitando un camino de entrada y eliminando la nieve de un automóvil en el lado derecho de su camino de entrada, mientras que los vecinos y otros arados de nieve también se están moviendo detrás d"&amp;"e ellos.")</f>
        <v>En un efecto especial acelerado, hay 3 personas que están palpitando un camino de entrada y eliminando la nieve de un automóvil en el lado derecho de su camino de entrada, mientras que los vecinos y otros arados de nieve también se están moviendo detrás de ellos.</v>
      </c>
    </row>
    <row r="2588">
      <c r="A2588" s="4" t="s">
        <v>3248</v>
      </c>
      <c r="B2588" s="4" t="s">
        <v>3250</v>
      </c>
      <c r="C2588" s="5" t="str">
        <f>IFERROR(__xludf.DUMMYFUNCTION("GOOGLETRANSLATE(B2588,""en"",""es-ES"")"),"Una persona deja caer su pala en el camino de entrada, luego corre hasta el final del camino de entrada para jugar en la nieve, luego regresa y recoge la pala de nuevo para la pala nuevamente.")</f>
        <v>Una persona deja caer su pala en el camino de entrada, luego corre hasta el final del camino de entrada para jugar en la nieve, luego regresa y recoge la pala de nuevo para la pala nuevamente.</v>
      </c>
    </row>
    <row r="2589">
      <c r="A2589" s="4" t="s">
        <v>3248</v>
      </c>
      <c r="B2589" s="4" t="s">
        <v>3251</v>
      </c>
      <c r="C2589" s="5" t="str">
        <f>IFERROR(__xludf.DUMMYFUNCTION("GOOGLETRANSLATE(B2589,""en"",""es-ES"")"),"Un automóvil negro tira en el camino de entrada recién palpado y la gente continúa empalentando la nieve en la carretera fuera de su camino de entrada.")</f>
        <v>Un automóvil negro tira en el camino de entrada recién palpado y la gente continúa empalentando la nieve en la carretera fuera de su camino de entrada.</v>
      </c>
    </row>
    <row r="2590">
      <c r="A2590" s="4" t="s">
        <v>3252</v>
      </c>
      <c r="B2590" s="4" t="s">
        <v>3253</v>
      </c>
      <c r="C2590" s="5" t="str">
        <f>IFERROR(__xludf.DUMMYFUNCTION("GOOGLETRANSLATE(B2590,""en"",""es-ES"")"),"Hay una mujer con cabello marrón corto haciendo tutorial de maquillaje.")</f>
        <v>Hay una mujer con cabello marrón corto haciendo tutorial de maquillaje.</v>
      </c>
    </row>
    <row r="2591">
      <c r="A2591" s="4" t="s">
        <v>3252</v>
      </c>
      <c r="B2591" s="4" t="s">
        <v>3254</v>
      </c>
      <c r="C2591" s="5" t="str">
        <f>IFERROR(__xludf.DUMMYFUNCTION("GOOGLETRANSLATE(B2591,""en"",""es-ES"")"),"Ella comienza usando una diadema para mantener su cabello fuera de su cara.")</f>
        <v>Ella comienza usando una diadema para mantener su cabello fuera de su cara.</v>
      </c>
    </row>
    <row r="2592">
      <c r="A2592" s="4" t="s">
        <v>3252</v>
      </c>
      <c r="B2592" s="4" t="s">
        <v>3255</v>
      </c>
      <c r="C2592" s="5" t="str">
        <f>IFERROR(__xludf.DUMMYFUNCTION("GOOGLETRANSLATE(B2592,""en"",""es-ES"")"),"Luego comienza a aplicar algunas bases en toda la cara y la combina.")</f>
        <v>Luego comienza a aplicar algunas bases en toda la cara y la combina.</v>
      </c>
    </row>
    <row r="2593">
      <c r="A2593" s="4" t="s">
        <v>3252</v>
      </c>
      <c r="B2593" s="4" t="s">
        <v>3256</v>
      </c>
      <c r="C2593" s="5" t="str">
        <f>IFERROR(__xludf.DUMMYFUNCTION("GOOGLETRANSLATE(B2593,""en"",""es-ES"")"),"Luego toma un delineador de ojos y lo aplica con un cepillo debajo de sus ojos y sobre sus párpados.")</f>
        <v>Luego toma un delineador de ojos y lo aplica con un cepillo debajo de sus ojos y sobre sus párpados.</v>
      </c>
    </row>
    <row r="2594">
      <c r="A2594" s="4" t="s">
        <v>3252</v>
      </c>
      <c r="B2594" s="4" t="s">
        <v>3257</v>
      </c>
      <c r="C2594" s="5" t="str">
        <f>IFERROR(__xludf.DUMMYFUNCTION("GOOGLETRANSLATE(B2594,""en"",""es-ES"")"),"Luego toma un poco de polvo compacto y lo acaricia en su rostro y lo extiende de manera uniforme.")</f>
        <v>Luego toma un poco de polvo compacto y lo acaricia en su rostro y lo extiende de manera uniforme.</v>
      </c>
    </row>
    <row r="2595">
      <c r="A2595" s="4" t="s">
        <v>3252</v>
      </c>
      <c r="B2595" s="4" t="s">
        <v>3258</v>
      </c>
      <c r="C2595" s="5" t="str">
        <f>IFERROR(__xludf.DUMMYFUNCTION("GOOGLETRANSLATE(B2595,""en"",""es-ES"")"),"Luego, con un cepillo, aplica un poco de delineador en sus párpados, seguido de un lápiz de delineador que usa en sus párpados y debajo de sus ojos.")</f>
        <v>Luego, con un cepillo, aplica un poco de delineador en sus párpados, seguido de un lápiz de delineador que usa en sus párpados y debajo de sus ojos.</v>
      </c>
    </row>
    <row r="2596">
      <c r="A2596" s="4" t="s">
        <v>3252</v>
      </c>
      <c r="B2596" s="4" t="s">
        <v>3259</v>
      </c>
      <c r="C2596" s="5" t="str">
        <f>IFERROR(__xludf.DUMMYFUNCTION("GOOGLETRANSLATE(B2596,""en"",""es-ES"")"),"Ella toma un par de rizadores de pestañas y riza sus pestañas y luego aplica un poco de rímel con un cepillo.")</f>
        <v>Ella toma un par de rizadores de pestañas y riza sus pestañas y luego aplica un poco de rímel con un cepillo.</v>
      </c>
    </row>
    <row r="2597">
      <c r="A2597" s="4" t="s">
        <v>3252</v>
      </c>
      <c r="B2597" s="4" t="s">
        <v>3260</v>
      </c>
      <c r="C2597" s="5" t="str">
        <f>IFERROR(__xludf.DUMMYFUNCTION("GOOGLETRANSLATE(B2597,""en"",""es-ES"")"),"Ella termina el maquillaje con un lápiz labial que pone en sus labios superior e inferior.")</f>
        <v>Ella termina el maquillaje con un lápiz labial que pone en sus labios superior e inferior.</v>
      </c>
    </row>
    <row r="2598">
      <c r="A2598" s="4" t="s">
        <v>3252</v>
      </c>
      <c r="B2598" s="4" t="s">
        <v>3261</v>
      </c>
      <c r="C2598" s="5" t="str">
        <f>IFERROR(__xludf.DUMMYFUNCTION("GOOGLETRANSLATE(B2598,""en"",""es-ES"")"),"Luego se quita la diadema y endereza su cabello para terminar su look.")</f>
        <v>Luego se quita la diadema y endereza su cabello para terminar su look.</v>
      </c>
    </row>
    <row r="2599">
      <c r="A2599" s="4" t="s">
        <v>3252</v>
      </c>
      <c r="B2599" s="4" t="s">
        <v>3262</v>
      </c>
      <c r="C2599" s="5" t="str">
        <f>IFERROR(__xludf.DUMMYFUNCTION("GOOGLETRANSLATE(B2599,""en"",""es-ES"")"),"Ella muestra las fotos de maquillaje antes y después del maquillaje para mostrar la diferencia.")</f>
        <v>Ella muestra las fotos de maquillaje antes y después del maquillaje para mostrar la diferencia.</v>
      </c>
    </row>
    <row r="2600">
      <c r="A2600" s="4" t="s">
        <v>3263</v>
      </c>
      <c r="B2600" s="4" t="s">
        <v>3264</v>
      </c>
      <c r="C2600" s="5" t="str">
        <f>IFERROR(__xludf.DUMMYFUNCTION("GOOGLETRANSLATE(B2600,""en"",""es-ES"")"),"Un hombre está parado en un par de esquís.")</f>
        <v>Un hombre está parado en un par de esquís.</v>
      </c>
    </row>
    <row r="2601">
      <c r="A2601" s="4" t="s">
        <v>3263</v>
      </c>
      <c r="B2601" s="4" t="s">
        <v>3265</v>
      </c>
      <c r="C2601" s="5" t="str">
        <f>IFERROR(__xludf.DUMMYFUNCTION("GOOGLETRANSLATE(B2601,""en"",""es-ES"")"),"Luego esquía rápidamente por un terraplén nevado, accidentalmente golpeando a un esquiador en su camino y enviándola a la derecha.")</f>
        <v>Luego esquía rápidamente por un terraplén nevado, accidentalmente golpeando a un esquiador en su camino y enviándola a la derecha.</v>
      </c>
    </row>
    <row r="2602">
      <c r="A2602" s="4" t="s">
        <v>3263</v>
      </c>
      <c r="B2602" s="4" t="s">
        <v>3266</v>
      </c>
      <c r="C2602" s="5" t="str">
        <f>IFERROR(__xludf.DUMMYFUNCTION("GOOGLETRANSLATE(B2602,""en"",""es-ES"")"),"Se detienen y hablan, comprobando para asegurarse de que ella esté bien.")</f>
        <v>Se detienen y hablan, comprobando para asegurarse de que ella esté bien.</v>
      </c>
    </row>
    <row r="2603">
      <c r="A2603" s="4" t="s">
        <v>3267</v>
      </c>
      <c r="B2603" s="4" t="s">
        <v>3268</v>
      </c>
      <c r="C2603" s="5" t="str">
        <f>IFERROR(__xludf.DUMMYFUNCTION("GOOGLETRANSLATE(B2603,""en"",""es-ES"")"),"Se ve a un hombre sosteniendo a un niño pequeño mientras mira y sonríe a la cámara.")</f>
        <v>Se ve a un hombre sosteniendo a un niño pequeño mientras mira y sonríe a la cámara.</v>
      </c>
    </row>
    <row r="2604">
      <c r="A2604" s="4" t="s">
        <v>3267</v>
      </c>
      <c r="B2604" s="4" t="s">
        <v>3269</v>
      </c>
      <c r="C2604" s="5" t="str">
        <f>IFERROR(__xludf.DUMMYFUNCTION("GOOGLETRANSLATE(B2604,""en"",""es-ES"")"),"Los dos luego suben en un camello y viajan mientras saludan a la cámara.")</f>
        <v>Los dos luego suben en un camello y viajan mientras saludan a la cámara.</v>
      </c>
    </row>
    <row r="2605">
      <c r="A2605" s="4" t="s">
        <v>3267</v>
      </c>
      <c r="B2605" s="4" t="s">
        <v>3270</v>
      </c>
      <c r="C2605" s="5" t="str">
        <f>IFERROR(__xludf.DUMMYFUNCTION("GOOGLETRANSLATE(B2605,""en"",""es-ES"")"),"Los dos regresan con la mujer que los lleva al frente.")</f>
        <v>Los dos regresan con la mujer que los lleva al frente.</v>
      </c>
    </row>
    <row r="2606">
      <c r="A2606" s="4" t="s">
        <v>3271</v>
      </c>
      <c r="B2606" s="4" t="s">
        <v>3272</v>
      </c>
      <c r="C2606" s="5" t="str">
        <f>IFERROR(__xludf.DUMMYFUNCTION("GOOGLETRANSLATE(B2606,""en"",""es-ES"")"),"Los saltos triples olímpicos se muestran en un estadio.")</f>
        <v>Los saltos triples olímpicos se muestran en un estadio.</v>
      </c>
    </row>
    <row r="2607">
      <c r="A2607" s="4" t="s">
        <v>3271</v>
      </c>
      <c r="B2607" s="4" t="s">
        <v>3273</v>
      </c>
      <c r="C2607" s="5" t="str">
        <f>IFERROR(__xludf.DUMMYFUNCTION("GOOGLETRANSLATE(B2607,""en"",""es-ES"")"),"La primera persona en amarillo supera los 17 metros.")</f>
        <v>La primera persona en amarillo supera los 17 metros.</v>
      </c>
    </row>
    <row r="2608">
      <c r="A2608" s="4" t="s">
        <v>3271</v>
      </c>
      <c r="B2608" s="4" t="s">
        <v>3274</v>
      </c>
      <c r="C2608" s="5" t="str">
        <f>IFERROR(__xludf.DUMMYFUNCTION("GOOGLETRANSLATE(B2608,""en"",""es-ES"")"),"La segunda persona hace casi lo mismo que la tercera persona.")</f>
        <v>La segunda persona hace casi lo mismo que la tercera persona.</v>
      </c>
    </row>
    <row r="2609">
      <c r="A2609" s="4" t="s">
        <v>3275</v>
      </c>
      <c r="B2609" s="4" t="s">
        <v>3276</v>
      </c>
      <c r="C2609" s="5" t="str">
        <f>IFERROR(__xludf.DUMMYFUNCTION("GOOGLETRANSLATE(B2609,""en"",""es-ES"")"),"Se muestran varias tomas del interior de una tienda seguida de una persona que desempeñaba una bicicleta.")</f>
        <v>Se muestran varias tomas del interior de una tienda seguida de una persona que desempeñaba una bicicleta.</v>
      </c>
    </row>
    <row r="2610">
      <c r="A2610" s="4" t="s">
        <v>3275</v>
      </c>
      <c r="B2610" s="4" t="s">
        <v>3277</v>
      </c>
      <c r="C2610" s="5" t="str">
        <f>IFERROR(__xludf.DUMMYFUNCTION("GOOGLETRANSLATE(B2610,""en"",""es-ES"")"),"Luego, el hombre saca herramientas y las aprieta a lo largo de la bicicleta y se muestra vendiendo la bicicleta con las manos y mostrando la bicicleta terminada.")</f>
        <v>Luego, el hombre saca herramientas y las aprieta a lo largo de la bicicleta y se muestra vendiendo la bicicleta con las manos y mostrando la bicicleta terminada.</v>
      </c>
    </row>
    <row r="2611">
      <c r="A2611" s="4" t="s">
        <v>3278</v>
      </c>
      <c r="B2611" s="4" t="s">
        <v>3279</v>
      </c>
      <c r="C2611" s="5" t="str">
        <f>IFERROR(__xludf.DUMMYFUNCTION("GOOGLETRANSLATE(B2611,""en"",""es-ES"")"),"Una niña está en una viga baja, preparándose para voltear.")</f>
        <v>Una niña está en una viga baja, preparándose para voltear.</v>
      </c>
    </row>
    <row r="2612">
      <c r="A2612" s="4" t="s">
        <v>3278</v>
      </c>
      <c r="B2612" s="4" t="s">
        <v>3280</v>
      </c>
      <c r="C2612" s="5" t="str">
        <f>IFERROR(__xludf.DUMMYFUNCTION("GOOGLETRANSLATE(B2612,""en"",""es-ES"")"),"Ella voltea hacia adelante, luego gira hacia atrás con los brazos extendidos.")</f>
        <v>Ella voltea hacia adelante, luego gira hacia atrás con los brazos extendidos.</v>
      </c>
    </row>
    <row r="2613">
      <c r="A2613" s="4" t="s">
        <v>3281</v>
      </c>
      <c r="B2613" s="4" t="s">
        <v>3282</v>
      </c>
      <c r="C2613" s="5" t="str">
        <f>IFERROR(__xludf.DUMMYFUNCTION("GOOGLETRANSLATE(B2613,""en"",""es-ES"")"),"Un niño entra en la habitación desde la puerta izquierda que sostiene un animal de peluche rojo se sienta en la mesa y luego guarda al animal.")</f>
        <v>Un niño entra en la habitación desde la puerta izquierda que sostiene un animal de peluche rojo se sienta en la mesa y luego guarda al animal.</v>
      </c>
    </row>
    <row r="2614">
      <c r="A2614" s="4" t="s">
        <v>3281</v>
      </c>
      <c r="B2614" s="4" t="s">
        <v>3283</v>
      </c>
      <c r="C2614" s="5" t="str">
        <f>IFERROR(__xludf.DUMMYFUNCTION("GOOGLETRANSLATE(B2614,""en"",""es-ES"")"),"Una niña entra en la habitación al frente de la puerta derecha y se sienta en la mesa.")</f>
        <v>Una niña entra en la habitación al frente de la puerta derecha y se sienta en la mesa.</v>
      </c>
    </row>
    <row r="2615">
      <c r="A2615" s="4" t="s">
        <v>3281</v>
      </c>
      <c r="B2615" s="4" t="s">
        <v>3284</v>
      </c>
      <c r="C2615" s="5" t="str">
        <f>IFERROR(__xludf.DUMMYFUNCTION("GOOGLETRANSLATE(B2615,""en"",""es-ES"")"),"Comienzan a la lucha contra el brazo y la niña gana.")</f>
        <v>Comienzan a la lucha contra el brazo y la niña gana.</v>
      </c>
    </row>
    <row r="2616">
      <c r="A2616" s="4" t="s">
        <v>3281</v>
      </c>
      <c r="B2616" s="4" t="s">
        <v>3285</v>
      </c>
      <c r="C2616" s="5" t="str">
        <f>IFERROR(__xludf.DUMMYFUNCTION("GOOGLETRANSLATE(B2616,""en"",""es-ES"")"),"La niña sonríe a la cámara a observar su victoria y luego ambos se levantan para salir de la misma parte de los mismos lados de los que ingresaron.")</f>
        <v>La niña sonríe a la cámara a observar su victoria y luego ambos se levantan para salir de la misma parte de los mismos lados de los que ingresaron.</v>
      </c>
    </row>
    <row r="2617">
      <c r="A2617" s="4" t="s">
        <v>3286</v>
      </c>
      <c r="B2617" s="4" t="s">
        <v>3287</v>
      </c>
      <c r="C2617" s="5" t="str">
        <f>IFERROR(__xludf.DUMMYFUNCTION("GOOGLETRANSLATE(B2617,""en"",""es-ES"")"),"La pantalla muestra patrocinadores de la compañía para un evento de Winter Club.")</f>
        <v>La pantalla muestra patrocinadores de la compañía para un evento de Winter Club.</v>
      </c>
    </row>
    <row r="2618">
      <c r="A2618" s="4" t="s">
        <v>3286</v>
      </c>
      <c r="B2618" s="4" t="s">
        <v>3288</v>
      </c>
      <c r="C2618" s="5" t="str">
        <f>IFERROR(__xludf.DUMMYFUNCTION("GOOGLETRANSLATE(B2618,""en"",""es-ES"")"),"Un convertible azul conduce al North Shore Winter Club.")</f>
        <v>Un convertible azul conduce al North Shore Winter Club.</v>
      </c>
    </row>
    <row r="2619">
      <c r="A2619" s="4" t="s">
        <v>3286</v>
      </c>
      <c r="B2619" s="4" t="s">
        <v>3289</v>
      </c>
      <c r="C2619" s="5" t="str">
        <f>IFERROR(__xludf.DUMMYFUNCTION("GOOGLETRANSLATE(B2619,""en"",""es-ES"")"),"Un par entra en el club mientras una mini camioneta de plata está estacionada afuera.")</f>
        <v>Un par entra en el club mientras una mini camioneta de plata está estacionada afuera.</v>
      </c>
    </row>
    <row r="2620">
      <c r="A2620" s="4" t="s">
        <v>3286</v>
      </c>
      <c r="B2620" s="4" t="s">
        <v>3290</v>
      </c>
      <c r="C2620" s="5" t="str">
        <f>IFERROR(__xludf.DUMMYFUNCTION("GOOGLETRANSLATE(B2620,""en"",""es-ES"")"),"Varias personas están entrando en la sala de curling dentro del club.")</f>
        <v>Varias personas están entrando en la sala de curling dentro del club.</v>
      </c>
    </row>
    <row r="2621">
      <c r="A2621" s="4" t="s">
        <v>3286</v>
      </c>
      <c r="B2621" s="4" t="s">
        <v>3291</v>
      </c>
      <c r="C2621" s="5" t="str">
        <f>IFERROR(__xludf.DUMMYFUNCTION("GOOGLETRANSLATE(B2621,""en"",""es-ES"")"),"El entrenador que representa al equipo de Brasil, con una camiseta verde está dando instrucciones a los jugadores.")</f>
        <v>El entrenador que representa al equipo de Brasil, con una camiseta verde está dando instrucciones a los jugadores.</v>
      </c>
    </row>
    <row r="2622">
      <c r="A2622" s="4" t="s">
        <v>3286</v>
      </c>
      <c r="B2622" s="4" t="s">
        <v>3292</v>
      </c>
      <c r="C2622" s="5" t="str">
        <f>IFERROR(__xludf.DUMMYFUNCTION("GOOGLETRANSLATE(B2622,""en"",""es-ES"")"),"El entrenador habla con los jugadores mientras se preparan.")</f>
        <v>El entrenador habla con los jugadores mientras se preparan.</v>
      </c>
    </row>
    <row r="2623">
      <c r="A2623" s="4" t="s">
        <v>3286</v>
      </c>
      <c r="B2623" s="4" t="s">
        <v>3293</v>
      </c>
      <c r="C2623" s="5" t="str">
        <f>IFERROR(__xludf.DUMMYFUNCTION("GOOGLETRANSLATE(B2623,""en"",""es-ES"")"),"Los jugadores comienzan a jugar con sus palos mientras empujan las rocas a través del piso, varios otros jugadores practican rizando en el piso mientras se deslizan a través de la superficie resbaladiza.")</f>
        <v>Los jugadores comienzan a jugar con sus palos mientras empujan las rocas a través del piso, varios otros jugadores practican rizando en el piso mientras se deslizan a través de la superficie resbaladiza.</v>
      </c>
    </row>
    <row r="2624">
      <c r="A2624" s="4" t="s">
        <v>3286</v>
      </c>
      <c r="B2624" s="4" t="s">
        <v>3294</v>
      </c>
      <c r="C2624" s="5" t="str">
        <f>IFERROR(__xludf.DUMMYFUNCTION("GOOGLETRANSLATE(B2624,""en"",""es-ES"")"),"Los jugadores continúan jugando e intercambiando sus cinco años mientras practican.")</f>
        <v>Los jugadores continúan jugando e intercambiando sus cinco años mientras practican.</v>
      </c>
    </row>
    <row r="2625">
      <c r="A2625" s="4" t="s">
        <v>3286</v>
      </c>
      <c r="B2625" s="4" t="s">
        <v>3295</v>
      </c>
      <c r="C2625" s="5" t="str">
        <f>IFERROR(__xludf.DUMMYFUNCTION("GOOGLETRANSLATE(B2625,""en"",""es-ES"")"),"Alrededor de nueve de los concursantes reciben medallas de victoria del juez.")</f>
        <v>Alrededor de nueve de los concursantes reciben medallas de victoria del juez.</v>
      </c>
    </row>
    <row r="2626">
      <c r="A2626" s="4" t="s">
        <v>3286</v>
      </c>
      <c r="B2626" s="4" t="s">
        <v>3296</v>
      </c>
      <c r="C2626" s="5" t="str">
        <f>IFERROR(__xludf.DUMMYFUNCTION("GOOGLETRANSLATE(B2626,""en"",""es-ES"")"),"Se aplauden a sí mismos y a los demás, los cinco para expresar su victoria.")</f>
        <v>Se aplauden a sí mismos y a los demás, los cinco para expresar su victoria.</v>
      </c>
    </row>
    <row r="2627">
      <c r="A2627" s="4" t="s">
        <v>3286</v>
      </c>
      <c r="B2627" s="4" t="s">
        <v>3297</v>
      </c>
      <c r="C2627" s="5" t="str">
        <f>IFERROR(__xludf.DUMMYFUNCTION("GOOGLETRANSLATE(B2627,""en"",""es-ES"")"),"El video termina con detalles sobre todos los patrocinadores responsables del evento.")</f>
        <v>El video termina con detalles sobre todos los patrocinadores responsables del evento.</v>
      </c>
    </row>
    <row r="2628">
      <c r="A2628" s="4" t="s">
        <v>3298</v>
      </c>
      <c r="B2628" s="4" t="s">
        <v>3299</v>
      </c>
      <c r="C2628" s="5" t="str">
        <f>IFERROR(__xludf.DUMMYFUNCTION("GOOGLETRANSLATE(B2628,""en"",""es-ES"")"),"Hay un niño pequeño con una camisa de elmo roja en un taburete en la cocina con su abuela.")</f>
        <v>Hay un niño pequeño con una camisa de elmo roja en un taburete en la cocina con su abuela.</v>
      </c>
    </row>
    <row r="2629">
      <c r="A2629" s="4" t="s">
        <v>3298</v>
      </c>
      <c r="B2629" s="4" t="s">
        <v>3300</v>
      </c>
      <c r="C2629" s="5" t="str">
        <f>IFERROR(__xludf.DUMMYFUNCTION("GOOGLETRANSLATE(B2629,""en"",""es-ES"")"),"Están jugando un limón en un exprimidor eléctrico que se coloca en el mostrador de la cocina cerca del fregadero.")</f>
        <v>Están jugando un limón en un exprimidor eléctrico que se coloca en el mostrador de la cocina cerca del fregadero.</v>
      </c>
    </row>
    <row r="2630">
      <c r="A2630" s="4" t="s">
        <v>3298</v>
      </c>
      <c r="B2630" s="4" t="s">
        <v>3301</v>
      </c>
      <c r="C2630" s="5" t="str">
        <f>IFERROR(__xludf.DUMMYFUNCTION("GOOGLETRANSLATE(B2630,""en"",""es-ES"")"),"El niño parece emocionado de ayudar a su abuela a juzgar al limón.")</f>
        <v>El niño parece emocionado de ayudar a su abuela a juzgar al limón.</v>
      </c>
    </row>
    <row r="2631">
      <c r="A2631" s="4" t="s">
        <v>3298</v>
      </c>
      <c r="B2631" s="4" t="s">
        <v>3302</v>
      </c>
      <c r="C2631" s="5" t="str">
        <f>IFERROR(__xludf.DUMMYFUNCTION("GOOGLETRANSLATE(B2631,""en"",""es-ES"")"),"Él pone su mano sobre su mano mientras ella está jugando al limón.")</f>
        <v>Él pone su mano sobre su mano mientras ella está jugando al limón.</v>
      </c>
    </row>
    <row r="2632">
      <c r="A2632" s="4" t="s">
        <v>3303</v>
      </c>
      <c r="B2632" s="4" t="s">
        <v>3304</v>
      </c>
      <c r="C2632" s="5" t="str">
        <f>IFERROR(__xludf.DUMMYFUNCTION("GOOGLETRANSLATE(B2632,""en"",""es-ES"")"),"Vemos una cortadora de césped y una mano de personas.")</f>
        <v>Vemos una cortadora de césped y una mano de personas.</v>
      </c>
    </row>
    <row r="2633">
      <c r="A2633" s="4" t="s">
        <v>3303</v>
      </c>
      <c r="B2633" s="4" t="s">
        <v>3305</v>
      </c>
      <c r="C2633" s="5" t="str">
        <f>IFERROR(__xludf.DUMMYFUNCTION("GOOGLETRANSLATE(B2633,""en"",""es-ES"")"),"Una persona comienza el cortacésped y fuma.")</f>
        <v>Una persona comienza el cortacésped y fuma.</v>
      </c>
    </row>
    <row r="2634">
      <c r="A2634" s="4" t="s">
        <v>3303</v>
      </c>
      <c r="B2634" s="4" t="s">
        <v>3306</v>
      </c>
      <c r="C2634" s="5" t="str">
        <f>IFERROR(__xludf.DUMMYFUNCTION("GOOGLETRANSLATE(B2634,""en"",""es-ES"")"),"Vemos al hombre cortando el césped con un cortacésped fumador.")</f>
        <v>Vemos al hombre cortando el césped con un cortacésped fumador.</v>
      </c>
    </row>
    <row r="2635">
      <c r="A2635" s="4" t="s">
        <v>3303</v>
      </c>
      <c r="B2635" s="4" t="s">
        <v>3307</v>
      </c>
      <c r="C2635" s="5" t="str">
        <f>IFERROR(__xludf.DUMMYFUNCTION("GOOGLETRANSLATE(B2635,""en"",""es-ES"")"),"Vemos el cortacésped desde el punto de vista del cortacésped.")</f>
        <v>Vemos el cortacésped desde el punto de vista del cortacésped.</v>
      </c>
    </row>
    <row r="2636">
      <c r="A2636" s="4" t="s">
        <v>3303</v>
      </c>
      <c r="B2636" s="4" t="s">
        <v>3308</v>
      </c>
      <c r="C2636" s="5" t="str">
        <f>IFERROR(__xludf.DUMMYFUNCTION("GOOGLETRANSLATE(B2636,""en"",""es-ES"")"),"Vemos al niño comenzar el cortacésped nuevamente.")</f>
        <v>Vemos al niño comenzar el cortacésped nuevamente.</v>
      </c>
    </row>
    <row r="2637">
      <c r="A2637" s="4" t="s">
        <v>3303</v>
      </c>
      <c r="B2637" s="4" t="s">
        <v>3309</v>
      </c>
      <c r="C2637" s="5" t="str">
        <f>IFERROR(__xludf.DUMMYFUNCTION("GOOGLETRANSLATE(B2637,""en"",""es-ES"")"),"El niño corta el césped.")</f>
        <v>El niño corta el césped.</v>
      </c>
    </row>
    <row r="2638">
      <c r="A2638" s="4" t="s">
        <v>3303</v>
      </c>
      <c r="B2638" s="4" t="s">
        <v>3310</v>
      </c>
      <c r="C2638" s="5" t="str">
        <f>IFERROR(__xludf.DUMMYFUNCTION("GOOGLETRANSLATE(B2638,""en"",""es-ES"")"),"Luego vemos al niño caminando con el cortacésped.")</f>
        <v>Luego vemos al niño caminando con el cortacésped.</v>
      </c>
    </row>
    <row r="2639">
      <c r="A2639" s="4" t="s">
        <v>3311</v>
      </c>
      <c r="B2639" s="4" t="s">
        <v>3312</v>
      </c>
      <c r="C2639" s="5" t="str">
        <f>IFERROR(__xludf.DUMMYFUNCTION("GOOGLETRANSLATE(B2639,""en"",""es-ES"")"),"Una introducción conduce a varios clips de personas que resuelven cubos de Rubix, mientras que un temporizador captura su velocidad a un lado.")</f>
        <v>Una introducción conduce a varios clips de personas que resuelven cubos de Rubix, mientras que un temporizador captura su velocidad a un lado.</v>
      </c>
    </row>
    <row r="2640">
      <c r="A2640" s="4" t="s">
        <v>3311</v>
      </c>
      <c r="B2640" s="4" t="s">
        <v>3313</v>
      </c>
      <c r="C2640" s="5" t="str">
        <f>IFERROR(__xludf.DUMMYFUNCTION("GOOGLETRANSLATE(B2640,""en"",""es-ES"")"),"Más personas continúan resolviendo el rompecabezas mientras la cámara los captura de muchos lados.")</f>
        <v>Más personas continúan resolviendo el rompecabezas mientras la cámara los captura de muchos lados.</v>
      </c>
    </row>
    <row r="2641">
      <c r="A2641" s="4" t="s">
        <v>3314</v>
      </c>
      <c r="B2641" s="4" t="s">
        <v>3315</v>
      </c>
      <c r="C2641" s="5" t="str">
        <f>IFERROR(__xludf.DUMMYFUNCTION("GOOGLETRANSLATE(B2641,""en"",""es-ES"")"),"Una banda de percusión de cuatro piezas y una banda de cuerdas tocan en un escenario con el enfoque principal como un hombre en los bongos en el centro del escenario y vistiendo Sunshades en interiores.")</f>
        <v>Una banda de percusión de cuatro piezas y una banda de cuerdas tocan en un escenario con el enfoque principal como un hombre en los bongos en el centro del escenario y vistiendo Sunshades en interiores.</v>
      </c>
    </row>
    <row r="2642">
      <c r="A2642" s="4" t="s">
        <v>3314</v>
      </c>
      <c r="B2642" s="4" t="s">
        <v>3316</v>
      </c>
      <c r="C2642" s="5" t="str">
        <f>IFERROR(__xludf.DUMMYFUNCTION("GOOGLETRANSLATE(B2642,""en"",""es-ES"")"),"Un hombre toca a Bongos de manera animada, mientras que una mujer a su lado toca el teclado y un hombre detrás de él toca la guitarra.")</f>
        <v>Un hombre toca a Bongos de manera animada, mientras que una mujer a su lado toca el teclado y un hombre detrás de él toca la guitarra.</v>
      </c>
    </row>
    <row r="2643">
      <c r="A2643" s="4" t="s">
        <v>3314</v>
      </c>
      <c r="B2643" s="4" t="s">
        <v>3317</v>
      </c>
      <c r="C2643" s="5" t="str">
        <f>IFERROR(__xludf.DUMMYFUNCTION("GOOGLETRANSLATE(B2643,""en"",""es-ES"")"),"Un hombre a su lado comienza a golpear un palo contra un instrumento de percusión metálica.")</f>
        <v>Un hombre a su lado comienza a golpear un palo contra un instrumento de percusión metálica.</v>
      </c>
    </row>
    <row r="2644">
      <c r="A2644" s="4" t="s">
        <v>3314</v>
      </c>
      <c r="B2644" s="4" t="s">
        <v>3318</v>
      </c>
      <c r="C2644" s="5" t="str">
        <f>IFERROR(__xludf.DUMMYFUNCTION("GOOGLETRANSLATE(B2644,""en"",""es-ES"")"),"El hombre que juega a los bongos golpea a uno de ellos, momento en el que el hombre al lado de él pone el bongo en posición vertical nuevamente.")</f>
        <v>El hombre que juega a los bongos golpea a uno de ellos, momento en el que el hombre al lado de él pone el bongo en posición vertical nuevamente.</v>
      </c>
    </row>
    <row r="2645">
      <c r="A2645" s="4" t="s">
        <v>3319</v>
      </c>
      <c r="B2645" s="4" t="s">
        <v>3320</v>
      </c>
      <c r="C2645" s="5" t="str">
        <f>IFERROR(__xludf.DUMMYFUNCTION("GOOGLETRANSLATE(B2645,""en"",""es-ES"")"),"Al comienza sus consejos de esquí con una plancha y una esponja.")</f>
        <v>Al comienza sus consejos de esquí con una plancha y una esponja.</v>
      </c>
    </row>
    <row r="2646">
      <c r="A2646" s="4" t="s">
        <v>3319</v>
      </c>
      <c r="B2646" s="4" t="s">
        <v>3321</v>
      </c>
      <c r="C2646" s="5" t="str">
        <f>IFERROR(__xludf.DUMMYFUNCTION("GOOGLETRANSLATE(B2646,""en"",""es-ES"")"),"Demostrando qué y cómo lo usarías en el esquí.")</f>
        <v>Demostrando qué y cómo lo usarías en el esquí.</v>
      </c>
    </row>
    <row r="2647">
      <c r="A2647" s="4" t="s">
        <v>3319</v>
      </c>
      <c r="B2647" s="4" t="s">
        <v>3322</v>
      </c>
      <c r="C2647" s="5" t="str">
        <f>IFERROR(__xludf.DUMMYFUNCTION("GOOGLETRANSLATE(B2647,""en"",""es-ES"")"),"Él te muestra en cómo frotarlo.")</f>
        <v>Él te muestra en cómo frotarlo.</v>
      </c>
    </row>
    <row r="2648">
      <c r="A2648" s="4" t="s">
        <v>3319</v>
      </c>
      <c r="B2648" s="4" t="s">
        <v>3323</v>
      </c>
      <c r="C2648" s="5" t="str">
        <f>IFERROR(__xludf.DUMMYFUNCTION("GOOGLETRANSLATE(B2648,""en"",""es-ES"")"),"Luego explica un poco más sobre el proceso.")</f>
        <v>Luego explica un poco más sobre el proceso.</v>
      </c>
    </row>
    <row r="2649">
      <c r="A2649" s="4" t="s">
        <v>3324</v>
      </c>
      <c r="B2649" s="4" t="s">
        <v>3325</v>
      </c>
      <c r="C2649" s="5" t="str">
        <f>IFERROR(__xludf.DUMMYFUNCTION("GOOGLETRANSLATE(B2649,""en"",""es-ES"")"),"Se ve a una persona de pie ante una gran pista que sostiene un poste.")</f>
        <v>Se ve a una persona de pie ante una gran pista que sostiene un poste.</v>
      </c>
    </row>
    <row r="2650">
      <c r="A2650" s="4" t="s">
        <v>3324</v>
      </c>
      <c r="B2650" s="4" t="s">
        <v>3326</v>
      </c>
      <c r="C2650" s="5" t="str">
        <f>IFERROR(__xludf.DUMMYFUNCTION("GOOGLETRANSLATE(B2650,""en"",""es-ES"")"),"La persona comienza a correr por la pista mientras sigue sosteniendo el poste.")</f>
        <v>La persona comienza a correr por la pista mientras sigue sosteniendo el poste.</v>
      </c>
    </row>
    <row r="2651">
      <c r="A2651" s="4" t="s">
        <v>3324</v>
      </c>
      <c r="B2651" s="4" t="s">
        <v>3327</v>
      </c>
      <c r="C2651" s="5" t="str">
        <f>IFERROR(__xludf.DUMMYFUNCTION("GOOGLETRANSLATE(B2651,""en"",""es-ES"")"),"El hombre luego salta sobre una viga y sobre una colchoneta.")</f>
        <v>El hombre luego salta sobre una viga y sobre una colchoneta.</v>
      </c>
    </row>
    <row r="2652">
      <c r="A2652" s="4" t="s">
        <v>3328</v>
      </c>
      <c r="B2652" s="4" t="s">
        <v>3329</v>
      </c>
      <c r="C2652" s="5" t="str">
        <f>IFERROR(__xludf.DUMMYFUNCTION("GOOGLETRANSLATE(B2652,""en"",""es-ES"")"),"Una mujer detrás de un bar que explica cómo hacer una copa.")</f>
        <v>Una mujer detrás de un bar que explica cómo hacer una copa.</v>
      </c>
    </row>
    <row r="2653">
      <c r="A2653" s="4" t="s">
        <v>3328</v>
      </c>
      <c r="B2653" s="4" t="s">
        <v>3330</v>
      </c>
      <c r="C2653" s="5" t="str">
        <f>IFERROR(__xludf.DUMMYFUNCTION("GOOGLETRANSLATE(B2653,""en"",""es-ES"")"),"Ella vierte varios ingredientes en un agitador y lo sacude.")</f>
        <v>Ella vierte varios ingredientes en un agitador y lo sacude.</v>
      </c>
    </row>
    <row r="2654">
      <c r="A2654" s="4" t="s">
        <v>3328</v>
      </c>
      <c r="B2654" s="4" t="s">
        <v>3331</v>
      </c>
      <c r="C2654" s="5" t="str">
        <f>IFERROR(__xludf.DUMMYFUNCTION("GOOGLETRANSLATE(B2654,""en"",""es-ES"")"),"Luego vierte la bebida del agitador en un vaso de chupito y la sostiene.")</f>
        <v>Luego vierte la bebida del agitador en un vaso de chupito y la sostiene.</v>
      </c>
    </row>
    <row r="2655">
      <c r="A2655" s="4" t="s">
        <v>3332</v>
      </c>
      <c r="B2655" s="4" t="s">
        <v>3333</v>
      </c>
      <c r="C2655" s="5" t="str">
        <f>IFERROR(__xludf.DUMMYFUNCTION("GOOGLETRANSLATE(B2655,""en"",""es-ES"")"),"Un perro se pone en una bañera.")</f>
        <v>Un perro se pone en una bañera.</v>
      </c>
    </row>
    <row r="2656">
      <c r="A2656" s="4" t="s">
        <v>3332</v>
      </c>
      <c r="B2656" s="4" t="s">
        <v>3334</v>
      </c>
      <c r="C2656" s="5" t="str">
        <f>IFERROR(__xludf.DUMMYFUNCTION("GOOGLETRANSLATE(B2656,""en"",""es-ES"")"),"Una niña vierte agua sobre el perro de una taza.")</f>
        <v>Una niña vierte agua sobre el perro de una taza.</v>
      </c>
    </row>
    <row r="2657">
      <c r="A2657" s="4" t="s">
        <v>3332</v>
      </c>
      <c r="B2657" s="4" t="s">
        <v>3335</v>
      </c>
      <c r="C2657" s="5" t="str">
        <f>IFERROR(__xludf.DUMMYFUNCTION("GOOGLETRANSLATE(B2657,""en"",""es-ES"")"),"Ella frota el champú sobre el pelaje de los perros.")</f>
        <v>Ella frota el champú sobre el pelaje de los perros.</v>
      </c>
    </row>
    <row r="2658">
      <c r="A2658" s="4" t="s">
        <v>3332</v>
      </c>
      <c r="B2658" s="4" t="s">
        <v>3336</v>
      </c>
      <c r="C2658" s="5" t="str">
        <f>IFERROR(__xludf.DUMMYFUNCTION("GOOGLETRANSLATE(B2658,""en"",""es-ES"")"),"Ella seca al perro con una toalla.")</f>
        <v>Ella seca al perro con una toalla.</v>
      </c>
    </row>
    <row r="2659">
      <c r="A2659" s="4" t="s">
        <v>3337</v>
      </c>
      <c r="B2659" s="4" t="s">
        <v>3338</v>
      </c>
      <c r="C2659" s="5" t="str">
        <f>IFERROR(__xludf.DUMMYFUNCTION("GOOGLETRANSLATE(B2659,""en"",""es-ES"")"),"Tres niños están golpeando una pelota con una raqueta.")</f>
        <v>Tres niños están golpeando una pelota con una raqueta.</v>
      </c>
    </row>
    <row r="2660">
      <c r="A2660" s="4" t="s">
        <v>3337</v>
      </c>
      <c r="B2660" s="4" t="s">
        <v>3339</v>
      </c>
      <c r="C2660" s="5" t="str">
        <f>IFERROR(__xludf.DUMMYFUNCTION("GOOGLETRANSLATE(B2660,""en"",""es-ES"")"),"Se están agachando para que no los golpee en sus cabezas.")</f>
        <v>Se están agachando para que no los golpee en sus cabezas.</v>
      </c>
    </row>
    <row r="2661">
      <c r="A2661" s="4" t="s">
        <v>3337</v>
      </c>
      <c r="B2661" s="4" t="s">
        <v>3340</v>
      </c>
      <c r="C2661" s="5" t="str">
        <f>IFERROR(__xludf.DUMMYFUNCTION("GOOGLETRANSLATE(B2661,""en"",""es-ES"")"),"Cada uno se turnan para golpear la pelota.")</f>
        <v>Cada uno se turnan para golpear la pelota.</v>
      </c>
    </row>
    <row r="2662">
      <c r="A2662" s="4" t="s">
        <v>3337</v>
      </c>
      <c r="B2662" s="4" t="s">
        <v>3341</v>
      </c>
      <c r="C2662" s="5" t="str">
        <f>IFERROR(__xludf.DUMMYFUNCTION("GOOGLETRANSLATE(B2662,""en"",""es-ES"")"),"Moviéndose por toda la cancha tratando de atraparlo.")</f>
        <v>Moviéndose por toda la cancha tratando de atraparlo.</v>
      </c>
    </row>
    <row r="2663">
      <c r="A2663" s="4" t="s">
        <v>3342</v>
      </c>
      <c r="B2663" s="4" t="s">
        <v>3343</v>
      </c>
      <c r="C2663" s="5" t="str">
        <f>IFERROR(__xludf.DUMMYFUNCTION("GOOGLETRANSLATE(B2663,""en"",""es-ES"")"),"Una mujer que lleva pijama está hablando y de pie en un escenario decorado por la estrella.")</f>
        <v>Una mujer que lleva pijama está hablando y de pie en un escenario decorado por la estrella.</v>
      </c>
    </row>
    <row r="2664">
      <c r="A2664" s="4" t="s">
        <v>3342</v>
      </c>
      <c r="B2664" s="4" t="s">
        <v>3344</v>
      </c>
      <c r="C2664" s="5" t="str">
        <f>IFERROR(__xludf.DUMMYFUNCTION("GOOGLETRANSLATE(B2664,""en"",""es-ES"")"),"Ella demuestra varios pasos de baile mientras habla.")</f>
        <v>Ella demuestra varios pasos de baile mientras habla.</v>
      </c>
    </row>
    <row r="2665">
      <c r="A2665" s="4" t="s">
        <v>3342</v>
      </c>
      <c r="B2665" s="4" t="s">
        <v>3345</v>
      </c>
      <c r="C2665" s="5" t="str">
        <f>IFERROR(__xludf.DUMMYFUNCTION("GOOGLETRANSLATE(B2665,""en"",""es-ES"")"),"Ella pasa de un lado a otro, gira y sacude las caderas como una bailarina del vientre.")</f>
        <v>Ella pasa de un lado a otro, gira y sacude las caderas como una bailarina del vientre.</v>
      </c>
    </row>
    <row r="2666">
      <c r="A2666" s="4" t="s">
        <v>3346</v>
      </c>
      <c r="B2666" s="4" t="s">
        <v>3347</v>
      </c>
      <c r="C2666" s="5" t="str">
        <f>IFERROR(__xludf.DUMMYFUNCTION("GOOGLETRANSLATE(B2666,""en"",""es-ES"")"),"Hay un equipo de niños vestidos con uniformes azules jugando fútbol contra otro equipo de niños vestidos con uniformes de rayas azules en un gimnasio cubierto.")</f>
        <v>Hay un equipo de niños vestidos con uniformes azules jugando fútbol contra otro equipo de niños vestidos con uniformes de rayas azules en un gimnasio cubierto.</v>
      </c>
    </row>
    <row r="2667">
      <c r="A2667" s="4" t="s">
        <v>3346</v>
      </c>
      <c r="B2667" s="4" t="s">
        <v>3348</v>
      </c>
      <c r="C2667" s="5" t="str">
        <f>IFERROR(__xludf.DUMMYFUNCTION("GOOGLETRANSLATE(B2667,""en"",""es-ES"")"),"Hay varios espectadores sentados a un lado viendo a los jugadores jugar fútbol.")</f>
        <v>Hay varios espectadores sentados a un lado viendo a los jugadores jugar fútbol.</v>
      </c>
    </row>
    <row r="2668">
      <c r="A2668" s="4" t="s">
        <v>3346</v>
      </c>
      <c r="B2668" s="4" t="s">
        <v>3349</v>
      </c>
      <c r="C2668" s="5" t="str">
        <f>IFERROR(__xludf.DUMMYFUNCTION("GOOGLETRANSLATE(B2668,""en"",""es-ES"")"),"El portero vestido de amarillo intenta detener la pelota del oponente.")</f>
        <v>El portero vestido de amarillo intenta detener la pelota del oponente.</v>
      </c>
    </row>
    <row r="2669">
      <c r="A2669" s="4" t="s">
        <v>3346</v>
      </c>
      <c r="B2669" s="4" t="s">
        <v>3350</v>
      </c>
      <c r="C2669" s="5" t="str">
        <f>IFERROR(__xludf.DUMMYFUNCTION("GOOGLETRANSLATE(B2669,""en"",""es-ES"")"),"También hay otro juego de fútbol entre un equipo vestido de rojo y un equipo vestido de Inn Blue.")</f>
        <v>También hay otro juego de fútbol entre un equipo vestido de rojo y un equipo vestido de Inn Blue.</v>
      </c>
    </row>
    <row r="2670">
      <c r="A2670" s="4" t="s">
        <v>3346</v>
      </c>
      <c r="B2670" s="4" t="s">
        <v>3351</v>
      </c>
      <c r="C2670" s="5" t="str">
        <f>IFERROR(__xludf.DUMMYFUNCTION("GOOGLETRANSLATE(B2670,""en"",""es-ES"")"),"El primer set de equipos continúa jugando el juego mientras el equipo azul sólido anota un gol.")</f>
        <v>El primer set de equipos continúa jugando el juego mientras el equipo azul sólido anota un gol.</v>
      </c>
    </row>
    <row r="2671">
      <c r="A2671" s="4" t="s">
        <v>3352</v>
      </c>
      <c r="B2671" s="4" t="s">
        <v>3353</v>
      </c>
      <c r="C2671" s="5" t="str">
        <f>IFERROR(__xludf.DUMMYFUNCTION("GOOGLETRANSLATE(B2671,""en"",""es-ES"")"),"Un grupo de personas comienza a cavar una estructura cerca de la orilla.")</f>
        <v>Un grupo de personas comienza a cavar una estructura cerca de la orilla.</v>
      </c>
    </row>
    <row r="2672">
      <c r="A2672" s="4" t="s">
        <v>3352</v>
      </c>
      <c r="B2672" s="4" t="s">
        <v>3354</v>
      </c>
      <c r="C2672" s="5" t="str">
        <f>IFERROR(__xludf.DUMMYFUNCTION("GOOGLETRANSLATE(B2672,""en"",""es-ES"")"),"A medida que la excavación continúa, más personas se unen para cavar a medida que se produce un patrón.")</f>
        <v>A medida que la excavación continúa, más personas se unen para cavar a medida que se produce un patrón.</v>
      </c>
    </row>
    <row r="2673">
      <c r="A2673" s="4" t="s">
        <v>3352</v>
      </c>
      <c r="B2673" s="4" t="s">
        <v>3355</v>
      </c>
      <c r="C2673" s="5" t="str">
        <f>IFERROR(__xludf.DUMMYFUNCTION("GOOGLETRANSLATE(B2673,""en"",""es-ES"")"),"La excavación continúa y las personas comienzan a agregar rocas de manera lineal alrededor de la plataforma y cavan junto a las rocas y finalmente cubren las rocas con arena.")</f>
        <v>La excavación continúa y las personas comienzan a agregar rocas de manera lineal alrededor de la plataforma y cavan junto a las rocas y finalmente cubren las rocas con arena.</v>
      </c>
    </row>
    <row r="2674">
      <c r="A2674" s="4" t="s">
        <v>3352</v>
      </c>
      <c r="B2674" s="4" t="s">
        <v>3356</v>
      </c>
      <c r="C2674" s="5" t="str">
        <f>IFERROR(__xludf.DUMMYFUNCTION("GOOGLETRANSLATE(B2674,""en"",""es-ES"")"),"Finalmente en la marea se mueve hacia arriba y comienza a destruir la estructura que se creó.")</f>
        <v>Finalmente en la marea se mueve hacia arriba y comienza a destruir la estructura que se creó.</v>
      </c>
    </row>
    <row r="2675">
      <c r="A2675" s="4" t="s">
        <v>3352</v>
      </c>
      <c r="B2675" s="4" t="s">
        <v>3357</v>
      </c>
      <c r="C2675" s="5" t="str">
        <f>IFERROR(__xludf.DUMMYFUNCTION("GOOGLETRANSLATE(B2675,""en"",""es-ES"")"),"Al final, las personas observan la estructura fallida y se van mientras una niña se para en el medio mientras el agua se mueve hacia arriba y la destruye por completo.")</f>
        <v>Al final, las personas observan la estructura fallida y se van mientras una niña se para en el medio mientras el agua se mueve hacia arriba y la destruye por completo.</v>
      </c>
    </row>
    <row r="2676">
      <c r="A2676" s="4" t="s">
        <v>3358</v>
      </c>
      <c r="B2676" s="4" t="s">
        <v>3359</v>
      </c>
      <c r="C2676" s="5" t="str">
        <f>IFERROR(__xludf.DUMMYFUNCTION("GOOGLETRANSLATE(B2676,""en"",""es-ES"")"),"Se ve a dos personas montar alrededor de caballos y conducir a más personas montando caballos y caminando.")</f>
        <v>Se ve a dos personas montar alrededor de caballos y conducir a más personas montando caballos y caminando.</v>
      </c>
    </row>
    <row r="2677">
      <c r="A2677" s="4" t="s">
        <v>3358</v>
      </c>
      <c r="B2677" s="4" t="s">
        <v>3360</v>
      </c>
      <c r="C2677" s="5" t="str">
        <f>IFERROR(__xludf.DUMMYFUNCTION("GOOGLETRANSLATE(B2677,""en"",""es-ES"")"),"Un hombre conduce a otro con un caballo alrededor de un campo mientras un perro corre detrás de él.")</f>
        <v>Un hombre conduce a otro con un caballo alrededor de un campo mientras un perro corre detrás de él.</v>
      </c>
    </row>
    <row r="2678">
      <c r="A2678" s="4" t="s">
        <v>3358</v>
      </c>
      <c r="B2678" s="4" t="s">
        <v>3361</v>
      </c>
      <c r="C2678" s="5" t="str">
        <f>IFERROR(__xludf.DUMMYFUNCTION("GOOGLETRANSLATE(B2678,""en"",""es-ES"")"),"La cámara entrevista a un hombre que habla con otros mientras sostiene los caballos.")</f>
        <v>La cámara entrevista a un hombre que habla con otros mientras sostiene los caballos.</v>
      </c>
    </row>
    <row r="2679">
      <c r="A2679" s="4" t="s">
        <v>3362</v>
      </c>
      <c r="B2679" s="4" t="s">
        <v>3363</v>
      </c>
      <c r="C2679" s="5" t="str">
        <f>IFERROR(__xludf.DUMMYFUNCTION("GOOGLETRANSLATE(B2679,""en"",""es-ES"")"),"Se ve a un hombre hablando con la cámara mientras se aferra a una correa en diferentes lugares.")</f>
        <v>Se ve a un hombre hablando con la cámara mientras se aferra a una correa en diferentes lugares.</v>
      </c>
    </row>
    <row r="2680">
      <c r="A2680" s="4" t="s">
        <v>3362</v>
      </c>
      <c r="B2680" s="4" t="s">
        <v>3364</v>
      </c>
      <c r="C2680" s="5" t="str">
        <f>IFERROR(__xludf.DUMMYFUNCTION("GOOGLETRANSLATE(B2680,""en"",""es-ES"")"),"Luego se ve al hombre caminando alrededor de un perro y lo lleva de regreso al interior todavía hablando con la cámara.")</f>
        <v>Luego se ve al hombre caminando alrededor de un perro y lo lleva de regreso al interior todavía hablando con la cámara.</v>
      </c>
    </row>
    <row r="2681">
      <c r="A2681" s="4" t="s">
        <v>3362</v>
      </c>
      <c r="B2681" s="4" t="s">
        <v>3365</v>
      </c>
      <c r="C2681" s="5" t="str">
        <f>IFERROR(__xludf.DUMMYFUNCTION("GOOGLETRANSLATE(B2681,""en"",""es-ES"")"),"Continúa hablando más mientras se aferra a la cuerda y camina con el perro.")</f>
        <v>Continúa hablando más mientras se aferra a la cuerda y camina con el perro.</v>
      </c>
    </row>
    <row r="2682">
      <c r="A2682" s="4" t="s">
        <v>3366</v>
      </c>
      <c r="B2682" s="4" t="s">
        <v>3367</v>
      </c>
      <c r="C2682" s="5" t="str">
        <f>IFERROR(__xludf.DUMMYFUNCTION("GOOGLETRANSLATE(B2682,""en"",""es-ES"")"),"Se muestra a un hombre hablando con la cámara y conduce a una niña atlética que se balancea en barras desiguales.")</f>
        <v>Se muestra a un hombre hablando con la cámara y conduce a una niña atlética que se balancea en barras desiguales.</v>
      </c>
    </row>
    <row r="2683">
      <c r="A2683" s="4" t="s">
        <v>3366</v>
      </c>
      <c r="B2683" s="4" t="s">
        <v>3368</v>
      </c>
      <c r="C2683" s="5" t="str">
        <f>IFERROR(__xludf.DUMMYFUNCTION("GOOGLETRANSLATE(B2683,""en"",""es-ES"")"),"Ella salta mientras el hombre habla nuevamente y vuelve a cambiar y cuarto a él hablando y su actuación.")</f>
        <v>Ella salta mientras el hombre habla nuevamente y vuelve a cambiar y cuarto a él hablando y su actuación.</v>
      </c>
    </row>
    <row r="2684">
      <c r="A2684" s="4" t="s">
        <v>3366</v>
      </c>
      <c r="B2684" s="4" t="s">
        <v>3369</v>
      </c>
      <c r="C2684" s="5" t="str">
        <f>IFERROR(__xludf.DUMMYFUNCTION("GOOGLETRANSLATE(B2684,""en"",""es-ES"")"),"Ella pone la tiza en sus manos y continúa volteando las barras y el hombre termina de hablar.")</f>
        <v>Ella pone la tiza en sus manos y continúa volteando las barras y el hombre termina de hablar.</v>
      </c>
    </row>
    <row r="2685">
      <c r="A2685" s="4" t="s">
        <v>3370</v>
      </c>
      <c r="B2685" s="4" t="s">
        <v>3371</v>
      </c>
      <c r="C2685" s="5" t="str">
        <f>IFERROR(__xludf.DUMMYFUNCTION("GOOGLETRANSLATE(B2685,""en"",""es-ES"")"),"Una cámara se mueve sobre varios paisajes ubicados en el desierto, así como en el cielo nocturno que se mueve.")</f>
        <v>Una cámara se mueve sobre varios paisajes ubicados en el desierto, así como en el cielo nocturno que se mueve.</v>
      </c>
    </row>
    <row r="2686">
      <c r="A2686" s="4" t="s">
        <v>3370</v>
      </c>
      <c r="B2686" s="4" t="s">
        <v>3372</v>
      </c>
      <c r="C2686" s="5" t="str">
        <f>IFERROR(__xludf.DUMMYFUNCTION("GOOGLETRANSLATE(B2686,""en"",""es-ES"")"),"El sol sale y se muestran más tomas de paisajes, así como animales en el área.")</f>
        <v>El sol sale y se muestran más tomas de paisajes, así como animales en el área.</v>
      </c>
    </row>
    <row r="2687">
      <c r="A2687" s="4" t="s">
        <v>3370</v>
      </c>
      <c r="B2687" s="4" t="s">
        <v>3373</v>
      </c>
      <c r="C2687" s="5" t="str">
        <f>IFERROR(__xludf.DUMMYFUNCTION("GOOGLETRANSLATE(B2687,""en"",""es-ES"")"),"Luego se ve a las personas que viajan en un bote a través de un río duro y terminan con un avión que vuela sobre el área.")</f>
        <v>Luego se ve a las personas que viajan en un bote a través de un río duro y terminan con un avión que vuela sobre el área.</v>
      </c>
    </row>
    <row r="2688">
      <c r="A2688" s="4" t="s">
        <v>3374</v>
      </c>
      <c r="B2688" s="4" t="s">
        <v>3375</v>
      </c>
      <c r="C2688" s="5" t="str">
        <f>IFERROR(__xludf.DUMMYFUNCTION("GOOGLETRANSLATE(B2688,""en"",""es-ES"")"),"La cara de un hombre se ve de cerca hablando y lo lleva fumando un cigarrillo.")</f>
        <v>La cara de un hombre se ve de cerca hablando y lo lleva fumando un cigarrillo.</v>
      </c>
    </row>
    <row r="2689">
      <c r="A2689" s="4" t="s">
        <v>3374</v>
      </c>
      <c r="B2689" s="4" t="s">
        <v>3376</v>
      </c>
      <c r="C2689" s="5" t="str">
        <f>IFERROR(__xludf.DUMMYFUNCTION("GOOGLETRANSLATE(B2689,""en"",""es-ES"")"),"El hombre continúa sacando drags fuera del cigarrillo mientras sopla humo a lo lejos.")</f>
        <v>El hombre continúa sacando drags fuera del cigarrillo mientras sopla humo a lo lejos.</v>
      </c>
    </row>
    <row r="2690">
      <c r="A2690" s="4" t="s">
        <v>3374</v>
      </c>
      <c r="B2690" s="4" t="s">
        <v>3377</v>
      </c>
      <c r="C2690" s="5" t="str">
        <f>IFERROR(__xludf.DUMMYFUNCTION("GOOGLETRANSLATE(B2690,""en"",""es-ES"")"),"Mueve su mano hacia arriba y hacia abajo para fumar y explotar el humo.")</f>
        <v>Mueve su mano hacia arriba y hacia abajo para fumar y explotar el humo.</v>
      </c>
    </row>
    <row r="2691">
      <c r="A2691" s="4" t="s">
        <v>3378</v>
      </c>
      <c r="B2691" s="4" t="s">
        <v>3379</v>
      </c>
      <c r="C2691" s="5" t="str">
        <f>IFERROR(__xludf.DUMMYFUNCTION("GOOGLETRANSLATE(B2691,""en"",""es-ES"")"),"Se ve a un hombre hablando con la cámara mientras sostiene un cuchillo en sus manos y comienza a afilar el cuchillo a lo largo de un tablero.")</f>
        <v>Se ve a un hombre hablando con la cámara mientras sostiene un cuchillo en sus manos y comienza a afilar el cuchillo a lo largo de un tablero.</v>
      </c>
    </row>
    <row r="2692">
      <c r="A2692" s="4" t="s">
        <v>3378</v>
      </c>
      <c r="B2692" s="4" t="s">
        <v>3380</v>
      </c>
      <c r="C2692" s="5" t="str">
        <f>IFERROR(__xludf.DUMMYFUNCTION("GOOGLETRANSLATE(B2692,""en"",""es-ES"")"),"El hombre continúa afilando la cuchilla y luego usa otras tablas para afilar el cuchillo.")</f>
        <v>El hombre continúa afilando la cuchilla y luego usa otras tablas para afilar el cuchillo.</v>
      </c>
    </row>
    <row r="2693">
      <c r="A2693" s="4" t="s">
        <v>3381</v>
      </c>
      <c r="B2693" s="4" t="s">
        <v>3382</v>
      </c>
      <c r="C2693" s="5" t="str">
        <f>IFERROR(__xludf.DUMMYFUNCTION("GOOGLETRANSLATE(B2693,""en"",""es-ES"")"),"Se muestra a la mujer poniendo los pies en sus zapatos mientras están atadas.")</f>
        <v>Se muestra a la mujer poniendo los pies en sus zapatos mientras están atadas.</v>
      </c>
    </row>
    <row r="2694">
      <c r="A2694" s="4" t="s">
        <v>3381</v>
      </c>
      <c r="B2694" s="4" t="s">
        <v>3383</v>
      </c>
      <c r="C2694" s="5" t="str">
        <f>IFERROR(__xludf.DUMMYFUNCTION("GOOGLETRANSLATE(B2694,""en"",""es-ES"")"),"Pero después de unos minutos de ella levantando los pies del suelo, se los quita sin usar sus manos.")</f>
        <v>Pero después de unos minutos de ella levantando los pies del suelo, se los quita sin usar sus manos.</v>
      </c>
    </row>
    <row r="2695">
      <c r="A2695" s="4" t="s">
        <v>3381</v>
      </c>
      <c r="B2695" s="4" t="s">
        <v>3384</v>
      </c>
      <c r="C2695" s="5" t="str">
        <f>IFERROR(__xludf.DUMMYFUNCTION("GOOGLETRANSLATE(B2695,""en"",""es-ES"")"),"Luego se dobla para apagar la cámara.")</f>
        <v>Luego se dobla para apagar la cámara.</v>
      </c>
    </row>
    <row r="2696">
      <c r="A2696" s="4" t="s">
        <v>3385</v>
      </c>
      <c r="B2696" s="4" t="s">
        <v>3386</v>
      </c>
      <c r="C2696" s="5" t="str">
        <f>IFERROR(__xludf.DUMMYFUNCTION("GOOGLETRANSLATE(B2696,""en"",""es-ES"")"),"Varios jóvenes exhiben acrobacias enrollables que utilizan muchos entornos peatonales diferentes para mostrar las acrobacias, incluidas las aceras, las escaleras, las barandillas de las escaleras, las paredes y los estacionamientos.")</f>
        <v>Varios jóvenes exhiben acrobacias enrollables que utilizan muchos entornos peatonales diferentes para mostrar las acrobacias, incluidas las aceras, las escaleras, las barandillas de las escaleras, las paredes y los estacionamientos.</v>
      </c>
    </row>
    <row r="2697">
      <c r="A2697" s="4" t="s">
        <v>3385</v>
      </c>
      <c r="B2697" s="4" t="s">
        <v>3387</v>
      </c>
      <c r="C2697" s="5" t="str">
        <f>IFERROR(__xludf.DUMMYFUNCTION("GOOGLETRANSLATE(B2697,""en"",""es-ES"")"),"Una cámara recoge varias tomas de entorno sinceras que recogen líneas de palmeras, y un vasto paisaje urbano lleno de edificios y algo de follaje.")</f>
        <v>Una cámara recoge varias tomas de entorno sinceras que recogen líneas de palmeras, y un vasto paisaje urbano lleno de edificios y algo de follaje.</v>
      </c>
    </row>
    <row r="2698">
      <c r="A2698" s="4" t="s">
        <v>3385</v>
      </c>
      <c r="B2698" s="4" t="s">
        <v>3388</v>
      </c>
      <c r="C2698" s="5" t="str">
        <f>IFERROR(__xludf.DUMMYFUNCTION("GOOGLETRANSLATE(B2698,""en"",""es-ES"")"),"Un grupo de jóvenes se exhiben uno por uno, con una plantilla de nombre en pantalla, acrobacias enrollables en escaleras y barandillas de escaleras, saltando en el aire, deslizándose sobre rieles y aterrizando.")</f>
        <v>Un grupo de jóvenes se exhiben uno por uno, con una plantilla de nombre en pantalla, acrobacias enrollables en escaleras y barandillas de escaleras, saltando en el aire, deslizándose sobre rieles y aterrizando.</v>
      </c>
    </row>
    <row r="2699">
      <c r="A2699" s="4" t="s">
        <v>3385</v>
      </c>
      <c r="B2699" s="4" t="s">
        <v>3389</v>
      </c>
      <c r="C2699" s="5" t="str">
        <f>IFERROR(__xludf.DUMMYFUNCTION("GOOGLETRANSLATE(B2699,""en"",""es-ES"")"),"Los hombres muestran algunos percances en los que caen después del truco, pero luego realizan más acrobacias con éxito.")</f>
        <v>Los hombres muestran algunos percances en los que caen después del truco, pero luego realizan más acrobacias con éxito.</v>
      </c>
    </row>
    <row r="2700">
      <c r="A2700" s="4" t="s">
        <v>3390</v>
      </c>
      <c r="B2700" s="4" t="s">
        <v>3391</v>
      </c>
      <c r="C2700" s="5" t="str">
        <f>IFERROR(__xludf.DUMMYFUNCTION("GOOGLETRANSLATE(B2700,""en"",""es-ES"")"),"Se ve a una gimnasta mirando a lo lejos y la lleva a sujetar sus brazos hacia arriba.")</f>
        <v>Se ve a una gimnasta mirando a lo lejos y la lleva a sujetar sus brazos hacia arriba.</v>
      </c>
    </row>
    <row r="2701">
      <c r="A2701" s="4" t="s">
        <v>3390</v>
      </c>
      <c r="B2701" s="4" t="s">
        <v>3392</v>
      </c>
      <c r="C2701" s="5" t="str">
        <f>IFERROR(__xludf.DUMMYFUNCTION("GOOGLETRANSLATE(B2701,""en"",""es-ES"")"),"Ella salta a una viga y comienza a realizar varias flips y trucos.")</f>
        <v>Ella salta a una viga y comienza a realizar varias flips y trucos.</v>
      </c>
    </row>
    <row r="2702">
      <c r="A2702" s="4" t="s">
        <v>3390</v>
      </c>
      <c r="B2702" s="4" t="s">
        <v>3393</v>
      </c>
      <c r="C2702" s="5" t="str">
        <f>IFERROR(__xludf.DUMMYFUNCTION("GOOGLETRANSLATE(B2702,""en"",""es-ES"")"),"La niña salta por la viga y termina saltando hacia abajo y levantando los brazos hacia arriba y sonriendo hacia la cámara.")</f>
        <v>La niña salta por la viga y termina saltando hacia abajo y levantando los brazos hacia arriba y sonriendo hacia la cámara.</v>
      </c>
    </row>
    <row r="2703">
      <c r="A2703" s="4" t="s">
        <v>3394</v>
      </c>
      <c r="B2703" s="4" t="s">
        <v>3395</v>
      </c>
      <c r="C2703" s="5" t="str">
        <f>IFERROR(__xludf.DUMMYFUNCTION("GOOGLETRANSLATE(B2703,""en"",""es-ES"")"),"Una mujer hace un lote de bebida maestra de limpieza en el mostrador de la cocina con limones, agua, jarabe y pimiento rojo.")</f>
        <v>Una mujer hace un lote de bebida maestra de limpieza en el mostrador de la cocina con limones, agua, jarabe y pimiento rojo.</v>
      </c>
    </row>
    <row r="2704">
      <c r="A2704" s="4" t="s">
        <v>3394</v>
      </c>
      <c r="B2704" s="4" t="s">
        <v>3396</v>
      </c>
      <c r="C2704" s="5" t="str">
        <f>IFERROR(__xludf.DUMMYFUNCTION("GOOGLETRANSLATE(B2704,""en"",""es-ES"")"),"Una mujer entra en una cocina, habla con la cámara y comienza a cortar y jugo de limones.")</f>
        <v>Una mujer entra en una cocina, habla con la cámara y comienza a cortar y jugo de limones.</v>
      </c>
    </row>
    <row r="2705">
      <c r="A2705" s="4" t="s">
        <v>3394</v>
      </c>
      <c r="B2705" s="4" t="s">
        <v>3397</v>
      </c>
      <c r="C2705" s="5" t="str">
        <f>IFERROR(__xludf.DUMMYFUNCTION("GOOGLETRANSLATE(B2705,""en"",""es-ES"")"),"La mujer luego vierte el jugo de limón en una botella de agua.")</f>
        <v>La mujer luego vierte el jugo de limón en una botella de agua.</v>
      </c>
    </row>
    <row r="2706">
      <c r="A2706" s="4" t="s">
        <v>3394</v>
      </c>
      <c r="B2706" s="4" t="s">
        <v>3398</v>
      </c>
      <c r="C2706" s="5" t="str">
        <f>IFERROR(__xludf.DUMMYFUNCTION("GOOGLETRANSLATE(B2706,""en"",""es-ES"")"),"Luego, la mujer agrega jarabe y pimiento rojo a la mezcla con cucharas de miding azul y un vidrio de medición, después de lo cual se apoya en el mostrador y habla con la cámara un poco más.")</f>
        <v>Luego, la mujer agrega jarabe y pimiento rojo a la mezcla con cucharas de miding azul y un vidrio de medición, después de lo cual se apoya en el mostrador y habla con la cámara un poco más.</v>
      </c>
    </row>
    <row r="2707">
      <c r="A2707" s="4" t="s">
        <v>3399</v>
      </c>
      <c r="B2707" s="4" t="s">
        <v>3400</v>
      </c>
      <c r="C2707" s="5" t="str">
        <f>IFERROR(__xludf.DUMMYFUNCTION("GOOGLETRANSLATE(B2707,""en"",""es-ES"")"),"Se ve a un hombre sentado en un equipo de ejercicio que se mueve hacia atrás y cuarto.")</f>
        <v>Se ve a un hombre sentado en un equipo de ejercicio que se mueve hacia atrás y cuarto.</v>
      </c>
    </row>
    <row r="2708">
      <c r="A2708" s="4" t="s">
        <v>3399</v>
      </c>
      <c r="B2708" s="4" t="s">
        <v>3401</v>
      </c>
      <c r="C2708" s="5" t="str">
        <f>IFERROR(__xludf.DUMMYFUNCTION("GOOGLETRANSLATE(B2708,""en"",""es-ES"")"),"Un perro camina alrededor del hombre que trabaja y termina junto a la cámara frente al suelo.")</f>
        <v>Un perro camina alrededor del hombre que trabaja y termina junto a la cámara frente al suelo.</v>
      </c>
    </row>
    <row r="2709">
      <c r="A2709" s="4" t="s">
        <v>3402</v>
      </c>
      <c r="B2709" s="4" t="s">
        <v>3403</v>
      </c>
      <c r="C2709" s="5" t="str">
        <f>IFERROR(__xludf.DUMMYFUNCTION("GOOGLETRANSLATE(B2709,""en"",""es-ES"")"),"Hay dos equipos de hombres jugando el juego de tira y afloja en un gimnasio.")</f>
        <v>Hay dos equipos de hombres jugando el juego de tira y afloja en un gimnasio.</v>
      </c>
    </row>
    <row r="2710">
      <c r="A2710" s="4" t="s">
        <v>3402</v>
      </c>
      <c r="B2710" s="4" t="s">
        <v>3404</v>
      </c>
      <c r="C2710" s="5" t="str">
        <f>IFERROR(__xludf.DUMMYFUNCTION("GOOGLETRANSLATE(B2710,""en"",""es-ES"")"),"Hay varias personas sentadas en el gimnasio viéndolos jugar.")</f>
        <v>Hay varias personas sentadas en el gimnasio viéndolos jugar.</v>
      </c>
    </row>
    <row r="2711">
      <c r="A2711" s="4" t="s">
        <v>3402</v>
      </c>
      <c r="B2711" s="4" t="s">
        <v>3405</v>
      </c>
      <c r="C2711" s="5" t="str">
        <f>IFERROR(__xludf.DUMMYFUNCTION("GOOGLETRANSLATE(B2711,""en"",""es-ES"")"),"El árbitro está parado junto a los concursantes mientras continúan tirando de la cuerda más fuerte.")</f>
        <v>El árbitro está parado junto a los concursantes mientras continúan tirando de la cuerda más fuerte.</v>
      </c>
    </row>
    <row r="2712">
      <c r="A2712" s="4" t="s">
        <v>3402</v>
      </c>
      <c r="B2712" s="4" t="s">
        <v>3406</v>
      </c>
      <c r="C2712" s="5" t="str">
        <f>IFERROR(__xludf.DUMMYFUNCTION("GOOGLETRANSLATE(B2712,""en"",""es-ES"")"),"El equipo contrario se pone más fuerte y el equipo en el blanco termina cayendo y perdiendo.")</f>
        <v>El equipo contrario se pone más fuerte y el equipo en el blanco termina cayendo y perdiendo.</v>
      </c>
    </row>
    <row r="2713">
      <c r="A2713" s="4" t="s">
        <v>3407</v>
      </c>
      <c r="B2713" s="4" t="s">
        <v>3408</v>
      </c>
      <c r="C2713" s="5" t="str">
        <f>IFERROR(__xludf.DUMMYFUNCTION("GOOGLETRANSLATE(B2713,""en"",""es-ES"")"),"Un hombre está sentado en el suelo arreglando la bicicleta de un niño.")</f>
        <v>Un hombre está sentado en el suelo arreglando la bicicleta de un niño.</v>
      </c>
    </row>
    <row r="2714">
      <c r="A2714" s="4" t="s">
        <v>3407</v>
      </c>
      <c r="B2714" s="4" t="s">
        <v>3409</v>
      </c>
      <c r="C2714" s="5" t="str">
        <f>IFERROR(__xludf.DUMMYFUNCTION("GOOGLETRANSLATE(B2714,""en"",""es-ES"")"),"Un niño con una camisa amarilla está de pie junto a él mirando.")</f>
        <v>Un niño con una camisa amarilla está de pie junto a él mirando.</v>
      </c>
    </row>
    <row r="2715">
      <c r="A2715" s="4" t="s">
        <v>3407</v>
      </c>
      <c r="B2715" s="4" t="s">
        <v>3410</v>
      </c>
      <c r="C2715" s="5" t="str">
        <f>IFERROR(__xludf.DUMMYFUNCTION("GOOGLETRANSLATE(B2715,""en"",""es-ES"")"),"Un niño con una camisa azul está empujando otra bicicleta detrás de él.")</f>
        <v>Un niño con una camisa azul está empujando otra bicicleta detrás de él.</v>
      </c>
    </row>
    <row r="2716">
      <c r="A2716" s="4" t="s">
        <v>3411</v>
      </c>
      <c r="B2716" s="4" t="s">
        <v>3412</v>
      </c>
      <c r="C2716" s="5" t="str">
        <f>IFERROR(__xludf.DUMMYFUNCTION("GOOGLETRANSLATE(B2716,""en"",""es-ES"")"),"Una persona sirve un helado con un palo para un hombre, el cono cae al suelo.")</f>
        <v>Una persona sirve un helado con un palo para un hombre, el cono cae al suelo.</v>
      </c>
    </row>
    <row r="2717">
      <c r="A2717" s="4" t="s">
        <v>3411</v>
      </c>
      <c r="B2717" s="4" t="s">
        <v>3413</v>
      </c>
      <c r="C2717" s="5" t="str">
        <f>IFERROR(__xludf.DUMMYFUNCTION("GOOGLETRANSLATE(B2717,""en"",""es-ES"")"),"El hombre da otro cono, luego el hombre toma del cono y devuelve al hombre.")</f>
        <v>El hombre da otro cono, luego el hombre toma del cono y devuelve al hombre.</v>
      </c>
    </row>
    <row r="2718">
      <c r="A2718" s="4" t="s">
        <v>3411</v>
      </c>
      <c r="B2718" s="4" t="s">
        <v>3414</v>
      </c>
      <c r="C2718" s="5" t="str">
        <f>IFERROR(__xludf.DUMMYFUNCTION("GOOGLETRANSLATE(B2718,""en"",""es-ES"")"),"Después, el hombre da el cono con una servilleta, pero toma el cono nuevamente, después de que le da el helado en la boca.")</f>
        <v>Después, el hombre da el cono con una servilleta, pero toma el cono nuevamente, después de que le da el helado en la boca.</v>
      </c>
    </row>
    <row r="2719">
      <c r="A2719" s="4" t="s">
        <v>3411</v>
      </c>
      <c r="B2719" s="4" t="s">
        <v>3415</v>
      </c>
      <c r="C2719" s="5" t="str">
        <f>IFERROR(__xludf.DUMMYFUNCTION("GOOGLETRANSLATE(B2719,""en"",""es-ES"")"),"Finalmente, el hombre le da el cono al hombre mientras observa una multitud.")</f>
        <v>Finalmente, el hombre le da el cono al hombre mientras observa una multitud.</v>
      </c>
    </row>
    <row r="2720">
      <c r="A2720" s="4" t="s">
        <v>3416</v>
      </c>
      <c r="B2720" s="4" t="s">
        <v>1251</v>
      </c>
      <c r="C2720" s="5" t="str">
        <f>IFERROR(__xludf.DUMMYFUNCTION("GOOGLETRANSLATE(B2720,""en"",""es-ES"")"),"Se muestran los créditos del clip.")</f>
        <v>Se muestran los créditos del clip.</v>
      </c>
    </row>
    <row r="2721">
      <c r="A2721" s="4" t="s">
        <v>3416</v>
      </c>
      <c r="B2721" s="4" t="s">
        <v>3417</v>
      </c>
      <c r="C2721" s="5" t="str">
        <f>IFERROR(__xludf.DUMMYFUNCTION("GOOGLETRANSLATE(B2721,""en"",""es-ES"")"),"Un chico trabaja en un techo.")</f>
        <v>Un chico trabaja en un techo.</v>
      </c>
    </row>
    <row r="2722">
      <c r="A2722" s="4" t="s">
        <v>3416</v>
      </c>
      <c r="B2722" s="4" t="s">
        <v>3418</v>
      </c>
      <c r="C2722" s="5" t="str">
        <f>IFERROR(__xludf.DUMMYFUNCTION("GOOGLETRANSLATE(B2722,""en"",""es-ES"")"),"Un chico elimina las uñas y las piezas del techo.")</f>
        <v>Un chico elimina las uñas y las piezas del techo.</v>
      </c>
    </row>
    <row r="2723">
      <c r="A2723" s="4" t="s">
        <v>3416</v>
      </c>
      <c r="B2723" s="4" t="s">
        <v>3419</v>
      </c>
      <c r="C2723" s="5" t="str">
        <f>IFERROR(__xludf.DUMMYFUNCTION("GOOGLETRANSLATE(B2723,""en"",""es-ES"")"),"Un chico elimina la suciedad y las ramitas de la esquina del techo.")</f>
        <v>Un chico elimina la suciedad y las ramitas de la esquina del techo.</v>
      </c>
    </row>
    <row r="2724">
      <c r="A2724" s="4" t="s">
        <v>3416</v>
      </c>
      <c r="B2724" s="4" t="s">
        <v>3420</v>
      </c>
      <c r="C2724" s="5" t="str">
        <f>IFERROR(__xludf.DUMMYFUNCTION("GOOGLETRANSLATE(B2724,""en"",""es-ES"")"),"Un chico mide y corta piezas para el techo.")</f>
        <v>Un chico mide y corta piezas para el techo.</v>
      </c>
    </row>
    <row r="2725">
      <c r="A2725" s="4" t="s">
        <v>3416</v>
      </c>
      <c r="B2725" s="4" t="s">
        <v>573</v>
      </c>
      <c r="C2725" s="5" t="str">
        <f>IFERROR(__xludf.DUMMYFUNCTION("GOOGLETRANSLATE(B2725,""en"",""es-ES"")"),"Se muestran los créditos del video.")</f>
        <v>Se muestran los créditos del video.</v>
      </c>
    </row>
    <row r="2726">
      <c r="A2726" s="4" t="s">
        <v>3421</v>
      </c>
      <c r="B2726" s="4" t="s">
        <v>3422</v>
      </c>
      <c r="C2726" s="5" t="str">
        <f>IFERROR(__xludf.DUMMYFUNCTION("GOOGLETRANSLATE(B2726,""en"",""es-ES"")"),"Una sartén está en una estufa con ingredientes en el mostrador junto a ella.")</f>
        <v>Una sartén está en una estufa con ingredientes en el mostrador junto a ella.</v>
      </c>
    </row>
    <row r="2727">
      <c r="A2727" s="4" t="s">
        <v>3421</v>
      </c>
      <c r="B2727" s="4" t="s">
        <v>3423</v>
      </c>
      <c r="C2727" s="5" t="str">
        <f>IFERROR(__xludf.DUMMYFUNCTION("GOOGLETRANSLATE(B2727,""en"",""es-ES"")"),"Alguien pone cebollas en la sartén y golpea los huevos y otros ingredientes en un tazón antes de agregarlas a la sartén también.")</f>
        <v>Alguien pone cebollas en la sartén y golpea los huevos y otros ingredientes en un tazón antes de agregarlas a la sartén también.</v>
      </c>
    </row>
    <row r="2728">
      <c r="A2728" s="4" t="s">
        <v>3421</v>
      </c>
      <c r="B2728" s="4" t="s">
        <v>3424</v>
      </c>
      <c r="C2728" s="5" t="str">
        <f>IFERROR(__xludf.DUMMYFUNCTION("GOOGLETRANSLATE(B2728,""en"",""es-ES"")"),"Él voltea los huevos, haciendo una tortilla.")</f>
        <v>Él voltea los huevos, haciendo una tortilla.</v>
      </c>
    </row>
    <row r="2729">
      <c r="A2729" s="4" t="s">
        <v>3421</v>
      </c>
      <c r="B2729" s="4" t="s">
        <v>3425</v>
      </c>
      <c r="C2729" s="5" t="str">
        <f>IFERROR(__xludf.DUMMYFUNCTION("GOOGLETRANSLATE(B2729,""en"",""es-ES"")"),"Él voltea la tortilla suavemente sobre un plato para servir.")</f>
        <v>Él voltea la tortilla suavemente sobre un plato para servir.</v>
      </c>
    </row>
    <row r="2730">
      <c r="A2730" s="4" t="s">
        <v>3426</v>
      </c>
      <c r="B2730" s="4" t="s">
        <v>3427</v>
      </c>
      <c r="C2730" s="5" t="str">
        <f>IFERROR(__xludf.DUMMYFUNCTION("GOOGLETRANSLATE(B2730,""en"",""es-ES"")"),"Un gato blanco está durmiendo en baldosas de terracota.")</f>
        <v>Un gato blanco está durmiendo en baldosas de terracota.</v>
      </c>
    </row>
    <row r="2731">
      <c r="A2731" s="4" t="s">
        <v>3426</v>
      </c>
      <c r="B2731" s="4" t="s">
        <v>3428</v>
      </c>
      <c r="C2731" s="5" t="str">
        <f>IFERROR(__xludf.DUMMYFUNCTION("GOOGLETRANSLATE(B2731,""en"",""es-ES"")"),"White Text explica cómo cortar las uñas del gato.")</f>
        <v>White Text explica cómo cortar las uñas del gato.</v>
      </c>
    </row>
    <row r="2732">
      <c r="A2732" s="4" t="s">
        <v>3426</v>
      </c>
      <c r="B2732" s="4" t="s">
        <v>3429</v>
      </c>
      <c r="C2732" s="5" t="str">
        <f>IFERROR(__xludf.DUMMYFUNCTION("GOOGLETRANSLATE(B2732,""en"",""es-ES"")"),"Una mujer toma las patas de los gatos, recortándolas suavemente con un cortacésped hasta que terminen.")</f>
        <v>Una mujer toma las patas de los gatos, recortándolas suavemente con un cortacésped hasta que terminen.</v>
      </c>
    </row>
    <row r="2733">
      <c r="A2733" s="4" t="s">
        <v>3430</v>
      </c>
      <c r="B2733" s="4" t="s">
        <v>3431</v>
      </c>
      <c r="C2733" s="5" t="str">
        <f>IFERROR(__xludf.DUMMYFUNCTION("GOOGLETRANSLATE(B2733,""en"",""es-ES"")"),"Se ve a un gran grupo de personas de pie en un campo jugando un juego de voleibol entre sí.")</f>
        <v>Se ve a un gran grupo de personas de pie en un campo jugando un juego de voleibol entre sí.</v>
      </c>
    </row>
    <row r="2734">
      <c r="A2734" s="4" t="s">
        <v>3430</v>
      </c>
      <c r="B2734" s="4" t="s">
        <v>3432</v>
      </c>
      <c r="C2734" s="5" t="str">
        <f>IFERROR(__xludf.DUMMYFUNCTION("GOOGLETRANSLATE(B2734,""en"",""es-ES"")"),"La cámara se mueve alrededor de la playa y de regreso a la gente que juega entre sí pasando la pelota.")</f>
        <v>La cámara se mueve alrededor de la playa y de regreso a la gente que juega entre sí pasando la pelota.</v>
      </c>
    </row>
    <row r="2735">
      <c r="A2735" s="4" t="s">
        <v>3433</v>
      </c>
      <c r="B2735" s="4" t="s">
        <v>3434</v>
      </c>
      <c r="C2735" s="5" t="str">
        <f>IFERROR(__xludf.DUMMYFUNCTION("GOOGLETRANSLATE(B2735,""en"",""es-ES"")"),"Una introducción para un video en ejecución que dice que se ejecuta en la pantalla.")</f>
        <v>Una introducción para un video en ejecución que dice que se ejecuta en la pantalla.</v>
      </c>
    </row>
    <row r="2736">
      <c r="A2736" s="4" t="s">
        <v>3433</v>
      </c>
      <c r="B2736" s="4" t="s">
        <v>3435</v>
      </c>
      <c r="C2736" s="5" t="str">
        <f>IFERROR(__xludf.DUMMYFUNCTION("GOOGLETRANSLATE(B2736,""en"",""es-ES"")"),"Una señora comenta sobre un video de una gran suma de personas que completan un maratón en la ciudad de Nueva York.")</f>
        <v>Una señora comenta sobre un video de una gran suma de personas que completan un maratón en la ciudad de Nueva York.</v>
      </c>
    </row>
    <row r="2737">
      <c r="A2737" s="4" t="s">
        <v>3433</v>
      </c>
      <c r="B2737" s="4" t="s">
        <v>3436</v>
      </c>
      <c r="C2737" s="5" t="str">
        <f>IFERROR(__xludf.DUMMYFUNCTION("GOOGLETRANSLATE(B2737,""en"",""es-ES"")"),"El video muestra los 5 principales eventos en la historia de Marathons, The Lady comenta sobre cada evento, a medida que el video cuenta de 5 a 1 mientras muestra los eventos, explica cada evento en detalle.")</f>
        <v>El video muestra los 5 principales eventos en la historia de Marathons, The Lady comenta sobre cada evento, a medida que el video cuenta de 5 a 1 mientras muestra los eventos, explica cada evento en detalle.</v>
      </c>
    </row>
    <row r="2738">
      <c r="A2738" s="4" t="s">
        <v>3433</v>
      </c>
      <c r="B2738" s="4" t="s">
        <v>3437</v>
      </c>
      <c r="C2738" s="5" t="str">
        <f>IFERROR(__xludf.DUMMYFUNCTION("GOOGLETRANSLATE(B2738,""en"",""es-ES"")"),"El video concluye con una imagen de outro.")</f>
        <v>El video concluye con una imagen de outro.</v>
      </c>
    </row>
    <row r="2739">
      <c r="A2739" s="4" t="s">
        <v>3438</v>
      </c>
      <c r="B2739" s="4" t="s">
        <v>3439</v>
      </c>
      <c r="C2739" s="5" t="str">
        <f>IFERROR(__xludf.DUMMYFUNCTION("GOOGLETRANSLATE(B2739,""en"",""es-ES"")"),"Un hombre se arrodilla sobre una alfombra azul y levanta un bar sobre su cabeza.")</f>
        <v>Un hombre se arrodilla sobre una alfombra azul y levanta un bar sobre su cabeza.</v>
      </c>
    </row>
    <row r="2740">
      <c r="A2740" s="4" t="s">
        <v>3438</v>
      </c>
      <c r="B2740" s="4" t="s">
        <v>3440</v>
      </c>
      <c r="C2740" s="5" t="str">
        <f>IFERROR(__xludf.DUMMYFUNCTION("GOOGLETRANSLATE(B2740,""en"",""es-ES"")"),"Se levanta y se va.")</f>
        <v>Se levanta y se va.</v>
      </c>
    </row>
    <row r="2741">
      <c r="A2741" s="4" t="s">
        <v>3441</v>
      </c>
      <c r="B2741" s="4" t="s">
        <v>3442</v>
      </c>
      <c r="C2741" s="5" t="str">
        <f>IFERROR(__xludf.DUMMYFUNCTION("GOOGLETRANSLATE(B2741,""en"",""es-ES"")"),"Una mujer está sentada en una silla.")</f>
        <v>Una mujer está sentada en una silla.</v>
      </c>
    </row>
    <row r="2742">
      <c r="A2742" s="4" t="s">
        <v>3441</v>
      </c>
      <c r="B2742" s="4" t="s">
        <v>3443</v>
      </c>
      <c r="C2742" s="5" t="str">
        <f>IFERROR(__xludf.DUMMYFUNCTION("GOOGLETRANSLATE(B2742,""en"",""es-ES"")"),"Una persona está pintando algo en su dedo.")</f>
        <v>Una persona está pintando algo en su dedo.</v>
      </c>
    </row>
    <row r="2743">
      <c r="A2743" s="4" t="s">
        <v>3441</v>
      </c>
      <c r="B2743" s="4" t="s">
        <v>3444</v>
      </c>
      <c r="C2743" s="5" t="str">
        <f>IFERROR(__xludf.DUMMYFUNCTION("GOOGLETRANSLATE(B2743,""en"",""es-ES"")"),"La mujer mira la cámara.")</f>
        <v>La mujer mira la cámara.</v>
      </c>
    </row>
    <row r="2744">
      <c r="A2744" s="4" t="s">
        <v>3445</v>
      </c>
      <c r="B2744" s="4" t="s">
        <v>3446</v>
      </c>
      <c r="C2744" s="5" t="str">
        <f>IFERROR(__xludf.DUMMYFUNCTION("GOOGLETRANSLATE(B2744,""en"",""es-ES"")"),"La lluvia cae en un gran auditorio.")</f>
        <v>La lluvia cae en un gran auditorio.</v>
      </c>
    </row>
    <row r="2745">
      <c r="A2745" s="4" t="s">
        <v>3445</v>
      </c>
      <c r="B2745" s="4" t="s">
        <v>3447</v>
      </c>
      <c r="C2745" s="5" t="str">
        <f>IFERROR(__xludf.DUMMYFUNCTION("GOOGLETRANSLATE(B2745,""en"",""es-ES"")"),"Mucha gente está en las gradas.")</f>
        <v>Mucha gente está en las gradas.</v>
      </c>
    </row>
    <row r="2746">
      <c r="A2746" s="4" t="s">
        <v>3445</v>
      </c>
      <c r="B2746" s="4" t="s">
        <v>3448</v>
      </c>
      <c r="C2746" s="5" t="str">
        <f>IFERROR(__xludf.DUMMYFUNCTION("GOOGLETRANSLATE(B2746,""en"",""es-ES"")"),"Varios atletas se encuentran en la arena.")</f>
        <v>Varios atletas se encuentran en la arena.</v>
      </c>
    </row>
    <row r="2747">
      <c r="A2747" s="4" t="s">
        <v>3445</v>
      </c>
      <c r="B2747" s="4" t="s">
        <v>3449</v>
      </c>
      <c r="C2747" s="5" t="str">
        <f>IFERROR(__xludf.DUMMYFUNCTION("GOOGLETRANSLATE(B2747,""en"",""es-ES"")"),"Los atletas arrojan discos en el campo.")</f>
        <v>Los atletas arrojan discos en el campo.</v>
      </c>
    </row>
    <row r="2748">
      <c r="A2748" s="4" t="s">
        <v>3450</v>
      </c>
      <c r="B2748" s="4" t="s">
        <v>3451</v>
      </c>
      <c r="C2748" s="5" t="str">
        <f>IFERROR(__xludf.DUMMYFUNCTION("GOOGLETRANSLATE(B2748,""en"",""es-ES"")"),"Un niño en un niño conduce un pequeño cortacésped de tractor alrededor del patio de una casa maniobra alrededor de los obstáculos.")</f>
        <v>Un niño en un niño conduce un pequeño cortacésped de tractor alrededor del patio de una casa maniobra alrededor de los obstáculos.</v>
      </c>
    </row>
    <row r="2749">
      <c r="A2749" s="4" t="s">
        <v>3450</v>
      </c>
      <c r="B2749" s="4" t="s">
        <v>3452</v>
      </c>
      <c r="C2749" s="5" t="str">
        <f>IFERROR(__xludf.DUMMYFUNCTION("GOOGLETRANSLATE(B2749,""en"",""es-ES"")"),"El niño corta unas pequeñas flores en la hierba.")</f>
        <v>El niño corta unas pequeñas flores en la hierba.</v>
      </c>
    </row>
    <row r="2750">
      <c r="A2750" s="4" t="s">
        <v>3453</v>
      </c>
      <c r="B2750" s="4" t="s">
        <v>3454</v>
      </c>
      <c r="C2750" s="5" t="str">
        <f>IFERROR(__xludf.DUMMYFUNCTION("GOOGLETRANSLATE(B2750,""en"",""es-ES"")"),"Una mujer con cabello rizado y muchas cejas es chupar de una narguile.")</f>
        <v>Una mujer con cabello rizado y muchas cejas es chupar de una narguile.</v>
      </c>
    </row>
    <row r="2751">
      <c r="A2751" s="4" t="s">
        <v>3453</v>
      </c>
      <c r="B2751" s="4" t="s">
        <v>3455</v>
      </c>
      <c r="C2751" s="5" t="str">
        <f>IFERROR(__xludf.DUMMYFUNCTION("GOOGLETRANSLATE(B2751,""en"",""es-ES"")"),"Ella explota todo el humo que inhaló, está acostada en la cama sola relajándose.")</f>
        <v>Ella explota todo el humo que inhaló, está acostada en la cama sola relajándose.</v>
      </c>
    </row>
    <row r="2752">
      <c r="A2752" s="4" t="s">
        <v>3453</v>
      </c>
      <c r="B2752" s="4" t="s">
        <v>3456</v>
      </c>
      <c r="C2752" s="5" t="str">
        <f>IFERROR(__xludf.DUMMYFUNCTION("GOOGLETRANSLATE(B2752,""en"",""es-ES"")"),"Parece que está muy aburrida solo soplando humo grabándose a sí misma.")</f>
        <v>Parece que está muy aburrida solo soplando humo grabándose a sí misma.</v>
      </c>
    </row>
    <row r="2753">
      <c r="A2753" s="4" t="s">
        <v>3453</v>
      </c>
      <c r="B2753" s="4" t="s">
        <v>3457</v>
      </c>
      <c r="C2753" s="5" t="str">
        <f>IFERROR(__xludf.DUMMYFUNCTION("GOOGLETRANSLATE(B2753,""en"",""es-ES"")"),"Resulta que hay otra persona en la habitación con ella alimentándola, ella sonríe realmente grande y continúa exhalando el humo.")</f>
        <v>Resulta que hay otra persona en la habitación con ella alimentándola, ella sonríe realmente grande y continúa exhalando el humo.</v>
      </c>
    </row>
    <row r="2754">
      <c r="A2754" s="4" t="s">
        <v>3458</v>
      </c>
      <c r="B2754" s="4" t="s">
        <v>3459</v>
      </c>
      <c r="C2754" s="5" t="str">
        <f>IFERROR(__xludf.DUMMYFUNCTION("GOOGLETRANSLATE(B2754,""en"",""es-ES"")"),"Un corredor está corriendo en una pista frente a una multitud de personas.")</f>
        <v>Un corredor está corriendo en una pista frente a una multitud de personas.</v>
      </c>
    </row>
    <row r="2755">
      <c r="A2755" s="4" t="s">
        <v>3458</v>
      </c>
      <c r="B2755" s="4" t="s">
        <v>3460</v>
      </c>
      <c r="C2755" s="5" t="str">
        <f>IFERROR(__xludf.DUMMYFUNCTION("GOOGLETRANSLATE(B2755,""en"",""es-ES"")"),"Se muestra a un hombre hablando con la cámara.")</f>
        <v>Se muestra a un hombre hablando con la cámara.</v>
      </c>
    </row>
    <row r="2756">
      <c r="A2756" s="4" t="s">
        <v>3458</v>
      </c>
      <c r="B2756" s="4" t="s">
        <v>3461</v>
      </c>
      <c r="C2756" s="5" t="str">
        <f>IFERROR(__xludf.DUMMYFUNCTION("GOOGLETRANSLATE(B2756,""en"",""es-ES"")"),"Los corredores están corriendo por una pista con multitudes en ambos lados y uno de los corredores tropiezos.")</f>
        <v>Los corredores están corriendo por una pista con multitudes en ambos lados y uno de los corredores tropiezos.</v>
      </c>
    </row>
    <row r="2757">
      <c r="A2757" s="4" t="s">
        <v>3458</v>
      </c>
      <c r="B2757" s="4" t="s">
        <v>3462</v>
      </c>
      <c r="C2757" s="5" t="str">
        <f>IFERROR(__xludf.DUMMYFUNCTION("GOOGLETRANSLATE(B2757,""en"",""es-ES"")"),"Se muestra otro corredor y se muestra a un hombre hablando con la cámara.")</f>
        <v>Se muestra otro corredor y se muestra a un hombre hablando con la cámara.</v>
      </c>
    </row>
    <row r="2758">
      <c r="A2758" s="4" t="s">
        <v>3458</v>
      </c>
      <c r="B2758" s="4" t="s">
        <v>3463</v>
      </c>
      <c r="C2758" s="5" t="str">
        <f>IFERROR(__xludf.DUMMYFUNCTION("GOOGLETRANSLATE(B2758,""en"",""es-ES"")"),"Un corredor se arrastra a través de una línea de meta, mientras que otros corredores corren a través de la línea de meta.")</f>
        <v>Un corredor se arrastra a través de una línea de meta, mientras que otros corredores corren a través de la línea de meta.</v>
      </c>
    </row>
    <row r="2759">
      <c r="A2759" s="4" t="s">
        <v>3458</v>
      </c>
      <c r="B2759" s="4" t="s">
        <v>3464</v>
      </c>
      <c r="C2759" s="5" t="str">
        <f>IFERROR(__xludf.DUMMYFUNCTION("GOOGLETRANSLATE(B2759,""en"",""es-ES"")"),"El corredor angustiado se lleva.")</f>
        <v>El corredor angustiado se lleva.</v>
      </c>
    </row>
    <row r="2760">
      <c r="A2760" s="4" t="s">
        <v>3458</v>
      </c>
      <c r="B2760" s="4" t="s">
        <v>3465</v>
      </c>
      <c r="C2760" s="5" t="str">
        <f>IFERROR(__xludf.DUMMYFUNCTION("GOOGLETRANSLATE(B2760,""en"",""es-ES"")"),"Se muestran corredores en apuros.")</f>
        <v>Se muestran corredores en apuros.</v>
      </c>
    </row>
    <row r="2761">
      <c r="A2761" s="4" t="s">
        <v>3458</v>
      </c>
      <c r="B2761" s="4" t="s">
        <v>539</v>
      </c>
      <c r="C2761" s="5" t="str">
        <f>IFERROR(__xludf.DUMMYFUNCTION("GOOGLETRANSLATE(B2761,""en"",""es-ES"")"),"Un hombre está hablando con la cámara.")</f>
        <v>Un hombre está hablando con la cámara.</v>
      </c>
    </row>
    <row r="2762">
      <c r="A2762" s="4" t="s">
        <v>3458</v>
      </c>
      <c r="B2762" s="4" t="s">
        <v>3466</v>
      </c>
      <c r="C2762" s="5" t="str">
        <f>IFERROR(__xludf.DUMMYFUNCTION("GOOGLETRANSLATE(B2762,""en"",""es-ES"")"),"Varios corredores se muestran en apuros y hablando con la cámara.")</f>
        <v>Varios corredores se muestran en apuros y hablando con la cámara.</v>
      </c>
    </row>
    <row r="2763">
      <c r="A2763" s="4" t="s">
        <v>3458</v>
      </c>
      <c r="B2763" s="4" t="s">
        <v>3467</v>
      </c>
      <c r="C2763" s="5" t="str">
        <f>IFERROR(__xludf.DUMMYFUNCTION("GOOGLETRANSLATE(B2763,""en"",""es-ES"")"),"Se muestran más corredores angustiados.")</f>
        <v>Se muestran más corredores angustiados.</v>
      </c>
    </row>
    <row r="2764">
      <c r="A2764" s="4" t="s">
        <v>3468</v>
      </c>
      <c r="B2764" s="4" t="s">
        <v>3469</v>
      </c>
      <c r="C2764" s="5" t="str">
        <f>IFERROR(__xludf.DUMMYFUNCTION("GOOGLETRANSLATE(B2764,""en"",""es-ES"")"),"Una persona está intentando saltos de altura.")</f>
        <v>Una persona está intentando saltos de altura.</v>
      </c>
    </row>
    <row r="2765">
      <c r="A2765" s="4" t="s">
        <v>3468</v>
      </c>
      <c r="B2765" s="4" t="s">
        <v>3470</v>
      </c>
      <c r="C2765" s="5" t="str">
        <f>IFERROR(__xludf.DUMMYFUNCTION("GOOGLETRANSLATE(B2765,""en"",""es-ES"")"),"Los primeros intentos son buenos.")</f>
        <v>Los primeros intentos son buenos.</v>
      </c>
    </row>
    <row r="2766">
      <c r="A2766" s="4" t="s">
        <v>3468</v>
      </c>
      <c r="B2766" s="4" t="s">
        <v>3471</v>
      </c>
      <c r="C2766" s="5" t="str">
        <f>IFERROR(__xludf.DUMMYFUNCTION("GOOGLETRANSLATE(B2766,""en"",""es-ES"")"),"El intento final nunca se logra.")</f>
        <v>El intento final nunca se logra.</v>
      </c>
    </row>
    <row r="2767">
      <c r="A2767" s="4" t="s">
        <v>3472</v>
      </c>
      <c r="B2767" s="4" t="s">
        <v>3473</v>
      </c>
      <c r="C2767" s="5" t="str">
        <f>IFERROR(__xludf.DUMMYFUNCTION("GOOGLETRANSLATE(B2767,""en"",""es-ES"")"),"Se muestra a dos hombres realizando un partido de lucha libre de brazos con muchos mirando al margen y una referencia llamando quién es el ganador.")</f>
        <v>Se muestra a dos hombres realizando un partido de lucha libre de brazos con muchos mirando al margen y una referencia llamando quién es el ganador.</v>
      </c>
    </row>
    <row r="2768">
      <c r="A2768" s="4" t="s">
        <v>3472</v>
      </c>
      <c r="B2768" s="4" t="s">
        <v>3474</v>
      </c>
      <c r="C2768" s="5" t="str">
        <f>IFERROR(__xludf.DUMMYFUNCTION("GOOGLETRANSLATE(B2768,""en"",""es-ES"")"),"Varios hombres más luchan y cuarto entre ellos y más personas entran y salen de cuadros para ver.")</f>
        <v>Varios hombres más luchan y cuarto entre ellos y más personas entran y salen de cuadros para ver.</v>
      </c>
    </row>
    <row r="2769">
      <c r="A2769" s="4" t="s">
        <v>3475</v>
      </c>
      <c r="B2769" s="4" t="s">
        <v>3476</v>
      </c>
      <c r="C2769" s="5" t="str">
        <f>IFERROR(__xludf.DUMMYFUNCTION("GOOGLETRANSLATE(B2769,""en"",""es-ES"")"),"La gente interpreta a las artes marciales de las artes, de pie sobre sus cabezas y girando.")</f>
        <v>La gente interpreta a las artes marciales de las artes, de pie sobre sus cabezas y girando.</v>
      </c>
    </row>
    <row r="2770">
      <c r="A2770" s="4" t="s">
        <v>3475</v>
      </c>
      <c r="B2770" s="4" t="s">
        <v>3477</v>
      </c>
      <c r="C2770" s="5" t="str">
        <f>IFERROR(__xludf.DUMMYFUNCTION("GOOGLETRANSLATE(B2770,""en"",""es-ES"")"),"Luego, un hombre y un niño saltan, luego los niños se quedan en la cabeza un giro.")</f>
        <v>Luego, un hombre y un niño saltan, luego los niños se quedan en la cabeza un giro.</v>
      </c>
    </row>
    <row r="2771">
      <c r="A2771" s="4" t="s">
        <v>3475</v>
      </c>
      <c r="B2771" s="4" t="s">
        <v>3478</v>
      </c>
      <c r="C2771" s="5" t="str">
        <f>IFERROR(__xludf.DUMMYFUNCTION("GOOGLETRANSLATE(B2771,""en"",""es-ES"")"),"Los niños doblan su cuerpo hacia atrás hasta que los pies llegan al suelo.")</f>
        <v>Los niños doblan su cuerpo hacia atrás hasta que los pies llegan al suelo.</v>
      </c>
    </row>
    <row r="2772">
      <c r="A2772" s="4" t="s">
        <v>3475</v>
      </c>
      <c r="B2772" s="4" t="s">
        <v>3479</v>
      </c>
      <c r="C2772" s="5" t="str">
        <f>IFERROR(__xludf.DUMMYFUNCTION("GOOGLETRANSLATE(B2772,""en"",""es-ES"")"),"Los adolescentes giran sus cuerpos y se doblan al otro extremo.")</f>
        <v>Los adolescentes giran sus cuerpos y se doblan al otro extremo.</v>
      </c>
    </row>
    <row r="2773">
      <c r="A2773" s="4" t="s">
        <v>3480</v>
      </c>
      <c r="B2773" s="4" t="s">
        <v>3481</v>
      </c>
      <c r="C2773" s="5" t="str">
        <f>IFERROR(__xludf.DUMMYFUNCTION("GOOGLETRANSLATE(B2773,""en"",""es-ES"")"),"Una mujer prepara un caniche enojado que está cuello y atado a un poste unido a una mesa de aseo negro.")</f>
        <v>Una mujer prepara un caniche enojado que está cuello y atado a un poste unido a una mesa de aseo negro.</v>
      </c>
    </row>
    <row r="2774">
      <c r="A2774" s="4" t="s">
        <v>3480</v>
      </c>
      <c r="B2774" s="4" t="s">
        <v>3482</v>
      </c>
      <c r="C2774" s="5" t="str">
        <f>IFERROR(__xludf.DUMMYFUNCTION("GOOGLETRANSLATE(B2774,""en"",""es-ES"")"),"Un caniche marrón está siendo peinado por una mujer en una habitación de pared amarilla en una mesa de preparación negra.")</f>
        <v>Un caniche marrón está siendo peinado por una mujer en una habitación de pared amarilla en una mesa de preparación negra.</v>
      </c>
    </row>
    <row r="2775">
      <c r="A2775" s="4" t="s">
        <v>3480</v>
      </c>
      <c r="B2775" s="4" t="s">
        <v>3483</v>
      </c>
      <c r="C2775" s="5" t="str">
        <f>IFERROR(__xludf.DUMMYFUNCTION("GOOGLETRANSLATE(B2775,""en"",""es-ES"")"),"La mujer extiende un juguete de plástico rosa que el perro comienza a morder, se rompe y agarra mientras la mujer revuelve el pelaje de los canices.")</f>
        <v>La mujer extiende un juguete de plástico rosa que el perro comienza a morder, se rompe y agarra mientras la mujer revuelve el pelaje de los canices.</v>
      </c>
    </row>
    <row r="2776">
      <c r="A2776" s="4" t="s">
        <v>3480</v>
      </c>
      <c r="B2776" s="4" t="s">
        <v>3484</v>
      </c>
      <c r="C2776" s="5" t="str">
        <f>IFERROR(__xludf.DUMMYFUNCTION("GOOGLETRANSLATE(B2776,""en"",""es-ES"")"),"El caniche continúa golpeando el juguete rosa y también en la mano de la mujer y el peine.")</f>
        <v>El caniche continúa golpeando el juguete rosa y también en la mano de la mujer y el peine.</v>
      </c>
    </row>
    <row r="2777">
      <c r="A2777" s="4" t="s">
        <v>3485</v>
      </c>
      <c r="B2777" s="4" t="s">
        <v>3486</v>
      </c>
      <c r="C2777" s="5" t="str">
        <f>IFERROR(__xludf.DUMMYFUNCTION("GOOGLETRANSLATE(B2777,""en"",""es-ES"")"),"Una gimnasta monta una viga baja en un gimnasio.")</f>
        <v>Una gimnasta monta una viga baja en un gimnasio.</v>
      </c>
    </row>
    <row r="2778">
      <c r="A2778" s="4" t="s">
        <v>3485</v>
      </c>
      <c r="B2778" s="4" t="s">
        <v>3487</v>
      </c>
      <c r="C2778" s="5" t="str">
        <f>IFERROR(__xludf.DUMMYFUNCTION("GOOGLETRANSLATE(B2778,""en"",""es-ES"")"),"Ella actúa en la viga, haciendo prácticas y volteos.")</f>
        <v>Ella actúa en la viga, haciendo prácticas y volteos.</v>
      </c>
    </row>
    <row r="2779">
      <c r="A2779" s="4" t="s">
        <v>3485</v>
      </c>
      <c r="B2779" s="4" t="s">
        <v>3488</v>
      </c>
      <c r="C2779" s="5" t="str">
        <f>IFERROR(__xludf.DUMMYFUNCTION("GOOGLETRANSLATE(B2779,""en"",""es-ES"")"),"Luego desmonta con las manos en el aire.")</f>
        <v>Luego desmonta con las manos en el aire.</v>
      </c>
    </row>
    <row r="2780">
      <c r="A2780" s="4" t="s">
        <v>3489</v>
      </c>
      <c r="B2780" s="4" t="s">
        <v>3490</v>
      </c>
      <c r="C2780" s="5" t="str">
        <f>IFERROR(__xludf.DUMMYFUNCTION("GOOGLETRANSLATE(B2780,""en"",""es-ES"")"),"Una mujer está de pie junto a una puerta de baño hablando.")</f>
        <v>Una mujer está de pie junto a una puerta de baño hablando.</v>
      </c>
    </row>
    <row r="2781">
      <c r="A2781" s="4" t="s">
        <v>3489</v>
      </c>
      <c r="B2781" s="4" t="s">
        <v>3491</v>
      </c>
      <c r="C2781" s="5" t="str">
        <f>IFERROR(__xludf.DUMMYFUNCTION("GOOGLETRANSLATE(B2781,""en"",""es-ES"")"),"La misma mujer ahora se ve en una bicicleta estacionaria que enseña una clase de spinning.")</f>
        <v>La misma mujer ahora se ve en una bicicleta estacionaria que enseña una clase de spinning.</v>
      </c>
    </row>
    <row r="2782">
      <c r="A2782" s="4" t="s">
        <v>3489</v>
      </c>
      <c r="B2782" s="4" t="s">
        <v>3492</v>
      </c>
      <c r="C2782" s="5" t="str">
        <f>IFERROR(__xludf.DUMMYFUNCTION("GOOGLETRANSLATE(B2782,""en"",""es-ES"")"),"Se pueden ver varias otras personas en la clase en bicicletas estacionarias en el espejo detrás del instructor.")</f>
        <v>Se pueden ver varias otras personas en la clase en bicicletas estacionarias en el espejo detrás del instructor.</v>
      </c>
    </row>
    <row r="2783">
      <c r="A2783" s="4" t="s">
        <v>3489</v>
      </c>
      <c r="B2783" s="4" t="s">
        <v>3493</v>
      </c>
      <c r="C2783" s="5" t="str">
        <f>IFERROR(__xludf.DUMMYFUNCTION("GOOGLETRANSLATE(B2783,""en"",""es-ES"")"),"Luego se muestra a la mujer en el suelo demostrando un ejercicio.")</f>
        <v>Luego se muestra a la mujer en el suelo demostrando un ejercicio.</v>
      </c>
    </row>
    <row r="2784">
      <c r="A2784" s="4" t="s">
        <v>3489</v>
      </c>
      <c r="B2784" s="4" t="s">
        <v>3494</v>
      </c>
      <c r="C2784" s="5" t="str">
        <f>IFERROR(__xludf.DUMMYFUNCTION("GOOGLETRANSLATE(B2784,""en"",""es-ES"")"),"La clase de giro se muestra nuevamente aún en progreso.")</f>
        <v>La clase de giro se muestra nuevamente aún en progreso.</v>
      </c>
    </row>
    <row r="2785">
      <c r="A2785" s="4" t="s">
        <v>3489</v>
      </c>
      <c r="B2785" s="4" t="s">
        <v>3495</v>
      </c>
      <c r="C2785" s="5" t="str">
        <f>IFERROR(__xludf.DUMMYFUNCTION("GOOGLETRANSLATE(B2785,""en"",""es-ES"")"),"El instructor luego hace ejercicios de piso nuevamente con la clase que sigue.")</f>
        <v>El instructor luego hace ejercicios de piso nuevamente con la clase que sigue.</v>
      </c>
    </row>
    <row r="2786">
      <c r="A2786" s="4" t="s">
        <v>3489</v>
      </c>
      <c r="B2786" s="4" t="s">
        <v>3496</v>
      </c>
      <c r="C2786" s="5" t="str">
        <f>IFERROR(__xludf.DUMMYFUNCTION("GOOGLETRANSLATE(B2786,""en"",""es-ES"")"),"El instructor y la clase terminan en las bicicletas nuevamente.")</f>
        <v>El instructor y la clase terminan en las bicicletas nuevamente.</v>
      </c>
    </row>
    <row r="2787">
      <c r="A2787" s="4" t="s">
        <v>3497</v>
      </c>
      <c r="B2787" s="4" t="s">
        <v>3498</v>
      </c>
      <c r="C2787" s="5" t="str">
        <f>IFERROR(__xludf.DUMMYFUNCTION("GOOGLETRANSLATE(B2787,""en"",""es-ES"")"),"Una dama se para y habla en un gimnasio.")</f>
        <v>Una dama se para y habla en un gimnasio.</v>
      </c>
    </row>
    <row r="2788">
      <c r="A2788" s="4" t="s">
        <v>3497</v>
      </c>
      <c r="B2788" s="4" t="s">
        <v>3499</v>
      </c>
      <c r="C2788" s="5" t="str">
        <f>IFERROR(__xludf.DUMMYFUNCTION("GOOGLETRANSLATE(B2788,""en"",""es-ES"")"),"Ella señala su abdomen, luego se acuesta en un banco.")</f>
        <v>Ella señala su abdomen, luego se acuesta en un banco.</v>
      </c>
    </row>
    <row r="2789">
      <c r="A2789" s="4" t="s">
        <v>3497</v>
      </c>
      <c r="B2789" s="4" t="s">
        <v>3500</v>
      </c>
      <c r="C2789" s="5" t="str">
        <f>IFERROR(__xludf.DUMMYFUNCTION("GOOGLETRANSLATE(B2789,""en"",""es-ES"")"),"La señora sostiene el banco y levanta el abdomen y las piernas.")</f>
        <v>La señora sostiene el banco y levanta el abdomen y las piernas.</v>
      </c>
    </row>
    <row r="2790">
      <c r="A2790" s="4" t="s">
        <v>3497</v>
      </c>
      <c r="B2790" s="4" t="s">
        <v>3501</v>
      </c>
      <c r="C2790" s="5" t="str">
        <f>IFERROR(__xludf.DUMMYFUNCTION("GOOGLETRANSLATE(B2790,""en"",""es-ES"")"),"La señora se sienta y se desliza al borde.")</f>
        <v>La señora se sienta y se desliza al borde.</v>
      </c>
    </row>
    <row r="2791">
      <c r="A2791" s="4" t="s">
        <v>3497</v>
      </c>
      <c r="B2791" s="4" t="s">
        <v>3502</v>
      </c>
      <c r="C2791" s="5" t="str">
        <f>IFERROR(__xludf.DUMMYFUNCTION("GOOGLETRANSLATE(B2791,""en"",""es-ES"")"),"La señora realiza el mismo ejercicio con su trasero colgando desde el banco.")</f>
        <v>La señora realiza el mismo ejercicio con su trasero colgando desde el banco.</v>
      </c>
    </row>
    <row r="2792">
      <c r="A2792" s="4" t="s">
        <v>3497</v>
      </c>
      <c r="B2792" s="4" t="s">
        <v>3503</v>
      </c>
      <c r="C2792" s="5" t="str">
        <f>IFERROR(__xludf.DUMMYFUNCTION("GOOGLETRANSLATE(B2792,""en"",""es-ES"")"),"La señora termina, se sienta en posición vertical y habla.")</f>
        <v>La señora termina, se sienta en posición vertical y habla.</v>
      </c>
    </row>
    <row r="2793">
      <c r="A2793" s="4" t="s">
        <v>3504</v>
      </c>
      <c r="B2793" s="4" t="s">
        <v>3505</v>
      </c>
      <c r="C2793" s="5" t="str">
        <f>IFERROR(__xludf.DUMMYFUNCTION("GOOGLETRANSLATE(B2793,""en"",""es-ES"")"),"Se ve a una mujer organizando un segmento de noticias que conduce a clips de bomberos que corren por un bloque y llevan objetos sobre sus cabezas.")</f>
        <v>Se ve a una mujer organizando un segmento de noticias que conduce a clips de bomberos que corren por un bloque y llevan objetos sobre sus cabezas.</v>
      </c>
    </row>
    <row r="2794">
      <c r="A2794" s="4" t="s">
        <v>3504</v>
      </c>
      <c r="B2794" s="4" t="s">
        <v>3506</v>
      </c>
      <c r="C2794" s="5" t="str">
        <f>IFERROR(__xludf.DUMMYFUNCTION("GOOGLETRANSLATE(B2794,""en"",""es-ES"")"),"Se ve a más personas hablando con la cámara mientras continúan corriendo y las mujeres hablando con la cámara.")</f>
        <v>Se ve a más personas hablando con la cámara mientras continúan corriendo y las mujeres hablando con la cámara.</v>
      </c>
    </row>
    <row r="2795">
      <c r="A2795" s="4" t="s">
        <v>3507</v>
      </c>
      <c r="B2795" s="4" t="s">
        <v>3508</v>
      </c>
      <c r="C2795" s="5" t="str">
        <f>IFERROR(__xludf.DUMMYFUNCTION("GOOGLETRANSLATE(B2795,""en"",""es-ES"")"),"Un individuo pala nieve, pero solo la parte inferior de las piernas y la pala son visibles en la cámara.")</f>
        <v>Un individuo pala nieve, pero solo la parte inferior de las piernas y la pala son visibles en la cámara.</v>
      </c>
    </row>
    <row r="2796">
      <c r="A2796" s="4" t="s">
        <v>3507</v>
      </c>
      <c r="B2796" s="4" t="s">
        <v>3509</v>
      </c>
      <c r="C2796" s="5" t="str">
        <f>IFERROR(__xludf.DUMMYFUNCTION("GOOGLETRANSLATE(B2796,""en"",""es-ES"")"),"El individuo deja a un lado la pala y camina hacia la cámara.")</f>
        <v>El individuo deja a un lado la pala y camina hacia la cámara.</v>
      </c>
    </row>
    <row r="2797">
      <c r="A2797" s="4" t="s">
        <v>3507</v>
      </c>
      <c r="B2797" s="4" t="s">
        <v>3510</v>
      </c>
      <c r="C2797" s="5" t="str">
        <f>IFERROR(__xludf.DUMMYFUNCTION("GOOGLETRANSLATE(B2797,""en"",""es-ES"")"),"La cámara una vez más muestra la pala individual.")</f>
        <v>La cámara una vez más muestra la pala individual.</v>
      </c>
    </row>
    <row r="2798">
      <c r="A2798" s="4" t="s">
        <v>3511</v>
      </c>
      <c r="B2798" s="4" t="s">
        <v>3512</v>
      </c>
      <c r="C2798" s="5" t="str">
        <f>IFERROR(__xludf.DUMMYFUNCTION("GOOGLETRANSLATE(B2798,""en"",""es-ES"")"),"Un hombre con un traje de calentamiento gris practica el lanzamiento detrás de una red.")</f>
        <v>Un hombre con un traje de calentamiento gris practica el lanzamiento detrás de una red.</v>
      </c>
    </row>
    <row r="2799">
      <c r="A2799" s="4" t="s">
        <v>3511</v>
      </c>
      <c r="B2799" s="4" t="s">
        <v>3513</v>
      </c>
      <c r="C2799" s="5" t="str">
        <f>IFERROR(__xludf.DUMMYFUNCTION("GOOGLETRANSLATE(B2799,""en"",""es-ES"")"),"Otro hombre con una sudadera verde practica un lanzamiento de peso en un campo detrás de una puerta de red.")</f>
        <v>Otro hombre con una sudadera verde practica un lanzamiento de peso en un campo detrás de una puerta de red.</v>
      </c>
    </row>
    <row r="2800">
      <c r="A2800" s="4" t="s">
        <v>3511</v>
      </c>
      <c r="B2800" s="4" t="s">
        <v>3514</v>
      </c>
      <c r="C2800" s="5" t="str">
        <f>IFERROR(__xludf.DUMMYFUNCTION("GOOGLETRANSLATE(B2800,""en"",""es-ES"")"),"Se muestran fotos entre varios hombres que practican su lanzamiento de lanzamiento.")</f>
        <v>Se muestran fotos entre varios hombres que practican su lanzamiento de lanzamiento.</v>
      </c>
    </row>
    <row r="2801">
      <c r="A2801" s="4" t="s">
        <v>3511</v>
      </c>
      <c r="B2801" s="4" t="s">
        <v>3515</v>
      </c>
      <c r="C2801" s="5" t="str">
        <f>IFERROR(__xludf.DUMMYFUNCTION("GOOGLETRANSLATE(B2801,""en"",""es-ES"")"),"Una serie de lanzamientos de lanzamiento de bala aparecen en lanzamientos consecutivos.")</f>
        <v>Una serie de lanzamientos de lanzamiento de bala aparecen en lanzamientos consecutivos.</v>
      </c>
    </row>
    <row r="2802">
      <c r="A2802" s="4" t="s">
        <v>3516</v>
      </c>
      <c r="B2802" s="4" t="s">
        <v>3517</v>
      </c>
      <c r="C2802" s="5" t="str">
        <f>IFERROR(__xludf.DUMMYFUNCTION("GOOGLETRANSLATE(B2802,""en"",""es-ES"")"),"Se ve a un hombre decorando un pastel con los ojos vendados mientras un pequeño grupo de personas mira.")</f>
        <v>Se ve a un hombre decorando un pastel con los ojos vendados mientras un pequeño grupo de personas mira.</v>
      </c>
    </row>
    <row r="2803">
      <c r="A2803" s="4" t="s">
        <v>3516</v>
      </c>
      <c r="B2803" s="4" t="s">
        <v>3518</v>
      </c>
      <c r="C2803" s="5" t="str">
        <f>IFERROR(__xludf.DUMMYFUNCTION("GOOGLETRANSLATE(B2803,""en"",""es-ES"")"),"El hombre agrega glaseado al pastel, mientras que otros continúan mirando y otros ingredientes.")</f>
        <v>El hombre agrega glaseado al pastel, mientras que otros continúan mirando y otros ingredientes.</v>
      </c>
    </row>
    <row r="2804">
      <c r="A2804" s="4" t="s">
        <v>3516</v>
      </c>
      <c r="B2804" s="4" t="s">
        <v>3519</v>
      </c>
      <c r="C2804" s="5" t="str">
        <f>IFERROR(__xludf.DUMMYFUNCTION("GOOGLETRANSLATE(B2804,""en"",""es-ES"")"),"Se quita los ojos vendados y vítores, además de poner los atuendos de Hawai en todos y bailar.")</f>
        <v>Se quita los ojos vendados y vítores, además de poner los atuendos de Hawai en todos y bailar.</v>
      </c>
    </row>
    <row r="2805">
      <c r="A2805" s="4" t="s">
        <v>3520</v>
      </c>
      <c r="B2805" s="4" t="s">
        <v>3521</v>
      </c>
      <c r="C2805" s="5" t="str">
        <f>IFERROR(__xludf.DUMMYFUNCTION("GOOGLETRANSLATE(B2805,""en"",""es-ES"")"),"Un hombre está afuera en el techo de su cobertizo con un soplador de hoja listo para limpiar las hojas del techo.")</f>
        <v>Un hombre está afuera en el techo de su cobertizo con un soplador de hoja listo para limpiar las hojas del techo.</v>
      </c>
    </row>
    <row r="2806">
      <c r="A2806" s="4" t="s">
        <v>3520</v>
      </c>
      <c r="B2806" s="4" t="s">
        <v>3522</v>
      </c>
      <c r="C2806" s="5" t="str">
        <f>IFERROR(__xludf.DUMMYFUNCTION("GOOGLETRANSLATE(B2806,""en"",""es-ES"")"),"Muestra un primer plano del soplador de la hoja y explica los detalles de la misma, prepara la máquina, coloca la cámara y la inicia.")</f>
        <v>Muestra un primer plano del soplador de la hoja y explica los detalles de la misma, prepara la máquina, coloca la cámara y la inicia.</v>
      </c>
    </row>
    <row r="2807">
      <c r="A2807" s="4" t="s">
        <v>3520</v>
      </c>
      <c r="B2807" s="4" t="s">
        <v>3523</v>
      </c>
      <c r="C2807" s="5" t="str">
        <f>IFERROR(__xludf.DUMMYFUNCTION("GOOGLETRANSLATE(B2807,""en"",""es-ES"")"),"Él levanta la cámara y vuelve a obtener un primer plano del soplador de la hoja.")</f>
        <v>Él levanta la cámara y vuelve a obtener un primer plano del soplador de la hoja.</v>
      </c>
    </row>
    <row r="2808">
      <c r="A2808" s="4" t="s">
        <v>3520</v>
      </c>
      <c r="B2808" s="4" t="s">
        <v>3524</v>
      </c>
      <c r="C2808" s="5" t="str">
        <f>IFERROR(__xludf.DUMMYFUNCTION("GOOGLETRANSLATE(B2808,""en"",""es-ES"")"),"Ahora sopla las hojas del techo de su cobertizo.")</f>
        <v>Ahora sopla las hojas del techo de su cobertizo.</v>
      </c>
    </row>
    <row r="2809">
      <c r="A2809" s="4" t="s">
        <v>3525</v>
      </c>
      <c r="B2809" s="4" t="s">
        <v>3526</v>
      </c>
      <c r="C2809" s="5" t="str">
        <f>IFERROR(__xludf.DUMMYFUNCTION("GOOGLETRANSLATE(B2809,""en"",""es-ES"")"),"Un hombre está vestido para esquiar en la nieve que cae.")</f>
        <v>Un hombre está vestido para esquiar en la nieve que cae.</v>
      </c>
    </row>
    <row r="2810">
      <c r="A2810" s="4" t="s">
        <v>3525</v>
      </c>
      <c r="B2810" s="4" t="s">
        <v>3527</v>
      </c>
      <c r="C2810" s="5" t="str">
        <f>IFERROR(__xludf.DUMMYFUNCTION("GOOGLETRANSLATE(B2810,""en"",""es-ES"")"),"Está hablando con la cámara sobre esquiar.")</f>
        <v>Está hablando con la cámara sobre esquiar.</v>
      </c>
    </row>
    <row r="2811">
      <c r="A2811" s="4" t="s">
        <v>3525</v>
      </c>
      <c r="B2811" s="4" t="s">
        <v>3528</v>
      </c>
      <c r="C2811" s="5" t="str">
        <f>IFERROR(__xludf.DUMMYFUNCTION("GOOGLETRANSLATE(B2811,""en"",""es-ES"")"),"Luego se lo ve atravesando el aire, y por las pendientes empinadas mientras esquía.")</f>
        <v>Luego se lo ve atravesando el aire, y por las pendientes empinadas mientras esquía.</v>
      </c>
    </row>
    <row r="2812">
      <c r="A2812" s="4" t="s">
        <v>3529</v>
      </c>
      <c r="B2812" s="4" t="s">
        <v>3530</v>
      </c>
      <c r="C2812" s="5" t="str">
        <f>IFERROR(__xludf.DUMMYFUNCTION("GOOGLETRANSLATE(B2812,""en"",""es-ES"")"),"Se ve a un hombre hablando con la cámara mientras está sentado en una silla y levantando los brazos de vez en cuando.")</f>
        <v>Se ve a un hombre hablando con la cámara mientras está sentado en una silla y levantando los brazos de vez en cuando.</v>
      </c>
    </row>
    <row r="2813">
      <c r="A2813" s="4" t="s">
        <v>3529</v>
      </c>
      <c r="B2813" s="4" t="s">
        <v>3531</v>
      </c>
      <c r="C2813" s="5" t="str">
        <f>IFERROR(__xludf.DUMMYFUNCTION("GOOGLETRANSLATE(B2813,""en"",""es-ES"")"),"Luego juega una armónica moviendo las manos mientras se detiene para hablar con la cámara y termina hablando y señalando.")</f>
        <v>Luego juega una armónica moviendo las manos mientras se detiene para hablar con la cámara y termina hablando y señalando.</v>
      </c>
    </row>
    <row r="2814">
      <c r="A2814" s="4" t="s">
        <v>3532</v>
      </c>
      <c r="B2814" s="4" t="s">
        <v>3533</v>
      </c>
      <c r="C2814" s="5" t="str">
        <f>IFERROR(__xludf.DUMMYFUNCTION("GOOGLETRANSLATE(B2814,""en"",""es-ES"")"),"Se ve a un hombre parado junto a un toro y sosteniendo una bandera roja.")</f>
        <v>Se ve a un hombre parado junto a un toro y sosteniendo una bandera roja.</v>
      </c>
    </row>
    <row r="2815">
      <c r="A2815" s="4" t="s">
        <v>3532</v>
      </c>
      <c r="B2815" s="4" t="s">
        <v>3534</v>
      </c>
      <c r="C2815" s="5" t="str">
        <f>IFERROR(__xludf.DUMMYFUNCTION("GOOGLETRANSLATE(B2815,""en"",""es-ES"")"),"Luego se muestra el toro atacando a varios hombres en muchos clips.")</f>
        <v>Luego se muestra el toro atacando a varios hombres en muchos clips.</v>
      </c>
    </row>
    <row r="2816">
      <c r="A2816" s="4" t="s">
        <v>3532</v>
      </c>
      <c r="B2816" s="4" t="s">
        <v>3535</v>
      </c>
      <c r="C2816" s="5" t="str">
        <f>IFERROR(__xludf.DUMMYFUNCTION("GOOGLETRANSLATE(B2816,""en"",""es-ES"")"),"Se muestra a más personas persiguiendo toros con ellos persiguiendo después.")</f>
        <v>Se muestra a más personas persiguiendo toros con ellos persiguiendo después.</v>
      </c>
    </row>
    <row r="2817">
      <c r="A2817" s="4" t="s">
        <v>3536</v>
      </c>
      <c r="B2817" s="4" t="s">
        <v>3537</v>
      </c>
      <c r="C2817" s="5" t="str">
        <f>IFERROR(__xludf.DUMMYFUNCTION("GOOGLETRANSLATE(B2817,""en"",""es-ES"")"),"Una mujer está sentada y hablando frente a una computadora portátil.")</f>
        <v>Una mujer está sentada y hablando frente a una computadora portátil.</v>
      </c>
    </row>
    <row r="2818">
      <c r="A2818" s="4" t="s">
        <v>3536</v>
      </c>
      <c r="B2818" s="4" t="s">
        <v>3538</v>
      </c>
      <c r="C2818" s="5" t="str">
        <f>IFERROR(__xludf.DUMMYFUNCTION("GOOGLETRANSLATE(B2818,""en"",""es-ES"")"),"Ella se levanta frente a una habitación de miembros de la familia.")</f>
        <v>Ella se levanta frente a una habitación de miembros de la familia.</v>
      </c>
    </row>
    <row r="2819">
      <c r="A2819" s="4" t="s">
        <v>3536</v>
      </c>
      <c r="B2819" s="4" t="s">
        <v>3539</v>
      </c>
      <c r="C2819" s="5" t="str">
        <f>IFERROR(__xludf.DUMMYFUNCTION("GOOGLETRANSLATE(B2819,""en"",""es-ES"")"),"Ella baila, mostrando varios movimientos a la gente mientras se extiende por la habitación.")</f>
        <v>Ella baila, mostrando varios movimientos a la gente mientras se extiende por la habitación.</v>
      </c>
    </row>
    <row r="2820">
      <c r="A2820" s="4" t="s">
        <v>3540</v>
      </c>
      <c r="B2820" s="4" t="s">
        <v>3541</v>
      </c>
      <c r="C2820" s="5" t="str">
        <f>IFERROR(__xludf.DUMMYFUNCTION("GOOGLETRANSLATE(B2820,""en"",""es-ES"")"),"Un hombre está parado en su uniforme en un desierto como un área que habla.")</f>
        <v>Un hombre está parado en su uniforme en un desierto como un área que habla.</v>
      </c>
    </row>
    <row r="2821">
      <c r="A2821" s="4" t="s">
        <v>3540</v>
      </c>
      <c r="B2821" s="4" t="s">
        <v>3542</v>
      </c>
      <c r="C2821" s="5" t="str">
        <f>IFERROR(__xludf.DUMMYFUNCTION("GOOGLETRANSLATE(B2821,""en"",""es-ES"")"),"Mientras él habla, varios videos de él se muestran a las carreras de motocicletas fuera de la carretera alrededor del curso saltando sobre las jorobas.")</f>
        <v>Mientras él habla, varios videos de él se muestran a las carreras de motocicletas fuera de la carretera alrededor del curso saltando sobre las jorobas.</v>
      </c>
    </row>
    <row r="2822">
      <c r="A2822" s="4" t="s">
        <v>3540</v>
      </c>
      <c r="B2822" s="4" t="s">
        <v>3543</v>
      </c>
      <c r="C2822" s="5" t="str">
        <f>IFERROR(__xludf.DUMMYFUNCTION("GOOGLETRANSLATE(B2822,""en"",""es-ES"")"),"Sin embargo, regresa durante los segmentos para mostrar cómo usa técnicas en ciertos saltos y la forma correcta de hacerlo.")</f>
        <v>Sin embargo, regresa durante los segmentos para mostrar cómo usa técnicas en ciertos saltos y la forma correcta de hacerlo.</v>
      </c>
    </row>
    <row r="2823">
      <c r="A2823" s="4" t="s">
        <v>3544</v>
      </c>
      <c r="B2823" s="4" t="s">
        <v>3545</v>
      </c>
      <c r="C2823" s="5" t="str">
        <f>IFERROR(__xludf.DUMMYFUNCTION("GOOGLETRANSLATE(B2823,""en"",""es-ES"")"),"Una niña está parada frente a un juego de rayulación en su sala de estar.")</f>
        <v>Una niña está parada frente a un juego de rayulación en su sala de estar.</v>
      </c>
    </row>
    <row r="2824">
      <c r="A2824" s="4" t="s">
        <v>3544</v>
      </c>
      <c r="B2824" s="4" t="s">
        <v>3546</v>
      </c>
      <c r="C2824" s="5" t="str">
        <f>IFERROR(__xludf.DUMMYFUNCTION("GOOGLETRANSLATE(B2824,""en"",""es-ES"")"),"Ella salta hacia adelante en cada cuadrado, luego gira y va en el otro sentido.")</f>
        <v>Ella salta hacia adelante en cada cuadrado, luego gira y va en el otro sentido.</v>
      </c>
    </row>
    <row r="2825">
      <c r="A2825" s="4" t="s">
        <v>3544</v>
      </c>
      <c r="B2825" s="4" t="s">
        <v>3547</v>
      </c>
      <c r="C2825" s="5" t="str">
        <f>IFERROR(__xludf.DUMMYFUNCTION("GOOGLETRANSLATE(B2825,""en"",""es-ES"")"),"Ella sonríe y se inclina para la cámara.")</f>
        <v>Ella sonríe y se inclina para la cámara.</v>
      </c>
    </row>
    <row r="2826">
      <c r="A2826" s="4" t="s">
        <v>3548</v>
      </c>
      <c r="B2826" s="4" t="s">
        <v>3549</v>
      </c>
      <c r="C2826" s="5" t="str">
        <f>IFERROR(__xludf.DUMMYFUNCTION("GOOGLETRANSLATE(B2826,""en"",""es-ES"")"),"Un hombre abrochó las piernas en un poste de un bote de vela y se acostó sobre su espalda en el borde del bote.")</f>
        <v>Un hombre abrochó las piernas en un poste de un bote de vela y se acostó sobre su espalda en el borde del bote.</v>
      </c>
    </row>
    <row r="2827">
      <c r="A2827" s="4" t="s">
        <v>3548</v>
      </c>
      <c r="B2827" s="4" t="s">
        <v>3550</v>
      </c>
      <c r="C2827" s="5" t="str">
        <f>IFERROR(__xludf.DUMMYFUNCTION("GOOGLETRANSLATE(B2827,""en"",""es-ES"")"),"Luego, el hombre navega por el bote sosteniendo una cuerda y se acostó en el borde del bote.")</f>
        <v>Luego, el hombre navega por el bote sosteniendo una cuerda y se acostó en el borde del bote.</v>
      </c>
    </row>
    <row r="2828">
      <c r="A2828" s="4" t="s">
        <v>3548</v>
      </c>
      <c r="B2828" s="4" t="s">
        <v>3551</v>
      </c>
      <c r="C2828" s="5" t="str">
        <f>IFERROR(__xludf.DUMMYFUNCTION("GOOGLETRANSLATE(B2828,""en"",""es-ES"")"),"El hombre cae en el agua, luego se levanta en el bote y continúa navegando sobre su espalda.")</f>
        <v>El hombre cae en el agua, luego se levanta en el bote y continúa navegando sobre su espalda.</v>
      </c>
    </row>
    <row r="2829">
      <c r="A2829" s="4" t="s">
        <v>3548</v>
      </c>
      <c r="B2829" s="4" t="s">
        <v>3552</v>
      </c>
      <c r="C2829" s="5" t="str">
        <f>IFERROR(__xludf.DUMMYFUNCTION("GOOGLETRANSLATE(B2829,""en"",""es-ES"")"),"Un pase de tablero de vela al lado del bote.")</f>
        <v>Un pase de tablero de vela al lado del bote.</v>
      </c>
    </row>
    <row r="2830">
      <c r="A2830" s="4" t="s">
        <v>3553</v>
      </c>
      <c r="B2830" s="4" t="s">
        <v>3554</v>
      </c>
      <c r="C2830" s="5" t="str">
        <f>IFERROR(__xludf.DUMMYFUNCTION("GOOGLETRANSLATE(B2830,""en"",""es-ES"")"),"Un hombre aparece pisando agua mientras espera salir del agua y subir un juego de escaleras.")</f>
        <v>Un hombre aparece pisando agua mientras espera salir del agua y subir un juego de escaleras.</v>
      </c>
    </row>
    <row r="2831">
      <c r="A2831" s="4" t="s">
        <v>3553</v>
      </c>
      <c r="B2831" s="4" t="s">
        <v>3555</v>
      </c>
      <c r="C2831" s="5" t="str">
        <f>IFERROR(__xludf.DUMMYFUNCTION("GOOGLETRANSLATE(B2831,""en"",""es-ES"")"),"Finalmente se baja de las escaleras y se une a los otros que están en la tabla de buceo de madera.")</f>
        <v>Finalmente se baja de las escaleras y se une a los otros que están en la tabla de buceo de madera.</v>
      </c>
    </row>
    <row r="2832">
      <c r="A2832" s="4" t="s">
        <v>3553</v>
      </c>
      <c r="B2832" s="4" t="s">
        <v>3556</v>
      </c>
      <c r="C2832" s="5" t="str">
        <f>IFERROR(__xludf.DUMMYFUNCTION("GOOGLETRANSLATE(B2832,""en"",""es-ES"")"),"Primero, un conjunto de tres chicas saltan antes que él y crea una gran conmoción de olas.")</f>
        <v>Primero, un conjunto de tres chicas saltan antes que él y crea una gran conmoción de olas.</v>
      </c>
    </row>
    <row r="2833">
      <c r="A2833" s="4" t="s">
        <v>3557</v>
      </c>
      <c r="B2833" s="4" t="s">
        <v>3558</v>
      </c>
      <c r="C2833" s="5" t="str">
        <f>IFERROR(__xludf.DUMMYFUNCTION("GOOGLETRANSLATE(B2833,""en"",""es-ES"")"),"Se muestra una foto de una taza de café, así como una cuchara para relajarse música.")</f>
        <v>Se muestra una foto de una taza de café, así como una cuchara para relajarse música.</v>
      </c>
    </row>
    <row r="2834">
      <c r="A2834" s="4" t="s">
        <v>3557</v>
      </c>
      <c r="B2834" s="4" t="s">
        <v>3559</v>
      </c>
      <c r="C2834" s="5" t="str">
        <f>IFERROR(__xludf.DUMMYFUNCTION("GOOGLETRANSLATE(B2834,""en"",""es-ES"")"),"Se muestran varias pantallas de título y, finalmente, aparece la misma imagen de la taza de café, mientras que la música suave se reproduce en el fondo.")</f>
        <v>Se muestran varias pantallas de título y, finalmente, aparece la misma imagen de la taza de café, mientras que la música suave se reproduce en el fondo.</v>
      </c>
    </row>
    <row r="2835">
      <c r="A2835" s="4" t="s">
        <v>3560</v>
      </c>
      <c r="B2835" s="4" t="s">
        <v>3561</v>
      </c>
      <c r="C2835" s="5" t="str">
        <f>IFERROR(__xludf.DUMMYFUNCTION("GOOGLETRANSLATE(B2835,""en"",""es-ES"")"),"Se muestran los créditos de un clip.")</f>
        <v>Se muestran los créditos de un clip.</v>
      </c>
    </row>
    <row r="2836">
      <c r="A2836" s="4" t="s">
        <v>3560</v>
      </c>
      <c r="B2836" s="4" t="s">
        <v>3562</v>
      </c>
      <c r="C2836" s="5" t="str">
        <f>IFERROR(__xludf.DUMMYFUNCTION("GOOGLETRANSLATE(B2836,""en"",""es-ES"")"),"Una persona está abordando agua en un cuerpo de agua.")</f>
        <v>Una persona está abordando agua en un cuerpo de agua.</v>
      </c>
    </row>
    <row r="2837">
      <c r="A2837" s="4" t="s">
        <v>3560</v>
      </c>
      <c r="B2837" s="4" t="s">
        <v>3563</v>
      </c>
      <c r="C2837" s="5" t="str">
        <f>IFERROR(__xludf.DUMMYFUNCTION("GOOGLETRANSLATE(B2837,""en"",""es-ES"")"),"La gente viaja en un bote e interactúa.")</f>
        <v>La gente viaja en un bote e interactúa.</v>
      </c>
    </row>
    <row r="2838">
      <c r="A2838" s="4" t="s">
        <v>3560</v>
      </c>
      <c r="B2838" s="4" t="s">
        <v>3564</v>
      </c>
      <c r="C2838" s="5" t="str">
        <f>IFERROR(__xludf.DUMMYFUNCTION("GOOGLETRANSLATE(B2838,""en"",""es-ES"")"),"Una dama hula aro a la música.")</f>
        <v>Una dama hula aro a la música.</v>
      </c>
    </row>
    <row r="2839">
      <c r="A2839" s="4" t="s">
        <v>3560</v>
      </c>
      <c r="B2839" s="4" t="s">
        <v>3565</v>
      </c>
      <c r="C2839" s="5" t="str">
        <f>IFERROR(__xludf.DUMMYFUNCTION("GOOGLETRANSLATE(B2839,""en"",""es-ES"")"),"Un macho salta de las rocas hacia las aguas.")</f>
        <v>Un macho salta de las rocas hacia las aguas.</v>
      </c>
    </row>
    <row r="2840">
      <c r="A2840" s="4" t="s">
        <v>3560</v>
      </c>
      <c r="B2840" s="4" t="s">
        <v>3566</v>
      </c>
      <c r="C2840" s="5" t="str">
        <f>IFERROR(__xludf.DUMMYFUNCTION("GOOGLETRANSLATE(B2840,""en"",""es-ES"")"),"La gente está en la orilla y algunas están en el bote.")</f>
        <v>La gente está en la orilla y algunas están en el bote.</v>
      </c>
    </row>
    <row r="2841">
      <c r="A2841" s="4" t="s">
        <v>3560</v>
      </c>
      <c r="B2841" s="4" t="s">
        <v>3567</v>
      </c>
      <c r="C2841" s="5" t="str">
        <f>IFERROR(__xludf.DUMMYFUNCTION("GOOGLETRANSLATE(B2841,""en"",""es-ES"")"),"Un hombre salta de un bote con su tabla de agua.")</f>
        <v>Un hombre salta de un bote con su tabla de agua.</v>
      </c>
    </row>
    <row r="2842">
      <c r="A2842" s="4" t="s">
        <v>3560</v>
      </c>
      <c r="B2842" s="4" t="s">
        <v>3568</v>
      </c>
      <c r="C2842" s="5" t="str">
        <f>IFERROR(__xludf.DUMMYFUNCTION("GOOGLETRANSLATE(B2842,""en"",""es-ES"")"),"Un chico usa un hula hoop como una cuerda de salto.")</f>
        <v>Un chico usa un hula hoop como una cuerda de salto.</v>
      </c>
    </row>
    <row r="2843">
      <c r="A2843" s="4" t="s">
        <v>3560</v>
      </c>
      <c r="B2843" s="4" t="s">
        <v>3569</v>
      </c>
      <c r="C2843" s="5" t="str">
        <f>IFERROR(__xludf.DUMMYFUNCTION("GOOGLETRANSLATE(B2843,""en"",""es-ES"")"),"Las mujeres bailan a la música en una función social.")</f>
        <v>Las mujeres bailan a la música en una función social.</v>
      </c>
    </row>
    <row r="2844">
      <c r="A2844" s="4" t="s">
        <v>3560</v>
      </c>
      <c r="B2844" s="4" t="s">
        <v>3570</v>
      </c>
      <c r="C2844" s="5" t="str">
        <f>IFERROR(__xludf.DUMMYFUNCTION("GOOGLETRANSLATE(B2844,""en"",""es-ES"")"),"El individuo está en el cuerpo del agua.")</f>
        <v>El individuo está en el cuerpo del agua.</v>
      </c>
    </row>
    <row r="2845">
      <c r="A2845" s="4" t="s">
        <v>3560</v>
      </c>
      <c r="B2845" s="4" t="s">
        <v>3571</v>
      </c>
      <c r="C2845" s="5" t="str">
        <f>IFERROR(__xludf.DUMMYFUNCTION("GOOGLETRANSLATE(B2845,""en"",""es-ES"")"),"Dos adultos corren en un cilindro de madera y hueca.")</f>
        <v>Dos adultos corren en un cilindro de madera y hueca.</v>
      </c>
    </row>
    <row r="2846">
      <c r="A2846" s="4" t="s">
        <v>3560</v>
      </c>
      <c r="B2846" s="4" t="s">
        <v>3572</v>
      </c>
      <c r="C2846" s="5" t="str">
        <f>IFERROR(__xludf.DUMMYFUNCTION("GOOGLETRANSLATE(B2846,""en"",""es-ES"")"),"Una espalda individual sale de un bote.")</f>
        <v>Una espalda individual sale de un bote.</v>
      </c>
    </row>
    <row r="2847">
      <c r="A2847" s="4" t="s">
        <v>3560</v>
      </c>
      <c r="B2847" s="4" t="s">
        <v>3573</v>
      </c>
      <c r="C2847" s="5" t="str">
        <f>IFERROR(__xludf.DUMMYFUNCTION("GOOGLETRANSLATE(B2847,""en"",""es-ES"")"),"Una mujer se para en el agua que está en la hierba.")</f>
        <v>Una mujer se para en el agua que está en la hierba.</v>
      </c>
    </row>
    <row r="2848">
      <c r="A2848" s="4" t="s">
        <v>3560</v>
      </c>
      <c r="B2848" s="4" t="s">
        <v>3574</v>
      </c>
      <c r="C2848" s="5" t="str">
        <f>IFERROR(__xludf.DUMMYFUNCTION("GOOGLETRANSLATE(B2848,""en"",""es-ES"")"),"La gente salta de un bote inflado.")</f>
        <v>La gente salta de un bote inflado.</v>
      </c>
    </row>
    <row r="2849">
      <c r="A2849" s="4" t="s">
        <v>3560</v>
      </c>
      <c r="B2849" s="4" t="s">
        <v>3575</v>
      </c>
      <c r="C2849" s="5" t="str">
        <f>IFERROR(__xludf.DUMMYFUNCTION("GOOGLETRANSLATE(B2849,""en"",""es-ES"")"),"Los créditos de un video se muestran con clips.")</f>
        <v>Los créditos de un video se muestran con clips.</v>
      </c>
    </row>
    <row r="2850">
      <c r="A2850" s="4" t="s">
        <v>3576</v>
      </c>
      <c r="B2850" s="4" t="s">
        <v>3577</v>
      </c>
      <c r="C2850" s="5" t="str">
        <f>IFERROR(__xludf.DUMMYFUNCTION("GOOGLETRANSLATE(B2850,""en"",""es-ES"")"),"Un joven habla dentro de una casa, luego sale de la casa.")</f>
        <v>Un joven habla dentro de una casa, luego sale de la casa.</v>
      </c>
    </row>
    <row r="2851">
      <c r="A2851" s="4" t="s">
        <v>3576</v>
      </c>
      <c r="B2851" s="4" t="s">
        <v>3578</v>
      </c>
      <c r="C2851" s="5" t="str">
        <f>IFERROR(__xludf.DUMMYFUNCTION("GOOGLETRANSLATE(B2851,""en"",""es-ES"")"),"Un hombre y un adolescente se paran en la parte delantera de una piscina hablando, y una persona se acostó en una silla.")</f>
        <v>Un hombre y un adolescente se paran en la parte delantera de una piscina hablando, y una persona se acostó en una silla.</v>
      </c>
    </row>
    <row r="2852">
      <c r="A2852" s="4" t="s">
        <v>3576</v>
      </c>
      <c r="B2852" s="4" t="s">
        <v>3579</v>
      </c>
      <c r="C2852" s="5" t="str">
        <f>IFERROR(__xludf.DUMMYFUNCTION("GOOGLETRANSLATE(B2852,""en"",""es-ES"")"),"Luego, el hombre empuja al adolescente al agua que tiene problemas para nadar.")</f>
        <v>Luego, el hombre empuja al adolescente al agua que tiene problemas para nadar.</v>
      </c>
    </row>
    <row r="2853">
      <c r="A2853" s="4" t="s">
        <v>3576</v>
      </c>
      <c r="B2853" s="4" t="s">
        <v>3580</v>
      </c>
      <c r="C2853" s="5" t="str">
        <f>IFERROR(__xludf.DUMMYFUNCTION("GOOGLETRANSLATE(B2853,""en"",""es-ES"")"),"Después, el hombre se sube al agua y voltea al adolescente.")</f>
        <v>Después, el hombre se sube al agua y voltea al adolescente.</v>
      </c>
    </row>
    <row r="2854">
      <c r="A2854" s="4" t="s">
        <v>3576</v>
      </c>
      <c r="B2854" s="4" t="s">
        <v>3581</v>
      </c>
      <c r="C2854" s="5" t="str">
        <f>IFERROR(__xludf.DUMMYFUNCTION("GOOGLETRANSLATE(B2854,""en"",""es-ES"")"),"El adolescente sale de la piscina y arroja silla al hombre.")</f>
        <v>El adolescente sale de la piscina y arroja silla al hombre.</v>
      </c>
    </row>
    <row r="2855">
      <c r="A2855" s="4" t="s">
        <v>3576</v>
      </c>
      <c r="B2855" s="4" t="s">
        <v>3582</v>
      </c>
      <c r="C2855" s="5" t="str">
        <f>IFERROR(__xludf.DUMMYFUNCTION("GOOGLETRANSLATE(B2855,""en"",""es-ES"")"),"Luego, el adolescente se aleja enojados, y los hombres y la mujer sacan las sillas de la piscina.")</f>
        <v>Luego, el adolescente se aleja enojados, y los hombres y la mujer sacan las sillas de la piscina.</v>
      </c>
    </row>
    <row r="2856">
      <c r="A2856" s="4" t="s">
        <v>3583</v>
      </c>
      <c r="B2856" s="4" t="s">
        <v>3584</v>
      </c>
      <c r="C2856" s="5" t="str">
        <f>IFERROR(__xludf.DUMMYFUNCTION("GOOGLETRANSLATE(B2856,""en"",""es-ES"")"),"Varias personas están en una parte de skate rodando entre sí.")</f>
        <v>Varias personas están en una parte de skate rodando entre sí.</v>
      </c>
    </row>
    <row r="2857">
      <c r="A2857" s="4" t="s">
        <v>3583</v>
      </c>
      <c r="B2857" s="4" t="s">
        <v>3585</v>
      </c>
      <c r="C2857" s="5" t="str">
        <f>IFERROR(__xludf.DUMMYFUNCTION("GOOGLETRANSLATE(B2857,""en"",""es-ES"")"),"Luego, la gente se muda a lugares pintorescos y comienza a enrollar una cuchilla por toda la ciudad.")</f>
        <v>Luego, la gente se muda a lugares pintorescos y comienza a enrollar una cuchilla por toda la ciudad.</v>
      </c>
    </row>
    <row r="2858">
      <c r="A2858" s="4" t="s">
        <v>3583</v>
      </c>
      <c r="B2858" s="4" t="s">
        <v>3586</v>
      </c>
      <c r="C2858" s="5" t="str">
        <f>IFERROR(__xludf.DUMMYFUNCTION("GOOGLETRANSLATE(B2858,""en"",""es-ES"")"),"Más personas comienzan a patinar y comienzan a hacer rampas en el callejón y en un parque de patinaje.")</f>
        <v>Más personas comienzan a patinar y comienzan a hacer rampas en el callejón y en un parque de patinaje.</v>
      </c>
    </row>
    <row r="2859">
      <c r="A2859" s="4" t="s">
        <v>3587</v>
      </c>
      <c r="B2859" s="4" t="s">
        <v>3588</v>
      </c>
      <c r="C2859" s="5" t="str">
        <f>IFERROR(__xludf.DUMMYFUNCTION("GOOGLETRANSLATE(B2859,""en"",""es-ES"")"),"Se muestran varias tomas de playas seguidas por la cámara que rastrean varias tomas de olas.")</f>
        <v>Se muestran varias tomas de playas seguidas por la cámara que rastrean varias tomas de olas.</v>
      </c>
    </row>
    <row r="2860">
      <c r="A2860" s="4" t="s">
        <v>3587</v>
      </c>
      <c r="B2860" s="4" t="s">
        <v>3589</v>
      </c>
      <c r="C2860" s="5" t="str">
        <f>IFERROR(__xludf.DUMMYFUNCTION("GOOGLETRANSLATE(B2860,""en"",""es-ES"")"),"Luego se ve a una persona montando una tabla de surf a través de varias tomas en la cámara.")</f>
        <v>Luego se ve a una persona montando una tabla de surf a través de varias tomas en la cámara.</v>
      </c>
    </row>
    <row r="2861">
      <c r="A2861" s="4" t="s">
        <v>3587</v>
      </c>
      <c r="B2861" s="4" t="s">
        <v>3590</v>
      </c>
      <c r="C2861" s="5" t="str">
        <f>IFERROR(__xludf.DUMMYFUNCTION("GOOGLETRANSLATE(B2861,""en"",""es-ES"")"),"Se muestra a las personas hablando con la cámara cuando otra persona se estrella en su tablero varias veces.")</f>
        <v>Se muestra a las personas hablando con la cámara cuando otra persona se estrella en su tablero varias veces.</v>
      </c>
    </row>
    <row r="2862">
      <c r="A2862" s="4" t="s">
        <v>3587</v>
      </c>
      <c r="B2862" s="4" t="s">
        <v>3591</v>
      </c>
      <c r="C2862" s="5" t="str">
        <f>IFERROR(__xludf.DUMMYFUNCTION("GOOGLETRANSLATE(B2862,""en"",""es-ES"")"),"Se ve a más personas caminando mientras más surfistas continúan montando las olas.")</f>
        <v>Se ve a más personas caminando mientras más surfistas continúan montando las olas.</v>
      </c>
    </row>
    <row r="2863">
      <c r="A2863" s="4" t="s">
        <v>3592</v>
      </c>
      <c r="B2863" s="4" t="s">
        <v>3593</v>
      </c>
      <c r="C2863" s="5" t="str">
        <f>IFERROR(__xludf.DUMMYFUNCTION("GOOGLETRANSLATE(B2863,""en"",""es-ES"")"),"Una mujer sostiene a un bebé en su regazo cuando una mujer junto a ella usa un peine de plástico para cepillarse el cabello.")</f>
        <v>Una mujer sostiene a un bebé en su regazo cuando una mujer junto a ella usa un peine de plástico para cepillarse el cabello.</v>
      </c>
    </row>
    <row r="2864">
      <c r="A2864" s="4" t="s">
        <v>3592</v>
      </c>
      <c r="B2864" s="4" t="s">
        <v>3594</v>
      </c>
      <c r="C2864" s="5" t="str">
        <f>IFERROR(__xludf.DUMMYFUNCTION("GOOGLETRANSLATE(B2864,""en"",""es-ES"")"),"Ella habla con el bebé mientras cepilla, y el bebé la observa atentamente.")</f>
        <v>Ella habla con el bebé mientras cepilla, y el bebé la observa atentamente.</v>
      </c>
    </row>
    <row r="2865">
      <c r="A2865" s="4" t="s">
        <v>3595</v>
      </c>
      <c r="B2865" s="4" t="s">
        <v>3596</v>
      </c>
      <c r="C2865" s="5" t="str">
        <f>IFERROR(__xludf.DUMMYFUNCTION("GOOGLETRANSLATE(B2865,""en"",""es-ES"")"),"Un hombre levanta a una chica sobre su cabeza, luego sobre su hombro.")</f>
        <v>Un hombre levanta a una chica sobre su cabeza, luego sobre su hombro.</v>
      </c>
    </row>
    <row r="2866">
      <c r="A2866" s="4" t="s">
        <v>3595</v>
      </c>
      <c r="B2866" s="4" t="s">
        <v>3597</v>
      </c>
      <c r="C2866" s="5" t="str">
        <f>IFERROR(__xludf.DUMMYFUNCTION("GOOGLETRANSLATE(B2866,""en"",""es-ES"")"),"Él la deja en sus manos, equilibrándola en el aire como otro reloj.")</f>
        <v>Él la deja en sus manos, equilibrándola en el aire como otro reloj.</v>
      </c>
    </row>
    <row r="2867">
      <c r="A2867" s="4" t="s">
        <v>3595</v>
      </c>
      <c r="B2867" s="4" t="s">
        <v>3598</v>
      </c>
      <c r="C2867" s="5" t="str">
        <f>IFERROR(__xludf.DUMMYFUNCTION("GOOGLETRANSLATE(B2867,""en"",""es-ES"")"),"Él cae y luego la levanta de nuevo.")</f>
        <v>Él cae y luego la levanta de nuevo.</v>
      </c>
    </row>
    <row r="2868">
      <c r="A2868" s="4" t="s">
        <v>3599</v>
      </c>
      <c r="B2868" s="4" t="s">
        <v>3600</v>
      </c>
      <c r="C2868" s="5" t="str">
        <f>IFERROR(__xludf.DUMMYFUNCTION("GOOGLETRANSLATE(B2868,""en"",""es-ES"")"),"Un hombre de rodilla corre un pequeño cortador de hierba sobre la superficie del césped.")</f>
        <v>Un hombre de rodilla corre un pequeño cortador de hierba sobre la superficie del césped.</v>
      </c>
    </row>
    <row r="2869">
      <c r="A2869" s="4" t="s">
        <v>3599</v>
      </c>
      <c r="B2869" s="4" t="s">
        <v>3601</v>
      </c>
      <c r="C2869" s="5" t="str">
        <f>IFERROR(__xludf.DUMMYFUNCTION("GOOGLETRANSLATE(B2869,""en"",""es-ES"")"),"El hombre corta la hierba verde sombreada.")</f>
        <v>El hombre corta la hierba verde sombreada.</v>
      </c>
    </row>
    <row r="2870">
      <c r="A2870" s="4" t="s">
        <v>3599</v>
      </c>
      <c r="B2870" s="4" t="s">
        <v>3602</v>
      </c>
      <c r="C2870" s="5" t="str">
        <f>IFERROR(__xludf.DUMMYFUNCTION("GOOGLETRANSLATE(B2870,""en"",""es-ES"")"),"El hombre corta el sol encendió la hierba.")</f>
        <v>El hombre corta el sol encendió la hierba.</v>
      </c>
    </row>
    <row r="2871">
      <c r="A2871" s="4" t="s">
        <v>3603</v>
      </c>
      <c r="B2871" s="4" t="s">
        <v>3604</v>
      </c>
      <c r="C2871" s="5" t="str">
        <f>IFERROR(__xludf.DUMMYFUNCTION("GOOGLETRANSLATE(B2871,""en"",""es-ES"")"),"Vemos las pantallas del título volando.")</f>
        <v>Vemos las pantallas del título volando.</v>
      </c>
    </row>
    <row r="2872">
      <c r="A2872" s="4" t="s">
        <v>3603</v>
      </c>
      <c r="B2872" s="4" t="s">
        <v>3605</v>
      </c>
      <c r="C2872" s="5" t="str">
        <f>IFERROR(__xludf.DUMMYFUNCTION("GOOGLETRANSLATE(B2872,""en"",""es-ES"")"),"Un toro sale corriendo en el campo.")</f>
        <v>Un toro sale corriendo en el campo.</v>
      </c>
    </row>
    <row r="2873">
      <c r="A2873" s="4" t="s">
        <v>3603</v>
      </c>
      <c r="B2873" s="4" t="s">
        <v>3606</v>
      </c>
      <c r="C2873" s="5" t="str">
        <f>IFERROR(__xludf.DUMMYFUNCTION("GOOGLETRANSLATE(B2873,""en"",""es-ES"")"),"Un toro llena una pared donde está en pie el Matador.")</f>
        <v>Un toro llena una pared donde está en pie el Matador.</v>
      </c>
    </row>
    <row r="2874">
      <c r="A2874" s="4" t="s">
        <v>3603</v>
      </c>
      <c r="B2874" s="4" t="s">
        <v>3607</v>
      </c>
      <c r="C2874" s="5" t="str">
        <f>IFERROR(__xludf.DUMMYFUNCTION("GOOGLETRANSLATE(B2874,""en"",""es-ES"")"),"El Matador se burla del toro con una tela roja.")</f>
        <v>El Matador se burla del toro con una tela roja.</v>
      </c>
    </row>
    <row r="2875">
      <c r="A2875" s="4" t="s">
        <v>3603</v>
      </c>
      <c r="B2875" s="4" t="s">
        <v>3608</v>
      </c>
      <c r="C2875" s="5" t="str">
        <f>IFERROR(__xludf.DUMMYFUNCTION("GOOGLETRANSLATE(B2875,""en"",""es-ES"")"),"Vemos la pantalla final.")</f>
        <v>Vemos la pantalla final.</v>
      </c>
    </row>
    <row r="2876">
      <c r="A2876" s="4" t="s">
        <v>3609</v>
      </c>
      <c r="B2876" s="4" t="s">
        <v>3610</v>
      </c>
      <c r="C2876" s="5" t="str">
        <f>IFERROR(__xludf.DUMMYFUNCTION("GOOGLETRANSLATE(B2876,""en"",""es-ES"")"),"Se ve a una persona moviéndose a lo largo de una gran corte seguida por otras personas que se mueven a su lado.")</f>
        <v>Se ve a una persona moviéndose a lo largo de una gran corte seguida por otras personas que se mueven a su lado.</v>
      </c>
    </row>
    <row r="2877">
      <c r="A2877" s="4" t="s">
        <v>3609</v>
      </c>
      <c r="B2877" s="4" t="s">
        <v>3611</v>
      </c>
      <c r="C2877" s="5" t="str">
        <f>IFERROR(__xludf.DUMMYFUNCTION("GOOGLETRANSLATE(B2877,""en"",""es-ES"")"),"Varias personas son vistas corriendo por la cancha mientras otras miran a un lado.")</f>
        <v>Varias personas son vistas corriendo por la cancha mientras otras miran a un lado.</v>
      </c>
    </row>
    <row r="2878">
      <c r="A2878" s="4" t="s">
        <v>3609</v>
      </c>
      <c r="B2878" s="4" t="s">
        <v>3612</v>
      </c>
      <c r="C2878" s="5" t="str">
        <f>IFERROR(__xludf.DUMMYFUNCTION("GOOGLETRANSLATE(B2878,""en"",""es-ES"")"),"La gente continúa moviéndose mientras otros los miran realizar ejercicios.")</f>
        <v>La gente continúa moviéndose mientras otros los miran realizar ejercicios.</v>
      </c>
    </row>
    <row r="2879">
      <c r="A2879" s="4" t="s">
        <v>3613</v>
      </c>
      <c r="B2879" s="4" t="s">
        <v>3614</v>
      </c>
      <c r="C2879" s="5" t="str">
        <f>IFERROR(__xludf.DUMMYFUNCTION("GOOGLETRANSLATE(B2879,""en"",""es-ES"")"),"Una persona está poniendo ensalada en un tazón transparente.")</f>
        <v>Una persona está poniendo ensalada en un tazón transparente.</v>
      </c>
    </row>
    <row r="2880">
      <c r="A2880" s="4" t="s">
        <v>3613</v>
      </c>
      <c r="B2880" s="4" t="s">
        <v>3615</v>
      </c>
      <c r="C2880" s="5" t="str">
        <f>IFERROR(__xludf.DUMMYFUNCTION("GOOGLETRANSLATE(B2880,""en"",""es-ES"")"),"Toman una pimienta naranja de una pila.")</f>
        <v>Toman una pimienta naranja de una pila.</v>
      </c>
    </row>
    <row r="2881">
      <c r="A2881" s="4" t="s">
        <v>3613</v>
      </c>
      <c r="B2881" s="4" t="s">
        <v>3616</v>
      </c>
      <c r="C2881" s="5" t="str">
        <f>IFERROR(__xludf.DUMMYFUNCTION("GOOGLETRANSLATE(B2881,""en"",""es-ES"")"),"Cortan la pimienta por la mitad.")</f>
        <v>Cortan la pimienta por la mitad.</v>
      </c>
    </row>
    <row r="2882">
      <c r="A2882" s="4" t="s">
        <v>3617</v>
      </c>
      <c r="B2882" s="4" t="s">
        <v>3618</v>
      </c>
      <c r="C2882" s="5" t="str">
        <f>IFERROR(__xludf.DUMMYFUNCTION("GOOGLETRANSLATE(B2882,""en"",""es-ES"")"),"Se muestra a una mujer hablando con la cámara y apunta a la distancia.")</f>
        <v>Se muestra a una mujer hablando con la cámara y apunta a la distancia.</v>
      </c>
    </row>
    <row r="2883">
      <c r="A2883" s="4" t="s">
        <v>3617</v>
      </c>
      <c r="B2883" s="4" t="s">
        <v>3619</v>
      </c>
      <c r="C2883" s="5" t="str">
        <f>IFERROR(__xludf.DUMMYFUNCTION("GOOGLETRANSLATE(B2883,""en"",""es-ES"")"),"La cámara se dirige a otro hombre parado en la cancha y se muestran dos baloncesto.")</f>
        <v>La cámara se dirige a otro hombre parado en la cancha y se muestran dos baloncesto.</v>
      </c>
    </row>
    <row r="2884">
      <c r="A2884" s="4" t="s">
        <v>3617</v>
      </c>
      <c r="B2884" s="4" t="s">
        <v>3620</v>
      </c>
      <c r="C2884" s="5" t="str">
        <f>IFERROR(__xludf.DUMMYFUNCTION("GOOGLETRANSLATE(B2884,""en"",""es-ES"")"),"El hombre y la mujer luego disparan aros con las bolas y se pasan el uno al otro y el cuarto.")</f>
        <v>El hombre y la mujer luego disparan aros con las bolas y se pasan el uno al otro y el cuarto.</v>
      </c>
    </row>
    <row r="2885">
      <c r="A2885" s="4" t="s">
        <v>3621</v>
      </c>
      <c r="B2885" s="4" t="s">
        <v>3622</v>
      </c>
      <c r="C2885" s="5" t="str">
        <f>IFERROR(__xludf.DUMMYFUNCTION("GOOGLETRANSLATE(B2885,""en"",""es-ES"")"),"Una mujer está sentada en su pequeño sofá pensando en las galletas.")</f>
        <v>Una mujer está sentada en su pequeño sofá pensando en las galletas.</v>
      </c>
    </row>
    <row r="2886">
      <c r="A2886" s="4" t="s">
        <v>3621</v>
      </c>
      <c r="B2886" s="4" t="s">
        <v>3623</v>
      </c>
      <c r="C2886" s="5" t="str">
        <f>IFERROR(__xludf.DUMMYFUNCTION("GOOGLETRANSLATE(B2886,""en"",""es-ES"")"),"Se le informa de todos los ingredientes necesarios para hacer un lote de deliciosas galletas y el equipo requerido para hacerlos.")</f>
        <v>Se le informa de todos los ingredientes necesarios para hacer un lote de deliciosas galletas y el equipo requerido para hacerlos.</v>
      </c>
    </row>
    <row r="2887">
      <c r="A2887" s="4" t="s">
        <v>3621</v>
      </c>
      <c r="B2887" s="4" t="s">
        <v>3624</v>
      </c>
      <c r="C2887" s="5" t="str">
        <f>IFERROR(__xludf.DUMMYFUNCTION("GOOGLETRANSLATE(B2887,""en"",""es-ES"")"),"Ella va a la cocina y enciende el horno y comienza a mezclar ingredientes en una cocina.")</f>
        <v>Ella va a la cocina y enciende el horno y comienza a mezclar ingredientes en una cocina.</v>
      </c>
    </row>
    <row r="2888">
      <c r="A2888" s="4" t="s">
        <v>3621</v>
      </c>
      <c r="B2888" s="4" t="s">
        <v>3625</v>
      </c>
      <c r="C2888" s="5" t="str">
        <f>IFERROR(__xludf.DUMMYFUNCTION("GOOGLETRANSLATE(B2888,""en"",""es-ES"")"),"Una vez mezcló bien, coloca la galleta en el horno y cuando lo hicieron regresa a su sofá con su oso de peluche y sale.")</f>
        <v>Una vez mezcló bien, coloca la galleta en el horno y cuando lo hicieron regresa a su sofá con su oso de peluche y sale.</v>
      </c>
    </row>
    <row r="2889">
      <c r="A2889" s="4" t="s">
        <v>3626</v>
      </c>
      <c r="B2889" s="4" t="s">
        <v>3627</v>
      </c>
      <c r="C2889" s="5" t="str">
        <f>IFERROR(__xludf.DUMMYFUNCTION("GOOGLETRANSLATE(B2889,""en"",""es-ES"")"),"Se ve una vista de una enorme piscina.")</f>
        <v>Se ve una vista de una enorme piscina.</v>
      </c>
    </row>
    <row r="2890">
      <c r="A2890" s="4" t="s">
        <v>3626</v>
      </c>
      <c r="B2890" s="4" t="s">
        <v>3628</v>
      </c>
      <c r="C2890" s="5" t="str">
        <f>IFERROR(__xludf.DUMMYFUNCTION("GOOGLETRANSLATE(B2890,""en"",""es-ES"")"),"Estira distancias muy largas, con personas que usan botes y balsas en el agua.")</f>
        <v>Estira distancias muy largas, con personas que usan botes y balsas en el agua.</v>
      </c>
    </row>
    <row r="2891">
      <c r="A2891" s="4" t="s">
        <v>3626</v>
      </c>
      <c r="B2891" s="4" t="s">
        <v>3629</v>
      </c>
      <c r="C2891" s="5" t="str">
        <f>IFERROR(__xludf.DUMMYFUNCTION("GOOGLETRANSLATE(B2891,""en"",""es-ES"")"),"Es un extenso parque acuático ubicado en Indonesia.")</f>
        <v>Es un extenso parque acuático ubicado en Indonesia.</v>
      </c>
    </row>
    <row r="2892">
      <c r="A2892" s="4" t="s">
        <v>3626</v>
      </c>
      <c r="B2892" s="4" t="s">
        <v>3630</v>
      </c>
      <c r="C2892" s="5" t="str">
        <f>IFERROR(__xludf.DUMMYFUNCTION("GOOGLETRANSLATE(B2892,""en"",""es-ES"")"),"A las personas se les muestra esquí acuático en las aguas azules transparentes.")</f>
        <v>A las personas se les muestra esquí acuático en las aguas azules transparentes.</v>
      </c>
    </row>
    <row r="2893">
      <c r="A2893" s="4" t="s">
        <v>3631</v>
      </c>
      <c r="B2893" s="4" t="s">
        <v>3632</v>
      </c>
      <c r="C2893" s="5" t="str">
        <f>IFERROR(__xludf.DUMMYFUNCTION("GOOGLETRANSLATE(B2893,""en"",""es-ES"")"),"Una introducción conduce a varios clips más antiguos de artistas olímpicos que realizan actos increíbles.")</f>
        <v>Una introducción conduce a varios clips más antiguos de artistas olímpicos que realizan actos increíbles.</v>
      </c>
    </row>
    <row r="2894">
      <c r="A2894" s="4" t="s">
        <v>3631</v>
      </c>
      <c r="B2894" s="4" t="s">
        <v>3633</v>
      </c>
      <c r="C2894" s="5" t="str">
        <f>IFERROR(__xludf.DUMMYFUNCTION("GOOGLETRANSLATE(B2894,""en"",""es-ES"")"),"Se ve a un grupo de personas nadar mientras cientos de personas animan y muchas personas miran a la cámara y sonreír.")</f>
        <v>Se ve a un grupo de personas nadar mientras cientos de personas animan y muchas personas miran a la cámara y sonreír.</v>
      </c>
    </row>
    <row r="2895">
      <c r="A2895" s="4" t="s">
        <v>3631</v>
      </c>
      <c r="B2895" s="4" t="s">
        <v>3634</v>
      </c>
      <c r="C2895" s="5" t="str">
        <f>IFERROR(__xludf.DUMMYFUNCTION("GOOGLETRANSLATE(B2895,""en"",""es-ES"")"),"Otro hombre sacude la mano de un atleta y saluda mientras sacude las manos de los demás y la gente aplaudiendo.")</f>
        <v>Otro hombre sacude la mano de un atleta y saluda mientras sacude las manos de los demás y la gente aplaudiendo.</v>
      </c>
    </row>
    <row r="2896">
      <c r="A2896" s="4" t="s">
        <v>3635</v>
      </c>
      <c r="B2896" s="4" t="s">
        <v>3636</v>
      </c>
      <c r="C2896" s="5" t="str">
        <f>IFERROR(__xludf.DUMMYFUNCTION("GOOGLETRANSLATE(B2896,""en"",""es-ES"")"),"Una mujer se sienta en un sofá y recorta las patas delanteras y traseras de un gato naranja y un gato blanco y negro mientras se sientan en su regazo.")</f>
        <v>Una mujer se sienta en un sofá y recorta las patas delanteras y traseras de un gato naranja y un gato blanco y negro mientras se sientan en su regazo.</v>
      </c>
    </row>
    <row r="2897">
      <c r="A2897" s="4" t="s">
        <v>3635</v>
      </c>
      <c r="B2897" s="4" t="s">
        <v>3637</v>
      </c>
      <c r="C2897" s="5" t="str">
        <f>IFERROR(__xludf.DUMMYFUNCTION("GOOGLETRANSLATE(B2897,""en"",""es-ES"")"),"Un gato naranja se encuentra en un sofá y olfate los cojines.")</f>
        <v>Un gato naranja se encuentra en un sofá y olfate los cojines.</v>
      </c>
    </row>
    <row r="2898">
      <c r="A2898" s="4" t="s">
        <v>3635</v>
      </c>
      <c r="B2898" s="4" t="s">
        <v>3638</v>
      </c>
      <c r="C2898" s="5" t="str">
        <f>IFERROR(__xludf.DUMMYFUNCTION("GOOGLETRANSLATE(B2898,""en"",""es-ES"")"),"Una mujer se sienta en el sofá y pone al gato naranja en su regazo y comienza a cortar las patas delanteras y traseras del gato.")</f>
        <v>Una mujer se sienta en el sofá y pone al gato naranja en su regazo y comienza a cortar las patas delanteras y traseras del gato.</v>
      </c>
    </row>
    <row r="2899">
      <c r="A2899" s="4" t="s">
        <v>3635</v>
      </c>
      <c r="B2899" s="4" t="s">
        <v>3639</v>
      </c>
      <c r="C2899" s="5" t="str">
        <f>IFERROR(__xludf.DUMMYFUNCTION("GOOGLETRANSLATE(B2899,""en"",""es-ES"")"),"La mujer baja al gato naranja y recoge un gato blanco y negro con el que hace el mismo recorte de patas delanteras y negras, después de lo cual, el gato blanco y negro se aleja del sofá.")</f>
        <v>La mujer baja al gato naranja y recoge un gato blanco y negro con el que hace el mismo recorte de patas delanteras y negras, después de lo cual, el gato blanco y negro se aleja del sofá.</v>
      </c>
    </row>
    <row r="2900">
      <c r="A2900" s="4" t="s">
        <v>3640</v>
      </c>
      <c r="B2900" s="4" t="s">
        <v>3641</v>
      </c>
      <c r="C2900" s="5" t="str">
        <f>IFERROR(__xludf.DUMMYFUNCTION("GOOGLETRANSLATE(B2900,""en"",""es-ES"")"),"Se muestran varias imágenes de personas de cerca en un área, así como a las personas que viajan en un camello.")</f>
        <v>Se muestran varias imágenes de personas de cerca en un área, así como a las personas que viajan en un camello.</v>
      </c>
    </row>
    <row r="2901">
      <c r="A2901" s="4" t="s">
        <v>3640</v>
      </c>
      <c r="B2901" s="4" t="s">
        <v>3642</v>
      </c>
      <c r="C2901" s="5" t="str">
        <f>IFERROR(__xludf.DUMMYFUNCTION("GOOGLETRANSLATE(B2901,""en"",""es-ES"")"),"La gente continúa montando en los camellos con un hombre que los lleva al frente y la cámara capturando a varias personas más.")</f>
        <v>La gente continúa montando en los camellos con un hombre que los lleva al frente y la cámara capturando a varias personas más.</v>
      </c>
    </row>
    <row r="2902">
      <c r="A2902" s="4" t="s">
        <v>3640</v>
      </c>
      <c r="B2902" s="4" t="s">
        <v>3643</v>
      </c>
      <c r="C2902" s="5" t="str">
        <f>IFERROR(__xludf.DUMMYFUNCTION("GOOGLETRANSLATE(B2902,""en"",""es-ES"")"),"Al final, los camellos se ven deambulando unos a otros y una foto de todos parados juntos.")</f>
        <v>Al final, los camellos se ven deambulando unos a otros y una foto de todos parados juntos.</v>
      </c>
    </row>
    <row r="2903">
      <c r="A2903" s="4" t="s">
        <v>3644</v>
      </c>
      <c r="B2903" s="4" t="s">
        <v>3645</v>
      </c>
      <c r="C2903" s="5" t="str">
        <f>IFERROR(__xludf.DUMMYFUNCTION("GOOGLETRANSLATE(B2903,""en"",""es-ES"")"),"Se ve a un hombre hablando con la cámara y señalando una mesa y colocando tarjetas.")</f>
        <v>Se ve a un hombre hablando con la cámara y señalando una mesa y colocando tarjetas.</v>
      </c>
    </row>
    <row r="2904">
      <c r="A2904" s="4" t="s">
        <v>3644</v>
      </c>
      <c r="B2904" s="4" t="s">
        <v>3646</v>
      </c>
      <c r="C2904" s="5" t="str">
        <f>IFERROR(__xludf.DUMMYFUNCTION("GOOGLETRANSLATE(B2904,""en"",""es-ES"")"),"Luego realiza un juego de Black Jack mientras mueve las cartas y dados mientras sigue hablando con la cámara.")</f>
        <v>Luego realiza un juego de Black Jack mientras mueve las cartas y dados mientras sigue hablando con la cámara.</v>
      </c>
    </row>
    <row r="2905">
      <c r="A2905" s="4" t="s">
        <v>3647</v>
      </c>
      <c r="B2905" s="4" t="s">
        <v>3648</v>
      </c>
      <c r="C2905" s="5" t="str">
        <f>IFERROR(__xludf.DUMMYFUNCTION("GOOGLETRANSLATE(B2905,""en"",""es-ES"")"),"Una mujer muestra cómo limpiar una camisa con una máquina de vapor mientras habla.")</f>
        <v>Una mujer muestra cómo limpiar una camisa con una máquina de vapor mientras habla.</v>
      </c>
    </row>
    <row r="2906">
      <c r="A2906" s="4" t="s">
        <v>3647</v>
      </c>
      <c r="B2906" s="4" t="s">
        <v>3649</v>
      </c>
      <c r="C2906" s="5" t="str">
        <f>IFERROR(__xludf.DUMMYFUNCTION("GOOGLETRANSLATE(B2906,""en"",""es-ES"")"),"La mujer termina de limpiar la camisa y se la quita de una percha y se pone en la tabla de hierro.")</f>
        <v>La mujer termina de limpiar la camisa y se la quita de una percha y se pone en la tabla de hierro.</v>
      </c>
    </row>
    <row r="2907">
      <c r="A2907" s="4" t="s">
        <v>3647</v>
      </c>
      <c r="B2907" s="4" t="s">
        <v>3650</v>
      </c>
      <c r="C2907" s="5" t="str">
        <f>IFERROR(__xludf.DUMMYFUNCTION("GOOGLETRANSLATE(B2907,""en"",""es-ES"")"),"Después, la mujer muestra un contenedor, luego bronce la máquina de vapor y se muestra mientras habla.")</f>
        <v>Después, la mujer muestra un contenedor, luego bronce la máquina de vapor y se muestra mientras habla.</v>
      </c>
    </row>
    <row r="2908">
      <c r="A2908" s="4" t="s">
        <v>3651</v>
      </c>
      <c r="B2908" s="4" t="s">
        <v>3652</v>
      </c>
      <c r="C2908" s="5" t="str">
        <f>IFERROR(__xludf.DUMMYFUNCTION("GOOGLETRANSLATE(B2908,""en"",""es-ES"")"),"Una persona es barras de pintura en aerosol que están pegadas a diferentes colores.")</f>
        <v>Una persona es barras de pintura en aerosol que están pegadas a diferentes colores.</v>
      </c>
    </row>
    <row r="2909">
      <c r="A2909" s="4" t="s">
        <v>3651</v>
      </c>
      <c r="B2909" s="4" t="s">
        <v>3653</v>
      </c>
      <c r="C2909" s="5" t="str">
        <f>IFERROR(__xludf.DUMMYFUNCTION("GOOGLETRANSLATE(B2909,""en"",""es-ES"")"),"Pusieron una pegatina de palabras en las barras.")</f>
        <v>Pusieron una pegatina de palabras en las barras.</v>
      </c>
    </row>
    <row r="2910">
      <c r="A2910" s="4" t="s">
        <v>3654</v>
      </c>
      <c r="B2910" s="4" t="s">
        <v>3655</v>
      </c>
      <c r="C2910" s="5" t="str">
        <f>IFERROR(__xludf.DUMMYFUNCTION("GOOGLETRANSLATE(B2910,""en"",""es-ES"")"),"Un hombre está hablando mientras mira una bicicleta.")</f>
        <v>Un hombre está hablando mientras mira una bicicleta.</v>
      </c>
    </row>
    <row r="2911">
      <c r="A2911" s="4" t="s">
        <v>3654</v>
      </c>
      <c r="B2911" s="4" t="s">
        <v>3656</v>
      </c>
      <c r="C2911" s="5" t="str">
        <f>IFERROR(__xludf.DUMMYFUNCTION("GOOGLETRANSLATE(B2911,""en"",""es-ES"")"),"Coloca una herramienta de control de velocidad en el manillar de la bicicleta.")</f>
        <v>Coloca una herramienta de control de velocidad en el manillar de la bicicleta.</v>
      </c>
    </row>
    <row r="2912">
      <c r="A2912" s="4" t="s">
        <v>3654</v>
      </c>
      <c r="B2912" s="4" t="s">
        <v>3657</v>
      </c>
      <c r="C2912" s="5" t="str">
        <f>IFERROR(__xludf.DUMMYFUNCTION("GOOGLETRANSLATE(B2912,""en"",""es-ES"")"),"Continúa hablando hasta que tiene el bar en su lugar.")</f>
        <v>Continúa hablando hasta que tiene el bar en su lugar.</v>
      </c>
    </row>
    <row r="2913">
      <c r="A2913" s="4" t="s">
        <v>3658</v>
      </c>
      <c r="B2913" s="4" t="s">
        <v>3659</v>
      </c>
      <c r="C2913" s="5" t="str">
        <f>IFERROR(__xludf.DUMMYFUNCTION("GOOGLETRANSLATE(B2913,""en"",""es-ES"")"),"Se ve a un hombre sentado en un taburete mientras se pone una guitarra en sus manos.")</f>
        <v>Se ve a un hombre sentado en un taburete mientras se pone una guitarra en sus manos.</v>
      </c>
    </row>
    <row r="2914">
      <c r="A2914" s="4" t="s">
        <v>3658</v>
      </c>
      <c r="B2914" s="4" t="s">
        <v>3660</v>
      </c>
      <c r="C2914" s="5" t="str">
        <f>IFERROR(__xludf.DUMMYFUNCTION("GOOGLETRANSLATE(B2914,""en"",""es-ES"")"),"La cámara se desplaza de cerca alrededor de la guitarra mientras el hombre continúa hablando.")</f>
        <v>La cámara se desplaza de cerca alrededor de la guitarra mientras el hombre continúa hablando.</v>
      </c>
    </row>
    <row r="2915">
      <c r="A2915" s="4" t="s">
        <v>3658</v>
      </c>
      <c r="B2915" s="4" t="s">
        <v>3661</v>
      </c>
      <c r="C2915" s="5" t="str">
        <f>IFERROR(__xludf.DUMMYFUNCTION("GOOGLETRANSLATE(B2915,""en"",""es-ES"")"),"El hombre luego toca la guitarra un poco y mueve sus manos arriba y abajo del cuello.")</f>
        <v>El hombre luego toca la guitarra un poco y mueve sus manos arriba y abajo del cuello.</v>
      </c>
    </row>
    <row r="2916">
      <c r="A2916" s="4" t="s">
        <v>3662</v>
      </c>
      <c r="B2916" s="4" t="s">
        <v>3663</v>
      </c>
      <c r="C2916" s="5" t="str">
        <f>IFERROR(__xludf.DUMMYFUNCTION("GOOGLETRANSLATE(B2916,""en"",""es-ES"")"),"Se ve a una persona cabalgando sobre un caballo sobre saltos en cámara lenta mientras otros miran.")</f>
        <v>Se ve a una persona cabalgando sobre un caballo sobre saltos en cámara lenta mientras otros miran.</v>
      </c>
    </row>
    <row r="2917">
      <c r="A2917" s="4" t="s">
        <v>3662</v>
      </c>
      <c r="B2917" s="4" t="s">
        <v>3664</v>
      </c>
      <c r="C2917" s="5" t="str">
        <f>IFERROR(__xludf.DUMMYFUNCTION("GOOGLETRANSLATE(B2917,""en"",""es-ES"")"),"El video se mueve más rápido a medida que se ve a más personas saltando sobre obstáculos y una hablando con la cámara.")</f>
        <v>El video se mueve más rápido a medida que se ve a más personas saltando sobre obstáculos y una hablando con la cámara.</v>
      </c>
    </row>
    <row r="2918">
      <c r="A2918" s="4" t="s">
        <v>3662</v>
      </c>
      <c r="B2918" s="4" t="s">
        <v>3665</v>
      </c>
      <c r="C2918" s="5" t="str">
        <f>IFERROR(__xludf.DUMMYFUNCTION("GOOGLETRANSLATE(B2918,""en"",""es-ES"")"),"Se muestran varios clips más de personas que viajan en caballos, así como imágenes entre y más primeros planos de caballos.")</f>
        <v>Se muestran varios clips más de personas que viajan en caballos, así como imágenes entre y más primeros planos de caballos.</v>
      </c>
    </row>
    <row r="2919">
      <c r="A2919" s="4" t="s">
        <v>3666</v>
      </c>
      <c r="B2919" s="4" t="s">
        <v>3667</v>
      </c>
      <c r="C2919" s="5" t="str">
        <f>IFERROR(__xludf.DUMMYFUNCTION("GOOGLETRANSLATE(B2919,""en"",""es-ES"")"),"Una dama se dobla ligeramente en una cancha al aire libre.")</f>
        <v>Una dama se dobla ligeramente en una cancha al aire libre.</v>
      </c>
    </row>
    <row r="2920">
      <c r="A2920" s="4" t="s">
        <v>3666</v>
      </c>
      <c r="B2920" s="4" t="s">
        <v>3668</v>
      </c>
      <c r="C2920" s="5" t="str">
        <f>IFERROR(__xludf.DUMMYFUNCTION("GOOGLETRANSLATE(B2920,""en"",""es-ES"")"),"La dama se levanta y gira.")</f>
        <v>La dama se levanta y gira.</v>
      </c>
    </row>
    <row r="2921">
      <c r="A2921" s="4" t="s">
        <v>3666</v>
      </c>
      <c r="B2921" s="4" t="s">
        <v>3669</v>
      </c>
      <c r="C2921" s="5" t="str">
        <f>IFERROR(__xludf.DUMMYFUNCTION("GOOGLETRANSLATE(B2921,""en"",""es-ES"")"),"La señora libera su mano de su cuello.")</f>
        <v>La señora libera su mano de su cuello.</v>
      </c>
    </row>
    <row r="2922">
      <c r="A2922" s="4" t="s">
        <v>3670</v>
      </c>
      <c r="B2922" s="4" t="s">
        <v>3671</v>
      </c>
      <c r="C2922" s="5" t="str">
        <f>IFERROR(__xludf.DUMMYFUNCTION("GOOGLETRANSLATE(B2922,""en"",""es-ES"")"),"Se ve a un hombre nadando en una piscina mientras pasa una pelota a un perro de regreso y cuarto.")</f>
        <v>Se ve a un hombre nadando en una piscina mientras pasa una pelota a un perro de regreso y cuarto.</v>
      </c>
    </row>
    <row r="2923">
      <c r="A2923" s="4" t="s">
        <v>3670</v>
      </c>
      <c r="B2923" s="4" t="s">
        <v>3672</v>
      </c>
      <c r="C2923" s="5" t="str">
        <f>IFERROR(__xludf.DUMMYFUNCTION("GOOGLETRANSLATE(B2923,""en"",""es-ES"")"),"El hombre continúa pasando la pelota mientras el perro lo golpea de regreso.")</f>
        <v>El hombre continúa pasando la pelota mientras el perro lo golpea de regreso.</v>
      </c>
    </row>
    <row r="2924">
      <c r="A2924" s="4" t="s">
        <v>3673</v>
      </c>
      <c r="B2924" s="4" t="s">
        <v>3674</v>
      </c>
      <c r="C2924" s="5" t="str">
        <f>IFERROR(__xludf.DUMMYFUNCTION("GOOGLETRANSLATE(B2924,""en"",""es-ES"")"),"Se muestran varias imágenes fijas del cabello de un hombre.")</f>
        <v>Se muestran varias imágenes fijas del cabello de un hombre.</v>
      </c>
    </row>
    <row r="2925">
      <c r="A2925" s="4" t="s">
        <v>3673</v>
      </c>
      <c r="B2925" s="4" t="s">
        <v>3675</v>
      </c>
      <c r="C2925" s="5" t="str">
        <f>IFERROR(__xludf.DUMMYFUNCTION("GOOGLETRANSLATE(B2925,""en"",""es-ES"")"),"Se muestra a un hombre que recibe un corte de cabello y un peinado en el tiempo acelerado.")</f>
        <v>Se muestra a un hombre que recibe un corte de cabello y un peinado en el tiempo acelerado.</v>
      </c>
    </row>
    <row r="2926">
      <c r="A2926" s="4" t="s">
        <v>3673</v>
      </c>
      <c r="B2926" s="4" t="s">
        <v>3676</v>
      </c>
      <c r="C2926" s="5" t="str">
        <f>IFERROR(__xludf.DUMMYFUNCTION("GOOGLETRANSLATE(B2926,""en"",""es-ES"")"),"Se muestran imágenes todavía del cabello del hombre después del peinado.")</f>
        <v>Se muestran imágenes todavía del cabello del hombre después del peinado.</v>
      </c>
    </row>
    <row r="2927">
      <c r="A2927" s="4" t="s">
        <v>3677</v>
      </c>
      <c r="B2927" s="4" t="s">
        <v>3678</v>
      </c>
      <c r="C2927" s="5" t="str">
        <f>IFERROR(__xludf.DUMMYFUNCTION("GOOGLETRANSLATE(B2927,""en"",""es-ES"")"),"Un hombre se encuentra en una corte.")</f>
        <v>Un hombre se encuentra en una corte.</v>
      </c>
    </row>
    <row r="2928">
      <c r="A2928" s="4" t="s">
        <v>3677</v>
      </c>
      <c r="B2928" s="4" t="s">
        <v>3679</v>
      </c>
      <c r="C2928" s="5" t="str">
        <f>IFERROR(__xludf.DUMMYFUNCTION("GOOGLETRANSLATE(B2928,""en"",""es-ES"")"),"Golpea una pelota con una raqueta.")</f>
        <v>Golpea una pelota con una raqueta.</v>
      </c>
    </row>
    <row r="2929">
      <c r="A2929" s="4" t="s">
        <v>3677</v>
      </c>
      <c r="B2929" s="4" t="s">
        <v>3680</v>
      </c>
      <c r="C2929" s="5" t="str">
        <f>IFERROR(__xludf.DUMMYFUNCTION("GOOGLETRANSLATE(B2929,""en"",""es-ES"")"),"Se muestran varios atletas diferentes golpeando bolas.")</f>
        <v>Se muestran varios atletas diferentes golpeando bolas.</v>
      </c>
    </row>
    <row r="2930">
      <c r="A2930" s="4" t="s">
        <v>3677</v>
      </c>
      <c r="B2930" s="4" t="s">
        <v>3681</v>
      </c>
      <c r="C2930" s="5" t="str">
        <f>IFERROR(__xludf.DUMMYFUNCTION("GOOGLETRANSLATE(B2930,""en"",""es-ES"")"),"Algunos de ellos animan al final.")</f>
        <v>Algunos de ellos animan al final.</v>
      </c>
    </row>
    <row r="2931">
      <c r="A2931" s="4" t="s">
        <v>3682</v>
      </c>
      <c r="B2931" s="4" t="s">
        <v>3683</v>
      </c>
      <c r="C2931" s="5" t="str">
        <f>IFERROR(__xludf.DUMMYFUNCTION("GOOGLETRANSLATE(B2931,""en"",""es-ES"")"),"Un hombre está cortando una cebolla con un cuchillo en un tablero de corte.")</f>
        <v>Un hombre está cortando una cebolla con un cuchillo en un tablero de corte.</v>
      </c>
    </row>
    <row r="2932">
      <c r="A2932" s="4" t="s">
        <v>3682</v>
      </c>
      <c r="B2932" s="4" t="s">
        <v>3684</v>
      </c>
      <c r="C2932" s="5" t="str">
        <f>IFERROR(__xludf.DUMMYFUNCTION("GOOGLETRANSLATE(B2932,""en"",""es-ES"")"),"Una mujer está leyendo un periódico cerca mientras él le habla y le muestra algo en su mano.")</f>
        <v>Una mujer está leyendo un periódico cerca mientras él le habla y le muestra algo en su mano.</v>
      </c>
    </row>
    <row r="2933">
      <c r="A2933" s="4" t="s">
        <v>3682</v>
      </c>
      <c r="B2933" s="4" t="s">
        <v>3685</v>
      </c>
      <c r="C2933" s="5" t="str">
        <f>IFERROR(__xludf.DUMMYFUNCTION("GOOGLETRANSLATE(B2933,""en"",""es-ES"")"),"El hombre agudiza sus cuchillos usando una herramienta eléctrica.")</f>
        <v>El hombre agudiza sus cuchillos usando una herramienta eléctrica.</v>
      </c>
    </row>
    <row r="2934">
      <c r="A2934" s="4" t="s">
        <v>3682</v>
      </c>
      <c r="B2934" s="4" t="s">
        <v>3686</v>
      </c>
      <c r="C2934" s="5" t="str">
        <f>IFERROR(__xludf.DUMMYFUNCTION("GOOGLETRANSLATE(B2934,""en"",""es-ES"")"),"Luego continúa cortando su cebolla.")</f>
        <v>Luego continúa cortando su cebolla.</v>
      </c>
    </row>
    <row r="2935">
      <c r="A2935" s="4" t="s">
        <v>3687</v>
      </c>
      <c r="B2935" s="4" t="s">
        <v>3688</v>
      </c>
      <c r="C2935" s="5" t="str">
        <f>IFERROR(__xludf.DUMMYFUNCTION("GOOGLETRANSLATE(B2935,""en"",""es-ES"")"),"Una mujer está parada en una tabla de buceo.")</f>
        <v>Una mujer está parada en una tabla de buceo.</v>
      </c>
    </row>
    <row r="2936">
      <c r="A2936" s="4" t="s">
        <v>3687</v>
      </c>
      <c r="B2936" s="4" t="s">
        <v>3689</v>
      </c>
      <c r="C2936" s="5" t="str">
        <f>IFERROR(__xludf.DUMMYFUNCTION("GOOGLETRANSLATE(B2936,""en"",""es-ES"")"),"Ella salta al agua.")</f>
        <v>Ella salta al agua.</v>
      </c>
    </row>
    <row r="2937">
      <c r="A2937" s="4" t="s">
        <v>3687</v>
      </c>
      <c r="B2937" s="4" t="s">
        <v>3690</v>
      </c>
      <c r="C2937" s="5" t="str">
        <f>IFERROR(__xludf.DUMMYFUNCTION("GOOGLETRANSLATE(B2937,""en"",""es-ES"")"),"La gente está parada debajo de la junta de buceo.")</f>
        <v>La gente está parada debajo de la junta de buceo.</v>
      </c>
    </row>
    <row r="2938">
      <c r="A2938" s="4" t="s">
        <v>3691</v>
      </c>
      <c r="B2938" s="4" t="s">
        <v>3692</v>
      </c>
      <c r="C2938" s="5" t="str">
        <f>IFERROR(__xludf.DUMMYFUNCTION("GOOGLETRANSLATE(B2938,""en"",""es-ES"")"),"Una competencia de ciclismo está a punto de comenzar y la multitud está lista.")</f>
        <v>Una competencia de ciclismo está a punto de comenzar y la multitud está lista.</v>
      </c>
    </row>
    <row r="2939">
      <c r="A2939" s="4" t="s">
        <v>3691</v>
      </c>
      <c r="B2939" s="4" t="s">
        <v>3693</v>
      </c>
      <c r="C2939" s="5" t="str">
        <f>IFERROR(__xludf.DUMMYFUNCTION("GOOGLETRANSLATE(B2939,""en"",""es-ES"")"),"Los jinetes comienzan y ya muchos caen durante el primer gran salto.")</f>
        <v>Los jinetes comienzan y ya muchos caen durante el primer gran salto.</v>
      </c>
    </row>
    <row r="2940">
      <c r="A2940" s="4" t="s">
        <v>3691</v>
      </c>
      <c r="B2940" s="4" t="s">
        <v>3694</v>
      </c>
      <c r="C2940" s="5" t="str">
        <f>IFERROR(__xludf.DUMMYFUNCTION("GOOGLETRANSLATE(B2940,""en"",""es-ES"")"),"Se muestran varios aspectos destacados de los jinetes que intentan los saltos grandes.")</f>
        <v>Se muestran varios aspectos destacados de los jinetes que intentan los saltos grandes.</v>
      </c>
    </row>
    <row r="2941">
      <c r="A2941" s="4" t="s">
        <v>3691</v>
      </c>
      <c r="B2941" s="4" t="s">
        <v>3695</v>
      </c>
      <c r="C2941" s="5" t="str">
        <f>IFERROR(__xludf.DUMMYFUNCTION("GOOGLETRANSLATE(B2941,""en"",""es-ES"")"),"Tres ganadores son coronados al final en una ceremonia.")</f>
        <v>Tres ganadores son coronados al final en una ceremonia.</v>
      </c>
    </row>
    <row r="2942">
      <c r="A2942" s="4" t="s">
        <v>3696</v>
      </c>
      <c r="B2942" s="4" t="s">
        <v>3697</v>
      </c>
      <c r="C2942" s="5" t="str">
        <f>IFERROR(__xludf.DUMMYFUNCTION("GOOGLETRANSLATE(B2942,""en"",""es-ES"")"),"Se ve a un hombre sosteniendo una bandera mientras otros se paran a su alrededor y un corredor entra en el marco.")</f>
        <v>Se ve a un hombre sosteniendo una bandera mientras otros se paran a su alrededor y un corredor entra en el marco.</v>
      </c>
    </row>
    <row r="2943">
      <c r="A2943" s="4" t="s">
        <v>3696</v>
      </c>
      <c r="B2943" s="4" t="s">
        <v>3698</v>
      </c>
      <c r="C2943" s="5" t="str">
        <f>IFERROR(__xludf.DUMMYFUNCTION("GOOGLETRANSLATE(B2943,""en"",""es-ES"")"),"El corredor toma varios saltos y aterriza en un pozo, todo en cámara lenta.")</f>
        <v>El corredor toma varios saltos y aterriza en un pozo, todo en cámara lenta.</v>
      </c>
    </row>
    <row r="2944">
      <c r="A2944" s="4" t="s">
        <v>3699</v>
      </c>
      <c r="B2944" s="4" t="s">
        <v>3700</v>
      </c>
      <c r="C2944" s="5" t="str">
        <f>IFERROR(__xludf.DUMMYFUNCTION("GOOGLETRANSLATE(B2944,""en"",""es-ES"")"),"Una persona está utilizando un accesorio de vacío para aspirar el piso de madera.")</f>
        <v>Una persona está utilizando un accesorio de vacío para aspirar el piso de madera.</v>
      </c>
    </row>
    <row r="2945">
      <c r="A2945" s="4" t="s">
        <v>3699</v>
      </c>
      <c r="B2945" s="4" t="s">
        <v>3701</v>
      </c>
      <c r="C2945" s="5" t="str">
        <f>IFERROR(__xludf.DUMMYFUNCTION("GOOGLETRANSLATE(B2945,""en"",""es-ES"")"),"La persona luego aspira una alfombra en el piso.")</f>
        <v>La persona luego aspira una alfombra en el piso.</v>
      </c>
    </row>
    <row r="2946">
      <c r="A2946" s="4" t="s">
        <v>3699</v>
      </c>
      <c r="B2946" s="4" t="s">
        <v>3702</v>
      </c>
      <c r="C2946" s="5" t="str">
        <f>IFERROR(__xludf.DUMMYFUNCTION("GOOGLETRANSLATE(B2946,""en"",""es-ES"")"),"La persona aspira la parte posterior de un gato que se encuentra cerca.")</f>
        <v>La persona aspira la parte posterior de un gato que se encuentra cerca.</v>
      </c>
    </row>
    <row r="2947">
      <c r="A2947" s="4" t="s">
        <v>3699</v>
      </c>
      <c r="B2947" s="4" t="s">
        <v>3703</v>
      </c>
      <c r="C2947" s="5" t="str">
        <f>IFERROR(__xludf.DUMMYFUNCTION("GOOGLETRANSLATE(B2947,""en"",""es-ES"")"),"La persona regresa a la aspiradora del piso de madera.")</f>
        <v>La persona regresa a la aspiradora del piso de madera.</v>
      </c>
    </row>
    <row r="2948">
      <c r="A2948" s="4" t="s">
        <v>3704</v>
      </c>
      <c r="B2948" s="4" t="s">
        <v>3705</v>
      </c>
      <c r="C2948" s="5" t="str">
        <f>IFERROR(__xludf.DUMMYFUNCTION("GOOGLETRANSLATE(B2948,""en"",""es-ES"")"),"Una mujer y sus 2 hijos viajan en un camello en una feria o algún evento.")</f>
        <v>Una mujer y sus 2 hijos viajan en un camello en una feria o algún evento.</v>
      </c>
    </row>
    <row r="2949">
      <c r="A2949" s="4" t="s">
        <v>3704</v>
      </c>
      <c r="B2949" s="4" t="s">
        <v>3706</v>
      </c>
      <c r="C2949" s="5" t="str">
        <f>IFERROR(__xludf.DUMMYFUNCTION("GOOGLETRANSLATE(B2949,""en"",""es-ES"")"),"Hay un trabajador que camina con ellos en círculos caminando por el camello con una cuerda mientras conducen.")</f>
        <v>Hay un trabajador que camina con ellos en círculos caminando por el camello con una cuerda mientras conducen.</v>
      </c>
    </row>
    <row r="2950">
      <c r="A2950" s="4" t="s">
        <v>3704</v>
      </c>
      <c r="B2950" s="4" t="s">
        <v>3707</v>
      </c>
      <c r="C2950" s="5" t="str">
        <f>IFERROR(__xludf.DUMMYFUNCTION("GOOGLETRANSLATE(B2950,""en"",""es-ES"")"),"Dan vueltas varias veces una y otra vez en un círculo alrededor de una pequeña área cerrada.")</f>
        <v>Dan vueltas varias veces una y otra vez en un círculo alrededor de una pequeña área cerrada.</v>
      </c>
    </row>
    <row r="2951">
      <c r="A2951" s="4" t="s">
        <v>3704</v>
      </c>
      <c r="B2951" s="4" t="s">
        <v>3708</v>
      </c>
      <c r="C2951" s="5" t="str">
        <f>IFERROR(__xludf.DUMMYFUNCTION("GOOGLETRANSLATE(B2951,""en"",""es-ES"")"),"Cuando terminan, se detienen por una barandilla roja, el trabajador golpea el camello en la cara mientras el jinete se cae.")</f>
        <v>Cuando terminan, se detienen por una barandilla roja, el trabajador golpea el camello en la cara mientras el jinete se cae.</v>
      </c>
    </row>
    <row r="2952">
      <c r="A2952" s="4" t="s">
        <v>3709</v>
      </c>
      <c r="B2952" s="4" t="s">
        <v>3710</v>
      </c>
      <c r="C2952" s="5" t="str">
        <f>IFERROR(__xludf.DUMMYFUNCTION("GOOGLETRANSLATE(B2952,""en"",""es-ES"")"),"Una mujer está parada en un piano.")</f>
        <v>Una mujer está parada en un piano.</v>
      </c>
    </row>
    <row r="2953">
      <c r="A2953" s="4" t="s">
        <v>3709</v>
      </c>
      <c r="B2953" s="4" t="s">
        <v>3711</v>
      </c>
      <c r="C2953" s="5" t="str">
        <f>IFERROR(__xludf.DUMMYFUNCTION("GOOGLETRANSLATE(B2953,""en"",""es-ES"")"),"Una persona está jugando el piano.")</f>
        <v>Una persona está jugando el piano.</v>
      </c>
    </row>
    <row r="2954">
      <c r="A2954" s="4" t="s">
        <v>3709</v>
      </c>
      <c r="B2954" s="4" t="s">
        <v>3712</v>
      </c>
      <c r="C2954" s="5" t="str">
        <f>IFERROR(__xludf.DUMMYFUNCTION("GOOGLETRANSLATE(B2954,""en"",""es-ES"")"),"El piano se da vuelta y una mujer está de pie detrás de él.")</f>
        <v>El piano se da vuelta y una mujer está de pie detrás de él.</v>
      </c>
    </row>
    <row r="2955">
      <c r="A2955" s="4" t="s">
        <v>3713</v>
      </c>
      <c r="B2955" s="4" t="s">
        <v>3714</v>
      </c>
      <c r="C2955" s="5" t="str">
        <f>IFERROR(__xludf.DUMMYFUNCTION("GOOGLETRANSLATE(B2955,""en"",""es-ES"")"),"Vemos una pantalla de apertura oscura.")</f>
        <v>Vemos una pantalla de apertura oscura.</v>
      </c>
    </row>
    <row r="2956">
      <c r="A2956" s="4" t="s">
        <v>3713</v>
      </c>
      <c r="B2956" s="4" t="s">
        <v>3715</v>
      </c>
      <c r="C2956" s="5" t="str">
        <f>IFERROR(__xludf.DUMMYFUNCTION("GOOGLETRANSLATE(B2956,""en"",""es-ES"")"),"Luego vemos personas que realizan bailes de hip hop.")</f>
        <v>Luego vemos personas que realizan bailes de hip hop.</v>
      </c>
    </row>
    <row r="2957">
      <c r="A2957" s="4" t="s">
        <v>3713</v>
      </c>
      <c r="B2957" s="4" t="s">
        <v>3716</v>
      </c>
      <c r="C2957" s="5" t="str">
        <f>IFERROR(__xludf.DUMMYFUNCTION("GOOGLETRANSLATE(B2957,""en"",""es-ES"")"),"Vemos una señal para el evento de 2004.")</f>
        <v>Vemos una señal para el evento de 2004.</v>
      </c>
    </row>
    <row r="2958">
      <c r="A2958" s="4" t="s">
        <v>3713</v>
      </c>
      <c r="B2958" s="4" t="s">
        <v>3717</v>
      </c>
      <c r="C2958" s="5" t="str">
        <f>IFERROR(__xludf.DUMMYFUNCTION("GOOGLETRANSLATE(B2958,""en"",""es-ES"")"),"Vemos gente frente a una audiencia bailando.")</f>
        <v>Vemos gente frente a una audiencia bailando.</v>
      </c>
    </row>
    <row r="2959">
      <c r="A2959" s="4" t="s">
        <v>3713</v>
      </c>
      <c r="B2959" s="4" t="s">
        <v>3718</v>
      </c>
      <c r="C2959" s="5" t="str">
        <f>IFERROR(__xludf.DUMMYFUNCTION("GOOGLETRANSLATE(B2959,""en"",""es-ES"")"),"Vemos a un hombre hacer un giro por los clips de la multitud.")</f>
        <v>Vemos a un hombre hacer un giro por los clips de la multitud.</v>
      </c>
    </row>
    <row r="2960">
      <c r="A2960" s="4" t="s">
        <v>3713</v>
      </c>
      <c r="B2960" s="4" t="s">
        <v>3719</v>
      </c>
      <c r="C2960" s="5" t="str">
        <f>IFERROR(__xludf.DUMMYFUNCTION("GOOGLETRANSLATE(B2960,""en"",""es-ES"")"),"Vemos una señal para el evento de 2005.")</f>
        <v>Vemos una señal para el evento de 2005.</v>
      </c>
    </row>
    <row r="2961">
      <c r="A2961" s="4" t="s">
        <v>3713</v>
      </c>
      <c r="B2961" s="4" t="s">
        <v>3720</v>
      </c>
      <c r="C2961" s="5" t="str">
        <f>IFERROR(__xludf.DUMMYFUNCTION("GOOGLETRANSLATE(B2961,""en"",""es-ES"")"),"Dos hombres hacen un arco.")</f>
        <v>Dos hombres hacen un arco.</v>
      </c>
    </row>
    <row r="2962">
      <c r="A2962" s="4" t="s">
        <v>3713</v>
      </c>
      <c r="B2962" s="4" t="s">
        <v>3721</v>
      </c>
      <c r="C2962" s="5" t="str">
        <f>IFERROR(__xludf.DUMMYFUNCTION("GOOGLETRANSLATE(B2962,""en"",""es-ES"")"),"Vemos una pantalla para el evento 2006.")</f>
        <v>Vemos una pantalla para el evento 2006.</v>
      </c>
    </row>
    <row r="2963">
      <c r="A2963" s="4" t="s">
        <v>3713</v>
      </c>
      <c r="B2963" s="4" t="s">
        <v>3722</v>
      </c>
      <c r="C2963" s="5" t="str">
        <f>IFERROR(__xludf.DUMMYFUNCTION("GOOGLETRANSLATE(B2963,""en"",""es-ES"")"),"Un hombre de rojo hace un montón de movimientos.")</f>
        <v>Un hombre de rojo hace un montón de movimientos.</v>
      </c>
    </row>
    <row r="2964">
      <c r="A2964" s="4" t="s">
        <v>3713</v>
      </c>
      <c r="B2964" s="4" t="s">
        <v>3723</v>
      </c>
      <c r="C2964" s="5" t="str">
        <f>IFERROR(__xludf.DUMMYFUNCTION("GOOGLETRANSLATE(B2964,""en"",""es-ES"")"),"Vemos señales para el evento de 2007.")</f>
        <v>Vemos señales para el evento de 2007.</v>
      </c>
    </row>
    <row r="2965">
      <c r="A2965" s="4" t="s">
        <v>3724</v>
      </c>
      <c r="B2965" s="4" t="s">
        <v>3725</v>
      </c>
      <c r="C2965" s="5" t="str">
        <f>IFERROR(__xludf.DUMMYFUNCTION("GOOGLETRANSLATE(B2965,""en"",""es-ES"")"),"Se muestra un primer plano de una cachimba azul de abajo hacia arriba.")</f>
        <v>Se muestra un primer plano de una cachimba azul de abajo hacia arriba.</v>
      </c>
    </row>
    <row r="2966">
      <c r="A2966" s="4" t="s">
        <v>3724</v>
      </c>
      <c r="B2966" s="4" t="s">
        <v>3726</v>
      </c>
      <c r="C2966" s="5" t="str">
        <f>IFERROR(__xludf.DUMMYFUNCTION("GOOGLETRANSLATE(B2966,""en"",""es-ES"")"),"Se muestra el tazón, luego la cachimba está llena de agua por guantes.")</f>
        <v>Se muestra el tazón, luego la cachimba está llena de agua por guantes.</v>
      </c>
    </row>
    <row r="2967">
      <c r="A2967" s="4" t="s">
        <v>3724</v>
      </c>
      <c r="B2967" s="4" t="s">
        <v>3727</v>
      </c>
      <c r="C2967" s="5" t="str">
        <f>IFERROR(__xludf.DUMMYFUNCTION("GOOGLETRANSLATE(B2967,""en"",""es-ES"")"),"La manguera está unida a la cachimba.")</f>
        <v>La manguera está unida a la cachimba.</v>
      </c>
    </row>
    <row r="2968">
      <c r="A2968" s="4" t="s">
        <v>3724</v>
      </c>
      <c r="B2968" s="4" t="s">
        <v>3728</v>
      </c>
      <c r="C2968" s="5" t="str">
        <f>IFERROR(__xludf.DUMMYFUNCTION("GOOGLETRANSLATE(B2968,""en"",""es-ES"")"),"El tabaco se empaqueta en el tazón, luego se cubre con papel de aluminio y se perfora con un palillo de dientes.")</f>
        <v>El tabaco se empaqueta en el tazón, luego se cubre con papel de aluminio y se perfora con un palillo de dientes.</v>
      </c>
    </row>
    <row r="2969">
      <c r="A2969" s="4" t="s">
        <v>3724</v>
      </c>
      <c r="B2969" s="4" t="s">
        <v>3729</v>
      </c>
      <c r="C2969" s="5" t="str">
        <f>IFERROR(__xludf.DUMMYFUNCTION("GOOGLETRANSLATE(B2969,""en"",""es-ES"")"),"Se enciende un pedazo de carbón, entonces la persona invisible fuma la narguile mientras lee un libro.")</f>
        <v>Se enciende un pedazo de carbón, entonces la persona invisible fuma la narguile mientras lee un libro.</v>
      </c>
    </row>
    <row r="2970">
      <c r="A2970" s="4" t="s">
        <v>3730</v>
      </c>
      <c r="B2970" s="4" t="s">
        <v>3731</v>
      </c>
      <c r="C2970" s="5" t="str">
        <f>IFERROR(__xludf.DUMMYFUNCTION("GOOGLETRANSLATE(B2970,""en"",""es-ES"")"),"Vemos a un hombre en una mesa en un campo jugando una fruta para hacer un jugo.")</f>
        <v>Vemos a un hombre en una mesa en un campo jugando una fruta para hacer un jugo.</v>
      </c>
    </row>
    <row r="2971">
      <c r="A2971" s="4" t="s">
        <v>3730</v>
      </c>
      <c r="B2971" s="4" t="s">
        <v>3732</v>
      </c>
      <c r="C2971" s="5" t="str">
        <f>IFERROR(__xludf.DUMMYFUNCTION("GOOGLETRANSLATE(B2971,""en"",""es-ES"")"),"El hombre juega 2 frutas y luego pone azúcar en dos vasos.")</f>
        <v>El hombre juega 2 frutas y luego pone azúcar en dos vasos.</v>
      </c>
    </row>
    <row r="2972">
      <c r="A2972" s="4" t="s">
        <v>3730</v>
      </c>
      <c r="B2972" s="4" t="s">
        <v>3733</v>
      </c>
      <c r="C2972" s="5" t="str">
        <f>IFERROR(__xludf.DUMMYFUNCTION("GOOGLETRANSLATE(B2972,""en"",""es-ES"")"),"El hombre luego corta y juega cuatro frutas más.")</f>
        <v>El hombre luego corta y juega cuatro frutas más.</v>
      </c>
    </row>
    <row r="2973">
      <c r="A2973" s="4" t="s">
        <v>3730</v>
      </c>
      <c r="B2973" s="4" t="s">
        <v>3734</v>
      </c>
      <c r="C2973" s="5" t="str">
        <f>IFERROR(__xludf.DUMMYFUNCTION("GOOGLETRANSLATE(B2973,""en"",""es-ES"")"),"El hombre agrega más azúcar a los vasos y agua helada del cubo debajo de la fruta.")</f>
        <v>El hombre agrega más azúcar a los vasos y agua helada del cubo debajo de la fruta.</v>
      </c>
    </row>
    <row r="2974">
      <c r="A2974" s="4" t="s">
        <v>3735</v>
      </c>
      <c r="B2974" s="4" t="s">
        <v>3736</v>
      </c>
      <c r="C2974" s="5" t="str">
        <f>IFERROR(__xludf.DUMMYFUNCTION("GOOGLETRANSLATE(B2974,""en"",""es-ES"")"),"Varias fotografías de hogares y objetos son seguidos por un hombre que vierte líquidos en un cubo.")</f>
        <v>Varias fotografías de hogares y objetos son seguidos por un hombre que vierte líquidos en un cubo.</v>
      </c>
    </row>
    <row r="2975">
      <c r="A2975" s="4" t="s">
        <v>3735</v>
      </c>
      <c r="B2975" s="4" t="s">
        <v>3737</v>
      </c>
      <c r="C2975" s="5" t="str">
        <f>IFERROR(__xludf.DUMMYFUNCTION("GOOGLETRANSLATE(B2975,""en"",""es-ES"")"),"Vierte más objetos en el cubo mientras otro hombre lo gira.")</f>
        <v>Vierte más objetos en el cubo mientras otro hombre lo gira.</v>
      </c>
    </row>
    <row r="2976">
      <c r="A2976" s="4" t="s">
        <v>3735</v>
      </c>
      <c r="B2976" s="4" t="s">
        <v>3738</v>
      </c>
      <c r="C2976" s="5" t="str">
        <f>IFERROR(__xludf.DUMMYFUNCTION("GOOGLETRANSLATE(B2976,""en"",""es-ES"")"),"El hombre abre una caja llena de piedra y coloca un poco de yeso en una pared.")</f>
        <v>El hombre abre una caja llena de piedra y coloca un poco de yeso en una pared.</v>
      </c>
    </row>
    <row r="2977">
      <c r="A2977" s="4" t="s">
        <v>3735</v>
      </c>
      <c r="B2977" s="4" t="s">
        <v>3739</v>
      </c>
      <c r="C2977" s="5" t="str">
        <f>IFERROR(__xludf.DUMMYFUNCTION("GOOGLETRANSLATE(B2977,""en"",""es-ES"")"),"Empuja la piedra hacia la pared una y otra vez para crear un muro de piedra para una casa.")</f>
        <v>Empuja la piedra hacia la pared una y otra vez para crear un muro de piedra para una casa.</v>
      </c>
    </row>
    <row r="2978">
      <c r="A2978" s="4" t="s">
        <v>3740</v>
      </c>
      <c r="B2978" s="4" t="s">
        <v>3741</v>
      </c>
      <c r="C2978" s="5" t="str">
        <f>IFERROR(__xludf.DUMMYFUNCTION("GOOGLETRANSLATE(B2978,""en"",""es-ES"")"),"Un niño está sentado en una silla de salón y hablando.")</f>
        <v>Un niño está sentado en una silla de salón y hablando.</v>
      </c>
    </row>
    <row r="2979">
      <c r="A2979" s="4" t="s">
        <v>3740</v>
      </c>
      <c r="B2979" s="4" t="s">
        <v>3742</v>
      </c>
      <c r="C2979" s="5" t="str">
        <f>IFERROR(__xludf.DUMMYFUNCTION("GOOGLETRANSLATE(B2979,""en"",""es-ES"")"),"Un estilista se corta el cabello en un nuevo estilo.")</f>
        <v>Un estilista se corta el cabello en un nuevo estilo.</v>
      </c>
    </row>
    <row r="2980">
      <c r="A2980" s="4" t="s">
        <v>3740</v>
      </c>
      <c r="B2980" s="4" t="s">
        <v>3743</v>
      </c>
      <c r="C2980" s="5" t="str">
        <f>IFERROR(__xludf.DUMMYFUNCTION("GOOGLETRANSLATE(B2980,""en"",""es-ES"")"),"Se seca y rocía el cabello en un aspecto picante.")</f>
        <v>Se seca y rocía el cabello en un aspecto picante.</v>
      </c>
    </row>
    <row r="2981">
      <c r="A2981" s="4" t="s">
        <v>3744</v>
      </c>
      <c r="B2981" s="4" t="s">
        <v>3745</v>
      </c>
      <c r="C2981" s="5" t="str">
        <f>IFERROR(__xludf.DUMMYFUNCTION("GOOGLETRANSLATE(B2981,""en"",""es-ES"")"),"Vemos personas en autos de parachoques en un carnaval.")</f>
        <v>Vemos personas en autos de parachoques en un carnaval.</v>
      </c>
    </row>
    <row r="2982">
      <c r="A2982" s="4" t="s">
        <v>3744</v>
      </c>
      <c r="B2982" s="4" t="s">
        <v>3746</v>
      </c>
      <c r="C2982" s="5" t="str">
        <f>IFERROR(__xludf.DUMMYFUNCTION("GOOGLETRANSLATE(B2982,""en"",""es-ES"")"),"La cámara se fue y vemos la cancha de conducir.")</f>
        <v>La cámara se fue y vemos la cancha de conducir.</v>
      </c>
    </row>
    <row r="2983">
      <c r="A2983" s="4" t="s">
        <v>3744</v>
      </c>
      <c r="B2983" s="4" t="s">
        <v>3747</v>
      </c>
      <c r="C2983" s="5" t="str">
        <f>IFERROR(__xludf.DUMMYFUNCTION("GOOGLETRANSLATE(B2983,""en"",""es-ES"")"),"Una persona en púrpura pasa a la cámara.")</f>
        <v>Una persona en púrpura pasa a la cámara.</v>
      </c>
    </row>
    <row r="2984">
      <c r="A2984" s="4" t="s">
        <v>3744</v>
      </c>
      <c r="B2984" s="4" t="s">
        <v>3748</v>
      </c>
      <c r="C2984" s="5" t="str">
        <f>IFERROR(__xludf.DUMMYFUNCTION("GOOGLETRANSLATE(B2984,""en"",""es-ES"")"),"Una niña sonríe a la cámara mientras pasa.")</f>
        <v>Una niña sonríe a la cámara mientras pasa.</v>
      </c>
    </row>
    <row r="2985">
      <c r="A2985" s="4" t="s">
        <v>3749</v>
      </c>
      <c r="B2985" s="4" t="s">
        <v>3750</v>
      </c>
      <c r="C2985" s="5" t="str">
        <f>IFERROR(__xludf.DUMMYFUNCTION("GOOGLETRANSLATE(B2985,""en"",""es-ES"")"),"Una niña está jugando con arena en una playa.")</f>
        <v>Una niña está jugando con arena en una playa.</v>
      </c>
    </row>
    <row r="2986">
      <c r="A2986" s="4" t="s">
        <v>3749</v>
      </c>
      <c r="B2986" s="4" t="s">
        <v>3751</v>
      </c>
      <c r="C2986" s="5" t="str">
        <f>IFERROR(__xludf.DUMMYFUNCTION("GOOGLETRANSLATE(B2986,""en"",""es-ES"")"),"Luego se levanta y mira a otras personas.")</f>
        <v>Luego se levanta y mira a otras personas.</v>
      </c>
    </row>
    <row r="2987">
      <c r="A2987" s="4" t="s">
        <v>3752</v>
      </c>
      <c r="B2987" s="4" t="s">
        <v>3753</v>
      </c>
      <c r="C2987" s="5" t="str">
        <f>IFERROR(__xludf.DUMMYFUNCTION("GOOGLETRANSLATE(B2987,""en"",""es-ES"")"),"La gente está parada junto a una mesa de ping pong.")</f>
        <v>La gente está parada junto a una mesa de ping pong.</v>
      </c>
    </row>
    <row r="2988">
      <c r="A2988" s="4" t="s">
        <v>3752</v>
      </c>
      <c r="B2988" s="4" t="s">
        <v>3754</v>
      </c>
      <c r="C2988" s="5" t="str">
        <f>IFERROR(__xludf.DUMMYFUNCTION("GOOGLETRANSLATE(B2988,""en"",""es-ES"")"),"Un hombre está demostrando cómo jugar sin una paleta.")</f>
        <v>Un hombre está demostrando cómo jugar sin una paleta.</v>
      </c>
    </row>
    <row r="2989">
      <c r="A2989" s="4" t="s">
        <v>3752</v>
      </c>
      <c r="B2989" s="4" t="s">
        <v>3755</v>
      </c>
      <c r="C2989" s="5" t="str">
        <f>IFERROR(__xludf.DUMMYFUNCTION("GOOGLETRANSLATE(B2989,""en"",""es-ES"")"),"Dos personas comienzan a jugar un juego de Ping Pong.")</f>
        <v>Dos personas comienzan a jugar un juego de Ping Pong.</v>
      </c>
    </row>
    <row r="2990">
      <c r="A2990" s="4" t="s">
        <v>3756</v>
      </c>
      <c r="B2990" s="4" t="s">
        <v>3757</v>
      </c>
      <c r="C2990" s="5" t="str">
        <f>IFERROR(__xludf.DUMMYFUNCTION("GOOGLETRANSLATE(B2990,""en"",""es-ES"")"),"Dos hombres están sentados en mesas redondas hablando en micrófonos.")</f>
        <v>Dos hombres están sentados en mesas redondas hablando en micrófonos.</v>
      </c>
    </row>
    <row r="2991">
      <c r="A2991" s="4" t="s">
        <v>3756</v>
      </c>
      <c r="B2991" s="4" t="s">
        <v>3758</v>
      </c>
      <c r="C2991" s="5" t="str">
        <f>IFERROR(__xludf.DUMMYFUNCTION("GOOGLETRANSLATE(B2991,""en"",""es-ES"")"),"Los hombres están siendo entrevistados en un gran campo de fútbol.")</f>
        <v>Los hombres están siendo entrevistados en un gran campo de fútbol.</v>
      </c>
    </row>
    <row r="2992">
      <c r="A2992" s="4" t="s">
        <v>3756</v>
      </c>
      <c r="B2992" s="4" t="s">
        <v>3759</v>
      </c>
      <c r="C2992" s="5" t="str">
        <f>IFERROR(__xludf.DUMMYFUNCTION("GOOGLETRANSLATE(B2992,""en"",""es-ES"")"),"Los hombres están jugando ping pong en Themiddle of Stadium, mientras que mucha gente se reúne.")</f>
        <v>Los hombres están jugando ping pong en Themiddle of Stadium, mientras que mucha gente se reúne.</v>
      </c>
    </row>
    <row r="2993">
      <c r="A2993" s="4" t="s">
        <v>3760</v>
      </c>
      <c r="B2993" s="4" t="s">
        <v>3761</v>
      </c>
      <c r="C2993" s="5" t="str">
        <f>IFERROR(__xludf.DUMMYFUNCTION("GOOGLETRANSLATE(B2993,""en"",""es-ES"")"),"Vemos una corriente de agua blanca que se mueve rápidamente.")</f>
        <v>Vemos una corriente de agua blanca que se mueve rápidamente.</v>
      </c>
    </row>
    <row r="2994">
      <c r="A2994" s="4" t="s">
        <v>3760</v>
      </c>
      <c r="B2994" s="4" t="s">
        <v>3762</v>
      </c>
      <c r="C2994" s="5" t="str">
        <f>IFERROR(__xludf.DUMMYFUNCTION("GOOGLETRANSLATE(B2994,""en"",""es-ES"")"),"Un hombre con equipo de rafting azul y un casco está mirando desde una cama de rocas.")</f>
        <v>Un hombre con equipo de rafting azul y un casco está mirando desde una cama de rocas.</v>
      </c>
    </row>
    <row r="2995">
      <c r="A2995" s="4" t="s">
        <v>3760</v>
      </c>
      <c r="B2995" s="4" t="s">
        <v>3763</v>
      </c>
      <c r="C2995" s="5" t="str">
        <f>IFERROR(__xludf.DUMMYFUNCTION("GOOGLETRANSLATE(B2995,""en"",""es-ES"")"),"Notamos que un hombre en un kayak y un casco amarillo entran desde la izquierda.")</f>
        <v>Notamos que un hombre en un kayak y un casco amarillo entran desde la izquierda.</v>
      </c>
    </row>
    <row r="2996">
      <c r="A2996" s="4" t="s">
        <v>3760</v>
      </c>
      <c r="B2996" s="4" t="s">
        <v>3764</v>
      </c>
      <c r="C2996" s="5" t="str">
        <f>IFERROR(__xludf.DUMMYFUNCTION("GOOGLETRANSLATE(B2996,""en"",""es-ES"")"),"A medida que se acerca, su kayak voltea al revés.")</f>
        <v>A medida que se acerca, su kayak voltea al revés.</v>
      </c>
    </row>
    <row r="2997">
      <c r="A2997" s="4" t="s">
        <v>3760</v>
      </c>
      <c r="B2997" s="4" t="s">
        <v>3765</v>
      </c>
      <c r="C2997" s="5" t="str">
        <f>IFERROR(__xludf.DUMMYFUNCTION("GOOGLETRANSLATE(B2997,""en"",""es-ES"")"),"Cuando la vista lo sigue, notamos a otro hombre sentado en las rocas a la derecha en rojo con un casco blanco.")</f>
        <v>Cuando la vista lo sigue, notamos a otro hombre sentado en las rocas a la derecha en rojo con un casco blanco.</v>
      </c>
    </row>
    <row r="2998">
      <c r="A2998" s="4" t="s">
        <v>3766</v>
      </c>
      <c r="B2998" s="4" t="s">
        <v>3767</v>
      </c>
      <c r="C2998" s="5" t="str">
        <f>IFERROR(__xludf.DUMMYFUNCTION("GOOGLETRANSLATE(B2998,""en"",""es-ES"")"),"Una mujer trenza su cabello en varias trenzas.")</f>
        <v>Una mujer trenza su cabello en varias trenzas.</v>
      </c>
    </row>
    <row r="2999">
      <c r="A2999" s="4" t="s">
        <v>3766</v>
      </c>
      <c r="B2999" s="4" t="s">
        <v>3768</v>
      </c>
      <c r="C2999" s="5" t="str">
        <f>IFERROR(__xludf.DUMMYFUNCTION("GOOGLETRANSLATE(B2999,""en"",""es-ES"")"),"Ella los ata detrás de su cabeza.")</f>
        <v>Ella los ata detrás de su cabeza.</v>
      </c>
    </row>
    <row r="3000">
      <c r="A3000" s="4" t="s">
        <v>3769</v>
      </c>
      <c r="B3000" s="4" t="s">
        <v>3770</v>
      </c>
      <c r="C3000" s="5" t="str">
        <f>IFERROR(__xludf.DUMMYFUNCTION("GOOGLETRANSLATE(B3000,""en"",""es-ES"")"),"Una gimnasta realiza una rutina de barras desiguales mientras la gente mira.")</f>
        <v>Una gimnasta realiza una rutina de barras desiguales mientras la gente mira.</v>
      </c>
    </row>
    <row r="3001">
      <c r="A3001" s="4" t="s">
        <v>3769</v>
      </c>
      <c r="B3001" s="4" t="s">
        <v>3771</v>
      </c>
      <c r="C3001" s="5" t="str">
        <f>IFERROR(__xludf.DUMMYFUNCTION("GOOGLETRANSLATE(B3001,""en"",""es-ES"")"),"El juez supervisa la rutina de la gimnasta.")</f>
        <v>El juez supervisa la rutina de la gimnasta.</v>
      </c>
    </row>
    <row r="3002">
      <c r="A3002" s="4" t="s">
        <v>3769</v>
      </c>
      <c r="B3002" s="4" t="s">
        <v>3772</v>
      </c>
      <c r="C3002" s="5" t="str">
        <f>IFERROR(__xludf.DUMMYFUNCTION("GOOGLETRANSLATE(B3002,""en"",""es-ES"")"),"Luego, la gimnasta gira que sostiene la barra más alta y salta en la colchoneta.")</f>
        <v>Luego, la gimnasta gira que sostiene la barra más alta y salta en la colchoneta.</v>
      </c>
    </row>
    <row r="3003">
      <c r="A3003" s="4" t="s">
        <v>3773</v>
      </c>
      <c r="B3003" s="4" t="s">
        <v>3774</v>
      </c>
      <c r="C3003" s="5" t="str">
        <f>IFERROR(__xludf.DUMMYFUNCTION("GOOGLETRANSLATE(B3003,""en"",""es-ES"")"),"Se ve a dos hombres parados alrededor de una habitación grande y golpeando una pelota de tenis con raquetas de tenis.")</f>
        <v>Se ve a dos hombres parados alrededor de una habitación grande y golpeando una pelota de tenis con raquetas de tenis.</v>
      </c>
    </row>
    <row r="3004">
      <c r="A3004" s="4" t="s">
        <v>3773</v>
      </c>
      <c r="B3004" s="4" t="s">
        <v>3775</v>
      </c>
      <c r="C3004" s="5" t="str">
        <f>IFERROR(__xludf.DUMMYFUNCTION("GOOGLETRANSLATE(B3004,""en"",""es-ES"")"),"Los hombres golpearon el balón y cuarto entre sí y corren por la habitación al mismo tiempo.")</f>
        <v>Los hombres golpearon el balón y cuarto entre sí y corren por la habitación al mismo tiempo.</v>
      </c>
    </row>
    <row r="3005">
      <c r="A3005" s="4" t="s">
        <v>3776</v>
      </c>
      <c r="B3005" s="4" t="s">
        <v>3777</v>
      </c>
      <c r="C3005" s="5" t="str">
        <f>IFERROR(__xludf.DUMMYFUNCTION("GOOGLETRANSLATE(B3005,""en"",""es-ES"")"),"Vemos dos pantallas de apertura para el póker en un casino.")</f>
        <v>Vemos dos pantallas de apertura para el póker en un casino.</v>
      </c>
    </row>
    <row r="3006">
      <c r="A3006" s="4" t="s">
        <v>3776</v>
      </c>
      <c r="B3006" s="4" t="s">
        <v>3778</v>
      </c>
      <c r="C3006" s="5" t="str">
        <f>IFERROR(__xludf.DUMMYFUNCTION("GOOGLETRANSLATE(B3006,""en"",""es-ES"")"),"Vemos al concesionario hablar y hacer tarjetas.")</f>
        <v>Vemos al concesionario hablar y hacer tarjetas.</v>
      </c>
    </row>
    <row r="3007">
      <c r="A3007" s="4" t="s">
        <v>3776</v>
      </c>
      <c r="B3007" s="4" t="s">
        <v>3779</v>
      </c>
      <c r="C3007" s="5" t="str">
        <f>IFERROR(__xludf.DUMMYFUNCTION("GOOGLETRANSLATE(B3007,""en"",""es-ES"")"),"Vemos un gran signo de premio mayor.")</f>
        <v>Vemos un gran signo de premio mayor.</v>
      </c>
    </row>
    <row r="3008">
      <c r="A3008" s="4" t="s">
        <v>3776</v>
      </c>
      <c r="B3008" s="4" t="s">
        <v>3780</v>
      </c>
      <c r="C3008" s="5" t="str">
        <f>IFERROR(__xludf.DUMMYFUNCTION("GOOGLETRANSLATE(B3008,""en"",""es-ES"")"),"Vemos al concesionario barajar las cartas.")</f>
        <v>Vemos al concesionario barajar las cartas.</v>
      </c>
    </row>
    <row r="3009">
      <c r="A3009" s="4" t="s">
        <v>3776</v>
      </c>
      <c r="B3009" s="4" t="s">
        <v>3781</v>
      </c>
      <c r="C3009" s="5" t="str">
        <f>IFERROR(__xludf.DUMMYFUNCTION("GOOGLETRANSLATE(B3009,""en"",""es-ES"")"),"Vemos al hombre echar un vistazo a sus cartas.")</f>
        <v>Vemos al hombre echar un vistazo a sus cartas.</v>
      </c>
    </row>
    <row r="3010">
      <c r="A3010" s="4" t="s">
        <v>3776</v>
      </c>
      <c r="B3010" s="4" t="s">
        <v>3782</v>
      </c>
      <c r="C3010" s="5" t="str">
        <f>IFERROR(__xludf.DUMMYFUNCTION("GOOGLETRANSLATE(B3010,""en"",""es-ES"")"),"El hombre mira sus cartas nuevamente.")</f>
        <v>El hombre mira sus cartas nuevamente.</v>
      </c>
    </row>
    <row r="3011">
      <c r="A3011" s="4" t="s">
        <v>3776</v>
      </c>
      <c r="B3011" s="4" t="s">
        <v>3783</v>
      </c>
      <c r="C3011" s="5" t="str">
        <f>IFERROR(__xludf.DUMMYFUNCTION("GOOGLETRANSLATE(B3011,""en"",""es-ES"")"),"El concesionario entrega las cartas de los jugadores.")</f>
        <v>El concesionario entrega las cartas de los jugadores.</v>
      </c>
    </row>
    <row r="3012">
      <c r="A3012" s="4" t="s">
        <v>3776</v>
      </c>
      <c r="B3012" s="4" t="s">
        <v>3784</v>
      </c>
      <c r="C3012" s="5" t="str">
        <f>IFERROR(__xludf.DUMMYFUNCTION("GOOGLETRANSLATE(B3012,""en"",""es-ES"")"),"Vemos la pantalla de cierre para el casino.")</f>
        <v>Vemos la pantalla de cierre para el casino.</v>
      </c>
    </row>
    <row r="3013">
      <c r="A3013" s="4" t="s">
        <v>3785</v>
      </c>
      <c r="B3013" s="4" t="s">
        <v>3786</v>
      </c>
      <c r="C3013" s="5" t="str">
        <f>IFERROR(__xludf.DUMMYFUNCTION("GOOGLETRANSLATE(B3013,""en"",""es-ES"")"),"Un hombre con una camisa azul y pantalones cortos levanta un gran peso sobre su cabeza.")</f>
        <v>Un hombre con una camisa azul y pantalones cortos levanta un gran peso sobre su cabeza.</v>
      </c>
    </row>
    <row r="3014">
      <c r="A3014" s="4" t="s">
        <v>3785</v>
      </c>
      <c r="B3014" s="4" t="s">
        <v>3787</v>
      </c>
      <c r="C3014" s="5" t="str">
        <f>IFERROR(__xludf.DUMMYFUNCTION("GOOGLETRANSLATE(B3014,""en"",""es-ES"")"),"Otro hombre lo está filmando.")</f>
        <v>Otro hombre lo está filmando.</v>
      </c>
    </row>
    <row r="3015">
      <c r="A3015" s="4" t="s">
        <v>3785</v>
      </c>
      <c r="B3015" s="4" t="s">
        <v>3788</v>
      </c>
      <c r="C3015" s="5" t="str">
        <f>IFERROR(__xludf.DUMMYFUNCTION("GOOGLETRANSLATE(B3015,""en"",""es-ES"")"),"El mismo hombre regresa y levanta el peso sobre su cabeza nuevamente.")</f>
        <v>El mismo hombre regresa y levanta el peso sobre su cabeza nuevamente.</v>
      </c>
    </row>
    <row r="3016">
      <c r="A3016" s="4" t="s">
        <v>3785</v>
      </c>
      <c r="B3016" s="4" t="s">
        <v>3789</v>
      </c>
      <c r="C3016" s="5" t="str">
        <f>IFERROR(__xludf.DUMMYFUNCTION("GOOGLETRANSLATE(B3016,""en"",""es-ES"")"),"Lo deja caer en el suelo y se aleja.")</f>
        <v>Lo deja caer en el suelo y se aleja.</v>
      </c>
    </row>
    <row r="3017">
      <c r="A3017" s="4" t="s">
        <v>3790</v>
      </c>
      <c r="B3017" s="4" t="s">
        <v>3791</v>
      </c>
      <c r="C3017" s="5" t="str">
        <f>IFERROR(__xludf.DUMMYFUNCTION("GOOGLETRANSLATE(B3017,""en"",""es-ES"")"),"El envoltorio de regalos navideños es fácil, esta tienda de vidrio ofrece un tutorial sobre cómo envolver regalos en forma de incómodo.")</f>
        <v>El envoltorio de regalos navideños es fácil, esta tienda de vidrio ofrece un tutorial sobre cómo envolver regalos en forma de incómodo.</v>
      </c>
    </row>
    <row r="3018">
      <c r="A3018" s="4" t="s">
        <v>3790</v>
      </c>
      <c r="B3018" s="4" t="s">
        <v>3792</v>
      </c>
      <c r="C3018" s="5" t="str">
        <f>IFERROR(__xludf.DUMMYFUNCTION("GOOGLETRANSLATE(B3018,""en"",""es-ES"")"),"Coloque el objeto en el papel de envoltura para comenzar.")</f>
        <v>Coloque el objeto en el papel de envoltura para comenzar.</v>
      </c>
    </row>
    <row r="3019">
      <c r="A3019" s="4" t="s">
        <v>3790</v>
      </c>
      <c r="B3019" s="4" t="s">
        <v>3793</v>
      </c>
      <c r="C3019" s="5" t="str">
        <f>IFERROR(__xludf.DUMMYFUNCTION("GOOGLETRANSLATE(B3019,""en"",""es-ES"")"),"Después, dobla la punta del papel, tomas el tijera y cortas tiras.")</f>
        <v>Después, dobla la punta del papel, tomas el tijera y cortas tiras.</v>
      </c>
    </row>
    <row r="3020">
      <c r="A3020" s="4" t="s">
        <v>3790</v>
      </c>
      <c r="B3020" s="4" t="s">
        <v>3794</v>
      </c>
      <c r="C3020" s="5" t="str">
        <f>IFERROR(__xludf.DUMMYFUNCTION("GOOGLETRANSLATE(B3020,""en"",""es-ES"")"),"Luego usa la cinta para sujetarla y colóquela con un arco.")</f>
        <v>Luego usa la cinta para sujetarla y colóquela con un arco.</v>
      </c>
    </row>
    <row r="3021">
      <c r="A3021" s="4" t="s">
        <v>3795</v>
      </c>
      <c r="B3021" s="4" t="s">
        <v>3796</v>
      </c>
      <c r="C3021" s="5" t="str">
        <f>IFERROR(__xludf.DUMMYFUNCTION("GOOGLETRANSLATE(B3021,""en"",""es-ES"")"),"El video comienza con una pantalla de título.")</f>
        <v>El video comienza con una pantalla de título.</v>
      </c>
    </row>
    <row r="3022">
      <c r="A3022" s="4" t="s">
        <v>3795</v>
      </c>
      <c r="B3022" s="4" t="s">
        <v>3797</v>
      </c>
      <c r="C3022" s="5" t="str">
        <f>IFERROR(__xludf.DUMMYFUNCTION("GOOGLETRANSLATE(B3022,""en"",""es-ES"")"),"Se ve a un hombre mayor en un gimnasio hablando con la cámara mientras los hombres juegan voleibol en el fondo.")</f>
        <v>Se ve a un hombre mayor en un gimnasio hablando con la cámara mientras los hombres juegan voleibol en el fondo.</v>
      </c>
    </row>
    <row r="3023">
      <c r="A3023" s="4" t="s">
        <v>3795</v>
      </c>
      <c r="B3023" s="4" t="s">
        <v>3798</v>
      </c>
      <c r="C3023" s="5" t="str">
        <f>IFERROR(__xludf.DUMMYFUNCTION("GOOGLETRANSLATE(B3023,""en"",""es-ES"")"),"Una pantalla simulada que muestra una cancha de voleibol muestra mientras habla.")</f>
        <v>Una pantalla simulada que muestra una cancha de voleibol muestra mientras habla.</v>
      </c>
    </row>
    <row r="3024">
      <c r="A3024" s="4" t="s">
        <v>3795</v>
      </c>
      <c r="B3024" s="4" t="s">
        <v>3799</v>
      </c>
      <c r="C3024" s="5" t="str">
        <f>IFERROR(__xludf.DUMMYFUNCTION("GOOGLETRANSLATE(B3024,""en"",""es-ES"")"),"El video luego vuelve al hombre mayor que dirige a los jugadores.")</f>
        <v>El video luego vuelve al hombre mayor que dirige a los jugadores.</v>
      </c>
    </row>
    <row r="3025">
      <c r="A3025" s="4" t="s">
        <v>3795</v>
      </c>
      <c r="B3025" s="4" t="s">
        <v>3800</v>
      </c>
      <c r="C3025" s="5" t="str">
        <f>IFERROR(__xludf.DUMMYFUNCTION("GOOGLETRANSLATE(B3025,""en"",""es-ES"")"),"Los hombres comienzan a tirar un voleibol de un lado a otro.")</f>
        <v>Los hombres comienzan a tirar un voleibol de un lado a otro.</v>
      </c>
    </row>
    <row r="3026">
      <c r="A3026" s="4" t="s">
        <v>3795</v>
      </c>
      <c r="B3026" s="4" t="s">
        <v>3801</v>
      </c>
      <c r="C3026" s="5" t="str">
        <f>IFERROR(__xludf.DUMMYFUNCTION("GOOGLETRANSLATE(B3026,""en"",""es-ES"")"),"El video termina con una pantalla de título final.")</f>
        <v>El video termina con una pantalla de título final.</v>
      </c>
    </row>
    <row r="3027">
      <c r="A3027" s="4" t="s">
        <v>3802</v>
      </c>
      <c r="B3027" s="4" t="s">
        <v>3803</v>
      </c>
      <c r="C3027" s="5" t="str">
        <f>IFERROR(__xludf.DUMMYFUNCTION("GOOGLETRANSLATE(B3027,""en"",""es-ES"")"),"Una chica asiática sentada en un escritorio describe la lucha libre.")</f>
        <v>Una chica asiática sentada en un escritorio describe la lucha libre.</v>
      </c>
    </row>
    <row r="3028">
      <c r="A3028" s="4" t="s">
        <v>3802</v>
      </c>
      <c r="B3028" s="4" t="s">
        <v>3804</v>
      </c>
      <c r="C3028" s="5" t="str">
        <f>IFERROR(__xludf.DUMMYFUNCTION("GOOGLETRANSLATE(B3028,""en"",""es-ES"")"),"La niña presenta a un niño asiático que se sienta frente a la niña asiática.")</f>
        <v>La niña presenta a un niño asiático que se sienta frente a la niña asiática.</v>
      </c>
    </row>
    <row r="3029">
      <c r="A3029" s="4" t="s">
        <v>3802</v>
      </c>
      <c r="B3029" s="4" t="s">
        <v>3805</v>
      </c>
      <c r="C3029" s="5" t="str">
        <f>IFERROR(__xludf.DUMMYFUNCTION("GOOGLETRANSLATE(B3029,""en"",""es-ES"")"),"La niña y el niño se preparan para luchar mientras un árbitro se encuentra por encima del luchador del brazo de la niña usa ambos brazos y empuja en la dirección equivocada.")</f>
        <v>La niña y el niño se preparan para luchar mientras un árbitro se encuentra por encima del luchador del brazo de la niña usa ambos brazos y empuja en la dirección equivocada.</v>
      </c>
    </row>
    <row r="3030">
      <c r="A3030" s="4" t="s">
        <v>3802</v>
      </c>
      <c r="B3030" s="4" t="s">
        <v>3806</v>
      </c>
      <c r="C3030" s="5" t="str">
        <f>IFERROR(__xludf.DUMMYFUNCTION("GOOGLETRANSLATE(B3030,""en"",""es-ES"")"),"Los luchadores de la niña y el brazo se ponen en posición nuevamente con el árbitro que los establece, comienzan a luchar.")</f>
        <v>Los luchadores de la niña y el brazo se ponen en posición nuevamente con el árbitro que los establece, comienzan a luchar.</v>
      </c>
    </row>
    <row r="3031">
      <c r="A3031" s="4" t="s">
        <v>3802</v>
      </c>
      <c r="B3031" s="4" t="s">
        <v>3807</v>
      </c>
      <c r="C3031" s="5" t="str">
        <f>IFERROR(__xludf.DUMMYFUNCTION("GOOGLETRANSLATE(B3031,""en"",""es-ES"")"),"La luchadora de la niña intenta luchar usando ambos brazos y su cuerpo, pero cae al suelo.")</f>
        <v>La luchadora de la niña intenta luchar usando ambos brazos y su cuerpo, pero cae al suelo.</v>
      </c>
    </row>
    <row r="3032">
      <c r="A3032" s="4" t="s">
        <v>3808</v>
      </c>
      <c r="B3032" s="4" t="s">
        <v>3809</v>
      </c>
      <c r="C3032" s="5" t="str">
        <f>IFERROR(__xludf.DUMMYFUNCTION("GOOGLETRANSLATE(B3032,""en"",""es-ES"")"),"Se ven tres hombres sentados detrás de un conjunto de tambores de bongo que tocan rápidamente mientras se muestran varios flashes de la cámara.")</f>
        <v>Se ven tres hombres sentados detrás de un conjunto de tambores de bongo que tocan rápidamente mientras se muestran varios flashes de la cámara.</v>
      </c>
    </row>
    <row r="3033">
      <c r="A3033" s="4" t="s">
        <v>3808</v>
      </c>
      <c r="B3033" s="4" t="s">
        <v>3810</v>
      </c>
      <c r="C3033" s="5" t="str">
        <f>IFERROR(__xludf.DUMMYFUNCTION("GOOGLETRANSLATE(B3033,""en"",""es-ES"")"),"Los hombres continúan jugando de nuevo mientras se ríen y sonreen unos a otros.")</f>
        <v>Los hombres continúan jugando de nuevo mientras se ríen y sonreen unos a otros.</v>
      </c>
    </row>
    <row r="3034">
      <c r="A3034" s="4" t="s">
        <v>3811</v>
      </c>
      <c r="B3034" s="4" t="s">
        <v>3812</v>
      </c>
      <c r="C3034" s="5" t="str">
        <f>IFERROR(__xludf.DUMMYFUNCTION("GOOGLETRANSLATE(B3034,""en"",""es-ES"")"),"Un niño adolescente salta a una patineta, patinando por una calle y subiendo un camino de entrada antes de volver a la calle.")</f>
        <v>Un niño adolescente salta a una patineta, patinando por una calle y subiendo un camino de entrada antes de volver a la calle.</v>
      </c>
    </row>
    <row r="3035">
      <c r="A3035" s="4" t="s">
        <v>3811</v>
      </c>
      <c r="B3035" s="4" t="s">
        <v>3813</v>
      </c>
      <c r="C3035" s="5" t="str">
        <f>IFERROR(__xludf.DUMMYFUNCTION("GOOGLETRANSLATE(B3035,""en"",""es-ES"")"),"Desmita, hablando mientras patea el tablero.")</f>
        <v>Desmita, hablando mientras patea el tablero.</v>
      </c>
    </row>
    <row r="3036">
      <c r="A3036" s="4" t="s">
        <v>3811</v>
      </c>
      <c r="B3036" s="4" t="s">
        <v>3814</v>
      </c>
      <c r="C3036" s="5" t="str">
        <f>IFERROR(__xludf.DUMMYFUNCTION("GOOGLETRANSLATE(B3036,""en"",""es-ES"")"),"Él sonríe a la cámara, con gafas de sol.")</f>
        <v>Él sonríe a la cámara, con gafas de sol.</v>
      </c>
    </row>
    <row r="3037">
      <c r="A3037" s="4" t="s">
        <v>3815</v>
      </c>
      <c r="B3037" s="4" t="s">
        <v>3816</v>
      </c>
      <c r="C3037" s="5" t="str">
        <f>IFERROR(__xludf.DUMMYFUNCTION("GOOGLETRANSLATE(B3037,""en"",""es-ES"")"),"Un adolescente juega contra el violín en una habitación.")</f>
        <v>Un adolescente juega contra el violín en una habitación.</v>
      </c>
    </row>
    <row r="3038">
      <c r="A3038" s="4" t="s">
        <v>3815</v>
      </c>
      <c r="B3038" s="4" t="s">
        <v>3817</v>
      </c>
      <c r="C3038" s="5" t="str">
        <f>IFERROR(__xludf.DUMMYFUNCTION("GOOGLETRANSLATE(B3038,""en"",""es-ES"")"),"El adolescente sostiene el violín con la mano izquierda moviendo los dedos y jugando con el arco.")</f>
        <v>El adolescente sostiene el violín con la mano izquierda moviendo los dedos y jugando con el arco.</v>
      </c>
    </row>
    <row r="3039">
      <c r="A3039" s="4" t="s">
        <v>3815</v>
      </c>
      <c r="B3039" s="4" t="s">
        <v>3818</v>
      </c>
      <c r="C3039" s="5" t="str">
        <f>IFERROR(__xludf.DUMMYFUNCTION("GOOGLETRANSLATE(B3039,""en"",""es-ES"")"),"Entonces, el adolescente finaliza jugando el violín.")</f>
        <v>Entonces, el adolescente finaliza jugando el violín.</v>
      </c>
    </row>
    <row r="3040">
      <c r="A3040" s="4" t="s">
        <v>3819</v>
      </c>
      <c r="B3040" s="4" t="s">
        <v>3820</v>
      </c>
      <c r="C3040" s="5" t="str">
        <f>IFERROR(__xludf.DUMMYFUNCTION("GOOGLETRANSLATE(B3040,""en"",""es-ES"")"),"Un hombre está en la playa con una bicicleta.")</f>
        <v>Un hombre está en la playa con una bicicleta.</v>
      </c>
    </row>
    <row r="3041">
      <c r="A3041" s="4" t="s">
        <v>3819</v>
      </c>
      <c r="B3041" s="4" t="s">
        <v>3821</v>
      </c>
      <c r="C3041" s="5" t="str">
        <f>IFERROR(__xludf.DUMMYFUNCTION("GOOGLETRANSLATE(B3041,""en"",""es-ES"")"),"Él arena por su tabla de surf.")</f>
        <v>Él arena por su tabla de surf.</v>
      </c>
    </row>
    <row r="3042">
      <c r="A3042" s="4" t="s">
        <v>3819</v>
      </c>
      <c r="B3042" s="4" t="s">
        <v>3822</v>
      </c>
      <c r="C3042" s="5" t="str">
        <f>IFERROR(__xludf.DUMMYFUNCTION("GOOGLETRANSLATE(B3042,""en"",""es-ES"")"),"Va a surfear en el agua.")</f>
        <v>Va a surfear en el agua.</v>
      </c>
    </row>
    <row r="3043">
      <c r="A3043" s="4" t="s">
        <v>3823</v>
      </c>
      <c r="B3043" s="4" t="s">
        <v>3824</v>
      </c>
      <c r="C3043" s="5" t="str">
        <f>IFERROR(__xludf.DUMMYFUNCTION("GOOGLETRANSLATE(B3043,""en"",""es-ES"")"),"La gente está jugando un juego de voleibol en la arena en la playa.")</f>
        <v>La gente está jugando un juego de voleibol en la arena en la playa.</v>
      </c>
    </row>
    <row r="3044">
      <c r="A3044" s="4" t="s">
        <v>3823</v>
      </c>
      <c r="B3044" s="4" t="s">
        <v>3825</v>
      </c>
      <c r="C3044" s="5" t="str">
        <f>IFERROR(__xludf.DUMMYFUNCTION("GOOGLETRANSLATE(B3044,""en"",""es-ES"")"),"La gente toca la batería en la playa.")</f>
        <v>La gente toca la batería en la playa.</v>
      </c>
    </row>
    <row r="3045">
      <c r="A3045" s="4" t="s">
        <v>3823</v>
      </c>
      <c r="B3045" s="4" t="s">
        <v>3826</v>
      </c>
      <c r="C3045" s="5" t="str">
        <f>IFERROR(__xludf.DUMMYFUNCTION("GOOGLETRANSLATE(B3045,""en"",""es-ES"")"),"Una mujer con un atuendo amarillo está bailando.")</f>
        <v>Una mujer con un atuendo amarillo está bailando.</v>
      </c>
    </row>
    <row r="3046">
      <c r="A3046" s="4" t="s">
        <v>3823</v>
      </c>
      <c r="B3046" s="4" t="s">
        <v>3827</v>
      </c>
      <c r="C3046" s="5" t="str">
        <f>IFERROR(__xludf.DUMMYFUNCTION("GOOGLETRANSLATE(B3046,""en"",""es-ES"")"),"El equipo posa para una foto detrás de un banner.")</f>
        <v>El equipo posa para una foto detrás de un banner.</v>
      </c>
    </row>
    <row r="3047">
      <c r="A3047" s="4" t="s">
        <v>3828</v>
      </c>
      <c r="B3047" s="4" t="s">
        <v>3829</v>
      </c>
      <c r="C3047" s="5" t="str">
        <f>IFERROR(__xludf.DUMMYFUNCTION("GOOGLETRANSLATE(B3047,""en"",""es-ES"")"),"Un hombre con un traje aparece en la pantalla.")</f>
        <v>Un hombre con un traje aparece en la pantalla.</v>
      </c>
    </row>
    <row r="3048">
      <c r="A3048" s="4" t="s">
        <v>3828</v>
      </c>
      <c r="B3048" s="4" t="s">
        <v>3830</v>
      </c>
      <c r="C3048" s="5" t="str">
        <f>IFERROR(__xludf.DUMMYFUNCTION("GOOGLETRANSLATE(B3048,""en"",""es-ES"")"),"El hombre comienza a pelear con otro hombre.")</f>
        <v>El hombre comienza a pelear con otro hombre.</v>
      </c>
    </row>
    <row r="3049">
      <c r="A3049" s="4" t="s">
        <v>3828</v>
      </c>
      <c r="B3049" s="4" t="s">
        <v>3831</v>
      </c>
      <c r="C3049" s="5" t="str">
        <f>IFERROR(__xludf.DUMMYFUNCTION("GOOGLETRANSLATE(B3049,""en"",""es-ES"")"),"El hombre en el traje restablece su postura.")</f>
        <v>El hombre en el traje restablece su postura.</v>
      </c>
    </row>
    <row r="3050">
      <c r="A3050" s="4" t="s">
        <v>3828</v>
      </c>
      <c r="B3050" s="4" t="s">
        <v>3832</v>
      </c>
      <c r="C3050" s="5" t="str">
        <f>IFERROR(__xludf.DUMMYFUNCTION("GOOGLETRANSLATE(B3050,""en"",""es-ES"")"),"Después de pelear más, el hombre en el traje restablece su postura nuevamente.")</f>
        <v>Después de pelear más, el hombre en el traje restablece su postura nuevamente.</v>
      </c>
    </row>
    <row r="3051">
      <c r="A3051" s="4" t="s">
        <v>3828</v>
      </c>
      <c r="B3051" s="4" t="s">
        <v>3833</v>
      </c>
      <c r="C3051" s="5" t="str">
        <f>IFERROR(__xludf.DUMMYFUNCTION("GOOGLETRANSLATE(B3051,""en"",""es-ES"")"),"Después de que la lucha continúa, otro hombre aparece en la habitación y escolta al hombre en el traje.")</f>
        <v>Después de que la lucha continúa, otro hombre aparece en la habitación y escolta al hombre en el traje.</v>
      </c>
    </row>
    <row r="3052">
      <c r="A3052" s="4" t="s">
        <v>3834</v>
      </c>
      <c r="B3052" s="4" t="s">
        <v>3835</v>
      </c>
      <c r="C3052" s="5" t="str">
        <f>IFERROR(__xludf.DUMMYFUNCTION("GOOGLETRANSLATE(B3052,""en"",""es-ES"")"),"Se ve a un hombre hablando con la cámara y la devuelve a un piano.")</f>
        <v>Se ve a un hombre hablando con la cámara y la devuelve a un piano.</v>
      </c>
    </row>
    <row r="3053">
      <c r="A3053" s="4" t="s">
        <v>3834</v>
      </c>
      <c r="B3053" s="4" t="s">
        <v>3836</v>
      </c>
      <c r="C3053" s="5" t="str">
        <f>IFERROR(__xludf.DUMMYFUNCTION("GOOGLETRANSLATE(B3053,""en"",""es-ES"")"),"El hombre luego comienza a tocar el piano mientras la cámara captura sus movimientos.")</f>
        <v>El hombre luego comienza a tocar el piano mientras la cámara captura sus movimientos.</v>
      </c>
    </row>
    <row r="3054">
      <c r="A3054" s="4" t="s">
        <v>3834</v>
      </c>
      <c r="B3054" s="4" t="s">
        <v>3837</v>
      </c>
      <c r="C3054" s="5" t="str">
        <f>IFERROR(__xludf.DUMMYFUNCTION("GOOGLETRANSLATE(B3054,""en"",""es-ES"")"),"Él continúa jugando y termina apagando la cámara y mirando a lo lejos.")</f>
        <v>Él continúa jugando y termina apagando la cámara y mirando a lo lejos.</v>
      </c>
    </row>
    <row r="3055">
      <c r="A3055" s="4" t="s">
        <v>3838</v>
      </c>
      <c r="B3055" s="4" t="s">
        <v>3839</v>
      </c>
      <c r="C3055" s="5" t="str">
        <f>IFERROR(__xludf.DUMMYFUNCTION("GOOGLETRANSLATE(B3055,""en"",""es-ES"")"),"Una mujer sostiene a un gato en una mesa.")</f>
        <v>Una mujer sostiene a un gato en una mesa.</v>
      </c>
    </row>
    <row r="3056">
      <c r="A3056" s="4" t="s">
        <v>3838</v>
      </c>
      <c r="B3056" s="4" t="s">
        <v>3840</v>
      </c>
      <c r="C3056" s="5" t="str">
        <f>IFERROR(__xludf.DUMMYFUNCTION("GOOGLETRANSLATE(B3056,""en"",""es-ES"")"),"Ella comienza a cortar las uñas de los gatos con una herramienta.")</f>
        <v>Ella comienza a cortar las uñas de los gatos con una herramienta.</v>
      </c>
    </row>
    <row r="3057">
      <c r="A3057" s="4" t="s">
        <v>3838</v>
      </c>
      <c r="B3057" s="4" t="s">
        <v>3841</v>
      </c>
      <c r="C3057" s="5" t="str">
        <f>IFERROR(__xludf.DUMMYFUNCTION("GOOGLETRANSLATE(B3057,""en"",""es-ES"")"),"Ella termina y machaca al gato.")</f>
        <v>Ella termina y machaca al gato.</v>
      </c>
    </row>
    <row r="3058">
      <c r="A3058" s="4" t="s">
        <v>3842</v>
      </c>
      <c r="B3058" s="4" t="s">
        <v>3843</v>
      </c>
      <c r="C3058" s="5" t="str">
        <f>IFERROR(__xludf.DUMMYFUNCTION("GOOGLETRANSLATE(B3058,""en"",""es-ES"")"),"Un hombre y un niño hacen un castillo de arena en la playa.")</f>
        <v>Un hombre y un niño hacen un castillo de arena en la playa.</v>
      </c>
    </row>
    <row r="3059">
      <c r="A3059" s="4" t="s">
        <v>3842</v>
      </c>
      <c r="B3059" s="4" t="s">
        <v>3844</v>
      </c>
      <c r="C3059" s="5" t="str">
        <f>IFERROR(__xludf.DUMMYFUNCTION("GOOGLETRANSLATE(B3059,""en"",""es-ES"")"),"La gente se acerca para ver el castillo y comienza a hacer una casa pequeña al lado del castillo de arena.")</f>
        <v>La gente se acerca para ver el castillo y comienza a hacer una casa pequeña al lado del castillo de arena.</v>
      </c>
    </row>
    <row r="3060">
      <c r="A3060" s="4" t="s">
        <v>3842</v>
      </c>
      <c r="B3060" s="4" t="s">
        <v>3845</v>
      </c>
      <c r="C3060" s="5" t="str">
        <f>IFERROR(__xludf.DUMMYFUNCTION("GOOGLETRANSLATE(B3060,""en"",""es-ES"")"),"Una niña está haciendo más casas al lado del castillo.")</f>
        <v>Una niña está haciendo más casas al lado del castillo.</v>
      </c>
    </row>
    <row r="3061">
      <c r="A3061" s="4" t="s">
        <v>3842</v>
      </c>
      <c r="B3061" s="4" t="s">
        <v>3846</v>
      </c>
      <c r="C3061" s="5" t="str">
        <f>IFERROR(__xludf.DUMMYFUNCTION("GOOGLETRANSLATE(B3061,""en"",""es-ES"")"),"El hombre cava un agujero en el centro mientras el niño ayuda a extender el castillo.")</f>
        <v>El hombre cava un agujero en el centro mientras el niño ayuda a extender el castillo.</v>
      </c>
    </row>
    <row r="3062">
      <c r="A3062" s="4" t="s">
        <v>3847</v>
      </c>
      <c r="B3062" s="4" t="s">
        <v>3848</v>
      </c>
      <c r="C3062" s="5" t="str">
        <f>IFERROR(__xludf.DUMMYFUNCTION("GOOGLETRANSLATE(B3062,""en"",""es-ES"")"),"Una mujer camina por la calle con una gorra.")</f>
        <v>Una mujer camina por la calle con una gorra.</v>
      </c>
    </row>
    <row r="3063">
      <c r="A3063" s="4" t="s">
        <v>3847</v>
      </c>
      <c r="B3063" s="4" t="s">
        <v>3849</v>
      </c>
      <c r="C3063" s="5" t="str">
        <f>IFERROR(__xludf.DUMMYFUNCTION("GOOGLETRANSLATE(B3063,""en"",""es-ES"")"),"Una ciudad se acerca a un mapa, luego una niña realiza un cielo acuático en un río tirado por un bote mientras voltea en el aire.")</f>
        <v>Una ciudad se acerca a un mapa, luego una niña realiza un cielo acuático en un río tirado por un bote mientras voltea en el aire.</v>
      </c>
    </row>
    <row r="3064">
      <c r="A3064" s="4" t="s">
        <v>3847</v>
      </c>
      <c r="B3064" s="4" t="s">
        <v>3850</v>
      </c>
      <c r="C3064" s="5" t="str">
        <f>IFERROR(__xludf.DUMMYFUNCTION("GOOGLETRANSLATE(B3064,""en"",""es-ES"")"),"Un camino conduce a una estación de esquí acuático, luego una mujer se desliza sobre rampas en el agua que sostiene una cuerda de esquí de agua.")</f>
        <v>Un camino conduce a una estación de esquí acuático, luego una mujer se desliza sobre rampas en el agua que sostiene una cuerda de esquí de agua.</v>
      </c>
    </row>
    <row r="3065">
      <c r="A3065" s="4" t="s">
        <v>3847</v>
      </c>
      <c r="B3065" s="4" t="s">
        <v>3851</v>
      </c>
      <c r="C3065" s="5" t="str">
        <f>IFERROR(__xludf.DUMMYFUNCTION("GOOGLETRANSLATE(B3065,""en"",""es-ES"")"),"Un hombre toma fotos a la niña.")</f>
        <v>Un hombre toma fotos a la niña.</v>
      </c>
    </row>
    <row r="3066">
      <c r="A3066" s="4" t="s">
        <v>3847</v>
      </c>
      <c r="B3066" s="4" t="s">
        <v>3852</v>
      </c>
      <c r="C3066" s="5" t="str">
        <f>IFERROR(__xludf.DUMMYFUNCTION("GOOGLETRANSLATE(B3066,""en"",""es-ES"")"),"Luego la niña se cambia de ropa y se parta en un camión que sostiene premios.")</f>
        <v>Luego la niña se cambia de ropa y se parta en un camión que sostiene premios.</v>
      </c>
    </row>
    <row r="3067">
      <c r="A3067" s="4" t="s">
        <v>3853</v>
      </c>
      <c r="B3067" s="4" t="s">
        <v>3854</v>
      </c>
      <c r="C3067" s="5" t="str">
        <f>IFERROR(__xludf.DUMMYFUNCTION("GOOGLETRANSLATE(B3067,""en"",""es-ES"")"),"La mujer está de pie en una pista de carreras y comienza a correr para dar un salto de longitud.")</f>
        <v>La mujer está de pie en una pista de carreras y comienza a correr para dar un salto de longitud.</v>
      </c>
    </row>
    <row r="3068">
      <c r="A3068" s="4" t="s">
        <v>3853</v>
      </c>
      <c r="B3068" s="4" t="s">
        <v>3855</v>
      </c>
      <c r="C3068" s="5" t="str">
        <f>IFERROR(__xludf.DUMMYFUNCTION("GOOGLETRANSLATE(B3068,""en"",""es-ES"")"),"El hombre se para y marca el espacio donde saltó la mujer.")</f>
        <v>El hombre se para y marca el espacio donde saltó la mujer.</v>
      </c>
    </row>
    <row r="3069">
      <c r="A3069" s="4" t="s">
        <v>3853</v>
      </c>
      <c r="B3069" s="4" t="s">
        <v>3856</v>
      </c>
      <c r="C3069" s="5" t="str">
        <f>IFERROR(__xludf.DUMMYFUNCTION("GOOGLETRANSLATE(B3069,""en"",""es-ES"")"),"El salto de longitud se repite y una nueva mujer está corriendo en la pista de carreras para hacer el salto de longitud también y un hombre se sienta en una bandera de whie.")</f>
        <v>El salto de longitud se repite y una nueva mujer está corriendo en la pista de carreras para hacer el salto de longitud también y un hombre se sienta en una bandera de whie.</v>
      </c>
    </row>
    <row r="3070">
      <c r="A3070" s="4" t="s">
        <v>3853</v>
      </c>
      <c r="B3070" s="4" t="s">
        <v>3857</v>
      </c>
      <c r="C3070" s="5" t="str">
        <f>IFERROR(__xludf.DUMMYFUNCTION("GOOGLETRANSLATE(B3070,""en"",""es-ES"")"),"La mujer está en la carrera Trakc, mientras que otros hombres están en el fondo y la mujer da el salto de longitud en la competencia y luego se muestra una repetición a lo largo de los resultados.")</f>
        <v>La mujer está en la carrera Trakc, mientras que otros hombres están en el fondo y la mujer da el salto de longitud en la competencia y luego se muestra una repetición a lo largo de los resultados.</v>
      </c>
    </row>
    <row r="3071">
      <c r="A3071" s="4" t="s">
        <v>3858</v>
      </c>
      <c r="B3071" s="4" t="s">
        <v>3859</v>
      </c>
      <c r="C3071" s="5" t="str">
        <f>IFERROR(__xludf.DUMMYFUNCTION("GOOGLETRANSLATE(B3071,""en"",""es-ES"")"),"Vemos una pantalla de título de apertura.")</f>
        <v>Vemos una pantalla de título de apertura.</v>
      </c>
    </row>
    <row r="3072">
      <c r="A3072" s="4" t="s">
        <v>3858</v>
      </c>
      <c r="B3072" s="4" t="s">
        <v>3860</v>
      </c>
      <c r="C3072" s="5" t="str">
        <f>IFERROR(__xludf.DUMMYFUNCTION("GOOGLETRANSLATE(B3072,""en"",""es-ES"")"),"Vemos a un hombre sosteniendo una aspiradora y usando el vacío para sostener dos bolas de bolos.")</f>
        <v>Vemos a un hombre sosteniendo una aspiradora y usando el vacío para sostener dos bolas de bolos.</v>
      </c>
    </row>
    <row r="3073">
      <c r="A3073" s="4" t="s">
        <v>3858</v>
      </c>
      <c r="B3073" s="4" t="s">
        <v>3861</v>
      </c>
      <c r="C3073" s="5" t="str">
        <f>IFERROR(__xludf.DUMMYFUNCTION("GOOGLETRANSLATE(B3073,""en"",""es-ES"")"),"El hombre aspira escaleras y un interior de un automóvil.")</f>
        <v>El hombre aspira escaleras y un interior de un automóvil.</v>
      </c>
    </row>
    <row r="3074">
      <c r="A3074" s="4" t="s">
        <v>3858</v>
      </c>
      <c r="B3074" s="4" t="s">
        <v>3862</v>
      </c>
      <c r="C3074" s="5" t="str">
        <f>IFERROR(__xludf.DUMMYFUNCTION("GOOGLETRANSLATE(B3074,""en"",""es-ES"")"),"Vemos el vacío y el hombre aspira el techo, el sofá, las persianas y otros.")</f>
        <v>Vemos el vacío y el hombre aspira el techo, el sofá, las persianas y otros.</v>
      </c>
    </row>
    <row r="3075">
      <c r="A3075" s="4" t="s">
        <v>3858</v>
      </c>
      <c r="B3075" s="4" t="s">
        <v>3863</v>
      </c>
      <c r="C3075" s="5" t="str">
        <f>IFERROR(__xludf.DUMMYFUNCTION("GOOGLETRANSLATE(B3075,""en"",""es-ES"")"),"Vemos al hombre vaciar el recipiente y poner el vacío en un armario.")</f>
        <v>Vemos al hombre vaciar el recipiente y poner el vacío en un armario.</v>
      </c>
    </row>
    <row r="3076">
      <c r="A3076" s="4" t="s">
        <v>3864</v>
      </c>
      <c r="B3076" s="4" t="s">
        <v>3865</v>
      </c>
      <c r="C3076" s="5" t="str">
        <f>IFERROR(__xludf.DUMMYFUNCTION("GOOGLETRANSLATE(B3076,""en"",""es-ES"")"),"Hay dos jóvenes, uno vestido con una camisa roja y la otra con una camisa a rayas en una bolera.")</f>
        <v>Hay dos jóvenes, uno vestido con una camisa roja y la otra con una camisa a rayas en una bolera.</v>
      </c>
    </row>
    <row r="3077">
      <c r="A3077" s="4" t="s">
        <v>3864</v>
      </c>
      <c r="B3077" s="4" t="s">
        <v>3866</v>
      </c>
      <c r="C3077" s="5" t="str">
        <f>IFERROR(__xludf.DUMMYFUNCTION("GOOGLETRANSLATE(B3077,""en"",""es-ES"")"),"El niño con la camisa roja se tazó ​​con una gran bola verde y golpea una huelga.")</f>
        <v>El niño con la camisa roja se tazó ​​con una gran bola verde y golpea una huelga.</v>
      </c>
    </row>
    <row r="3078">
      <c r="A3078" s="4" t="s">
        <v>3864</v>
      </c>
      <c r="B3078" s="4" t="s">
        <v>3867</v>
      </c>
      <c r="C3078" s="5" t="str">
        <f>IFERROR(__xludf.DUMMYFUNCTION("GOOGLETRANSLATE(B3078,""en"",""es-ES"")"),"Está extasiado después de su victoria y comienza a saltar de alegría.")</f>
        <v>Está extasiado después de su victoria y comienza a saltar de alegría.</v>
      </c>
    </row>
    <row r="3079">
      <c r="A3079" s="4" t="s">
        <v>3868</v>
      </c>
      <c r="B3079" s="4" t="s">
        <v>3869</v>
      </c>
      <c r="C3079" s="5" t="str">
        <f>IFERROR(__xludf.DUMMYFUNCTION("GOOGLETRANSLATE(B3079,""en"",""es-ES"")"),"Una mujer está bailando en un escenario.")</f>
        <v>Una mujer está bailando en un escenario.</v>
      </c>
    </row>
    <row r="3080">
      <c r="A3080" s="4" t="s">
        <v>3868</v>
      </c>
      <c r="B3080" s="4" t="s">
        <v>3870</v>
      </c>
      <c r="C3080" s="5" t="str">
        <f>IFERROR(__xludf.DUMMYFUNCTION("GOOGLETRANSLATE(B3080,""en"",""es-ES"")"),"Ella toma un micrófono y comienza a cantar.")</f>
        <v>Ella toma un micrófono y comienza a cantar.</v>
      </c>
    </row>
    <row r="3081">
      <c r="A3081" s="4" t="s">
        <v>3868</v>
      </c>
      <c r="B3081" s="4" t="s">
        <v>3871</v>
      </c>
      <c r="C3081" s="5" t="str">
        <f>IFERROR(__xludf.DUMMYFUNCTION("GOOGLETRANSLATE(B3081,""en"",""es-ES"")"),"Ella comienza a tocar una batería frente a ella.")</f>
        <v>Ella comienza a tocar una batería frente a ella.</v>
      </c>
    </row>
    <row r="3082">
      <c r="A3082" s="4" t="s">
        <v>3872</v>
      </c>
      <c r="B3082" s="4" t="s">
        <v>3873</v>
      </c>
      <c r="C3082" s="5" t="str">
        <f>IFERROR(__xludf.DUMMYFUNCTION("GOOGLETRANSLATE(B3082,""en"",""es-ES"")"),"Los jóvenes llevan botes inflables y se meten en el agua.")</f>
        <v>Los jóvenes llevan botes inflables y se meten en el agua.</v>
      </c>
    </row>
    <row r="3083">
      <c r="A3083" s="4" t="s">
        <v>3872</v>
      </c>
      <c r="B3083" s="4" t="s">
        <v>3874</v>
      </c>
      <c r="C3083" s="5" t="str">
        <f>IFERROR(__xludf.DUMMYFUNCTION("GOOGLETRANSLATE(B3083,""en"",""es-ES"")"),"Luego, los jóvenes se encuentran boca abajo en los botes y navegan en el río.")</f>
        <v>Luego, los jóvenes se encuentran boca abajo en los botes y navegan en el río.</v>
      </c>
    </row>
    <row r="3084">
      <c r="A3084" s="4" t="s">
        <v>3872</v>
      </c>
      <c r="B3084" s="4" t="s">
        <v>3875</v>
      </c>
      <c r="C3084" s="5" t="str">
        <f>IFERROR(__xludf.DUMMYFUNCTION("GOOGLETRANSLATE(B3084,""en"",""es-ES"")"),"Después, los hombres avanzan en el agua moviendo la mano para ayudar a avanzar.")</f>
        <v>Después, los hombres avanzan en el agua moviendo la mano para ayudar a avanzar.</v>
      </c>
    </row>
    <row r="3085">
      <c r="A3085" s="4" t="s">
        <v>3876</v>
      </c>
      <c r="B3085" s="4" t="s">
        <v>3877</v>
      </c>
      <c r="C3085" s="5" t="str">
        <f>IFERROR(__xludf.DUMMYFUNCTION("GOOGLETRANSLATE(B3085,""en"",""es-ES"")"),"Una mujer está parada en su cocina frente a un mostrador.")</f>
        <v>Una mujer está parada en su cocina frente a un mostrador.</v>
      </c>
    </row>
    <row r="3086">
      <c r="A3086" s="4" t="s">
        <v>3876</v>
      </c>
      <c r="B3086" s="4" t="s">
        <v>3878</v>
      </c>
      <c r="C3086" s="5" t="str">
        <f>IFERROR(__xludf.DUMMYFUNCTION("GOOGLETRANSLATE(B3086,""en"",""es-ES"")"),"Ella muestra un plato de comida y varios ingredientes.")</f>
        <v>Ella muestra un plato de comida y varios ingredientes.</v>
      </c>
    </row>
    <row r="3087">
      <c r="A3087" s="4" t="s">
        <v>3876</v>
      </c>
      <c r="B3087" s="4" t="s">
        <v>3879</v>
      </c>
      <c r="C3087" s="5" t="str">
        <f>IFERROR(__xludf.DUMMYFUNCTION("GOOGLETRANSLATE(B3087,""en"",""es-ES"")"),"Ella hierve pasta en una olla, drenándola.")</f>
        <v>Ella hierve pasta en una olla, drenándola.</v>
      </c>
    </row>
    <row r="3088">
      <c r="A3088" s="4" t="s">
        <v>3876</v>
      </c>
      <c r="B3088" s="4" t="s">
        <v>3880</v>
      </c>
      <c r="C3088" s="5" t="str">
        <f>IFERROR(__xludf.DUMMYFUNCTION("GOOGLETRANSLATE(B3088,""en"",""es-ES"")"),"Luego mezcla queso, orzo y verduras, creando una ensalada de pasta orzo.")</f>
        <v>Luego mezcla queso, orzo y verduras, creando una ensalada de pasta orzo.</v>
      </c>
    </row>
    <row r="3089">
      <c r="A3089" s="4" t="s">
        <v>3876</v>
      </c>
      <c r="B3089" s="4" t="s">
        <v>3881</v>
      </c>
      <c r="C3089" s="5" t="str">
        <f>IFERROR(__xludf.DUMMYFUNCTION("GOOGLETRANSLATE(B3089,""en"",""es-ES"")"),"Ella da un bocado de la comida.")</f>
        <v>Ella da un bocado de la comida.</v>
      </c>
    </row>
    <row r="3090">
      <c r="A3090" s="4" t="s">
        <v>3882</v>
      </c>
      <c r="B3090" s="4" t="s">
        <v>3883</v>
      </c>
      <c r="C3090" s="5" t="str">
        <f>IFERROR(__xludf.DUMMYFUNCTION("GOOGLETRANSLATE(B3090,""en"",""es-ES"")"),"Una dama y un niño están lavando platos en la tierra.")</f>
        <v>Una dama y un niño están lavando platos en la tierra.</v>
      </c>
    </row>
    <row r="3091">
      <c r="A3091" s="4" t="s">
        <v>3882</v>
      </c>
      <c r="B3091" s="4" t="s">
        <v>3884</v>
      </c>
      <c r="C3091" s="5" t="str">
        <f>IFERROR(__xludf.DUMMYFUNCTION("GOOGLETRANSLATE(B3091,""en"",""es-ES"")"),"La niña se aleja.")</f>
        <v>La niña se aleja.</v>
      </c>
    </row>
    <row r="3092">
      <c r="A3092" s="4" t="s">
        <v>3882</v>
      </c>
      <c r="B3092" s="4" t="s">
        <v>3885</v>
      </c>
      <c r="C3092" s="5" t="str">
        <f>IFERROR(__xludf.DUMMYFUNCTION("GOOGLETRANSLATE(B3092,""en"",""es-ES"")"),"La señora enjuague sus platos y los pone en un estante.")</f>
        <v>La señora enjuague sus platos y los pone en un estante.</v>
      </c>
    </row>
    <row r="3093">
      <c r="A3093" s="4" t="s">
        <v>3882</v>
      </c>
      <c r="B3093" s="4" t="s">
        <v>3886</v>
      </c>
      <c r="C3093" s="5" t="str">
        <f>IFERROR(__xludf.DUMMYFUNCTION("GOOGLETRANSLATE(B3093,""en"",""es-ES"")"),"Vemos a los chicos de pie detrás de la dama.")</f>
        <v>Vemos a los chicos de pie detrás de la dama.</v>
      </c>
    </row>
    <row r="3094">
      <c r="A3094" s="4" t="s">
        <v>3882</v>
      </c>
      <c r="B3094" s="4" t="s">
        <v>3887</v>
      </c>
      <c r="C3094" s="5" t="str">
        <f>IFERROR(__xludf.DUMMYFUNCTION("GOOGLETRANSLATE(B3094,""en"",""es-ES"")"),"Vemos el estante y los platos.")</f>
        <v>Vemos el estante y los platos.</v>
      </c>
    </row>
    <row r="3095">
      <c r="A3095" s="4" t="s">
        <v>3882</v>
      </c>
      <c r="B3095" s="4" t="s">
        <v>3888</v>
      </c>
      <c r="C3095" s="5" t="str">
        <f>IFERROR(__xludf.DUMMYFUNCTION("GOOGLETRANSLATE(B3095,""en"",""es-ES"")"),"Luego vemos la pantalla de créditos de cierre.")</f>
        <v>Luego vemos la pantalla de créditos de cierre.</v>
      </c>
    </row>
    <row r="3096">
      <c r="A3096" s="4" t="s">
        <v>3889</v>
      </c>
      <c r="B3096" s="4" t="s">
        <v>3890</v>
      </c>
      <c r="C3096" s="5" t="str">
        <f>IFERROR(__xludf.DUMMYFUNCTION("GOOGLETRANSLATE(B3096,""en"",""es-ES"")"),"Un grupo de personas respalda a un maestro yogui.")</f>
        <v>Un grupo de personas respalda a un maestro yogui.</v>
      </c>
    </row>
    <row r="3097">
      <c r="A3097" s="4" t="s">
        <v>3889</v>
      </c>
      <c r="B3097" s="4" t="s">
        <v>3891</v>
      </c>
      <c r="C3097" s="5" t="str">
        <f>IFERROR(__xludf.DUMMYFUNCTION("GOOGLETRANSLATE(B3097,""en"",""es-ES"")"),"Los instruye en posición antes de guiarlos en yoga.")</f>
        <v>Los instruye en posición antes de guiarlos en yoga.</v>
      </c>
    </row>
    <row r="3098">
      <c r="A3098" s="4" t="s">
        <v>3889</v>
      </c>
      <c r="B3098" s="4" t="s">
        <v>3892</v>
      </c>
      <c r="C3098" s="5" t="str">
        <f>IFERROR(__xludf.DUMMYFUNCTION("GOOGLETRANSLATE(B3098,""en"",""es-ES"")"),"Realizan varios movimientos, lenta y con gracia.")</f>
        <v>Realizan varios movimientos, lenta y con gracia.</v>
      </c>
    </row>
    <row r="3099">
      <c r="A3099" s="4" t="s">
        <v>3893</v>
      </c>
      <c r="B3099" s="4" t="s">
        <v>3894</v>
      </c>
      <c r="C3099" s="5" t="str">
        <f>IFERROR(__xludf.DUMMYFUNCTION("GOOGLETRANSLATE(B3099,""en"",""es-ES"")"),"Se ve a un hombre sentado en el agua en un kayak hablando con la cámara.")</f>
        <v>Se ve a un hombre sentado en el agua en un kayak hablando con la cámara.</v>
      </c>
    </row>
    <row r="3100">
      <c r="A3100" s="4" t="s">
        <v>3893</v>
      </c>
      <c r="B3100" s="4" t="s">
        <v>3895</v>
      </c>
      <c r="C3100" s="5" t="str">
        <f>IFERROR(__xludf.DUMMYFUNCTION("GOOGLETRANSLATE(B3100,""en"",""es-ES"")"),"El hombre continúa hablando mientras sostiene una paleta en sus manos.")</f>
        <v>El hombre continúa hablando mientras sostiene una paleta en sus manos.</v>
      </c>
    </row>
    <row r="3101">
      <c r="A3101" s="4" t="s">
        <v>3893</v>
      </c>
      <c r="B3101" s="4" t="s">
        <v>3896</v>
      </c>
      <c r="C3101" s="5" t="str">
        <f>IFERROR(__xludf.DUMMYFUNCTION("GOOGLETRANSLATE(B3101,""en"",""es-ES"")"),"Se mueve un poco en el agua y lo lleva a remar a lo largo del agua.")</f>
        <v>Se mueve un poco en el agua y lo lleva a remar a lo largo del agua.</v>
      </c>
    </row>
    <row r="3102">
      <c r="A3102" s="4" t="s">
        <v>3897</v>
      </c>
      <c r="B3102" s="4" t="s">
        <v>3898</v>
      </c>
      <c r="C3102" s="5" t="str">
        <f>IFERROR(__xludf.DUMMYFUNCTION("GOOGLETRANSLATE(B3102,""en"",""es-ES"")"),"Una mujer explica cómo hacer un pastel en una cocina, luego pone cuatro huevos y azúcar en un tazón y bata con una batidora eléctrica y agrega más ingredientes para formar una mezcla húmeda.")</f>
        <v>Una mujer explica cómo hacer un pastel en una cocina, luego pone cuatro huevos y azúcar en un tazón y bata con una batidora eléctrica y agrega más ingredientes para formar una mezcla húmeda.</v>
      </c>
    </row>
    <row r="3103">
      <c r="A3103" s="4" t="s">
        <v>3897</v>
      </c>
      <c r="B3103" s="4" t="s">
        <v>3899</v>
      </c>
      <c r="C3103" s="5" t="str">
        <f>IFERROR(__xludf.DUMMYFUNCTION("GOOGLETRANSLATE(B3103,""en"",""es-ES"")"),"La mujer pone sólidos en un tazón grande y luego agrega la mezcla húmeda, el aceite y la leche, luego mezcla con una espátula.")</f>
        <v>La mujer pone sólidos en un tazón grande y luego agrega la mezcla húmeda, el aceite y la leche, luego mezcla con una espátula.</v>
      </c>
    </row>
    <row r="3104">
      <c r="A3104" s="4" t="s">
        <v>3897</v>
      </c>
      <c r="B3104" s="4" t="s">
        <v>3900</v>
      </c>
      <c r="C3104" s="5" t="str">
        <f>IFERROR(__xludf.DUMMYFUNCTION("GOOGLETRANSLATE(B3104,""en"",""es-ES"")"),"Después, la mujer pone la mezcla en una sartén engrasada y hace un jarabe con jugo de naranja en una olla.")</f>
        <v>Después, la mujer pone la mezcla en una sartén engrasada y hace un jarabe con jugo de naranja en una olla.</v>
      </c>
    </row>
    <row r="3105">
      <c r="A3105" s="4" t="s">
        <v>3897</v>
      </c>
      <c r="B3105" s="4" t="s">
        <v>3901</v>
      </c>
      <c r="C3105" s="5" t="str">
        <f>IFERROR(__xludf.DUMMYFUNCTION("GOOGLETRANSLATE(B3105,""en"",""es-ES"")"),"Luego, puso el pastel de hornear en un plato y puso jarabe en la parte superior.")</f>
        <v>Luego, puso el pastel de hornear en un plato y puso jarabe en la parte superior.</v>
      </c>
    </row>
    <row r="3106">
      <c r="A3106" s="4" t="s">
        <v>3902</v>
      </c>
      <c r="B3106" s="4" t="s">
        <v>3903</v>
      </c>
      <c r="C3106" s="5" t="str">
        <f>IFERROR(__xludf.DUMMYFUNCTION("GOOGLETRANSLATE(B3106,""en"",""es-ES"")"),"Un anciano está de pie en una habitación pequeña y está enyesando un techo donde comienza en el medio de la habitación.")</f>
        <v>Un anciano está de pie en una habitación pequeña y está enyesando un techo donde comienza en el medio de la habitación.</v>
      </c>
    </row>
    <row r="3107">
      <c r="A3107" s="4" t="s">
        <v>3902</v>
      </c>
      <c r="B3107" s="4" t="s">
        <v>3904</v>
      </c>
      <c r="C3107" s="5" t="str">
        <f>IFERROR(__xludf.DUMMYFUNCTION("GOOGLETRANSLATE(B3107,""en"",""es-ES"")"),"Luego se mueve hacia la izquierda y comienza a enjuagarse en la esquina del techo.")</f>
        <v>Luego se mueve hacia la izquierda y comienza a enjuagarse en la esquina del techo.</v>
      </c>
    </row>
    <row r="3108">
      <c r="A3108" s="4" t="s">
        <v>3902</v>
      </c>
      <c r="B3108" s="4" t="s">
        <v>3905</v>
      </c>
      <c r="C3108" s="5" t="str">
        <f>IFERROR(__xludf.DUMMYFUNCTION("GOOGLETRANSLATE(B3108,""en"",""es-ES"")"),"El hombre luego deja de enyesarse, y mientras sigue hablando, se enfrenta hacia la dirección de la cámara.")</f>
        <v>El hombre luego deja de enyesarse, y mientras sigue hablando, se enfrenta hacia la dirección de la cámara.</v>
      </c>
    </row>
    <row r="3109">
      <c r="A3109" s="4" t="s">
        <v>3906</v>
      </c>
      <c r="B3109" s="4" t="s">
        <v>3907</v>
      </c>
      <c r="C3109" s="5" t="str">
        <f>IFERROR(__xludf.DUMMYFUNCTION("GOOGLETRANSLATE(B3109,""en"",""es-ES"")"),"Un hombre con una camisa naranja y un sombrero negro con vasos está afuera de parado frente a un árbol verde.")</f>
        <v>Un hombre con una camisa naranja y un sombrero negro con vasos está afuera de parado frente a un árbol verde.</v>
      </c>
    </row>
    <row r="3110">
      <c r="A3110" s="4" t="s">
        <v>3906</v>
      </c>
      <c r="B3110" s="4" t="s">
        <v>3908</v>
      </c>
      <c r="C3110" s="5" t="str">
        <f>IFERROR(__xludf.DUMMYFUNCTION("GOOGLETRANSLATE(B3110,""en"",""es-ES"")"),"Se muestra un césped y luego el hombre comienza a cortar su césped.")</f>
        <v>Se muestra un césped y luego el hombre comienza a cortar su césped.</v>
      </c>
    </row>
    <row r="3111">
      <c r="A3111" s="4" t="s">
        <v>3906</v>
      </c>
      <c r="B3111" s="4" t="s">
        <v>3909</v>
      </c>
      <c r="C3111" s="5" t="str">
        <f>IFERROR(__xludf.DUMMYFUNCTION("GOOGLETRANSLATE(B3111,""en"",""es-ES"")"),"Una vez que el hombre está terminado, regresa a la cámara y comienza a hablar.")</f>
        <v>Una vez que el hombre está terminado, regresa a la cámara y comienza a hablar.</v>
      </c>
    </row>
    <row r="3112">
      <c r="A3112" s="4" t="s">
        <v>3910</v>
      </c>
      <c r="B3112" s="4" t="s">
        <v>3911</v>
      </c>
      <c r="C3112" s="5" t="str">
        <f>IFERROR(__xludf.DUMMYFUNCTION("GOOGLETRANSLATE(B3112,""en"",""es-ES"")"),"Un hombre de pie o sentado detrás de una tabla de cortar con verduras equipa un cuchillo montado en el antebrazo.")</f>
        <v>Un hombre de pie o sentado detrás de una tabla de cortar con verduras equipa un cuchillo montado en el antebrazo.</v>
      </c>
    </row>
    <row r="3113">
      <c r="A3113" s="4" t="s">
        <v>3910</v>
      </c>
      <c r="B3113" s="4" t="s">
        <v>3912</v>
      </c>
      <c r="C3113" s="5" t="str">
        <f>IFERROR(__xludf.DUMMYFUNCTION("GOOGLETRANSLATE(B3113,""en"",""es-ES"")"),"El hombre habla con la cámara mientras apunta el cuchillo a la cámara.")</f>
        <v>El hombre habla con la cámara mientras apunta el cuchillo a la cámara.</v>
      </c>
    </row>
    <row r="3114">
      <c r="A3114" s="4" t="s">
        <v>3910</v>
      </c>
      <c r="B3114" s="4" t="s">
        <v>3913</v>
      </c>
      <c r="C3114" s="5" t="str">
        <f>IFERROR(__xludf.DUMMYFUNCTION("GOOGLETRANSLATE(B3114,""en"",""es-ES"")"),"El hombre corta varios tipos de artículos en la tabla de cortar con el cuchillo en video acelerado.")</f>
        <v>El hombre corta varios tipos de artículos en la tabla de cortar con el cuchillo en video acelerado.</v>
      </c>
    </row>
    <row r="3115">
      <c r="A3115" s="4" t="s">
        <v>3910</v>
      </c>
      <c r="B3115" s="4" t="s">
        <v>3914</v>
      </c>
      <c r="C3115" s="5" t="str">
        <f>IFERROR(__xludf.DUMMYFUNCTION("GOOGLETRANSLATE(B3115,""en"",""es-ES"")"),"El hombre quita el cuchillo y manipula los contenedores de ingredientes a su alrededor.")</f>
        <v>El hombre quita el cuchillo y manipula los contenedores de ingredientes a su alrededor.</v>
      </c>
    </row>
    <row r="3116">
      <c r="A3116" s="4" t="s">
        <v>3910</v>
      </c>
      <c r="B3116" s="4" t="s">
        <v>3915</v>
      </c>
      <c r="C3116" s="5" t="str">
        <f>IFERROR(__xludf.DUMMYFUNCTION("GOOGLETRANSLATE(B3116,""en"",""es-ES"")"),"El hombre vuelve a equipar el cuchillo y se reanuda cortando.")</f>
        <v>El hombre vuelve a equipar el cuchillo y se reanuda cortando.</v>
      </c>
    </row>
    <row r="3117">
      <c r="A3117" s="4" t="s">
        <v>3910</v>
      </c>
      <c r="B3117" s="4" t="s">
        <v>3916</v>
      </c>
      <c r="C3117" s="5" t="str">
        <f>IFERROR(__xludf.DUMMYFUNCTION("GOOGLETRANSLATE(B3117,""en"",""es-ES"")"),"El hombre quita el cuchillo y manipula los ingredientes a su alrededor nuevamente.")</f>
        <v>El hombre quita el cuchillo y manipula los ingredientes a su alrededor nuevamente.</v>
      </c>
    </row>
    <row r="3118">
      <c r="A3118" s="4" t="s">
        <v>3910</v>
      </c>
      <c r="B3118" s="4" t="s">
        <v>3917</v>
      </c>
      <c r="C3118" s="5" t="str">
        <f>IFERROR(__xludf.DUMMYFUNCTION("GOOGLETRANSLATE(B3118,""en"",""es-ES"")"),"El hombre vuelve a equipar el cuchillo y se reanuda a cortar nuevamente.")</f>
        <v>El hombre vuelve a equipar el cuchillo y se reanuda a cortar nuevamente.</v>
      </c>
    </row>
    <row r="3119">
      <c r="A3119" s="4" t="s">
        <v>3910</v>
      </c>
      <c r="B3119" s="4" t="s">
        <v>3918</v>
      </c>
      <c r="C3119" s="5" t="str">
        <f>IFERROR(__xludf.DUMMYFUNCTION("GOOGLETRANSLATE(B3119,""en"",""es-ES"")"),"El hombre quita el cuchillo y limpia su área de trabajo.")</f>
        <v>El hombre quita el cuchillo y limpia su área de trabajo.</v>
      </c>
    </row>
    <row r="3120">
      <c r="A3120" s="4" t="s">
        <v>3919</v>
      </c>
      <c r="B3120" s="4" t="s">
        <v>3920</v>
      </c>
      <c r="C3120" s="5" t="str">
        <f>IFERROR(__xludf.DUMMYFUNCTION("GOOGLETRANSLATE(B3120,""en"",""es-ES"")"),"Una mujer se está preparando también, salto de un teleférico.")</f>
        <v>Una mujer se está preparando también, salto de un teleférico.</v>
      </c>
    </row>
    <row r="3121">
      <c r="A3121" s="4" t="s">
        <v>3919</v>
      </c>
      <c r="B3121" s="4" t="s">
        <v>3921</v>
      </c>
      <c r="C3121" s="5" t="str">
        <f>IFERROR(__xludf.DUMMYFUNCTION("GOOGLETRANSLATE(B3121,""en"",""es-ES"")"),"Está rodeada de dos hombres con camisas amarillas.")</f>
        <v>Está rodeada de dos hombres con camisas amarillas.</v>
      </c>
    </row>
    <row r="3122">
      <c r="A3122" s="4" t="s">
        <v>3919</v>
      </c>
      <c r="B3122" s="4" t="s">
        <v>3922</v>
      </c>
      <c r="C3122" s="5" t="str">
        <f>IFERROR(__xludf.DUMMYFUNCTION("GOOGLETRANSLATE(B3122,""en"",""es-ES"")"),"Uno de los hombres sostiene una cámara de teléfono en su mano para grabarla en video mientras salta.")</f>
        <v>Uno de los hombres sostiene una cámara de teléfono en su mano para grabarla en video mientras salta.</v>
      </c>
    </row>
    <row r="3123">
      <c r="A3123" s="4" t="s">
        <v>3919</v>
      </c>
      <c r="B3123" s="4" t="s">
        <v>3923</v>
      </c>
      <c r="C3123" s="5" t="str">
        <f>IFERROR(__xludf.DUMMYFUNCTION("GOOGLETRANSLATE(B3123,""en"",""es-ES"")"),"Los hombres comienzan a cantar para animarla y alentarla a saltar.")</f>
        <v>Los hombres comienzan a cantar para animarla y alentarla a saltar.</v>
      </c>
    </row>
    <row r="3124">
      <c r="A3124" s="4" t="s">
        <v>3919</v>
      </c>
      <c r="B3124" s="4" t="s">
        <v>3924</v>
      </c>
      <c r="C3124" s="5" t="str">
        <f>IFERROR(__xludf.DUMMYFUNCTION("GOOGLETRANSLATE(B3124,""en"",""es-ES"")"),"Después de muchas dudas, la mujer finalmente salta y cuelga de la cuerda.")</f>
        <v>Después de muchas dudas, la mujer finalmente salta y cuelga de la cuerda.</v>
      </c>
    </row>
    <row r="3125">
      <c r="A3125" s="4" t="s">
        <v>3919</v>
      </c>
      <c r="B3125" s="4" t="s">
        <v>3925</v>
      </c>
      <c r="C3125" s="5" t="str">
        <f>IFERROR(__xludf.DUMMYFUNCTION("GOOGLETRANSLATE(B3125,""en"",""es-ES"")"),"Hay otra mujer en el teleférico que se prepara para saltar.")</f>
        <v>Hay otra mujer en el teleférico que se prepara para saltar.</v>
      </c>
    </row>
    <row r="3126">
      <c r="A3126" s="4" t="s">
        <v>3919</v>
      </c>
      <c r="B3126" s="4" t="s">
        <v>3926</v>
      </c>
      <c r="C3126" s="5" t="str">
        <f>IFERROR(__xludf.DUMMYFUNCTION("GOOGLETRANSLATE(B3126,""en"",""es-ES"")"),"Hay una gran multitud en el puente, mirando el teleférico.")</f>
        <v>Hay una gran multitud en el puente, mirando el teleférico.</v>
      </c>
    </row>
    <row r="3127">
      <c r="A3127" s="4" t="s">
        <v>3927</v>
      </c>
      <c r="B3127" s="4" t="s">
        <v>3928</v>
      </c>
      <c r="C3127" s="5" t="str">
        <f>IFERROR(__xludf.DUMMYFUNCTION("GOOGLETRANSLATE(B3127,""en"",""es-ES"")"),"Un niño se sienta en una roca antes de caminar por una costa.")</f>
        <v>Un niño se sienta en una roca antes de caminar por una costa.</v>
      </c>
    </row>
    <row r="3128">
      <c r="A3128" s="4" t="s">
        <v>3927</v>
      </c>
      <c r="B3128" s="4" t="s">
        <v>3929</v>
      </c>
      <c r="C3128" s="5" t="str">
        <f>IFERROR(__xludf.DUMMYFUNCTION("GOOGLETRANSLATE(B3128,""en"",""es-ES"")"),"El joven monta su patineta por las colinas alrededor de una ciudad de playa.")</f>
        <v>El joven monta su patineta por las colinas alrededor de una ciudad de playa.</v>
      </c>
    </row>
    <row r="3129">
      <c r="A3129" s="4" t="s">
        <v>3927</v>
      </c>
      <c r="B3129" s="4" t="s">
        <v>3930</v>
      </c>
      <c r="C3129" s="5" t="str">
        <f>IFERROR(__xludf.DUMMYFUNCTION("GOOGLETRANSLATE(B3129,""en"",""es-ES"")"),"El joven va a un restaurante local para una comida.")</f>
        <v>El joven va a un restaurante local para una comida.</v>
      </c>
    </row>
    <row r="3130">
      <c r="A3130" s="4" t="s">
        <v>3927</v>
      </c>
      <c r="B3130" s="4" t="s">
        <v>3931</v>
      </c>
      <c r="C3130" s="5" t="str">
        <f>IFERROR(__xludf.DUMMYFUNCTION("GOOGLETRANSLATE(B3130,""en"",""es-ES"")"),"Se ve el puerto y el joven camina por una pista de tren al atardecer.")</f>
        <v>Se ve el puerto y el joven camina por una pista de tren al atardecer.</v>
      </c>
    </row>
    <row r="3131">
      <c r="A3131" s="4" t="s">
        <v>3932</v>
      </c>
      <c r="B3131" s="4" t="s">
        <v>3933</v>
      </c>
      <c r="C3131" s="5" t="str">
        <f>IFERROR(__xludf.DUMMYFUNCTION("GOOGLETRANSLATE(B3131,""en"",""es-ES"")"),"Un grupo de personas está nadando en una gran piscina interior.")</f>
        <v>Un grupo de personas está nadando en una gran piscina interior.</v>
      </c>
    </row>
    <row r="3132">
      <c r="A3132" s="4" t="s">
        <v>3932</v>
      </c>
      <c r="B3132" s="4" t="s">
        <v>3934</v>
      </c>
      <c r="C3132" s="5" t="str">
        <f>IFERROR(__xludf.DUMMYFUNCTION("GOOGLETRANSLATE(B3132,""en"",""es-ES"")"),"Nadan vueltas de un lado a otro a medida que avanzan.")</f>
        <v>Nadan vueltas de un lado a otro a medida que avanzan.</v>
      </c>
    </row>
    <row r="3133">
      <c r="A3133" s="4" t="s">
        <v>3932</v>
      </c>
      <c r="B3133" s="4" t="s">
        <v>3935</v>
      </c>
      <c r="C3133" s="5" t="str">
        <f>IFERROR(__xludf.DUMMYFUNCTION("GOOGLETRANSLATE(B3133,""en"",""es-ES"")"),"Intentan competir, llegar al otro lado más rápido.")</f>
        <v>Intentan competir, llegar al otro lado más rápido.</v>
      </c>
    </row>
    <row r="3134">
      <c r="A3134" s="4" t="s">
        <v>3936</v>
      </c>
      <c r="B3134" s="4" t="s">
        <v>3937</v>
      </c>
      <c r="C3134" s="5" t="str">
        <f>IFERROR(__xludf.DUMMYFUNCTION("GOOGLETRANSLATE(B3134,""en"",""es-ES"")"),"Un individuo usa una manguera y un instrumento delgado para limpiar un zapato.")</f>
        <v>Un individuo usa una manguera y un instrumento delgado para limpiar un zapato.</v>
      </c>
    </row>
    <row r="3135">
      <c r="A3135" s="4" t="s">
        <v>3936</v>
      </c>
      <c r="B3135" s="4" t="s">
        <v>3938</v>
      </c>
      <c r="C3135" s="5" t="str">
        <f>IFERROR(__xludf.DUMMYFUNCTION("GOOGLETRANSLATE(B3135,""en"",""es-ES"")"),"El individuo deja de lado el zapato y gira sobre el otro zapato.")</f>
        <v>El individuo deja de lado el zapato y gira sobre el otro zapato.</v>
      </c>
    </row>
    <row r="3136">
      <c r="A3136" s="4" t="s">
        <v>3936</v>
      </c>
      <c r="B3136" s="4" t="s">
        <v>3939</v>
      </c>
      <c r="C3136" s="5" t="str">
        <f>IFERROR(__xludf.DUMMYFUNCTION("GOOGLETRANSLATE(B3136,""en"",""es-ES"")"),"El individuo utiliza el delgado implemento para cavar entre los patrones del fondo del zapato.")</f>
        <v>El individuo utiliza el delgado implemento para cavar entre los patrones del fondo del zapato.</v>
      </c>
    </row>
    <row r="3137">
      <c r="A3137" s="4" t="s">
        <v>3940</v>
      </c>
      <c r="B3137" s="4" t="s">
        <v>3941</v>
      </c>
      <c r="C3137" s="5" t="str">
        <f>IFERROR(__xludf.DUMMYFUNCTION("GOOGLETRANSLATE(B3137,""en"",""es-ES"")"),"Un hombre está sentado en un sofá bebiendo una cerveza.")</f>
        <v>Un hombre está sentado en un sofá bebiendo una cerveza.</v>
      </c>
    </row>
    <row r="3138">
      <c r="A3138" s="4" t="s">
        <v>3940</v>
      </c>
      <c r="B3138" s="4" t="s">
        <v>3942</v>
      </c>
      <c r="C3138" s="5" t="str">
        <f>IFERROR(__xludf.DUMMYFUNCTION("GOOGLETRANSLATE(B3138,""en"",""es-ES"")"),"Se levanta y sale por la puerta.")</f>
        <v>Se levanta y sale por la puerta.</v>
      </c>
    </row>
    <row r="3139">
      <c r="A3139" s="4" t="s">
        <v>3940</v>
      </c>
      <c r="B3139" s="4" t="s">
        <v>3943</v>
      </c>
      <c r="C3139" s="5" t="str">
        <f>IFERROR(__xludf.DUMMYFUNCTION("GOOGLETRANSLATE(B3139,""en"",""es-ES"")"),"Alguien está entrando en una cocina.")</f>
        <v>Alguien está entrando en una cocina.</v>
      </c>
    </row>
    <row r="3140">
      <c r="A3140" s="4" t="s">
        <v>3940</v>
      </c>
      <c r="B3140" s="4" t="s">
        <v>3944</v>
      </c>
      <c r="C3140" s="5" t="str">
        <f>IFERROR(__xludf.DUMMYFUNCTION("GOOGLETRANSLATE(B3140,""en"",""es-ES"")"),"Abren el refrigerador y obtienen una cerveza.")</f>
        <v>Abren el refrigerador y obtienen una cerveza.</v>
      </c>
    </row>
    <row r="3141">
      <c r="A3141" s="4" t="s">
        <v>3940</v>
      </c>
      <c r="B3141" s="4" t="s">
        <v>3945</v>
      </c>
      <c r="C3141" s="5" t="str">
        <f>IFERROR(__xludf.DUMMYFUNCTION("GOOGLETRANSLATE(B3141,""en"",""es-ES"")"),"Lo traen al hombre en la cama.")</f>
        <v>Lo traen al hombre en la cama.</v>
      </c>
    </row>
    <row r="3142">
      <c r="A3142" s="4" t="s">
        <v>3940</v>
      </c>
      <c r="B3142" s="4" t="s">
        <v>3946</v>
      </c>
      <c r="C3142" s="5" t="str">
        <f>IFERROR(__xludf.DUMMYFUNCTION("GOOGLETRANSLATE(B3142,""en"",""es-ES"")"),"Se sienta y comienza a beber la cerveza.")</f>
        <v>Se sienta y comienza a beber la cerveza.</v>
      </c>
    </row>
    <row r="3143">
      <c r="A3143" s="4" t="s">
        <v>3940</v>
      </c>
      <c r="B3143" s="4" t="s">
        <v>3947</v>
      </c>
      <c r="C3143" s="5" t="str">
        <f>IFERROR(__xludf.DUMMYFUNCTION("GOOGLETRANSLATE(B3143,""en"",""es-ES"")"),"Una persona toma un teléfono celular en una cama.")</f>
        <v>Una persona toma un teléfono celular en una cama.</v>
      </c>
    </row>
    <row r="3144">
      <c r="A3144" s="4" t="s">
        <v>3948</v>
      </c>
      <c r="B3144" s="4" t="s">
        <v>3949</v>
      </c>
      <c r="C3144" s="5" t="str">
        <f>IFERROR(__xludf.DUMMYFUNCTION("GOOGLETRANSLATE(B3144,""en"",""es-ES"")"),"Varias tomas de un primer plano de una bicicleta y una persona que apunta a la bicicleta en varios puntos.")</f>
        <v>Varias tomas de un primer plano de una bicicleta y una persona que apunta a la bicicleta en varios puntos.</v>
      </c>
    </row>
    <row r="3145">
      <c r="A3145" s="4" t="s">
        <v>3948</v>
      </c>
      <c r="B3145" s="4" t="s">
        <v>3950</v>
      </c>
      <c r="C3145" s="5" t="str">
        <f>IFERROR(__xludf.DUMMYFUNCTION("GOOGLETRANSLATE(B3145,""en"",""es-ES"")"),"La persona ajusta continuamente la bicicleta y le acaricia la cámara a su alrededor al final.")</f>
        <v>La persona ajusta continuamente la bicicleta y le acaricia la cámara a su alrededor al final.</v>
      </c>
    </row>
    <row r="3146">
      <c r="A3146" s="4" t="s">
        <v>3951</v>
      </c>
      <c r="B3146" s="4" t="s">
        <v>3952</v>
      </c>
      <c r="C3146" s="5" t="str">
        <f>IFERROR(__xludf.DUMMYFUNCTION("GOOGLETRANSLATE(B3146,""en"",""es-ES"")"),"Un niño está inclinado en su habitación.")</f>
        <v>Un niño está inclinado en su habitación.</v>
      </c>
    </row>
    <row r="3147">
      <c r="A3147" s="4" t="s">
        <v>3951</v>
      </c>
      <c r="B3147" s="4" t="s">
        <v>3953</v>
      </c>
      <c r="C3147" s="5" t="str">
        <f>IFERROR(__xludf.DUMMYFUNCTION("GOOGLETRANSLATE(B3147,""en"",""es-ES"")"),"Está tratando de ponerse un zapato.")</f>
        <v>Está tratando de ponerse un zapato.</v>
      </c>
    </row>
    <row r="3148">
      <c r="A3148" s="4" t="s">
        <v>3951</v>
      </c>
      <c r="B3148" s="4" t="s">
        <v>3954</v>
      </c>
      <c r="C3148" s="5" t="str">
        <f>IFERROR(__xludf.DUMMYFUNCTION("GOOGLETRANSLATE(B3148,""en"",""es-ES"")"),"Se sienta, jugando con un encaje roto.")</f>
        <v>Se sienta, jugando con un encaje roto.</v>
      </c>
    </row>
    <row r="3149">
      <c r="A3149" s="4" t="s">
        <v>3951</v>
      </c>
      <c r="B3149" s="4" t="s">
        <v>3955</v>
      </c>
      <c r="C3149" s="5" t="str">
        <f>IFERROR(__xludf.DUMMYFUNCTION("GOOGLETRANSLATE(B3149,""en"",""es-ES"")"),"Continúa trabajando con el encaje del zapato hasta que pueda empatarse.")</f>
        <v>Continúa trabajando con el encaje del zapato hasta que pueda empatarse.</v>
      </c>
    </row>
    <row r="3150">
      <c r="A3150" s="4" t="s">
        <v>3956</v>
      </c>
      <c r="B3150" s="4" t="s">
        <v>3957</v>
      </c>
      <c r="C3150" s="5" t="str">
        <f>IFERROR(__xludf.DUMMYFUNCTION("GOOGLETRANSLATE(B3150,""en"",""es-ES"")"),"Un hombre tiene un par de botas mientras habla y muestra partes sucias.")</f>
        <v>Un hombre tiene un par de botas mientras habla y muestra partes sucias.</v>
      </c>
    </row>
    <row r="3151">
      <c r="A3151" s="4" t="s">
        <v>3956</v>
      </c>
      <c r="B3151" s="4" t="s">
        <v>3958</v>
      </c>
      <c r="C3151" s="5" t="str">
        <f>IFERROR(__xludf.DUMMYFUNCTION("GOOGLETRANSLATE(B3151,""en"",""es-ES"")"),"Luego, el hombre puso una ropa dentro de la bota y cepilla el eje de la bota bien.")</f>
        <v>Luego, el hombre puso una ropa dentro de la bota y cepilla el eje de la bota bien.</v>
      </c>
    </row>
    <row r="3152">
      <c r="A3152" s="4" t="s">
        <v>3959</v>
      </c>
      <c r="B3152" s="4" t="s">
        <v>3960</v>
      </c>
      <c r="C3152" s="5" t="str">
        <f>IFERROR(__xludf.DUMMYFUNCTION("GOOGLETRANSLATE(B3152,""en"",""es-ES"")"),"Se ve a un hombre arrodillado en un techo y hablando con la cámara.")</f>
        <v>Se ve a un hombre arrodillado en un techo y hablando con la cámara.</v>
      </c>
    </row>
    <row r="3153">
      <c r="A3153" s="4" t="s">
        <v>3959</v>
      </c>
      <c r="B3153" s="4" t="s">
        <v>3961</v>
      </c>
      <c r="C3153" s="5" t="str">
        <f>IFERROR(__xludf.DUMMYFUNCTION("GOOGLETRANSLATE(B3153,""en"",""es-ES"")"),"La cámara se desplaza por todo el techo mientras se ve al hombre sentado y todavía hablando.")</f>
        <v>La cámara se desplaza por todo el techo mientras se ve al hombre sentado y todavía hablando.</v>
      </c>
    </row>
    <row r="3154">
      <c r="A3154" s="4" t="s">
        <v>3959</v>
      </c>
      <c r="B3154" s="4" t="s">
        <v>3962</v>
      </c>
      <c r="C3154" s="5" t="str">
        <f>IFERROR(__xludf.DUMMYFUNCTION("GOOGLETRANSLATE(B3154,""en"",""es-ES"")"),"La cámara se desplaza por todo el techo y muestra al hombre que todavía está sentado.")</f>
        <v>La cámara se desplaza por todo el techo y muestra al hombre que todavía está sentado.</v>
      </c>
    </row>
    <row r="3155">
      <c r="A3155" s="4" t="s">
        <v>3963</v>
      </c>
      <c r="B3155" s="4" t="s">
        <v>3964</v>
      </c>
      <c r="C3155" s="5" t="str">
        <f>IFERROR(__xludf.DUMMYFUNCTION("GOOGLETRANSLATE(B3155,""en"",""es-ES"")"),"Una mujer camina, luego corre con una jabalina.")</f>
        <v>Una mujer camina, luego corre con una jabalina.</v>
      </c>
    </row>
    <row r="3156">
      <c r="A3156" s="4" t="s">
        <v>3963</v>
      </c>
      <c r="B3156" s="4" t="s">
        <v>3965</v>
      </c>
      <c r="C3156" s="5" t="str">
        <f>IFERROR(__xludf.DUMMYFUNCTION("GOOGLETRANSLATE(B3156,""en"",""es-ES"")"),"Ella lo arroja a través del campo, aterrizando cerca de su objetivo.")</f>
        <v>Ella lo arroja a través del campo, aterrizando cerca de su objetivo.</v>
      </c>
    </row>
    <row r="3157">
      <c r="A3157" s="4" t="s">
        <v>3963</v>
      </c>
      <c r="B3157" s="4" t="s">
        <v>3966</v>
      </c>
      <c r="C3157" s="5" t="str">
        <f>IFERROR(__xludf.DUMMYFUNCTION("GOOGLETRANSLATE(B3157,""en"",""es-ES"")"),"Algunos otros compañeros de equipo también realizan el acto, luego vemos el marcador final.")</f>
        <v>Algunos otros compañeros de equipo también realizan el acto, luego vemos el marcador final.</v>
      </c>
    </row>
    <row r="3158">
      <c r="A3158" s="4" t="s">
        <v>3967</v>
      </c>
      <c r="B3158" s="4" t="s">
        <v>3968</v>
      </c>
      <c r="C3158" s="5" t="str">
        <f>IFERROR(__xludf.DUMMYFUNCTION("GOOGLETRANSLATE(B3158,""en"",""es-ES"")"),"Un hombre habla en el frente de un arbusto mientras otra persona se encuentra en su lado derecho.")</f>
        <v>Un hombre habla en el frente de un arbusto mientras otra persona se encuentra en su lado derecho.</v>
      </c>
    </row>
    <row r="3159">
      <c r="A3159" s="4" t="s">
        <v>3967</v>
      </c>
      <c r="B3159" s="4" t="s">
        <v>3969</v>
      </c>
      <c r="C3159" s="5" t="str">
        <f>IFERROR(__xludf.DUMMYFUNCTION("GOOGLETRANSLATE(B3159,""en"",""es-ES"")"),"Luego, el hombre corta las flores muertas del arbusto mientras habla.")</f>
        <v>Luego, el hombre corta las flores muertas del arbusto mientras habla.</v>
      </c>
    </row>
    <row r="3160">
      <c r="A3160" s="4" t="s">
        <v>3967</v>
      </c>
      <c r="B3160" s="4" t="s">
        <v>3970</v>
      </c>
      <c r="C3160" s="5" t="str">
        <f>IFERROR(__xludf.DUMMYFUNCTION("GOOGLETRANSLATE(B3160,""en"",""es-ES"")"),"Además, la persona corta las flores muertas del monte.")</f>
        <v>Además, la persona corta las flores muertas del monte.</v>
      </c>
    </row>
    <row r="3161">
      <c r="A3161" s="4" t="s">
        <v>3971</v>
      </c>
      <c r="B3161" s="4" t="s">
        <v>3972</v>
      </c>
      <c r="C3161" s="5" t="str">
        <f>IFERROR(__xludf.DUMMYFUNCTION("GOOGLETRANSLATE(B3161,""en"",""es-ES"")"),"Esta joven mujer está bailando con el bastón en sus manos.")</f>
        <v>Esta joven mujer está bailando con el bastón en sus manos.</v>
      </c>
    </row>
    <row r="3162">
      <c r="A3162" s="4" t="s">
        <v>3971</v>
      </c>
      <c r="B3162" s="4" t="s">
        <v>3973</v>
      </c>
      <c r="C3162" s="5" t="str">
        <f>IFERROR(__xludf.DUMMYFUNCTION("GOOGLETRANSLATE(B3162,""en"",""es-ES"")"),"Ella está en el medio de la calle con una tapa roja, pantalones cortos y chanclas.")</f>
        <v>Ella está en el medio de la calle con una tapa roja, pantalones cortos y chanclas.</v>
      </c>
    </row>
    <row r="3163">
      <c r="A3163" s="4" t="s">
        <v>3971</v>
      </c>
      <c r="B3163" s="4" t="s">
        <v>3974</v>
      </c>
      <c r="C3163" s="5" t="str">
        <f>IFERROR(__xludf.DUMMYFUNCTION("GOOGLETRANSLATE(B3163,""en"",""es-ES"")"),"Hay mucha gente mirándola mientras ella hace las bastones afuera.")</f>
        <v>Hay mucha gente mirándola mientras ella hace las bastones afuera.</v>
      </c>
    </row>
    <row r="3164">
      <c r="A3164" s="4" t="s">
        <v>3971</v>
      </c>
      <c r="B3164" s="4" t="s">
        <v>3975</v>
      </c>
      <c r="C3164" s="5" t="str">
        <f>IFERROR(__xludf.DUMMYFUNCTION("GOOGLETRANSLATE(B3164,""en"",""es-ES"")"),"Cuando termina, la música deja de tocar y algunas personas aplauden por su actuación.")</f>
        <v>Cuando termina, la música deja de tocar y algunas personas aplauden por su actuación.</v>
      </c>
    </row>
    <row r="3165">
      <c r="A3165" s="4" t="s">
        <v>3976</v>
      </c>
      <c r="B3165" s="4" t="s">
        <v>3977</v>
      </c>
      <c r="C3165" s="5" t="str">
        <f>IFERROR(__xludf.DUMMYFUNCTION("GOOGLETRANSLATE(B3165,""en"",""es-ES"")"),"Los niños pequeños están rebotando en el gran trampolín.")</f>
        <v>Los niños pequeños están rebotando en el gran trampolín.</v>
      </c>
    </row>
    <row r="3166">
      <c r="A3166" s="4" t="s">
        <v>3976</v>
      </c>
      <c r="B3166" s="4" t="s">
        <v>3978</v>
      </c>
      <c r="C3166" s="5" t="str">
        <f>IFERROR(__xludf.DUMMYFUNCTION("GOOGLETRANSLATE(B3166,""en"",""es-ES"")"),"El joven cayó sobre su espalda cuando evitó la pelota.")</f>
        <v>El joven cayó sobre su espalda cuando evitó la pelota.</v>
      </c>
    </row>
    <row r="3167">
      <c r="A3167" s="4" t="s">
        <v>3976</v>
      </c>
      <c r="B3167" s="4" t="s">
        <v>3979</v>
      </c>
      <c r="C3167" s="5" t="str">
        <f>IFERROR(__xludf.DUMMYFUNCTION("GOOGLETRANSLATE(B3167,""en"",""es-ES"")"),"Los niños usan casco mientras tiraban la pelota y el otro lado de los niños esquivan la pelota.")</f>
        <v>Los niños usan casco mientras tiraban la pelota y el otro lado de los niños esquivan la pelota.</v>
      </c>
    </row>
    <row r="3168">
      <c r="A3168" s="4" t="s">
        <v>3976</v>
      </c>
      <c r="B3168" s="4" t="s">
        <v>3980</v>
      </c>
      <c r="C3168" s="5" t="str">
        <f>IFERROR(__xludf.DUMMYFUNCTION("GOOGLETRANSLATE(B3168,""en"",""es-ES"")"),"Dos adultos se acercaron al trampolín para ver a los niños.")</f>
        <v>Dos adultos se acercaron al trampolín para ver a los niños.</v>
      </c>
    </row>
    <row r="3169">
      <c r="A3169" s="4" t="s">
        <v>3981</v>
      </c>
      <c r="B3169" s="4" t="s">
        <v>3982</v>
      </c>
      <c r="C3169" s="5" t="str">
        <f>IFERROR(__xludf.DUMMYFUNCTION("GOOGLETRANSLATE(B3169,""en"",""es-ES"")"),"Se muestra a un grupo de niños pequeños jugando en un parque de parque.")</f>
        <v>Se muestra a un grupo de niños pequeños jugando en un parque de parque.</v>
      </c>
    </row>
    <row r="3170">
      <c r="A3170" s="4" t="s">
        <v>3981</v>
      </c>
      <c r="B3170" s="4" t="s">
        <v>3983</v>
      </c>
      <c r="C3170" s="5" t="str">
        <f>IFERROR(__xludf.DUMMYFUNCTION("GOOGLETRANSLATE(B3170,""en"",""es-ES"")"),"Un niño sube y viene en los bares de mono.")</f>
        <v>Un niño sube y viene en los bares de mono.</v>
      </c>
    </row>
    <row r="3171">
      <c r="A3171" s="4" t="s">
        <v>3981</v>
      </c>
      <c r="B3171" s="4" t="s">
        <v>3984</v>
      </c>
      <c r="C3171" s="5" t="str">
        <f>IFERROR(__xludf.DUMMYFUNCTION("GOOGLETRANSLATE(B3171,""en"",""es-ES"")"),"Otro niño también se une a él en los bares.")</f>
        <v>Otro niño también se une a él en los bares.</v>
      </c>
    </row>
    <row r="3172">
      <c r="A3172" s="4" t="s">
        <v>3985</v>
      </c>
      <c r="B3172" s="4" t="s">
        <v>3986</v>
      </c>
      <c r="C3172" s="5" t="str">
        <f>IFERROR(__xludf.DUMMYFUNCTION("GOOGLETRANSLATE(B3172,""en"",""es-ES"")"),"Un hombre en un chaleco de vida amarillo está sentado en una canoa.")</f>
        <v>Un hombre en un chaleco de vida amarillo está sentado en una canoa.</v>
      </c>
    </row>
    <row r="3173">
      <c r="A3173" s="4" t="s">
        <v>3985</v>
      </c>
      <c r="B3173" s="4" t="s">
        <v>3987</v>
      </c>
      <c r="C3173" s="5" t="str">
        <f>IFERROR(__xludf.DUMMYFUNCTION("GOOGLETRANSLATE(B3173,""en"",""es-ES"")"),"Está remando de lado a lado.")</f>
        <v>Está remando de lado a lado.</v>
      </c>
    </row>
    <row r="3174">
      <c r="A3174" s="4" t="s">
        <v>3985</v>
      </c>
      <c r="B3174" s="4" t="s">
        <v>3988</v>
      </c>
      <c r="C3174" s="5" t="str">
        <f>IFERROR(__xludf.DUMMYFUNCTION("GOOGLETRANSLATE(B3174,""en"",""es-ES"")"),"La cámara se encuentra bajo el agua al lado de la canoa.")</f>
        <v>La cámara se encuentra bajo el agua al lado de la canoa.</v>
      </c>
    </row>
    <row r="3175">
      <c r="A3175" s="4" t="s">
        <v>3989</v>
      </c>
      <c r="B3175" s="4" t="s">
        <v>3990</v>
      </c>
      <c r="C3175" s="5" t="str">
        <f>IFERROR(__xludf.DUMMYFUNCTION("GOOGLETRANSLATE(B3175,""en"",""es-ES"")"),"Los sándwiches se muestran en una presentación de diapositivas.")</f>
        <v>Los sándwiches se muestran en una presentación de diapositivas.</v>
      </c>
    </row>
    <row r="3176">
      <c r="A3176" s="4" t="s">
        <v>3989</v>
      </c>
      <c r="B3176" s="4" t="s">
        <v>3991</v>
      </c>
      <c r="C3176" s="5" t="str">
        <f>IFERROR(__xludf.DUMMYFUNCTION("GOOGLETRANSLATE(B3176,""en"",""es-ES"")"),"Una persona extiende la salsa de mostaza sobre rebanadas de pan, luego la persona se pone en la parte superior de queso suizo, mermelada, chucrut y una rebanada de pan en la parte superior.")</f>
        <v>Una persona extiende la salsa de mostaza sobre rebanadas de pan, luego la persona se pone en la parte superior de queso suizo, mermelada, chucrut y una rebanada de pan en la parte superior.</v>
      </c>
    </row>
    <row r="3177">
      <c r="A3177" s="4" t="s">
        <v>3989</v>
      </c>
      <c r="B3177" s="4" t="s">
        <v>3992</v>
      </c>
      <c r="C3177" s="5" t="str">
        <f>IFERROR(__xludf.DUMMYFUNCTION("GOOGLETRANSLATE(B3177,""en"",""es-ES"")"),"Después, la persona extiende la mantequilla en los sándwiches y los pone en una superficie caliente, luego la persona corta los sándwiches por la mitad.")</f>
        <v>Después, la persona extiende la mantequilla en los sándwiches y los pone en una superficie caliente, luego la persona corta los sándwiches por la mitad.</v>
      </c>
    </row>
    <row r="3178">
      <c r="A3178" s="4" t="s">
        <v>3993</v>
      </c>
      <c r="B3178" s="4" t="s">
        <v>3994</v>
      </c>
      <c r="C3178" s="5" t="str">
        <f>IFERROR(__xludf.DUMMYFUNCTION("GOOGLETRANSLATE(B3178,""en"",""es-ES"")"),"Un hombre blanco de mediana edad está de pie en una multitud de personas tocando un saxofón.")</f>
        <v>Un hombre blanco de mediana edad está de pie en una multitud de personas tocando un saxofón.</v>
      </c>
    </row>
    <row r="3179">
      <c r="A3179" s="4" t="s">
        <v>3993</v>
      </c>
      <c r="B3179" s="4" t="s">
        <v>3995</v>
      </c>
      <c r="C3179" s="5" t="str">
        <f>IFERROR(__xludf.DUMMYFUNCTION("GOOGLETRANSLATE(B3179,""en"",""es-ES"")"),"A medida que continúa, el video se desprende y varias otras personas se unen a él para tocar el saxofón y se revela que alguien más está presionando los botones para el hombre mientras está volando en el instrumento.")</f>
        <v>A medida que continúa, el video se desprende y varias otras personas se unen a él para tocar el saxofón y se revela que alguien más está presionando los botones para el hombre mientras está volando en el instrumento.</v>
      </c>
    </row>
    <row r="3180">
      <c r="A3180" s="4" t="s">
        <v>3993</v>
      </c>
      <c r="B3180" s="4" t="s">
        <v>3996</v>
      </c>
      <c r="C3180" s="5" t="str">
        <f>IFERROR(__xludf.DUMMYFUNCTION("GOOGLETRANSLATE(B3180,""en"",""es-ES"")"),"Luego, la cámara retrocede y la multitud comienza a aplaudir para la audiencia.")</f>
        <v>Luego, la cámara retrocede y la multitud comienza a aplaudir para la audiencia.</v>
      </c>
    </row>
    <row r="3181">
      <c r="A3181" s="4" t="s">
        <v>3997</v>
      </c>
      <c r="B3181" s="4" t="s">
        <v>3998</v>
      </c>
      <c r="C3181" s="5" t="str">
        <f>IFERROR(__xludf.DUMMYFUNCTION("GOOGLETRANSLATE(B3181,""en"",""es-ES"")"),"Hay una mujer con una camisa blanca en una cancha de tenis interior que golpea bolas en la cancha.")</f>
        <v>Hay una mujer con una camisa blanca en una cancha de tenis interior que golpea bolas en la cancha.</v>
      </c>
    </row>
    <row r="3182">
      <c r="A3182" s="4" t="s">
        <v>3997</v>
      </c>
      <c r="B3182" s="4" t="s">
        <v>3999</v>
      </c>
      <c r="C3182" s="5" t="str">
        <f>IFERROR(__xludf.DUMMYFUNCTION("GOOGLETRANSLATE(B3182,""en"",""es-ES"")"),"Ella rebota la pelota en el suelo y luego sirve la pelota a través de la red.")</f>
        <v>Ella rebota la pelota en el suelo y luego sirve la pelota a través de la red.</v>
      </c>
    </row>
    <row r="3183">
      <c r="A3183" s="4" t="s">
        <v>4000</v>
      </c>
      <c r="B3183" s="4" t="s">
        <v>4001</v>
      </c>
      <c r="C3183" s="5" t="str">
        <f>IFERROR(__xludf.DUMMYFUNCTION("GOOGLETRANSLATE(B3183,""en"",""es-ES"")"),"Un hombre camina por un poco de nieve con una gran pala de nieve.")</f>
        <v>Un hombre camina por un poco de nieve con una gran pala de nieve.</v>
      </c>
    </row>
    <row r="3184">
      <c r="A3184" s="4" t="s">
        <v>4000</v>
      </c>
      <c r="B3184" s="4" t="s">
        <v>4002</v>
      </c>
      <c r="C3184" s="5" t="str">
        <f>IFERROR(__xludf.DUMMYFUNCTION("GOOGLETRANSLATE(B3184,""en"",""es-ES"")"),"El hombre pala un largo camino de nieve.")</f>
        <v>El hombre pala un largo camino de nieve.</v>
      </c>
    </row>
    <row r="3185">
      <c r="A3185" s="4" t="s">
        <v>4000</v>
      </c>
      <c r="B3185" s="4" t="s">
        <v>4003</v>
      </c>
      <c r="C3185" s="5" t="str">
        <f>IFERROR(__xludf.DUMMYFUNCTION("GOOGLETRANSLATE(B3185,""en"",""es-ES"")"),"El hombre se da vuelta y empuja un largo camino de nieve nuevamente.")</f>
        <v>El hombre se da vuelta y empuja un largo camino de nieve nuevamente.</v>
      </c>
    </row>
    <row r="3186">
      <c r="A3186" s="4" t="s">
        <v>4000</v>
      </c>
      <c r="B3186" s="4" t="s">
        <v>4004</v>
      </c>
      <c r="C3186" s="5" t="str">
        <f>IFERROR(__xludf.DUMMYFUNCTION("GOOGLETRANSLATE(B3186,""en"",""es-ES"")"),"El hombre palea la nieve por tercera vez.")</f>
        <v>El hombre palea la nieve por tercera vez.</v>
      </c>
    </row>
    <row r="3187">
      <c r="A3187" s="4" t="s">
        <v>4000</v>
      </c>
      <c r="B3187" s="4" t="s">
        <v>4005</v>
      </c>
      <c r="C3187" s="5" t="str">
        <f>IFERROR(__xludf.DUMMYFUNCTION("GOOGLETRANSLATE(B3187,""en"",""es-ES"")"),"El hombre pala un camino de nieve muy largo en un lugar diferente.")</f>
        <v>El hombre pala un camino de nieve muy largo en un lugar diferente.</v>
      </c>
    </row>
    <row r="3188">
      <c r="A3188" s="4" t="s">
        <v>4000</v>
      </c>
      <c r="B3188" s="4" t="s">
        <v>4006</v>
      </c>
      <c r="C3188" s="5" t="str">
        <f>IFERROR(__xludf.DUMMYFUNCTION("GOOGLETRANSLATE(B3188,""en"",""es-ES"")"),"El hombre se da la vuelta y empuja un segundo camino de nieve, justo al lado del reciente camino de nieve pala.")</f>
        <v>El hombre se da la vuelta y empuja un segundo camino de nieve, justo al lado del reciente camino de nieve pala.</v>
      </c>
    </row>
    <row r="3189">
      <c r="A3189" s="4" t="s">
        <v>4007</v>
      </c>
      <c r="B3189" s="4" t="s">
        <v>4008</v>
      </c>
      <c r="C3189" s="5" t="str">
        <f>IFERROR(__xludf.DUMMYFUNCTION("GOOGLETRANSLATE(B3189,""en"",""es-ES"")"),"Una mujer muestra un plato con verduras y muestra las calorías, los ingredientes y la preparación de un plato.")</f>
        <v>Una mujer muestra un plato con verduras y muestra las calorías, los ingredientes y la preparación de un plato.</v>
      </c>
    </row>
    <row r="3190">
      <c r="A3190" s="4" t="s">
        <v>4007</v>
      </c>
      <c r="B3190" s="4" t="s">
        <v>4009</v>
      </c>
      <c r="C3190" s="5" t="str">
        <f>IFERROR(__xludf.DUMMYFUNCTION("GOOGLETRANSLATE(B3190,""en"",""es-ES"")"),"Luego, la mujer pone vegetales en un tazón, luego fríe un permiso y lo puso en el tazón.")</f>
        <v>Luego, la mujer pone vegetales en un tazón, luego fríe un permiso y lo puso en el tazón.</v>
      </c>
    </row>
    <row r="3191">
      <c r="A3191" s="4" t="s">
        <v>4007</v>
      </c>
      <c r="B3191" s="4" t="s">
        <v>4010</v>
      </c>
      <c r="C3191" s="5" t="str">
        <f>IFERROR(__xludf.DUMMYFUNCTION("GOOGLETRANSLATE(B3191,""en"",""es-ES"")"),"Luego, la mujer mezcla las verduras y la sirve en un plato.")</f>
        <v>Luego, la mujer mezcla las verduras y la sirve en un plato.</v>
      </c>
    </row>
    <row r="3192">
      <c r="A3192" s="4" t="s">
        <v>4011</v>
      </c>
      <c r="B3192" s="4" t="s">
        <v>4012</v>
      </c>
      <c r="C3192" s="5" t="str">
        <f>IFERROR(__xludf.DUMMYFUNCTION("GOOGLETRANSLATE(B3192,""en"",""es-ES"")"),"Dos mujeres intentan lavar dos perros.")</f>
        <v>Dos mujeres intentan lavar dos perros.</v>
      </c>
    </row>
    <row r="3193">
      <c r="A3193" s="4" t="s">
        <v>4011</v>
      </c>
      <c r="B3193" s="4" t="s">
        <v>4013</v>
      </c>
      <c r="C3193" s="5" t="str">
        <f>IFERROR(__xludf.DUMMYFUNCTION("GOOGLETRANSLATE(B3193,""en"",""es-ES"")"),"Entran en la bañera con los perros y hacen champú, jabón y luego enjuagan a los perros.")</f>
        <v>Entran en la bañera con los perros y hacen champú, jabón y luego enjuagan a los perros.</v>
      </c>
    </row>
    <row r="3194">
      <c r="A3194" s="4" t="s">
        <v>4011</v>
      </c>
      <c r="B3194" s="4" t="s">
        <v>4014</v>
      </c>
      <c r="C3194" s="5" t="str">
        <f>IFERROR(__xludf.DUMMYFUNCTION("GOOGLETRANSLATE(B3194,""en"",""es-ES"")"),"Se secan a los perros y los perros son mucho más felices.")</f>
        <v>Se secan a los perros y los perros son mucho más felices.</v>
      </c>
    </row>
    <row r="3195">
      <c r="A3195" s="4" t="s">
        <v>4015</v>
      </c>
      <c r="B3195" s="4" t="s">
        <v>4016</v>
      </c>
      <c r="C3195" s="5" t="str">
        <f>IFERROR(__xludf.DUMMYFUNCTION("GOOGLETRANSLATE(B3195,""en"",""es-ES"")"),"Un hombre se para en una barandilla de puente con un arnés mientras otro hombre lo sostiene.")</f>
        <v>Un hombre se para en una barandilla de puente con un arnés mientras otro hombre lo sostiene.</v>
      </c>
    </row>
    <row r="3196">
      <c r="A3196" s="4" t="s">
        <v>4015</v>
      </c>
      <c r="B3196" s="4" t="s">
        <v>4017</v>
      </c>
      <c r="C3196" s="5" t="str">
        <f>IFERROR(__xludf.DUMMYFUNCTION("GOOGLETRANSLATE(B3196,""en"",""es-ES"")"),"El hombre salta del puente hacia el río debajo.")</f>
        <v>El hombre salta del puente hacia el río debajo.</v>
      </c>
    </row>
    <row r="3197">
      <c r="A3197" s="4" t="s">
        <v>4015</v>
      </c>
      <c r="B3197" s="4" t="s">
        <v>4018</v>
      </c>
      <c r="C3197" s="5" t="str">
        <f>IFERROR(__xludf.DUMMYFUNCTION("GOOGLETRANSLATE(B3197,""en"",""es-ES"")"),"El hombre gira de un lado a otro sobre los rápidos.")</f>
        <v>El hombre gira de un lado a otro sobre los rápidos.</v>
      </c>
    </row>
    <row r="3198">
      <c r="A3198" s="4" t="s">
        <v>4019</v>
      </c>
      <c r="B3198" s="4" t="s">
        <v>4020</v>
      </c>
      <c r="C3198" s="5" t="str">
        <f>IFERROR(__xludf.DUMMYFUNCTION("GOOGLETRANSLATE(B3198,""en"",""es-ES"")"),"Una mujer que usa verde con cabello rojo está fregando algo de ropa vigorosamente.")</f>
        <v>Una mujer que usa verde con cabello rojo está fregando algo de ropa vigorosamente.</v>
      </c>
    </row>
    <row r="3199">
      <c r="A3199" s="4" t="s">
        <v>4019</v>
      </c>
      <c r="B3199" s="4" t="s">
        <v>4021</v>
      </c>
      <c r="C3199" s="5" t="str">
        <f>IFERROR(__xludf.DUMMYFUNCTION("GOOGLETRANSLATE(B3199,""en"",""es-ES"")"),"El agua y el jabón salpican en la pared/ ella recoge el pedazo de tela y lo golpea contra el soporte.")</f>
        <v>El agua y el jabón salpican en la pared/ ella recoge el pedazo de tela y lo golpea contra el soporte.</v>
      </c>
    </row>
    <row r="3200">
      <c r="A3200" s="4" t="s">
        <v>4019</v>
      </c>
      <c r="B3200" s="4" t="s">
        <v>4022</v>
      </c>
      <c r="C3200" s="5" t="str">
        <f>IFERROR(__xludf.DUMMYFUNCTION("GOOGLETRANSLATE(B3200,""en"",""es-ES"")"),"Luego obtiene un poco de agua de los cubos y la vierte.")</f>
        <v>Luego obtiene un poco de agua de los cubos y la vierte.</v>
      </c>
    </row>
    <row r="3201">
      <c r="A3201" s="4" t="s">
        <v>4019</v>
      </c>
      <c r="B3201" s="4" t="s">
        <v>4023</v>
      </c>
      <c r="C3201" s="5" t="str">
        <f>IFERROR(__xludf.DUMMYFUNCTION("GOOGLETRANSLATE(B3201,""en"",""es-ES"")"),"Ella lo exprime y luego pone la tela en un cubo de agua jabonosa.")</f>
        <v>Ella lo exprime y luego pone la tela en un cubo de agua jabonosa.</v>
      </c>
    </row>
    <row r="3202">
      <c r="A3202" s="4" t="s">
        <v>4024</v>
      </c>
      <c r="B3202" s="4" t="s">
        <v>4025</v>
      </c>
      <c r="C3202" s="5" t="str">
        <f>IFERROR(__xludf.DUMMYFUNCTION("GOOGLETRANSLATE(B3202,""en"",""es-ES"")"),"Hay una superficie abierta con vegetación y superficie cubierta de hierba.")</f>
        <v>Hay una superficie abierta con vegetación y superficie cubierta de hierba.</v>
      </c>
    </row>
    <row r="3203">
      <c r="A3203" s="4" t="s">
        <v>4024</v>
      </c>
      <c r="B3203" s="4" t="s">
        <v>4026</v>
      </c>
      <c r="C3203" s="5" t="str">
        <f>IFERROR(__xludf.DUMMYFUNCTION("GOOGLETRANSLATE(B3203,""en"",""es-ES"")"),"Hay un recortador de césped que se encuentra en el suelo cerca de algunos parches de hierba cultivados.")</f>
        <v>Hay un recortador de césped que se encuentra en el suelo cerca de algunos parches de hierba cultivados.</v>
      </c>
    </row>
    <row r="3204">
      <c r="A3204" s="4" t="s">
        <v>4024</v>
      </c>
      <c r="B3204" s="4" t="s">
        <v>4027</v>
      </c>
      <c r="C3204" s="5" t="str">
        <f>IFERROR(__xludf.DUMMYFUNCTION("GOOGLETRANSLATE(B3204,""en"",""es-ES"")"),"Una persona que usa pantalones grises y guantes con un recortador de césped para recortar los parches de hierba.")</f>
        <v>Una persona que usa pantalones grises y guantes con un recortador de césped para recortar los parches de hierba.</v>
      </c>
    </row>
    <row r="3205">
      <c r="A3205" s="4" t="s">
        <v>4024</v>
      </c>
      <c r="B3205" s="4" t="s">
        <v>4028</v>
      </c>
      <c r="C3205" s="5" t="str">
        <f>IFERROR(__xludf.DUMMYFUNCTION("GOOGLETRANSLATE(B3205,""en"",""es-ES"")"),"Él está recortando el césped en un movimiento de ida y vuelta, moviendo el recortador horizontalmente a través de la hierba.")</f>
        <v>Él está recortando el césped en un movimiento de ida y vuelta, moviendo el recortador horizontalmente a través de la hierba.</v>
      </c>
    </row>
    <row r="3206">
      <c r="A3206" s="4" t="s">
        <v>4029</v>
      </c>
      <c r="B3206" s="4" t="s">
        <v>4030</v>
      </c>
      <c r="C3206" s="5" t="str">
        <f>IFERROR(__xludf.DUMMYFUNCTION("GOOGLETRANSLATE(B3206,""en"",""es-ES"")"),"Se muestra un primer plano de un camino de asfalto agrietado.")</f>
        <v>Se muestra un primer plano de un camino de asfalto agrietado.</v>
      </c>
    </row>
    <row r="3207">
      <c r="A3207" s="4" t="s">
        <v>4029</v>
      </c>
      <c r="B3207" s="4" t="s">
        <v>4031</v>
      </c>
      <c r="C3207" s="5" t="str">
        <f>IFERROR(__xludf.DUMMYFUNCTION("GOOGLETRANSLATE(B3207,""en"",""es-ES"")"),"Luego vemos a un hombre caminando, llevando un par de patines en línea.")</f>
        <v>Luego vemos a un hombre caminando, llevando un par de patines en línea.</v>
      </c>
    </row>
    <row r="3208">
      <c r="A3208" s="4" t="s">
        <v>4029</v>
      </c>
      <c r="B3208" s="4" t="s">
        <v>4032</v>
      </c>
      <c r="C3208" s="5" t="str">
        <f>IFERROR(__xludf.DUMMYFUNCTION("GOOGLETRANSLATE(B3208,""en"",""es-ES"")"),"El hombre realiza acrobacias, subiendo escaleras y medianas, haciendo volteos y montando hacia atrás.")</f>
        <v>El hombre realiza acrobacias, subiendo escaleras y medianas, haciendo volteos y montando hacia atrás.</v>
      </c>
    </row>
    <row r="3209">
      <c r="A3209" s="4" t="s">
        <v>4029</v>
      </c>
      <c r="B3209" s="4" t="s">
        <v>4033</v>
      </c>
      <c r="C3209" s="5" t="str">
        <f>IFERROR(__xludf.DUMMYFUNCTION("GOOGLETRANSLATE(B3209,""en"",""es-ES"")"),"Cuando termina, se aleja.")</f>
        <v>Cuando termina, se aleja.</v>
      </c>
    </row>
    <row r="3210">
      <c r="A3210" s="4" t="s">
        <v>4034</v>
      </c>
      <c r="B3210" s="4" t="s">
        <v>4035</v>
      </c>
      <c r="C3210" s="5" t="str">
        <f>IFERROR(__xludf.DUMMYFUNCTION("GOOGLETRANSLATE(B3210,""en"",""es-ES"")"),"Un niño juega al tenis en una cancha que devuelve bolas mientras un niño se encuentra a su lado.")</f>
        <v>Un niño juega al tenis en una cancha que devuelve bolas mientras un niño se encuentra a su lado.</v>
      </c>
    </row>
    <row r="3211">
      <c r="A3211" s="4" t="s">
        <v>4034</v>
      </c>
      <c r="B3211" s="4" t="s">
        <v>4036</v>
      </c>
      <c r="C3211" s="5" t="str">
        <f>IFERROR(__xludf.DUMMYFUNCTION("GOOGLETRANSLATE(B3211,""en"",""es-ES"")"),"El niño dejó la cancha mientras el niño continúa devolviendo las pelotas, luego el niño regresa.")</f>
        <v>El niño dejó la cancha mientras el niño continúa devolviendo las pelotas, luego el niño regresa.</v>
      </c>
    </row>
    <row r="3212">
      <c r="A3212" s="4" t="s">
        <v>4034</v>
      </c>
      <c r="B3212" s="4" t="s">
        <v>4037</v>
      </c>
      <c r="C3212" s="5" t="str">
        <f>IFERROR(__xludf.DUMMYFUNCTION("GOOGLETRANSLATE(B3212,""en"",""es-ES"")"),"Luego, el niño se fue de nuevo en la cancha, y luego regresa con una raqueta y una pelota.")</f>
        <v>Luego, el niño se fue de nuevo en la cancha, y luego regresa con una raqueta y una pelota.</v>
      </c>
    </row>
    <row r="3213">
      <c r="A3213" s="4" t="s">
        <v>4034</v>
      </c>
      <c r="B3213" s="4" t="s">
        <v>4038</v>
      </c>
      <c r="C3213" s="5" t="str">
        <f>IFERROR(__xludf.DUMMYFUNCTION("GOOGLETRANSLATE(B3213,""en"",""es-ES"")"),"El niño sirve la pelota, y el niño ayuda a estar a continuación que ella mira.")</f>
        <v>El niño sirve la pelota, y el niño ayuda a estar a continuación que ella mira.</v>
      </c>
    </row>
    <row r="3214">
      <c r="A3214" s="4" t="s">
        <v>4039</v>
      </c>
      <c r="B3214" s="4" t="s">
        <v>4040</v>
      </c>
      <c r="C3214" s="5" t="str">
        <f>IFERROR(__xludf.DUMMYFUNCTION("GOOGLETRANSLATE(B3214,""en"",""es-ES"")"),"Se ve a un hombre hablando con la cámara y conduce a varias tomas de personas que hablan y usan tacones.")</f>
        <v>Se ve a un hombre hablando con la cámara y conduce a varias tomas de personas que hablan y usan tacones.</v>
      </c>
    </row>
    <row r="3215">
      <c r="A3215" s="4" t="s">
        <v>4039</v>
      </c>
      <c r="B3215" s="4" t="s">
        <v>4041</v>
      </c>
      <c r="C3215" s="5" t="str">
        <f>IFERROR(__xludf.DUMMYFUNCTION("GOOGLETRANSLATE(B3215,""en"",""es-ES"")"),"Las mujeres caminan por el suelo por una calle mientras muchas miran y luego todas corren por el camino con tacones.")</f>
        <v>Las mujeres caminan por el suelo por una calle mientras muchas miran y luego todas corren por el camino con tacones.</v>
      </c>
    </row>
    <row r="3216">
      <c r="A3216" s="4" t="s">
        <v>4042</v>
      </c>
      <c r="B3216" s="4" t="s">
        <v>4043</v>
      </c>
      <c r="C3216" s="5" t="str">
        <f>IFERROR(__xludf.DUMMYFUNCTION("GOOGLETRANSLATE(B3216,""en"",""es-ES"")"),"Se ve a una mujer atlética de pie ante una pista y comienza a correr por el costado.")</f>
        <v>Se ve a una mujer atlética de pie ante una pista y comienza a correr por el costado.</v>
      </c>
    </row>
    <row r="3217">
      <c r="A3217" s="4" t="s">
        <v>4042</v>
      </c>
      <c r="B3217" s="4" t="s">
        <v>4044</v>
      </c>
      <c r="C3217" s="5" t="str">
        <f>IFERROR(__xludf.DUMMYFUNCTION("GOOGLETRANSLATE(B3217,""en"",""es-ES"")"),"Ella corre y salta a un pozo de arena mientras un hombre registra su puntaje.")</f>
        <v>Ella corre y salta a un pozo de arena mientras un hombre registra su puntaje.</v>
      </c>
    </row>
    <row r="3218">
      <c r="A3218" s="4" t="s">
        <v>4042</v>
      </c>
      <c r="B3218" s="4" t="s">
        <v>4045</v>
      </c>
      <c r="C3218" s="5" t="str">
        <f>IFERROR(__xludf.DUMMYFUNCTION("GOOGLETRANSLATE(B3218,""en"",""es-ES"")"),"Se muestran varios clips más de mujeres corriendo por la pista y saltando al pozo.")</f>
        <v>Se muestran varios clips más de mujeres corriendo por la pista y saltando al pozo.</v>
      </c>
    </row>
    <row r="3219">
      <c r="A3219" s="4" t="s">
        <v>4046</v>
      </c>
      <c r="B3219" s="4" t="s">
        <v>4047</v>
      </c>
      <c r="C3219" s="5" t="str">
        <f>IFERROR(__xludf.DUMMYFUNCTION("GOOGLETRANSLATE(B3219,""en"",""es-ES"")"),"Varias personas son vistas corriendo por un campo jugando juntos.")</f>
        <v>Varias personas son vistas corriendo por un campo jugando juntos.</v>
      </c>
    </row>
    <row r="3220">
      <c r="A3220" s="4" t="s">
        <v>4046</v>
      </c>
      <c r="B3220" s="4" t="s">
        <v>4048</v>
      </c>
      <c r="C3220" s="5" t="str">
        <f>IFERROR(__xludf.DUMMYFUNCTION("GOOGLETRANSLATE(B3220,""en"",""es-ES"")"),"Los jugadores animan y hablan entre sí, además de mostrar más aspectos destacados del juego.")</f>
        <v>Los jugadores animan y hablan entre sí, además de mostrar más aspectos destacados del juego.</v>
      </c>
    </row>
    <row r="3221">
      <c r="A3221" s="4" t="s">
        <v>4046</v>
      </c>
      <c r="B3221" s="4" t="s">
        <v>4049</v>
      </c>
      <c r="C3221" s="5" t="str">
        <f>IFERROR(__xludf.DUMMYFUNCTION("GOOGLETRANSLATE(B3221,""en"",""es-ES"")"),"Se muestran más clips de personas que se alejan y juegan.")</f>
        <v>Se muestran más clips de personas que se alejan y juegan.</v>
      </c>
    </row>
    <row r="3222">
      <c r="A3222" s="4" t="s">
        <v>4050</v>
      </c>
      <c r="B3222" s="4" t="s">
        <v>1251</v>
      </c>
      <c r="C3222" s="5" t="str">
        <f>IFERROR(__xludf.DUMMYFUNCTION("GOOGLETRANSLATE(B3222,""en"",""es-ES"")"),"Se muestran los créditos del clip.")</f>
        <v>Se muestran los créditos del clip.</v>
      </c>
    </row>
    <row r="3223">
      <c r="A3223" s="4" t="s">
        <v>4050</v>
      </c>
      <c r="B3223" s="4" t="s">
        <v>4051</v>
      </c>
      <c r="C3223" s="5" t="str">
        <f>IFERROR(__xludf.DUMMYFUNCTION("GOOGLETRANSLATE(B3223,""en"",""es-ES"")"),"Una persona monta una bicicleta de tierra sobre una colina o pila de tierra con ayuda de una estructura de inclinación.")</f>
        <v>Una persona monta una bicicleta de tierra sobre una colina o pila de tierra con ayuda de una estructura de inclinación.</v>
      </c>
    </row>
    <row r="3224">
      <c r="A3224" s="4" t="s">
        <v>4050</v>
      </c>
      <c r="B3224" s="4" t="s">
        <v>4052</v>
      </c>
      <c r="C3224" s="5" t="str">
        <f>IFERROR(__xludf.DUMMYFUNCTION("GOOGLETRANSLATE(B3224,""en"",""es-ES"")"),"Una persona se para, sacude la cabeza y se va en una bicicleta de tierra.")</f>
        <v>Una persona se para, sacude la cabeza y se va en una bicicleta de tierra.</v>
      </c>
    </row>
    <row r="3225">
      <c r="A3225" s="4" t="s">
        <v>4050</v>
      </c>
      <c r="B3225" s="4" t="s">
        <v>4053</v>
      </c>
      <c r="C3225" s="5" t="str">
        <f>IFERROR(__xludf.DUMMYFUNCTION("GOOGLETRANSLATE(B3225,""en"",""es-ES"")"),"Dos tipos se sientan en su bicicleta de tierra y discuten.")</f>
        <v>Dos tipos se sientan en su bicicleta de tierra y discuten.</v>
      </c>
    </row>
    <row r="3226">
      <c r="A3226" s="4" t="s">
        <v>4050</v>
      </c>
      <c r="B3226" s="4" t="s">
        <v>4054</v>
      </c>
      <c r="C3226" s="5" t="str">
        <f>IFERROR(__xludf.DUMMYFUNCTION("GOOGLETRANSLATE(B3226,""en"",""es-ES"")"),"Un tipo usa su neumático trasero para hacer que la suciedad rocíe.")</f>
        <v>Un tipo usa su neumático trasero para hacer que la suciedad rocíe.</v>
      </c>
    </row>
    <row r="3227">
      <c r="A3227" s="4" t="s">
        <v>4050</v>
      </c>
      <c r="B3227" s="4" t="s">
        <v>573</v>
      </c>
      <c r="C3227" s="5" t="str">
        <f>IFERROR(__xludf.DUMMYFUNCTION("GOOGLETRANSLATE(B3227,""en"",""es-ES"")"),"Se muestran los créditos del video.")</f>
        <v>Se muestran los créditos del video.</v>
      </c>
    </row>
    <row r="3228">
      <c r="A3228" s="4" t="s">
        <v>4055</v>
      </c>
      <c r="B3228" s="4" t="s">
        <v>4056</v>
      </c>
      <c r="C3228" s="5" t="str">
        <f>IFERROR(__xludf.DUMMYFUNCTION("GOOGLETRANSLATE(B3228,""en"",""es-ES"")"),"Un libro negro llamado Windmills está en la pantalla.")</f>
        <v>Un libro negro llamado Windmills está en la pantalla.</v>
      </c>
    </row>
    <row r="3229">
      <c r="A3229" s="4" t="s">
        <v>4055</v>
      </c>
      <c r="B3229" s="4" t="s">
        <v>4057</v>
      </c>
      <c r="C3229" s="5" t="str">
        <f>IFERROR(__xludf.DUMMYFUNCTION("GOOGLETRANSLATE(B3229,""en"",""es-ES"")"),"La cámara se acerca a un bailarín.")</f>
        <v>La cámara se acerca a un bailarín.</v>
      </c>
    </row>
    <row r="3230">
      <c r="A3230" s="4" t="s">
        <v>4055</v>
      </c>
      <c r="B3230" s="4" t="s">
        <v>4058</v>
      </c>
      <c r="C3230" s="5" t="str">
        <f>IFERROR(__xludf.DUMMYFUNCTION("GOOGLETRANSLATE(B3230,""en"",""es-ES"")"),"Vincanitv aparece en la pantalla.")</f>
        <v>Vincanitv aparece en la pantalla.</v>
      </c>
    </row>
    <row r="3231">
      <c r="A3231" s="4" t="s">
        <v>4055</v>
      </c>
      <c r="B3231" s="4" t="s">
        <v>4059</v>
      </c>
      <c r="C3231" s="5" t="str">
        <f>IFERROR(__xludf.DUMMYFUNCTION("GOOGLETRANSLATE(B3231,""en"",""es-ES"")"),"El instructor está hablando.")</f>
        <v>El instructor está hablando.</v>
      </c>
    </row>
    <row r="3232">
      <c r="A3232" s="4" t="s">
        <v>4055</v>
      </c>
      <c r="B3232" s="4" t="s">
        <v>4060</v>
      </c>
      <c r="C3232" s="5" t="str">
        <f>IFERROR(__xludf.DUMMYFUNCTION("GOOGLETRANSLATE(B3232,""en"",""es-ES"")"),"El instructor está sentado en el piso introduciendo el movimiento.")</f>
        <v>El instructor está sentado en el piso introduciendo el movimiento.</v>
      </c>
    </row>
    <row r="3233">
      <c r="A3233" s="4" t="s">
        <v>4055</v>
      </c>
      <c r="B3233" s="4" t="s">
        <v>4061</v>
      </c>
      <c r="C3233" s="5" t="str">
        <f>IFERROR(__xludf.DUMMYFUNCTION("GOOGLETRANSLATE(B3233,""en"",""es-ES"")"),"Se muestra una toma del movimiento, luego el instructor muestra cómo hacerlo.")</f>
        <v>Se muestra una toma del movimiento, luego el instructor muestra cómo hacerlo.</v>
      </c>
    </row>
    <row r="3234">
      <c r="A3234" s="4" t="s">
        <v>4055</v>
      </c>
      <c r="B3234" s="4" t="s">
        <v>4062</v>
      </c>
      <c r="C3234" s="5" t="str">
        <f>IFERROR(__xludf.DUMMYFUNCTION("GOOGLETRANSLATE(B3234,""en"",""es-ES"")"),"Se empuja sobre su mano y hace otro movimiento.")</f>
        <v>Se empuja sobre su mano y hace otro movimiento.</v>
      </c>
    </row>
    <row r="3235">
      <c r="A3235" s="4" t="s">
        <v>4055</v>
      </c>
      <c r="B3235" s="4" t="s">
        <v>4063</v>
      </c>
      <c r="C3235" s="5" t="str">
        <f>IFERROR(__xludf.DUMMYFUNCTION("GOOGLETRANSLATE(B3235,""en"",""es-ES"")"),"Está de rodilla para mostrar otro movimiento.")</f>
        <v>Está de rodilla para mostrar otro movimiento.</v>
      </c>
    </row>
    <row r="3236">
      <c r="A3236" s="4" t="s">
        <v>4055</v>
      </c>
      <c r="B3236" s="4" t="s">
        <v>4064</v>
      </c>
      <c r="C3236" s="5" t="str">
        <f>IFERROR(__xludf.DUMMYFUNCTION("GOOGLETRANSLATE(B3236,""en"",""es-ES"")"),"La pantalla va a otra toma del mismo movimiento pero esta vez más rápido.")</f>
        <v>La pantalla va a otra toma del mismo movimiento pero esta vez más rápido.</v>
      </c>
    </row>
    <row r="3237">
      <c r="A3237" s="4" t="s">
        <v>4055</v>
      </c>
      <c r="B3237" s="4" t="s">
        <v>4065</v>
      </c>
      <c r="C3237" s="5" t="str">
        <f>IFERROR(__xludf.DUMMYFUNCTION("GOOGLETRANSLATE(B3237,""en"",""es-ES"")"),"El instructor está de pie y hablando.")</f>
        <v>El instructor está de pie y hablando.</v>
      </c>
    </row>
    <row r="3238">
      <c r="A3238" s="4" t="s">
        <v>4055</v>
      </c>
      <c r="B3238" s="4" t="s">
        <v>4066</v>
      </c>
      <c r="C3238" s="5" t="str">
        <f>IFERROR(__xludf.DUMMYFUNCTION("GOOGLETRANSLATE(B3238,""en"",""es-ES"")"),"La pantalla termina con una promoción de Vincanitv.")</f>
        <v>La pantalla termina con una promoción de Vincanitv.</v>
      </c>
    </row>
    <row r="3239">
      <c r="A3239" s="4" t="s">
        <v>4067</v>
      </c>
      <c r="B3239" s="4" t="s">
        <v>4068</v>
      </c>
      <c r="C3239" s="5" t="str">
        <f>IFERROR(__xludf.DUMMYFUNCTION("GOOGLETRANSLATE(B3239,""en"",""es-ES"")"),"Una mujer está parada en un campamento.")</f>
        <v>Una mujer está parada en un campamento.</v>
      </c>
    </row>
    <row r="3240">
      <c r="A3240" s="4" t="s">
        <v>4067</v>
      </c>
      <c r="B3240" s="4" t="s">
        <v>4069</v>
      </c>
      <c r="C3240" s="5" t="str">
        <f>IFERROR(__xludf.DUMMYFUNCTION("GOOGLETRANSLATE(B3240,""en"",""es-ES"")"),"Ella enciende coincide y los arroja a una pila de madera.")</f>
        <v>Ella enciende coincide y los arroja a una pila de madera.</v>
      </c>
    </row>
    <row r="3241">
      <c r="A3241" s="4" t="s">
        <v>4070</v>
      </c>
      <c r="B3241" s="4" t="s">
        <v>4071</v>
      </c>
      <c r="C3241" s="5" t="str">
        <f>IFERROR(__xludf.DUMMYFUNCTION("GOOGLETRANSLATE(B3241,""en"",""es-ES"")"),"Se ve a un gran grupo de personas jugando un juego de volea entre sí mientras se mueven por la playa.")</f>
        <v>Se ve a un gran grupo de personas jugando un juego de volea entre sí mientras se mueven por la playa.</v>
      </c>
    </row>
    <row r="3242">
      <c r="A3242" s="4" t="s">
        <v>4070</v>
      </c>
      <c r="B3242" s="4" t="s">
        <v>4072</v>
      </c>
      <c r="C3242" s="5" t="str">
        <f>IFERROR(__xludf.DUMMYFUNCTION("GOOGLETRANSLATE(B3242,""en"",""es-ES"")"),"Se muestran varios tiros de las personas que deambulan entre sí jugando el juego y cuarto sobre la red y ayudándose mutuamente.")</f>
        <v>Se muestran varios tiros de las personas que deambulan entre sí jugando el juego y cuarto sobre la red y ayudándose mutuamente.</v>
      </c>
    </row>
    <row r="3243">
      <c r="A3243" s="4" t="s">
        <v>4073</v>
      </c>
      <c r="B3243" s="4" t="s">
        <v>4074</v>
      </c>
      <c r="C3243" s="5" t="str">
        <f>IFERROR(__xludf.DUMMYFUNCTION("GOOGLETRANSLATE(B3243,""en"",""es-ES"")"),"Se muestra un anuncio de Howcast.")</f>
        <v>Se muestra un anuncio de Howcast.</v>
      </c>
    </row>
    <row r="3244">
      <c r="A3244" s="4" t="s">
        <v>4073</v>
      </c>
      <c r="B3244" s="4" t="s">
        <v>4075</v>
      </c>
      <c r="C3244" s="5" t="str">
        <f>IFERROR(__xludf.DUMMYFUNCTION("GOOGLETRANSLATE(B3244,""en"",""es-ES"")"),"Es seguido por una mujer en una silla que sonríe para la cámara, y una mujer con cabello trenzado que está hablando.")</f>
        <v>Es seguido por una mujer en una silla que sonríe para la cámara, y una mujer con cabello trenzado que está hablando.</v>
      </c>
    </row>
    <row r="3245">
      <c r="A3245" s="4" t="s">
        <v>4073</v>
      </c>
      <c r="B3245" s="4" t="s">
        <v>4076</v>
      </c>
      <c r="C3245" s="5" t="str">
        <f>IFERROR(__xludf.DUMMYFUNCTION("GOOGLETRANSLATE(B3245,""en"",""es-ES"")"),"La mujer de rojo aplica varios maquillaje a la mujer sentada, explicando el proceso a medida que avanza.")</f>
        <v>La mujer de rojo aplica varios maquillaje a la mujer sentada, explicando el proceso a medida que avanza.</v>
      </c>
    </row>
    <row r="3246">
      <c r="A3246" s="4" t="s">
        <v>4073</v>
      </c>
      <c r="B3246" s="4" t="s">
        <v>4077</v>
      </c>
      <c r="C3246" s="5" t="str">
        <f>IFERROR(__xludf.DUMMYFUNCTION("GOOGLETRANSLATE(B3246,""en"",""es-ES"")"),"Cuando termina, vuelve a hablar con la cámara.")</f>
        <v>Cuando termina, vuelve a hablar con la cámara.</v>
      </c>
    </row>
    <row r="3247">
      <c r="A3247" s="4" t="s">
        <v>4078</v>
      </c>
      <c r="B3247" s="4" t="s">
        <v>4079</v>
      </c>
      <c r="C3247" s="5" t="str">
        <f>IFERROR(__xludf.DUMMYFUNCTION("GOOGLETRANSLATE(B3247,""en"",""es-ES"")"),"Un hombre bebe café y luego toca la guitarra en interiores.")</f>
        <v>Un hombre bebe café y luego toca la guitarra en interiores.</v>
      </c>
    </row>
    <row r="3248">
      <c r="A3248" s="4" t="s">
        <v>4078</v>
      </c>
      <c r="B3248" s="4" t="s">
        <v>4080</v>
      </c>
      <c r="C3248" s="5" t="str">
        <f>IFERROR(__xludf.DUMMYFUNCTION("GOOGLETRANSLATE(B3248,""en"",""es-ES"")"),"El hombre hace una pausa y toma su café.")</f>
        <v>El hombre hace una pausa y toma su café.</v>
      </c>
    </row>
    <row r="3249">
      <c r="A3249" s="4" t="s">
        <v>4078</v>
      </c>
      <c r="B3249" s="4" t="s">
        <v>4081</v>
      </c>
      <c r="C3249" s="5" t="str">
        <f>IFERROR(__xludf.DUMMYFUNCTION("GOOGLETRANSLATE(B3249,""en"",""es-ES"")"),"Luego, el hombre tiene una taza de café y una guitarra en la calle.")</f>
        <v>Luego, el hombre tiene una taza de café y una guitarra en la calle.</v>
      </c>
    </row>
    <row r="3250">
      <c r="A3250" s="4" t="s">
        <v>4078</v>
      </c>
      <c r="B3250" s="4" t="s">
        <v>4082</v>
      </c>
      <c r="C3250" s="5" t="str">
        <f>IFERROR(__xludf.DUMMYFUNCTION("GOOGLETRANSLATE(B3250,""en"",""es-ES"")"),"Después, el hombre toca la guitarra en interiores en una audiencia.")</f>
        <v>Después, el hombre toca la guitarra en interiores en una audiencia.</v>
      </c>
    </row>
    <row r="3251">
      <c r="A3251" s="4" t="s">
        <v>4078</v>
      </c>
      <c r="B3251" s="4" t="s">
        <v>4083</v>
      </c>
      <c r="C3251" s="5" t="str">
        <f>IFERROR(__xludf.DUMMYFUNCTION("GOOGLETRANSLATE(B3251,""en"",""es-ES"")"),"Luego, el hombre toca la armónica y la guitarra al mismo tiempo.")</f>
        <v>Luego, el hombre toca la armónica y la guitarra al mismo tiempo.</v>
      </c>
    </row>
    <row r="3252">
      <c r="A3252" s="4" t="s">
        <v>4084</v>
      </c>
      <c r="B3252" s="4" t="s">
        <v>4085</v>
      </c>
      <c r="C3252" s="5" t="str">
        <f>IFERROR(__xludf.DUMMYFUNCTION("GOOGLETRANSLATE(B3252,""en"",""es-ES"")"),"Se ve a un niño hablando con la cámara sosteniendo dos baloncesto y lo lleva a él sosteniéndolos en la cara.")</f>
        <v>Se ve a un niño hablando con la cámara sosteniendo dos baloncesto y lo lleva a él sosteniéndolos en la cara.</v>
      </c>
    </row>
    <row r="3253">
      <c r="A3253" s="4" t="s">
        <v>4084</v>
      </c>
      <c r="B3253" s="4" t="s">
        <v>4086</v>
      </c>
      <c r="C3253" s="5" t="str">
        <f>IFERROR(__xludf.DUMMYFUNCTION("GOOGLETRANSLATE(B3253,""en"",""es-ES"")"),"El niño luego se mueve por la cancha mientras dribla las bolas y dispara una canasta al final.")</f>
        <v>El niño luego se mueve por la cancha mientras dribla las bolas y dispara una canasta al final.</v>
      </c>
    </row>
    <row r="3254">
      <c r="A3254" s="4" t="s">
        <v>4087</v>
      </c>
      <c r="B3254" s="4" t="s">
        <v>4088</v>
      </c>
      <c r="C3254" s="5" t="str">
        <f>IFERROR(__xludf.DUMMYFUNCTION("GOOGLETRANSLATE(B3254,""en"",""es-ES"")"),"Una introducción conduce a varios clips de personas paradas en círculo y arrojando un objeto a la distancia y termina alejándose.")</f>
        <v>Una introducción conduce a varios clips de personas paradas en círculo y arrojando un objeto a la distancia y termina alejándose.</v>
      </c>
    </row>
    <row r="3255">
      <c r="A3255" s="4" t="s">
        <v>4087</v>
      </c>
      <c r="B3255" s="4" t="s">
        <v>4089</v>
      </c>
      <c r="C3255" s="5" t="str">
        <f>IFERROR(__xludf.DUMMYFUNCTION("GOOGLETRANSLATE(B3255,""en"",""es-ES"")"),"Varias personas más son vistas empapadas en el círculo arrojando objetos a la distancia y animando entre sí.")</f>
        <v>Varias personas más son vistas empapadas en el círculo arrojando objetos a la distancia y animando entre sí.</v>
      </c>
    </row>
    <row r="3256">
      <c r="A3256" s="4" t="s">
        <v>4090</v>
      </c>
      <c r="B3256" s="4" t="s">
        <v>4091</v>
      </c>
      <c r="C3256" s="5" t="str">
        <f>IFERROR(__xludf.DUMMYFUNCTION("GOOGLETRANSLATE(B3256,""en"",""es-ES"")"),"Se ve a un hombre sosteniendo una cuerda y hablando con la cámara.")</f>
        <v>Se ve a un hombre sosteniendo una cuerda y hablando con la cámara.</v>
      </c>
    </row>
    <row r="3257">
      <c r="A3257" s="4" t="s">
        <v>4090</v>
      </c>
      <c r="B3257" s="4" t="s">
        <v>4092</v>
      </c>
      <c r="C3257" s="5" t="str">
        <f>IFERROR(__xludf.DUMMYFUNCTION("GOOGLETRANSLATE(B3257,""en"",""es-ES"")"),"Levanta el cinturón mientras habla con la cámara y comienza a subir por la pared.")</f>
        <v>Levanta el cinturón mientras habla con la cámara y comienza a subir por la pared.</v>
      </c>
    </row>
    <row r="3258">
      <c r="A3258" s="4" t="s">
        <v>4090</v>
      </c>
      <c r="B3258" s="4" t="s">
        <v>4093</v>
      </c>
      <c r="C3258" s="5" t="str">
        <f>IFERROR(__xludf.DUMMYFUNCTION("GOOGLETRANSLATE(B3258,""en"",""es-ES"")"),"El hombre sube hasta la pared y termina mirando desde la cámara.")</f>
        <v>El hombre sube hasta la pared y termina mirando desde la cámara.</v>
      </c>
    </row>
    <row r="3259">
      <c r="A3259" s="4" t="s">
        <v>4094</v>
      </c>
      <c r="B3259" s="4" t="s">
        <v>4095</v>
      </c>
      <c r="C3259" s="5" t="str">
        <f>IFERROR(__xludf.DUMMYFUNCTION("GOOGLETRANSLATE(B3259,""en"",""es-ES"")"),"Vemos una pantalla de apertura azul con una bebida.")</f>
        <v>Vemos una pantalla de apertura azul con una bebida.</v>
      </c>
    </row>
    <row r="3260">
      <c r="A3260" s="4" t="s">
        <v>4094</v>
      </c>
      <c r="B3260" s="4" t="s">
        <v>4096</v>
      </c>
      <c r="C3260" s="5" t="str">
        <f>IFERROR(__xludf.DUMMYFUNCTION("GOOGLETRANSLATE(B3260,""en"",""es-ES"")"),"Vemos a una dama mezclando bebidas detrás de una barra.")</f>
        <v>Vemos a una dama mezclando bebidas detrás de una barra.</v>
      </c>
    </row>
    <row r="3261">
      <c r="A3261" s="4" t="s">
        <v>4094</v>
      </c>
      <c r="B3261" s="4" t="s">
        <v>4097</v>
      </c>
      <c r="C3261" s="5" t="str">
        <f>IFERROR(__xludf.DUMMYFUNCTION("GOOGLETRANSLATE(B3261,""en"",""es-ES"")"),"La señora agrega hielo y tres disparos licor a un vaso.")</f>
        <v>La señora agrega hielo y tres disparos licor a un vaso.</v>
      </c>
    </row>
    <row r="3262">
      <c r="A3262" s="4" t="s">
        <v>4094</v>
      </c>
      <c r="B3262" s="4" t="s">
        <v>4098</v>
      </c>
      <c r="C3262" s="5" t="str">
        <f>IFERROR(__xludf.DUMMYFUNCTION("GOOGLETRANSLATE(B3262,""en"",""es-ES"")"),"La señora vierte algo rojo en el vaso.")</f>
        <v>La señora vierte algo rojo en el vaso.</v>
      </c>
    </row>
    <row r="3263">
      <c r="A3263" s="4" t="s">
        <v>4094</v>
      </c>
      <c r="B3263" s="4" t="s">
        <v>4099</v>
      </c>
      <c r="C3263" s="5" t="str">
        <f>IFERROR(__xludf.DUMMYFUNCTION("GOOGLETRANSLATE(B3263,""en"",""es-ES"")"),"La señora agrega algo del dispensador y una lata.")</f>
        <v>La señora agrega algo del dispensador y una lata.</v>
      </c>
    </row>
    <row r="3264">
      <c r="A3264" s="4" t="s">
        <v>4094</v>
      </c>
      <c r="B3264" s="4" t="s">
        <v>4100</v>
      </c>
      <c r="C3264" s="5" t="str">
        <f>IFERROR(__xludf.DUMMYFUNCTION("GOOGLETRANSLATE(B3264,""en"",""es-ES"")"),"La dama agita y luego empuja la bebida hacia adelante.")</f>
        <v>La dama agita y luego empuja la bebida hacia adelante.</v>
      </c>
    </row>
    <row r="3265">
      <c r="A3265" s="4" t="s">
        <v>4094</v>
      </c>
      <c r="B3265" s="4" t="s">
        <v>4101</v>
      </c>
      <c r="C3265" s="5" t="str">
        <f>IFERROR(__xludf.DUMMYFUNCTION("GOOGLETRANSLATE(B3265,""en"",""es-ES"")"),"Vemos una pantalla de cierre roja y una larga pantalla negra.")</f>
        <v>Vemos una pantalla de cierre roja y una larga pantalla negra.</v>
      </c>
    </row>
    <row r="3266">
      <c r="A3266" s="4" t="s">
        <v>4102</v>
      </c>
      <c r="B3266" s="4" t="s">
        <v>4103</v>
      </c>
      <c r="C3266" s="5" t="str">
        <f>IFERROR(__xludf.DUMMYFUNCTION("GOOGLETRANSLATE(B3266,""en"",""es-ES"")"),"Se muestran varias tomas de trofeos con chicas que entrevistan a la cámara y realizan movimientos de gimnasia.")</f>
        <v>Se muestran varias tomas de trofeos con chicas que entrevistan a la cámara y realizan movimientos de gimnasia.</v>
      </c>
    </row>
    <row r="3267">
      <c r="A3267" s="4" t="s">
        <v>4102</v>
      </c>
      <c r="B3267" s="4" t="s">
        <v>4104</v>
      </c>
      <c r="C3267" s="5" t="str">
        <f>IFERROR(__xludf.DUMMYFUNCTION("GOOGLETRANSLATE(B3267,""en"",""es-ES"")"),"Luego, un instructor le muestra a las chicas cómo realizar un truco correctamente y tiene otra chica que sube sobre sus manos.")</f>
        <v>Luego, un instructor le muestra a las chicas cómo realizar un truco correctamente y tiene otra chica que sube sobre sus manos.</v>
      </c>
    </row>
    <row r="3268">
      <c r="A3268" s="4" t="s">
        <v>4102</v>
      </c>
      <c r="B3268" s="4" t="s">
        <v>4105</v>
      </c>
      <c r="C3268" s="5" t="str">
        <f>IFERROR(__xludf.DUMMYFUNCTION("GOOGLETRANSLATE(B3268,""en"",""es-ES"")"),"La niña realiza continuamente acrobacias con la ayuda de los instructores y se muestra a otra chica hablando con la cámara.")</f>
        <v>La niña realiza continuamente acrobacias con la ayuda de los instructores y se muestra a otra chica hablando con la cámara.</v>
      </c>
    </row>
    <row r="3269">
      <c r="A3269" s="4" t="s">
        <v>4106</v>
      </c>
      <c r="B3269" s="4" t="s">
        <v>4107</v>
      </c>
      <c r="C3269" s="5" t="str">
        <f>IFERROR(__xludf.DUMMYFUNCTION("GOOGLETRANSLATE(B3269,""en"",""es-ES"")"),"Hay un reportero de noticias vestido con un vestido floral rosa y una chaqueta blanca que da una actualización sobre las noticias deportivas.")</f>
        <v>Hay un reportero de noticias vestido con un vestido floral rosa y una chaqueta blanca que da una actualización sobre las noticias deportivas.</v>
      </c>
    </row>
    <row r="3270">
      <c r="A3270" s="4" t="s">
        <v>4106</v>
      </c>
      <c r="B3270" s="4" t="s">
        <v>4108</v>
      </c>
      <c r="C3270" s="5" t="str">
        <f>IFERROR(__xludf.DUMMYFUNCTION("GOOGLETRANSLATE(B3270,""en"",""es-ES"")"),"Ella muestra eventos de los Juegos Paralímpicos de Londres.")</f>
        <v>Ella muestra eventos de los Juegos Paralímpicos de Londres.</v>
      </c>
    </row>
    <row r="3271">
      <c r="A3271" s="4" t="s">
        <v>4106</v>
      </c>
      <c r="B3271" s="4" t="s">
        <v>4109</v>
      </c>
      <c r="C3271" s="5" t="str">
        <f>IFERROR(__xludf.DUMMYFUNCTION("GOOGLETRANSLATE(B3271,""en"",""es-ES"")"),"Ella está mostrando a los espectadores los diferentes eventos, como Shoot Put, Swimming and Running, y las medallas de oro que se ganaron en estos eventos.")</f>
        <v>Ella está mostrando a los espectadores los diferentes eventos, como Shoot Put, Swimming and Running, y las medallas de oro que se ganaron en estos eventos.</v>
      </c>
    </row>
    <row r="3272">
      <c r="A3272" s="4" t="s">
        <v>4106</v>
      </c>
      <c r="B3272" s="4" t="s">
        <v>4110</v>
      </c>
      <c r="C3272" s="5" t="str">
        <f>IFERROR(__xludf.DUMMYFUNCTION("GOOGLETRANSLATE(B3272,""en"",""es-ES"")"),"Si bien la noticia se está transmitiendo, hay subtítulos en la parte inferior de los eventos actuales.")</f>
        <v>Si bien la noticia se está transmitiendo, hay subtítulos en la parte inferior de los eventos actuales.</v>
      </c>
    </row>
    <row r="3273">
      <c r="A3273" s="4" t="s">
        <v>4106</v>
      </c>
      <c r="B3273" s="4" t="s">
        <v>4111</v>
      </c>
      <c r="C3273" s="5" t="str">
        <f>IFERROR(__xludf.DUMMYFUNCTION("GOOGLETRANSLATE(B3273,""en"",""es-ES"")"),"También muestra a los espectadores todas las medallas ganadas por todos los países que participaron en los Juegos Paralímpicos.")</f>
        <v>También muestra a los espectadores todas las medallas ganadas por todos los países que participaron en los Juegos Paralímpicos.</v>
      </c>
    </row>
    <row r="3274">
      <c r="A3274" s="4" t="s">
        <v>4112</v>
      </c>
      <c r="B3274" s="4" t="s">
        <v>4113</v>
      </c>
      <c r="C3274" s="5" t="str">
        <f>IFERROR(__xludf.DUMMYFUNCTION("GOOGLETRANSLATE(B3274,""en"",""es-ES"")"),"Una mujer corre por un camino de tierra.")</f>
        <v>Una mujer corre por un camino de tierra.</v>
      </c>
    </row>
    <row r="3275">
      <c r="A3275" s="4" t="s">
        <v>4112</v>
      </c>
      <c r="B3275" s="4" t="s">
        <v>4114</v>
      </c>
      <c r="C3275" s="5" t="str">
        <f>IFERROR(__xludf.DUMMYFUNCTION("GOOGLETRANSLATE(B3275,""en"",""es-ES"")"),"Ella usa un poste para saltar sobre una viga alta.")</f>
        <v>Ella usa un poste para saltar sobre una viga alta.</v>
      </c>
    </row>
    <row r="3276">
      <c r="A3276" s="4" t="s">
        <v>4115</v>
      </c>
      <c r="B3276" s="4" t="s">
        <v>4116</v>
      </c>
      <c r="C3276" s="5" t="str">
        <f>IFERROR(__xludf.DUMMYFUNCTION("GOOGLETRANSLATE(B3276,""en"",""es-ES"")"),"Se muestra a una persona en liquidación de rociado de movimiento rápido en todo un valla en un patio trasero.")</f>
        <v>Se muestra a una persona en liquidación de rociado de movimiento rápido en todo un valla en un patio trasero.</v>
      </c>
    </row>
    <row r="3277">
      <c r="A3277" s="4" t="s">
        <v>4115</v>
      </c>
      <c r="B3277" s="4" t="s">
        <v>4117</v>
      </c>
      <c r="C3277" s="5" t="str">
        <f>IFERROR(__xludf.DUMMYFUNCTION("GOOGLETRANSLATE(B3277,""en"",""es-ES"")"),"La persona continúa rociando y termina con la cámara que se desvanece a negro.")</f>
        <v>La persona continúa rociando y termina con la cámara que se desvanece a negro.</v>
      </c>
    </row>
    <row r="3278">
      <c r="A3278" s="4" t="s">
        <v>4118</v>
      </c>
      <c r="B3278" s="4" t="s">
        <v>4119</v>
      </c>
      <c r="C3278" s="5" t="str">
        <f>IFERROR(__xludf.DUMMYFUNCTION("GOOGLETRANSLATE(B3278,""en"",""es-ES"")"),"El video comienza con una diapositiva del título.")</f>
        <v>El video comienza con una diapositiva del título.</v>
      </c>
    </row>
    <row r="3279">
      <c r="A3279" s="4" t="s">
        <v>4118</v>
      </c>
      <c r="B3279" s="4" t="s">
        <v>4120</v>
      </c>
      <c r="C3279" s="5" t="str">
        <f>IFERROR(__xludf.DUMMYFUNCTION("GOOGLETRANSLATE(B3279,""en"",""es-ES"")"),"Una mujer y una niña están en un parque con una cuerda de salto.")</f>
        <v>Una mujer y una niña están en un parque con una cuerda de salto.</v>
      </c>
    </row>
    <row r="3280">
      <c r="A3280" s="4" t="s">
        <v>4118</v>
      </c>
      <c r="B3280" s="4" t="s">
        <v>4121</v>
      </c>
      <c r="C3280" s="5" t="str">
        <f>IFERROR(__xludf.DUMMYFUNCTION("GOOGLETRANSLATE(B3280,""en"",""es-ES"")"),"La mujer comienza a demostrar cómo usar la cuerda de salto mientras el niño intenta copiarla.")</f>
        <v>La mujer comienza a demostrar cómo usar la cuerda de salto mientras el niño intenta copiarla.</v>
      </c>
    </row>
    <row r="3281">
      <c r="A3281" s="4" t="s">
        <v>4118</v>
      </c>
      <c r="B3281" s="4" t="s">
        <v>4122</v>
      </c>
      <c r="C3281" s="5" t="str">
        <f>IFERROR(__xludf.DUMMYFUNCTION("GOOGLETRANSLATE(B3281,""en"",""es-ES"")"),"En un momento, otra mujer en el fondo corre por la pantalla mientras salta de cuerda.")</f>
        <v>En un momento, otra mujer en el fondo corre por la pantalla mientras salta de cuerda.</v>
      </c>
    </row>
    <row r="3282">
      <c r="A3282" s="4" t="s">
        <v>4118</v>
      </c>
      <c r="B3282" s="4" t="s">
        <v>4123</v>
      </c>
      <c r="C3282" s="5" t="str">
        <f>IFERROR(__xludf.DUMMYFUNCTION("GOOGLETRANSLATE(B3282,""en"",""es-ES"")"),"El video termina con ambas mujeres hablando con la cámara y una secuencia de título final.")</f>
        <v>El video termina con ambas mujeres hablando con la cámara y una secuencia de título final.</v>
      </c>
    </row>
    <row r="3283">
      <c r="A3283" s="4" t="s">
        <v>4124</v>
      </c>
      <c r="B3283" s="4" t="s">
        <v>4125</v>
      </c>
      <c r="C3283" s="5" t="str">
        <f>IFERROR(__xludf.DUMMYFUNCTION("GOOGLETRANSLATE(B3283,""en"",""es-ES"")"),"Un bebé está sentado en un columpio.")</f>
        <v>Un bebé está sentado en un columpio.</v>
      </c>
    </row>
    <row r="3284">
      <c r="A3284" s="4" t="s">
        <v>4124</v>
      </c>
      <c r="B3284" s="4" t="s">
        <v>4126</v>
      </c>
      <c r="C3284" s="5" t="str">
        <f>IFERROR(__xludf.DUMMYFUNCTION("GOOGLETRANSLATE(B3284,""en"",""es-ES"")"),"El bebé se ríe y sacude los pies.")</f>
        <v>El bebé se ríe y sacude los pies.</v>
      </c>
    </row>
    <row r="3285">
      <c r="A3285" s="4" t="s">
        <v>4124</v>
      </c>
      <c r="B3285" s="4" t="s">
        <v>4127</v>
      </c>
      <c r="C3285" s="5" t="str">
        <f>IFERROR(__xludf.DUMMYFUNCTION("GOOGLETRANSLATE(B3285,""en"",""es-ES"")"),"El bebé se vuelve hacia el costado del columpio.")</f>
        <v>El bebé se vuelve hacia el costado del columpio.</v>
      </c>
    </row>
    <row r="3286">
      <c r="A3286" s="4" t="s">
        <v>4128</v>
      </c>
      <c r="B3286" s="4" t="s">
        <v>4129</v>
      </c>
      <c r="C3286" s="5" t="str">
        <f>IFERROR(__xludf.DUMMYFUNCTION("GOOGLETRANSLATE(B3286,""en"",""es-ES"")"),"Varios nadadores pasan entre sí, estrechándose la mano.")</f>
        <v>Varios nadadores pasan entre sí, estrechándose la mano.</v>
      </c>
    </row>
    <row r="3287">
      <c r="A3287" s="4" t="s">
        <v>4128</v>
      </c>
      <c r="B3287" s="4" t="s">
        <v>4130</v>
      </c>
      <c r="C3287" s="5" t="str">
        <f>IFERROR(__xludf.DUMMYFUNCTION("GOOGLETRANSLATE(B3287,""en"",""es-ES"")"),"Se reúnen en la piscina, luego participan en un juego de waterpolo.")</f>
        <v>Se reúnen en la piscina, luego participan en un juego de waterpolo.</v>
      </c>
    </row>
    <row r="3288">
      <c r="A3288" s="4" t="s">
        <v>4128</v>
      </c>
      <c r="B3288" s="4" t="s">
        <v>4131</v>
      </c>
      <c r="C3288" s="5" t="str">
        <f>IFERROR(__xludf.DUMMYFUNCTION("GOOGLETRANSLATE(B3288,""en"",""es-ES"")"),"Golpearon la pelota de un lado a otro, tratando de llevarla a la red.")</f>
        <v>Golpearon la pelota de un lado a otro, tratando de llevarla a la red.</v>
      </c>
    </row>
    <row r="3289">
      <c r="A3289" s="4" t="s">
        <v>4132</v>
      </c>
      <c r="B3289" s="4" t="s">
        <v>4133</v>
      </c>
      <c r="C3289" s="5" t="str">
        <f>IFERROR(__xludf.DUMMYFUNCTION("GOOGLETRANSLATE(B3289,""en"",""es-ES"")"),"Un hombre con una camisa roja está hablando con la cámara.")</f>
        <v>Un hombre con una camisa roja está hablando con la cámara.</v>
      </c>
    </row>
    <row r="3290">
      <c r="A3290" s="4" t="s">
        <v>4132</v>
      </c>
      <c r="B3290" s="4" t="s">
        <v>4134</v>
      </c>
      <c r="C3290" s="5" t="str">
        <f>IFERROR(__xludf.DUMMYFUNCTION("GOOGLETRANSLATE(B3290,""en"",""es-ES"")"),"Comienza a golpear una pelota contra una pared frente a él.")</f>
        <v>Comienza a golpear una pelota contra una pared frente a él.</v>
      </c>
    </row>
    <row r="3291">
      <c r="A3291" s="4" t="s">
        <v>4132</v>
      </c>
      <c r="B3291" s="4" t="s">
        <v>4135</v>
      </c>
      <c r="C3291" s="5" t="str">
        <f>IFERROR(__xludf.DUMMYFUNCTION("GOOGLETRANSLATE(B3291,""en"",""es-ES"")"),"Se detiene y camina hacia la cámara.")</f>
        <v>Se detiene y camina hacia la cámara.</v>
      </c>
    </row>
    <row r="3292">
      <c r="A3292" s="4" t="s">
        <v>4136</v>
      </c>
      <c r="B3292" s="4" t="s">
        <v>4137</v>
      </c>
      <c r="C3292" s="5" t="str">
        <f>IFERROR(__xludf.DUMMYFUNCTION("GOOGLETRANSLATE(B3292,""en"",""es-ES"")"),"Se muestra un primer plano de un letrero seguido por una persona que sumerge la pintura.")</f>
        <v>Se muestra un primer plano de un letrero seguido por una persona que sumerge la pintura.</v>
      </c>
    </row>
    <row r="3293">
      <c r="A3293" s="4" t="s">
        <v>4136</v>
      </c>
      <c r="B3293" s="4" t="s">
        <v>4138</v>
      </c>
      <c r="C3293" s="5" t="str">
        <f>IFERROR(__xludf.DUMMYFUNCTION("GOOGLETRANSLATE(B3293,""en"",""es-ES"")"),"Luego se ve a la persona extendiendo pintura por todo el área mientras otra sonríe a la cámara.")</f>
        <v>Luego se ve a la persona extendiendo pintura por todo el área mientras otra sonríe a la cámara.</v>
      </c>
    </row>
    <row r="3294">
      <c r="A3294" s="4" t="s">
        <v>4136</v>
      </c>
      <c r="B3294" s="4" t="s">
        <v>4139</v>
      </c>
      <c r="C3294" s="5" t="str">
        <f>IFERROR(__xludf.DUMMYFUNCTION("GOOGLETRANSLATE(B3294,""en"",""es-ES"")"),"Los hombres continúan colocando yeso en las paredes.")</f>
        <v>Los hombres continúan colocando yeso en las paredes.</v>
      </c>
    </row>
    <row r="3295">
      <c r="A3295" s="4" t="s">
        <v>4140</v>
      </c>
      <c r="B3295" s="4" t="s">
        <v>4141</v>
      </c>
      <c r="C3295" s="5" t="str">
        <f>IFERROR(__xludf.DUMMYFUNCTION("GOOGLETRANSLATE(B3295,""en"",""es-ES"")"),"Un hombre está limpiando la nieve que ha caído sobre su auto.")</f>
        <v>Un hombre está limpiando la nieve que ha caído sobre su auto.</v>
      </c>
    </row>
    <row r="3296">
      <c r="A3296" s="4" t="s">
        <v>4140</v>
      </c>
      <c r="B3296" s="4" t="s">
        <v>4142</v>
      </c>
      <c r="C3296" s="5" t="str">
        <f>IFERROR(__xludf.DUMMYFUNCTION("GOOGLETRANSLATE(B3296,""en"",""es-ES"")"),"Está parado en la carretera donde su auto está estacionado.")</f>
        <v>Está parado en la carretera donde su auto está estacionado.</v>
      </c>
    </row>
    <row r="3297">
      <c r="A3297" s="4" t="s">
        <v>4140</v>
      </c>
      <c r="B3297" s="4" t="s">
        <v>4143</v>
      </c>
      <c r="C3297" s="5" t="str">
        <f>IFERROR(__xludf.DUMMYFUNCTION("GOOGLETRANSLATE(B3297,""en"",""es-ES"")"),"Él limpia la nieve de la parte superior de su automóvil raspándolo.")</f>
        <v>Él limpia la nieve de la parte superior de su automóvil raspándolo.</v>
      </c>
    </row>
    <row r="3298">
      <c r="A3298" s="4" t="s">
        <v>4140</v>
      </c>
      <c r="B3298" s="4" t="s">
        <v>4144</v>
      </c>
      <c r="C3298" s="5" t="str">
        <f>IFERROR(__xludf.DUMMYFUNCTION("GOOGLETRANSLATE(B3298,""en"",""es-ES"")"),"Luego limpia los lados de su auto.")</f>
        <v>Luego limpia los lados de su auto.</v>
      </c>
    </row>
    <row r="3299">
      <c r="A3299" s="4" t="s">
        <v>4140</v>
      </c>
      <c r="B3299" s="4" t="s">
        <v>4145</v>
      </c>
      <c r="C3299" s="5" t="str">
        <f>IFERROR(__xludf.DUMMYFUNCTION("GOOGLETRANSLATE(B3299,""en"",""es-ES"")"),"Le da un pulgar a alguien mientras limpia el auto.")</f>
        <v>Le da un pulgar a alguien mientras limpia el auto.</v>
      </c>
    </row>
    <row r="3300">
      <c r="A3300" s="4" t="s">
        <v>4140</v>
      </c>
      <c r="B3300" s="4" t="s">
        <v>4146</v>
      </c>
      <c r="C3300" s="5" t="str">
        <f>IFERROR(__xludf.DUMMYFUNCTION("GOOGLETRANSLATE(B3300,""en"",""es-ES"")"),"Luego se mueve al frente del auto para limpiar el parabrisas.")</f>
        <v>Luego se mueve al frente del auto para limpiar el parabrisas.</v>
      </c>
    </row>
    <row r="3301">
      <c r="A3301" s="4" t="s">
        <v>4147</v>
      </c>
      <c r="B3301" s="4" t="s">
        <v>4148</v>
      </c>
      <c r="C3301" s="5" t="str">
        <f>IFERROR(__xludf.DUMMYFUNCTION("GOOGLETRANSLATE(B3301,""en"",""es-ES"")"),"Se ve un primer plano de una cachimba que lleva a otro hombre.")</f>
        <v>Se ve un primer plano de una cachimba que lleva a otro hombre.</v>
      </c>
    </row>
    <row r="3302">
      <c r="A3302" s="4" t="s">
        <v>4147</v>
      </c>
      <c r="B3302" s="4" t="s">
        <v>4149</v>
      </c>
      <c r="C3302" s="5" t="str">
        <f>IFERROR(__xludf.DUMMYFUNCTION("GOOGLETRANSLATE(B3302,""en"",""es-ES"")"),"El hombre agarra la manguera y recibe un golpe de la cachimba.")</f>
        <v>El hombre agarra la manguera y recibe un golpe de la cachimba.</v>
      </c>
    </row>
    <row r="3303">
      <c r="A3303" s="4" t="s">
        <v>4147</v>
      </c>
      <c r="B3303" s="4" t="s">
        <v>4150</v>
      </c>
      <c r="C3303" s="5" t="str">
        <f>IFERROR(__xludf.DUMMYFUNCTION("GOOGLETRANSLATE(B3303,""en"",""es-ES"")"),"El hombre luego sopla el humo en la lente de la cámara.")</f>
        <v>El hombre luego sopla el humo en la lente de la cámara.</v>
      </c>
    </row>
    <row r="3304">
      <c r="A3304" s="4" t="s">
        <v>4151</v>
      </c>
      <c r="B3304" s="4" t="s">
        <v>4152</v>
      </c>
      <c r="C3304" s="5" t="str">
        <f>IFERROR(__xludf.DUMMYFUNCTION("GOOGLETRANSLATE(B3304,""en"",""es-ES"")"),"El hombre rebota en la pelota y la golpea con su raqueta.")</f>
        <v>El hombre rebota en la pelota y la golpea con su raqueta.</v>
      </c>
    </row>
    <row r="3305">
      <c r="A3305" s="4" t="s">
        <v>4151</v>
      </c>
      <c r="B3305" s="4" t="s">
        <v>4153</v>
      </c>
      <c r="C3305" s="5" t="str">
        <f>IFERROR(__xludf.DUMMYFUNCTION("GOOGLETRANSLATE(B3305,""en"",""es-ES"")"),"El hombre rebota en la pelota y la golpea en la cancha.")</f>
        <v>El hombre rebota en la pelota y la golpea en la cancha.</v>
      </c>
    </row>
    <row r="3306">
      <c r="A3306" s="4" t="s">
        <v>4151</v>
      </c>
      <c r="B3306" s="4" t="s">
        <v>4154</v>
      </c>
      <c r="C3306" s="5" t="str">
        <f>IFERROR(__xludf.DUMMYFUNCTION("GOOGLETRANSLATE(B3306,""en"",""es-ES"")"),"El hombre rebota y golpea una pelota más.")</f>
        <v>El hombre rebota y golpea una pelota más.</v>
      </c>
    </row>
    <row r="3307">
      <c r="A3307" s="4" t="s">
        <v>4155</v>
      </c>
      <c r="B3307" s="4" t="s">
        <v>4156</v>
      </c>
      <c r="C3307" s="5" t="str">
        <f>IFERROR(__xludf.DUMMYFUNCTION("GOOGLETRANSLATE(B3307,""en"",""es-ES"")"),"Se ve a un hombre atlético corriendo por una calle en cámara lenta mientras la cámara se mueve alrededor de su cuerpo.")</f>
        <v>Se ve a un hombre atlético corriendo por una calle en cámara lenta mientras la cámara se mueve alrededor de su cuerpo.</v>
      </c>
    </row>
    <row r="3308">
      <c r="A3308" s="4" t="s">
        <v>4155</v>
      </c>
      <c r="B3308" s="4" t="s">
        <v>4157</v>
      </c>
      <c r="C3308" s="5" t="str">
        <f>IFERROR(__xludf.DUMMYFUNCTION("GOOGLETRANSLATE(B3308,""en"",""es-ES"")"),"El video luego se congela en sus pies para mostrar texto y termina con él sosteniendo sus brazos en el aire.")</f>
        <v>El video luego se congela en sus pies para mostrar texto y termina con él sosteniendo sus brazos en el aire.</v>
      </c>
    </row>
    <row r="3309">
      <c r="A3309" s="4" t="s">
        <v>4158</v>
      </c>
      <c r="B3309" s="4" t="s">
        <v>4159</v>
      </c>
      <c r="C3309" s="5" t="str">
        <f>IFERROR(__xludf.DUMMYFUNCTION("GOOGLETRANSLATE(B3309,""en"",""es-ES"")"),"Se ve a una mujer hablando con la cámara mientras sostiene una caja y un periódico.")</f>
        <v>Se ve a una mujer hablando con la cámara mientras sostiene una caja y un periódico.</v>
      </c>
    </row>
    <row r="3310">
      <c r="A3310" s="4" t="s">
        <v>4158</v>
      </c>
      <c r="B3310" s="4" t="s">
        <v>4160</v>
      </c>
      <c r="C3310" s="5" t="str">
        <f>IFERROR(__xludf.DUMMYFUNCTION("GOOGLETRANSLATE(B3310,""en"",""es-ES"")"),"La mujer luego comienza a cortar el papel de noticias y colocar la caja en el medio.")</f>
        <v>La mujer luego comienza a cortar el papel de noticias y colocar la caja en el medio.</v>
      </c>
    </row>
    <row r="3311">
      <c r="A3311" s="4" t="s">
        <v>4158</v>
      </c>
      <c r="B3311" s="4" t="s">
        <v>4161</v>
      </c>
      <c r="C3311" s="5" t="str">
        <f>IFERROR(__xludf.DUMMYFUNCTION("GOOGLETRANSLATE(B3311,""en"",""es-ES"")"),"Las mujeres envuelven la caja con el periódico y la graban en los lados.")</f>
        <v>Las mujeres envuelven la caja con el periódico y la graban en los lados.</v>
      </c>
    </row>
    <row r="3312">
      <c r="A3312" s="4" t="s">
        <v>4162</v>
      </c>
      <c r="B3312" s="4" t="s">
        <v>4163</v>
      </c>
      <c r="C3312" s="5" t="str">
        <f>IFERROR(__xludf.DUMMYFUNCTION("GOOGLETRANSLATE(B3312,""en"",""es-ES"")"),"Se ve a un hombre hablando con la cámara y comienza a afeitarse el vello facial.")</f>
        <v>Se ve a un hombre hablando con la cámara y comienza a afeitarse el vello facial.</v>
      </c>
    </row>
    <row r="3313">
      <c r="A3313" s="4" t="s">
        <v>4162</v>
      </c>
      <c r="B3313" s="4" t="s">
        <v>4164</v>
      </c>
      <c r="C3313" s="5" t="str">
        <f>IFERROR(__xludf.DUMMYFUNCTION("GOOGLETRANSLATE(B3313,""en"",""es-ES"")"),"El hombre continúa afeitándose y muestra sus fotos de antes y después.")</f>
        <v>El hombre continúa afeitándose y muestra sus fotos de antes y después.</v>
      </c>
    </row>
    <row r="3314">
      <c r="A3314" s="4" t="s">
        <v>4165</v>
      </c>
      <c r="B3314" s="4" t="s">
        <v>4166</v>
      </c>
      <c r="C3314" s="5" t="str">
        <f>IFERROR(__xludf.DUMMYFUNCTION("GOOGLETRANSLATE(B3314,""en"",""es-ES"")"),"Se ve a una mujer hablando con la cámara y mostrando varias herramientas a la cámara.")</f>
        <v>Se ve a una mujer hablando con la cámara y mostrando varias herramientas a la cámara.</v>
      </c>
    </row>
    <row r="3315">
      <c r="A3315" s="4" t="s">
        <v>4165</v>
      </c>
      <c r="B3315" s="4" t="s">
        <v>4167</v>
      </c>
      <c r="C3315" s="5" t="str">
        <f>IFERROR(__xludf.DUMMYFUNCTION("GOOGLETRANSLATE(B3315,""en"",""es-ES"")"),"Ella explica cómo funciona cada herramienta para limpiar un caballo y termina sonriendo a la cámara.")</f>
        <v>Ella explica cómo funciona cada herramienta para limpiar un caballo y termina sonriendo a la cámara.</v>
      </c>
    </row>
    <row r="3316">
      <c r="A3316" s="4" t="s">
        <v>4168</v>
      </c>
      <c r="B3316" s="4" t="s">
        <v>4169</v>
      </c>
      <c r="C3316" s="5" t="str">
        <f>IFERROR(__xludf.DUMMYFUNCTION("GOOGLETRANSLATE(B3316,""en"",""es-ES"")"),"Se muestra una introducción de texto que describe el evento.")</f>
        <v>Se muestra una introducción de texto que describe el evento.</v>
      </c>
    </row>
    <row r="3317">
      <c r="A3317" s="4" t="s">
        <v>4168</v>
      </c>
      <c r="B3317" s="4" t="s">
        <v>4170</v>
      </c>
      <c r="C3317" s="5" t="str">
        <f>IFERROR(__xludf.DUMMYFUNCTION("GOOGLETRANSLATE(B3317,""en"",""es-ES"")"),"Una mujer realiza gimnasia en bares desiguales, mientras que varios espectadores miran.")</f>
        <v>Una mujer realiza gimnasia en bares desiguales, mientras que varios espectadores miran.</v>
      </c>
    </row>
    <row r="3318">
      <c r="A3318" s="4" t="s">
        <v>4168</v>
      </c>
      <c r="B3318" s="4" t="s">
        <v>4171</v>
      </c>
      <c r="C3318" s="5" t="str">
        <f>IFERROR(__xludf.DUMMYFUNCTION("GOOGLETRANSLATE(B3318,""en"",""es-ES"")"),"La mujer desmonta de los bares.")</f>
        <v>La mujer desmonta de los bares.</v>
      </c>
    </row>
    <row r="3319">
      <c r="A3319" s="4" t="s">
        <v>4172</v>
      </c>
      <c r="B3319" s="4" t="s">
        <v>4173</v>
      </c>
      <c r="C3319" s="5" t="str">
        <f>IFERROR(__xludf.DUMMYFUNCTION("GOOGLETRANSLATE(B3319,""en"",""es-ES"")"),"Hay un joven con una camisa roja y un gorro azul tocando la armónica.")</f>
        <v>Hay un joven con una camisa roja y un gorro azul tocando la armónica.</v>
      </c>
    </row>
    <row r="3320">
      <c r="A3320" s="4" t="s">
        <v>4172</v>
      </c>
      <c r="B3320" s="4" t="s">
        <v>4174</v>
      </c>
      <c r="C3320" s="5" t="str">
        <f>IFERROR(__xludf.DUMMYFUNCTION("GOOGLETRANSLATE(B3320,""en"",""es-ES"")"),"Toca rítmicamente mientras mueve la armónica rápidamente a través de su boca para tocar una melodía rápida.")</f>
        <v>Toca rítmicamente mientras mueve la armónica rápidamente a través de su boca para tocar una melodía rápida.</v>
      </c>
    </row>
    <row r="3321">
      <c r="A3321" s="4" t="s">
        <v>4172</v>
      </c>
      <c r="B3321" s="4" t="s">
        <v>4175</v>
      </c>
      <c r="C3321" s="5" t="str">
        <f>IFERROR(__xludf.DUMMYFUNCTION("GOOGLETRANSLATE(B3321,""en"",""es-ES"")"),"Continúa tocando la melodía mientras cierra los ojos en concentración profunda.")</f>
        <v>Continúa tocando la melodía mientras cierra los ojos en concentración profunda.</v>
      </c>
    </row>
    <row r="3322">
      <c r="A3322" s="4" t="s">
        <v>4172</v>
      </c>
      <c r="B3322" s="4" t="s">
        <v>4176</v>
      </c>
      <c r="C3322" s="5" t="str">
        <f>IFERROR(__xludf.DUMMYFUNCTION("GOOGLETRANSLATE(B3322,""en"",""es-ES"")"),"Mueve el lado de la armónica mientras continúa jugando hasta que llega a su fin.")</f>
        <v>Mueve el lado de la armónica mientras continúa jugando hasta que llega a su fin.</v>
      </c>
    </row>
    <row r="3323">
      <c r="A3323" s="4" t="s">
        <v>4177</v>
      </c>
      <c r="B3323" s="4" t="s">
        <v>4178</v>
      </c>
      <c r="C3323" s="5" t="str">
        <f>IFERROR(__xludf.DUMMYFUNCTION("GOOGLETRANSLATE(B3323,""en"",""es-ES"")"),"Un grupo de hombres mayores entran en una pista de hielo.")</f>
        <v>Un grupo de hombres mayores entran en una pista de hielo.</v>
      </c>
    </row>
    <row r="3324">
      <c r="A3324" s="4" t="s">
        <v>4177</v>
      </c>
      <c r="B3324" s="4" t="s">
        <v>4179</v>
      </c>
      <c r="C3324" s="5" t="str">
        <f>IFERROR(__xludf.DUMMYFUNCTION("GOOGLETRANSLATE(B3324,""en"",""es-ES"")"),"El grupo de hombres se reúne y se prepara para jugar al curling.")</f>
        <v>El grupo de hombres se reúne y se prepara para jugar al curling.</v>
      </c>
    </row>
    <row r="3325">
      <c r="A3325" s="4" t="s">
        <v>4177</v>
      </c>
      <c r="B3325" s="4" t="s">
        <v>4180</v>
      </c>
      <c r="C3325" s="5" t="str">
        <f>IFERROR(__xludf.DUMMYFUNCTION("GOOGLETRANSLATE(B3325,""en"",""es-ES"")"),"Un hombre más joven y un hombre mayor trabajan en equipo para mover el rizo.")</f>
        <v>Un hombre más joven y un hombre mayor trabajan en equipo para mover el rizo.</v>
      </c>
    </row>
    <row r="3326">
      <c r="A3326" s="4" t="s">
        <v>4177</v>
      </c>
      <c r="B3326" s="4" t="s">
        <v>4181</v>
      </c>
      <c r="C3326" s="5" t="str">
        <f>IFERROR(__xludf.DUMMYFUNCTION("GOOGLETRANSLATE(B3326,""en"",""es-ES"")"),"Un caballero mayor sonríe a la cámara mientras sostiene su rizo sobre su cabeza.")</f>
        <v>Un caballero mayor sonríe a la cámara mientras sostiene su rizo sobre su cabeza.</v>
      </c>
    </row>
    <row r="3327">
      <c r="A3327" s="4" t="s">
        <v>4177</v>
      </c>
      <c r="B3327" s="4" t="s">
        <v>4182</v>
      </c>
      <c r="C3327" s="5" t="str">
        <f>IFERROR(__xludf.DUMMYFUNCTION("GOOGLETRANSLATE(B3327,""en"",""es-ES"")"),"El grupo de hombres comienza a mostrar el número y reír.")</f>
        <v>El grupo de hombres comienza a mostrar el número y reír.</v>
      </c>
    </row>
    <row r="3328">
      <c r="A3328" s="4" t="s">
        <v>4183</v>
      </c>
      <c r="B3328" s="4" t="s">
        <v>4184</v>
      </c>
      <c r="C3328" s="5" t="str">
        <f>IFERROR(__xludf.DUMMYFUNCTION("GOOGLETRANSLATE(B3328,""en"",""es-ES"")"),"La gente juega lacrosse en un campo.")</f>
        <v>La gente juega lacrosse en un campo.</v>
      </c>
    </row>
    <row r="3329">
      <c r="A3329" s="4" t="s">
        <v>4183</v>
      </c>
      <c r="B3329" s="4" t="s">
        <v>4185</v>
      </c>
      <c r="C3329" s="5" t="str">
        <f>IFERROR(__xludf.DUMMYFUNCTION("GOOGLETRANSLATE(B3329,""en"",""es-ES"")"),"Marcan un punto en la red.")</f>
        <v>Marcan un punto en la red.</v>
      </c>
    </row>
    <row r="3330">
      <c r="A3330" s="4" t="s">
        <v>4183</v>
      </c>
      <c r="B3330" s="4" t="s">
        <v>4186</v>
      </c>
      <c r="C3330" s="5" t="str">
        <f>IFERROR(__xludf.DUMMYFUNCTION("GOOGLETRANSLATE(B3330,""en"",""es-ES"")"),"Dos hombres son cinco en el campo.")</f>
        <v>Dos hombres son cinco en el campo.</v>
      </c>
    </row>
    <row r="3331">
      <c r="A3331" s="4" t="s">
        <v>4187</v>
      </c>
      <c r="B3331" s="4" t="s">
        <v>4188</v>
      </c>
      <c r="C3331" s="5" t="str">
        <f>IFERROR(__xludf.DUMMYFUNCTION("GOOGLETRANSLATE(B3331,""en"",""es-ES"")"),"Se muestra un primer plano de Rapids de agua, seguido por un grupo de personas que intentan remar en una balsa.")</f>
        <v>Se muestra un primer plano de Rapids de agua, seguido por un grupo de personas que intentan remar en una balsa.</v>
      </c>
    </row>
    <row r="3332">
      <c r="A3332" s="4" t="s">
        <v>4187</v>
      </c>
      <c r="B3332" s="4" t="s">
        <v>4189</v>
      </c>
      <c r="C3332" s="5" t="str">
        <f>IFERROR(__xludf.DUMMYFUNCTION("GOOGLETRANSLATE(B3332,""en"",""es-ES"")"),"Las personas que conducen por el río mientras se pegan la paleta en un punto.")</f>
        <v>Las personas que conducen por el río mientras se pegan la paleta en un punto.</v>
      </c>
    </row>
    <row r="3333">
      <c r="A3333" s="4" t="s">
        <v>4190</v>
      </c>
      <c r="B3333" s="4" t="s">
        <v>4191</v>
      </c>
      <c r="C3333" s="5" t="str">
        <f>IFERROR(__xludf.DUMMYFUNCTION("GOOGLETRANSLATE(B3333,""en"",""es-ES"")"),"Hay unas diez o más personas vestidas con ropa deportiva que hacen una forma de ejercicio sincronizada.")</f>
        <v>Hay unas diez o más personas vestidas con ropa deportiva que hacen una forma de ejercicio sincronizada.</v>
      </c>
    </row>
    <row r="3334">
      <c r="A3334" s="4" t="s">
        <v>4190</v>
      </c>
      <c r="B3334" s="4" t="s">
        <v>4192</v>
      </c>
      <c r="C3334" s="5" t="str">
        <f>IFERROR(__xludf.DUMMYFUNCTION("GOOGLETRANSLATE(B3334,""en"",""es-ES"")"),"Están haciendo los pasos rítmicamente a los ritmos de una canción que se toca en el gimnasio.")</f>
        <v>Están haciendo los pasos rítmicamente a los ritmos de una canción que se toca en el gimnasio.</v>
      </c>
    </row>
    <row r="3335">
      <c r="A3335" s="4" t="s">
        <v>4190</v>
      </c>
      <c r="B3335" s="4" t="s">
        <v>4193</v>
      </c>
      <c r="C3335" s="5" t="str">
        <f>IFERROR(__xludf.DUMMYFUNCTION("GOOGLETRANSLATE(B3335,""en"",""es-ES"")"),"Hay luces de discoteca parpadeando en el gimnasio.")</f>
        <v>Hay luces de discoteca parpadeando en el gimnasio.</v>
      </c>
    </row>
    <row r="3336">
      <c r="A3336" s="4" t="s">
        <v>4190</v>
      </c>
      <c r="B3336" s="4" t="s">
        <v>4194</v>
      </c>
      <c r="C3336" s="5" t="str">
        <f>IFERROR(__xludf.DUMMYFUNCTION("GOOGLETRANSLATE(B3336,""en"",""es-ES"")"),"Continúan haciendo los pasos mientras aplauden entre los pasos.")</f>
        <v>Continúan haciendo los pasos mientras aplauden entre los pasos.</v>
      </c>
    </row>
    <row r="3337">
      <c r="A3337" s="4" t="s">
        <v>4190</v>
      </c>
      <c r="B3337" s="4" t="s">
        <v>4195</v>
      </c>
      <c r="C3337" s="5" t="str">
        <f>IFERROR(__xludf.DUMMYFUNCTION("GOOGLETRANSLATE(B3337,""en"",""es-ES"")"),"También suben y bajan de un taburete a medida que continúan sus pasos.")</f>
        <v>También suben y bajan de un taburete a medida que continúan sus pasos.</v>
      </c>
    </row>
    <row r="3338">
      <c r="A3338" s="4" t="s">
        <v>4196</v>
      </c>
      <c r="B3338" s="4" t="s">
        <v>4197</v>
      </c>
      <c r="C3338" s="5" t="str">
        <f>IFERROR(__xludf.DUMMYFUNCTION("GOOGLETRANSLATE(B3338,""en"",""es-ES"")"),"Se ve a una persona inclinándose sobre un balde lleno de agua y lavar ropa en el cubo.")</f>
        <v>Se ve a una persona inclinándose sobre un balde lleno de agua y lavar ropa en el cubo.</v>
      </c>
    </row>
    <row r="3339">
      <c r="A3339" s="4" t="s">
        <v>4196</v>
      </c>
      <c r="B3339" s="4" t="s">
        <v>4198</v>
      </c>
      <c r="C3339" s="5" t="str">
        <f>IFERROR(__xludf.DUMMYFUNCTION("GOOGLETRANSLATE(B3339,""en"",""es-ES"")"),"El niño continúa lavando cuando otra persona interviene para ayudar a lavar la ropa y hablar con la cámara.")</f>
        <v>El niño continúa lavando cuando otra persona interviene para ayudar a lavar la ropa y hablar con la cámara.</v>
      </c>
    </row>
    <row r="3340">
      <c r="A3340" s="4" t="s">
        <v>4199</v>
      </c>
      <c r="B3340" s="4" t="s">
        <v>4200</v>
      </c>
      <c r="C3340" s="5" t="str">
        <f>IFERROR(__xludf.DUMMYFUNCTION("GOOGLETRANSLATE(B3340,""en"",""es-ES"")"),"Un hombre con un suéter marrón está sentado y hablando.")</f>
        <v>Un hombre con un suéter marrón está sentado y hablando.</v>
      </c>
    </row>
    <row r="3341">
      <c r="A3341" s="4" t="s">
        <v>4199</v>
      </c>
      <c r="B3341" s="4" t="s">
        <v>4201</v>
      </c>
      <c r="C3341" s="5" t="str">
        <f>IFERROR(__xludf.DUMMYFUNCTION("GOOGLETRANSLATE(B3341,""en"",""es-ES"")"),"Una mujer con un suéter blanco y negro se sienta detrás de él.")</f>
        <v>Una mujer con un suéter blanco y negro se sienta detrás de él.</v>
      </c>
    </row>
    <row r="3342">
      <c r="A3342" s="4" t="s">
        <v>4199</v>
      </c>
      <c r="B3342" s="4" t="s">
        <v>4202</v>
      </c>
      <c r="C3342" s="5" t="str">
        <f>IFERROR(__xludf.DUMMYFUNCTION("GOOGLETRANSLATE(B3342,""en"",""es-ES"")"),"Ella se quita el suéter y lo pone en la silla detrás de él.")</f>
        <v>Ella se quita el suéter y lo pone en la silla detrás de él.</v>
      </c>
    </row>
    <row r="3343">
      <c r="A3343" s="4" t="s">
        <v>4199</v>
      </c>
      <c r="B3343" s="4" t="s">
        <v>4203</v>
      </c>
      <c r="C3343" s="5" t="str">
        <f>IFERROR(__xludf.DUMMYFUNCTION("GOOGLETRANSLATE(B3343,""en"",""es-ES"")"),"Un niño con una camisa azul golpea detrás de él.")</f>
        <v>Un niño con una camisa azul golpea detrás de él.</v>
      </c>
    </row>
    <row r="3344">
      <c r="A3344" s="4" t="s">
        <v>4204</v>
      </c>
      <c r="B3344" s="4" t="s">
        <v>4205</v>
      </c>
      <c r="C3344" s="5" t="str">
        <f>IFERROR(__xludf.DUMMYFUNCTION("GOOGLETRANSLATE(B3344,""en"",""es-ES"")"),"Se ve a una mujer hablando con la cámara y que conduce a clips de su carrera.")</f>
        <v>Se ve a una mujer hablando con la cámara y que conduce a clips de su carrera.</v>
      </c>
    </row>
    <row r="3345">
      <c r="A3345" s="4" t="s">
        <v>4204</v>
      </c>
      <c r="B3345" s="4" t="s">
        <v>4206</v>
      </c>
      <c r="C3345" s="5" t="str">
        <f>IFERROR(__xludf.DUMMYFUNCTION("GOOGLETRANSLATE(B3345,""en"",""es-ES"")"),"Se muestran los primeros planos de sus pies, así como más clips de su hablar y correr.")</f>
        <v>Se muestran los primeros planos de sus pies, así como más clips de su hablar y correr.</v>
      </c>
    </row>
    <row r="3346">
      <c r="A3346" s="4" t="s">
        <v>4204</v>
      </c>
      <c r="B3346" s="4" t="s">
        <v>4207</v>
      </c>
      <c r="C3346" s="5" t="str">
        <f>IFERROR(__xludf.DUMMYFUNCTION("GOOGLETRANSLATE(B3346,""en"",""es-ES"")"),"Se muestra empacando un automóvil y mostrando sus herramientas, así como su equipo mientras sigue corriendo en la carretera.")</f>
        <v>Se muestra empacando un automóvil y mostrando sus herramientas, así como su equipo mientras sigue corriendo en la carretera.</v>
      </c>
    </row>
    <row r="3347">
      <c r="A3347" s="4" t="s">
        <v>4208</v>
      </c>
      <c r="B3347" s="4" t="s">
        <v>4209</v>
      </c>
      <c r="C3347" s="5" t="str">
        <f>IFERROR(__xludf.DUMMYFUNCTION("GOOGLETRANSLATE(B3347,""en"",""es-ES"")"),"Se ve a una mujer sentada en un taburete fumando un cigarrillo y mirando a lo lejos.")</f>
        <v>Se ve a una mujer sentada en un taburete fumando un cigarrillo y mirando a lo lejos.</v>
      </c>
    </row>
    <row r="3348">
      <c r="A3348" s="4" t="s">
        <v>4208</v>
      </c>
      <c r="B3348" s="4" t="s">
        <v>4210</v>
      </c>
      <c r="C3348" s="5" t="str">
        <f>IFERROR(__xludf.DUMMYFUNCTION("GOOGLETRANSLATE(B3348,""en"",""es-ES"")"),"La mujer sopla el humo en el aire mientras la cámara la captura desde varios ángulos fumando continuamente.")</f>
        <v>La mujer sopla el humo en el aire mientras la cámara la captura desde varios ángulos fumando continuamente.</v>
      </c>
    </row>
    <row r="3349">
      <c r="A3349" s="4" t="s">
        <v>4211</v>
      </c>
      <c r="B3349" s="4" t="s">
        <v>4212</v>
      </c>
      <c r="C3349" s="5" t="str">
        <f>IFERROR(__xludf.DUMMYFUNCTION("GOOGLETRANSLATE(B3349,""en"",""es-ES"")"),"Una introducción de títulos finalmente lleva a un atleta que tiene una gran cantidad de pesas sobre su cabeza.")</f>
        <v>Una introducción de títulos finalmente lleva a un atleta que tiene una gran cantidad de pesas sobre su cabeza.</v>
      </c>
    </row>
    <row r="3350">
      <c r="A3350" s="4" t="s">
        <v>4211</v>
      </c>
      <c r="B3350" s="4" t="s">
        <v>4213</v>
      </c>
      <c r="C3350" s="5" t="str">
        <f>IFERROR(__xludf.DUMMYFUNCTION("GOOGLETRANSLATE(B3350,""en"",""es-ES"")"),"El mismo hombre hace otro encendido con sus pesos mientras otro hombre observa en el fondo.")</f>
        <v>El mismo hombre hace otro encendido con sus pesos mientras otro hombre observa en el fondo.</v>
      </c>
    </row>
    <row r="3351">
      <c r="A3351" s="4" t="s">
        <v>4211</v>
      </c>
      <c r="B3351" s="4" t="s">
        <v>4214</v>
      </c>
      <c r="C3351" s="5" t="str">
        <f>IFERROR(__xludf.DUMMYFUNCTION("GOOGLETRANSLATE(B3351,""en"",""es-ES"")"),"Él arroja los pesos y arroja los brazos al aire para celebrar.")</f>
        <v>Él arroja los pesos y arroja los brazos al aire para celebrar.</v>
      </c>
    </row>
    <row r="3352">
      <c r="A3352" s="4" t="s">
        <v>4215</v>
      </c>
      <c r="B3352" s="4" t="s">
        <v>4216</v>
      </c>
      <c r="C3352" s="5" t="str">
        <f>IFERROR(__xludf.DUMMYFUNCTION("GOOGLETRANSLATE(B3352,""en"",""es-ES"")"),"Una mujer con cabello corto y una camiseta sin mangas blanca está sentada en su baño hablando de un ciclista que se va a afeitar las piernas.")</f>
        <v>Una mujer con cabello corto y una camiseta sin mangas blanca está sentada en su baño hablando de un ciclista que se va a afeitar las piernas.</v>
      </c>
    </row>
    <row r="3353">
      <c r="A3353" s="4" t="s">
        <v>4215</v>
      </c>
      <c r="B3353" s="4" t="s">
        <v>4217</v>
      </c>
      <c r="C3353" s="5" t="str">
        <f>IFERROR(__xludf.DUMMYFUNCTION("GOOGLETRANSLATE(B3353,""en"",""es-ES"")"),"Ella se pone de pie y muestra al equipo de ciclismo impreso en su camiseta sin mangas.")</f>
        <v>Ella se pone de pie y muestra al equipo de ciclismo impreso en su camiseta sin mangas.</v>
      </c>
    </row>
    <row r="3354">
      <c r="A3354" s="4" t="s">
        <v>4215</v>
      </c>
      <c r="B3354" s="4" t="s">
        <v>4218</v>
      </c>
      <c r="C3354" s="5" t="str">
        <f>IFERROR(__xludf.DUMMYFUNCTION("GOOGLETRANSLATE(B3354,""en"",""es-ES"")"),"Ella muestra a los espectadores el tipo de navaja de afeitar que usará.")</f>
        <v>Ella muestra a los espectadores el tipo de navaja de afeitar que usará.</v>
      </c>
    </row>
    <row r="3355">
      <c r="A3355" s="4" t="s">
        <v>4215</v>
      </c>
      <c r="B3355" s="4" t="s">
        <v>4219</v>
      </c>
      <c r="C3355" s="5" t="str">
        <f>IFERROR(__xludf.DUMMYFUNCTION("GOOGLETRANSLATE(B3355,""en"",""es-ES"")"),"Hay un joven sentado en la bañera junto con la mujer.")</f>
        <v>Hay un joven sentado en la bañera junto con la mujer.</v>
      </c>
    </row>
    <row r="3356">
      <c r="A3356" s="4" t="s">
        <v>4215</v>
      </c>
      <c r="B3356" s="4" t="s">
        <v>4220</v>
      </c>
      <c r="C3356" s="5" t="str">
        <f>IFERROR(__xludf.DUMMYFUNCTION("GOOGLETRANSLATE(B3356,""en"",""es-ES"")"),"Se lava las piernas con jabón y jabón para bebés y comienza a afeitarse las piernas.")</f>
        <v>Se lava las piernas con jabón y jabón para bebés y comienza a afeitarse las piernas.</v>
      </c>
    </row>
    <row r="3357">
      <c r="A3357" s="4" t="s">
        <v>4215</v>
      </c>
      <c r="B3357" s="4" t="s">
        <v>4221</v>
      </c>
      <c r="C3357" s="5" t="str">
        <f>IFERROR(__xludf.DUMMYFUNCTION("GOOGLETRANSLATE(B3357,""en"",""es-ES"")"),"Entonces la mujer toma la maquinilla de afeitar y ayuda a su esposo a afeitarse las piernas.")</f>
        <v>Entonces la mujer toma la maquinilla de afeitar y ayuda a su esposo a afeitarse las piernas.</v>
      </c>
    </row>
    <row r="3358">
      <c r="A3358" s="4" t="s">
        <v>4222</v>
      </c>
      <c r="B3358" s="4" t="s">
        <v>4223</v>
      </c>
      <c r="C3358" s="5" t="str">
        <f>IFERROR(__xludf.DUMMYFUNCTION("GOOGLETRANSLATE(B3358,""en"",""es-ES"")"),"Muchos chicos de All Black se encuentran en un área cubierta de hierba con instrumentos de música y realizan una actuación de sincronización frente a otras personas sentadas en la hierba.")</f>
        <v>Muchos chicos de All Black se encuentran en un área cubierta de hierba con instrumentos de música y realizan una actuación de sincronización frente a otras personas sentadas en la hierba.</v>
      </c>
    </row>
    <row r="3359">
      <c r="A3359" s="4" t="s">
        <v>4222</v>
      </c>
      <c r="B3359" s="4" t="s">
        <v>4224</v>
      </c>
      <c r="C3359" s="5" t="str">
        <f>IFERROR(__xludf.DUMMYFUNCTION("GOOGLETRANSLATE(B3359,""en"",""es-ES"")"),"Los muchachos tocan la batería y hacen movimientos de un lado a otro mientras tocan la batería que está conectada con su cuerpo.")</f>
        <v>Los muchachos tocan la batería y hacen movimientos de un lado a otro mientras tocan la batería que está conectada con su cuerpo.</v>
      </c>
    </row>
    <row r="3360">
      <c r="A3360" s="4" t="s">
        <v>4222</v>
      </c>
      <c r="B3360" s="4" t="s">
        <v>4225</v>
      </c>
      <c r="C3360" s="5" t="str">
        <f>IFERROR(__xludf.DUMMYFUNCTION("GOOGLETRANSLATE(B3360,""en"",""es-ES"")"),"Los chicos hacen movimientos de mano y pisotan los pies ligeramente como parte de la actuación.")</f>
        <v>Los chicos hacen movimientos de mano y pisotan los pies ligeramente como parte de la actuación.</v>
      </c>
    </row>
    <row r="3361">
      <c r="A3361" s="4" t="s">
        <v>4226</v>
      </c>
      <c r="B3361" s="4" t="s">
        <v>4227</v>
      </c>
      <c r="C3361" s="5" t="str">
        <f>IFERROR(__xludf.DUMMYFUNCTION("GOOGLETRANSLATE(B3361,""en"",""es-ES"")"),"Windsurfer gira su vela en un 360.")</f>
        <v>Windsurfer gira su vela en un 360.</v>
      </c>
    </row>
    <row r="3362">
      <c r="A3362" s="4" t="s">
        <v>4226</v>
      </c>
      <c r="B3362" s="4" t="s">
        <v>4228</v>
      </c>
      <c r="C3362" s="5" t="str">
        <f>IFERROR(__xludf.DUMMYFUNCTION("GOOGLETRANSLATE(B3362,""en"",""es-ES"")"),"Windsurfer monta las olas lentamente hacia adelante.")</f>
        <v>Windsurfer monta las olas lentamente hacia adelante.</v>
      </c>
    </row>
    <row r="3363">
      <c r="A3363" s="4" t="s">
        <v>4226</v>
      </c>
      <c r="B3363" s="4" t="s">
        <v>4229</v>
      </c>
      <c r="C3363" s="5" t="str">
        <f>IFERROR(__xludf.DUMMYFUNCTION("GOOGLETRANSLATE(B3363,""en"",""es-ES"")"),"El hombre camina frente a la cámara.")</f>
        <v>El hombre camina frente a la cámara.</v>
      </c>
    </row>
    <row r="3364">
      <c r="A3364" s="4" t="s">
        <v>4226</v>
      </c>
      <c r="B3364" s="4" t="s">
        <v>4230</v>
      </c>
      <c r="C3364" s="5" t="str">
        <f>IFERROR(__xludf.DUMMYFUNCTION("GOOGLETRANSLATE(B3364,""en"",""es-ES"")"),"Windsurfer gira su vela rápidamente.")</f>
        <v>Windsurfer gira su vela rápidamente.</v>
      </c>
    </row>
    <row r="3365">
      <c r="A3365" s="4" t="s">
        <v>4226</v>
      </c>
      <c r="B3365" s="4" t="s">
        <v>4231</v>
      </c>
      <c r="C3365" s="5" t="str">
        <f>IFERROR(__xludf.DUMMYFUNCTION("GOOGLETRANSLATE(B3365,""en"",""es-ES"")"),"Windsurfer cae en el océano.")</f>
        <v>Windsurfer cae en el océano.</v>
      </c>
    </row>
    <row r="3366">
      <c r="A3366" s="4" t="s">
        <v>4232</v>
      </c>
      <c r="B3366" s="4" t="s">
        <v>4233</v>
      </c>
      <c r="C3366" s="5" t="str">
        <f>IFERROR(__xludf.DUMMYFUNCTION("GOOGLETRANSLATE(B3366,""en"",""es-ES"")"),"La gente está esquiando por una pendiente nevada muy lenta y con gracia.")</f>
        <v>La gente está esquiando por una pendiente nevada muy lenta y con gracia.</v>
      </c>
    </row>
    <row r="3367">
      <c r="A3367" s="4" t="s">
        <v>4232</v>
      </c>
      <c r="B3367" s="4" t="s">
        <v>4234</v>
      </c>
      <c r="C3367" s="5" t="str">
        <f>IFERROR(__xludf.DUMMYFUNCTION("GOOGLETRANSLATE(B3367,""en"",""es-ES"")"),"Un niño pequeño se está inclinando tratando de captar más velocidad, es bastante bueno esquiando.")</f>
        <v>Un niño pequeño se está inclinando tratando de captar más velocidad, es bastante bueno esquiando.</v>
      </c>
    </row>
    <row r="3368">
      <c r="A3368" s="4" t="s">
        <v>4232</v>
      </c>
      <c r="B3368" s="4" t="s">
        <v>4235</v>
      </c>
      <c r="C3368" s="5" t="str">
        <f>IFERROR(__xludf.DUMMYFUNCTION("GOOGLETRANSLATE(B3368,""en"",""es-ES"")"),"Continúan avanzando muy lentamente tomándose su tiempo y disfrutando de la experiencia.")</f>
        <v>Continúan avanzando muy lentamente tomándose su tiempo y disfrutando de la experiencia.</v>
      </c>
    </row>
    <row r="3369">
      <c r="A3369" s="4" t="s">
        <v>4232</v>
      </c>
      <c r="B3369" s="4" t="s">
        <v>4236</v>
      </c>
      <c r="C3369" s="5" t="str">
        <f>IFERROR(__xludf.DUMMYFUNCTION("GOOGLETRANSLATE(B3369,""en"",""es-ES"")"),"Comienzan a reducir la velocidad un poco casi deteniéndose, pero luego vuelven a construir y continúan.")</f>
        <v>Comienzan a reducir la velocidad un poco casi deteniéndose, pero luego vuelven a construir y continúan.</v>
      </c>
    </row>
    <row r="3370">
      <c r="A3370" s="4" t="s">
        <v>4237</v>
      </c>
      <c r="B3370" s="4" t="s">
        <v>4238</v>
      </c>
      <c r="C3370" s="5" t="str">
        <f>IFERROR(__xludf.DUMMYFUNCTION("GOOGLETRANSLATE(B3370,""en"",""es-ES"")"),"Un hombre está en el interior, colocando rápidamente las baldosas de madera en un piso a medida que la cámara juega extremadamente rápido.")</f>
        <v>Un hombre está en el interior, colocando rápidamente las baldosas de madera en un piso a medida que la cámara juega extremadamente rápido.</v>
      </c>
    </row>
    <row r="3371">
      <c r="A3371" s="4" t="s">
        <v>4237</v>
      </c>
      <c r="B3371" s="4" t="s">
        <v>4239</v>
      </c>
      <c r="C3371" s="5" t="str">
        <f>IFERROR(__xludf.DUMMYFUNCTION("GOOGLETRANSLATE(B3371,""en"",""es-ES"")"),"Utiliza un nivelador y un cortador y completa la habitación con lechada antes de salir.")</f>
        <v>Utiliza un nivelador y un cortador y completa la habitación con lechada antes de salir.</v>
      </c>
    </row>
    <row r="3372">
      <c r="A3372" s="4" t="s">
        <v>4240</v>
      </c>
      <c r="B3372" s="4" t="s">
        <v>4241</v>
      </c>
      <c r="C3372" s="5" t="str">
        <f>IFERROR(__xludf.DUMMYFUNCTION("GOOGLETRANSLATE(B3372,""en"",""es-ES"")"),"Los autos conducen por un letrero junto a la carretera.")</f>
        <v>Los autos conducen por un letrero junto a la carretera.</v>
      </c>
    </row>
    <row r="3373">
      <c r="A3373" s="4" t="s">
        <v>4240</v>
      </c>
      <c r="B3373" s="4" t="s">
        <v>4242</v>
      </c>
      <c r="C3373" s="5" t="str">
        <f>IFERROR(__xludf.DUMMYFUNCTION("GOOGLETRANSLATE(B3373,""en"",""es-ES"")"),"Varias mujeres se muestran alrededor de una mesa preparándose para tejer.")</f>
        <v>Varias mujeres se muestran alrededor de una mesa preparándose para tejer.</v>
      </c>
    </row>
    <row r="3374">
      <c r="A3374" s="4" t="s">
        <v>4240</v>
      </c>
      <c r="B3374" s="4" t="s">
        <v>4243</v>
      </c>
      <c r="C3374" s="5" t="str">
        <f>IFERROR(__xludf.DUMMYFUNCTION("GOOGLETRANSLATE(B3374,""en"",""es-ES"")"),"Una mujer habla con la cámara en un estilo de entrevista.")</f>
        <v>Una mujer habla con la cámara en un estilo de entrevista.</v>
      </c>
    </row>
    <row r="3375">
      <c r="A3375" s="4" t="s">
        <v>4240</v>
      </c>
      <c r="B3375" s="4" t="s">
        <v>4244</v>
      </c>
      <c r="C3375" s="5" t="str">
        <f>IFERROR(__xludf.DUMMYFUNCTION("GOOGLETRANSLATE(B3375,""en"",""es-ES"")"),"Las mujeres alrededor de la mesa participan en actividades relacionadas con el tejido.")</f>
        <v>Las mujeres alrededor de la mesa participan en actividades relacionadas con el tejido.</v>
      </c>
    </row>
    <row r="3376">
      <c r="A3376" s="4" t="s">
        <v>4240</v>
      </c>
      <c r="B3376" s="4" t="s">
        <v>4245</v>
      </c>
      <c r="C3376" s="5" t="str">
        <f>IFERROR(__xludf.DUMMYFUNCTION("GOOGLETRANSLATE(B3376,""en"",""es-ES"")"),"Se muestra un autobús estacionado fuera del edificio.")</f>
        <v>Se muestra un autobús estacionado fuera del edificio.</v>
      </c>
    </row>
    <row r="3377">
      <c r="A3377" s="4" t="s">
        <v>4240</v>
      </c>
      <c r="B3377" s="4" t="s">
        <v>4246</v>
      </c>
      <c r="C3377" s="5" t="str">
        <f>IFERROR(__xludf.DUMMYFUNCTION("GOOGLETRANSLATE(B3377,""en"",""es-ES"")"),"La mujer de la escena de la entrevista vuelve a hablar con la cámara.")</f>
        <v>La mujer de la escena de la entrevista vuelve a hablar con la cámara.</v>
      </c>
    </row>
    <row r="3378">
      <c r="A3378" s="4" t="s">
        <v>4240</v>
      </c>
      <c r="B3378" s="4" t="s">
        <v>4247</v>
      </c>
      <c r="C3378" s="5" t="str">
        <f>IFERROR(__xludf.DUMMYFUNCTION("GOOGLETRANSLATE(B3378,""en"",""es-ES"")"),"A las mujeres en la mesa se le muestran tejer.")</f>
        <v>A las mujeres en la mesa se le muestran tejer.</v>
      </c>
    </row>
    <row r="3379">
      <c r="A3379" s="4" t="s">
        <v>4240</v>
      </c>
      <c r="B3379" s="4" t="s">
        <v>4248</v>
      </c>
      <c r="C3379" s="5" t="str">
        <f>IFERROR(__xludf.DUMMYFUNCTION("GOOGLETRANSLATE(B3379,""en"",""es-ES"")"),"Se muestran varias tomas exteriores de la ubicación del edificio.")</f>
        <v>Se muestran varias tomas exteriores de la ubicación del edificio.</v>
      </c>
    </row>
    <row r="3380">
      <c r="A3380" s="4" t="s">
        <v>4240</v>
      </c>
      <c r="B3380" s="4" t="s">
        <v>4249</v>
      </c>
      <c r="C3380" s="5" t="str">
        <f>IFERROR(__xludf.DUMMYFUNCTION("GOOGLETRANSLATE(B3380,""en"",""es-ES"")"),"A las mujeres en la mesa se le muestran tejer de nuevo.")</f>
        <v>A las mujeres en la mesa se le muestran tejer de nuevo.</v>
      </c>
    </row>
    <row r="3381">
      <c r="A3381" s="4" t="s">
        <v>4250</v>
      </c>
      <c r="B3381" s="4" t="s">
        <v>4251</v>
      </c>
      <c r="C3381" s="5" t="str">
        <f>IFERROR(__xludf.DUMMYFUNCTION("GOOGLETRANSLATE(B3381,""en"",""es-ES"")"),"Se ve a una persona limpiando la cara de un bebé con un trapo mientras el bebé se apaga la lengua.")</f>
        <v>Se ve a una persona limpiando la cara de un bebé con un trapo mientras el bebé se apaga la lengua.</v>
      </c>
    </row>
    <row r="3382">
      <c r="A3382" s="4" t="s">
        <v>4250</v>
      </c>
      <c r="B3382" s="4" t="s">
        <v>4252</v>
      </c>
      <c r="C3382" s="5" t="str">
        <f>IFERROR(__xludf.DUMMYFUNCTION("GOOGLETRANSLATE(B3382,""en"",""es-ES"")"),"La mujer continúa limpiando al bebé y se muestra sonriendo a la cámara y saludando.")</f>
        <v>La mujer continúa limpiando al bebé y se muestra sonriendo a la cámara y saludando.</v>
      </c>
    </row>
    <row r="3383">
      <c r="A3383" s="4" t="s">
        <v>4253</v>
      </c>
      <c r="B3383" s="4" t="s">
        <v>4254</v>
      </c>
      <c r="C3383" s="5" t="str">
        <f>IFERROR(__xludf.DUMMYFUNCTION("GOOGLETRANSLATE(B3383,""en"",""es-ES"")"),"Se ve a dos hombres tocando tijeras de papel de rock entre sí y golpeando a la persona que pierde.")</f>
        <v>Se ve a dos hombres tocando tijeras de papel de rock entre sí y golpeando a la persona que pierde.</v>
      </c>
    </row>
    <row r="3384">
      <c r="A3384" s="4" t="s">
        <v>4253</v>
      </c>
      <c r="B3384" s="4" t="s">
        <v>4255</v>
      </c>
      <c r="C3384" s="5" t="str">
        <f>IFERROR(__xludf.DUMMYFUNCTION("GOOGLETRANSLATE(B3384,""en"",""es-ES"")"),"Los hombres continúan jugando este juego y cuarto y frotando la cabeza mientras otros miran.")</f>
        <v>Los hombres continúan jugando este juego y cuarto y frotando la cabeza mientras otros miran.</v>
      </c>
    </row>
    <row r="3385">
      <c r="A3385" s="4" t="s">
        <v>4256</v>
      </c>
      <c r="B3385" s="4" t="s">
        <v>4257</v>
      </c>
      <c r="C3385" s="5" t="str">
        <f>IFERROR(__xludf.DUMMYFUNCTION("GOOGLETRANSLATE(B3385,""en"",""es-ES"")"),"Un atleta realiza un lanzamiento de martillo por gira una pelota pesada varias veces con su cuerpo.")</f>
        <v>Un atleta realiza un lanzamiento de martillo por gira una pelota pesada varias veces con su cuerpo.</v>
      </c>
    </row>
    <row r="3386">
      <c r="A3386" s="4" t="s">
        <v>4256</v>
      </c>
      <c r="B3386" s="4" t="s">
        <v>4258</v>
      </c>
      <c r="C3386" s="5" t="str">
        <f>IFERROR(__xludf.DUMMYFUNCTION("GOOGLETRANSLATE(B3386,""en"",""es-ES"")"),"Luego, el atleta arroja la pelota al campo.")</f>
        <v>Luego, el atleta arroja la pelota al campo.</v>
      </c>
    </row>
    <row r="3387">
      <c r="A3387" s="4" t="s">
        <v>4259</v>
      </c>
      <c r="B3387" s="4" t="s">
        <v>4260</v>
      </c>
      <c r="C3387" s="5" t="str">
        <f>IFERROR(__xludf.DUMMYFUNCTION("GOOGLETRANSLATE(B3387,""en"",""es-ES"")"),"Una mujer está sentada en una silla hablando.")</f>
        <v>Una mujer está sentada en una silla hablando.</v>
      </c>
    </row>
    <row r="3388">
      <c r="A3388" s="4" t="s">
        <v>4259</v>
      </c>
      <c r="B3388" s="4" t="s">
        <v>4261</v>
      </c>
      <c r="C3388" s="5" t="str">
        <f>IFERROR(__xludf.DUMMYFUNCTION("GOOGLETRANSLATE(B3388,""en"",""es-ES"")"),"La mano de una persona está tocando unas tijeras de papel de rock con un robot.")</f>
        <v>La mano de una persona está tocando unas tijeras de papel de rock con un robot.</v>
      </c>
    </row>
    <row r="3389">
      <c r="A3389" s="4" t="s">
        <v>4259</v>
      </c>
      <c r="B3389" s="4" t="s">
        <v>4262</v>
      </c>
      <c r="C3389" s="5" t="str">
        <f>IFERROR(__xludf.DUMMYFUNCTION("GOOGLETRANSLATE(B3389,""en"",""es-ES"")"),"Un hombre con una camisa blanca está hablando con la mujer.")</f>
        <v>Un hombre con una camisa blanca está hablando con la mujer.</v>
      </c>
    </row>
    <row r="3390">
      <c r="A3390" s="4" t="s">
        <v>4263</v>
      </c>
      <c r="B3390" s="4" t="s">
        <v>4264</v>
      </c>
      <c r="C3390" s="5" t="str">
        <f>IFERROR(__xludf.DUMMYFUNCTION("GOOGLETRANSLATE(B3390,""en"",""es-ES"")"),"Un grupo de personas está vestida con equipo de esquí, montando en un ascensor.")</f>
        <v>Un grupo de personas está vestida con equipo de esquí, montando en un ascensor.</v>
      </c>
    </row>
    <row r="3391">
      <c r="A3391" s="4" t="s">
        <v>4263</v>
      </c>
      <c r="B3391" s="4" t="s">
        <v>4265</v>
      </c>
      <c r="C3391" s="5" t="str">
        <f>IFERROR(__xludf.DUMMYFUNCTION("GOOGLETRANSLATE(B3391,""en"",""es-ES"")"),"Se los ve bajando por las colinas, esquiando y arrojando nieve al aire.")</f>
        <v>Se los ve bajando por las colinas, esquiando y arrojando nieve al aire.</v>
      </c>
    </row>
    <row r="3392">
      <c r="A3392" s="4" t="s">
        <v>4266</v>
      </c>
      <c r="B3392" s="4" t="s">
        <v>4267</v>
      </c>
      <c r="C3392" s="5" t="str">
        <f>IFERROR(__xludf.DUMMYFUNCTION("GOOGLETRANSLATE(B3392,""en"",""es-ES"")"),"Se muestra una competencia de baile de 2011 en Israel con una mujer con danza de oro dance solo con luces de neón detrás de ella.")</f>
        <v>Se muestra una competencia de baile de 2011 en Israel con una mujer con danza de oro dance solo con luces de neón detrás de ella.</v>
      </c>
    </row>
    <row r="3393">
      <c r="A3393" s="4" t="s">
        <v>4266</v>
      </c>
      <c r="B3393" s="4" t="s">
        <v>4268</v>
      </c>
      <c r="C3393" s="5" t="str">
        <f>IFERROR(__xludf.DUMMYFUNCTION("GOOGLETRANSLATE(B3393,""en"",""es-ES"")"),"Ella le da la espalda a la audiencia para mostrar diferentes ángulos de sus movimientos.")</f>
        <v>Ella le da la espalda a la audiencia para mostrar diferentes ángulos de sus movimientos.</v>
      </c>
    </row>
    <row r="3394">
      <c r="A3394" s="4" t="s">
        <v>4266</v>
      </c>
      <c r="B3394" s="4" t="s">
        <v>4269</v>
      </c>
      <c r="C3394" s="5" t="str">
        <f>IFERROR(__xludf.DUMMYFUNCTION("GOOGLETRANSLATE(B3394,""en"",""es-ES"")"),"Finalmente, se derrumba ingeniosamente en el piso cuando termina la canción.")</f>
        <v>Finalmente, se derrumba ingeniosamente en el piso cuando termina la canción.</v>
      </c>
    </row>
    <row r="3395">
      <c r="A3395" s="4" t="s">
        <v>4270</v>
      </c>
      <c r="B3395" s="4" t="s">
        <v>4271</v>
      </c>
      <c r="C3395" s="5" t="str">
        <f>IFERROR(__xludf.DUMMYFUNCTION("GOOGLETRANSLATE(B3395,""en"",""es-ES"")"),"Un niño está de pie detrás de un mostrador.")</f>
        <v>Un niño está de pie detrás de un mostrador.</v>
      </c>
    </row>
    <row r="3396">
      <c r="A3396" s="4" t="s">
        <v>4270</v>
      </c>
      <c r="B3396" s="4" t="s">
        <v>4272</v>
      </c>
      <c r="C3396" s="5" t="str">
        <f>IFERROR(__xludf.DUMMYFUNCTION("GOOGLETRANSLATE(B3396,""en"",""es-ES"")"),"Está lanzando dardos a una pared.")</f>
        <v>Está lanzando dardos a una pared.</v>
      </c>
    </row>
    <row r="3397">
      <c r="A3397" s="4" t="s">
        <v>4270</v>
      </c>
      <c r="B3397" s="4" t="s">
        <v>4273</v>
      </c>
      <c r="C3397" s="5" t="str">
        <f>IFERROR(__xludf.DUMMYFUNCTION("GOOGLETRANSLATE(B3397,""en"",""es-ES"")"),"Una mujer está de pie a su lado.")</f>
        <v>Una mujer está de pie a su lado.</v>
      </c>
    </row>
    <row r="3398">
      <c r="A3398" s="4" t="s">
        <v>4274</v>
      </c>
      <c r="B3398" s="4" t="s">
        <v>4275</v>
      </c>
      <c r="C3398" s="5" t="str">
        <f>IFERROR(__xludf.DUMMYFUNCTION("GOOGLETRANSLATE(B3398,""en"",""es-ES"")"),"La niña que lleva un suéter arcoiris se muestra sentado en la arena haciendo una enorme colina de arena.")</f>
        <v>La niña que lleva un suéter arcoiris se muestra sentado en la arena haciendo una enorme colina de arena.</v>
      </c>
    </row>
    <row r="3399">
      <c r="A3399" s="4" t="s">
        <v>4274</v>
      </c>
      <c r="B3399" s="4" t="s">
        <v>4276</v>
      </c>
      <c r="C3399" s="5" t="str">
        <f>IFERROR(__xludf.DUMMYFUNCTION("GOOGLETRANSLATE(B3399,""en"",""es-ES"")"),"Luego mira hacia arriba y dice algo.")</f>
        <v>Luego mira hacia arriba y dice algo.</v>
      </c>
    </row>
    <row r="3400">
      <c r="A3400" s="4" t="s">
        <v>4274</v>
      </c>
      <c r="B3400" s="4" t="s">
        <v>4277</v>
      </c>
      <c r="C3400" s="5" t="str">
        <f>IFERROR(__xludf.DUMMYFUNCTION("GOOGLETRANSLATE(B3400,""en"",""es-ES"")"),"Luego sigue agregando más arena a la colina.")</f>
        <v>Luego sigue agregando más arena a la colina.</v>
      </c>
    </row>
    <row r="3401">
      <c r="A3401" s="4" t="s">
        <v>4274</v>
      </c>
      <c r="B3401" s="4" t="s">
        <v>4278</v>
      </c>
      <c r="C3401" s="5" t="str">
        <f>IFERROR(__xludf.DUMMYFUNCTION("GOOGLETRANSLATE(B3401,""en"",""es-ES"")"),"Entonces un niño pequeño se une a ella y solo toca la colina, pero se aleja.")</f>
        <v>Entonces un niño pequeño se une a ella y solo toca la colina, pero se aleja.</v>
      </c>
    </row>
    <row r="3402">
      <c r="A3402" s="4" t="s">
        <v>4274</v>
      </c>
      <c r="B3402" s="4" t="s">
        <v>4279</v>
      </c>
      <c r="C3402" s="5" t="str">
        <f>IFERROR(__xludf.DUMMYFUNCTION("GOOGLETRANSLATE(B3402,""en"",""es-ES"")"),"Luego regresa de nuevo para apuntar a la colina.")</f>
        <v>Luego regresa de nuevo para apuntar a la colina.</v>
      </c>
    </row>
    <row r="3403">
      <c r="A3403" s="4" t="s">
        <v>4280</v>
      </c>
      <c r="B3403" s="4" t="s">
        <v>4281</v>
      </c>
      <c r="C3403" s="5" t="str">
        <f>IFERROR(__xludf.DUMMYFUNCTION("GOOGLETRANSLATE(B3403,""en"",""es-ES"")"),"Se ve a una mujer hablando con la cámara mientras hace la transición a las tomas de su preparación de un perro.")</f>
        <v>Se ve a una mujer hablando con la cámara mientras hace la transición a las tomas de su preparación de un perro.</v>
      </c>
    </row>
    <row r="3404">
      <c r="A3404" s="4" t="s">
        <v>4280</v>
      </c>
      <c r="B3404" s="4" t="s">
        <v>4282</v>
      </c>
      <c r="C3404" s="5" t="str">
        <f>IFERROR(__xludf.DUMMYFUNCTION("GOOGLETRANSLATE(B3404,""en"",""es-ES"")"),"Se ve a la niña lavar a los perros y secarlos y recortar su pelaje.")</f>
        <v>Se ve a la niña lavar a los perros y secarlos y recortar su pelaje.</v>
      </c>
    </row>
    <row r="3405">
      <c r="A3405" s="4" t="s">
        <v>4280</v>
      </c>
      <c r="B3405" s="4" t="s">
        <v>4283</v>
      </c>
      <c r="C3405" s="5" t="str">
        <f>IFERROR(__xludf.DUMMYFUNCTION("GOOGLETRANSLATE(B3405,""en"",""es-ES"")"),"Ella continúa hablando mientras muestra a sus perros limpios y otros caminando a un lado.")</f>
        <v>Ella continúa hablando mientras muestra a sus perros limpios y otros caminando a un lado.</v>
      </c>
    </row>
    <row r="3406">
      <c r="A3406" s="4" t="s">
        <v>4284</v>
      </c>
      <c r="B3406" s="4" t="s">
        <v>4285</v>
      </c>
      <c r="C3406" s="5" t="str">
        <f>IFERROR(__xludf.DUMMYFUNCTION("GOOGLETRANSLATE(B3406,""en"",""es-ES"")"),"Un hombre está esquiando por agua detrás de un bote en un lago.")</f>
        <v>Un hombre está esquiando por agua detrás de un bote en un lago.</v>
      </c>
    </row>
    <row r="3407">
      <c r="A3407" s="4" t="s">
        <v>4284</v>
      </c>
      <c r="B3407" s="4" t="s">
        <v>4286</v>
      </c>
      <c r="C3407" s="5" t="str">
        <f>IFERROR(__xludf.DUMMYFUNCTION("GOOGLETRANSLATE(B3407,""en"",""es-ES"")"),"Algunas personas aparecen en la pantalla que están mirando y grabando.")</f>
        <v>Algunas personas aparecen en la pantalla que están mirando y grabando.</v>
      </c>
    </row>
    <row r="3408">
      <c r="A3408" s="4" t="s">
        <v>4284</v>
      </c>
      <c r="B3408" s="4" t="s">
        <v>4287</v>
      </c>
      <c r="C3408" s="5" t="str">
        <f>IFERROR(__xludf.DUMMYFUNCTION("GOOGLETRANSLATE(B3408,""en"",""es-ES"")"),"El esquiador de agua intenta hacer un volteo y termina chocando contra el agua.")</f>
        <v>El esquiador de agua intenta hacer un volteo y termina chocando contra el agua.</v>
      </c>
    </row>
    <row r="3409">
      <c r="A3409" s="4" t="s">
        <v>4288</v>
      </c>
      <c r="B3409" s="4" t="s">
        <v>4289</v>
      </c>
      <c r="C3409" s="5" t="str">
        <f>IFERROR(__xludf.DUMMYFUNCTION("GOOGLETRANSLATE(B3409,""en"",""es-ES"")"),"Una página azul con escritura blanca explica que el video trata sobre cómo envolver un regalo.")</f>
        <v>Una página azul con escritura blanca explica que el video trata sobre cómo envolver un regalo.</v>
      </c>
    </row>
    <row r="3410">
      <c r="A3410" s="4" t="s">
        <v>4288</v>
      </c>
      <c r="B3410" s="4" t="s">
        <v>4290</v>
      </c>
      <c r="C3410" s="5" t="str">
        <f>IFERROR(__xludf.DUMMYFUNCTION("GOOGLETRANSLATE(B3410,""en"",""es-ES"")"),"Se muestran tijeras y diferentes tipos de cinta, así como un rollo de papel de envoltura.")</f>
        <v>Se muestran tijeras y diferentes tipos de cinta, así como un rollo de papel de envoltura.</v>
      </c>
    </row>
    <row r="3411">
      <c r="A3411" s="4" t="s">
        <v>4288</v>
      </c>
      <c r="B3411" s="4" t="s">
        <v>4291</v>
      </c>
      <c r="C3411" s="5" t="str">
        <f>IFERROR(__xludf.DUMMYFUNCTION("GOOGLETRANSLATE(B3411,""en"",""es-ES"")"),"Una mujer está en el piso con una caja.")</f>
        <v>Una mujer está en el piso con una caja.</v>
      </c>
    </row>
    <row r="3412">
      <c r="A3412" s="4" t="s">
        <v>4288</v>
      </c>
      <c r="B3412" s="4" t="s">
        <v>4292</v>
      </c>
      <c r="C3412" s="5" t="str">
        <f>IFERROR(__xludf.DUMMYFUNCTION("GOOGLETRANSLATE(B3412,""en"",""es-ES"")"),"Ella demuestra cómo cortar y doblar el papel alrededor del presente.")</f>
        <v>Ella demuestra cómo cortar y doblar el papel alrededor del presente.</v>
      </c>
    </row>
    <row r="3413">
      <c r="A3413" s="4" t="s">
        <v>4288</v>
      </c>
      <c r="B3413" s="4" t="s">
        <v>4293</v>
      </c>
      <c r="C3413" s="5" t="str">
        <f>IFERROR(__xludf.DUMMYFUNCTION("GOOGLETRANSLATE(B3413,""en"",""es-ES"")"),"Ella corre el presente cerrado.")</f>
        <v>Ella corre el presente cerrado.</v>
      </c>
    </row>
    <row r="3414">
      <c r="A3414" s="4" t="s">
        <v>4288</v>
      </c>
      <c r="B3414" s="4" t="s">
        <v>4294</v>
      </c>
      <c r="C3414" s="5" t="str">
        <f>IFERROR(__xludf.DUMMYFUNCTION("GOOGLETRANSLATE(B3414,""en"",""es-ES"")"),"Luego coloca un arco translúcido en el regalo.")</f>
        <v>Luego coloca un arco translúcido en el regalo.</v>
      </c>
    </row>
    <row r="3415">
      <c r="A3415" s="4" t="s">
        <v>4295</v>
      </c>
      <c r="B3415" s="4" t="s">
        <v>4296</v>
      </c>
      <c r="C3415" s="5" t="str">
        <f>IFERROR(__xludf.DUMMYFUNCTION("GOOGLETRANSLATE(B3415,""en"",""es-ES"")"),"Los hombres están actuando tontos en un baño.")</f>
        <v>Los hombres están actuando tontos en un baño.</v>
      </c>
    </row>
    <row r="3416">
      <c r="A3416" s="4" t="s">
        <v>4295</v>
      </c>
      <c r="B3416" s="4" t="s">
        <v>4297</v>
      </c>
      <c r="C3416" s="5" t="str">
        <f>IFERROR(__xludf.DUMMYFUNCTION("GOOGLETRANSLATE(B3416,""en"",""es-ES"")"),"Un hombre muestra sus piernas a la cámara.")</f>
        <v>Un hombre muestra sus piernas a la cámara.</v>
      </c>
    </row>
    <row r="3417">
      <c r="A3417" s="4" t="s">
        <v>4295</v>
      </c>
      <c r="B3417" s="4" t="s">
        <v>4298</v>
      </c>
      <c r="C3417" s="5" t="str">
        <f>IFERROR(__xludf.DUMMYFUNCTION("GOOGLETRANSLATE(B3417,""en"",""es-ES"")"),"Dos hombres están bailando y afeitándose las piernas cerca del fregadero.")</f>
        <v>Dos hombres están bailando y afeitándose las piernas cerca del fregadero.</v>
      </c>
    </row>
    <row r="3418">
      <c r="A3418" s="4" t="s">
        <v>4295</v>
      </c>
      <c r="B3418" s="4" t="s">
        <v>4299</v>
      </c>
      <c r="C3418" s="5" t="str">
        <f>IFERROR(__xludf.DUMMYFUNCTION("GOOGLETRANSLATE(B3418,""en"",""es-ES"")"),"Otro hombre se une a los hombres cerca del fregadero para ayudar con el afeitado.")</f>
        <v>Otro hombre se une a los hombres cerca del fregadero para ayudar con el afeitado.</v>
      </c>
    </row>
    <row r="3419">
      <c r="A3419" s="4" t="s">
        <v>4300</v>
      </c>
      <c r="B3419" s="4" t="s">
        <v>4301</v>
      </c>
      <c r="C3419" s="5" t="str">
        <f>IFERROR(__xludf.DUMMYFUNCTION("GOOGLETRANSLATE(B3419,""en"",""es-ES"")"),"Un hombre camina hacia un campo frente a su perro.")</f>
        <v>Un hombre camina hacia un campo frente a su perro.</v>
      </c>
    </row>
    <row r="3420">
      <c r="A3420" s="4" t="s">
        <v>4300</v>
      </c>
      <c r="B3420" s="4" t="s">
        <v>4302</v>
      </c>
      <c r="C3420" s="5" t="str">
        <f>IFERROR(__xludf.DUMMYFUNCTION("GOOGLETRANSLATE(B3420,""en"",""es-ES"")"),"Lanza un frisbee, y el perro lo atrapa.")</f>
        <v>Lanza un frisbee, y el perro lo atrapa.</v>
      </c>
    </row>
    <row r="3421">
      <c r="A3421" s="4" t="s">
        <v>4300</v>
      </c>
      <c r="B3421" s="4" t="s">
        <v>4303</v>
      </c>
      <c r="C3421" s="5" t="str">
        <f>IFERROR(__xludf.DUMMYFUNCTION("GOOGLETRANSLATE(B3421,""en"",""es-ES"")"),"Hace varios trucos con los Frisbees y el perro.")</f>
        <v>Hace varios trucos con los Frisbees y el perro.</v>
      </c>
    </row>
    <row r="3422">
      <c r="A3422" s="4" t="s">
        <v>4304</v>
      </c>
      <c r="B3422" s="4" t="s">
        <v>4305</v>
      </c>
      <c r="C3422" s="5" t="str">
        <f>IFERROR(__xludf.DUMMYFUNCTION("GOOGLETRANSLATE(B3422,""en"",""es-ES"")"),"Se ve a una mujer balanceando un hacha en un tronco mientras otro hombre mira a un lado.")</f>
        <v>Se ve a una mujer balanceando un hacha en un tronco mientras otro hombre mira a un lado.</v>
      </c>
    </row>
    <row r="3423">
      <c r="A3423" s="4" t="s">
        <v>4304</v>
      </c>
      <c r="B3423" s="4" t="s">
        <v>4306</v>
      </c>
      <c r="C3423" s="5" t="str">
        <f>IFERROR(__xludf.DUMMYFUNCTION("GOOGLETRANSLATE(B3423,""en"",""es-ES"")"),"Otra mujer se quita el registro y la niña se prepara para balancearse.")</f>
        <v>Otra mujer se quita el registro y la niña se prepara para balancearse.</v>
      </c>
    </row>
    <row r="3424">
      <c r="A3424" s="4" t="s">
        <v>4304</v>
      </c>
      <c r="B3424" s="4" t="s">
        <v>4307</v>
      </c>
      <c r="C3424" s="5" t="str">
        <f>IFERROR(__xludf.DUMMYFUNCTION("GOOGLETRANSLATE(B3424,""en"",""es-ES"")"),"Ella vuelve a balancear el hacha y mira hacia atrás sonriendo a la cámara.")</f>
        <v>Ella vuelve a balancear el hacha y mira hacia atrás sonriendo a la cámara.</v>
      </c>
    </row>
    <row r="3425">
      <c r="A3425" s="4" t="s">
        <v>4308</v>
      </c>
      <c r="B3425" s="4" t="s">
        <v>4309</v>
      </c>
      <c r="C3425" s="5" t="str">
        <f>IFERROR(__xludf.DUMMYFUNCTION("GOOGLETRANSLATE(B3425,""en"",""es-ES"")"),"Una persona está de pie detrás de un mostrador colocando comida en una bandeja.")</f>
        <v>Una persona está de pie detrás de un mostrador colocando comida en una bandeja.</v>
      </c>
    </row>
    <row r="3426">
      <c r="A3426" s="4" t="s">
        <v>4308</v>
      </c>
      <c r="B3426" s="4" t="s">
        <v>4310</v>
      </c>
      <c r="C3426" s="5" t="str">
        <f>IFERROR(__xludf.DUMMYFUNCTION("GOOGLETRANSLATE(B3426,""en"",""es-ES"")"),"Pusieron la bandeja en un horno.")</f>
        <v>Pusieron la bandeja en un horno.</v>
      </c>
    </row>
    <row r="3427">
      <c r="A3427" s="4" t="s">
        <v>4308</v>
      </c>
      <c r="B3427" s="4" t="s">
        <v>4311</v>
      </c>
      <c r="C3427" s="5" t="str">
        <f>IFERROR(__xludf.DUMMYFUNCTION("GOOGLETRANSLATE(B3427,""en"",""es-ES"")"),"Sacan la bandeja del horno y levantan galletas sobre un plato.")</f>
        <v>Sacan la bandeja del horno y levantan galletas sobre un plato.</v>
      </c>
    </row>
    <row r="3428">
      <c r="A3428" s="4" t="s">
        <v>4308</v>
      </c>
      <c r="B3428" s="4" t="s">
        <v>4312</v>
      </c>
      <c r="C3428" s="5" t="str">
        <f>IFERROR(__xludf.DUMMYFUNCTION("GOOGLETRANSLATE(B3428,""en"",""es-ES"")"),"Lavan la estera en el fregadero.")</f>
        <v>Lavan la estera en el fregadero.</v>
      </c>
    </row>
    <row r="3429">
      <c r="A3429" s="4" t="s">
        <v>4313</v>
      </c>
      <c r="B3429" s="4" t="s">
        <v>4314</v>
      </c>
      <c r="C3429" s="5" t="str">
        <f>IFERROR(__xludf.DUMMYFUNCTION("GOOGLETRANSLATE(B3429,""en"",""es-ES"")"),"Vemos una mano de damas en una revista.")</f>
        <v>Vemos una mano de damas en una revista.</v>
      </c>
    </row>
    <row r="3430">
      <c r="A3430" s="4" t="s">
        <v>4313</v>
      </c>
      <c r="B3430" s="4" t="s">
        <v>4315</v>
      </c>
      <c r="C3430" s="5" t="str">
        <f>IFERROR(__xludf.DUMMYFUNCTION("GOOGLETRANSLATE(B3430,""en"",""es-ES"")"),"La dama corta las rebanadas de un artículo.")</f>
        <v>La dama corta las rebanadas de un artículo.</v>
      </c>
    </row>
    <row r="3431">
      <c r="A3431" s="4" t="s">
        <v>4313</v>
      </c>
      <c r="B3431" s="4" t="s">
        <v>4316</v>
      </c>
      <c r="C3431" s="5" t="str">
        <f>IFERROR(__xludf.DUMMYFUNCTION("GOOGLETRANSLATE(B3431,""en"",""es-ES"")"),"Ella pone el papel en el agua y se coloca sobre sus uñas blancas, despega el papel y las letras se adhieren.")</f>
        <v>Ella pone el papel en el agua y se coloca sobre sus uñas blancas, despega el papel y las letras se adhieren.</v>
      </c>
    </row>
    <row r="3432">
      <c r="A3432" s="4" t="s">
        <v>4313</v>
      </c>
      <c r="B3432" s="4" t="s">
        <v>4317</v>
      </c>
      <c r="C3432" s="5" t="str">
        <f>IFERROR(__xludf.DUMMYFUNCTION("GOOGLETRANSLATE(B3432,""en"",""es-ES"")"),"La señora pone un pulido transparente sobre las uñas.")</f>
        <v>La señora pone un pulido transparente sobre las uñas.</v>
      </c>
    </row>
    <row r="3433">
      <c r="A3433" s="4" t="s">
        <v>4313</v>
      </c>
      <c r="B3433" s="4" t="s">
        <v>4318</v>
      </c>
      <c r="C3433" s="5" t="str">
        <f>IFERROR(__xludf.DUMMYFUNCTION("GOOGLETRANSLATE(B3433,""en"",""es-ES"")"),"La dama se mete los diabeas en las uñas.")</f>
        <v>La dama se mete los diabeas en las uñas.</v>
      </c>
    </row>
    <row r="3434">
      <c r="A3434" s="4" t="s">
        <v>4313</v>
      </c>
      <c r="B3434" s="4" t="s">
        <v>4319</v>
      </c>
      <c r="C3434" s="5" t="str">
        <f>IFERROR(__xludf.DUMMYFUNCTION("GOOGLETRANSLATE(B3434,""en"",""es-ES"")"),"La señora pone un pulido transparente sobre las uñas decoradas.")</f>
        <v>La señora pone un pulido transparente sobre las uñas decoradas.</v>
      </c>
    </row>
    <row r="3435">
      <c r="A3435" s="4" t="s">
        <v>4313</v>
      </c>
      <c r="B3435" s="4" t="s">
        <v>4320</v>
      </c>
      <c r="C3435" s="5" t="str">
        <f>IFERROR(__xludf.DUMMYFUNCTION("GOOGLETRANSLATE(B3435,""en"",""es-ES"")"),"Vemos a la dama que gira las páginas en la revista.")</f>
        <v>Vemos a la dama que gira las páginas en la revista.</v>
      </c>
    </row>
    <row r="3436">
      <c r="A3436" s="4" t="s">
        <v>4313</v>
      </c>
      <c r="B3436" s="4" t="s">
        <v>4321</v>
      </c>
      <c r="C3436" s="5" t="str">
        <f>IFERROR(__xludf.DUMMYFUNCTION("GOOGLETRANSLATE(B3436,""en"",""es-ES"")"),"Vemos la pantalla final blanca.")</f>
        <v>Vemos la pantalla final blanca.</v>
      </c>
    </row>
    <row r="3437">
      <c r="A3437" s="4" t="s">
        <v>4322</v>
      </c>
      <c r="B3437" s="4" t="s">
        <v>4323</v>
      </c>
      <c r="C3437" s="5" t="str">
        <f>IFERROR(__xludf.DUMMYFUNCTION("GOOGLETRANSLATE(B3437,""en"",""es-ES"")"),"La gente se desliza por el hielo.")</f>
        <v>La gente se desliza por el hielo.</v>
      </c>
    </row>
    <row r="3438">
      <c r="A3438" s="4" t="s">
        <v>4322</v>
      </c>
      <c r="B3438" s="4" t="s">
        <v>4324</v>
      </c>
      <c r="C3438" s="5" t="str">
        <f>IFERROR(__xludf.DUMMYFUNCTION("GOOGLETRANSLATE(B3438,""en"",""es-ES"")"),"Están sosteniendo un palo rizado y una pelota.")</f>
        <v>Están sosteniendo un palo rizado y una pelota.</v>
      </c>
    </row>
    <row r="3439">
      <c r="A3439" s="4" t="s">
        <v>4322</v>
      </c>
      <c r="B3439" s="4" t="s">
        <v>4325</v>
      </c>
      <c r="C3439" s="5" t="str">
        <f>IFERROR(__xludf.DUMMYFUNCTION("GOOGLETRANSLATE(B3439,""en"",""es-ES"")"),"Dos hombres con camisas blancas corren al lado de la persona deslizándose.")</f>
        <v>Dos hombres con camisas blancas corren al lado de la persona deslizándose.</v>
      </c>
    </row>
    <row r="3440">
      <c r="A3440" s="4" t="s">
        <v>4326</v>
      </c>
      <c r="B3440" s="4" t="s">
        <v>4327</v>
      </c>
      <c r="C3440" s="5" t="str">
        <f>IFERROR(__xludf.DUMMYFUNCTION("GOOGLETRANSLATE(B3440,""en"",""es-ES"")"),"Se ve a un hombre hablando con la cámara seguido de él colocando varios ingredientes y hirviéndolos en un poco de agua.")</f>
        <v>Se ve a un hombre hablando con la cámara seguido de él colocando varios ingredientes y hirviéndolos en un poco de agua.</v>
      </c>
    </row>
    <row r="3441">
      <c r="A3441" s="4" t="s">
        <v>4326</v>
      </c>
      <c r="B3441" s="4" t="s">
        <v>4328</v>
      </c>
      <c r="C3441" s="5" t="str">
        <f>IFERROR(__xludf.DUMMYFUNCTION("GOOGLETRANSLATE(B3441,""en"",""es-ES"")"),"Luego vierte más alimentos bajo el agua y se encuentra en una olla llena de agua.")</f>
        <v>Luego vierte más alimentos bajo el agua y se encuentra en una olla llena de agua.</v>
      </c>
    </row>
    <row r="3442">
      <c r="A3442" s="4" t="s">
        <v>4329</v>
      </c>
      <c r="B3442" s="4" t="s">
        <v>4330</v>
      </c>
      <c r="C3442" s="5" t="str">
        <f>IFERROR(__xludf.DUMMYFUNCTION("GOOGLETRANSLATE(B3442,""en"",""es-ES"")"),"Se ve a un gran grupo de personas de pie en una colchoneta y realizando una rutina entre sí.")</f>
        <v>Se ve a un gran grupo de personas de pie en una colchoneta y realizando una rutina entre sí.</v>
      </c>
    </row>
    <row r="3443">
      <c r="A3443" s="4" t="s">
        <v>4329</v>
      </c>
      <c r="B3443" s="4" t="s">
        <v>4331</v>
      </c>
      <c r="C3443" s="5" t="str">
        <f>IFERROR(__xludf.DUMMYFUNCTION("GOOGLETRANSLATE(B3443,""en"",""es-ES"")"),"La gente hace varios volteos y trucos alrededor de la colchoneta y termina con una pose y saludando a la audiencia.")</f>
        <v>La gente hace varios volteos y trucos alrededor de la colchoneta y termina con una pose y saludando a la audiencia.</v>
      </c>
    </row>
    <row r="3444">
      <c r="A3444" s="4" t="s">
        <v>4332</v>
      </c>
      <c r="B3444" s="4" t="s">
        <v>4333</v>
      </c>
      <c r="C3444" s="5" t="str">
        <f>IFERROR(__xludf.DUMMYFUNCTION("GOOGLETRANSLATE(B3444,""en"",""es-ES"")"),"Se muestra un primer plano de un soplador de hojas seguido por la cámara mirando alrededor del área.")</f>
        <v>Se muestra un primer plano de un soplador de hojas seguido por la cámara mirando alrededor del área.</v>
      </c>
    </row>
    <row r="3445">
      <c r="A3445" s="4" t="s">
        <v>4332</v>
      </c>
      <c r="B3445" s="4" t="s">
        <v>4334</v>
      </c>
      <c r="C3445" s="5" t="str">
        <f>IFERROR(__xludf.DUMMYFUNCTION("GOOGLETRANSLATE(B3445,""en"",""es-ES"")"),"Luego se ve una mano iniciando la máquina y empujando la máquina alrededor del patio.")</f>
        <v>Luego se ve una mano iniciando la máquina y empujando la máquina alrededor del patio.</v>
      </c>
    </row>
    <row r="3446">
      <c r="A3446" s="4" t="s">
        <v>4332</v>
      </c>
      <c r="B3446" s="4" t="s">
        <v>4335</v>
      </c>
      <c r="C3446" s="5" t="str">
        <f>IFERROR(__xludf.DUMMYFUNCTION("GOOGLETRANSLATE(B3446,""en"",""es-ES"")"),"El hombre apaga la máquina y mira alrededor de la parte delantera mientras apunta a la parte superior de la máquina.")</f>
        <v>El hombre apaga la máquina y mira alrededor de la parte delantera mientras apunta a la parte superior de la máquina.</v>
      </c>
    </row>
    <row r="3447">
      <c r="A3447" s="4" t="s">
        <v>4332</v>
      </c>
      <c r="B3447" s="4" t="s">
        <v>4336</v>
      </c>
      <c r="C3447" s="5" t="str">
        <f>IFERROR(__xludf.DUMMYFUNCTION("GOOGLETRANSLATE(B3447,""en"",""es-ES"")"),"La cámara se mueve alrededor de la máquina y se muestra al hombre dando un pulgar hacia arriba.")</f>
        <v>La cámara se mueve alrededor de la máquina y se muestra al hombre dando un pulgar hacia arriba.</v>
      </c>
    </row>
    <row r="3448">
      <c r="A3448" s="4" t="s">
        <v>4337</v>
      </c>
      <c r="B3448" s="4" t="s">
        <v>4338</v>
      </c>
      <c r="C3448" s="5" t="str">
        <f>IFERROR(__xludf.DUMMYFUNCTION("GOOGLETRANSLATE(B3448,""en"",""es-ES"")"),"Una dama se sienta en un sofá y discute.")</f>
        <v>Una dama se sienta en un sofá y discute.</v>
      </c>
    </row>
    <row r="3449">
      <c r="A3449" s="4" t="s">
        <v>4337</v>
      </c>
      <c r="B3449" s="4" t="s">
        <v>4339</v>
      </c>
      <c r="C3449" s="5" t="str">
        <f>IFERROR(__xludf.DUMMYFUNCTION("GOOGLETRANSLATE(B3449,""en"",""es-ES"")"),"La dama navega un bote.")</f>
        <v>La dama navega un bote.</v>
      </c>
    </row>
    <row r="3450">
      <c r="A3450" s="4" t="s">
        <v>4337</v>
      </c>
      <c r="B3450" s="4" t="s">
        <v>4340</v>
      </c>
      <c r="C3450" s="5" t="str">
        <f>IFERROR(__xludf.DUMMYFUNCTION("GOOGLETRANSLATE(B3450,""en"",""es-ES"")"),"La señora va al internado de agua.")</f>
        <v>La señora va al internado de agua.</v>
      </c>
    </row>
    <row r="3451">
      <c r="A3451" s="4" t="s">
        <v>4341</v>
      </c>
      <c r="B3451" s="4" t="s">
        <v>4342</v>
      </c>
      <c r="C3451" s="5" t="str">
        <f>IFERROR(__xludf.DUMMYFUNCTION("GOOGLETRANSLATE(B3451,""en"",""es-ES"")"),"La gente monta caballos en una carretera sin pavimentar para el bosque y en el frente del océano.")</f>
        <v>La gente monta caballos en una carretera sin pavimentar para el bosque y en el frente del océano.</v>
      </c>
    </row>
    <row r="3452">
      <c r="A3452" s="4" t="s">
        <v>4341</v>
      </c>
      <c r="B3452" s="4" t="s">
        <v>4343</v>
      </c>
      <c r="C3452" s="5" t="str">
        <f>IFERROR(__xludf.DUMMYFUNCTION("GOOGLETRANSLATE(B3452,""en"",""es-ES"")"),"La gente llega a un lugar y se baja del caballo y luego continúa pasando el bosque, el río, el océano y los hermosos paisajes.")</f>
        <v>La gente llega a un lugar y se baja del caballo y luego continúa pasando el bosque, el río, el océano y los hermosos paisajes.</v>
      </c>
    </row>
    <row r="3453">
      <c r="A3453" s="4" t="s">
        <v>4341</v>
      </c>
      <c r="B3453" s="4" t="s">
        <v>4344</v>
      </c>
      <c r="C3453" s="5" t="str">
        <f>IFERROR(__xludf.DUMMYFUNCTION("GOOGLETRANSLATE(B3453,""en"",""es-ES"")"),"Luego, la gente llega a un lugar para acampar, luego corren al frente del océano.")</f>
        <v>Luego, la gente llega a un lugar para acampar, luego corren al frente del océano.</v>
      </c>
    </row>
    <row r="3454">
      <c r="A3454" s="4" t="s">
        <v>4345</v>
      </c>
      <c r="B3454" s="4" t="s">
        <v>4346</v>
      </c>
      <c r="C3454" s="5" t="str">
        <f>IFERROR(__xludf.DUMMYFUNCTION("GOOGLETRANSLATE(B3454,""en"",""es-ES"")"),"Algunos niños están en las piscinas jugando con voleibolas.")</f>
        <v>Algunos niños están en las piscinas jugando con voleibolas.</v>
      </c>
    </row>
    <row r="3455">
      <c r="A3455" s="4" t="s">
        <v>4345</v>
      </c>
      <c r="B3455" s="4" t="s">
        <v>4347</v>
      </c>
      <c r="C3455" s="5" t="str">
        <f>IFERROR(__xludf.DUMMYFUNCTION("GOOGLETRANSLATE(B3455,""en"",""es-ES"")"),"Hay un gran equipo de natación nadando y arrojando la pelota a sus compañeros de equipo, anotando.")</f>
        <v>Hay un gran equipo de natación nadando y arrojando la pelota a sus compañeros de equipo, anotando.</v>
      </c>
    </row>
    <row r="3456">
      <c r="A3456" s="4" t="s">
        <v>4345</v>
      </c>
      <c r="B3456" s="4" t="s">
        <v>4348</v>
      </c>
      <c r="C3456" s="5" t="str">
        <f>IFERROR(__xludf.DUMMYFUNCTION("GOOGLETRANSLATE(B3456,""en"",""es-ES"")"),"Luego, hay un equipo en el fútbol de la bandera de juego archivado.")</f>
        <v>Luego, hay un equipo en el fútbol de la bandera de juego archivado.</v>
      </c>
    </row>
    <row r="3457">
      <c r="A3457" s="4" t="s">
        <v>4345</v>
      </c>
      <c r="B3457" s="4" t="s">
        <v>4349</v>
      </c>
      <c r="C3457" s="5" t="str">
        <f>IFERROR(__xludf.DUMMYFUNCTION("GOOGLETRANSLATE(B3457,""en"",""es-ES"")"),"Están corriendo tratando de anotar para su equipo.")</f>
        <v>Están corriendo tratando de anotar para su equipo.</v>
      </c>
    </row>
    <row r="3458">
      <c r="A3458" s="4" t="s">
        <v>4350</v>
      </c>
      <c r="B3458" s="4" t="s">
        <v>4351</v>
      </c>
      <c r="C3458" s="5" t="str">
        <f>IFERROR(__xludf.DUMMYFUNCTION("GOOGLETRANSLATE(B3458,""en"",""es-ES"")"),"Se muestra un fregadero de plata y una manguera negra con un depurador en el fondo comienza a limpiar el fregadero con vapor saliendo de ella.")</f>
        <v>Se muestra un fregadero de plata y una manguera negra con un depurador en el fondo comienza a limpiar el fregadero con vapor saliendo de ella.</v>
      </c>
    </row>
    <row r="3459">
      <c r="A3459" s="4" t="s">
        <v>4350</v>
      </c>
      <c r="B3459" s="4" t="s">
        <v>4352</v>
      </c>
      <c r="C3459" s="5" t="str">
        <f>IFERROR(__xludf.DUMMYFUNCTION("GOOGLETRANSLATE(B3459,""en"",""es-ES"")"),"Una vez completado, la persona toma un trapo blanco y entra en el fregadero y lava la humedad del vapor.")</f>
        <v>Una vez completado, la persona toma un trapo blanco y entra en el fregadero y lava la humedad del vapor.</v>
      </c>
    </row>
    <row r="3460">
      <c r="A3460" s="4" t="s">
        <v>4353</v>
      </c>
      <c r="B3460" s="4" t="s">
        <v>4354</v>
      </c>
      <c r="C3460" s="5" t="str">
        <f>IFERROR(__xludf.DUMMYFUNCTION("GOOGLETRANSLATE(B3460,""en"",""es-ES"")"),"Un hombre viaja a Japón para estudiar cómo ser un luchador de sumo.")</f>
        <v>Un hombre viaja a Japón para estudiar cómo ser un luchador de sumo.</v>
      </c>
    </row>
    <row r="3461">
      <c r="A3461" s="4" t="s">
        <v>4353</v>
      </c>
      <c r="B3461" s="4" t="s">
        <v>4355</v>
      </c>
      <c r="C3461" s="5" t="str">
        <f>IFERROR(__xludf.DUMMYFUNCTION("GOOGLETRANSLATE(B3461,""en"",""es-ES"")"),"El hombre recibe entrenamiento y aprende las técnicas de sumo.")</f>
        <v>El hombre recibe entrenamiento y aprende las técnicas de sumo.</v>
      </c>
    </row>
    <row r="3462">
      <c r="A3462" s="4" t="s">
        <v>4356</v>
      </c>
      <c r="B3462" s="4" t="s">
        <v>4357</v>
      </c>
      <c r="C3462" s="5" t="str">
        <f>IFERROR(__xludf.DUMMYFUNCTION("GOOGLETRANSLATE(B3462,""en"",""es-ES"")"),"Hay varios atletas que hacen lanzamiento de disco en un anillo al aire libre.")</f>
        <v>Hay varios atletas que hacen lanzamiento de disco en un anillo al aire libre.</v>
      </c>
    </row>
    <row r="3463">
      <c r="A3463" s="4" t="s">
        <v>4356</v>
      </c>
      <c r="B3463" s="4" t="s">
        <v>4358</v>
      </c>
      <c r="C3463" s="5" t="str">
        <f>IFERROR(__xludf.DUMMYFUNCTION("GOOGLETRANSLATE(B3463,""en"",""es-ES"")"),"El primer atleta que está vestido con una camisa roja y blanca comienza el lanzamiento de disco con un disco de un kilogramos y medio.")</f>
        <v>El primer atleta que está vestido con una camisa roja y blanca comienza el lanzamiento de disco con un disco de un kilogramos y medio.</v>
      </c>
    </row>
    <row r="3464">
      <c r="A3464" s="4" t="s">
        <v>4356</v>
      </c>
      <c r="B3464" s="4" t="s">
        <v>4359</v>
      </c>
      <c r="C3464" s="5" t="str">
        <f>IFERROR(__xludf.DUMMYFUNCTION("GOOGLETRANSLATE(B3464,""en"",""es-ES"")"),"Él gira y gira en el lugar y lanza el disco.")</f>
        <v>Él gira y gira en el lugar y lanza el disco.</v>
      </c>
    </row>
    <row r="3465">
      <c r="A3465" s="4" t="s">
        <v>4356</v>
      </c>
      <c r="B3465" s="4" t="s">
        <v>4360</v>
      </c>
      <c r="C3465" s="5" t="str">
        <f>IFERROR(__xludf.DUMMYFUNCTION("GOOGLETRANSLATE(B3465,""en"",""es-ES"")"),"Luego, otro atleta tira el disco pero no tiene éxito.")</f>
        <v>Luego, otro atleta tira el disco pero no tiene éxito.</v>
      </c>
    </row>
    <row r="3466">
      <c r="A3466" s="4" t="s">
        <v>4356</v>
      </c>
      <c r="B3466" s="4" t="s">
        <v>4361</v>
      </c>
      <c r="C3466" s="5" t="str">
        <f>IFERROR(__xludf.DUMMYFUNCTION("GOOGLETRANSLATE(B3466,""en"",""es-ES"")"),"El atleta de azul hace su intento de lanzar el disco mientras se balancea y gira para lanzar el disco.")</f>
        <v>El atleta de azul hace su intento de lanzar el disco mientras se balancea y gira para lanzar el disco.</v>
      </c>
    </row>
    <row r="3467">
      <c r="A3467" s="4" t="s">
        <v>4356</v>
      </c>
      <c r="B3467" s="4" t="s">
        <v>4362</v>
      </c>
      <c r="C3467" s="5" t="str">
        <f>IFERROR(__xludf.DUMMYFUNCTION("GOOGLETRANSLATE(B3467,""en"",""es-ES"")"),"Luego, otro atleta que ha ganado el tercer lugar lanza el disco con éxito.")</f>
        <v>Luego, otro atleta que ha ganado el tercer lugar lanza el disco con éxito.</v>
      </c>
    </row>
    <row r="3468">
      <c r="A3468" s="4" t="s">
        <v>4356</v>
      </c>
      <c r="B3468" s="4" t="s">
        <v>4363</v>
      </c>
      <c r="C3468" s="5" t="str">
        <f>IFERROR(__xludf.DUMMYFUNCTION("GOOGLETRANSLATE(B3468,""en"",""es-ES"")"),"Algunos atletas más vienen al ring y tiran el disco.")</f>
        <v>Algunos atletas más vienen al ring y tiran el disco.</v>
      </c>
    </row>
    <row r="3469">
      <c r="A3469" s="4" t="s">
        <v>4356</v>
      </c>
      <c r="B3469" s="4" t="s">
        <v>4364</v>
      </c>
      <c r="C3469" s="5" t="str">
        <f>IFERROR(__xludf.DUMMYFUNCTION("GOOGLETRANSLATE(B3469,""en"",""es-ES"")"),"Las gradas del estadio no están llenas de espectadores suficientes debido a razones de seguridad.")</f>
        <v>Las gradas del estadio no están llenas de espectadores suficientes debido a razones de seguridad.</v>
      </c>
    </row>
    <row r="3470">
      <c r="A3470" s="4" t="s">
        <v>4365</v>
      </c>
      <c r="B3470" s="4" t="s">
        <v>4366</v>
      </c>
      <c r="C3470" s="5" t="str">
        <f>IFERROR(__xludf.DUMMYFUNCTION("GOOGLETRANSLATE(B3470,""en"",""es-ES"")"),"Se muestran los créditos del clip.")</f>
        <v>Se muestran los créditos del clip.</v>
      </c>
    </row>
    <row r="3471">
      <c r="A3471" s="4" t="s">
        <v>4365</v>
      </c>
      <c r="B3471" s="4" t="s">
        <v>4367</v>
      </c>
      <c r="C3471" s="5" t="str">
        <f>IFERROR(__xludf.DUMMYFUNCTION("GOOGLETRANSLATE(B3471,""en"",""es-ES"")"),"Una persona se rompe las manos.")</f>
        <v>Una persona se rompe las manos.</v>
      </c>
    </row>
    <row r="3472">
      <c r="A3472" s="4" t="s">
        <v>4365</v>
      </c>
      <c r="B3472" s="4" t="s">
        <v>4368</v>
      </c>
      <c r="C3472" s="5" t="str">
        <f>IFERROR(__xludf.DUMMYFUNCTION("GOOGLETRANSLATE(B3472,""en"",""es-ES"")"),"Los pájaros acuden al cielo sobre la pista de tierra.")</f>
        <v>Los pájaros acuden al cielo sobre la pista de tierra.</v>
      </c>
    </row>
    <row r="3473">
      <c r="A3473" s="4" t="s">
        <v>4365</v>
      </c>
      <c r="B3473" s="4" t="s">
        <v>4369</v>
      </c>
      <c r="C3473" s="5" t="str">
        <f>IFERROR(__xludf.DUMMYFUNCTION("GOOGLETRANSLATE(B3473,""en"",""es-ES"")"),"La sombra de una persona se mueve sobre la superficie de un remolque blanco.")</f>
        <v>La sombra de una persona se mueve sobre la superficie de un remolque blanco.</v>
      </c>
    </row>
    <row r="3474">
      <c r="A3474" s="4" t="s">
        <v>4365</v>
      </c>
      <c r="B3474" s="4" t="s">
        <v>4370</v>
      </c>
      <c r="C3474" s="5" t="str">
        <f>IFERROR(__xludf.DUMMYFUNCTION("GOOGLETRANSLATE(B3474,""en"",""es-ES"")"),"Una persona monta una bicicleta de tierra.")</f>
        <v>Una persona monta una bicicleta de tierra.</v>
      </c>
    </row>
    <row r="3475">
      <c r="A3475" s="4" t="s">
        <v>4365</v>
      </c>
      <c r="B3475" s="4" t="s">
        <v>4371</v>
      </c>
      <c r="C3475" s="5" t="str">
        <f>IFERROR(__xludf.DUMMYFUNCTION("GOOGLETRANSLATE(B3475,""en"",""es-ES"")"),"Una persona pala de tierra.")</f>
        <v>Una persona pala de tierra.</v>
      </c>
    </row>
    <row r="3476">
      <c r="A3476" s="4" t="s">
        <v>4365</v>
      </c>
      <c r="B3476" s="4" t="s">
        <v>4372</v>
      </c>
      <c r="C3476" s="5" t="str">
        <f>IFERROR(__xludf.DUMMYFUNCTION("GOOGLETRANSLATE(B3476,""en"",""es-ES"")"),"Una persona está con letrero al final de la pista de carreras de tierra.")</f>
        <v>Una persona está con letrero al final de la pista de carreras de tierra.</v>
      </c>
    </row>
    <row r="3477">
      <c r="A3477" s="4" t="s">
        <v>4365</v>
      </c>
      <c r="B3477" s="4" t="s">
        <v>4373</v>
      </c>
      <c r="C3477" s="5" t="str">
        <f>IFERROR(__xludf.DUMMYFUNCTION("GOOGLETRANSLATE(B3477,""en"",""es-ES"")"),"Una persona levanta una bicicleta de tierra y coloca en un taburete.")</f>
        <v>Una persona levanta una bicicleta de tierra y coloca en un taburete.</v>
      </c>
    </row>
    <row r="3478">
      <c r="A3478" s="4" t="s">
        <v>4365</v>
      </c>
      <c r="B3478" s="4" t="s">
        <v>4374</v>
      </c>
      <c r="C3478" s="5" t="str">
        <f>IFERROR(__xludf.DUMMYFUNCTION("GOOGLETRANSLATE(B3478,""en"",""es-ES"")"),"Un niño masculino corre y sonríe.")</f>
        <v>Un niño masculino corre y sonríe.</v>
      </c>
    </row>
    <row r="3479">
      <c r="A3479" s="4" t="s">
        <v>4365</v>
      </c>
      <c r="B3479" s="4" t="s">
        <v>4375</v>
      </c>
      <c r="C3479" s="5" t="str">
        <f>IFERROR(__xludf.DUMMYFUNCTION("GOOGLETRANSLATE(B3479,""en"",""es-ES"")"),"Un helicóptero se cierne sobre la pista de carreras.")</f>
        <v>Un helicóptero se cierne sobre la pista de carreras.</v>
      </c>
    </row>
    <row r="3480">
      <c r="A3480" s="4" t="s">
        <v>4365</v>
      </c>
      <c r="B3480" s="4" t="s">
        <v>4376</v>
      </c>
      <c r="C3480" s="5" t="str">
        <f>IFERROR(__xludf.DUMMYFUNCTION("GOOGLETRANSLATE(B3480,""en"",""es-ES"")"),"Una dama se pone el casco de un jinete.")</f>
        <v>Una dama se pone el casco de un jinete.</v>
      </c>
    </row>
    <row r="3481">
      <c r="A3481" s="4" t="s">
        <v>4365</v>
      </c>
      <c r="B3481" s="4" t="s">
        <v>573</v>
      </c>
      <c r="C3481" s="5" t="str">
        <f>IFERROR(__xludf.DUMMYFUNCTION("GOOGLETRANSLATE(B3481,""en"",""es-ES"")"),"Se muestran los créditos del video.")</f>
        <v>Se muestran los créditos del video.</v>
      </c>
    </row>
    <row r="3482">
      <c r="A3482" s="4" t="s">
        <v>4377</v>
      </c>
      <c r="B3482" s="4" t="s">
        <v>4378</v>
      </c>
      <c r="C3482" s="5" t="str">
        <f>IFERROR(__xludf.DUMMYFUNCTION("GOOGLETRANSLATE(B3482,""en"",""es-ES"")"),"Se muestra a un hombre mirando a lo lejos mientras otro sostiene una pelota en una mesa de cerveza pong.")</f>
        <v>Se muestra a un hombre mirando a lo lejos mientras otro sostiene una pelota en una mesa de cerveza pong.</v>
      </c>
    </row>
    <row r="3483">
      <c r="A3483" s="4" t="s">
        <v>4377</v>
      </c>
      <c r="B3483" s="4" t="s">
        <v>4379</v>
      </c>
      <c r="C3483" s="5" t="str">
        <f>IFERROR(__xludf.DUMMYFUNCTION("GOOGLETRANSLATE(B3483,""en"",""es-ES"")"),"La cámara muestra la bola golpeando la mesa y aterrizando en la taza del otro lado.")</f>
        <v>La cámara muestra la bola golpeando la mesa y aterrizando en la taza del otro lado.</v>
      </c>
    </row>
    <row r="3484">
      <c r="A3484" s="4" t="s">
        <v>4377</v>
      </c>
      <c r="B3484" s="4" t="s">
        <v>4380</v>
      </c>
      <c r="C3484" s="5" t="str">
        <f>IFERROR(__xludf.DUMMYFUNCTION("GOOGLETRANSLATE(B3484,""en"",""es-ES"")"),"El primer hombre mira la copa y hace una mueca de lo que ve.")</f>
        <v>El primer hombre mira la copa y hace una mueca de lo que ve.</v>
      </c>
    </row>
    <row r="3485">
      <c r="A3485" s="4" t="s">
        <v>4381</v>
      </c>
      <c r="B3485" s="4" t="s">
        <v>4382</v>
      </c>
      <c r="C3485" s="5" t="str">
        <f>IFERROR(__xludf.DUMMYFUNCTION("GOOGLETRANSLATE(B3485,""en"",""es-ES"")"),"Hay un hombre con un traje atlético negro en un lanzamiento de peso que practica un lanzamiento de peso.")</f>
        <v>Hay un hombre con un traje atlético negro en un lanzamiento de peso que practica un lanzamiento de peso.</v>
      </c>
    </row>
    <row r="3486">
      <c r="A3486" s="4" t="s">
        <v>4381</v>
      </c>
      <c r="B3486" s="4" t="s">
        <v>4383</v>
      </c>
      <c r="C3486" s="5" t="str">
        <f>IFERROR(__xludf.DUMMYFUNCTION("GOOGLETRANSLATE(B3486,""en"",""es-ES"")"),"Comienza tomando la pelota en su mano y sosteniéndola contra su cuello.")</f>
        <v>Comienza tomando la pelota en su mano y sosteniéndola contra su cuello.</v>
      </c>
    </row>
    <row r="3487">
      <c r="A3487" s="4" t="s">
        <v>4381</v>
      </c>
      <c r="B3487" s="4" t="s">
        <v>4384</v>
      </c>
      <c r="C3487" s="5" t="str">
        <f>IFERROR(__xludf.DUMMYFUNCTION("GOOGLETRANSLATE(B3487,""en"",""es-ES"")"),"Luego gira y lanza la pelota muy adelante.")</f>
        <v>Luego gira y lanza la pelota muy adelante.</v>
      </c>
    </row>
    <row r="3488">
      <c r="A3488" s="4" t="s">
        <v>4385</v>
      </c>
      <c r="B3488" s="4" t="s">
        <v>4386</v>
      </c>
      <c r="C3488" s="5" t="str">
        <f>IFERROR(__xludf.DUMMYFUNCTION("GOOGLETRANSLATE(B3488,""en"",""es-ES"")"),"Vemos a un hombre cortando un césped.")</f>
        <v>Vemos a un hombre cortando un césped.</v>
      </c>
    </row>
    <row r="3489">
      <c r="A3489" s="4" t="s">
        <v>4385</v>
      </c>
      <c r="B3489" s="4" t="s">
        <v>4387</v>
      </c>
      <c r="C3489" s="5" t="str">
        <f>IFERROR(__xludf.DUMMYFUNCTION("GOOGLETRANSLATE(B3489,""en"",""es-ES"")"),"Se para en las escaleras para cortar.")</f>
        <v>Se para en las escaleras para cortar.</v>
      </c>
    </row>
    <row r="3490">
      <c r="A3490" s="4" t="s">
        <v>4385</v>
      </c>
      <c r="B3490" s="4" t="s">
        <v>4388</v>
      </c>
      <c r="C3490" s="5" t="str">
        <f>IFERROR(__xludf.DUMMYFUNCTION("GOOGLETRANSLATE(B3490,""en"",""es-ES"")"),"Cambia a una mujer cortando.")</f>
        <v>Cambia a una mujer cortando.</v>
      </c>
    </row>
    <row r="3491">
      <c r="A3491" s="4" t="s">
        <v>4385</v>
      </c>
      <c r="B3491" s="4" t="s">
        <v>4389</v>
      </c>
      <c r="C3491" s="5" t="str">
        <f>IFERROR(__xludf.DUMMYFUNCTION("GOOGLETRANSLATE(B3491,""en"",""es-ES"")"),"Se remonta al hombre que corta.")</f>
        <v>Se remonta al hombre que corta.</v>
      </c>
    </row>
    <row r="3492">
      <c r="A3492" s="4" t="s">
        <v>4385</v>
      </c>
      <c r="B3492" s="4" t="s">
        <v>4390</v>
      </c>
      <c r="C3492" s="5" t="str">
        <f>IFERROR(__xludf.DUMMYFUNCTION("GOOGLETRANSLATE(B3492,""en"",""es-ES"")"),"El hombre pone el cortacésped en el cobertizo y entra en la casa.")</f>
        <v>El hombre pone el cortacésped en el cobertizo y entra en la casa.</v>
      </c>
    </row>
    <row r="3493">
      <c r="A3493" s="4" t="s">
        <v>4391</v>
      </c>
      <c r="B3493" s="4" t="s">
        <v>4392</v>
      </c>
      <c r="C3493" s="5" t="str">
        <f>IFERROR(__xludf.DUMMYFUNCTION("GOOGLETRANSLATE(B3493,""en"",""es-ES"")"),"Una introducción entra en la pantalla para un video sobre la eliminación de mantillo.")</f>
        <v>Una introducción entra en la pantalla para un video sobre la eliminación de mantillo.</v>
      </c>
    </row>
    <row r="3494">
      <c r="A3494" s="4" t="s">
        <v>4391</v>
      </c>
      <c r="B3494" s="4" t="s">
        <v>4393</v>
      </c>
      <c r="C3494" s="5" t="str">
        <f>IFERROR(__xludf.DUMMYFUNCTION("GOOGLETRANSLATE(B3494,""en"",""es-ES"")"),"Un hombre cava su talón en la base de un árbol para alejar al mantillo.")</f>
        <v>Un hombre cava su talón en la base de un árbol para alejar al mantillo.</v>
      </c>
    </row>
    <row r="3495">
      <c r="A3495" s="4" t="s">
        <v>4391</v>
      </c>
      <c r="B3495" s="4" t="s">
        <v>4394</v>
      </c>
      <c r="C3495" s="5" t="str">
        <f>IFERROR(__xludf.DUMMYFUNCTION("GOOGLETRANSLATE(B3495,""en"",""es-ES"")"),"Se pone de rodillas y comienza a quitar el mantillo a mano empujándolo más lejos de la base del árbol.")</f>
        <v>Se pone de rodillas y comienza a quitar el mantillo a mano empujándolo más lejos de la base del árbol.</v>
      </c>
    </row>
    <row r="3496">
      <c r="A3496" s="4" t="s">
        <v>4391</v>
      </c>
      <c r="B3496" s="4" t="s">
        <v>4395</v>
      </c>
      <c r="C3496" s="5" t="str">
        <f>IFERROR(__xludf.DUMMYFUNCTION("GOOGLETRANSLATE(B3496,""en"",""es-ES"")"),"Sacan algunas cortadoras y clips algunas de las raíces.")</f>
        <v>Sacan algunas cortadoras y clips algunas de las raíces.</v>
      </c>
    </row>
    <row r="3497">
      <c r="A3497" s="4" t="s">
        <v>4391</v>
      </c>
      <c r="B3497" s="4" t="s">
        <v>4396</v>
      </c>
      <c r="C3497" s="5" t="str">
        <f>IFERROR(__xludf.DUMMYFUNCTION("GOOGLETRANSLATE(B3497,""en"",""es-ES"")"),"Por último, el video termina con los subtítulos de cierre.")</f>
        <v>Por último, el video termina con los subtítulos de cierre.</v>
      </c>
    </row>
    <row r="3498">
      <c r="A3498" s="4" t="s">
        <v>4397</v>
      </c>
      <c r="B3498" s="4" t="s">
        <v>4398</v>
      </c>
      <c r="C3498" s="5" t="str">
        <f>IFERROR(__xludf.DUMMYFUNCTION("GOOGLETRANSLATE(B3498,""en"",""es-ES"")"),"Una mujer está tejiendo lo que parece ser una bufanda mientras está sentada frente a un teclado de la computadora.")</f>
        <v>Una mujer está tejiendo lo que parece ser una bufanda mientras está sentada frente a un teclado de la computadora.</v>
      </c>
    </row>
    <row r="3499">
      <c r="A3499" s="4" t="s">
        <v>4397</v>
      </c>
      <c r="B3499" s="4" t="s">
        <v>4399</v>
      </c>
      <c r="C3499" s="5" t="str">
        <f>IFERROR(__xludf.DUMMYFUNCTION("GOOGLETRANSLATE(B3499,""en"",""es-ES"")"),"Ella está usando las agujas para hacer la bufanda.")</f>
        <v>Ella está usando las agujas para hacer la bufanda.</v>
      </c>
    </row>
    <row r="3500">
      <c r="A3500" s="4" t="s">
        <v>4397</v>
      </c>
      <c r="B3500" s="4" t="s">
        <v>4400</v>
      </c>
      <c r="C3500" s="5" t="str">
        <f>IFERROR(__xludf.DUMMYFUNCTION("GOOGLETRANSLATE(B3500,""en"",""es-ES"")"),"Ella tira del hilo con el bucle varias veces.")</f>
        <v>Ella tira del hilo con el bucle varias veces.</v>
      </c>
    </row>
    <row r="3501">
      <c r="A3501" s="4" t="s">
        <v>4401</v>
      </c>
      <c r="B3501" s="4" t="s">
        <v>4402</v>
      </c>
      <c r="C3501" s="5" t="str">
        <f>IFERROR(__xludf.DUMMYFUNCTION("GOOGLETRANSLATE(B3501,""en"",""es-ES"")"),"Se ve a la mano de una persona lanzando varios dardos sobre un tablero al otro lado de la habitación.")</f>
        <v>Se ve a la mano de una persona lanzando varios dardos sobre un tablero al otro lado de la habitación.</v>
      </c>
    </row>
    <row r="3502">
      <c r="A3502" s="4" t="s">
        <v>4401</v>
      </c>
      <c r="B3502" s="4" t="s">
        <v>4403</v>
      </c>
      <c r="C3502" s="5" t="str">
        <f>IFERROR(__xludf.DUMMYFUNCTION("GOOGLETRANSLATE(B3502,""en"",""es-ES"")"),"Luego, la cámara se acerca al tablero y se acerca a la ubicación de donde se lanzan los dardos.")</f>
        <v>Luego, la cámara se acerca al tablero y se acerca a la ubicación de donde se lanzan los dardos.</v>
      </c>
    </row>
    <row r="3503">
      <c r="A3503" s="4" t="s">
        <v>4404</v>
      </c>
      <c r="B3503" s="4" t="s">
        <v>4405</v>
      </c>
      <c r="C3503" s="5" t="str">
        <f>IFERROR(__xludf.DUMMYFUNCTION("GOOGLETRANSLATE(B3503,""en"",""es-ES"")"),"Un grupo de personas se ve en una cancha de tenis con 4 hombres jugando juntos.")</f>
        <v>Un grupo de personas se ve en una cancha de tenis con 4 hombres jugando juntos.</v>
      </c>
    </row>
    <row r="3504">
      <c r="A3504" s="4" t="s">
        <v>4404</v>
      </c>
      <c r="B3504" s="4" t="s">
        <v>4406</v>
      </c>
      <c r="C3504" s="5" t="str">
        <f>IFERROR(__xludf.DUMMYFUNCTION("GOOGLETRANSLATE(B3504,""en"",""es-ES"")"),"Continúan jugando el juego y cuarto entre sí mientras otros juegan en el fondo.")</f>
        <v>Continúan jugando el juego y cuarto entre sí mientras otros juegan en el fondo.</v>
      </c>
    </row>
    <row r="3505">
      <c r="A3505" s="4" t="s">
        <v>4407</v>
      </c>
      <c r="B3505" s="4" t="s">
        <v>4408</v>
      </c>
      <c r="C3505" s="5" t="str">
        <f>IFERROR(__xludf.DUMMYFUNCTION("GOOGLETRANSLATE(B3505,""en"",""es-ES"")"),"Se ven dos hombres sosteniendo las manos y moviendo uno a la lucha del brazo del otro lado.")</f>
        <v>Se ven dos hombres sosteniendo las manos y moviendo uno a la lucha del brazo del otro lado.</v>
      </c>
    </row>
    <row r="3506">
      <c r="A3506" s="4" t="s">
        <v>4407</v>
      </c>
      <c r="B3506" s="4" t="s">
        <v>4409</v>
      </c>
      <c r="C3506" s="5" t="str">
        <f>IFERROR(__xludf.DUMMYFUNCTION("GOOGLETRANSLATE(B3506,""en"",""es-ES"")"),"Los hombres luchan un poco y termina con uno golpeando a los demás.")</f>
        <v>Los hombres luchan un poco y termina con uno golpeando a los demás.</v>
      </c>
    </row>
    <row r="3507">
      <c r="A3507" s="4" t="s">
        <v>4410</v>
      </c>
      <c r="B3507" s="4" t="s">
        <v>4411</v>
      </c>
      <c r="C3507" s="5" t="str">
        <f>IFERROR(__xludf.DUMMYFUNCTION("GOOGLETRANSLATE(B3507,""en"",""es-ES"")"),"Un joven juega contra el violín mientras usa auriculares.")</f>
        <v>Un joven juega contra el violín mientras usa auriculares.</v>
      </c>
    </row>
    <row r="3508">
      <c r="A3508" s="4" t="s">
        <v>4410</v>
      </c>
      <c r="B3508" s="4" t="s">
        <v>4412</v>
      </c>
      <c r="C3508" s="5" t="str">
        <f>IFERROR(__xludf.DUMMYFUNCTION("GOOGLETRANSLATE(B3508,""en"",""es-ES"")"),"Luego, el joven termina de jugar y quitarse los auriculares.")</f>
        <v>Luego, el joven termina de jugar y quitarse los auriculares.</v>
      </c>
    </row>
    <row r="3509">
      <c r="A3509" s="4" t="s">
        <v>4413</v>
      </c>
      <c r="B3509" s="4" t="s">
        <v>4414</v>
      </c>
      <c r="C3509" s="5" t="str">
        <f>IFERROR(__xludf.DUMMYFUNCTION("GOOGLETRANSLATE(B3509,""en"",""es-ES"")"),"Varios ciclistas de tierra están parados debajo de un garaje detrás de un stand que se prepara para la carrera.")</f>
        <v>Varios ciclistas de tierra están parados debajo de un garaje detrás de un stand que se prepara para la carrera.</v>
      </c>
    </row>
    <row r="3510">
      <c r="A3510" s="4" t="s">
        <v>4413</v>
      </c>
      <c r="B3510" s="4" t="s">
        <v>4415</v>
      </c>
      <c r="C3510" s="5" t="str">
        <f>IFERROR(__xludf.DUMMYFUNCTION("GOOGLETRANSLATE(B3510,""en"",""es-ES"")"),"Alguien llama a una marca y todos se ponen de pie en sus pedales que se preparan para ser liberados.")</f>
        <v>Alguien llama a una marca y todos se ponen de pie en sus pedales que se preparan para ser liberados.</v>
      </c>
    </row>
    <row r="3511">
      <c r="A3511" s="4" t="s">
        <v>4413</v>
      </c>
      <c r="B3511" s="4" t="s">
        <v>4416</v>
      </c>
      <c r="C3511" s="5" t="str">
        <f>IFERROR(__xludf.DUMMYFUNCTION("GOOGLETRANSLATE(B3511,""en"",""es-ES"")"),"El bar finalmente se decepciona y los muchachos comienzan a correr por toda la pista cubierta de colinas mientras las personas se paran a lo largo de él para verlos.")</f>
        <v>El bar finalmente se decepciona y los muchachos comienzan a correr por toda la pista cubierta de colinas mientras las personas se paran a lo largo de él para verlos.</v>
      </c>
    </row>
    <row r="3512">
      <c r="A3512" s="4" t="s">
        <v>4417</v>
      </c>
      <c r="B3512" s="4" t="s">
        <v>4418</v>
      </c>
      <c r="C3512" s="5" t="str">
        <f>IFERROR(__xludf.DUMMYFUNCTION("GOOGLETRANSLATE(B3512,""en"",""es-ES"")"),"Un hombre está tratando de equilibrarse en una cuerda, camina sobre ella y se desploma.")</f>
        <v>Un hombre está tratando de equilibrarse en una cuerda, camina sobre ella y se desploma.</v>
      </c>
    </row>
    <row r="3513">
      <c r="A3513" s="4" t="s">
        <v>4417</v>
      </c>
      <c r="B3513" s="4" t="s">
        <v>4419</v>
      </c>
      <c r="C3513" s="5" t="str">
        <f>IFERROR(__xludf.DUMMYFUNCTION("GOOGLETRANSLATE(B3513,""en"",""es-ES"")"),"Vuelve a la cuerda y hace otra espalda volteada.")</f>
        <v>Vuelve a la cuerda y hace otra espalda volteada.</v>
      </c>
    </row>
    <row r="3514">
      <c r="A3514" s="4" t="s">
        <v>4417</v>
      </c>
      <c r="B3514" s="4" t="s">
        <v>4420</v>
      </c>
      <c r="C3514" s="5" t="str">
        <f>IFERROR(__xludf.DUMMYFUNCTION("GOOGLETRANSLATE(B3514,""en"",""es-ES"")"),"Agarra la cuerda muy apretada con los pies mientras camina.")</f>
        <v>Agarra la cuerda muy apretada con los pies mientras camina.</v>
      </c>
    </row>
    <row r="3515">
      <c r="A3515" s="4" t="s">
        <v>4417</v>
      </c>
      <c r="B3515" s="4" t="s">
        <v>4421</v>
      </c>
      <c r="C3515" s="5" t="str">
        <f>IFERROR(__xludf.DUMMYFUNCTION("GOOGLETRANSLATE(B3515,""en"",""es-ES"")"),"Tiene problemas para equilibrarlo, comienza a ir hacia atrás.")</f>
        <v>Tiene problemas para equilibrarlo, comienza a ir hacia atrás.</v>
      </c>
    </row>
    <row r="3516">
      <c r="A3516" s="4" t="s">
        <v>4422</v>
      </c>
      <c r="B3516" s="4" t="s">
        <v>4423</v>
      </c>
      <c r="C3516" s="5" t="str">
        <f>IFERROR(__xludf.DUMMYFUNCTION("GOOGLETRANSLATE(B3516,""en"",""es-ES"")"),"La gente está haciendo snowboard cuesta abajo por una colina de nieve.")</f>
        <v>La gente está haciendo snowboard cuesta abajo por una colina de nieve.</v>
      </c>
    </row>
    <row r="3517">
      <c r="A3517" s="4" t="s">
        <v>4422</v>
      </c>
      <c r="B3517" s="4" t="s">
        <v>4424</v>
      </c>
      <c r="C3517" s="5" t="str">
        <f>IFERROR(__xludf.DUMMYFUNCTION("GOOGLETRANSLATE(B3517,""en"",""es-ES"")"),"Un hombre con gafas rojas está de pie en la nieve.")</f>
        <v>Un hombre con gafas rojas está de pie en la nieve.</v>
      </c>
    </row>
    <row r="3518">
      <c r="A3518" s="4" t="s">
        <v>4422</v>
      </c>
      <c r="B3518" s="4" t="s">
        <v>4425</v>
      </c>
      <c r="C3518" s="5" t="str">
        <f>IFERROR(__xludf.DUMMYFUNCTION("GOOGLETRANSLATE(B3518,""en"",""es-ES"")"),"La gente está montando un elevador de esquí por la montaña.")</f>
        <v>La gente está montando un elevador de esquí por la montaña.</v>
      </c>
    </row>
    <row r="3519">
      <c r="A3519" s="4" t="s">
        <v>4426</v>
      </c>
      <c r="B3519" s="4" t="s">
        <v>4427</v>
      </c>
      <c r="C3519" s="5" t="str">
        <f>IFERROR(__xludf.DUMMYFUNCTION("GOOGLETRANSLATE(B3519,""en"",""es-ES"")"),"Hay un hombre vestido con un atuendo formal con camisa y corbata que demuestra cómo hacer un cóctel llamado Pimms.")</f>
        <v>Hay un hombre vestido con un atuendo formal con camisa y corbata que demuestra cómo hacer un cóctel llamado Pimms.</v>
      </c>
    </row>
    <row r="3520">
      <c r="A3520" s="4" t="s">
        <v>4426</v>
      </c>
      <c r="B3520" s="4" t="s">
        <v>4428</v>
      </c>
      <c r="C3520" s="5" t="str">
        <f>IFERROR(__xludf.DUMMYFUNCTION("GOOGLETRANSLATE(B3520,""en"",""es-ES"")"),"Él pone algunos cubitos de hielo en un vaso alto y luego agrega algunos PIMM.")</f>
        <v>Él pone algunos cubitos de hielo en un vaso alto y luego agrega algunos PIMM.</v>
      </c>
    </row>
    <row r="3521">
      <c r="A3521" s="4" t="s">
        <v>4426</v>
      </c>
      <c r="B3521" s="4" t="s">
        <v>4429</v>
      </c>
      <c r="C3521" s="5" t="str">
        <f>IFERROR(__xludf.DUMMYFUNCTION("GOOGLETRANSLATE(B3521,""en"",""es-ES"")"),"Él corta algunos limones y pone los limones junto con una cereza en un palillo de dientes.")</f>
        <v>Él corta algunos limones y pone los limones junto con una cereza en un palillo de dientes.</v>
      </c>
    </row>
    <row r="3522">
      <c r="A3522" s="4" t="s">
        <v>4426</v>
      </c>
      <c r="B3522" s="4" t="s">
        <v>4430</v>
      </c>
      <c r="C3522" s="5" t="str">
        <f>IFERROR(__xludf.DUMMYFUNCTION("GOOGLETRANSLATE(B3522,""en"",""es-ES"")"),"Luego pone una porción de pepino que se corta a lo largo en el cóctel.")</f>
        <v>Luego pone una porción de pepino que se corta a lo largo en el cóctel.</v>
      </c>
    </row>
    <row r="3523">
      <c r="A3523" s="4" t="s">
        <v>4431</v>
      </c>
      <c r="B3523" s="4" t="s">
        <v>4432</v>
      </c>
      <c r="C3523" s="5" t="str">
        <f>IFERROR(__xludf.DUMMYFUNCTION("GOOGLETRANSLATE(B3523,""en"",""es-ES"")"),"Dos equipos están en el extremo del otro de la cuerda mientras las personas miran y dos personas están tomando fotos.")</f>
        <v>Dos equipos están en el extremo del otro de la cuerda mientras las personas miran y dos personas están tomando fotos.</v>
      </c>
    </row>
    <row r="3524">
      <c r="A3524" s="4" t="s">
        <v>4431</v>
      </c>
      <c r="B3524" s="4" t="s">
        <v>4433</v>
      </c>
      <c r="C3524" s="5" t="str">
        <f>IFERROR(__xludf.DUMMYFUNCTION("GOOGLETRANSLATE(B3524,""en"",""es-ES"")"),"Los dos equipos comenzaron a tirar de la cuerda.")</f>
        <v>Los dos equipos comenzaron a tirar de la cuerda.</v>
      </c>
    </row>
    <row r="3525">
      <c r="A3525" s="4" t="s">
        <v>4431</v>
      </c>
      <c r="B3525" s="4" t="s">
        <v>4434</v>
      </c>
      <c r="C3525" s="5" t="str">
        <f>IFERROR(__xludf.DUMMYFUNCTION("GOOGLETRANSLATE(B3525,""en"",""es-ES"")"),"El equipo con camisa amarilla ganó y luego dos del equipo se dieron la mano y se abrazó y luego dio un arco.")</f>
        <v>El equipo con camisa amarilla ganó y luego dos del equipo se dieron la mano y se abrazó y luego dio un arco.</v>
      </c>
    </row>
    <row r="3526">
      <c r="A3526" s="4" t="s">
        <v>4435</v>
      </c>
      <c r="B3526" s="4" t="s">
        <v>4436</v>
      </c>
      <c r="C3526" s="5" t="str">
        <f>IFERROR(__xludf.DUMMYFUNCTION("GOOGLETRANSLATE(B3526,""en"",""es-ES"")"),"Una mujer habla en una cocina, luego muestra un cepillo.")</f>
        <v>Una mujer habla en una cocina, luego muestra un cepillo.</v>
      </c>
    </row>
    <row r="3527">
      <c r="A3527" s="4" t="s">
        <v>4435</v>
      </c>
      <c r="B3527" s="4" t="s">
        <v>4437</v>
      </c>
      <c r="C3527" s="5" t="str">
        <f>IFERROR(__xludf.DUMMYFUNCTION("GOOGLETRANSLATE(B3527,""en"",""es-ES"")"),"La mujer abre el grifo y lava un plato con el cepillo, luego se cepilla la mano mientras explica.")</f>
        <v>La mujer abre el grifo y lava un plato con el cepillo, luego se cepilla la mano mientras explica.</v>
      </c>
    </row>
    <row r="3528">
      <c r="A3528" s="4" t="s">
        <v>4435</v>
      </c>
      <c r="B3528" s="4" t="s">
        <v>4438</v>
      </c>
      <c r="C3528" s="5" t="str">
        <f>IFERROR(__xludf.DUMMYFUNCTION("GOOGLETRANSLATE(B3528,""en"",""es-ES"")"),"Luego, lava un plato con el cepillo, luego explica mostrar el cepillo.")</f>
        <v>Luego, lava un plato con el cepillo, luego explica mostrar el cepillo.</v>
      </c>
    </row>
    <row r="3529">
      <c r="A3529" s="4" t="s">
        <v>4439</v>
      </c>
      <c r="B3529" s="4" t="s">
        <v>4440</v>
      </c>
      <c r="C3529" s="5" t="str">
        <f>IFERROR(__xludf.DUMMYFUNCTION("GOOGLETRANSLATE(B3529,""en"",""es-ES"")"),"Una bailarina se posiciona para comenzar su baile.")</f>
        <v>Una bailarina se posiciona para comenzar su baile.</v>
      </c>
    </row>
    <row r="3530">
      <c r="A3530" s="4" t="s">
        <v>4439</v>
      </c>
      <c r="B3530" s="4" t="s">
        <v>4441</v>
      </c>
      <c r="C3530" s="5" t="str">
        <f>IFERROR(__xludf.DUMMYFUNCTION("GOOGLETRANSLATE(B3530,""en"",""es-ES"")"),"El bailarín realiza su rutina de baile sosteniendo una varita.")</f>
        <v>El bailarín realiza su rutina de baile sosteniendo una varita.</v>
      </c>
    </row>
    <row r="3531">
      <c r="A3531" s="4" t="s">
        <v>4439</v>
      </c>
      <c r="B3531" s="4" t="s">
        <v>4442</v>
      </c>
      <c r="C3531" s="5" t="str">
        <f>IFERROR(__xludf.DUMMYFUNCTION("GOOGLETRANSLATE(B3531,""en"",""es-ES"")"),"La mujer arroja su varita como parte de su baile y corre para agarrarla y reanuda su actuación.")</f>
        <v>La mujer arroja su varita como parte de su baile y corre para agarrarla y reanuda su actuación.</v>
      </c>
    </row>
    <row r="3532">
      <c r="A3532" s="4" t="s">
        <v>4439</v>
      </c>
      <c r="B3532" s="4" t="s">
        <v>4443</v>
      </c>
      <c r="C3532" s="5" t="str">
        <f>IFERROR(__xludf.DUMMYFUNCTION("GOOGLETRANSLATE(B3532,""en"",""es-ES"")"),"La mujer hace un arco, terminando su baile.")</f>
        <v>La mujer hace un arco, terminando su baile.</v>
      </c>
    </row>
    <row r="3533">
      <c r="A3533" s="4" t="s">
        <v>4444</v>
      </c>
      <c r="B3533" s="4" t="s">
        <v>4445</v>
      </c>
      <c r="C3533" s="5" t="str">
        <f>IFERROR(__xludf.DUMMYFUNCTION("GOOGLETRANSLATE(B3533,""en"",""es-ES"")"),"Un hombre con camisa blanca y pantalones cortos blancos está sosteniendo un bate de croquet, se está inclinando y balancea el bate lentamente en el aire antes de golpear la pelota azul.")</f>
        <v>Un hombre con camisa blanca y pantalones cortos blancos está sosteniendo un bate de croquet, se está inclinando y balancea el bate lentamente en el aire antes de golpear la pelota azul.</v>
      </c>
    </row>
    <row r="3534">
      <c r="A3534" s="4" t="s">
        <v>4444</v>
      </c>
      <c r="B3534" s="4" t="s">
        <v>4446</v>
      </c>
      <c r="C3534" s="5" t="str">
        <f>IFERROR(__xludf.DUMMYFUNCTION("GOOGLETRANSLATE(B3534,""en"",""es-ES"")"),"La pelota voló pasando la pelota en pequeños agujeros rectangulares y golpeó el suelo.")</f>
        <v>La pelota voló pasando la pelota en pequeños agujeros rectangulares y golpeó el suelo.</v>
      </c>
    </row>
    <row r="3535">
      <c r="A3535" s="4" t="s">
        <v>4447</v>
      </c>
      <c r="B3535" s="4" t="s">
        <v>4448</v>
      </c>
      <c r="C3535" s="5" t="str">
        <f>IFERROR(__xludf.DUMMYFUNCTION("GOOGLETRANSLATE(B3535,""en"",""es-ES"")"),"Vemos la pantalla de título de apertura.")</f>
        <v>Vemos la pantalla de título de apertura.</v>
      </c>
    </row>
    <row r="3536">
      <c r="A3536" s="4" t="s">
        <v>4447</v>
      </c>
      <c r="B3536" s="4" t="s">
        <v>4449</v>
      </c>
      <c r="C3536" s="5" t="str">
        <f>IFERROR(__xludf.DUMMYFUNCTION("GOOGLETRANSLATE(B3536,""en"",""es-ES"")"),"Vemos imágenes de material del piso.")</f>
        <v>Vemos imágenes de material del piso.</v>
      </c>
    </row>
    <row r="3537">
      <c r="A3537" s="4" t="s">
        <v>4447</v>
      </c>
      <c r="B3537" s="4" t="s">
        <v>4450</v>
      </c>
      <c r="C3537" s="5" t="str">
        <f>IFERROR(__xludf.DUMMYFUNCTION("GOOGLETRANSLATE(B3537,""en"",""es-ES"")"),"Un hombre corta y pone el superfloor en el piso.")</f>
        <v>Un hombre corta y pone el superfloor en el piso.</v>
      </c>
    </row>
    <row r="3538">
      <c r="A3538" s="4" t="s">
        <v>4447</v>
      </c>
      <c r="B3538" s="4" t="s">
        <v>4451</v>
      </c>
      <c r="C3538" s="5" t="str">
        <f>IFERROR(__xludf.DUMMYFUNCTION("GOOGLETRANSLATE(B3538,""en"",""es-ES"")"),"El hombre luego desenrolla la alfombra sobre el superfloor.")</f>
        <v>El hombre luego desenrolla la alfombra sobre el superfloor.</v>
      </c>
    </row>
    <row r="3539">
      <c r="A3539" s="4" t="s">
        <v>4447</v>
      </c>
      <c r="B3539" s="4" t="s">
        <v>4452</v>
      </c>
      <c r="C3539" s="5" t="str">
        <f>IFERROR(__xludf.DUMMYFUNCTION("GOOGLETRANSLATE(B3539,""en"",""es-ES"")"),"Luego vemos la pantalla final.")</f>
        <v>Luego vemos la pantalla final.</v>
      </c>
    </row>
    <row r="3540">
      <c r="A3540" s="4" t="s">
        <v>4453</v>
      </c>
      <c r="B3540" s="4" t="s">
        <v>4454</v>
      </c>
      <c r="C3540" s="5" t="str">
        <f>IFERROR(__xludf.DUMMYFUNCTION("GOOGLETRANSLATE(B3540,""en"",""es-ES"")"),"Una mujer sostiene un perro y se toma el baño para bañarse en una bañera mientras se frota el cuerpo con jabón.")</f>
        <v>Una mujer sostiene un perro y se toma el baño para bañarse en una bañera mientras se frota el cuerpo con jabón.</v>
      </c>
    </row>
    <row r="3541">
      <c r="A3541" s="4" t="s">
        <v>4453</v>
      </c>
      <c r="B3541" s="4" t="s">
        <v>4455</v>
      </c>
      <c r="C3541" s="5" t="str">
        <f>IFERROR(__xludf.DUMMYFUNCTION("GOOGLETRANSLATE(B3541,""en"",""es-ES"")"),"El perro espera hasta que la mujer tome una toalla para secar el cuerpo del perro.")</f>
        <v>El perro espera hasta que la mujer tome una toalla para secar el cuerpo del perro.</v>
      </c>
    </row>
    <row r="3542">
      <c r="A3542" s="4" t="s">
        <v>4453</v>
      </c>
      <c r="B3542" s="4" t="s">
        <v>4456</v>
      </c>
      <c r="C3542" s="5" t="str">
        <f>IFERROR(__xludf.DUMMYFUNCTION("GOOGLETRANSLATE(B3542,""en"",""es-ES"")"),"El perro se ve enojado y muestra sus dientes.")</f>
        <v>El perro se ve enojado y muestra sus dientes.</v>
      </c>
    </row>
    <row r="3543">
      <c r="A3543" s="4" t="s">
        <v>4453</v>
      </c>
      <c r="B3543" s="4" t="s">
        <v>4457</v>
      </c>
      <c r="C3543" s="5" t="str">
        <f>IFERROR(__xludf.DUMMYFUNCTION("GOOGLETRANSLATE(B3543,""en"",""es-ES"")"),"Entonces, la mujer le da un beso al perro.")</f>
        <v>Entonces, la mujer le da un beso al perro.</v>
      </c>
    </row>
    <row r="3544">
      <c r="A3544" s="4" t="s">
        <v>4458</v>
      </c>
      <c r="B3544" s="4" t="s">
        <v>4459</v>
      </c>
      <c r="C3544" s="5" t="str">
        <f>IFERROR(__xludf.DUMMYFUNCTION("GOOGLETRANSLATE(B3544,""en"",""es-ES"")"),"Algunos hombres y una mujer están en interiores jugando al bádminton, están muy interesados ​​y compiten mucho.")</f>
        <v>Algunos hombres y una mujer están en interiores jugando al bádminton, están muy interesados ​​y compiten mucho.</v>
      </c>
    </row>
    <row r="3545">
      <c r="A3545" s="4" t="s">
        <v>4458</v>
      </c>
      <c r="B3545" s="4" t="s">
        <v>4460</v>
      </c>
      <c r="C3545" s="5" t="str">
        <f>IFERROR(__xludf.DUMMYFUNCTION("GOOGLETRANSLATE(B3545,""en"",""es-ES"")"),"Los hombres van y vienen en un intento de anotar y están muy enfocados.")</f>
        <v>Los hombres van y vienen en un intento de anotar y están muy enfocados.</v>
      </c>
    </row>
    <row r="3546">
      <c r="A3546" s="4" t="s">
        <v>4458</v>
      </c>
      <c r="B3546" s="4" t="s">
        <v>4461</v>
      </c>
      <c r="C3546" s="5" t="str">
        <f>IFERROR(__xludf.DUMMYFUNCTION("GOOGLETRANSLATE(B3546,""en"",""es-ES"")"),"Se muestran varios disparos en movimiento rápido y en cámara lenta de la acción.")</f>
        <v>Se muestran varios disparos en movimiento rápido y en cámara lenta de la acción.</v>
      </c>
    </row>
    <row r="3547">
      <c r="A3547" s="4" t="s">
        <v>4462</v>
      </c>
      <c r="B3547" s="4" t="s">
        <v>4463</v>
      </c>
      <c r="C3547" s="5" t="str">
        <f>IFERROR(__xludf.DUMMYFUNCTION("GOOGLETRANSLATE(B3547,""en"",""es-ES"")"),"Un hombre con camisa y jeans azules lleva guantes negros y recorta el seto con una máquina de recorte de naranja, haciendo el costado primero y luego el frente y luego el otro lado.")</f>
        <v>Un hombre con camisa y jeans azules lleva guantes negros y recorta el seto con una máquina de recorte de naranja, haciendo el costado primero y luego el frente y luego el otro lado.</v>
      </c>
    </row>
    <row r="3548">
      <c r="A3548" s="4" t="s">
        <v>4462</v>
      </c>
      <c r="B3548" s="4" t="s">
        <v>4464</v>
      </c>
      <c r="C3548" s="5" t="str">
        <f>IFERROR(__xludf.DUMMYFUNCTION("GOOGLETRANSLATE(B3548,""en"",""es-ES"")"),"Subió la escalera de color verde azulado para recortar la parte superior del seto, movió la escalera para hacer la parte superior del seto.")</f>
        <v>Subió la escalera de color verde azulado para recortar la parte superior del seto, movió la escalera para hacer la parte superior del seto.</v>
      </c>
    </row>
    <row r="3549">
      <c r="A3549" s="4" t="s">
        <v>4462</v>
      </c>
      <c r="B3549" s="4" t="s">
        <v>4465</v>
      </c>
      <c r="C3549" s="5" t="str">
        <f>IFERROR(__xludf.DUMMYFUNCTION("GOOGLETRANSLATE(B3549,""en"",""es-ES"")"),"El hombre recortó el arbusto redondo bajo, usó la escalera para recortar la parte superior del seto redondo.")</f>
        <v>El hombre recortó el arbusto redondo bajo, usó la escalera para recortar la parte superior del seto redondo.</v>
      </c>
    </row>
    <row r="3550">
      <c r="A3550" s="4" t="s">
        <v>4466</v>
      </c>
      <c r="B3550" s="4" t="s">
        <v>4467</v>
      </c>
      <c r="C3550" s="5" t="str">
        <f>IFERROR(__xludf.DUMMYFUNCTION("GOOGLETRANSLATE(B3550,""en"",""es-ES"")"),"Varias cocinas se muestran en el telón de fondo cuando un logotipo de Menards de la casa parpadea en el medio de la pantalla.")</f>
        <v>Varias cocinas se muestran en el telón de fondo cuando un logotipo de Menards de la casa parpadea en el medio de la pantalla.</v>
      </c>
    </row>
    <row r="3551">
      <c r="A3551" s="4" t="s">
        <v>4466</v>
      </c>
      <c r="B3551" s="4" t="s">
        <v>4468</v>
      </c>
      <c r="C3551" s="5" t="str">
        <f>IFERROR(__xludf.DUMMYFUNCTION("GOOGLETRANSLATE(B3551,""en"",""es-ES"")"),"Después, un hombre de polo azul se muestra pegando azulejos en la parte posterior de las paredes de la cocina para renovar la casa.")</f>
        <v>Después, un hombre de polo azul se muestra pegando azulejos en la parte posterior de las paredes de la cocina para renovar la casa.</v>
      </c>
    </row>
    <row r="3552">
      <c r="A3552" s="4" t="s">
        <v>4466</v>
      </c>
      <c r="B3552" s="4" t="s">
        <v>4469</v>
      </c>
      <c r="C3552" s="5" t="str">
        <f>IFERROR(__xludf.DUMMYFUNCTION("GOOGLETRANSLATE(B3552,""en"",""es-ES"")"),"Se muestra a otro hombre lijando y pintando la pared y renovando otra casa.")</f>
        <v>Se muestra a otro hombre lijando y pintando la pared y renovando otra casa.</v>
      </c>
    </row>
    <row r="3553">
      <c r="A3553" s="4" t="s">
        <v>4466</v>
      </c>
      <c r="B3553" s="4" t="s">
        <v>4470</v>
      </c>
      <c r="C3553" s="5" t="str">
        <f>IFERROR(__xludf.DUMMYFUNCTION("GOOGLETRANSLATE(B3553,""en"",""es-ES"")"),"Se muestra nuevamente un bloque de mosaico, pero se voltea para ver la red en la parte posterior.")</f>
        <v>Se muestra nuevamente un bloque de mosaico, pero se voltea para ver la red en la parte posterior.</v>
      </c>
    </row>
    <row r="3554">
      <c r="A3554" s="4" t="s">
        <v>4466</v>
      </c>
      <c r="B3554" s="4" t="s">
        <v>4471</v>
      </c>
      <c r="C3554" s="5" t="str">
        <f>IFERROR(__xludf.DUMMYFUNCTION("GOOGLETRANSLATE(B3554,""en"",""es-ES"")"),"Los hombres continúan renovando la casa, midiendo la pared, fijando las luces y pegando el mosaico en la pared.")</f>
        <v>Los hombres continúan renovando la casa, midiendo la pared, fijando las luces y pegando el mosaico en la pared.</v>
      </c>
    </row>
    <row r="3555">
      <c r="A3555" s="4" t="s">
        <v>4466</v>
      </c>
      <c r="B3555" s="4" t="s">
        <v>4472</v>
      </c>
      <c r="C3555" s="5" t="str">
        <f>IFERROR(__xludf.DUMMYFUNCTION("GOOGLETRANSLATE(B3555,""en"",""es-ES"")"),"Finalmente, se muestra el producto terminado de la pared.")</f>
        <v>Finalmente, se muestra el producto terminado de la pared.</v>
      </c>
    </row>
    <row r="3556">
      <c r="A3556" s="4" t="s">
        <v>4473</v>
      </c>
      <c r="B3556" s="4" t="s">
        <v>4474</v>
      </c>
      <c r="C3556" s="5" t="str">
        <f>IFERROR(__xludf.DUMMYFUNCTION("GOOGLETRANSLATE(B3556,""en"",""es-ES"")"),"Se muestra una foto de un hombre que lava un automóvil y conduce a varios hombres que lavan el mismo automóvil.")</f>
        <v>Se muestra una foto de un hombre que lava un automóvil y conduce a varios hombres que lavan el mismo automóvil.</v>
      </c>
    </row>
    <row r="3557">
      <c r="A3557" s="4" t="s">
        <v>4473</v>
      </c>
      <c r="B3557" s="4" t="s">
        <v>4475</v>
      </c>
      <c r="C3557" s="5" t="str">
        <f>IFERROR(__xludf.DUMMYFUNCTION("GOOGLETRANSLATE(B3557,""en"",""es-ES"")"),"Los hombres aspiran el interior y limpian el tablero y el interior y la exterior entera.")</f>
        <v>Los hombres aspiran el interior y limpian el tablero y el interior y la exterior entera.</v>
      </c>
    </row>
    <row r="3558">
      <c r="A3558" s="4" t="s">
        <v>4473</v>
      </c>
      <c r="B3558" s="4" t="s">
        <v>4476</v>
      </c>
      <c r="C3558" s="5" t="str">
        <f>IFERROR(__xludf.DUMMYFUNCTION("GOOGLETRANSLATE(B3558,""en"",""es-ES"")"),"El auto se muestra nuevamente al final, todo limpio.")</f>
        <v>El auto se muestra nuevamente al final, todo limpio.</v>
      </c>
    </row>
    <row r="3559">
      <c r="A3559" s="4" t="s">
        <v>4477</v>
      </c>
      <c r="B3559" s="4" t="s">
        <v>4478</v>
      </c>
      <c r="C3559" s="5" t="str">
        <f>IFERROR(__xludf.DUMMYFUNCTION("GOOGLETRANSLATE(B3559,""en"",""es-ES"")"),"Un hombre está de pie jugando gaita.")</f>
        <v>Un hombre está de pie jugando gaita.</v>
      </c>
    </row>
    <row r="3560">
      <c r="A3560" s="4" t="s">
        <v>4477</v>
      </c>
      <c r="B3560" s="4" t="s">
        <v>4479</v>
      </c>
      <c r="C3560" s="5" t="str">
        <f>IFERROR(__xludf.DUMMYFUNCTION("GOOGLETRANSLATE(B3560,""en"",""es-ES"")"),"La gente está sentada en un sofá riéndose de él.")</f>
        <v>La gente está sentada en un sofá riéndose de él.</v>
      </c>
    </row>
    <row r="3561">
      <c r="A3561" s="4" t="s">
        <v>4480</v>
      </c>
      <c r="B3561" s="4" t="s">
        <v>4481</v>
      </c>
      <c r="C3561" s="5" t="str">
        <f>IFERROR(__xludf.DUMMYFUNCTION("GOOGLETRANSLATE(B3561,""en"",""es-ES"")"),"Vemos a dos personas en un estudio.")</f>
        <v>Vemos a dos personas en un estudio.</v>
      </c>
    </row>
    <row r="3562">
      <c r="A3562" s="4" t="s">
        <v>4480</v>
      </c>
      <c r="B3562" s="4" t="s">
        <v>4482</v>
      </c>
      <c r="C3562" s="5" t="str">
        <f>IFERROR(__xludf.DUMMYFUNCTION("GOOGLETRANSLATE(B3562,""en"",""es-ES"")"),"Luego vemos a un hombre en una bolera hablando con la cámara con un hombre con un traje de bolos.")</f>
        <v>Luego vemos a un hombre en una bolera hablando con la cámara con un hombre con un traje de bolos.</v>
      </c>
    </row>
    <row r="3563">
      <c r="A3563" s="4" t="s">
        <v>4480</v>
      </c>
      <c r="B3563" s="4" t="s">
        <v>4483</v>
      </c>
      <c r="C3563" s="5" t="str">
        <f>IFERROR(__xludf.DUMMYFUNCTION("GOOGLETRANSLATE(B3563,""en"",""es-ES"")"),"El hombre luego entrevista a un hombre con una chaqueta negra.")</f>
        <v>El hombre luego entrevista a un hombre con una chaqueta negra.</v>
      </c>
    </row>
    <row r="3564">
      <c r="A3564" s="4" t="s">
        <v>4480</v>
      </c>
      <c r="B3564" s="4" t="s">
        <v>4484</v>
      </c>
      <c r="C3564" s="5" t="str">
        <f>IFERROR(__xludf.DUMMYFUNCTION("GOOGLETRANSLATE(B3564,""en"",""es-ES"")"),"Vemos que el pasador de bolos arroja una bola de boliche verde.")</f>
        <v>Vemos que el pasador de bolos arroja una bola de boliche verde.</v>
      </c>
    </row>
    <row r="3565">
      <c r="A3565" s="4" t="s">
        <v>4480</v>
      </c>
      <c r="B3565" s="4" t="s">
        <v>4485</v>
      </c>
      <c r="C3565" s="5" t="str">
        <f>IFERROR(__xludf.DUMMYFUNCTION("GOOGLETRANSLATE(B3565,""en"",""es-ES"")"),"El presentador de noticias arroja una pelota azul por el carril y otra pelota en la mascota de bolos que se cae.")</f>
        <v>El presentador de noticias arroja una pelota azul por el carril y otra pelota en la mascota de bolos que se cae.</v>
      </c>
    </row>
    <row r="3566">
      <c r="A3566" s="4" t="s">
        <v>4480</v>
      </c>
      <c r="B3566" s="4" t="s">
        <v>4486</v>
      </c>
      <c r="C3566" s="5" t="str">
        <f>IFERROR(__xludf.DUMMYFUNCTION("GOOGLETRANSLATE(B3566,""en"",""es-ES"")"),"Luego vemos una pantalla dividida con el PIN que se ejecuta detrás del presentador de noticias y las personas en el estudio en la esquina superior izquierda.")</f>
        <v>Luego vemos una pantalla dividida con el PIN que se ejecuta detrás del presentador de noticias y las personas en el estudio en la esquina superior izquierda.</v>
      </c>
    </row>
    <row r="3567">
      <c r="A3567" s="4" t="s">
        <v>4480</v>
      </c>
      <c r="B3567" s="4" t="s">
        <v>4487</v>
      </c>
      <c r="C3567" s="5" t="str">
        <f>IFERROR(__xludf.DUMMYFUNCTION("GOOGLETRANSLATE(B3567,""en"",""es-ES"")"),"El alfiler lanza una pelota en el presentador de noticias, y regresamos al estudio.")</f>
        <v>El alfiler lanza una pelota en el presentador de noticias, y regresamos al estudio.</v>
      </c>
    </row>
    <row r="3568">
      <c r="A3568" s="4" t="s">
        <v>4488</v>
      </c>
      <c r="B3568" s="4" t="s">
        <v>4489</v>
      </c>
      <c r="C3568" s="5" t="str">
        <f>IFERROR(__xludf.DUMMYFUNCTION("GOOGLETRANSLATE(B3568,""en"",""es-ES"")"),"Un hombre que habla y sonriente está parado en una zona interior y luego se mueve a su derecha y una mujer camina hacia él y ella comienza a hablar y sonreír con él.")</f>
        <v>Un hombre que habla y sonriente está parado en una zona interior y luego se mueve a su derecha y una mujer camina hacia él y ella comienza a hablar y sonreír con él.</v>
      </c>
    </row>
    <row r="3569">
      <c r="A3569" s="4" t="s">
        <v>4488</v>
      </c>
      <c r="B3569" s="4" t="s">
        <v>4490</v>
      </c>
      <c r="C3569" s="5" t="str">
        <f>IFERROR(__xludf.DUMMYFUNCTION("GOOGLETRANSLATE(B3569,""en"",""es-ES"")"),"La mujer ahora está saltando sobre un trampolín sola y luego se para en una tabla de saltos y simula un salto de una tabla de buceo y va directamente a una piscina, pero en su lugar aterriza en una gran alfombra de aterrizaje negra.")</f>
        <v>La mujer ahora está saltando sobre un trampolín sola y luego se para en una tabla de saltos y simula un salto de una tabla de buceo y va directamente a una piscina, pero en su lugar aterriza en una gran alfombra de aterrizaje negra.</v>
      </c>
    </row>
    <row r="3570">
      <c r="A3570" s="4" t="s">
        <v>4488</v>
      </c>
      <c r="B3570" s="4" t="s">
        <v>4491</v>
      </c>
      <c r="C3570" s="5" t="str">
        <f>IFERROR(__xludf.DUMMYFUNCTION("GOOGLETRANSLATE(B3570,""en"",""es-ES"")"),"El hombre ahora está saltando sobre el trampolín y hace exactamente lo mismo que la mujer acaba de hacerlo.")</f>
        <v>El hombre ahora está saltando sobre el trampolín y hace exactamente lo mismo que la mujer acaba de hacerlo.</v>
      </c>
    </row>
    <row r="3571">
      <c r="A3571" s="4" t="s">
        <v>4488</v>
      </c>
      <c r="B3571" s="4" t="s">
        <v>4492</v>
      </c>
      <c r="C3571" s="5" t="str">
        <f>IFERROR(__xludf.DUMMYFUNCTION("GOOGLETRANSLATE(B3571,""en"",""es-ES"")"),"Ahora la mujer está parada en una piscina al aire libre hablando y salta primero de la tabla de buceo, hace algunas volteas y luego aterriza en el agua.")</f>
        <v>Ahora la mujer está parada en una piscina al aire libre hablando y salta primero de la tabla de buceo, hace algunas volteas y luego aterriza en el agua.</v>
      </c>
    </row>
    <row r="3572">
      <c r="A3572" s="4" t="s">
        <v>4488</v>
      </c>
      <c r="B3572" s="4" t="s">
        <v>4493</v>
      </c>
      <c r="C3572" s="5" t="str">
        <f>IFERROR(__xludf.DUMMYFUNCTION("GOOGLETRANSLATE(B3572,""en"",""es-ES"")"),"El hombre aparece frente a la cámara sosteniendo un pequeño velocímetro, sacude la cabeza con desaprobación de los Speedos, lo arroja sobre la cámara y lo muestran haciendo calentamientos de piernas con un par de pantalones cortos largos.")</f>
        <v>El hombre aparece frente a la cámara sosteniendo un pequeño velocímetro, sacude la cabeza con desaprobación de los Speedos, lo arroja sobre la cámara y lo muestran haciendo calentamientos de piernas con un par de pantalones cortos largos.</v>
      </c>
    </row>
    <row r="3573">
      <c r="A3573" s="4" t="s">
        <v>4488</v>
      </c>
      <c r="B3573" s="4" t="s">
        <v>4494</v>
      </c>
      <c r="C3573" s="5" t="str">
        <f>IFERROR(__xludf.DUMMYFUNCTION("GOOGLETRANSLATE(B3573,""en"",""es-ES"")"),"Luego, el hombre entra en el tablero de buceo, se frota las manos, luego salta del tablero de buceo 4 veces y hace varias volteidades antes de aterrizar en el agua.")</f>
        <v>Luego, el hombre entra en el tablero de buceo, se frota las manos, luego salta del tablero de buceo 4 veces y hace varias volteidades antes de aterrizar en el agua.</v>
      </c>
    </row>
    <row r="3574">
      <c r="A3574" s="4" t="s">
        <v>4488</v>
      </c>
      <c r="B3574" s="4" t="s">
        <v>4495</v>
      </c>
      <c r="C3574" s="5" t="str">
        <f>IFERROR(__xludf.DUMMYFUNCTION("GOOGLETRANSLATE(B3574,""en"",""es-ES"")"),"El hombre y la mujer ahora están hablando en el suelo y se giran para mirar el tablero de buceo más alto, y un tiro rápido de la mesa de buceo más alta está mostrando alto, luego vuelve al hombre y a la mujer que aún está parada al lado de la piscina y ha"&amp;"blar.")</f>
        <v>El hombre y la mujer ahora están hablando en el suelo y se giran para mirar el tablero de buceo más alto, y un tiro rápido de la mesa de buceo más alta está mostrando alto, luego vuelve al hombre y a la mujer que aún está parada al lado de la piscina y hablar.</v>
      </c>
    </row>
    <row r="3575">
      <c r="A3575" s="4" t="s">
        <v>4496</v>
      </c>
      <c r="B3575" s="4" t="s">
        <v>4497</v>
      </c>
      <c r="C3575" s="5" t="str">
        <f>IFERROR(__xludf.DUMMYFUNCTION("GOOGLETRANSLATE(B3575,""en"",""es-ES"")"),"Se ve un primer plano de un toro, así como otro acostado en el suelo.")</f>
        <v>Se ve un primer plano de un toro, así como otro acostado en el suelo.</v>
      </c>
    </row>
    <row r="3576">
      <c r="A3576" s="4" t="s">
        <v>4496</v>
      </c>
      <c r="B3576" s="4" t="s">
        <v>4498</v>
      </c>
      <c r="C3576" s="5" t="str">
        <f>IFERROR(__xludf.DUMMYFUNCTION("GOOGLETRANSLATE(B3576,""en"",""es-ES"")"),"Se ve otro toro corriendo a lo lejos y persiguiendo a una persona.")</f>
        <v>Se ve otro toro corriendo a lo lejos y persiguiendo a una persona.</v>
      </c>
    </row>
    <row r="3577">
      <c r="A3577" s="4" t="s">
        <v>4496</v>
      </c>
      <c r="B3577" s="4" t="s">
        <v>4499</v>
      </c>
      <c r="C3577" s="5" t="str">
        <f>IFERROR(__xludf.DUMMYFUNCTION("GOOGLETRANSLATE(B3577,""en"",""es-ES"")"),"Varias personas se ven huyendo de un toro en muchos disparos mientras los persiguen.")</f>
        <v>Varias personas se ven huyendo de un toro en muchos disparos mientras los persiguen.</v>
      </c>
    </row>
    <row r="3578">
      <c r="A3578" s="4" t="s">
        <v>4500</v>
      </c>
      <c r="B3578" s="4" t="s">
        <v>4501</v>
      </c>
      <c r="C3578" s="5" t="str">
        <f>IFERROR(__xludf.DUMMYFUNCTION("GOOGLETRANSLATE(B3578,""en"",""es-ES"")"),"Un hombre está arrodillado sobre hielo.")</f>
        <v>Un hombre está arrodillado sobre hielo.</v>
      </c>
    </row>
    <row r="3579">
      <c r="A3579" s="4" t="s">
        <v>4500</v>
      </c>
      <c r="B3579" s="4" t="s">
        <v>4502</v>
      </c>
      <c r="C3579" s="5" t="str">
        <f>IFERROR(__xludf.DUMMYFUNCTION("GOOGLETRANSLATE(B3579,""en"",""es-ES"")"),"Comienza a jugar un juego de curling.")</f>
        <v>Comienza a jugar un juego de curling.</v>
      </c>
    </row>
    <row r="3580">
      <c r="A3580" s="4" t="s">
        <v>4500</v>
      </c>
      <c r="B3580" s="4" t="s">
        <v>4503</v>
      </c>
      <c r="C3580" s="5" t="str">
        <f>IFERROR(__xludf.DUMMYFUNCTION("GOOGLETRANSLATE(B3580,""en"",""es-ES"")"),"Dos personas frotan el hielo frente a la bola de rizado.")</f>
        <v>Dos personas frotan el hielo frente a la bola de rizado.</v>
      </c>
    </row>
    <row r="3581">
      <c r="A3581" s="4" t="s">
        <v>4504</v>
      </c>
      <c r="B3581" s="4" t="s">
        <v>4505</v>
      </c>
      <c r="C3581" s="5" t="str">
        <f>IFERROR(__xludf.DUMMYFUNCTION("GOOGLETRANSLATE(B3581,""en"",""es-ES"")"),"Se ve a un hombre trepando de un camello y comienza a caminar con un hombre al frente.")</f>
        <v>Se ve a un hombre trepando de un camello y comienza a caminar con un hombre al frente.</v>
      </c>
    </row>
    <row r="3582">
      <c r="A3582" s="4" t="s">
        <v>4504</v>
      </c>
      <c r="B3582" s="4" t="s">
        <v>4506</v>
      </c>
      <c r="C3582" s="5" t="str">
        <f>IFERROR(__xludf.DUMMYFUNCTION("GOOGLETRANSLATE(B3582,""en"",""es-ES"")"),"El hombre habla con uno en la parte superior y le da una bofetada al camello mientras mira hacia atrás para hablar con la cámara.")</f>
        <v>El hombre habla con uno en la parte superior y le da una bofetada al camello mientras mira hacia atrás para hablar con la cámara.</v>
      </c>
    </row>
    <row r="3583">
      <c r="A3583" s="4" t="s">
        <v>4507</v>
      </c>
      <c r="B3583" s="4" t="s">
        <v>1487</v>
      </c>
      <c r="C3583" s="5" t="str">
        <f>IFERROR(__xludf.DUMMYFUNCTION("GOOGLETRANSLATE(B3583,""en"",""es-ES"")"),"Vemos una pantalla de título de apertura.")</f>
        <v>Vemos una pantalla de título de apertura.</v>
      </c>
    </row>
    <row r="3584">
      <c r="A3584" s="4" t="s">
        <v>4507</v>
      </c>
      <c r="B3584" s="4" t="s">
        <v>4508</v>
      </c>
      <c r="C3584" s="5" t="str">
        <f>IFERROR(__xludf.DUMMYFUNCTION("GOOGLETRANSLATE(B3584,""en"",""es-ES"")"),"Vemos pendiente de esquí cubierta de nieve y una pantalla de título.")</f>
        <v>Vemos pendiente de esquí cubierta de nieve y una pantalla de título.</v>
      </c>
    </row>
    <row r="3585">
      <c r="A3585" s="4" t="s">
        <v>4507</v>
      </c>
      <c r="B3585" s="4" t="s">
        <v>4509</v>
      </c>
      <c r="C3585" s="5" t="str">
        <f>IFERROR(__xludf.DUMMYFUNCTION("GOOGLETRANSLATE(B3585,""en"",""es-ES"")"),"Vemos gente esquiando y snowboard cuesta abajo.")</f>
        <v>Vemos gente esquiando y snowboard cuesta abajo.</v>
      </c>
    </row>
    <row r="3586">
      <c r="A3586" s="4" t="s">
        <v>4507</v>
      </c>
      <c r="B3586" s="4" t="s">
        <v>4510</v>
      </c>
      <c r="C3586" s="5" t="str">
        <f>IFERROR(__xludf.DUMMYFUNCTION("GOOGLETRANSLATE(B3586,""en"",""es-ES"")"),"Los nombres se muestran en una barra azul arriba.")</f>
        <v>Los nombres se muestran en una barra azul arriba.</v>
      </c>
    </row>
    <row r="3587">
      <c r="A3587" s="4" t="s">
        <v>4507</v>
      </c>
      <c r="B3587" s="4" t="s">
        <v>4511</v>
      </c>
      <c r="C3587" s="5" t="str">
        <f>IFERROR(__xludf.DUMMYFUNCTION("GOOGLETRANSLATE(B3587,""en"",""es-ES"")"),"Vemos a un hombre sosteniendo un palo de selfie mientras se aborda la colina.")</f>
        <v>Vemos a un hombre sosteniendo un palo de selfie mientras se aborda la colina.</v>
      </c>
    </row>
    <row r="3588">
      <c r="A3588" s="4" t="s">
        <v>4507</v>
      </c>
      <c r="B3588" s="4" t="s">
        <v>4512</v>
      </c>
      <c r="C3588" s="5" t="str">
        <f>IFERROR(__xludf.DUMMYFUNCTION("GOOGLETRANSLATE(B3588,""en"",""es-ES"")"),"Vemos a una persona en denso bosque montando un snowboard.")</f>
        <v>Vemos a una persona en denso bosque montando un snowboard.</v>
      </c>
    </row>
    <row r="3589">
      <c r="A3589" s="4" t="s">
        <v>4507</v>
      </c>
      <c r="B3589" s="4" t="s">
        <v>4513</v>
      </c>
      <c r="C3589" s="5" t="str">
        <f>IFERROR(__xludf.DUMMYFUNCTION("GOOGLETRANSLATE(B3589,""en"",""es-ES"")"),"Vemos los créditos finales.")</f>
        <v>Vemos los créditos finales.</v>
      </c>
    </row>
    <row r="3590">
      <c r="A3590" s="4" t="s">
        <v>4514</v>
      </c>
      <c r="B3590" s="4" t="s">
        <v>4515</v>
      </c>
      <c r="C3590" s="5" t="str">
        <f>IFERROR(__xludf.DUMMYFUNCTION("GOOGLETRANSLATE(B3590,""en"",""es-ES"")"),"Dos asiáticos un hombre y una mujer están sentados en una mesa antes de ir al interior de un gimnasio.")</f>
        <v>Dos asiáticos un hombre y una mujer están sentados en una mesa antes de ir al interior de un gimnasio.</v>
      </c>
    </row>
    <row r="3591">
      <c r="A3591" s="4" t="s">
        <v>4514</v>
      </c>
      <c r="B3591" s="4" t="s">
        <v>4516</v>
      </c>
      <c r="C3591" s="5" t="str">
        <f>IFERROR(__xludf.DUMMYFUNCTION("GOOGLETRANSLATE(B3591,""en"",""es-ES"")"),"En el gimnasio, varias chicas jóvenes comienzan a hacer gimnasia y actuar antes de regresar y hacer una entrevista con el reportero.")</f>
        <v>En el gimnasio, varias chicas jóvenes comienzan a hacer gimnasia y actuar antes de regresar y hacer una entrevista con el reportero.</v>
      </c>
    </row>
    <row r="3592">
      <c r="A3592" s="4" t="s">
        <v>4514</v>
      </c>
      <c r="B3592" s="4" t="s">
        <v>4517</v>
      </c>
      <c r="C3592" s="5" t="str">
        <f>IFERROR(__xludf.DUMMYFUNCTION("GOOGLETRANSLATE(B3592,""en"",""es-ES"")"),"Luego, un joven se acerca a los bares, hace su rutina y luego regresa a su entrevista.")</f>
        <v>Luego, un joven se acerca a los bares, hace su rutina y luego regresa a su entrevista.</v>
      </c>
    </row>
    <row r="3593">
      <c r="A3593" s="4" t="s">
        <v>4518</v>
      </c>
      <c r="B3593" s="4" t="s">
        <v>4519</v>
      </c>
      <c r="C3593" s="5" t="str">
        <f>IFERROR(__xludf.DUMMYFUNCTION("GOOGLETRANSLATE(B3593,""en"",""es-ES"")"),"Un hombre caucásico que lleva un casco rojo está sentado en un bote en el agua que habla con el agua.")</f>
        <v>Un hombre caucásico que lleva un casco rojo está sentado en un bote en el agua que habla con el agua.</v>
      </c>
    </row>
    <row r="3594">
      <c r="A3594" s="4" t="s">
        <v>4518</v>
      </c>
      <c r="B3594" s="4" t="s">
        <v>4520</v>
      </c>
      <c r="C3594" s="5" t="str">
        <f>IFERROR(__xludf.DUMMYFUNCTION("GOOGLETRANSLATE(B3594,""en"",""es-ES"")"),"Se muestra el agua rocosa y luego el hombre baja en kayak en las aguas blancas.")</f>
        <v>Se muestra el agua rocosa y luego el hombre baja en kayak en las aguas blancas.</v>
      </c>
    </row>
    <row r="3595">
      <c r="A3595" s="4" t="s">
        <v>4518</v>
      </c>
      <c r="B3595" s="4" t="s">
        <v>4521</v>
      </c>
      <c r="C3595" s="5" t="str">
        <f>IFERROR(__xludf.DUMMYFUNCTION("GOOGLETRANSLATE(B3595,""en"",""es-ES"")"),"Se muestra un destello de agua vacante, luego un grupo de diez personas se muestran en kayak juntos sobre las rocas y el agua y finalmente son expulsados ​​por la gran ola.")</f>
        <v>Se muestra un destello de agua vacante, luego un grupo de diez personas se muestran en kayak juntos sobre las rocas y el agua y finalmente son expulsados ​​por la gran ola.</v>
      </c>
    </row>
    <row r="3596">
      <c r="A3596" s="4" t="s">
        <v>4518</v>
      </c>
      <c r="B3596" s="4" t="s">
        <v>4522</v>
      </c>
      <c r="C3596" s="5" t="str">
        <f>IFERROR(__xludf.DUMMYFUNCTION("GOOGLETRANSLATE(B3596,""en"",""es-ES"")"),"El grupo de personas continúa nadando por el agua tratando de encontrar tierra.")</f>
        <v>El grupo de personas continúa nadando por el agua tratando de encontrar tierra.</v>
      </c>
    </row>
    <row r="3597">
      <c r="A3597" s="4" t="s">
        <v>4518</v>
      </c>
      <c r="B3597" s="4" t="s">
        <v>4523</v>
      </c>
      <c r="C3597" s="5" t="str">
        <f>IFERROR(__xludf.DUMMYFUNCTION("GOOGLETRANSLATE(B3597,""en"",""es-ES"")"),"Eventualmente salen y cada persona comienza a hablar la cámara sobre lo que acaba de experimentar.")</f>
        <v>Eventualmente salen y cada persona comienza a hablar la cámara sobre lo que acaba de experimentar.</v>
      </c>
    </row>
    <row r="3598">
      <c r="A3598" s="4" t="s">
        <v>4524</v>
      </c>
      <c r="B3598" s="4" t="s">
        <v>4525</v>
      </c>
      <c r="C3598" s="5" t="str">
        <f>IFERROR(__xludf.DUMMYFUNCTION("GOOGLETRANSLATE(B3598,""en"",""es-ES"")"),"Los jugadores están corriendo en el campo con sus murciélagos.")</f>
        <v>Los jugadores están corriendo en el campo con sus murciélagos.</v>
      </c>
    </row>
    <row r="3599">
      <c r="A3599" s="4" t="s">
        <v>4524</v>
      </c>
      <c r="B3599" s="4" t="s">
        <v>4526</v>
      </c>
      <c r="C3599" s="5" t="str">
        <f>IFERROR(__xludf.DUMMYFUNCTION("GOOGLETRANSLATE(B3599,""en"",""es-ES"")"),"El jugador de camisa está corriendo con el jugador con camisa roja.")</f>
        <v>El jugador de camisa está corriendo con el jugador con camisa roja.</v>
      </c>
    </row>
    <row r="3600">
      <c r="A3600" s="4" t="s">
        <v>4524</v>
      </c>
      <c r="B3600" s="4" t="s">
        <v>4527</v>
      </c>
      <c r="C3600" s="5" t="str">
        <f>IFERROR(__xludf.DUMMYFUNCTION("GOOGLETRANSLATE(B3600,""en"",""es-ES"")"),"Los dos jugadores comenzaron a caminar.")</f>
        <v>Los dos jugadores comenzaron a caminar.</v>
      </c>
    </row>
    <row r="3601">
      <c r="A3601" s="4" t="s">
        <v>4528</v>
      </c>
      <c r="B3601" s="4" t="s">
        <v>4529</v>
      </c>
      <c r="C3601" s="5" t="str">
        <f>IFERROR(__xludf.DUMMYFUNCTION("GOOGLETRANSLATE(B3601,""en"",""es-ES"")"),"Aparece una pantalla blanca y los efectos especiales revelan las palabras ""Howcast Original"".")</f>
        <v>Aparece una pantalla blanca y los efectos especiales revelan las palabras "Howcast Original".</v>
      </c>
    </row>
    <row r="3602">
      <c r="A3602" s="4" t="s">
        <v>4528</v>
      </c>
      <c r="B3602" s="4" t="s">
        <v>4530</v>
      </c>
      <c r="C3602" s="5" t="str">
        <f>IFERROR(__xludf.DUMMYFUNCTION("GOOGLETRANSLATE(B3602,""en"",""es-ES"")"),"Un hombre está hablando mientras varios clips de personas se reproducen y aparecen una pantalla, lo que indica que está dando consejos sobre ""Conceptos básicos de rodadura: cómo controlar la velocidad en las paterlas"", y recoge un par de patines y apunt"&amp;"a a las ruedas, luego más clips de él enrollando y mostrando ejemplos.")</f>
        <v>Un hombre está hablando mientras varios clips de personas se reproducen y aparecen una pantalla, lo que indica que está dando consejos sobre "Conceptos básicos de rodadura: cómo controlar la velocidad en las paterlas", y recoge un par de patines y apunta a las ruedas, luego más clips de él enrollando y mostrando ejemplos.</v>
      </c>
    </row>
    <row r="3603">
      <c r="A3603" s="4" t="s">
        <v>4528</v>
      </c>
      <c r="B3603" s="4" t="s">
        <v>4531</v>
      </c>
      <c r="C3603" s="5" t="str">
        <f>IFERROR(__xludf.DUMMYFUNCTION("GOOGLETRANSLATE(B3603,""en"",""es-ES"")"),"Aparece el outro y es la pantalla blanca en la introducción que incluye las palabras ""Howcast Original"".")</f>
        <v>Aparece el outro y es la pantalla blanca en la introducción que incluye las palabras "Howcast Original".</v>
      </c>
    </row>
    <row r="3604">
      <c r="A3604" s="4" t="s">
        <v>4532</v>
      </c>
      <c r="B3604" s="4" t="s">
        <v>4533</v>
      </c>
      <c r="C3604" s="5" t="str">
        <f>IFERROR(__xludf.DUMMYFUNCTION("GOOGLETRANSLATE(B3604,""en"",""es-ES"")"),"Los miembros de una academia de danza del vientre hacen una rutina coreografiada en un anuncio para la escuela.")</f>
        <v>Los miembros de una academia de danza del vientre hacen una rutina coreografiada en un anuncio para la escuela.</v>
      </c>
    </row>
    <row r="3605">
      <c r="A3605" s="4" t="s">
        <v>4532</v>
      </c>
      <c r="B3605" s="4" t="s">
        <v>4534</v>
      </c>
      <c r="C3605" s="5" t="str">
        <f>IFERROR(__xludf.DUMMYFUNCTION("GOOGLETRANSLATE(B3605,""en"",""es-ES"")"),"Se mueven por el escenario y luego muestran sus vientres.")</f>
        <v>Se mueven por el escenario y luego muestran sus vientres.</v>
      </c>
    </row>
    <row r="3606">
      <c r="A3606" s="4" t="s">
        <v>4535</v>
      </c>
      <c r="B3606" s="4" t="s">
        <v>4536</v>
      </c>
      <c r="C3606" s="5" t="str">
        <f>IFERROR(__xludf.DUMMYFUNCTION("GOOGLETRANSLATE(B3606,""en"",""es-ES"")"),"La gente está bajando por una colina de nieve en trineos.")</f>
        <v>La gente está bajando por una colina de nieve en trineos.</v>
      </c>
    </row>
    <row r="3607">
      <c r="A3607" s="4" t="s">
        <v>4535</v>
      </c>
      <c r="B3607" s="4" t="s">
        <v>4537</v>
      </c>
      <c r="C3607" s="5" t="str">
        <f>IFERROR(__xludf.DUMMYFUNCTION("GOOGLETRANSLATE(B3607,""en"",""es-ES"")"),"La gente está de pie al lado de la colina mirándolos.")</f>
        <v>La gente está de pie al lado de la colina mirándolos.</v>
      </c>
    </row>
    <row r="3608">
      <c r="A3608" s="4" t="s">
        <v>4535</v>
      </c>
      <c r="B3608" s="4" t="s">
        <v>4538</v>
      </c>
      <c r="C3608" s="5" t="str">
        <f>IFERROR(__xludf.DUMMYFUNCTION("GOOGLETRANSLATE(B3608,""en"",""es-ES"")"),"La gente está haciendo un hombre de nieve en la nieve.")</f>
        <v>La gente está haciendo un hombre de nieve en la nieve.</v>
      </c>
    </row>
    <row r="3609">
      <c r="A3609" s="4" t="s">
        <v>4539</v>
      </c>
      <c r="B3609" s="4" t="s">
        <v>4540</v>
      </c>
      <c r="C3609" s="5" t="str">
        <f>IFERROR(__xludf.DUMMYFUNCTION("GOOGLETRANSLATE(B3609,""en"",""es-ES"")"),"Una cámara se mueve alrededor de una ducha y se acerca a una persona afeitándose las piernas.")</f>
        <v>Una cámara se mueve alrededor de una ducha y se acerca a una persona afeitándose las piernas.</v>
      </c>
    </row>
    <row r="3610">
      <c r="A3610" s="4" t="s">
        <v>4539</v>
      </c>
      <c r="B3610" s="4" t="s">
        <v>4541</v>
      </c>
      <c r="C3610" s="5" t="str">
        <f>IFERROR(__xludf.DUMMYFUNCTION("GOOGLETRANSLATE(B3610,""en"",""es-ES"")"),"La cámara la mira mover sus brazos alrededor de sus piernas mientras el agua corre por el desagüe.")</f>
        <v>La cámara la mira mover sus brazos alrededor de sus piernas mientras el agua corre por el desagüe.</v>
      </c>
    </row>
    <row r="3611">
      <c r="A3611" s="4" t="s">
        <v>4542</v>
      </c>
      <c r="B3611" s="4" t="s">
        <v>4543</v>
      </c>
      <c r="C3611" s="5" t="str">
        <f>IFERROR(__xludf.DUMMYFUNCTION("GOOGLETRANSLATE(B3611,""en"",""es-ES"")"),"Un chef habla mientras se encuentra junto a una mesa llena de ingredientes de cocción.")</f>
        <v>Un chef habla mientras se encuentra junto a una mesa llena de ingredientes de cocción.</v>
      </c>
    </row>
    <row r="3612">
      <c r="A3612" s="4" t="s">
        <v>4542</v>
      </c>
      <c r="B3612" s="4" t="s">
        <v>4544</v>
      </c>
      <c r="C3612" s="5" t="str">
        <f>IFERROR(__xludf.DUMMYFUNCTION("GOOGLETRANSLATE(B3612,""en"",""es-ES"")"),"Ella agarra el aceite y la sal y lo vierte en un tazón de mezcla.")</f>
        <v>Ella agarra el aceite y la sal y lo vierte en un tazón de mezcla.</v>
      </c>
    </row>
    <row r="3613">
      <c r="A3613" s="4" t="s">
        <v>4542</v>
      </c>
      <c r="B3613" s="4" t="s">
        <v>4545</v>
      </c>
      <c r="C3613" s="5" t="str">
        <f>IFERROR(__xludf.DUMMYFUNCTION("GOOGLETRANSLATE(B3613,""en"",""es-ES"")"),"Ella agita los ingredientes con algunas pinzas.")</f>
        <v>Ella agita los ingredientes con algunas pinzas.</v>
      </c>
    </row>
    <row r="3614">
      <c r="A3614" s="4" t="s">
        <v>4542</v>
      </c>
      <c r="B3614" s="4" t="s">
        <v>4546</v>
      </c>
      <c r="C3614" s="5" t="str">
        <f>IFERROR(__xludf.DUMMYFUNCTION("GOOGLETRANSLATE(B3614,""en"",""es-ES"")"),"Ella vierte algunos tomates, calabacín y cebollas rojas en el tazón de mezcla.")</f>
        <v>Ella vierte algunos tomates, calabacín y cebollas rojas en el tazón de mezcla.</v>
      </c>
    </row>
    <row r="3615">
      <c r="A3615" s="4" t="s">
        <v>4542</v>
      </c>
      <c r="B3615" s="4" t="s">
        <v>4547</v>
      </c>
      <c r="C3615" s="5" t="str">
        <f>IFERROR(__xludf.DUMMYFUNCTION("GOOGLETRANSLATE(B3615,""en"",""es-ES"")"),"Ella corta un poco de cilantro.")</f>
        <v>Ella corta un poco de cilantro.</v>
      </c>
    </row>
    <row r="3616">
      <c r="A3616" s="4" t="s">
        <v>4542</v>
      </c>
      <c r="B3616" s="4" t="s">
        <v>4548</v>
      </c>
      <c r="C3616" s="5" t="str">
        <f>IFERROR(__xludf.DUMMYFUNCTION("GOOGLETRANSLATE(B3616,""en"",""es-ES"")"),"Ella arroja el cilantro al tazón de mezcla.")</f>
        <v>Ella arroja el cilantro al tazón de mezcla.</v>
      </c>
    </row>
    <row r="3617">
      <c r="A3617" s="4" t="s">
        <v>4542</v>
      </c>
      <c r="B3617" s="4" t="s">
        <v>4549</v>
      </c>
      <c r="C3617" s="5" t="str">
        <f>IFERROR(__xludf.DUMMYFUNCTION("GOOGLETRANSLATE(B3617,""en"",""es-ES"")"),"Ella mezcla las verduras en el tazón de mezcla con las pinzas.")</f>
        <v>Ella mezcla las verduras en el tazón de mezcla con las pinzas.</v>
      </c>
    </row>
    <row r="3618">
      <c r="A3618" s="4" t="s">
        <v>4542</v>
      </c>
      <c r="B3618" s="4" t="s">
        <v>4550</v>
      </c>
      <c r="C3618" s="5" t="str">
        <f>IFERROR(__xludf.DUMMYFUNCTION("GOOGLETRANSLATE(B3618,""en"",""es-ES"")"),"Ella coloca la verdura sobre un poco de rúcula en un plato.")</f>
        <v>Ella coloca la verdura sobre un poco de rúcula en un plato.</v>
      </c>
    </row>
    <row r="3619">
      <c r="A3619" s="4" t="s">
        <v>4542</v>
      </c>
      <c r="B3619" s="4" t="s">
        <v>4551</v>
      </c>
      <c r="C3619" s="5" t="str">
        <f>IFERROR(__xludf.DUMMYFUNCTION("GOOGLETRANSLATE(B3619,""en"",""es-ES"")"),"Ella muestra la ensalada.")</f>
        <v>Ella muestra la ensalada.</v>
      </c>
    </row>
    <row r="3620">
      <c r="A3620" s="4" t="s">
        <v>4552</v>
      </c>
      <c r="B3620" s="4" t="s">
        <v>4553</v>
      </c>
      <c r="C3620" s="5" t="str">
        <f>IFERROR(__xludf.DUMMYFUNCTION("GOOGLETRANSLATE(B3620,""en"",""es-ES"")"),"Una persona con chaqueta roja está parada al costado del carril.")</f>
        <v>Una persona con chaqueta roja está parada al costado del carril.</v>
      </c>
    </row>
    <row r="3621">
      <c r="A3621" s="4" t="s">
        <v>4552</v>
      </c>
      <c r="B3621" s="4" t="s">
        <v>4554</v>
      </c>
      <c r="C3621" s="5" t="str">
        <f>IFERROR(__xludf.DUMMYFUNCTION("GOOGLETRANSLATE(B3621,""en"",""es-ES"")"),"Dos personas se deslizan por el carril cubierto de nieve.")</f>
        <v>Dos personas se deslizan por el carril cubierto de nieve.</v>
      </c>
    </row>
    <row r="3622">
      <c r="A3622" s="4" t="s">
        <v>4552</v>
      </c>
      <c r="B3622" s="4" t="s">
        <v>4555</v>
      </c>
      <c r="C3622" s="5" t="str">
        <f>IFERROR(__xludf.DUMMYFUNCTION("GOOGLETRANSLATE(B3622,""en"",""es-ES"")"),"La mujer en el tubo va más allá del carril mientras agita los brazos.")</f>
        <v>La mujer en el tubo va más allá del carril mientras agita los brazos.</v>
      </c>
    </row>
    <row r="3623">
      <c r="A3623" s="4" t="s">
        <v>4556</v>
      </c>
      <c r="B3623" s="4" t="s">
        <v>4557</v>
      </c>
      <c r="C3623" s="5" t="str">
        <f>IFERROR(__xludf.DUMMYFUNCTION("GOOGLETRANSLATE(B3623,""en"",""es-ES"")"),"Una mujer está de pie junto a un camello que sostiene la correa.")</f>
        <v>Una mujer está de pie junto a un camello que sostiene la correa.</v>
      </c>
    </row>
    <row r="3624">
      <c r="A3624" s="4" t="s">
        <v>4556</v>
      </c>
      <c r="B3624" s="4" t="s">
        <v>4558</v>
      </c>
      <c r="C3624" s="5" t="str">
        <f>IFERROR(__xludf.DUMMYFUNCTION("GOOGLETRANSLATE(B3624,""en"",""es-ES"")"),"La mujer se subió al camello y el camello se puso de pie.")</f>
        <v>La mujer se subió al camello y el camello se puso de pie.</v>
      </c>
    </row>
    <row r="3625">
      <c r="A3625" s="4" t="s">
        <v>4556</v>
      </c>
      <c r="B3625" s="4" t="s">
        <v>4559</v>
      </c>
      <c r="C3625" s="5" t="str">
        <f>IFERROR(__xludf.DUMMYFUNCTION("GOOGLETRANSLATE(B3625,""en"",""es-ES"")"),"El camello camina y se detuvo cuando la mujer tira de la correa y el camello se sentó y la mujer se bajó del camello.")</f>
        <v>El camello camina y se detuvo cuando la mujer tira de la correa y el camello se sentó y la mujer se bajó del camello.</v>
      </c>
    </row>
    <row r="3626">
      <c r="A3626" s="4" t="s">
        <v>4560</v>
      </c>
      <c r="B3626" s="4" t="s">
        <v>4561</v>
      </c>
      <c r="C3626" s="5" t="str">
        <f>IFERROR(__xludf.DUMMYFUNCTION("GOOGLETRANSLATE(B3626,""en"",""es-ES"")"),"El video muestra un dosel que representa el evento deportivo de Eastern Mountain.")</f>
        <v>El video muestra un dosel que representa el evento deportivo de Eastern Mountain.</v>
      </c>
    </row>
    <row r="3627">
      <c r="A3627" s="4" t="s">
        <v>4560</v>
      </c>
      <c r="B3627" s="4" t="s">
        <v>4562</v>
      </c>
      <c r="C3627" s="5" t="str">
        <f>IFERROR(__xludf.DUMMYFUNCTION("GOOGLETRANSLATE(B3627,""en"",""es-ES"")"),"Varios jugadores se están preparando para el evento deportivo en un entorno al aire libre en un día soleado brillante.")</f>
        <v>Varios jugadores se están preparando para el evento deportivo en un entorno al aire libre en un día soleado brillante.</v>
      </c>
    </row>
    <row r="3628">
      <c r="A3628" s="4" t="s">
        <v>4560</v>
      </c>
      <c r="B3628" s="4" t="s">
        <v>4563</v>
      </c>
      <c r="C3628" s="5" t="str">
        <f>IFERROR(__xludf.DUMMYFUNCTION("GOOGLETRANSLATE(B3628,""en"",""es-ES"")"),"Hay un niño que equilibra una cuerda apretada.")</f>
        <v>Hay un niño que equilibra una cuerda apretada.</v>
      </c>
    </row>
    <row r="3629">
      <c r="A3629" s="4" t="s">
        <v>4560</v>
      </c>
      <c r="B3629" s="4" t="s">
        <v>4564</v>
      </c>
      <c r="C3629" s="5" t="str">
        <f>IFERROR(__xludf.DUMMYFUNCTION("GOOGLETRANSLATE(B3629,""en"",""es-ES"")"),"Hay varios otros concursantes que caminan en la cuerda apretada.")</f>
        <v>Hay varios otros concursantes que caminan en la cuerda apretada.</v>
      </c>
    </row>
    <row r="3630">
      <c r="A3630" s="4" t="s">
        <v>4560</v>
      </c>
      <c r="B3630" s="4" t="s">
        <v>4565</v>
      </c>
      <c r="C3630" s="5" t="str">
        <f>IFERROR(__xludf.DUMMYFUNCTION("GOOGLETRANSLATE(B3630,""en"",""es-ES"")"),"Varias personas miran actuar a los concursantes.")</f>
        <v>Varias personas miran actuar a los concursantes.</v>
      </c>
    </row>
    <row r="3631">
      <c r="A3631" s="4" t="s">
        <v>4560</v>
      </c>
      <c r="B3631" s="4" t="s">
        <v>4566</v>
      </c>
      <c r="C3631" s="5" t="str">
        <f>IFERROR(__xludf.DUMMYFUNCTION("GOOGLETRANSLATE(B3631,""en"",""es-ES"")"),"Dos personas juegan con un frisbee mientras una persona camina por la cuerda.")</f>
        <v>Dos personas juegan con un frisbee mientras una persona camina por la cuerda.</v>
      </c>
    </row>
    <row r="3632">
      <c r="A3632" s="4" t="s">
        <v>4560</v>
      </c>
      <c r="B3632" s="4" t="s">
        <v>4567</v>
      </c>
      <c r="C3632" s="5" t="str">
        <f>IFERROR(__xludf.DUMMYFUNCTION("GOOGLETRANSLATE(B3632,""en"",""es-ES"")"),"Una niña y un niño prueban la cuerda apretada.")</f>
        <v>Una niña y un niño prueban la cuerda apretada.</v>
      </c>
    </row>
    <row r="3633">
      <c r="A3633" s="4" t="s">
        <v>4560</v>
      </c>
      <c r="B3633" s="4" t="s">
        <v>4568</v>
      </c>
      <c r="C3633" s="5" t="str">
        <f>IFERROR(__xludf.DUMMYFUNCTION("GOOGLETRANSLATE(B3633,""en"",""es-ES"")"),"Hay personas disfrutando de una hamaca.")</f>
        <v>Hay personas disfrutando de una hamaca.</v>
      </c>
    </row>
    <row r="3634">
      <c r="A3634" s="4" t="s">
        <v>4560</v>
      </c>
      <c r="B3634" s="4" t="s">
        <v>4569</v>
      </c>
      <c r="C3634" s="5" t="str">
        <f>IFERROR(__xludf.DUMMYFUNCTION("GOOGLETRANSLATE(B3634,""en"",""es-ES"")"),"Los créditos finales agradecen a las personas y organizadores del evento.")</f>
        <v>Los créditos finales agradecen a las personas y organizadores del evento.</v>
      </c>
    </row>
    <row r="3635">
      <c r="A3635" s="4" t="s">
        <v>4570</v>
      </c>
      <c r="B3635" s="4" t="s">
        <v>4571</v>
      </c>
      <c r="C3635" s="5" t="str">
        <f>IFERROR(__xludf.DUMMYFUNCTION("GOOGLETRANSLATE(B3635,""en"",""es-ES"")"),"Un automóvil gris está estacionado en un camino de entrada, luego una persona lava las llantas del automóvil.")</f>
        <v>Un automóvil gris está estacionado en un camino de entrada, luego una persona lava las llantas del automóvil.</v>
      </c>
    </row>
    <row r="3636">
      <c r="A3636" s="4" t="s">
        <v>4570</v>
      </c>
      <c r="B3636" s="4" t="s">
        <v>4572</v>
      </c>
      <c r="C3636" s="5" t="str">
        <f>IFERROR(__xludf.DUMMYFUNCTION("GOOGLETRANSLATE(B3636,""en"",""es-ES"")"),"Después, la persona extiende el jabón en el automóvil con una junta de botella a una manguera, después de que cepilla la luz delantera del automóvil.")</f>
        <v>Después, la persona extiende el jabón en el automóvil con una junta de botella a una manguera, después de que cepilla la luz delantera del automóvil.</v>
      </c>
    </row>
    <row r="3637">
      <c r="A3637" s="4" t="s">
        <v>4570</v>
      </c>
      <c r="B3637" s="4" t="s">
        <v>4573</v>
      </c>
      <c r="C3637" s="5" t="str">
        <f>IFERROR(__xludf.DUMMYFUNCTION("GOOGLETRANSLATE(B3637,""en"",""es-ES"")"),"Luego, la persona limpia el capó con un paño.")</f>
        <v>Luego, la persona limpia el capó con un paño.</v>
      </c>
    </row>
    <row r="3638">
      <c r="A3638" s="4" t="s">
        <v>4570</v>
      </c>
      <c r="B3638" s="4" t="s">
        <v>4574</v>
      </c>
      <c r="C3638" s="5" t="str">
        <f>IFERROR(__xludf.DUMMYFUNCTION("GOOGLETRANSLATE(B3638,""en"",""es-ES"")"),"Luego, la persona enjuague y seca el auto.")</f>
        <v>Luego, la persona enjuague y seca el auto.</v>
      </c>
    </row>
    <row r="3639">
      <c r="A3639" s="4" t="s">
        <v>4575</v>
      </c>
      <c r="B3639" s="4" t="s">
        <v>4576</v>
      </c>
      <c r="C3639" s="5" t="str">
        <f>IFERROR(__xludf.DUMMYFUNCTION("GOOGLETRANSLATE(B3639,""en"",""es-ES"")"),"Se ve a una persona sosteniendo una raqueta de tenis en un campo y golpea la pelota en el campo.")</f>
        <v>Se ve a una persona sosteniendo una raqueta de tenis en un campo y golpea la pelota en el campo.</v>
      </c>
    </row>
    <row r="3640">
      <c r="A3640" s="4" t="s">
        <v>4575</v>
      </c>
      <c r="B3640" s="4" t="s">
        <v>4577</v>
      </c>
      <c r="C3640" s="5" t="str">
        <f>IFERROR(__xludf.DUMMYFUNCTION("GOOGLETRANSLATE(B3640,""en"",""es-ES"")"),"Luego sonríe y camina hacia la cámara mientras apunta hacia la distancia y el puño golpeando.")</f>
        <v>Luego sonríe y camina hacia la cámara mientras apunta hacia la distancia y el puño golpeando.</v>
      </c>
    </row>
    <row r="3641">
      <c r="A3641" s="4" t="s">
        <v>4578</v>
      </c>
      <c r="B3641" s="4" t="s">
        <v>4579</v>
      </c>
      <c r="C3641" s="5" t="str">
        <f>IFERROR(__xludf.DUMMYFUNCTION("GOOGLETRANSLATE(B3641,""en"",""es-ES"")"),"Un grupo de esgrimistas posa con un instructor.")</f>
        <v>Un grupo de esgrimistas posa con un instructor.</v>
      </c>
    </row>
    <row r="3642">
      <c r="A3642" s="4" t="s">
        <v>4578</v>
      </c>
      <c r="B3642" s="4" t="s">
        <v>4580</v>
      </c>
      <c r="C3642" s="5" t="str">
        <f>IFERROR(__xludf.DUMMYFUNCTION("GOOGLETRANSLATE(B3642,""en"",""es-ES"")"),"Los cercadores se muestran dentro de un gimnasio, practicando.")</f>
        <v>Los cercadores se muestran dentro de un gimnasio, practicando.</v>
      </c>
    </row>
    <row r="3643">
      <c r="A3643" s="4" t="s">
        <v>4578</v>
      </c>
      <c r="B3643" s="4" t="s">
        <v>4581</v>
      </c>
      <c r="C3643" s="5" t="str">
        <f>IFERROR(__xludf.DUMMYFUNCTION("GOOGLETRANSLATE(B3643,""en"",""es-ES"")"),"Jab y hacen varios movimientos entre sí durante el partido.")</f>
        <v>Jab y hacen varios movimientos entre sí durante el partido.</v>
      </c>
    </row>
    <row r="3644">
      <c r="A3644" s="4" t="s">
        <v>4582</v>
      </c>
      <c r="B3644" s="4" t="s">
        <v>4583</v>
      </c>
      <c r="C3644" s="5" t="str">
        <f>IFERROR(__xludf.DUMMYFUNCTION("GOOGLETRANSLATE(B3644,""en"",""es-ES"")"),"Se ve a una persona sentada en un tobogán y comienza a montar por el tobogán.")</f>
        <v>Se ve a una persona sentada en un tobogán y comienza a montar por el tobogán.</v>
      </c>
    </row>
    <row r="3645">
      <c r="A3645" s="4" t="s">
        <v>4582</v>
      </c>
      <c r="B3645" s="4" t="s">
        <v>4584</v>
      </c>
      <c r="C3645" s="5" t="str">
        <f>IFERROR(__xludf.DUMMYFUNCTION("GOOGLETRANSLATE(B3645,""en"",""es-ES"")"),"Conoce a otra persona en la parte inferior mientras se ríe de la cámara y otra persona corriendo.")</f>
        <v>Conoce a otra persona en la parte inferior mientras se ríe de la cámara y otra persona corriendo.</v>
      </c>
    </row>
    <row r="3646">
      <c r="A3646" s="4" t="s">
        <v>4585</v>
      </c>
      <c r="B3646" s="4" t="s">
        <v>4586</v>
      </c>
      <c r="C3646" s="5" t="str">
        <f>IFERROR(__xludf.DUMMYFUNCTION("GOOGLETRANSLATE(B3646,""en"",""es-ES"")"),"Una persona está parada en una tabla de buceo.")</f>
        <v>Una persona está parada en una tabla de buceo.</v>
      </c>
    </row>
    <row r="3647">
      <c r="A3647" s="4" t="s">
        <v>4585</v>
      </c>
      <c r="B3647" s="4" t="s">
        <v>4587</v>
      </c>
      <c r="C3647" s="5" t="str">
        <f>IFERROR(__xludf.DUMMYFUNCTION("GOOGLETRANSLATE(B3647,""en"",""es-ES"")"),"Saltan del tablero de buceo a la piscina.")</f>
        <v>Saltan del tablero de buceo a la piscina.</v>
      </c>
    </row>
    <row r="3648">
      <c r="A3648" s="4" t="s">
        <v>4585</v>
      </c>
      <c r="B3648" s="4" t="s">
        <v>4588</v>
      </c>
      <c r="C3648" s="5" t="str">
        <f>IFERROR(__xludf.DUMMYFUNCTION("GOOGLETRANSLATE(B3648,""en"",""es-ES"")"),"Se cae hacia atrás en el agua.")</f>
        <v>Se cae hacia atrás en el agua.</v>
      </c>
    </row>
    <row r="3649">
      <c r="A3649" s="4" t="s">
        <v>4585</v>
      </c>
      <c r="B3649" s="4" t="s">
        <v>4589</v>
      </c>
      <c r="C3649" s="5" t="str">
        <f>IFERROR(__xludf.DUMMYFUNCTION("GOOGLETRANSLATE(B3649,""en"",""es-ES"")"),"Alguien está saltando al agua del tablero de buceo.")</f>
        <v>Alguien está saltando al agua del tablero de buceo.</v>
      </c>
    </row>
    <row r="3650">
      <c r="A3650" s="4" t="s">
        <v>4585</v>
      </c>
      <c r="B3650" s="4" t="s">
        <v>4590</v>
      </c>
      <c r="C3650" s="5" t="str">
        <f>IFERROR(__xludf.DUMMYFUNCTION("GOOGLETRANSLATE(B3650,""en"",""es-ES"")"),"Una persona salta y pasa bajo el agua.")</f>
        <v>Una persona salta y pasa bajo el agua.</v>
      </c>
    </row>
    <row r="3651">
      <c r="A3651" s="4" t="s">
        <v>4585</v>
      </c>
      <c r="B3651" s="4" t="s">
        <v>4591</v>
      </c>
      <c r="C3651" s="5" t="str">
        <f>IFERROR(__xludf.DUMMYFUNCTION("GOOGLETRANSLATE(B3651,""en"",""es-ES"")"),"Un hombre está saltando alto y voltea el agua de la tabla de buceo.")</f>
        <v>Un hombre está saltando alto y voltea el agua de la tabla de buceo.</v>
      </c>
    </row>
    <row r="3652">
      <c r="A3652" s="4" t="s">
        <v>4585</v>
      </c>
      <c r="B3652" s="4" t="s">
        <v>4592</v>
      </c>
      <c r="C3652" s="5" t="str">
        <f>IFERROR(__xludf.DUMMYFUNCTION("GOOGLETRANSLATE(B3652,""en"",""es-ES"")"),"Una persona hace un flip negro en el agua de la tabla de buceo.")</f>
        <v>Una persona hace un flip negro en el agua de la tabla de buceo.</v>
      </c>
    </row>
    <row r="3653">
      <c r="A3653" s="4" t="s">
        <v>4593</v>
      </c>
      <c r="B3653" s="4" t="s">
        <v>4594</v>
      </c>
      <c r="C3653" s="5" t="str">
        <f>IFERROR(__xludf.DUMMYFUNCTION("GOOGLETRANSLATE(B3653,""en"",""es-ES"")"),"Se ve un pequeño terreno de personas parado alrededor de un campo de béisbol mirando unos a otros.")</f>
        <v>Se ve un pequeño terreno de personas parado alrededor de un campo de béisbol mirando unos a otros.</v>
      </c>
    </row>
    <row r="3654">
      <c r="A3654" s="4" t="s">
        <v>4593</v>
      </c>
      <c r="B3654" s="4" t="s">
        <v>4595</v>
      </c>
      <c r="C3654" s="5" t="str">
        <f>IFERROR(__xludf.DUMMYFUNCTION("GOOGLETRANSLATE(B3654,""en"",""es-ES"")"),"De repente, algunos comienzan a bailar y uno sostiene la pelota en el medio.")</f>
        <v>De repente, algunos comienzan a bailar y uno sostiene la pelota en el medio.</v>
      </c>
    </row>
    <row r="3655">
      <c r="A3655" s="4" t="s">
        <v>4596</v>
      </c>
      <c r="B3655" s="4" t="s">
        <v>4597</v>
      </c>
      <c r="C3655" s="5" t="str">
        <f>IFERROR(__xludf.DUMMYFUNCTION("GOOGLETRANSLATE(B3655,""en"",""es-ES"")"),"Little Kid está parado frente a un mostrador con frascos e inspenantes frente a ella.")</f>
        <v>Little Kid está parado frente a un mostrador con frascos e inspenantes frente a ella.</v>
      </c>
    </row>
    <row r="3656">
      <c r="A3656" s="4" t="s">
        <v>4596</v>
      </c>
      <c r="B3656" s="4" t="s">
        <v>4598</v>
      </c>
      <c r="C3656" s="5" t="str">
        <f>IFERROR(__xludf.DUMMYFUNCTION("GOOGLETRANSLATE(B3656,""en"",""es-ES"")"),"La mujer está poniendo azúcar en una sartén con agua y calienta, ponga agua y jugo de limón y mezcla todos los ingredientes en un frasco.")</f>
        <v>La mujer está poniendo azúcar en una sartén con agua y calienta, ponga agua y jugo de limón y mezcla todos los ingredientes en un frasco.</v>
      </c>
    </row>
    <row r="3657">
      <c r="A3657" s="4" t="s">
        <v>4599</v>
      </c>
      <c r="B3657" s="4" t="s">
        <v>4600</v>
      </c>
      <c r="C3657" s="5" t="str">
        <f>IFERROR(__xludf.DUMMYFUNCTION("GOOGLETRANSLATE(B3657,""en"",""es-ES"")"),"Un niño está jugando con una pelota.")</f>
        <v>Un niño está jugando con una pelota.</v>
      </c>
    </row>
    <row r="3658">
      <c r="A3658" s="4" t="s">
        <v>4599</v>
      </c>
      <c r="B3658" s="4" t="s">
        <v>4601</v>
      </c>
      <c r="C3658" s="5" t="str">
        <f>IFERROR(__xludf.DUMMYFUNCTION("GOOGLETRANSLATE(B3658,""en"",""es-ES"")"),"Los niños practican lacrosse en un campo de hierba.")</f>
        <v>Los niños practican lacrosse en un campo de hierba.</v>
      </c>
    </row>
    <row r="3659">
      <c r="A3659" s="4" t="s">
        <v>4599</v>
      </c>
      <c r="B3659" s="4" t="s">
        <v>4602</v>
      </c>
      <c r="C3659" s="5" t="str">
        <f>IFERROR(__xludf.DUMMYFUNCTION("GOOGLETRANSLATE(B3659,""en"",""es-ES"")"),"Un hombre con una chaqueta negra los está viendo jugar.")</f>
        <v>Un hombre con una chaqueta negra los está viendo jugar.</v>
      </c>
    </row>
    <row r="3660">
      <c r="A3660" s="4" t="s">
        <v>4603</v>
      </c>
      <c r="B3660" s="4" t="s">
        <v>4604</v>
      </c>
      <c r="C3660" s="5" t="str">
        <f>IFERROR(__xludf.DUMMYFUNCTION("GOOGLETRANSLATE(B3660,""en"",""es-ES"")"),"Hay mucha gente parada al aire libre caminando y hablando.")</f>
        <v>Hay mucha gente parada al aire libre caminando y hablando.</v>
      </c>
    </row>
    <row r="3661">
      <c r="A3661" s="4" t="s">
        <v>4603</v>
      </c>
      <c r="B3661" s="4" t="s">
        <v>4605</v>
      </c>
      <c r="C3661" s="5" t="str">
        <f>IFERROR(__xludf.DUMMYFUNCTION("GOOGLETRANSLATE(B3661,""en"",""es-ES"")"),"Un niño pequeño va detrás de una escalera y otras personas siguen caminando.")</f>
        <v>Un niño pequeño va detrás de una escalera y otras personas siguen caminando.</v>
      </c>
    </row>
    <row r="3662">
      <c r="A3662" s="4" t="s">
        <v>4603</v>
      </c>
      <c r="B3662" s="4" t="s">
        <v>4606</v>
      </c>
      <c r="C3662" s="5" t="str">
        <f>IFERROR(__xludf.DUMMYFUNCTION("GOOGLETRANSLATE(B3662,""en"",""es-ES"")"),"Una piñata cae desde lo alto y golpea la piñata con un palo y luego alguien sale sosteniendo un tazón lleno de bolsas.")</f>
        <v>Una piñata cae desde lo alto y golpea la piñata con un palo y luego alguien sale sosteniendo un tazón lleno de bolsas.</v>
      </c>
    </row>
    <row r="3663">
      <c r="A3663" s="4" t="s">
        <v>4607</v>
      </c>
      <c r="B3663" s="4" t="s">
        <v>4608</v>
      </c>
      <c r="C3663" s="5" t="str">
        <f>IFERROR(__xludf.DUMMYFUNCTION("GOOGLETRANSLATE(B3663,""en"",""es-ES"")"),"Hay una línea de camellos sentados en el suelo en el área de Outback de Australia.")</f>
        <v>Hay una línea de camellos sentados en el suelo en el área de Outback de Australia.</v>
      </c>
    </row>
    <row r="3664">
      <c r="A3664" s="4" t="s">
        <v>4607</v>
      </c>
      <c r="B3664" s="4" t="s">
        <v>4609</v>
      </c>
      <c r="C3664" s="5" t="str">
        <f>IFERROR(__xludf.DUMMYFUNCTION("GOOGLETRANSLATE(B3664,""en"",""es-ES"")"),"Hay turistas que esperan para subir a los camellos para disfrutar de un paseo en el camello.")</f>
        <v>Hay turistas que esperan para subir a los camellos para disfrutar de un paseo en el camello.</v>
      </c>
    </row>
    <row r="3665">
      <c r="A3665" s="4" t="s">
        <v>4607</v>
      </c>
      <c r="B3665" s="4" t="s">
        <v>4610</v>
      </c>
      <c r="C3665" s="5" t="str">
        <f>IFERROR(__xludf.DUMMYFUNCTION("GOOGLETRANSLATE(B3665,""en"",""es-ES"")"),"Los hombres con camisas rojas y sombreros de vaquero están ayudando a los turistas a respaldos de los camellos.")</f>
        <v>Los hombres con camisas rojas y sombreros de vaquero están ayudando a los turistas a respaldos de los camellos.</v>
      </c>
    </row>
    <row r="3666">
      <c r="A3666" s="4" t="s">
        <v>4607</v>
      </c>
      <c r="B3666" s="4" t="s">
        <v>4611</v>
      </c>
      <c r="C3666" s="5" t="str">
        <f>IFERROR(__xludf.DUMMYFUNCTION("GOOGLETRANSLATE(B3666,""en"",""es-ES"")"),"Los camellos se levantan lentamente y comienzan a caminar con los turistas en la espalda.")</f>
        <v>Los camellos se levantan lentamente y comienzan a caminar con los turistas en la espalda.</v>
      </c>
    </row>
    <row r="3667">
      <c r="A3667" s="4" t="s">
        <v>4607</v>
      </c>
      <c r="B3667" s="4" t="s">
        <v>4612</v>
      </c>
      <c r="C3667" s="5" t="str">
        <f>IFERROR(__xludf.DUMMYFUNCTION("GOOGLETRANSLATE(B3667,""en"",""es-ES"")"),"Los turistas están felices mientras saludan a la cámara mientras disfrutan del paseo en camello.")</f>
        <v>Los turistas están felices mientras saludan a la cámara mientras disfrutan del paseo en camello.</v>
      </c>
    </row>
    <row r="3668">
      <c r="A3668" s="4" t="s">
        <v>4607</v>
      </c>
      <c r="B3668" s="4" t="s">
        <v>4613</v>
      </c>
      <c r="C3668" s="5" t="str">
        <f>IFERROR(__xludf.DUMMYFUNCTION("GOOGLETRANSLATE(B3668,""en"",""es-ES"")"),"Los camellos caminan lentamente a través de las praderas secas y fangosas.")</f>
        <v>Los camellos caminan lentamente a través de las praderas secas y fangosas.</v>
      </c>
    </row>
    <row r="3669">
      <c r="A3669" s="4" t="s">
        <v>4607</v>
      </c>
      <c r="B3669" s="4" t="s">
        <v>4614</v>
      </c>
      <c r="C3669" s="5" t="str">
        <f>IFERROR(__xludf.DUMMYFUNCTION("GOOGLETRANSLATE(B3669,""en"",""es-ES"")"),"Luego, los turistas se bajan de los camellos y caminan hacia un comedor al aire libre, donde se organizan varias mesas con manteles blancos y vajillas.")</f>
        <v>Luego, los turistas se bajan de los camellos y caminan hacia un comedor al aire libre, donde se organizan varias mesas con manteles blancos y vajillas.</v>
      </c>
    </row>
    <row r="3670">
      <c r="A3670" s="4" t="s">
        <v>4615</v>
      </c>
      <c r="B3670" s="4" t="s">
        <v>4616</v>
      </c>
      <c r="C3670" s="5" t="str">
        <f>IFERROR(__xludf.DUMMYFUNCTION("GOOGLETRANSLATE(B3670,""en"",""es-ES"")"),"Una copa de martini se está llenando de vodka.")</f>
        <v>Una copa de martini se está llenando de vodka.</v>
      </c>
    </row>
    <row r="3671">
      <c r="A3671" s="4" t="s">
        <v>4615</v>
      </c>
      <c r="B3671" s="4" t="s">
        <v>4617</v>
      </c>
      <c r="C3671" s="5" t="str">
        <f>IFERROR(__xludf.DUMMYFUNCTION("GOOGLETRANSLATE(B3671,""en"",""es-ES"")"),"Una mujer se muestra detrás de una barra con diferentes botellas de alcohol.")</f>
        <v>Una mujer se muestra detrás de una barra con diferentes botellas de alcohol.</v>
      </c>
    </row>
    <row r="3672">
      <c r="A3672" s="4" t="s">
        <v>4615</v>
      </c>
      <c r="B3672" s="4" t="s">
        <v>4618</v>
      </c>
      <c r="C3672" s="5" t="str">
        <f>IFERROR(__xludf.DUMMYFUNCTION("GOOGLETRANSLATE(B3672,""en"",""es-ES"")"),"Ella los mezcla, luego decora la bebida final.")</f>
        <v>Ella los mezcla, luego decora la bebida final.</v>
      </c>
    </row>
    <row r="3673">
      <c r="A3673" s="4" t="s">
        <v>4619</v>
      </c>
      <c r="B3673" s="4" t="s">
        <v>4620</v>
      </c>
      <c r="C3673" s="5" t="str">
        <f>IFERROR(__xludf.DUMMYFUNCTION("GOOGLETRANSLATE(B3673,""en"",""es-ES"")"),"Una persona muestra cómo limpiar grandes ventanas.")</f>
        <v>Una persona muestra cómo limpiar grandes ventanas.</v>
      </c>
    </row>
    <row r="3674">
      <c r="A3674" s="4" t="s">
        <v>4619</v>
      </c>
      <c r="B3674" s="4" t="s">
        <v>4621</v>
      </c>
      <c r="C3674" s="5" t="str">
        <f>IFERROR(__xludf.DUMMYFUNCTION("GOOGLETRANSLATE(B3674,""en"",""es-ES"")"),"Primero se aplica el jabón y luego se quita.")</f>
        <v>Primero se aplica el jabón y luego se quita.</v>
      </c>
    </row>
    <row r="3675">
      <c r="A3675" s="4" t="s">
        <v>4619</v>
      </c>
      <c r="B3675" s="4" t="s">
        <v>4622</v>
      </c>
      <c r="C3675" s="5" t="str">
        <f>IFERROR(__xludf.DUMMYFUNCTION("GOOGLETRANSLATE(B3675,""en"",""es-ES"")"),"El proceso se repite y termina.")</f>
        <v>El proceso se repite y termina.</v>
      </c>
    </row>
    <row r="3676">
      <c r="A3676" s="4" t="s">
        <v>4623</v>
      </c>
      <c r="B3676" s="4" t="s">
        <v>4624</v>
      </c>
      <c r="C3676" s="5" t="str">
        <f>IFERROR(__xludf.DUMMYFUNCTION("GOOGLETRANSLATE(B3676,""en"",""es-ES"")"),"Se ve a un hombre girando un palo alrededor de una olla mientras un niño al lado lo ve trabajar.")</f>
        <v>Se ve a un hombre girando un palo alrededor de una olla mientras un niño al lado lo ve trabajar.</v>
      </c>
    </row>
    <row r="3677">
      <c r="A3677" s="4" t="s">
        <v>4623</v>
      </c>
      <c r="B3677" s="4" t="s">
        <v>4625</v>
      </c>
      <c r="C3677" s="5" t="str">
        <f>IFERROR(__xludf.DUMMYFUNCTION("GOOGLETRANSLATE(B3677,""en"",""es-ES"")"),"El hombre se burla del niño con un cono y deja que el niño lo tenga, solo para ser llevado nuevamente.")</f>
        <v>El hombre se burla del niño con un cono y deja que el niño lo tenga, solo para ser llevado nuevamente.</v>
      </c>
    </row>
    <row r="3678">
      <c r="A3678" s="4" t="s">
        <v>4623</v>
      </c>
      <c r="B3678" s="4" t="s">
        <v>4626</v>
      </c>
      <c r="C3678" s="5" t="str">
        <f>IFERROR(__xludf.DUMMYFUNCTION("GOOGLETRANSLATE(B3678,""en"",""es-ES"")"),"El hombre luego pone helado en el cono y le sonríe al niño mientras se aleja y la reloj de otros.")</f>
        <v>El hombre luego pone helado en el cono y le sonríe al niño mientras se aleja y la reloj de otros.</v>
      </c>
    </row>
    <row r="3679">
      <c r="A3679" s="4" t="s">
        <v>4627</v>
      </c>
      <c r="B3679" s="4" t="s">
        <v>4628</v>
      </c>
      <c r="C3679" s="5" t="str">
        <f>IFERROR(__xludf.DUMMYFUNCTION("GOOGLETRANSLATE(B3679,""en"",""es-ES"")"),"Se ve a un jugador de baloncesto saltando bajo una red de baloncesto y disparando una pelota continuamente en la red.")</f>
        <v>Se ve a un jugador de baloncesto saltando bajo una red de baloncesto y disparando una pelota continuamente en la red.</v>
      </c>
    </row>
    <row r="3680">
      <c r="A3680" s="4" t="s">
        <v>4627</v>
      </c>
      <c r="B3680" s="4" t="s">
        <v>4629</v>
      </c>
      <c r="C3680" s="5" t="str">
        <f>IFERROR(__xludf.DUMMYFUNCTION("GOOGLETRANSLATE(B3680,""en"",""es-ES"")"),"Ella continúa disparando y el video termina con varios texto en la pantalla.")</f>
        <v>Ella continúa disparando y el video termina con varios texto en la pantalla.</v>
      </c>
    </row>
    <row r="3681">
      <c r="A3681" s="4" t="s">
        <v>4630</v>
      </c>
      <c r="B3681" s="4" t="s">
        <v>4631</v>
      </c>
      <c r="C3681" s="5" t="str">
        <f>IFERROR(__xludf.DUMMYFUNCTION("GOOGLETRANSLATE(B3681,""en"",""es-ES"")"),"Una persona sostiene el producto de limpieza y una botella de spray con la mezcla sobre un fregadero de la cocina.")</f>
        <v>Una persona sostiene el producto de limpieza y una botella de spray con la mezcla sobre un fregadero de la cocina.</v>
      </c>
    </row>
    <row r="3682">
      <c r="A3682" s="4" t="s">
        <v>4630</v>
      </c>
      <c r="B3682" s="4" t="s">
        <v>4632</v>
      </c>
      <c r="C3682" s="5" t="str">
        <f>IFERROR(__xludf.DUMMYFUNCTION("GOOGLETRANSLATE(B3682,""en"",""es-ES"")"),"La persona rocía el fregadero de acero inoxidable con detergente en una botella de spray.")</f>
        <v>La persona rocía el fregadero de acero inoxidable con detergente en una botella de spray.</v>
      </c>
    </row>
    <row r="3683">
      <c r="A3683" s="4" t="s">
        <v>4630</v>
      </c>
      <c r="B3683" s="4" t="s">
        <v>4633</v>
      </c>
      <c r="C3683" s="5" t="str">
        <f>IFERROR(__xludf.DUMMYFUNCTION("GOOGLETRANSLATE(B3683,""en"",""es-ES"")"),"Se usa una esponja para fregar el canto con la solución de limpieza.")</f>
        <v>Se usa una esponja para fregar el canto con la solución de limpieza.</v>
      </c>
    </row>
    <row r="3684">
      <c r="A3684" s="4" t="s">
        <v>4630</v>
      </c>
      <c r="B3684" s="4" t="s">
        <v>4634</v>
      </c>
      <c r="C3684" s="5" t="str">
        <f>IFERROR(__xludf.DUMMYFUNCTION("GOOGLETRANSLATE(B3684,""en"",""es-ES"")"),"El grifo se enciende y se usa para enjuagar el fregadero.")</f>
        <v>El grifo se enciende y se usa para enjuagar el fregadero.</v>
      </c>
    </row>
    <row r="3685">
      <c r="A3685" s="4" t="s">
        <v>4635</v>
      </c>
      <c r="B3685" s="4" t="s">
        <v>4636</v>
      </c>
      <c r="C3685" s="5" t="str">
        <f>IFERROR(__xludf.DUMMYFUNCTION("GOOGLETRANSLATE(B3685,""en"",""es-ES"")"),"Se muestra un bebé en una pantalla y alguien golpea la pantalla con un martillo.")</f>
        <v>Se muestra un bebé en una pantalla y alguien golpea la pantalla con un martillo.</v>
      </c>
    </row>
    <row r="3686">
      <c r="A3686" s="4" t="s">
        <v>4635</v>
      </c>
      <c r="B3686" s="4" t="s">
        <v>4637</v>
      </c>
      <c r="C3686" s="5" t="str">
        <f>IFERROR(__xludf.DUMMYFUNCTION("GOOGLETRANSLATE(B3686,""en"",""es-ES"")"),"El hombre está haciendo patineta y está talando el tablero en diferentes lugares.")</f>
        <v>El hombre está haciendo patineta y está talando el tablero en diferentes lugares.</v>
      </c>
    </row>
    <row r="3687">
      <c r="A3687" s="4" t="s">
        <v>4635</v>
      </c>
      <c r="B3687" s="4" t="s">
        <v>4638</v>
      </c>
      <c r="C3687" s="5" t="str">
        <f>IFERROR(__xludf.DUMMYFUNCTION("GOOGLETRANSLATE(B3687,""en"",""es-ES"")"),"El hombre está pasando por las grandes escaleras y cae.")</f>
        <v>El hombre está pasando por las grandes escaleras y cae.</v>
      </c>
    </row>
    <row r="3688">
      <c r="A3688" s="4" t="s">
        <v>4635</v>
      </c>
      <c r="B3688" s="4" t="s">
        <v>4639</v>
      </c>
      <c r="C3688" s="5" t="str">
        <f>IFERROR(__xludf.DUMMYFUNCTION("GOOGLETRANSLATE(B3688,""en"",""es-ES"")"),"El hombre está patinando por un riel de cemento en las escaleras.")</f>
        <v>El hombre está patinando por un riel de cemento en las escaleras.</v>
      </c>
    </row>
    <row r="3689">
      <c r="A3689" s="4" t="s">
        <v>4640</v>
      </c>
      <c r="B3689" s="4" t="s">
        <v>4641</v>
      </c>
      <c r="C3689" s="5" t="str">
        <f>IFERROR(__xludf.DUMMYFUNCTION("GOOGLETRANSLATE(B3689,""en"",""es-ES"")"),"Un periodista entrevista a dos niños y un niño pequeño.")</f>
        <v>Un periodista entrevista a dos niños y un niño pequeño.</v>
      </c>
    </row>
    <row r="3690">
      <c r="A3690" s="4" t="s">
        <v>4640</v>
      </c>
      <c r="B3690" s="4" t="s">
        <v>4642</v>
      </c>
      <c r="C3690" s="5" t="str">
        <f>IFERROR(__xludf.DUMMYFUNCTION("GOOGLETRANSLATE(B3690,""en"",""es-ES"")"),"Luego, los grandes y los niños pequeños juegan mesa de fútbol mientras el periodista continúa la entrevista.")</f>
        <v>Luego, los grandes y los niños pequeños juegan mesa de fútbol mientras el periodista continúa la entrevista.</v>
      </c>
    </row>
    <row r="3691">
      <c r="A3691" s="4" t="s">
        <v>4643</v>
      </c>
      <c r="B3691" s="4" t="s">
        <v>4644</v>
      </c>
      <c r="C3691" s="5" t="str">
        <f>IFERROR(__xludf.DUMMYFUNCTION("GOOGLETRANSLATE(B3691,""en"",""es-ES"")"),"Las jóvenes jugadoras corren por la cancha lanzando pelota entre sí.")</f>
        <v>Las jóvenes jugadoras corren por la cancha lanzando pelota entre sí.</v>
      </c>
    </row>
    <row r="3692">
      <c r="A3692" s="4" t="s">
        <v>4643</v>
      </c>
      <c r="B3692" s="4" t="s">
        <v>4645</v>
      </c>
      <c r="C3692" s="5" t="str">
        <f>IFERROR(__xludf.DUMMYFUNCTION("GOOGLETRANSLATE(B3692,""en"",""es-ES"")"),"Algunos de los jugadores están evitando la pelota, por lo que continúan corriendo.")</f>
        <v>Algunos de los jugadores están evitando la pelota, por lo que continúan corriendo.</v>
      </c>
    </row>
    <row r="3693">
      <c r="A3693" s="4" t="s">
        <v>4643</v>
      </c>
      <c r="B3693" s="4" t="s">
        <v>4646</v>
      </c>
      <c r="C3693" s="5" t="str">
        <f>IFERROR(__xludf.DUMMYFUNCTION("GOOGLETRANSLATE(B3693,""en"",""es-ES"")"),"Las jugadoras caminaron mientras pateaban la pelota de un lado al siguiente.")</f>
        <v>Las jugadoras caminaron mientras pateaban la pelota de un lado al siguiente.</v>
      </c>
    </row>
    <row r="3694">
      <c r="A3694" s="4" t="s">
        <v>4643</v>
      </c>
      <c r="B3694" s="4" t="s">
        <v>4647</v>
      </c>
      <c r="C3694" s="5" t="str">
        <f>IFERROR(__xludf.DUMMYFUNCTION("GOOGLETRANSLATE(B3694,""en"",""es-ES"")"),"Los jugadores patearon la pelota a la siguiente persona en el lado opuesto de la cancha.")</f>
        <v>Los jugadores patearon la pelota a la siguiente persona en el lado opuesto de la cancha.</v>
      </c>
    </row>
    <row r="3695">
      <c r="A3695" s="4" t="s">
        <v>4648</v>
      </c>
      <c r="B3695" s="4" t="s">
        <v>4649</v>
      </c>
      <c r="C3695" s="5" t="str">
        <f>IFERROR(__xludf.DUMMYFUNCTION("GOOGLETRANSLATE(B3695,""en"",""es-ES"")"),"Se ve a un pequeño grupo de personas montar bicicletas de ejercicios una al lado de la otra mientras una mujer se encuentra en el medio motivándolos.")</f>
        <v>Se ve a un pequeño grupo de personas montar bicicletas de ejercicios una al lado de la otra mientras una mujer se encuentra en el medio motivándolos.</v>
      </c>
    </row>
    <row r="3696">
      <c r="A3696" s="4" t="s">
        <v>4648</v>
      </c>
      <c r="B3696" s="4" t="s">
        <v>4650</v>
      </c>
      <c r="C3696" s="5" t="str">
        <f>IFERROR(__xludf.DUMMYFUNCTION("GOOGLETRANSLATE(B3696,""en"",""es-ES"")"),"La gente continúa girando en las bicicletas con algunas luchas y otras continúan vendiendo.")</f>
        <v>La gente continúa girando en las bicicletas con algunas luchas y otras continúan vendiendo.</v>
      </c>
    </row>
    <row r="3697">
      <c r="A3697" s="4" t="s">
        <v>4651</v>
      </c>
      <c r="B3697" s="4" t="s">
        <v>4652</v>
      </c>
      <c r="C3697" s="5" t="str">
        <f>IFERROR(__xludf.DUMMYFUNCTION("GOOGLETRANSLATE(B3697,""en"",""es-ES"")"),"Se ve a una mujer cepillando grandes cantidades de cabello del cuerpo de un perro y recolectando el pelaje en su mano.")</f>
        <v>Se ve a una mujer cepillando grandes cantidades de cabello del cuerpo de un perro y recolectando el pelaje en su mano.</v>
      </c>
    </row>
    <row r="3698">
      <c r="A3698" s="4" t="s">
        <v>4651</v>
      </c>
      <c r="B3698" s="4" t="s">
        <v>4653</v>
      </c>
      <c r="C3698" s="5" t="str">
        <f>IFERROR(__xludf.DUMMYFUNCTION("GOOGLETRANSLATE(B3698,""en"",""es-ES"")"),"El perro mueve un poco la pierna mientras la mujer continúa cepillando y mira hacia atrás para ver su cepillo.")</f>
        <v>El perro mueve un poco la pierna mientras la mujer continúa cepillando y mira hacia atrás para ver su cepillo.</v>
      </c>
    </row>
    <row r="3699">
      <c r="A3699" s="4" t="s">
        <v>4654</v>
      </c>
      <c r="B3699" s="4" t="s">
        <v>4655</v>
      </c>
      <c r="C3699" s="5" t="str">
        <f>IFERROR(__xludf.DUMMYFUNCTION("GOOGLETRANSLATE(B3699,""en"",""es-ES"")"),"Una persona corre por una pista y lanza una jabalina.")</f>
        <v>Una persona corre por una pista y lanza una jabalina.</v>
      </c>
    </row>
    <row r="3700">
      <c r="A3700" s="4" t="s">
        <v>4654</v>
      </c>
      <c r="B3700" s="4" t="s">
        <v>4656</v>
      </c>
      <c r="C3700" s="5" t="str">
        <f>IFERROR(__xludf.DUMMYFUNCTION("GOOGLETRANSLATE(B3700,""en"",""es-ES"")"),"Otra persona corre por la pista y lanza una jabalina.")</f>
        <v>Otra persona corre por la pista y lanza una jabalina.</v>
      </c>
    </row>
    <row r="3701">
      <c r="A3701" s="4" t="s">
        <v>4657</v>
      </c>
      <c r="B3701" s="4" t="s">
        <v>1251</v>
      </c>
      <c r="C3701" s="5" t="str">
        <f>IFERROR(__xludf.DUMMYFUNCTION("GOOGLETRANSLATE(B3701,""en"",""es-ES"")"),"Se muestran los créditos del clip.")</f>
        <v>Se muestran los créditos del clip.</v>
      </c>
    </row>
    <row r="3702">
      <c r="A3702" s="4" t="s">
        <v>4657</v>
      </c>
      <c r="B3702" s="4" t="s">
        <v>4658</v>
      </c>
      <c r="C3702" s="5" t="str">
        <f>IFERROR(__xludf.DUMMYFUNCTION("GOOGLETRANSLATE(B3702,""en"",""es-ES"")"),"La dama me azota el cabello de lado a lado.")</f>
        <v>La dama me azota el cabello de lado a lado.</v>
      </c>
    </row>
    <row r="3703">
      <c r="A3703" s="4" t="s">
        <v>4657</v>
      </c>
      <c r="B3703" s="4" t="s">
        <v>4659</v>
      </c>
      <c r="C3703" s="5" t="str">
        <f>IFERROR(__xludf.DUMMYFUNCTION("GOOGLETRANSLATE(B3703,""en"",""es-ES"")"),"La señora separa su cabello.")</f>
        <v>La señora separa su cabello.</v>
      </c>
    </row>
    <row r="3704">
      <c r="A3704" s="4" t="s">
        <v>4657</v>
      </c>
      <c r="B3704" s="4" t="s">
        <v>4660</v>
      </c>
      <c r="C3704" s="5" t="str">
        <f>IFERROR(__xludf.DUMMYFUNCTION("GOOGLETRANSLATE(B3704,""en"",""es-ES"")"),"La señora le cepilla el cabello, aplica gel a su cabello separado y comienza a trenzar su cabello.")</f>
        <v>La señora le cepilla el cabello, aplica gel a su cabello separado y comienza a trenzar su cabello.</v>
      </c>
    </row>
    <row r="3705">
      <c r="A3705" s="4" t="s">
        <v>4657</v>
      </c>
      <c r="B3705" s="4" t="s">
        <v>4661</v>
      </c>
      <c r="C3705" s="5" t="str">
        <f>IFERROR(__xludf.DUMMYFUNCTION("GOOGLETRANSLATE(B3705,""en"",""es-ES"")"),"La señora pone un cabello con las dos trenzas.")</f>
        <v>La señora pone un cabello con las dos trenzas.</v>
      </c>
    </row>
    <row r="3706">
      <c r="A3706" s="4" t="s">
        <v>4657</v>
      </c>
      <c r="B3706" s="4" t="s">
        <v>4662</v>
      </c>
      <c r="C3706" s="5" t="str">
        <f>IFERROR(__xludf.DUMMYFUNCTION("GOOGLETRANSLATE(B3706,""en"",""es-ES"")"),"La señora le pone un sombrero en la cabeza.")</f>
        <v>La señora le pone un sombrero en la cabeza.</v>
      </c>
    </row>
    <row r="3707">
      <c r="A3707" s="4" t="s">
        <v>4657</v>
      </c>
      <c r="B3707" s="4" t="s">
        <v>4663</v>
      </c>
      <c r="C3707" s="5" t="str">
        <f>IFERROR(__xludf.DUMMYFUNCTION("GOOGLETRANSLATE(B3707,""en"",""es-ES"")"),"La señora da un signo de paz y olas.")</f>
        <v>La señora da un signo de paz y olas.</v>
      </c>
    </row>
    <row r="3708">
      <c r="A3708" s="4" t="s">
        <v>4657</v>
      </c>
      <c r="B3708" s="4" t="s">
        <v>573</v>
      </c>
      <c r="C3708" s="5" t="str">
        <f>IFERROR(__xludf.DUMMYFUNCTION("GOOGLETRANSLATE(B3708,""en"",""es-ES"")"),"Se muestran los créditos del video.")</f>
        <v>Se muestran los créditos del video.</v>
      </c>
    </row>
    <row r="3709">
      <c r="A3709" s="4" t="s">
        <v>4664</v>
      </c>
      <c r="B3709" s="4" t="s">
        <v>4665</v>
      </c>
      <c r="C3709" s="5" t="str">
        <f>IFERROR(__xludf.DUMMYFUNCTION("GOOGLETRANSLATE(B3709,""en"",""es-ES"")"),"La gente baila y coreografia una rutina.")</f>
        <v>La gente baila y coreografia una rutina.</v>
      </c>
    </row>
    <row r="3710">
      <c r="A3710" s="4" t="s">
        <v>4664</v>
      </c>
      <c r="B3710" s="4" t="s">
        <v>4666</v>
      </c>
      <c r="C3710" s="5" t="str">
        <f>IFERROR(__xludf.DUMMYFUNCTION("GOOGLETRANSLATE(B3710,""en"",""es-ES"")"),"Saltan y aplauden al final.")</f>
        <v>Saltan y aplauden al final.</v>
      </c>
    </row>
    <row r="3711">
      <c r="A3711" s="4" t="s">
        <v>4667</v>
      </c>
      <c r="B3711" s="4" t="s">
        <v>4668</v>
      </c>
      <c r="C3711" s="5" t="str">
        <f>IFERROR(__xludf.DUMMYFUNCTION("GOOGLETRANSLATE(B3711,""en"",""es-ES"")"),"Se ve a un hombre arrodillado en un campo grande alrededor de pequeños árboles y sosteniendo un palo.")</f>
        <v>Se ve a un hombre arrodillado en un campo grande alrededor de pequeños árboles y sosteniendo un palo.</v>
      </c>
    </row>
    <row r="3712">
      <c r="A3712" s="4" t="s">
        <v>4667</v>
      </c>
      <c r="B3712" s="4" t="s">
        <v>4669</v>
      </c>
      <c r="C3712" s="5" t="str">
        <f>IFERROR(__xludf.DUMMYFUNCTION("GOOGLETRANSLATE(B3712,""en"",""es-ES"")"),"El hombre luego rompa el palo a lo largo de la hierba y se mueve los brazos hacia atrás y cuarto.")</f>
        <v>El hombre luego rompa el palo a lo largo de la hierba y se mueve los brazos hacia atrás y cuarto.</v>
      </c>
    </row>
    <row r="3713">
      <c r="A3713" s="4" t="s">
        <v>4670</v>
      </c>
      <c r="B3713" s="4" t="s">
        <v>4671</v>
      </c>
      <c r="C3713" s="5" t="str">
        <f>IFERROR(__xludf.DUMMYFUNCTION("GOOGLETRANSLATE(B3713,""en"",""es-ES"")"),"Una persona sentada en una canoa está corriendo lentamente por un río.")</f>
        <v>Una persona sentada en una canoa está corriendo lentamente por un río.</v>
      </c>
    </row>
    <row r="3714">
      <c r="A3714" s="4" t="s">
        <v>4670</v>
      </c>
      <c r="B3714" s="4" t="s">
        <v>4672</v>
      </c>
      <c r="C3714" s="5" t="str">
        <f>IFERROR(__xludf.DUMMYFUNCTION("GOOGLETRANSLATE(B3714,""en"",""es-ES"")"),"Se ve un disparo de un pájaro en la distancia, así como a otro pájaro.")</f>
        <v>Se ve un disparo de un pájaro en la distancia, así como a otro pájaro.</v>
      </c>
    </row>
    <row r="3715">
      <c r="A3715" s="4" t="s">
        <v>4670</v>
      </c>
      <c r="B3715" s="4" t="s">
        <v>4673</v>
      </c>
      <c r="C3715" s="5" t="str">
        <f>IFERROR(__xludf.DUMMYFUNCTION("GOOGLETRANSLATE(B3715,""en"",""es-ES"")"),"La canoa sigue flotando mientras que varios pájaros se muestran sentados en el agua y en los árboles.")</f>
        <v>La canoa sigue flotando mientras que varios pájaros se muestran sentados en el agua y en los árboles.</v>
      </c>
    </row>
    <row r="3716">
      <c r="A3716" s="4" t="s">
        <v>4674</v>
      </c>
      <c r="B3716" s="4" t="s">
        <v>4675</v>
      </c>
      <c r="C3716" s="5" t="str">
        <f>IFERROR(__xludf.DUMMYFUNCTION("GOOGLETRANSLATE(B3716,""en"",""es-ES"")"),"Un joven está sentado en una habitación hablando con otras tres personas que sirven como presentadores de noticias.")</f>
        <v>Un joven está sentado en una habitación hablando con otras tres personas que sirven como presentadores de noticias.</v>
      </c>
    </row>
    <row r="3717">
      <c r="A3717" s="4" t="s">
        <v>4674</v>
      </c>
      <c r="B3717" s="4" t="s">
        <v>4676</v>
      </c>
      <c r="C3717" s="5" t="str">
        <f>IFERROR(__xludf.DUMMYFUNCTION("GOOGLETRANSLATE(B3717,""en"",""es-ES"")"),"El video luego voltea a un bar y muestra a Obama jugando un juego de billar.")</f>
        <v>El video luego voltea a un bar y muestra a Obama jugando un juego de billar.</v>
      </c>
    </row>
    <row r="3718">
      <c r="A3718" s="4" t="s">
        <v>4674</v>
      </c>
      <c r="B3718" s="4" t="s">
        <v>4677</v>
      </c>
      <c r="C3718" s="5" t="str">
        <f>IFERROR(__xludf.DUMMYFUNCTION("GOOGLETRANSLATE(B3718,""en"",""es-ES"")"),"Después, las cuatro personas comienzan a hablar nuevamente sobre el ex presidente y su atuendo.")</f>
        <v>Después, las cuatro personas comienzan a hablar nuevamente sobre el ex presidente y su atuendo.</v>
      </c>
    </row>
    <row r="3719">
      <c r="A3719" s="4" t="s">
        <v>4678</v>
      </c>
      <c r="B3719" s="4" t="s">
        <v>4679</v>
      </c>
      <c r="C3719" s="5" t="str">
        <f>IFERROR(__xludf.DUMMYFUNCTION("GOOGLETRANSLATE(B3719,""en"",""es-ES"")"),"Aparece un patio trasero con varias personas afuera.")</f>
        <v>Aparece un patio trasero con varias personas afuera.</v>
      </c>
    </row>
    <row r="3720">
      <c r="A3720" s="4" t="s">
        <v>4678</v>
      </c>
      <c r="B3720" s="4" t="s">
        <v>4680</v>
      </c>
      <c r="C3720" s="5" t="str">
        <f>IFERROR(__xludf.DUMMYFUNCTION("GOOGLETRANSLATE(B3720,""en"",""es-ES"")"),"La gente está jugando un juego de Croquette, turnando con el bate y golpeando las bolas.")</f>
        <v>La gente está jugando un juego de Croquette, turnando con el bate y golpeando las bolas.</v>
      </c>
    </row>
    <row r="3721">
      <c r="A3721" s="4" t="s">
        <v>4681</v>
      </c>
      <c r="B3721" s="4" t="s">
        <v>4682</v>
      </c>
      <c r="C3721" s="5" t="str">
        <f>IFERROR(__xludf.DUMMYFUNCTION("GOOGLETRANSLATE(B3721,""en"",""es-ES"")"),"La gente se sumerge en una piscina.")</f>
        <v>La gente se sumerge en una piscina.</v>
      </c>
    </row>
    <row r="3722">
      <c r="A3722" s="4" t="s">
        <v>4681</v>
      </c>
      <c r="B3722" s="4" t="s">
        <v>4683</v>
      </c>
      <c r="C3722" s="5" t="str">
        <f>IFERROR(__xludf.DUMMYFUNCTION("GOOGLETRANSLATE(B3722,""en"",""es-ES"")"),"La gente está parada en una piscina.")</f>
        <v>La gente está parada en una piscina.</v>
      </c>
    </row>
    <row r="3723">
      <c r="A3723" s="4" t="s">
        <v>4681</v>
      </c>
      <c r="B3723" s="4" t="s">
        <v>4684</v>
      </c>
      <c r="C3723" s="5" t="str">
        <f>IFERROR(__xludf.DUMMYFUNCTION("GOOGLETRANSLATE(B3723,""en"",""es-ES"")"),"Las chicas bailan en el césped con trajes de natación.")</f>
        <v>Las chicas bailan en el césped con trajes de natación.</v>
      </c>
    </row>
    <row r="3724">
      <c r="A3724" s="4" t="s">
        <v>4681</v>
      </c>
      <c r="B3724" s="4" t="s">
        <v>4685</v>
      </c>
      <c r="C3724" s="5" t="str">
        <f>IFERROR(__xludf.DUMMYFUNCTION("GOOGLETRANSLATE(B3724,""en"",""es-ES"")"),"La gente salta hacia arriba y hacia abajo en una piscina con los brazos alrededor del otro.")</f>
        <v>La gente salta hacia arriba y hacia abajo en una piscina con los brazos alrededor del otro.</v>
      </c>
    </row>
    <row r="3725">
      <c r="A3725" s="4" t="s">
        <v>4681</v>
      </c>
      <c r="B3725" s="4" t="s">
        <v>4686</v>
      </c>
      <c r="C3725" s="5" t="str">
        <f>IFERROR(__xludf.DUMMYFUNCTION("GOOGLETRANSLATE(B3725,""en"",""es-ES"")"),"La gente comienza a jugar waterpolo en la piscina.")</f>
        <v>La gente comienza a jugar waterpolo en la piscina.</v>
      </c>
    </row>
    <row r="3726">
      <c r="A3726" s="4" t="s">
        <v>4687</v>
      </c>
      <c r="B3726" s="4" t="s">
        <v>4688</v>
      </c>
      <c r="C3726" s="5" t="str">
        <f>IFERROR(__xludf.DUMMYFUNCTION("GOOGLETRANSLATE(B3726,""en"",""es-ES"")"),"Un limón se sienta en una tabla de cortar.")</f>
        <v>Un limón se sienta en una tabla de cortar.</v>
      </c>
    </row>
    <row r="3727">
      <c r="A3727" s="4" t="s">
        <v>4687</v>
      </c>
      <c r="B3727" s="4" t="s">
        <v>4689</v>
      </c>
      <c r="C3727" s="5" t="str">
        <f>IFERROR(__xludf.DUMMYFUNCTION("GOOGLETRANSLATE(B3727,""en"",""es-ES"")"),"Alguien corta el limón y lo aprieta en un vaso.")</f>
        <v>Alguien corta el limón y lo aprieta en un vaso.</v>
      </c>
    </row>
    <row r="3728">
      <c r="A3728" s="4" t="s">
        <v>4687</v>
      </c>
      <c r="B3728" s="4" t="s">
        <v>4690</v>
      </c>
      <c r="C3728" s="5" t="str">
        <f>IFERROR(__xludf.DUMMYFUNCTION("GOOGLETRANSLATE(B3728,""en"",""es-ES"")"),"La otra mitad se aprieta.")</f>
        <v>La otra mitad se aprieta.</v>
      </c>
    </row>
    <row r="3729">
      <c r="A3729" s="4" t="s">
        <v>4687</v>
      </c>
      <c r="B3729" s="4" t="s">
        <v>4691</v>
      </c>
      <c r="C3729" s="5" t="str">
        <f>IFERROR(__xludf.DUMMYFUNCTION("GOOGLETRANSLATE(B3729,""en"",""es-ES"")"),"Luego agregan azúcar a la mezcla.")</f>
        <v>Luego agregan azúcar a la mezcla.</v>
      </c>
    </row>
    <row r="3730">
      <c r="A3730" s="4" t="s">
        <v>4692</v>
      </c>
      <c r="B3730" s="4" t="s">
        <v>4693</v>
      </c>
      <c r="C3730" s="5" t="str">
        <f>IFERROR(__xludf.DUMMYFUNCTION("GOOGLETRANSLATE(B3730,""en"",""es-ES"")"),"Se ve una gran grúa sentada en el suelo y conduce a un hombre usando herramientas en una pared.")</f>
        <v>Se ve una gran grúa sentada en el suelo y conduce a un hombre usando herramientas en una pared.</v>
      </c>
    </row>
    <row r="3731">
      <c r="A3731" s="4" t="s">
        <v>4692</v>
      </c>
      <c r="B3731" s="4" t="s">
        <v>4694</v>
      </c>
      <c r="C3731" s="5" t="str">
        <f>IFERROR(__xludf.DUMMYFUNCTION("GOOGLETRANSLATE(B3731,""en"",""es-ES"")"),"La cámara continúa observando a la persona trabajar mientras usa la herramienta para crear chispas en la pared.")</f>
        <v>La cámara continúa observando a la persona trabajar mientras usa la herramienta para crear chispas en la pared.</v>
      </c>
    </row>
    <row r="3732">
      <c r="A3732" s="4" t="s">
        <v>4695</v>
      </c>
      <c r="B3732" s="4" t="s">
        <v>4696</v>
      </c>
      <c r="C3732" s="5" t="str">
        <f>IFERROR(__xludf.DUMMYFUNCTION("GOOGLETRANSLATE(B3732,""en"",""es-ES"")"),"Las mujeres están en gomas deslizándose por una colina nevada.")</f>
        <v>Las mujeres están en gomas deslizándose por una colina nevada.</v>
      </c>
    </row>
    <row r="3733">
      <c r="A3733" s="4" t="s">
        <v>4695</v>
      </c>
      <c r="B3733" s="4" t="s">
        <v>4697</v>
      </c>
      <c r="C3733" s="5" t="str">
        <f>IFERROR(__xludf.DUMMYFUNCTION("GOOGLETRANSLATE(B3733,""en"",""es-ES"")"),"Las mujeres se para y se ríen y caminan.")</f>
        <v>Las mujeres se para y se ríen y caminan.</v>
      </c>
    </row>
    <row r="3734">
      <c r="A3734" s="4" t="s">
        <v>4698</v>
      </c>
      <c r="B3734" s="4" t="s">
        <v>4699</v>
      </c>
      <c r="C3734" s="5" t="str">
        <f>IFERROR(__xludf.DUMMYFUNCTION("GOOGLETRANSLATE(B3734,""en"",""es-ES"")"),"Se ve a un becerro de bebé corriendo alrededor de un pozo de arena cuando un hombre monta un caballo y balanceando una cuerda comienza a perseguirlo.")</f>
        <v>Se ve a un becerro de bebé corriendo alrededor de un pozo de arena cuando un hombre monta un caballo y balanceando una cuerda comienza a perseguirlo.</v>
      </c>
    </row>
    <row r="3735">
      <c r="A3735" s="4" t="s">
        <v>4698</v>
      </c>
      <c r="B3735" s="4" t="s">
        <v>4700</v>
      </c>
      <c r="C3735" s="5" t="str">
        <f>IFERROR(__xludf.DUMMYFUNCTION("GOOGLETRANSLATE(B3735,""en"",""es-ES"")"),"El hombre ata la pantorrilla y se aleja mientras el video conduce a las tomas de un caballo pateando a un jinete de su parte.")</f>
        <v>El hombre ata la pantorrilla y se aleja mientras el video conduce a las tomas de un caballo pateando a un jinete de su parte.</v>
      </c>
    </row>
    <row r="3736">
      <c r="A3736" s="4" t="s">
        <v>4698</v>
      </c>
      <c r="B3736" s="4" t="s">
        <v>4701</v>
      </c>
      <c r="C3736" s="5" t="str">
        <f>IFERROR(__xludf.DUMMYFUNCTION("GOOGLETRANSLATE(B3736,""en"",""es-ES"")"),"Se muestran más disparos de los caballos con ciclistas mientras la gente toma el caballo al final.")</f>
        <v>Se muestran más disparos de los caballos con ciclistas mientras la gente toma el caballo al final.</v>
      </c>
    </row>
    <row r="3737">
      <c r="A3737" s="4" t="s">
        <v>4702</v>
      </c>
      <c r="B3737" s="4" t="s">
        <v>4703</v>
      </c>
      <c r="C3737" s="5" t="str">
        <f>IFERROR(__xludf.DUMMYFUNCTION("GOOGLETRANSLATE(B3737,""en"",""es-ES"")"),"La gente corre jugando a Dodge Ball.")</f>
        <v>La gente corre jugando a Dodge Ball.</v>
      </c>
    </row>
    <row r="3738">
      <c r="A3738" s="4" t="s">
        <v>4702</v>
      </c>
      <c r="B3738" s="4" t="s">
        <v>4704</v>
      </c>
      <c r="C3738" s="5" t="str">
        <f>IFERROR(__xludf.DUMMYFUNCTION("GOOGLETRANSLATE(B3738,""en"",""es-ES"")"),"Una mujer sostiene una cámara tomando una foto.")</f>
        <v>Una mujer sostiene una cámara tomando una foto.</v>
      </c>
    </row>
    <row r="3739">
      <c r="A3739" s="4" t="s">
        <v>4702</v>
      </c>
      <c r="B3739" s="4" t="s">
        <v>4705</v>
      </c>
      <c r="C3739" s="5" t="str">
        <f>IFERROR(__xludf.DUMMYFUNCTION("GOOGLETRANSLATE(B3739,""en"",""es-ES"")"),"Una mujer con una camisa azul posa con un hombre para una foto.")</f>
        <v>Una mujer con una camisa azul posa con un hombre para una foto.</v>
      </c>
    </row>
    <row r="3740">
      <c r="A3740" s="4" t="s">
        <v>4706</v>
      </c>
      <c r="B3740" s="4" t="s">
        <v>4707</v>
      </c>
      <c r="C3740" s="5" t="str">
        <f>IFERROR(__xludf.DUMMYFUNCTION("GOOGLETRANSLATE(B3740,""en"",""es-ES"")"),"Un hombre está parado en la cima de una colina.")</f>
        <v>Un hombre está parado en la cima de una colina.</v>
      </c>
    </row>
    <row r="3741">
      <c r="A3741" s="4" t="s">
        <v>4706</v>
      </c>
      <c r="B3741" s="4" t="s">
        <v>4708</v>
      </c>
      <c r="C3741" s="5" t="str">
        <f>IFERROR(__xludf.DUMMYFUNCTION("GOOGLETRANSLATE(B3741,""en"",""es-ES"")"),"Una mujer está sentada en un trineo.")</f>
        <v>Una mujer está sentada en un trineo.</v>
      </c>
    </row>
    <row r="3742">
      <c r="A3742" s="4" t="s">
        <v>4706</v>
      </c>
      <c r="B3742" s="4" t="s">
        <v>4709</v>
      </c>
      <c r="C3742" s="5" t="str">
        <f>IFERROR(__xludf.DUMMYFUNCTION("GOOGLETRANSLATE(B3742,""en"",""es-ES"")"),"Luego es liberada cuesta abajo, moviéndose rápidamente.")</f>
        <v>Luego es liberada cuesta abajo, moviéndose rápidamente.</v>
      </c>
    </row>
    <row r="3743">
      <c r="A3743" s="4" t="s">
        <v>4710</v>
      </c>
      <c r="B3743" s="4" t="s">
        <v>4711</v>
      </c>
      <c r="C3743" s="5" t="str">
        <f>IFERROR(__xludf.DUMMYFUNCTION("GOOGLETRANSLATE(B3743,""en"",""es-ES"")"),"Varias personas están mirando a un hombre con un sombrero blanco en una cancha de tenis.")</f>
        <v>Varias personas están mirando a un hombre con un sombrero blanco en una cancha de tenis.</v>
      </c>
    </row>
    <row r="3744">
      <c r="A3744" s="4" t="s">
        <v>4710</v>
      </c>
      <c r="B3744" s="4" t="s">
        <v>4712</v>
      </c>
      <c r="C3744" s="5" t="str">
        <f>IFERROR(__xludf.DUMMYFUNCTION("GOOGLETRANSLATE(B3744,""en"",""es-ES"")"),"El hombre con el sombrero blanco está sosteniendo su mano.")</f>
        <v>El hombre con el sombrero blanco está sosteniendo su mano.</v>
      </c>
    </row>
    <row r="3745">
      <c r="A3745" s="4" t="s">
        <v>4710</v>
      </c>
      <c r="B3745" s="4" t="s">
        <v>4713</v>
      </c>
      <c r="C3745" s="5" t="str">
        <f>IFERROR(__xludf.DUMMYFUNCTION("GOOGLETRANSLATE(B3745,""en"",""es-ES"")"),"Se sirve la pelota y sale de la cancha.")</f>
        <v>Se sirve la pelota y sale de la cancha.</v>
      </c>
    </row>
    <row r="3746">
      <c r="A3746" s="4" t="s">
        <v>4710</v>
      </c>
      <c r="B3746" s="4" t="s">
        <v>4714</v>
      </c>
      <c r="C3746" s="5" t="str">
        <f>IFERROR(__xludf.DUMMYFUNCTION("GOOGLETRANSLATE(B3746,""en"",""es-ES"")"),"La pelota se arroja al hombre con el sombrero blanco.")</f>
        <v>La pelota se arroja al hombre con el sombrero blanco.</v>
      </c>
    </row>
    <row r="3747">
      <c r="A3747" s="4" t="s">
        <v>4710</v>
      </c>
      <c r="B3747" s="4" t="s">
        <v>4715</v>
      </c>
      <c r="C3747" s="5" t="str">
        <f>IFERROR(__xludf.DUMMYFUNCTION("GOOGLETRANSLATE(B3747,""en"",""es-ES"")"),"El hombre con el sombrero blanco se prepara para servir la pelota.")</f>
        <v>El hombre con el sombrero blanco se prepara para servir la pelota.</v>
      </c>
    </row>
    <row r="3748">
      <c r="A3748" s="4" t="s">
        <v>4716</v>
      </c>
      <c r="B3748" s="4" t="s">
        <v>4717</v>
      </c>
      <c r="C3748" s="5" t="str">
        <f>IFERROR(__xludf.DUMMYFUNCTION("GOOGLETRANSLATE(B3748,""en"",""es-ES"")"),"Un hombre está afuera fumando un cigarrillo con su amigo.")</f>
        <v>Un hombre está afuera fumando un cigarrillo con su amigo.</v>
      </c>
    </row>
    <row r="3749">
      <c r="A3749" s="4" t="s">
        <v>4716</v>
      </c>
      <c r="B3749" s="4" t="s">
        <v>4718</v>
      </c>
      <c r="C3749" s="5" t="str">
        <f>IFERROR(__xludf.DUMMYFUNCTION("GOOGLETRANSLATE(B3749,""en"",""es-ES"")"),"Solo están sentados relajando humo soplando.")</f>
        <v>Solo están sentados relajando humo soplando.</v>
      </c>
    </row>
    <row r="3750">
      <c r="A3750" s="4" t="s">
        <v>4716</v>
      </c>
      <c r="B3750" s="4" t="s">
        <v>4719</v>
      </c>
      <c r="C3750" s="5" t="str">
        <f>IFERROR(__xludf.DUMMYFUNCTION("GOOGLETRANSLATE(B3750,""en"",""es-ES"")"),"Otro hombre con una cámara pasa mientras se sientan charlando.")</f>
        <v>Otro hombre con una cámara pasa mientras se sientan charlando.</v>
      </c>
    </row>
    <row r="3751">
      <c r="A3751" s="4" t="s">
        <v>4716</v>
      </c>
      <c r="B3751" s="4" t="s">
        <v>4720</v>
      </c>
      <c r="C3751" s="5" t="str">
        <f>IFERROR(__xludf.DUMMYFUNCTION("GOOGLETRANSLATE(B3751,""en"",""es-ES"")"),"Es un buen día para relajarse y fumar afuera con amigos.")</f>
        <v>Es un buen día para relajarse y fumar afuera con amigos.</v>
      </c>
    </row>
    <row r="3752">
      <c r="A3752" s="4" t="s">
        <v>4721</v>
      </c>
      <c r="B3752" s="4" t="s">
        <v>4722</v>
      </c>
      <c r="C3752" s="5" t="str">
        <f>IFERROR(__xludf.DUMMYFUNCTION("GOOGLETRANSLATE(B3752,""en"",""es-ES"")"),"Dos hombres corren en el campo de béisbol.")</f>
        <v>Dos hombres corren en el campo de béisbol.</v>
      </c>
    </row>
    <row r="3753">
      <c r="A3753" s="4" t="s">
        <v>4721</v>
      </c>
      <c r="B3753" s="4" t="s">
        <v>4723</v>
      </c>
      <c r="C3753" s="5" t="str">
        <f>IFERROR(__xludf.DUMMYFUNCTION("GOOGLETRANSLATE(B3753,""en"",""es-ES"")"),"Aparece una pelota y cae al suelo en el plato y un hombre la patea.")</f>
        <v>Aparece una pelota y cae al suelo en el plato y un hombre la patea.</v>
      </c>
    </row>
    <row r="3754">
      <c r="A3754" s="4" t="s">
        <v>4721</v>
      </c>
      <c r="B3754" s="4" t="s">
        <v>4724</v>
      </c>
      <c r="C3754" s="5" t="str">
        <f>IFERROR(__xludf.DUMMYFUNCTION("GOOGLETRANSLATE(B3754,""en"",""es-ES"")"),"Otro hombre en el campo atrapa la pelota.")</f>
        <v>Otro hombre en el campo atrapa la pelota.</v>
      </c>
    </row>
    <row r="3755">
      <c r="A3755" s="4" t="s">
        <v>4721</v>
      </c>
      <c r="B3755" s="4" t="s">
        <v>4725</v>
      </c>
      <c r="C3755" s="5" t="str">
        <f>IFERROR(__xludf.DUMMYFUNCTION("GOOGLETRANSLATE(B3755,""en"",""es-ES"")"),"El hombre con el equipo de la pelota corre hacia él.")</f>
        <v>El hombre con el equipo de la pelota corre hacia él.</v>
      </c>
    </row>
    <row r="3756">
      <c r="A3756" s="4" t="s">
        <v>4721</v>
      </c>
      <c r="B3756" s="4" t="s">
        <v>4726</v>
      </c>
      <c r="C3756" s="5" t="str">
        <f>IFERROR(__xludf.DUMMYFUNCTION("GOOGLETRANSLATE(B3756,""en"",""es-ES"")"),"Vemos la obra de nuevo en cámara lenta.")</f>
        <v>Vemos la obra de nuevo en cámara lenta.</v>
      </c>
    </row>
    <row r="3757">
      <c r="A3757" s="4" t="s">
        <v>4727</v>
      </c>
      <c r="B3757" s="4" t="s">
        <v>4728</v>
      </c>
      <c r="C3757" s="5" t="str">
        <f>IFERROR(__xludf.DUMMYFUNCTION("GOOGLETRANSLATE(B3757,""en"",""es-ES"")"),"Vemos a una chica con una trenza y luego sacudiendo rizos sueltos en su cabello.")</f>
        <v>Vemos a una chica con una trenza y luego sacudiendo rizos sueltos en su cabello.</v>
      </c>
    </row>
    <row r="3758">
      <c r="A3758" s="4" t="s">
        <v>4727</v>
      </c>
      <c r="B3758" s="4" t="s">
        <v>4729</v>
      </c>
      <c r="C3758" s="5" t="str">
        <f>IFERROR(__xludf.DUMMYFUNCTION("GOOGLETRANSLATE(B3758,""en"",""es-ES"")"),"Miramos a la chica mientras se acurruca y trenza su cabello.")</f>
        <v>Miramos a la chica mientras se acurruca y trenza su cabello.</v>
      </c>
    </row>
    <row r="3759">
      <c r="A3759" s="4" t="s">
        <v>4727</v>
      </c>
      <c r="B3759" s="4" t="s">
        <v>4730</v>
      </c>
      <c r="C3759" s="5" t="str">
        <f>IFERROR(__xludf.DUMMYFUNCTION("GOOGLETRANSLATE(B3759,""en"",""es-ES"")"),"La niña que usa un rizado de hierro y se enrolla el cabello.")</f>
        <v>La niña que usa un rizado de hierro y se enrolla el cabello.</v>
      </c>
    </row>
    <row r="3760">
      <c r="A3760" s="4" t="s">
        <v>4727</v>
      </c>
      <c r="B3760" s="4" t="s">
        <v>4731</v>
      </c>
      <c r="C3760" s="5" t="str">
        <f>IFERROR(__xludf.DUMMYFUNCTION("GOOGLETRANSLATE(B3760,""en"",""es-ES"")"),"Luego trenza y gira su cabello en una trenza lateral.")</f>
        <v>Luego trenza y gira su cabello en una trenza lateral.</v>
      </c>
    </row>
    <row r="3761">
      <c r="A3761" s="4" t="s">
        <v>4727</v>
      </c>
      <c r="B3761" s="4" t="s">
        <v>4732</v>
      </c>
      <c r="C3761" s="5" t="str">
        <f>IFERROR(__xludf.DUMMYFUNCTION("GOOGLETRANSLATE(B3761,""en"",""es-ES"")"),"La niña nos muestra la parte posterior de su cabello y luego se enrosca el fondo con un rizado de hierro.")</f>
        <v>La niña nos muestra la parte posterior de su cabello y luego se enrosca el fondo con un rizado de hierro.</v>
      </c>
    </row>
    <row r="3762">
      <c r="A3762" s="4" t="s">
        <v>4727</v>
      </c>
      <c r="B3762" s="4" t="s">
        <v>4733</v>
      </c>
      <c r="C3762" s="5" t="str">
        <f>IFERROR(__xludf.DUMMYFUNCTION("GOOGLETRANSLATE(B3762,""en"",""es-ES"")"),"La niña hace caras y la pantalla de título final se carga.")</f>
        <v>La niña hace caras y la pantalla de título final se carga.</v>
      </c>
    </row>
    <row r="3763">
      <c r="A3763" s="4" t="s">
        <v>4734</v>
      </c>
      <c r="B3763" s="4" t="s">
        <v>4735</v>
      </c>
      <c r="C3763" s="5" t="str">
        <f>IFERROR(__xludf.DUMMYFUNCTION("GOOGLETRANSLATE(B3763,""en"",""es-ES"")"),"La cámara saca el patio de una residencia.")</f>
        <v>La cámara saca el patio de una residencia.</v>
      </c>
    </row>
    <row r="3764">
      <c r="A3764" s="4" t="s">
        <v>4734</v>
      </c>
      <c r="B3764" s="4" t="s">
        <v>4736</v>
      </c>
      <c r="C3764" s="5" t="str">
        <f>IFERROR(__xludf.DUMMYFUNCTION("GOOGLETRANSLATE(B3764,""en"",""es-ES"")"),"Un hombre que usa una sudadera con capucha blanca y calentadores negros con rayas blancas está cortando el patio con una cortadora de césped.")</f>
        <v>Un hombre que usa una sudadera con capucha blanca y calentadores negros con rayas blancas está cortando el patio con una cortadora de césped.</v>
      </c>
    </row>
    <row r="3765">
      <c r="A3765" s="4" t="s">
        <v>4734</v>
      </c>
      <c r="B3765" s="4" t="s">
        <v>4737</v>
      </c>
      <c r="C3765" s="5" t="str">
        <f>IFERROR(__xludf.DUMMYFUNCTION("GOOGLETRANSLATE(B3765,""en"",""es-ES"")"),"La cámara captura una tormenta de lluvia que comienza y lloven sobre el patio mientras el hombre continúa cortando el patio.")</f>
        <v>La cámara captura una tormenta de lluvia que comienza y lloven sobre el patio mientras el hombre continúa cortando el patio.</v>
      </c>
    </row>
    <row r="3766">
      <c r="A3766" s="4" t="s">
        <v>4738</v>
      </c>
      <c r="B3766" s="4" t="s">
        <v>4739</v>
      </c>
      <c r="C3766" s="5" t="str">
        <f>IFERROR(__xludf.DUMMYFUNCTION("GOOGLETRANSLATE(B3766,""en"",""es-ES"")"),"Una mujer se trenza el cabello.")</f>
        <v>Una mujer se trenza el cabello.</v>
      </c>
    </row>
    <row r="3767">
      <c r="A3767" s="4" t="s">
        <v>4738</v>
      </c>
      <c r="B3767" s="4" t="s">
        <v>4740</v>
      </c>
      <c r="C3767" s="5" t="str">
        <f>IFERROR(__xludf.DUMMYFUNCTION("GOOGLETRANSLATE(B3767,""en"",""es-ES"")"),"Ella está cruzando los hilos.")</f>
        <v>Ella está cruzando los hilos.</v>
      </c>
    </row>
    <row r="3768">
      <c r="A3768" s="4" t="s">
        <v>4738</v>
      </c>
      <c r="B3768" s="4" t="s">
        <v>4741</v>
      </c>
      <c r="C3768" s="5" t="str">
        <f>IFERROR(__xludf.DUMMYFUNCTION("GOOGLETRANSLATE(B3768,""en"",""es-ES"")"),"Su trenza está hecha en un lado y continúa en el siguiente.")</f>
        <v>Su trenza está hecha en un lado y continúa en el siguiente.</v>
      </c>
    </row>
    <row r="3769">
      <c r="A3769" s="4" t="s">
        <v>4738</v>
      </c>
      <c r="B3769" s="4" t="s">
        <v>4742</v>
      </c>
      <c r="C3769" s="5" t="str">
        <f>IFERROR(__xludf.DUMMYFUNCTION("GOOGLETRANSLATE(B3769,""en"",""es-ES"")"),"Cruzando y agregando cabello a la trenza.")</f>
        <v>Cruzando y agregando cabello a la trenza.</v>
      </c>
    </row>
    <row r="3770">
      <c r="A3770" s="4" t="s">
        <v>4738</v>
      </c>
      <c r="B3770" s="4" t="s">
        <v>4743</v>
      </c>
      <c r="C3770" s="5" t="str">
        <f>IFERROR(__xludf.DUMMYFUNCTION("GOOGLETRANSLATE(B3770,""en"",""es-ES"")"),"Ella termina y se da la vuelta y pone la espalda en una cola de caballo.")</f>
        <v>Ella termina y se da la vuelta y pone la espalda en una cola de caballo.</v>
      </c>
    </row>
    <row r="3771">
      <c r="A3771" s="4" t="s">
        <v>4744</v>
      </c>
      <c r="B3771" s="4" t="s">
        <v>4745</v>
      </c>
      <c r="C3771" s="5" t="str">
        <f>IFERROR(__xludf.DUMMYFUNCTION("GOOGLETRANSLATE(B3771,""en"",""es-ES"")"),"Un hombre y una mujer se sientan detrás de una mesa.")</f>
        <v>Un hombre y una mujer se sientan detrás de una mesa.</v>
      </c>
    </row>
    <row r="3772">
      <c r="A3772" s="4" t="s">
        <v>4744</v>
      </c>
      <c r="B3772" s="4" t="s">
        <v>4746</v>
      </c>
      <c r="C3772" s="5" t="str">
        <f>IFERROR(__xludf.DUMMYFUNCTION("GOOGLETRANSLATE(B3772,""en"",""es-ES"")"),"El hombre vierte una bebida en varios vasos sobre la mesa.")</f>
        <v>El hombre vierte una bebida en varios vasos sobre la mesa.</v>
      </c>
    </row>
    <row r="3773">
      <c r="A3773" s="4" t="s">
        <v>4744</v>
      </c>
      <c r="B3773" s="4" t="s">
        <v>4747</v>
      </c>
      <c r="C3773" s="5" t="str">
        <f>IFERROR(__xludf.DUMMYFUNCTION("GOOGLETRANSLATE(B3773,""en"",""es-ES"")"),"Una mujer está haciendo una copa sobre la mesa.")</f>
        <v>Una mujer está haciendo una copa sobre la mesa.</v>
      </c>
    </row>
    <row r="3774">
      <c r="A3774" s="4" t="s">
        <v>4744</v>
      </c>
      <c r="B3774" s="4" t="s">
        <v>4748</v>
      </c>
      <c r="C3774" s="5" t="str">
        <f>IFERROR(__xludf.DUMMYFUNCTION("GOOGLETRANSLATE(B3774,""en"",""es-ES"")"),"Ella vierte una botella azul en la bebida.")</f>
        <v>Ella vierte una botella azul en la bebida.</v>
      </c>
    </row>
    <row r="3775">
      <c r="A3775" s="4" t="s">
        <v>4744</v>
      </c>
      <c r="B3775" s="4" t="s">
        <v>4749</v>
      </c>
      <c r="C3775" s="5" t="str">
        <f>IFERROR(__xludf.DUMMYFUNCTION("GOOGLETRANSLATE(B3775,""en"",""es-ES"")"),"Ella vierte la bebida en vasos más pequeños sobre la mesa.")</f>
        <v>Ella vierte la bebida en vasos más pequeños sobre la mesa.</v>
      </c>
    </row>
    <row r="3776">
      <c r="A3776" s="4" t="s">
        <v>4750</v>
      </c>
      <c r="B3776" s="4" t="s">
        <v>4751</v>
      </c>
      <c r="C3776" s="5" t="str">
        <f>IFERROR(__xludf.DUMMYFUNCTION("GOOGLETRANSLATE(B3776,""en"",""es-ES"")"),"El hombre con un chaleco negro está solo en un anillo luchando con otro hombre que está arrodillado en el suelo.")</f>
        <v>El hombre con un chaleco negro está solo en un anillo luchando con otro hombre que está arrodillado en el suelo.</v>
      </c>
    </row>
    <row r="3777">
      <c r="A3777" s="4" t="s">
        <v>4750</v>
      </c>
      <c r="B3777" s="4" t="s">
        <v>4752</v>
      </c>
      <c r="C3777" s="5" t="str">
        <f>IFERROR(__xludf.DUMMYFUNCTION("GOOGLETRANSLATE(B3777,""en"",""es-ES"")"),"Otros dos hombres entran en el ring y están luchando al hombre en el centro.")</f>
        <v>Otros dos hombres entran en el ring y están luchando al hombre en el centro.</v>
      </c>
    </row>
    <row r="3778">
      <c r="A3778" s="4" t="s">
        <v>4750</v>
      </c>
      <c r="B3778" s="4" t="s">
        <v>4753</v>
      </c>
      <c r="C3778" s="5" t="str">
        <f>IFERROR(__xludf.DUMMYFUNCTION("GOOGLETRANSLATE(B3778,""en"",""es-ES"")"),"La gente está alrededor del ring con la arraiga.")</f>
        <v>La gente está alrededor del ring con la arraiga.</v>
      </c>
    </row>
    <row r="3779">
      <c r="A3779" s="4" t="s">
        <v>4750</v>
      </c>
      <c r="B3779" s="4" t="s">
        <v>4754</v>
      </c>
      <c r="C3779" s="5" t="str">
        <f>IFERROR(__xludf.DUMMYFUNCTION("GOOGLETRANSLATE(B3779,""en"",""es-ES"")"),"Tres periodistas están de pie usando trajes y miran a los hombres en el ring.")</f>
        <v>Tres periodistas están de pie usando trajes y miran a los hombres en el ring.</v>
      </c>
    </row>
    <row r="3780">
      <c r="A3780" s="4" t="s">
        <v>4755</v>
      </c>
      <c r="B3780" s="4" t="s">
        <v>4756</v>
      </c>
      <c r="C3780" s="5" t="str">
        <f>IFERROR(__xludf.DUMMYFUNCTION("GOOGLETRANSLATE(B3780,""en"",""es-ES"")"),"Una introducción llega a la pantalla para un video sobre regalos de envoltura.")</f>
        <v>Una introducción llega a la pantalla para un video sobre regalos de envoltura.</v>
      </c>
    </row>
    <row r="3781">
      <c r="A3781" s="4" t="s">
        <v>4755</v>
      </c>
      <c r="B3781" s="4" t="s">
        <v>4757</v>
      </c>
      <c r="C3781" s="5" t="str">
        <f>IFERROR(__xludf.DUMMYFUNCTION("GOOGLETRANSLATE(B3781,""en"",""es-ES"")"),"Varias tomas de cerca diferentes son espectáculos de regalos envueltos y suministros de envoltura de regalos.")</f>
        <v>Varias tomas de cerca diferentes son espectáculos de regalos envueltos y suministros de envoltura de regalos.</v>
      </c>
    </row>
    <row r="3782">
      <c r="A3782" s="4" t="s">
        <v>4755</v>
      </c>
      <c r="B3782" s="4" t="s">
        <v>4758</v>
      </c>
      <c r="C3782" s="5" t="str">
        <f>IFERROR(__xludf.DUMMYFUNCTION("GOOGLETRANSLATE(B3782,""en"",""es-ES"")"),"Una persona entra en la pantalla y comienza a envolver un regalo.")</f>
        <v>Una persona entra en la pantalla y comienza a envolver un regalo.</v>
      </c>
    </row>
    <row r="3783">
      <c r="A3783" s="4" t="s">
        <v>4755</v>
      </c>
      <c r="B3783" s="4" t="s">
        <v>4759</v>
      </c>
      <c r="C3783" s="5" t="str">
        <f>IFERROR(__xludf.DUMMYFUNCTION("GOOGLETRANSLATE(B3783,""en"",""es-ES"")"),"Ella decora el regalo con cintas y accesorios para embellecerlo.")</f>
        <v>Ella decora el regalo con cintas y accesorios para embellecerlo.</v>
      </c>
    </row>
    <row r="3784">
      <c r="A3784" s="4" t="s">
        <v>4755</v>
      </c>
      <c r="B3784" s="4" t="s">
        <v>4760</v>
      </c>
      <c r="C3784" s="5" t="str">
        <f>IFERROR(__xludf.DUMMYFUNCTION("GOOGLETRANSLATE(B3784,""en"",""es-ES"")"),"Luego se muestran varias otras ideas de envoltura de regalos en la otra.")</f>
        <v>Luego se muestran varias otras ideas de envoltura de regalos en la otra.</v>
      </c>
    </row>
    <row r="3785">
      <c r="A3785" s="4" t="s">
        <v>4755</v>
      </c>
      <c r="B3785" s="4" t="s">
        <v>4761</v>
      </c>
      <c r="C3785" s="5" t="str">
        <f>IFERROR(__xludf.DUMMYFUNCTION("GOOGLETRANSLATE(B3785,""en"",""es-ES"")"),"El video termina con los créditos de cierre que se muestran en la pantalla.")</f>
        <v>El video termina con los créditos de cierre que se muestran en la pantalla.</v>
      </c>
    </row>
    <row r="3786">
      <c r="A3786" s="4" t="s">
        <v>4762</v>
      </c>
      <c r="B3786" s="4" t="s">
        <v>4763</v>
      </c>
      <c r="C3786" s="5" t="str">
        <f>IFERROR(__xludf.DUMMYFUNCTION("GOOGLETRANSLATE(B3786,""en"",""es-ES"")"),"Una cámara planea una larga lista y conduce a un grupo de hombres y uno que les habla a todos.")</f>
        <v>Una cámara planea una larga lista y conduce a un grupo de hombres y uno que les habla a todos.</v>
      </c>
    </row>
    <row r="3787">
      <c r="A3787" s="4" t="s">
        <v>4762</v>
      </c>
      <c r="B3787" s="4" t="s">
        <v>4764</v>
      </c>
      <c r="C3787" s="5" t="str">
        <f>IFERROR(__xludf.DUMMYFUNCTION("GOOGLETRANSLATE(B3787,""en"",""es-ES"")"),"Dos hombres se dan la mano y comienzan a rodar pintura a lo largo de un papel largo.")</f>
        <v>Dos hombres se dan la mano y comienzan a rodar pintura a lo largo de un papel largo.</v>
      </c>
    </row>
    <row r="3788">
      <c r="A3788" s="4" t="s">
        <v>4762</v>
      </c>
      <c r="B3788" s="4" t="s">
        <v>4765</v>
      </c>
      <c r="C3788" s="5" t="str">
        <f>IFERROR(__xludf.DUMMYFUNCTION("GOOGLETRANSLATE(B3788,""en"",""es-ES"")"),"Corren para poner el papel en una pared larga y las fotografías de hombres que miden la pared siguen.")</f>
        <v>Corren para poner el papel en una pared larga y las fotografías de hombres que miden la pared siguen.</v>
      </c>
    </row>
    <row r="3789">
      <c r="A3789" s="4" t="s">
        <v>4762</v>
      </c>
      <c r="B3789" s="4" t="s">
        <v>4766</v>
      </c>
      <c r="C3789" s="5" t="str">
        <f>IFERROR(__xludf.DUMMYFUNCTION("GOOGLETRANSLATE(B3789,""en"",""es-ES"")"),"Los hombres puñetaban a otro y se dan la mano mientras los hombres continúan escribiendo notas y imágenes de puntajes altos que se muestran.")</f>
        <v>Los hombres puñetaban a otro y se dan la mano mientras los hombres continúan escribiendo notas y imágenes de puntajes altos que se muestran.</v>
      </c>
    </row>
    <row r="3790">
      <c r="A3790" s="4" t="s">
        <v>4767</v>
      </c>
      <c r="B3790" s="4" t="s">
        <v>4768</v>
      </c>
      <c r="C3790" s="5" t="str">
        <f>IFERROR(__xludf.DUMMYFUNCTION("GOOGLETRANSLATE(B3790,""en"",""es-ES"")"),"Una mujer está sentada afuera de su casa y lavando su ropa en una bañera llena de agua y jabón.")</f>
        <v>Una mujer está sentada afuera de su casa y lavando su ropa en una bañera llena de agua y jabón.</v>
      </c>
    </row>
    <row r="3791">
      <c r="A3791" s="4" t="s">
        <v>4767</v>
      </c>
      <c r="B3791" s="4" t="s">
        <v>4769</v>
      </c>
      <c r="C3791" s="5" t="str">
        <f>IFERROR(__xludf.DUMMYFUNCTION("GOOGLETRANSLATE(B3791,""en"",""es-ES"")"),"Ella quita la ropa de la bañera y luego la empapa en otra bañera llena de agua.")</f>
        <v>Ella quita la ropa de la bañera y luego la empapa en otra bañera llena de agua.</v>
      </c>
    </row>
    <row r="3792">
      <c r="A3792" s="4" t="s">
        <v>4767</v>
      </c>
      <c r="B3792" s="4" t="s">
        <v>4770</v>
      </c>
      <c r="C3792" s="5" t="str">
        <f>IFERROR(__xludf.DUMMYFUNCTION("GOOGLETRANSLATE(B3792,""en"",""es-ES"")"),"Ella pone la manguera de agua en la bañera de agua.")</f>
        <v>Ella pone la manguera de agua en la bañera de agua.</v>
      </c>
    </row>
    <row r="3793">
      <c r="A3793" s="4" t="s">
        <v>4767</v>
      </c>
      <c r="B3793" s="4" t="s">
        <v>4771</v>
      </c>
      <c r="C3793" s="5" t="str">
        <f>IFERROR(__xludf.DUMMYFUNCTION("GOOGLETRANSLATE(B3793,""en"",""es-ES"")"),"Agrega más ropa en el agua jabonosa y continúa lavando la ropa.")</f>
        <v>Agrega más ropa en el agua jabonosa y continúa lavando la ropa.</v>
      </c>
    </row>
    <row r="3794">
      <c r="A3794" s="4" t="s">
        <v>4772</v>
      </c>
      <c r="B3794" s="4" t="s">
        <v>4773</v>
      </c>
      <c r="C3794" s="5" t="str">
        <f>IFERROR(__xludf.DUMMYFUNCTION("GOOGLETRANSLATE(B3794,""en"",""es-ES"")"),"Old Man está parado frente a un joven hablando con él.")</f>
        <v>Old Man está parado frente a un joven hablando con él.</v>
      </c>
    </row>
    <row r="3795">
      <c r="A3795" s="4" t="s">
        <v>4772</v>
      </c>
      <c r="B3795" s="4" t="s">
        <v>4774</v>
      </c>
      <c r="C3795" s="5" t="str">
        <f>IFERROR(__xludf.DUMMYFUNCTION("GOOGLETRANSLATE(B3795,""en"",""es-ES"")"),"Young Man está en medio del escenario y se extiende un gris blanco en sus manos y camina haciendo profundos beraths.")</f>
        <v>Young Man está en medio del escenario y se extiende un gris blanco en sus manos y camina haciendo profundos beraths.</v>
      </c>
    </row>
    <row r="3796">
      <c r="A3796" s="4" t="s">
        <v>4772</v>
      </c>
      <c r="B3796" s="4" t="s">
        <v>4775</v>
      </c>
      <c r="C3796" s="5" t="str">
        <f>IFERROR(__xludf.DUMMYFUNCTION("GOOGLETRANSLATE(B3796,""en"",""es-ES"")"),"El hombre está listo para levantar el peso en el medio de un escenario blanco y la gente detrás de Jim aplaude.")</f>
        <v>El hombre está listo para levantar el peso en el medio de un escenario blanco y la gente detrás de Jim aplaude.</v>
      </c>
    </row>
    <row r="3797">
      <c r="A3797" s="4" t="s">
        <v>4776</v>
      </c>
      <c r="B3797" s="4" t="s">
        <v>4777</v>
      </c>
      <c r="C3797" s="5" t="str">
        <f>IFERROR(__xludf.DUMMYFUNCTION("GOOGLETRANSLATE(B3797,""en"",""es-ES"")"),"Una mujer con un traje púrpura y con un babero en la espalda se acerca a un rayo de equilibrio de madera frente a una gran audiencia que la está animando.")</f>
        <v>Una mujer con un traje púrpura y con un babero en la espalda se acerca a un rayo de equilibrio de madera frente a una gran audiencia que la está animando.</v>
      </c>
    </row>
    <row r="3798">
      <c r="A3798" s="4" t="s">
        <v>4776</v>
      </c>
      <c r="B3798" s="4" t="s">
        <v>4778</v>
      </c>
      <c r="C3798" s="5" t="str">
        <f>IFERROR(__xludf.DUMMYFUNCTION("GOOGLETRANSLATE(B3798,""en"",""es-ES"")"),"La mujer salta sobre el rayo de equilibrio y un hombre rápidamente agarra la rampa que usó para saltar sobre el rayo de equilibrio y la elimina del área.")</f>
        <v>La mujer salta sobre el rayo de equilibrio y un hombre rápidamente agarra la rampa que usó para saltar sobre el rayo de equilibrio y la elimina del área.</v>
      </c>
    </row>
    <row r="3799">
      <c r="A3799" s="4" t="s">
        <v>4776</v>
      </c>
      <c r="B3799" s="4" t="s">
        <v>4779</v>
      </c>
      <c r="C3799" s="5" t="str">
        <f>IFERROR(__xludf.DUMMYFUNCTION("GOOGLETRANSLATE(B3799,""en"",""es-ES"")"),"La mujer comienza su rutina que incluye, saltos, volteos y pequeños movimientos de baile.")</f>
        <v>La mujer comienza su rutina que incluye, saltos, volteos y pequeños movimientos de baile.</v>
      </c>
    </row>
    <row r="3800">
      <c r="A3800" s="4" t="s">
        <v>4776</v>
      </c>
      <c r="B3800" s="4" t="s">
        <v>4780</v>
      </c>
      <c r="C3800" s="5" t="str">
        <f>IFERROR(__xludf.DUMMYFUNCTION("GOOGLETRANSLATE(B3800,""en"",""es-ES"")"),"Durante la rutina, la mujer se voltea y pierde ligeramente su equilibrio, pero rápidamente se recupera y permanece en el rayo de equilibrio.")</f>
        <v>Durante la rutina, la mujer se voltea y pierde ligeramente su equilibrio, pero rápidamente se recupera y permanece en el rayo de equilibrio.</v>
      </c>
    </row>
    <row r="3801">
      <c r="A3801" s="4" t="s">
        <v>4776</v>
      </c>
      <c r="B3801" s="4" t="s">
        <v>4781</v>
      </c>
      <c r="C3801" s="5" t="str">
        <f>IFERROR(__xludf.DUMMYFUNCTION("GOOGLETRANSLATE(B3801,""en"",""es-ES"")"),"La mujer va al extremo más alejado de la viga de equilibrio, tiene una mirada muy concentrada en su rostro y rápidamente hace una serie de volteos del rayo de equilibrio, aterriza en sus pies, arroja sus dos brazos en el aire y saluda al audiencia que est"&amp;"á animando salvajemente.")</f>
        <v>La mujer va al extremo más alejado de la viga de equilibrio, tiene una mirada muy concentrada en su rostro y rápidamente hace una serie de volteos del rayo de equilibrio, aterriza en sus pies, arroja sus dos brazos en el aire y saluda al audiencia que está animando salvajemente.</v>
      </c>
    </row>
    <row r="3802">
      <c r="A3802" s="4" t="s">
        <v>4782</v>
      </c>
      <c r="B3802" s="4" t="s">
        <v>4783</v>
      </c>
      <c r="C3802" s="5" t="str">
        <f>IFERROR(__xludf.DUMMYFUNCTION("GOOGLETRANSLATE(B3802,""en"",""es-ES"")"),"La gente juega béisbol en un campo de hierba.")</f>
        <v>La gente juega béisbol en un campo de hierba.</v>
      </c>
    </row>
    <row r="3803">
      <c r="A3803" s="4" t="s">
        <v>4782</v>
      </c>
      <c r="B3803" s="4" t="s">
        <v>4784</v>
      </c>
      <c r="C3803" s="5" t="str">
        <f>IFERROR(__xludf.DUMMYFUNCTION("GOOGLETRANSLATE(B3803,""en"",""es-ES"")"),"Una persona con una camisa azul cae arrojando el béisbol.")</f>
        <v>Una persona con una camisa azul cae arrojando el béisbol.</v>
      </c>
    </row>
    <row r="3804">
      <c r="A3804" s="4" t="s">
        <v>4782</v>
      </c>
      <c r="B3804" s="4" t="s">
        <v>4785</v>
      </c>
      <c r="C3804" s="5" t="str">
        <f>IFERROR(__xludf.DUMMYFUNCTION("GOOGLETRANSLATE(B3804,""en"",""es-ES"")"),"La audiencia está bailando al costado del campo.")</f>
        <v>La audiencia está bailando al costado del campo.</v>
      </c>
    </row>
    <row r="3805">
      <c r="A3805" s="4" t="s">
        <v>4786</v>
      </c>
      <c r="B3805" s="4" t="s">
        <v>4787</v>
      </c>
      <c r="C3805" s="5" t="str">
        <f>IFERROR(__xludf.DUMMYFUNCTION("GOOGLETRANSLATE(B3805,""en"",""es-ES"")"),"Se ve a una persona parada en la playa con un balón de fútbol frente a él y una persona parada en un gol.")</f>
        <v>Se ve a una persona parada en la playa con un balón de fútbol frente a él y una persona parada en un gol.</v>
      </c>
    </row>
    <row r="3806">
      <c r="A3806" s="4" t="s">
        <v>4786</v>
      </c>
      <c r="B3806" s="4" t="s">
        <v>4788</v>
      </c>
      <c r="C3806" s="5" t="str">
        <f>IFERROR(__xludf.DUMMYFUNCTION("GOOGLETRANSLATE(B3806,""en"",""es-ES"")"),"La persona luego patea el balón varias veces al portero.")</f>
        <v>La persona luego patea el balón varias veces al portero.</v>
      </c>
    </row>
    <row r="3807">
      <c r="A3807" s="4" t="s">
        <v>4786</v>
      </c>
      <c r="B3807" s="4" t="s">
        <v>4789</v>
      </c>
      <c r="C3807" s="5" t="str">
        <f>IFERROR(__xludf.DUMMYFUNCTION("GOOGLETRANSLATE(B3807,""en"",""es-ES"")"),"El portero intenta bloquear los tiros dirigidos a la red.")</f>
        <v>El portero intenta bloquear los tiros dirigidos a la red.</v>
      </c>
    </row>
    <row r="3808">
      <c r="A3808" s="4" t="s">
        <v>4790</v>
      </c>
      <c r="B3808" s="4" t="s">
        <v>4791</v>
      </c>
      <c r="C3808" s="5" t="str">
        <f>IFERROR(__xludf.DUMMYFUNCTION("GOOGLETRANSLATE(B3808,""en"",""es-ES"")"),"Un hombre se acuesta en la cama y se despierta.")</f>
        <v>Un hombre se acuesta en la cama y se despierta.</v>
      </c>
    </row>
    <row r="3809">
      <c r="A3809" s="4" t="s">
        <v>4790</v>
      </c>
      <c r="B3809" s="4" t="s">
        <v>4792</v>
      </c>
      <c r="C3809" s="5" t="str">
        <f>IFERROR(__xludf.DUMMYFUNCTION("GOOGLETRANSLATE(B3809,""en"",""es-ES"")"),"El hombre hace y bebe una taza de café.")</f>
        <v>El hombre hace y bebe una taza de café.</v>
      </c>
    </row>
    <row r="3810">
      <c r="A3810" s="4" t="s">
        <v>4790</v>
      </c>
      <c r="B3810" s="4" t="s">
        <v>4793</v>
      </c>
      <c r="C3810" s="5" t="str">
        <f>IFERROR(__xludf.DUMMYFUNCTION("GOOGLETRANSLATE(B3810,""en"",""es-ES"")"),"El hombre bebe de la copa y cuando baja la taza, el hombre es el vestido como Capitán América.")</f>
        <v>El hombre bebe de la copa y cuando baja la taza, el hombre es el vestido como Capitán América.</v>
      </c>
    </row>
    <row r="3811">
      <c r="A3811" s="4" t="s">
        <v>4794</v>
      </c>
      <c r="B3811" s="4" t="s">
        <v>4795</v>
      </c>
      <c r="C3811" s="5" t="str">
        <f>IFERROR(__xludf.DUMMYFUNCTION("GOOGLETRANSLATE(B3811,""en"",""es-ES"")"),"Se ve a una niña realizando una rutina de baile del vientre frente a un gran grupo de personas.")</f>
        <v>Se ve a una niña realizando una rutina de baile del vientre frente a un gran grupo de personas.</v>
      </c>
    </row>
    <row r="3812">
      <c r="A3812" s="4" t="s">
        <v>4794</v>
      </c>
      <c r="B3812" s="4" t="s">
        <v>4796</v>
      </c>
      <c r="C3812" s="5" t="str">
        <f>IFERROR(__xludf.DUMMYFUNCTION("GOOGLETRANSLATE(B3812,""en"",""es-ES"")"),"La niña continúa balanceando los brazos y las piernas frente a la audiencia y termina inclinando y soplando un beso.")</f>
        <v>La niña continúa balanceando los brazos y las piernas frente a la audiencia y termina inclinando y soplando un beso.</v>
      </c>
    </row>
    <row r="3813">
      <c r="A3813" s="4" t="s">
        <v>4797</v>
      </c>
      <c r="B3813" s="4" t="s">
        <v>4798</v>
      </c>
      <c r="C3813" s="5" t="str">
        <f>IFERROR(__xludf.DUMMYFUNCTION("GOOGLETRANSLATE(B3813,""en"",""es-ES"")"),"Una mujer de pie detrás de una tabla de planchar agarra un par de pantalones.")</f>
        <v>Una mujer de pie detrás de una tabla de planchar agarra un par de pantalones.</v>
      </c>
    </row>
    <row r="3814">
      <c r="A3814" s="4" t="s">
        <v>4797</v>
      </c>
      <c r="B3814" s="4" t="s">
        <v>4799</v>
      </c>
      <c r="C3814" s="5" t="str">
        <f>IFERROR(__xludf.DUMMYFUNCTION("GOOGLETRANSLATE(B3814,""en"",""es-ES"")"),"Ella comienza a planchar los pantalones de adentro hacia afuera.")</f>
        <v>Ella comienza a planchar los pantalones de adentro hacia afuera.</v>
      </c>
    </row>
    <row r="3815">
      <c r="A3815" s="4" t="s">
        <v>4797</v>
      </c>
      <c r="B3815" s="4" t="s">
        <v>4800</v>
      </c>
      <c r="C3815" s="5" t="str">
        <f>IFERROR(__xludf.DUMMYFUNCTION("GOOGLETRANSLATE(B3815,""en"",""es-ES"")"),"Ella le devuelve los pantalones de la manera correcta y continúa planchándolos.")</f>
        <v>Ella le devuelve los pantalones de la manera correcta y continúa planchándolos.</v>
      </c>
    </row>
    <row r="3816">
      <c r="A3816" s="4" t="s">
        <v>4801</v>
      </c>
      <c r="B3816" s="4" t="s">
        <v>4802</v>
      </c>
      <c r="C3816" s="5" t="str">
        <f>IFERROR(__xludf.DUMMYFUNCTION("GOOGLETRANSLATE(B3816,""en"",""es-ES"")"),"Un hombre está en una canoa sosteniendo una paleta en una piscina.")</f>
        <v>Un hombre está en una canoa sosteniendo una paleta en una piscina.</v>
      </c>
    </row>
    <row r="3817">
      <c r="A3817" s="4" t="s">
        <v>4801</v>
      </c>
      <c r="B3817" s="4" t="s">
        <v>4803</v>
      </c>
      <c r="C3817" s="5" t="str">
        <f>IFERROR(__xludf.DUMMYFUNCTION("GOOGLETRANSLATE(B3817,""en"",""es-ES"")"),"Un hombre gira una canoa que ayuda con un remo.")</f>
        <v>Un hombre gira una canoa que ayuda con un remo.</v>
      </c>
    </row>
    <row r="3818">
      <c r="A3818" s="4" t="s">
        <v>4804</v>
      </c>
      <c r="B3818" s="4" t="s">
        <v>4805</v>
      </c>
      <c r="C3818" s="5" t="str">
        <f>IFERROR(__xludf.DUMMYFUNCTION("GOOGLETRANSLATE(B3818,""en"",""es-ES"")"),"Un perro que sostiene una taza en la boca salta en un sofá.")</f>
        <v>Un perro que sostiene una taza en la boca salta en un sofá.</v>
      </c>
    </row>
    <row r="3819">
      <c r="A3819" s="4" t="s">
        <v>4804</v>
      </c>
      <c r="B3819" s="4" t="s">
        <v>4806</v>
      </c>
      <c r="C3819" s="5" t="str">
        <f>IFERROR(__xludf.DUMMYFUNCTION("GOOGLETRANSLATE(B3819,""en"",""es-ES"")"),"El perro procede a comer algo en la taza.")</f>
        <v>El perro procede a comer algo en la taza.</v>
      </c>
    </row>
    <row r="3820">
      <c r="A3820" s="4" t="s">
        <v>4807</v>
      </c>
      <c r="B3820" s="4" t="s">
        <v>4808</v>
      </c>
      <c r="C3820" s="5" t="str">
        <f>IFERROR(__xludf.DUMMYFUNCTION("GOOGLETRANSLATE(B3820,""en"",""es-ES"")"),"La gente está sentada en autos de parachoques.")</f>
        <v>La gente está sentada en autos de parachoques.</v>
      </c>
    </row>
    <row r="3821">
      <c r="A3821" s="4" t="s">
        <v>4807</v>
      </c>
      <c r="B3821" s="4" t="s">
        <v>4809</v>
      </c>
      <c r="C3821" s="5" t="str">
        <f>IFERROR(__xludf.DUMMYFUNCTION("GOOGLETRANSLATE(B3821,""en"",""es-ES"")"),"Un hombre a un lado se sostiene al costado de uno de los autos.")</f>
        <v>Un hombre a un lado se sostiene al costado de uno de los autos.</v>
      </c>
    </row>
    <row r="3822">
      <c r="A3822" s="4" t="s">
        <v>4807</v>
      </c>
      <c r="B3822" s="4" t="s">
        <v>4810</v>
      </c>
      <c r="C3822" s="5" t="str">
        <f>IFERROR(__xludf.DUMMYFUNCTION("GOOGLETRANSLATE(B3822,""en"",""es-ES"")"),"Salta a un lado.")</f>
        <v>Salta a un lado.</v>
      </c>
    </row>
    <row r="3823">
      <c r="A3823" s="4" t="s">
        <v>4811</v>
      </c>
      <c r="B3823" s="4" t="s">
        <v>4812</v>
      </c>
      <c r="C3823" s="5" t="str">
        <f>IFERROR(__xludf.DUMMYFUNCTION("GOOGLETRANSLATE(B3823,""en"",""es-ES"")"),"Una persona comienza a limpiar la nieve de un parabrisas en un automóvil.")</f>
        <v>Una persona comienza a limpiar la nieve de un parabrisas en un automóvil.</v>
      </c>
    </row>
    <row r="3824">
      <c r="A3824" s="4" t="s">
        <v>4811</v>
      </c>
      <c r="B3824" s="4" t="s">
        <v>4813</v>
      </c>
      <c r="C3824" s="5" t="str">
        <f>IFERROR(__xludf.DUMMYFUNCTION("GOOGLETRANSLATE(B3824,""en"",""es-ES"")"),"Luego limpian la nieve de las puertas del auto.")</f>
        <v>Luego limpian la nieve de las puertas del auto.</v>
      </c>
    </row>
    <row r="3825">
      <c r="A3825" s="4" t="s">
        <v>4811</v>
      </c>
      <c r="B3825" s="4" t="s">
        <v>4814</v>
      </c>
      <c r="C3825" s="5" t="str">
        <f>IFERROR(__xludf.DUMMYFUNCTION("GOOGLETRANSLATE(B3825,""en"",""es-ES"")"),"Luego limpian la ventana trasera de un automóvil.")</f>
        <v>Luego limpian la ventana trasera de un automóvil.</v>
      </c>
    </row>
    <row r="3826">
      <c r="A3826" s="4" t="s">
        <v>4815</v>
      </c>
      <c r="B3826" s="4" t="s">
        <v>4816</v>
      </c>
      <c r="C3826" s="5" t="str">
        <f>IFERROR(__xludf.DUMMYFUNCTION("GOOGLETRANSLATE(B3826,""en"",""es-ES"")"),"Un hombre con una camisa roja está tocando una batería.")</f>
        <v>Un hombre con una camisa roja está tocando una batería.</v>
      </c>
    </row>
    <row r="3827">
      <c r="A3827" s="4" t="s">
        <v>4815</v>
      </c>
      <c r="B3827" s="4" t="s">
        <v>4817</v>
      </c>
      <c r="C3827" s="5" t="str">
        <f>IFERROR(__xludf.DUMMYFUNCTION("GOOGLETRANSLATE(B3827,""en"",""es-ES"")"),"Un hombre con una camisa azul está sentada hablando.")</f>
        <v>Un hombre con una camisa azul está sentada hablando.</v>
      </c>
    </row>
    <row r="3828">
      <c r="A3828" s="4" t="s">
        <v>4818</v>
      </c>
      <c r="B3828" s="4" t="s">
        <v>940</v>
      </c>
      <c r="C3828" s="5" t="str">
        <f>IFERROR(__xludf.DUMMYFUNCTION("GOOGLETRANSLATE(B3828,""en"",""es-ES"")"),"Una mujer habla con la cámara.")</f>
        <v>Una mujer habla con la cámara.</v>
      </c>
    </row>
    <row r="3829">
      <c r="A3829" s="4" t="s">
        <v>4818</v>
      </c>
      <c r="B3829" s="4" t="s">
        <v>4819</v>
      </c>
      <c r="C3829" s="5" t="str">
        <f>IFERROR(__xludf.DUMMYFUNCTION("GOOGLETRANSLATE(B3829,""en"",""es-ES"")"),"La mujer moldea un trozo de ropa en una tabla de planchar.")</f>
        <v>La mujer moldea un trozo de ropa en una tabla de planchar.</v>
      </c>
    </row>
    <row r="3830">
      <c r="A3830" s="4" t="s">
        <v>4818</v>
      </c>
      <c r="B3830" s="4" t="s">
        <v>4820</v>
      </c>
      <c r="C3830" s="5" t="str">
        <f>IFERROR(__xludf.DUMMYFUNCTION("GOOGLETRANSLATE(B3830,""en"",""es-ES"")"),"La mujer voltea la ropa.")</f>
        <v>La mujer voltea la ropa.</v>
      </c>
    </row>
    <row r="3831">
      <c r="A3831" s="4" t="s">
        <v>4818</v>
      </c>
      <c r="B3831" s="4" t="s">
        <v>4821</v>
      </c>
      <c r="C3831" s="5" t="str">
        <f>IFERROR(__xludf.DUMMYFUNCTION("GOOGLETRANSLATE(B3831,""en"",""es-ES"")"),"La mujer continúa planchando la ropa.")</f>
        <v>La mujer continúa planchando la ropa.</v>
      </c>
    </row>
    <row r="3832">
      <c r="A3832" s="4" t="s">
        <v>4822</v>
      </c>
      <c r="B3832" s="4" t="s">
        <v>4823</v>
      </c>
      <c r="C3832" s="5" t="str">
        <f>IFERROR(__xludf.DUMMYFUNCTION("GOOGLETRANSLATE(B3832,""en"",""es-ES"")"),"Un atleta masculino está afuera en un campo rodeado de personas y comienza a girar y lanza un lanzamiento de bala.")</f>
        <v>Un atleta masculino está afuera en un campo rodeado de personas y comienza a girar y lanza un lanzamiento de bala.</v>
      </c>
    </row>
    <row r="3833">
      <c r="A3833" s="4" t="s">
        <v>4822</v>
      </c>
      <c r="B3833" s="4" t="s">
        <v>4824</v>
      </c>
      <c r="C3833" s="5" t="str">
        <f>IFERROR(__xludf.DUMMYFUNCTION("GOOGLETRANSLATE(B3833,""en"",""es-ES"")"),"La multitud comienza a animarse y el hombre levanta las manos en la felicidad.")</f>
        <v>La multitud comienza a animarse y el hombre levanta las manos en la felicidad.</v>
      </c>
    </row>
    <row r="3834">
      <c r="A3834" s="4" t="s">
        <v>4825</v>
      </c>
      <c r="B3834" s="4" t="s">
        <v>4826</v>
      </c>
      <c r="C3834" s="5" t="str">
        <f>IFERROR(__xludf.DUMMYFUNCTION("GOOGLETRANSLATE(B3834,""en"",""es-ES"")"),"Una dama se para en un baño hablando.")</f>
        <v>Una dama se para en un baño hablando.</v>
      </c>
    </row>
    <row r="3835">
      <c r="A3835" s="4" t="s">
        <v>4825</v>
      </c>
      <c r="B3835" s="4" t="s">
        <v>4827</v>
      </c>
      <c r="C3835" s="5" t="str">
        <f>IFERROR(__xludf.DUMMYFUNCTION("GOOGLETRANSLATE(B3835,""en"",""es-ES"")"),"La señora muestra a la cámara su cepillo y secador de soplado.")</f>
        <v>La señora muestra a la cámara su cepillo y secador de soplado.</v>
      </c>
    </row>
    <row r="3836">
      <c r="A3836" s="4" t="s">
        <v>4825</v>
      </c>
      <c r="B3836" s="4" t="s">
        <v>4828</v>
      </c>
      <c r="C3836" s="5" t="str">
        <f>IFERROR(__xludf.DUMMYFUNCTION("GOOGLETRANSLATE(B3836,""en"",""es-ES"")"),"La señora se cepilla el cabello.")</f>
        <v>La señora se cepilla el cabello.</v>
      </c>
    </row>
    <row r="3837">
      <c r="A3837" s="4" t="s">
        <v>4825</v>
      </c>
      <c r="B3837" s="4" t="s">
        <v>4829</v>
      </c>
      <c r="C3837" s="5" t="str">
        <f>IFERROR(__xludf.DUMMYFUNCTION("GOOGLETRANSLATE(B3837,""en"",""es-ES"")"),"La señora se lanzará el cabello mientras ella gira el cabello sobre un cepillo.")</f>
        <v>La señora se lanzará el cabello mientras ella gira el cabello sobre un cepillo.</v>
      </c>
    </row>
    <row r="3838">
      <c r="A3838" s="4" t="s">
        <v>4825</v>
      </c>
      <c r="B3838" s="4" t="s">
        <v>4830</v>
      </c>
      <c r="C3838" s="5" t="str">
        <f>IFERROR(__xludf.DUMMYFUNCTION("GOOGLETRANSLATE(B3838,""en"",""es-ES"")"),"La señora apaga el secador y habla con la cámara mientras se ajusta el cabello.")</f>
        <v>La señora apaga el secador y habla con la cámara mientras se ajusta el cabello.</v>
      </c>
    </row>
    <row r="3839">
      <c r="A3839" s="4" t="s">
        <v>4825</v>
      </c>
      <c r="B3839" s="4" t="s">
        <v>4831</v>
      </c>
      <c r="C3839" s="5" t="str">
        <f>IFERROR(__xludf.DUMMYFUNCTION("GOOGLETRANSLATE(B3839,""en"",""es-ES"")"),"La señora pone su cepillo y habla con la cámara.")</f>
        <v>La señora pone su cepillo y habla con la cámara.</v>
      </c>
    </row>
    <row r="3840">
      <c r="A3840" s="4" t="s">
        <v>4832</v>
      </c>
      <c r="B3840" s="4" t="s">
        <v>4833</v>
      </c>
      <c r="C3840" s="5" t="str">
        <f>IFERROR(__xludf.DUMMYFUNCTION("GOOGLETRANSLATE(B3840,""en"",""es-ES"")"),"La gente se reúne en gradas en un gimnasio.")</f>
        <v>La gente se reúne en gradas en un gimnasio.</v>
      </c>
    </row>
    <row r="3841">
      <c r="A3841" s="4" t="s">
        <v>4832</v>
      </c>
      <c r="B3841" s="4" t="s">
        <v>4834</v>
      </c>
      <c r="C3841" s="5" t="str">
        <f>IFERROR(__xludf.DUMMYFUNCTION("GOOGLETRANSLATE(B3841,""en"",""es-ES"")"),"Los compañeros de equipo salen agitando una bandera blanca.")</f>
        <v>Los compañeros de equipo salen agitando una bandera blanca.</v>
      </c>
    </row>
    <row r="3842">
      <c r="A3842" s="4" t="s">
        <v>4832</v>
      </c>
      <c r="B3842" s="4" t="s">
        <v>4835</v>
      </c>
      <c r="C3842" s="5" t="str">
        <f>IFERROR(__xludf.DUMMYFUNCTION("GOOGLETRANSLATE(B3842,""en"",""es-ES"")"),"Un juego de baloncesto comienza, tratando de hacer canastas.")</f>
        <v>Un juego de baloncesto comienza, tratando de hacer canastas.</v>
      </c>
    </row>
    <row r="3843">
      <c r="A3843" s="4" t="s">
        <v>4836</v>
      </c>
      <c r="B3843" s="4" t="s">
        <v>4837</v>
      </c>
      <c r="C3843" s="5" t="str">
        <f>IFERROR(__xludf.DUMMYFUNCTION("GOOGLETRANSLATE(B3843,""en"",""es-ES"")"),"Un hombre en un rodeo debido a un truco.")</f>
        <v>Un hombre en un rodeo debido a un truco.</v>
      </c>
    </row>
    <row r="3844">
      <c r="A3844" s="4" t="s">
        <v>4836</v>
      </c>
      <c r="B3844" s="4" t="s">
        <v>4838</v>
      </c>
      <c r="C3844" s="5" t="str">
        <f>IFERROR(__xludf.DUMMYFUNCTION("GOOGLETRANSLATE(B3844,""en"",""es-ES"")"),"Un hombre está montando un caballo en un anillo de rodeo.")</f>
        <v>Un hombre está montando un caballo en un anillo de rodeo.</v>
      </c>
    </row>
    <row r="3845">
      <c r="A3845" s="4" t="s">
        <v>4836</v>
      </c>
      <c r="B3845" s="4" t="s">
        <v>4839</v>
      </c>
      <c r="C3845" s="5" t="str">
        <f>IFERROR(__xludf.DUMMYFUNCTION("GOOGLETRANSLATE(B3845,""en"",""es-ES"")"),"El hombre lassos una vaca y la arroja al suelo.")</f>
        <v>El hombre lassos una vaca y la arroja al suelo.</v>
      </c>
    </row>
    <row r="3846">
      <c r="A3846" s="4" t="s">
        <v>4836</v>
      </c>
      <c r="B3846" s="4" t="s">
        <v>4840</v>
      </c>
      <c r="C3846" s="5" t="str">
        <f>IFERROR(__xludf.DUMMYFUNCTION("GOOGLETRANSLATE(B3846,""en"",""es-ES"")"),"El hombre luego Hog ate a la vaca.")</f>
        <v>El hombre luego Hog ate a la vaca.</v>
      </c>
    </row>
    <row r="3847">
      <c r="A3847" s="4" t="s">
        <v>4836</v>
      </c>
      <c r="B3847" s="4" t="s">
        <v>4841</v>
      </c>
      <c r="C3847" s="5" t="str">
        <f>IFERROR(__xludf.DUMMYFUNCTION("GOOGLETRANSLATE(B3847,""en"",""es-ES"")"),"El hombre vuelve a su caballo y nos levantamos y vemos el marcador.")</f>
        <v>El hombre vuelve a su caballo y nos levantamos y vemos el marcador.</v>
      </c>
    </row>
    <row r="3848">
      <c r="A3848" s="4" t="s">
        <v>4842</v>
      </c>
      <c r="B3848" s="4" t="s">
        <v>4843</v>
      </c>
      <c r="C3848" s="5" t="str">
        <f>IFERROR(__xludf.DUMMYFUNCTION("GOOGLETRANSLATE(B3848,""en"",""es-ES"")"),"Dos niños pequeños están comiendo un cono de helado en McDonalds.")</f>
        <v>Dos niños pequeños están comiendo un cono de helado en McDonalds.</v>
      </c>
    </row>
    <row r="3849">
      <c r="A3849" s="4" t="s">
        <v>4842</v>
      </c>
      <c r="B3849" s="4" t="s">
        <v>4844</v>
      </c>
      <c r="C3849" s="5" t="str">
        <f>IFERROR(__xludf.DUMMYFUNCTION("GOOGLETRANSLATE(B3849,""en"",""es-ES"")"),"Están lamiendo y muy felices de tener helado.")</f>
        <v>Están lamiendo y muy felices de tener helado.</v>
      </c>
    </row>
    <row r="3850">
      <c r="A3850" s="4" t="s">
        <v>4842</v>
      </c>
      <c r="B3850" s="4" t="s">
        <v>4845</v>
      </c>
      <c r="C3850" s="5" t="str">
        <f>IFERROR(__xludf.DUMMYFUNCTION("GOOGLETRANSLATE(B3850,""en"",""es-ES"")"),"La niña está jugando con Peek A Boo con alguien y sus dos caras tienen helado en ellos.")</f>
        <v>La niña está jugando con Peek A Boo con alguien y sus dos caras tienen helado en ellos.</v>
      </c>
    </row>
    <row r="3851">
      <c r="A3851" s="4" t="s">
        <v>4842</v>
      </c>
      <c r="B3851" s="4" t="s">
        <v>4846</v>
      </c>
      <c r="C3851" s="5" t="str">
        <f>IFERROR(__xludf.DUMMYFUNCTION("GOOGLETRANSLATE(B3851,""en"",""es-ES"")"),"Solo disfrutan mucho del helado.")</f>
        <v>Solo disfrutan mucho del helado.</v>
      </c>
    </row>
    <row r="3852">
      <c r="A3852" s="4" t="s">
        <v>4847</v>
      </c>
      <c r="B3852" s="4" t="s">
        <v>4848</v>
      </c>
      <c r="C3852" s="5" t="str">
        <f>IFERROR(__xludf.DUMMYFUNCTION("GOOGLETRANSLATE(B3852,""en"",""es-ES"")"),"Se muestra una gimnasta balanceándose hacia atrás y cuarto en barras desiguales.")</f>
        <v>Se muestra una gimnasta balanceándose hacia atrás y cuarto en barras desiguales.</v>
      </c>
    </row>
    <row r="3853">
      <c r="A3853" s="4" t="s">
        <v>4847</v>
      </c>
      <c r="B3853" s="4" t="s">
        <v>4849</v>
      </c>
      <c r="C3853" s="5" t="str">
        <f>IFERROR(__xludf.DUMMYFUNCTION("GOOGLETRANSLATE(B3853,""en"",""es-ES"")"),"Realiza una rutina que se balancea alrededor y alrededor mientras cientos de personas miran.")</f>
        <v>Realiza una rutina que se balancea alrededor y alrededor mientras cientos de personas miran.</v>
      </c>
    </row>
    <row r="3854">
      <c r="A3854" s="4" t="s">
        <v>4847</v>
      </c>
      <c r="B3854" s="4" t="s">
        <v>4850</v>
      </c>
      <c r="C3854" s="5" t="str">
        <f>IFERROR(__xludf.DUMMYFUNCTION("GOOGLETRANSLATE(B3854,""en"",""es-ES"")"),"Termina metiendo los brazos en el aire y inclinándose ante la audiencia.")</f>
        <v>Termina metiendo los brazos en el aire y inclinándose ante la audiencia.</v>
      </c>
    </row>
    <row r="3855">
      <c r="A3855" s="4" t="s">
        <v>4851</v>
      </c>
      <c r="B3855" s="4" t="s">
        <v>4852</v>
      </c>
      <c r="C3855" s="5" t="str">
        <f>IFERROR(__xludf.DUMMYFUNCTION("GOOGLETRANSLATE(B3855,""en"",""es-ES"")"),"Dos hombres están rodando en una acera de una calle tranquila.")</f>
        <v>Dos hombres están rodando en una acera de una calle tranquila.</v>
      </c>
    </row>
    <row r="3856">
      <c r="A3856" s="4" t="s">
        <v>4851</v>
      </c>
      <c r="B3856" s="4" t="s">
        <v>4853</v>
      </c>
      <c r="C3856" s="5" t="str">
        <f>IFERROR(__xludf.DUMMYFUNCTION("GOOGLETRANSLATE(B3856,""en"",""es-ES"")"),"Hay cuatro jóvenes y mujeres enrollando en una calle con muchos árboles.")</f>
        <v>Hay cuatro jóvenes y mujeres enrollando en una calle con muchos árboles.</v>
      </c>
    </row>
    <row r="3857">
      <c r="A3857" s="4" t="s">
        <v>4851</v>
      </c>
      <c r="B3857" s="4" t="s">
        <v>4854</v>
      </c>
      <c r="C3857" s="5" t="str">
        <f>IFERROR(__xludf.DUMMYFUNCTION("GOOGLETRANSLATE(B3857,""en"",""es-ES"")"),"Hay algunos profesionales enrollando en un estadio y en una acera junto a una fuente.")</f>
        <v>Hay algunos profesionales enrollando en un estadio y en una acera junto a una fuente.</v>
      </c>
    </row>
    <row r="3858">
      <c r="A3858" s="4" t="s">
        <v>4851</v>
      </c>
      <c r="B3858" s="4" t="s">
        <v>4855</v>
      </c>
      <c r="C3858" s="5" t="str">
        <f>IFERROR(__xludf.DUMMYFUNCTION("GOOGLETRANSLATE(B3858,""en"",""es-ES"")"),"Un hombre salta sobre una acera encadenada mientras se rodea.")</f>
        <v>Un hombre salta sobre una acera encadenada mientras se rodea.</v>
      </c>
    </row>
    <row r="3859">
      <c r="A3859" s="4" t="s">
        <v>4851</v>
      </c>
      <c r="B3859" s="4" t="s">
        <v>4856</v>
      </c>
      <c r="C3859" s="5" t="str">
        <f>IFERROR(__xludf.DUMMYFUNCTION("GOOGLETRANSLATE(B3859,""en"",""es-ES"")"),"Una pareja está rodando en una acera y otro hombre salta sobre una barricada en una acera.")</f>
        <v>Una pareja está rodando en una acera y otro hombre salta sobre una barricada en una acera.</v>
      </c>
    </row>
    <row r="3860">
      <c r="A3860" s="4" t="s">
        <v>4851</v>
      </c>
      <c r="B3860" s="4" t="s">
        <v>4857</v>
      </c>
      <c r="C3860" s="5" t="str">
        <f>IFERROR(__xludf.DUMMYFUNCTION("GOOGLETRANSLATE(B3860,""en"",""es-ES"")"),"Varias personas están rodando en la acera.")</f>
        <v>Varias personas están rodando en la acera.</v>
      </c>
    </row>
    <row r="3861">
      <c r="A3861" s="4" t="s">
        <v>4851</v>
      </c>
      <c r="B3861" s="4" t="s">
        <v>4858</v>
      </c>
      <c r="C3861" s="5" t="str">
        <f>IFERROR(__xludf.DUMMYFUNCTION("GOOGLETRANSLATE(B3861,""en"",""es-ES"")"),"Hay algunas personas que compiten en una competencia de rodadura.")</f>
        <v>Hay algunas personas que compiten en una competencia de rodadura.</v>
      </c>
    </row>
    <row r="3862">
      <c r="A3862" s="4" t="s">
        <v>4851</v>
      </c>
      <c r="B3862" s="4" t="s">
        <v>4859</v>
      </c>
      <c r="C3862" s="5" t="str">
        <f>IFERROR(__xludf.DUMMYFUNCTION("GOOGLETRANSLATE(B3862,""en"",""es-ES"")"),"Hay algunos hombres enrollando por las calles a muy alta velocidad.")</f>
        <v>Hay algunos hombres enrollando por las calles a muy alta velocidad.</v>
      </c>
    </row>
    <row r="3863">
      <c r="A3863" s="4" t="s">
        <v>4851</v>
      </c>
      <c r="B3863" s="4" t="s">
        <v>4860</v>
      </c>
      <c r="C3863" s="5" t="str">
        <f>IFERROR(__xludf.DUMMYFUNCTION("GOOGLETRANSLATE(B3863,""en"",""es-ES"")"),"Algunos de ellos suben escaleras con sus cuchillas.")</f>
        <v>Algunos de ellos suben escaleras con sus cuchillas.</v>
      </c>
    </row>
    <row r="3864">
      <c r="A3864" s="4" t="s">
        <v>4851</v>
      </c>
      <c r="B3864" s="4" t="s">
        <v>4861</v>
      </c>
      <c r="C3864" s="5" t="str">
        <f>IFERROR(__xludf.DUMMYFUNCTION("GOOGLETRANSLATE(B3864,""en"",""es-ES"")"),"Algunos hombres están rodando por una ciudad ocupada y en puentes.")</f>
        <v>Algunos hombres están rodando por una ciudad ocupada y en puentes.</v>
      </c>
    </row>
    <row r="3865">
      <c r="A3865" s="4" t="s">
        <v>4851</v>
      </c>
      <c r="B3865" s="4" t="s">
        <v>4862</v>
      </c>
      <c r="C3865" s="5" t="str">
        <f>IFERROR(__xludf.DUMMYFUNCTION("GOOGLETRANSLATE(B3865,""en"",""es-ES"")"),"Hay un grupo de niños pequeños que rodan juntos.")</f>
        <v>Hay un grupo de niños pequeños que rodan juntos.</v>
      </c>
    </row>
    <row r="3866">
      <c r="A3866" s="4" t="s">
        <v>4851</v>
      </c>
      <c r="B3866" s="4" t="s">
        <v>4863</v>
      </c>
      <c r="C3866" s="5" t="str">
        <f>IFERROR(__xludf.DUMMYFUNCTION("GOOGLETRANSLATE(B3866,""en"",""es-ES"")"),"Un hombre salta sobre una pared mientras rodaba.")</f>
        <v>Un hombre salta sobre una pared mientras rodaba.</v>
      </c>
    </row>
    <row r="3867">
      <c r="A3867" s="4" t="s">
        <v>4851</v>
      </c>
      <c r="B3867" s="4" t="s">
        <v>4864</v>
      </c>
      <c r="C3867" s="5" t="str">
        <f>IFERROR(__xludf.DUMMYFUNCTION("GOOGLETRANSLATE(B3867,""en"",""es-ES"")"),"Una persona se sumerge directamente en el agua cuando viene enrollando a alta velocidad.")</f>
        <v>Una persona se sumerge directamente en el agua cuando viene enrollando a alta velocidad.</v>
      </c>
    </row>
    <row r="3868">
      <c r="A3868" s="4" t="s">
        <v>4851</v>
      </c>
      <c r="B3868" s="4" t="s">
        <v>4865</v>
      </c>
      <c r="C3868" s="5" t="str">
        <f>IFERROR(__xludf.DUMMYFUNCTION("GOOGLETRANSLATE(B3868,""en"",""es-ES"")"),"La gente está rodando por la ciudad, bajando las escaleras e incluso en las aceras.")</f>
        <v>La gente está rodando por la ciudad, bajando las escaleras e incluso en las aceras.</v>
      </c>
    </row>
    <row r="3869">
      <c r="A3869" s="4" t="s">
        <v>4851</v>
      </c>
      <c r="B3869" s="4" t="s">
        <v>4866</v>
      </c>
      <c r="C3869" s="5" t="str">
        <f>IFERROR(__xludf.DUMMYFUNCTION("GOOGLETRANSLATE(B3869,""en"",""es-ES"")"),"Dos chicos saltan a una estructura en forma de S mientras se enrolan.")</f>
        <v>Dos chicos saltan a una estructura en forma de S mientras se enrolan.</v>
      </c>
    </row>
    <row r="3870">
      <c r="A3870" s="4" t="s">
        <v>4851</v>
      </c>
      <c r="B3870" s="4" t="s">
        <v>4867</v>
      </c>
      <c r="C3870" s="5" t="str">
        <f>IFERROR(__xludf.DUMMYFUNCTION("GOOGLETRANSLATE(B3870,""en"",""es-ES"")"),"Dos personas están haciendo la figura ocho en un puente mientras rodan la cuchilla.")</f>
        <v>Dos personas están haciendo la figura ocho en un puente mientras rodan la cuchilla.</v>
      </c>
    </row>
    <row r="3871">
      <c r="A3871" s="4" t="s">
        <v>4851</v>
      </c>
      <c r="B3871" s="4" t="s">
        <v>4868</v>
      </c>
      <c r="C3871" s="5" t="str">
        <f>IFERROR(__xludf.DUMMYFUNCTION("GOOGLETRANSLATE(B3871,""en"",""es-ES"")"),"Una persona va constantemente mientras se enrolla.")</f>
        <v>Una persona va constantemente mientras se enrolla.</v>
      </c>
    </row>
    <row r="3872">
      <c r="A3872" s="4" t="s">
        <v>4869</v>
      </c>
      <c r="B3872" s="4" t="s">
        <v>4870</v>
      </c>
      <c r="C3872" s="5" t="str">
        <f>IFERROR(__xludf.DUMMYFUNCTION("GOOGLETRANSLATE(B3872,""en"",""es-ES"")"),"Primero, la mujer nos muestra cómo se ve con su afro antes de hacer un bollo de insectos.")</f>
        <v>Primero, la mujer nos muestra cómo se ve con su afro antes de hacer un bollo de insectos.</v>
      </c>
    </row>
    <row r="3873">
      <c r="A3873" s="4" t="s">
        <v>4869</v>
      </c>
      <c r="B3873" s="4" t="s">
        <v>4871</v>
      </c>
      <c r="C3873" s="5" t="str">
        <f>IFERROR(__xludf.DUMMYFUNCTION("GOOGLETRANSLATE(B3873,""en"",""es-ES"")"),"Primero rocía su cabello con agua de una botella de spray.")</f>
        <v>Primero rocía su cabello con agua de una botella de spray.</v>
      </c>
    </row>
    <row r="3874">
      <c r="A3874" s="4" t="s">
        <v>4869</v>
      </c>
      <c r="B3874" s="4" t="s">
        <v>4872</v>
      </c>
      <c r="C3874" s="5" t="str">
        <f>IFERROR(__xludf.DUMMYFUNCTION("GOOGLETRANSLATE(B3874,""en"",""es-ES"")"),"Luego agrega crema hidratante a su cabello y ata un soporte de cola de caballo sobre su cabello.")</f>
        <v>Luego agrega crema hidratante a su cabello y ata un soporte de cola de caballo sobre su cabello.</v>
      </c>
    </row>
    <row r="3875">
      <c r="A3875" s="4" t="s">
        <v>4869</v>
      </c>
      <c r="B3875" s="4" t="s">
        <v>4873</v>
      </c>
      <c r="C3875" s="5" t="str">
        <f>IFERROR(__xludf.DUMMYFUNCTION("GOOGLETRANSLATE(B3875,""en"",""es-ES"")"),"Luego se tuerce los extremos de su cabello para hacer un pequeño moño y lo envuelve para asegurarlo.")</f>
        <v>Luego se tuerce los extremos de su cabello para hacer un pequeño moño y lo envuelve para asegurarlo.</v>
      </c>
    </row>
    <row r="3876">
      <c r="A3876" s="4" t="s">
        <v>4869</v>
      </c>
      <c r="B3876" s="4" t="s">
        <v>4874</v>
      </c>
      <c r="C3876" s="5" t="str">
        <f>IFERROR(__xludf.DUMMYFUNCTION("GOOGLETRANSLATE(B3876,""en"",""es-ES"")"),"Luego se tuerce ligeramente el cabello trenzado y usa tantos alfileres como necesita.")</f>
        <v>Luego se tuerce ligeramente el cabello trenzado y usa tantos alfileres como necesita.</v>
      </c>
    </row>
    <row r="3877">
      <c r="A3877" s="4" t="s">
        <v>4869</v>
      </c>
      <c r="B3877" s="4" t="s">
        <v>4875</v>
      </c>
      <c r="C3877" s="5" t="str">
        <f>IFERROR(__xludf.DUMMYFUNCTION("GOOGLETRANSLATE(B3877,""en"",""es-ES"")"),"Finalmente, pone a Gel en sus bordes para dejarlos y poner un pañuelo en sus bordes.")</f>
        <v>Finalmente, pone a Gel en sus bordes para dejarlos y poner un pañuelo en sus bordes.</v>
      </c>
    </row>
    <row r="3878">
      <c r="A3878" s="4" t="s">
        <v>4869</v>
      </c>
      <c r="B3878" s="4" t="s">
        <v>4876</v>
      </c>
      <c r="C3878" s="5" t="str">
        <f>IFERROR(__xludf.DUMMYFUNCTION("GOOGLETRANSLATE(B3878,""en"",""es-ES"")"),"Luego se lo quita y todo está hecho.")</f>
        <v>Luego se lo quita y todo está hecho.</v>
      </c>
    </row>
    <row r="3879">
      <c r="A3879" s="4" t="s">
        <v>4877</v>
      </c>
      <c r="B3879" s="4" t="s">
        <v>4878</v>
      </c>
      <c r="C3879" s="5" t="str">
        <f>IFERROR(__xludf.DUMMYFUNCTION("GOOGLETRANSLATE(B3879,""en"",""es-ES"")"),"Se ve a una persona caminando por una pista en medio de una gran audiencia.")</f>
        <v>Se ve a una persona caminando por una pista en medio de una gran audiencia.</v>
      </c>
    </row>
    <row r="3880">
      <c r="A3880" s="4" t="s">
        <v>4877</v>
      </c>
      <c r="B3880" s="4" t="s">
        <v>4879</v>
      </c>
      <c r="C3880" s="5" t="str">
        <f>IFERROR(__xludf.DUMMYFUNCTION("GOOGLETRANSLATE(B3880,""en"",""es-ES"")"),"El atleta luego se sienta mientras otro se encuentra junto a él y se prepara.")</f>
        <v>El atleta luego se sienta mientras otro se encuentra junto a él y se prepara.</v>
      </c>
    </row>
    <row r="3881">
      <c r="A3881" s="4" t="s">
        <v>4877</v>
      </c>
      <c r="B3881" s="4" t="s">
        <v>4880</v>
      </c>
      <c r="C3881" s="5" t="str">
        <f>IFERROR(__xludf.DUMMYFUNCTION("GOOGLETRANSLATE(B3881,""en"",""es-ES"")"),"Luego se ve al hombre saltando sobre un bar seguido de la misma toma que se muestra nuevamente.")</f>
        <v>Luego se ve al hombre saltando sobre un bar seguido de la misma toma que se muestra nuevamente.</v>
      </c>
    </row>
    <row r="3882">
      <c r="A3882" s="4" t="s">
        <v>4881</v>
      </c>
      <c r="B3882" s="4" t="s">
        <v>4882</v>
      </c>
      <c r="C3882" s="5" t="str">
        <f>IFERROR(__xludf.DUMMYFUNCTION("GOOGLETRANSLATE(B3882,""en"",""es-ES"")"),"Un par está remando en kayaks por una corriente de río lento.")</f>
        <v>Un par está remando en kayaks por una corriente de río lento.</v>
      </c>
    </row>
    <row r="3883">
      <c r="A3883" s="4" t="s">
        <v>4881</v>
      </c>
      <c r="B3883" s="4" t="s">
        <v>4883</v>
      </c>
      <c r="C3883" s="5" t="str">
        <f>IFERROR(__xludf.DUMMYFUNCTION("GOOGLETRANSLATE(B3883,""en"",""es-ES"")"),"Usan paletas para mover sus kayaks a lo largo del agua.")</f>
        <v>Usan paletas para mover sus kayaks a lo largo del agua.</v>
      </c>
    </row>
    <row r="3884">
      <c r="A3884" s="4" t="s">
        <v>4881</v>
      </c>
      <c r="B3884" s="4" t="s">
        <v>4884</v>
      </c>
      <c r="C3884" s="5" t="str">
        <f>IFERROR(__xludf.DUMMYFUNCTION("GOOGLETRANSLATE(B3884,""en"",""es-ES"")"),"La pareja se mira el uno hacia el otro, como si hablara.")</f>
        <v>La pareja se mira el uno hacia el otro, como si hablara.</v>
      </c>
    </row>
    <row r="3885">
      <c r="A3885" s="4" t="s">
        <v>4885</v>
      </c>
      <c r="B3885" s="4" t="s">
        <v>4886</v>
      </c>
      <c r="C3885" s="5" t="str">
        <f>IFERROR(__xludf.DUMMYFUNCTION("GOOGLETRANSLATE(B3885,""en"",""es-ES"")"),"Se muestra una foto de un vaso y conduce a una mujer que habla con la cámara.")</f>
        <v>Se muestra una foto de un vaso y conduce a una mujer que habla con la cámara.</v>
      </c>
    </row>
    <row r="3886">
      <c r="A3886" s="4" t="s">
        <v>4885</v>
      </c>
      <c r="B3886" s="4" t="s">
        <v>4887</v>
      </c>
      <c r="C3886" s="5" t="str">
        <f>IFERROR(__xludf.DUMMYFUNCTION("GOOGLETRANSLATE(B3886,""en"",""es-ES"")"),"La mujer sostiene un vaso y mezcla varios líquidos en el vidrio.")</f>
        <v>La mujer sostiene un vaso y mezcla varios líquidos en el vidrio.</v>
      </c>
    </row>
    <row r="3887">
      <c r="A3887" s="4" t="s">
        <v>4885</v>
      </c>
      <c r="B3887" s="4" t="s">
        <v>4888</v>
      </c>
      <c r="C3887" s="5" t="str">
        <f>IFERROR(__xludf.DUMMYFUNCTION("GOOGLETRANSLATE(B3887,""en"",""es-ES"")"),"El topa con un limón y desliza la bebida más cerca y todavía habla.")</f>
        <v>El topa con un limón y desliza la bebida más cerca y todavía habla.</v>
      </c>
    </row>
    <row r="3888">
      <c r="A3888" s="4" t="s">
        <v>4889</v>
      </c>
      <c r="B3888" s="4" t="s">
        <v>4890</v>
      </c>
      <c r="C3888" s="5" t="str">
        <f>IFERROR(__xludf.DUMMYFUNCTION("GOOGLETRANSLATE(B3888,""en"",""es-ES"")"),"Se ve a una mujer de pie ante una cámara y comienza a poner loción en sus manos y frotándola alrededor de su rostro.")</f>
        <v>Se ve a una mujer de pie ante una cámara y comienza a poner loción en sus manos y frotándola alrededor de su rostro.</v>
      </c>
    </row>
    <row r="3889">
      <c r="A3889" s="4" t="s">
        <v>4889</v>
      </c>
      <c r="B3889" s="4" t="s">
        <v>4891</v>
      </c>
      <c r="C3889" s="5" t="str">
        <f>IFERROR(__xludf.DUMMYFUNCTION("GOOGLETRANSLATE(B3889,""en"",""es-ES"")"),"La mujer frota continuamente la loción en su cara y termina mirando la cámara.")</f>
        <v>La mujer frota continuamente la loción en su cara y termina mirando la cámara.</v>
      </c>
    </row>
    <row r="3890">
      <c r="A3890" s="4" t="s">
        <v>4892</v>
      </c>
      <c r="B3890" s="4" t="s">
        <v>4893</v>
      </c>
      <c r="C3890" s="5" t="str">
        <f>IFERROR(__xludf.DUMMYFUNCTION("GOOGLETRANSLATE(B3890,""en"",""es-ES"")"),"Se muestra a este hombre cortando el césped mientras un gran galgo camina detrás de él.")</f>
        <v>Se muestra a este hombre cortando el césped mientras un gran galgo camina detrás de él.</v>
      </c>
    </row>
    <row r="3891">
      <c r="A3891" s="4" t="s">
        <v>4892</v>
      </c>
      <c r="B3891" s="4" t="s">
        <v>4894</v>
      </c>
      <c r="C3891" s="5" t="str">
        <f>IFERROR(__xludf.DUMMYFUNCTION("GOOGLETRANSLATE(B3891,""en"",""es-ES"")"),"También hay otro perro pequeño en el patio que está sentado en un lugar.")</f>
        <v>También hay otro perro pequeño en el patio que está sentado en un lugar.</v>
      </c>
    </row>
    <row r="3892">
      <c r="A3892" s="4" t="s">
        <v>4895</v>
      </c>
      <c r="B3892" s="4" t="s">
        <v>4896</v>
      </c>
      <c r="C3892" s="5" t="str">
        <f>IFERROR(__xludf.DUMMYFUNCTION("GOOGLETRANSLATE(B3892,""en"",""es-ES"")"),"Este video permite a los espectadores escuchar el testimonio de un cliente que ha utilizado el servicio Pro Roofing.")</f>
        <v>Este video permite a los espectadores escuchar el testimonio de un cliente que ha utilizado el servicio Pro Roofing.</v>
      </c>
    </row>
    <row r="3893">
      <c r="A3893" s="4" t="s">
        <v>4895</v>
      </c>
      <c r="B3893" s="4" t="s">
        <v>4897</v>
      </c>
      <c r="C3893" s="5" t="str">
        <f>IFERROR(__xludf.DUMMYFUNCTION("GOOGLETRANSLATE(B3893,""en"",""es-ES"")"),"Primero, el hombre cuenta cómo escuchó sobre el servicio y lo bueno que es.")</f>
        <v>Primero, el hombre cuenta cómo escuchó sobre el servicio y lo bueno que es.</v>
      </c>
    </row>
    <row r="3894">
      <c r="A3894" s="4" t="s">
        <v>4895</v>
      </c>
      <c r="B3894" s="4" t="s">
        <v>4898</v>
      </c>
      <c r="C3894" s="5" t="str">
        <f>IFERROR(__xludf.DUMMYFUNCTION("GOOGLETRANSLATE(B3894,""en"",""es-ES"")"),"También dice que eligió el techo profesional porque los vecinos lo eligieron y lo persuadieron al decir cuán grande es el servicio.")</f>
        <v>También dice que eligió el techo profesional porque los vecinos lo eligieron y lo persuadieron al decir cuán grande es el servicio.</v>
      </c>
    </row>
    <row r="3895">
      <c r="A3895" s="4" t="s">
        <v>4899</v>
      </c>
      <c r="B3895" s="4" t="s">
        <v>4900</v>
      </c>
      <c r="C3895" s="5" t="str">
        <f>IFERROR(__xludf.DUMMYFUNCTION("GOOGLETRANSLATE(B3895,""en"",""es-ES"")"),"El equipo de polo de aguas blancas se acurruca juntos.")</f>
        <v>El equipo de polo de aguas blancas se acurruca juntos.</v>
      </c>
    </row>
    <row r="3896">
      <c r="A3896" s="4" t="s">
        <v>4899</v>
      </c>
      <c r="B3896" s="4" t="s">
        <v>4901</v>
      </c>
      <c r="C3896" s="5" t="str">
        <f>IFERROR(__xludf.DUMMYFUNCTION("GOOGLETRANSLATE(B3896,""en"",""es-ES"")"),"El juego comienza y los puntajes azules en la defensa blanca para empatar el juego.")</f>
        <v>El juego comienza y los puntajes azules en la defensa blanca para empatar el juego.</v>
      </c>
    </row>
    <row r="3897">
      <c r="A3897" s="4" t="s">
        <v>4899</v>
      </c>
      <c r="B3897" s="4" t="s">
        <v>4902</v>
      </c>
      <c r="C3897" s="5" t="str">
        <f>IFERROR(__xludf.DUMMYFUNCTION("GOOGLETRANSLATE(B3897,""en"",""es-ES"")"),"White responde con un objetivo poderoso para tomar el liderazgo.")</f>
        <v>White responde con un objetivo poderoso para tomar el liderazgo.</v>
      </c>
    </row>
    <row r="3898">
      <c r="A3898" s="4" t="s">
        <v>4899</v>
      </c>
      <c r="B3898" s="4" t="s">
        <v>4903</v>
      </c>
      <c r="C3898" s="5" t="str">
        <f>IFERROR(__xludf.DUMMYFUNCTION("GOOGLETRANSLATE(B3898,""en"",""es-ES"")"),"Blue se mueve y después de un par de pases empatan en el juego.")</f>
        <v>Blue se mueve y después de un par de pases empatan en el juego.</v>
      </c>
    </row>
    <row r="3899">
      <c r="A3899" s="4" t="s">
        <v>4899</v>
      </c>
      <c r="B3899" s="4" t="s">
        <v>4904</v>
      </c>
      <c r="C3899" s="5" t="str">
        <f>IFERROR(__xludf.DUMMYFUNCTION("GOOGLETRANSLATE(B3899,""en"",""es-ES"")"),"White anota para tomar la delantera, y Blue vuelve a atarse una vez más.")</f>
        <v>White anota para tomar la delantera, y Blue vuelve a atarse una vez más.</v>
      </c>
    </row>
    <row r="3900">
      <c r="A3900" s="4" t="s">
        <v>4899</v>
      </c>
      <c r="B3900" s="4" t="s">
        <v>4905</v>
      </c>
      <c r="C3900" s="5" t="str">
        <f>IFERROR(__xludf.DUMMYFUNCTION("GOOGLETRANSLATE(B3900,""en"",""es-ES"")"),"Una lucha para la pelota da como resultado que White obtenga una ventaja 2 contra 1 y un gol.")</f>
        <v>Una lucha para la pelota da como resultado que White obtenga una ventaja 2 contra 1 y un gol.</v>
      </c>
    </row>
    <row r="3901">
      <c r="A3901" s="4" t="s">
        <v>4899</v>
      </c>
      <c r="B3901" s="4" t="s">
        <v>4906</v>
      </c>
      <c r="C3901" s="5" t="str">
        <f>IFERROR(__xludf.DUMMYFUNCTION("GOOGLETRANSLATE(B3901,""en"",""es-ES"")"),"Empujan su ventaja más tarde y ponen el juego fuera del alcance, ganando 14-10.")</f>
        <v>Empujan su ventaja más tarde y ponen el juego fuera del alcance, ganando 14-10.</v>
      </c>
    </row>
    <row r="3902">
      <c r="A3902" s="4" t="s">
        <v>4899</v>
      </c>
      <c r="B3902" s="4" t="s">
        <v>4907</v>
      </c>
      <c r="C3902" s="5" t="str">
        <f>IFERROR(__xludf.DUMMYFUNCTION("GOOGLETRANSLATE(B3902,""en"",""es-ES"")"),"El equipo celebra juntos en el agua.")</f>
        <v>El equipo celebra juntos en el agua.</v>
      </c>
    </row>
    <row r="3903">
      <c r="A3903" s="4" t="s">
        <v>4899</v>
      </c>
      <c r="B3903" s="4" t="s">
        <v>4908</v>
      </c>
      <c r="C3903" s="5" t="str">
        <f>IFERROR(__xludf.DUMMYFUNCTION("GOOGLETRANSLATE(B3903,""en"",""es-ES"")"),"El equipo celebra su metal de oro en el podio.")</f>
        <v>El equipo celebra su metal de oro en el podio.</v>
      </c>
    </row>
    <row r="3904">
      <c r="A3904" s="4" t="s">
        <v>4909</v>
      </c>
      <c r="B3904" s="4" t="s">
        <v>4910</v>
      </c>
      <c r="C3904" s="5" t="str">
        <f>IFERROR(__xludf.DUMMYFUNCTION("GOOGLETRANSLATE(B3904,""en"",""es-ES"")"),"Una niña y un perro están en el campo.")</f>
        <v>Una niña y un perro están en el campo.</v>
      </c>
    </row>
    <row r="3905">
      <c r="A3905" s="4" t="s">
        <v>4909</v>
      </c>
      <c r="B3905" s="4" t="s">
        <v>4911</v>
      </c>
      <c r="C3905" s="5" t="str">
        <f>IFERROR(__xludf.DUMMYFUNCTION("GOOGLETRANSLATE(B3905,""en"",""es-ES"")"),"La niña sostiene dos frisbee, luego caminó y se giró de lado a lado y el perro rodó frente a ella, el perro tocó las rodillas de la niña, la niña caminó con las manos hacia arriba y el perro caminó con sus dos patas delanteras arriba.")</f>
        <v>La niña sostiene dos frisbee, luego caminó y se giró de lado a lado y el perro rodó frente a ella, el perro tocó las rodillas de la niña, la niña caminó con las manos hacia arriba y el perro caminó con sus dos patas delanteras arriba.</v>
      </c>
    </row>
    <row r="3906">
      <c r="A3906" s="4" t="s">
        <v>4909</v>
      </c>
      <c r="B3906" s="4" t="s">
        <v>4912</v>
      </c>
      <c r="C3906" s="5" t="str">
        <f>IFERROR(__xludf.DUMMYFUNCTION("GOOGLETRANSLATE(B3906,""en"",""es-ES"")"),"La niña arrojó el frisbee y la persecución del perro y la colocó en el suelo.")</f>
        <v>La niña arrojó el frisbee y la persecución del perro y la colocó en el suelo.</v>
      </c>
    </row>
    <row r="3907">
      <c r="A3907" s="4" t="s">
        <v>4913</v>
      </c>
      <c r="B3907" s="4" t="s">
        <v>4914</v>
      </c>
      <c r="C3907" s="5" t="str">
        <f>IFERROR(__xludf.DUMMYFUNCTION("GOOGLETRANSLATE(B3907,""en"",""es-ES"")"),"Las mujeres están jugando un juego de curling.")</f>
        <v>Las mujeres están jugando un juego de curling.</v>
      </c>
    </row>
    <row r="3908">
      <c r="A3908" s="4" t="s">
        <v>4913</v>
      </c>
      <c r="B3908" s="4" t="s">
        <v>4915</v>
      </c>
      <c r="C3908" s="5" t="str">
        <f>IFERROR(__xludf.DUMMYFUNCTION("GOOGLETRANSLATE(B3908,""en"",""es-ES"")"),"La audiencia los mira aplaude y aplaude.")</f>
        <v>La audiencia los mira aplaude y aplaude.</v>
      </c>
    </row>
    <row r="3909">
      <c r="A3909" s="4" t="s">
        <v>4916</v>
      </c>
      <c r="B3909" s="4" t="s">
        <v>4917</v>
      </c>
      <c r="C3909" s="5" t="str">
        <f>IFERROR(__xludf.DUMMYFUNCTION("GOOGLETRANSLATE(B3909,""en"",""es-ES"")"),"Un hombre agarra una llanta desde la parte trasera del automóvil y rápidamente corre hacia la parte delantera derecha del automóvil, la deja caer sobre el césped, luego corre hacia el neumático todavía en el automóvil y comienza a levantar el auto con un "&amp;"gato, y retire el Lugs, borde y neumáticos y los arroja sobre el césped.")</f>
        <v>Un hombre agarra una llanta desde la parte trasera del automóvil y rápidamente corre hacia la parte delantera derecha del automóvil, la deja caer sobre el césped, luego corre hacia el neumático todavía en el automóvil y comienza a levantar el auto con un gato, y retire el Lugs, borde y neumáticos y los arroja sobre el césped.</v>
      </c>
    </row>
    <row r="3910">
      <c r="A3910" s="4" t="s">
        <v>4916</v>
      </c>
      <c r="B3910" s="4" t="s">
        <v>4918</v>
      </c>
      <c r="C3910" s="5" t="str">
        <f>IFERROR(__xludf.DUMMYFUNCTION("GOOGLETRANSLATE(B3910,""en"",""es-ES"")"),"Luego, el hombre agarra el neumático que sacó desde la parte posterior del auto, lo pone en el auto, pone el borde sobre él y aprieta las orejetas con la mano y luego recoge la herramienta y aprieta las orejetas con eso.")</f>
        <v>Luego, el hombre agarra el neumático que sacó desde la parte posterior del auto, lo pone en el auto, pone el borde sobre él y aprieta las orejetas con la mano y luego recoge la herramienta y aprieta las orejetas con eso.</v>
      </c>
    </row>
    <row r="3911">
      <c r="A3911" s="4" t="s">
        <v>4916</v>
      </c>
      <c r="B3911" s="4" t="s">
        <v>4919</v>
      </c>
      <c r="C3911" s="5" t="str">
        <f>IFERROR(__xludf.DUMMYFUNCTION("GOOGLETRANSLATE(B3911,""en"",""es-ES"")"),"El hombre luego retira el gato de debajo del auto y aprieta las orejetas nuevamente con la herramienta y se defiende de la respiración y sonríe.")</f>
        <v>El hombre luego retira el gato de debajo del auto y aprieta las orejetas nuevamente con la herramienta y se defiende de la respiración y sonríe.</v>
      </c>
    </row>
    <row r="3912">
      <c r="A3912" s="4" t="s">
        <v>4920</v>
      </c>
      <c r="B3912" s="4" t="s">
        <v>4921</v>
      </c>
      <c r="C3912" s="5" t="str">
        <f>IFERROR(__xludf.DUMMYFUNCTION("GOOGLETRANSLATE(B3912,""en"",""es-ES"")"),"Un personal de mantenimiento está parado frente a un porche y hablando.")</f>
        <v>Un personal de mantenimiento está parado frente a un porche y hablando.</v>
      </c>
    </row>
    <row r="3913">
      <c r="A3913" s="4" t="s">
        <v>4920</v>
      </c>
      <c r="B3913" s="4" t="s">
        <v>4922</v>
      </c>
      <c r="C3913" s="5" t="str">
        <f>IFERROR(__xludf.DUMMYFUNCTION("GOOGLETRANSLATE(B3913,""en"",""es-ES"")"),"El hombre usa dos escobreses para limpiar dos ventanas al mismo tiempo.")</f>
        <v>El hombre usa dos escobreses para limpiar dos ventanas al mismo tiempo.</v>
      </c>
    </row>
    <row r="3914">
      <c r="A3914" s="4" t="s">
        <v>4920</v>
      </c>
      <c r="B3914" s="4" t="s">
        <v>4923</v>
      </c>
      <c r="C3914" s="5" t="str">
        <f>IFERROR(__xludf.DUMMYFUNCTION("GOOGLETRANSLATE(B3914,""en"",""es-ES"")"),"El hombre termina y pone sus herramientas en su cinturón de herramientas.")</f>
        <v>El hombre termina y pone sus herramientas en su cinturón de herramientas.</v>
      </c>
    </row>
    <row r="3915">
      <c r="A3915" s="4" t="s">
        <v>4920</v>
      </c>
      <c r="B3915" s="4" t="s">
        <v>4924</v>
      </c>
      <c r="C3915" s="5" t="str">
        <f>IFERROR(__xludf.DUMMYFUNCTION("GOOGLETRANSLATE(B3915,""en"",""es-ES"")"),"Él sonríe y se aleja.")</f>
        <v>Él sonríe y se aleja.</v>
      </c>
    </row>
    <row r="3916">
      <c r="A3916" s="4" t="s">
        <v>4925</v>
      </c>
      <c r="B3916" s="4" t="s">
        <v>4926</v>
      </c>
      <c r="C3916" s="5" t="str">
        <f>IFERROR(__xludf.DUMMYFUNCTION("GOOGLETRANSLATE(B3916,""en"",""es-ES"")"),"Se ve una cámara acercándose a un patio de recreo y muestra a una mujer bajando por un tobogán.")</f>
        <v>Se ve una cámara acercándose a un patio de recreo y muestra a una mujer bajando por un tobogán.</v>
      </c>
    </row>
    <row r="3917">
      <c r="A3917" s="4" t="s">
        <v>4925</v>
      </c>
      <c r="B3917" s="4" t="s">
        <v>4927</v>
      </c>
      <c r="C3917" s="5" t="str">
        <f>IFERROR(__xludf.DUMMYFUNCTION("GOOGLETRANSLATE(B3917,""en"",""es-ES"")"),"Un perro cabalga con ella y otro perro camina por la zona.")</f>
        <v>Un perro cabalga con ella y otro perro camina por la zona.</v>
      </c>
    </row>
    <row r="3918">
      <c r="A3918" s="4" t="s">
        <v>4925</v>
      </c>
      <c r="B3918" s="4" t="s">
        <v>4928</v>
      </c>
      <c r="C3918" s="5" t="str">
        <f>IFERROR(__xludf.DUMMYFUNCTION("GOOGLETRANSLATE(B3918,""en"",""es-ES"")"),"La mujer se mueve varias veces más con el perro pequeño junto a ella.")</f>
        <v>La mujer se mueve varias veces más con el perro pequeño junto a ella.</v>
      </c>
    </row>
    <row r="3919">
      <c r="A3919" s="4" t="s">
        <v>4929</v>
      </c>
      <c r="B3919" s="4" t="s">
        <v>4930</v>
      </c>
      <c r="C3919" s="5" t="str">
        <f>IFERROR(__xludf.DUMMYFUNCTION("GOOGLETRANSLATE(B3919,""en"",""es-ES"")"),"Se ve a dos personas hablando con la cámara y conduce a ellas pasando una pelota en palos entre sí.")</f>
        <v>Se ve a dos personas hablando con la cámara y conduce a ellas pasando una pelota en palos entre sí.</v>
      </c>
    </row>
    <row r="3920">
      <c r="A3920" s="4" t="s">
        <v>4929</v>
      </c>
      <c r="B3920" s="4" t="s">
        <v>4931</v>
      </c>
      <c r="C3920" s="5" t="str">
        <f>IFERROR(__xludf.DUMMYFUNCTION("GOOGLETRANSLATE(B3920,""en"",""es-ES"")"),"La mujer se detiene para hablar con la cámara varias veces, así como muestra más clips de los dos golpeando la pelota.")</f>
        <v>La mujer se detiene para hablar con la cámara varias veces, así como muestra más clips de los dos golpeando la pelota.</v>
      </c>
    </row>
    <row r="3921">
      <c r="A3921" s="4" t="s">
        <v>4932</v>
      </c>
      <c r="B3921" s="4" t="s">
        <v>4933</v>
      </c>
      <c r="C3921" s="5" t="str">
        <f>IFERROR(__xludf.DUMMYFUNCTION("GOOGLETRANSLATE(B3921,""en"",""es-ES"")"),"Un grupo de personas juega voleibol acuático en una piscina interior con algunos espectadores al margen.")</f>
        <v>Un grupo de personas juega voleibol acuático en una piscina interior con algunos espectadores al margen.</v>
      </c>
    </row>
    <row r="3922">
      <c r="A3922" s="4" t="s">
        <v>4932</v>
      </c>
      <c r="B3922" s="4" t="s">
        <v>4934</v>
      </c>
      <c r="C3922" s="5" t="str">
        <f>IFERROR(__xludf.DUMMYFUNCTION("GOOGLETRANSLATE(B3922,""en"",""es-ES"")"),"Se arroja un voleibol amarillo entre las personas en una piscina.")</f>
        <v>Se arroja un voleibol amarillo entre las personas en una piscina.</v>
      </c>
    </row>
    <row r="3923">
      <c r="A3923" s="4" t="s">
        <v>4932</v>
      </c>
      <c r="B3923" s="4" t="s">
        <v>4935</v>
      </c>
      <c r="C3923" s="5" t="str">
        <f>IFERROR(__xludf.DUMMYFUNCTION("GOOGLETRANSLATE(B3923,""en"",""es-ES"")"),"Una persona hace un gol con el voleibol amarillo en una red blanca.")</f>
        <v>Una persona hace un gol con el voleibol amarillo en una red blanca.</v>
      </c>
    </row>
    <row r="3924">
      <c r="A3924" s="4" t="s">
        <v>4932</v>
      </c>
      <c r="B3924" s="4" t="s">
        <v>4936</v>
      </c>
      <c r="C3924" s="5" t="str">
        <f>IFERROR(__xludf.DUMMYFUNCTION("GOOGLETRANSLATE(B3924,""en"",""es-ES"")"),"La pelota se lanza al otro lado de la piscina donde se encuentra otro gol en una red blanca en el lado opuesto de la piscina.")</f>
        <v>La pelota se lanza al otro lado de la piscina donde se encuentra otro gol en una red blanca en el lado opuesto de la piscina.</v>
      </c>
    </row>
    <row r="3925">
      <c r="A3925" s="4" t="s">
        <v>4937</v>
      </c>
      <c r="B3925" s="4" t="s">
        <v>4938</v>
      </c>
      <c r="C3925" s="5" t="str">
        <f>IFERROR(__xludf.DUMMYFUNCTION("GOOGLETRANSLATE(B3925,""en"",""es-ES"")"),"Hay una persona que usa guantes rosados ​​que hace un tutorial sobre cómo limpiar un fregadero de cocina blanco.")</f>
        <v>Hay una persona que usa guantes rosados ​​que hace un tutorial sobre cómo limpiar un fregadero de cocina blanco.</v>
      </c>
    </row>
    <row r="3926">
      <c r="A3926" s="4" t="s">
        <v>4937</v>
      </c>
      <c r="B3926" s="4" t="s">
        <v>4939</v>
      </c>
      <c r="C3926" s="5" t="str">
        <f>IFERROR(__xludf.DUMMYFUNCTION("GOOGLETRANSLATE(B3926,""en"",""es-ES"")"),"La persona rocía un poco de polvo de limpieza blanco en el fregadero y luego rocía un poco de cloro de clorox.")</f>
        <v>La persona rocía un poco de polvo de limpieza blanco en el fregadero y luego rocía un poco de cloro de clorox.</v>
      </c>
    </row>
    <row r="3927">
      <c r="A3927" s="4" t="s">
        <v>4937</v>
      </c>
      <c r="B3927" s="4" t="s">
        <v>4940</v>
      </c>
      <c r="C3927" s="5" t="str">
        <f>IFERROR(__xludf.DUMMYFUNCTION("GOOGLETRANSLATE(B3927,""en"",""es-ES"")"),"Luego toma un exfoliante rosa y comienza a fregar el fregadero en un movimiento de ida y vuelta.")</f>
        <v>Luego toma un exfoliante rosa y comienza a fregar el fregadero en un movimiento de ida y vuelta.</v>
      </c>
    </row>
    <row r="3928">
      <c r="A3928" s="4" t="s">
        <v>4937</v>
      </c>
      <c r="B3928" s="4" t="s">
        <v>4941</v>
      </c>
      <c r="C3928" s="5" t="str">
        <f>IFERROR(__xludf.DUMMYFUNCTION("GOOGLETRANSLATE(B3928,""en"",""es-ES"")"),"La persona se asegura de que todos los lados del fregadero se limpien, incluido el desagüe.")</f>
        <v>La persona se asegura de que todos los lados del fregadero se limpien, incluido el desagüe.</v>
      </c>
    </row>
    <row r="3929">
      <c r="A3929" s="4" t="s">
        <v>4937</v>
      </c>
      <c r="B3929" s="4" t="s">
        <v>4942</v>
      </c>
      <c r="C3929" s="5" t="str">
        <f>IFERROR(__xludf.DUMMYFUNCTION("GOOGLETRANSLATE(B3929,""en"",""es-ES"")"),"Luego comienza el grifo para lavar el polvo y el blanqueador.")</f>
        <v>Luego comienza el grifo para lavar el polvo y el blanqueador.</v>
      </c>
    </row>
    <row r="3930">
      <c r="A3930" s="4" t="s">
        <v>4937</v>
      </c>
      <c r="B3930" s="4" t="s">
        <v>4943</v>
      </c>
      <c r="C3930" s="5" t="str">
        <f>IFERROR(__xludf.DUMMYFUNCTION("GOOGLETRANSLATE(B3930,""en"",""es-ES"")"),"Luego usa una toalla de papel para limpiar el agua y limpiar cualquier polvo residual del fregadero.")</f>
        <v>Luego usa una toalla de papel para limpiar el agua y limpiar cualquier polvo residual del fregadero.</v>
      </c>
    </row>
    <row r="3931">
      <c r="A3931" s="4" t="s">
        <v>4944</v>
      </c>
      <c r="B3931" s="4" t="s">
        <v>4945</v>
      </c>
      <c r="C3931" s="5" t="str">
        <f>IFERROR(__xludf.DUMMYFUNCTION("GOOGLETRANSLATE(B3931,""en"",""es-ES"")"),"Un hombre está hablando con la cámara junto a una cerca.")</f>
        <v>Un hombre está hablando con la cámara junto a una cerca.</v>
      </c>
    </row>
    <row r="3932">
      <c r="A3932" s="4" t="s">
        <v>4944</v>
      </c>
      <c r="B3932" s="4" t="s">
        <v>4946</v>
      </c>
      <c r="C3932" s="5" t="str">
        <f>IFERROR(__xludf.DUMMYFUNCTION("GOOGLETRANSLATE(B3932,""en"",""es-ES"")"),"El hombre sostiene un pincel.")</f>
        <v>El hombre sostiene un pincel.</v>
      </c>
    </row>
    <row r="3933">
      <c r="A3933" s="4" t="s">
        <v>4944</v>
      </c>
      <c r="B3933" s="4" t="s">
        <v>4947</v>
      </c>
      <c r="C3933" s="5" t="str">
        <f>IFERROR(__xludf.DUMMYFUNCTION("GOOGLETRANSLATE(B3933,""en"",""es-ES"")"),"El hombre sumerge el pincel en un cubo de pintura y comienza a pintar la cerca.")</f>
        <v>El hombre sumerge el pincel en un cubo de pintura y comienza a pintar la cerca.</v>
      </c>
    </row>
    <row r="3934">
      <c r="A3934" s="4" t="s">
        <v>4944</v>
      </c>
      <c r="B3934" s="4" t="s">
        <v>4948</v>
      </c>
      <c r="C3934" s="5" t="str">
        <f>IFERROR(__xludf.DUMMYFUNCTION("GOOGLETRANSLATE(B3934,""en"",""es-ES"")"),"El hombre se mueve a lo largo de la cerca pintándola.")</f>
        <v>El hombre se mueve a lo largo de la cerca pintándola.</v>
      </c>
    </row>
    <row r="3935">
      <c r="A3935" s="4" t="s">
        <v>4944</v>
      </c>
      <c r="B3935" s="4" t="s">
        <v>4949</v>
      </c>
      <c r="C3935" s="5" t="str">
        <f>IFERROR(__xludf.DUMMYFUNCTION("GOOGLETRANSLATE(B3935,""en"",""es-ES"")"),"El hombre termina pintando y se aleja de la cerca.")</f>
        <v>El hombre termina pintando y se aleja de la cerca.</v>
      </c>
    </row>
    <row r="3936">
      <c r="A3936" s="4" t="s">
        <v>4950</v>
      </c>
      <c r="B3936" s="4" t="s">
        <v>4951</v>
      </c>
      <c r="C3936" s="5" t="str">
        <f>IFERROR(__xludf.DUMMYFUNCTION("GOOGLETRANSLATE(B3936,""en"",""es-ES"")"),"Una mujer de pie frente al canto blanco, encendió el grifo, consiguió un poco de jabón líquido y lave la mano.")</f>
        <v>Una mujer de pie frente al canto blanco, encendió el grifo, consiguió un poco de jabón líquido y lave la mano.</v>
      </c>
    </row>
    <row r="3937">
      <c r="A3937" s="4" t="s">
        <v>4950</v>
      </c>
      <c r="B3937" s="4" t="s">
        <v>4952</v>
      </c>
      <c r="C3937" s="5" t="str">
        <f>IFERROR(__xludf.DUMMYFUNCTION("GOOGLETRANSLATE(B3937,""en"",""es-ES"")"),"Se dio la vuelta y obtuvo algunas servilletas de la pared, se limpió las manos y arrojó el papel en la canasta de basura.")</f>
        <v>Se dio la vuelta y obtuvo algunas servilletas de la pared, se limpió las manos y arrojó el papel en la canasta de basura.</v>
      </c>
    </row>
    <row r="3938">
      <c r="A3938" s="4" t="s">
        <v>4953</v>
      </c>
      <c r="B3938" s="4" t="s">
        <v>4954</v>
      </c>
      <c r="C3938" s="5" t="str">
        <f>IFERROR(__xludf.DUMMYFUNCTION("GOOGLETRANSLATE(B3938,""en"",""es-ES"")"),"Una mujer entra en la pantalla anunciando que hará un video sobre cómo hacer un postre de galletas.")</f>
        <v>Una mujer entra en la pantalla anunciando que hará un video sobre cómo hacer un postre de galletas.</v>
      </c>
    </row>
    <row r="3939">
      <c r="A3939" s="4" t="s">
        <v>4953</v>
      </c>
      <c r="B3939" s="4" t="s">
        <v>4955</v>
      </c>
      <c r="C3939" s="5" t="str">
        <f>IFERROR(__xludf.DUMMYFUNCTION("GOOGLETRANSLATE(B3939,""en"",""es-ES"")"),"Ella comienza con todos los ingredientes que necesitará para las galletas y comienza a combinar los ingredientes secos.")</f>
        <v>Ella comienza con todos los ingredientes que necesitará para las galletas y comienza a combinar los ingredientes secos.</v>
      </c>
    </row>
    <row r="3940">
      <c r="A3940" s="4" t="s">
        <v>4953</v>
      </c>
      <c r="B3940" s="4" t="s">
        <v>4956</v>
      </c>
      <c r="C3940" s="5" t="str">
        <f>IFERROR(__xludf.DUMMYFUNCTION("GOOGLETRANSLATE(B3940,""en"",""es-ES"")"),"Luego procede a mezclar los ingredientes húmedos en un tazón de vidrio.")</f>
        <v>Luego procede a mezclar los ingredientes húmedos en un tazón de vidrio.</v>
      </c>
    </row>
    <row r="3941">
      <c r="A3941" s="4" t="s">
        <v>4953</v>
      </c>
      <c r="B3941" s="4" t="s">
        <v>4957</v>
      </c>
      <c r="C3941" s="5" t="str">
        <f>IFERROR(__xludf.DUMMYFUNCTION("GOOGLETRANSLATE(B3941,""en"",""es-ES"")"),"Después de mezclar todos los ingredientes, comienza a enrollar la masa en bolas y colocarlos en una bandeja para galletas, y los coloca en el horno.")</f>
        <v>Después de mezclar todos los ingredientes, comienza a enrollar la masa en bolas y colocarlos en una bandeja para galletas, y los coloca en el horno.</v>
      </c>
    </row>
    <row r="3942">
      <c r="A3942" s="4" t="s">
        <v>4953</v>
      </c>
      <c r="B3942" s="4" t="s">
        <v>4958</v>
      </c>
      <c r="C3942" s="5" t="str">
        <f>IFERROR(__xludf.DUMMYFUNCTION("GOOGLETRANSLATE(B3942,""en"",""es-ES"")"),"Ella los saca del horno y comienza a envolverlos en sets individuales.")</f>
        <v>Ella los saca del horno y comienza a envolverlos en sets individuales.</v>
      </c>
    </row>
    <row r="3943">
      <c r="A3943" s="4" t="s">
        <v>4953</v>
      </c>
      <c r="B3943" s="4" t="s">
        <v>4959</v>
      </c>
      <c r="C3943" s="5" t="str">
        <f>IFERROR(__xludf.DUMMYFUNCTION("GOOGLETRANSLATE(B3943,""en"",""es-ES"")"),"El video termina con los créditos de cierre.")</f>
        <v>El video termina con los créditos de cierre.</v>
      </c>
    </row>
    <row r="3944">
      <c r="A3944" s="4" t="s">
        <v>4960</v>
      </c>
      <c r="B3944" s="4" t="s">
        <v>4961</v>
      </c>
      <c r="C3944" s="5" t="str">
        <f>IFERROR(__xludf.DUMMYFUNCTION("GOOGLETRANSLATE(B3944,""en"",""es-ES"")"),"Se ve a un niño pequeño sentado en un columpio sonriendo a la cámara.")</f>
        <v>Se ve a un niño pequeño sentado en un columpio sonriendo a la cámara.</v>
      </c>
    </row>
    <row r="3945">
      <c r="A3945" s="4" t="s">
        <v>4960</v>
      </c>
      <c r="B3945" s="4" t="s">
        <v>4962</v>
      </c>
      <c r="C3945" s="5" t="str">
        <f>IFERROR(__xludf.DUMMYFUNCTION("GOOGLETRANSLATE(B3945,""en"",""es-ES"")"),"El niño se mueve hacia atrás y el cuarto en el columpio mientras se ve a otro niño balanceándose a su lado.")</f>
        <v>El niño se mueve hacia atrás y el cuarto en el columpio mientras se ve a otro niño balanceándose a su lado.</v>
      </c>
    </row>
    <row r="3946">
      <c r="A3946" s="4" t="s">
        <v>4960</v>
      </c>
      <c r="B3946" s="4" t="s">
        <v>4963</v>
      </c>
      <c r="C3946" s="5" t="str">
        <f>IFERROR(__xludf.DUMMYFUNCTION("GOOGLETRANSLATE(B3946,""en"",""es-ES"")"),"Los dos continúan balanceándose hacia atrás y cuarto mientras la cámara los captura desde diferentes ángulos.")</f>
        <v>Los dos continúan balanceándose hacia atrás y cuarto mientras la cámara los captura desde diferentes ángulos.</v>
      </c>
    </row>
    <row r="3947">
      <c r="A3947" s="4" t="s">
        <v>4964</v>
      </c>
      <c r="B3947" s="4" t="s">
        <v>4965</v>
      </c>
      <c r="C3947" s="5" t="str">
        <f>IFERROR(__xludf.DUMMYFUNCTION("GOOGLETRANSLATE(B3947,""en"",""es-ES"")"),"Se muestran varios clips de robots que luchan entre sí, así como por dentro y fuera de un edificio.")</f>
        <v>Se muestran varios clips de robots que luchan entre sí, así como por dentro y fuera de un edificio.</v>
      </c>
    </row>
    <row r="3948">
      <c r="A3948" s="4" t="s">
        <v>4964</v>
      </c>
      <c r="B3948" s="4" t="s">
        <v>4966</v>
      </c>
      <c r="C3948" s="5" t="str">
        <f>IFERROR(__xludf.DUMMYFUNCTION("GOOGLETRANSLATE(B3948,""en"",""es-ES"")"),"Se muestran más robots de cerca, así como personas que ajustan los robots y los establecen para luchar.")</f>
        <v>Se muestran más robots de cerca, así como personas que ajustan los robots y los establecen para luchar.</v>
      </c>
    </row>
    <row r="3949">
      <c r="A3949" s="4" t="s">
        <v>4964</v>
      </c>
      <c r="B3949" s="4" t="s">
        <v>4967</v>
      </c>
      <c r="C3949" s="5" t="str">
        <f>IFERROR(__xludf.DUMMYFUNCTION("GOOGLETRANSLATE(B3949,""en"",""es-ES"")"),"La gente continúa usando los robots y termina dándose la mano y inclinándose con otro hombre.")</f>
        <v>La gente continúa usando los robots y termina dándose la mano y inclinándose con otro hombre.</v>
      </c>
    </row>
    <row r="3950">
      <c r="A3950" s="4" t="s">
        <v>4968</v>
      </c>
      <c r="B3950" s="4" t="s">
        <v>4969</v>
      </c>
      <c r="C3950" s="5" t="str">
        <f>IFERROR(__xludf.DUMMYFUNCTION("GOOGLETRANSLATE(B3950,""en"",""es-ES"")"),"Una máquina sopladora de hojas sopla una gran pila de hojas alrededor de un estacionamiento.")</f>
        <v>Una máquina sopladora de hojas sopla una gran pila de hojas alrededor de un estacionamiento.</v>
      </c>
    </row>
    <row r="3951">
      <c r="A3951" s="4" t="s">
        <v>4968</v>
      </c>
      <c r="B3951" s="4" t="s">
        <v>4970</v>
      </c>
      <c r="C3951" s="5" t="str">
        <f>IFERROR(__xludf.DUMMYFUNCTION("GOOGLETRANSLATE(B3951,""en"",""es-ES"")"),"La máquina continúa moviéndose a través del lote y fluyendo las hojas en una gran pila.")</f>
        <v>La máquina continúa moviéndose a través del lote y fluyendo las hojas en una gran pila.</v>
      </c>
    </row>
    <row r="3952">
      <c r="A3952" s="4" t="s">
        <v>4971</v>
      </c>
      <c r="B3952" s="4" t="s">
        <v>4972</v>
      </c>
      <c r="C3952" s="5" t="str">
        <f>IFERROR(__xludf.DUMMYFUNCTION("GOOGLETRANSLATE(B3952,""en"",""es-ES"")"),"Vemos a una dama en el bosque cortando troncos de madera.")</f>
        <v>Vemos a una dama en el bosque cortando troncos de madera.</v>
      </c>
    </row>
    <row r="3953">
      <c r="A3953" s="4" t="s">
        <v>4971</v>
      </c>
      <c r="B3953" s="4" t="s">
        <v>4973</v>
      </c>
      <c r="C3953" s="5" t="str">
        <f>IFERROR(__xludf.DUMMYFUNCTION("GOOGLETRANSLATE(B3953,""en"",""es-ES"")"),"La señora pone un registro en una plataforma.")</f>
        <v>La señora pone un registro en una plataforma.</v>
      </c>
    </row>
    <row r="3954">
      <c r="A3954" s="4" t="s">
        <v>4971</v>
      </c>
      <c r="B3954" s="4" t="s">
        <v>4974</v>
      </c>
      <c r="C3954" s="5" t="str">
        <f>IFERROR(__xludf.DUMMYFUNCTION("GOOGLETRANSLATE(B3954,""en"",""es-ES"")"),"Vemos pollos corriendo alrededor del fondo.")</f>
        <v>Vemos pollos corriendo alrededor del fondo.</v>
      </c>
    </row>
    <row r="3955">
      <c r="A3955" s="4" t="s">
        <v>4971</v>
      </c>
      <c r="B3955" s="4" t="s">
        <v>4975</v>
      </c>
      <c r="C3955" s="5" t="str">
        <f>IFERROR(__xludf.DUMMYFUNCTION("GOOGLETRANSLATE(B3955,""en"",""es-ES"")"),"La señora se ríe mientras recoge un trozo de madera.")</f>
        <v>La señora se ríe mientras recoge un trozo de madera.</v>
      </c>
    </row>
    <row r="3956">
      <c r="A3956" s="4" t="s">
        <v>4971</v>
      </c>
      <c r="B3956" s="4" t="s">
        <v>4976</v>
      </c>
      <c r="C3956" s="5" t="str">
        <f>IFERROR(__xludf.DUMMYFUNCTION("GOOGLETRANSLATE(B3956,""en"",""es-ES"")"),"Vemos un pollo aleteando sus alas en el fondo.")</f>
        <v>Vemos un pollo aleteando sus alas en el fondo.</v>
      </c>
    </row>
    <row r="3957">
      <c r="A3957" s="4" t="s">
        <v>4971</v>
      </c>
      <c r="B3957" s="4" t="s">
        <v>4977</v>
      </c>
      <c r="C3957" s="5" t="str">
        <f>IFERROR(__xludf.DUMMYFUNCTION("GOOGLETRANSLATE(B3957,""en"",""es-ES"")"),"La señora termina y arroja sus manos al aire.")</f>
        <v>La señora termina y arroja sus manos al aire.</v>
      </c>
    </row>
    <row r="3958">
      <c r="A3958" s="4" t="s">
        <v>4978</v>
      </c>
      <c r="B3958" s="4" t="s">
        <v>4979</v>
      </c>
      <c r="C3958" s="5" t="str">
        <f>IFERROR(__xludf.DUMMYFUNCTION("GOOGLETRANSLATE(B3958,""en"",""es-ES"")"),"Las chicas están hablando con la cámara.")</f>
        <v>Las chicas están hablando con la cámara.</v>
      </c>
    </row>
    <row r="3959">
      <c r="A3959" s="4" t="s">
        <v>4978</v>
      </c>
      <c r="B3959" s="4" t="s">
        <v>4980</v>
      </c>
      <c r="C3959" s="5" t="str">
        <f>IFERROR(__xludf.DUMMYFUNCTION("GOOGLETRANSLATE(B3959,""en"",""es-ES"")"),"Están haciendo movimientos de mano mientras hablan.")</f>
        <v>Están haciendo movimientos de mano mientras hablan.</v>
      </c>
    </row>
    <row r="3960">
      <c r="A3960" s="4" t="s">
        <v>4978</v>
      </c>
      <c r="B3960" s="4" t="s">
        <v>4981</v>
      </c>
      <c r="C3960" s="5" t="str">
        <f>IFERROR(__xludf.DUMMYFUNCTION("GOOGLETRANSLATE(B3960,""en"",""es-ES"")"),"Están tocando rock, tijeras de papel.")</f>
        <v>Están tocando rock, tijeras de papel.</v>
      </c>
    </row>
    <row r="3961">
      <c r="A3961" s="4" t="s">
        <v>4978</v>
      </c>
      <c r="B3961" s="4" t="s">
        <v>4982</v>
      </c>
      <c r="C3961" s="5" t="str">
        <f>IFERROR(__xludf.DUMMYFUNCTION("GOOGLETRANSLATE(B3961,""en"",""es-ES"")"),"Una niña está acostada en el Ged mientras otra chica le pone el trasero en la cara.")</f>
        <v>Una niña está acostada en el Ged mientras otra chica le pone el trasero en la cara.</v>
      </c>
    </row>
    <row r="3962">
      <c r="A3962" s="4" t="s">
        <v>4978</v>
      </c>
      <c r="B3962" s="4" t="s">
        <v>4983</v>
      </c>
      <c r="C3962" s="5" t="str">
        <f>IFERROR(__xludf.DUMMYFUNCTION("GOOGLETRANSLATE(B3962,""en"",""es-ES"")"),"La niña está hablando con la cámara nuevamente.")</f>
        <v>La niña está hablando con la cámara nuevamente.</v>
      </c>
    </row>
    <row r="3963">
      <c r="A3963" s="4" t="s">
        <v>4984</v>
      </c>
      <c r="B3963" s="4" t="s">
        <v>4985</v>
      </c>
      <c r="C3963" s="5" t="str">
        <f>IFERROR(__xludf.DUMMYFUNCTION("GOOGLETRANSLATE(B3963,""en"",""es-ES"")"),"Una persona recoge a un gato de una silla.")</f>
        <v>Una persona recoge a un gato de una silla.</v>
      </c>
    </row>
    <row r="3964">
      <c r="A3964" s="4" t="s">
        <v>4984</v>
      </c>
      <c r="B3964" s="4" t="s">
        <v>4986</v>
      </c>
      <c r="C3964" s="5" t="str">
        <f>IFERROR(__xludf.DUMMYFUNCTION("GOOGLETRANSLATE(B3964,""en"",""es-ES"")"),"Colocan al gato en su regazo.")</f>
        <v>Colocan al gato en su regazo.</v>
      </c>
    </row>
    <row r="3965">
      <c r="A3965" s="4" t="s">
        <v>4984</v>
      </c>
      <c r="B3965" s="4" t="s">
        <v>4987</v>
      </c>
      <c r="C3965" s="5" t="str">
        <f>IFERROR(__xludf.DUMMYFUNCTION("GOOGLETRANSLATE(B3965,""en"",""es-ES"")"),"Comienzan a recortar las uñas del gato.")</f>
        <v>Comienzan a recortar las uñas del gato.</v>
      </c>
    </row>
    <row r="3966">
      <c r="A3966" s="4" t="s">
        <v>4984</v>
      </c>
      <c r="B3966" s="4" t="s">
        <v>4988</v>
      </c>
      <c r="C3966" s="5" t="str">
        <f>IFERROR(__xludf.DUMMYFUNCTION("GOOGLETRANSLATE(B3966,""en"",""es-ES"")"),"Una persona está sentada a su lado en una computadora portátil.")</f>
        <v>Una persona está sentada a su lado en una computadora portátil.</v>
      </c>
    </row>
    <row r="3967">
      <c r="A3967" s="4" t="s">
        <v>4984</v>
      </c>
      <c r="B3967" s="4" t="s">
        <v>4989</v>
      </c>
      <c r="C3967" s="5" t="str">
        <f>IFERROR(__xludf.DUMMYFUNCTION("GOOGLETRANSLATE(B3967,""en"",""es-ES"")"),"La persona recorre el vientre del gato.")</f>
        <v>La persona recorre el vientre del gato.</v>
      </c>
    </row>
    <row r="3968">
      <c r="A3968" s="4" t="s">
        <v>4984</v>
      </c>
      <c r="B3968" s="4" t="s">
        <v>4990</v>
      </c>
      <c r="C3968" s="5" t="str">
        <f>IFERROR(__xludf.DUMMYFUNCTION("GOOGLETRANSLATE(B3968,""en"",""es-ES"")"),"Toman al gato de regreso y lo colocan en una silla.")</f>
        <v>Toman al gato de regreso y lo colocan en una silla.</v>
      </c>
    </row>
    <row r="3969">
      <c r="A3969" s="4" t="s">
        <v>4991</v>
      </c>
      <c r="B3969" s="4" t="s">
        <v>4992</v>
      </c>
      <c r="C3969" s="5" t="str">
        <f>IFERROR(__xludf.DUMMYFUNCTION("GOOGLETRANSLATE(B3969,""en"",""es-ES"")"),"Un atleta masculino se prepara para correr por una pista.")</f>
        <v>Un atleta masculino se prepara para correr por una pista.</v>
      </c>
    </row>
    <row r="3970">
      <c r="A3970" s="4" t="s">
        <v>4991</v>
      </c>
      <c r="B3970" s="4" t="s">
        <v>4993</v>
      </c>
      <c r="C3970" s="5" t="str">
        <f>IFERROR(__xludf.DUMMYFUNCTION("GOOGLETRANSLATE(B3970,""en"",""es-ES"")"),"Se quita corriendo, salándose sobre un bar y sobre una colchoneta.")</f>
        <v>Se quita corriendo, salándose sobre un bar y sobre una colchoneta.</v>
      </c>
    </row>
    <row r="3971">
      <c r="A3971" s="4" t="s">
        <v>4991</v>
      </c>
      <c r="B3971" s="4" t="s">
        <v>4994</v>
      </c>
      <c r="C3971" s="5" t="str">
        <f>IFERROR(__xludf.DUMMYFUNCTION("GOOGLETRANSLATE(B3971,""en"",""es-ES"")"),"Salta exuberantemente, celebrando mientras la multitud aplaude.")</f>
        <v>Salta exuberantemente, celebrando mientras la multitud aplaude.</v>
      </c>
    </row>
    <row r="3972">
      <c r="A3972" s="4" t="s">
        <v>4995</v>
      </c>
      <c r="B3972" s="4" t="s">
        <v>4996</v>
      </c>
      <c r="C3972" s="5" t="str">
        <f>IFERROR(__xludf.DUMMYFUNCTION("GOOGLETRANSLATE(B3972,""en"",""es-ES"")"),"Un hombre sirve una pelota de tenis con una raqueta mientras habla.")</f>
        <v>Un hombre sirve una pelota de tenis con una raqueta mientras habla.</v>
      </c>
    </row>
    <row r="3973">
      <c r="A3973" s="4" t="s">
        <v>4995</v>
      </c>
      <c r="B3973" s="4" t="s">
        <v>4997</v>
      </c>
      <c r="C3973" s="5" t="str">
        <f>IFERROR(__xludf.DUMMYFUNCTION("GOOGLETRANSLATE(B3973,""en"",""es-ES"")"),"El hombre rebota en una pelota y muestra cómo mover el cuerpo, luego sirve una pelota.")</f>
        <v>El hombre rebota en una pelota y muestra cómo mover el cuerpo, luego sirve una pelota.</v>
      </c>
    </row>
    <row r="3974">
      <c r="A3974" s="4" t="s">
        <v>4995</v>
      </c>
      <c r="B3974" s="4" t="s">
        <v>4998</v>
      </c>
      <c r="C3974" s="5" t="str">
        <f>IFERROR(__xludf.DUMMYFUNCTION("GOOGLETRANSLATE(B3974,""en"",""es-ES"")"),"El hombre continúa hablando en la cancha de tenis.")</f>
        <v>El hombre continúa hablando en la cancha de tenis.</v>
      </c>
    </row>
    <row r="3975">
      <c r="A3975" s="4" t="s">
        <v>4999</v>
      </c>
      <c r="B3975" s="4" t="s">
        <v>5000</v>
      </c>
      <c r="C3975" s="5" t="str">
        <f>IFERROR(__xludf.DUMMYFUNCTION("GOOGLETRANSLATE(B3975,""en"",""es-ES"")"),"Una atleta femenina está parada en un campo y despega corriendo y hace un salto de longitud hacia el pozo.")</f>
        <v>Una atleta femenina está parada en un campo y despega corriendo y hace un salto de longitud hacia el pozo.</v>
      </c>
    </row>
    <row r="3976">
      <c r="A3976" s="4" t="s">
        <v>4999</v>
      </c>
      <c r="B3976" s="4" t="s">
        <v>5001</v>
      </c>
      <c r="C3976" s="5" t="str">
        <f>IFERROR(__xludf.DUMMYFUNCTION("GOOGLETRANSLATE(B3976,""en"",""es-ES"")"),"Después, ella se va y su salto son medidas mientras muestran su repetición.")</f>
        <v>Después, ella se va y su salto son medidas mientras muestran su repetición.</v>
      </c>
    </row>
    <row r="3977">
      <c r="A3977" s="4" t="s">
        <v>4999</v>
      </c>
      <c r="B3977" s="4" t="s">
        <v>5002</v>
      </c>
      <c r="C3977" s="5" t="str">
        <f>IFERROR(__xludf.DUMMYFUNCTION("GOOGLETRANSLATE(B3977,""en"",""es-ES"")"),"Después, más chicas comienzan a saltar y representar a su equipo y sus saltos también se miden.")</f>
        <v>Después, más chicas comienzan a saltar y representar a su equipo y sus saltos también se miden.</v>
      </c>
    </row>
    <row r="3978">
      <c r="A3978" s="4" t="s">
        <v>4999</v>
      </c>
      <c r="B3978" s="4" t="s">
        <v>5003</v>
      </c>
      <c r="C3978" s="5" t="str">
        <f>IFERROR(__xludf.DUMMYFUNCTION("GOOGLETRANSLATE(B3978,""en"",""es-ES"")"),"Sin embargo, para el último salto, se muestra un primer plano del tablero porque su pie apenas lo toca y quieren darle crédito por esos centímetros.")</f>
        <v>Sin embargo, para el último salto, se muestra un primer plano del tablero porque su pie apenas lo toca y quieren darle crédito por esos centímetros.</v>
      </c>
    </row>
    <row r="3979">
      <c r="A3979" s="4" t="s">
        <v>5004</v>
      </c>
      <c r="B3979" s="4" t="s">
        <v>5005</v>
      </c>
      <c r="C3979" s="5" t="str">
        <f>IFERROR(__xludf.DUMMYFUNCTION("GOOGLETRANSLATE(B3979,""en"",""es-ES"")"),"Vemos a dos equipos de hombres jugando fútbol en el interior.")</f>
        <v>Vemos a dos equipos de hombres jugando fútbol en el interior.</v>
      </c>
    </row>
    <row r="3980">
      <c r="A3980" s="4" t="s">
        <v>5004</v>
      </c>
      <c r="B3980" s="4" t="s">
        <v>5006</v>
      </c>
      <c r="C3980" s="5" t="str">
        <f>IFERROR(__xludf.DUMMYFUNCTION("GOOGLETRANSLATE(B3980,""en"",""es-ES"")"),"Dos hombres chocan y caen al suelo.")</f>
        <v>Dos hombres chocan y caen al suelo.</v>
      </c>
    </row>
    <row r="3981">
      <c r="A3981" s="4" t="s">
        <v>5004</v>
      </c>
      <c r="B3981" s="4" t="s">
        <v>5007</v>
      </c>
      <c r="C3981" s="5" t="str">
        <f>IFERROR(__xludf.DUMMYFUNCTION("GOOGLETRANSLATE(B3981,""en"",""es-ES"")"),"Tres hombres se apoderan de los cinco y se abrazan.")</f>
        <v>Tres hombres se apoderan de los cinco y se abrazan.</v>
      </c>
    </row>
    <row r="3982">
      <c r="A3982" s="4" t="s">
        <v>5004</v>
      </c>
      <c r="B3982" s="4" t="s">
        <v>5008</v>
      </c>
      <c r="C3982" s="5" t="str">
        <f>IFERROR(__xludf.DUMMYFUNCTION("GOOGLETRANSLATE(B3982,""en"",""es-ES"")"),"Un hombre arroja la pelota a través de la habitación hasta el otro gol.")</f>
        <v>Un hombre arroja la pelota a través de la habitación hasta el otro gol.</v>
      </c>
    </row>
    <row r="3983">
      <c r="A3983" s="4" t="s">
        <v>5004</v>
      </c>
      <c r="B3983" s="4" t="s">
        <v>5009</v>
      </c>
      <c r="C3983" s="5" t="str">
        <f>IFERROR(__xludf.DUMMYFUNCTION("GOOGLETRANSLATE(B3983,""en"",""es-ES"")"),"Se entrevistan a dos series de personas en la multitud.")</f>
        <v>Se entrevistan a dos series de personas en la multitud.</v>
      </c>
    </row>
    <row r="3984">
      <c r="A3984" s="4" t="s">
        <v>5004</v>
      </c>
      <c r="B3984" s="4" t="s">
        <v>5010</v>
      </c>
      <c r="C3984" s="5" t="str">
        <f>IFERROR(__xludf.DUMMYFUNCTION("GOOGLETRANSLATE(B3984,""en"",""es-ES"")"),"Vemos a la multitud y a un hombre entrevistado y vemos algunos tiros de puntuación.")</f>
        <v>Vemos a la multitud y a un hombre entrevistado y vemos algunos tiros de puntuación.</v>
      </c>
    </row>
    <row r="3985">
      <c r="A3985" s="4" t="s">
        <v>5004</v>
      </c>
      <c r="B3985" s="4" t="s">
        <v>5011</v>
      </c>
      <c r="C3985" s="5" t="str">
        <f>IFERROR(__xludf.DUMMYFUNCTION("GOOGLETRANSLATE(B3985,""en"",""es-ES"")"),"Vemos a tres hombres de pie y pose para una foto y se entrevista a un hombre antes de regresar al juego.")</f>
        <v>Vemos a tres hombres de pie y pose para una foto y se entrevista a un hombre antes de regresar al juego.</v>
      </c>
    </row>
    <row r="3986">
      <c r="A3986" s="4" t="s">
        <v>5012</v>
      </c>
      <c r="B3986" s="4" t="s">
        <v>5013</v>
      </c>
      <c r="C3986" s="5" t="str">
        <f>IFERROR(__xludf.DUMMYFUNCTION("GOOGLETRANSLATE(B3986,""en"",""es-ES"")"),"Un hombre y una mujer están sentados en un sofá hablando.")</f>
        <v>Un hombre y una mujer están sentados en un sofá hablando.</v>
      </c>
    </row>
    <row r="3987">
      <c r="A3987" s="4" t="s">
        <v>5012</v>
      </c>
      <c r="B3987" s="4" t="s">
        <v>5014</v>
      </c>
      <c r="C3987" s="5" t="str">
        <f>IFERROR(__xludf.DUMMYFUNCTION("GOOGLETRANSLATE(B3987,""en"",""es-ES"")"),"Están conduciendo en un automóvil por una calle.")</f>
        <v>Están conduciendo en un automóvil por una calle.</v>
      </c>
    </row>
    <row r="3988">
      <c r="A3988" s="4" t="s">
        <v>5012</v>
      </c>
      <c r="B3988" s="4" t="s">
        <v>5015</v>
      </c>
      <c r="C3988" s="5" t="str">
        <f>IFERROR(__xludf.DUMMYFUNCTION("GOOGLETRANSLATE(B3988,""en"",""es-ES"")"),"Están rodando por una acera.")</f>
        <v>Están rodando por una acera.</v>
      </c>
    </row>
    <row r="3989">
      <c r="A3989" s="4" t="s">
        <v>5016</v>
      </c>
      <c r="B3989" s="4" t="s">
        <v>5017</v>
      </c>
      <c r="C3989" s="5" t="str">
        <f>IFERROR(__xludf.DUMMYFUNCTION("GOOGLETRANSLATE(B3989,""en"",""es-ES"")"),"Hay un hombre con una camisa blanca entrevistado en el programa de 60 minutos por el presentador del programa.")</f>
        <v>Hay un hombre con una camisa blanca entrevistado en el programa de 60 minutos por el presentador del programa.</v>
      </c>
    </row>
    <row r="3990">
      <c r="A3990" s="4" t="s">
        <v>5016</v>
      </c>
      <c r="B3990" s="4" t="s">
        <v>5018</v>
      </c>
      <c r="C3990" s="5" t="str">
        <f>IFERROR(__xludf.DUMMYFUNCTION("GOOGLETRANSLATE(B3990,""en"",""es-ES"")"),"Está hablando de su participación como matador en un evento de lucha de toros donde hay varios espectadores que lo observan.")</f>
        <v>Está hablando de su participación como matador en un evento de lucha de toros donde hay varios espectadores que lo observan.</v>
      </c>
    </row>
    <row r="3991">
      <c r="A3991" s="4" t="s">
        <v>5016</v>
      </c>
      <c r="B3991" s="4" t="s">
        <v>5019</v>
      </c>
      <c r="C3991" s="5" t="str">
        <f>IFERROR(__xludf.DUMMYFUNCTION("GOOGLETRANSLATE(B3991,""en"",""es-ES"")"),"Durante el evento, los paramédicos lo lesionan y los paramédicos para el tratamiento de primeros auxilios.")</f>
        <v>Durante el evento, los paramédicos lo lesionan y los paramédicos para el tratamiento de primeros auxilios.</v>
      </c>
    </row>
    <row r="3992">
      <c r="A3992" s="4" t="s">
        <v>5020</v>
      </c>
      <c r="B3992" s="4" t="s">
        <v>5021</v>
      </c>
      <c r="C3992" s="5" t="str">
        <f>IFERROR(__xludf.DUMMYFUNCTION("GOOGLETRANSLATE(B3992,""en"",""es-ES"")"),"Se ve a un hombre hablando con la cámara y conduce a varias tomas de un bote en el agua, así como a personas que sostienen una cámara y un embarque.")</f>
        <v>Se ve a un hombre hablando con la cámara y conduce a varias tomas de un bote en el agua, así como a personas que sostienen una cámara y un embarque.</v>
      </c>
    </row>
    <row r="3993">
      <c r="A3993" s="4" t="s">
        <v>5020</v>
      </c>
      <c r="B3993" s="4" t="s">
        <v>5022</v>
      </c>
      <c r="C3993" s="5" t="str">
        <f>IFERROR(__xludf.DUMMYFUNCTION("GOOGLETRANSLATE(B3993,""en"",""es-ES"")"),"Luego se ve a la gente trepar en una roca y caminando por un bosque, terminando saltando en el agua.")</f>
        <v>Luego se ve a la gente trepar en una roca y caminando por un bosque, terminando saltando en el agua.</v>
      </c>
    </row>
    <row r="3994">
      <c r="A3994" s="4" t="s">
        <v>5020</v>
      </c>
      <c r="B3994" s="4" t="s">
        <v>5023</v>
      </c>
      <c r="C3994" s="5" t="str">
        <f>IFERROR(__xludf.DUMMYFUNCTION("GOOGLETRANSLATE(B3994,""en"",""es-ES"")"),"Se muestran más clips de ellos, así como en el bote y saltando al agua.")</f>
        <v>Se muestran más clips de ellos, así como en el bote y saltando al agua.</v>
      </c>
    </row>
    <row r="3995">
      <c r="A3995" s="4" t="s">
        <v>5024</v>
      </c>
      <c r="B3995" s="4" t="s">
        <v>5025</v>
      </c>
      <c r="C3995" s="5" t="str">
        <f>IFERROR(__xludf.DUMMYFUNCTION("GOOGLETRANSLATE(B3995,""en"",""es-ES"")"),"Las mujeres están en el fondo de un gimnasio levantando pesas.")</f>
        <v>Las mujeres están en el fondo de un gimnasio levantando pesas.</v>
      </c>
    </row>
    <row r="3996">
      <c r="A3996" s="4" t="s">
        <v>5024</v>
      </c>
      <c r="B3996" s="4" t="s">
        <v>5026</v>
      </c>
      <c r="C3996" s="5" t="str">
        <f>IFERROR(__xludf.DUMMYFUNCTION("GOOGLETRANSLATE(B3996,""en"",""es-ES"")"),"El hombre se está preparando para levantar el peso y se para frente al peso.")</f>
        <v>El hombre se está preparando para levantar el peso y se para frente al peso.</v>
      </c>
    </row>
    <row r="3997">
      <c r="A3997" s="4" t="s">
        <v>5027</v>
      </c>
      <c r="B3997" s="4" t="s">
        <v>5028</v>
      </c>
      <c r="C3997" s="5" t="str">
        <f>IFERROR(__xludf.DUMMYFUNCTION("GOOGLETRANSLATE(B3997,""en"",""es-ES"")"),"Stacy está aplaudiendo y siendo bombeado y listo para funcionar.")</f>
        <v>Stacy está aplaudiendo y siendo bombeado y listo para funcionar.</v>
      </c>
    </row>
    <row r="3998">
      <c r="A3998" s="4" t="s">
        <v>5027</v>
      </c>
      <c r="B3998" s="4" t="s">
        <v>5029</v>
      </c>
      <c r="C3998" s="5" t="str">
        <f>IFERROR(__xludf.DUMMYFUNCTION("GOOGLETRANSLATE(B3998,""en"",""es-ES"")"),"Ella consigue su poste y comienza a correr con él y salta al cojín.")</f>
        <v>Ella consigue su poste y comienza a correr con él y salta al cojín.</v>
      </c>
    </row>
    <row r="3999">
      <c r="A3999" s="4" t="s">
        <v>5027</v>
      </c>
      <c r="B3999" s="4" t="s">
        <v>5030</v>
      </c>
      <c r="C3999" s="5" t="str">
        <f>IFERROR(__xludf.DUMMYFUNCTION("GOOGLETRANSLATE(B3999,""en"",""es-ES"")"),"Luego, otras mujeres hacen lo mismo hacer lo mismo después de su puntaje de manera diferente.")</f>
        <v>Luego, otras mujeres hacen lo mismo hacer lo mismo después de su puntaje de manera diferente.</v>
      </c>
    </row>
    <row r="4000">
      <c r="A4000" s="4" t="s">
        <v>5027</v>
      </c>
      <c r="B4000" s="4" t="s">
        <v>5031</v>
      </c>
      <c r="C4000" s="5" t="str">
        <f>IFERROR(__xludf.DUMMYFUNCTION("GOOGLETRANSLATE(B4000,""en"",""es-ES"")"),"El siguiente es el turno de los hombres para tomar su turno uno por uno después de las mujeres.")</f>
        <v>El siguiente es el turno de los hombres para tomar su turno uno por uno después de las mujeres.</v>
      </c>
    </row>
    <row r="4001">
      <c r="A4001" s="4" t="s">
        <v>5032</v>
      </c>
      <c r="B4001" s="4" t="s">
        <v>5033</v>
      </c>
      <c r="C4001" s="5" t="str">
        <f>IFERROR(__xludf.DUMMYFUNCTION("GOOGLETRANSLATE(B4001,""en"",""es-ES"")"),"Se muestra a un gato de cerca con la mano de una persona cortando las uñas en el gato.")</f>
        <v>Se muestra a un gato de cerca con la mano de una persona cortando las uñas en el gato.</v>
      </c>
    </row>
    <row r="4002">
      <c r="A4002" s="4" t="s">
        <v>5032</v>
      </c>
      <c r="B4002" s="4" t="s">
        <v>5034</v>
      </c>
      <c r="C4002" s="5" t="str">
        <f>IFERROR(__xludf.DUMMYFUNCTION("GOOGLETRANSLATE(B4002,""en"",""es-ES"")"),"La persona continúa cortando las garras mientras el gato intenta levantarse varias veces.")</f>
        <v>La persona continúa cortando las garras mientras el gato intenta levantarse varias veces.</v>
      </c>
    </row>
    <row r="4003">
      <c r="A4003" s="4" t="s">
        <v>5035</v>
      </c>
      <c r="B4003" s="4" t="s">
        <v>5036</v>
      </c>
      <c r="C4003" s="5" t="str">
        <f>IFERROR(__xludf.DUMMYFUNCTION("GOOGLETRANSLATE(B4003,""en"",""es-ES"")"),"Una pequeña cita se encuentra en la pantalla y sigue las páginas de título.")</f>
        <v>Una pequeña cita se encuentra en la pantalla y sigue las páginas de título.</v>
      </c>
    </row>
    <row r="4004">
      <c r="A4004" s="4" t="s">
        <v>5035</v>
      </c>
      <c r="B4004" s="4" t="s">
        <v>5037</v>
      </c>
      <c r="C4004" s="5" t="str">
        <f>IFERROR(__xludf.DUMMYFUNCTION("GOOGLETRANSLATE(B4004,""en"",""es-ES"")"),"Después, varias personas se muestran afuera en un campo que prepara sus caballos.")</f>
        <v>Después, varias personas se muestran afuera en un campo que prepara sus caballos.</v>
      </c>
    </row>
    <row r="4005">
      <c r="A4005" s="4" t="s">
        <v>5035</v>
      </c>
      <c r="B4005" s="4" t="s">
        <v>5038</v>
      </c>
      <c r="C4005" s="5" t="str">
        <f>IFERROR(__xludf.DUMMYFUNCTION("GOOGLETRANSLATE(B4005,""en"",""es-ES"")"),"Finalmente, la gente se sube a sus caballos y todos comienzan a competir entre sí jugando un juego de polo.")</f>
        <v>Finalmente, la gente se sube a sus caballos y todos comienzan a competir entre sí jugando un juego de polo.</v>
      </c>
    </row>
    <row r="4006">
      <c r="A4006" s="4" t="s">
        <v>5035</v>
      </c>
      <c r="B4006" s="4" t="s">
        <v>5039</v>
      </c>
      <c r="C4006" s="5" t="str">
        <f>IFERROR(__xludf.DUMMYFUNCTION("GOOGLETRANSLATE(B4006,""en"",""es-ES"")"),"Mientras juegan, se muestra una mujer en el costado del campo tomando fotos y un pequeño logotipo para la fotografía se muestra en el final de la pantalla.")</f>
        <v>Mientras juegan, se muestra una mujer en el costado del campo tomando fotos y un pequeño logotipo para la fotografía se muestra en el final de la pantalla.</v>
      </c>
    </row>
    <row r="4007">
      <c r="A4007" s="4" t="s">
        <v>5040</v>
      </c>
      <c r="B4007" s="4" t="s">
        <v>5041</v>
      </c>
      <c r="C4007" s="5" t="str">
        <f>IFERROR(__xludf.DUMMYFUNCTION("GOOGLETRANSLATE(B4007,""en"",""es-ES"")"),"Esta persona tiene granos secos y ahora los está poniendo en una pequeña licuadora.")</f>
        <v>Esta persona tiene granos secos y ahora los está poniendo en una pequeña licuadora.</v>
      </c>
    </row>
    <row r="4008">
      <c r="A4008" s="4" t="s">
        <v>5040</v>
      </c>
      <c r="B4008" s="4" t="s">
        <v>5042</v>
      </c>
      <c r="C4008" s="5" t="str">
        <f>IFERROR(__xludf.DUMMYFUNCTION("GOOGLETRANSLATE(B4008,""en"",""es-ES"")"),"Luego agrega un huevo y sal a los granos, además de otros ingredientes también.")</f>
        <v>Luego agrega un huevo y sal a los granos, además de otros ingredientes también.</v>
      </c>
    </row>
    <row r="4009">
      <c r="A4009" s="4" t="s">
        <v>5040</v>
      </c>
      <c r="B4009" s="4" t="s">
        <v>5043</v>
      </c>
      <c r="C4009" s="5" t="str">
        <f>IFERROR(__xludf.DUMMYFUNCTION("GOOGLETRANSLATE(B4009,""en"",""es-ES"")"),"Luego hace una bola de grano y luego la aplana, luego le pone una taza para hacer pequeñas galletas de forma redonda.")</f>
        <v>Luego hace una bola de grano y luego la aplana, luego le pone una taza para hacer pequeñas galletas de forma redonda.</v>
      </c>
    </row>
    <row r="4010">
      <c r="A4010" s="4" t="s">
        <v>5040</v>
      </c>
      <c r="B4010" s="4" t="s">
        <v>5044</v>
      </c>
      <c r="C4010" s="5" t="str">
        <f>IFERROR(__xludf.DUMMYFUNCTION("GOOGLETRANSLATE(B4010,""en"",""es-ES"")"),"Los pone en una sartén y en un horno, después de que terminan, los come junto con un poco de cerveza.")</f>
        <v>Los pone en una sartén y en un horno, después de que terminan, los come junto con un poco de cerveza.</v>
      </c>
    </row>
    <row r="4011">
      <c r="A4011" s="4" t="s">
        <v>5045</v>
      </c>
      <c r="B4011" s="4" t="s">
        <v>5046</v>
      </c>
      <c r="C4011" s="5" t="str">
        <f>IFERROR(__xludf.DUMMYFUNCTION("GOOGLETRANSLATE(B4011,""en"",""es-ES"")"),"Un hombre arroja una pelota a un campo.")</f>
        <v>Un hombre arroja una pelota a un campo.</v>
      </c>
    </row>
    <row r="4012">
      <c r="A4012" s="4" t="s">
        <v>5045</v>
      </c>
      <c r="B4012" s="4" t="s">
        <v>5047</v>
      </c>
      <c r="C4012" s="5" t="str">
        <f>IFERROR(__xludf.DUMMYFUNCTION("GOOGLETRANSLATE(B4012,""en"",""es-ES"")"),"La gente está de pie midiendo la distancia.")</f>
        <v>La gente está de pie midiendo la distancia.</v>
      </c>
    </row>
    <row r="4013">
      <c r="A4013" s="4" t="s">
        <v>5045</v>
      </c>
      <c r="B4013" s="4" t="s">
        <v>5048</v>
      </c>
      <c r="C4013" s="5" t="str">
        <f>IFERROR(__xludf.DUMMYFUNCTION("GOOGLETRANSLATE(B4013,""en"",""es-ES"")"),"La gente los está mirando desde el costado.")</f>
        <v>La gente los está mirando desde el costado.</v>
      </c>
    </row>
    <row r="4014">
      <c r="A4014" s="4" t="s">
        <v>5049</v>
      </c>
      <c r="B4014" s="4" t="s">
        <v>5050</v>
      </c>
      <c r="C4014" s="5" t="str">
        <f>IFERROR(__xludf.DUMMYFUNCTION("GOOGLETRANSLATE(B4014,""en"",""es-ES"")"),"Un hombre está de pie en una sala de estar.")</f>
        <v>Un hombre está de pie en una sala de estar.</v>
      </c>
    </row>
    <row r="4015">
      <c r="A4015" s="4" t="s">
        <v>5049</v>
      </c>
      <c r="B4015" s="4" t="s">
        <v>5051</v>
      </c>
      <c r="C4015" s="5" t="str">
        <f>IFERROR(__xludf.DUMMYFUNCTION("GOOGLETRANSLATE(B4015,""en"",""es-ES"")"),"Está usando sus manos para vencer a un juego de batería.")</f>
        <v>Está usando sus manos para vencer a un juego de batería.</v>
      </c>
    </row>
    <row r="4016">
      <c r="A4016" s="4" t="s">
        <v>5049</v>
      </c>
      <c r="B4016" s="4" t="s">
        <v>5052</v>
      </c>
      <c r="C4016" s="5" t="str">
        <f>IFERROR(__xludf.DUMMYFUNCTION("GOOGLETRANSLATE(B4016,""en"",""es-ES"")"),"Continúa jugando por el resto del video.")</f>
        <v>Continúa jugando por el resto del video.</v>
      </c>
    </row>
    <row r="4017">
      <c r="A4017" s="4" t="s">
        <v>5053</v>
      </c>
      <c r="B4017" s="4" t="s">
        <v>5054</v>
      </c>
      <c r="C4017" s="5" t="str">
        <f>IFERROR(__xludf.DUMMYFUNCTION("GOOGLETRANSLATE(B4017,""en"",""es-ES"")"),"Varias personas en balsas inflables en forma de rosquilla flotan por una corriente estrecha guiada por personas que los ayudan en el agua y observadas por un pequeño grupo de personas en tierras cercanas.")</f>
        <v>Varias personas en balsas inflables en forma de rosquilla flotan por una corriente estrecha guiada por personas que los ayudan en el agua y observadas por un pequeño grupo de personas en tierras cercanas.</v>
      </c>
    </row>
    <row r="4018">
      <c r="A4018" s="4" t="s">
        <v>5053</v>
      </c>
      <c r="B4018" s="4" t="s">
        <v>5055</v>
      </c>
      <c r="C4018" s="5" t="str">
        <f>IFERROR(__xludf.DUMMYFUNCTION("GOOGLETRANSLATE(B4018,""en"",""es-ES"")"),"Un grupo de personas, flotando en una línea, por una corriente estrecha de agua en balsas inflables negras en forma de rosquilla.")</f>
        <v>Un grupo de personas, flotando en una línea, por una corriente estrecha de agua en balsas inflables negras en forma de rosquilla.</v>
      </c>
    </row>
    <row r="4019">
      <c r="A4019" s="4" t="s">
        <v>5053</v>
      </c>
      <c r="B4019" s="4" t="s">
        <v>5056</v>
      </c>
      <c r="C4019" s="5" t="str">
        <f>IFERROR(__xludf.DUMMYFUNCTION("GOOGLETRANSLATE(B4019,""en"",""es-ES"")"),"Una mujer se atasca en una roca en la balsa y se apaga.")</f>
        <v>Una mujer se atasca en una roca en la balsa y se apaga.</v>
      </c>
    </row>
    <row r="4020">
      <c r="A4020" s="4" t="s">
        <v>5053</v>
      </c>
      <c r="B4020" s="4" t="s">
        <v>5057</v>
      </c>
      <c r="C4020" s="5" t="str">
        <f>IFERROR(__xludf.DUMMYFUNCTION("GOOGLETRANSLATE(B4020,""en"",""es-ES"")"),"Las personas llegan al final de la corriente estrecha, donde un grupo de personas los ayuda a salir de las balsas y otro pequeño grupo de personas los observa desde la tierra cercana.")</f>
        <v>Las personas llegan al final de la corriente estrecha, donde un grupo de personas los ayuda a salir de las balsas y otro pequeño grupo de personas los observa desde la tierra cercana.</v>
      </c>
    </row>
    <row r="4021">
      <c r="A4021" s="4" t="s">
        <v>5058</v>
      </c>
      <c r="B4021" s="4" t="s">
        <v>5059</v>
      </c>
      <c r="C4021" s="5" t="str">
        <f>IFERROR(__xludf.DUMMYFUNCTION("GOOGLETRANSLATE(B4021,""en"",""es-ES"")"),"El hombre sostiene un taladro de impacto sacando una rueda de automóvil.")</f>
        <v>El hombre sostiene un taladro de impacto sacando una rueda de automóvil.</v>
      </c>
    </row>
    <row r="4022">
      <c r="A4022" s="4" t="s">
        <v>5058</v>
      </c>
      <c r="B4022" s="4" t="s">
        <v>5060</v>
      </c>
      <c r="C4022" s="5" t="str">
        <f>IFERROR(__xludf.DUMMYFUNCTION("GOOGLETRANSLATE(B4022,""en"",""es-ES"")"),"El hombre sostiene la rueda en una mesa y saca la goma del borde y la cambia por otro.")</f>
        <v>El hombre sostiene la rueda en una mesa y saca la goma del borde y la cambia por otro.</v>
      </c>
    </row>
    <row r="4023">
      <c r="A4023" s="4" t="s">
        <v>5058</v>
      </c>
      <c r="B4023" s="4" t="s">
        <v>5061</v>
      </c>
      <c r="C4023" s="5" t="str">
        <f>IFERROR(__xludf.DUMMYFUNCTION("GOOGLETRANSLATE(B4023,""en"",""es-ES"")"),"El coche está en la calle al lado de una montaña.")</f>
        <v>El coche está en la calle al lado de una montaña.</v>
      </c>
    </row>
    <row r="4024">
      <c r="A4024" s="4" t="s">
        <v>5062</v>
      </c>
      <c r="B4024" s="4" t="s">
        <v>5063</v>
      </c>
      <c r="C4024" s="5" t="str">
        <f>IFERROR(__xludf.DUMMYFUNCTION("GOOGLETRANSLATE(B4024,""en"",""es-ES"")"),"Una dama se encuentra en un estudio de baile.")</f>
        <v>Una dama se encuentra en un estudio de baile.</v>
      </c>
    </row>
    <row r="4025">
      <c r="A4025" s="4" t="s">
        <v>5062</v>
      </c>
      <c r="B4025" s="4" t="s">
        <v>5064</v>
      </c>
      <c r="C4025" s="5" t="str">
        <f>IFERROR(__xludf.DUMMYFUNCTION("GOOGLETRANSLATE(B4025,""en"",""es-ES"")"),"La señora realiza un baile de ballet.")</f>
        <v>La señora realiza un baile de ballet.</v>
      </c>
    </row>
    <row r="4026">
      <c r="A4026" s="4" t="s">
        <v>5062</v>
      </c>
      <c r="B4026" s="4" t="s">
        <v>5065</v>
      </c>
      <c r="C4026" s="5" t="str">
        <f>IFERROR(__xludf.DUMMYFUNCTION("GOOGLETRANSLATE(B4026,""en"",""es-ES"")"),"La señora levanta su pierna detrás de ella y la mueve hacia el frente y la descansa sobre su pierna.")</f>
        <v>La señora levanta su pierna detrás de ella y la mueve hacia el frente y la descansa sobre su pierna.</v>
      </c>
    </row>
    <row r="4027">
      <c r="A4027" s="4" t="s">
        <v>5062</v>
      </c>
      <c r="B4027" s="4" t="s">
        <v>5066</v>
      </c>
      <c r="C4027" s="5" t="str">
        <f>IFERROR(__xludf.DUMMYFUNCTION("GOOGLETRANSLATE(B4027,""en"",""es-ES"")"),"La señora se encuentra frente a la cámara frente al espejo.")</f>
        <v>La señora se encuentra frente a la cámara frente al espejo.</v>
      </c>
    </row>
    <row r="4028">
      <c r="A4028" s="4" t="s">
        <v>5062</v>
      </c>
      <c r="B4028" s="4" t="s">
        <v>5067</v>
      </c>
      <c r="C4028" s="5" t="str">
        <f>IFERROR(__xludf.DUMMYFUNCTION("GOOGLETRANSLATE(B4028,""en"",""es-ES"")"),"Vemos a una persona sentada en el lado izquierdo de la habitación.")</f>
        <v>Vemos a una persona sentada en el lado izquierdo de la habitación.</v>
      </c>
    </row>
    <row r="4029">
      <c r="A4029" s="4" t="s">
        <v>5068</v>
      </c>
      <c r="B4029" s="4" t="s">
        <v>5069</v>
      </c>
      <c r="C4029" s="5" t="str">
        <f>IFERROR(__xludf.DUMMYFUNCTION("GOOGLETRANSLATE(B4029,""en"",""es-ES"")"),"Un perro de juguete camina por el suelo.")</f>
        <v>Un perro de juguete camina por el suelo.</v>
      </c>
    </row>
    <row r="4030">
      <c r="A4030" s="4" t="s">
        <v>5068</v>
      </c>
      <c r="B4030" s="4" t="s">
        <v>5070</v>
      </c>
      <c r="C4030" s="5" t="str">
        <f>IFERROR(__xludf.DUMMYFUNCTION("GOOGLETRANSLATE(B4030,""en"",""es-ES"")"),"Se detiene para mirar hacia adelante y hacia atrás.")</f>
        <v>Se detiene para mirar hacia adelante y hacia atrás.</v>
      </c>
    </row>
    <row r="4031">
      <c r="A4031" s="4" t="s">
        <v>5068</v>
      </c>
      <c r="B4031" s="4" t="s">
        <v>5071</v>
      </c>
      <c r="C4031" s="5" t="str">
        <f>IFERROR(__xludf.DUMMYFUNCTION("GOOGLETRANSLATE(B4031,""en"",""es-ES"")"),"Alguien recoge al perro y lo vuelve a bajar.")</f>
        <v>Alguien recoge al perro y lo vuelve a bajar.</v>
      </c>
    </row>
    <row r="4032">
      <c r="A4032" s="4" t="s">
        <v>5072</v>
      </c>
      <c r="B4032" s="4" t="s">
        <v>5073</v>
      </c>
      <c r="C4032" s="5" t="str">
        <f>IFERROR(__xludf.DUMMYFUNCTION("GOOGLETRANSLATE(B4032,""en"",""es-ES"")"),"Un hombre en un evento deportivo profesional realiza un salto de longitud sobre un pozo de arena frente a un estadio lleno de personas.")</f>
        <v>Un hombre en un evento deportivo profesional realiza un salto de longitud sobre un pozo de arena frente a un estadio lleno de personas.</v>
      </c>
    </row>
    <row r="4033">
      <c r="A4033" s="4" t="s">
        <v>5072</v>
      </c>
      <c r="B4033" s="4" t="s">
        <v>5074</v>
      </c>
      <c r="C4033" s="5" t="str">
        <f>IFERROR(__xludf.DUMMYFUNCTION("GOOGLETRANSLATE(B4033,""en"",""es-ES"")"),"El hombre comienza alentando a la audiencia a aplaudir arrojando las manos a la multitud y señalando los aplausos.")</f>
        <v>El hombre comienza alentando a la audiencia a aplaudir arrojando las manos a la multitud y señalando los aplausos.</v>
      </c>
    </row>
    <row r="4034">
      <c r="A4034" s="4" t="s">
        <v>5072</v>
      </c>
      <c r="B4034" s="4" t="s">
        <v>5075</v>
      </c>
      <c r="C4034" s="5" t="str">
        <f>IFERROR(__xludf.DUMMYFUNCTION("GOOGLETRANSLATE(B4034,""en"",""es-ES"")"),"Luego, el hombre se arrodilla ligeramente para prepararse para la carrera y comienza a correr por un tramo de carril estrecho antes de catapultarse en el aire sobre el arena.")</f>
        <v>Luego, el hombre se arrodilla ligeramente para prepararse para la carrera y comienza a correr por un tramo de carril estrecho antes de catapultarse en el aire sobre el arena.</v>
      </c>
    </row>
    <row r="4035">
      <c r="A4035" s="4" t="s">
        <v>5072</v>
      </c>
      <c r="B4035" s="4" t="s">
        <v>5076</v>
      </c>
      <c r="C4035" s="5" t="str">
        <f>IFERROR(__xludf.DUMMYFUNCTION("GOOGLETRANSLATE(B4035,""en"",""es-ES"")"),"El hombre aterriza al otro lado del pozo y hace un gesto a la audiencia nuevamente para aplausos, ya que los hombres suavizan la arena con las escobas de cepillos largos y amplios, la audiencia aplaude y agita las banderas y la gente de las cámaras corrie"&amp;"ndo alrededor del evento que lo captura en la película.")</f>
        <v>El hombre aterriza al otro lado del pozo y hace un gesto a la audiencia nuevamente para aplausos, ya que los hombres suavizan la arena con las escobas de cepillos largos y amplios, la audiencia aplaude y agita las banderas y la gente de las cámaras corriendo alrededor del evento que lo captura en la película.</v>
      </c>
    </row>
    <row r="4036">
      <c r="A4036" s="4" t="s">
        <v>5077</v>
      </c>
      <c r="B4036" s="4" t="s">
        <v>5078</v>
      </c>
      <c r="C4036" s="5" t="str">
        <f>IFERROR(__xludf.DUMMYFUNCTION("GOOGLETRANSLATE(B4036,""en"",""es-ES"")"),"Las palabras se encuentran en la pantalla sobre una imagen.")</f>
        <v>Las palabras se encuentran en la pantalla sobre una imagen.</v>
      </c>
    </row>
    <row r="4037">
      <c r="A4037" s="4" t="s">
        <v>5077</v>
      </c>
      <c r="B4037" s="4" t="s">
        <v>5079</v>
      </c>
      <c r="C4037" s="5" t="str">
        <f>IFERROR(__xludf.DUMMYFUNCTION("GOOGLETRANSLATE(B4037,""en"",""es-ES"")"),"Vemos a las damas que traigan tarjetas en mesas moradas en un casino sin clientes.")</f>
        <v>Vemos a las damas que traigan tarjetas en mesas moradas en un casino sin clientes.</v>
      </c>
    </row>
    <row r="4038">
      <c r="A4038" s="4" t="s">
        <v>5077</v>
      </c>
      <c r="B4038" s="4" t="s">
        <v>5080</v>
      </c>
      <c r="C4038" s="5" t="str">
        <f>IFERROR(__xludf.DUMMYFUNCTION("GOOGLETRANSLATE(B4038,""en"",""es-ES"")"),"El concesionario sonríe y trata a cartas y les señala.")</f>
        <v>El concesionario sonríe y trata a cartas y les señala.</v>
      </c>
    </row>
    <row r="4039">
      <c r="A4039" s="4" t="s">
        <v>5077</v>
      </c>
      <c r="B4039" s="4" t="s">
        <v>5081</v>
      </c>
      <c r="C4039" s="5" t="str">
        <f>IFERROR(__xludf.DUMMYFUNCTION("GOOGLETRANSLATE(B4039,""en"",""es-ES"")"),"El concesionario termina y agita los brazos sobre la mesa a medida que aparecen palabras en la pantalla.")</f>
        <v>El concesionario termina y agita los brazos sobre la mesa a medida que aparecen palabras en la pantalla.</v>
      </c>
    </row>
    <row r="4040">
      <c r="A4040" s="4" t="s">
        <v>5082</v>
      </c>
      <c r="B4040" s="4" t="s">
        <v>5083</v>
      </c>
      <c r="C4040" s="5" t="str">
        <f>IFERROR(__xludf.DUMMYFUNCTION("GOOGLETRANSLATE(B4040,""en"",""es-ES"")"),"Se ve a un hombre hablando con la cámara mientras camina por una cocina y revisa la comida.")</f>
        <v>Se ve a un hombre hablando con la cámara mientras camina por una cocina y revisa la comida.</v>
      </c>
    </row>
    <row r="4041">
      <c r="A4041" s="4" t="s">
        <v>5082</v>
      </c>
      <c r="B4041" s="4" t="s">
        <v>5084</v>
      </c>
      <c r="C4041" s="5" t="str">
        <f>IFERROR(__xludf.DUMMYFUNCTION("GOOGLETRANSLATE(B4041,""en"",""es-ES"")"),"Varias tomas de comida se muestran en mesas, así como en bastidores y el chef continúa hablando con el personal.")</f>
        <v>Varias tomas de comida se muestran en mesas, así como en bastidores y el chef continúa hablando con el personal.</v>
      </c>
    </row>
    <row r="4042">
      <c r="A4042" s="4" t="s">
        <v>5082</v>
      </c>
      <c r="B4042" s="4" t="s">
        <v>5085</v>
      </c>
      <c r="C4042" s="5" t="str">
        <f>IFERROR(__xludf.DUMMYFUNCTION("GOOGLETRANSLATE(B4042,""en"",""es-ES"")"),"El hombre sale del frente y habla con los clientes que entran y terminan hablando con la cámara.")</f>
        <v>El hombre sale del frente y habla con los clientes que entran y terminan hablando con la cámara.</v>
      </c>
    </row>
    <row r="4043">
      <c r="A4043" s="4" t="s">
        <v>5086</v>
      </c>
      <c r="B4043" s="4" t="s">
        <v>5087</v>
      </c>
      <c r="C4043" s="5" t="str">
        <f>IFERROR(__xludf.DUMMYFUNCTION("GOOGLETRANSLATE(B4043,""en"",""es-ES"")"),"Una mujer cepilla el cabello de una niña mientras habla sentado en una cama.")</f>
        <v>Una mujer cepilla el cabello de una niña mientras habla sentado en una cama.</v>
      </c>
    </row>
    <row r="4044">
      <c r="A4044" s="4" t="s">
        <v>5086</v>
      </c>
      <c r="B4044" s="4" t="s">
        <v>5088</v>
      </c>
      <c r="C4044" s="5" t="str">
        <f>IFERROR(__xludf.DUMMYFUNCTION("GOOGLETRANSLATE(B4044,""en"",""es-ES"")"),"Luego, la mujer se arrodilla en la cama y toca los hombros de la niña.")</f>
        <v>Luego, la mujer se arrodilla en la cama y toca los hombros de la niña.</v>
      </c>
    </row>
    <row r="4045">
      <c r="A4045" s="4" t="s">
        <v>5089</v>
      </c>
      <c r="B4045" s="4" t="s">
        <v>5090</v>
      </c>
      <c r="C4045" s="5" t="str">
        <f>IFERROR(__xludf.DUMMYFUNCTION("GOOGLETRANSLATE(B4045,""en"",""es-ES"")"),"Se ve a una gran multitud sentada antes de un escenario y conduce a una mujer joven que golpea la batería en un círculo y se mueve por el escenario.")</f>
        <v>Se ve a una gran multitud sentada antes de un escenario y conduce a una mujer joven que golpea la batería en un círculo y se mueve por el escenario.</v>
      </c>
    </row>
    <row r="4046">
      <c r="A4046" s="4" t="s">
        <v>5089</v>
      </c>
      <c r="B4046" s="4" t="s">
        <v>5091</v>
      </c>
      <c r="C4046" s="5" t="str">
        <f>IFERROR(__xludf.DUMMYFUNCTION("GOOGLETRANSLATE(B4046,""en"",""es-ES"")"),"La mujer continúa golpeando la batería mientras la multitud observa y termina con el texto desplazándose por la pantalla.")</f>
        <v>La mujer continúa golpeando la batería mientras la multitud observa y termina con el texto desplazándose por la pantalla.</v>
      </c>
    </row>
    <row r="4047">
      <c r="A4047" s="4" t="s">
        <v>5092</v>
      </c>
      <c r="B4047" s="4" t="s">
        <v>5093</v>
      </c>
      <c r="C4047" s="5" t="str">
        <f>IFERROR(__xludf.DUMMYFUNCTION("GOOGLETRANSLATE(B4047,""en"",""es-ES"")"),"Los hombres están jugando voleibol en la arena.")</f>
        <v>Los hombres están jugando voleibol en la arena.</v>
      </c>
    </row>
    <row r="4048">
      <c r="A4048" s="4" t="s">
        <v>5092</v>
      </c>
      <c r="B4048" s="4" t="s">
        <v>5094</v>
      </c>
      <c r="C4048" s="5" t="str">
        <f>IFERROR(__xludf.DUMMYFUNCTION("GOOGLETRANSLATE(B4048,""en"",""es-ES"")"),"Las animadoras están de pie junto a ellos mirando.")</f>
        <v>Las animadoras están de pie junto a ellos mirando.</v>
      </c>
    </row>
    <row r="4049">
      <c r="A4049" s="4" t="s">
        <v>5092</v>
      </c>
      <c r="B4049" s="4" t="s">
        <v>5095</v>
      </c>
      <c r="C4049" s="5" t="str">
        <f>IFERROR(__xludf.DUMMYFUNCTION("GOOGLETRANSLATE(B4049,""en"",""es-ES"")"),"Una mujer está jugando fútbol en una playa.")</f>
        <v>Una mujer está jugando fútbol en una playa.</v>
      </c>
    </row>
    <row r="4050">
      <c r="A4050" s="4" t="s">
        <v>5092</v>
      </c>
      <c r="B4050" s="4" t="s">
        <v>4133</v>
      </c>
      <c r="C4050" s="5" t="str">
        <f>IFERROR(__xludf.DUMMYFUNCTION("GOOGLETRANSLATE(B4050,""en"",""es-ES"")"),"Un hombre con una camisa roja está hablando con la cámara.")</f>
        <v>Un hombre con una camisa roja está hablando con la cámara.</v>
      </c>
    </row>
    <row r="4051">
      <c r="A4051" s="4" t="s">
        <v>5096</v>
      </c>
      <c r="B4051" s="4" t="s">
        <v>5097</v>
      </c>
      <c r="C4051" s="5" t="str">
        <f>IFERROR(__xludf.DUMMYFUNCTION("GOOGLETRANSLATE(B4051,""en"",""es-ES"")"),"Dos hombres patinando en un parque de patinaje interior uno al lado del otro.")</f>
        <v>Dos hombres patinando en un parque de patinaje interior uno al lado del otro.</v>
      </c>
    </row>
    <row r="4052">
      <c r="A4052" s="4" t="s">
        <v>5096</v>
      </c>
      <c r="B4052" s="4" t="s">
        <v>5098</v>
      </c>
      <c r="C4052" s="5" t="str">
        <f>IFERROR(__xludf.DUMMYFUNCTION("GOOGLETRANSLATE(B4052,""en"",""es-ES"")"),"Se detienen y dan otros consejos, tratando de perfeccionar cómo saltar sobre el riel.")</f>
        <v>Se detienen y dan otros consejos, tratando de perfeccionar cómo saltar sobre el riel.</v>
      </c>
    </row>
    <row r="4053">
      <c r="A4053" s="4" t="s">
        <v>5096</v>
      </c>
      <c r="B4053" s="4" t="s">
        <v>5099</v>
      </c>
      <c r="C4053" s="5" t="str">
        <f>IFERROR(__xludf.DUMMYFUNCTION("GOOGLETRANSLATE(B4053,""en"",""es-ES"")"),"Uno de ellos intenta una y otra vez y el otro se apaga de su bolsa y la extiende hacia el riel.")</f>
        <v>Uno de ellos intenta una y otra vez y el otro se apaga de su bolsa y la extiende hacia el riel.</v>
      </c>
    </row>
    <row r="4054">
      <c r="A4054" s="4" t="s">
        <v>5096</v>
      </c>
      <c r="B4054" s="4" t="s">
        <v>5100</v>
      </c>
      <c r="C4054" s="5" t="str">
        <f>IFERROR(__xludf.DUMMYFUNCTION("GOOGLETRANSLATE(B4054,""en"",""es-ES"")"),"Luego, otro hombre viene y se une, tocan unas tijeras de papel de rock y vuelven a bordo.")</f>
        <v>Luego, otro hombre viene y se une, tocan unas tijeras de papel de rock y vuelven a bordo.</v>
      </c>
    </row>
    <row r="4055">
      <c r="A4055" s="4" t="s">
        <v>5101</v>
      </c>
      <c r="B4055" s="4" t="s">
        <v>5102</v>
      </c>
      <c r="C4055" s="5" t="str">
        <f>IFERROR(__xludf.DUMMYFUNCTION("GOOGLETRANSLATE(B4055,""en"",""es-ES"")"),"Vemos una pantalla de título de baloncesto.")</f>
        <v>Vemos una pantalla de título de baloncesto.</v>
      </c>
    </row>
    <row r="4056">
      <c r="A4056" s="4" t="s">
        <v>5101</v>
      </c>
      <c r="B4056" s="4" t="s">
        <v>5103</v>
      </c>
      <c r="C4056" s="5" t="str">
        <f>IFERROR(__xludf.DUMMYFUNCTION("GOOGLETRANSLATE(B4056,""en"",""es-ES"")"),"Un hombre está entrenando cuando es adolescente hace tiros de baloncesto.")</f>
        <v>Un hombre está entrenando cuando es adolescente hace tiros de baloncesto.</v>
      </c>
    </row>
    <row r="4057">
      <c r="A4057" s="4" t="s">
        <v>5101</v>
      </c>
      <c r="B4057" s="4" t="s">
        <v>5104</v>
      </c>
      <c r="C4057" s="5" t="str">
        <f>IFERROR(__xludf.DUMMYFUNCTION("GOOGLETRANSLATE(B4057,""en"",""es-ES"")"),"El hombre toma la pelota y demuestra un movimiento de cadera que el niño intenta.")</f>
        <v>El hombre toma la pelota y demuestra un movimiento de cadera que el niño intenta.</v>
      </c>
    </row>
    <row r="4058">
      <c r="A4058" s="4" t="s">
        <v>5101</v>
      </c>
      <c r="B4058" s="4" t="s">
        <v>5105</v>
      </c>
      <c r="C4058" s="5" t="str">
        <f>IFERROR(__xludf.DUMMYFUNCTION("GOOGLETRANSLATE(B4058,""en"",""es-ES"")"),"El hombre demuestra algo y el niño dispara la pelota.")</f>
        <v>El hombre demuestra algo y el niño dispara la pelota.</v>
      </c>
    </row>
    <row r="4059">
      <c r="A4059" s="4" t="s">
        <v>5101</v>
      </c>
      <c r="B4059" s="4" t="s">
        <v>5106</v>
      </c>
      <c r="C4059" s="5" t="str">
        <f>IFERROR(__xludf.DUMMYFUNCTION("GOOGLETRANSLATE(B4059,""en"",""es-ES"")"),"Vemos los consejos en la pantalla 1 por uno.")</f>
        <v>Vemos los consejos en la pantalla 1 por uno.</v>
      </c>
    </row>
    <row r="4060">
      <c r="A4060" s="4" t="s">
        <v>5101</v>
      </c>
      <c r="B4060" s="4" t="s">
        <v>5107</v>
      </c>
      <c r="C4060" s="5" t="str">
        <f>IFERROR(__xludf.DUMMYFUNCTION("GOOGLETRANSLATE(B4060,""en"",""es-ES"")"),"Luego vemos la pantalla de título final.")</f>
        <v>Luego vemos la pantalla de título final.</v>
      </c>
    </row>
    <row r="4061">
      <c r="A4061" s="4" t="s">
        <v>5108</v>
      </c>
      <c r="B4061" s="4" t="s">
        <v>5109</v>
      </c>
      <c r="C4061" s="5" t="str">
        <f>IFERROR(__xludf.DUMMYFUNCTION("GOOGLETRANSLATE(B4061,""en"",""es-ES"")"),"Dos equipos de niñas juegan hockey de campo con palitos de hockey y una pequeña pelota.")</f>
        <v>Dos equipos de niñas juegan hockey de campo con palitos de hockey y una pequeña pelota.</v>
      </c>
    </row>
    <row r="4062">
      <c r="A4062" s="4" t="s">
        <v>5108</v>
      </c>
      <c r="B4062" s="4" t="s">
        <v>5110</v>
      </c>
      <c r="C4062" s="5" t="str">
        <f>IFERROR(__xludf.DUMMYFUNCTION("GOOGLETRANSLATE(B4062,""en"",""es-ES"")"),"El equipo con las camisas de Borgoña anota tres veces y el otro equipo anotó ninguno.")</f>
        <v>El equipo con las camisas de Borgoña anota tres veces y el otro equipo anotó ninguno.</v>
      </c>
    </row>
    <row r="4063">
      <c r="A4063" s="4" t="s">
        <v>5111</v>
      </c>
      <c r="B4063" s="4" t="s">
        <v>5112</v>
      </c>
      <c r="C4063" s="5" t="str">
        <f>IFERROR(__xludf.DUMMYFUNCTION("GOOGLETRANSLATE(B4063,""en"",""es-ES"")"),"Vemos a un hombre sumergirse en una piscina en cámara lenta.")</f>
        <v>Vemos a un hombre sumergirse en una piscina en cámara lenta.</v>
      </c>
    </row>
    <row r="4064">
      <c r="A4064" s="4" t="s">
        <v>5111</v>
      </c>
      <c r="B4064" s="4" t="s">
        <v>5113</v>
      </c>
      <c r="C4064" s="5" t="str">
        <f>IFERROR(__xludf.DUMMYFUNCTION("GOOGLETRANSLATE(B4064,""en"",""es-ES"")"),"Vemos a los jueces dando al hombre su puntaje y hablando con él.")</f>
        <v>Vemos a los jueces dando al hombre su puntaje y hablando con él.</v>
      </c>
    </row>
    <row r="4065">
      <c r="A4065" s="4" t="s">
        <v>5111</v>
      </c>
      <c r="B4065" s="4" t="s">
        <v>5114</v>
      </c>
      <c r="C4065" s="5" t="str">
        <f>IFERROR(__xludf.DUMMYFUNCTION("GOOGLETRANSLATE(B4065,""en"",""es-ES"")"),"Vemos a una dama aplaudiendo.")</f>
        <v>Vemos a una dama aplaudiendo.</v>
      </c>
    </row>
    <row r="4066">
      <c r="A4066" s="4" t="s">
        <v>5111</v>
      </c>
      <c r="B4066" s="4" t="s">
        <v>5115</v>
      </c>
      <c r="C4066" s="5" t="str">
        <f>IFERROR(__xludf.DUMMYFUNCTION("GOOGLETRANSLATE(B4066,""en"",""es-ES"")"),"Vemos al buceador entrevistado.")</f>
        <v>Vemos al buceador entrevistado.</v>
      </c>
    </row>
    <row r="4067">
      <c r="A4067" s="4" t="s">
        <v>5111</v>
      </c>
      <c r="B4067" s="4" t="s">
        <v>5116</v>
      </c>
      <c r="C4067" s="5" t="str">
        <f>IFERROR(__xludf.DUMMYFUNCTION("GOOGLETRANSLATE(B4067,""en"",""es-ES"")"),"Vemos a la multitud de pie y aplaudir.")</f>
        <v>Vemos a la multitud de pie y aplaudir.</v>
      </c>
    </row>
    <row r="4068">
      <c r="A4068" s="4" t="s">
        <v>5111</v>
      </c>
      <c r="B4068" s="4" t="s">
        <v>5117</v>
      </c>
      <c r="C4068" s="5" t="str">
        <f>IFERROR(__xludf.DUMMYFUNCTION("GOOGLETRANSLATE(B4068,""en"",""es-ES"")"),"Vemos las tarjetas de puntaje final para todos los concursantes.")</f>
        <v>Vemos las tarjetas de puntaje final para todos los concursantes.</v>
      </c>
    </row>
    <row r="4069">
      <c r="A4069" s="4" t="s">
        <v>5118</v>
      </c>
      <c r="B4069" s="4" t="s">
        <v>5119</v>
      </c>
      <c r="C4069" s="5" t="str">
        <f>IFERROR(__xludf.DUMMYFUNCTION("GOOGLETRANSLATE(B4069,""en"",""es-ES"")"),"Los árboles soplan en la brisa cuando un hombre corta el césped.")</f>
        <v>Los árboles soplan en la brisa cuando un hombre corta el césped.</v>
      </c>
    </row>
    <row r="4070">
      <c r="A4070" s="4" t="s">
        <v>5118</v>
      </c>
      <c r="B4070" s="4" t="s">
        <v>5120</v>
      </c>
      <c r="C4070" s="5" t="str">
        <f>IFERROR(__xludf.DUMMYFUNCTION("GOOGLETRANSLATE(B4070,""en"",""es-ES"")"),"El sol se asoma por detrás de las nubes y enciende la escena.")</f>
        <v>El sol se asoma por detrás de las nubes y enciende la escena.</v>
      </c>
    </row>
    <row r="4071">
      <c r="A4071" s="4" t="s">
        <v>5118</v>
      </c>
      <c r="B4071" s="4" t="s">
        <v>5121</v>
      </c>
      <c r="C4071" s="5" t="str">
        <f>IFERROR(__xludf.DUMMYFUNCTION("GOOGLETRANSLATE(B4071,""en"",""es-ES"")"),"El hombre se detiene y vacía la hierba en la basura.")</f>
        <v>El hombre se detiene y vacía la hierba en la basura.</v>
      </c>
    </row>
    <row r="4072">
      <c r="A4072" s="4" t="s">
        <v>5118</v>
      </c>
      <c r="B4072" s="4" t="s">
        <v>5122</v>
      </c>
      <c r="C4072" s="5" t="str">
        <f>IFERROR(__xludf.DUMMYFUNCTION("GOOGLETRANSLATE(B4072,""en"",""es-ES"")"),"Un hombre entra con un bebé y se va.")</f>
        <v>Un hombre entra con un bebé y se va.</v>
      </c>
    </row>
    <row r="4073">
      <c r="A4073" s="4" t="s">
        <v>5118</v>
      </c>
      <c r="B4073" s="4" t="s">
        <v>5123</v>
      </c>
      <c r="C4073" s="5" t="str">
        <f>IFERROR(__xludf.DUMMYFUNCTION("GOOGLETRANSLATE(B4073,""en"",""es-ES"")"),"El hombre corta el lado de los arbustos.")</f>
        <v>El hombre corta el lado de los arbustos.</v>
      </c>
    </row>
    <row r="4074">
      <c r="A4074" s="4" t="s">
        <v>5118</v>
      </c>
      <c r="B4074" s="4" t="s">
        <v>5124</v>
      </c>
      <c r="C4074" s="5" t="str">
        <f>IFERROR(__xludf.DUMMYFUNCTION("GOOGLETRANSLATE(B4074,""en"",""es-ES"")"),"El hombre se detiene y vacía su bolso nuevamente.")</f>
        <v>El hombre se detiene y vacía su bolso nuevamente.</v>
      </c>
    </row>
    <row r="4075">
      <c r="A4075" s="4" t="s">
        <v>5118</v>
      </c>
      <c r="B4075" s="4" t="s">
        <v>5125</v>
      </c>
      <c r="C4075" s="5" t="str">
        <f>IFERROR(__xludf.DUMMYFUNCTION("GOOGLETRANSLATE(B4075,""en"",""es-ES"")"),"El hombre vacía su bolso y se la pone de vuelta en el cortacésped y se aleja.")</f>
        <v>El hombre vacía su bolso y se la pone de vuelta en el cortacésped y se aleja.</v>
      </c>
    </row>
    <row r="4076">
      <c r="A4076" s="4" t="s">
        <v>5126</v>
      </c>
      <c r="B4076" s="4" t="s">
        <v>5127</v>
      </c>
      <c r="C4076" s="5" t="str">
        <f>IFERROR(__xludf.DUMMYFUNCTION("GOOGLETRANSLATE(B4076,""en"",""es-ES"")"),"Se ve a una mujer realizando una rutina de baile mientras se mueve en la playa cerca del agua.")</f>
        <v>Se ve a una mujer realizando una rutina de baile mientras se mueve en la playa cerca del agua.</v>
      </c>
    </row>
    <row r="4077">
      <c r="A4077" s="4" t="s">
        <v>5126</v>
      </c>
      <c r="B4077" s="4" t="s">
        <v>5128</v>
      </c>
      <c r="C4077" s="5" t="str">
        <f>IFERROR(__xludf.DUMMYFUNCTION("GOOGLETRANSLATE(B4077,""en"",""es-ES"")"),"La mujer continúa moviéndose en la playa sacudiendo los brazos y las piernas y mirando a lo lejos.")</f>
        <v>La mujer continúa moviéndose en la playa sacudiendo los brazos y las piernas y mirando a lo lejos.</v>
      </c>
    </row>
    <row r="4078">
      <c r="A4078" s="4" t="s">
        <v>5129</v>
      </c>
      <c r="B4078" s="4" t="s">
        <v>5130</v>
      </c>
      <c r="C4078" s="5" t="str">
        <f>IFERROR(__xludf.DUMMYFUNCTION("GOOGLETRANSLATE(B4078,""en"",""es-ES"")"),"Un partido de waterpolo está ocurriendo en una piscina cerrada.")</f>
        <v>Un partido de waterpolo está ocurriendo en una piscina cerrada.</v>
      </c>
    </row>
    <row r="4079">
      <c r="A4079" s="4" t="s">
        <v>5129</v>
      </c>
      <c r="B4079" s="4" t="s">
        <v>5131</v>
      </c>
      <c r="C4079" s="5" t="str">
        <f>IFERROR(__xludf.DUMMYFUNCTION("GOOGLETRANSLATE(B4079,""en"",""es-ES"")"),"Hay algunos espectadores que miran desde los lados de la piscina, mientras que un árbitro sigue las acciones para mantener el control del partido.")</f>
        <v>Hay algunos espectadores que miran desde los lados de la piscina, mientras que un árbitro sigue las acciones para mantener el control del partido.</v>
      </c>
    </row>
    <row r="4080">
      <c r="A4080" s="4" t="s">
        <v>5129</v>
      </c>
      <c r="B4080" s="4" t="s">
        <v>5132</v>
      </c>
      <c r="C4080" s="5" t="str">
        <f>IFERROR(__xludf.DUMMYFUNCTION("GOOGLETRANSLATE(B4080,""en"",""es-ES"")"),"Es tranquilo aparte de los niños pequeños involucrados en el juego.")</f>
        <v>Es tranquilo aparte de los niños pequeños involucrados en el juego.</v>
      </c>
    </row>
    <row r="4081">
      <c r="A4081" s="4" t="s">
        <v>5129</v>
      </c>
      <c r="B4081" s="4" t="s">
        <v>5133</v>
      </c>
      <c r="C4081" s="5" t="str">
        <f>IFERROR(__xludf.DUMMYFUNCTION("GOOGLETRANSLATE(B4081,""en"",""es-ES"")"),"Están pasando un buen rato y están muy involucrados en lo que están haciendo.")</f>
        <v>Están pasando un buen rato y están muy involucrados en lo que están haciendo.</v>
      </c>
    </row>
    <row r="4082">
      <c r="A4082" s="4" t="s">
        <v>5134</v>
      </c>
      <c r="B4082" s="4" t="s">
        <v>5135</v>
      </c>
      <c r="C4082" s="5" t="str">
        <f>IFERROR(__xludf.DUMMYFUNCTION("GOOGLETRANSLATE(B4082,""en"",""es-ES"")"),"Vemos a una dama con una camisa rosa hablando con la cámara.")</f>
        <v>Vemos a una dama con una camisa rosa hablando con la cámara.</v>
      </c>
    </row>
    <row r="4083">
      <c r="A4083" s="4" t="s">
        <v>5134</v>
      </c>
      <c r="B4083" s="4" t="s">
        <v>5136</v>
      </c>
      <c r="C4083" s="5" t="str">
        <f>IFERROR(__xludf.DUMMYFUNCTION("GOOGLETRANSLATE(B4083,""en"",""es-ES"")"),"Vemos a la señora recoger una canasta de lavandería y dejarla.")</f>
        <v>Vemos a la señora recoger una canasta de lavandería y dejarla.</v>
      </c>
    </row>
    <row r="4084">
      <c r="A4084" s="4" t="s">
        <v>5134</v>
      </c>
      <c r="B4084" s="4" t="s">
        <v>5137</v>
      </c>
      <c r="C4084" s="5" t="str">
        <f>IFERROR(__xludf.DUMMYFUNCTION("GOOGLETRANSLATE(B4084,""en"",""es-ES"")"),"La señora sacude un vestido y lo pone en una tabla de planchar.")</f>
        <v>La señora sacude un vestido y lo pone en una tabla de planchar.</v>
      </c>
    </row>
    <row r="4085">
      <c r="A4085" s="4" t="s">
        <v>5134</v>
      </c>
      <c r="B4085" s="4" t="s">
        <v>5138</v>
      </c>
      <c r="C4085" s="5" t="str">
        <f>IFERROR(__xludf.DUMMYFUNCTION("GOOGLETRANSLATE(B4085,""en"",""es-ES"")"),"La señora frota el vestido y lo está diciendo.")</f>
        <v>La señora frota el vestido y lo está diciendo.</v>
      </c>
    </row>
    <row r="4086">
      <c r="A4086" s="4" t="s">
        <v>5134</v>
      </c>
      <c r="B4086" s="4" t="s">
        <v>5139</v>
      </c>
      <c r="C4086" s="5" t="str">
        <f>IFERROR(__xludf.DUMMYFUNCTION("GOOGLETRANSLATE(B4086,""en"",""es-ES"")"),"La señora pone una camisa en el tablero y luego la vuelve a colocar en la canasta.")</f>
        <v>La señora pone una camisa en el tablero y luego la vuelve a colocar en la canasta.</v>
      </c>
    </row>
    <row r="4087">
      <c r="A4087" s="4" t="s">
        <v>5134</v>
      </c>
      <c r="B4087" s="4" t="s">
        <v>5140</v>
      </c>
      <c r="C4087" s="5" t="str">
        <f>IFERROR(__xludf.DUMMYFUNCTION("GOOGLETRANSLATE(B4087,""en"",""es-ES"")"),"La señora dobla el vestido, las sonrisas y la escena termina.")</f>
        <v>La señora dobla el vestido, las sonrisas y la escena termina.</v>
      </c>
    </row>
    <row r="4088">
      <c r="A4088" s="4" t="s">
        <v>5141</v>
      </c>
      <c r="B4088" s="4" t="s">
        <v>5142</v>
      </c>
      <c r="C4088" s="5" t="str">
        <f>IFERROR(__xludf.DUMMYFUNCTION("GOOGLETRANSLATE(B4088,""en"",""es-ES"")"),"Un hombre está sentado en un sofá.")</f>
        <v>Un hombre está sentado en un sofá.</v>
      </c>
    </row>
    <row r="4089">
      <c r="A4089" s="4" t="s">
        <v>5141</v>
      </c>
      <c r="B4089" s="4" t="s">
        <v>5143</v>
      </c>
      <c r="C4089" s="5" t="str">
        <f>IFERROR(__xludf.DUMMYFUNCTION("GOOGLETRANSLATE(B4089,""en"",""es-ES"")"),"Levanta un zapato y una botella de detergente.")</f>
        <v>Levanta un zapato y una botella de detergente.</v>
      </c>
    </row>
    <row r="4090">
      <c r="A4090" s="4" t="s">
        <v>5141</v>
      </c>
      <c r="B4090" s="4" t="s">
        <v>5144</v>
      </c>
      <c r="C4090" s="5" t="str">
        <f>IFERROR(__xludf.DUMMYFUNCTION("GOOGLETRANSLATE(B4090,""en"",""es-ES"")"),"Lo lleva a un fregadero, donde lo lava.")</f>
        <v>Lo lleva a un fregadero, donde lo lava.</v>
      </c>
    </row>
    <row r="4091">
      <c r="A4091" s="4" t="s">
        <v>5141</v>
      </c>
      <c r="B4091" s="4" t="s">
        <v>5145</v>
      </c>
      <c r="C4091" s="5" t="str">
        <f>IFERROR(__xludf.DUMMYFUNCTION("GOOGLETRANSLATE(B4091,""en"",""es-ES"")"),"Luego coloca dos trozos de fruta encima y se los come con la boca.")</f>
        <v>Luego coloca dos trozos de fruta encima y se los come con la boca.</v>
      </c>
    </row>
    <row r="4092">
      <c r="A4092" s="4" t="s">
        <v>5146</v>
      </c>
      <c r="B4092" s="4" t="s">
        <v>5147</v>
      </c>
      <c r="C4092" s="5" t="str">
        <f>IFERROR(__xludf.DUMMYFUNCTION("GOOGLETRANSLATE(B4092,""en"",""es-ES"")"),"El texto descriptivo se muestra contra un telón de fondo de la cortina de película roja.")</f>
        <v>El texto descriptivo se muestra contra un telón de fondo de la cortina de película roja.</v>
      </c>
    </row>
    <row r="4093">
      <c r="A4093" s="4" t="s">
        <v>5146</v>
      </c>
      <c r="B4093" s="4" t="s">
        <v>5148</v>
      </c>
      <c r="C4093" s="5" t="str">
        <f>IFERROR(__xludf.DUMMYFUNCTION("GOOGLETRANSLATE(B4093,""en"",""es-ES"")"),"Un entrenador muestra diferentes posturas en las piernas a un estudiante por jugar al bádminton.")</f>
        <v>Un entrenador muestra diferentes posturas en las piernas a un estudiante por jugar al bádminton.</v>
      </c>
    </row>
    <row r="4094">
      <c r="A4094" s="4" t="s">
        <v>5146</v>
      </c>
      <c r="B4094" s="4" t="s">
        <v>5149</v>
      </c>
      <c r="C4094" s="5" t="str">
        <f>IFERROR(__xludf.DUMMYFUNCTION("GOOGLETRANSLATE(B4094,""en"",""es-ES"")"),"El entrenador regresa del estudiante que usa la raqueta durante un ejercicio de práctica.")</f>
        <v>El entrenador regresa del estudiante que usa la raqueta durante un ejercicio de práctica.</v>
      </c>
    </row>
    <row r="4095">
      <c r="A4095" s="4" t="s">
        <v>5146</v>
      </c>
      <c r="B4095" s="4" t="s">
        <v>5150</v>
      </c>
      <c r="C4095" s="5" t="str">
        <f>IFERROR(__xludf.DUMMYFUNCTION("GOOGLETRANSLATE(B4095,""en"",""es-ES"")"),"Los estudiantes regresan del instructor para un ejercicio de práctica.")</f>
        <v>Los estudiantes regresan del instructor para un ejercicio de práctica.</v>
      </c>
    </row>
    <row r="4096">
      <c r="A4096" s="4" t="s">
        <v>5151</v>
      </c>
      <c r="B4096" s="4" t="s">
        <v>5152</v>
      </c>
      <c r="C4096" s="5" t="str">
        <f>IFERROR(__xludf.DUMMYFUNCTION("GOOGLETRANSLATE(B4096,""en"",""es-ES"")"),"Un hombre se arrodilla en una colchoneta y le muestra a su parte trasera con la mano izquierda mientras habla.")</f>
        <v>Un hombre se arrodilla en una colchoneta y le muestra a su parte trasera con la mano izquierda mientras habla.</v>
      </c>
    </row>
    <row r="4097">
      <c r="A4097" s="4" t="s">
        <v>5151</v>
      </c>
      <c r="B4097" s="4" t="s">
        <v>5153</v>
      </c>
      <c r="C4097" s="5" t="str">
        <f>IFERROR(__xludf.DUMMYFUNCTION("GOOGLETRANSLATE(B4097,""en"",""es-ES"")"),"Luego, el hombre levanta una pesa reta y se puso en el frente el pecho mientras habla.")</f>
        <v>Luego, el hombre levanta una pesa reta y se puso en el frente el pecho mientras habla.</v>
      </c>
    </row>
    <row r="4098">
      <c r="A4098" s="4" t="s">
        <v>5151</v>
      </c>
      <c r="B4098" s="4" t="s">
        <v>5154</v>
      </c>
      <c r="C4098" s="5" t="str">
        <f>IFERROR(__xludf.DUMMYFUNCTION("GOOGLETRANSLATE(B4098,""en"",""es-ES"")"),"Luego, el hombre puso el Kettlebell en el piso y continúa hablando.")</f>
        <v>Luego, el hombre puso el Kettlebell en el piso y continúa hablando.</v>
      </c>
    </row>
    <row r="4099">
      <c r="A4099" s="4" t="s">
        <v>5155</v>
      </c>
      <c r="B4099" s="4" t="s">
        <v>5156</v>
      </c>
      <c r="C4099" s="5" t="str">
        <f>IFERROR(__xludf.DUMMYFUNCTION("GOOGLETRANSLATE(B4099,""en"",""es-ES"")"),"Se ve a una mujer parada frente al espejo con un hombre a su lado, seguido de ella acostada sobre una mesa.")</f>
        <v>Se ve a una mujer parada frente al espejo con un hombre a su lado, seguido de ella acostada sobre una mesa.</v>
      </c>
    </row>
    <row r="4100">
      <c r="A4100" s="4" t="s">
        <v>5155</v>
      </c>
      <c r="B4100" s="4" t="s">
        <v>5157</v>
      </c>
      <c r="C4100" s="5" t="str">
        <f>IFERROR(__xludf.DUMMYFUNCTION("GOOGLETRANSLATE(B4100,""en"",""es-ES"")"),"El hombre luego rápidamente tatua su rostro y hace la transición a ella sentada y luego de nuevo para mostrar su tatuaje.")</f>
        <v>El hombre luego rápidamente tatua su rostro y hace la transición a ella sentada y luego de nuevo para mostrar su tatuaje.</v>
      </c>
    </row>
    <row r="4101">
      <c r="A4101" s="4" t="s">
        <v>5158</v>
      </c>
      <c r="B4101" s="4" t="s">
        <v>5159</v>
      </c>
      <c r="C4101" s="5" t="str">
        <f>IFERROR(__xludf.DUMMYFUNCTION("GOOGLETRANSLATE(B4101,""en"",""es-ES"")"),"La mujer está en una ducha extendiendo jabón y jabón en sus brazos.")</f>
        <v>La mujer está en una ducha extendiendo jabón y jabón en sus brazos.</v>
      </c>
    </row>
    <row r="4102">
      <c r="A4102" s="4" t="s">
        <v>5158</v>
      </c>
      <c r="B4102" s="4" t="s">
        <v>5160</v>
      </c>
      <c r="C4102" s="5" t="str">
        <f>IFERROR(__xludf.DUMMYFUNCTION("GOOGLETRANSLATE(B4102,""en"",""es-ES"")"),"La mujer se afeita las piernas en la bañera.")</f>
        <v>La mujer se afeita las piernas en la bañera.</v>
      </c>
    </row>
    <row r="4103">
      <c r="A4103" s="4" t="s">
        <v>5158</v>
      </c>
      <c r="B4103" s="4" t="s">
        <v>5161</v>
      </c>
      <c r="C4103" s="5" t="str">
        <f>IFERROR(__xludf.DUMMYFUNCTION("GOOGLETRANSLATE(B4103,""en"",""es-ES"")"),"Alguien abra las cortinas y es un hombre que está adentro y corre desde el baño con una máscara en la cara.")</f>
        <v>Alguien abra las cortinas y es un hombre que está adentro y corre desde el baño con una máscara en la cara.</v>
      </c>
    </row>
    <row r="4104">
      <c r="A4104" s="4" t="s">
        <v>5162</v>
      </c>
      <c r="B4104" s="4" t="s">
        <v>5163</v>
      </c>
      <c r="C4104" s="5" t="str">
        <f>IFERROR(__xludf.DUMMYFUNCTION("GOOGLETRANSLATE(B4104,""en"",""es-ES"")"),"La lluvia se está derramando y una persona camina por el campo apuntando con su dedo a través del campo.")</f>
        <v>La lluvia se está derramando y una persona camina por el campo apuntando con su dedo a través del campo.</v>
      </c>
    </row>
    <row r="4105">
      <c r="A4105" s="4" t="s">
        <v>5162</v>
      </c>
      <c r="B4105" s="4" t="s">
        <v>5164</v>
      </c>
      <c r="C4105" s="5" t="str">
        <f>IFERROR(__xludf.DUMMYFUNCTION("GOOGLETRANSLATE(B4105,""en"",""es-ES"")"),"Después, se le muestra en un campo sosteniendo su mano comienza a jugar lacrosse.")</f>
        <v>Después, se le muestra en un campo sosteniendo su mano comienza a jugar lacrosse.</v>
      </c>
    </row>
    <row r="4106">
      <c r="A4106" s="4" t="s">
        <v>5162</v>
      </c>
      <c r="B4106" s="4" t="s">
        <v>5165</v>
      </c>
      <c r="C4106" s="5" t="str">
        <f>IFERROR(__xludf.DUMMYFUNCTION("GOOGLETRANSLATE(B4106,""en"",""es-ES"")"),"Continúan más juegos y el tipo que estaba señalando comienza a hacer goles y liderar a su equipo.")</f>
        <v>Continúan más juegos y el tipo que estaba señalando comienza a hacer goles y liderar a su equipo.</v>
      </c>
    </row>
    <row r="4107">
      <c r="A4107" s="4" t="s">
        <v>5166</v>
      </c>
      <c r="B4107" s="4" t="s">
        <v>5167</v>
      </c>
      <c r="C4107" s="5" t="str">
        <f>IFERROR(__xludf.DUMMYFUNCTION("GOOGLETRANSLATE(B4107,""en"",""es-ES"")"),"Una mujer habla frente a una cámara, frente a un letrero de anuncio de estudio de baile, ya que cuatro chicas demuestran técnicas de ballet frente a un bar de ballet en un estudio de baile.")</f>
        <v>Una mujer habla frente a una cámara, frente a un letrero de anuncio de estudio de baile, ya que cuatro chicas demuestran técnicas de ballet frente a un bar de ballet en un estudio de baile.</v>
      </c>
    </row>
    <row r="4108">
      <c r="A4108" s="4" t="s">
        <v>5166</v>
      </c>
      <c r="B4108" s="4" t="s">
        <v>5168</v>
      </c>
      <c r="C4108" s="5" t="str">
        <f>IFERROR(__xludf.DUMMYFUNCTION("GOOGLETRANSLATE(B4108,""en"",""es-ES"")"),"Una mujer con cabello rubio, y vestido de negro, se encuentra frente a un anuncio de estudio de baile y habla mientras enfrenta la cámara.")</f>
        <v>Una mujer con cabello rubio, y vestido de negro, se encuentra frente a un anuncio de estudio de baile y habla mientras enfrenta la cámara.</v>
      </c>
    </row>
    <row r="4109">
      <c r="A4109" s="4" t="s">
        <v>5166</v>
      </c>
      <c r="B4109" s="4" t="s">
        <v>5169</v>
      </c>
      <c r="C4109" s="5" t="str">
        <f>IFERROR(__xludf.DUMMYFUNCTION("GOOGLETRANSLATE(B4109,""en"",""es-ES"")"),"La cámara corta a cuatro chicas con trajes de ballet y zapatos de ballet que mira una barra de ballet con la espalda a la cámara y demostrando curvas de rodillas de ballet.")</f>
        <v>La cámara corta a cuatro chicas con trajes de ballet y zapatos de ballet que mira una barra de ballet con la espalda a la cámara y demostrando curvas de rodillas de ballet.</v>
      </c>
    </row>
    <row r="4110">
      <c r="A4110" s="4" t="s">
        <v>5166</v>
      </c>
      <c r="B4110" s="4" t="s">
        <v>5170</v>
      </c>
      <c r="C4110" s="5" t="str">
        <f>IFERROR(__xludf.DUMMYFUNCTION("GOOGLETRANSLATE(B4110,""en"",""es-ES"")"),"Luego, las chicas demuestran los puntos de los pies de ballet mientras la cámara le devuelve a la mujer solitaria que continúa hablando frente a la cámara, hasta que la escena se desvanece en un gráfico de marketing.")</f>
        <v>Luego, las chicas demuestran los puntos de los pies de ballet mientras la cámara le devuelve a la mujer solitaria que continúa hablando frente a la cámara, hasta que la escena se desvanece en un gráfico de marketing.</v>
      </c>
    </row>
    <row r="4111">
      <c r="A4111" s="4" t="s">
        <v>5171</v>
      </c>
      <c r="B4111" s="4" t="s">
        <v>5172</v>
      </c>
      <c r="C4111" s="5" t="str">
        <f>IFERROR(__xludf.DUMMYFUNCTION("GOOGLETRANSLATE(B4111,""en"",""es-ES"")"),"Un hombre que lleva una camisa blanca y un sombrero de estampado de camuflaje y piercings de oreja y labios está demostrando cómo hacer tatuajes permanentes.")</f>
        <v>Un hombre que lleva una camisa blanca y un sombrero de estampado de camuflaje y piercings de oreja y labios está demostrando cómo hacer tatuajes permanentes.</v>
      </c>
    </row>
    <row r="4112">
      <c r="A4112" s="4" t="s">
        <v>5171</v>
      </c>
      <c r="B4112" s="4" t="s">
        <v>5173</v>
      </c>
      <c r="C4112" s="5" t="str">
        <f>IFERROR(__xludf.DUMMYFUNCTION("GOOGLETRANSLATE(B4112,""en"",""es-ES"")"),"Él muestra cómo afeita el brazo del cliente con una navaja de afeitar y frota algo de alcohol para preparar la piel.")</f>
        <v>Él muestra cómo afeita el brazo del cliente con una navaja de afeitar y frota algo de alcohol para preparar la piel.</v>
      </c>
    </row>
    <row r="4113">
      <c r="A4113" s="4" t="s">
        <v>5171</v>
      </c>
      <c r="B4113" s="4" t="s">
        <v>5174</v>
      </c>
      <c r="C4113" s="5" t="str">
        <f>IFERROR(__xludf.DUMMYFUNCTION("GOOGLETRANSLATE(B4113,""en"",""es-ES"")"),"Luego coloca una plantilla en el brazo del cliente para colocar el contorno del tatuaje.")</f>
        <v>Luego coloca una plantilla en el brazo del cliente para colocar el contorno del tatuaje.</v>
      </c>
    </row>
    <row r="4114">
      <c r="A4114" s="4" t="s">
        <v>5171</v>
      </c>
      <c r="B4114" s="4" t="s">
        <v>5175</v>
      </c>
      <c r="C4114" s="5" t="str">
        <f>IFERROR(__xludf.DUMMYFUNCTION("GOOGLETRANSLATE(B4114,""en"",""es-ES"")"),"Luego aplica un poco de crema sobre la piel para minimizar el sangrado.")</f>
        <v>Luego aplica un poco de crema sobre la piel para minimizar el sangrado.</v>
      </c>
    </row>
    <row r="4115">
      <c r="A4115" s="4" t="s">
        <v>5171</v>
      </c>
      <c r="B4115" s="4" t="s">
        <v>5176</v>
      </c>
      <c r="C4115" s="5" t="str">
        <f>IFERROR(__xludf.DUMMYFUNCTION("GOOGLETRANSLATE(B4115,""en"",""es-ES"")"),"Comienza a usar la máquina del tatuaje para dibujar el tatuaje sobre el contorno.")</f>
        <v>Comienza a usar la máquina del tatuaje para dibujar el tatuaje sobre el contorno.</v>
      </c>
    </row>
    <row r="4116">
      <c r="A4116" s="4" t="s">
        <v>5171</v>
      </c>
      <c r="B4116" s="4" t="s">
        <v>5177</v>
      </c>
      <c r="C4116" s="5" t="str">
        <f>IFERROR(__xludf.DUMMYFUNCTION("GOOGLETRANSLATE(B4116,""en"",""es-ES"")"),"También muestra cómo usa diferentes colores para completar el esquema del diseño.")</f>
        <v>También muestra cómo usa diferentes colores para completar el esquema del diseño.</v>
      </c>
    </row>
    <row r="4117">
      <c r="A4117" s="4" t="s">
        <v>5171</v>
      </c>
      <c r="B4117" s="4" t="s">
        <v>5178</v>
      </c>
      <c r="C4117" s="5" t="str">
        <f>IFERROR(__xludf.DUMMYFUNCTION("GOOGLETRANSLATE(B4117,""en"",""es-ES"")"),"Luego completa el tatuaje según las especificaciones del cliente.")</f>
        <v>Luego completa el tatuaje según las especificaciones del cliente.</v>
      </c>
    </row>
    <row r="4118">
      <c r="A4118" s="4" t="s">
        <v>5179</v>
      </c>
      <c r="B4118" s="4" t="s">
        <v>5180</v>
      </c>
      <c r="C4118" s="5" t="str">
        <f>IFERROR(__xludf.DUMMYFUNCTION("GOOGLETRANSLATE(B4118,""en"",""es-ES"")"),"Un bebé está afuera sosteniendo un palo que intenta golpear la piñata con él.")</f>
        <v>Un bebé está afuera sosteniendo un palo que intenta golpear la piñata con él.</v>
      </c>
    </row>
    <row r="4119">
      <c r="A4119" s="4" t="s">
        <v>5179</v>
      </c>
      <c r="B4119" s="4" t="s">
        <v>5181</v>
      </c>
      <c r="C4119" s="5" t="str">
        <f>IFERROR(__xludf.DUMMYFUNCTION("GOOGLETRANSLATE(B4119,""en"",""es-ES"")"),"Detrás de ella, una señora está sosteniendo al bebé y la ayuda mientras golpea la piñata.")</f>
        <v>Detrás de ella, una señora está sosteniendo al bebé y la ayuda mientras golpea la piñata.</v>
      </c>
    </row>
    <row r="4120">
      <c r="A4120" s="4" t="s">
        <v>5179</v>
      </c>
      <c r="B4120" s="4" t="s">
        <v>5182</v>
      </c>
      <c r="C4120" s="5" t="str">
        <f>IFERROR(__xludf.DUMMYFUNCTION("GOOGLETRANSLATE(B4120,""en"",""es-ES"")"),"A medida que la piñata rebota hacia arriba y hacia abajo, el bebé joven apenas lo golpea y luego termina girando hacia la cámara.")</f>
        <v>A medida que la piñata rebota hacia arriba y hacia abajo, el bebé joven apenas lo golpea y luego termina girando hacia la cámara.</v>
      </c>
    </row>
    <row r="4121">
      <c r="A4121" s="4" t="s">
        <v>5183</v>
      </c>
      <c r="B4121" s="4" t="s">
        <v>5184</v>
      </c>
      <c r="C4121" s="5" t="str">
        <f>IFERROR(__xludf.DUMMYFUNCTION("GOOGLETRANSLATE(B4121,""en"",""es-ES"")"),"Una niña está sentada en una mesa frente a dos vasos, una botella de 7Up y un plato de rodajas de lima.")</f>
        <v>Una niña está sentada en una mesa frente a dos vasos, una botella de 7Up y un plato de rodajas de lima.</v>
      </c>
    </row>
    <row r="4122">
      <c r="A4122" s="4" t="s">
        <v>5183</v>
      </c>
      <c r="B4122" s="4" t="s">
        <v>5185</v>
      </c>
      <c r="C4122" s="5" t="str">
        <f>IFERROR(__xludf.DUMMYFUNCTION("GOOGLETRANSLATE(B4122,""en"",""es-ES"")"),"Agrega las rodajas de refrescos y lima a los vasos, apretando el jugo en el líquido antes de tomar una copa.")</f>
        <v>Agrega las rodajas de refrescos y lima a los vasos, apretando el jugo en el líquido antes de tomar una copa.</v>
      </c>
    </row>
    <row r="4123">
      <c r="A4123" s="4" t="s">
        <v>5186</v>
      </c>
      <c r="B4123" s="4" t="s">
        <v>5187</v>
      </c>
      <c r="C4123" s="5" t="str">
        <f>IFERROR(__xludf.DUMMYFUNCTION("GOOGLETRANSLATE(B4123,""en"",""es-ES"")"),"Se muestra un antiguo programa de televisión de estilo donde un hombre se corta el cabello de una mujer.")</f>
        <v>Se muestra un antiguo programa de televisión de estilo donde un hombre se corta el cabello de una mujer.</v>
      </c>
    </row>
    <row r="4124">
      <c r="A4124" s="4" t="s">
        <v>5186</v>
      </c>
      <c r="B4124" s="4" t="s">
        <v>5188</v>
      </c>
      <c r="C4124" s="5" t="str">
        <f>IFERROR(__xludf.DUMMYFUNCTION("GOOGLETRANSLATE(B4124,""en"",""es-ES"")"),"Un hombre se corta el cabello muy corto mientras otro hombre mira desde afuera.")</f>
        <v>Un hombre se corta el cabello muy corto mientras otro hombre mira desde afuera.</v>
      </c>
    </row>
    <row r="4125">
      <c r="A4125" s="4" t="s">
        <v>5189</v>
      </c>
      <c r="B4125" s="4" t="s">
        <v>5190</v>
      </c>
      <c r="C4125" s="5" t="str">
        <f>IFERROR(__xludf.DUMMYFUNCTION("GOOGLETRANSLATE(B4125,""en"",""es-ES"")"),"Un hombre está afuera en un campo de fútbol colocando su equipo en una bolsa de libro.")</f>
        <v>Un hombre está afuera en un campo de fútbol colocando su equipo en una bolsa de libro.</v>
      </c>
    </row>
    <row r="4126">
      <c r="A4126" s="4" t="s">
        <v>5189</v>
      </c>
      <c r="B4126" s="4" t="s">
        <v>5191</v>
      </c>
      <c r="C4126" s="5" t="str">
        <f>IFERROR(__xludf.DUMMYFUNCTION("GOOGLETRANSLATE(B4126,""en"",""es-ES"")"),"Una vez que las cosas están en sus bolsas, lo asegura con sus correas y comienza a saltar arriba y abajo.")</f>
        <v>Una vez que las cosas están en sus bolsas, lo asegura con sus correas y comienza a saltar arriba y abajo.</v>
      </c>
    </row>
    <row r="4127">
      <c r="A4127" s="4" t="s">
        <v>5189</v>
      </c>
      <c r="B4127" s="4" t="s">
        <v>5192</v>
      </c>
      <c r="C4127" s="5" t="str">
        <f>IFERROR(__xludf.DUMMYFUNCTION("GOOGLETRANSLATE(B4127,""en"",""es-ES"")"),"Las principales tareas comienzan y el hombre comienza a correr por el bosque.")</f>
        <v>Las principales tareas comienzan y el hombre comienza a correr por el bosque.</v>
      </c>
    </row>
    <row r="4128">
      <c r="A4128" s="4" t="s">
        <v>5189</v>
      </c>
      <c r="B4128" s="4" t="s">
        <v>5193</v>
      </c>
      <c r="C4128" s="5" t="str">
        <f>IFERROR(__xludf.DUMMYFUNCTION("GOOGLETRANSLATE(B4128,""en"",""es-ES"")"),"De repente, se muestra un pequeño cuerpo de agua y las personas están tubing y se sientan disfrutando.")</f>
        <v>De repente, se muestra un pequeño cuerpo de agua y las personas están tubing y se sientan disfrutando.</v>
      </c>
    </row>
    <row r="4129">
      <c r="A4129" s="4" t="s">
        <v>5194</v>
      </c>
      <c r="B4129" s="4" t="s">
        <v>5195</v>
      </c>
      <c r="C4129" s="5" t="str">
        <f>IFERROR(__xludf.DUMMYFUNCTION("GOOGLETRANSLATE(B4129,""en"",""es-ES"")"),"Se ve a un niño con un sombrero caminando y hablando detrás de algunos árboles.")</f>
        <v>Se ve a un niño con un sombrero caminando y hablando detrás de algunos árboles.</v>
      </c>
    </row>
    <row r="4130">
      <c r="A4130" s="4" t="s">
        <v>5194</v>
      </c>
      <c r="B4130" s="4" t="s">
        <v>5196</v>
      </c>
      <c r="C4130" s="5" t="str">
        <f>IFERROR(__xludf.DUMMYFUNCTION("GOOGLETRANSLATE(B4130,""en"",""es-ES"")"),"El niño se escabulle en un campo donde otro niño está jugando hockey sobre campo.")</f>
        <v>El niño se escabulle en un campo donde otro niño está jugando hockey sobre campo.</v>
      </c>
    </row>
    <row r="4131">
      <c r="A4131" s="4" t="s">
        <v>5194</v>
      </c>
      <c r="B4131" s="4" t="s">
        <v>5197</v>
      </c>
      <c r="C4131" s="5" t="str">
        <f>IFERROR(__xludf.DUMMYFUNCTION("GOOGLETRANSLATE(B4131,""en"",""es-ES"")"),"El niño en el sombrero toma la pelota.")</f>
        <v>El niño en el sombrero toma la pelota.</v>
      </c>
    </row>
    <row r="4132">
      <c r="A4132" s="4" t="s">
        <v>5194</v>
      </c>
      <c r="B4132" s="4" t="s">
        <v>5198</v>
      </c>
      <c r="C4132" s="5" t="str">
        <f>IFERROR(__xludf.DUMMYFUNCTION("GOOGLETRANSLATE(B4132,""en"",""es-ES"")"),"El niño que juega al hockey de campo se ve saltando en el fondo.")</f>
        <v>El niño que juega al hockey de campo se ve saltando en el fondo.</v>
      </c>
    </row>
    <row r="4133">
      <c r="A4133" s="4" t="s">
        <v>5194</v>
      </c>
      <c r="B4133" s="4" t="s">
        <v>5199</v>
      </c>
      <c r="C4133" s="5" t="str">
        <f>IFERROR(__xludf.DUMMYFUNCTION("GOOGLETRANSLATE(B4133,""en"",""es-ES"")"),"El niño en el sombrero patea la pelota de regreso al jugador de hockey de campo y se ve a otro jugador.")</f>
        <v>El niño en el sombrero patea la pelota de regreso al jugador de hockey de campo y se ve a otro jugador.</v>
      </c>
    </row>
    <row r="4134">
      <c r="A4134" s="4" t="s">
        <v>5194</v>
      </c>
      <c r="B4134" s="4" t="s">
        <v>5200</v>
      </c>
      <c r="C4134" s="5" t="str">
        <f>IFERROR(__xludf.DUMMYFUNCTION("GOOGLETRANSLATE(B4134,""en"",""es-ES"")"),"Los dos jugadores de hockey de campo son vistos corriendo y golpeando la pelota de hockey de campo con sus palos.")</f>
        <v>Los dos jugadores de hockey de campo son vistos corriendo y golpeando la pelota de hockey de campo con sus palos.</v>
      </c>
    </row>
    <row r="4135">
      <c r="A4135" s="4" t="s">
        <v>5194</v>
      </c>
      <c r="B4135" s="4" t="s">
        <v>5201</v>
      </c>
      <c r="C4135" s="5" t="str">
        <f>IFERROR(__xludf.DUMMYFUNCTION("GOOGLETRANSLATE(B4135,""en"",""es-ES"")"),"Uno de los jugadores de hockey de campo se ve con los brazos y las piernas envueltas alrededor de la pierna del niño con el sombrero.")</f>
        <v>Uno de los jugadores de hockey de campo se ve con los brazos y las piernas envueltas alrededor de la pierna del niño con el sombrero.</v>
      </c>
    </row>
    <row r="4136">
      <c r="A4136" s="4" t="s">
        <v>5202</v>
      </c>
      <c r="B4136" s="4" t="s">
        <v>5203</v>
      </c>
      <c r="C4136" s="5" t="str">
        <f>IFERROR(__xludf.DUMMYFUNCTION("GOOGLETRANSLATE(B4136,""en"",""es-ES"")"),"Una niña usa un barrendero para golpear un disco.")</f>
        <v>Una niña usa un barrendero para golpear un disco.</v>
      </c>
    </row>
    <row r="4137">
      <c r="A4137" s="4" t="s">
        <v>5202</v>
      </c>
      <c r="B4137" s="4" t="s">
        <v>5204</v>
      </c>
      <c r="C4137" s="5" t="str">
        <f>IFERROR(__xludf.DUMMYFUNCTION("GOOGLETRANSLATE(B4137,""en"",""es-ES"")"),"El disco viaja por la cancha antes de detenerse, al igual que más discos.")</f>
        <v>El disco viaja por la cancha antes de detenerse, al igual que más discos.</v>
      </c>
    </row>
    <row r="4138">
      <c r="A4138" s="4" t="s">
        <v>5202</v>
      </c>
      <c r="B4138" s="4" t="s">
        <v>5205</v>
      </c>
      <c r="C4138" s="5" t="str">
        <f>IFERROR(__xludf.DUMMYFUNCTION("GOOGLETRANSLATE(B4138,""en"",""es-ES"")"),"Ella continúa jugando el juego, insegura de cómo ganar.")</f>
        <v>Ella continúa jugando el juego, insegura de cómo ganar.</v>
      </c>
    </row>
    <row r="4139">
      <c r="A4139" s="4" t="s">
        <v>5206</v>
      </c>
      <c r="B4139" s="4" t="s">
        <v>5207</v>
      </c>
      <c r="C4139" s="5" t="str">
        <f>IFERROR(__xludf.DUMMYFUNCTION("GOOGLETRANSLATE(B4139,""en"",""es-ES"")"),"Un hombre está parado detrás de un bar hablando.")</f>
        <v>Un hombre está parado detrás de un bar hablando.</v>
      </c>
    </row>
    <row r="4140">
      <c r="A4140" s="4" t="s">
        <v>5206</v>
      </c>
      <c r="B4140" s="4" t="s">
        <v>5208</v>
      </c>
      <c r="C4140" s="5" t="str">
        <f>IFERROR(__xludf.DUMMYFUNCTION("GOOGLETRANSLATE(B4140,""en"",""es-ES"")"),"Él pone hielo en un vaso.")</f>
        <v>Él pone hielo en un vaso.</v>
      </c>
    </row>
    <row r="4141">
      <c r="A4141" s="4" t="s">
        <v>5206</v>
      </c>
      <c r="B4141" s="4" t="s">
        <v>5209</v>
      </c>
      <c r="C4141" s="5" t="str">
        <f>IFERROR(__xludf.DUMMYFUNCTION("GOOGLETRANSLATE(B4141,""en"",""es-ES"")"),"Él vierte disparos en el vaso.")</f>
        <v>Él vierte disparos en el vaso.</v>
      </c>
    </row>
    <row r="4142">
      <c r="A4142" s="4" t="s">
        <v>5206</v>
      </c>
      <c r="B4142" s="4" t="s">
        <v>5210</v>
      </c>
      <c r="C4142" s="5" t="str">
        <f>IFERROR(__xludf.DUMMYFUNCTION("GOOGLETRANSLATE(B4142,""en"",""es-ES"")"),"Él agita la bebida con una pajita.")</f>
        <v>Él agita la bebida con una pajita.</v>
      </c>
    </row>
    <row r="4143">
      <c r="A4143" s="4" t="s">
        <v>5211</v>
      </c>
      <c r="B4143" s="4" t="s">
        <v>5212</v>
      </c>
      <c r="C4143" s="5" t="str">
        <f>IFERROR(__xludf.DUMMYFUNCTION("GOOGLETRANSLATE(B4143,""en"",""es-ES"")"),"Se muestra a varias personas jugando voleibol en un gimnasio desde el lado derecho de la red, mientras que otras personas participan en otras actividades en el fondo.")</f>
        <v>Se muestra a varias personas jugando voleibol en un gimnasio desde el lado derecho de la red, mientras que otras personas participan en otras actividades en el fondo.</v>
      </c>
    </row>
    <row r="4144">
      <c r="A4144" s="4" t="s">
        <v>5211</v>
      </c>
      <c r="B4144" s="4" t="s">
        <v>5213</v>
      </c>
      <c r="C4144" s="5" t="str">
        <f>IFERROR(__xludf.DUMMYFUNCTION("GOOGLETRANSLATE(B4144,""en"",""es-ES"")"),"La cámara se fue para mostrar al equipo en el lado izquierdo de la red.")</f>
        <v>La cámara se fue para mostrar al equipo en el lado izquierdo de la red.</v>
      </c>
    </row>
    <row r="4145">
      <c r="A4145" s="4" t="s">
        <v>5211</v>
      </c>
      <c r="B4145" s="4" t="s">
        <v>5214</v>
      </c>
      <c r="C4145" s="5" t="str">
        <f>IFERROR(__xludf.DUMMYFUNCTION("GOOGLETRANSLATE(B4145,""en"",""es-ES"")"),"La cámara regresa al equipo en el lado derecho.")</f>
        <v>La cámara regresa al equipo en el lado derecho.</v>
      </c>
    </row>
    <row r="4146">
      <c r="A4146" s="4" t="s">
        <v>5215</v>
      </c>
      <c r="B4146" s="4" t="s">
        <v>5216</v>
      </c>
      <c r="C4146" s="5" t="str">
        <f>IFERROR(__xludf.DUMMYFUNCTION("GOOGLETRANSLATE(B4146,""en"",""es-ES"")"),"Tres hombres exhiben un martillo en un evento olímpico al aire libre rodeado de espectadores en el campo y en las gradas.")</f>
        <v>Tres hombres exhiben un martillo en un evento olímpico al aire libre rodeado de espectadores en el campo y en las gradas.</v>
      </c>
    </row>
    <row r="4147">
      <c r="A4147" s="4" t="s">
        <v>5215</v>
      </c>
      <c r="B4147" s="4" t="s">
        <v>5217</v>
      </c>
      <c r="C4147" s="5" t="str">
        <f>IFERROR(__xludf.DUMMYFUNCTION("GOOGLETRANSLATE(B4147,""en"",""es-ES"")"),"Un hombre se encuentra en un juego olímpico al aire libre y realiza un lanzamiento de martillo rodeado de personas y una audiencia en gradas antes de dejar que el martillo vuele al aire.")</f>
        <v>Un hombre se encuentra en un juego olímpico al aire libre y realiza un lanzamiento de martillo rodeado de personas y una audiencia en gradas antes de dejar que el martillo vuele al aire.</v>
      </c>
    </row>
    <row r="4148">
      <c r="A4148" s="4" t="s">
        <v>5215</v>
      </c>
      <c r="B4148" s="4" t="s">
        <v>5218</v>
      </c>
      <c r="C4148" s="5" t="str">
        <f>IFERROR(__xludf.DUMMYFUNCTION("GOOGLETRANSLATE(B4148,""en"",""es-ES"")"),"Dos hombres más realizan un lanzamiento de martillo de la misma manera que libera el martillo en el aire para volar en un campo.")</f>
        <v>Dos hombres más realizan un lanzamiento de martillo de la misma manera que libera el martillo en el aire para volar en un campo.</v>
      </c>
    </row>
    <row r="4149">
      <c r="A4149" s="4" t="s">
        <v>5215</v>
      </c>
      <c r="B4149" s="4" t="s">
        <v>5219</v>
      </c>
      <c r="C4149" s="5" t="str">
        <f>IFERROR(__xludf.DUMMYFUNCTION("GOOGLETRANSLATE(B4149,""en"",""es-ES"")"),"Tres hombres se paran en medio de un campo y sostienen medallas que colgan alrededor de sus cuellos.")</f>
        <v>Tres hombres se paran en medio de un campo y sostienen medallas que colgan alrededor de sus cuellos.</v>
      </c>
    </row>
    <row r="4150">
      <c r="A4150" s="4" t="s">
        <v>5220</v>
      </c>
      <c r="B4150" s="4" t="s">
        <v>5221</v>
      </c>
      <c r="C4150" s="5" t="str">
        <f>IFERROR(__xludf.DUMMYFUNCTION("GOOGLETRANSLATE(B4150,""en"",""es-ES"")"),"Una cortadora de césped está afuera junto a una línea de rocas redondas.")</f>
        <v>Una cortadora de césped está afuera junto a una línea de rocas redondas.</v>
      </c>
    </row>
    <row r="4151">
      <c r="A4151" s="4" t="s">
        <v>5220</v>
      </c>
      <c r="B4151" s="4" t="s">
        <v>5222</v>
      </c>
      <c r="C4151" s="5" t="str">
        <f>IFERROR(__xludf.DUMMYFUNCTION("GOOGLETRANSLATE(B4151,""en"",""es-ES"")"),"Una persona comienza el cortacésped y comienza a empujarlo junto al borde de la roca.")</f>
        <v>Una persona comienza el cortacésped y comienza a empujarlo junto al borde de la roca.</v>
      </c>
    </row>
    <row r="4152">
      <c r="A4152" s="4" t="s">
        <v>5220</v>
      </c>
      <c r="B4152" s="4" t="s">
        <v>5223</v>
      </c>
      <c r="C4152" s="5" t="str">
        <f>IFERROR(__xludf.DUMMYFUNCTION("GOOGLETRANSLATE(B4152,""en"",""es-ES"")"),"Tenemos una vista de primera mano del césped de la persona que se corta mientras giran y empujan al cortacésped por todas partes.")</f>
        <v>Tenemos una vista de primera mano del césped de la persona que se corta mientras giran y empujan al cortacésped por todas partes.</v>
      </c>
    </row>
    <row r="4153">
      <c r="A4153" s="4" t="s">
        <v>5220</v>
      </c>
      <c r="B4153" s="4" t="s">
        <v>5224</v>
      </c>
      <c r="C4153" s="5" t="str">
        <f>IFERROR(__xludf.DUMMYFUNCTION("GOOGLETRANSLATE(B4153,""en"",""es-ES"")"),"La cara del hombre se muestra justo antes de apagar la cámara.")</f>
        <v>La cara del hombre se muestra justo antes de apagar la cámara.</v>
      </c>
    </row>
    <row r="4154">
      <c r="A4154" s="4" t="s">
        <v>5225</v>
      </c>
      <c r="B4154" s="4" t="s">
        <v>5226</v>
      </c>
      <c r="C4154" s="5" t="str">
        <f>IFERROR(__xludf.DUMMYFUNCTION("GOOGLETRANSLATE(B4154,""en"",""es-ES"")"),"Los niños viajan en los autos de parachoques en un parque de diversiones o carnaval.")</f>
        <v>Los niños viajan en los autos de parachoques en un parque de diversiones o carnaval.</v>
      </c>
    </row>
    <row r="4155">
      <c r="A4155" s="4" t="s">
        <v>5225</v>
      </c>
      <c r="B4155" s="4" t="s">
        <v>5227</v>
      </c>
      <c r="C4155" s="5" t="str">
        <f>IFERROR(__xludf.DUMMYFUNCTION("GOOGLETRANSLATE(B4155,""en"",""es-ES"")"),"Un atasco de tráfico atrapa a las niñas en medio de los autos.")</f>
        <v>Un atasco de tráfico atrapa a las niñas en medio de los autos.</v>
      </c>
    </row>
    <row r="4156">
      <c r="A4156" s="4" t="s">
        <v>5225</v>
      </c>
      <c r="B4156" s="4" t="s">
        <v>5228</v>
      </c>
      <c r="C4156" s="5" t="str">
        <f>IFERROR(__xludf.DUMMYFUNCTION("GOOGLETRANSLATE(B4156,""en"",""es-ES"")"),"La niña en el sombrero sonríe mientras mira en la cara de sus hermanas.")</f>
        <v>La niña en el sombrero sonríe mientras mira en la cara de sus hermanas.</v>
      </c>
    </row>
    <row r="4157">
      <c r="A4157" s="4" t="s">
        <v>5229</v>
      </c>
      <c r="B4157" s="4" t="s">
        <v>5230</v>
      </c>
      <c r="C4157" s="5" t="str">
        <f>IFERROR(__xludf.DUMMYFUNCTION("GOOGLETRANSLATE(B4157,""en"",""es-ES"")"),"Se ve a un gran grupo de personas sentados alrededor de un campo al aire libre.")</f>
        <v>Se ve a un gran grupo de personas sentados alrededor de un campo al aire libre.</v>
      </c>
    </row>
    <row r="4158">
      <c r="A4158" s="4" t="s">
        <v>5229</v>
      </c>
      <c r="B4158" s="4" t="s">
        <v>5231</v>
      </c>
      <c r="C4158" s="5" t="str">
        <f>IFERROR(__xludf.DUMMYFUNCTION("GOOGLETRANSLATE(B4158,""en"",""es-ES"")"),"Se ve a un perro corriendo por el campo en el medio de la audiencia.")</f>
        <v>Se ve a un perro corriendo por el campo en el medio de la audiencia.</v>
      </c>
    </row>
    <row r="4159">
      <c r="A4159" s="4" t="s">
        <v>5229</v>
      </c>
      <c r="B4159" s="4" t="s">
        <v>5232</v>
      </c>
      <c r="C4159" s="5" t="str">
        <f>IFERROR(__xludf.DUMMYFUNCTION("GOOGLETRANSLATE(B4159,""en"",""es-ES"")"),"El perro sigue corriendo y cuarto mientras la cámara observa desde un lado.")</f>
        <v>El perro sigue corriendo y cuarto mientras la cámara observa desde un lado.</v>
      </c>
    </row>
    <row r="4160">
      <c r="A4160" s="4" t="s">
        <v>5233</v>
      </c>
      <c r="B4160" s="4" t="s">
        <v>5234</v>
      </c>
      <c r="C4160" s="5" t="str">
        <f>IFERROR(__xludf.DUMMYFUNCTION("GOOGLETRANSLATE(B4160,""en"",""es-ES"")"),"Vemos un par de pantallas de títulos.")</f>
        <v>Vemos un par de pantallas de títulos.</v>
      </c>
    </row>
    <row r="4161">
      <c r="A4161" s="4" t="s">
        <v>5233</v>
      </c>
      <c r="B4161" s="4" t="s">
        <v>5235</v>
      </c>
      <c r="C4161" s="5" t="str">
        <f>IFERROR(__xludf.DUMMYFUNCTION("GOOGLETRANSLATE(B4161,""en"",""es-ES"")"),"Vemos a un hombre realizar una serie de movimientos de capoeira con los nombres antes del movimiento.")</f>
        <v>Vemos a un hombre realizar una serie de movimientos de capoeira con los nombres antes del movimiento.</v>
      </c>
    </row>
    <row r="4162">
      <c r="A4162" s="4" t="s">
        <v>5233</v>
      </c>
      <c r="B4162" s="4" t="s">
        <v>5236</v>
      </c>
      <c r="C4162" s="5" t="str">
        <f>IFERROR(__xludf.DUMMYFUNCTION("GOOGLETRANSLATE(B4162,""en"",""es-ES"")"),"Vemos a un hombre turno y una patada en Roundhouse.")</f>
        <v>Vemos a un hombre turno y una patada en Roundhouse.</v>
      </c>
    </row>
    <row r="4163">
      <c r="A4163" s="4" t="s">
        <v>5233</v>
      </c>
      <c r="B4163" s="4" t="s">
        <v>5237</v>
      </c>
      <c r="C4163" s="5" t="str">
        <f>IFERROR(__xludf.DUMMYFUNCTION("GOOGLETRANSLATE(B4163,""en"",""es-ES"")"),"El hombre hace una parada de manos en una mano y patea las piernas en el aire.")</f>
        <v>El hombre hace una parada de manos en una mano y patea las piernas en el aire.</v>
      </c>
    </row>
    <row r="4164">
      <c r="A4164" s="4" t="s">
        <v>5233</v>
      </c>
      <c r="B4164" s="4" t="s">
        <v>5238</v>
      </c>
      <c r="C4164" s="5" t="str">
        <f>IFERROR(__xludf.DUMMYFUNCTION("GOOGLETRANSLATE(B4164,""en"",""es-ES"")"),"El hombre hace un volteo de las paradas de manos.")</f>
        <v>El hombre hace un volteo de las paradas de manos.</v>
      </c>
    </row>
    <row r="4165">
      <c r="A4165" s="4" t="s">
        <v>5233</v>
      </c>
      <c r="B4165" s="4" t="s">
        <v>4513</v>
      </c>
      <c r="C4165" s="5" t="str">
        <f>IFERROR(__xludf.DUMMYFUNCTION("GOOGLETRANSLATE(B4165,""en"",""es-ES"")"),"Vemos los créditos finales.")</f>
        <v>Vemos los créditos finales.</v>
      </c>
    </row>
    <row r="4166">
      <c r="A4166" s="4" t="s">
        <v>5239</v>
      </c>
      <c r="B4166" s="4" t="s">
        <v>5240</v>
      </c>
      <c r="C4166" s="5" t="str">
        <f>IFERROR(__xludf.DUMMYFUNCTION("GOOGLETRANSLATE(B4166,""en"",""es-ES"")"),"Vemos una pantalla de título colorida y lúdica.")</f>
        <v>Vemos una pantalla de título colorida y lúdica.</v>
      </c>
    </row>
    <row r="4167">
      <c r="A4167" s="4" t="s">
        <v>5239</v>
      </c>
      <c r="B4167" s="4" t="s">
        <v>5241</v>
      </c>
      <c r="C4167" s="5" t="str">
        <f>IFERROR(__xludf.DUMMYFUNCTION("GOOGLETRANSLATE(B4167,""en"",""es-ES"")"),"Luego vemos gente en una habitación y al aire libre en una fiesta elegante.")</f>
        <v>Luego vemos gente en una habitación y al aire libre en una fiesta elegante.</v>
      </c>
    </row>
    <row r="4168">
      <c r="A4168" s="4" t="s">
        <v>5239</v>
      </c>
      <c r="B4168" s="4" t="s">
        <v>5242</v>
      </c>
      <c r="C4168" s="5" t="str">
        <f>IFERROR(__xludf.DUMMYFUNCTION("GOOGLETRANSLATE(B4168,""en"",""es-ES"")"),"Una mujer camina por la puerta.")</f>
        <v>Una mujer camina por la puerta.</v>
      </c>
    </row>
    <row r="4169">
      <c r="A4169" s="4" t="s">
        <v>5239</v>
      </c>
      <c r="B4169" s="4" t="s">
        <v>5243</v>
      </c>
      <c r="C4169" s="5" t="str">
        <f>IFERROR(__xludf.DUMMYFUNCTION("GOOGLETRANSLATE(B4169,""en"",""es-ES"")"),"El hombre en el traje atraviesa la puerta.")</f>
        <v>El hombre en el traje atraviesa la puerta.</v>
      </c>
    </row>
    <row r="4170">
      <c r="A4170" s="4" t="s">
        <v>5239</v>
      </c>
      <c r="B4170" s="4" t="s">
        <v>5244</v>
      </c>
      <c r="C4170" s="5" t="str">
        <f>IFERROR(__xludf.DUMMYFUNCTION("GOOGLETRANSLATE(B4170,""en"",""es-ES"")"),"Un hombre de rojo pasa por la cámara.")</f>
        <v>Un hombre de rojo pasa por la cámara.</v>
      </c>
    </row>
    <row r="4171">
      <c r="A4171" s="4" t="s">
        <v>5239</v>
      </c>
      <c r="B4171" s="4" t="s">
        <v>5245</v>
      </c>
      <c r="C4171" s="5" t="str">
        <f>IFERROR(__xludf.DUMMYFUNCTION("GOOGLETRANSLATE(B4171,""en"",""es-ES"")"),"La dama de White ve la cámara y se esconde.")</f>
        <v>La dama de White ve la cámara y se esconde.</v>
      </c>
    </row>
    <row r="4172">
      <c r="A4172" s="4" t="s">
        <v>5239</v>
      </c>
      <c r="B4172" s="4" t="s">
        <v>5246</v>
      </c>
      <c r="C4172" s="5" t="str">
        <f>IFERROR(__xludf.DUMMYFUNCTION("GOOGLETRANSLATE(B4172,""en"",""es-ES"")"),"Vemos cristal colorido como la pantalla de cierre.")</f>
        <v>Vemos cristal colorido como la pantalla de cierre.</v>
      </c>
    </row>
    <row r="4173">
      <c r="A4173" s="4" t="s">
        <v>5247</v>
      </c>
      <c r="B4173" s="4" t="s">
        <v>5248</v>
      </c>
      <c r="C4173" s="5" t="str">
        <f>IFERROR(__xludf.DUMMYFUNCTION("GOOGLETRANSLATE(B4173,""en"",""es-ES"")"),"La gente monta a caballo a lo largo de un sendero de tierra.")</f>
        <v>La gente monta a caballo a lo largo de un sendero de tierra.</v>
      </c>
    </row>
    <row r="4174">
      <c r="A4174" s="4" t="s">
        <v>5247</v>
      </c>
      <c r="B4174" s="4" t="s">
        <v>5249</v>
      </c>
      <c r="C4174" s="5" t="str">
        <f>IFERROR(__xludf.DUMMYFUNCTION("GOOGLETRANSLATE(B4174,""en"",""es-ES"")"),"Están cruzando un río de agua en los caballos.")</f>
        <v>Están cruzando un río de agua en los caballos.</v>
      </c>
    </row>
    <row r="4175">
      <c r="A4175" s="4" t="s">
        <v>5247</v>
      </c>
      <c r="B4175" s="4" t="s">
        <v>5250</v>
      </c>
      <c r="C4175" s="5" t="str">
        <f>IFERROR(__xludf.DUMMYFUNCTION("GOOGLETRANSLATE(B4175,""en"",""es-ES"")"),"Continúan en su viaje en los caballos.")</f>
        <v>Continúan en su viaje en los caballos.</v>
      </c>
    </row>
    <row r="4176">
      <c r="A4176" s="4" t="s">
        <v>5251</v>
      </c>
      <c r="B4176" s="4" t="s">
        <v>5252</v>
      </c>
      <c r="C4176" s="5" t="str">
        <f>IFERROR(__xludf.DUMMYFUNCTION("GOOGLETRANSLATE(B4176,""en"",""es-ES"")"),"Varias personas en un laboratorio crean una fórmula y se entrevistan con un periodista, intercalado con imágenes de personas que aplican protector solar para sí mismas.")</f>
        <v>Varias personas en un laboratorio crean una fórmula y se entrevistan con un periodista, intercalado con imágenes de personas que aplican protector solar para sí mismas.</v>
      </c>
    </row>
    <row r="4177">
      <c r="A4177" s="4" t="s">
        <v>5251</v>
      </c>
      <c r="B4177" s="4" t="s">
        <v>5253</v>
      </c>
      <c r="C4177" s="5" t="str">
        <f>IFERROR(__xludf.DUMMYFUNCTION("GOOGLETRANSLATE(B4177,""en"",""es-ES"")"),"Muchas personas se muestran en video en tomas sinceras de ellas aplicando protector solar para sí mismas mientras están al aire libre.")</f>
        <v>Muchas personas se muestran en video en tomas sinceras de ellas aplicando protector solar para sí mismas mientras están al aire libre.</v>
      </c>
    </row>
    <row r="4178">
      <c r="A4178" s="4" t="s">
        <v>5251</v>
      </c>
      <c r="B4178" s="4" t="s">
        <v>5254</v>
      </c>
      <c r="C4178" s="5" t="str">
        <f>IFERROR(__xludf.DUMMYFUNCTION("GOOGLETRANSLATE(B4178,""en"",""es-ES"")"),"Una mujer en un laboratorio prepara una fórmula de ingredientes variados intercalados con hablar con una cámara.")</f>
        <v>Una mujer en un laboratorio prepara una fórmula de ingredientes variados intercalados con hablar con una cámara.</v>
      </c>
    </row>
    <row r="4179">
      <c r="A4179" s="4" t="s">
        <v>5251</v>
      </c>
      <c r="B4179" s="4" t="s">
        <v>5255</v>
      </c>
      <c r="C4179" s="5" t="str">
        <f>IFERROR(__xludf.DUMMYFUNCTION("GOOGLETRANSLATE(B4179,""en"",""es-ES"")"),"Se muestran más científicos en la entrevista de laboratorio y hablando entrelazadas con tomas de ellos preparando fórmulas en el laboratorio y una toma final de un hombre en un mercado al aire libre que manejan ingredientes para la venta.")</f>
        <v>Se muestran más científicos en la entrevista de laboratorio y hablando entrelazadas con tomas de ellos preparando fórmulas en el laboratorio y una toma final de un hombre en un mercado al aire libre que manejan ingredientes para la venta.</v>
      </c>
    </row>
    <row r="4180">
      <c r="A4180" s="4" t="s">
        <v>5256</v>
      </c>
      <c r="B4180" s="4" t="s">
        <v>5257</v>
      </c>
      <c r="C4180" s="5" t="str">
        <f>IFERROR(__xludf.DUMMYFUNCTION("GOOGLETRANSLATE(B4180,""en"",""es-ES"")"),"El joven está jugando la armónica.")</f>
        <v>El joven está jugando la armónica.</v>
      </c>
    </row>
    <row r="4181">
      <c r="A4181" s="4" t="s">
        <v>5256</v>
      </c>
      <c r="B4181" s="4" t="s">
        <v>5258</v>
      </c>
      <c r="C4181" s="5" t="str">
        <f>IFERROR(__xludf.DUMMYFUNCTION("GOOGLETRANSLATE(B4181,""en"",""es-ES"")"),"El joven presenta su lección de video y presenta el plan de lecciones.")</f>
        <v>El joven presenta su lección de video y presenta el plan de lecciones.</v>
      </c>
    </row>
    <row r="4182">
      <c r="A4182" s="4" t="s">
        <v>5256</v>
      </c>
      <c r="B4182" s="4" t="s">
        <v>5259</v>
      </c>
      <c r="C4182" s="5" t="str">
        <f>IFERROR(__xludf.DUMMYFUNCTION("GOOGLETRANSLATE(B4182,""en"",""es-ES"")"),"Las notas musicales se muestran en la pantalla mientras juega la armónica.")</f>
        <v>Las notas musicales se muestran en la pantalla mientras juega la armónica.</v>
      </c>
    </row>
    <row r="4183">
      <c r="A4183" s="4" t="s">
        <v>5260</v>
      </c>
      <c r="B4183" s="4" t="s">
        <v>5261</v>
      </c>
      <c r="C4183" s="5" t="str">
        <f>IFERROR(__xludf.DUMMYFUNCTION("GOOGLETRANSLATE(B4183,""en"",""es-ES"")"),"Se ve a una mujer atlética que se acerca a una viga y comienza una rutina de gimnasia.")</f>
        <v>Se ve a una mujer atlética que se acerca a una viga y comienza una rutina de gimnasia.</v>
      </c>
    </row>
    <row r="4184">
      <c r="A4184" s="4" t="s">
        <v>5260</v>
      </c>
      <c r="B4184" s="4" t="s">
        <v>5262</v>
      </c>
      <c r="C4184" s="5" t="str">
        <f>IFERROR(__xludf.DUMMYFUNCTION("GOOGLETRANSLATE(B4184,""en"",""es-ES"")"),"La mujer continúa moviéndose sobre la viga y termina con ella saltando hacia abajo con los brazos hacia arriba y hablando con su entrenador mientras su final se muestra nuevamente en cámara lenta.")</f>
        <v>La mujer continúa moviéndose sobre la viga y termina con ella saltando hacia abajo con los brazos hacia arriba y hablando con su entrenador mientras su final se muestra nuevamente en cámara lenta.</v>
      </c>
    </row>
    <row r="4185">
      <c r="A4185" s="4" t="s">
        <v>5263</v>
      </c>
      <c r="B4185" s="4" t="s">
        <v>5264</v>
      </c>
      <c r="C4185" s="5" t="str">
        <f>IFERROR(__xludf.DUMMYFUNCTION("GOOGLETRANSLATE(B4185,""en"",""es-ES"")"),"Se ve a un hombre hablando con la cámara y conduce a clips de él demostrando artes marciales con otro hombre.")</f>
        <v>Se ve a un hombre hablando con la cámara y conduce a clips de él demostrando artes marciales con otro hombre.</v>
      </c>
    </row>
    <row r="4186">
      <c r="A4186" s="4" t="s">
        <v>5263</v>
      </c>
      <c r="B4186" s="4" t="s">
        <v>5265</v>
      </c>
      <c r="C4186" s="5" t="str">
        <f>IFERROR(__xludf.DUMMYFUNCTION("GOOGLETRANSLATE(B4186,""en"",""es-ES"")"),"Los hombres continúan demostrándose entre sí mientras se detienen para hablar con la cámara.")</f>
        <v>Los hombres continúan demostrándose entre sí mientras se detienen para hablar con la cámara.</v>
      </c>
    </row>
    <row r="4187">
      <c r="A4187" s="4" t="s">
        <v>5266</v>
      </c>
      <c r="B4187" s="4" t="s">
        <v>5267</v>
      </c>
      <c r="C4187" s="5" t="str">
        <f>IFERROR(__xludf.DUMMYFUNCTION("GOOGLETRANSLATE(B4187,""en"",""es-ES"")"),"Una introducción entra en la pantalla para un video divertido sobre la bebida de cerveza.")</f>
        <v>Una introducción entra en la pantalla para un video divertido sobre la bebida de cerveza.</v>
      </c>
    </row>
    <row r="4188">
      <c r="A4188" s="4" t="s">
        <v>5266</v>
      </c>
      <c r="B4188" s="4" t="s">
        <v>5268</v>
      </c>
      <c r="C4188" s="5" t="str">
        <f>IFERROR(__xludf.DUMMYFUNCTION("GOOGLETRANSLATE(B4188,""en"",""es-ES"")"),"Algunos chicos en una habitación se preparan para hacer un truco con una lata de cerveza.")</f>
        <v>Algunos chicos en una habitación se preparan para hacer un truco con una lata de cerveza.</v>
      </c>
    </row>
    <row r="4189">
      <c r="A4189" s="4" t="s">
        <v>5266</v>
      </c>
      <c r="B4189" s="4" t="s">
        <v>5269</v>
      </c>
      <c r="C4189" s="5" t="str">
        <f>IFERROR(__xludf.DUMMYFUNCTION("GOOGLETRANSLATE(B4189,""en"",""es-ES"")"),"Realizan el truco y un chico comienza a tomar la cerveza.")</f>
        <v>Realizan el truco y un chico comienza a tomar la cerveza.</v>
      </c>
    </row>
    <row r="4190">
      <c r="A4190" s="4" t="s">
        <v>5266</v>
      </c>
      <c r="B4190" s="4" t="s">
        <v>5270</v>
      </c>
      <c r="C4190" s="5" t="str">
        <f>IFERROR(__xludf.DUMMYFUNCTION("GOOGLETRANSLATE(B4190,""en"",""es-ES"")"),"Poco después, el tipo comienza a arrojar toda la cerveza en un bote de basura mientras todos se ríen.")</f>
        <v>Poco después, el tipo comienza a arrojar toda la cerveza en un bote de basura mientras todos se ríen.</v>
      </c>
    </row>
    <row r="4191">
      <c r="A4191" s="4" t="s">
        <v>5271</v>
      </c>
      <c r="B4191" s="4" t="s">
        <v>5272</v>
      </c>
      <c r="C4191" s="5" t="str">
        <f>IFERROR(__xludf.DUMMYFUNCTION("GOOGLETRANSLATE(B4191,""en"",""es-ES"")"),"Se ve a un hombre montar en una patineta seguido de un hombre que bebía una cerveza a través de una manguera y un hombre sentado en un automóvil volteando al camarógrafo.")</f>
        <v>Se ve a un hombre montar en una patineta seguido de un hombre que bebía una cerveza a través de una manguera y un hombre sentado en un automóvil volteando al camarógrafo.</v>
      </c>
    </row>
    <row r="4192">
      <c r="A4192" s="4" t="s">
        <v>5271</v>
      </c>
      <c r="B4192" s="4" t="s">
        <v>5273</v>
      </c>
      <c r="C4192" s="5" t="str">
        <f>IFERROR(__xludf.DUMMYFUNCTION("GOOGLETRANSLATE(B4192,""en"",""es-ES"")"),"Se muestran más tomas aleatorias de paisajes, perros, personas de pie y se mueven a lo largo del agua.")</f>
        <v>Se muestran más tomas aleatorias de paisajes, perros, personas de pie y se mueven a lo largo del agua.</v>
      </c>
    </row>
    <row r="4193">
      <c r="A4193" s="4" t="s">
        <v>5271</v>
      </c>
      <c r="B4193" s="4" t="s">
        <v>5274</v>
      </c>
      <c r="C4193" s="5" t="str">
        <f>IFERROR(__xludf.DUMMYFUNCTION("GOOGLETRANSLATE(B4193,""en"",""es-ES"")"),"El video conduce a personas que viajan en la cometa de agua surf y conducen a un hombre que habla con otros afuera mientras fuma un cigarrillo.")</f>
        <v>El video conduce a personas que viajan en la cometa de agua surf y conducen a un hombre que habla con otros afuera mientras fuma un cigarrillo.</v>
      </c>
    </row>
    <row r="4194">
      <c r="A4194" s="4" t="s">
        <v>5275</v>
      </c>
      <c r="B4194" s="4" t="s">
        <v>5276</v>
      </c>
      <c r="C4194" s="5" t="str">
        <f>IFERROR(__xludf.DUMMYFUNCTION("GOOGLETRANSLATE(B4194,""en"",""es-ES"")"),"Un grupo de niños juegan en los autos de parachoques en un parque de diversiones.")</f>
        <v>Un grupo de niños juegan en los autos de parachoques en un parque de diversiones.</v>
      </c>
    </row>
    <row r="4195">
      <c r="A4195" s="4" t="s">
        <v>5275</v>
      </c>
      <c r="B4195" s="4" t="s">
        <v>5277</v>
      </c>
      <c r="C4195" s="5" t="str">
        <f>IFERROR(__xludf.DUMMYFUNCTION("GOOGLETRANSLATE(B4195,""en"",""es-ES"")"),"El choque entre sí una y otra vez y parecen estar un poco confundidos sobre qué hacer.")</f>
        <v>El choque entre sí una y otra vez y parecen estar un poco confundidos sobre qué hacer.</v>
      </c>
    </row>
    <row r="4196">
      <c r="A4196" s="4" t="s">
        <v>5275</v>
      </c>
      <c r="B4196" s="4" t="s">
        <v>5278</v>
      </c>
      <c r="C4196" s="5" t="str">
        <f>IFERROR(__xludf.DUMMYFUNCTION("GOOGLETRANSLATE(B4196,""en"",""es-ES"")"),"Tienen sonrisas en sus rostros mientras continúan dando vueltas por la pista.")</f>
        <v>Tienen sonrisas en sus rostros mientras continúan dando vueltas por la pista.</v>
      </c>
    </row>
    <row r="4197">
      <c r="A4197" s="4" t="s">
        <v>5279</v>
      </c>
      <c r="B4197" s="4" t="s">
        <v>5280</v>
      </c>
      <c r="C4197" s="5" t="str">
        <f>IFERROR(__xludf.DUMMYFUNCTION("GOOGLETRANSLATE(B4197,""en"",""es-ES"")"),"Un primer plano de una máscara de esgrima blanca y una máscara de esgrima negra.")</f>
        <v>Un primer plano de una máscara de esgrima blanca y una máscara de esgrima negra.</v>
      </c>
    </row>
    <row r="4198">
      <c r="A4198" s="4" t="s">
        <v>5279</v>
      </c>
      <c r="B4198" s="4" t="s">
        <v>5281</v>
      </c>
      <c r="C4198" s="5" t="str">
        <f>IFERROR(__xludf.DUMMYFUNCTION("GOOGLETRANSLATE(B4198,""en"",""es-ES"")"),"Un entrenador de esgrima da instrucciones a los dos competidores de esgrima.")</f>
        <v>Un entrenador de esgrima da instrucciones a los dos competidores de esgrima.</v>
      </c>
    </row>
    <row r="4199">
      <c r="A4199" s="4" t="s">
        <v>5279</v>
      </c>
      <c r="B4199" s="4" t="s">
        <v>5282</v>
      </c>
      <c r="C4199" s="5" t="str">
        <f>IFERROR(__xludf.DUMMYFUNCTION("GOOGLETRANSLATE(B4199,""en"",""es-ES"")"),"Dos competidores Discus Strategies de esgrima.")</f>
        <v>Dos competidores Discus Strategies de esgrima.</v>
      </c>
    </row>
    <row r="4200">
      <c r="A4200" s="4" t="s">
        <v>5279</v>
      </c>
      <c r="B4200" s="4" t="s">
        <v>5283</v>
      </c>
      <c r="C4200" s="5" t="str">
        <f>IFERROR(__xludf.DUMMYFUNCTION("GOOGLETRANSLATE(B4200,""en"",""es-ES"")"),"Más escenas de esgrima mientras una niña y un niño discuten al margen.")</f>
        <v>Más escenas de esgrima mientras una niña y un niño discuten al margen.</v>
      </c>
    </row>
    <row r="4201">
      <c r="A4201" s="4" t="s">
        <v>5279</v>
      </c>
      <c r="B4201" s="4" t="s">
        <v>5284</v>
      </c>
      <c r="C4201" s="5" t="str">
        <f>IFERROR(__xludf.DUMMYFUNCTION("GOOGLETRANSLATE(B4201,""en"",""es-ES"")"),"Más competencia con el sofá de esgrima observando y criticando.")</f>
        <v>Más competencia con el sofá de esgrima observando y criticando.</v>
      </c>
    </row>
    <row r="4202">
      <c r="A4202" s="4" t="s">
        <v>5285</v>
      </c>
      <c r="B4202" s="4" t="s">
        <v>5286</v>
      </c>
      <c r="C4202" s="5" t="str">
        <f>IFERROR(__xludf.DUMMYFUNCTION("GOOGLETRANSLATE(B4202,""en"",""es-ES"")"),"Un surcito de bailarines está en el escenario haciendo una rutina para la audiencia.")</f>
        <v>Un surcito de bailarines está en el escenario haciendo una rutina para la audiencia.</v>
      </c>
    </row>
    <row r="4203">
      <c r="A4203" s="4" t="s">
        <v>5285</v>
      </c>
      <c r="B4203" s="4" t="s">
        <v>5287</v>
      </c>
      <c r="C4203" s="5" t="str">
        <f>IFERROR(__xludf.DUMMYFUNCTION("GOOGLETRANSLATE(B4203,""en"",""es-ES"")"),"El show del auto muestra el interior de algunos autos bastante ordenados con hermosos exteriores.")</f>
        <v>El show del auto muestra el interior de algunos autos bastante ordenados con hermosos exteriores.</v>
      </c>
    </row>
    <row r="4204">
      <c r="A4204" s="4" t="s">
        <v>5285</v>
      </c>
      <c r="B4204" s="4" t="s">
        <v>5288</v>
      </c>
      <c r="C4204" s="5" t="str">
        <f>IFERROR(__xludf.DUMMYFUNCTION("GOOGLETRANSLATE(B4204,""en"",""es-ES"")"),"Otro grupo de bailarines se turnan para bailar en sus cabezas.")</f>
        <v>Otro grupo de bailarines se turnan para bailar en sus cabezas.</v>
      </c>
    </row>
    <row r="4205">
      <c r="A4205" s="4" t="s">
        <v>5285</v>
      </c>
      <c r="B4205" s="4" t="s">
        <v>5289</v>
      </c>
      <c r="C4205" s="5" t="str">
        <f>IFERROR(__xludf.DUMMYFUNCTION("GOOGLETRANSLATE(B4205,""en"",""es-ES"")"),"Van uno por uno y son circulados y la audiencia mirando a su alrededor.")</f>
        <v>Van uno por uno y son circulados y la audiencia mirando a su alrededor.</v>
      </c>
    </row>
    <row r="4206">
      <c r="A4206" s="4" t="s">
        <v>5290</v>
      </c>
      <c r="B4206" s="4" t="s">
        <v>5291</v>
      </c>
      <c r="C4206" s="5" t="str">
        <f>IFERROR(__xludf.DUMMYFUNCTION("GOOGLETRANSLATE(B4206,""en"",""es-ES"")"),"Se ve a un hombre que organiza un segmento de noticias que conduce a varias tomas de personas que arrastran discos a lo largo del hielo en cámara lenta.")</f>
        <v>Se ve a un hombre que organiza un segmento de noticias que conduce a varias tomas de personas que arrastran discos a lo largo del hielo en cámara lenta.</v>
      </c>
    </row>
    <row r="4207">
      <c r="A4207" s="4" t="s">
        <v>5290</v>
      </c>
      <c r="B4207" s="4" t="s">
        <v>5292</v>
      </c>
      <c r="C4207" s="5" t="str">
        <f>IFERROR(__xludf.DUMMYFUNCTION("GOOGLETRANSLATE(B4207,""en"",""es-ES"")"),"Se muestran más tiros de personas que juegan el juego y termina con una animación 3D en la pantalla.")</f>
        <v>Se muestran más tiros de personas que juegan el juego y termina con una animación 3D en la pantalla.</v>
      </c>
    </row>
    <row r="4208">
      <c r="A4208" s="4" t="s">
        <v>5293</v>
      </c>
      <c r="B4208" s="4" t="s">
        <v>5294</v>
      </c>
      <c r="C4208" s="5" t="str">
        <f>IFERROR(__xludf.DUMMYFUNCTION("GOOGLETRANSLATE(B4208,""en"",""es-ES"")"),"Se ve a una mujer con cabello corto hablando con la cámara y luego volteando un par de pinturas de adentro hacia afuera.")</f>
        <v>Se ve a una mujer con cabello corto hablando con la cámara y luego volteando un par de pinturas de adentro hacia afuera.</v>
      </c>
    </row>
    <row r="4209">
      <c r="A4209" s="4" t="s">
        <v>5293</v>
      </c>
      <c r="B4209" s="4" t="s">
        <v>5295</v>
      </c>
      <c r="C4209" s="5" t="str">
        <f>IFERROR(__xludf.DUMMYFUNCTION("GOOGLETRANSLATE(B4209,""en"",""es-ES"")"),"Ella dobla los pantalones cuidadosamente en una tabla de planchar y comienza a planchar las pinturas a fondo.")</f>
        <v>Ella dobla los pantalones cuidadosamente en una tabla de planchar y comienza a planchar las pinturas a fondo.</v>
      </c>
    </row>
    <row r="4210">
      <c r="A4210" s="4" t="s">
        <v>5296</v>
      </c>
      <c r="B4210" s="4" t="s">
        <v>5297</v>
      </c>
      <c r="C4210" s="5" t="str">
        <f>IFERROR(__xludf.DUMMYFUNCTION("GOOGLETRANSLATE(B4210,""en"",""es-ES"")"),"La cámara se centra en un hombre sonriente sentado junto a otros.")</f>
        <v>La cámara se centra en un hombre sonriente sentado junto a otros.</v>
      </c>
    </row>
    <row r="4211">
      <c r="A4211" s="4" t="s">
        <v>5296</v>
      </c>
      <c r="B4211" s="4" t="s">
        <v>5298</v>
      </c>
      <c r="C4211" s="5" t="str">
        <f>IFERROR(__xludf.DUMMYFUNCTION("GOOGLETRANSLATE(B4211,""en"",""es-ES"")"),"Otro individuo camina por el primer plano y oscurece brevemente al primer hombre.")</f>
        <v>Otro individuo camina por el primer plano y oscurece brevemente al primer hombre.</v>
      </c>
    </row>
    <row r="4212">
      <c r="A4212" s="4" t="s">
        <v>5299</v>
      </c>
      <c r="B4212" s="4" t="s">
        <v>5300</v>
      </c>
      <c r="C4212" s="5" t="str">
        <f>IFERROR(__xludf.DUMMYFUNCTION("GOOGLETRANSLATE(B4212,""en"",""es-ES"")"),"Vemos a un hombre en la piscina con una gorra puesta.")</f>
        <v>Vemos a un hombre en la piscina con una gorra puesta.</v>
      </c>
    </row>
    <row r="4213">
      <c r="A4213" s="4" t="s">
        <v>5299</v>
      </c>
      <c r="B4213" s="4" t="s">
        <v>5301</v>
      </c>
      <c r="C4213" s="5" t="str">
        <f>IFERROR(__xludf.DUMMYFUNCTION("GOOGLETRANSLATE(B4213,""en"",""es-ES"")"),"Vemos a un hombre hacer un gol con una pelota.")</f>
        <v>Vemos a un hombre hacer un gol con una pelota.</v>
      </c>
    </row>
    <row r="4214">
      <c r="A4214" s="4" t="s">
        <v>5299</v>
      </c>
      <c r="B4214" s="4" t="s">
        <v>5302</v>
      </c>
      <c r="C4214" s="5" t="str">
        <f>IFERROR(__xludf.DUMMYFUNCTION("GOOGLETRANSLATE(B4214,""en"",""es-ES"")"),"Vemos otro gol marcado.")</f>
        <v>Vemos otro gol marcado.</v>
      </c>
    </row>
    <row r="4215">
      <c r="A4215" s="4" t="s">
        <v>5299</v>
      </c>
      <c r="B4215" s="4" t="s">
        <v>5303</v>
      </c>
      <c r="C4215" s="5" t="str">
        <f>IFERROR(__xludf.DUMMYFUNCTION("GOOGLETRANSLATE(B4215,""en"",""es-ES"")"),"Vemos otro gol en anotación.")</f>
        <v>Vemos otro gol en anotación.</v>
      </c>
    </row>
    <row r="4216">
      <c r="A4216" s="4" t="s">
        <v>5299</v>
      </c>
      <c r="B4216" s="4" t="s">
        <v>5304</v>
      </c>
      <c r="C4216" s="5" t="str">
        <f>IFERROR(__xludf.DUMMYFUNCTION("GOOGLETRANSLATE(B4216,""en"",""es-ES"")"),"Vemos al hombre marcar un gol y nadar.")</f>
        <v>Vemos al hombre marcar un gol y nadar.</v>
      </c>
    </row>
    <row r="4217">
      <c r="A4217" s="4" t="s">
        <v>5299</v>
      </c>
      <c r="B4217" s="4" t="s">
        <v>5305</v>
      </c>
      <c r="C4217" s="5" t="str">
        <f>IFERROR(__xludf.DUMMYFUNCTION("GOOGLETRANSLATE(B4217,""en"",""es-ES"")"),"Vemos al hombre al aire libre nadando y haciendo 3 goles.")</f>
        <v>Vemos al hombre al aire libre nadando y haciendo 3 goles.</v>
      </c>
    </row>
    <row r="4218">
      <c r="A4218" s="4" t="s">
        <v>5299</v>
      </c>
      <c r="B4218" s="4" t="s">
        <v>5306</v>
      </c>
      <c r="C4218" s="5" t="str">
        <f>IFERROR(__xludf.DUMMYFUNCTION("GOOGLETRANSLATE(B4218,""en"",""es-ES"")"),"Vemos otro puntaje y los hombres jugando en el agua.")</f>
        <v>Vemos otro puntaje y los hombres jugando en el agua.</v>
      </c>
    </row>
    <row r="4219">
      <c r="A4219" s="4" t="s">
        <v>5307</v>
      </c>
      <c r="B4219" s="4" t="s">
        <v>5308</v>
      </c>
      <c r="C4219" s="5" t="str">
        <f>IFERROR(__xludf.DUMMYFUNCTION("GOOGLETRANSLATE(B4219,""en"",""es-ES"")"),"Se muestra a un grupo de niños corriendo por un gimnasio tomados de las manos y poniendo las manos en el aire.")</f>
        <v>Se muestra a un grupo de niños corriendo por un gimnasio tomados de las manos y poniendo las manos en el aire.</v>
      </c>
    </row>
    <row r="4220">
      <c r="A4220" s="4" t="s">
        <v>5307</v>
      </c>
      <c r="B4220" s="4" t="s">
        <v>5309</v>
      </c>
      <c r="C4220" s="5" t="str">
        <f>IFERROR(__xludf.DUMMYFUNCTION("GOOGLETRANSLATE(B4220,""en"",""es-ES"")"),"Una mujer habla con los niños mientras bebe agua y las transiciones a ellos jugando un juego y anotando un gol.")</f>
        <v>Una mujer habla con los niños mientras bebe agua y las transiciones a ellos jugando un juego y anotando un gol.</v>
      </c>
    </row>
    <row r="4221">
      <c r="A4221" s="4" t="s">
        <v>5307</v>
      </c>
      <c r="B4221" s="4" t="s">
        <v>5310</v>
      </c>
      <c r="C4221" s="5" t="str">
        <f>IFERROR(__xludf.DUMMYFUNCTION("GOOGLETRANSLATE(B4221,""en"",""es-ES"")"),"El mismo disparo se muestra nuevamente en cámara lenta y se muestran varios disparos más de los niños.")</f>
        <v>El mismo disparo se muestra nuevamente en cámara lenta y se muestran varios disparos más de los niños.</v>
      </c>
    </row>
    <row r="4222">
      <c r="A4222" s="4" t="s">
        <v>5311</v>
      </c>
      <c r="B4222" s="4" t="s">
        <v>5312</v>
      </c>
      <c r="C4222" s="5" t="str">
        <f>IFERROR(__xludf.DUMMYFUNCTION("GOOGLETRANSLATE(B4222,""en"",""es-ES"")"),"Vemos a dos niñas en abrigos jugando en la arena.")</f>
        <v>Vemos a dos niñas en abrigos jugando en la arena.</v>
      </c>
    </row>
    <row r="4223">
      <c r="A4223" s="4" t="s">
        <v>5311</v>
      </c>
      <c r="B4223" s="4" t="s">
        <v>5313</v>
      </c>
      <c r="C4223" s="5" t="str">
        <f>IFERROR(__xludf.DUMMYFUNCTION("GOOGLETRANSLATE(B4223,""en"",""es-ES"")"),"Nos fuimos y vemos el océano.")</f>
        <v>Nos fuimos y vemos el océano.</v>
      </c>
    </row>
    <row r="4224">
      <c r="A4224" s="4" t="s">
        <v>5311</v>
      </c>
      <c r="B4224" s="4" t="s">
        <v>5314</v>
      </c>
      <c r="C4224" s="5" t="str">
        <f>IFERROR(__xludf.DUMMYFUNCTION("GOOGLETRANSLATE(B4224,""en"",""es-ES"")"),"Regresamos a las chicas.")</f>
        <v>Regresamos a las chicas.</v>
      </c>
    </row>
    <row r="4225">
      <c r="A4225" s="4" t="s">
        <v>5311</v>
      </c>
      <c r="B4225" s="4" t="s">
        <v>5315</v>
      </c>
      <c r="C4225" s="5" t="str">
        <f>IFERROR(__xludf.DUMMYFUNCTION("GOOGLETRANSLATE(B4225,""en"",""es-ES"")"),"El viento sopla, dejó a las chicas en la cabeza.")</f>
        <v>El viento sopla, dejó a las chicas en la cabeza.</v>
      </c>
    </row>
    <row r="4226">
      <c r="A4226" s="4" t="s">
        <v>5311</v>
      </c>
      <c r="B4226" s="4" t="s">
        <v>5316</v>
      </c>
      <c r="C4226" s="5" t="str">
        <f>IFERROR(__xludf.DUMMYFUNCTION("GOOGLETRANSLATE(B4226,""en"",""es-ES"")"),"Nos fuimos a ver el océano de nuevo.")</f>
        <v>Nos fuimos a ver el océano de nuevo.</v>
      </c>
    </row>
    <row r="4227">
      <c r="A4227" s="4" t="s">
        <v>5311</v>
      </c>
      <c r="B4227" s="4" t="s">
        <v>5317</v>
      </c>
      <c r="C4227" s="5" t="str">
        <f>IFERROR(__xludf.DUMMYFUNCTION("GOOGLETRANSLATE(B4227,""en"",""es-ES"")"),"La niña izquierda se mueve el pelo de la cara mientras habla con la cámara.")</f>
        <v>La niña izquierda se mueve el pelo de la cara mientras habla con la cámara.</v>
      </c>
    </row>
    <row r="4228">
      <c r="A4228" s="4" t="s">
        <v>5318</v>
      </c>
      <c r="B4228" s="4" t="s">
        <v>5319</v>
      </c>
      <c r="C4228" s="5" t="str">
        <f>IFERROR(__xludf.DUMMYFUNCTION("GOOGLETRANSLATE(B4228,""en"",""es-ES"")"),"Un hombre está parado junto a un mostrador mientras sostiene un trapo.")</f>
        <v>Un hombre está parado junto a un mostrador mientras sostiene un trapo.</v>
      </c>
    </row>
    <row r="4229">
      <c r="A4229" s="4" t="s">
        <v>5318</v>
      </c>
      <c r="B4229" s="4" t="s">
        <v>5320</v>
      </c>
      <c r="C4229" s="5" t="str">
        <f>IFERROR(__xludf.DUMMYFUNCTION("GOOGLETRANSLATE(B4229,""en"",""es-ES"")"),"Recoge un contenedor de polaco y habla sobre la superficie del mostrador.")</f>
        <v>Recoge un contenedor de polaco y habla sobre la superficie del mostrador.</v>
      </c>
    </row>
    <row r="4230">
      <c r="A4230" s="4" t="s">
        <v>5318</v>
      </c>
      <c r="B4230" s="4" t="s">
        <v>5321</v>
      </c>
      <c r="C4230" s="5" t="str">
        <f>IFERROR(__xludf.DUMMYFUNCTION("GOOGLETRANSLATE(B4230,""en"",""es-ES"")"),"Lo frota con esmalte y los dos trapos, luego lo espolvorea a un brillo.")</f>
        <v>Lo frota con esmalte y los dos trapos, luego lo espolvorea a un brillo.</v>
      </c>
    </row>
    <row r="4231">
      <c r="A4231" s="4" t="s">
        <v>5322</v>
      </c>
      <c r="B4231" s="4" t="s">
        <v>5323</v>
      </c>
      <c r="C4231" s="5" t="str">
        <f>IFERROR(__xludf.DUMMYFUNCTION("GOOGLETRANSLATE(B4231,""en"",""es-ES"")"),"Un partido de fútbol está ocurriendo en un campo y se muestra a un jugador cayendo.")</f>
        <v>Un partido de fútbol está ocurriendo en un campo y se muestra a un jugador cayendo.</v>
      </c>
    </row>
    <row r="4232">
      <c r="A4232" s="4" t="s">
        <v>5322</v>
      </c>
      <c r="B4232" s="4" t="s">
        <v>5324</v>
      </c>
      <c r="C4232" s="5" t="str">
        <f>IFERROR(__xludf.DUMMYFUNCTION("GOOGLETRANSLATE(B4232,""en"",""es-ES"")"),"El hombre puede levantarse y el video muestra la caída nuevamente en cámara lenta.")</f>
        <v>El hombre puede levantarse y el video muestra la caída nuevamente en cámara lenta.</v>
      </c>
    </row>
    <row r="4233">
      <c r="A4233" s="4" t="s">
        <v>5322</v>
      </c>
      <c r="B4233" s="4" t="s">
        <v>5325</v>
      </c>
      <c r="C4233" s="5" t="str">
        <f>IFERROR(__xludf.DUMMYFUNCTION("GOOGLETRANSLATE(B4233,""en"",""es-ES"")"),"Los jugadores continúan jugando y uno de ellos incluso anota un gol.")</f>
        <v>Los jugadores continúan jugando y uno de ellos incluso anota un gol.</v>
      </c>
    </row>
    <row r="4234">
      <c r="A4234" s="4" t="s">
        <v>5322</v>
      </c>
      <c r="B4234" s="4" t="s">
        <v>5326</v>
      </c>
      <c r="C4234" s="5" t="str">
        <f>IFERROR(__xludf.DUMMYFUNCTION("GOOGLETRANSLATE(B4234,""en"",""es-ES"")"),"El objetivo se muestra una y otra vez en movimiento bajo para mostrar la importancia de la obra.")</f>
        <v>El objetivo se muestra una y otra vez en movimiento bajo para mostrar la importancia de la obra.</v>
      </c>
    </row>
    <row r="4235">
      <c r="A4235" s="4" t="s">
        <v>5327</v>
      </c>
      <c r="B4235" s="4" t="s">
        <v>5328</v>
      </c>
      <c r="C4235" s="5" t="str">
        <f>IFERROR(__xludf.DUMMYFUNCTION("GOOGLETRANSLATE(B4235,""en"",""es-ES"")"),"Los ingredientes se muestran en una fuente de astillas.")</f>
        <v>Los ingredientes se muestran en una fuente de astillas.</v>
      </c>
    </row>
    <row r="4236">
      <c r="A4236" s="4" t="s">
        <v>5327</v>
      </c>
      <c r="B4236" s="4" t="s">
        <v>5329</v>
      </c>
      <c r="C4236" s="5" t="str">
        <f>IFERROR(__xludf.DUMMYFUNCTION("GOOGLETRANSLATE(B4236,""en"",""es-ES"")"),"Un hombre comienza a cortar comida en una tabla de corte negro.")</f>
        <v>Un hombre comienza a cortar comida en una tabla de corte negro.</v>
      </c>
    </row>
    <row r="4237">
      <c r="A4237" s="4" t="s">
        <v>5327</v>
      </c>
      <c r="B4237" s="4" t="s">
        <v>5330</v>
      </c>
      <c r="C4237" s="5" t="str">
        <f>IFERROR(__xludf.DUMMYFUNCTION("GOOGLETRANSLATE(B4237,""en"",""es-ES"")"),"Agrega pasta a una olla grande en la estufa.")</f>
        <v>Agrega pasta a una olla grande en la estufa.</v>
      </c>
    </row>
    <row r="4238">
      <c r="A4238" s="4" t="s">
        <v>5327</v>
      </c>
      <c r="B4238" s="4" t="s">
        <v>5331</v>
      </c>
      <c r="C4238" s="5" t="str">
        <f>IFERROR(__xludf.DUMMYFUNCTION("GOOGLETRANSLATE(B4238,""en"",""es-ES"")"),"Comienza a cocinar en una sartén en la estufa.")</f>
        <v>Comienza a cocinar en una sartén en la estufa.</v>
      </c>
    </row>
    <row r="4239">
      <c r="A4239" s="4" t="s">
        <v>5327</v>
      </c>
      <c r="B4239" s="4" t="s">
        <v>5332</v>
      </c>
      <c r="C4239" s="5" t="str">
        <f>IFERROR(__xludf.DUMMYFUNCTION("GOOGLETRANSLATE(B4239,""en"",""es-ES"")"),"Cubre la sartén con una tapa.")</f>
        <v>Cubre la sartén con una tapa.</v>
      </c>
    </row>
    <row r="4240">
      <c r="A4240" s="4" t="s">
        <v>5327</v>
      </c>
      <c r="B4240" s="4" t="s">
        <v>5333</v>
      </c>
      <c r="C4240" s="5" t="str">
        <f>IFERROR(__xludf.DUMMYFUNCTION("GOOGLETRANSLATE(B4240,""en"",""es-ES"")"),"Él pone la pasta en un tazón.")</f>
        <v>Él pone la pasta en un tazón.</v>
      </c>
    </row>
    <row r="4241">
      <c r="A4241" s="4" t="s">
        <v>5327</v>
      </c>
      <c r="B4241" s="4" t="s">
        <v>5334</v>
      </c>
      <c r="C4241" s="5" t="str">
        <f>IFERROR(__xludf.DUMMYFUNCTION("GOOGLETRANSLATE(B4241,""en"",""es-ES"")"),"Él vierte la salsa en la parte superior de la pasta.")</f>
        <v>Él vierte la salsa en la parte superior de la pasta.</v>
      </c>
    </row>
    <row r="4242">
      <c r="A4242" s="4" t="s">
        <v>5335</v>
      </c>
      <c r="B4242" s="4" t="s">
        <v>5336</v>
      </c>
      <c r="C4242" s="5" t="str">
        <f>IFERROR(__xludf.DUMMYFUNCTION("GOOGLETRANSLATE(B4242,""en"",""es-ES"")"),"Un bebé está sentado en una mesa comiendo una paleta.")</f>
        <v>Un bebé está sentado en una mesa comiendo una paleta.</v>
      </c>
    </row>
    <row r="4243">
      <c r="A4243" s="4" t="s">
        <v>5335</v>
      </c>
      <c r="B4243" s="4" t="s">
        <v>5337</v>
      </c>
      <c r="C4243" s="5" t="str">
        <f>IFERROR(__xludf.DUMMYFUNCTION("GOOGLETRANSLATE(B4243,""en"",""es-ES"")"),"Él le da un mordisco a su paleta.")</f>
        <v>Él le da un mordisco a su paleta.</v>
      </c>
    </row>
    <row r="4244">
      <c r="A4244" s="4" t="s">
        <v>5335</v>
      </c>
      <c r="B4244" s="4" t="s">
        <v>5338</v>
      </c>
      <c r="C4244" s="5" t="str">
        <f>IFERROR(__xludf.DUMMYFUNCTION("GOOGLETRANSLATE(B4244,""en"",""es-ES"")"),"Saca algo de su babero y se lo pone en la boca.")</f>
        <v>Saca algo de su babero y se lo pone en la boca.</v>
      </c>
    </row>
    <row r="4245">
      <c r="A4245" s="4" t="s">
        <v>5339</v>
      </c>
      <c r="B4245" s="4" t="s">
        <v>5340</v>
      </c>
      <c r="C4245" s="5" t="str">
        <f>IFERROR(__xludf.DUMMYFUNCTION("GOOGLETRANSLATE(B4245,""en"",""es-ES"")"),"Una mujer joven está sentada en una silla jugando con un gato.")</f>
        <v>Una mujer joven está sentada en una silla jugando con un gato.</v>
      </c>
    </row>
    <row r="4246">
      <c r="A4246" s="4" t="s">
        <v>5339</v>
      </c>
      <c r="B4246" s="4" t="s">
        <v>5341</v>
      </c>
      <c r="C4246" s="5" t="str">
        <f>IFERROR(__xludf.DUMMYFUNCTION("GOOGLETRANSLATE(B4246,""en"",""es-ES"")"),"Luego toma alfileres de ropa, agarra la nuca del cabello y clipa las uñas de los gatos.")</f>
        <v>Luego toma alfileres de ropa, agarra la nuca del cabello y clipa las uñas de los gatos.</v>
      </c>
    </row>
    <row r="4247">
      <c r="A4247" s="4" t="s">
        <v>5339</v>
      </c>
      <c r="B4247" s="4" t="s">
        <v>5342</v>
      </c>
      <c r="C4247" s="5" t="str">
        <f>IFERROR(__xludf.DUMMYFUNCTION("GOOGLETRANSLATE(B4247,""en"",""es-ES"")"),"Después de un tiempo, los gatos intentan morderse las manos, una vez que la niña termina, quita los alfileres y las olas a la cámara.")</f>
        <v>Después de un tiempo, los gatos intentan morderse las manos, una vez que la niña termina, quita los alfileres y las olas a la cámara.</v>
      </c>
    </row>
    <row r="4248">
      <c r="A4248" s="4" t="s">
        <v>5343</v>
      </c>
      <c r="B4248" s="4" t="s">
        <v>5344</v>
      </c>
      <c r="C4248" s="5" t="str">
        <f>IFERROR(__xludf.DUMMYFUNCTION("GOOGLETRANSLATE(B4248,""en"",""es-ES"")"),"Un grupo de niños está corriendo entre los conos de naranja en una cancha.")</f>
        <v>Un grupo de niños está corriendo entre los conos de naranja en una cancha.</v>
      </c>
    </row>
    <row r="4249">
      <c r="A4249" s="4" t="s">
        <v>5343</v>
      </c>
      <c r="B4249" s="4" t="s">
        <v>5345</v>
      </c>
      <c r="C4249" s="5" t="str">
        <f>IFERROR(__xludf.DUMMYFUNCTION("GOOGLETRANSLATE(B4249,""en"",""es-ES"")"),"Están compitiendo para ver qué tan rápido pueden saltar entre ellos mientras el entrenador aplaude y los anima.")</f>
        <v>Están compitiendo para ver qué tan rápido pueden saltar entre ellos mientras el entrenador aplaude y los anima.</v>
      </c>
    </row>
    <row r="4250">
      <c r="A4250" s="4" t="s">
        <v>5346</v>
      </c>
      <c r="B4250" s="4" t="s">
        <v>5347</v>
      </c>
      <c r="C4250" s="5" t="str">
        <f>IFERROR(__xludf.DUMMYFUNCTION("GOOGLETRANSLATE(B4250,""en"",""es-ES"")"),"Una niña se sienta a una mesa hablando.")</f>
        <v>Una niña se sienta a una mesa hablando.</v>
      </c>
    </row>
    <row r="4251">
      <c r="A4251" s="4" t="s">
        <v>5346</v>
      </c>
      <c r="B4251" s="4" t="s">
        <v>5348</v>
      </c>
      <c r="C4251" s="5" t="str">
        <f>IFERROR(__xludf.DUMMYFUNCTION("GOOGLETRANSLATE(B4251,""en"",""es-ES"")"),"Vemos una pantalla de introducción.")</f>
        <v>Vemos una pantalla de introducción.</v>
      </c>
    </row>
    <row r="4252">
      <c r="A4252" s="4" t="s">
        <v>5346</v>
      </c>
      <c r="B4252" s="4" t="s">
        <v>5349</v>
      </c>
      <c r="C4252" s="5" t="str">
        <f>IFERROR(__xludf.DUMMYFUNCTION("GOOGLETRANSLATE(B4252,""en"",""es-ES"")"),"La niña se sienta a la mesa y muestra una bolsa de regalo.")</f>
        <v>La niña se sienta a la mesa y muestra una bolsa de regalo.</v>
      </c>
    </row>
    <row r="4253">
      <c r="A4253" s="4" t="s">
        <v>5346</v>
      </c>
      <c r="B4253" s="4" t="s">
        <v>5350</v>
      </c>
      <c r="C4253" s="5" t="str">
        <f>IFERROR(__xludf.DUMMYFUNCTION("GOOGLETRANSLATE(B4253,""en"",""es-ES"")"),"Un gato atraviesa la mesa y salta.")</f>
        <v>Un gato atraviesa la mesa y salta.</v>
      </c>
    </row>
    <row r="4254">
      <c r="A4254" s="4" t="s">
        <v>5346</v>
      </c>
      <c r="B4254" s="4" t="s">
        <v>5351</v>
      </c>
      <c r="C4254" s="5" t="str">
        <f>IFERROR(__xludf.DUMMYFUNCTION("GOOGLETRANSLATE(B4254,""en"",""es-ES"")"),"Vemos a la niña poner regalos en una bolsa de regalo con papel de seda.")</f>
        <v>Vemos a la niña poner regalos en una bolsa de regalo con papel de seda.</v>
      </c>
    </row>
    <row r="4255">
      <c r="A4255" s="4" t="s">
        <v>5346</v>
      </c>
      <c r="B4255" s="4" t="s">
        <v>5352</v>
      </c>
      <c r="C4255" s="5" t="str">
        <f>IFERROR(__xludf.DUMMYFUNCTION("GOOGLETRANSLATE(B4255,""en"",""es-ES"")"),"La niña saca al gato de la mesa y al suelo.")</f>
        <v>La niña saca al gato de la mesa y al suelo.</v>
      </c>
    </row>
    <row r="4256">
      <c r="A4256" s="4" t="s">
        <v>5346</v>
      </c>
      <c r="B4256" s="4" t="s">
        <v>5353</v>
      </c>
      <c r="C4256" s="5" t="str">
        <f>IFERROR(__xludf.DUMMYFUNCTION("GOOGLETRANSLATE(B4256,""en"",""es-ES"")"),"La niña agrega más papel de seda a la bolsa.")</f>
        <v>La niña agrega más papel de seda a la bolsa.</v>
      </c>
    </row>
    <row r="4257">
      <c r="A4257" s="4" t="s">
        <v>5354</v>
      </c>
      <c r="B4257" s="4" t="s">
        <v>5355</v>
      </c>
      <c r="C4257" s="5" t="str">
        <f>IFERROR(__xludf.DUMMYFUNCTION("GOOGLETRANSLATE(B4257,""en"",""es-ES"")"),"Se muestran varias tazas sentadas sobre una mesa con un hombre parado detrás.")</f>
        <v>Se muestran varias tazas sentadas sobre una mesa con un hombre parado detrás.</v>
      </c>
    </row>
    <row r="4258">
      <c r="A4258" s="4" t="s">
        <v>5354</v>
      </c>
      <c r="B4258" s="4" t="s">
        <v>5356</v>
      </c>
      <c r="C4258" s="5" t="str">
        <f>IFERROR(__xludf.DUMMYFUNCTION("GOOGLETRANSLATE(B4258,""en"",""es-ES"")"),"El hombre luego arroja la pelota a una taza y vítores.")</f>
        <v>El hombre luego arroja la pelota a una taza y vítores.</v>
      </c>
    </row>
    <row r="4259">
      <c r="A4259" s="4" t="s">
        <v>5354</v>
      </c>
      <c r="B4259" s="4" t="s">
        <v>5357</v>
      </c>
      <c r="C4259" s="5" t="str">
        <f>IFERROR(__xludf.DUMMYFUNCTION("GOOGLETRANSLATE(B4259,""en"",""es-ES"")"),"Finalmente se aleja de la cámara.")</f>
        <v>Finalmente se aleja de la cámara.</v>
      </c>
    </row>
    <row r="4260">
      <c r="A4260" s="4" t="s">
        <v>5358</v>
      </c>
      <c r="B4260" s="4" t="s">
        <v>5359</v>
      </c>
      <c r="C4260" s="5" t="str">
        <f>IFERROR(__xludf.DUMMYFUNCTION("GOOGLETRANSLATE(B4260,""en"",""es-ES"")"),"La gente lava un automóvil con agua con una manguera.")</f>
        <v>La gente lava un automóvil con agua con una manguera.</v>
      </c>
    </row>
    <row r="4261">
      <c r="A4261" s="4" t="s">
        <v>5358</v>
      </c>
      <c r="B4261" s="4" t="s">
        <v>5360</v>
      </c>
      <c r="C4261" s="5" t="str">
        <f>IFERROR(__xludf.DUMMYFUNCTION("GOOGLETRANSLATE(B4261,""en"",""es-ES"")"),"Un hombre se para al lado mirando a los hombres.")</f>
        <v>Un hombre se para al lado mirando a los hombres.</v>
      </c>
    </row>
    <row r="4262">
      <c r="A4262" s="4" t="s">
        <v>5358</v>
      </c>
      <c r="B4262" s="4" t="s">
        <v>5361</v>
      </c>
      <c r="C4262" s="5" t="str">
        <f>IFERROR(__xludf.DUMMYFUNCTION("GOOGLETRANSLATE(B4262,""en"",""es-ES"")"),"Luego, los hombres pusieron jabón en el auto, después de enjuagar el automóvil con agua.")</f>
        <v>Luego, los hombres pusieron jabón en el auto, después de enjuagar el automóvil con agua.</v>
      </c>
    </row>
    <row r="4263">
      <c r="A4263" s="4" t="s">
        <v>5358</v>
      </c>
      <c r="B4263" s="4" t="s">
        <v>5362</v>
      </c>
      <c r="C4263" s="5" t="str">
        <f>IFERROR(__xludf.DUMMYFUNCTION("GOOGLETRANSLATE(B4263,""en"",""es-ES"")"),"Un hombre entra en el auto.")</f>
        <v>Un hombre entra en el auto.</v>
      </c>
    </row>
    <row r="4264">
      <c r="A4264" s="4" t="s">
        <v>5363</v>
      </c>
      <c r="B4264" s="4" t="s">
        <v>5364</v>
      </c>
      <c r="C4264" s="5" t="str">
        <f>IFERROR(__xludf.DUMMYFUNCTION("GOOGLETRANSLATE(B4264,""en"",""es-ES"")"),"Un niño monta un tubo interior por una gran colina de nieve.")</f>
        <v>Un niño monta un tubo interior por una gran colina de nieve.</v>
      </c>
    </row>
    <row r="4265">
      <c r="A4265" s="4" t="s">
        <v>5363</v>
      </c>
      <c r="B4265" s="4" t="s">
        <v>5365</v>
      </c>
      <c r="C4265" s="5" t="str">
        <f>IFERROR(__xludf.DUMMYFUNCTION("GOOGLETRANSLATE(B4265,""en"",""es-ES"")"),"La gente se para y se sienta a los lados de la colina de nieve observando.")</f>
        <v>La gente se para y se sienta a los lados de la colina de nieve observando.</v>
      </c>
    </row>
    <row r="4266">
      <c r="A4266" s="4" t="s">
        <v>5366</v>
      </c>
      <c r="B4266" s="4" t="s">
        <v>5367</v>
      </c>
      <c r="C4266" s="5" t="str">
        <f>IFERROR(__xludf.DUMMYFUNCTION("GOOGLETRANSLATE(B4266,""en"",""es-ES"")"),"Una mujer está parada al aire libre con un atuendo de artes marciales rosadas.")</f>
        <v>Una mujer está parada al aire libre con un atuendo de artes marciales rosadas.</v>
      </c>
    </row>
    <row r="4267">
      <c r="A4267" s="4" t="s">
        <v>5366</v>
      </c>
      <c r="B4267" s="4" t="s">
        <v>5368</v>
      </c>
      <c r="C4267" s="5" t="str">
        <f>IFERROR(__xludf.DUMMYFUNCTION("GOOGLETRANSLATE(B4267,""en"",""es-ES"")"),"Se mueve lentamente, mostrando varios movimientos de artes marciales.")</f>
        <v>Se mueve lentamente, mostrando varios movimientos de artes marciales.</v>
      </c>
    </row>
    <row r="4268">
      <c r="A4268" s="4" t="s">
        <v>5366</v>
      </c>
      <c r="B4268" s="4" t="s">
        <v>5369</v>
      </c>
      <c r="C4268" s="5" t="str">
        <f>IFERROR(__xludf.DUMMYFUNCTION("GOOGLETRANSLATE(B4268,""en"",""es-ES"")"),"Ella continúa moviéndose lentamente mientras los nombres de los movimientos aparecen en la pantalla.")</f>
        <v>Ella continúa moviéndose lentamente mientras los nombres de los movimientos aparecen en la pantalla.</v>
      </c>
    </row>
    <row r="4269">
      <c r="A4269" s="4" t="s">
        <v>5370</v>
      </c>
      <c r="B4269" s="4" t="s">
        <v>5371</v>
      </c>
      <c r="C4269" s="5" t="str">
        <f>IFERROR(__xludf.DUMMYFUNCTION("GOOGLETRANSLATE(B4269,""en"",""es-ES"")"),"Se muestra un primer plano de casas con una persona que camina con un perro y luego habla con la cámara.")</f>
        <v>Se muestra un primer plano de casas con una persona que camina con un perro y luego habla con la cámara.</v>
      </c>
    </row>
    <row r="4270">
      <c r="A4270" s="4" t="s">
        <v>5370</v>
      </c>
      <c r="B4270" s="4" t="s">
        <v>5372</v>
      </c>
      <c r="C4270" s="5" t="str">
        <f>IFERROR(__xludf.DUMMYFUNCTION("GOOGLETRANSLATE(B4270,""en"",""es-ES"")"),"El hombre continúa hablando mientras dirige al perro por el vecindario.")</f>
        <v>El hombre continúa hablando mientras dirige al perro por el vecindario.</v>
      </c>
    </row>
    <row r="4271">
      <c r="A4271" s="4" t="s">
        <v>5373</v>
      </c>
      <c r="B4271" s="4" t="s">
        <v>5374</v>
      </c>
      <c r="C4271" s="5" t="str">
        <f>IFERROR(__xludf.DUMMYFUNCTION("GOOGLETRANSLATE(B4271,""en"",""es-ES"")"),"Un caballero mayor está cepillando un caballo marrón.")</f>
        <v>Un caballero mayor está cepillando un caballo marrón.</v>
      </c>
    </row>
    <row r="4272">
      <c r="A4272" s="4" t="s">
        <v>5373</v>
      </c>
      <c r="B4272" s="4" t="s">
        <v>5375</v>
      </c>
      <c r="C4272" s="5" t="str">
        <f>IFERROR(__xludf.DUMMYFUNCTION("GOOGLETRANSLATE(B4272,""en"",""es-ES"")"),"Se da la vuelta y habla con una dama mayor.")</f>
        <v>Se da la vuelta y habla con una dama mayor.</v>
      </c>
    </row>
    <row r="4273">
      <c r="A4273" s="4" t="s">
        <v>5373</v>
      </c>
      <c r="B4273" s="4" t="s">
        <v>5376</v>
      </c>
      <c r="C4273" s="5" t="str">
        <f>IFERROR(__xludf.DUMMYFUNCTION("GOOGLETRANSLATE(B4273,""en"",""es-ES"")"),"El caballo levanta la pierna.")</f>
        <v>El caballo levanta la pierna.</v>
      </c>
    </row>
    <row r="4274">
      <c r="A4274" s="4" t="s">
        <v>5377</v>
      </c>
      <c r="B4274" s="4" t="s">
        <v>5378</v>
      </c>
      <c r="C4274" s="5" t="str">
        <f>IFERROR(__xludf.DUMMYFUNCTION("GOOGLETRANSLATE(B4274,""en"",""es-ES"")"),"Se ve a un perro acostado cómodamente en un tazón grande con un hombre a su lado.")</f>
        <v>Se ve a un perro acostado cómodamente en un tazón grande con un hombre a su lado.</v>
      </c>
    </row>
    <row r="4275">
      <c r="A4275" s="4" t="s">
        <v>5377</v>
      </c>
      <c r="B4275" s="4" t="s">
        <v>5379</v>
      </c>
      <c r="C4275" s="5" t="str">
        <f>IFERROR(__xludf.DUMMYFUNCTION("GOOGLETRANSLATE(B4275,""en"",""es-ES"")"),"Se ve al hombre arrodillado junto al perro y comienza a frotarlo.")</f>
        <v>Se ve al hombre arrodillado junto al perro y comienza a frotarlo.</v>
      </c>
    </row>
    <row r="4276">
      <c r="A4276" s="4" t="s">
        <v>5377</v>
      </c>
      <c r="B4276" s="4" t="s">
        <v>5380</v>
      </c>
      <c r="C4276" s="5" t="str">
        <f>IFERROR(__xludf.DUMMYFUNCTION("GOOGLETRANSLATE(B4276,""en"",""es-ES"")"),"El hombre continúa limpiando al perro en el baño.")</f>
        <v>El hombre continúa limpiando al perro en el baño.</v>
      </c>
    </row>
    <row r="4277">
      <c r="A4277" s="4" t="s">
        <v>5381</v>
      </c>
      <c r="B4277" s="4" t="s">
        <v>5382</v>
      </c>
      <c r="C4277" s="5" t="str">
        <f>IFERROR(__xludf.DUMMYFUNCTION("GOOGLETRANSLATE(B4277,""en"",""es-ES"")"),"La gente está jugando Dodge Ball en un gimnasio.")</f>
        <v>La gente está jugando Dodge Ball en un gimnasio.</v>
      </c>
    </row>
    <row r="4278">
      <c r="A4278" s="4" t="s">
        <v>5381</v>
      </c>
      <c r="B4278" s="4" t="s">
        <v>5383</v>
      </c>
      <c r="C4278" s="5" t="str">
        <f>IFERROR(__xludf.DUMMYFUNCTION("GOOGLETRANSLATE(B4278,""en"",""es-ES"")"),"Comienzan a arrojarse las bolas el uno al otro.")</f>
        <v>Comienzan a arrojarse las bolas el uno al otro.</v>
      </c>
    </row>
    <row r="4279">
      <c r="A4279" s="4" t="s">
        <v>5384</v>
      </c>
      <c r="B4279" s="4" t="s">
        <v>5385</v>
      </c>
      <c r="C4279" s="5" t="str">
        <f>IFERROR(__xludf.DUMMYFUNCTION("GOOGLETRANSLATE(B4279,""en"",""es-ES"")"),"Un hombre empuja un tubo por una colina.")</f>
        <v>Un hombre empuja un tubo por una colina.</v>
      </c>
    </row>
    <row r="4280">
      <c r="A4280" s="4" t="s">
        <v>5384</v>
      </c>
      <c r="B4280" s="4" t="s">
        <v>5386</v>
      </c>
      <c r="C4280" s="5" t="str">
        <f>IFERROR(__xludf.DUMMYFUNCTION("GOOGLETRANSLATE(B4280,""en"",""es-ES"")"),"Otra persona ataca la colina en un tubo.")</f>
        <v>Otra persona ataca la colina en un tubo.</v>
      </c>
    </row>
    <row r="4281">
      <c r="A4281" s="4" t="s">
        <v>5384</v>
      </c>
      <c r="B4281" s="4" t="s">
        <v>5387</v>
      </c>
      <c r="C4281" s="5" t="str">
        <f>IFERROR(__xludf.DUMMYFUNCTION("GOOGLETRANSLATE(B4281,""en"",""es-ES"")"),"Una persona con una chaqueta roja está de pie en el fondo.")</f>
        <v>Una persona con una chaqueta roja está de pie en el fondo.</v>
      </c>
    </row>
    <row r="4282">
      <c r="A4282" s="4" t="s">
        <v>5388</v>
      </c>
      <c r="B4282" s="4" t="s">
        <v>5389</v>
      </c>
      <c r="C4282" s="5" t="str">
        <f>IFERROR(__xludf.DUMMYFUNCTION("GOOGLETRANSLATE(B4282,""en"",""es-ES"")"),"Este hombre lleva una camiseta azul y pantalones cortos blancos y está haciendo su rutina de gimnasia.")</f>
        <v>Este hombre lleva una camiseta azul y pantalones cortos blancos y está haciendo su rutina de gimnasia.</v>
      </c>
    </row>
    <row r="4283">
      <c r="A4283" s="4" t="s">
        <v>5388</v>
      </c>
      <c r="B4283" s="4" t="s">
        <v>5390</v>
      </c>
      <c r="C4283" s="5" t="str">
        <f>IFERROR(__xludf.DUMMYFUNCTION("GOOGLETRANSLATE(B4283,""en"",""es-ES"")"),"Luego se baja y se va para ir a otro lugar.")</f>
        <v>Luego se baja y se va para ir a otro lugar.</v>
      </c>
    </row>
    <row r="4284">
      <c r="A4284" s="4" t="s">
        <v>5388</v>
      </c>
      <c r="B4284" s="4" t="s">
        <v>5391</v>
      </c>
      <c r="C4284" s="5" t="str">
        <f>IFERROR(__xludf.DUMMYFUNCTION("GOOGLETRANSLATE(B4284,""en"",""es-ES"")"),"También hay otro hombre allí con él que camina y lleva una camisa verde.")</f>
        <v>También hay otro hombre allí con él que camina y lleva una camisa verde.</v>
      </c>
    </row>
    <row r="4285">
      <c r="A4285" s="4" t="s">
        <v>5392</v>
      </c>
      <c r="B4285" s="4" t="s">
        <v>5393</v>
      </c>
      <c r="C4285" s="5" t="str">
        <f>IFERROR(__xludf.DUMMYFUNCTION("GOOGLETRANSLATE(B4285,""en"",""es-ES"")"),"Se ve a un hombre hablando con una mujer mientras pone en un cinturón y luego camina al escenario.")</f>
        <v>Se ve a un hombre hablando con una mujer mientras pone en un cinturón y luego camina al escenario.</v>
      </c>
    </row>
    <row r="4286">
      <c r="A4286" s="4" t="s">
        <v>5392</v>
      </c>
      <c r="B4286" s="4" t="s">
        <v>5394</v>
      </c>
      <c r="C4286" s="5" t="str">
        <f>IFERROR(__xludf.DUMMYFUNCTION("GOOGLETRANSLATE(B4286,""en"",""es-ES"")"),"Luego, la mujer se dobla y levanta un gran peso sobre su cabeza, seguido de arrojarlo hacia abajo y salir del escenario.")</f>
        <v>Luego, la mujer se dobla y levanta un gran peso sobre su cabeza, seguido de arrojarlo hacia abajo y salir del escenario.</v>
      </c>
    </row>
    <row r="4287">
      <c r="A4287" s="4" t="s">
        <v>5392</v>
      </c>
      <c r="B4287" s="4" t="s">
        <v>5395</v>
      </c>
      <c r="C4287" s="5" t="str">
        <f>IFERROR(__xludf.DUMMYFUNCTION("GOOGLETRANSLATE(B4287,""en"",""es-ES"")"),"Su mismo ascensor se muestra nuevamente en cámara lenta.")</f>
        <v>Su mismo ascensor se muestra nuevamente en cámara lenta.</v>
      </c>
    </row>
    <row r="4288">
      <c r="A4288" s="4" t="s">
        <v>5396</v>
      </c>
      <c r="B4288" s="4" t="s">
        <v>5397</v>
      </c>
      <c r="C4288" s="5" t="str">
        <f>IFERROR(__xludf.DUMMYFUNCTION("GOOGLETRANSLATE(B4288,""en"",""es-ES"")"),"Boy está patinando en un parque de patinaje por la noche.")</f>
        <v>Boy está patinando en un parque de patinaje por la noche.</v>
      </c>
    </row>
    <row r="4289">
      <c r="A4289" s="4" t="s">
        <v>5396</v>
      </c>
      <c r="B4289" s="4" t="s">
        <v>5398</v>
      </c>
      <c r="C4289" s="5" t="str">
        <f>IFERROR(__xludf.DUMMYFUNCTION("GOOGLETRANSLATE(B4289,""en"",""es-ES"")"),"Boy está patinando en una acera con personas caminando.")</f>
        <v>Boy está patinando en una acera con personas caminando.</v>
      </c>
    </row>
    <row r="4290">
      <c r="A4290" s="4" t="s">
        <v>5396</v>
      </c>
      <c r="B4290" s="4" t="s">
        <v>5399</v>
      </c>
      <c r="C4290" s="5" t="str">
        <f>IFERROR(__xludf.DUMMYFUNCTION("GOOGLETRANSLATE(B4290,""en"",""es-ES"")"),"El hombre está patinando en la calle y un auto casi corre.")</f>
        <v>El hombre está patinando en la calle y un auto casi corre.</v>
      </c>
    </row>
    <row r="4291">
      <c r="A4291" s="4" t="s">
        <v>5396</v>
      </c>
      <c r="B4291" s="4" t="s">
        <v>5400</v>
      </c>
      <c r="C4291" s="5" t="str">
        <f>IFERROR(__xludf.DUMMYFUNCTION("GOOGLETRANSLATE(B4291,""en"",""es-ES"")"),"Escenas de hombres skteboarding en una cercas y caídas.")</f>
        <v>Escenas de hombres skteboarding en una cercas y caídas.</v>
      </c>
    </row>
    <row r="4292">
      <c r="A4292" s="4" t="s">
        <v>5401</v>
      </c>
      <c r="B4292" s="4" t="s">
        <v>5402</v>
      </c>
      <c r="C4292" s="5" t="str">
        <f>IFERROR(__xludf.DUMMYFUNCTION("GOOGLETRANSLATE(B4292,""en"",""es-ES"")"),"Mucha gente está en un maratón que corre en la calle mientras la gente está en los lados.")</f>
        <v>Mucha gente está en un maratón que corre en la calle mientras la gente está en los lados.</v>
      </c>
    </row>
    <row r="4293">
      <c r="A4293" s="4" t="s">
        <v>5401</v>
      </c>
      <c r="B4293" s="4" t="s">
        <v>5403</v>
      </c>
      <c r="C4293" s="5" t="str">
        <f>IFERROR(__xludf.DUMMYFUNCTION("GOOGLETRANSLATE(B4293,""en"",""es-ES"")"),"Diferentes mujeres y hombres están a través del final.")</f>
        <v>Diferentes mujeres y hombres están a través del final.</v>
      </c>
    </row>
    <row r="4294">
      <c r="A4294" s="4" t="s">
        <v>5404</v>
      </c>
      <c r="B4294" s="4" t="s">
        <v>5405</v>
      </c>
      <c r="C4294" s="5" t="str">
        <f>IFERROR(__xludf.DUMMYFUNCTION("GOOGLETRANSLATE(B4294,""en"",""es-ES"")"),"Un hombre con una camisa negra está hablando en una cancha de baloncesto.")</f>
        <v>Un hombre con una camisa negra está hablando en una cancha de baloncesto.</v>
      </c>
    </row>
    <row r="4295">
      <c r="A4295" s="4" t="s">
        <v>5404</v>
      </c>
      <c r="B4295" s="4" t="s">
        <v>5406</v>
      </c>
      <c r="C4295" s="5" t="str">
        <f>IFERROR(__xludf.DUMMYFUNCTION("GOOGLETRANSLATE(B4295,""en"",""es-ES"")"),"Un niño está jugando baloncesto en la cancha.")</f>
        <v>Un niño está jugando baloncesto en la cancha.</v>
      </c>
    </row>
    <row r="4296">
      <c r="A4296" s="4" t="s">
        <v>5407</v>
      </c>
      <c r="B4296" s="4" t="s">
        <v>1251</v>
      </c>
      <c r="C4296" s="5" t="str">
        <f>IFERROR(__xludf.DUMMYFUNCTION("GOOGLETRANSLATE(B4296,""en"",""es-ES"")"),"Se muestran los créditos del clip.")</f>
        <v>Se muestran los créditos del clip.</v>
      </c>
    </row>
    <row r="4297">
      <c r="A4297" s="4" t="s">
        <v>5407</v>
      </c>
      <c r="B4297" s="4" t="s">
        <v>5408</v>
      </c>
      <c r="C4297" s="5" t="str">
        <f>IFERROR(__xludf.DUMMYFUNCTION("GOOGLETRANSLATE(B4297,""en"",""es-ES"")"),"Una actuación de dama en el escenario con un perro (s).")</f>
        <v>Una actuación de dama en el escenario con un perro (s).</v>
      </c>
    </row>
    <row r="4298">
      <c r="A4298" s="4" t="s">
        <v>5407</v>
      </c>
      <c r="B4298" s="4" t="s">
        <v>5409</v>
      </c>
      <c r="C4298" s="5" t="str">
        <f>IFERROR(__xludf.DUMMYFUNCTION("GOOGLETRANSLATE(B4298,""en"",""es-ES"")"),"El perro obtiene platos que la dama arroja.")</f>
        <v>El perro obtiene platos que la dama arroja.</v>
      </c>
    </row>
    <row r="4299">
      <c r="A4299" s="4" t="s">
        <v>5407</v>
      </c>
      <c r="B4299" s="4" t="s">
        <v>5410</v>
      </c>
      <c r="C4299" s="5" t="str">
        <f>IFERROR(__xludf.DUMMYFUNCTION("GOOGLETRANSLATE(B4299,""en"",""es-ES"")"),"Un segundo perro se une al acto en el escenario.")</f>
        <v>Un segundo perro se une al acto en el escenario.</v>
      </c>
    </row>
    <row r="4300">
      <c r="A4300" s="4" t="s">
        <v>5407</v>
      </c>
      <c r="B4300" s="4" t="s">
        <v>5411</v>
      </c>
      <c r="C4300" s="5" t="str">
        <f>IFERROR(__xludf.DUMMYFUNCTION("GOOGLETRANSLATE(B4300,""en"",""es-ES"")"),"Los perros busquen placas juntas.")</f>
        <v>Los perros busquen placas juntas.</v>
      </c>
    </row>
    <row r="4301">
      <c r="A4301" s="4" t="s">
        <v>5407</v>
      </c>
      <c r="B4301" s="4" t="s">
        <v>5412</v>
      </c>
      <c r="C4301" s="5" t="str">
        <f>IFERROR(__xludf.DUMMYFUNCTION("GOOGLETRANSLATE(B4301,""en"",""es-ES"")"),"Un perro salta continuamente sobre otro perro y en la mano de la dama.")</f>
        <v>Un perro salta continuamente sobre otro perro y en la mano de la dama.</v>
      </c>
    </row>
    <row r="4302">
      <c r="A4302" s="4" t="s">
        <v>5407</v>
      </c>
      <c r="B4302" s="4" t="s">
        <v>5413</v>
      </c>
      <c r="C4302" s="5" t="str">
        <f>IFERROR(__xludf.DUMMYFUNCTION("GOOGLETRANSLATE(B4302,""en"",""es-ES"")"),"Un perro salta a través de Hula Hoops.")</f>
        <v>Un perro salta a través de Hula Hoops.</v>
      </c>
    </row>
    <row r="4303">
      <c r="A4303" s="4" t="s">
        <v>5407</v>
      </c>
      <c r="B4303" s="4" t="s">
        <v>5414</v>
      </c>
      <c r="C4303" s="5" t="str">
        <f>IFERROR(__xludf.DUMMYFUNCTION("GOOGLETRANSLATE(B4303,""en"",""es-ES"")"),"Un perro salta del escenario hacia la espalda de la dama.")</f>
        <v>Un perro salta del escenario hacia la espalda de la dama.</v>
      </c>
    </row>
    <row r="4304">
      <c r="A4304" s="4" t="s">
        <v>5407</v>
      </c>
      <c r="B4304" s="4" t="s">
        <v>5415</v>
      </c>
      <c r="C4304" s="5" t="str">
        <f>IFERROR(__xludf.DUMMYFUNCTION("GOOGLETRANSLATE(B4304,""en"",""es-ES"")"),"Un perro muerde en una placa roja y no lo deja ir.")</f>
        <v>Un perro muerde en una placa roja y no lo deja ir.</v>
      </c>
    </row>
    <row r="4305">
      <c r="A4305" s="4" t="s">
        <v>5407</v>
      </c>
      <c r="B4305" s="4" t="s">
        <v>5416</v>
      </c>
      <c r="C4305" s="5" t="str">
        <f>IFERROR(__xludf.DUMMYFUNCTION("GOOGLETRANSLATE(B4305,""en"",""es-ES"")"),"Un perro salta sobre las plantas elevadas de una dama.")</f>
        <v>Un perro salta sobre las plantas elevadas de una dama.</v>
      </c>
    </row>
    <row r="4306">
      <c r="A4306" s="4" t="s">
        <v>5407</v>
      </c>
      <c r="B4306" s="4" t="s">
        <v>5417</v>
      </c>
      <c r="C4306" s="5" t="str">
        <f>IFERROR(__xludf.DUMMYFUNCTION("GOOGLETRANSLATE(B4306,""en"",""es-ES"")"),"Los artistas hacen una reverencia y con el perro sale del escenario.")</f>
        <v>Los artistas hacen una reverencia y con el perro sale del escenario.</v>
      </c>
    </row>
    <row r="4307">
      <c r="A4307" s="4" t="s">
        <v>5407</v>
      </c>
      <c r="B4307" s="4" t="s">
        <v>5418</v>
      </c>
      <c r="C4307" s="5" t="str">
        <f>IFERROR(__xludf.DUMMYFUNCTION("GOOGLETRANSLATE(B4307,""en"",""es-ES"")"),"Se dibujan las cortinas del escenario.")</f>
        <v>Se dibujan las cortinas del escenario.</v>
      </c>
    </row>
    <row r="4308">
      <c r="A4308" s="4" t="s">
        <v>5407</v>
      </c>
      <c r="B4308" s="4" t="s">
        <v>573</v>
      </c>
      <c r="C4308" s="5" t="str">
        <f>IFERROR(__xludf.DUMMYFUNCTION("GOOGLETRANSLATE(B4308,""en"",""es-ES"")"),"Se muestran los créditos del video.")</f>
        <v>Se muestran los créditos del video.</v>
      </c>
    </row>
    <row r="4309">
      <c r="A4309" s="4" t="s">
        <v>5419</v>
      </c>
      <c r="B4309" s="4" t="s">
        <v>5420</v>
      </c>
      <c r="C4309" s="5" t="str">
        <f>IFERROR(__xludf.DUMMYFUNCTION("GOOGLETRANSLATE(B4309,""en"",""es-ES"")"),"Una mujer está detrás de una mesa con tacones altos.")</f>
        <v>Una mujer está detrás de una mesa con tacones altos.</v>
      </c>
    </row>
    <row r="4310">
      <c r="A4310" s="4" t="s">
        <v>5419</v>
      </c>
      <c r="B4310" s="4" t="s">
        <v>5421</v>
      </c>
      <c r="C4310" s="5" t="str">
        <f>IFERROR(__xludf.DUMMYFUNCTION("GOOGLETRANSLATE(B4310,""en"",""es-ES"")"),"Ella comienza a limpiar el zapato.")</f>
        <v>Ella comienza a limpiar el zapato.</v>
      </c>
    </row>
    <row r="4311">
      <c r="A4311" s="4" t="s">
        <v>5419</v>
      </c>
      <c r="B4311" s="4" t="s">
        <v>5422</v>
      </c>
      <c r="C4311" s="5" t="str">
        <f>IFERROR(__xludf.DUMMYFUNCTION("GOOGLETRANSLATE(B4311,""en"",""es-ES"")"),"Ella usa una punta Q para limpiar el lado del zapato.")</f>
        <v>Ella usa una punta Q para limpiar el lado del zapato.</v>
      </c>
    </row>
    <row r="4312">
      <c r="A4312" s="4" t="s">
        <v>5419</v>
      </c>
      <c r="B4312" s="4" t="s">
        <v>5423</v>
      </c>
      <c r="C4312" s="5" t="str">
        <f>IFERROR(__xludf.DUMMYFUNCTION("GOOGLETRANSLATE(B4312,""en"",""es-ES"")"),"Ella rocía el zapato con Windex y lo limpia.")</f>
        <v>Ella rocía el zapato con Windex y lo limpia.</v>
      </c>
    </row>
    <row r="4313">
      <c r="A4313" s="4" t="s">
        <v>5424</v>
      </c>
      <c r="B4313" s="4" t="s">
        <v>5425</v>
      </c>
      <c r="C4313" s="5" t="str">
        <f>IFERROR(__xludf.DUMMYFUNCTION("GOOGLETRANSLATE(B4313,""en"",""es-ES"")"),"Se ve una mano poniendo pesas en una barra y conduce a una persona que levanta pesas sobre sus hombros y camina.")</f>
        <v>Se ve una mano poniendo pesas en una barra y conduce a una persona que levanta pesas sobre sus hombros y camina.</v>
      </c>
    </row>
    <row r="4314">
      <c r="A4314" s="4" t="s">
        <v>5424</v>
      </c>
      <c r="B4314" s="4" t="s">
        <v>5426</v>
      </c>
      <c r="C4314" s="5" t="str">
        <f>IFERROR(__xludf.DUMMYFUNCTION("GOOGLETRANSLATE(B4314,""en"",""es-ES"")"),"La persona coloca los pesos y regresa con las pesas que se tiran.")</f>
        <v>La persona coloca los pesos y regresa con las pesas que se tiran.</v>
      </c>
    </row>
    <row r="4315">
      <c r="A4315" s="4" t="s">
        <v>5427</v>
      </c>
      <c r="B4315" s="4" t="s">
        <v>5428</v>
      </c>
      <c r="C4315" s="5" t="str">
        <f>IFERROR(__xludf.DUMMYFUNCTION("GOOGLETRANSLATE(B4315,""en"",""es-ES"")"),"Una mujer descalza con un atuendo morado y pañuelo en la cabeza beige está arrodillado y lavando platos en un cuerpo de agua al aire libre frente a la hierba y una plataforma de madera.")</f>
        <v>Una mujer descalza con un atuendo morado y pañuelo en la cabeza beige está arrodillado y lavando platos en un cuerpo de agua al aire libre frente a la hierba y una plataforma de madera.</v>
      </c>
    </row>
    <row r="4316">
      <c r="A4316" s="4" t="s">
        <v>5427</v>
      </c>
      <c r="B4316" s="4" t="s">
        <v>5429</v>
      </c>
      <c r="C4316" s="5" t="str">
        <f>IFERROR(__xludf.DUMMYFUNCTION("GOOGLETRANSLATE(B4316,""en"",""es-ES"")"),"La mujer enjuague un plato de bronce en el estrecho cuerpo de agua y procede a colocarlo en un cubo de plástico naranja.")</f>
        <v>La mujer enjuague un plato de bronce en el estrecho cuerpo de agua y procede a colocarlo en un cubo de plástico naranja.</v>
      </c>
    </row>
    <row r="4317">
      <c r="A4317" s="4" t="s">
        <v>5427</v>
      </c>
      <c r="B4317" s="4" t="s">
        <v>5430</v>
      </c>
      <c r="C4317" s="5" t="str">
        <f>IFERROR(__xludf.DUMMYFUNCTION("GOOGLETRANSLATE(B4317,""en"",""es-ES"")"),"La mujer continúa lavando otros platos y colocarlos en la canasta de naranja.")</f>
        <v>La mujer continúa lavando otros platos y colocarlos en la canasta de naranja.</v>
      </c>
    </row>
    <row r="4318">
      <c r="A4318" s="4" t="s">
        <v>5427</v>
      </c>
      <c r="B4318" s="4" t="s">
        <v>5431</v>
      </c>
      <c r="C4318" s="5" t="str">
        <f>IFERROR(__xludf.DUMMYFUNCTION("GOOGLETRANSLATE(B4318,""en"",""es-ES"")"),"La cámara saca una gran distancia y se gira para mostrar un Bannister amarillo en una terraza al aire libre con un chois de cuero marrón como el área de los asientos sobre un gran lago.")</f>
        <v>La cámara saca una gran distancia y se gira para mostrar un Bannister amarillo en una terraza al aire libre con un chois de cuero marrón como el área de los asientos sobre un gran lago.</v>
      </c>
    </row>
    <row r="4319">
      <c r="A4319" s="4" t="s">
        <v>5432</v>
      </c>
      <c r="B4319" s="4" t="s">
        <v>5433</v>
      </c>
      <c r="C4319" s="5" t="str">
        <f>IFERROR(__xludf.DUMMYFUNCTION("GOOGLETRANSLATE(B4319,""en"",""es-ES"")"),"Se muestran varias tomas de paisajes, así como personas que empujan un disco para jugar a ShuffleBoard.")</f>
        <v>Se muestran varias tomas de paisajes, así como personas que empujan un disco para jugar a ShuffleBoard.</v>
      </c>
    </row>
    <row r="4320">
      <c r="A4320" s="4" t="s">
        <v>5432</v>
      </c>
      <c r="B4320" s="4" t="s">
        <v>5434</v>
      </c>
      <c r="C4320" s="5" t="str">
        <f>IFERROR(__xludf.DUMMYFUNCTION("GOOGLETRANSLATE(B4320,""en"",""es-ES"")"),"Se muestran más tomas del juego, así como instrucciones de texto sobre cómo jugar.")</f>
        <v>Se muestran más tomas del juego, así como instrucciones de texto sobre cómo jugar.</v>
      </c>
    </row>
    <row r="4321">
      <c r="A4321" s="4" t="s">
        <v>5432</v>
      </c>
      <c r="B4321" s="4" t="s">
        <v>5435</v>
      </c>
      <c r="C4321" s="5" t="str">
        <f>IFERROR(__xludf.DUMMYFUNCTION("GOOGLETRANSLATE(B4321,""en"",""es-ES"")"),"Un hombre guarda puntuación y conduce a más tiros del juego que se juega.")</f>
        <v>Un hombre guarda puntuación y conduce a más tiros del juego que se juega.</v>
      </c>
    </row>
    <row r="4322">
      <c r="A4322" s="4" t="s">
        <v>5436</v>
      </c>
      <c r="B4322" s="4" t="s">
        <v>5437</v>
      </c>
      <c r="C4322" s="5" t="str">
        <f>IFERROR(__xludf.DUMMYFUNCTION("GOOGLETRANSLATE(B4322,""en"",""es-ES"")"),"Un hombre sostiene una cuerda de salto y habla.")</f>
        <v>Un hombre sostiene una cuerda de salto y habla.</v>
      </c>
    </row>
    <row r="4323">
      <c r="A4323" s="4" t="s">
        <v>5436</v>
      </c>
      <c r="B4323" s="4" t="s">
        <v>5438</v>
      </c>
      <c r="C4323" s="5" t="str">
        <f>IFERROR(__xludf.DUMMYFUNCTION("GOOGLETRANSLATE(B4323,""en"",""es-ES"")"),"Comienza a saltar cuerda y hacer trucos.")</f>
        <v>Comienza a saltar cuerda y hacer trucos.</v>
      </c>
    </row>
    <row r="4324">
      <c r="A4324" s="4" t="s">
        <v>5439</v>
      </c>
      <c r="B4324" s="4" t="s">
        <v>5440</v>
      </c>
      <c r="C4324" s="5" t="str">
        <f>IFERROR(__xludf.DUMMYFUNCTION("GOOGLETRANSLATE(B4324,""en"",""es-ES"")"),"Se ve a un pequeño grupo de hombres parados en un bote con uno empujando un shuffleboard.")</f>
        <v>Se ve a un pequeño grupo de hombres parados en un bote con uno empujando un shuffleboard.</v>
      </c>
    </row>
    <row r="4325">
      <c r="A4325" s="4" t="s">
        <v>5439</v>
      </c>
      <c r="B4325" s="4" t="s">
        <v>5441</v>
      </c>
      <c r="C4325" s="5" t="str">
        <f>IFERROR(__xludf.DUMMYFUNCTION("GOOGLETRANSLATE(B4325,""en"",""es-ES"")"),"Luego, los hombres comienzan a tocar el shuffleboard mientras se turnan.")</f>
        <v>Luego, los hombres comienzan a tocar el shuffleboard mientras se turnan.</v>
      </c>
    </row>
    <row r="4326">
      <c r="A4326" s="4" t="s">
        <v>5439</v>
      </c>
      <c r="B4326" s="4" t="s">
        <v>5442</v>
      </c>
      <c r="C4326" s="5" t="str">
        <f>IFERROR(__xludf.DUMMYFUNCTION("GOOGLETRANSLATE(B4326,""en"",""es-ES"")"),"Continúan jugando al costado del bote.")</f>
        <v>Continúan jugando al costado del bote.</v>
      </c>
    </row>
    <row r="4327">
      <c r="A4327" s="4" t="s">
        <v>5443</v>
      </c>
      <c r="B4327" s="4" t="s">
        <v>5444</v>
      </c>
      <c r="C4327" s="5" t="str">
        <f>IFERROR(__xludf.DUMMYFUNCTION("GOOGLETRANSLATE(B4327,""en"",""es-ES"")"),"Dos hombres están luchando contra una mesa.")</f>
        <v>Dos hombres están luchando contra una mesa.</v>
      </c>
    </row>
    <row r="4328">
      <c r="A4328" s="4" t="s">
        <v>5443</v>
      </c>
      <c r="B4328" s="4" t="s">
        <v>5445</v>
      </c>
      <c r="C4328" s="5" t="str">
        <f>IFERROR(__xludf.DUMMYFUNCTION("GOOGLETRANSLATE(B4328,""en"",""es-ES"")"),"Otro hombre se acerca a la mesa y se para frente a ellos.")</f>
        <v>Otro hombre se acerca a la mesa y se para frente a ellos.</v>
      </c>
    </row>
    <row r="4329">
      <c r="A4329" s="4" t="s">
        <v>5443</v>
      </c>
      <c r="B4329" s="4" t="s">
        <v>5446</v>
      </c>
      <c r="C4329" s="5" t="str">
        <f>IFERROR(__xludf.DUMMYFUNCTION("GOOGLETRANSLATE(B4329,""en"",""es-ES"")"),"Terminan la lucha libre y comienzan a ponerse de pie.")</f>
        <v>Terminan la lucha libre y comienzan a ponerse de pie.</v>
      </c>
    </row>
    <row r="4330">
      <c r="A4330" s="4" t="s">
        <v>5447</v>
      </c>
      <c r="B4330" s="4" t="s">
        <v>5448</v>
      </c>
      <c r="C4330" s="5" t="str">
        <f>IFERROR(__xludf.DUMMYFUNCTION("GOOGLETRANSLATE(B4330,""en"",""es-ES"")"),"Una mujer está agregando ingredientes a una sartén en la estufa.")</f>
        <v>Una mujer está agregando ingredientes a una sartén en la estufa.</v>
      </c>
    </row>
    <row r="4331">
      <c r="A4331" s="4" t="s">
        <v>5447</v>
      </c>
      <c r="B4331" s="4" t="s">
        <v>5449</v>
      </c>
      <c r="C4331" s="5" t="str">
        <f>IFERROR(__xludf.DUMMYFUNCTION("GOOGLETRANSLATE(B4331,""en"",""es-ES"")"),"Ella agita los ingredientes en la sartén.")</f>
        <v>Ella agita los ingredientes en la sartén.</v>
      </c>
    </row>
    <row r="4332">
      <c r="A4332" s="4" t="s">
        <v>5447</v>
      </c>
      <c r="B4332" s="4" t="s">
        <v>5450</v>
      </c>
      <c r="C4332" s="5" t="str">
        <f>IFERROR(__xludf.DUMMYFUNCTION("GOOGLETRANSLATE(B4332,""en"",""es-ES"")"),"Ella tira de una gran olla de pasta y la arroja a la sartén.")</f>
        <v>Ella tira de una gran olla de pasta y la arroja a la sartén.</v>
      </c>
    </row>
    <row r="4333">
      <c r="A4333" s="4" t="s">
        <v>5451</v>
      </c>
      <c r="B4333" s="4" t="s">
        <v>5452</v>
      </c>
      <c r="C4333" s="5" t="str">
        <f>IFERROR(__xludf.DUMMYFUNCTION("GOOGLETRANSLATE(B4333,""en"",""es-ES"")"),"Una mujer camina por la calle con dos perros.")</f>
        <v>Una mujer camina por la calle con dos perros.</v>
      </c>
    </row>
    <row r="4334">
      <c r="A4334" s="4" t="s">
        <v>5451</v>
      </c>
      <c r="B4334" s="4" t="s">
        <v>5453</v>
      </c>
      <c r="C4334" s="5" t="str">
        <f>IFERROR(__xludf.DUMMYFUNCTION("GOOGLETRANSLATE(B4334,""en"",""es-ES"")"),"El perro más grande sostiene una correa en la boca.")</f>
        <v>El perro más grande sostiene una correa en la boca.</v>
      </c>
    </row>
    <row r="4335">
      <c r="A4335" s="4" t="s">
        <v>5451</v>
      </c>
      <c r="B4335" s="4" t="s">
        <v>5454</v>
      </c>
      <c r="C4335" s="5" t="str">
        <f>IFERROR(__xludf.DUMMYFUNCTION("GOOGLETRANSLATE(B4335,""en"",""es-ES"")"),"El perro más pequeño está unido a la correa, y esencialmente está siendo liderado por el perro más grande en la caminata.")</f>
        <v>El perro más pequeño está unido a la correa, y esencialmente está siendo liderado por el perro más grande en la caminata.</v>
      </c>
    </row>
    <row r="4336">
      <c r="A4336" s="4" t="s">
        <v>5451</v>
      </c>
      <c r="B4336" s="4" t="s">
        <v>5455</v>
      </c>
      <c r="C4336" s="5" t="str">
        <f>IFERROR(__xludf.DUMMYFUNCTION("GOOGLETRANSLATE(B4336,""en"",""es-ES"")"),"Un hombre camina al frente, liderando el camino.")</f>
        <v>Un hombre camina al frente, liderando el camino.</v>
      </c>
    </row>
    <row r="4337">
      <c r="A4337" s="4" t="s">
        <v>5456</v>
      </c>
      <c r="B4337" s="4" t="s">
        <v>5457</v>
      </c>
      <c r="C4337" s="5" t="str">
        <f>IFERROR(__xludf.DUMMYFUNCTION("GOOGLETRANSLATE(B4337,""en"",""es-ES"")"),"Un hombre está haciendo volteos en la hierba.")</f>
        <v>Un hombre está haciendo volteos en la hierba.</v>
      </c>
    </row>
    <row r="4338">
      <c r="A4338" s="4" t="s">
        <v>5456</v>
      </c>
      <c r="B4338" s="4" t="s">
        <v>5458</v>
      </c>
      <c r="C4338" s="5" t="str">
        <f>IFERROR(__xludf.DUMMYFUNCTION("GOOGLETRANSLATE(B4338,""en"",""es-ES"")"),"Un hombre con un sombrero blanco está parado al lado del hombre.")</f>
        <v>Un hombre con un sombrero blanco está parado al lado del hombre.</v>
      </c>
    </row>
    <row r="4339">
      <c r="A4339" s="4" t="s">
        <v>5456</v>
      </c>
      <c r="B4339" s="4" t="s">
        <v>5459</v>
      </c>
      <c r="C4339" s="5" t="str">
        <f>IFERROR(__xludf.DUMMYFUNCTION("GOOGLETRANSLATE(B4339,""en"",""es-ES"")"),"Uno de los hombres arroja una roca al aire.")</f>
        <v>Uno de los hombres arroja una roca al aire.</v>
      </c>
    </row>
    <row r="4340">
      <c r="A4340" s="4" t="s">
        <v>5460</v>
      </c>
      <c r="B4340" s="4" t="s">
        <v>5461</v>
      </c>
      <c r="C4340" s="5" t="str">
        <f>IFERROR(__xludf.DUMMYFUNCTION("GOOGLETRANSLATE(B4340,""en"",""es-ES"")"),"Las familias están afuera en un gran campo de pie detrás de una cerca de cambio de naranja escuchando a una mujer hablar en un micrófono.")</f>
        <v>Las familias están afuera en un gran campo de pie detrás de una cerca de cambio de naranja escuchando a una mujer hablar en un micrófono.</v>
      </c>
    </row>
    <row r="4341">
      <c r="A4341" s="4" t="s">
        <v>5460</v>
      </c>
      <c r="B4341" s="4" t="s">
        <v>5462</v>
      </c>
      <c r="C4341" s="5" t="str">
        <f>IFERROR(__xludf.DUMMYFUNCTION("GOOGLETRANSLATE(B4341,""en"",""es-ES"")"),"Luego, un hombre viene vestido con el mismo Shrit que una mujer y comienza a arrojar frisbees a un perro.")</f>
        <v>Luego, un hombre viene vestido con el mismo Shrit que una mujer y comienza a arrojar frisbees a un perro.</v>
      </c>
    </row>
    <row r="4342">
      <c r="A4342" s="4" t="s">
        <v>5460</v>
      </c>
      <c r="B4342" s="4" t="s">
        <v>5463</v>
      </c>
      <c r="C4342" s="5" t="str">
        <f>IFERROR(__xludf.DUMMYFUNCTION("GOOGLETRANSLATE(B4342,""en"",""es-ES"")"),"Esta actividad continúa y el perro comienza a saltar sobre la cabeza del perro y su espalda.")</f>
        <v>Esta actividad continúa y el perro comienza a saltar sobre la cabeza del perro y su espalda.</v>
      </c>
    </row>
    <row r="4343">
      <c r="A4343" s="4" t="s">
        <v>5460</v>
      </c>
      <c r="B4343" s="4" t="s">
        <v>5464</v>
      </c>
      <c r="C4343" s="5" t="str">
        <f>IFERROR(__xludf.DUMMYFUNCTION("GOOGLETRANSLATE(B4343,""en"",""es-ES"")"),"Otros luego se unen y el niño recoge al perro y se aleja.")</f>
        <v>Otros luego se unen y el niño recoge al perro y se aleja.</v>
      </c>
    </row>
    <row r="4344">
      <c r="A4344" s="4" t="s">
        <v>5465</v>
      </c>
      <c r="B4344" s="4" t="s">
        <v>5466</v>
      </c>
      <c r="C4344" s="5" t="str">
        <f>IFERROR(__xludf.DUMMYFUNCTION("GOOGLETRANSLATE(B4344,""en"",""es-ES"")"),"El hombre que usa una camisa roja está de pie en un gran campo verde detrás de los niños.")</f>
        <v>El hombre que usa una camisa roja está de pie en un gran campo verde detrás de los niños.</v>
      </c>
    </row>
    <row r="4345">
      <c r="A4345" s="4" t="s">
        <v>5465</v>
      </c>
      <c r="B4345" s="4" t="s">
        <v>5467</v>
      </c>
      <c r="C4345" s="5" t="str">
        <f>IFERROR(__xludf.DUMMYFUNCTION("GOOGLETRANSLATE(B4345,""en"",""es-ES"")"),"Little Blonde Kid lanza una pelota y un niño patea la pelota en el campo.")</f>
        <v>Little Blonde Kid lanza una pelota y un niño patea la pelota en el campo.</v>
      </c>
    </row>
    <row r="4346">
      <c r="A4346" s="4" t="s">
        <v>5465</v>
      </c>
      <c r="B4346" s="4" t="s">
        <v>5468</v>
      </c>
      <c r="C4346" s="5" t="str">
        <f>IFERROR(__xludf.DUMMYFUNCTION("GOOGLETRANSLATE(B4346,""en"",""es-ES"")"),"Kisd está corriendo en el campo para atrapar la pelota.")</f>
        <v>Kisd está corriendo en el campo para atrapar la pelota.</v>
      </c>
    </row>
    <row r="4347">
      <c r="A4347" s="4" t="s">
        <v>5469</v>
      </c>
      <c r="B4347" s="4" t="s">
        <v>5470</v>
      </c>
      <c r="C4347" s="5" t="str">
        <f>IFERROR(__xludf.DUMMYFUNCTION("GOOGLETRANSLATE(B4347,""en"",""es-ES"")"),"Un hombre se encuentra en una arena que se prepara para el patineta.")</f>
        <v>Un hombre se encuentra en una arena que se prepara para el patineta.</v>
      </c>
    </row>
    <row r="4348">
      <c r="A4348" s="4" t="s">
        <v>5469</v>
      </c>
      <c r="B4348" s="4" t="s">
        <v>5471</v>
      </c>
      <c r="C4348" s="5" t="str">
        <f>IFERROR(__xludf.DUMMYFUNCTION("GOOGLETRANSLATE(B4348,""en"",""es-ES"")"),"El hombre patina por un medio tubo y va y viene de un extremo a otro.")</f>
        <v>El hombre patina por un medio tubo y va y viene de un extremo a otro.</v>
      </c>
    </row>
    <row r="4349">
      <c r="A4349" s="4" t="s">
        <v>5469</v>
      </c>
      <c r="B4349" s="4" t="s">
        <v>5472</v>
      </c>
      <c r="C4349" s="5" t="str">
        <f>IFERROR(__xludf.DUMMYFUNCTION("GOOGLETRANSLATE(B4349,""en"",""es-ES"")"),"El hombre pierde su patineta y baja la pared de rodillas.")</f>
        <v>El hombre pierde su patineta y baja la pared de rodillas.</v>
      </c>
    </row>
    <row r="4350">
      <c r="A4350" s="4" t="s">
        <v>5469</v>
      </c>
      <c r="B4350" s="4" t="s">
        <v>5473</v>
      </c>
      <c r="C4350" s="5" t="str">
        <f>IFERROR(__xludf.DUMMYFUNCTION("GOOGLETRANSLATE(B4350,""en"",""es-ES"")"),"Vemos la decepción del hombre mientras otro hombre se prepara para patinar.")</f>
        <v>Vemos la decepción del hombre mientras otro hombre se prepara para patinar.</v>
      </c>
    </row>
    <row r="4351">
      <c r="A4351" s="4" t="s">
        <v>5469</v>
      </c>
      <c r="B4351" s="4" t="s">
        <v>5474</v>
      </c>
      <c r="C4351" s="5" t="str">
        <f>IFERROR(__xludf.DUMMYFUNCTION("GOOGLETRANSLATE(B4351,""en"",""es-ES"")"),"El hombre se aleja y salta a su patineta detrás del escenario.")</f>
        <v>El hombre se aleja y salta a su patineta detrás del escenario.</v>
      </c>
    </row>
    <row r="4352">
      <c r="A4352" s="4" t="s">
        <v>5475</v>
      </c>
      <c r="B4352" s="4" t="s">
        <v>5476</v>
      </c>
      <c r="C4352" s="5" t="str">
        <f>IFERROR(__xludf.DUMMYFUNCTION("GOOGLETRANSLATE(B4352,""en"",""es-ES"")"),"Un hombre con un paraguas está limpiando su auto durante la lluvia.")</f>
        <v>Un hombre con un paraguas está limpiando su auto durante la lluvia.</v>
      </c>
    </row>
    <row r="4353">
      <c r="A4353" s="4" t="s">
        <v>5475</v>
      </c>
      <c r="B4353" s="4" t="s">
        <v>5477</v>
      </c>
      <c r="C4353" s="5" t="str">
        <f>IFERROR(__xludf.DUMMYFUNCTION("GOOGLETRANSLATE(B4353,""en"",""es-ES"")"),"Él sonríe a la cámara y comienza a hablar con la persona de la cámara.")</f>
        <v>Él sonríe a la cámara y comienza a hablar con la persona de la cámara.</v>
      </c>
    </row>
    <row r="4354">
      <c r="A4354" s="4" t="s">
        <v>5478</v>
      </c>
      <c r="B4354" s="4" t="s">
        <v>5479</v>
      </c>
      <c r="C4354" s="5" t="str">
        <f>IFERROR(__xludf.DUMMYFUNCTION("GOOGLETRANSLATE(B4354,""en"",""es-ES"")"),"Se muestran varias tomas de equipo de paintball, así como un hombre fumando un cigarrillo.")</f>
        <v>Se muestran varias tomas de equipo de paintball, así como un hombre fumando un cigarrillo.</v>
      </c>
    </row>
    <row r="4355">
      <c r="A4355" s="4" t="s">
        <v>5478</v>
      </c>
      <c r="B4355" s="4" t="s">
        <v>5480</v>
      </c>
      <c r="C4355" s="5" t="str">
        <f>IFERROR(__xludf.DUMMYFUNCTION("GOOGLETRANSLATE(B4355,""en"",""es-ES"")"),"Esto lleva a personas que juegan paintball entre sí y corren.")</f>
        <v>Esto lleva a personas que juegan paintball entre sí y corren.</v>
      </c>
    </row>
    <row r="4356">
      <c r="A4356" s="4" t="s">
        <v>5478</v>
      </c>
      <c r="B4356" s="4" t="s">
        <v>5481</v>
      </c>
      <c r="C4356" s="5" t="str">
        <f>IFERROR(__xludf.DUMMYFUNCTION("GOOGLETRANSLATE(B4356,""en"",""es-ES"")"),"Se muestran más disparos de personas que juegan y hablan entre sí.")</f>
        <v>Se muestran más disparos de personas que juegan y hablan entre sí.</v>
      </c>
    </row>
    <row r="4357">
      <c r="A4357" s="4" t="s">
        <v>5482</v>
      </c>
      <c r="B4357" s="4" t="s">
        <v>5483</v>
      </c>
      <c r="C4357" s="5" t="str">
        <f>IFERROR(__xludf.DUMMYFUNCTION("GOOGLETRANSLATE(B4357,""en"",""es-ES"")"),"Una mujer se pone un cigarrillo en la boca.")</f>
        <v>Una mujer se pone un cigarrillo en la boca.</v>
      </c>
    </row>
    <row r="4358">
      <c r="A4358" s="4" t="s">
        <v>5482</v>
      </c>
      <c r="B4358" s="4" t="s">
        <v>5484</v>
      </c>
      <c r="C4358" s="5" t="str">
        <f>IFERROR(__xludf.DUMMYFUNCTION("GOOGLETRANSLATE(B4358,""en"",""es-ES"")"),"Luego, la mujer enciende un cigarrillo y fuma.")</f>
        <v>Luego, la mujer enciende un cigarrillo y fuma.</v>
      </c>
    </row>
    <row r="4359">
      <c r="A4359" s="4" t="s">
        <v>5482</v>
      </c>
      <c r="B4359" s="4" t="s">
        <v>5485</v>
      </c>
      <c r="C4359" s="5" t="str">
        <f>IFERROR(__xludf.DUMMYFUNCTION("GOOGLETRANSLATE(B4359,""en"",""es-ES"")"),"La mujer le quita el humo de la boca.")</f>
        <v>La mujer le quita el humo de la boca.</v>
      </c>
    </row>
    <row r="4360">
      <c r="A4360" s="4" t="s">
        <v>5486</v>
      </c>
      <c r="B4360" s="4" t="s">
        <v>5487</v>
      </c>
      <c r="C4360" s="5" t="str">
        <f>IFERROR(__xludf.DUMMYFUNCTION("GOOGLETRANSLATE(B4360,""en"",""es-ES"")"),"Un grupo de vigas lleva una balsa por un camino.")</f>
        <v>Un grupo de vigas lleva una balsa por un camino.</v>
      </c>
    </row>
    <row r="4361">
      <c r="A4361" s="4" t="s">
        <v>5486</v>
      </c>
      <c r="B4361" s="4" t="s">
        <v>5488</v>
      </c>
      <c r="C4361" s="5" t="str">
        <f>IFERROR(__xludf.DUMMYFUNCTION("GOOGLETRANSLATE(B4361,""en"",""es-ES"")"),"Grupos de vigas viajan por un río sobre pequeñas cascadas.")</f>
        <v>Grupos de vigas viajan por un río sobre pequeñas cascadas.</v>
      </c>
    </row>
    <row r="4362">
      <c r="A4362" s="4" t="s">
        <v>5486</v>
      </c>
      <c r="B4362" s="4" t="s">
        <v>5489</v>
      </c>
      <c r="C4362" s="5" t="str">
        <f>IFERROR(__xludf.DUMMYFUNCTION("GOOGLETRANSLATE(B4362,""en"",""es-ES"")"),"Las vigas salen desde su bote en la orilla y caminan por el camino.")</f>
        <v>Las vigas salen desde su bote en la orilla y caminan por el camino.</v>
      </c>
    </row>
    <row r="4363">
      <c r="A4363" s="4" t="s">
        <v>5486</v>
      </c>
      <c r="B4363" s="4" t="s">
        <v>5490</v>
      </c>
      <c r="C4363" s="5" t="str">
        <f>IFERROR(__xludf.DUMMYFUNCTION("GOOGLETRANSLATE(B4363,""en"",""es-ES"")"),"La gente salta de rocas a un agujero del río.")</f>
        <v>La gente salta de rocas a un agujero del río.</v>
      </c>
    </row>
    <row r="4364">
      <c r="A4364" s="4" t="s">
        <v>5486</v>
      </c>
      <c r="B4364" s="4" t="s">
        <v>5491</v>
      </c>
      <c r="C4364" s="5" t="str">
        <f>IFERROR(__xludf.DUMMYFUNCTION("GOOGLETRANSLATE(B4364,""en"",""es-ES"")"),"Las vigas disfrutan de un almuerzo al aire libre en una casa de playa.")</f>
        <v>Las vigas disfrutan de un almuerzo al aire libre en una casa de playa.</v>
      </c>
    </row>
    <row r="4365">
      <c r="A4365" s="4" t="s">
        <v>5492</v>
      </c>
      <c r="B4365" s="4" t="s">
        <v>5493</v>
      </c>
      <c r="C4365" s="5" t="str">
        <f>IFERROR(__xludf.DUMMYFUNCTION("GOOGLETRANSLATE(B4365,""en"",""es-ES"")"),"Un grupo de personas está en un ascensor sobre las montañas.")</f>
        <v>Un grupo de personas está en un ascensor sobre las montañas.</v>
      </c>
    </row>
    <row r="4366">
      <c r="A4366" s="4" t="s">
        <v>5492</v>
      </c>
      <c r="B4366" s="4" t="s">
        <v>5494</v>
      </c>
      <c r="C4366" s="5" t="str">
        <f>IFERROR(__xludf.DUMMYFUNCTION("GOOGLETRANSLATE(B4366,""en"",""es-ES"")"),"Una persona se sube a él, mirando hacia abajo.")</f>
        <v>Una persona se sube a él, mirando hacia abajo.</v>
      </c>
    </row>
    <row r="4367">
      <c r="A4367" s="4" t="s">
        <v>5492</v>
      </c>
      <c r="B4367" s="4" t="s">
        <v>5495</v>
      </c>
      <c r="C4367" s="5" t="str">
        <f>IFERROR(__xludf.DUMMYFUNCTION("GOOGLETRANSLATE(B4367,""en"",""es-ES"")"),"Suman saltos, colgando y balanceándose sobre el suelo.")</f>
        <v>Suman saltos, colgando y balanceándose sobre el suelo.</v>
      </c>
    </row>
    <row r="4368">
      <c r="A4368" s="4" t="s">
        <v>5496</v>
      </c>
      <c r="B4368" s="4" t="s">
        <v>5497</v>
      </c>
      <c r="C4368" s="5" t="str">
        <f>IFERROR(__xludf.DUMMYFUNCTION("GOOGLETRANSLATE(B4368,""en"",""es-ES"")"),"Una gran escuela de pequeños peces nadan en el océano.")</f>
        <v>Una gran escuela de pequeños peces nadan en el océano.</v>
      </c>
    </row>
    <row r="4369">
      <c r="A4369" s="4" t="s">
        <v>5496</v>
      </c>
      <c r="B4369" s="4" t="s">
        <v>5498</v>
      </c>
      <c r="C4369" s="5" t="str">
        <f>IFERROR(__xludf.DUMMYFUNCTION("GOOGLETRANSLATE(B4369,""en"",""es-ES"")"),"Un sello nada en el océano.")</f>
        <v>Un sello nada en el océano.</v>
      </c>
    </row>
    <row r="4370">
      <c r="A4370" s="4" t="s">
        <v>5496</v>
      </c>
      <c r="B4370" s="4" t="s">
        <v>5499</v>
      </c>
      <c r="C4370" s="5" t="str">
        <f>IFERROR(__xludf.DUMMYFUNCTION("GOOGLETRANSLATE(B4370,""en"",""es-ES"")"),"La escena cambia a un buceo de perros con humanos.")</f>
        <v>La escena cambia a un buceo de perros con humanos.</v>
      </c>
    </row>
    <row r="4371">
      <c r="A4371" s="4" t="s">
        <v>5496</v>
      </c>
      <c r="B4371" s="4" t="s">
        <v>5500</v>
      </c>
      <c r="C4371" s="5" t="str">
        <f>IFERROR(__xludf.DUMMYFUNCTION("GOOGLETRANSLATE(B4371,""en"",""es-ES"")"),"El perro se muestra con un humano en un barco, con parte de su equipo de buceo.")</f>
        <v>El perro se muestra con un humano en un barco, con parte de su equipo de buceo.</v>
      </c>
    </row>
    <row r="4372">
      <c r="A4372" s="4" t="s">
        <v>5496</v>
      </c>
      <c r="B4372" s="4" t="s">
        <v>5501</v>
      </c>
      <c r="C4372" s="5" t="str">
        <f>IFERROR(__xludf.DUMMYFUNCTION("GOOGLETRANSLATE(B4372,""en"",""es-ES"")"),"La escena vuelve al buceo del perro.")</f>
        <v>La escena vuelve al buceo del perro.</v>
      </c>
    </row>
    <row r="4373">
      <c r="A4373" s="4" t="s">
        <v>5496</v>
      </c>
      <c r="B4373" s="4" t="s">
        <v>5502</v>
      </c>
      <c r="C4373" s="5" t="str">
        <f>IFERROR(__xludf.DUMMYFUNCTION("GOOGLETRANSLATE(B4373,""en"",""es-ES"")"),"La escena cambia a un gato caminando.")</f>
        <v>La escena cambia a un gato caminando.</v>
      </c>
    </row>
    <row r="4374">
      <c r="A4374" s="4" t="s">
        <v>5496</v>
      </c>
      <c r="B4374" s="4" t="s">
        <v>5503</v>
      </c>
      <c r="C4374" s="5" t="str">
        <f>IFERROR(__xludf.DUMMYFUNCTION("GOOGLETRANSLATE(B4374,""en"",""es-ES"")"),"Al gato se muestra nadando y buceo.")</f>
        <v>Al gato se muestra nadando y buceo.</v>
      </c>
    </row>
    <row r="4375">
      <c r="A4375" s="4" t="s">
        <v>5496</v>
      </c>
      <c r="B4375" s="4" t="s">
        <v>5504</v>
      </c>
      <c r="C4375" s="5" t="str">
        <f>IFERROR(__xludf.DUMMYFUNCTION("GOOGLETRANSLATE(B4375,""en"",""es-ES"")"),"El gato y el perro se muestran en varias escenas rápidas juntos.")</f>
        <v>El gato y el perro se muestran en varias escenas rápidas juntos.</v>
      </c>
    </row>
    <row r="4376">
      <c r="A4376" s="4" t="s">
        <v>5505</v>
      </c>
      <c r="B4376" s="4" t="s">
        <v>5506</v>
      </c>
      <c r="C4376" s="5" t="str">
        <f>IFERROR(__xludf.DUMMYFUNCTION("GOOGLETRANSLATE(B4376,""en"",""es-ES"")"),"Dos personas bailan en una pista de baile.")</f>
        <v>Dos personas bailan en una pista de baile.</v>
      </c>
    </row>
    <row r="4377">
      <c r="A4377" s="4" t="s">
        <v>5505</v>
      </c>
      <c r="B4377" s="4" t="s">
        <v>5507</v>
      </c>
      <c r="C4377" s="5" t="str">
        <f>IFERROR(__xludf.DUMMYFUNCTION("GOOGLETRANSLATE(B4377,""en"",""es-ES"")"),"La gente está sentada y de pie al margen mirándolos bailar.")</f>
        <v>La gente está sentada y de pie al margen mirándolos bailar.</v>
      </c>
    </row>
    <row r="4378">
      <c r="A4378" s="4" t="s">
        <v>5505</v>
      </c>
      <c r="B4378" s="4" t="s">
        <v>5508</v>
      </c>
      <c r="C4378" s="5" t="str">
        <f>IFERROR(__xludf.DUMMYFUNCTION("GOOGLETRANSLATE(B4378,""en"",""es-ES"")"),"Continúan bailando en la pista de baile.")</f>
        <v>Continúan bailando en la pista de baile.</v>
      </c>
    </row>
    <row r="4379">
      <c r="A4379" s="4" t="s">
        <v>5509</v>
      </c>
      <c r="B4379" s="4" t="s">
        <v>5510</v>
      </c>
      <c r="C4379" s="5" t="str">
        <f>IFERROR(__xludf.DUMMYFUNCTION("GOOGLETRANSLATE(B4379,""en"",""es-ES"")"),"Un hombre pone una pelota en el suelo, luego arroja una bandera.")</f>
        <v>Un hombre pone una pelota en el suelo, luego arroja una bandera.</v>
      </c>
    </row>
    <row r="4380">
      <c r="A4380" s="4" t="s">
        <v>5509</v>
      </c>
      <c r="B4380" s="4" t="s">
        <v>5511</v>
      </c>
      <c r="C4380" s="5" t="str">
        <f>IFERROR(__xludf.DUMMYFUNCTION("GOOGLETRANSLATE(B4380,""en"",""es-ES"")"),"Golpea la pelota, poniendo en marcha un juego.")</f>
        <v>Golpea la pelota, poniendo en marcha un juego.</v>
      </c>
    </row>
    <row r="4381">
      <c r="A4381" s="4" t="s">
        <v>5509</v>
      </c>
      <c r="B4381" s="4" t="s">
        <v>5512</v>
      </c>
      <c r="C4381" s="5" t="str">
        <f>IFERROR(__xludf.DUMMYFUNCTION("GOOGLETRANSLATE(B4381,""en"",""es-ES"")"),"Los jugadores luchan por el balón, llevando a la meta y la audiencia aplaude.")</f>
        <v>Los jugadores luchan por el balón, llevando a la meta y la audiencia aplaude.</v>
      </c>
    </row>
    <row r="4382">
      <c r="A4382" s="4" t="s">
        <v>5509</v>
      </c>
      <c r="B4382" s="4" t="s">
        <v>5513</v>
      </c>
      <c r="C4382" s="5" t="str">
        <f>IFERROR(__xludf.DUMMYFUNCTION("GOOGLETRANSLATE(B4382,""en"",""es-ES"")"),"El juego continúa a medida que los jugadores compiten.")</f>
        <v>El juego continúa a medida que los jugadores compiten.</v>
      </c>
    </row>
    <row r="4383">
      <c r="A4383" s="4" t="s">
        <v>5514</v>
      </c>
      <c r="B4383" s="4" t="s">
        <v>5515</v>
      </c>
      <c r="C4383" s="5" t="str">
        <f>IFERROR(__xludf.DUMMYFUNCTION("GOOGLETRANSLATE(B4383,""en"",""es-ES"")"),"Una mujer joven con un vestido negro y cárdigan rojo está parado en la esquina de una cocina cortando frutas.")</f>
        <v>Una mujer joven con un vestido negro y cárdigan rojo está parado en la esquina de una cocina cortando frutas.</v>
      </c>
    </row>
    <row r="4384">
      <c r="A4384" s="4" t="s">
        <v>5514</v>
      </c>
      <c r="B4384" s="4" t="s">
        <v>5516</v>
      </c>
      <c r="C4384" s="5" t="str">
        <f>IFERROR(__xludf.DUMMYFUNCTION("GOOGLETRANSLATE(B4384,""en"",""es-ES"")"),"Después de un tiempo, agarra seis fresas y las deja en el tablero de corte cuando comienza a cortar uvas.")</f>
        <v>Después de un tiempo, agarra seis fresas y las deja en el tablero de corte cuando comienza a cortar uvas.</v>
      </c>
    </row>
    <row r="4385">
      <c r="A4385" s="4" t="s">
        <v>5514</v>
      </c>
      <c r="B4385" s="4" t="s">
        <v>5517</v>
      </c>
      <c r="C4385" s="5" t="str">
        <f>IFERROR(__xludf.DUMMYFUNCTION("GOOGLETRANSLATE(B4385,""en"",""es-ES"")"),"Frente a ella, hay dos tazones blancos grandes llenos de fruta y ella comienza a poner la fruta cortada en esos tazones.")</f>
        <v>Frente a ella, hay dos tazones blancos grandes llenos de fruta y ella comienza a poner la fruta cortada en esos tazones.</v>
      </c>
    </row>
    <row r="4386">
      <c r="A4386" s="4" t="s">
        <v>5514</v>
      </c>
      <c r="B4386" s="4" t="s">
        <v>5518</v>
      </c>
      <c r="C4386" s="5" t="str">
        <f>IFERROR(__xludf.DUMMYFUNCTION("GOOGLETRANSLATE(B4386,""en"",""es-ES"")"),"La cámara se mueve y la persona se acerca al contenido de los tazones de frutas, mostrando piñas, fresas y uvas.")</f>
        <v>La cámara se mueve y la persona se acerca al contenido de los tazones de frutas, mostrando piñas, fresas y uvas.</v>
      </c>
    </row>
    <row r="4387">
      <c r="A4387" s="4" t="s">
        <v>5519</v>
      </c>
      <c r="B4387" s="4" t="s">
        <v>5520</v>
      </c>
      <c r="C4387" s="5" t="str">
        <f>IFERROR(__xludf.DUMMYFUNCTION("GOOGLETRANSLATE(B4387,""en"",""es-ES"")"),"Un hombre está sentado en una silla que un barbero corta el pelo.")</f>
        <v>Un hombre está sentado en una silla que un barbero corta el pelo.</v>
      </c>
    </row>
    <row r="4388">
      <c r="A4388" s="4" t="s">
        <v>5519</v>
      </c>
      <c r="B4388" s="4" t="s">
        <v>5521</v>
      </c>
      <c r="C4388" s="5" t="str">
        <f>IFERROR(__xludf.DUMMYFUNCTION("GOOGLETRANSLATE(B4388,""en"",""es-ES"")"),"Un hombre toma un peine y un par de tijeras y comienza a cortar el cabello sobre el peine y luego lo lleva a la parte delantera de la cabeza del hombre.")</f>
        <v>Un hombre toma un peine y un par de tijeras y comienza a cortar el cabello sobre el peine y luego lo lleva a la parte delantera de la cabeza del hombre.</v>
      </c>
    </row>
    <row r="4389">
      <c r="A4389" s="4" t="s">
        <v>5519</v>
      </c>
      <c r="B4389" s="4" t="s">
        <v>5522</v>
      </c>
      <c r="C4389" s="5" t="str">
        <f>IFERROR(__xludf.DUMMYFUNCTION("GOOGLETRANSLATE(B4389,""en"",""es-ES"")"),"El macho se gira y la mitad del cabello comienza a ser recortado.")</f>
        <v>El macho se gira y la mitad del cabello comienza a ser recortado.</v>
      </c>
    </row>
    <row r="4390">
      <c r="A4390" s="4" t="s">
        <v>5519</v>
      </c>
      <c r="B4390" s="4" t="s">
        <v>5523</v>
      </c>
      <c r="C4390" s="5" t="str">
        <f>IFERROR(__xludf.DUMMYFUNCTION("GOOGLETRANSLATE(B4390,""en"",""es-ES"")"),"El siguiente es los lados y las mismas acciones se repiten hasta que el cabello esté terminado.")</f>
        <v>El siguiente es los lados y las mismas acciones se repiten hasta que el cabello esté terminado.</v>
      </c>
    </row>
    <row r="4391">
      <c r="A4391" s="4" t="s">
        <v>5519</v>
      </c>
      <c r="B4391" s="4" t="s">
        <v>5524</v>
      </c>
      <c r="C4391" s="5" t="str">
        <f>IFERROR(__xludf.DUMMYFUNCTION("GOOGLETRANSLATE(B4391,""en"",""es-ES"")"),"Finalmente, se eliminan las navajas de afeitar y el barbero comienza a lanzar el cabello del hombre y el barbero se repite el cabello una última vez con el peine y las tijeras.")</f>
        <v>Finalmente, se eliminan las navajas de afeitar y el barbero comienza a lanzar el cabello del hombre y el barbero se repite el cabello una última vez con el peine y las tijeras.</v>
      </c>
    </row>
    <row r="4392">
      <c r="A4392" s="4" t="s">
        <v>5525</v>
      </c>
      <c r="B4392" s="4" t="s">
        <v>5526</v>
      </c>
      <c r="C4392" s="5" t="str">
        <f>IFERROR(__xludf.DUMMYFUNCTION("GOOGLETRANSLATE(B4392,""en"",""es-ES"")"),"Un hombre ve hablar con la cámara mientras está sentado en un equipo de ejercicio.")</f>
        <v>Un hombre ve hablar con la cámara mientras está sentado en un equipo de ejercicio.</v>
      </c>
    </row>
    <row r="4393">
      <c r="A4393" s="4" t="s">
        <v>5525</v>
      </c>
      <c r="B4393" s="4" t="s">
        <v>5527</v>
      </c>
      <c r="C4393" s="5" t="str">
        <f>IFERROR(__xludf.DUMMYFUNCTION("GOOGLETRANSLATE(B4393,""en"",""es-ES"")"),"Ajusta la configuración de la máquina y comienza a usarla de regreso y cuarto.")</f>
        <v>Ajusta la configuración de la máquina y comienza a usarla de regreso y cuarto.</v>
      </c>
    </row>
    <row r="4394">
      <c r="A4394" s="4" t="s">
        <v>5525</v>
      </c>
      <c r="B4394" s="4" t="s">
        <v>5528</v>
      </c>
      <c r="C4394" s="5" t="str">
        <f>IFERROR(__xludf.DUMMYFUNCTION("GOOGLETRANSLATE(B4394,""en"",""es-ES"")"),"Se agarra a la máquina y se mueve terminando hablando con la cámara.")</f>
        <v>Se agarra a la máquina y se mueve terminando hablando con la cámara.</v>
      </c>
    </row>
    <row r="4395">
      <c r="A4395" s="4" t="s">
        <v>5529</v>
      </c>
      <c r="B4395" s="4" t="s">
        <v>5530</v>
      </c>
      <c r="C4395" s="5" t="str">
        <f>IFERROR(__xludf.DUMMYFUNCTION("GOOGLETRANSLATE(B4395,""en"",""es-ES"")"),"Un atleta masculino se prepara para correr.")</f>
        <v>Un atleta masculino se prepara para correr.</v>
      </c>
    </row>
    <row r="4396">
      <c r="A4396" s="4" t="s">
        <v>5529</v>
      </c>
      <c r="B4396" s="4" t="s">
        <v>5531</v>
      </c>
      <c r="C4396" s="5" t="str">
        <f>IFERROR(__xludf.DUMMYFUNCTION("GOOGLETRANSLATE(B4396,""en"",""es-ES"")"),"Corre con una jabalina sobre su hombro.")</f>
        <v>Corre con una jabalina sobre su hombro.</v>
      </c>
    </row>
    <row r="4397">
      <c r="A4397" s="4" t="s">
        <v>5529</v>
      </c>
      <c r="B4397" s="4" t="s">
        <v>5532</v>
      </c>
      <c r="C4397" s="5" t="str">
        <f>IFERROR(__xludf.DUMMYFUNCTION("GOOGLETRANSLATE(B4397,""en"",""es-ES"")"),"Lo arroja tan fuerte como puede.")</f>
        <v>Lo arroja tan fuerte como puede.</v>
      </c>
    </row>
    <row r="4398">
      <c r="A4398" s="4" t="s">
        <v>5529</v>
      </c>
      <c r="B4398" s="4" t="s">
        <v>5533</v>
      </c>
      <c r="C4398" s="5" t="str">
        <f>IFERROR(__xludf.DUMMYFUNCTION("GOOGLETRANSLATE(B4398,""en"",""es-ES"")"),"Entonces otros hacen lo mismo poco después.")</f>
        <v>Entonces otros hacen lo mismo poco después.</v>
      </c>
    </row>
    <row r="4399">
      <c r="A4399" s="4" t="s">
        <v>5534</v>
      </c>
      <c r="B4399" s="4" t="s">
        <v>5535</v>
      </c>
      <c r="C4399" s="5" t="str">
        <f>IFERROR(__xludf.DUMMYFUNCTION("GOOGLETRANSLATE(B4399,""en"",""es-ES"")"),"Dos mujeres viajan en la parte posterior de un cuatro ruedas y saludan.")</f>
        <v>Dos mujeres viajan en la parte posterior de un cuatro ruedas y saludan.</v>
      </c>
    </row>
    <row r="4400">
      <c r="A4400" s="4" t="s">
        <v>5534</v>
      </c>
      <c r="B4400" s="4" t="s">
        <v>5536</v>
      </c>
      <c r="C4400" s="5" t="str">
        <f>IFERROR(__xludf.DUMMYFUNCTION("GOOGLETRANSLATE(B4400,""en"",""es-ES"")"),"Se muestra a un hombre posando con varias personas, yendo a un campo para jugar paintball.")</f>
        <v>Se muestra a un hombre posando con varias personas, yendo a un campo para jugar paintball.</v>
      </c>
    </row>
    <row r="4401">
      <c r="A4401" s="4" t="s">
        <v>5534</v>
      </c>
      <c r="B4401" s="4" t="s">
        <v>5537</v>
      </c>
      <c r="C4401" s="5" t="str">
        <f>IFERROR(__xludf.DUMMYFUNCTION("GOOGLETRANSLATE(B4401,""en"",""es-ES"")"),"La gente se prepara y se esconde detrás de los obstáculos, disparando el uno al otro.")</f>
        <v>La gente se prepara y se esconde detrás de los obstáculos, disparando el uno al otro.</v>
      </c>
    </row>
    <row r="4402">
      <c r="A4402" s="4" t="s">
        <v>5538</v>
      </c>
      <c r="B4402" s="4" t="s">
        <v>5539</v>
      </c>
      <c r="C4402" s="5" t="str">
        <f>IFERROR(__xludf.DUMMYFUNCTION("GOOGLETRANSLATE(B4402,""en"",""es-ES"")"),"Un hombre toca el saxofón en varios entornos públicos mientras el público mira.")</f>
        <v>Un hombre toca el saxofón en varios entornos públicos mientras el público mira.</v>
      </c>
    </row>
    <row r="4403">
      <c r="A4403" s="4" t="s">
        <v>5538</v>
      </c>
      <c r="B4403" s="4" t="s">
        <v>5540</v>
      </c>
      <c r="C4403" s="5" t="str">
        <f>IFERROR(__xludf.DUMMYFUNCTION("GOOGLETRANSLATE(B4403,""en"",""es-ES"")"),"El hombre juega mientras se acuesta en el suelo.")</f>
        <v>El hombre juega mientras se acuesta en el suelo.</v>
      </c>
    </row>
    <row r="4404">
      <c r="A4404" s="4" t="s">
        <v>5538</v>
      </c>
      <c r="B4404" s="4" t="s">
        <v>5541</v>
      </c>
      <c r="C4404" s="5" t="str">
        <f>IFERROR(__xludf.DUMMYFUNCTION("GOOGLETRANSLATE(B4404,""en"",""es-ES"")"),"Un guardia de seguridad lo aborda y lo escolta.")</f>
        <v>Un guardia de seguridad lo aborda y lo escolta.</v>
      </c>
    </row>
    <row r="4405">
      <c r="A4405" s="4" t="s">
        <v>5538</v>
      </c>
      <c r="B4405" s="4" t="s">
        <v>5542</v>
      </c>
      <c r="C4405" s="5" t="str">
        <f>IFERROR(__xludf.DUMMYFUNCTION("GOOGLETRANSLATE(B4405,""en"",""es-ES"")"),"El hombre se levanta y se aleja mientras juega.")</f>
        <v>El hombre se levanta y se aleja mientras juega.</v>
      </c>
    </row>
    <row r="4406">
      <c r="A4406" s="4" t="s">
        <v>5538</v>
      </c>
      <c r="B4406" s="4" t="s">
        <v>5543</v>
      </c>
      <c r="C4406" s="5" t="str">
        <f>IFERROR(__xludf.DUMMYFUNCTION("GOOGLETRANSLATE(B4406,""en"",""es-ES"")"),"Se muestran más escenas del hombre tocando el saxofón en varios entornos públicos.")</f>
        <v>Se muestran más escenas del hombre tocando el saxofón en varios entornos públicos.</v>
      </c>
    </row>
    <row r="4407">
      <c r="A4407" s="4" t="s">
        <v>5544</v>
      </c>
      <c r="B4407" s="4" t="s">
        <v>5545</v>
      </c>
      <c r="C4407" s="5" t="str">
        <f>IFERROR(__xludf.DUMMYFUNCTION("GOOGLETRANSLATE(B4407,""en"",""es-ES"")"),"Los jugadores están en una cancha jugando volea a Ball.")</f>
        <v>Los jugadores están en una cancha jugando volea a Ball.</v>
      </c>
    </row>
    <row r="4408">
      <c r="A4408" s="4" t="s">
        <v>5544</v>
      </c>
      <c r="B4408" s="4" t="s">
        <v>5546</v>
      </c>
      <c r="C4408" s="5" t="str">
        <f>IFERROR(__xludf.DUMMYFUNCTION("GOOGLETRANSLATE(B4408,""en"",""es-ES"")"),"Un hombre con una camisa negra se sumerge y golpea el suelo.")</f>
        <v>Un hombre con una camisa negra se sumerge y golpea el suelo.</v>
      </c>
    </row>
    <row r="4409">
      <c r="A4409" s="4" t="s">
        <v>5544</v>
      </c>
      <c r="B4409" s="4" t="s">
        <v>5547</v>
      </c>
      <c r="C4409" s="5" t="str">
        <f>IFERROR(__xludf.DUMMYFUNCTION("GOOGLETRANSLATE(B4409,""en"",""es-ES"")"),"Alguien anota y la multitud celebra.")</f>
        <v>Alguien anota y la multitud celebra.</v>
      </c>
    </row>
    <row r="4410">
      <c r="A4410" s="4" t="s">
        <v>5548</v>
      </c>
      <c r="B4410" s="4" t="s">
        <v>5549</v>
      </c>
      <c r="C4410" s="5" t="str">
        <f>IFERROR(__xludf.DUMMYFUNCTION("GOOGLETRANSLATE(B4410,""en"",""es-ES"")"),"Se muestra un primer plano de una mesa de fooseball con personas que mueven encuestas por todas partes.")</f>
        <v>Se muestra un primer plano de una mesa de fooseball con personas que mueven encuestas por todas partes.</v>
      </c>
    </row>
    <row r="4411">
      <c r="A4411" s="4" t="s">
        <v>5548</v>
      </c>
      <c r="B4411" s="4" t="s">
        <v>5550</v>
      </c>
      <c r="C4411" s="5" t="str">
        <f>IFERROR(__xludf.DUMMYFUNCTION("GOOGLETRANSLATE(B4411,""en"",""es-ES"")"),"El hombre rebota arriba y abajo mientras la gente continúa jugando entre sí.")</f>
        <v>El hombre rebota arriba y abajo mientras la gente continúa jugando entre sí.</v>
      </c>
    </row>
    <row r="4412">
      <c r="A4412" s="4" t="s">
        <v>5548</v>
      </c>
      <c r="B4412" s="4" t="s">
        <v>5551</v>
      </c>
      <c r="C4412" s="5" t="str">
        <f>IFERROR(__xludf.DUMMYFUNCTION("GOOGLETRANSLATE(B4412,""en"",""es-ES"")"),"Un hombre huye para agarrar la pelota y los lleva a jugar.")</f>
        <v>Un hombre huye para agarrar la pelota y los lleva a jugar.</v>
      </c>
    </row>
    <row r="4413">
      <c r="A4413" s="4" t="s">
        <v>5552</v>
      </c>
      <c r="B4413" s="4" t="s">
        <v>5553</v>
      </c>
      <c r="C4413" s="5" t="str">
        <f>IFERROR(__xludf.DUMMYFUNCTION("GOOGLETRANSLATE(B4413,""en"",""es-ES"")"),"Se ve a un hombre hablando con la cámara mientras un gran grupo de personas camina detrás de él.")</f>
        <v>Se ve a un hombre hablando con la cámara mientras un gran grupo de personas camina detrás de él.</v>
      </c>
    </row>
    <row r="4414">
      <c r="A4414" s="4" t="s">
        <v>5552</v>
      </c>
      <c r="B4414" s="4" t="s">
        <v>5554</v>
      </c>
      <c r="C4414" s="5" t="str">
        <f>IFERROR(__xludf.DUMMYFUNCTION("GOOGLETRANSLATE(B4414,""en"",""es-ES"")"),"Luego se muestran varios disparos de personas que montan en una balsa mientras algunos se caen.")</f>
        <v>Luego se muestran varios disparos de personas que montan en una balsa mientras algunos se caen.</v>
      </c>
    </row>
    <row r="4415">
      <c r="A4415" s="4" t="s">
        <v>5552</v>
      </c>
      <c r="B4415" s="4" t="s">
        <v>5555</v>
      </c>
      <c r="C4415" s="5" t="str">
        <f>IFERROR(__xludf.DUMMYFUNCTION("GOOGLETRANSLATE(B4415,""en"",""es-ES"")"),"Se muestran más clips de personas que viajan en el agua, así como se caen y gritan a la cámara.")</f>
        <v>Se muestran más clips de personas que viajan en el agua, así como se caen y gritan a la cámara.</v>
      </c>
    </row>
    <row r="4416">
      <c r="A4416" s="4" t="s">
        <v>5556</v>
      </c>
      <c r="B4416" s="4" t="s">
        <v>5557</v>
      </c>
      <c r="C4416" s="5" t="str">
        <f>IFERROR(__xludf.DUMMYFUNCTION("GOOGLETRANSLATE(B4416,""en"",""es-ES"")"),"Se ve a una mujer caminando hacia un gran piso de gimnasio mientras sostiene un bastón y pone una pose.")</f>
        <v>Se ve a una mujer caminando hacia un gran piso de gimnasio mientras sostiene un bastón y pone una pose.</v>
      </c>
    </row>
    <row r="4417">
      <c r="A4417" s="4" t="s">
        <v>5556</v>
      </c>
      <c r="B4417" s="4" t="s">
        <v>5558</v>
      </c>
      <c r="C4417" s="5" t="str">
        <f>IFERROR(__xludf.DUMMYFUNCTION("GOOGLETRANSLATE(B4417,""en"",""es-ES"")"),"Luego, la mujer realiza una rutina de baile con el bastón arrojándola al aire y girando.")</f>
        <v>Luego, la mujer realiza una rutina de baile con el bastón arrojándola al aire y girando.</v>
      </c>
    </row>
    <row r="4418">
      <c r="A4418" s="4" t="s">
        <v>5556</v>
      </c>
      <c r="B4418" s="4" t="s">
        <v>5559</v>
      </c>
      <c r="C4418" s="5" t="str">
        <f>IFERROR(__xludf.DUMMYFUNCTION("GOOGLETRANSLATE(B4418,""en"",""es-ES"")"),"Ella continúa girando y tiene una pose al final y se aleja de los jueces.")</f>
        <v>Ella continúa girando y tiene una pose al final y se aleja de los jueces.</v>
      </c>
    </row>
    <row r="4419">
      <c r="A4419" s="4" t="s">
        <v>5560</v>
      </c>
      <c r="B4419" s="4" t="s">
        <v>5561</v>
      </c>
      <c r="C4419" s="5" t="str">
        <f>IFERROR(__xludf.DUMMYFUNCTION("GOOGLETRANSLATE(B4419,""en"",""es-ES"")"),"En la pantalla se muestra el logotipo ""Theksiny on Skin"" y ""La forma #1 de no tener un resfriado o gripe"".")</f>
        <v>En la pantalla se muestra el logotipo "Theksiny on Skin" y "La forma #1 de no tener un resfriado o gripe".</v>
      </c>
    </row>
    <row r="4420">
      <c r="A4420" s="4" t="s">
        <v>5560</v>
      </c>
      <c r="B4420" s="4" t="s">
        <v>5562</v>
      </c>
      <c r="C4420" s="5" t="str">
        <f>IFERROR(__xludf.DUMMYFUNCTION("GOOGLETRANSLATE(B4420,""en"",""es-ES"")"),"La Dra. Lisa Kellett habla con la cámara en una sala de examen médico junto a un fregadero.")</f>
        <v>La Dra. Lisa Kellett habla con la cámara en una sala de examen médico junto a un fregadero.</v>
      </c>
    </row>
    <row r="4421">
      <c r="A4421" s="4" t="s">
        <v>5560</v>
      </c>
      <c r="B4421" s="4" t="s">
        <v>5563</v>
      </c>
      <c r="C4421" s="5" t="str">
        <f>IFERROR(__xludf.DUMMYFUNCTION("GOOGLETRANSLATE(B4421,""en"",""es-ES"")"),"El médico demuestra los pasos para lavarse las manos como lo hacen los médicos.")</f>
        <v>El médico demuestra los pasos para lavarse las manos como lo hacen los médicos.</v>
      </c>
    </row>
    <row r="4422">
      <c r="A4422" s="4" t="s">
        <v>5560</v>
      </c>
      <c r="B4422" s="4" t="s">
        <v>5564</v>
      </c>
      <c r="C4422" s="5" t="str">
        <f>IFERROR(__xludf.DUMMYFUNCTION("GOOGLETRANSLATE(B4422,""en"",""es-ES"")"),"El logotipo y la dirección del sitio web aparecen nuevamente en la pantalla.")</f>
        <v>El logotipo y la dirección del sitio web aparecen nuevamente en la pantalla.</v>
      </c>
    </row>
    <row r="4423">
      <c r="A4423" s="4" t="s">
        <v>5565</v>
      </c>
      <c r="B4423" s="4" t="s">
        <v>5566</v>
      </c>
      <c r="C4423" s="5" t="str">
        <f>IFERROR(__xludf.DUMMYFUNCTION("GOOGLETRANSLATE(B4423,""en"",""es-ES"")"),"página web y la dirección de la empresa.")</f>
        <v>página web y la dirección de la empresa.</v>
      </c>
    </row>
    <row r="4424">
      <c r="A4424" s="4" t="s">
        <v>5565</v>
      </c>
      <c r="B4424" s="4" t="s">
        <v>5567</v>
      </c>
      <c r="C4424" s="5" t="str">
        <f>IFERROR(__xludf.DUMMYFUNCTION("GOOGLETRANSLATE(B4424,""en"",""es-ES"")"),"Señales verdes en un poste.")</f>
        <v>Señales verdes en un poste.</v>
      </c>
    </row>
    <row r="4425">
      <c r="A4425" s="4" t="s">
        <v>5565</v>
      </c>
      <c r="B4425" s="4" t="s">
        <v>5568</v>
      </c>
      <c r="C4425" s="5" t="str">
        <f>IFERROR(__xludf.DUMMYFUNCTION("GOOGLETRANSLATE(B4425,""en"",""es-ES"")"),"La mujer está hablando por teléfono dentro de una tienda de autos.")</f>
        <v>La mujer está hablando por teléfono dentro de una tienda de autos.</v>
      </c>
    </row>
    <row r="4426">
      <c r="A4426" s="4" t="s">
        <v>5565</v>
      </c>
      <c r="B4426" s="4" t="s">
        <v>5569</v>
      </c>
      <c r="C4426" s="5" t="str">
        <f>IFERROR(__xludf.DUMMYFUNCTION("GOOGLETRANSLATE(B4426,""en"",""es-ES"")"),"El hombre está puliendo un auto negro mientras la gente está mirando.")</f>
        <v>El hombre está puliendo un auto negro mientras la gente está mirando.</v>
      </c>
    </row>
    <row r="4427">
      <c r="A4427" s="4" t="s">
        <v>5565</v>
      </c>
      <c r="B4427" s="4" t="s">
        <v>5570</v>
      </c>
      <c r="C4427" s="5" t="str">
        <f>IFERROR(__xludf.DUMMYFUNCTION("GOOGLETRANSLATE(B4427,""en"",""es-ES"")"),"Dos hombres están limpiando el auto en el exterior y el interior.")</f>
        <v>Dos hombres están limpiando el auto en el exterior y el interior.</v>
      </c>
    </row>
    <row r="4428">
      <c r="A4428" s="4" t="s">
        <v>5565</v>
      </c>
      <c r="B4428" s="4" t="s">
        <v>5571</v>
      </c>
      <c r="C4428" s="5" t="str">
        <f>IFERROR(__xludf.DUMMYFUNCTION("GOOGLETRANSLATE(B4428,""en"",""es-ES"")"),"Tres autos están estacionados frente a la tienda.")</f>
        <v>Tres autos están estacionados frente a la tienda.</v>
      </c>
    </row>
    <row r="4429">
      <c r="A4429" s="4" t="s">
        <v>5572</v>
      </c>
      <c r="B4429" s="4" t="s">
        <v>5573</v>
      </c>
      <c r="C4429" s="5" t="str">
        <f>IFERROR(__xludf.DUMMYFUNCTION("GOOGLETRANSLATE(B4429,""en"",""es-ES"")"),"Se ve a una persona cabalgando sobre un caballo sosteniendo un trozo de cuerda en sus manos retrocediendo y cuarto.")</f>
        <v>Se ve a una persona cabalgando sobre un caballo sosteniendo un trozo de cuerda en sus manos retrocediendo y cuarto.</v>
      </c>
    </row>
    <row r="4430">
      <c r="A4430" s="4" t="s">
        <v>5572</v>
      </c>
      <c r="B4430" s="4" t="s">
        <v>5574</v>
      </c>
      <c r="C4430" s="5" t="str">
        <f>IFERROR(__xludf.DUMMYFUNCTION("GOOGLETRANSLATE(B4430,""en"",""es-ES"")"),"El hombre retrocede un poco el caballo y luego se quita perseguir a una pantorrilla y atacarlo y atarlo.")</f>
        <v>El hombre retrocede un poco el caballo y luego se quita perseguir a una pantorrilla y atacarlo y atarlo.</v>
      </c>
    </row>
    <row r="4431">
      <c r="A4431" s="4" t="s">
        <v>5572</v>
      </c>
      <c r="B4431" s="4" t="s">
        <v>5575</v>
      </c>
      <c r="C4431" s="5" t="str">
        <f>IFERROR(__xludf.DUMMYFUNCTION("GOOGLETRANSLATE(B4431,""en"",""es-ES"")"),"Lanza las manos en el aire mientras la pantorrilla se mueve y luego sube sobre el caballo.")</f>
        <v>Lanza las manos en el aire mientras la pantorrilla se mueve y luego sube sobre el caballo.</v>
      </c>
    </row>
    <row r="4432">
      <c r="A4432" s="4" t="s">
        <v>5576</v>
      </c>
      <c r="B4432" s="4" t="s">
        <v>5577</v>
      </c>
      <c r="C4432" s="5" t="str">
        <f>IFERROR(__xludf.DUMMYFUNCTION("GOOGLETRANSLATE(B4432,""en"",""es-ES"")"),"Este hombre está tratando de disparar la bola blanca en la mesa de billar hacia atrás.")</f>
        <v>Este hombre está tratando de disparar la bola blanca en la mesa de billar hacia atrás.</v>
      </c>
    </row>
    <row r="4433">
      <c r="A4433" s="4" t="s">
        <v>5576</v>
      </c>
      <c r="B4433" s="4" t="s">
        <v>5578</v>
      </c>
      <c r="C4433" s="5" t="str">
        <f>IFERROR(__xludf.DUMMYFUNCTION("GOOGLETRANSLATE(B4433,""en"",""es-ES"")"),"Sigue tratando de dispararlo al revés, pero no puede, así que decidió hacerlo de la manera regular y disparar hacia adelante.")</f>
        <v>Sigue tratando de dispararlo al revés, pero no puede, así que decidió hacerlo de la manera regular y disparar hacia adelante.</v>
      </c>
    </row>
    <row r="4434">
      <c r="A4434" s="4" t="s">
        <v>5576</v>
      </c>
      <c r="B4434" s="4" t="s">
        <v>5579</v>
      </c>
      <c r="C4434" s="5" t="str">
        <f>IFERROR(__xludf.DUMMYFUNCTION("GOOGLETRANSLATE(B4434,""en"",""es-ES"")"),"Cuando lo hace, baja el palo de la señal y se aleja.")</f>
        <v>Cuando lo hace, baja el palo de la señal y se aleja.</v>
      </c>
    </row>
    <row r="4435">
      <c r="A4435" s="4" t="s">
        <v>5580</v>
      </c>
      <c r="B4435" s="4" t="s">
        <v>5581</v>
      </c>
      <c r="C4435" s="5" t="str">
        <f>IFERROR(__xludf.DUMMYFUNCTION("GOOGLETRANSLATE(B4435,""en"",""es-ES"")"),"Un hombre está parado en un campo sosteniendo un hacha.")</f>
        <v>Un hombre está parado en un campo sosteniendo un hacha.</v>
      </c>
    </row>
    <row r="4436">
      <c r="A4436" s="4" t="s">
        <v>5580</v>
      </c>
      <c r="B4436" s="4" t="s">
        <v>5582</v>
      </c>
      <c r="C4436" s="5" t="str">
        <f>IFERROR(__xludf.DUMMYFUNCTION("GOOGLETRANSLATE(B4436,""en"",""es-ES"")"),"El hombre levanta el hacha sobre su cabeza.")</f>
        <v>El hombre levanta el hacha sobre su cabeza.</v>
      </c>
    </row>
    <row r="4437">
      <c r="A4437" s="4" t="s">
        <v>5580</v>
      </c>
      <c r="B4437" s="4" t="s">
        <v>5583</v>
      </c>
      <c r="C4437" s="5" t="str">
        <f>IFERROR(__xludf.DUMMYFUNCTION("GOOGLETRANSLATE(B4437,""en"",""es-ES"")"),"El hombre divide un tronco de madera en un tocón.")</f>
        <v>El hombre divide un tronco de madera en un tocón.</v>
      </c>
    </row>
    <row r="4438">
      <c r="A4438" s="4" t="s">
        <v>5580</v>
      </c>
      <c r="B4438" s="4" t="s">
        <v>5584</v>
      </c>
      <c r="C4438" s="5" t="str">
        <f>IFERROR(__xludf.DUMMYFUNCTION("GOOGLETRANSLATE(B4438,""en"",""es-ES"")"),"El hombre luego se alza.")</f>
        <v>El hombre luego se alza.</v>
      </c>
    </row>
    <row r="4439">
      <c r="A4439" s="4" t="s">
        <v>5585</v>
      </c>
      <c r="B4439" s="4" t="s">
        <v>5586</v>
      </c>
      <c r="C4439" s="5" t="str">
        <f>IFERROR(__xludf.DUMMYFUNCTION("GOOGLETRANSLATE(B4439,""en"",""es-ES"")"),"Se ve un automóvil conduciendo a lo largo de la carretera que conduce a las personas endureciendo las carreteras y agarran bebidas.")</f>
        <v>Se ve un automóvil conduciendo a lo largo de la carretera que conduce a las personas endureciendo las carreteras y agarran bebidas.</v>
      </c>
    </row>
    <row r="4440">
      <c r="A4440" s="4" t="s">
        <v>5585</v>
      </c>
      <c r="B4440" s="4" t="s">
        <v>5587</v>
      </c>
      <c r="C4440" s="5" t="str">
        <f>IFERROR(__xludf.DUMMYFUNCTION("GOOGLETRANSLATE(B4440,""en"",""es-ES"")"),"Se muestran varios clips de personas que caminan por la cuerda y rebotan en ella.")</f>
        <v>Se muestran varios clips de personas que caminan por la cuerda y rebotan en ella.</v>
      </c>
    </row>
    <row r="4441">
      <c r="A4441" s="4" t="s">
        <v>5585</v>
      </c>
      <c r="B4441" s="4" t="s">
        <v>5588</v>
      </c>
      <c r="C4441" s="5" t="str">
        <f>IFERROR(__xludf.DUMMYFUNCTION("GOOGLETRANSLATE(B4441,""en"",""es-ES"")"),"Se muestran más primeros planos de las caras de las personas, además de pararse en la cuerda.")</f>
        <v>Se muestran más primeros planos de las caras de las personas, además de pararse en la cuerda.</v>
      </c>
    </row>
    <row r="4442">
      <c r="A4442" s="4" t="s">
        <v>5589</v>
      </c>
      <c r="B4442" s="4" t="s">
        <v>5590</v>
      </c>
      <c r="C4442" s="5" t="str">
        <f>IFERROR(__xludf.DUMMYFUNCTION("GOOGLETRANSLATE(B4442,""en"",""es-ES"")"),"Se ve a un hombre inclinarse mientras se quita un zapato para limpiar los pies y luego volver a poner el zapato.")</f>
        <v>Se ve a un hombre inclinarse mientras se quita un zapato para limpiar los pies y luego volver a poner el zapato.</v>
      </c>
    </row>
    <row r="4443">
      <c r="A4443" s="4" t="s">
        <v>5589</v>
      </c>
      <c r="B4443" s="4" t="s">
        <v>5591</v>
      </c>
      <c r="C4443" s="5" t="str">
        <f>IFERROR(__xludf.DUMMYFUNCTION("GOOGLETRANSLATE(B4443,""en"",""es-ES"")"),"Él hace esto a su otro pie y luego camina por las rocas mientras un hombre registra a él y otros caminan.")</f>
        <v>Él hace esto a su otro pie y luego camina por las rocas mientras un hombre registra a él y otros caminan.</v>
      </c>
    </row>
    <row r="4444">
      <c r="A4444" s="4" t="s">
        <v>5592</v>
      </c>
      <c r="B4444" s="4" t="s">
        <v>5593</v>
      </c>
      <c r="C4444" s="5" t="str">
        <f>IFERROR(__xludf.DUMMYFUNCTION("GOOGLETRANSLATE(B4444,""en"",""es-ES"")"),"Una chica rubia está en una casa residencial, sonriendo y hablando mientras sostiene un violín frente a ella.")</f>
        <v>Una chica rubia está en una casa residencial, sonriendo y hablando mientras sostiene un violín frente a ella.</v>
      </c>
    </row>
    <row r="4445">
      <c r="A4445" s="4" t="s">
        <v>5592</v>
      </c>
      <c r="B4445" s="4" t="s">
        <v>5594</v>
      </c>
      <c r="C4445" s="5" t="str">
        <f>IFERROR(__xludf.DUMMYFUNCTION("GOOGLETRANSLATE(B4445,""en"",""es-ES"")"),"La niña deja de hablar brevemente, y luego retrocede y lleva el violín a su barbilla mientras habla y luego comienza a jugar tirando del violín por las cuerdas.")</f>
        <v>La niña deja de hablar brevemente, y luego retrocede y lleva el violín a su barbilla mientras habla y luego comienza a jugar tirando del violín por las cuerdas.</v>
      </c>
    </row>
    <row r="4446">
      <c r="A4446" s="4" t="s">
        <v>5592</v>
      </c>
      <c r="B4446" s="4" t="s">
        <v>5595</v>
      </c>
      <c r="C4446" s="5" t="str">
        <f>IFERROR(__xludf.DUMMYFUNCTION("GOOGLETRANSLATE(B4446,""en"",""es-ES"")"),"La niña deja de tirar del violín sobre las cuerdas y se acerca a la cámara para hablar, y luego se reanuda moviendo el violín a través de las cuerdas.")</f>
        <v>La niña deja de tirar del violín sobre las cuerdas y se acerca a la cámara para hablar, y luego se reanuda moviendo el violín a través de las cuerdas.</v>
      </c>
    </row>
    <row r="4447">
      <c r="A4447" s="4" t="s">
        <v>5592</v>
      </c>
      <c r="B4447" s="4" t="s">
        <v>5596</v>
      </c>
      <c r="C4447" s="5" t="str">
        <f>IFERROR(__xludf.DUMMYFUNCTION("GOOGLETRANSLATE(B4447,""en"",""es-ES"")"),"Luego, la niña retrocede y se da vuelta para mostrar su lado izquierdo mientras mueve el violín a través de las cuerdas de violín, y luego se mueve hacia adelante nuevamente y se acerca a la cámara y juega un poco más.")</f>
        <v>Luego, la niña retrocede y se da vuelta para mostrar su lado izquierdo mientras mueve el violín a través de las cuerdas de violín, y luego se mueve hacia adelante nuevamente y se acerca a la cámara y juega un poco más.</v>
      </c>
    </row>
    <row r="4448">
      <c r="A4448" s="4" t="s">
        <v>5592</v>
      </c>
      <c r="B4448" s="4" t="s">
        <v>5597</v>
      </c>
      <c r="C4448" s="5" t="str">
        <f>IFERROR(__xludf.DUMMYFUNCTION("GOOGLETRANSLATE(B4448,""en"",""es-ES"")"),"La niña deja de jugar y saca el violín de su barbilla.")</f>
        <v>La niña deja de jugar y saca el violín de su barbilla.</v>
      </c>
    </row>
    <row r="4449">
      <c r="A4449" s="4" t="s">
        <v>5598</v>
      </c>
      <c r="B4449" s="4" t="s">
        <v>5599</v>
      </c>
      <c r="C4449" s="5" t="str">
        <f>IFERROR(__xludf.DUMMYFUNCTION("GOOGLETRANSLATE(B4449,""en"",""es-ES"")"),"Un hombre con equipo de buceo camina a lo largo del borde de una piscina.")</f>
        <v>Un hombre con equipo de buceo camina a lo largo del borde de una piscina.</v>
      </c>
    </row>
    <row r="4450">
      <c r="A4450" s="4" t="s">
        <v>5598</v>
      </c>
      <c r="B4450" s="4" t="s">
        <v>5600</v>
      </c>
      <c r="C4450" s="5" t="str">
        <f>IFERROR(__xludf.DUMMYFUNCTION("GOOGLETRANSLATE(B4450,""en"",""es-ES"")"),"El hombre comienza a hablar con la cámara y muestra a la cámara varios elementos.")</f>
        <v>El hombre comienza a hablar con la cámara y muestra a la cámara varios elementos.</v>
      </c>
    </row>
    <row r="4451">
      <c r="A4451" s="4" t="s">
        <v>5598</v>
      </c>
      <c r="B4451" s="4" t="s">
        <v>5601</v>
      </c>
      <c r="C4451" s="5" t="str">
        <f>IFERROR(__xludf.DUMMYFUNCTION("GOOGLETRANSLATE(B4451,""en"",""es-ES"")"),"La cámara muestra la piscina.")</f>
        <v>La cámara muestra la piscina.</v>
      </c>
    </row>
    <row r="4452">
      <c r="A4452" s="4" t="s">
        <v>5598</v>
      </c>
      <c r="B4452" s="4" t="s">
        <v>5602</v>
      </c>
      <c r="C4452" s="5" t="str">
        <f>IFERROR(__xludf.DUMMYFUNCTION("GOOGLETRANSLATE(B4452,""en"",""es-ES"")"),"Se muestra una herramienta y un compresor de aire.")</f>
        <v>Se muestra una herramienta y un compresor de aire.</v>
      </c>
    </row>
    <row r="4453">
      <c r="A4453" s="4" t="s">
        <v>5598</v>
      </c>
      <c r="B4453" s="4" t="s">
        <v>5603</v>
      </c>
      <c r="C4453" s="5" t="str">
        <f>IFERROR(__xludf.DUMMYFUNCTION("GOOGLETRANSLATE(B4453,""en"",""es-ES"")"),"El hombre entra en la piscina y procede a colocar una cubierta en el desagüe mientras está bajo el agua en el equipo de buceo.")</f>
        <v>El hombre entra en la piscina y procede a colocar una cubierta en el desagüe mientras está bajo el agua en el equipo de buceo.</v>
      </c>
    </row>
    <row r="4454">
      <c r="A4454" s="4" t="s">
        <v>5598</v>
      </c>
      <c r="B4454" s="4" t="s">
        <v>5604</v>
      </c>
      <c r="C4454" s="5" t="str">
        <f>IFERROR(__xludf.DUMMYFUNCTION("GOOGLETRANSLATE(B4454,""en"",""es-ES"")"),"El hombre da un pulgar hacia arriba.")</f>
        <v>El hombre da un pulgar hacia arriba.</v>
      </c>
    </row>
    <row r="4455">
      <c r="A4455" s="4" t="s">
        <v>5598</v>
      </c>
      <c r="B4455" s="4" t="s">
        <v>5605</v>
      </c>
      <c r="C4455" s="5" t="str">
        <f>IFERROR(__xludf.DUMMYFUNCTION("GOOGLETRANSLATE(B4455,""en"",""es-ES"")"),"El hombre muestra las burbujas que la herramienta hace bajo el agua mientras se balancea la cabeza.")</f>
        <v>El hombre muestra las burbujas que la herramienta hace bajo el agua mientras se balancea la cabeza.</v>
      </c>
    </row>
    <row r="4456">
      <c r="A4456" s="4" t="s">
        <v>5606</v>
      </c>
      <c r="B4456" s="4" t="s">
        <v>5607</v>
      </c>
      <c r="C4456" s="5" t="str">
        <f>IFERROR(__xludf.DUMMYFUNCTION("GOOGLETRANSLATE(B4456,""en"",""es-ES"")"),"Dos liques de pan, un plato y dos rebanadas de queso están en el mostrador.")</f>
        <v>Dos liques de pan, un plato y dos rebanadas de queso están en el mostrador.</v>
      </c>
    </row>
    <row r="4457">
      <c r="A4457" s="4" t="s">
        <v>5606</v>
      </c>
      <c r="B4457" s="4" t="s">
        <v>5608</v>
      </c>
      <c r="C4457" s="5" t="str">
        <f>IFERROR(__xludf.DUMMYFUNCTION("GOOGLETRANSLATE(B4457,""en"",""es-ES"")"),"Luego, la persona toma una rebanada, extiende la mantequilla sobre ella y pone dos rebanadas de queso y agrega la otra porción encima.")</f>
        <v>Luego, la persona toma una rebanada, extiende la mantequilla sobre ella y pone dos rebanadas de queso y agrega la otra porción encima.</v>
      </c>
    </row>
    <row r="4458">
      <c r="A4458" s="4" t="s">
        <v>5606</v>
      </c>
      <c r="B4458" s="4" t="s">
        <v>5609</v>
      </c>
      <c r="C4458" s="5" t="str">
        <f>IFERROR(__xludf.DUMMYFUNCTION("GOOGLETRANSLATE(B4458,""en"",""es-ES"")"),"El sándwich ahora tiene mantequilla en ambos lados y el sándwich se coloca en una sartén y se fríe.")</f>
        <v>El sándwich ahora tiene mantequilla en ambos lados y el sándwich se coloca en una sartén y se fríe.</v>
      </c>
    </row>
    <row r="4459">
      <c r="A4459" s="4" t="s">
        <v>5606</v>
      </c>
      <c r="B4459" s="4" t="s">
        <v>5610</v>
      </c>
      <c r="C4459" s="5" t="str">
        <f>IFERROR(__xludf.DUMMYFUNCTION("GOOGLETRANSLATE(B4459,""en"",""es-ES"")"),"Una vez completo, se coloca en una placa roja y se corta por la mitad con un cuchillo grueso.")</f>
        <v>Una vez completo, se coloca en una placa roja y se corta por la mitad con un cuchillo grueso.</v>
      </c>
    </row>
    <row r="4460">
      <c r="A4460" s="4" t="s">
        <v>5611</v>
      </c>
      <c r="B4460" s="4" t="s">
        <v>5612</v>
      </c>
      <c r="C4460" s="5" t="str">
        <f>IFERROR(__xludf.DUMMYFUNCTION("GOOGLETRANSLATE(B4460,""en"",""es-ES"")"),"Se muestra a un hombre sosteniendo un contenedor grande, así como varias personas a su alrededor reuniendo hojas.")</f>
        <v>Se muestra a un hombre sosteniendo un contenedor grande, así como varias personas a su alrededor reuniendo hojas.</v>
      </c>
    </row>
    <row r="4461">
      <c r="A4461" s="4" t="s">
        <v>5611</v>
      </c>
      <c r="B4461" s="4" t="s">
        <v>5613</v>
      </c>
      <c r="C4461" s="5" t="str">
        <f>IFERROR(__xludf.DUMMYFUNCTION("GOOGLETRANSLATE(B4461,""en"",""es-ES"")"),"Se muestra a más personas caminando alrededor de las hojas raspadas mientras una mujer habla con la multitud y las inspira a trabajar más.")</f>
        <v>Se muestra a más personas caminando alrededor de las hojas raspadas mientras una mujer habla con la multitud y las inspira a trabajar más.</v>
      </c>
    </row>
    <row r="4462">
      <c r="A4462" s="4" t="s">
        <v>5611</v>
      </c>
      <c r="B4462" s="4" t="s">
        <v>5614</v>
      </c>
      <c r="C4462" s="5" t="str">
        <f>IFERROR(__xludf.DUMMYFUNCTION("GOOGLETRANSLATE(B4462,""en"",""es-ES"")"),"La gente continúa trabajando y el sol brilla sobre un árbol.")</f>
        <v>La gente continúa trabajando y el sol brilla sobre un árbol.</v>
      </c>
    </row>
    <row r="4463">
      <c r="A4463" s="4" t="s">
        <v>5615</v>
      </c>
      <c r="B4463" s="4" t="s">
        <v>5616</v>
      </c>
      <c r="C4463" s="5" t="str">
        <f>IFERROR(__xludf.DUMMYFUNCTION("GOOGLETRANSLATE(B4463,""en"",""es-ES"")"),"Se ven dos personas paradas afuera en una estera.")</f>
        <v>Se ven dos personas paradas afuera en una estera.</v>
      </c>
    </row>
    <row r="4464">
      <c r="A4464" s="4" t="s">
        <v>5615</v>
      </c>
      <c r="B4464" s="4" t="s">
        <v>5617</v>
      </c>
      <c r="C4464" s="5" t="str">
        <f>IFERROR(__xludf.DUMMYFUNCTION("GOOGLETRANSLATE(B4464,""en"",""es-ES"")"),"Una persona luego agarra a la otra persona por las piernas.")</f>
        <v>Una persona luego agarra a la otra persona por las piernas.</v>
      </c>
    </row>
    <row r="4465">
      <c r="A4465" s="4" t="s">
        <v>5615</v>
      </c>
      <c r="B4465" s="4" t="s">
        <v>5618</v>
      </c>
      <c r="C4465" s="5" t="str">
        <f>IFERROR(__xludf.DUMMYFUNCTION("GOOGLETRANSLATE(B4465,""en"",""es-ES"")"),"Los hombres luego se voltean en el suelo.")</f>
        <v>Los hombres luego se voltean en el suelo.</v>
      </c>
    </row>
    <row r="4466">
      <c r="A4466" s="4" t="s">
        <v>5619</v>
      </c>
      <c r="B4466" s="4" t="s">
        <v>5620</v>
      </c>
      <c r="C4466" s="5" t="str">
        <f>IFERROR(__xludf.DUMMYFUNCTION("GOOGLETRANSLATE(B4466,""en"",""es-ES"")"),"La gente está jugando un juego de lacrosse en un campo.")</f>
        <v>La gente está jugando un juego de lacrosse en un campo.</v>
      </c>
    </row>
    <row r="4467">
      <c r="A4467" s="4" t="s">
        <v>5619</v>
      </c>
      <c r="B4467" s="4" t="s">
        <v>5621</v>
      </c>
      <c r="C4467" s="5" t="str">
        <f>IFERROR(__xludf.DUMMYFUNCTION("GOOGLETRANSLATE(B4467,""en"",""es-ES"")"),"Una mujer está hablando con la cámara en un gimnasio.")</f>
        <v>Una mujer está hablando con la cámara en un gimnasio.</v>
      </c>
    </row>
    <row r="4468">
      <c r="A4468" s="4" t="s">
        <v>5619</v>
      </c>
      <c r="B4468" s="4" t="s">
        <v>5622</v>
      </c>
      <c r="C4468" s="5" t="str">
        <f>IFERROR(__xludf.DUMMYFUNCTION("GOOGLETRANSLATE(B4468,""en"",""es-ES"")"),"Un tren está conduciendo en las vías.")</f>
        <v>Un tren está conduciendo en las vías.</v>
      </c>
    </row>
    <row r="4469">
      <c r="A4469" s="4" t="s">
        <v>5619</v>
      </c>
      <c r="B4469" s="4" t="s">
        <v>5623</v>
      </c>
      <c r="C4469" s="5" t="str">
        <f>IFERROR(__xludf.DUMMYFUNCTION("GOOGLETRANSLATE(B4469,""en"",""es-ES"")"),"Continúan jugando lacrosse en un campo.")</f>
        <v>Continúan jugando lacrosse en un campo.</v>
      </c>
    </row>
    <row r="4470">
      <c r="A4470" s="4" t="s">
        <v>5624</v>
      </c>
      <c r="B4470" s="4" t="s">
        <v>5625</v>
      </c>
      <c r="C4470" s="5" t="str">
        <f>IFERROR(__xludf.DUMMYFUNCTION("GOOGLETRANSLATE(B4470,""en"",""es-ES"")"),"La persona está nadando debajo del mar.")</f>
        <v>La persona está nadando debajo del mar.</v>
      </c>
    </row>
    <row r="4471">
      <c r="A4471" s="4" t="s">
        <v>5624</v>
      </c>
      <c r="B4471" s="4" t="s">
        <v>5626</v>
      </c>
      <c r="C4471" s="5" t="str">
        <f>IFERROR(__xludf.DUMMYFUNCTION("GOOGLETRANSLATE(B4471,""en"",""es-ES"")"),"La mujer está nadando hacia adelante, miró la cámara.")</f>
        <v>La mujer está nadando hacia adelante, miró la cámara.</v>
      </c>
    </row>
    <row r="4472">
      <c r="A4472" s="4" t="s">
        <v>5624</v>
      </c>
      <c r="B4472" s="4" t="s">
        <v>5627</v>
      </c>
      <c r="C4472" s="5" t="str">
        <f>IFERROR(__xludf.DUMMYFUNCTION("GOOGLETRANSLATE(B4472,""en"",""es-ES"")"),"La mujer está sacudiendo la cabeza mientras detrás de ella, otro buzo está nadando.")</f>
        <v>La mujer está sacudiendo la cabeza mientras detrás de ella, otro buzo está nadando.</v>
      </c>
    </row>
    <row r="4473">
      <c r="A4473" s="4" t="s">
        <v>5628</v>
      </c>
      <c r="B4473" s="4" t="s">
        <v>5629</v>
      </c>
      <c r="C4473" s="5" t="str">
        <f>IFERROR(__xludf.DUMMYFUNCTION("GOOGLETRANSLATE(B4473,""en"",""es-ES"")"),"Un par de manos se muestran en una mesa de Jack Black.")</f>
        <v>Un par de manos se muestran en una mesa de Jack Black.</v>
      </c>
    </row>
    <row r="4474">
      <c r="A4474" s="4" t="s">
        <v>5628</v>
      </c>
      <c r="B4474" s="4" t="s">
        <v>5630</v>
      </c>
      <c r="C4474" s="5" t="str">
        <f>IFERROR(__xludf.DUMMYFUNCTION("GOOGLETRANSLATE(B4474,""en"",""es-ES"")"),"Una mujer está tratando las tarjetas y las papas fritas.")</f>
        <v>Una mujer está tratando las tarjetas y las papas fritas.</v>
      </c>
    </row>
    <row r="4475">
      <c r="A4475" s="4" t="s">
        <v>5628</v>
      </c>
      <c r="B4475" s="4" t="s">
        <v>5631</v>
      </c>
      <c r="C4475" s="5" t="str">
        <f>IFERROR(__xludf.DUMMYFUNCTION("GOOGLETRANSLATE(B4475,""en"",""es-ES"")"),"Los chips se muestran en una pila al final.")</f>
        <v>Los chips se muestran en una pila al final.</v>
      </c>
    </row>
    <row r="4476">
      <c r="A4476" s="4" t="s">
        <v>5632</v>
      </c>
      <c r="B4476" s="4" t="s">
        <v>5633</v>
      </c>
      <c r="C4476" s="5" t="str">
        <f>IFERROR(__xludf.DUMMYFUNCTION("GOOGLETRANSLATE(B4476,""en"",""es-ES"")"),"Se ven varios equipos de personas jugando un juego de tira y afloja entre ellos con personas mirando a los lados.")</f>
        <v>Se ven varios equipos de personas jugando un juego de tira y afloja entre ellos con personas mirando a los lados.</v>
      </c>
    </row>
    <row r="4477">
      <c r="A4477" s="4" t="s">
        <v>5632</v>
      </c>
      <c r="B4477" s="4" t="s">
        <v>5634</v>
      </c>
      <c r="C4477" s="5" t="str">
        <f>IFERROR(__xludf.DUMMYFUNCTION("GOOGLETRANSLATE(B4477,""en"",""es-ES"")"),"La gente continúa compitiendo entre sí y termina con un equipo ganando.")</f>
        <v>La gente continúa compitiendo entre sí y termina con un equipo ganando.</v>
      </c>
    </row>
    <row r="4478">
      <c r="A4478" s="4" t="s">
        <v>5635</v>
      </c>
      <c r="B4478" s="4" t="s">
        <v>5636</v>
      </c>
      <c r="C4478" s="5" t="str">
        <f>IFERROR(__xludf.DUMMYFUNCTION("GOOGLETRANSLATE(B4478,""en"",""es-ES"")"),"Un anciano con camisa negra y anteojos está sentado en una mesa verde, frente a él hay libro, papas fritas con diferentes colores y pila de tarjetas.")</f>
        <v>Un anciano con camisa negra y anteojos está sentado en una mesa verde, frente a él hay libro, papas fritas con diferentes colores y pila de tarjetas.</v>
      </c>
    </row>
    <row r="4479">
      <c r="A4479" s="4" t="s">
        <v>5635</v>
      </c>
      <c r="B4479" s="4" t="s">
        <v>5637</v>
      </c>
      <c r="C4479" s="5" t="str">
        <f>IFERROR(__xludf.DUMMYFUNCTION("GOOGLETRANSLATE(B4479,""en"",""es-ES"")"),"Colocó las cartas sobre la mesa, en la parte superior de las estrellas amarillas de la mesa, organizó las cartas de manera horizontal.")</f>
        <v>Colocó las cartas sobre la mesa, en la parte superior de las estrellas amarillas de la mesa, organizó las cartas de manera horizontal.</v>
      </c>
    </row>
    <row r="4480">
      <c r="A4480" s="4" t="s">
        <v>5638</v>
      </c>
      <c r="B4480" s="4" t="s">
        <v>5639</v>
      </c>
      <c r="C4480" s="5" t="str">
        <f>IFERROR(__xludf.DUMMYFUNCTION("GOOGLETRANSLATE(B4480,""en"",""es-ES"")"),"Se muestra a la mujer vaciando dos alimentos diferentes en el plato para hacer una ensalada de frutas.")</f>
        <v>Se muestra a la mujer vaciando dos alimentos diferentes en el plato para hacer una ensalada de frutas.</v>
      </c>
    </row>
    <row r="4481">
      <c r="A4481" s="4" t="s">
        <v>5638</v>
      </c>
      <c r="B4481" s="4" t="s">
        <v>5640</v>
      </c>
      <c r="C4481" s="5" t="str">
        <f>IFERROR(__xludf.DUMMYFUNCTION("GOOGLETRANSLATE(B4481,""en"",""es-ES"")"),"Ella toca las fresas y las manzanas.")</f>
        <v>Ella toca las fresas y las manzanas.</v>
      </c>
    </row>
    <row r="4482">
      <c r="A4482" s="4" t="s">
        <v>5638</v>
      </c>
      <c r="B4482" s="4" t="s">
        <v>5641</v>
      </c>
      <c r="C4482" s="5" t="str">
        <f>IFERROR(__xludf.DUMMYFUNCTION("GOOGLETRANSLATE(B4482,""en"",""es-ES"")"),"Luego rocía pequeñas bayas en la otra fruta.")</f>
        <v>Luego rocía pequeñas bayas en la otra fruta.</v>
      </c>
    </row>
    <row r="4483">
      <c r="A4483" s="4" t="s">
        <v>5642</v>
      </c>
      <c r="B4483" s="4" t="s">
        <v>5643</v>
      </c>
      <c r="C4483" s="5" t="str">
        <f>IFERROR(__xludf.DUMMYFUNCTION("GOOGLETRANSLATE(B4483,""en"",""es-ES"")"),"Hay un hombre arrodillado en una estera de yoga roja.")</f>
        <v>Hay un hombre arrodillado en una estera de yoga roja.</v>
      </c>
    </row>
    <row r="4484">
      <c r="A4484" s="4" t="s">
        <v>5642</v>
      </c>
      <c r="B4484" s="4" t="s">
        <v>5644</v>
      </c>
      <c r="C4484" s="5" t="str">
        <f>IFERROR(__xludf.DUMMYFUNCTION("GOOGLETRANSLATE(B4484,""en"",""es-ES"")"),"El entrenador de pie a su lado se asegura de que suba y baje mientras está arrodillado y sostiene su espalda para sentir el movimiento muscular.")</f>
        <v>El entrenador de pie a su lado se asegura de que suba y baje mientras está arrodillado y sostiene su espalda para sentir el movimiento muscular.</v>
      </c>
    </row>
    <row r="4485">
      <c r="A4485" s="4" t="s">
        <v>5645</v>
      </c>
      <c r="B4485" s="4" t="s">
        <v>5646</v>
      </c>
      <c r="C4485" s="5" t="str">
        <f>IFERROR(__xludf.DUMMYFUNCTION("GOOGLETRANSLATE(B4485,""en"",""es-ES"")"),"Un chico se encuentra afuera, gestos y habla.")</f>
        <v>Un chico se encuentra afuera, gestos y habla.</v>
      </c>
    </row>
    <row r="4486">
      <c r="A4486" s="4" t="s">
        <v>5645</v>
      </c>
      <c r="B4486" s="4" t="s">
        <v>5647</v>
      </c>
      <c r="C4486" s="5" t="str">
        <f>IFERROR(__xludf.DUMMYFUNCTION("GOOGLETRANSLATE(B4486,""en"",""es-ES"")"),"Un hombre asciende del agua, comienza a abordar el agua y se voltea.")</f>
        <v>Un hombre asciende del agua, comienza a abordar el agua y se voltea.</v>
      </c>
    </row>
    <row r="4487">
      <c r="A4487" s="4" t="s">
        <v>5645</v>
      </c>
      <c r="B4487" s="4" t="s">
        <v>5648</v>
      </c>
      <c r="C4487" s="5" t="str">
        <f>IFERROR(__xludf.DUMMYFUNCTION("GOOGLETRANSLATE(B4487,""en"",""es-ES"")"),"Un vehículo de agua está tirando de un hombre que sostiene una cuerda.")</f>
        <v>Un vehículo de agua está tirando de un hombre que sostiene una cuerda.</v>
      </c>
    </row>
    <row r="4488">
      <c r="A4488" s="4" t="s">
        <v>5645</v>
      </c>
      <c r="B4488" s="4" t="s">
        <v>5649</v>
      </c>
      <c r="C4488" s="5" t="str">
        <f>IFERROR(__xludf.DUMMYFUNCTION("GOOGLETRANSLATE(B4488,""en"",""es-ES"")"),"El tipo comienza a irse después de hacer el último punto.")</f>
        <v>El tipo comienza a irse después de hacer el último punto.</v>
      </c>
    </row>
    <row r="4489">
      <c r="A4489" s="4" t="s">
        <v>5650</v>
      </c>
      <c r="B4489" s="4" t="s">
        <v>5651</v>
      </c>
      <c r="C4489" s="5" t="str">
        <f>IFERROR(__xludf.DUMMYFUNCTION("GOOGLETRANSLATE(B4489,""en"",""es-ES"")"),"Se ve a un hombre tocando un instrumento mientras otro observa en el fondo.")</f>
        <v>Se ve a un hombre tocando un instrumento mientras otro observa en el fondo.</v>
      </c>
    </row>
    <row r="4490">
      <c r="A4490" s="4" t="s">
        <v>5650</v>
      </c>
      <c r="B4490" s="4" t="s">
        <v>5652</v>
      </c>
      <c r="C4490" s="5" t="str">
        <f>IFERROR(__xludf.DUMMYFUNCTION("GOOGLETRANSLATE(B4490,""en"",""es-ES"")"),"Hace una pausa para hablar con un gran grupo de niños y continúa tocando el instrumento, soplando el viento en su humo.")</f>
        <v>Hace una pausa para hablar con un gran grupo de niños y continúa tocando el instrumento, soplando el viento en su humo.</v>
      </c>
    </row>
    <row r="4491">
      <c r="A4491" s="4" t="s">
        <v>5650</v>
      </c>
      <c r="B4491" s="4" t="s">
        <v>5653</v>
      </c>
      <c r="C4491" s="5" t="str">
        <f>IFERROR(__xludf.DUMMYFUNCTION("GOOGLETRANSLATE(B4491,""en"",""es-ES"")"),"Los chicos miran con asombro y se dobla de cerca con otro niño.")</f>
        <v>Los chicos miran con asombro y se dobla de cerca con otro niño.</v>
      </c>
    </row>
    <row r="4492">
      <c r="A4492" s="4" t="s">
        <v>5654</v>
      </c>
      <c r="B4492" s="4" t="s">
        <v>5655</v>
      </c>
      <c r="C4492" s="5" t="str">
        <f>IFERROR(__xludf.DUMMYFUNCTION("GOOGLETRANSLATE(B4492,""en"",""es-ES"")"),"La gente está jugando una etiqueta de juego de guerra.")</f>
        <v>La gente está jugando una etiqueta de juego de guerra.</v>
      </c>
    </row>
    <row r="4493">
      <c r="A4493" s="4" t="s">
        <v>5654</v>
      </c>
      <c r="B4493" s="4" t="s">
        <v>5656</v>
      </c>
      <c r="C4493" s="5" t="str">
        <f>IFERROR(__xludf.DUMMYFUNCTION("GOOGLETRANSLATE(B4493,""en"",""es-ES"")"),"Los niños saludan a sus compañeros de equipo.")</f>
        <v>Los niños saludan a sus compañeros de equipo.</v>
      </c>
    </row>
    <row r="4494">
      <c r="A4494" s="4" t="s">
        <v>5654</v>
      </c>
      <c r="B4494" s="4" t="s">
        <v>5657</v>
      </c>
      <c r="C4494" s="5" t="str">
        <f>IFERROR(__xludf.DUMMYFUNCTION("GOOGLETRANSLATE(B4494,""en"",""es-ES"")"),"Los niños tiran de los adultos a su lado, el lado derecho.")</f>
        <v>Los niños tiran de los adultos a su lado, el lado derecho.</v>
      </c>
    </row>
    <row r="4495">
      <c r="A4495" s="4" t="s">
        <v>5654</v>
      </c>
      <c r="B4495" s="4" t="s">
        <v>5658</v>
      </c>
      <c r="C4495" s="5" t="str">
        <f>IFERROR(__xludf.DUMMYFUNCTION("GOOGLETRANSLATE(B4495,""en"",""es-ES"")"),"Los niños solían ir la cuerda, saltan hacia arriba y hacia abajo, además de alegría.")</f>
        <v>Los niños solían ir la cuerda, saltan hacia arriba y hacia abajo, además de alegría.</v>
      </c>
    </row>
    <row r="4496">
      <c r="A4496" s="4" t="s">
        <v>5659</v>
      </c>
      <c r="B4496" s="4" t="s">
        <v>5660</v>
      </c>
      <c r="C4496" s="5" t="str">
        <f>IFERROR(__xludf.DUMMYFUNCTION("GOOGLETRANSLATE(B4496,""en"",""es-ES"")"),"Una gimnasta masculina camina hasta los bares paralelos y usa un tablero de primavera para saltar.")</f>
        <v>Una gimnasta masculina camina hasta los bares paralelos y usa un tablero de primavera para saltar.</v>
      </c>
    </row>
    <row r="4497">
      <c r="A4497" s="4" t="s">
        <v>5659</v>
      </c>
      <c r="B4497" s="4" t="s">
        <v>5661</v>
      </c>
      <c r="C4497" s="5" t="str">
        <f>IFERROR(__xludf.DUMMYFUNCTION("GOOGLETRANSLATE(B4497,""en"",""es-ES"")"),"Otro hombre saca el tablero de primavera fuera del camino.")</f>
        <v>Otro hombre saca el tablero de primavera fuera del camino.</v>
      </c>
    </row>
    <row r="4498">
      <c r="A4498" s="4" t="s">
        <v>5659</v>
      </c>
      <c r="B4498" s="4" t="s">
        <v>5662</v>
      </c>
      <c r="C4498" s="5" t="str">
        <f>IFERROR(__xludf.DUMMYFUNCTION("GOOGLETRANSLATE(B4498,""en"",""es-ES"")"),"Una gran multitud observa desde las gradas en el gimnasio.")</f>
        <v>Una gran multitud observa desde las gradas en el gimnasio.</v>
      </c>
    </row>
    <row r="4499">
      <c r="A4499" s="4" t="s">
        <v>5659</v>
      </c>
      <c r="B4499" s="4" t="s">
        <v>5663</v>
      </c>
      <c r="C4499" s="5" t="str">
        <f>IFERROR(__xludf.DUMMYFUNCTION("GOOGLETRANSLATE(B4499,""en"",""es-ES"")"),"La gimnasta hace una rutina de bares paralelos.")</f>
        <v>La gimnasta hace una rutina de bares paralelos.</v>
      </c>
    </row>
    <row r="4500">
      <c r="A4500" s="4" t="s">
        <v>5659</v>
      </c>
      <c r="B4500" s="4" t="s">
        <v>5664</v>
      </c>
      <c r="C4500" s="5" t="str">
        <f>IFERROR(__xludf.DUMMYFUNCTION("GOOGLETRANSLATE(B4500,""en"",""es-ES"")"),"Varias otras gimnastas masculinas caminan en el fondo.")</f>
        <v>Varias otras gimnastas masculinas caminan en el fondo.</v>
      </c>
    </row>
    <row r="4501">
      <c r="A4501" s="4" t="s">
        <v>5659</v>
      </c>
      <c r="B4501" s="4" t="s">
        <v>5665</v>
      </c>
      <c r="C4501" s="5" t="str">
        <f>IFERROR(__xludf.DUMMYFUNCTION("GOOGLETRANSLATE(B4501,""en"",""es-ES"")"),"El gimnasta masculino completa su rutina y sale corriendo del piso del gimnasio.")</f>
        <v>El gimnasta masculino completa su rutina y sale corriendo del piso del gimnasio.</v>
      </c>
    </row>
    <row r="4502">
      <c r="A4502" s="4" t="s">
        <v>5666</v>
      </c>
      <c r="B4502" s="4" t="s">
        <v>5667</v>
      </c>
      <c r="C4502" s="5" t="str">
        <f>IFERROR(__xludf.DUMMYFUNCTION("GOOGLETRANSLATE(B4502,""en"",""es-ES"")"),"La gente está equilibrando una cuerda en la playa.")</f>
        <v>La gente está equilibrando una cuerda en la playa.</v>
      </c>
    </row>
    <row r="4503">
      <c r="A4503" s="4" t="s">
        <v>5666</v>
      </c>
      <c r="B4503" s="4" t="s">
        <v>5668</v>
      </c>
      <c r="C4503" s="5" t="str">
        <f>IFERROR(__xludf.DUMMYFUNCTION("GOOGLETRANSLATE(B4503,""en"",""es-ES"")"),"Un hombre con una camisa blanca hace una mano en la cuerda.")</f>
        <v>Un hombre con una camisa blanca hace una mano en la cuerda.</v>
      </c>
    </row>
    <row r="4504">
      <c r="A4504" s="4" t="s">
        <v>5666</v>
      </c>
      <c r="B4504" s="4" t="s">
        <v>5669</v>
      </c>
      <c r="C4504" s="5" t="str">
        <f>IFERROR(__xludf.DUMMYFUNCTION("GOOGLETRANSLATE(B4504,""en"",""es-ES"")"),"Una persona se está balanceando sobre una cuerda en el fondo.")</f>
        <v>Una persona se está balanceando sobre una cuerda en el fondo.</v>
      </c>
    </row>
    <row r="4505">
      <c r="A4505" s="4" t="s">
        <v>5670</v>
      </c>
      <c r="B4505" s="4" t="s">
        <v>5671</v>
      </c>
      <c r="C4505" s="5" t="str">
        <f>IFERROR(__xludf.DUMMYFUNCTION("GOOGLETRANSLATE(B4505,""en"",""es-ES"")"),"Dos niñas practican esgrima en un gimnasio escolar con equipo de protección y un entrenador contra la mirada de la pared y entrenarlas mientras se encuentran.")</f>
        <v>Dos niñas practican esgrima en un gimnasio escolar con equipo de protección y un entrenador contra la mirada de la pared y entrenarlas mientras se encuentran.</v>
      </c>
    </row>
    <row r="4506">
      <c r="A4506" s="4" t="s">
        <v>5670</v>
      </c>
      <c r="B4506" s="4" t="s">
        <v>5672</v>
      </c>
      <c r="C4506" s="5" t="str">
        <f>IFERROR(__xludf.DUMMYFUNCTION("GOOGLETRANSLATE(B4506,""en"",""es-ES"")"),"Las dos chicas hablan con el entrenador y luego comienzan a encontrarse entre sí a medida que el entrenador se mueve hacia donde deberían pararse y navegar por el espacio durante el Spar.")</f>
        <v>Las dos chicas hablan con el entrenador y luego comienzan a encontrarse entre sí a medida que el entrenador se mueve hacia donde deberían pararse y navegar por el espacio durante el Spar.</v>
      </c>
    </row>
    <row r="4507">
      <c r="A4507" s="4" t="s">
        <v>5670</v>
      </c>
      <c r="B4507" s="4" t="s">
        <v>5673</v>
      </c>
      <c r="C4507" s="5" t="str">
        <f>IFERROR(__xludf.DUMMYFUNCTION("GOOGLETRANSLATE(B4507,""en"",""es-ES"")"),"Ambas chicas terminan el Spar y se quitan el equipo de la cabeza mientras hablan con el entrenador.")</f>
        <v>Ambas chicas terminan el Spar y se quitan el equipo de la cabeza mientras hablan con el entrenador.</v>
      </c>
    </row>
    <row r="4508">
      <c r="A4508" s="4" t="s">
        <v>5674</v>
      </c>
      <c r="B4508" s="4" t="s">
        <v>5675</v>
      </c>
      <c r="C4508" s="5" t="str">
        <f>IFERROR(__xludf.DUMMYFUNCTION("GOOGLETRANSLATE(B4508,""en"",""es-ES"")"),"Una mujer con un suéter verde se pone una máscara facial.")</f>
        <v>Una mujer con un suéter verde se pone una máscara facial.</v>
      </c>
    </row>
    <row r="4509">
      <c r="A4509" s="4" t="s">
        <v>5674</v>
      </c>
      <c r="B4509" s="4" t="s">
        <v>5676</v>
      </c>
      <c r="C4509" s="5" t="str">
        <f>IFERROR(__xludf.DUMMYFUNCTION("GOOGLETRANSLATE(B4509,""en"",""es-ES"")"),"Ella pinta una cerca de madera.")</f>
        <v>Ella pinta una cerca de madera.</v>
      </c>
    </row>
    <row r="4510">
      <c r="A4510" s="4" t="s">
        <v>5674</v>
      </c>
      <c r="B4510" s="4" t="s">
        <v>5677</v>
      </c>
      <c r="C4510" s="5" t="str">
        <f>IFERROR(__xludf.DUMMYFUNCTION("GOOGLETRANSLATE(B4510,""en"",""es-ES"")"),"Ella pone periódicos en la cerca.")</f>
        <v>Ella pone periódicos en la cerca.</v>
      </c>
    </row>
    <row r="4511">
      <c r="A4511" s="4" t="s">
        <v>5674</v>
      </c>
      <c r="B4511" s="4" t="s">
        <v>5678</v>
      </c>
      <c r="C4511" s="5" t="str">
        <f>IFERROR(__xludf.DUMMYFUNCTION("GOOGLETRANSLATE(B4511,""en"",""es-ES"")"),"Ella vierte un cubo de pintura en un rociador.")</f>
        <v>Ella vierte un cubo de pintura en un rociador.</v>
      </c>
    </row>
    <row r="4512">
      <c r="A4512" s="4" t="s">
        <v>5674</v>
      </c>
      <c r="B4512" s="4" t="s">
        <v>5679</v>
      </c>
      <c r="C4512" s="5" t="str">
        <f>IFERROR(__xludf.DUMMYFUNCTION("GOOGLETRANSLATE(B4512,""en"",""es-ES"")"),"Ella comienza a rociar la cerca con una manguera.")</f>
        <v>Ella comienza a rociar la cerca con una manguera.</v>
      </c>
    </row>
    <row r="4513">
      <c r="A4513" s="4" t="s">
        <v>5680</v>
      </c>
      <c r="B4513" s="4" t="s">
        <v>5681</v>
      </c>
      <c r="C4513" s="5" t="str">
        <f>IFERROR(__xludf.DUMMYFUNCTION("GOOGLETRANSLATE(B4513,""en"",""es-ES"")"),"Dos hombres están hablando frente a un helicóptero.")</f>
        <v>Dos hombres están hablando frente a un helicóptero.</v>
      </c>
    </row>
    <row r="4514">
      <c r="A4514" s="4" t="s">
        <v>5680</v>
      </c>
      <c r="B4514" s="4" t="s">
        <v>5682</v>
      </c>
      <c r="C4514" s="5" t="str">
        <f>IFERROR(__xludf.DUMMYFUNCTION("GOOGLETRANSLATE(B4514,""en"",""es-ES"")"),"Un hombre en un tablero de vigilia está siendo tirado por un helicóptero dentro y fuera del agua.")</f>
        <v>Un hombre en un tablero de vigilia está siendo tirado por un helicóptero dentro y fuera del agua.</v>
      </c>
    </row>
    <row r="4515">
      <c r="A4515" s="4" t="s">
        <v>5680</v>
      </c>
      <c r="B4515" s="4" t="s">
        <v>5683</v>
      </c>
      <c r="C4515" s="5" t="str">
        <f>IFERROR(__xludf.DUMMYFUNCTION("GOOGLETRANSLATE(B4515,""en"",""es-ES"")"),"Cae de la cuerda y saca un paracaídas y aterriza en el suelo.")</f>
        <v>Cae de la cuerda y saca un paracaídas y aterriza en el suelo.</v>
      </c>
    </row>
    <row r="4516">
      <c r="A4516" s="4" t="s">
        <v>5684</v>
      </c>
      <c r="B4516" s="4" t="s">
        <v>5685</v>
      </c>
      <c r="C4516" s="5" t="str">
        <f>IFERROR(__xludf.DUMMYFUNCTION("GOOGLETRANSLATE(B4516,""en"",""es-ES"")"),"Un hombre está sentado en un banco en un parque.")</f>
        <v>Un hombre está sentado en un banco en un parque.</v>
      </c>
    </row>
    <row r="4517">
      <c r="A4517" s="4" t="s">
        <v>5684</v>
      </c>
      <c r="B4517" s="4" t="s">
        <v>5686</v>
      </c>
      <c r="C4517" s="5" t="str">
        <f>IFERROR(__xludf.DUMMYFUNCTION("GOOGLETRANSLATE(B4517,""en"",""es-ES"")"),"Él está jugando un viejo acorde.")</f>
        <v>Él está jugando un viejo acorde.</v>
      </c>
    </row>
    <row r="4518">
      <c r="A4518" s="4" t="s">
        <v>5684</v>
      </c>
      <c r="B4518" s="4" t="s">
        <v>5687</v>
      </c>
      <c r="C4518" s="5" t="str">
        <f>IFERROR(__xludf.DUMMYFUNCTION("GOOGLETRANSLATE(B4518,""en"",""es-ES"")"),"Lo empuja cerrado y abierto mientras juega en el teclado.")</f>
        <v>Lo empuja cerrado y abierto mientras juega en el teclado.</v>
      </c>
    </row>
    <row r="4519">
      <c r="A4519" s="4" t="s">
        <v>5688</v>
      </c>
      <c r="B4519" s="4" t="s">
        <v>5689</v>
      </c>
      <c r="C4519" s="5" t="str">
        <f>IFERROR(__xludf.DUMMYFUNCTION("GOOGLETRANSLATE(B4519,""en"",""es-ES"")"),"Aparece una pantalla negra y tiene muchas palabras blancas que incluyen el nombre, la altura, el peso, los juegos de años, el número de teléfono de los puntos y el correo electrónico para el jugador #23.")</f>
        <v>Aparece una pantalla negra y tiene muchas palabras blancas que incluyen el nombre, la altura, el peso, los juegos de años, el número de teléfono de los puntos y el correo electrónico para el jugador #23.</v>
      </c>
    </row>
    <row r="4520">
      <c r="A4520" s="4" t="s">
        <v>5688</v>
      </c>
      <c r="B4520" s="4" t="s">
        <v>5690</v>
      </c>
      <c r="C4520" s="5" t="str">
        <f>IFERROR(__xludf.DUMMYFUNCTION("GOOGLETRANSLATE(B4520,""en"",""es-ES"")"),"Varios clips de diferentes juegos de hockey juegan y ocasionalmente aparecerán una flecha amarilla que apuntan al jugador #23 en cada clip de juego de hockey diferente.")</f>
        <v>Varios clips de diferentes juegos de hockey juegan y ocasionalmente aparecerán una flecha amarilla que apuntan al jugador #23 en cada clip de juego de hockey diferente.</v>
      </c>
    </row>
    <row r="4521">
      <c r="A4521" s="4" t="s">
        <v>5688</v>
      </c>
      <c r="B4521" s="4" t="s">
        <v>5691</v>
      </c>
      <c r="C4521" s="5" t="str">
        <f>IFERROR(__xludf.DUMMYFUNCTION("GOOGLETRANSLATE(B4521,""en"",""es-ES"")"),"Una pantalla negra aparece nuevamente y es lo mismo que la pantalla que fue la introducción que incluye la misma información en el Jugador #23.")</f>
        <v>Una pantalla negra aparece nuevamente y es lo mismo que la pantalla que fue la introducción que incluye la misma información en el Jugador #23.</v>
      </c>
    </row>
    <row r="4522">
      <c r="A4522" s="4" t="s">
        <v>5692</v>
      </c>
      <c r="B4522" s="4" t="s">
        <v>5693</v>
      </c>
      <c r="C4522" s="5" t="str">
        <f>IFERROR(__xludf.DUMMYFUNCTION("GOOGLETRANSLATE(B4522,""en"",""es-ES"")"),"Una persona llamada Chad con una chaqueta negra y gris está de pie junto a un árbol de Navidad y da un tutorial sobre cómo decorarlo.")</f>
        <v>Una persona llamada Chad con una chaqueta negra y gris está de pie junto a un árbol de Navidad y da un tutorial sobre cómo decorarlo.</v>
      </c>
    </row>
    <row r="4523">
      <c r="A4523" s="4" t="s">
        <v>5692</v>
      </c>
      <c r="B4523" s="4" t="s">
        <v>5694</v>
      </c>
      <c r="C4523" s="5" t="str">
        <f>IFERROR(__xludf.DUMMYFUNCTION("GOOGLETRANSLATE(B4523,""en"",""es-ES"")"),"Está sosteniendo una estrella de cristal en sus manos que coloca sobre el árbol.")</f>
        <v>Está sosteniendo una estrella de cristal en sus manos que coloca sobre el árbol.</v>
      </c>
    </row>
    <row r="4524">
      <c r="A4524" s="4" t="s">
        <v>5692</v>
      </c>
      <c r="B4524" s="4" t="s">
        <v>5695</v>
      </c>
      <c r="C4524" s="5" t="str">
        <f>IFERROR(__xludf.DUMMYFUNCTION("GOOGLETRANSLATE(B4524,""en"",""es-ES"")"),"Luego toma algunas luces de Navidad y las gira alrededor de las ramas del árbol.")</f>
        <v>Luego toma algunas luces de Navidad y las gira alrededor de las ramas del árbol.</v>
      </c>
    </row>
    <row r="4525">
      <c r="A4525" s="4" t="s">
        <v>5692</v>
      </c>
      <c r="B4525" s="4" t="s">
        <v>5696</v>
      </c>
      <c r="C4525" s="5" t="str">
        <f>IFERROR(__xludf.DUMMYFUNCTION("GOOGLETRANSLATE(B4525,""en"",""es-ES"")"),"Toma una guirnalda roja y demuestra cómo envolverla alrededor del árbol.")</f>
        <v>Toma una guirnalda roja y demuestra cómo envolverla alrededor del árbol.</v>
      </c>
    </row>
    <row r="4526">
      <c r="A4526" s="4" t="s">
        <v>5692</v>
      </c>
      <c r="B4526" s="4" t="s">
        <v>5697</v>
      </c>
      <c r="C4526" s="5" t="str">
        <f>IFERROR(__xludf.DUMMYFUNCTION("GOOGLETRANSLATE(B4526,""en"",""es-ES"")"),"Luego toma algunos adornos rojos y de oro y muestra cómo colocarlos en el árbol.")</f>
        <v>Luego toma algunos adornos rojos y de oro y muestra cómo colocarlos en el árbol.</v>
      </c>
    </row>
    <row r="4527">
      <c r="A4527" s="4" t="s">
        <v>5692</v>
      </c>
      <c r="B4527" s="4" t="s">
        <v>5698</v>
      </c>
      <c r="C4527" s="5" t="str">
        <f>IFERROR(__xludf.DUMMYFUNCTION("GOOGLETRANSLATE(B4527,""en"",""es-ES"")"),"También toma una cinta roja y bayas rojas para agregar al árbol.")</f>
        <v>También toma una cinta roja y bayas rojas para agregar al árbol.</v>
      </c>
    </row>
    <row r="4528">
      <c r="A4528" s="4" t="s">
        <v>5692</v>
      </c>
      <c r="B4528" s="4" t="s">
        <v>5699</v>
      </c>
      <c r="C4528" s="5" t="str">
        <f>IFERROR(__xludf.DUMMYFUNCTION("GOOGLETRANSLATE(B4528,""en"",""es-ES"")"),"Se encuentra al lado del árbol completamente decorado mientras completa su tutorial.")</f>
        <v>Se encuentra al lado del árbol completamente decorado mientras completa su tutorial.</v>
      </c>
    </row>
    <row r="4529">
      <c r="A4529" s="4" t="s">
        <v>5700</v>
      </c>
      <c r="B4529" s="4" t="s">
        <v>5701</v>
      </c>
      <c r="C4529" s="5" t="str">
        <f>IFERROR(__xludf.DUMMYFUNCTION("GOOGLETRANSLATE(B4529,""en"",""es-ES"")"),"Una mujer vierte hielo en un vaso.")</f>
        <v>Una mujer vierte hielo en un vaso.</v>
      </c>
    </row>
    <row r="4530">
      <c r="A4530" s="4" t="s">
        <v>5700</v>
      </c>
      <c r="B4530" s="4" t="s">
        <v>5702</v>
      </c>
      <c r="C4530" s="5" t="str">
        <f>IFERROR(__xludf.DUMMYFUNCTION("GOOGLETRANSLATE(B4530,""en"",""es-ES"")"),"Ella pone disparos de alcohol en el vaso.")</f>
        <v>Ella pone disparos de alcohol en el vaso.</v>
      </c>
    </row>
    <row r="4531">
      <c r="A4531" s="4" t="s">
        <v>5700</v>
      </c>
      <c r="B4531" s="4" t="s">
        <v>5703</v>
      </c>
      <c r="C4531" s="5" t="str">
        <f>IFERROR(__xludf.DUMMYFUNCTION("GOOGLETRANSLATE(B4531,""en"",""es-ES"")"),"Ella lo sacude y lo vierte en otro vaso.")</f>
        <v>Ella lo sacude y lo vierte en otro vaso.</v>
      </c>
    </row>
    <row r="4532">
      <c r="A4532" s="4" t="s">
        <v>5700</v>
      </c>
      <c r="B4532" s="4" t="s">
        <v>5704</v>
      </c>
      <c r="C4532" s="5" t="str">
        <f>IFERROR(__xludf.DUMMYFUNCTION("GOOGLETRANSLATE(B4532,""en"",""es-ES"")"),"Ella pone una pajita y la sostiene.")</f>
        <v>Ella pone una pajita y la sostiene.</v>
      </c>
    </row>
    <row r="4533">
      <c r="A4533" s="4" t="s">
        <v>5705</v>
      </c>
      <c r="B4533" s="4" t="s">
        <v>5706</v>
      </c>
      <c r="C4533" s="5" t="str">
        <f>IFERROR(__xludf.DUMMYFUNCTION("GOOGLETRANSLATE(B4533,""en"",""es-ES"")"),"Un hombre con olas de naranja luego monta un caballo de pomo.")</f>
        <v>Un hombre con olas de naranja luego monta un caballo de pomo.</v>
      </c>
    </row>
    <row r="4534">
      <c r="A4534" s="4" t="s">
        <v>5705</v>
      </c>
      <c r="B4534" s="4" t="s">
        <v>5707</v>
      </c>
      <c r="C4534" s="5" t="str">
        <f>IFERROR(__xludf.DUMMYFUNCTION("GOOGLETRANSLATE(B4534,""en"",""es-ES"")"),"El hombre gira alrededor y alrededor del caballo de pomo.")</f>
        <v>El hombre gira alrededor y alrededor del caballo de pomo.</v>
      </c>
    </row>
    <row r="4535">
      <c r="A4535" s="4" t="s">
        <v>5705</v>
      </c>
      <c r="B4535" s="4" t="s">
        <v>5708</v>
      </c>
      <c r="C4535" s="5" t="str">
        <f>IFERROR(__xludf.DUMMYFUNCTION("GOOGLETRANSLATE(B4535,""en"",""es-ES"")"),"Un hombre a la derecha toma una foto.")</f>
        <v>Un hombre a la derecha toma una foto.</v>
      </c>
    </row>
    <row r="4536">
      <c r="A4536" s="4" t="s">
        <v>5705</v>
      </c>
      <c r="B4536" s="4" t="s">
        <v>5709</v>
      </c>
      <c r="C4536" s="5" t="str">
        <f>IFERROR(__xludf.DUMMYFUNCTION("GOOGLETRANSLATE(B4536,""en"",""es-ES"")"),"El hombre balancea una pierna a la vez.")</f>
        <v>El hombre balancea una pierna a la vez.</v>
      </c>
    </row>
    <row r="4537">
      <c r="A4537" s="4" t="s">
        <v>5705</v>
      </c>
      <c r="B4537" s="4" t="s">
        <v>5710</v>
      </c>
      <c r="C4537" s="5" t="str">
        <f>IFERROR(__xludf.DUMMYFUNCTION("GOOGLETRANSLATE(B4537,""en"",""es-ES"")"),"El hombre hace una parada de manos y luego desmonta.")</f>
        <v>El hombre hace una parada de manos y luego desmonta.</v>
      </c>
    </row>
    <row r="4538">
      <c r="A4538" s="4" t="s">
        <v>5705</v>
      </c>
      <c r="B4538" s="4" t="s">
        <v>5711</v>
      </c>
      <c r="C4538" s="5" t="str">
        <f>IFERROR(__xludf.DUMMYFUNCTION("GOOGLETRANSLATE(B4538,""en"",""es-ES"")"),"El hombre se aleja mientras otro camina hacia el caballo de pomo.")</f>
        <v>El hombre se aleja mientras otro camina hacia el caballo de pomo.</v>
      </c>
    </row>
    <row r="4539">
      <c r="A4539" s="4" t="s">
        <v>5705</v>
      </c>
      <c r="B4539" s="4" t="s">
        <v>5712</v>
      </c>
      <c r="C4539" s="5" t="str">
        <f>IFERROR(__xludf.DUMMYFUNCTION("GOOGLETRANSLATE(B4539,""en"",""es-ES"")"),"Se muestran las pantallas finales y el video termina.")</f>
        <v>Se muestran las pantallas finales y el video termina.</v>
      </c>
    </row>
    <row r="4540">
      <c r="A4540" s="4" t="s">
        <v>5713</v>
      </c>
      <c r="B4540" s="4" t="s">
        <v>5714</v>
      </c>
      <c r="C4540" s="5" t="str">
        <f>IFERROR(__xludf.DUMMYFUNCTION("GOOGLETRANSLATE(B4540,""en"",""es-ES"")"),"Un hombre con una camisa roja aplaude.")</f>
        <v>Un hombre con una camisa roja aplaude.</v>
      </c>
    </row>
    <row r="4541">
      <c r="A4541" s="4" t="s">
        <v>5713</v>
      </c>
      <c r="B4541" s="4" t="s">
        <v>5715</v>
      </c>
      <c r="C4541" s="5" t="str">
        <f>IFERROR(__xludf.DUMMYFUNCTION("GOOGLETRANSLATE(B4541,""en"",""es-ES"")"),"Él corre por una pista y salta en la arena.")</f>
        <v>Él corre por una pista y salta en la arena.</v>
      </c>
    </row>
    <row r="4542">
      <c r="A4542" s="4" t="s">
        <v>5713</v>
      </c>
      <c r="B4542" s="4" t="s">
        <v>5716</v>
      </c>
      <c r="C4542" s="5" t="str">
        <f>IFERROR(__xludf.DUMMYFUNCTION("GOOGLETRANSLATE(B4542,""en"",""es-ES"")"),"La gente rastrilla la arena después.")</f>
        <v>La gente rastrilla la arena después.</v>
      </c>
    </row>
    <row r="4543">
      <c r="A4543" s="4" t="s">
        <v>5717</v>
      </c>
      <c r="B4543" s="4" t="s">
        <v>5718</v>
      </c>
      <c r="C4543" s="5" t="str">
        <f>IFERROR(__xludf.DUMMYFUNCTION("GOOGLETRANSLATE(B4543,""en"",""es-ES"")"),"Aparece una pantalla de introducción negra y la palabra Poweriser parpadea.")</f>
        <v>Aparece una pantalla de introducción negra y la palabra Poweriser parpadea.</v>
      </c>
    </row>
    <row r="4544">
      <c r="A4544" s="4" t="s">
        <v>5717</v>
      </c>
      <c r="B4544" s="4" t="s">
        <v>5719</v>
      </c>
      <c r="C4544" s="5" t="str">
        <f>IFERROR(__xludf.DUMMYFUNCTION("GOOGLETRANSLATE(B4544,""en"",""es-ES"")"),"Un hombre llamado Prvni Kroky está en los zancos de metal afuera y comienza, caminando, saltando, corriendo y moviéndose y haciendo varios movimientos mientras está en sus zancos y personas a su alrededor están sentadas o caminando haciendo lo suyo.")</f>
        <v>Un hombre llamado Prvni Kroky está en los zancos de metal afuera y comienza, caminando, saltando, corriendo y moviéndose y haciendo varios movimientos mientras está en sus zancos y personas a su alrededor están sentadas o caminando haciendo lo suyo.</v>
      </c>
    </row>
    <row r="4545">
      <c r="A4545" s="4" t="s">
        <v>5717</v>
      </c>
      <c r="B4545" s="4" t="s">
        <v>5720</v>
      </c>
      <c r="C4545" s="5" t="str">
        <f>IFERROR(__xludf.DUMMYFUNCTION("GOOGLETRANSLATE(B4545,""en"",""es-ES"")"),"Cuando el hombre termina de demostrar lo que puede hacer en los pilotes, se detiene en su lugar original para hablar un poco más, olas y luego se escapa.")</f>
        <v>Cuando el hombre termina de demostrar lo que puede hacer en los pilotes, se detiene en su lugar original para hablar un poco más, olas y luego se escapa.</v>
      </c>
    </row>
    <row r="4546">
      <c r="A4546" s="4" t="s">
        <v>5717</v>
      </c>
      <c r="B4546" s="4" t="s">
        <v>5721</v>
      </c>
      <c r="C4546" s="5" t="str">
        <f>IFERROR(__xludf.DUMMYFUNCTION("GOOGLETRANSLATE(B4546,""en"",""es-ES"")"),"Aparece el outro y es exactamente como la introducción.")</f>
        <v>Aparece el outro y es exactamente como la introducción.</v>
      </c>
    </row>
    <row r="4547">
      <c r="A4547" s="4" t="s">
        <v>5722</v>
      </c>
      <c r="B4547" s="4" t="s">
        <v>5723</v>
      </c>
      <c r="C4547" s="5" t="str">
        <f>IFERROR(__xludf.DUMMYFUNCTION("GOOGLETRANSLATE(B4547,""en"",""es-ES"")"),"Una mujer con una camisa blanca está sentada.")</f>
        <v>Una mujer con una camisa blanca está sentada.</v>
      </c>
    </row>
    <row r="4548">
      <c r="A4548" s="4" t="s">
        <v>5722</v>
      </c>
      <c r="B4548" s="4" t="s">
        <v>5724</v>
      </c>
      <c r="C4548" s="5" t="str">
        <f>IFERROR(__xludf.DUMMYFUNCTION("GOOGLETRANSLATE(B4548,""en"",""es-ES"")"),"Ella vierte algún producto en su palma.")</f>
        <v>Ella vierte algún producto en su palma.</v>
      </c>
    </row>
    <row r="4549">
      <c r="A4549" s="4" t="s">
        <v>5722</v>
      </c>
      <c r="B4549" s="4" t="s">
        <v>5725</v>
      </c>
      <c r="C4549" s="5" t="str">
        <f>IFERROR(__xludf.DUMMYFUNCTION("GOOGLETRANSLATE(B4549,""en"",""es-ES"")"),"Ella comienza a limpiarse el producto en su rostro.")</f>
        <v>Ella comienza a limpiarse el producto en su rostro.</v>
      </c>
    </row>
    <row r="4550">
      <c r="A4550" s="4" t="s">
        <v>5726</v>
      </c>
      <c r="B4550" s="4" t="s">
        <v>5727</v>
      </c>
      <c r="C4550" s="5" t="str">
        <f>IFERROR(__xludf.DUMMYFUNCTION("GOOGLETRANSLATE(B4550,""en"",""es-ES"")"),"Una mujer prepara el cuerpo derecho de un caballo, cepilla el cuello, el cuerpo y las piernas.")</f>
        <v>Una mujer prepara el cuerpo derecho de un caballo, cepilla el cuello, el cuerpo y las piernas.</v>
      </c>
    </row>
    <row r="4551">
      <c r="A4551" s="4" t="s">
        <v>5726</v>
      </c>
      <c r="B4551" s="4" t="s">
        <v>5728</v>
      </c>
      <c r="C4551" s="5" t="str">
        <f>IFERROR(__xludf.DUMMYFUNCTION("GOOGLETRANSLATE(B4551,""en"",""es-ES"")"),"Luego, la mujer va al lado izquierdo del caballo y se arrodilla para preparar las piernas, y luego cepilla las otras partes del cuerpo.")</f>
        <v>Luego, la mujer va al lado izquierdo del caballo y se arrodilla para preparar las piernas, y luego cepilla las otras partes del cuerpo.</v>
      </c>
    </row>
    <row r="4552">
      <c r="A4552" s="4" t="s">
        <v>5729</v>
      </c>
      <c r="B4552" s="4" t="s">
        <v>5730</v>
      </c>
      <c r="C4552" s="5" t="str">
        <f>IFERROR(__xludf.DUMMYFUNCTION("GOOGLETRANSLATE(B4552,""en"",""es-ES"")"),"Un chef está dando instrucciones detalladas sobre cómo hacer un plato a otro hombre en la cocina.")</f>
        <v>Un chef está dando instrucciones detalladas sobre cómo hacer un plato a otro hombre en la cocina.</v>
      </c>
    </row>
    <row r="4553">
      <c r="A4553" s="4" t="s">
        <v>5729</v>
      </c>
      <c r="B4553" s="4" t="s">
        <v>5731</v>
      </c>
      <c r="C4553" s="5" t="str">
        <f>IFERROR(__xludf.DUMMYFUNCTION("GOOGLETRANSLATE(B4553,""en"",""es-ES"")"),"El hombre camina a su alrededor casualmente y recoge un pedazo de uno de los ingredientes y lo come.")</f>
        <v>El hombre camina a su alrededor casualmente y recoge un pedazo de uno de los ingredientes y lo come.</v>
      </c>
    </row>
    <row r="4554">
      <c r="A4554" s="4" t="s">
        <v>5729</v>
      </c>
      <c r="B4554" s="4" t="s">
        <v>5732</v>
      </c>
      <c r="C4554" s="5" t="str">
        <f>IFERROR(__xludf.DUMMYFUNCTION("GOOGLETRANSLATE(B4554,""en"",""es-ES"")"),"Mientras tanto, el chef está poniendo ingredientes y explica el proceso de lo que está haciendo y por qué en la sartén.")</f>
        <v>Mientras tanto, el chef está poniendo ingredientes y explica el proceso de lo que está haciendo y por qué en la sartén.</v>
      </c>
    </row>
    <row r="4555">
      <c r="A4555" s="4" t="s">
        <v>5729</v>
      </c>
      <c r="B4555" s="4" t="s">
        <v>5733</v>
      </c>
      <c r="C4555" s="5" t="str">
        <f>IFERROR(__xludf.DUMMYFUNCTION("GOOGLETRANSLATE(B4555,""en"",""es-ES"")"),"Una vez que la salsa que está creando comienza a unirse, se mezcla en espagueti y la combina todo.")</f>
        <v>Una vez que la salsa que está creando comienza a unirse, se mezcla en espagueti y la combina todo.</v>
      </c>
    </row>
    <row r="4556">
      <c r="A4556" s="4" t="s">
        <v>5734</v>
      </c>
      <c r="B4556" s="4" t="s">
        <v>5735</v>
      </c>
      <c r="C4556" s="5" t="str">
        <f>IFERROR(__xludf.DUMMYFUNCTION("GOOGLETRANSLATE(B4556,""en"",""es-ES"")"),"Un hombre con una camisa roja camina alrededor de una escalera.")</f>
        <v>Un hombre con una camisa roja camina alrededor de una escalera.</v>
      </c>
    </row>
    <row r="4557">
      <c r="A4557" s="4" t="s">
        <v>5734</v>
      </c>
      <c r="B4557" s="4" t="s">
        <v>5736</v>
      </c>
      <c r="C4557" s="5" t="str">
        <f>IFERROR(__xludf.DUMMYFUNCTION("GOOGLETRANSLATE(B4557,""en"",""es-ES"")"),"Él coloca su brazo en la escalera.")</f>
        <v>Él coloca su brazo en la escalera.</v>
      </c>
    </row>
    <row r="4558">
      <c r="A4558" s="4" t="s">
        <v>5734</v>
      </c>
      <c r="B4558" s="4" t="s">
        <v>5737</v>
      </c>
      <c r="C4558" s="5" t="str">
        <f>IFERROR(__xludf.DUMMYFUNCTION("GOOGLETRANSLATE(B4558,""en"",""es-ES"")"),"Una mujer coloca el papel tapiz rojo contra una pared.")</f>
        <v>Una mujer coloca el papel tapiz rojo contra una pared.</v>
      </c>
    </row>
    <row r="4559">
      <c r="A4559" s="4" t="s">
        <v>5734</v>
      </c>
      <c r="B4559" s="4" t="s">
        <v>5738</v>
      </c>
      <c r="C4559" s="5" t="str">
        <f>IFERROR(__xludf.DUMMYFUNCTION("GOOGLETRANSLATE(B4559,""en"",""es-ES"")"),"Ella suaviza el papel de la pared roja con las manos y con una herramienta.")</f>
        <v>Ella suaviza el papel de la pared roja con las manos y con una herramienta.</v>
      </c>
    </row>
    <row r="4560">
      <c r="A4560" s="4" t="s">
        <v>5734</v>
      </c>
      <c r="B4560" s="4" t="s">
        <v>5739</v>
      </c>
      <c r="C4560" s="5" t="str">
        <f>IFERROR(__xludf.DUMMYFUNCTION("GOOGLETRANSLATE(B4560,""en"",""es-ES"")"),"Ella mide el fondo de pantalla para asegurarse de que sea recto.")</f>
        <v>Ella mide el fondo de pantalla para asegurarse de que sea recto.</v>
      </c>
    </row>
    <row r="4561">
      <c r="A4561" s="4" t="s">
        <v>5734</v>
      </c>
      <c r="B4561" s="4" t="s">
        <v>5740</v>
      </c>
      <c r="C4561" s="5" t="str">
        <f>IFERROR(__xludf.DUMMYFUNCTION("GOOGLETRANSLATE(B4561,""en"",""es-ES"")"),"La mujer coloca una herramienta en la parte superior e inferior del fondo de pantalla y elimina cualquier fondo de pantalla adicional.")</f>
        <v>La mujer coloca una herramienta en la parte superior e inferior del fondo de pantalla y elimina cualquier fondo de pantalla adicional.</v>
      </c>
    </row>
    <row r="4562">
      <c r="A4562" s="4" t="s">
        <v>5734</v>
      </c>
      <c r="B4562" s="4" t="s">
        <v>5741</v>
      </c>
      <c r="C4562" s="5" t="str">
        <f>IFERROR(__xludf.DUMMYFUNCTION("GOOGLETRANSLATE(B4562,""en"",""es-ES"")"),"El hombre de la camisa roja está hablando.")</f>
        <v>El hombre de la camisa roja está hablando.</v>
      </c>
    </row>
    <row r="4563">
      <c r="A4563" s="4" t="s">
        <v>5742</v>
      </c>
      <c r="B4563" s="4" t="s">
        <v>5743</v>
      </c>
      <c r="C4563" s="5" t="str">
        <f>IFERROR(__xludf.DUMMYFUNCTION("GOOGLETRANSLATE(B4563,""en"",""es-ES"")"),"Vemos el emblema en la pantalla de apertura.")</f>
        <v>Vemos el emblema en la pantalla de apertura.</v>
      </c>
    </row>
    <row r="4564">
      <c r="A4564" s="4" t="s">
        <v>5742</v>
      </c>
      <c r="B4564" s="4" t="s">
        <v>5744</v>
      </c>
      <c r="C4564" s="5" t="str">
        <f>IFERROR(__xludf.DUMMYFUNCTION("GOOGLETRANSLATE(B4564,""en"",""es-ES"")"),"Cambiamos a imágenes de dos damas con caballos.")</f>
        <v>Cambiamos a imágenes de dos damas con caballos.</v>
      </c>
    </row>
    <row r="4565">
      <c r="A4565" s="4" t="s">
        <v>5742</v>
      </c>
      <c r="B4565" s="4" t="s">
        <v>5745</v>
      </c>
      <c r="C4565" s="5" t="str">
        <f>IFERROR(__xludf.DUMMYFUNCTION("GOOGLETRANSLATE(B4565,""en"",""es-ES"")"),"Vemos a una dama en un campo soleado con una manguera.")</f>
        <v>Vemos a una dama en un campo soleado con una manguera.</v>
      </c>
    </row>
    <row r="4566">
      <c r="A4566" s="4" t="s">
        <v>5742</v>
      </c>
      <c r="B4566" s="4" t="s">
        <v>5746</v>
      </c>
      <c r="C4566" s="5" t="str">
        <f>IFERROR(__xludf.DUMMYFUNCTION("GOOGLETRANSLATE(B4566,""en"",""es-ES"")"),"Vemos a un pequeño perro en la parte posterior del caballo.")</f>
        <v>Vemos a un pequeño perro en la parte posterior del caballo.</v>
      </c>
    </row>
    <row r="4567">
      <c r="A4567" s="4" t="s">
        <v>5742</v>
      </c>
      <c r="B4567" s="4" t="s">
        <v>5747</v>
      </c>
      <c r="C4567" s="5" t="str">
        <f>IFERROR(__xludf.DUMMYFUNCTION("GOOGLETRANSLATE(B4567,""en"",""es-ES"")"),"Vemos al pequeño perro, luego a dos damas y al pequeño perro.")</f>
        <v>Vemos al pequeño perro, luego a dos damas y al pequeño perro.</v>
      </c>
    </row>
    <row r="4568">
      <c r="A4568" s="4" t="s">
        <v>5742</v>
      </c>
      <c r="B4568" s="4" t="s">
        <v>5748</v>
      </c>
      <c r="C4568" s="5" t="str">
        <f>IFERROR(__xludf.DUMMYFUNCTION("GOOGLETRANSLATE(B4568,""en"",""es-ES"")"),"La señora está sentada jugando con el perro.")</f>
        <v>La señora está sentada jugando con el perro.</v>
      </c>
    </row>
    <row r="4569">
      <c r="A4569" s="4" t="s">
        <v>5742</v>
      </c>
      <c r="B4569" s="4" t="s">
        <v>5749</v>
      </c>
      <c r="C4569" s="5" t="str">
        <f>IFERROR(__xludf.DUMMYFUNCTION("GOOGLETRANSLATE(B4569,""en"",""es-ES"")"),"Vemos a un grupo de personas en un establo con un caballo.")</f>
        <v>Vemos a un grupo de personas en un establo con un caballo.</v>
      </c>
    </row>
    <row r="4570">
      <c r="A4570" s="4" t="s">
        <v>5742</v>
      </c>
      <c r="B4570" s="4" t="s">
        <v>5750</v>
      </c>
      <c r="C4570" s="5" t="str">
        <f>IFERROR(__xludf.DUMMYFUNCTION("GOOGLETRANSLATE(B4570,""en"",""es-ES"")"),"Vemos el emblema de crédito final.")</f>
        <v>Vemos el emblema de crédito final.</v>
      </c>
    </row>
    <row r="4571">
      <c r="A4571" s="4" t="s">
        <v>5751</v>
      </c>
      <c r="B4571" s="4" t="s">
        <v>5752</v>
      </c>
      <c r="C4571" s="5" t="str">
        <f>IFERROR(__xludf.DUMMYFUNCTION("GOOGLETRANSLATE(B4571,""en"",""es-ES"")"),"Se ve a un hombre de pie listo sosteniendo un dardo y mirando a lo lejos.")</f>
        <v>Se ve a un hombre de pie listo sosteniendo un dardo y mirando a lo lejos.</v>
      </c>
    </row>
    <row r="4572">
      <c r="A4572" s="4" t="s">
        <v>5751</v>
      </c>
      <c r="B4572" s="4" t="s">
        <v>5753</v>
      </c>
      <c r="C4572" s="5" t="str">
        <f>IFERROR(__xludf.DUMMYFUNCTION("GOOGLETRANSLATE(B4572,""en"",""es-ES"")"),"El hombre luego arroja el dardo en cámara lenta mientras la cámara continúa siguiéndolo.")</f>
        <v>El hombre luego arroja el dardo en cámara lenta mientras la cámara continúa siguiéndolo.</v>
      </c>
    </row>
    <row r="4573">
      <c r="A4573" s="4" t="s">
        <v>5754</v>
      </c>
      <c r="B4573" s="4" t="s">
        <v>5755</v>
      </c>
      <c r="C4573" s="5" t="str">
        <f>IFERROR(__xludf.DUMMYFUNCTION("GOOGLETRANSLATE(B4573,""en"",""es-ES"")"),"Un hombre coloca un mosaico en el suelo y lo empuja hacia abajo.")</f>
        <v>Un hombre coloca un mosaico en el suelo y lo empuja hacia abajo.</v>
      </c>
    </row>
    <row r="4574">
      <c r="A4574" s="4" t="s">
        <v>5754</v>
      </c>
      <c r="B4574" s="4" t="s">
        <v>5756</v>
      </c>
      <c r="C4574" s="5" t="str">
        <f>IFERROR(__xludf.DUMMYFUNCTION("GOOGLETRANSLATE(B4574,""en"",""es-ES"")"),"Lo suaviza con las manos.")</f>
        <v>Lo suaviza con las manos.</v>
      </c>
    </row>
    <row r="4575">
      <c r="A4575" s="4" t="s">
        <v>5754</v>
      </c>
      <c r="B4575" s="4" t="s">
        <v>5757</v>
      </c>
      <c r="C4575" s="5" t="str">
        <f>IFERROR(__xludf.DUMMYFUNCTION("GOOGLETRANSLATE(B4575,""en"",""es-ES"")"),"Mueve el respiradero que está en el piso al lado del azulejo.")</f>
        <v>Mueve el respiradero que está en el piso al lado del azulejo.</v>
      </c>
    </row>
    <row r="4576">
      <c r="A4576" s="4" t="s">
        <v>5758</v>
      </c>
      <c r="B4576" s="4" t="s">
        <v>5759</v>
      </c>
      <c r="C4576" s="5" t="str">
        <f>IFERROR(__xludf.DUMMYFUNCTION("GOOGLETRANSLATE(B4576,""en"",""es-ES"")"),"Se ve a un pequeño grupo de hombres sentados en una mesa jugando varios juegos de mano entre sí.")</f>
        <v>Se ve a un pequeño grupo de hombres sentados en una mesa jugando varios juegos de mano entre sí.</v>
      </c>
    </row>
    <row r="4577">
      <c r="A4577" s="4" t="s">
        <v>5758</v>
      </c>
      <c r="B4577" s="4" t="s">
        <v>5760</v>
      </c>
      <c r="C4577" s="5" t="str">
        <f>IFERROR(__xludf.DUMMYFUNCTION("GOOGLETRANSLATE(B4577,""en"",""es-ES"")"),"Luego mueve sus manos que se muestran en cámara lenta y conducen a una que habla por teléfono y sale de la habitación.")</f>
        <v>Luego mueve sus manos que se muestran en cámara lenta y conducen a una que habla por teléfono y sale de la habitación.</v>
      </c>
    </row>
    <row r="4578">
      <c r="A4578" s="4" t="s">
        <v>5758</v>
      </c>
      <c r="B4578" s="4" t="s">
        <v>5761</v>
      </c>
      <c r="C4578" s="5" t="str">
        <f>IFERROR(__xludf.DUMMYFUNCTION("GOOGLETRANSLATE(B4578,""en"",""es-ES"")"),"La cámara se mueve alrededor de las otras personas mientras se ríen.")</f>
        <v>La cámara se mueve alrededor de las otras personas mientras se ríen.</v>
      </c>
    </row>
    <row r="4579">
      <c r="A4579" s="4" t="s">
        <v>5762</v>
      </c>
      <c r="B4579" s="4" t="s">
        <v>5763</v>
      </c>
      <c r="C4579" s="5" t="str">
        <f>IFERROR(__xludf.DUMMYFUNCTION("GOOGLETRANSLATE(B4579,""en"",""es-ES"")"),"Vemos a dos hombres cercar en un estadio.")</f>
        <v>Vemos a dos hombres cercar en un estadio.</v>
      </c>
    </row>
    <row r="4580">
      <c r="A4580" s="4" t="s">
        <v>5762</v>
      </c>
      <c r="B4580" s="4" t="s">
        <v>5764</v>
      </c>
      <c r="C4580" s="5" t="str">
        <f>IFERROR(__xludf.DUMMYFUNCTION("GOOGLETRANSLATE(B4580,""en"",""es-ES"")"),"Un hombre arroja sus brazos al aire.")</f>
        <v>Un hombre arroja sus brazos al aire.</v>
      </c>
    </row>
    <row r="4581">
      <c r="A4581" s="4" t="s">
        <v>5762</v>
      </c>
      <c r="B4581" s="4" t="s">
        <v>5765</v>
      </c>
      <c r="C4581" s="5" t="str">
        <f>IFERROR(__xludf.DUMMYFUNCTION("GOOGLETRANSLATE(B4581,""en"",""es-ES"")"),"El hombre izquierdo cae al suelo.")</f>
        <v>El hombre izquierdo cae al suelo.</v>
      </c>
    </row>
    <row r="4582">
      <c r="A4582" s="4" t="s">
        <v>5762</v>
      </c>
      <c r="B4582" s="4" t="s">
        <v>5766</v>
      </c>
      <c r="C4582" s="5" t="str">
        <f>IFERROR(__xludf.DUMMYFUNCTION("GOOGLETRANSLATE(B4582,""en"",""es-ES"")"),"El hombre izquierdo arroja su mano al aire.")</f>
        <v>El hombre izquierdo arroja su mano al aire.</v>
      </c>
    </row>
    <row r="4583">
      <c r="A4583" s="4" t="s">
        <v>5762</v>
      </c>
      <c r="B4583" s="4" t="s">
        <v>777</v>
      </c>
      <c r="C4583" s="5" t="str">
        <f>IFERROR(__xludf.DUMMYFUNCTION("GOOGLETRANSLATE(B4583,""en"",""es-ES"")"),"Vemos la pantalla de título final.")</f>
        <v>Vemos la pantalla de título final.</v>
      </c>
    </row>
    <row r="4584">
      <c r="A4584" s="4" t="s">
        <v>5767</v>
      </c>
      <c r="B4584" s="4" t="s">
        <v>5768</v>
      </c>
      <c r="C4584" s="5" t="str">
        <f>IFERROR(__xludf.DUMMYFUNCTION("GOOGLETRANSLATE(B4584,""en"",""es-ES"")"),"Una mujer está bailando y limpiando en la cocina.")</f>
        <v>Una mujer está bailando y limpiando en la cocina.</v>
      </c>
    </row>
    <row r="4585">
      <c r="A4585" s="4" t="s">
        <v>5767</v>
      </c>
      <c r="B4585" s="4" t="s">
        <v>5769</v>
      </c>
      <c r="C4585" s="5" t="str">
        <f>IFERROR(__xludf.DUMMYFUNCTION("GOOGLETRANSLATE(B4585,""en"",""es-ES"")"),"Otra mujer la está grabando y riendo.")</f>
        <v>Otra mujer la está grabando y riendo.</v>
      </c>
    </row>
    <row r="4586">
      <c r="A4586" s="4" t="s">
        <v>5767</v>
      </c>
      <c r="B4586" s="4" t="s">
        <v>5770</v>
      </c>
      <c r="C4586" s="5" t="str">
        <f>IFERROR(__xludf.DUMMYFUNCTION("GOOGLETRANSLATE(B4586,""en"",""es-ES"")"),"La mujer se da cuenta de la cámara y se ríe, pero continúa bailando.")</f>
        <v>La mujer se da cuenta de la cámara y se ríe, pero continúa bailando.</v>
      </c>
    </row>
    <row r="4587">
      <c r="A4587" s="4" t="s">
        <v>5771</v>
      </c>
      <c r="B4587" s="4" t="s">
        <v>5772</v>
      </c>
      <c r="C4587" s="5" t="str">
        <f>IFERROR(__xludf.DUMMYFUNCTION("GOOGLETRANSLATE(B4587,""en"",""es-ES"")"),"Un técnico camina a lo largo de un techo y lo rocía con una varita unida a una manguera.")</f>
        <v>Un técnico camina a lo largo de un techo y lo rocía con una varita unida a una manguera.</v>
      </c>
    </row>
    <row r="4588">
      <c r="A4588" s="4" t="s">
        <v>5771</v>
      </c>
      <c r="B4588" s="4" t="s">
        <v>5773</v>
      </c>
      <c r="C4588" s="5" t="str">
        <f>IFERROR(__xludf.DUMMYFUNCTION("GOOGLETRANSLATE(B4588,""en"",""es-ES"")"),"El hombre apaga la manguera y luego camina a lo largo del pico del techo.")</f>
        <v>El hombre apaga la manguera y luego camina a lo largo del pico del techo.</v>
      </c>
    </row>
    <row r="4589">
      <c r="A4589" s="4" t="s">
        <v>5771</v>
      </c>
      <c r="B4589" s="4" t="s">
        <v>5774</v>
      </c>
      <c r="C4589" s="5" t="str">
        <f>IFERROR(__xludf.DUMMYFUNCTION("GOOGLETRANSLATE(B4589,""en"",""es-ES"")"),"El hombre rocía alrededor de las canaletas con la varita.")</f>
        <v>El hombre rocía alrededor de las canaletas con la varita.</v>
      </c>
    </row>
    <row r="4590">
      <c r="A4590" s="4" t="s">
        <v>5771</v>
      </c>
      <c r="B4590" s="4" t="s">
        <v>5775</v>
      </c>
      <c r="C4590" s="5" t="str">
        <f>IFERROR(__xludf.DUMMYFUNCTION("GOOGLETRANSLATE(B4590,""en"",""es-ES"")"),"El agua sale de la canaleta sobre el cemento debajo.")</f>
        <v>El agua sale de la canaleta sobre el cemento debajo.</v>
      </c>
    </row>
    <row r="4591">
      <c r="A4591" s="4" t="s">
        <v>5776</v>
      </c>
      <c r="B4591" s="4" t="s">
        <v>5777</v>
      </c>
      <c r="C4591" s="5" t="str">
        <f>IFERROR(__xludf.DUMMYFUNCTION("GOOGLETRANSLATE(B4591,""en"",""es-ES"")"),"Se ve a una mujer sentada en arena al lado de una niña.")</f>
        <v>Se ve a una mujer sentada en arena al lado de una niña.</v>
      </c>
    </row>
    <row r="4592">
      <c r="A4592" s="4" t="s">
        <v>5776</v>
      </c>
      <c r="B4592" s="4" t="s">
        <v>5778</v>
      </c>
      <c r="C4592" s="5" t="str">
        <f>IFERROR(__xludf.DUMMYFUNCTION("GOOGLETRANSLATE(B4592,""en"",""es-ES"")"),"La mujer mira hacia otro lado de la cámara y mira la arena.")</f>
        <v>La mujer mira hacia otro lado de la cámara y mira la arena.</v>
      </c>
    </row>
    <row r="4593">
      <c r="A4593" s="4" t="s">
        <v>5776</v>
      </c>
      <c r="B4593" s="4" t="s">
        <v>5779</v>
      </c>
      <c r="C4593" s="5" t="str">
        <f>IFERROR(__xludf.DUMMYFUNCTION("GOOGLETRANSLATE(B4593,""en"",""es-ES"")"),"La niña y la mujer comienzan a cavar en la arena.")</f>
        <v>La niña y la mujer comienzan a cavar en la arena.</v>
      </c>
    </row>
    <row r="4594">
      <c r="A4594" s="4" t="s">
        <v>5780</v>
      </c>
      <c r="B4594" s="4" t="s">
        <v>5781</v>
      </c>
      <c r="C4594" s="5" t="str">
        <f>IFERROR(__xludf.DUMMYFUNCTION("GOOGLETRANSLATE(B4594,""en"",""es-ES"")"),"Un gran grupo de jugadores se alinean y se ven hablando entre ellos.")</f>
        <v>Un gran grupo de jugadores se alinean y se ven hablando entre ellos.</v>
      </c>
    </row>
    <row r="4595">
      <c r="A4595" s="4" t="s">
        <v>5780</v>
      </c>
      <c r="B4595" s="4" t="s">
        <v>5782</v>
      </c>
      <c r="C4595" s="5" t="str">
        <f>IFERROR(__xludf.DUMMYFUNCTION("GOOGLETRANSLATE(B4595,""en"",""es-ES"")"),"Luego se mueven al hielo y comienzan a patinar.")</f>
        <v>Luego se mueven al hielo y comienzan a patinar.</v>
      </c>
    </row>
    <row r="4596">
      <c r="A4596" s="4" t="s">
        <v>5780</v>
      </c>
      <c r="B4596" s="4" t="s">
        <v>5783</v>
      </c>
      <c r="C4596" s="5" t="str">
        <f>IFERROR(__xludf.DUMMYFUNCTION("GOOGLETRANSLATE(B4596,""en"",""es-ES"")"),"Un hombre de puño golpea a otro y termina alejándose.")</f>
        <v>Un hombre de puño golpea a otro y termina alejándose.</v>
      </c>
    </row>
    <row r="4597">
      <c r="A4597" s="4" t="s">
        <v>5784</v>
      </c>
      <c r="B4597" s="4" t="s">
        <v>5785</v>
      </c>
      <c r="C4597" s="5" t="str">
        <f>IFERROR(__xludf.DUMMYFUNCTION("GOOGLETRANSLATE(B4597,""en"",""es-ES"")"),"Se ve a una persona corriendo por un mazo empujando un disco con un palo.")</f>
        <v>Se ve a una persona corriendo por un mazo empujando un disco con un palo.</v>
      </c>
    </row>
    <row r="4598">
      <c r="A4598" s="4" t="s">
        <v>5784</v>
      </c>
      <c r="B4598" s="4" t="s">
        <v>5786</v>
      </c>
      <c r="C4598" s="5" t="str">
        <f>IFERROR(__xludf.DUMMYFUNCTION("GOOGLETRANSLATE(B4598,""en"",""es-ES"")"),"Ella mira hacia atrás y se ríe a la cámara mientras otras personas miran a un lado.")</f>
        <v>Ella mira hacia atrás y se ríe a la cámara mientras otras personas miran a un lado.</v>
      </c>
    </row>
    <row r="4599">
      <c r="A4599" s="4" t="s">
        <v>5787</v>
      </c>
      <c r="B4599" s="4" t="s">
        <v>5788</v>
      </c>
      <c r="C4599" s="5" t="str">
        <f>IFERROR(__xludf.DUMMYFUNCTION("GOOGLETRANSLATE(B4599,""en"",""es-ES"")"),"Se muestra un perro negro mirando la cámara.")</f>
        <v>Se muestra un perro negro mirando la cámara.</v>
      </c>
    </row>
    <row r="4600">
      <c r="A4600" s="4" t="s">
        <v>5787</v>
      </c>
      <c r="B4600" s="4" t="s">
        <v>5789</v>
      </c>
      <c r="C4600" s="5" t="str">
        <f>IFERROR(__xludf.DUMMYFUNCTION("GOOGLETRANSLATE(B4600,""en"",""es-ES"")"),"Aparece un hombre calvo que está parado junto a una silla que parece necesitar restaurar.")</f>
        <v>Aparece un hombre calvo que está parado junto a una silla que parece necesitar restaurar.</v>
      </c>
    </row>
    <row r="4601">
      <c r="A4601" s="4" t="s">
        <v>5787</v>
      </c>
      <c r="B4601" s="4" t="s">
        <v>5790</v>
      </c>
      <c r="C4601" s="5" t="str">
        <f>IFERROR(__xludf.DUMMYFUNCTION("GOOGLETRANSLATE(B4601,""en"",""es-ES"")"),"Se muestra que la silla tiene rasguños.")</f>
        <v>Se muestra que la silla tiene rasguños.</v>
      </c>
    </row>
    <row r="4602">
      <c r="A4602" s="4" t="s">
        <v>5787</v>
      </c>
      <c r="B4602" s="4" t="s">
        <v>5791</v>
      </c>
      <c r="C4602" s="5" t="str">
        <f>IFERROR(__xludf.DUMMYFUNCTION("GOOGLETRANSLATE(B4602,""en"",""es-ES"")"),"El hombre comienza a aplicar una sustancia a la silla mientras el hombre frota la sustancia en las superficies de la silla.")</f>
        <v>El hombre comienza a aplicar una sustancia a la silla mientras el hombre frota la sustancia en las superficies de la silla.</v>
      </c>
    </row>
    <row r="4603">
      <c r="A4603" s="4" t="s">
        <v>5787</v>
      </c>
      <c r="B4603" s="4" t="s">
        <v>5792</v>
      </c>
      <c r="C4603" s="5" t="str">
        <f>IFERROR(__xludf.DUMMYFUNCTION("GOOGLETRANSLATE(B4603,""en"",""es-ES"")"),"El hombre luego señala un rasguño en la parte de la silla y comienza a limpiarlo con la sustancia.")</f>
        <v>El hombre luego señala un rasguño en la parte de la silla y comienza a limpiarlo con la sustancia.</v>
      </c>
    </row>
    <row r="4604">
      <c r="A4604" s="4" t="s">
        <v>5787</v>
      </c>
      <c r="B4604" s="4" t="s">
        <v>5793</v>
      </c>
      <c r="C4604" s="5" t="str">
        <f>IFERROR(__xludf.DUMMYFUNCTION("GOOGLETRANSLATE(B4604,""en"",""es-ES"")"),"El hombre luego muestra una pierna de la silla y la limpia también.")</f>
        <v>El hombre luego muestra una pierna de la silla y la limpia también.</v>
      </c>
    </row>
    <row r="4605">
      <c r="A4605" s="4" t="s">
        <v>5787</v>
      </c>
      <c r="B4605" s="4" t="s">
        <v>5794</v>
      </c>
      <c r="C4605" s="5" t="str">
        <f>IFERROR(__xludf.DUMMYFUNCTION("GOOGLETRANSLATE(B4605,""en"",""es-ES"")"),"El hombre parece verter una sustancia en una lata y sumergir el cepillo y pulir parte de la pierna.")</f>
        <v>El hombre parece verter una sustancia en una lata y sumergir el cepillo y pulir parte de la pierna.</v>
      </c>
    </row>
    <row r="4606">
      <c r="A4606" s="4" t="s">
        <v>5787</v>
      </c>
      <c r="B4606" s="4" t="s">
        <v>5795</v>
      </c>
      <c r="C4606" s="5" t="str">
        <f>IFERROR(__xludf.DUMMYFUNCTION("GOOGLETRANSLATE(B4606,""en"",""es-ES"")"),"El hombre continúa limpiando la silla a medida que se está limpiando y limpiando.")</f>
        <v>El hombre continúa limpiando la silla a medida que se está limpiando y limpiando.</v>
      </c>
    </row>
    <row r="4607">
      <c r="A4607" s="4" t="s">
        <v>5787</v>
      </c>
      <c r="B4607" s="4" t="s">
        <v>5796</v>
      </c>
      <c r="C4607" s="5" t="str">
        <f>IFERROR(__xludf.DUMMYFUNCTION("GOOGLETRANSLATE(B4607,""en"",""es-ES"")"),"El hombre regresa más tarde después de que la silla se seca con una botella amarilla y ahora lleva un sombrero y gafas.")</f>
        <v>El hombre regresa más tarde después de que la silla se seca con una botella amarilla y ahora lleva un sombrero y gafas.</v>
      </c>
    </row>
    <row r="4608">
      <c r="A4608" s="4" t="s">
        <v>5787</v>
      </c>
      <c r="B4608" s="4" t="s">
        <v>5797</v>
      </c>
      <c r="C4608" s="5" t="str">
        <f>IFERROR(__xludf.DUMMYFUNCTION("GOOGLETRANSLATE(B4608,""en"",""es-ES"")"),"El hombre comienza a limpiar la silla nuevamente usando lo que estaba en la botella amarilla.")</f>
        <v>El hombre comienza a limpiar la silla nuevamente usando lo que estaba en la botella amarilla.</v>
      </c>
    </row>
    <row r="4609">
      <c r="A4609" s="4" t="s">
        <v>5787</v>
      </c>
      <c r="B4609" s="4" t="s">
        <v>5798</v>
      </c>
      <c r="C4609" s="5" t="str">
        <f>IFERROR(__xludf.DUMMYFUNCTION("GOOGLETRANSLATE(B4609,""en"",""es-ES"")"),"Después de que esto esté completo, el cojín se vuelve a colocar en la silla mientras se limpia una vez más.")</f>
        <v>Después de que esto esté completo, el cojín se vuelve a colocar en la silla mientras se limpia una vez más.</v>
      </c>
    </row>
    <row r="4610">
      <c r="A4610" s="4" t="s">
        <v>5799</v>
      </c>
      <c r="B4610" s="4" t="s">
        <v>5800</v>
      </c>
      <c r="C4610" s="5" t="str">
        <f>IFERROR(__xludf.DUMMYFUNCTION("GOOGLETRANSLATE(B4610,""en"",""es-ES"")"),"La gente hace un agujero en la orilla de la playa con palas.")</f>
        <v>La gente hace un agujero en la orilla de la playa con palas.</v>
      </c>
    </row>
    <row r="4611">
      <c r="A4611" s="4" t="s">
        <v>5799</v>
      </c>
      <c r="B4611" s="4" t="s">
        <v>5801</v>
      </c>
      <c r="C4611" s="5" t="str">
        <f>IFERROR(__xludf.DUMMYFUNCTION("GOOGLETRANSLATE(B4611,""en"",""es-ES"")"),"Luego, la gente hace una pared alrededor del agujero.")</f>
        <v>Luego, la gente hace una pared alrededor del agujero.</v>
      </c>
    </row>
    <row r="4612">
      <c r="A4612" s="4" t="s">
        <v>5802</v>
      </c>
      <c r="B4612" s="4" t="s">
        <v>5803</v>
      </c>
      <c r="C4612" s="5" t="str">
        <f>IFERROR(__xludf.DUMMYFUNCTION("GOOGLETRANSLATE(B4612,""en"",""es-ES"")"),"Un hombre habla mientras está parado frente a un gran río.")</f>
        <v>Un hombre habla mientras está parado frente a un gran río.</v>
      </c>
    </row>
    <row r="4613">
      <c r="A4613" s="4" t="s">
        <v>5802</v>
      </c>
      <c r="B4613" s="4" t="s">
        <v>5804</v>
      </c>
      <c r="C4613" s="5" t="str">
        <f>IFERROR(__xludf.DUMMYFUNCTION("GOOGLETRANSLATE(B4613,""en"",""es-ES"")"),"Un grupo de cerdos salvajes está nadando detrás del bote, tratando de mantenerse al día.")</f>
        <v>Un grupo de cerdos salvajes está nadando detrás del bote, tratando de mantenerse al día.</v>
      </c>
    </row>
    <row r="4614">
      <c r="A4614" s="4" t="s">
        <v>5802</v>
      </c>
      <c r="B4614" s="4" t="s">
        <v>5805</v>
      </c>
      <c r="C4614" s="5" t="str">
        <f>IFERROR(__xludf.DUMMYFUNCTION("GOOGLETRANSLATE(B4614,""en"",""es-ES"")"),"El hombre llega a la orilla, y él y un compañero de bote corren en la playa, tratando de escapar de los cerdos.")</f>
        <v>El hombre llega a la orilla, y él y un compañero de bote corren en la playa, tratando de escapar de los cerdos.</v>
      </c>
    </row>
    <row r="4615">
      <c r="A4615" s="4" t="s">
        <v>5806</v>
      </c>
      <c r="B4615" s="4" t="s">
        <v>3714</v>
      </c>
      <c r="C4615" s="5" t="str">
        <f>IFERROR(__xludf.DUMMYFUNCTION("GOOGLETRANSLATE(B4615,""en"",""es-ES"")"),"Vemos una pantalla de apertura oscura.")</f>
        <v>Vemos una pantalla de apertura oscura.</v>
      </c>
    </row>
    <row r="4616">
      <c r="A4616" s="4" t="s">
        <v>5806</v>
      </c>
      <c r="B4616" s="4" t="s">
        <v>5807</v>
      </c>
      <c r="C4616" s="5" t="str">
        <f>IFERROR(__xludf.DUMMYFUNCTION("GOOGLETRANSLATE(B4616,""en"",""es-ES"")"),"Luego vemos a dos hombres practicando artes marciales.")</f>
        <v>Luego vemos a dos hombres practicando artes marciales.</v>
      </c>
    </row>
    <row r="4617">
      <c r="A4617" s="4" t="s">
        <v>5806</v>
      </c>
      <c r="B4617" s="4" t="s">
        <v>5808</v>
      </c>
      <c r="C4617" s="5" t="str">
        <f>IFERROR(__xludf.DUMMYFUNCTION("GOOGLETRANSLATE(B4617,""en"",""es-ES"")"),"El anciano empujó a los jóvenes al suelo.")</f>
        <v>El anciano empujó a los jóvenes al suelo.</v>
      </c>
    </row>
    <row r="4618">
      <c r="A4618" s="4" t="s">
        <v>5806</v>
      </c>
      <c r="B4618" s="4" t="s">
        <v>5809</v>
      </c>
      <c r="C4618" s="5" t="str">
        <f>IFERROR(__xludf.DUMMYFUNCTION("GOOGLETRANSLATE(B4618,""en"",""es-ES"")"),"El hombre mayor voltea al joven.")</f>
        <v>El hombre mayor voltea al joven.</v>
      </c>
    </row>
    <row r="4619">
      <c r="A4619" s="4" t="s">
        <v>5806</v>
      </c>
      <c r="B4619" s="4" t="s">
        <v>5810</v>
      </c>
      <c r="C4619" s="5" t="str">
        <f>IFERROR(__xludf.DUMMYFUNCTION("GOOGLETRANSLATE(B4619,""en"",""es-ES"")"),"El viejo lo empuja hacia adelante.")</f>
        <v>El viejo lo empuja hacia adelante.</v>
      </c>
    </row>
    <row r="4620">
      <c r="A4620" s="4" t="s">
        <v>5806</v>
      </c>
      <c r="B4620" s="4" t="s">
        <v>5811</v>
      </c>
      <c r="C4620" s="5" t="str">
        <f>IFERROR(__xludf.DUMMYFUNCTION("GOOGLETRANSLATE(B4620,""en"",""es-ES"")"),"El joven agarra la cabeza mayor, y mayor lo empuja hacia abajo.")</f>
        <v>El joven agarra la cabeza mayor, y mayor lo empuja hacia abajo.</v>
      </c>
    </row>
    <row r="4621">
      <c r="A4621" s="4" t="s">
        <v>5806</v>
      </c>
      <c r="B4621" s="4" t="s">
        <v>5812</v>
      </c>
      <c r="C4621" s="5" t="str">
        <f>IFERROR(__xludf.DUMMYFUNCTION("GOOGLETRANSLATE(B4621,""en"",""es-ES"")"),"El hombre en verde es empujado a través de la estera.")</f>
        <v>El hombre en verde es empujado a través de la estera.</v>
      </c>
    </row>
    <row r="4622">
      <c r="A4622" s="4" t="s">
        <v>5806</v>
      </c>
      <c r="B4622" s="4" t="s">
        <v>5813</v>
      </c>
      <c r="C4622" s="5" t="str">
        <f>IFERROR(__xludf.DUMMYFUNCTION("GOOGLETRANSLATE(B4622,""en"",""es-ES"")"),"Viejo voltea al hombre en verde.")</f>
        <v>Viejo voltea al hombre en verde.</v>
      </c>
    </row>
    <row r="4623">
      <c r="A4623" s="4" t="s">
        <v>5806</v>
      </c>
      <c r="B4623" s="4" t="s">
        <v>5814</v>
      </c>
      <c r="C4623" s="5" t="str">
        <f>IFERROR(__xludf.DUMMYFUNCTION("GOOGLETRANSLATE(B4623,""en"",""es-ES"")"),"El hombre de blanco es volteado.")</f>
        <v>El hombre de blanco es volteado.</v>
      </c>
    </row>
    <row r="4624">
      <c r="A4624" s="4" t="s">
        <v>5806</v>
      </c>
      <c r="B4624" s="4" t="s">
        <v>5815</v>
      </c>
      <c r="C4624" s="5" t="str">
        <f>IFERROR(__xludf.DUMMYFUNCTION("GOOGLETRANSLATE(B4624,""en"",""es-ES"")"),"El hombre mayor empuja el hombre verde al suelo.")</f>
        <v>El hombre mayor empuja el hombre verde al suelo.</v>
      </c>
    </row>
    <row r="4625">
      <c r="A4625" s="4" t="s">
        <v>5806</v>
      </c>
      <c r="B4625" s="4" t="s">
        <v>5816</v>
      </c>
      <c r="C4625" s="5" t="str">
        <f>IFERROR(__xludf.DUMMYFUNCTION("GOOGLETRANSLATE(B4625,""en"",""es-ES"")"),"El hombre mayor rueda al hombre en verde.")</f>
        <v>El hombre mayor rueda al hombre en verde.</v>
      </c>
    </row>
    <row r="4626">
      <c r="A4626" s="4" t="s">
        <v>5817</v>
      </c>
      <c r="B4626" s="4" t="s">
        <v>5818</v>
      </c>
      <c r="C4626" s="5" t="str">
        <f>IFERROR(__xludf.DUMMYFUNCTION("GOOGLETRANSLATE(B4626,""en"",""es-ES"")"),"Un hombre juega solo con la piscina golpeando bolas con un poste mientras camina alrededor de la mesa de billar.")</f>
        <v>Un hombre juega solo con la piscina golpeando bolas con un poste mientras camina alrededor de la mesa de billar.</v>
      </c>
    </row>
    <row r="4627">
      <c r="A4627" s="4" t="s">
        <v>5817</v>
      </c>
      <c r="B4627" s="4" t="s">
        <v>5819</v>
      </c>
      <c r="C4627" s="5" t="str">
        <f>IFERROR(__xludf.DUMMYFUNCTION("GOOGLETRANSLATE(B4627,""en"",""es-ES"")"),"Luego, el hombre golpeó una pelota que ingresa a la canasta.")</f>
        <v>Luego, el hombre golpeó una pelota que ingresa a la canasta.</v>
      </c>
    </row>
    <row r="4628">
      <c r="A4628" s="4" t="s">
        <v>5817</v>
      </c>
      <c r="B4628" s="4" t="s">
        <v>5820</v>
      </c>
      <c r="C4628" s="5" t="str">
        <f>IFERROR(__xludf.DUMMYFUNCTION("GOOGLETRANSLATE(B4628,""en"",""es-ES"")"),"Después, el hombre le da la mano a personas de la audiencia.")</f>
        <v>Después, el hombre le da la mano a personas de la audiencia.</v>
      </c>
    </row>
    <row r="4629">
      <c r="A4629" s="4" t="s">
        <v>5821</v>
      </c>
      <c r="B4629" s="4" t="s">
        <v>5822</v>
      </c>
      <c r="C4629" s="5" t="str">
        <f>IFERROR(__xludf.DUMMYFUNCTION("GOOGLETRANSLATE(B4629,""en"",""es-ES"")"),"Dos niños se sientan hablando mientras sostienen sus teléfonos celulares.")</f>
        <v>Dos niños se sientan hablando mientras sostienen sus teléfonos celulares.</v>
      </c>
    </row>
    <row r="4630">
      <c r="A4630" s="4" t="s">
        <v>5821</v>
      </c>
      <c r="B4630" s="4" t="s">
        <v>5823</v>
      </c>
      <c r="C4630" s="5" t="str">
        <f>IFERROR(__xludf.DUMMYFUNCTION("GOOGLETRANSLATE(B4630,""en"",""es-ES"")"),"Los chicos están luchando con disfraces de sumo mientras otros dos niños los filman con cámara.")</f>
        <v>Los chicos están luchando con disfraces de sumo mientras otros dos niños los filman con cámara.</v>
      </c>
    </row>
    <row r="4631">
      <c r="A4631" s="4" t="s">
        <v>5821</v>
      </c>
      <c r="B4631" s="4" t="s">
        <v>5824</v>
      </c>
      <c r="C4631" s="5" t="str">
        <f>IFERROR(__xludf.DUMMYFUNCTION("GOOGLETRANSLATE(B4631,""en"",""es-ES"")"),"Un niño consigue y golpea al otro con una escalera y se golpean.")</f>
        <v>Un niño consigue y golpea al otro con una escalera y se golpean.</v>
      </c>
    </row>
    <row r="4632">
      <c r="A4632" s="4" t="s">
        <v>5821</v>
      </c>
      <c r="B4632" s="4" t="s">
        <v>5825</v>
      </c>
      <c r="C4632" s="5" t="str">
        <f>IFERROR(__xludf.DUMMYFUNCTION("GOOGLETRANSLATE(B4632,""en"",""es-ES"")"),"El niño de rojo agarra y golpea al chico verde en la escalera con una guitarra.")</f>
        <v>El niño de rojo agarra y golpea al chico verde en la escalera con una guitarra.</v>
      </c>
    </row>
    <row r="4633">
      <c r="A4633" s="4" t="s">
        <v>5821</v>
      </c>
      <c r="B4633" s="4" t="s">
        <v>5826</v>
      </c>
      <c r="C4633" s="5" t="str">
        <f>IFERROR(__xludf.DUMMYFUNCTION("GOOGLETRANSLATE(B4633,""en"",""es-ES"")"),"El niño rojo trae una tabla de planchar y salta al otro niño desde la escalera.")</f>
        <v>El niño rojo trae una tabla de planchar y salta al otro niño desde la escalera.</v>
      </c>
    </row>
    <row r="4634">
      <c r="A4634" s="4" t="s">
        <v>5821</v>
      </c>
      <c r="B4634" s="4" t="s">
        <v>5827</v>
      </c>
      <c r="C4634" s="5" t="str">
        <f>IFERROR(__xludf.DUMMYFUNCTION("GOOGLETRANSLATE(B4634,""en"",""es-ES"")"),"El niño verde se encuentra con el otro chico con una minibike.")</f>
        <v>El niño verde se encuentra con el otro chico con una minibike.</v>
      </c>
    </row>
    <row r="4635">
      <c r="A4635" s="4" t="s">
        <v>5821</v>
      </c>
      <c r="B4635" s="4" t="s">
        <v>5828</v>
      </c>
      <c r="C4635" s="5" t="str">
        <f>IFERROR(__xludf.DUMMYFUNCTION("GOOGLETRANSLATE(B4635,""en"",""es-ES"")"),"Una niña con un traje de suma arrojado desde una carretilla y el árbitro cuenta el partido como terminado.")</f>
        <v>Una niña con un traje de suma arrojado desde una carretilla y el árbitro cuenta el partido como terminado.</v>
      </c>
    </row>
    <row r="4636">
      <c r="A4636" s="4" t="s">
        <v>5821</v>
      </c>
      <c r="B4636" s="4" t="s">
        <v>777</v>
      </c>
      <c r="C4636" s="5" t="str">
        <f>IFERROR(__xludf.DUMMYFUNCTION("GOOGLETRANSLATE(B4636,""en"",""es-ES"")"),"Vemos la pantalla de título final.")</f>
        <v>Vemos la pantalla de título final.</v>
      </c>
    </row>
    <row r="4637">
      <c r="A4637" s="4" t="s">
        <v>5829</v>
      </c>
      <c r="B4637" s="4" t="s">
        <v>5830</v>
      </c>
      <c r="C4637" s="5" t="str">
        <f>IFERROR(__xludf.DUMMYFUNCTION("GOOGLETRANSLATE(B4637,""en"",""es-ES"")"),"Una mujer se para en una cocina hablando.")</f>
        <v>Una mujer se para en una cocina hablando.</v>
      </c>
    </row>
    <row r="4638">
      <c r="A4638" s="4" t="s">
        <v>5829</v>
      </c>
      <c r="B4638" s="4" t="s">
        <v>5831</v>
      </c>
      <c r="C4638" s="5" t="str">
        <f>IFERROR(__xludf.DUMMYFUNCTION("GOOGLETRANSLATE(B4638,""en"",""es-ES"")"),"Se acerca a un fregadero, se pone guantes y lava los platos.")</f>
        <v>Se acerca a un fregadero, se pone guantes y lava los platos.</v>
      </c>
    </row>
    <row r="4639">
      <c r="A4639" s="4" t="s">
        <v>5832</v>
      </c>
      <c r="B4639" s="4" t="s">
        <v>5833</v>
      </c>
      <c r="C4639" s="5" t="str">
        <f>IFERROR(__xludf.DUMMYFUNCTION("GOOGLETRANSLATE(B4639,""en"",""es-ES"")"),"Una mujer está de pie en una cocina.")</f>
        <v>Una mujer está de pie en una cocina.</v>
      </c>
    </row>
    <row r="4640">
      <c r="A4640" s="4" t="s">
        <v>5832</v>
      </c>
      <c r="B4640" s="4" t="s">
        <v>5834</v>
      </c>
      <c r="C4640" s="5" t="str">
        <f>IFERROR(__xludf.DUMMYFUNCTION("GOOGLETRANSLATE(B4640,""en"",""es-ES"")"),"Ella pone ingredientes en un tazón de vidrio y los mezcla.")</f>
        <v>Ella pone ingredientes en un tazón de vidrio y los mezcla.</v>
      </c>
    </row>
    <row r="4641">
      <c r="A4641" s="4" t="s">
        <v>5832</v>
      </c>
      <c r="B4641" s="4" t="s">
        <v>5835</v>
      </c>
      <c r="C4641" s="5" t="str">
        <f>IFERROR(__xludf.DUMMYFUNCTION("GOOGLETRANSLATE(B4641,""en"",""es-ES"")"),"Ella comienza a cortar comida en una cuadra.")</f>
        <v>Ella comienza a cortar comida en una cuadra.</v>
      </c>
    </row>
    <row r="4642">
      <c r="A4642" s="4" t="s">
        <v>5832</v>
      </c>
      <c r="B4642" s="4" t="s">
        <v>5836</v>
      </c>
      <c r="C4642" s="5" t="str">
        <f>IFERROR(__xludf.DUMMYFUNCTION("GOOGLETRANSLATE(B4642,""en"",""es-ES"")"),"Ella combina todos los ingredientes en el tazón y los mezcla.")</f>
        <v>Ella combina todos los ingredientes en el tazón y los mezcla.</v>
      </c>
    </row>
    <row r="4643">
      <c r="A4643" s="4" t="s">
        <v>5832</v>
      </c>
      <c r="B4643" s="4" t="s">
        <v>5837</v>
      </c>
      <c r="C4643" s="5" t="str">
        <f>IFERROR(__xludf.DUMMYFUNCTION("GOOGLETRANSLATE(B4643,""en"",""es-ES"")"),"Ella traza queso en la parte superior de la comida.")</f>
        <v>Ella traza queso en la parte superior de la comida.</v>
      </c>
    </row>
    <row r="4644">
      <c r="A4644" s="4" t="s">
        <v>5832</v>
      </c>
      <c r="B4644" s="4" t="s">
        <v>5838</v>
      </c>
      <c r="C4644" s="5" t="str">
        <f>IFERROR(__xludf.DUMMYFUNCTION("GOOGLETRANSLATE(B4644,""en"",""es-ES"")"),"Luego pone la ensalada encima de eso.")</f>
        <v>Luego pone la ensalada encima de eso.</v>
      </c>
    </row>
    <row r="4645">
      <c r="A4645" s="4" t="s">
        <v>5839</v>
      </c>
      <c r="B4645" s="4" t="s">
        <v>5840</v>
      </c>
      <c r="C4645" s="5" t="str">
        <f>IFERROR(__xludf.DUMMYFUNCTION("GOOGLETRANSLATE(B4645,""en"",""es-ES"")"),"Una mujer demuestra desde detrás de un mostrador de barras de pie dentro de una barra, cómo mezclar bebidas con un vaso de chupito y varias botellas de alcohol.")</f>
        <v>Una mujer demuestra desde detrás de un mostrador de barras de pie dentro de una barra, cómo mezclar bebidas con un vaso de chupito y varias botellas de alcohol.</v>
      </c>
    </row>
    <row r="4646">
      <c r="A4646" s="4" t="s">
        <v>5839</v>
      </c>
      <c r="B4646" s="4" t="s">
        <v>5841</v>
      </c>
      <c r="C4646" s="5" t="str">
        <f>IFERROR(__xludf.DUMMYFUNCTION("GOOGLETRANSLATE(B4646,""en"",""es-ES"")"),"Una mujer de pie detrás de una barra habla con la cámara y vierte una botella de alcohol en un vaso de chupito junto con otra botella de alcohol.")</f>
        <v>Una mujer de pie detrás de una barra habla con la cámara y vierte una botella de alcohol en un vaso de chupito junto con otra botella de alcohol.</v>
      </c>
    </row>
    <row r="4647">
      <c r="A4647" s="4" t="s">
        <v>5839</v>
      </c>
      <c r="B4647" s="4" t="s">
        <v>5842</v>
      </c>
      <c r="C4647" s="5" t="str">
        <f>IFERROR(__xludf.DUMMYFUNCTION("GOOGLETRANSLATE(B4647,""en"",""es-ES"")"),"Luego, la mujer saca una botella de alcohol más grande de la parte superior de la barra y también se vierte en el vaso de chupito, la mujer empuja el vaso de chupito hacia la cámara antes de que la escena se desvanezca a negro.")</f>
        <v>Luego, la mujer saca una botella de alcohol más grande de la parte superior de la barra y también se vierte en el vaso de chupito, la mujer empuja el vaso de chupito hacia la cámara antes de que la escena se desvanezca a negro.</v>
      </c>
    </row>
    <row r="4648">
      <c r="A4648" s="4" t="s">
        <v>5843</v>
      </c>
      <c r="B4648" s="4" t="s">
        <v>5844</v>
      </c>
      <c r="C4648" s="5" t="str">
        <f>IFERROR(__xludf.DUMMYFUNCTION("GOOGLETRANSLATE(B4648,""en"",""es-ES"")"),"Se ve a un hombre hablando con la cámara mientras el texto aparece en la pantalla.")</f>
        <v>Se ve a un hombre hablando con la cámara mientras el texto aparece en la pantalla.</v>
      </c>
    </row>
    <row r="4649">
      <c r="A4649" s="4" t="s">
        <v>5843</v>
      </c>
      <c r="B4649" s="4" t="s">
        <v>5845</v>
      </c>
      <c r="C4649" s="5" t="str">
        <f>IFERROR(__xludf.DUMMYFUNCTION("GOOGLETRANSLATE(B4649,""en"",""es-ES"")"),"El hombre continúa hablando y lo lleva a tocar un instrumento.")</f>
        <v>El hombre continúa hablando y lo lleva a tocar un instrumento.</v>
      </c>
    </row>
    <row r="4650">
      <c r="A4650" s="4" t="s">
        <v>5843</v>
      </c>
      <c r="B4650" s="4" t="s">
        <v>5846</v>
      </c>
      <c r="C4650" s="5" t="str">
        <f>IFERROR(__xludf.DUMMYFUNCTION("GOOGLETRANSLATE(B4650,""en"",""es-ES"")"),"Hace una pausa para tomar su mano mientras vuelve a jugar y luego se detiene.")</f>
        <v>Hace una pausa para tomar su mano mientras vuelve a jugar y luego se detiene.</v>
      </c>
    </row>
    <row r="4651">
      <c r="A4651" s="4" t="s">
        <v>5847</v>
      </c>
      <c r="B4651" s="4" t="s">
        <v>5848</v>
      </c>
      <c r="C4651" s="5" t="str">
        <f>IFERROR(__xludf.DUMMYFUNCTION("GOOGLETRANSLATE(B4651,""en"",""es-ES"")"),"Una persona tira de la cuerda de un camello en el que se sienta un hombre.")</f>
        <v>Una persona tira de la cuerda de un camello en el que se sienta un hombre.</v>
      </c>
    </row>
    <row r="4652">
      <c r="A4652" s="4" t="s">
        <v>5847</v>
      </c>
      <c r="B4652" s="4" t="s">
        <v>5849</v>
      </c>
      <c r="C4652" s="5" t="str">
        <f>IFERROR(__xludf.DUMMYFUNCTION("GOOGLETRANSLATE(B4652,""en"",""es-ES"")"),"Un hombre tira de un camello con dos personas en el desierto.")</f>
        <v>Un hombre tira de un camello con dos personas en el desierto.</v>
      </c>
    </row>
    <row r="4653">
      <c r="A4653" s="4" t="s">
        <v>5847</v>
      </c>
      <c r="B4653" s="4" t="s">
        <v>5850</v>
      </c>
      <c r="C4653" s="5" t="str">
        <f>IFERROR(__xludf.DUMMYFUNCTION("GOOGLETRANSLATE(B4653,""en"",""es-ES"")"),"Dos mujeres están cerca de los camellos.")</f>
        <v>Dos mujeres están cerca de los camellos.</v>
      </c>
    </row>
    <row r="4654">
      <c r="A4654" s="4" t="s">
        <v>5847</v>
      </c>
      <c r="B4654" s="4" t="s">
        <v>5851</v>
      </c>
      <c r="C4654" s="5" t="str">
        <f>IFERROR(__xludf.DUMMYFUNCTION("GOOGLETRANSLATE(B4654,""en"",""es-ES"")"),"Un coche pasa detrás de los camellos.")</f>
        <v>Un coche pasa detrás de los camellos.</v>
      </c>
    </row>
    <row r="4655">
      <c r="A4655" s="4" t="s">
        <v>5852</v>
      </c>
      <c r="B4655" s="4" t="s">
        <v>5853</v>
      </c>
      <c r="C4655" s="5" t="str">
        <f>IFERROR(__xludf.DUMMYFUNCTION("GOOGLETRANSLATE(B4655,""en"",""es-ES"")"),"Se muestran varios clips de personas arrojando bolas de bolos por un carril, así como cerca de bolas y alfileres.")</f>
        <v>Se muestran varios clips de personas arrojando bolas de bolos por un carril, así como cerca de bolas y alfileres.</v>
      </c>
    </row>
    <row r="4656">
      <c r="A4656" s="4" t="s">
        <v>5852</v>
      </c>
      <c r="B4656" s="4" t="s">
        <v>5854</v>
      </c>
      <c r="C4656" s="5" t="str">
        <f>IFERROR(__xludf.DUMMYFUNCTION("GOOGLETRANSLATE(B4656,""en"",""es-ES"")"),"La gente continúa jugando a los bolos y la máquina muestra cómo los alfileres giran y las bolas vuelven a la parte de atrás.")</f>
        <v>La gente continúa jugando a los bolos y la máquina muestra cómo los alfileres giran y las bolas vuelven a la parte de atrás.</v>
      </c>
    </row>
    <row r="4657">
      <c r="A4657" s="4" t="s">
        <v>5855</v>
      </c>
      <c r="B4657" s="4" t="s">
        <v>5856</v>
      </c>
      <c r="C4657" s="5" t="str">
        <f>IFERROR(__xludf.DUMMYFUNCTION("GOOGLETRANSLATE(B4657,""en"",""es-ES"")"),"Un montón de hojas marrones en la hierba verde están volando juntas.")</f>
        <v>Un montón de hojas marrones en la hierba verde están volando juntas.</v>
      </c>
    </row>
    <row r="4658">
      <c r="A4658" s="4" t="s">
        <v>5855</v>
      </c>
      <c r="B4658" s="4" t="s">
        <v>5857</v>
      </c>
      <c r="C4658" s="5" t="str">
        <f>IFERROR(__xludf.DUMMYFUNCTION("GOOGLETRANSLATE(B4658,""en"",""es-ES"")"),"El extremo del soplador de la hoja está más cerca de la hierba y está soplando un área aún más grande de hojas marrones.")</f>
        <v>El extremo del soplador de la hoja está más cerca de la hierba y está soplando un área aún más grande de hojas marrones.</v>
      </c>
    </row>
    <row r="4659">
      <c r="A4659" s="4" t="s">
        <v>5855</v>
      </c>
      <c r="B4659" s="4" t="s">
        <v>5858</v>
      </c>
      <c r="C4659" s="5" t="str">
        <f>IFERROR(__xludf.DUMMYFUNCTION("GOOGLETRANSLATE(B4659,""en"",""es-ES"")"),"El final del soplador de la hoja aparece y desaparece de la vista todo el tiempo.")</f>
        <v>El final del soplador de la hoja aparece y desaparece de la vista todo el tiempo.</v>
      </c>
    </row>
    <row r="4660">
      <c r="A4660" s="4" t="s">
        <v>5859</v>
      </c>
      <c r="B4660" s="4" t="s">
        <v>5860</v>
      </c>
      <c r="C4660" s="5" t="str">
        <f>IFERROR(__xludf.DUMMYFUNCTION("GOOGLETRANSLATE(B4660,""en"",""es-ES"")"),"La gente cabalga a espaldas de camellos.")</f>
        <v>La gente cabalga a espaldas de camellos.</v>
      </c>
    </row>
    <row r="4661">
      <c r="A4661" s="4" t="s">
        <v>5859</v>
      </c>
      <c r="B4661" s="4" t="s">
        <v>5861</v>
      </c>
      <c r="C4661" s="5" t="str">
        <f>IFERROR(__xludf.DUMMYFUNCTION("GOOGLETRANSLATE(B4661,""en"",""es-ES"")"),"Una persona los llevan por un sendero.")</f>
        <v>Una persona los llevan por un sendero.</v>
      </c>
    </row>
    <row r="4662">
      <c r="A4662" s="4" t="s">
        <v>5859</v>
      </c>
      <c r="B4662" s="4" t="s">
        <v>5862</v>
      </c>
      <c r="C4662" s="5" t="str">
        <f>IFERROR(__xludf.DUMMYFUNCTION("GOOGLETRANSLATE(B4662,""en"",""es-ES"")"),"La gente está de pie detrás de una cerca mirándolos.")</f>
        <v>La gente está de pie detrás de una cerca mirándolos.</v>
      </c>
    </row>
    <row r="4663">
      <c r="A4663" s="4" t="s">
        <v>5859</v>
      </c>
      <c r="B4663" s="4" t="s">
        <v>5863</v>
      </c>
      <c r="C4663" s="5" t="str">
        <f>IFERROR(__xludf.DUMMYFUNCTION("GOOGLETRANSLATE(B4663,""en"",""es-ES"")"),"Los camellos acostados en el suelo y la gente se cae de ellos.")</f>
        <v>Los camellos acostados en el suelo y la gente se cae de ellos.</v>
      </c>
    </row>
    <row r="4664">
      <c r="A4664" s="4" t="s">
        <v>5864</v>
      </c>
      <c r="B4664" s="4" t="s">
        <v>5865</v>
      </c>
      <c r="C4664" s="5" t="str">
        <f>IFERROR(__xludf.DUMMYFUNCTION("GOOGLETRANSLATE(B4664,""en"",""es-ES"")"),"Una niña con sujetador está parada en su baño y cepillándose el cabello.")</f>
        <v>Una niña con sujetador está parada en su baño y cepillándose el cabello.</v>
      </c>
    </row>
    <row r="4665">
      <c r="A4665" s="4" t="s">
        <v>5864</v>
      </c>
      <c r="B4665" s="4" t="s">
        <v>5866</v>
      </c>
      <c r="C4665" s="5" t="str">
        <f>IFERROR(__xludf.DUMMYFUNCTION("GOOGLETRANSLATE(B4665,""en"",""es-ES"")"),"Ella hace esto por un tiempo y continúa arreglándolo.")</f>
        <v>Ella hace esto por un tiempo y continúa arreglándolo.</v>
      </c>
    </row>
    <row r="4666">
      <c r="A4666" s="4" t="s">
        <v>5864</v>
      </c>
      <c r="B4666" s="4" t="s">
        <v>5867</v>
      </c>
      <c r="C4666" s="5" t="str">
        <f>IFERROR(__xludf.DUMMYFUNCTION("GOOGLETRANSLATE(B4666,""en"",""es-ES"")"),"Luego lo cepilla un poco más, ya que es muy largo.")</f>
        <v>Luego lo cepilla un poco más, ya que es muy largo.</v>
      </c>
    </row>
    <row r="4667">
      <c r="A4667" s="4" t="s">
        <v>5864</v>
      </c>
      <c r="B4667" s="4" t="s">
        <v>5868</v>
      </c>
      <c r="C4667" s="5" t="str">
        <f>IFERROR(__xludf.DUMMYFUNCTION("GOOGLETRANSLATE(B4667,""en"",""es-ES"")"),"Ella se da vuelta para recuperarlo.")</f>
        <v>Ella se da vuelta para recuperarlo.</v>
      </c>
    </row>
    <row r="4668">
      <c r="A4668" s="4" t="s">
        <v>5869</v>
      </c>
      <c r="B4668" s="4" t="s">
        <v>5870</v>
      </c>
      <c r="C4668" s="5" t="str">
        <f>IFERROR(__xludf.DUMMYFUNCTION("GOOGLETRANSLATE(B4668,""en"",""es-ES"")"),"Un hombre está dentro de un granero y se deja salir en un caballo para atrapar una vaca unida al caballo.")</f>
        <v>Un hombre está dentro de un granero y se deja salir en un caballo para atrapar una vaca unida al caballo.</v>
      </c>
    </row>
    <row r="4669">
      <c r="A4669" s="4" t="s">
        <v>5869</v>
      </c>
      <c r="B4669" s="4" t="s">
        <v>5871</v>
      </c>
      <c r="C4669" s="5" t="str">
        <f>IFERROR(__xludf.DUMMYFUNCTION("GOOGLETRANSLATE(B4669,""en"",""es-ES"")"),"Mientras arroja su lazo, pierde la vaca y corre para obtener algo antes de volver a la vaca.")</f>
        <v>Mientras arroja su lazo, pierde la vaca y corre para obtener algo antes de volver a la vaca.</v>
      </c>
    </row>
    <row r="4670">
      <c r="A4670" s="4" t="s">
        <v>5869</v>
      </c>
      <c r="B4670" s="4" t="s">
        <v>5872</v>
      </c>
      <c r="C4670" s="5" t="str">
        <f>IFERROR(__xludf.DUMMYFUNCTION("GOOGLETRANSLATE(B4670,""en"",""es-ES"")"),"El hombre finalmente se acerca al ternero y otro hombre sale para ayudarlo y regresa al caballo.")</f>
        <v>El hombre finalmente se acerca al ternero y otro hombre sale para ayudarlo y regresa al caballo.</v>
      </c>
    </row>
    <row r="4671">
      <c r="A4671" s="4" t="s">
        <v>5873</v>
      </c>
      <c r="B4671" s="4" t="s">
        <v>5874</v>
      </c>
      <c r="C4671" s="5" t="str">
        <f>IFERROR(__xludf.DUMMYFUNCTION("GOOGLETRANSLATE(B4671,""en"",""es-ES"")"),"Tres hombres sentados junto al mostrador están sentados viendo televisión y luego damas con atuendo de alegría comenzaron a bailar mientras los hombres los miraban.")</f>
        <v>Tres hombres sentados junto al mostrador están sentados viendo televisión y luego damas con atuendo de alegría comenzaron a bailar mientras los hombres los miraban.</v>
      </c>
    </row>
    <row r="4672">
      <c r="A4672" s="4" t="s">
        <v>5873</v>
      </c>
      <c r="B4672" s="4" t="s">
        <v>5875</v>
      </c>
      <c r="C4672" s="5" t="str">
        <f>IFERROR(__xludf.DUMMYFUNCTION("GOOGLETRANSLATE(B4672,""en"",""es-ES"")"),"Las damas comenzaron a bailar, levantando los brazos balanceando sus cuerpos.")</f>
        <v>Las damas comenzaron a bailar, levantando los brazos balanceando sus cuerpos.</v>
      </c>
    </row>
    <row r="4673">
      <c r="A4673" s="4" t="s">
        <v>5873</v>
      </c>
      <c r="B4673" s="4" t="s">
        <v>5876</v>
      </c>
      <c r="C4673" s="5" t="str">
        <f>IFERROR(__xludf.DUMMYFUNCTION("GOOGLETRANSLATE(B4673,""en"",""es-ES"")"),"Las chicas juegan billar y fútbol de mesa con los chicos y bailan.")</f>
        <v>Las chicas juegan billar y fútbol de mesa con los chicos y bailan.</v>
      </c>
    </row>
    <row r="4674">
      <c r="A4674" s="4" t="s">
        <v>5877</v>
      </c>
      <c r="B4674" s="4" t="s">
        <v>5878</v>
      </c>
      <c r="C4674" s="5" t="str">
        <f>IFERROR(__xludf.DUMMYFUNCTION("GOOGLETRANSLATE(B4674,""en"",""es-ES"")"),"Se muestra un gran parche de hierba.")</f>
        <v>Se muestra un gran parche de hierba.</v>
      </c>
    </row>
    <row r="4675">
      <c r="A4675" s="4" t="s">
        <v>5877</v>
      </c>
      <c r="B4675" s="4" t="s">
        <v>5879</v>
      </c>
      <c r="C4675" s="5" t="str">
        <f>IFERROR(__xludf.DUMMYFUNCTION("GOOGLETRANSLATE(B4675,""en"",""es-ES"")"),"Un hombre está cortando el patio al lado de los arbustos.")</f>
        <v>Un hombre está cortando el patio al lado de los arbustos.</v>
      </c>
    </row>
    <row r="4676">
      <c r="A4676" s="4" t="s">
        <v>5877</v>
      </c>
      <c r="B4676" s="4" t="s">
        <v>5880</v>
      </c>
      <c r="C4676" s="5" t="str">
        <f>IFERROR(__xludf.DUMMYFUNCTION("GOOGLETRANSLATE(B4676,""en"",""es-ES"")"),"Se detiene y habla con la cámara.")</f>
        <v>Se detiene y habla con la cámara.</v>
      </c>
    </row>
    <row r="4677">
      <c r="A4677" s="4" t="s">
        <v>5881</v>
      </c>
      <c r="B4677" s="4" t="s">
        <v>5882</v>
      </c>
      <c r="C4677" s="5" t="str">
        <f>IFERROR(__xludf.DUMMYFUNCTION("GOOGLETRANSLATE(B4677,""en"",""es-ES"")"),"Un hombre con una camisa roja comienza a hablar frente a una pared de herramienta que consiste en llave de llave, tornillos, hacha y taladros.")</f>
        <v>Un hombre con una camisa roja comienza a hablar frente a una pared de herramienta que consiste en llave de llave, tornillos, hacha y taladros.</v>
      </c>
    </row>
    <row r="4678">
      <c r="A4678" s="4" t="s">
        <v>5881</v>
      </c>
      <c r="B4678" s="4" t="s">
        <v>5883</v>
      </c>
      <c r="C4678" s="5" t="str">
        <f>IFERROR(__xludf.DUMMYFUNCTION("GOOGLETRANSLATE(B4678,""en"",""es-ES"")"),"Luego levanta una pequeña pieza de plata y comienza a meterla en la cadena de la bicicleta.")</f>
        <v>Luego levanta una pequeña pieza de plata y comienza a meterla en la cadena de la bicicleta.</v>
      </c>
    </row>
    <row r="4679">
      <c r="A4679" s="4" t="s">
        <v>5881</v>
      </c>
      <c r="B4679" s="4" t="s">
        <v>5884</v>
      </c>
      <c r="C4679" s="5" t="str">
        <f>IFERROR(__xludf.DUMMYFUNCTION("GOOGLETRANSLATE(B4679,""en"",""es-ES"")"),"Luego, toma un utensilio negro, mueve los pedales y se quita la cadena por completo.")</f>
        <v>Luego, toma un utensilio negro, mueve los pedales y se quita la cadena por completo.</v>
      </c>
    </row>
    <row r="4680">
      <c r="A4680" s="4" t="s">
        <v>5881</v>
      </c>
      <c r="B4680" s="4" t="s">
        <v>5885</v>
      </c>
      <c r="C4680" s="5" t="str">
        <f>IFERROR(__xludf.DUMMYFUNCTION("GOOGLETRANSLATE(B4680,""en"",""es-ES"")"),"Luego toma una caja con una nueva cadena y la vuelve a colocar en la bicicleta y comienza a apretar la cadena.")</f>
        <v>Luego toma una caja con una nueva cadena y la vuelve a colocar en la bicicleta y comienza a apretar la cadena.</v>
      </c>
    </row>
    <row r="4681">
      <c r="A4681" s="4" t="s">
        <v>5886</v>
      </c>
      <c r="B4681" s="4" t="s">
        <v>5887</v>
      </c>
      <c r="C4681" s="5" t="str">
        <f>IFERROR(__xludf.DUMMYFUNCTION("GOOGLETRANSLATE(B4681,""en"",""es-ES"")"),"Varias personas que montan en el patineta son vistas bajando por una larga colina mientras la cámara las sigue desde atrás.")</f>
        <v>Varias personas que montan en el patineta son vistas bajando por una larga colina mientras la cámara las sigue desde atrás.</v>
      </c>
    </row>
    <row r="4682">
      <c r="A4682" s="4" t="s">
        <v>5886</v>
      </c>
      <c r="B4682" s="4" t="s">
        <v>5888</v>
      </c>
      <c r="C4682" s="5" t="str">
        <f>IFERROR(__xludf.DUMMYFUNCTION("GOOGLETRANSLATE(B4682,""en"",""es-ES"")"),"El camarógrafo se maneja continuamente por un sinuoso camino más allá de un grupo de árboles y se detiene en la parte inferior para reunirse con otro.")</f>
        <v>El camarógrafo se maneja continuamente por un sinuoso camino más allá de un grupo de árboles y se detiene en la parte inferior para reunirse con otro.</v>
      </c>
    </row>
    <row r="4683">
      <c r="A4683" s="4" t="s">
        <v>5886</v>
      </c>
      <c r="B4683" s="4" t="s">
        <v>5889</v>
      </c>
      <c r="C4683" s="5" t="str">
        <f>IFERROR(__xludf.DUMMYFUNCTION("GOOGLETRANSLATE(B4683,""en"",""es-ES"")"),"Se muestra más conducción cuesta abajo y termina con el Camerman girando.")</f>
        <v>Se muestra más conducción cuesta abajo y termina con el Camerman girando.</v>
      </c>
    </row>
    <row r="4684">
      <c r="A4684" s="4" t="s">
        <v>5890</v>
      </c>
      <c r="B4684" s="4" t="s">
        <v>5891</v>
      </c>
      <c r="C4684" s="5" t="str">
        <f>IFERROR(__xludf.DUMMYFUNCTION("GOOGLETRANSLATE(B4684,""en"",""es-ES"")"),"Una dama en un gimnasio golpea sus brazos sobre su pecho.")</f>
        <v>Una dama en un gimnasio golpea sus brazos sobre su pecho.</v>
      </c>
    </row>
    <row r="4685">
      <c r="A4685" s="4" t="s">
        <v>5890</v>
      </c>
      <c r="B4685" s="4" t="s">
        <v>5892</v>
      </c>
      <c r="C4685" s="5" t="str">
        <f>IFERROR(__xludf.DUMMYFUNCTION("GOOGLETRANSLATE(B4685,""en"",""es-ES"")"),"La señora luego patea su pierna izquierda en el aire y luego la derecha detrás de ella.")</f>
        <v>La señora luego patea su pierna izquierda en el aire y luego la derecha detrás de ella.</v>
      </c>
    </row>
    <row r="4686">
      <c r="A4686" s="4" t="s">
        <v>5890</v>
      </c>
      <c r="B4686" s="4" t="s">
        <v>5893</v>
      </c>
      <c r="C4686" s="5" t="str">
        <f>IFERROR(__xludf.DUMMYFUNCTION("GOOGLETRANSLATE(B4686,""en"",""es-ES"")"),"La señora repite esa secuencia una y otra vez.")</f>
        <v>La señora repite esa secuencia una y otra vez.</v>
      </c>
    </row>
    <row r="4687">
      <c r="A4687" s="4" t="s">
        <v>5894</v>
      </c>
      <c r="B4687" s="4" t="s">
        <v>5895</v>
      </c>
      <c r="C4687" s="5" t="str">
        <f>IFERROR(__xludf.DUMMYFUNCTION("GOOGLETRANSLATE(B4687,""en"",""es-ES"")"),"Los jugadores de hockey están jugando un juego de hockey en el hielo.")</f>
        <v>Los jugadores de hockey están jugando un juego de hockey en el hielo.</v>
      </c>
    </row>
    <row r="4688">
      <c r="A4688" s="4" t="s">
        <v>5894</v>
      </c>
      <c r="B4688" s="4" t="s">
        <v>5896</v>
      </c>
      <c r="C4688" s="5" t="str">
        <f>IFERROR(__xludf.DUMMYFUNCTION("GOOGLETRANSLATE(B4688,""en"",""es-ES"")"),"Una multitud los está viendo jugar.")</f>
        <v>Una multitud los está viendo jugar.</v>
      </c>
    </row>
    <row r="4689">
      <c r="A4689" s="4" t="s">
        <v>5894</v>
      </c>
      <c r="B4689" s="4" t="s">
        <v>5897</v>
      </c>
      <c r="C4689" s="5" t="str">
        <f>IFERROR(__xludf.DUMMYFUNCTION("GOOGLETRANSLATE(B4689,""en"",""es-ES"")"),"Un hombre de amarillo cae sobre el hielo.")</f>
        <v>Un hombre de amarillo cae sobre el hielo.</v>
      </c>
    </row>
    <row r="4690">
      <c r="A4690" s="4" t="s">
        <v>5894</v>
      </c>
      <c r="B4690" s="4" t="s">
        <v>5898</v>
      </c>
      <c r="C4690" s="5" t="str">
        <f>IFERROR(__xludf.DUMMYFUNCTION("GOOGLETRANSLATE(B4690,""en"",""es-ES"")"),"Un hombre con traje está hablando con jugadores de hockey.")</f>
        <v>Un hombre con traje está hablando con jugadores de hockey.</v>
      </c>
    </row>
    <row r="4691">
      <c r="A4691" s="4" t="s">
        <v>5899</v>
      </c>
      <c r="B4691" s="4" t="s">
        <v>1487</v>
      </c>
      <c r="C4691" s="5" t="str">
        <f>IFERROR(__xludf.DUMMYFUNCTION("GOOGLETRANSLATE(B4691,""en"",""es-ES"")"),"Vemos una pantalla de título de apertura.")</f>
        <v>Vemos una pantalla de título de apertura.</v>
      </c>
    </row>
    <row r="4692">
      <c r="A4692" s="4" t="s">
        <v>5899</v>
      </c>
      <c r="B4692" s="4" t="s">
        <v>5900</v>
      </c>
      <c r="C4692" s="5" t="str">
        <f>IFERROR(__xludf.DUMMYFUNCTION("GOOGLETRANSLATE(B4692,""en"",""es-ES"")"),"Un hombre está rociando un fregadero con una lavadora a presión.")</f>
        <v>Un hombre está rociando un fregadero con una lavadora a presión.</v>
      </c>
    </row>
    <row r="4693">
      <c r="A4693" s="4" t="s">
        <v>5899</v>
      </c>
      <c r="B4693" s="4" t="s">
        <v>5901</v>
      </c>
      <c r="C4693" s="5" t="str">
        <f>IFERROR(__xludf.DUMMYFUNCTION("GOOGLETRANSLATE(B4693,""en"",""es-ES"")"),"El hombre rocía un baño y luego rocía el fregadero nuevamente.")</f>
        <v>El hombre rocía un baño y luego rocía el fregadero nuevamente.</v>
      </c>
    </row>
    <row r="4694">
      <c r="A4694" s="4" t="s">
        <v>5899</v>
      </c>
      <c r="B4694" s="4" t="s">
        <v>5902</v>
      </c>
      <c r="C4694" s="5" t="str">
        <f>IFERROR(__xludf.DUMMYFUNCTION("GOOGLETRANSLATE(B4694,""en"",""es-ES"")"),"Vemos una pantalla de título que el hombre muestra la máquina y gira un dial y la lavadora, el piso, el fregadero, el inodoro y el espejo.")</f>
        <v>Vemos una pantalla de título que el hombre muestra la máquina y gira un dial y la lavadora, el piso, el fregadero, el inodoro y el espejo.</v>
      </c>
    </row>
    <row r="4695">
      <c r="A4695" s="4" t="s">
        <v>5899</v>
      </c>
      <c r="B4695" s="4" t="s">
        <v>5903</v>
      </c>
      <c r="C4695" s="5" t="str">
        <f>IFERROR(__xludf.DUMMYFUNCTION("GOOGLETRANSLATE(B4695,""en"",""es-ES"")"),"El hombre usa una escobilla en el espejo.")</f>
        <v>El hombre usa una escobilla en el espejo.</v>
      </c>
    </row>
    <row r="4696">
      <c r="A4696" s="4" t="s">
        <v>5899</v>
      </c>
      <c r="B4696" s="4" t="s">
        <v>5904</v>
      </c>
      <c r="C4696" s="5" t="str">
        <f>IFERROR(__xludf.DUMMYFUNCTION("GOOGLETRANSLATE(B4696,""en"",""es-ES"")"),"El hombre ajusta la máquina y engancha una manguera y usa aire para secar el fregadero y trapear el piso.")</f>
        <v>El hombre ajusta la máquina y engancha una manguera y usa aire para secar el fregadero y trapear el piso.</v>
      </c>
    </row>
    <row r="4697">
      <c r="A4697" s="4" t="s">
        <v>5905</v>
      </c>
      <c r="B4697" s="4" t="s">
        <v>5906</v>
      </c>
      <c r="C4697" s="5" t="str">
        <f>IFERROR(__xludf.DUMMYFUNCTION("GOOGLETRANSLATE(B4697,""en"",""es-ES"")"),"Vemos a un hombre balanceándose en un parque.")</f>
        <v>Vemos a un hombre balanceándose en un parque.</v>
      </c>
    </row>
    <row r="4698">
      <c r="A4698" s="4" t="s">
        <v>5905</v>
      </c>
      <c r="B4698" s="4" t="s">
        <v>5907</v>
      </c>
      <c r="C4698" s="5" t="str">
        <f>IFERROR(__xludf.DUMMYFUNCTION("GOOGLETRANSLATE(B4698,""en"",""es-ES"")"),"El hombre se para mientras se sostiene en el columpio.")</f>
        <v>El hombre se para mientras se sostiene en el columpio.</v>
      </c>
    </row>
    <row r="4699">
      <c r="A4699" s="4" t="s">
        <v>5905</v>
      </c>
      <c r="B4699" s="4" t="s">
        <v>5908</v>
      </c>
      <c r="C4699" s="5" t="str">
        <f>IFERROR(__xludf.DUMMYFUNCTION("GOOGLETRANSLATE(B4699,""en"",""es-ES"")"),"El hombre se para de nuevo y vemos a una niña.")</f>
        <v>El hombre se para de nuevo y vemos a una niña.</v>
      </c>
    </row>
    <row r="4700">
      <c r="A4700" s="4" t="s">
        <v>5905</v>
      </c>
      <c r="B4700" s="4" t="s">
        <v>5909</v>
      </c>
      <c r="C4700" s="5" t="str">
        <f>IFERROR(__xludf.DUMMYFUNCTION("GOOGLETRANSLATE(B4700,""en"",""es-ES"")"),"Una dama intenta poner a la niña en el columpio, pero ella termina balanceándose sola.")</f>
        <v>Una dama intenta poner a la niña en el columpio, pero ella termina balanceándose sola.</v>
      </c>
    </row>
    <row r="4701">
      <c r="A4701" s="4" t="s">
        <v>5910</v>
      </c>
      <c r="B4701" s="4" t="s">
        <v>5911</v>
      </c>
      <c r="C4701" s="5" t="str">
        <f>IFERROR(__xludf.DUMMYFUNCTION("GOOGLETRANSLATE(B4701,""en"",""es-ES"")"),"El hombre está parado en el escenario haciendo gimnasia en una competencia.")</f>
        <v>El hombre está parado en el escenario haciendo gimnasia en una competencia.</v>
      </c>
    </row>
    <row r="4702">
      <c r="A4702" s="4" t="s">
        <v>5910</v>
      </c>
      <c r="B4702" s="4" t="s">
        <v>5912</v>
      </c>
      <c r="C4702" s="5" t="str">
        <f>IFERROR(__xludf.DUMMYFUNCTION("GOOGLETRANSLATE(B4702,""en"",""es-ES"")"),"El hombre sostiene una grabadora de video.")</f>
        <v>El hombre sostiene una grabadora de video.</v>
      </c>
    </row>
    <row r="4703">
      <c r="A4703" s="4" t="s">
        <v>5913</v>
      </c>
      <c r="B4703" s="4" t="s">
        <v>5914</v>
      </c>
      <c r="C4703" s="5" t="str">
        <f>IFERROR(__xludf.DUMMYFUNCTION("GOOGLETRANSLATE(B4703,""en"",""es-ES"")"),"Un niño sostiene un cono de helado para un bebé sentado en un asiento de silla alta.")</f>
        <v>Un niño sostiene un cono de helado para un bebé sentado en un asiento de silla alta.</v>
      </c>
    </row>
    <row r="4704">
      <c r="A4704" s="4" t="s">
        <v>5913</v>
      </c>
      <c r="B4704" s="4" t="s">
        <v>5915</v>
      </c>
      <c r="C4704" s="5" t="str">
        <f>IFERROR(__xludf.DUMMYFUNCTION("GOOGLETRANSLATE(B4704,""en"",""es-ES"")"),"El bebé disfruta del cono de helado.")</f>
        <v>El bebé disfruta del cono de helado.</v>
      </c>
    </row>
    <row r="4705">
      <c r="A4705" s="4" t="s">
        <v>5916</v>
      </c>
      <c r="B4705" s="4" t="s">
        <v>5917</v>
      </c>
      <c r="C4705" s="5" t="str">
        <f>IFERROR(__xludf.DUMMYFUNCTION("GOOGLETRANSLATE(B4705,""en"",""es-ES"")"),"Un hombre con una camisa negra habla afuera cerca de un atletismo.")</f>
        <v>Un hombre con una camisa negra habla afuera cerca de un atletismo.</v>
      </c>
    </row>
    <row r="4706">
      <c r="A4706" s="4" t="s">
        <v>5916</v>
      </c>
      <c r="B4706" s="4" t="s">
        <v>5918</v>
      </c>
      <c r="C4706" s="5" t="str">
        <f>IFERROR(__xludf.DUMMYFUNCTION("GOOGLETRANSLATE(B4706,""en"",""es-ES"")"),"Luego camina hacia un atleta estudiantil de la Universidad Estatal de Florida.")</f>
        <v>Luego camina hacia un atleta estudiantil de la Universidad Estatal de Florida.</v>
      </c>
    </row>
    <row r="4707">
      <c r="A4707" s="4" t="s">
        <v>5916</v>
      </c>
      <c r="B4707" s="4" t="s">
        <v>5919</v>
      </c>
      <c r="C4707" s="5" t="str">
        <f>IFERROR(__xludf.DUMMYFUNCTION("GOOGLETRANSLATE(B4707,""en"",""es-ES"")"),"El atleta luego comienza a hablar y mostrando varias técnicas que usa.")</f>
        <v>El atleta luego comienza a hablar y mostrando varias técnicas que usa.</v>
      </c>
    </row>
    <row r="4708">
      <c r="A4708" s="4" t="s">
        <v>5916</v>
      </c>
      <c r="B4708" s="4" t="s">
        <v>5920</v>
      </c>
      <c r="C4708" s="5" t="str">
        <f>IFERROR(__xludf.DUMMYFUNCTION("GOOGLETRANSLATE(B4708,""en"",""es-ES"")"),"Una vez que termina, ella comienza a dar un triple salto al pozo, lo intenta nuevamente, y luego el hombre que la entrevistó comienza a hacer el mismo salto.")</f>
        <v>Una vez que termina, ella comienza a dar un triple salto al pozo, lo intenta nuevamente, y luego el hombre que la entrevistó comienza a hacer el mismo salto.</v>
      </c>
    </row>
    <row r="4709">
      <c r="A4709" s="4" t="s">
        <v>5916</v>
      </c>
      <c r="B4709" s="4" t="s">
        <v>5921</v>
      </c>
      <c r="C4709" s="5" t="str">
        <f>IFERROR(__xludf.DUMMYFUNCTION("GOOGLETRANSLATE(B4709,""en"",""es-ES"")"),"Los dos regresan a la cámara y terminan de hablar, ella le muestra los pulgares hacia arriba y luego se va.")</f>
        <v>Los dos regresan a la cámara y terminan de hablar, ella le muestra los pulgares hacia arriba y luego se va.</v>
      </c>
    </row>
    <row r="4710">
      <c r="A4710" s="4" t="s">
        <v>5922</v>
      </c>
      <c r="B4710" s="4" t="s">
        <v>5923</v>
      </c>
      <c r="C4710" s="5" t="str">
        <f>IFERROR(__xludf.DUMMYFUNCTION("GOOGLETRANSLATE(B4710,""en"",""es-ES"")"),"Se ve a dos personas haciendo flips y patadas entre sí en un gran círculo rodeado de personas.")</f>
        <v>Se ve a dos personas haciendo flips y patadas entre sí en un gran círculo rodeado de personas.</v>
      </c>
    </row>
    <row r="4711">
      <c r="A4711" s="4" t="s">
        <v>5922</v>
      </c>
      <c r="B4711" s="4" t="s">
        <v>5924</v>
      </c>
      <c r="C4711" s="5" t="str">
        <f>IFERROR(__xludf.DUMMYFUNCTION("GOOGLETRANSLATE(B4711,""en"",""es-ES"")"),"Más personas se unen a las patadas y voltean mientras otros los miran a un lado y aplauden.")</f>
        <v>Más personas se unen a las patadas y voltean mientras otros los miran a un lado y aplauden.</v>
      </c>
    </row>
    <row r="4712">
      <c r="A4712" s="4" t="s">
        <v>5925</v>
      </c>
      <c r="B4712" s="4" t="s">
        <v>5926</v>
      </c>
      <c r="C4712" s="5" t="str">
        <f>IFERROR(__xludf.DUMMYFUNCTION("GOOGLETRANSLATE(B4712,""en"",""es-ES"")"),"Vemos un título sobre una imagen de un automóvil.")</f>
        <v>Vemos un título sobre una imagen de un automóvil.</v>
      </c>
    </row>
    <row r="4713">
      <c r="A4713" s="4" t="s">
        <v>5925</v>
      </c>
      <c r="B4713" s="4" t="s">
        <v>5927</v>
      </c>
      <c r="C4713" s="5" t="str">
        <f>IFERROR(__xludf.DUMMYFUNCTION("GOOGLETRANSLATE(B4713,""en"",""es-ES"")"),"Vemos a un hombre sentado a continuación y hablando del auto.")</f>
        <v>Vemos a un hombre sentado a continuación y hablando del auto.</v>
      </c>
    </row>
    <row r="4714">
      <c r="A4714" s="4" t="s">
        <v>5925</v>
      </c>
      <c r="B4714" s="4" t="s">
        <v>5928</v>
      </c>
      <c r="C4714" s="5" t="str">
        <f>IFERROR(__xludf.DUMMYFUNCTION("GOOGLETRANSLATE(B4714,""en"",""es-ES"")"),"El hombre pone un ladrillo detrás de su neumático y agarra sus suministros para cambiar su neumático.")</f>
        <v>El hombre pone un ladrillo detrás de su neumático y agarra sus suministros para cambiar su neumático.</v>
      </c>
    </row>
    <row r="4715">
      <c r="A4715" s="4" t="s">
        <v>5925</v>
      </c>
      <c r="B4715" s="4" t="s">
        <v>5929</v>
      </c>
      <c r="C4715" s="5" t="str">
        <f>IFERROR(__xludf.DUMMYFUNCTION("GOOGLETRANSLATE(B4715,""en"",""es-ES"")"),"El hombre afloja los tornillos y toma el auto y se quita el neumático.")</f>
        <v>El hombre afloja los tornillos y toma el auto y se quita el neumático.</v>
      </c>
    </row>
    <row r="4716">
      <c r="A4716" s="4" t="s">
        <v>5925</v>
      </c>
      <c r="B4716" s="4" t="s">
        <v>5930</v>
      </c>
      <c r="C4716" s="5" t="str">
        <f>IFERROR(__xludf.DUMMYFUNCTION("GOOGLETRANSLATE(B4716,""en"",""es-ES"")"),"El hombre se pone de repuesto y baja el auto al suelo.")</f>
        <v>El hombre se pone de repuesto y baja el auto al suelo.</v>
      </c>
    </row>
    <row r="4717">
      <c r="A4717" s="4" t="s">
        <v>5925</v>
      </c>
      <c r="B4717" s="4" t="s">
        <v>5931</v>
      </c>
      <c r="C4717" s="5" t="str">
        <f>IFERROR(__xludf.DUMMYFUNCTION("GOOGLETRANSLATE(B4717,""en"",""es-ES"")"),"El hombre guarda sus suministros y se aleja.")</f>
        <v>El hombre guarda sus suministros y se aleja.</v>
      </c>
    </row>
    <row r="4718">
      <c r="A4718" s="4" t="s">
        <v>5925</v>
      </c>
      <c r="B4718" s="4" t="s">
        <v>5932</v>
      </c>
      <c r="C4718" s="5" t="str">
        <f>IFERROR(__xludf.DUMMYFUNCTION("GOOGLETRANSLATE(B4718,""en"",""es-ES"")"),"El hombre se detiene cerca de la cámara y habla antes de conducir.")</f>
        <v>El hombre se detiene cerca de la cámara y habla antes de conducir.</v>
      </c>
    </row>
    <row r="4719">
      <c r="A4719" s="4" t="s">
        <v>5925</v>
      </c>
      <c r="B4719" s="4" t="s">
        <v>777</v>
      </c>
      <c r="C4719" s="5" t="str">
        <f>IFERROR(__xludf.DUMMYFUNCTION("GOOGLETRANSLATE(B4719,""en"",""es-ES"")"),"Vemos la pantalla de título final.")</f>
        <v>Vemos la pantalla de título final.</v>
      </c>
    </row>
    <row r="4720">
      <c r="A4720" s="4" t="s">
        <v>5933</v>
      </c>
      <c r="B4720" s="4" t="s">
        <v>5934</v>
      </c>
      <c r="C4720" s="5" t="str">
        <f>IFERROR(__xludf.DUMMYFUNCTION("GOOGLETRANSLATE(B4720,""en"",""es-ES"")"),"Una cámara se mueve alrededor de una piscina con calefacción y conduce a una persona que trepa en un kayak y se mueve por la piscina.")</f>
        <v>Una cámara se mueve alrededor de una piscina con calefacción y conduce a una persona que trepa en un kayak y se mueve por la piscina.</v>
      </c>
    </row>
    <row r="4721">
      <c r="A4721" s="4" t="s">
        <v>5933</v>
      </c>
      <c r="B4721" s="4" t="s">
        <v>5935</v>
      </c>
      <c r="C4721" s="5" t="str">
        <f>IFERROR(__xludf.DUMMYFUNCTION("GOOGLETRANSLATE(B4721,""en"",""es-ES"")"),"Varias personas vieron montar kayaks alrededor de la piscina, así como personas que nadan y observan al margen.")</f>
        <v>Varias personas vieron montar kayaks alrededor de la piscina, así como personas que nadan y observan al margen.</v>
      </c>
    </row>
    <row r="4722">
      <c r="A4722" s="4" t="s">
        <v>5933</v>
      </c>
      <c r="B4722" s="4" t="s">
        <v>5936</v>
      </c>
      <c r="C4722" s="5" t="str">
        <f>IFERROR(__xludf.DUMMYFUNCTION("GOOGLETRANSLATE(B4722,""en"",""es-ES"")"),"Los hombres continúan moviéndose en varios ángulos, además de mostrarse nadando bajo el agua y jugando entre ellos.")</f>
        <v>Los hombres continúan moviéndose en varios ángulos, además de mostrarse nadando bajo el agua y jugando entre ellos.</v>
      </c>
    </row>
    <row r="4723">
      <c r="A4723" s="4" t="s">
        <v>5937</v>
      </c>
      <c r="B4723" s="4" t="s">
        <v>5938</v>
      </c>
      <c r="C4723" s="5" t="str">
        <f>IFERROR(__xludf.DUMMYFUNCTION("GOOGLETRANSLATE(B4723,""en"",""es-ES"")"),"Howcast Logotipo está en la pantalla.")</f>
        <v>Howcast Logotipo está en la pantalla.</v>
      </c>
    </row>
    <row r="4724">
      <c r="A4724" s="4" t="s">
        <v>5937</v>
      </c>
      <c r="B4724" s="4" t="s">
        <v>5939</v>
      </c>
      <c r="C4724" s="5" t="str">
        <f>IFERROR(__xludf.DUMMYFUNCTION("GOOGLETRANSLATE(B4724,""en"",""es-ES"")"),"Dos hombres están sentados en medio de la batería y explicando sobre los instrumentos.")</f>
        <v>Dos hombres están sentados en medio de la batería y explicando sobre los instrumentos.</v>
      </c>
    </row>
    <row r="4725">
      <c r="A4725" s="4" t="s">
        <v>5937</v>
      </c>
      <c r="B4725" s="4" t="s">
        <v>5940</v>
      </c>
      <c r="C4725" s="5" t="str">
        <f>IFERROR(__xludf.DUMMYFUNCTION("GOOGLETRANSLATE(B4725,""en"",""es-ES"")"),"Los hombres comienzan a tocar la batería.")</f>
        <v>Los hombres comienzan a tocar la batería.</v>
      </c>
    </row>
    <row r="4726">
      <c r="A4726" s="4" t="s">
        <v>5937</v>
      </c>
      <c r="B4726" s="4" t="s">
        <v>5941</v>
      </c>
      <c r="C4726" s="5" t="str">
        <f>IFERROR(__xludf.DUMMYFUNCTION("GOOGLETRANSLATE(B4726,""en"",""es-ES"")"),"Volver a hablar de la batería.")</f>
        <v>Volver a hablar de la batería.</v>
      </c>
    </row>
    <row r="4727">
      <c r="A4727" s="4" t="s">
        <v>5942</v>
      </c>
      <c r="B4727" s="4" t="s">
        <v>5943</v>
      </c>
      <c r="C4727" s="5" t="str">
        <f>IFERROR(__xludf.DUMMYFUNCTION("GOOGLETRANSLATE(B4727,""en"",""es-ES"")"),"La gente está esquiando por una colina y sigue cayendo y deslizándose por la colina.")</f>
        <v>La gente está esquiando por una colina y sigue cayendo y deslizándose por la colina.</v>
      </c>
    </row>
    <row r="4728">
      <c r="A4728" s="4" t="s">
        <v>5942</v>
      </c>
      <c r="B4728" s="4" t="s">
        <v>5944</v>
      </c>
      <c r="C4728" s="5" t="str">
        <f>IFERROR(__xludf.DUMMYFUNCTION("GOOGLETRANSLATE(B4728,""en"",""es-ES"")"),"Una persona se estrella contra una cerca.")</f>
        <v>Una persona se estrella contra una cerca.</v>
      </c>
    </row>
    <row r="4729">
      <c r="A4729" s="4" t="s">
        <v>5945</v>
      </c>
      <c r="B4729" s="4" t="s">
        <v>5946</v>
      </c>
      <c r="C4729" s="5" t="str">
        <f>IFERROR(__xludf.DUMMYFUNCTION("GOOGLETRANSLATE(B4729,""en"",""es-ES"")"),"Un cepillo y dos tipos de pintura están en una mesa.")</f>
        <v>Un cepillo y dos tipos de pintura están en una mesa.</v>
      </c>
    </row>
    <row r="4730">
      <c r="A4730" s="4" t="s">
        <v>5945</v>
      </c>
      <c r="B4730" s="4" t="s">
        <v>5947</v>
      </c>
      <c r="C4730" s="5" t="str">
        <f>IFERROR(__xludf.DUMMYFUNCTION("GOOGLETRANSLATE(B4730,""en"",""es-ES"")"),"El aro de un punto se muestra acostado sobre tela, y una mujer pinta un diseño en la tela.")</f>
        <v>El aro de un punto se muestra acostado sobre tela, y una mujer pinta un diseño en la tela.</v>
      </c>
    </row>
    <row r="4731">
      <c r="A4731" s="4" t="s">
        <v>5945</v>
      </c>
      <c r="B4731" s="4" t="s">
        <v>5948</v>
      </c>
      <c r="C4731" s="5" t="str">
        <f>IFERROR(__xludf.DUMMYFUNCTION("GOOGLETRANSLATE(B4731,""en"",""es-ES"")"),"Ella forma muchas hojas y flores en tonos de naranja.")</f>
        <v>Ella forma muchas hojas y flores en tonos de naranja.</v>
      </c>
    </row>
    <row r="4732">
      <c r="A4732" s="4" t="s">
        <v>5945</v>
      </c>
      <c r="B4732" s="4" t="s">
        <v>5949</v>
      </c>
      <c r="C4732" s="5" t="str">
        <f>IFERROR(__xludf.DUMMYFUNCTION("GOOGLETRANSLATE(B4732,""en"",""es-ES"")"),"Cuando termina, muestra el diseño de flores.")</f>
        <v>Cuando termina, muestra el diseño de flores.</v>
      </c>
    </row>
    <row r="4733">
      <c r="A4733" s="4" t="s">
        <v>5950</v>
      </c>
      <c r="B4733" s="4" t="s">
        <v>5951</v>
      </c>
      <c r="C4733" s="5" t="str">
        <f>IFERROR(__xludf.DUMMYFUNCTION("GOOGLETRANSLATE(B4733,""en"",""es-ES"")"),"Un hombre se sienta y toca un piano negro en un auditorio vacío.")</f>
        <v>Un hombre se sienta y toca un piano negro en un auditorio vacío.</v>
      </c>
    </row>
    <row r="4734">
      <c r="A4734" s="4" t="s">
        <v>5950</v>
      </c>
      <c r="B4734" s="4" t="s">
        <v>5952</v>
      </c>
      <c r="C4734" s="5" t="str">
        <f>IFERROR(__xludf.DUMMYFUNCTION("GOOGLETRANSLATE(B4734,""en"",""es-ES"")"),"Vemos a tres personas en la primera fila observando y escuchando al hombre mientras juega y una persona una fila detrás de ellos.")</f>
        <v>Vemos a tres personas en la primera fila observando y escuchando al hombre mientras juega y una persona una fila detrás de ellos.</v>
      </c>
    </row>
    <row r="4735">
      <c r="A4735" s="4" t="s">
        <v>5950</v>
      </c>
      <c r="B4735" s="4" t="s">
        <v>5953</v>
      </c>
      <c r="C4735" s="5" t="str">
        <f>IFERROR(__xludf.DUMMYFUNCTION("GOOGLETRANSLATE(B4735,""en"",""es-ES"")"),"Vemos a las tres personas, dos mujeres y un hombre.")</f>
        <v>Vemos a las tres personas, dos mujeres y un hombre.</v>
      </c>
    </row>
    <row r="4736">
      <c r="A4736" s="4" t="s">
        <v>5950</v>
      </c>
      <c r="B4736" s="4" t="s">
        <v>5954</v>
      </c>
      <c r="C4736" s="5" t="str">
        <f>IFERROR(__xludf.DUMMYFUNCTION("GOOGLETRANSLATE(B4736,""en"",""es-ES"")"),"El jugador se encuentra y juega.")</f>
        <v>El jugador se encuentra y juega.</v>
      </c>
    </row>
    <row r="4737">
      <c r="A4737" s="4" t="s">
        <v>5950</v>
      </c>
      <c r="B4737" s="4" t="s">
        <v>5955</v>
      </c>
      <c r="C4737" s="5" t="str">
        <f>IFERROR(__xludf.DUMMYFUNCTION("GOOGLETRANSLATE(B4737,""en"",""es-ES"")"),"El jugador termina y se pone de pie.")</f>
        <v>El jugador termina y se pone de pie.</v>
      </c>
    </row>
    <row r="4738">
      <c r="A4738" s="4" t="s">
        <v>5956</v>
      </c>
      <c r="B4738" s="4" t="s">
        <v>5957</v>
      </c>
      <c r="C4738" s="5" t="str">
        <f>IFERROR(__xludf.DUMMYFUNCTION("GOOGLETRANSLATE(B4738,""en"",""es-ES"")"),"Una persona está cortando pan con un cuchillo.")</f>
        <v>Una persona está cortando pan con un cuchillo.</v>
      </c>
    </row>
    <row r="4739">
      <c r="A4739" s="4" t="s">
        <v>5956</v>
      </c>
      <c r="B4739" s="4" t="s">
        <v>5958</v>
      </c>
      <c r="C4739" s="5" t="str">
        <f>IFERROR(__xludf.DUMMYFUNCTION("GOOGLETRANSLATE(B4739,""en"",""es-ES"")"),"Mezcla ingredientes en un tazón.")</f>
        <v>Mezcla ingredientes en un tazón.</v>
      </c>
    </row>
    <row r="4740">
      <c r="A4740" s="4" t="s">
        <v>5956</v>
      </c>
      <c r="B4740" s="4" t="s">
        <v>5959</v>
      </c>
      <c r="C4740" s="5" t="str">
        <f>IFERROR(__xludf.DUMMYFUNCTION("GOOGLETRANSLATE(B4740,""en"",""es-ES"")"),"Cocan el pan en una parrilla.")</f>
        <v>Cocan el pan en una parrilla.</v>
      </c>
    </row>
    <row r="4741">
      <c r="A4741" s="4" t="s">
        <v>5956</v>
      </c>
      <c r="B4741" s="4" t="s">
        <v>5960</v>
      </c>
      <c r="C4741" s="5" t="str">
        <f>IFERROR(__xludf.DUMMYFUNCTION("GOOGLETRANSLATE(B4741,""en"",""es-ES"")"),"Agregan una cucharada de helado de chocolate al lado del sándwich.")</f>
        <v>Agregan una cucharada de helado de chocolate al lado del sándwich.</v>
      </c>
    </row>
    <row r="4742">
      <c r="A4742" s="4" t="s">
        <v>5961</v>
      </c>
      <c r="B4742" s="4" t="s">
        <v>5962</v>
      </c>
      <c r="C4742" s="5" t="str">
        <f>IFERROR(__xludf.DUMMYFUNCTION("GOOGLETRANSLATE(B4742,""en"",""es-ES"")"),"Una bicicleta estática rústica de madera está en una habitación.")</f>
        <v>Una bicicleta estática rústica de madera está en una habitación.</v>
      </c>
    </row>
    <row r="4743">
      <c r="A4743" s="4" t="s">
        <v>5961</v>
      </c>
      <c r="B4743" s="4" t="s">
        <v>5963</v>
      </c>
      <c r="C4743" s="5" t="str">
        <f>IFERROR(__xludf.DUMMYFUNCTION("GOOGLETRANSLATE(B4743,""en"",""es-ES"")"),"Luego, un hombre pedalea la bicicleta mientras muestra el mango.")</f>
        <v>Luego, un hombre pedalea la bicicleta mientras muestra el mango.</v>
      </c>
    </row>
    <row r="4744">
      <c r="A4744" s="4" t="s">
        <v>5961</v>
      </c>
      <c r="B4744" s="4" t="s">
        <v>5964</v>
      </c>
      <c r="C4744" s="5" t="str">
        <f>IFERROR(__xludf.DUMMYFUNCTION("GOOGLETRANSLATE(B4744,""en"",""es-ES"")"),"Luego el hombre se sienta en la bicicleta para pedalear y luego se para.")</f>
        <v>Luego el hombre se sienta en la bicicleta para pedalear y luego se para.</v>
      </c>
    </row>
    <row r="4745">
      <c r="A4745" s="4" t="s">
        <v>5965</v>
      </c>
      <c r="B4745" s="4" t="s">
        <v>5966</v>
      </c>
      <c r="C4745" s="5" t="str">
        <f>IFERROR(__xludf.DUMMYFUNCTION("GOOGLETRANSLATE(B4745,""en"",""es-ES"")"),"Un hombre usa una recortadora de barba para recortar sus mejillas y cuello.")</f>
        <v>Un hombre usa una recortadora de barba para recortar sus mejillas y cuello.</v>
      </c>
    </row>
    <row r="4746">
      <c r="A4746" s="4" t="s">
        <v>5965</v>
      </c>
      <c r="B4746" s="4" t="s">
        <v>5967</v>
      </c>
      <c r="C4746" s="5" t="str">
        <f>IFERROR(__xludf.DUMMYFUNCTION("GOOGLETRANSLATE(B4746,""en"",""es-ES"")"),"El hombre acaricia su perilla y lo examina.")</f>
        <v>El hombre acaricia su perilla y lo examina.</v>
      </c>
    </row>
    <row r="4747">
      <c r="A4747" s="4" t="s">
        <v>5965</v>
      </c>
      <c r="B4747" s="4" t="s">
        <v>5968</v>
      </c>
      <c r="C4747" s="5" t="str">
        <f>IFERROR(__xludf.DUMMYFUNCTION("GOOGLETRANSLATE(B4747,""en"",""es-ES"")"),"El hombre recorta el área de la barbilla para hacer un bigote.")</f>
        <v>El hombre recorta el área de la barbilla para hacer un bigote.</v>
      </c>
    </row>
    <row r="4748">
      <c r="A4748" s="4" t="s">
        <v>5969</v>
      </c>
      <c r="B4748" s="4" t="s">
        <v>5970</v>
      </c>
      <c r="C4748" s="5" t="str">
        <f>IFERROR(__xludf.DUMMYFUNCTION("GOOGLETRANSLATE(B4748,""en"",""es-ES"")"),"Un hombre está de pie junto a la puerta blanca, sostiene madera rectangular, y por otro lado hay un tablero que contiene una gran parte de arcilla marrón.")</f>
        <v>Un hombre está de pie junto a la puerta blanca, sostiene madera rectangular, y por otro lado hay un tablero que contiene una gran parte de arcilla marrón.</v>
      </c>
    </row>
    <row r="4749">
      <c r="A4749" s="4" t="s">
        <v>5969</v>
      </c>
      <c r="B4749" s="4" t="s">
        <v>5971</v>
      </c>
      <c r="C4749" s="5" t="str">
        <f>IFERROR(__xludf.DUMMYFUNCTION("GOOGLETRANSLATE(B4749,""en"",""es-ES"")"),"Señaló la pared y comenzó a extender la arcilla marrón en la pared, ella se extendió frotándola suavemente y en medio círculo.")</f>
        <v>Señaló la pared y comenzó a extender la arcilla marrón en la pared, ella se extendió frotándola suavemente y en medio círculo.</v>
      </c>
    </row>
    <row r="4750">
      <c r="A4750" s="4" t="s">
        <v>5969</v>
      </c>
      <c r="B4750" s="4" t="s">
        <v>5972</v>
      </c>
      <c r="C4750" s="5" t="str">
        <f>IFERROR(__xludf.DUMMYFUNCTION("GOOGLETRANSLATE(B4750,""en"",""es-ES"")"),"Se acercó al techo, golpeó el techo, lo empujó, lo golpeó nuevamente, lo suavizó con sus dedos.")</f>
        <v>Se acercó al techo, golpeó el techo, lo empujó, lo golpeó nuevamente, lo suavizó con sus dedos.</v>
      </c>
    </row>
    <row r="4751">
      <c r="A4751" s="4" t="s">
        <v>5973</v>
      </c>
      <c r="B4751" s="4" t="s">
        <v>5974</v>
      </c>
      <c r="C4751" s="5" t="str">
        <f>IFERROR(__xludf.DUMMYFUNCTION("GOOGLETRANSLATE(B4751,""en"",""es-ES"")"),"Vemos que una pantalla de título de apertura.")</f>
        <v>Vemos que una pantalla de título de apertura.</v>
      </c>
    </row>
    <row r="4752">
      <c r="A4752" s="4" t="s">
        <v>5973</v>
      </c>
      <c r="B4752" s="4" t="s">
        <v>5975</v>
      </c>
      <c r="C4752" s="5" t="str">
        <f>IFERROR(__xludf.DUMMYFUNCTION("GOOGLETRANSLATE(B4752,""en"",""es-ES"")"),"Las personas se paran en el bosque sosteniendo paletas mientras usan equipo de rafting.")</f>
        <v>Las personas se paran en el bosque sosteniendo paletas mientras usan equipo de rafting.</v>
      </c>
    </row>
    <row r="4753">
      <c r="A4753" s="4" t="s">
        <v>5973</v>
      </c>
      <c r="B4753" s="4" t="s">
        <v>5976</v>
      </c>
      <c r="C4753" s="5" t="str">
        <f>IFERROR(__xludf.DUMMYFUNCTION("GOOGLETRANSLATE(B4753,""en"",""es-ES"")"),"La gente camina hacia el lago con sus balsas y entra.")</f>
        <v>La gente camina hacia el lago con sus balsas y entra.</v>
      </c>
    </row>
    <row r="4754">
      <c r="A4754" s="4" t="s">
        <v>5973</v>
      </c>
      <c r="B4754" s="4" t="s">
        <v>5977</v>
      </c>
      <c r="C4754" s="5" t="str">
        <f>IFERROR(__xludf.DUMMYFUNCTION("GOOGLETRANSLATE(B4754,""en"",""es-ES"")"),"Vemos gente montando balsas por un río.")</f>
        <v>Vemos gente montando balsas por un río.</v>
      </c>
    </row>
    <row r="4755">
      <c r="A4755" s="4" t="s">
        <v>5973</v>
      </c>
      <c r="B4755" s="4" t="s">
        <v>5978</v>
      </c>
      <c r="C4755" s="5" t="str">
        <f>IFERROR(__xludf.DUMMYFUNCTION("GOOGLETRANSLATE(B4755,""en"",""es-ES"")"),"La gente pasa por una pequeña cascada y su balsa se revoca.")</f>
        <v>La gente pasa por una pequeña cascada y su balsa se revoca.</v>
      </c>
    </row>
    <row r="4756">
      <c r="A4756" s="4" t="s">
        <v>5973</v>
      </c>
      <c r="B4756" s="4" t="s">
        <v>5979</v>
      </c>
      <c r="C4756" s="5" t="str">
        <f>IFERROR(__xludf.DUMMYFUNCTION("GOOGLETRANSLATE(B4756,""en"",""es-ES"")"),"Las personas se sumergen en el agua mientras pasan por una cascada y un hombre bombea su puño.")</f>
        <v>Las personas se sumergen en el agua mientras pasan por una cascada y un hombre bombea su puño.</v>
      </c>
    </row>
    <row r="4757">
      <c r="A4757" s="4" t="s">
        <v>5973</v>
      </c>
      <c r="B4757" s="4" t="s">
        <v>5980</v>
      </c>
      <c r="C4757" s="5" t="str">
        <f>IFERROR(__xludf.DUMMYFUNCTION("GOOGLETRANSLATE(B4757,""en"",""es-ES"")"),"La cámara se prepara para mostrar la naturaleza y se desvanece a la blanca.")</f>
        <v>La cámara se prepara para mostrar la naturaleza y se desvanece a la blanca.</v>
      </c>
    </row>
    <row r="4758">
      <c r="A4758" s="4" t="s">
        <v>5973</v>
      </c>
      <c r="B4758" s="4" t="s">
        <v>777</v>
      </c>
      <c r="C4758" s="5" t="str">
        <f>IFERROR(__xludf.DUMMYFUNCTION("GOOGLETRANSLATE(B4758,""en"",""es-ES"")"),"Vemos la pantalla de título final.")</f>
        <v>Vemos la pantalla de título final.</v>
      </c>
    </row>
    <row r="4759">
      <c r="A4759" s="4" t="s">
        <v>5981</v>
      </c>
      <c r="B4759" s="4" t="s">
        <v>5982</v>
      </c>
      <c r="C4759" s="5" t="str">
        <f>IFERROR(__xludf.DUMMYFUNCTION("GOOGLETRANSLATE(B4759,""en"",""es-ES"")"),"Hay un jugador de baloncesto que demuestra varios tipos de técnicas de tiro de baloncesto en nombre de World of Hoops.")</f>
        <v>Hay un jugador de baloncesto que demuestra varios tipos de técnicas de tiro de baloncesto en nombre de World of Hoops.</v>
      </c>
    </row>
    <row r="4760">
      <c r="A4760" s="4" t="s">
        <v>5981</v>
      </c>
      <c r="B4760" s="4" t="s">
        <v>5983</v>
      </c>
      <c r="C4760" s="5" t="str">
        <f>IFERROR(__xludf.DUMMYFUNCTION("GOOGLETRANSLATE(B4760,""en"",""es-ES"")"),"Comienza mostrando la técnica básica del lanzamiento regular, dispara la pelota directamente al aro.")</f>
        <v>Comienza mostrando la técnica básica del lanzamiento regular, dispara la pelota directamente al aro.</v>
      </c>
    </row>
    <row r="4761">
      <c r="A4761" s="4" t="s">
        <v>5981</v>
      </c>
      <c r="B4761" s="4" t="s">
        <v>5984</v>
      </c>
      <c r="C4761" s="5" t="str">
        <f>IFERROR(__xludf.DUMMYFUNCTION("GOOGLETRANSLATE(B4761,""en"",""es-ES"")"),"Luego muestra otra técnica en la que viene corriendo y dispara la pelota desde muy cerca del aro saltando alto.")</f>
        <v>Luego muestra otra técnica en la que viene corriendo y dispara la pelota desde muy cerca del aro saltando alto.</v>
      </c>
    </row>
    <row r="4762">
      <c r="A4762" s="4" t="s">
        <v>5981</v>
      </c>
      <c r="B4762" s="4" t="s">
        <v>5985</v>
      </c>
      <c r="C4762" s="5" t="str">
        <f>IFERROR(__xludf.DUMMYFUNCTION("GOOGLETRANSLATE(B4762,""en"",""es-ES"")"),"Continúa mostrando varias otras formas de disparar la canasta mientras corre y sumerge la pelota directamente en la canasta.")</f>
        <v>Continúa mostrando varias otras formas de disparar la canasta mientras corre y sumerge la pelota directamente en la canasta.</v>
      </c>
    </row>
    <row r="4763">
      <c r="A4763" s="4" t="s">
        <v>5981</v>
      </c>
      <c r="B4763" s="4" t="s">
        <v>5986</v>
      </c>
      <c r="C4763" s="5" t="str">
        <f>IFERROR(__xludf.DUMMYFUNCTION("GOOGLETRANSLATE(B4763,""en"",""es-ES"")"),"Demuestra diferentes técnicas de disparar la pelota directamente en el aro sin perder una sola canasta.")</f>
        <v>Demuestra diferentes técnicas de disparar la pelota directamente en el aro sin perder una sola canasta.</v>
      </c>
    </row>
    <row r="4764">
      <c r="A4764" s="4" t="s">
        <v>5987</v>
      </c>
      <c r="B4764" s="4" t="s">
        <v>5988</v>
      </c>
      <c r="C4764" s="5" t="str">
        <f>IFERROR(__xludf.DUMMYFUNCTION("GOOGLETRANSLATE(B4764,""en"",""es-ES"")"),"Un adolescente está equilibrando en la barra desigual más alta.")</f>
        <v>Un adolescente está equilibrando en la barra desigual más alta.</v>
      </c>
    </row>
    <row r="4765">
      <c r="A4765" s="4" t="s">
        <v>5987</v>
      </c>
      <c r="B4765" s="4" t="s">
        <v>5989</v>
      </c>
      <c r="C4765" s="5" t="str">
        <f>IFERROR(__xludf.DUMMYFUNCTION("GOOGLETRANSLATE(B4765,""en"",""es-ES"")"),"Luego, la adolescente se voltea y un hombre la ayuda a pasar a la barra desigual más baja.")</f>
        <v>Luego, la adolescente se voltea y un hombre la ayuda a pasar a la barra desigual más baja.</v>
      </c>
    </row>
    <row r="4766">
      <c r="A4766" s="4" t="s">
        <v>5987</v>
      </c>
      <c r="B4766" s="4" t="s">
        <v>5990</v>
      </c>
      <c r="C4766" s="5" t="str">
        <f>IFERROR(__xludf.DUMMYFUNCTION("GOOGLETRANSLATE(B4766,""en"",""es-ES"")"),"Dos una niña hacen ejercicio en los bares desiguales detrás del adolescente.")</f>
        <v>Dos una niña hacen ejercicio en los bares desiguales detrás del adolescente.</v>
      </c>
    </row>
    <row r="4767">
      <c r="A4767" s="4" t="s">
        <v>5991</v>
      </c>
      <c r="B4767" s="4" t="s">
        <v>5992</v>
      </c>
      <c r="C4767" s="5" t="str">
        <f>IFERROR(__xludf.DUMMYFUNCTION("GOOGLETRANSLATE(B4767,""en"",""es-ES"")"),"La gente está jugando un juego de Ping Pong.")</f>
        <v>La gente está jugando un juego de Ping Pong.</v>
      </c>
    </row>
    <row r="4768">
      <c r="A4768" s="4" t="s">
        <v>5991</v>
      </c>
      <c r="B4768" s="4" t="s">
        <v>5993</v>
      </c>
      <c r="C4768" s="5" t="str">
        <f>IFERROR(__xludf.DUMMYFUNCTION("GOOGLETRANSLATE(B4768,""en"",""es-ES"")"),"Un hombre con una camisa roja está jugando con solo un zapato.")</f>
        <v>Un hombre con una camisa roja está jugando con solo un zapato.</v>
      </c>
    </row>
    <row r="4769">
      <c r="A4769" s="4" t="s">
        <v>5991</v>
      </c>
      <c r="B4769" s="4" t="s">
        <v>2042</v>
      </c>
      <c r="C4769" s="5" t="str">
        <f>IFERROR(__xludf.DUMMYFUNCTION("GOOGLETRANSLATE(B4769,""en"",""es-ES"")"),"Las palabras entran en la pantalla al final.")</f>
        <v>Las palabras entran en la pantalla al final.</v>
      </c>
    </row>
    <row r="4770">
      <c r="A4770" s="4" t="s">
        <v>5994</v>
      </c>
      <c r="B4770" s="4" t="s">
        <v>5995</v>
      </c>
      <c r="C4770" s="5" t="str">
        <f>IFERROR(__xludf.DUMMYFUNCTION("GOOGLETRANSLATE(B4770,""en"",""es-ES"")"),"Se ve a un hombre con un uniforme divertido y sale a un gran escenario mientras interviene para hablar con la cámara.")</f>
        <v>Se ve a un hombre con un uniforme divertido y sale a un gran escenario mientras interviene para hablar con la cámara.</v>
      </c>
    </row>
    <row r="4771">
      <c r="A4771" s="4" t="s">
        <v>5994</v>
      </c>
      <c r="B4771" s="4" t="s">
        <v>5996</v>
      </c>
      <c r="C4771" s="5" t="str">
        <f>IFERROR(__xludf.DUMMYFUNCTION("GOOGLETRANSLATE(B4771,""en"",""es-ES"")"),"El hombre realiza gimnasia se mueve alrededor de una viga de una manera tonta y termina con la audiencia aplaudiendo y el hombre saludando.")</f>
        <v>El hombre realiza gimnasia se mueve alrededor de una viga de una manera tonta y termina con la audiencia aplaudiendo y el hombre saludando.</v>
      </c>
    </row>
    <row r="4772">
      <c r="A4772" s="4" t="s">
        <v>5997</v>
      </c>
      <c r="B4772" s="4" t="s">
        <v>5998</v>
      </c>
      <c r="C4772" s="5" t="str">
        <f>IFERROR(__xludf.DUMMYFUNCTION("GOOGLETRANSLATE(B4772,""en"",""es-ES"")"),"La gente está jugando un juego de voleibol en una cancha.")</f>
        <v>La gente está jugando un juego de voleibol en una cancha.</v>
      </c>
    </row>
    <row r="4773">
      <c r="A4773" s="4" t="s">
        <v>5997</v>
      </c>
      <c r="B4773" s="4" t="s">
        <v>5999</v>
      </c>
      <c r="C4773" s="5" t="str">
        <f>IFERROR(__xludf.DUMMYFUNCTION("GOOGLETRANSLATE(B4773,""en"",""es-ES"")"),"La gente está sentada a lo largo de los bancos contra una pared mirando.")</f>
        <v>La gente está sentada a lo largo de los bancos contra una pared mirando.</v>
      </c>
    </row>
    <row r="4774">
      <c r="A4774" s="4" t="s">
        <v>5997</v>
      </c>
      <c r="B4774" s="4" t="s">
        <v>6000</v>
      </c>
      <c r="C4774" s="5" t="str">
        <f>IFERROR(__xludf.DUMMYFUNCTION("GOOGLETRANSLATE(B4774,""en"",""es-ES"")"),"Un niño sirve el voleibol.")</f>
        <v>Un niño sirve el voleibol.</v>
      </c>
    </row>
    <row r="4775">
      <c r="A4775" s="4" t="s">
        <v>6001</v>
      </c>
      <c r="B4775" s="4" t="s">
        <v>6002</v>
      </c>
      <c r="C4775" s="5" t="str">
        <f>IFERROR(__xludf.DUMMYFUNCTION("GOOGLETRANSLATE(B4775,""en"",""es-ES"")"),"Un caballo se encuentra solo, unido a un tronco de madera.")</f>
        <v>Un caballo se encuentra solo, unido a un tronco de madera.</v>
      </c>
    </row>
    <row r="4776">
      <c r="A4776" s="4" t="s">
        <v>6001</v>
      </c>
      <c r="B4776" s="4" t="s">
        <v>6003</v>
      </c>
      <c r="C4776" s="5" t="str">
        <f>IFERROR(__xludf.DUMMYFUNCTION("GOOGLETRANSLATE(B4776,""en"",""es-ES"")"),"Un hombre se acerca al caballo con dos pinceles en sus manos y habla un poco.")</f>
        <v>Un hombre se acerca al caballo con dos pinceles en sus manos y habla un poco.</v>
      </c>
    </row>
    <row r="4777">
      <c r="A4777" s="4" t="s">
        <v>6001</v>
      </c>
      <c r="B4777" s="4" t="s">
        <v>6004</v>
      </c>
      <c r="C4777" s="5" t="str">
        <f>IFERROR(__xludf.DUMMYFUNCTION("GOOGLETRANSLATE(B4777,""en"",""es-ES"")"),"Él sube al caballo y cepilla el cabello del caballo, quitando el cabello del caballo que se une al cepillo.")</f>
        <v>Él sube al caballo y cepilla el cabello del caballo, quitando el cabello del caballo que se une al cepillo.</v>
      </c>
    </row>
    <row r="4778">
      <c r="A4778" s="4" t="s">
        <v>6001</v>
      </c>
      <c r="B4778" s="4" t="s">
        <v>6005</v>
      </c>
      <c r="C4778" s="5" t="str">
        <f>IFERROR(__xludf.DUMMYFUNCTION("GOOGLETRANSLATE(B4778,""en"",""es-ES"")"),"Hace una pausa para hablar un poco.")</f>
        <v>Hace una pausa para hablar un poco.</v>
      </c>
    </row>
    <row r="4779">
      <c r="A4779" s="4" t="s">
        <v>6001</v>
      </c>
      <c r="B4779" s="4" t="s">
        <v>6006</v>
      </c>
      <c r="C4779" s="5" t="str">
        <f>IFERROR(__xludf.DUMMYFUNCTION("GOOGLETRANSLATE(B4779,""en"",""es-ES"")"),"Vuelve a quitar el exceso de cabello del caballo.")</f>
        <v>Vuelve a quitar el exceso de cabello del caballo.</v>
      </c>
    </row>
    <row r="4780">
      <c r="A4780" s="4" t="s">
        <v>6001</v>
      </c>
      <c r="B4780" s="4" t="s">
        <v>6007</v>
      </c>
      <c r="C4780" s="5" t="str">
        <f>IFERROR(__xludf.DUMMYFUNCTION("GOOGLETRANSLATE(B4780,""en"",""es-ES"")"),"Hace una pausa de nuevo y habla por un tiempo.")</f>
        <v>Hace una pausa de nuevo y habla por un tiempo.</v>
      </c>
    </row>
    <row r="4781">
      <c r="A4781" s="4" t="s">
        <v>6001</v>
      </c>
      <c r="B4781" s="4" t="s">
        <v>6008</v>
      </c>
      <c r="C4781" s="5" t="str">
        <f>IFERROR(__xludf.DUMMYFUNCTION("GOOGLETRANSLATE(B4781,""en"",""es-ES"")"),"Regresa a cepillar al caballo.")</f>
        <v>Regresa a cepillar al caballo.</v>
      </c>
    </row>
    <row r="4782">
      <c r="A4782" s="4" t="s">
        <v>6001</v>
      </c>
      <c r="B4782" s="4" t="s">
        <v>6009</v>
      </c>
      <c r="C4782" s="5" t="str">
        <f>IFERROR(__xludf.DUMMYFUNCTION("GOOGLETRANSLATE(B4782,""en"",""es-ES"")"),"Deja de cepillarse el cabello y habla.")</f>
        <v>Deja de cepillarse el cabello y habla.</v>
      </c>
    </row>
    <row r="4783">
      <c r="A4783" s="4" t="s">
        <v>6010</v>
      </c>
      <c r="B4783" s="4" t="s">
        <v>6011</v>
      </c>
      <c r="C4783" s="5" t="str">
        <f>IFERROR(__xludf.DUMMYFUNCTION("GOOGLETRANSLATE(B4783,""en"",""es-ES"")"),"Una gimnasta femenina monta una viga alta en un gimnasio.")</f>
        <v>Una gimnasta femenina monta una viga alta en un gimnasio.</v>
      </c>
    </row>
    <row r="4784">
      <c r="A4784" s="4" t="s">
        <v>6010</v>
      </c>
      <c r="B4784" s="4" t="s">
        <v>6012</v>
      </c>
      <c r="C4784" s="5" t="str">
        <f>IFERROR(__xludf.DUMMYFUNCTION("GOOGLETRANSLATE(B4784,""en"",""es-ES"")"),"Ella hace muchos saltos hacia adelante, resortes y se divide en el aire.")</f>
        <v>Ella hace muchos saltos hacia adelante, resortes y se divide en el aire.</v>
      </c>
    </row>
    <row r="4785">
      <c r="A4785" s="4" t="s">
        <v>6010</v>
      </c>
      <c r="B4785" s="4" t="s">
        <v>6013</v>
      </c>
      <c r="C4785" s="5" t="str">
        <f>IFERROR(__xludf.DUMMYFUNCTION("GOOGLETRANSLATE(B4785,""en"",""es-ES"")"),"Un niño en el fondo sube una cuerda mientras desmonta.")</f>
        <v>Un niño en el fondo sube una cuerda mientras desmonta.</v>
      </c>
    </row>
    <row r="4786">
      <c r="A4786" s="4" t="s">
        <v>6014</v>
      </c>
      <c r="B4786" s="4" t="s">
        <v>6015</v>
      </c>
      <c r="C4786" s="5" t="str">
        <f>IFERROR(__xludf.DUMMYFUNCTION("GOOGLETRANSLATE(B4786,""en"",""es-ES"")"),"Una mujer con una camisa blanca está de pie junto a una máquina de ejercicios.")</f>
        <v>Una mujer con una camisa blanca está de pie junto a una máquina de ejercicios.</v>
      </c>
    </row>
    <row r="4787">
      <c r="A4787" s="4" t="s">
        <v>6014</v>
      </c>
      <c r="B4787" s="4" t="s">
        <v>6016</v>
      </c>
      <c r="C4787" s="5" t="str">
        <f>IFERROR(__xludf.DUMMYFUNCTION("GOOGLETRANSLATE(B4787,""en"",""es-ES"")"),"Ella comienza a hacer ejercicio en la máquina de ejercicios.")</f>
        <v>Ella comienza a hacer ejercicio en la máquina de ejercicios.</v>
      </c>
    </row>
    <row r="4788">
      <c r="A4788" s="4" t="s">
        <v>6014</v>
      </c>
      <c r="B4788" s="4" t="s">
        <v>6017</v>
      </c>
      <c r="C4788" s="5" t="str">
        <f>IFERROR(__xludf.DUMMYFUNCTION("GOOGLETRANSLATE(B4788,""en"",""es-ES"")"),"La información sobre la máquina se coloca en la pantalla.")</f>
        <v>La información sobre la máquina se coloca en la pantalla.</v>
      </c>
    </row>
    <row r="4789">
      <c r="A4789" s="4" t="s">
        <v>6018</v>
      </c>
      <c r="B4789" s="4" t="s">
        <v>6019</v>
      </c>
      <c r="C4789" s="5" t="str">
        <f>IFERROR(__xludf.DUMMYFUNCTION("GOOGLETRANSLATE(B4789,""en"",""es-ES"")"),"Un hombre está lanzando dardos dentro de una habitación.")</f>
        <v>Un hombre está lanzando dardos dentro de una habitación.</v>
      </c>
    </row>
    <row r="4790">
      <c r="A4790" s="4" t="s">
        <v>6018</v>
      </c>
      <c r="B4790" s="4" t="s">
        <v>6020</v>
      </c>
      <c r="C4790" s="5" t="str">
        <f>IFERROR(__xludf.DUMMYFUNCTION("GOOGLETRANSLATE(B4790,""en"",""es-ES"")"),"Otro hombre se agacha para que no sea golpeado.")</f>
        <v>Otro hombre se agacha para que no sea golpeado.</v>
      </c>
    </row>
    <row r="4791">
      <c r="A4791" s="4" t="s">
        <v>6018</v>
      </c>
      <c r="B4791" s="4" t="s">
        <v>6021</v>
      </c>
      <c r="C4791" s="5" t="str">
        <f>IFERROR(__xludf.DUMMYFUNCTION("GOOGLETRANSLATE(B4791,""en"",""es-ES"")"),"Los dardos golpearon el tablero de dardos en cámara lenta.")</f>
        <v>Los dardos golpearon el tablero de dardos en cámara lenta.</v>
      </c>
    </row>
    <row r="4792">
      <c r="A4792" s="4" t="s">
        <v>6022</v>
      </c>
      <c r="B4792" s="4" t="s">
        <v>6023</v>
      </c>
      <c r="C4792" s="5" t="str">
        <f>IFERROR(__xludf.DUMMYFUNCTION("GOOGLETRANSLATE(B4792,""en"",""es-ES"")"),"Se ve un primer plano de un caballo seguido por varias personas que viajan en un caballo en una playa.")</f>
        <v>Se ve un primer plano de un caballo seguido por varias personas que viajan en un caballo en una playa.</v>
      </c>
    </row>
    <row r="4793">
      <c r="A4793" s="4" t="s">
        <v>6022</v>
      </c>
      <c r="B4793" s="4" t="s">
        <v>6024</v>
      </c>
      <c r="C4793" s="5" t="str">
        <f>IFERROR(__xludf.DUMMYFUNCTION("GOOGLETRANSLATE(B4793,""en"",""es-ES"")"),"Se ve a una persona parada en el caballo y la cámara continúa siguiendo a las personas que viajan en los caballos.")</f>
        <v>Se ve a una persona parada en el caballo y la cámara continúa siguiendo a las personas que viajan en los caballos.</v>
      </c>
    </row>
    <row r="4794">
      <c r="A4794" s="4" t="s">
        <v>6025</v>
      </c>
      <c r="B4794" s="4" t="s">
        <v>6026</v>
      </c>
      <c r="C4794" s="5" t="str">
        <f>IFERROR(__xludf.DUMMYFUNCTION("GOOGLETRANSLATE(B4794,""en"",""es-ES"")"),"Un hombre y una mujer en una sala de pesas estilo garaje demuestran cómo levantar una barra de pesas con la mujer que exhibe el levantamiento de los pesos.")</f>
        <v>Un hombre y una mujer en una sala de pesas estilo garaje demuestran cómo levantar una barra de pesas con la mujer que exhibe el levantamiento de los pesos.</v>
      </c>
    </row>
    <row r="4795">
      <c r="A4795" s="4" t="s">
        <v>6025</v>
      </c>
      <c r="B4795" s="4" t="s">
        <v>6027</v>
      </c>
      <c r="C4795" s="5" t="str">
        <f>IFERROR(__xludf.DUMMYFUNCTION("GOOGLETRANSLATE(B4795,""en"",""es-ES"")"),"Un hombre con una camiseta negra y sandalias se encuentra junto a una mujer en una sala de pesas estilo garaje.")</f>
        <v>Un hombre con una camiseta negra y sandalias se encuentra junto a una mujer en una sala de pesas estilo garaje.</v>
      </c>
    </row>
    <row r="4796">
      <c r="A4796" s="4" t="s">
        <v>6025</v>
      </c>
      <c r="B4796" s="4" t="s">
        <v>6028</v>
      </c>
      <c r="C4796" s="5" t="str">
        <f>IFERROR(__xludf.DUMMYFUNCTION("GOOGLETRANSLATE(B4796,""en"",""es-ES"")"),"La mujer recoge una barra de pesas usando las rodillas para doblarse mientras el hombre habla y señala a sus grupos musculares.")</f>
        <v>La mujer recoge una barra de pesas usando las rodillas para doblarse mientras el hombre habla y señala a sus grupos musculares.</v>
      </c>
    </row>
    <row r="4797">
      <c r="A4797" s="4" t="s">
        <v>6025</v>
      </c>
      <c r="B4797" s="4" t="s">
        <v>6029</v>
      </c>
      <c r="C4797" s="5" t="str">
        <f>IFERROR(__xludf.DUMMYFUNCTION("GOOGLETRANSLATE(B4797,""en"",""es-ES"")"),"La mujer eleva la barra sobre su cabeza en un movimiento de levantamiento de pesas varias veces antes de bajar la barra de regreso al piso.")</f>
        <v>La mujer eleva la barra sobre su cabeza en un movimiento de levantamiento de pesas varias veces antes de bajar la barra de regreso al piso.</v>
      </c>
    </row>
    <row r="4798">
      <c r="A4798" s="4" t="s">
        <v>6030</v>
      </c>
      <c r="B4798" s="4" t="s">
        <v>6031</v>
      </c>
      <c r="C4798" s="5" t="str">
        <f>IFERROR(__xludf.DUMMYFUNCTION("GOOGLETRANSLATE(B4798,""en"",""es-ES"")"),"Algunos textos aparecen en la pantalla.")</f>
        <v>Algunos textos aparecen en la pantalla.</v>
      </c>
    </row>
    <row r="4799">
      <c r="A4799" s="4" t="s">
        <v>6030</v>
      </c>
      <c r="B4799" s="4" t="s">
        <v>6032</v>
      </c>
      <c r="C4799" s="5" t="str">
        <f>IFERROR(__xludf.DUMMYFUNCTION("GOOGLETRANSLATE(B4799,""en"",""es-ES"")"),"Un video de los toros que la gente comienza a tocar.")</f>
        <v>Un video de los toros que la gente comienza a tocar.</v>
      </c>
    </row>
    <row r="4800">
      <c r="A4800" s="4" t="s">
        <v>6030</v>
      </c>
      <c r="B4800" s="4" t="s">
        <v>6033</v>
      </c>
      <c r="C4800" s="5" t="str">
        <f>IFERROR(__xludf.DUMMYFUNCTION("GOOGLETRANSLATE(B4800,""en"",""es-ES"")"),"El texto aparece nuevamente en la pantalla.")</f>
        <v>El texto aparece nuevamente en la pantalla.</v>
      </c>
    </row>
    <row r="4801">
      <c r="A4801" s="4" t="s">
        <v>6030</v>
      </c>
      <c r="B4801" s="4" t="s">
        <v>6034</v>
      </c>
      <c r="C4801" s="5" t="str">
        <f>IFERROR(__xludf.DUMMYFUNCTION("GOOGLETRANSLATE(B4801,""en"",""es-ES"")"),"Se muestran imágenes de personas apuñaladas con flechas y llenas de sangre.")</f>
        <v>Se muestran imágenes de personas apuñaladas con flechas y llenas de sangre.</v>
      </c>
    </row>
    <row r="4802">
      <c r="A4802" s="4" t="s">
        <v>6030</v>
      </c>
      <c r="B4802" s="4" t="s">
        <v>6035</v>
      </c>
      <c r="C4802" s="5" t="str">
        <f>IFERROR(__xludf.DUMMYFUNCTION("GOOGLETRANSLATE(B4802,""en"",""es-ES"")"),"Aparece más texto con mensajes contra la lucha contra los toros.")</f>
        <v>Aparece más texto con mensajes contra la lucha contra los toros.</v>
      </c>
    </row>
    <row r="4803">
      <c r="A4803" s="4" t="s">
        <v>6030</v>
      </c>
      <c r="B4803" s="4" t="s">
        <v>6036</v>
      </c>
      <c r="C4803" s="5" t="str">
        <f>IFERROR(__xludf.DUMMYFUNCTION("GOOGLETRANSLATE(B4803,""en"",""es-ES"")"),"Se muestran imágenes de toros Hurts.")</f>
        <v>Se muestran imágenes de toros Hurts.</v>
      </c>
    </row>
    <row r="4804">
      <c r="A4804" s="4" t="s">
        <v>6030</v>
      </c>
      <c r="B4804" s="4" t="s">
        <v>6037</v>
      </c>
      <c r="C4804" s="5" t="str">
        <f>IFERROR(__xludf.DUMMYFUNCTION("GOOGLETRANSLATE(B4804,""en"",""es-ES"")"),"Aparece el texto contra la crueldad animal.")</f>
        <v>Aparece el texto contra la crueldad animal.</v>
      </c>
    </row>
    <row r="4805">
      <c r="A4805" s="4" t="s">
        <v>6030</v>
      </c>
      <c r="B4805" s="4" t="s">
        <v>6038</v>
      </c>
      <c r="C4805" s="5" t="str">
        <f>IFERROR(__xludf.DUMMYFUNCTION("GOOGLETRANSLATE(B4805,""en"",""es-ES"")"),"Se muestra a un toro que lucha contra un toro.")</f>
        <v>Se muestra a un toro que lucha contra un toro.</v>
      </c>
    </row>
    <row r="4806">
      <c r="A4806" s="4" t="s">
        <v>6030</v>
      </c>
      <c r="B4806" s="4" t="s">
        <v>6039</v>
      </c>
      <c r="C4806" s="5" t="str">
        <f>IFERROR(__xludf.DUMMYFUNCTION("GOOGLETRANSLATE(B4806,""en"",""es-ES"")"),"Se reproduce un video de bullfighters que se aburren.")</f>
        <v>Se reproduce un video de bullfighters que se aburren.</v>
      </c>
    </row>
    <row r="4807">
      <c r="A4807" s="4" t="s">
        <v>6030</v>
      </c>
      <c r="B4807" s="4" t="s">
        <v>6040</v>
      </c>
      <c r="C4807" s="5" t="str">
        <f>IFERROR(__xludf.DUMMYFUNCTION("GOOGLETRANSLATE(B4807,""en"",""es-ES"")"),"Un nuevo video que muestra los animales muertos.")</f>
        <v>Un nuevo video que muestra los animales muertos.</v>
      </c>
    </row>
    <row r="4808">
      <c r="A4808" s="4" t="s">
        <v>6030</v>
      </c>
      <c r="B4808" s="4" t="s">
        <v>6041</v>
      </c>
      <c r="C4808" s="5" t="str">
        <f>IFERROR(__xludf.DUMMYFUNCTION("GOOGLETRANSLATE(B4808,""en"",""es-ES"")"),"El texto condescendiente aparece en el video que castiga a las personas por comer carne y ser cruel con los animales.")</f>
        <v>El texto condescendiente aparece en el video que castiga a las personas por comer carne y ser cruel con los animales.</v>
      </c>
    </row>
    <row r="4809">
      <c r="A4809" s="4" t="s">
        <v>6042</v>
      </c>
      <c r="B4809" s="4" t="s">
        <v>6043</v>
      </c>
      <c r="C4809" s="5" t="str">
        <f>IFERROR(__xludf.DUMMYFUNCTION("GOOGLETRANSLATE(B4809,""en"",""es-ES"")"),"Una cortadora de césped está siendo empujada a través de la hierba.")</f>
        <v>Una cortadora de césped está siendo empujada a través de la hierba.</v>
      </c>
    </row>
    <row r="4810">
      <c r="A4810" s="4" t="s">
        <v>6042</v>
      </c>
      <c r="B4810" s="4" t="s">
        <v>6044</v>
      </c>
      <c r="C4810" s="5" t="str">
        <f>IFERROR(__xludf.DUMMYFUNCTION("GOOGLETRANSLATE(B4810,""en"",""es-ES"")"),"Se empuja a lo largo de una acera.")</f>
        <v>Se empuja a lo largo de una acera.</v>
      </c>
    </row>
    <row r="4811">
      <c r="A4811" s="4" t="s">
        <v>6042</v>
      </c>
      <c r="B4811" s="4" t="s">
        <v>6045</v>
      </c>
      <c r="C4811" s="5" t="str">
        <f>IFERROR(__xludf.DUMMYFUNCTION("GOOGLETRANSLATE(B4811,""en"",""es-ES"")"),"Se empuja a lo largo de una cama de flores.")</f>
        <v>Se empuja a lo largo de una cama de flores.</v>
      </c>
    </row>
    <row r="4812">
      <c r="A4812" s="4" t="s">
        <v>6046</v>
      </c>
      <c r="B4812" s="4" t="s">
        <v>6047</v>
      </c>
      <c r="C4812" s="5" t="str">
        <f>IFERROR(__xludf.DUMMYFUNCTION("GOOGLETRANSLATE(B4812,""en"",""es-ES"")"),"Una persona muestra el fondo de un gran trapeador de polvo.")</f>
        <v>Una persona muestra el fondo de un gran trapeador de polvo.</v>
      </c>
    </row>
    <row r="4813">
      <c r="A4813" s="4" t="s">
        <v>6046</v>
      </c>
      <c r="B4813" s="4" t="s">
        <v>6048</v>
      </c>
      <c r="C4813" s="5" t="str">
        <f>IFERROR(__xludf.DUMMYFUNCTION("GOOGLETRANSLATE(B4813,""en"",""es-ES"")"),"Luego, la persona limpia un gimnasio con el gran trapeador de polvo.")</f>
        <v>Luego, la persona limpia un gimnasio con el gran trapeador de polvo.</v>
      </c>
    </row>
    <row r="4814">
      <c r="A4814" s="4" t="s">
        <v>6049</v>
      </c>
      <c r="B4814" s="4" t="s">
        <v>6050</v>
      </c>
      <c r="C4814" s="5" t="str">
        <f>IFERROR(__xludf.DUMMYFUNCTION("GOOGLETRANSLATE(B4814,""en"",""es-ES"")"),"La chica en el columpio se balancea y luego saltó al suelo.")</f>
        <v>La chica en el columpio se balancea y luego saltó al suelo.</v>
      </c>
    </row>
    <row r="4815">
      <c r="A4815" s="4" t="s">
        <v>6049</v>
      </c>
      <c r="B4815" s="4" t="s">
        <v>6051</v>
      </c>
      <c r="C4815" s="5" t="str">
        <f>IFERROR(__xludf.DUMMYFUNCTION("GOOGLETRANSLATE(B4815,""en"",""es-ES"")"),"La cámara se dio la vuelta, luego se volvió hacia la niña balanceándose, está retorciendo las cadenas del columpio y está girando con el columpio.")</f>
        <v>La cámara se dio la vuelta, luego se volvió hacia la niña balanceándose, está retorciendo las cadenas del columpio y está girando con el columpio.</v>
      </c>
    </row>
    <row r="4816">
      <c r="A4816" s="4" t="s">
        <v>6049</v>
      </c>
      <c r="B4816" s="4" t="s">
        <v>6052</v>
      </c>
      <c r="C4816" s="5" t="str">
        <f>IFERROR(__xludf.DUMMYFUNCTION("GOOGLETRANSLATE(B4816,""en"",""es-ES"")"),"La niña con camisa negra y falda negra y medias mantiene el oscuro y alto y luego saltó sobre el suelo arenoso.")</f>
        <v>La niña con camisa negra y falda negra y medias mantiene el oscuro y alto y luego saltó sobre el suelo arenoso.</v>
      </c>
    </row>
    <row r="4817">
      <c r="A4817" s="4" t="s">
        <v>6049</v>
      </c>
      <c r="B4817" s="4" t="s">
        <v>6053</v>
      </c>
      <c r="C4817" s="5" t="str">
        <f>IFERROR(__xludf.DUMMYFUNCTION("GOOGLETRANSLATE(B4817,""en"",""es-ES"")"),"La niña subió al escalador, subió los pies mientras sus brazos y manos sostienen la barra.")</f>
        <v>La niña subió al escalador, subió los pies mientras sus brazos y manos sostienen la barra.</v>
      </c>
    </row>
    <row r="4818">
      <c r="A4818" s="4" t="s">
        <v>6049</v>
      </c>
      <c r="B4818" s="4" t="s">
        <v>6054</v>
      </c>
      <c r="C4818" s="5" t="str">
        <f>IFERROR(__xludf.DUMMYFUNCTION("GOOGLETRANSLATE(B4818,""en"",""es-ES"")"),"La niña se cayó al suelo, se puso de pie, luego fue al otro lado del escalador, alcanzó el bar y se movió al otro próximo bar.")</f>
        <v>La niña se cayó al suelo, se puso de pie, luego fue al otro lado del escalador, alcanzó el bar y se movió al otro próximo bar.</v>
      </c>
    </row>
    <row r="4819">
      <c r="A4819" s="4" t="s">
        <v>6049</v>
      </c>
      <c r="B4819" s="4" t="s">
        <v>6055</v>
      </c>
      <c r="C4819" s="5" t="str">
        <f>IFERROR(__xludf.DUMMYFUNCTION("GOOGLETRANSLATE(B4819,""en"",""es-ES"")"),"La niña está sentada en la silla azul que se mira mientras miraba a su lado, se puso de pie, continuó tirando de su peso hacia adelante y hacia atrás.")</f>
        <v>La niña está sentada en la silla azul que se mira mientras miraba a su lado, se puso de pie, continuó tirando de su peso hacia adelante y hacia atrás.</v>
      </c>
    </row>
    <row r="4820">
      <c r="A4820" s="4" t="s">
        <v>6049</v>
      </c>
      <c r="B4820" s="4" t="s">
        <v>6056</v>
      </c>
      <c r="C4820" s="5" t="str">
        <f>IFERROR(__xludf.DUMMYFUNCTION("GOOGLETRANSLATE(B4820,""en"",""es-ES"")"),"La niña se sentó en la parte superior del portaobjetos y luego se deslizó hacia abajo, se puso las zapatillas y luego volvió a la parte superior del portaobjetos y se deslizó hacia abajo.")</f>
        <v>La niña se sentó en la parte superior del portaobjetos y luego se deslizó hacia abajo, se puso las zapatillas y luego volvió a la parte superior del portaobjetos y se deslizó hacia abajo.</v>
      </c>
    </row>
    <row r="4821">
      <c r="A4821" s="4" t="s">
        <v>6057</v>
      </c>
      <c r="B4821" s="4" t="s">
        <v>6058</v>
      </c>
      <c r="C4821" s="5" t="str">
        <f>IFERROR(__xludf.DUMMYFUNCTION("GOOGLETRANSLATE(B4821,""en"",""es-ES"")"),"Se muestra un telón de fondo azul con palabras blancas que dicen titular, ""Cumando el césped, mayo de 2009"".")</f>
        <v>Se muestra un telón de fondo azul con palabras blancas que dicen titular, "Cumando el césped, mayo de 2009".</v>
      </c>
    </row>
    <row r="4822">
      <c r="A4822" s="4" t="s">
        <v>6057</v>
      </c>
      <c r="B4822" s="4" t="s">
        <v>6059</v>
      </c>
      <c r="C4822" s="5" t="str">
        <f>IFERROR(__xludf.DUMMYFUNCTION("GOOGLETRANSLATE(B4822,""en"",""es-ES"")"),"Un hombre de mediana edad está afuera, con un músculo blanco corto y pantalones cortos rojos que empujan una cortadora de césped en su patio.")</f>
        <v>Un hombre de mediana edad está afuera, con un músculo blanco corto y pantalones cortos rojos que empujan una cortadora de césped en su patio.</v>
      </c>
    </row>
    <row r="4823">
      <c r="A4823" s="4" t="s">
        <v>6057</v>
      </c>
      <c r="B4823" s="4" t="s">
        <v>6060</v>
      </c>
      <c r="C4823" s="5" t="str">
        <f>IFERROR(__xludf.DUMMYFUNCTION("GOOGLETRANSLATE(B4823,""en"",""es-ES"")"),"Cuando el hombre gira, el cortacésped para ir en una dirección diferente, comienza a luchar y se confunde porque la fuente de agua está en su camino.")</f>
        <v>Cuando el hombre gira, el cortacésped para ir en una dirección diferente, comienza a luchar y se confunde porque la fuente de agua está en su camino.</v>
      </c>
    </row>
    <row r="4824">
      <c r="A4824" s="4" t="s">
        <v>6057</v>
      </c>
      <c r="B4824" s="4" t="s">
        <v>6061</v>
      </c>
      <c r="C4824" s="5" t="str">
        <f>IFERROR(__xludf.DUMMYFUNCTION("GOOGLETRANSLATE(B4824,""en"",""es-ES"")"),"Una vez, el hombre se ha frustrado lo suficientemente frustrado, simplemente decidió no cortarlo y regresa a su lugar original de corte.")</f>
        <v>Una vez, el hombre se ha frustrado lo suficientemente frustrado, simplemente decidió no cortarlo y regresa a su lugar original de corte.</v>
      </c>
    </row>
    <row r="4825">
      <c r="A4825" s="4" t="s">
        <v>6062</v>
      </c>
      <c r="B4825" s="4" t="s">
        <v>6063</v>
      </c>
      <c r="C4825" s="5" t="str">
        <f>IFERROR(__xludf.DUMMYFUNCTION("GOOGLETRANSLATE(B4825,""en"",""es-ES"")"),"Se muestra un primer plano de manos seguido de una chica que se cepilla el cabello y sonriendo a la cámara.")</f>
        <v>Se muestra un primer plano de manos seguido de una chica que se cepilla el cabello y sonriendo a la cámara.</v>
      </c>
    </row>
    <row r="4826">
      <c r="A4826" s="4" t="s">
        <v>6062</v>
      </c>
      <c r="B4826" s="4" t="s">
        <v>6064</v>
      </c>
      <c r="C4826" s="5" t="str">
        <f>IFERROR(__xludf.DUMMYFUNCTION("GOOGLETRANSLATE(B4826,""en"",""es-ES"")"),"La niña continúa cepillándose el cabello y mirando a lo lejos.")</f>
        <v>La niña continúa cepillándose el cabello y mirando a lo lejos.</v>
      </c>
    </row>
    <row r="4827">
      <c r="A4827" s="4" t="s">
        <v>6065</v>
      </c>
      <c r="B4827" s="4" t="s">
        <v>6066</v>
      </c>
      <c r="C4827" s="5" t="str">
        <f>IFERROR(__xludf.DUMMYFUNCTION("GOOGLETRANSLATE(B4827,""en"",""es-ES"")"),"Se lleva a cabo un evento deportivo competitivo en una arena al aire libre y los competidores están en el terreno mientras los espectadores están en las gradas.")</f>
        <v>Se lleva a cabo un evento deportivo competitivo en una arena al aire libre y los competidores están en el terreno mientras los espectadores están en las gradas.</v>
      </c>
    </row>
    <row r="4828">
      <c r="A4828" s="4" t="s">
        <v>6065</v>
      </c>
      <c r="B4828" s="4" t="s">
        <v>6067</v>
      </c>
      <c r="C4828" s="5" t="str">
        <f>IFERROR(__xludf.DUMMYFUNCTION("GOOGLETRANSLATE(B4828,""en"",""es-ES"")"),"Un hombre ahora está parado en un círculo en el campo y está sosteniendo una pelota y la pantalla de banner en la pantalla indica que su nombre es Krisztian Pars y que está a punto de hacer un martillo M mientras balancea la pelota que está unida a la cue"&amp;"rda , balancea su cuerpo y luego deja ir la cuerda mientras vuela muy lejos en el campo.")</f>
        <v>Un hombre ahora está parado en un círculo en el campo y está sosteniendo una pelota y la pantalla de banner en la pantalla indica que su nombre es Krisztian Pars y que está a punto de hacer un martillo M mientras balancea la pelota que está unida a la cuerda , balancea su cuerpo y luego deja ir la cuerda mientras vuela muy lejos en el campo.</v>
      </c>
    </row>
    <row r="4829">
      <c r="A4829" s="4" t="s">
        <v>6065</v>
      </c>
      <c r="B4829" s="4" t="s">
        <v>6068</v>
      </c>
      <c r="C4829" s="5" t="str">
        <f>IFERROR(__xludf.DUMMYFUNCTION("GOOGLETRANSLATE(B4829,""en"",""es-ES"")"),"El hombre está muy orgulloso de su lanzamiento mientras anima y otros competidores, así como a las personas en los grados aplaudir y animarlo, así como se aleja del área en la que estaba parado y continúa animándose un poco más mientras se da. Un pulgar h"&amp;"asta un grupo de camarógrafos que se toman una foto.")</f>
        <v>El hombre está muy orgulloso de su lanzamiento mientras anima y otros competidores, así como a las personas en los grados aplaudir y animarlo, así como se aleja del área en la que estaba parado y continúa animándose un poco más mientras se da. Un pulgar hasta un grupo de camarógrafos que se toman una foto.</v>
      </c>
    </row>
    <row r="4830">
      <c r="A4830" s="4" t="s">
        <v>6065</v>
      </c>
      <c r="B4830" s="4" t="s">
        <v>6069</v>
      </c>
      <c r="C4830" s="5" t="str">
        <f>IFERROR(__xludf.DUMMYFUNCTION("GOOGLETRANSLATE(B4830,""en"",""es-ES"")"),"Una repetición de su lanzamiento comienza de nuevo y luego termina con un disparo en ángulo amplio de toda la arena.")</f>
        <v>Una repetición de su lanzamiento comienza de nuevo y luego termina con un disparo en ángulo amplio de toda la arena.</v>
      </c>
    </row>
    <row r="4831">
      <c r="A4831" s="4" t="s">
        <v>6070</v>
      </c>
      <c r="B4831" s="4" t="s">
        <v>6071</v>
      </c>
      <c r="C4831" s="5" t="str">
        <f>IFERROR(__xludf.DUMMYFUNCTION("GOOGLETRANSLATE(B4831,""en"",""es-ES"")"),"Se muestra un video del equipo de hockey sobre césped femenino de UConn.")</f>
        <v>Se muestra un video del equipo de hockey sobre césped femenino de UConn.</v>
      </c>
    </row>
    <row r="4832">
      <c r="A4832" s="4" t="s">
        <v>6070</v>
      </c>
      <c r="B4832" s="4" t="s">
        <v>6072</v>
      </c>
      <c r="C4832" s="5" t="str">
        <f>IFERROR(__xludf.DUMMYFUNCTION("GOOGLETRANSLATE(B4832,""en"",""es-ES"")"),"El entrenador habla con los jugadores y tienen una práctica.")</f>
        <v>El entrenador habla con los jugadores y tienen una práctica.</v>
      </c>
    </row>
    <row r="4833">
      <c r="A4833" s="4" t="s">
        <v>6073</v>
      </c>
      <c r="B4833" s="4" t="s">
        <v>6074</v>
      </c>
      <c r="C4833" s="5" t="str">
        <f>IFERROR(__xludf.DUMMYFUNCTION("GOOGLETRANSLATE(B4833,""en"",""es-ES"")"),"Se muestran a dos hombres jugando fútbol en un gimnasio seguido de un panorama que muestra más jugadores.")</f>
        <v>Se muestran a dos hombres jugando fútbol en un gimnasio seguido de un panorama que muestra más jugadores.</v>
      </c>
    </row>
    <row r="4834">
      <c r="A4834" s="4" t="s">
        <v>6073</v>
      </c>
      <c r="B4834" s="4" t="s">
        <v>6075</v>
      </c>
      <c r="C4834" s="5" t="str">
        <f>IFERROR(__xludf.DUMMYFUNCTION("GOOGLETRANSLATE(B4834,""en"",""es-ES"")"),"El hombre es blanco lidera el balón por el gimnasio varias veces y realiza varios trucos y goles.")</f>
        <v>El hombre es blanco lidera el balón por el gimnasio varias veces y realiza varios trucos y goles.</v>
      </c>
    </row>
    <row r="4835">
      <c r="A4835" s="4" t="s">
        <v>6073</v>
      </c>
      <c r="B4835" s="4" t="s">
        <v>6076</v>
      </c>
      <c r="C4835" s="5" t="str">
        <f>IFERROR(__xludf.DUMMYFUNCTION("GOOGLETRANSLATE(B4835,""en"",""es-ES"")"),"El juego continúa con los hombres haciendo de regreso y cuarto jugando con el balón de fútbol.")</f>
        <v>El juego continúa con los hombres haciendo de regreso y cuarto jugando con el balón de fútbol.</v>
      </c>
    </row>
    <row r="4836">
      <c r="A4836" s="4" t="s">
        <v>6077</v>
      </c>
      <c r="B4836" s="4" t="s">
        <v>6078</v>
      </c>
      <c r="C4836" s="5" t="str">
        <f>IFERROR(__xludf.DUMMYFUNCTION("GOOGLETRANSLATE(B4836,""en"",""es-ES"")"),"Una mujer le suplica la ceja.")</f>
        <v>Una mujer le suplica la ceja.</v>
      </c>
    </row>
    <row r="4837">
      <c r="A4837" s="4" t="s">
        <v>6077</v>
      </c>
      <c r="B4837" s="4" t="s">
        <v>6079</v>
      </c>
      <c r="C4837" s="5" t="str">
        <f>IFERROR(__xludf.DUMMYFUNCTION("GOOGLETRANSLATE(B4837,""en"",""es-ES"")"),"Una persona empuja una aguja a través de su ceja.")</f>
        <v>Una persona empuja una aguja a través de su ceja.</v>
      </c>
    </row>
    <row r="4838">
      <c r="A4838" s="4" t="s">
        <v>6077</v>
      </c>
      <c r="B4838" s="4" t="s">
        <v>6080</v>
      </c>
      <c r="C4838" s="5" t="str">
        <f>IFERROR(__xludf.DUMMYFUNCTION("GOOGLETRANSLATE(B4838,""en"",""es-ES"")"),"Giran un arete en la ceja.")</f>
        <v>Giran un arete en la ceja.</v>
      </c>
    </row>
    <row r="4839">
      <c r="A4839" s="4" t="s">
        <v>6077</v>
      </c>
      <c r="B4839" s="4" t="s">
        <v>6081</v>
      </c>
      <c r="C4839" s="5" t="str">
        <f>IFERROR(__xludf.DUMMYFUNCTION("GOOGLETRANSLATE(B4839,""en"",""es-ES"")"),"Limpian alrededor del arete con un QTIP.")</f>
        <v>Limpian alrededor del arete con un QTIP.</v>
      </c>
    </row>
    <row r="4840">
      <c r="A4840" s="4" t="s">
        <v>6082</v>
      </c>
      <c r="B4840" s="4" t="s">
        <v>6083</v>
      </c>
      <c r="C4840" s="5" t="str">
        <f>IFERROR(__xludf.DUMMYFUNCTION("GOOGLETRANSLATE(B4840,""en"",""es-ES"")"),"Un hombre está tratando de levantar pesas en un gimnasio.")</f>
        <v>Un hombre está tratando de levantar pesas en un gimnasio.</v>
      </c>
    </row>
    <row r="4841">
      <c r="A4841" s="4" t="s">
        <v>6082</v>
      </c>
      <c r="B4841" s="4" t="s">
        <v>6084</v>
      </c>
      <c r="C4841" s="5" t="str">
        <f>IFERROR(__xludf.DUMMYFUNCTION("GOOGLETRANSLATE(B4841,""en"",""es-ES"")"),"Levanta la barra hasta su pecho.")</f>
        <v>Levanta la barra hasta su pecho.</v>
      </c>
    </row>
    <row r="4842">
      <c r="A4842" s="4" t="s">
        <v>6082</v>
      </c>
      <c r="B4842" s="4" t="s">
        <v>6085</v>
      </c>
      <c r="C4842" s="5" t="str">
        <f>IFERROR(__xludf.DUMMYFUNCTION("GOOGLETRANSLATE(B4842,""en"",""es-ES"")"),"Luego lo levanta sobre su cabeza antes de dejarla caer al suelo.")</f>
        <v>Luego lo levanta sobre su cabeza antes de dejarla caer al suelo.</v>
      </c>
    </row>
    <row r="4843">
      <c r="A4843" s="4" t="s">
        <v>6086</v>
      </c>
      <c r="B4843" s="4" t="s">
        <v>6087</v>
      </c>
      <c r="C4843" s="5" t="str">
        <f>IFERROR(__xludf.DUMMYFUNCTION("GOOGLETRANSLATE(B4843,""en"",""es-ES"")"),"Se ve a una banda tocando varios instrumentos en un escenario mientras la gente baila a su alrededor.")</f>
        <v>Se ve a una banda tocando varios instrumentos en un escenario mientras la gente baila a su alrededor.</v>
      </c>
    </row>
    <row r="4844">
      <c r="A4844" s="4" t="s">
        <v>6086</v>
      </c>
      <c r="B4844" s="4" t="s">
        <v>6088</v>
      </c>
      <c r="C4844" s="5" t="str">
        <f>IFERROR(__xludf.DUMMYFUNCTION("GOOGLETRANSLATE(B4844,""en"",""es-ES"")"),"La banda continúa tocando mientras las luces parpadean a su alrededor y la gente continúa bailando.")</f>
        <v>La banda continúa tocando mientras las luces parpadean a su alrededor y la gente continúa bailando.</v>
      </c>
    </row>
    <row r="4845">
      <c r="A4845" s="4" t="s">
        <v>6089</v>
      </c>
      <c r="B4845" s="4" t="s">
        <v>6090</v>
      </c>
      <c r="C4845" s="5" t="str">
        <f>IFERROR(__xludf.DUMMYFUNCTION("GOOGLETRANSLATE(B4845,""en"",""es-ES"")"),"Una caja de escalera de madera al aire libre se muestra fuera de un caballo blanco y marrón.")</f>
        <v>Una caja de escalera de madera al aire libre se muestra fuera de un caballo blanco y marrón.</v>
      </c>
    </row>
    <row r="4846">
      <c r="A4846" s="4" t="s">
        <v>6089</v>
      </c>
      <c r="B4846" s="4" t="s">
        <v>6091</v>
      </c>
      <c r="C4846" s="5" t="str">
        <f>IFERROR(__xludf.DUMMYFUNCTION("GOOGLETRANSLATE(B4846,""en"",""es-ES"")"),"De repente, un perro negro llega a la vuelta de la esquina y trota por las escaleras y se muestran múltiples repeticiones.")</f>
        <v>De repente, un perro negro llega a la vuelta de la esquina y trota por las escaleras y se muestran múltiples repeticiones.</v>
      </c>
    </row>
    <row r="4847">
      <c r="A4847" s="4" t="s">
        <v>6089</v>
      </c>
      <c r="B4847" s="4" t="s">
        <v>6092</v>
      </c>
      <c r="C4847" s="5" t="str">
        <f>IFERROR(__xludf.DUMMYFUNCTION("GOOGLETRANSLATE(B4847,""en"",""es-ES"")"),"Una vez que el perro realmente llega a la cima, comienza a lamer a la persona detrás del zapato de la cámara.")</f>
        <v>Una vez que el perro realmente llega a la cima, comienza a lamer a la persona detrás del zapato de la cámara.</v>
      </c>
    </row>
    <row r="4848">
      <c r="A4848" s="4" t="s">
        <v>6093</v>
      </c>
      <c r="B4848" s="4" t="s">
        <v>6094</v>
      </c>
      <c r="C4848" s="5" t="str">
        <f>IFERROR(__xludf.DUMMYFUNCTION("GOOGLETRANSLATE(B4848,""en"",""es-ES"")"),"Se ve a una persona parada en un tablero de vigilia y moviéndose.")</f>
        <v>Se ve a una persona parada en un tablero de vigilia y moviéndose.</v>
      </c>
    </row>
    <row r="4849">
      <c r="A4849" s="4" t="s">
        <v>6093</v>
      </c>
      <c r="B4849" s="4" t="s">
        <v>6095</v>
      </c>
      <c r="C4849" s="5" t="str">
        <f>IFERROR(__xludf.DUMMYFUNCTION("GOOGLETRANSLATE(B4849,""en"",""es-ES"")"),"La cámara lo sigue deslizándose en el agua gradualmente y más allá.")</f>
        <v>La cámara lo sigue deslizándose en el agua gradualmente y más allá.</v>
      </c>
    </row>
    <row r="4850">
      <c r="A4850" s="4" t="s">
        <v>6096</v>
      </c>
      <c r="B4850" s="4" t="s">
        <v>6097</v>
      </c>
      <c r="C4850" s="5" t="str">
        <f>IFERROR(__xludf.DUMMYFUNCTION("GOOGLETRANSLATE(B4850,""en"",""es-ES"")"),"Vemos una pantalla de apertura negra.")</f>
        <v>Vemos una pantalla de apertura negra.</v>
      </c>
    </row>
    <row r="4851">
      <c r="A4851" s="4" t="s">
        <v>6096</v>
      </c>
      <c r="B4851" s="4" t="s">
        <v>6098</v>
      </c>
      <c r="C4851" s="5" t="str">
        <f>IFERROR(__xludf.DUMMYFUNCTION("GOOGLETRANSLATE(B4851,""en"",""es-ES"")"),"Vemos una pista azul con gente corriendo en ella.")</f>
        <v>Vemos una pista azul con gente corriendo en ella.</v>
      </c>
    </row>
    <row r="4852">
      <c r="A4852" s="4" t="s">
        <v>6096</v>
      </c>
      <c r="B4852" s="4" t="s">
        <v>6099</v>
      </c>
      <c r="C4852" s="5" t="str">
        <f>IFERROR(__xludf.DUMMYFUNCTION("GOOGLETRANSLATE(B4852,""en"",""es-ES"")"),"Luego vemos a un hombre hacer un salto de altura a 5'9 "".")</f>
        <v>Luego vemos a un hombre hacer un salto de altura a 5'9 ".</v>
      </c>
    </row>
    <row r="4853">
      <c r="A4853" s="4" t="s">
        <v>6096</v>
      </c>
      <c r="B4853" s="4" t="s">
        <v>6100</v>
      </c>
      <c r="C4853" s="5" t="str">
        <f>IFERROR(__xludf.DUMMYFUNCTION("GOOGLETRANSLATE(B4853,""en"",""es-ES"")"),"Luego vemos al hombre saltar a las 6 '.")</f>
        <v>Luego vemos al hombre saltar a las 6 '.</v>
      </c>
    </row>
    <row r="4854">
      <c r="A4854" s="4" t="s">
        <v>6096</v>
      </c>
      <c r="B4854" s="4" t="s">
        <v>6101</v>
      </c>
      <c r="C4854" s="5" t="str">
        <f>IFERROR(__xludf.DUMMYFUNCTION("GOOGLETRANSLATE(B4854,""en"",""es-ES"")"),"Luego vemos al hombre saltar a 6'2 ""y él golpea el poste.")</f>
        <v>Luego vemos al hombre saltar a 6'2 "y él golpea el poste.</v>
      </c>
    </row>
    <row r="4855">
      <c r="A4855" s="4" t="s">
        <v>6096</v>
      </c>
      <c r="B4855" s="4" t="s">
        <v>6102</v>
      </c>
      <c r="C4855" s="5" t="str">
        <f>IFERROR(__xludf.DUMMYFUNCTION("GOOGLETRANSLATE(B4855,""en"",""es-ES"")"),"Lo vemos intentar 6'2 ""nuevamente y no golpear el poste.")</f>
        <v>Lo vemos intentar 6'2 "nuevamente y no golpear el poste.</v>
      </c>
    </row>
    <row r="4856">
      <c r="A4856" s="4" t="s">
        <v>6096</v>
      </c>
      <c r="B4856" s="4" t="s">
        <v>6103</v>
      </c>
      <c r="C4856" s="5" t="str">
        <f>IFERROR(__xludf.DUMMYFUNCTION("GOOGLETRANSLATE(B4856,""en"",""es-ES"")"),"El hombre camina hacia la cámara y la apaga.")</f>
        <v>El hombre camina hacia la cámara y la apaga.</v>
      </c>
    </row>
    <row r="4857">
      <c r="A4857" s="4" t="s">
        <v>6104</v>
      </c>
      <c r="B4857" s="4" t="s">
        <v>6105</v>
      </c>
      <c r="C4857" s="5" t="str">
        <f>IFERROR(__xludf.DUMMYFUNCTION("GOOGLETRANSLATE(B4857,""en"",""es-ES"")"),"Un niño sostiene un pincel en el patio.")</f>
        <v>Un niño sostiene un pincel en el patio.</v>
      </c>
    </row>
    <row r="4858">
      <c r="A4858" s="4" t="s">
        <v>6104</v>
      </c>
      <c r="B4858" s="4" t="s">
        <v>6106</v>
      </c>
      <c r="C4858" s="5" t="str">
        <f>IFERROR(__xludf.DUMMYFUNCTION("GOOGLETRANSLATE(B4858,""en"",""es-ES"")"),"Está deslizando un cepillo cubierto de agua en la cerca.")</f>
        <v>Está deslizando un cepillo cubierto de agua en la cerca.</v>
      </c>
    </row>
    <row r="4859">
      <c r="A4859" s="4" t="s">
        <v>6104</v>
      </c>
      <c r="B4859" s="4" t="s">
        <v>6107</v>
      </c>
      <c r="C4859" s="5" t="str">
        <f>IFERROR(__xludf.DUMMYFUNCTION("GOOGLETRANSLATE(B4859,""en"",""es-ES"")"),"Lo sumerge en el cubo, continuando fingiendo pintar.")</f>
        <v>Lo sumerge en el cubo, continuando fingiendo pintar.</v>
      </c>
    </row>
    <row r="4860">
      <c r="A4860" s="4" t="s">
        <v>6108</v>
      </c>
      <c r="B4860" s="4" t="s">
        <v>6109</v>
      </c>
      <c r="C4860" s="5" t="str">
        <f>IFERROR(__xludf.DUMMYFUNCTION("GOOGLETRANSLATE(B4860,""en"",""es-ES"")"),"Un hombre lava un automóvil con un cepillo, mientras que tres personas enjuagan el automóvil con mangueras.")</f>
        <v>Un hombre lava un automóvil con un cepillo, mientras que tres personas enjuagan el automóvil con mangueras.</v>
      </c>
    </row>
    <row r="4861">
      <c r="A4861" s="4" t="s">
        <v>6108</v>
      </c>
      <c r="B4861" s="4" t="s">
        <v>6110</v>
      </c>
      <c r="C4861" s="5" t="str">
        <f>IFERROR(__xludf.DUMMYFUNCTION("GOOGLETRANSLATE(B4861,""en"",""es-ES"")"),"Un hombre rocía detergente en un automóvil.")</f>
        <v>Un hombre rocía detergente en un automóvil.</v>
      </c>
    </row>
    <row r="4862">
      <c r="A4862" s="4" t="s">
        <v>6108</v>
      </c>
      <c r="B4862" s="4" t="s">
        <v>6111</v>
      </c>
      <c r="C4862" s="5" t="str">
        <f>IFERROR(__xludf.DUMMYFUNCTION("GOOGLETRANSLATE(B4862,""en"",""es-ES"")"),"Una persona que usa una camiseta roja de aerosoles en un automóvil en un automóvil, luego dos hombres enjuagan el automóvil con mangueras, mientras que otros autos están cubiertos de detergente blanco.")</f>
        <v>Una persona que usa una camiseta roja de aerosoles en un automóvil en un automóvil, luego dos hombres enjuagan el automóvil con mangueras, mientras que otros autos están cubiertos de detergente blanco.</v>
      </c>
    </row>
    <row r="4863">
      <c r="A4863" s="4" t="s">
        <v>6112</v>
      </c>
      <c r="B4863" s="4" t="s">
        <v>6113</v>
      </c>
      <c r="C4863" s="5" t="str">
        <f>IFERROR(__xludf.DUMMYFUNCTION("GOOGLETRANSLATE(B4863,""en"",""es-ES"")"),"Se ve a un niño pequeño de pie ante una estera mirando hacia el suelo.")</f>
        <v>Se ve a un niño pequeño de pie ante una estera mirando hacia el suelo.</v>
      </c>
    </row>
    <row r="4864">
      <c r="A4864" s="4" t="s">
        <v>6112</v>
      </c>
      <c r="B4864" s="4" t="s">
        <v>6114</v>
      </c>
      <c r="C4864" s="5" t="str">
        <f>IFERROR(__xludf.DUMMYFUNCTION("GOOGLETRANSLATE(B4864,""en"",""es-ES"")"),"Luego comienza a caminar por la colchoneta hasta el final.")</f>
        <v>Luego comienza a caminar por la colchoneta hasta el final.</v>
      </c>
    </row>
    <row r="4865">
      <c r="A4865" s="4" t="s">
        <v>6112</v>
      </c>
      <c r="B4865" s="4" t="s">
        <v>6115</v>
      </c>
      <c r="C4865" s="5" t="str">
        <f>IFERROR(__xludf.DUMMYFUNCTION("GOOGLETRANSLATE(B4865,""en"",""es-ES"")"),"Ella regresa y el cuarto de nuevo mientras mira a la cámara.")</f>
        <v>Ella regresa y el cuarto de nuevo mientras mira a la cámara.</v>
      </c>
    </row>
    <row r="4866">
      <c r="A4866" s="4" t="s">
        <v>6116</v>
      </c>
      <c r="B4866" s="4" t="s">
        <v>6117</v>
      </c>
      <c r="C4866" s="5" t="str">
        <f>IFERROR(__xludf.DUMMYFUNCTION("GOOGLETRANSLATE(B4866,""en"",""es-ES"")"),"Se ve a un hombre hablando con la cámara al lado de un caballo y conduce a clips de él montando en el caballo y los primeros planos de otros caballos.")</f>
        <v>Se ve a un hombre hablando con la cámara al lado de un caballo y conduce a clips de él montando en el caballo y los primeros planos de otros caballos.</v>
      </c>
    </row>
    <row r="4867">
      <c r="A4867" s="4" t="s">
        <v>6116</v>
      </c>
      <c r="B4867" s="4" t="s">
        <v>6118</v>
      </c>
      <c r="C4867" s="5" t="str">
        <f>IFERROR(__xludf.DUMMYFUNCTION("GOOGLETRANSLATE(B4867,""en"",""es-ES"")"),"El anfitrión habla con otro hombre mientras se muestran más tiros de caballos, así como un hombre que golpea una pelota.")</f>
        <v>El anfitrión habla con otro hombre mientras se muestran más tiros de caballos, así como un hombre que golpea una pelota.</v>
      </c>
    </row>
    <row r="4868">
      <c r="A4868" s="4" t="s">
        <v>6116</v>
      </c>
      <c r="B4868" s="4" t="s">
        <v>6119</v>
      </c>
      <c r="C4868" s="5" t="str">
        <f>IFERROR(__xludf.DUMMYFUNCTION("GOOGLETRANSLATE(B4868,""en"",""es-ES"")"),"Los hombres luego montan a caballo y aprenden a practicar un deporte y termina con el anfitrión hablando con un uniforme.")</f>
        <v>Los hombres luego montan a caballo y aprenden a practicar un deporte y termina con el anfitrión hablando con un uniforme.</v>
      </c>
    </row>
    <row r="4869">
      <c r="A4869" s="4" t="s">
        <v>6120</v>
      </c>
      <c r="B4869" s="4" t="s">
        <v>1251</v>
      </c>
      <c r="C4869" s="5" t="str">
        <f>IFERROR(__xludf.DUMMYFUNCTION("GOOGLETRANSLATE(B4869,""en"",""es-ES"")"),"Se muestran los créditos del clip.")</f>
        <v>Se muestran los créditos del clip.</v>
      </c>
    </row>
    <row r="4870">
      <c r="A4870" s="4" t="s">
        <v>6120</v>
      </c>
      <c r="B4870" s="4" t="s">
        <v>6121</v>
      </c>
      <c r="C4870" s="5" t="str">
        <f>IFERROR(__xludf.DUMMYFUNCTION("GOOGLETRANSLATE(B4870,""en"",""es-ES"")"),"Un chico monta una bicicleta de ejercicios.")</f>
        <v>Un chico monta una bicicleta de ejercicios.</v>
      </c>
    </row>
    <row r="4871">
      <c r="A4871" s="4" t="s">
        <v>6120</v>
      </c>
      <c r="B4871" s="4" t="s">
        <v>6122</v>
      </c>
      <c r="C4871" s="5" t="str">
        <f>IFERROR(__xludf.DUMMYFUNCTION("GOOGLETRANSLATE(B4871,""en"",""es-ES"")"),"El tipo ajusta el asiento de la bicicleta de ejercicios.")</f>
        <v>El tipo ajusta el asiento de la bicicleta de ejercicios.</v>
      </c>
    </row>
    <row r="4872">
      <c r="A4872" s="4" t="s">
        <v>6120</v>
      </c>
      <c r="B4872" s="4" t="s">
        <v>573</v>
      </c>
      <c r="C4872" s="5" t="str">
        <f>IFERROR(__xludf.DUMMYFUNCTION("GOOGLETRANSLATE(B4872,""en"",""es-ES"")"),"Se muestran los créditos del video.")</f>
        <v>Se muestran los créditos del video.</v>
      </c>
    </row>
    <row r="4873">
      <c r="A4873" s="4" t="s">
        <v>6123</v>
      </c>
      <c r="B4873" s="4" t="s">
        <v>6124</v>
      </c>
      <c r="C4873" s="5" t="str">
        <f>IFERROR(__xludf.DUMMYFUNCTION("GOOGLETRANSLATE(B4873,""en"",""es-ES"")"),"Una mujer está sentada en un escritorio.")</f>
        <v>Una mujer está sentada en un escritorio.</v>
      </c>
    </row>
    <row r="4874">
      <c r="A4874" s="4" t="s">
        <v>6123</v>
      </c>
      <c r="B4874" s="4" t="s">
        <v>6125</v>
      </c>
      <c r="C4874" s="5" t="str">
        <f>IFERROR(__xludf.DUMMYFUNCTION("GOOGLETRANSLATE(B4874,""en"",""es-ES"")"),"Un hombre sentado frente a ella está jugando una armónica.")</f>
        <v>Un hombre sentado frente a ella está jugando una armónica.</v>
      </c>
    </row>
    <row r="4875">
      <c r="A4875" s="4" t="s">
        <v>6123</v>
      </c>
      <c r="B4875" s="4" t="s">
        <v>6126</v>
      </c>
      <c r="C4875" s="5" t="str">
        <f>IFERROR(__xludf.DUMMYFUNCTION("GOOGLETRANSLATE(B4875,""en"",""es-ES"")"),"La mujer está jugando con su cabello.")</f>
        <v>La mujer está jugando con su cabello.</v>
      </c>
    </row>
    <row r="4876">
      <c r="A4876" s="4" t="s">
        <v>6127</v>
      </c>
      <c r="B4876" s="4" t="s">
        <v>6128</v>
      </c>
      <c r="C4876" s="5" t="str">
        <f>IFERROR(__xludf.DUMMYFUNCTION("GOOGLETRANSLATE(B4876,""en"",""es-ES"")"),"Se muestra una variedad de herramientas brillantes de zapatos que incluyen diferentes tipos y colores del picante de zapatos, un trapo de pulido y un zapato negro brillante.")</f>
        <v>Se muestra una variedad de herramientas brillantes de zapatos que incluyen diferentes tipos y colores del picante de zapatos, un trapo de pulido y un zapato negro brillante.</v>
      </c>
    </row>
    <row r="4877">
      <c r="A4877" s="4" t="s">
        <v>6127</v>
      </c>
      <c r="B4877" s="4" t="s">
        <v>6129</v>
      </c>
      <c r="C4877" s="5" t="str">
        <f>IFERROR(__xludf.DUMMYFUNCTION("GOOGLETRANSLATE(B4877,""en"",""es-ES"")"),"Un grupo de estudiantes adultos se sientan en una sala de estilo en el aula y miran al frente de la clase como si asistiera a una clase y escuche intensamente.")</f>
        <v>Un grupo de estudiantes adultos se sientan en una sala de estilo en el aula y miran al frente de la clase como si asistiera a una clase y escuche intensamente.</v>
      </c>
    </row>
    <row r="4878">
      <c r="A4878" s="4" t="s">
        <v>6127</v>
      </c>
      <c r="B4878" s="4" t="s">
        <v>6130</v>
      </c>
      <c r="C4878" s="5" t="str">
        <f>IFERROR(__xludf.DUMMYFUNCTION("GOOGLETRANSLATE(B4878,""en"",""es-ES"")"),"Una demostración de Shill Shine tiene lugar con un hombre arrodillado frente a un grupo de estudiantes y usando un zapato de muestra como ejemplo.")</f>
        <v>Una demostración de Shill Shine tiene lugar con un hombre arrodillado frente a un grupo de estudiantes y usando un zapato de muestra como ejemplo.</v>
      </c>
    </row>
    <row r="4879">
      <c r="A4879" s="4" t="s">
        <v>6127</v>
      </c>
      <c r="B4879" s="4" t="s">
        <v>6131</v>
      </c>
      <c r="C4879" s="5" t="str">
        <f>IFERROR(__xludf.DUMMYFUNCTION("GOOGLETRANSLATE(B4879,""en"",""es-ES"")"),"Varias personas con delantales, luego arrodillarse antes de que las personas usen zapatos y brille los zapatos de las personas en cubos rojos con ropa de pulido y pulido.")</f>
        <v>Varias personas con delantales, luego arrodillarse antes de que las personas usen zapatos y brille los zapatos de las personas en cubos rojos con ropa de pulido y pulido.</v>
      </c>
    </row>
    <row r="4880">
      <c r="A4880" s="4" t="s">
        <v>6127</v>
      </c>
      <c r="B4880" s="4" t="s">
        <v>6132</v>
      </c>
      <c r="C4880" s="5" t="str">
        <f>IFERROR(__xludf.DUMMYFUNCTION("GOOGLETRANSLATE(B4880,""en"",""es-ES"")"),"Los zapatos brillan y luego se paran al unísono, con sus delantales, y se inclinan y se dan la mano.")</f>
        <v>Los zapatos brillan y luego se paran al unísono, con sus delantales, y se inclinan y se dan la mano.</v>
      </c>
    </row>
    <row r="4881">
      <c r="A4881" s="4" t="s">
        <v>6133</v>
      </c>
      <c r="B4881" s="4" t="s">
        <v>6134</v>
      </c>
      <c r="C4881" s="5" t="str">
        <f>IFERROR(__xludf.DUMMYFUNCTION("GOOGLETRANSLATE(B4881,""en"",""es-ES"")"),"Un hombre está levantando un peso muy pesado sobre su cabeza y dejándolo.")</f>
        <v>Un hombre está levantando un peso muy pesado sobre su cabeza y dejándolo.</v>
      </c>
    </row>
    <row r="4882">
      <c r="A4882" s="4" t="s">
        <v>6133</v>
      </c>
      <c r="B4882" s="4" t="s">
        <v>6135</v>
      </c>
      <c r="C4882" s="5" t="str">
        <f>IFERROR(__xludf.DUMMYFUNCTION("GOOGLETRANSLATE(B4882,""en"",""es-ES"")"),"Hace este tiempo múltiple para la repetición, esta es una rutina de entrenamiento.")</f>
        <v>Hace este tiempo múltiple para la repetición, esta es una rutina de entrenamiento.</v>
      </c>
    </row>
    <row r="4883">
      <c r="A4883" s="4" t="s">
        <v>6133</v>
      </c>
      <c r="B4883" s="4" t="s">
        <v>6136</v>
      </c>
      <c r="C4883" s="5" t="str">
        <f>IFERROR(__xludf.DUMMYFUNCTION("GOOGLETRANSLATE(B4883,""en"",""es-ES"")"),"Luego se va tomando un descanso por un momento y camina junto a la gente sentada y charlando.")</f>
        <v>Luego se va tomando un descanso por un momento y camina junto a la gente sentada y charlando.</v>
      </c>
    </row>
    <row r="4884">
      <c r="A4884" s="4" t="s">
        <v>6133</v>
      </c>
      <c r="B4884" s="4" t="s">
        <v>6137</v>
      </c>
      <c r="C4884" s="5" t="str">
        <f>IFERROR(__xludf.DUMMYFUNCTION("GOOGLETRANSLATE(B4884,""en"",""es-ES"")"),"Una vez que termina con su descanso, continúa de regreso a su rutina.")</f>
        <v>Una vez que termina con su descanso, continúa de regreso a su rutina.</v>
      </c>
    </row>
    <row r="4885">
      <c r="A4885" s="4" t="s">
        <v>6138</v>
      </c>
      <c r="B4885" s="4" t="s">
        <v>6139</v>
      </c>
      <c r="C4885" s="5" t="str">
        <f>IFERROR(__xludf.DUMMYFUNCTION("GOOGLETRANSLATE(B4885,""en"",""es-ES"")"),"Dos luchadores de sumo están en interiores luchando entre sí mientras el árbitro se mueve a su alrededor.")</f>
        <v>Dos luchadores de sumo están en interiores luchando entre sí mientras el árbitro se mueve a su alrededor.</v>
      </c>
    </row>
    <row r="4886">
      <c r="A4886" s="4" t="s">
        <v>6138</v>
      </c>
      <c r="B4886" s="4" t="s">
        <v>6140</v>
      </c>
      <c r="C4886" s="5" t="str">
        <f>IFERROR(__xludf.DUMMYFUNCTION("GOOGLETRANSLATE(B4886,""en"",""es-ES"")"),"Luego se arroja una persona de la colchoneta y se muestra otro conjunto de personas.")</f>
        <v>Luego se arroja una persona de la colchoneta y se muestra otro conjunto de personas.</v>
      </c>
    </row>
    <row r="4887">
      <c r="A4887" s="4" t="s">
        <v>6138</v>
      </c>
      <c r="B4887" s="4" t="s">
        <v>6141</v>
      </c>
      <c r="C4887" s="5" t="str">
        <f>IFERROR(__xludf.DUMMYFUNCTION("GOOGLETRANSLATE(B4887,""en"",""es-ES"")"),"El más pequeño de los dos voltea al tipo grande en el aire y luego el partido ha terminado.")</f>
        <v>El más pequeño de los dos voltea al tipo grande en el aire y luego el partido ha terminado.</v>
      </c>
    </row>
    <row r="4888">
      <c r="A4888" s="4" t="s">
        <v>6138</v>
      </c>
      <c r="B4888" s="4" t="s">
        <v>6142</v>
      </c>
      <c r="C4888" s="5" t="str">
        <f>IFERROR(__xludf.DUMMYFUNCTION("GOOGLETRANSLATE(B4888,""en"",""es-ES"")"),"La secuencia continúa y se muestran a varios otros hombres luchando entre sí y dándose cuñas.")</f>
        <v>La secuencia continúa y se muestran a varios otros hombres luchando entre sí y dándose cuñas.</v>
      </c>
    </row>
    <row r="4889">
      <c r="A4889" s="4" t="s">
        <v>6138</v>
      </c>
      <c r="B4889" s="4" t="s">
        <v>6143</v>
      </c>
      <c r="C4889" s="5" t="str">
        <f>IFERROR(__xludf.DUMMYFUNCTION("GOOGLETRANSLATE(B4889,""en"",""es-ES"")"),"Cuando se completa el partido, se muestran a dos hombres sentados en un escritorio con un número de teléfono en una tabla blanca.")</f>
        <v>Cuando se completa el partido, se muestran a dos hombres sentados en un escritorio con un número de teléfono en una tabla blanca.</v>
      </c>
    </row>
    <row r="4890">
      <c r="A4890" s="4" t="s">
        <v>6144</v>
      </c>
      <c r="B4890" s="4" t="s">
        <v>6145</v>
      </c>
      <c r="C4890" s="5" t="str">
        <f>IFERROR(__xludf.DUMMYFUNCTION("GOOGLETRANSLATE(B4890,""en"",""es-ES"")"),"Un hombre se lave las manos en el fregadero.")</f>
        <v>Un hombre se lave las manos en el fregadero.</v>
      </c>
    </row>
    <row r="4891">
      <c r="A4891" s="4" t="s">
        <v>6144</v>
      </c>
      <c r="B4891" s="4" t="s">
        <v>6146</v>
      </c>
      <c r="C4891" s="5" t="str">
        <f>IFERROR(__xludf.DUMMYFUNCTION("GOOGLETRANSLATE(B4891,""en"",""es-ES"")"),"Toma un trapo amarillo y limpia el fregadero y el grifo.")</f>
        <v>Toma un trapo amarillo y limpia el fregadero y el grifo.</v>
      </c>
    </row>
    <row r="4892">
      <c r="A4892" s="4" t="s">
        <v>6144</v>
      </c>
      <c r="B4892" s="4" t="s">
        <v>6147</v>
      </c>
      <c r="C4892" s="5" t="str">
        <f>IFERROR(__xludf.DUMMYFUNCTION("GOOGLETRANSLATE(B4892,""en"",""es-ES"")"),"Se muestra una botella blanca de limpiador.")</f>
        <v>Se muestra una botella blanca de limpiador.</v>
      </c>
    </row>
    <row r="4893">
      <c r="A4893" s="4" t="s">
        <v>6148</v>
      </c>
      <c r="B4893" s="4" t="s">
        <v>6149</v>
      </c>
      <c r="C4893" s="5" t="str">
        <f>IFERROR(__xludf.DUMMYFUNCTION("GOOGLETRANSLATE(B4893,""en"",""es-ES"")"),"Se muestra una chica con bikini en la playa haciendo varios sentados en una pelota y arreglando su cabello.")</f>
        <v>Se muestra una chica con bikini en la playa haciendo varios sentados en una pelota y arreglando su cabello.</v>
      </c>
    </row>
    <row r="4894">
      <c r="A4894" s="4" t="s">
        <v>6148</v>
      </c>
      <c r="B4894" s="4" t="s">
        <v>6150</v>
      </c>
      <c r="C4894" s="5" t="str">
        <f>IFERROR(__xludf.DUMMYFUNCTION("GOOGLETRANSLATE(B4894,""en"",""es-ES"")"),"Ella continúa realizando el ejercicio mientras sonríe con la cámara.")</f>
        <v>Ella continúa realizando el ejercicio mientras sonríe con la cámara.</v>
      </c>
    </row>
    <row r="4895">
      <c r="A4895" s="4" t="s">
        <v>6151</v>
      </c>
      <c r="B4895" s="4" t="s">
        <v>6152</v>
      </c>
      <c r="C4895" s="5" t="str">
        <f>IFERROR(__xludf.DUMMYFUNCTION("GOOGLETRANSLATE(B4895,""en"",""es-ES"")"),"Un hombre tiene un peso en la espalda, luego se arrodilla en el suelo.")</f>
        <v>Un hombre tiene un peso en la espalda, luego se arrodilla en el suelo.</v>
      </c>
    </row>
    <row r="4896">
      <c r="A4896" s="4" t="s">
        <v>6151</v>
      </c>
      <c r="B4896" s="4" t="s">
        <v>6153</v>
      </c>
      <c r="C4896" s="5" t="str">
        <f>IFERROR(__xludf.DUMMYFUNCTION("GOOGLETRANSLATE(B4896,""en"",""es-ES"")"),"Después, salta del piso para pararse mientras el peso está en su espalda.")</f>
        <v>Después, salta del piso para pararse mientras el peso está en su espalda.</v>
      </c>
    </row>
    <row r="4897">
      <c r="A4897" s="4" t="s">
        <v>6154</v>
      </c>
      <c r="B4897" s="4" t="s">
        <v>6155</v>
      </c>
      <c r="C4897" s="5" t="str">
        <f>IFERROR(__xludf.DUMMYFUNCTION("GOOGLETRANSLATE(B4897,""en"",""es-ES"")"),"Una mujer demuestra cómo envolver adecuadamente un regalo detrás del mostrador de una tienda de regalos.")</f>
        <v>Una mujer demuestra cómo envolver adecuadamente un regalo detrás del mostrador de una tienda de regalos.</v>
      </c>
    </row>
    <row r="4898">
      <c r="A4898" s="4" t="s">
        <v>6154</v>
      </c>
      <c r="B4898" s="4" t="s">
        <v>6156</v>
      </c>
      <c r="C4898" s="5" t="str">
        <f>IFERROR(__xludf.DUMMYFUNCTION("GOOGLETRANSLATE(B4898,""en"",""es-ES"")"),"Una mujer respalda un mostrador de ventas frente a varios regalos envueltos y materiales de envoltura de regalos.")</f>
        <v>Una mujer respalda un mostrador de ventas frente a varios regalos envueltos y materiales de envoltura de regalos.</v>
      </c>
    </row>
    <row r="4899">
      <c r="A4899" s="4" t="s">
        <v>6154</v>
      </c>
      <c r="B4899" s="4" t="s">
        <v>6157</v>
      </c>
      <c r="C4899" s="5" t="str">
        <f>IFERROR(__xludf.DUMMYFUNCTION("GOOGLETRANSLATE(B4899,""en"",""es-ES"")"),"Los materiales de envoltura de regalos se muestran sentados en el mostrador, incluyendo envoltura de regalo, tijeras y cintas.")</f>
        <v>Los materiales de envoltura de regalos se muestran sentados en el mostrador, incluyendo envoltura de regalo, tijeras y cintas.</v>
      </c>
    </row>
    <row r="4900">
      <c r="A4900" s="4" t="s">
        <v>6154</v>
      </c>
      <c r="B4900" s="4" t="s">
        <v>6158</v>
      </c>
      <c r="C4900" s="5" t="str">
        <f>IFERROR(__xludf.DUMMYFUNCTION("GOOGLETRANSLATE(B4900,""en"",""es-ES"")"),"La mujer habla con la cámara y comienza a envolver la caja en papel de envoltura de regalo con un par de tijeras para cortar el papel de envoltura de regalo y despejar la cinta para grabar los bordes del papel de envoltura.")</f>
        <v>La mujer habla con la cámara y comienza a envolver la caja en papel de envoltura de regalo con un par de tijeras para cortar el papel de envoltura de regalo y despejar la cinta para grabar los bordes del papel de envoltura.</v>
      </c>
    </row>
    <row r="4901">
      <c r="A4901" s="4" t="s">
        <v>6154</v>
      </c>
      <c r="B4901" s="4" t="s">
        <v>6159</v>
      </c>
      <c r="C4901" s="5" t="str">
        <f>IFERROR(__xludf.DUMMYFUNCTION("GOOGLETRANSLATE(B4901,""en"",""es-ES"")"),"Luego, la mujer envuelve el regalo con la cinta final y la cámara se cierra en los acabados, envuelta, producto.")</f>
        <v>Luego, la mujer envuelve el regalo con la cinta final y la cámara se cierra en los acabados, envuelta, producto.</v>
      </c>
    </row>
    <row r="4902">
      <c r="A4902" s="4" t="s">
        <v>6160</v>
      </c>
      <c r="B4902" s="4" t="s">
        <v>6161</v>
      </c>
      <c r="C4902" s="5" t="str">
        <f>IFERROR(__xludf.DUMMYFUNCTION("GOOGLETRANSLATE(B4902,""en"",""es-ES"")"),"Un hombre pesado con una camisa azul está tocando las tuberías de la bolsa.")</f>
        <v>Un hombre pesado con una camisa azul está tocando las tuberías de la bolsa.</v>
      </c>
    </row>
    <row r="4903">
      <c r="A4903" s="4" t="s">
        <v>6160</v>
      </c>
      <c r="B4903" s="4" t="s">
        <v>6162</v>
      </c>
      <c r="C4903" s="5" t="str">
        <f>IFERROR(__xludf.DUMMYFUNCTION("GOOGLETRANSLATE(B4903,""en"",""es-ES"")"),"Él sopla en la tubería mientras toma las notas con los dedos.")</f>
        <v>Él sopla en la tubería mientras toma las notas con los dedos.</v>
      </c>
    </row>
    <row r="4904">
      <c r="A4904" s="4" t="s">
        <v>6160</v>
      </c>
      <c r="B4904" s="4" t="s">
        <v>6163</v>
      </c>
      <c r="C4904" s="5" t="str">
        <f>IFERROR(__xludf.DUMMYFUNCTION("GOOGLETRANSLATE(B4904,""en"",""es-ES"")"),"Se baila ligeramente mientras juega.")</f>
        <v>Se baila ligeramente mientras juega.</v>
      </c>
    </row>
    <row r="4905">
      <c r="A4905" s="4" t="s">
        <v>6160</v>
      </c>
      <c r="B4905" s="4" t="s">
        <v>6164</v>
      </c>
      <c r="C4905" s="5" t="str">
        <f>IFERROR(__xludf.DUMMYFUNCTION("GOOGLETRANSLATE(B4905,""en"",""es-ES"")"),"Ajusta la tubería de la bolsa y continúa jugando.")</f>
        <v>Ajusta la tubería de la bolsa y continúa jugando.</v>
      </c>
    </row>
    <row r="4906">
      <c r="A4906" s="4" t="s">
        <v>6160</v>
      </c>
      <c r="B4906" s="4" t="s">
        <v>6165</v>
      </c>
      <c r="C4906" s="5" t="str">
        <f>IFERROR(__xludf.DUMMYFUNCTION("GOOGLETRANSLATE(B4906,""en"",""es-ES"")"),"Termina su canción y llega para apagar la cámara.")</f>
        <v>Termina su canción y llega para apagar la cámara.</v>
      </c>
    </row>
    <row r="4907">
      <c r="A4907" s="4" t="s">
        <v>6166</v>
      </c>
      <c r="B4907" s="4" t="s">
        <v>6167</v>
      </c>
      <c r="C4907" s="5" t="str">
        <f>IFERROR(__xludf.DUMMYFUNCTION("GOOGLETRANSLATE(B4907,""en"",""es-ES"")"),"Un hombre está sentado con una máscara quirúrgica.")</f>
        <v>Un hombre está sentado con una máscara quirúrgica.</v>
      </c>
    </row>
    <row r="4908">
      <c r="A4908" s="4" t="s">
        <v>6166</v>
      </c>
      <c r="B4908" s="4" t="s">
        <v>6168</v>
      </c>
      <c r="C4908" s="5" t="str">
        <f>IFERROR(__xludf.DUMMYFUNCTION("GOOGLETRANSLATE(B4908,""en"",""es-ES"")"),"Está cortando limones.")</f>
        <v>Está cortando limones.</v>
      </c>
    </row>
    <row r="4909">
      <c r="A4909" s="4" t="s">
        <v>6169</v>
      </c>
      <c r="B4909" s="4" t="s">
        <v>6170</v>
      </c>
      <c r="C4909" s="5" t="str">
        <f>IFERROR(__xludf.DUMMYFUNCTION("GOOGLETRANSLATE(B4909,""en"",""es-ES"")"),"Se muestran el título y los créditos del video.")</f>
        <v>Se muestran el título y los créditos del video.</v>
      </c>
    </row>
    <row r="4910">
      <c r="A4910" s="4" t="s">
        <v>6169</v>
      </c>
      <c r="B4910" s="4" t="s">
        <v>6171</v>
      </c>
      <c r="C4910" s="5" t="str">
        <f>IFERROR(__xludf.DUMMYFUNCTION("GOOGLETRANSLATE(B4910,""en"",""es-ES"")"),"Un hombre monta una bicicleta por un camino con autos en el fondo.")</f>
        <v>Un hombre monta una bicicleta por un camino con autos en el fondo.</v>
      </c>
    </row>
    <row r="4911">
      <c r="A4911" s="4" t="s">
        <v>6169</v>
      </c>
      <c r="B4911" s="4" t="s">
        <v>6172</v>
      </c>
      <c r="C4911" s="5" t="str">
        <f>IFERROR(__xludf.DUMMYFUNCTION("GOOGLETRANSLATE(B4911,""en"",""es-ES"")"),"El hombre desmonta y repara la bicicleta.")</f>
        <v>El hombre desmonta y repara la bicicleta.</v>
      </c>
    </row>
    <row r="4912">
      <c r="A4912" s="4" t="s">
        <v>6169</v>
      </c>
      <c r="B4912" s="4" t="s">
        <v>6173</v>
      </c>
      <c r="C4912" s="5" t="str">
        <f>IFERROR(__xludf.DUMMYFUNCTION("GOOGLETRANSLATE(B4912,""en"",""es-ES"")"),"El hombre monta la bicicleta por un camino pavimentado de piedra.")</f>
        <v>El hombre monta la bicicleta por un camino pavimentado de piedra.</v>
      </c>
    </row>
    <row r="4913">
      <c r="A4913" s="4" t="s">
        <v>6169</v>
      </c>
      <c r="B4913" s="4" t="s">
        <v>6174</v>
      </c>
      <c r="C4913" s="5" t="str">
        <f>IFERROR(__xludf.DUMMYFUNCTION("GOOGLETRANSLATE(B4913,""en"",""es-ES"")"),"El hombre monta la bicicleta por una carretera junto a autos estacionados.")</f>
        <v>El hombre monta la bicicleta por una carretera junto a autos estacionados.</v>
      </c>
    </row>
    <row r="4914">
      <c r="A4914" s="4" t="s">
        <v>6175</v>
      </c>
      <c r="B4914" s="4" t="s">
        <v>6176</v>
      </c>
      <c r="C4914" s="5" t="str">
        <f>IFERROR(__xludf.DUMMYFUNCTION("GOOGLETRANSLATE(B4914,""en"",""es-ES"")"),"Un hombre habla en un micrófono.")</f>
        <v>Un hombre habla en un micrófono.</v>
      </c>
    </row>
    <row r="4915">
      <c r="A4915" s="4" t="s">
        <v>6175</v>
      </c>
      <c r="B4915" s="4" t="s">
        <v>6177</v>
      </c>
      <c r="C4915" s="5" t="str">
        <f>IFERROR(__xludf.DUMMYFUNCTION("GOOGLETRANSLATE(B4915,""en"",""es-ES"")"),"De repente, un hombre salta sobre el cuello de una persona y lo tira al suelo.")</f>
        <v>De repente, un hombre salta sobre el cuello de una persona y lo tira al suelo.</v>
      </c>
    </row>
    <row r="4916">
      <c r="A4916" s="4" t="s">
        <v>6175</v>
      </c>
      <c r="B4916" s="4" t="s">
        <v>6178</v>
      </c>
      <c r="C4916" s="5" t="str">
        <f>IFERROR(__xludf.DUMMYFUNCTION("GOOGLETRANSLATE(B4916,""en"",""es-ES"")"),"Otros hombres compiten la lucha libre, y un hombre salta y aterriza en la frontera de un anillo de lucha libre.")</f>
        <v>Otros hombres compiten la lucha libre, y un hombre salta y aterriza en la frontera de un anillo de lucha libre.</v>
      </c>
    </row>
    <row r="4917">
      <c r="A4917" s="4" t="s">
        <v>6175</v>
      </c>
      <c r="B4917" s="4" t="s">
        <v>6179</v>
      </c>
      <c r="C4917" s="5" t="str">
        <f>IFERROR(__xludf.DUMMYFUNCTION("GOOGLETRANSLATE(B4917,""en"",""es-ES"")"),"Un luchador salta sobre la parte posterior de un hombre para mantenerse al revés mientras el juez observa.")</f>
        <v>Un luchador salta sobre la parte posterior de un hombre para mantenerse al revés mientras el juez observa.</v>
      </c>
    </row>
    <row r="4918">
      <c r="A4918" s="4" t="s">
        <v>6175</v>
      </c>
      <c r="B4918" s="4" t="s">
        <v>6180</v>
      </c>
      <c r="C4918" s="5" t="str">
        <f>IFERROR(__xludf.DUMMYFUNCTION("GOOGLETRANSLATE(B4918,""en"",""es-ES"")"),"Un hombre grande patea a otro luchador, luego agarra la cabeza un lanzamiento al suelo.")</f>
        <v>Un hombre grande patea a otro luchador, luego agarra la cabeza un lanzamiento al suelo.</v>
      </c>
    </row>
    <row r="4919">
      <c r="A4919" s="4" t="s">
        <v>6175</v>
      </c>
      <c r="B4919" s="4" t="s">
        <v>6181</v>
      </c>
      <c r="C4919" s="5" t="str">
        <f>IFERROR(__xludf.DUMMYFUNCTION("GOOGLETRANSLATE(B4919,""en"",""es-ES"")"),"Un niño y una persona salta para celebrar.")</f>
        <v>Un niño y una persona salta para celebrar.</v>
      </c>
    </row>
    <row r="4920">
      <c r="A4920" s="4" t="s">
        <v>6182</v>
      </c>
      <c r="B4920" s="4" t="s">
        <v>6183</v>
      </c>
      <c r="C4920" s="5" t="str">
        <f>IFERROR(__xludf.DUMMYFUNCTION("GOOGLETRANSLATE(B4920,""en"",""es-ES"")"),"El papel pergamino se coloca en la bandeja para hornear.")</f>
        <v>El papel pergamino se coloca en la bandeja para hornear.</v>
      </c>
    </row>
    <row r="4921">
      <c r="A4921" s="4" t="s">
        <v>6182</v>
      </c>
      <c r="B4921" s="4" t="s">
        <v>6184</v>
      </c>
      <c r="C4921" s="5" t="str">
        <f>IFERROR(__xludf.DUMMYFUNCTION("GOOGLETRANSLATE(B4921,""en"",""es-ES"")"),"La mantequilla suavizada se coloca en un tazón.")</f>
        <v>La mantequilla suavizada se coloca en un tazón.</v>
      </c>
    </row>
    <row r="4922">
      <c r="A4922" s="4" t="s">
        <v>6182</v>
      </c>
      <c r="B4922" s="4" t="s">
        <v>6185</v>
      </c>
      <c r="C4922" s="5" t="str">
        <f>IFERROR(__xludf.DUMMYFUNCTION("GOOGLETRANSLATE(B4922,""en"",""es-ES"")"),"La batidora luego comienza a criar la mantequilla.")</f>
        <v>La batidora luego comienza a criar la mantequilla.</v>
      </c>
    </row>
    <row r="4923">
      <c r="A4923" s="4" t="s">
        <v>6182</v>
      </c>
      <c r="B4923" s="4" t="s">
        <v>6186</v>
      </c>
      <c r="C4923" s="5" t="str">
        <f>IFERROR(__xludf.DUMMYFUNCTION("GOOGLETRANSLATE(B4923,""en"",""es-ES"")"),"El azúcar se agrega al tazón de mezcla para ser golpeado.")</f>
        <v>El azúcar se agrega al tazón de mezcla para ser golpeado.</v>
      </c>
    </row>
    <row r="4924">
      <c r="A4924" s="4" t="s">
        <v>6182</v>
      </c>
      <c r="B4924" s="4" t="s">
        <v>6187</v>
      </c>
      <c r="C4924" s="5" t="str">
        <f>IFERROR(__xludf.DUMMYFUNCTION("GOOGLETRANSLATE(B4924,""en"",""es-ES"")"),"La harina se mide y se combina con maicena que se mide y luego se mezcla en el tazón.")</f>
        <v>La harina se mide y se combina con maicena que se mide y luego se mezcla en el tazón.</v>
      </c>
    </row>
    <row r="4925">
      <c r="A4925" s="4" t="s">
        <v>6182</v>
      </c>
      <c r="B4925" s="4" t="s">
        <v>6188</v>
      </c>
      <c r="C4925" s="5" t="str">
        <f>IFERROR(__xludf.DUMMYFUNCTION("GOOGLETRANSLATE(B4925,""en"",""es-ES"")"),"La masa se mide por cucharada, enrolla y se coloca en una bandeja para hornear.")</f>
        <v>La masa se mide por cucharada, enrolla y se coloca en una bandeja para hornear.</v>
      </c>
    </row>
    <row r="4926">
      <c r="A4926" s="4" t="s">
        <v>6182</v>
      </c>
      <c r="B4926" s="4" t="s">
        <v>6189</v>
      </c>
      <c r="C4926" s="5" t="str">
        <f>IFERROR(__xludf.DUMMYFUNCTION("GOOGLETRANSLATE(B4926,""en"",""es-ES"")"),"La masa se aplana y se hornea en galletas.")</f>
        <v>La masa se aplana y se hornea en galletas.</v>
      </c>
    </row>
    <row r="4927">
      <c r="A4927" s="4" t="s">
        <v>6182</v>
      </c>
      <c r="B4927" s="4" t="s">
        <v>6190</v>
      </c>
      <c r="C4927" s="5" t="str">
        <f>IFERROR(__xludf.DUMMYFUNCTION("GOOGLETRANSLATE(B4927,""en"",""es-ES"")"),"Las galletas se colocan en una bandeja para hornear, luego se enfriará con una espátula.")</f>
        <v>Las galletas se colocan en una bandeja para hornear, luego se enfriará con una espátula.</v>
      </c>
    </row>
    <row r="4928">
      <c r="A4928" s="4" t="s">
        <v>6182</v>
      </c>
      <c r="B4928" s="4" t="s">
        <v>6191</v>
      </c>
      <c r="C4928" s="5" t="str">
        <f>IFERROR(__xludf.DUMMYFUNCTION("GOOGLETRANSLATE(B4928,""en"",""es-ES"")"),"Las galletas se enfrían para disfrutar.")</f>
        <v>Las galletas se enfrían para disfrutar.</v>
      </c>
    </row>
    <row r="4929">
      <c r="A4929" s="4" t="s">
        <v>6192</v>
      </c>
      <c r="B4929" s="4" t="s">
        <v>6193</v>
      </c>
      <c r="C4929" s="5" t="str">
        <f>IFERROR(__xludf.DUMMYFUNCTION("GOOGLETRANSLATE(B4929,""en"",""es-ES"")"),"Un camarero está hablando de detrás de una barra.")</f>
        <v>Un camarero está hablando de detrás de una barra.</v>
      </c>
    </row>
    <row r="4930">
      <c r="A4930" s="4" t="s">
        <v>6192</v>
      </c>
      <c r="B4930" s="4" t="s">
        <v>6194</v>
      </c>
      <c r="C4930" s="5" t="str">
        <f>IFERROR(__xludf.DUMMYFUNCTION("GOOGLETRANSLATE(B4930,""en"",""es-ES"")"),"Se muestra haciendo varias bebidas diferentes.")</f>
        <v>Se muestra haciendo varias bebidas diferentes.</v>
      </c>
    </row>
    <row r="4931">
      <c r="A4931" s="4" t="s">
        <v>6192</v>
      </c>
      <c r="B4931" s="4" t="s">
        <v>6195</v>
      </c>
      <c r="C4931" s="5" t="str">
        <f>IFERROR(__xludf.DUMMYFUNCTION("GOOGLETRANSLATE(B4931,""en"",""es-ES"")"),"Luego se le muestra haciendo una bebida roja específica, sacudiéndola antes de verterla en un vaso.")</f>
        <v>Luego se le muestra haciendo una bebida roja específica, sacudiéndola antes de verterla en un vaso.</v>
      </c>
    </row>
    <row r="4932">
      <c r="A4932" s="4" t="s">
        <v>6196</v>
      </c>
      <c r="B4932" s="4" t="s">
        <v>6197</v>
      </c>
      <c r="C4932" s="5" t="str">
        <f>IFERROR(__xludf.DUMMYFUNCTION("GOOGLETRANSLATE(B4932,""en"",""es-ES"")"),"Dos Tam Tams están en una sala de estar.")</f>
        <v>Dos Tam Tams están en una sala de estar.</v>
      </c>
    </row>
    <row r="4933">
      <c r="A4933" s="4" t="s">
        <v>6196</v>
      </c>
      <c r="B4933" s="4" t="s">
        <v>6198</v>
      </c>
      <c r="C4933" s="5" t="str">
        <f>IFERROR(__xludf.DUMMYFUNCTION("GOOGLETRANSLATE(B4933,""en"",""es-ES"")"),"Luego, un hombre viene y habla en el frente de los Tam Tams.")</f>
        <v>Luego, un hombre viene y habla en el frente de los Tam Tams.</v>
      </c>
    </row>
    <row r="4934">
      <c r="A4934" s="4" t="s">
        <v>6196</v>
      </c>
      <c r="B4934" s="4" t="s">
        <v>6199</v>
      </c>
      <c r="C4934" s="5" t="str">
        <f>IFERROR(__xludf.DUMMYFUNCTION("GOOGLETRANSLATE(B4934,""en"",""es-ES"")"),"Después, el hombre juega el Tam Tam en una sala de estar.")</f>
        <v>Después, el hombre juega el Tam Tam en una sala de estar.</v>
      </c>
    </row>
    <row r="4935">
      <c r="A4935" s="4" t="s">
        <v>6200</v>
      </c>
      <c r="B4935" s="4" t="s">
        <v>6201</v>
      </c>
      <c r="C4935" s="5" t="str">
        <f>IFERROR(__xludf.DUMMYFUNCTION("GOOGLETRANSLATE(B4935,""en"",""es-ES"")"),"Un hombre en el muelle da una cuerda a un esquiador de agua.")</f>
        <v>Un hombre en el muelle da una cuerda a un esquiador de agua.</v>
      </c>
    </row>
    <row r="4936">
      <c r="A4936" s="4" t="s">
        <v>6200</v>
      </c>
      <c r="B4936" s="4" t="s">
        <v>6202</v>
      </c>
      <c r="C4936" s="5" t="str">
        <f>IFERROR(__xludf.DUMMYFUNCTION("GOOGLETRANSLATE(B4936,""en"",""es-ES"")"),"Una persona es un esquí de agua y salta sobre rampas en el agua de un lago.")</f>
        <v>Una persona es un esquí de agua y salta sobre rampas en el agua de un lago.</v>
      </c>
    </row>
    <row r="4937">
      <c r="A4937" s="4" t="s">
        <v>6200</v>
      </c>
      <c r="B4937" s="4" t="s">
        <v>6203</v>
      </c>
      <c r="C4937" s="5" t="str">
        <f>IFERROR(__xludf.DUMMYFUNCTION("GOOGLETRANSLATE(B4937,""en"",""es-ES"")"),"El esquiador de agua cae pero se recupera y luego suelta la cuerda y se desplaza hacia la costa.")</f>
        <v>El esquiador de agua cae pero se recupera y luego suelta la cuerda y se desplaza hacia la costa.</v>
      </c>
    </row>
    <row r="4938">
      <c r="A4938" s="4" t="s">
        <v>6204</v>
      </c>
      <c r="B4938" s="4" t="s">
        <v>6205</v>
      </c>
      <c r="C4938" s="5" t="str">
        <f>IFERROR(__xludf.DUMMYFUNCTION("GOOGLETRANSLATE(B4938,""en"",""es-ES"")"),"Vemos a un hombre caminar y se sienta en una máquina de remo.")</f>
        <v>Vemos a un hombre caminar y se sienta en una máquina de remo.</v>
      </c>
    </row>
    <row r="4939">
      <c r="A4939" s="4" t="s">
        <v>6204</v>
      </c>
      <c r="B4939" s="4" t="s">
        <v>6206</v>
      </c>
      <c r="C4939" s="5" t="str">
        <f>IFERROR(__xludf.DUMMYFUNCTION("GOOGLETRANSLATE(B4939,""en"",""es-ES"")"),"El hombre bebe de su agua.")</f>
        <v>El hombre bebe de su agua.</v>
      </c>
    </row>
    <row r="4940">
      <c r="A4940" s="4" t="s">
        <v>6204</v>
      </c>
      <c r="B4940" s="4" t="s">
        <v>6207</v>
      </c>
      <c r="C4940" s="5" t="str">
        <f>IFERROR(__xludf.DUMMYFUNCTION("GOOGLETRANSLATE(B4940,""en"",""es-ES"")"),"El hombre fila rápidamente en la máquina.")</f>
        <v>El hombre fila rápidamente en la máquina.</v>
      </c>
    </row>
    <row r="4941">
      <c r="A4941" s="4" t="s">
        <v>6204</v>
      </c>
      <c r="B4941" s="4" t="s">
        <v>6208</v>
      </c>
      <c r="C4941" s="5" t="str">
        <f>IFERROR(__xludf.DUMMYFUNCTION("GOOGLETRANSLATE(B4941,""en"",""es-ES"")"),"Vemos una pantalla de título.")</f>
        <v>Vemos una pantalla de título.</v>
      </c>
    </row>
    <row r="4942">
      <c r="A4942" s="4" t="s">
        <v>6204</v>
      </c>
      <c r="B4942" s="4" t="s">
        <v>6209</v>
      </c>
      <c r="C4942" s="5" t="str">
        <f>IFERROR(__xludf.DUMMYFUNCTION("GOOGLETRANSLATE(B4942,""en"",""es-ES"")"),"Vemos que el hombre deja de remar y camina y obtiene la cámara.")</f>
        <v>Vemos que el hombre deja de remar y camina y obtiene la cámara.</v>
      </c>
    </row>
    <row r="4943">
      <c r="A4943" s="4" t="s">
        <v>6204</v>
      </c>
      <c r="B4943" s="4" t="s">
        <v>6210</v>
      </c>
      <c r="C4943" s="5" t="str">
        <f>IFERROR(__xludf.DUMMYFUNCTION("GOOGLETRANSLATE(B4943,""en"",""es-ES"")"),"El hombre muestra la pantalla en la máquina de remo.")</f>
        <v>El hombre muestra la pantalla en la máquina de remo.</v>
      </c>
    </row>
    <row r="4944">
      <c r="A4944" s="4" t="s">
        <v>6204</v>
      </c>
      <c r="B4944" s="4" t="s">
        <v>6211</v>
      </c>
      <c r="C4944" s="5" t="str">
        <f>IFERROR(__xludf.DUMMYFUNCTION("GOOGLETRANSLATE(B4944,""en"",""es-ES"")"),"El hombre besa sus dedos y la cámara cae al suelo.")</f>
        <v>El hombre besa sus dedos y la cámara cae al suelo.</v>
      </c>
    </row>
    <row r="4945">
      <c r="A4945" s="4" t="s">
        <v>6212</v>
      </c>
      <c r="B4945" s="4" t="s">
        <v>6213</v>
      </c>
      <c r="C4945" s="5" t="str">
        <f>IFERROR(__xludf.DUMMYFUNCTION("GOOGLETRANSLATE(B4945,""en"",""es-ES"")"),"Un hombre se encuentra frente a un logotipo de negocios y discute.")</f>
        <v>Un hombre se encuentra frente a un logotipo de negocios y discute.</v>
      </c>
    </row>
    <row r="4946">
      <c r="A4946" s="4" t="s">
        <v>6212</v>
      </c>
      <c r="B4946" s="4" t="s">
        <v>6214</v>
      </c>
      <c r="C4946" s="5" t="str">
        <f>IFERROR(__xludf.DUMMYFUNCTION("GOOGLETRANSLATE(B4946,""en"",""es-ES"")"),"Un jinete da una vuelta y planta su pie en la tierra para estabilizarse.")</f>
        <v>Un jinete da una vuelta y planta su pie en la tierra para estabilizarse.</v>
      </c>
    </row>
    <row r="4947">
      <c r="A4947" s="4" t="s">
        <v>6212</v>
      </c>
      <c r="B4947" s="4" t="s">
        <v>6215</v>
      </c>
      <c r="C4947" s="5" t="str">
        <f>IFERROR(__xludf.DUMMYFUNCTION("GOOGLETRANSLATE(B4947,""en"",""es-ES"")"),"El jinete se acelera de un giro en su motocicleta.")</f>
        <v>El jinete se acelera de un giro en su motocicleta.</v>
      </c>
    </row>
    <row r="4948">
      <c r="A4948" s="4" t="s">
        <v>6212</v>
      </c>
      <c r="B4948" s="4" t="s">
        <v>6216</v>
      </c>
      <c r="C4948" s="5" t="str">
        <f>IFERROR(__xludf.DUMMYFUNCTION("GOOGLETRANSLATE(B4948,""en"",""es-ES"")"),"El jinete pasa por encima de un salto en su motocicleta.")</f>
        <v>El jinete pasa por encima de un salto en su motocicleta.</v>
      </c>
    </row>
    <row r="4949">
      <c r="A4949" s="4" t="s">
        <v>6217</v>
      </c>
      <c r="B4949" s="4" t="s">
        <v>6218</v>
      </c>
      <c r="C4949" s="5" t="str">
        <f>IFERROR(__xludf.DUMMYFUNCTION("GOOGLETRANSLATE(B4949,""en"",""es-ES"")"),"Un gato está sentado en el suelo mirando hacia arriba mientras su dueño intentaba agarrarlo.")</f>
        <v>Un gato está sentado en el suelo mirando hacia arriba mientras su dueño intentaba agarrarlo.</v>
      </c>
    </row>
    <row r="4950">
      <c r="A4950" s="4" t="s">
        <v>6217</v>
      </c>
      <c r="B4950" s="4" t="s">
        <v>6219</v>
      </c>
      <c r="C4950" s="5" t="str">
        <f>IFERROR(__xludf.DUMMYFUNCTION("GOOGLETRANSLATE(B4950,""en"",""es-ES"")"),"El dueño lo recoge y se sienta con él y comienza a cortarse las uñas.")</f>
        <v>El dueño lo recoge y se sienta con él y comienza a cortarse las uñas.</v>
      </c>
    </row>
    <row r="4951">
      <c r="A4951" s="4" t="s">
        <v>6217</v>
      </c>
      <c r="B4951" s="4" t="s">
        <v>6220</v>
      </c>
      <c r="C4951" s="5" t="str">
        <f>IFERROR(__xludf.DUMMYFUNCTION("GOOGLETRANSLATE(B4951,""en"",""es-ES"")"),"El gato está moviendo la cabeza moviendo la cola pero no se está pasando por un mal momento.")</f>
        <v>El gato está moviendo la cabeza moviendo la cola pero no se está pasando por un mal momento.</v>
      </c>
    </row>
    <row r="4952">
      <c r="A4952" s="4" t="s">
        <v>6217</v>
      </c>
      <c r="B4952" s="4" t="s">
        <v>6221</v>
      </c>
      <c r="C4952" s="5" t="str">
        <f>IFERROR(__xludf.DUMMYFUNCTION("GOOGLETRANSLATE(B4952,""en"",""es-ES"")"),"El propietario luego comienza a frotar su vientre y jugar con sus pies, antes de volver a poner al gato en el suelo.")</f>
        <v>El propietario luego comienza a frotar su vientre y jugar con sus pies, antes de volver a poner al gato en el suelo.</v>
      </c>
    </row>
    <row r="4953">
      <c r="A4953" s="4" t="s">
        <v>6222</v>
      </c>
      <c r="B4953" s="4" t="s">
        <v>6223</v>
      </c>
      <c r="C4953" s="5" t="str">
        <f>IFERROR(__xludf.DUMMYFUNCTION("GOOGLETRANSLATE(B4953,""en"",""es-ES"")"),"Vemos hombres jugando un juego de cricket.")</f>
        <v>Vemos hombres jugando un juego de cricket.</v>
      </c>
    </row>
    <row r="4954">
      <c r="A4954" s="4" t="s">
        <v>6222</v>
      </c>
      <c r="B4954" s="4" t="s">
        <v>6224</v>
      </c>
      <c r="C4954" s="5" t="str">
        <f>IFERROR(__xludf.DUMMYFUNCTION("GOOGLETRANSLATE(B4954,""en"",""es-ES"")"),"El lanzador lanza y los hombres comienzan a correr.")</f>
        <v>El lanzador lanza y los hombres comienzan a correr.</v>
      </c>
    </row>
    <row r="4955">
      <c r="A4955" s="4" t="s">
        <v>6222</v>
      </c>
      <c r="B4955" s="4" t="s">
        <v>6225</v>
      </c>
      <c r="C4955" s="5" t="str">
        <f>IFERROR(__xludf.DUMMYFUNCTION("GOOGLETRANSLATE(B4955,""en"",""es-ES"")"),"Vemos a un hombre acostado en el suelo, con médicos alrededor.")</f>
        <v>Vemos a un hombre acostado en el suelo, con médicos alrededor.</v>
      </c>
    </row>
    <row r="4956">
      <c r="A4956" s="4" t="s">
        <v>6222</v>
      </c>
      <c r="B4956" s="4" t="s">
        <v>6226</v>
      </c>
      <c r="C4956" s="5" t="str">
        <f>IFERROR(__xludf.DUMMYFUNCTION("GOOGLETRANSLATE(B4956,""en"",""es-ES"")"),"Vemos hombres caminando en el campo y un médico pone una paquete de hielo en la cabeza del hombre.")</f>
        <v>Vemos hombres caminando en el campo y un médico pone una paquete de hielo en la cabeza del hombre.</v>
      </c>
    </row>
    <row r="4957">
      <c r="A4957" s="4" t="s">
        <v>6222</v>
      </c>
      <c r="B4957" s="4" t="s">
        <v>6227</v>
      </c>
      <c r="C4957" s="5" t="str">
        <f>IFERROR(__xludf.DUMMYFUNCTION("GOOGLETRANSLATE(B4957,""en"",""es-ES"")"),"Vemos en cámara lenta la colisión que lastimó al hombre.")</f>
        <v>Vemos en cámara lenta la colisión que lastimó al hombre.</v>
      </c>
    </row>
    <row r="4958">
      <c r="A4958" s="4" t="s">
        <v>6228</v>
      </c>
      <c r="B4958" s="4" t="s">
        <v>6229</v>
      </c>
      <c r="C4958" s="5" t="str">
        <f>IFERROR(__xludf.DUMMYFUNCTION("GOOGLETRANSLATE(B4958,""en"",""es-ES"")"),"El hombre está sentado en una sala de estar hablando con la cámara.")</f>
        <v>El hombre está sentado en una sala de estar hablando con la cámara.</v>
      </c>
    </row>
    <row r="4959">
      <c r="A4959" s="4" t="s">
        <v>6228</v>
      </c>
      <c r="B4959" s="4" t="s">
        <v>6230</v>
      </c>
      <c r="C4959" s="5" t="str">
        <f>IFERROR(__xludf.DUMMYFUNCTION("GOOGLETRANSLATE(B4959,""en"",""es-ES"")"),"El hombre comienza a tocar la flauta y sigue a Talknig.")</f>
        <v>El hombre comienza a tocar la flauta y sigue a Talknig.</v>
      </c>
    </row>
    <row r="4960">
      <c r="A4960" s="4" t="s">
        <v>6231</v>
      </c>
      <c r="B4960" s="4" t="s">
        <v>1251</v>
      </c>
      <c r="C4960" s="5" t="str">
        <f>IFERROR(__xludf.DUMMYFUNCTION("GOOGLETRANSLATE(B4960,""en"",""es-ES"")"),"Se muestran los créditos del clip.")</f>
        <v>Se muestran los créditos del clip.</v>
      </c>
    </row>
    <row r="4961">
      <c r="A4961" s="4" t="s">
        <v>6231</v>
      </c>
      <c r="B4961" s="4" t="s">
        <v>6232</v>
      </c>
      <c r="C4961" s="5" t="str">
        <f>IFERROR(__xludf.DUMMYFUNCTION("GOOGLETRANSLATE(B4961,""en"",""es-ES"")"),"Los hombres usan escaleras para llegar al techo al trabajo.")</f>
        <v>Los hombres usan escaleras para llegar al techo al trabajo.</v>
      </c>
    </row>
    <row r="4962">
      <c r="A4962" s="4" t="s">
        <v>6231</v>
      </c>
      <c r="B4962" s="4" t="s">
        <v>6233</v>
      </c>
      <c r="C4962" s="5" t="str">
        <f>IFERROR(__xludf.DUMMYFUNCTION("GOOGLETRANSLATE(B4962,""en"",""es-ES"")"),"Los hombres pusieron una lona por la casa.")</f>
        <v>Los hombres pusieron una lona por la casa.</v>
      </c>
    </row>
    <row r="4963">
      <c r="A4963" s="4" t="s">
        <v>6231</v>
      </c>
      <c r="B4963" s="4" t="s">
        <v>6234</v>
      </c>
      <c r="C4963" s="5" t="str">
        <f>IFERROR(__xludf.DUMMYFUNCTION("GOOGLETRANSLATE(B4963,""en"",""es-ES"")"),"Los hombres están quitando las piezas del techo y arrojando la lona.")</f>
        <v>Los hombres están quitando las piezas del techo y arrojando la lona.</v>
      </c>
    </row>
    <row r="4964">
      <c r="A4964" s="4" t="s">
        <v>6231</v>
      </c>
      <c r="B4964" s="4" t="s">
        <v>573</v>
      </c>
      <c r="C4964" s="5" t="str">
        <f>IFERROR(__xludf.DUMMYFUNCTION("GOOGLETRANSLATE(B4964,""en"",""es-ES"")"),"Se muestran los créditos del video.")</f>
        <v>Se muestran los créditos del video.</v>
      </c>
    </row>
    <row r="4965">
      <c r="A4965" s="4" t="s">
        <v>6235</v>
      </c>
      <c r="B4965" s="4" t="s">
        <v>6236</v>
      </c>
      <c r="C4965" s="5" t="str">
        <f>IFERROR(__xludf.DUMMYFUNCTION("GOOGLETRANSLATE(B4965,""en"",""es-ES"")"),"Un equipo de gimnasia practica rutinas que implican saltar y voltear.")</f>
        <v>Un equipo de gimnasia practica rutinas que implican saltar y voltear.</v>
      </c>
    </row>
    <row r="4966">
      <c r="A4966" s="4" t="s">
        <v>6235</v>
      </c>
      <c r="B4966" s="4" t="s">
        <v>6237</v>
      </c>
      <c r="C4966" s="5" t="str">
        <f>IFERROR(__xludf.DUMMYFUNCTION("GOOGLETRANSLATE(B4966,""en"",""es-ES"")"),"Luego cambian a porristas afuera.")</f>
        <v>Luego cambian a porristas afuera.</v>
      </c>
    </row>
    <row r="4967">
      <c r="A4967" s="4" t="s">
        <v>6238</v>
      </c>
      <c r="B4967" s="4" t="s">
        <v>6239</v>
      </c>
      <c r="C4967" s="5" t="str">
        <f>IFERROR(__xludf.DUMMYFUNCTION("GOOGLETRANSLATE(B4967,""en"",""es-ES"")"),"Una mujer y un hombre luchan entre sí en un juego de lucha contra el brazo.")</f>
        <v>Una mujer y un hombre luchan entre sí en un juego de lucha contra el brazo.</v>
      </c>
    </row>
    <row r="4968">
      <c r="A4968" s="4" t="s">
        <v>6238</v>
      </c>
      <c r="B4968" s="4" t="s">
        <v>6240</v>
      </c>
      <c r="C4968" s="5" t="str">
        <f>IFERROR(__xludf.DUMMYFUNCTION("GOOGLETRANSLATE(B4968,""en"",""es-ES"")"),"Ella lo golpea y muestra sus músculos.")</f>
        <v>Ella lo golpea y muestra sus músculos.</v>
      </c>
    </row>
    <row r="4969">
      <c r="A4969" s="4" t="s">
        <v>6238</v>
      </c>
      <c r="B4969" s="4" t="s">
        <v>6241</v>
      </c>
      <c r="C4969" s="5" t="str">
        <f>IFERROR(__xludf.DUMMYFUNCTION("GOOGLETRANSLATE(B4969,""en"",""es-ES"")"),"Lo hacen de nuevo, ella gana de nuevo y muestra sus músculos.")</f>
        <v>Lo hacen de nuevo, ella gana de nuevo y muestra sus músculos.</v>
      </c>
    </row>
    <row r="4970">
      <c r="A4970" s="4" t="s">
        <v>6242</v>
      </c>
      <c r="B4970" s="4" t="s">
        <v>6243</v>
      </c>
      <c r="C4970" s="5" t="str">
        <f>IFERROR(__xludf.DUMMYFUNCTION("GOOGLETRANSLATE(B4970,""en"",""es-ES"")"),"Se ve a una entrenadora de baloncesto que instruye a un grupo de jugadoras de baloncesto que están haciendo cola en una cancha de baloncesto.")</f>
        <v>Se ve a una entrenadora de baloncesto que instruye a un grupo de jugadoras de baloncesto que están haciendo cola en una cancha de baloncesto.</v>
      </c>
    </row>
    <row r="4971">
      <c r="A4971" s="4" t="s">
        <v>6242</v>
      </c>
      <c r="B4971" s="4" t="s">
        <v>6244</v>
      </c>
      <c r="C4971" s="5" t="str">
        <f>IFERROR(__xludf.DUMMYFUNCTION("GOOGLETRANSLATE(B4971,""en"",""es-ES"")"),"La primera chica pasa a otro entrenador y luego corre hacia la red y toma una bandeja.")</f>
        <v>La primera chica pasa a otro entrenador y luego corre hacia la red y toma una bandeja.</v>
      </c>
    </row>
    <row r="4972">
      <c r="A4972" s="4" t="s">
        <v>6242</v>
      </c>
      <c r="B4972" s="4" t="s">
        <v>6245</v>
      </c>
      <c r="C4972" s="5" t="str">
        <f>IFERROR(__xludf.DUMMYFUNCTION("GOOGLETRANSLATE(B4972,""en"",""es-ES"")"),"Las chicas continúan haciendo el ejercicio en el lado derecho.")</f>
        <v>Las chicas continúan haciendo el ejercicio en el lado derecho.</v>
      </c>
    </row>
    <row r="4973">
      <c r="A4973" s="4" t="s">
        <v>6242</v>
      </c>
      <c r="B4973" s="4" t="s">
        <v>6246</v>
      </c>
      <c r="C4973" s="5" t="str">
        <f>IFERROR(__xludf.DUMMYFUNCTION("GOOGLETRANSLATE(B4973,""en"",""es-ES"")"),"Las chicas se mueven hacia el lado izquierdo y realizan el mismo ejercicio en el lado izquierdo de la cancha.")</f>
        <v>Las chicas se mueven hacia el lado izquierdo y realizan el mismo ejercicio en el lado izquierdo de la cancha.</v>
      </c>
    </row>
    <row r="4974">
      <c r="A4974" s="4" t="s">
        <v>6247</v>
      </c>
      <c r="B4974" s="4" t="s">
        <v>6248</v>
      </c>
      <c r="C4974" s="5" t="str">
        <f>IFERROR(__xludf.DUMMYFUNCTION("GOOGLETRANSLATE(B4974,""en"",""es-ES"")"),"La mujer está de pie en un gimnasio techo levantando peso.")</f>
        <v>La mujer está de pie en un gimnasio techo levantando peso.</v>
      </c>
    </row>
    <row r="4975">
      <c r="A4975" s="4" t="s">
        <v>6247</v>
      </c>
      <c r="B4975" s="4" t="s">
        <v>6249</v>
      </c>
      <c r="C4975" s="5" t="str">
        <f>IFERROR(__xludf.DUMMYFUNCTION("GOOGLETRANSLATE(B4975,""en"",""es-ES"")"),"El entrenador está de pie junto a la gril que la entrena y la ayuda.")</f>
        <v>El entrenador está de pie junto a la gril que la entrena y la ayuda.</v>
      </c>
    </row>
    <row r="4976">
      <c r="A4976" s="4" t="s">
        <v>6247</v>
      </c>
      <c r="B4976" s="4" t="s">
        <v>6250</v>
      </c>
      <c r="C4976" s="5" t="str">
        <f>IFERROR(__xludf.DUMMYFUNCTION("GOOGLETRANSLATE(B4976,""en"",""es-ES"")"),"Después de algunos consejos, la mujer levanta el peso nuevamente.")</f>
        <v>Después de algunos consejos, la mujer levanta el peso nuevamente.</v>
      </c>
    </row>
    <row r="4977">
      <c r="A4977" s="4" t="s">
        <v>6251</v>
      </c>
      <c r="B4977" s="4" t="s">
        <v>6252</v>
      </c>
      <c r="C4977" s="5" t="str">
        <f>IFERROR(__xludf.DUMMYFUNCTION("GOOGLETRANSLATE(B4977,""en"",""es-ES"")"),"Un grupo de niños está jugando fútbol interior.")</f>
        <v>Un grupo de niños está jugando fútbol interior.</v>
      </c>
    </row>
    <row r="4978">
      <c r="A4978" s="4" t="s">
        <v>6251</v>
      </c>
      <c r="B4978" s="4" t="s">
        <v>6253</v>
      </c>
      <c r="C4978" s="5" t="str">
        <f>IFERROR(__xludf.DUMMYFUNCTION("GOOGLETRANSLATE(B4978,""en"",""es-ES"")"),"Los chicos corren, persiguiendo la pelota y luchando para alejarse unos de otros.")</f>
        <v>Los chicos corren, persiguiendo la pelota y luchando para alejarse unos de otros.</v>
      </c>
    </row>
    <row r="4979">
      <c r="A4979" s="4" t="s">
        <v>6251</v>
      </c>
      <c r="B4979" s="4" t="s">
        <v>6254</v>
      </c>
      <c r="C4979" s="5" t="str">
        <f>IFERROR(__xludf.DUMMYFUNCTION("GOOGLETRANSLATE(B4979,""en"",""es-ES"")"),"Un niño entra en el objetivo del equipo contrario.")</f>
        <v>Un niño entra en el objetivo del equipo contrario.</v>
      </c>
    </row>
    <row r="4980">
      <c r="A4980" s="4" t="s">
        <v>6251</v>
      </c>
      <c r="B4980" s="4" t="s">
        <v>6255</v>
      </c>
      <c r="C4980" s="5" t="str">
        <f>IFERROR(__xludf.DUMMYFUNCTION("GOOGLETRANSLATE(B4980,""en"",""es-ES"")"),"Se reproduce en cámara lenta.")</f>
        <v>Se reproduce en cámara lenta.</v>
      </c>
    </row>
    <row r="4981">
      <c r="A4981" s="4" t="s">
        <v>6251</v>
      </c>
      <c r="B4981" s="4" t="s">
        <v>6256</v>
      </c>
      <c r="C4981" s="5" t="str">
        <f>IFERROR(__xludf.DUMMYFUNCTION("GOOGLETRANSLATE(B4981,""en"",""es-ES"")"),"Los muchachos continúan jugando durante el resto del juego.")</f>
        <v>Los muchachos continúan jugando durante el resto del juego.</v>
      </c>
    </row>
    <row r="4982">
      <c r="A4982" s="4" t="s">
        <v>6251</v>
      </c>
      <c r="B4982" s="4" t="s">
        <v>6257</v>
      </c>
      <c r="C4982" s="5" t="str">
        <f>IFERROR(__xludf.DUMMYFUNCTION("GOOGLETRANSLATE(B4982,""en"",""es-ES"")"),"En la pantalla final, se muestra a un hombre mayor sosteniendo a un niño pequeño en sus brazos.")</f>
        <v>En la pantalla final, se muestra a un hombre mayor sosteniendo a un niño pequeño en sus brazos.</v>
      </c>
    </row>
    <row r="4983">
      <c r="A4983" s="4" t="s">
        <v>6258</v>
      </c>
      <c r="B4983" s="4" t="s">
        <v>6259</v>
      </c>
      <c r="C4983" s="5" t="str">
        <f>IFERROR(__xludf.DUMMYFUNCTION("GOOGLETRANSLATE(B4983,""en"",""es-ES"")"),"Una mujer habla en un teléfono inalámbrico mientras está sentada en un trono, y mientras otra mujer se arrodilla a sus pies y los limpia con su ropa.")</f>
        <v>Una mujer habla en un teléfono inalámbrico mientras está sentada en un trono, y mientras otra mujer se arrodilla a sus pies y los limpia con su ropa.</v>
      </c>
    </row>
    <row r="4984">
      <c r="A4984" s="4" t="s">
        <v>6258</v>
      </c>
      <c r="B4984" s="4" t="s">
        <v>6260</v>
      </c>
      <c r="C4984" s="5" t="str">
        <f>IFERROR(__xludf.DUMMYFUNCTION("GOOGLETRANSLATE(B4984,""en"",""es-ES"")"),"Una mujer con un sari púrpura se arrodilla al pie de otra mujer que está sentada en un trono de oro y con una corona de oro con plumas rojas en el cabello.")</f>
        <v>Una mujer con un sari púrpura se arrodilla al pie de otra mujer que está sentada en un trono de oro y con una corona de oro con plumas rojas en el cabello.</v>
      </c>
    </row>
    <row r="4985">
      <c r="A4985" s="4" t="s">
        <v>6258</v>
      </c>
      <c r="B4985" s="4" t="s">
        <v>6261</v>
      </c>
      <c r="C4985" s="5" t="str">
        <f>IFERROR(__xludf.DUMMYFUNCTION("GOOGLETRANSLATE(B4985,""en"",""es-ES"")"),"La mujer en el trono le pega el pie frente a la mujer arrodillada y la mujer arrodillada comienza a limpiar los pies de la mujer con su sari.")</f>
        <v>La mujer en el trono le pega el pie frente a la mujer arrodillada y la mujer arrodillada comienza a limpiar los pies de la mujer con su sari.</v>
      </c>
    </row>
    <row r="4986">
      <c r="A4986" s="4" t="s">
        <v>6258</v>
      </c>
      <c r="B4986" s="4" t="s">
        <v>6262</v>
      </c>
      <c r="C4986" s="5" t="str">
        <f>IFERROR(__xludf.DUMMYFUNCTION("GOOGLETRANSLATE(B4986,""en"",""es-ES"")"),"La mujer en el trono toma una llamada telefónica en el teléfono inalámbrico negro y comienza a hablar antes de que la escena finalmente se desvanezca a una imagen borrosa de otra mujer que habla por teléfono.")</f>
        <v>La mujer en el trono toma una llamada telefónica en el teléfono inalámbrico negro y comienza a hablar antes de que la escena finalmente se desvanezca a una imagen borrosa de otra mujer que habla por teléfono.</v>
      </c>
    </row>
    <row r="4987">
      <c r="A4987" s="4" t="s">
        <v>6263</v>
      </c>
      <c r="B4987" s="4" t="s">
        <v>6264</v>
      </c>
      <c r="C4987" s="5" t="str">
        <f>IFERROR(__xludf.DUMMYFUNCTION("GOOGLETRANSLATE(B4987,""en"",""es-ES"")"),"Un hombre habla mientras está parado frente a un auto inteligente.")</f>
        <v>Un hombre habla mientras está parado frente a un auto inteligente.</v>
      </c>
    </row>
    <row r="4988">
      <c r="A4988" s="4" t="s">
        <v>6263</v>
      </c>
      <c r="B4988" s="4" t="s">
        <v>6265</v>
      </c>
      <c r="C4988" s="5" t="str">
        <f>IFERROR(__xludf.DUMMYFUNCTION("GOOGLETRANSLATE(B4988,""en"",""es-ES"")"),"Entra, continuando hablando mientras muestra el componente diferente del automóvil, incluido el baúl.")</f>
        <v>Entra, continuando hablando mientras muestra el componente diferente del automóvil, incluido el baúl.</v>
      </c>
    </row>
    <row r="4989">
      <c r="A4989" s="4" t="s">
        <v>6263</v>
      </c>
      <c r="B4989" s="4" t="s">
        <v>6266</v>
      </c>
      <c r="C4989" s="5" t="str">
        <f>IFERROR(__xludf.DUMMYFUNCTION("GOOGLETRANSLATE(B4989,""en"",""es-ES"")"),"El hombre regresa al frente del vehículo, terminando con sus últimas palabras.")</f>
        <v>El hombre regresa al frente del vehículo, terminando con sus últimas palabras.</v>
      </c>
    </row>
    <row r="4990">
      <c r="A4990" s="4" t="s">
        <v>6267</v>
      </c>
      <c r="B4990" s="4" t="s">
        <v>6268</v>
      </c>
      <c r="C4990" s="5" t="str">
        <f>IFERROR(__xludf.DUMMYFUNCTION("GOOGLETRANSLATE(B4990,""en"",""es-ES"")"),"Una compilación del luchador profesional Kevin Owens que realiza bombas de poder en muchos luchadores, al comienzo del video, ingresa al edificio con una apariencia segura, mientras procede a entrar, realiza múltiples bombas de potencia.")</f>
        <v>Una compilación del luchador profesional Kevin Owens que realiza bombas de poder en muchos luchadores, al comienzo del video, ingresa al edificio con una apariencia segura, mientras procede a entrar, realiza múltiples bombas de potencia.</v>
      </c>
    </row>
    <row r="4991">
      <c r="A4991" s="4" t="s">
        <v>6267</v>
      </c>
      <c r="B4991" s="4" t="s">
        <v>6269</v>
      </c>
      <c r="C4991" s="5" t="str">
        <f>IFERROR(__xludf.DUMMYFUNCTION("GOOGLETRANSLATE(B4991,""en"",""es-ES"")"),"El final del video tiene un mensaje de suscriptor.")</f>
        <v>El final del video tiene un mensaje de suscriptor.</v>
      </c>
    </row>
    <row r="4992">
      <c r="A4992" s="4" t="s">
        <v>6270</v>
      </c>
      <c r="B4992" s="4" t="s">
        <v>6271</v>
      </c>
      <c r="C4992" s="5" t="str">
        <f>IFERROR(__xludf.DUMMYFUNCTION("GOOGLETRANSLATE(B4992,""en"",""es-ES"")"),"Un hombre en una silla de oficina está sentado con algún tipo de bolígrafo.")</f>
        <v>Un hombre en una silla de oficina está sentado con algún tipo de bolígrafo.</v>
      </c>
    </row>
    <row r="4993">
      <c r="A4993" s="4" t="s">
        <v>6270</v>
      </c>
      <c r="B4993" s="4" t="s">
        <v>6272</v>
      </c>
      <c r="C4993" s="5" t="str">
        <f>IFERROR(__xludf.DUMMYFUNCTION("GOOGLETRANSLATE(B4993,""en"",""es-ES"")"),"Habla de ello por un rato y luego se lo puso en la boca, resulta que es un eje electrónico.")</f>
        <v>Habla de ello por un rato y luego se lo puso en la boca, resulta que es un eje electrónico.</v>
      </c>
    </row>
    <row r="4994">
      <c r="A4994" s="4" t="s">
        <v>6270</v>
      </c>
      <c r="B4994" s="4" t="s">
        <v>6273</v>
      </c>
      <c r="C4994" s="5" t="str">
        <f>IFERROR(__xludf.DUMMYFUNCTION("GOOGLETRANSLATE(B4994,""en"",""es-ES"")"),"Es una nueva tecnología que puedes fumar como un cigarrillo.")</f>
        <v>Es una nueva tecnología que puedes fumar como un cigarrillo.</v>
      </c>
    </row>
    <row r="4995">
      <c r="A4995" s="4" t="s">
        <v>6270</v>
      </c>
      <c r="B4995" s="4" t="s">
        <v>6274</v>
      </c>
      <c r="C4995" s="5" t="str">
        <f>IFERROR(__xludf.DUMMYFUNCTION("GOOGLETRANSLATE(B4995,""en"",""es-ES"")"),"Lo sostiene en sus manos como un cigarrillo y se lo pone en la boca y exhala humo.")</f>
        <v>Lo sostiene en sus manos como un cigarrillo y se lo pone en la boca y exhala humo.</v>
      </c>
    </row>
    <row r="4996">
      <c r="A4996" s="4" t="s">
        <v>6275</v>
      </c>
      <c r="B4996" s="4" t="s">
        <v>6276</v>
      </c>
      <c r="C4996" s="5" t="str">
        <f>IFERROR(__xludf.DUMMYFUNCTION("GOOGLETRANSLATE(B4996,""en"",""es-ES"")"),"Una mujer con cabello oscuro y gafas en marco plateado mira a su alrededor pensativamente hasta que su mirada aterriza en la cámara y finge sorpresa ante la presencia de la cámara y comienza a hablar con la cámara.")</f>
        <v>Una mujer con cabello oscuro y gafas en marco plateado mira a su alrededor pensativamente hasta que su mirada aterriza en la cámara y finge sorpresa ante la presencia de la cámara y comienza a hablar con la cámara.</v>
      </c>
    </row>
    <row r="4997">
      <c r="A4997" s="4" t="s">
        <v>6275</v>
      </c>
      <c r="B4997" s="4" t="s">
        <v>6277</v>
      </c>
      <c r="C4997" s="5" t="str">
        <f>IFERROR(__xludf.DUMMYFUNCTION("GOOGLETRANSLATE(B4997,""en"",""es-ES"")"),"La mujer comienza a sostener un par de lentes de contacto y solución de lente a la cámara y luego procede a sacar las lentes y habla con la cámara sola nuevamente.")</f>
        <v>La mujer comienza a sostener un par de lentes de contacto y solución de lente a la cámara y luego procede a sacar las lentes y habla con la cámara sola nuevamente.</v>
      </c>
    </row>
    <row r="4998">
      <c r="A4998" s="4" t="s">
        <v>6275</v>
      </c>
      <c r="B4998" s="4" t="s">
        <v>6278</v>
      </c>
      <c r="C4998" s="5" t="str">
        <f>IFERROR(__xludf.DUMMYFUNCTION("GOOGLETRANSLATE(B4998,""en"",""es-ES"")"),"La mujer vierte la solución en su mano y limpia la lente en su mano antes de dejar caer a dos en sus ojos y exhibir ojos completamente negros a la cámara mientras habla.")</f>
        <v>La mujer vierte la solución en su mano y limpia la lente en su mano antes de dejar caer a dos en sus ojos y exhibir ojos completamente negros a la cámara mientras habla.</v>
      </c>
    </row>
    <row r="4999">
      <c r="A4999" s="4" t="s">
        <v>6275</v>
      </c>
      <c r="B4999" s="4" t="s">
        <v>6279</v>
      </c>
      <c r="C4999" s="5" t="str">
        <f>IFERROR(__xludf.DUMMYFUNCTION("GOOGLETRANSLATE(B4999,""en"",""es-ES"")"),"La mujer luego saca el contacto de sus ojos, luego los vuelve a poner en el desvanecimiento.")</f>
        <v>La mujer luego saca el contacto de sus ojos, luego los vuelve a poner en el desvanecimiento.</v>
      </c>
    </row>
    <row r="5000">
      <c r="A5000" s="4" t="s">
        <v>6280</v>
      </c>
      <c r="B5000" s="4" t="s">
        <v>6281</v>
      </c>
      <c r="C5000" s="5" t="str">
        <f>IFERROR(__xludf.DUMMYFUNCTION("GOOGLETRANSLATE(B5000,""en"",""es-ES"")"),"Se ve a dos chicas hablando con la cámara seguida de una persona que pone fruta y la mezcló en una licuadora.")</f>
        <v>Se ve a dos chicas hablando con la cámara seguida de una persona que pone fruta y la mezcló en una licuadora.</v>
      </c>
    </row>
    <row r="5001">
      <c r="A5001" s="4" t="s">
        <v>6280</v>
      </c>
      <c r="B5001" s="4" t="s">
        <v>6282</v>
      </c>
      <c r="C5001" s="5" t="str">
        <f>IFERROR(__xludf.DUMMYFUNCTION("GOOGLETRANSLATE(B5001,""en"",""es-ES"")"),"Las chicas continúan poniendo la fruta en una licuadora mientras toman bocados a un lado y empujando hacia abajo hacia la licuadora.")</f>
        <v>Las chicas continúan poniendo la fruta en una licuadora mientras toman bocados a un lado y empujando hacia abajo hacia la licuadora.</v>
      </c>
    </row>
    <row r="5002">
      <c r="A5002" s="4" t="s">
        <v>6283</v>
      </c>
      <c r="B5002" s="4" t="s">
        <v>6284</v>
      </c>
      <c r="C5002" s="5" t="str">
        <f>IFERROR(__xludf.DUMMYFUNCTION("GOOGLETRANSLATE(B5002,""en"",""es-ES"")"),"Se ve a un grupo de animadoras gritando a la vez y los lleva a realizar una rutina frente a una gran audiencia.")</f>
        <v>Se ve a un grupo de animadoras gritando a la vez y los lleva a realizar una rutina frente a una gran audiencia.</v>
      </c>
    </row>
    <row r="5003">
      <c r="A5003" s="4" t="s">
        <v>6283</v>
      </c>
      <c r="B5003" s="4" t="s">
        <v>6285</v>
      </c>
      <c r="C5003" s="5" t="str">
        <f>IFERROR(__xludf.DUMMYFUNCTION("GOOGLETRANSLATE(B5003,""en"",""es-ES"")"),"La gente continúa realizando su rutina en la colchoneta mientras realiza varios flips y trucos y termina con ellos saliendo del escenario mientras la audiencia aplaude.")</f>
        <v>La gente continúa realizando su rutina en la colchoneta mientras realiza varios flips y trucos y termina con ellos saliendo del escenario mientras la audiencia aplaude.</v>
      </c>
    </row>
    <row r="5004">
      <c r="A5004" s="4" t="s">
        <v>6286</v>
      </c>
      <c r="B5004" s="4" t="s">
        <v>6287</v>
      </c>
      <c r="C5004" s="5" t="str">
        <f>IFERROR(__xludf.DUMMYFUNCTION("GOOGLETRANSLATE(B5004,""en"",""es-ES"")"),"Dos hombres están sentados en una mesa.")</f>
        <v>Dos hombres están sentados en una mesa.</v>
      </c>
    </row>
    <row r="5005">
      <c r="A5005" s="4" t="s">
        <v>6286</v>
      </c>
      <c r="B5005" s="4" t="s">
        <v>6288</v>
      </c>
      <c r="C5005" s="5" t="str">
        <f>IFERROR(__xludf.DUMMYFUNCTION("GOOGLETRANSLATE(B5005,""en"",""es-ES"")"),"Los hombres participan en un juego de lucha contra el brazo.")</f>
        <v>Los hombres participan en un juego de lucha contra el brazo.</v>
      </c>
    </row>
    <row r="5006">
      <c r="A5006" s="4" t="s">
        <v>6286</v>
      </c>
      <c r="B5006" s="4" t="s">
        <v>6289</v>
      </c>
      <c r="C5006" s="5" t="str">
        <f>IFERROR(__xludf.DUMMYFUNCTION("GOOGLETRANSLATE(B5006,""en"",""es-ES"")"),"Uno de ellos supera al otro.")</f>
        <v>Uno de ellos supera al otro.</v>
      </c>
    </row>
    <row r="5007">
      <c r="A5007" s="4" t="s">
        <v>6290</v>
      </c>
      <c r="B5007" s="4" t="s">
        <v>6291</v>
      </c>
      <c r="C5007" s="5" t="str">
        <f>IFERROR(__xludf.DUMMYFUNCTION("GOOGLETRANSLATE(B5007,""en"",""es-ES"")"),"Vemos niños con pies en las patinetas.")</f>
        <v>Vemos niños con pies en las patinetas.</v>
      </c>
    </row>
    <row r="5008">
      <c r="A5008" s="4" t="s">
        <v>6290</v>
      </c>
      <c r="B5008" s="4" t="s">
        <v>6292</v>
      </c>
      <c r="C5008" s="5" t="str">
        <f>IFERROR(__xludf.DUMMYFUNCTION("GOOGLETRANSLATE(B5008,""en"",""es-ES"")"),"Vemos a los niños cabalgando por la calle desde un patinador POV.")</f>
        <v>Vemos a los niños cabalgando por la calle desde un patinador POV.</v>
      </c>
    </row>
    <row r="5009">
      <c r="A5009" s="4" t="s">
        <v>6290</v>
      </c>
      <c r="B5009" s="4" t="s">
        <v>6293</v>
      </c>
      <c r="C5009" s="5" t="str">
        <f>IFERROR(__xludf.DUMMYFUNCTION("GOOGLETRANSLATE(B5009,""en"",""es-ES"")"),"Un niño se bloquea y tiene dificultades para recuperarse.")</f>
        <v>Un niño se bloquea y tiene dificultades para recuperarse.</v>
      </c>
    </row>
    <row r="5010">
      <c r="A5010" s="4" t="s">
        <v>6290</v>
      </c>
      <c r="B5010" s="4" t="s">
        <v>6294</v>
      </c>
      <c r="C5010" s="5" t="str">
        <f>IFERROR(__xludf.DUMMYFUNCTION("GOOGLETRANSLATE(B5010,""en"",""es-ES"")"),"Un niño pierde su tabla y tiene que correr tras él.")</f>
        <v>Un niño pierde su tabla y tiene que correr tras él.</v>
      </c>
    </row>
    <row r="5011">
      <c r="A5011" s="4" t="s">
        <v>6290</v>
      </c>
      <c r="B5011" s="4" t="s">
        <v>6295</v>
      </c>
      <c r="C5011" s="5" t="str">
        <f>IFERROR(__xludf.DUMMYFUNCTION("GOOGLETRANSLATE(B5011,""en"",""es-ES"")"),"Vemos a la persona con un palo selfie caer en la hierba.")</f>
        <v>Vemos a la persona con un palo selfie caer en la hierba.</v>
      </c>
    </row>
    <row r="5012">
      <c r="A5012" s="4" t="s">
        <v>6296</v>
      </c>
      <c r="B5012" s="4" t="s">
        <v>6297</v>
      </c>
      <c r="C5012" s="5" t="str">
        <f>IFERROR(__xludf.DUMMYFUNCTION("GOOGLETRANSLATE(B5012,""en"",""es-ES"")"),"Se muestran varios disparos de atletas que sostienen un poste en sus manos y se inclinan hacia atrás.")</f>
        <v>Se muestran varios disparos de atletas que sostienen un poste en sus manos y se inclinan hacia atrás.</v>
      </c>
    </row>
    <row r="5013">
      <c r="A5013" s="4" t="s">
        <v>6296</v>
      </c>
      <c r="B5013" s="4" t="s">
        <v>6298</v>
      </c>
      <c r="C5013" s="5" t="str">
        <f>IFERROR(__xludf.DUMMYFUNCTION("GOOGLETRANSLATE(B5013,""en"",""es-ES"")"),"Esto lleva a varios clips de más atletas arrojando jabalinas a la distancia.")</f>
        <v>Esto lleva a varios clips de más atletas arrojando jabalinas a la distancia.</v>
      </c>
    </row>
    <row r="5014">
      <c r="A5014" s="4" t="s">
        <v>6296</v>
      </c>
      <c r="B5014" s="4" t="s">
        <v>6299</v>
      </c>
      <c r="C5014" s="5" t="str">
        <f>IFERROR(__xludf.DUMMYFUNCTION("GOOGLETRANSLATE(B5014,""en"",""es-ES"")"),"Se muestran más y más personas lanzando jabalinas.")</f>
        <v>Se muestran más y más personas lanzando jabalinas.</v>
      </c>
    </row>
    <row r="5015">
      <c r="A5015" s="4" t="s">
        <v>6300</v>
      </c>
      <c r="B5015" s="4" t="s">
        <v>6301</v>
      </c>
      <c r="C5015" s="5" t="str">
        <f>IFERROR(__xludf.DUMMYFUNCTION("GOOGLETRANSLATE(B5015,""en"",""es-ES"")"),"Una niña toca una batería en una plaza de la ciudad para pasar la gente.")</f>
        <v>Una niña toca una batería en una plaza de la ciudad para pasar la gente.</v>
      </c>
    </row>
    <row r="5016">
      <c r="A5016" s="4" t="s">
        <v>6300</v>
      </c>
      <c r="B5016" s="4" t="s">
        <v>6302</v>
      </c>
      <c r="C5016" s="5" t="str">
        <f>IFERROR(__xludf.DUMMYFUNCTION("GOOGLETRANSLATE(B5016,""en"",""es-ES"")"),"Una señora se acerca para ver jugar al baterista.")</f>
        <v>Una señora se acerca para ver jugar al baterista.</v>
      </c>
    </row>
    <row r="5017">
      <c r="A5017" s="4" t="s">
        <v>6300</v>
      </c>
      <c r="B5017" s="4" t="s">
        <v>6303</v>
      </c>
      <c r="C5017" s="5" t="str">
        <f>IFERROR(__xludf.DUMMYFUNCTION("GOOGLETRANSLATE(B5017,""en"",""es-ES"")"),"El baterista juega un solo en el platillo.")</f>
        <v>El baterista juega un solo en el platillo.</v>
      </c>
    </row>
    <row r="5018">
      <c r="A5018" s="4" t="s">
        <v>6300</v>
      </c>
      <c r="B5018" s="4" t="s">
        <v>6304</v>
      </c>
      <c r="C5018" s="5" t="str">
        <f>IFERROR(__xludf.DUMMYFUNCTION("GOOGLETRANSLATE(B5018,""en"",""es-ES"")"),"El baterista termina la canción y se inclina para la audiencia.")</f>
        <v>El baterista termina la canción y se inclina para la audiencia.</v>
      </c>
    </row>
    <row r="5019">
      <c r="A5019" s="4" t="s">
        <v>6305</v>
      </c>
      <c r="B5019" s="4" t="s">
        <v>6306</v>
      </c>
      <c r="C5019" s="5" t="str">
        <f>IFERROR(__xludf.DUMMYFUNCTION("GOOGLETRANSLATE(B5019,""en"",""es-ES"")"),"Una persona está enjuagando el pelaje de un perro con una cabeza de ducha morada unida a una manguera verde.")</f>
        <v>Una persona está enjuagando el pelaje de un perro con una cabeza de ducha morada unida a una manguera verde.</v>
      </c>
    </row>
    <row r="5020">
      <c r="A5020" s="4" t="s">
        <v>6305</v>
      </c>
      <c r="B5020" s="4" t="s">
        <v>6307</v>
      </c>
      <c r="C5020" s="5" t="str">
        <f>IFERROR(__xludf.DUMMYFUNCTION("GOOGLETRANSLATE(B5020,""en"",""es-ES"")"),"El perro sacude su pelaje.")</f>
        <v>El perro sacude su pelaje.</v>
      </c>
    </row>
    <row r="5021">
      <c r="A5021" s="4" t="s">
        <v>6305</v>
      </c>
      <c r="B5021" s="4" t="s">
        <v>6308</v>
      </c>
      <c r="C5021" s="5" t="str">
        <f>IFERROR(__xludf.DUMMYFUNCTION("GOOGLETRANSLATE(B5021,""en"",""es-ES"")"),"La persona continúa mojando al perro.")</f>
        <v>La persona continúa mojando al perro.</v>
      </c>
    </row>
    <row r="5022">
      <c r="A5022" s="4" t="s">
        <v>6309</v>
      </c>
      <c r="B5022" s="4" t="s">
        <v>6310</v>
      </c>
      <c r="C5022" s="5" t="str">
        <f>IFERROR(__xludf.DUMMYFUNCTION("GOOGLETRANSLATE(B5022,""en"",""es-ES"")"),"Se ve a un niño pequeño parado en el suelo y comienza a boxear con otro.")</f>
        <v>Se ve a un niño pequeño parado en el suelo y comienza a boxear con otro.</v>
      </c>
    </row>
    <row r="5023">
      <c r="A5023" s="4" t="s">
        <v>6309</v>
      </c>
      <c r="B5023" s="4" t="s">
        <v>6311</v>
      </c>
      <c r="C5023" s="5" t="str">
        <f>IFERROR(__xludf.DUMMYFUNCTION("GOOGLETRANSLATE(B5023,""en"",""es-ES"")"),"El niño usa guantes de boxeo para golpear a un hombre frente a él también con guantes.")</f>
        <v>El niño usa guantes de boxeo para golpear a un hombre frente a él también con guantes.</v>
      </c>
    </row>
    <row r="5024">
      <c r="A5024" s="4" t="s">
        <v>6309</v>
      </c>
      <c r="B5024" s="4" t="s">
        <v>6312</v>
      </c>
      <c r="C5024" s="5" t="str">
        <f>IFERROR(__xludf.DUMMYFUNCTION("GOOGLETRANSLATE(B5024,""en"",""es-ES"")"),"Los dos continúan yendo a eso y se van con el hombre de pie.")</f>
        <v>Los dos continúan yendo a eso y se van con el hombre de pie.</v>
      </c>
    </row>
    <row r="5025">
      <c r="A5025" s="4" t="s">
        <v>6313</v>
      </c>
      <c r="B5025" s="4" t="s">
        <v>6314</v>
      </c>
      <c r="C5025" s="5" t="str">
        <f>IFERROR(__xludf.DUMMYFUNCTION("GOOGLETRANSLATE(B5025,""en"",""es-ES"")"),"Un hombre con una chaqueta negra está parado afuera hablando.")</f>
        <v>Un hombre con una chaqueta negra está parado afuera hablando.</v>
      </c>
    </row>
    <row r="5026">
      <c r="A5026" s="4" t="s">
        <v>6313</v>
      </c>
      <c r="B5026" s="4" t="s">
        <v>6315</v>
      </c>
      <c r="C5026" s="5" t="str">
        <f>IFERROR(__xludf.DUMMYFUNCTION("GOOGLETRANSLATE(B5026,""en"",""es-ES"")"),"La gente está patinando en una pista de hielo.")</f>
        <v>La gente está patinando en una pista de hielo.</v>
      </c>
    </row>
    <row r="5027">
      <c r="A5027" s="4" t="s">
        <v>6313</v>
      </c>
      <c r="B5027" s="4" t="s">
        <v>6316</v>
      </c>
      <c r="C5027" s="5" t="str">
        <f>IFERROR(__xludf.DUMMYFUNCTION("GOOGLETRANSLATE(B5027,""en"",""es-ES"")"),"Un hombre con un sombrero rojo está jugando hockey y hace varios goles.")</f>
        <v>Un hombre con un sombrero rojo está jugando hockey y hace varios goles.</v>
      </c>
    </row>
    <row r="5028">
      <c r="A5028" s="4" t="s">
        <v>6317</v>
      </c>
      <c r="B5028" s="4" t="s">
        <v>6318</v>
      </c>
      <c r="C5028" s="5" t="str">
        <f>IFERROR(__xludf.DUMMYFUNCTION("GOOGLETRANSLATE(B5028,""en"",""es-ES"")"),"Se muestra a un hombre mayor limpiando un automóvil frente a una casa con un raspador de nieve.")</f>
        <v>Se muestra a un hombre mayor limpiando un automóvil frente a una casa con un raspador de nieve.</v>
      </c>
    </row>
    <row r="5029">
      <c r="A5029" s="4" t="s">
        <v>6317</v>
      </c>
      <c r="B5029" s="4" t="s">
        <v>6319</v>
      </c>
      <c r="C5029" s="5" t="str">
        <f>IFERROR(__xludf.DUMMYFUNCTION("GOOGLETRANSLATE(B5029,""en"",""es-ES"")"),"La cámara se mueve alrededor del auto mientras el hombre mayor continúa empujando la nieve de ella.")</f>
        <v>La cámara se mueve alrededor del auto mientras el hombre mayor continúa empujando la nieve de ella.</v>
      </c>
    </row>
    <row r="5030">
      <c r="A5030" s="4" t="s">
        <v>6320</v>
      </c>
      <c r="B5030" s="4" t="s">
        <v>6321</v>
      </c>
      <c r="C5030" s="5" t="str">
        <f>IFERROR(__xludf.DUMMYFUNCTION("GOOGLETRANSLATE(B5030,""en"",""es-ES"")"),"Una mujer está en una cocina haciendo una salsa de tomate en la cocina.")</f>
        <v>Una mujer está en una cocina haciendo una salsa de tomate en la cocina.</v>
      </c>
    </row>
    <row r="5031">
      <c r="A5031" s="4" t="s">
        <v>6320</v>
      </c>
      <c r="B5031" s="4" t="s">
        <v>6322</v>
      </c>
      <c r="C5031" s="5" t="str">
        <f>IFERROR(__xludf.DUMMYFUNCTION("GOOGLETRANSLATE(B5031,""en"",""es-ES"")"),"La mujer le muestra a la cámara su comida chapada.")</f>
        <v>La mujer le muestra a la cámara su comida chapada.</v>
      </c>
    </row>
    <row r="5032">
      <c r="A5032" s="4" t="s">
        <v>6320</v>
      </c>
      <c r="B5032" s="4" t="s">
        <v>6323</v>
      </c>
      <c r="C5032" s="5" t="str">
        <f>IFERROR(__xludf.DUMMYFUNCTION("GOOGLETRANSLATE(B5032,""en"",""es-ES"")"),"La mujer luego toma un verde y una caja de pasta.")</f>
        <v>La mujer luego toma un verde y una caja de pasta.</v>
      </c>
    </row>
    <row r="5033">
      <c r="A5033" s="4" t="s">
        <v>6320</v>
      </c>
      <c r="B5033" s="4" t="s">
        <v>6324</v>
      </c>
      <c r="C5033" s="5" t="str">
        <f>IFERROR(__xludf.DUMMYFUNCTION("GOOGLETRANSLATE(B5033,""en"",""es-ES"")"),"La señora luego comienza a revolver la salsa de tomate y coloca verduras en ella.")</f>
        <v>La señora luego comienza a revolver la salsa de tomate y coloca verduras en ella.</v>
      </c>
    </row>
    <row r="5034">
      <c r="A5034" s="4" t="s">
        <v>6320</v>
      </c>
      <c r="B5034" s="4" t="s">
        <v>6325</v>
      </c>
      <c r="C5034" s="5" t="str">
        <f>IFERROR(__xludf.DUMMYFUNCTION("GOOGLETRANSLATE(B5034,""en"",""es-ES"")"),"Por último, la señora vierte la pasta en la salsa.")</f>
        <v>Por último, la señora vierte la pasta en la salsa.</v>
      </c>
    </row>
    <row r="5035">
      <c r="A5035" s="4" t="s">
        <v>6326</v>
      </c>
      <c r="B5035" s="4" t="s">
        <v>6327</v>
      </c>
      <c r="C5035" s="5" t="str">
        <f>IFERROR(__xludf.DUMMYFUNCTION("GOOGLETRANSLATE(B5035,""en"",""es-ES"")"),"Un limpiador de ventanas en zapatillas de deporte y un gorro está colgando y limpiando una ventana con una toalla, con otros limpiadores detrás de él trabajando duro.")</f>
        <v>Un limpiador de ventanas en zapatillas de deporte y un gorro está colgando y limpiando una ventana con una toalla, con otros limpiadores detrás de él trabajando duro.</v>
      </c>
    </row>
    <row r="5036">
      <c r="A5036" s="4" t="s">
        <v>6326</v>
      </c>
      <c r="B5036" s="4" t="s">
        <v>6328</v>
      </c>
      <c r="C5036" s="5" t="str">
        <f>IFERROR(__xludf.DUMMYFUNCTION("GOOGLETRANSLATE(B5036,""en"",""es-ES"")"),"Se reduce a otra sección de la ventana y la limpia con una cuchilla.")</f>
        <v>Se reduce a otra sección de la ventana y la limpia con una cuchilla.</v>
      </c>
    </row>
    <row r="5037">
      <c r="A5037" s="4" t="s">
        <v>6326</v>
      </c>
      <c r="B5037" s="4" t="s">
        <v>6329</v>
      </c>
      <c r="C5037" s="5" t="str">
        <f>IFERROR(__xludf.DUMMYFUNCTION("GOOGLETRANSLATE(B5037,""en"",""es-ES"")"),"La persona de la cámara se dirige por el medio ambiente.")</f>
        <v>La persona de la cámara se dirige por el medio ambiente.</v>
      </c>
    </row>
    <row r="5038">
      <c r="A5038" s="4" t="s">
        <v>6330</v>
      </c>
      <c r="B5038" s="4" t="s">
        <v>6331</v>
      </c>
      <c r="C5038" s="5" t="str">
        <f>IFERROR(__xludf.DUMMYFUNCTION("GOOGLETRANSLATE(B5038,""en"",""es-ES"")"),"Vemos chicos pequeños jugando tira y afloja en un campo.")</f>
        <v>Vemos chicos pequeños jugando tira y afloja en un campo.</v>
      </c>
    </row>
    <row r="5039">
      <c r="A5039" s="4" t="s">
        <v>6330</v>
      </c>
      <c r="B5039" s="4" t="s">
        <v>6332</v>
      </c>
      <c r="C5039" s="5" t="str">
        <f>IFERROR(__xludf.DUMMYFUNCTION("GOOGLETRANSLATE(B5039,""en"",""es-ES"")"),"Un hombre de negro pasa por alto a los niños.")</f>
        <v>Un hombre de negro pasa por alto a los niños.</v>
      </c>
    </row>
    <row r="5040">
      <c r="A5040" s="4" t="s">
        <v>6330</v>
      </c>
      <c r="B5040" s="4" t="s">
        <v>6333</v>
      </c>
      <c r="C5040" s="5" t="str">
        <f>IFERROR(__xludf.DUMMYFUNCTION("GOOGLETRANSLATE(B5040,""en"",""es-ES"")"),"El niño con la camisa blanca suelta la cuerda y pone sus manos en el aire.")</f>
        <v>El niño con la camisa blanca suelta la cuerda y pone sus manos en el aire.</v>
      </c>
    </row>
    <row r="5041">
      <c r="A5041" s="4" t="s">
        <v>6330</v>
      </c>
      <c r="B5041" s="4" t="s">
        <v>6334</v>
      </c>
      <c r="C5041" s="5" t="str">
        <f>IFERROR(__xludf.DUMMYFUNCTION("GOOGLETRANSLATE(B5041,""en"",""es-ES"")"),"Una señora se acerca y habla con los niños.")</f>
        <v>Una señora se acerca y habla con los niños.</v>
      </c>
    </row>
    <row r="5042">
      <c r="A5042" s="4" t="s">
        <v>6335</v>
      </c>
      <c r="B5042" s="4" t="s">
        <v>6336</v>
      </c>
      <c r="C5042" s="5" t="str">
        <f>IFERROR(__xludf.DUMMYFUNCTION("GOOGLETRANSLATE(B5042,""en"",""es-ES"")"),"Una pila de palos se muestra en una pila seguida de una persona que habla y sostiene un objeto.")</f>
        <v>Una pila de palos se muestra en una pila seguida de una persona que habla y sostiene un objeto.</v>
      </c>
    </row>
    <row r="5043">
      <c r="A5043" s="4" t="s">
        <v>6335</v>
      </c>
      <c r="B5043" s="4" t="s">
        <v>6337</v>
      </c>
      <c r="C5043" s="5" t="str">
        <f>IFERROR(__xludf.DUMMYFUNCTION("GOOGLETRANSLATE(B5043,""en"",""es-ES"")"),"Luego se ve a las manos de una persona encendiendo un partido en la pila y creando un fuego cuando muestra su rostro una vez más al final.")</f>
        <v>Luego se ve a las manos de una persona encendiendo un partido en la pila y creando un fuego cuando muestra su rostro una vez más al final.</v>
      </c>
    </row>
    <row r="5044">
      <c r="A5044" s="4" t="s">
        <v>6338</v>
      </c>
      <c r="B5044" s="4" t="s">
        <v>6339</v>
      </c>
      <c r="C5044" s="5" t="str">
        <f>IFERROR(__xludf.DUMMYFUNCTION("GOOGLETRANSLATE(B5044,""en"",""es-ES"")"),"Se ve a un hombre parado detrás de un animal grande sosteniendo una navaja de afeitar y hablar con la cámara.")</f>
        <v>Se ve a un hombre parado detrás de un animal grande sosteniendo una navaja de afeitar y hablar con la cámara.</v>
      </c>
    </row>
    <row r="5045">
      <c r="A5045" s="4" t="s">
        <v>6338</v>
      </c>
      <c r="B5045" s="4" t="s">
        <v>6340</v>
      </c>
      <c r="C5045" s="5" t="str">
        <f>IFERROR(__xludf.DUMMYFUNCTION("GOOGLETRANSLATE(B5045,""en"",""es-ES"")"),"El hombre luego se afeita por todo el perro mientras se detiene para hablar con la cámara y acariciar al perro.")</f>
        <v>El hombre luego se afeita por todo el perro mientras se detiene para hablar con la cámara y acariciar al perro.</v>
      </c>
    </row>
    <row r="5046">
      <c r="A5046" s="4" t="s">
        <v>6341</v>
      </c>
      <c r="B5046" s="4" t="s">
        <v>6342</v>
      </c>
      <c r="C5046" s="5" t="str">
        <f>IFERROR(__xludf.DUMMYFUNCTION("GOOGLETRANSLATE(B5046,""en"",""es-ES"")"),"Una mujer está haciendo trucos con su cuerda de salto.")</f>
        <v>Una mujer está haciendo trucos con su cuerda de salto.</v>
      </c>
    </row>
    <row r="5047">
      <c r="A5047" s="4" t="s">
        <v>6341</v>
      </c>
      <c r="B5047" s="4" t="s">
        <v>6343</v>
      </c>
      <c r="C5047" s="5" t="str">
        <f>IFERROR(__xludf.DUMMYFUNCTION("GOOGLETRANSLATE(B5047,""en"",""es-ES"")"),"Ella hace un soporte para la mano mientras salta de cuerda.")</f>
        <v>Ella hace un soporte para la mano mientras salta de cuerda.</v>
      </c>
    </row>
    <row r="5048">
      <c r="A5048" s="4" t="s">
        <v>6341</v>
      </c>
      <c r="B5048" s="4" t="s">
        <v>6344</v>
      </c>
      <c r="C5048" s="5" t="str">
        <f>IFERROR(__xludf.DUMMYFUNCTION("GOOGLETRANSLATE(B5048,""en"",""es-ES"")"),"Ella hace un volteo delantero mientras salta de cuerda.")</f>
        <v>Ella hace un volteo delantero mientras salta de cuerda.</v>
      </c>
    </row>
    <row r="5049">
      <c r="A5049" s="4" t="s">
        <v>6341</v>
      </c>
      <c r="B5049" s="4" t="s">
        <v>6345</v>
      </c>
      <c r="C5049" s="5" t="str">
        <f>IFERROR(__xludf.DUMMYFUNCTION("GOOGLETRANSLATE(B5049,""en"",""es-ES"")"),"Ella se detiene y camina hacia adelante.")</f>
        <v>Ella se detiene y camina hacia adelante.</v>
      </c>
    </row>
    <row r="5050">
      <c r="A5050" s="4" t="s">
        <v>6346</v>
      </c>
      <c r="B5050" s="4" t="s">
        <v>1251</v>
      </c>
      <c r="C5050" s="5" t="str">
        <f>IFERROR(__xludf.DUMMYFUNCTION("GOOGLETRANSLATE(B5050,""en"",""es-ES"")"),"Se muestran los créditos del clip.")</f>
        <v>Se muestran los créditos del clip.</v>
      </c>
    </row>
    <row r="5051">
      <c r="A5051" s="4" t="s">
        <v>6346</v>
      </c>
      <c r="B5051" s="4" t="s">
        <v>6347</v>
      </c>
      <c r="C5051" s="5" t="str">
        <f>IFERROR(__xludf.DUMMYFUNCTION("GOOGLETRANSLATE(B5051,""en"",""es-ES"")"),"Las personas están cargando neumáticos inflados en el cuerpo de agua.")</f>
        <v>Las personas están cargando neumáticos inflados en el cuerpo de agua.</v>
      </c>
    </row>
    <row r="5052">
      <c r="A5052" s="4" t="s">
        <v>6346</v>
      </c>
      <c r="B5052" s="4" t="s">
        <v>6348</v>
      </c>
      <c r="C5052" s="5" t="str">
        <f>IFERROR(__xludf.DUMMYFUNCTION("GOOGLETRANSLATE(B5052,""en"",""es-ES"")"),"La gente está flotando en neumáticos inflados.")</f>
        <v>La gente está flotando en neumáticos inflados.</v>
      </c>
    </row>
    <row r="5053">
      <c r="A5053" s="4" t="s">
        <v>6346</v>
      </c>
      <c r="B5053" s="4" t="s">
        <v>6349</v>
      </c>
      <c r="C5053" s="5" t="str">
        <f>IFERROR(__xludf.DUMMYFUNCTION("GOOGLETRANSLATE(B5053,""en"",""es-ES"")"),"La gente está rociando armas de agua alargadas.")</f>
        <v>La gente está rociando armas de agua alargadas.</v>
      </c>
    </row>
    <row r="5054">
      <c r="A5054" s="4" t="s">
        <v>6346</v>
      </c>
      <c r="B5054" s="4" t="s">
        <v>6350</v>
      </c>
      <c r="C5054" s="5" t="str">
        <f>IFERROR(__xludf.DUMMYFUNCTION("GOOGLETRANSLATE(B5054,""en"",""es-ES"")"),"La gente está remando en canoas por el cuerpo de agua.")</f>
        <v>La gente está remando en canoas por el cuerpo de agua.</v>
      </c>
    </row>
    <row r="5055">
      <c r="A5055" s="4" t="s">
        <v>6346</v>
      </c>
      <c r="B5055" s="4" t="s">
        <v>6351</v>
      </c>
      <c r="C5055" s="5" t="str">
        <f>IFERROR(__xludf.DUMMYFUNCTION("GOOGLETRANSLATE(B5055,""en"",""es-ES"")"),"Un chico presenta su lata de cerveza.")</f>
        <v>Un chico presenta su lata de cerveza.</v>
      </c>
    </row>
    <row r="5056">
      <c r="A5056" s="4" t="s">
        <v>6346</v>
      </c>
      <c r="B5056" s="4" t="s">
        <v>6352</v>
      </c>
      <c r="C5056" s="5" t="str">
        <f>IFERROR(__xludf.DUMMYFUNCTION("GOOGLETRANSLATE(B5056,""en"",""es-ES"")"),"La velocidad del video se acelera.")</f>
        <v>La velocidad del video se acelera.</v>
      </c>
    </row>
    <row r="5057">
      <c r="A5057" s="4" t="s">
        <v>6353</v>
      </c>
      <c r="B5057" s="4" t="s">
        <v>6354</v>
      </c>
      <c r="C5057" s="5" t="str">
        <f>IFERROR(__xludf.DUMMYFUNCTION("GOOGLETRANSLATE(B5057,""en"",""es-ES"")"),"Los niños juegan lacrosse en un campo.")</f>
        <v>Los niños juegan lacrosse en un campo.</v>
      </c>
    </row>
    <row r="5058">
      <c r="A5058" s="4" t="s">
        <v>6353</v>
      </c>
      <c r="B5058" s="4" t="s">
        <v>6355</v>
      </c>
      <c r="C5058" s="5" t="str">
        <f>IFERROR(__xludf.DUMMYFUNCTION("GOOGLETRANSLATE(B5058,""en"",""es-ES"")"),"Una mujer con una chaqueta azul está parada en el campo mirándolos.")</f>
        <v>Una mujer con una chaqueta azul está parada en el campo mirándolos.</v>
      </c>
    </row>
    <row r="5059">
      <c r="A5059" s="4" t="s">
        <v>6353</v>
      </c>
      <c r="B5059" s="4" t="s">
        <v>6356</v>
      </c>
      <c r="C5059" s="5" t="str">
        <f>IFERROR(__xludf.DUMMYFUNCTION("GOOGLETRANSLATE(B5059,""en"",""es-ES"")"),"Los niños persiguen una bola amarilla.")</f>
        <v>Los niños persiguen una bola amarilla.</v>
      </c>
    </row>
    <row r="5060">
      <c r="A5060" s="4" t="s">
        <v>6357</v>
      </c>
      <c r="B5060" s="4" t="s">
        <v>6358</v>
      </c>
      <c r="C5060" s="5" t="str">
        <f>IFERROR(__xludf.DUMMYFUNCTION("GOOGLETRANSLATE(B5060,""en"",""es-ES"")"),"Una mujer comienza a correr por una pista.")</f>
        <v>Una mujer comienza a correr por una pista.</v>
      </c>
    </row>
    <row r="5061">
      <c r="A5061" s="4" t="s">
        <v>6357</v>
      </c>
      <c r="B5061" s="4" t="s">
        <v>6359</v>
      </c>
      <c r="C5061" s="5" t="str">
        <f>IFERROR(__xludf.DUMMYFUNCTION("GOOGLETRANSLATE(B5061,""en"",""es-ES"")"),"Ella arroja una jabalina al campo.")</f>
        <v>Ella arroja una jabalina al campo.</v>
      </c>
    </row>
    <row r="5062">
      <c r="A5062" s="4" t="s">
        <v>6357</v>
      </c>
      <c r="B5062" s="4" t="s">
        <v>6360</v>
      </c>
      <c r="C5062" s="5" t="str">
        <f>IFERROR(__xludf.DUMMYFUNCTION("GOOGLETRANSLATE(B5062,""en"",""es-ES"")"),"Ella le da a alguien detrás de ella un máximo.")</f>
        <v>Ella le da a alguien detrás de ella un máximo.</v>
      </c>
    </row>
    <row r="5063">
      <c r="A5063" s="4" t="s">
        <v>6361</v>
      </c>
      <c r="B5063" s="4" t="s">
        <v>6362</v>
      </c>
      <c r="C5063" s="5" t="str">
        <f>IFERROR(__xludf.DUMMYFUNCTION("GOOGLETRANSLATE(B5063,""en"",""es-ES"")"),"Estas personas se muestran haciendo ejercicio en las bicicletas de ejercicios.")</f>
        <v>Estas personas se muestran haciendo ejercicio en las bicicletas de ejercicios.</v>
      </c>
    </row>
    <row r="5064">
      <c r="A5064" s="4" t="s">
        <v>6361</v>
      </c>
      <c r="B5064" s="4" t="s">
        <v>6363</v>
      </c>
      <c r="C5064" s="5" t="str">
        <f>IFERROR(__xludf.DUMMYFUNCTION("GOOGLETRANSLATE(B5064,""en"",""es-ES"")"),"Estas personas están pedaleando usando solo una pierna y están parados en el medio de la bicicleta con la otra sosteniendo las manos en alto.")</f>
        <v>Estas personas están pedaleando usando solo una pierna y están parados en el medio de la bicicleta con la otra sosteniendo las manos en alto.</v>
      </c>
    </row>
    <row r="5065">
      <c r="A5065" s="4" t="s">
        <v>6361</v>
      </c>
      <c r="B5065" s="4" t="s">
        <v>6364</v>
      </c>
      <c r="C5065" s="5" t="str">
        <f>IFERROR(__xludf.DUMMYFUNCTION("GOOGLETRANSLATE(B5065,""en"",""es-ES"")"),"Luego hacen un ejercicio diferente donde ponen un pie en el pedal, mientras tienen un pie y rebotan hacia arriba y hacia abajo.")</f>
        <v>Luego hacen un ejercicio diferente donde ponen un pie en el pedal, mientras tienen un pie y rebotan hacia arriba y hacia abajo.</v>
      </c>
    </row>
    <row r="5066">
      <c r="A5066" s="4" t="s">
        <v>6365</v>
      </c>
      <c r="B5066" s="4" t="s">
        <v>6366</v>
      </c>
      <c r="C5066" s="5" t="str">
        <f>IFERROR(__xludf.DUMMYFUNCTION("GOOGLETRANSLATE(B5066,""en"",""es-ES"")"),"Una mujer se para en el frente a una joven y habla.")</f>
        <v>Una mujer se para en el frente a una joven y habla.</v>
      </c>
    </row>
    <row r="5067">
      <c r="A5067" s="4" t="s">
        <v>6365</v>
      </c>
      <c r="B5067" s="4" t="s">
        <v>6367</v>
      </c>
      <c r="C5067" s="5" t="str">
        <f>IFERROR(__xludf.DUMMYFUNCTION("GOOGLETRANSLATE(B5067,""en"",""es-ES"")"),"Luego, la mujer y la joven realizan ejercicios de acondicionamiento físico mientras la mujer habla.")</f>
        <v>Luego, la mujer y la joven realizan ejercicios de acondicionamiento físico mientras la mujer habla.</v>
      </c>
    </row>
    <row r="5068">
      <c r="A5068" s="4" t="s">
        <v>6365</v>
      </c>
      <c r="B5068" s="4" t="s">
        <v>6368</v>
      </c>
      <c r="C5068" s="5" t="str">
        <f>IFERROR(__xludf.DUMMYFUNCTION("GOOGLETRANSLATE(B5068,""en"",""es-ES"")"),"Después, la mujer y la joven dama dejan de hacer ejercicio, y la mujer habla mientras hace gestos con las manos.")</f>
        <v>Después, la mujer y la joven dama dejan de hacer ejercicio, y la mujer habla mientras hace gestos con las manos.</v>
      </c>
    </row>
    <row r="5069">
      <c r="A5069" s="4" t="s">
        <v>6369</v>
      </c>
      <c r="B5069" s="4" t="s">
        <v>6370</v>
      </c>
      <c r="C5069" s="5" t="str">
        <f>IFERROR(__xludf.DUMMYFUNCTION("GOOGLETRANSLATE(B5069,""en"",""es-ES"")"),"Una dama que trabaja en un casino te muestra cómo tocar Black Jack.")</f>
        <v>Una dama que trabaja en un casino te muestra cómo tocar Black Jack.</v>
      </c>
    </row>
    <row r="5070">
      <c r="A5070" s="4" t="s">
        <v>6369</v>
      </c>
      <c r="B5070" s="4" t="s">
        <v>6371</v>
      </c>
      <c r="C5070" s="5" t="str">
        <f>IFERROR(__xludf.DUMMYFUNCTION("GOOGLETRANSLATE(B5070,""en"",""es-ES"")"),"La señora trata de dos cartas cada 5 veces y se ocupa de su tarjeta.")</f>
        <v>La señora trata de dos cartas cada 5 veces y se ocupa de su tarjeta.</v>
      </c>
    </row>
    <row r="5071">
      <c r="A5071" s="4" t="s">
        <v>6369</v>
      </c>
      <c r="B5071" s="4" t="s">
        <v>6372</v>
      </c>
      <c r="C5071" s="5" t="str">
        <f>IFERROR(__xludf.DUMMYFUNCTION("GOOGLETRANSLATE(B5071,""en"",""es-ES"")"),"Luego, la señora explica lo que se le permite hacer con las cartas con las que se ocupó, ella también reparte dos cartas más en cada mazo.")</f>
        <v>Luego, la señora explica lo que se le permite hacer con las cartas con las que se ocupó, ella también reparte dos cartas más en cada mazo.</v>
      </c>
    </row>
    <row r="5072">
      <c r="A5072" s="4" t="s">
        <v>6369</v>
      </c>
      <c r="B5072" s="4" t="s">
        <v>6373</v>
      </c>
      <c r="C5072" s="5" t="str">
        <f>IFERROR(__xludf.DUMMYFUNCTION("GOOGLETRANSLATE(B5072,""en"",""es-ES"")"),"Finalmente, ella se ocupa de dos cartas más y muestra el resultado al agregar chips a las áreas en las que trató la tarjeta desde el principio.")</f>
        <v>Finalmente, ella se ocupa de dos cartas más y muestra el resultado al agregar chips a las áreas en las que trató la tarjeta desde el principio.</v>
      </c>
    </row>
    <row r="5073">
      <c r="A5073" s="4" t="s">
        <v>6369</v>
      </c>
      <c r="B5073" s="4" t="s">
        <v>6374</v>
      </c>
      <c r="C5073" s="5" t="str">
        <f>IFERROR(__xludf.DUMMYFUNCTION("GOOGLETRANSLATE(B5073,""en"",""es-ES"")"),"La señora luego recoge todas las cartas sobre la mesa y la ronda ha terminado.")</f>
        <v>La señora luego recoge todas las cartas sobre la mesa y la ronda ha terminado.</v>
      </c>
    </row>
    <row r="5074">
      <c r="A5074" s="4" t="s">
        <v>6375</v>
      </c>
      <c r="B5074" s="4" t="s">
        <v>6376</v>
      </c>
      <c r="C5074" s="5" t="str">
        <f>IFERROR(__xludf.DUMMYFUNCTION("GOOGLETRANSLATE(B5074,""en"",""es-ES"")"),"El primer clip del video muestra la secuencia del título.")</f>
        <v>El primer clip del video muestra la secuencia del título.</v>
      </c>
    </row>
    <row r="5075">
      <c r="A5075" s="4" t="s">
        <v>6375</v>
      </c>
      <c r="B5075" s="4" t="s">
        <v>6377</v>
      </c>
      <c r="C5075" s="5" t="str">
        <f>IFERROR(__xludf.DUMMYFUNCTION("GOOGLETRANSLATE(B5075,""en"",""es-ES"")"),"Luego se muestra un hombre en una tienda de bolos que habla con la cámara.")</f>
        <v>Luego se muestra un hombre en una tienda de bolos que habla con la cámara.</v>
      </c>
    </row>
    <row r="5076">
      <c r="A5076" s="4" t="s">
        <v>6375</v>
      </c>
      <c r="B5076" s="4" t="s">
        <v>6378</v>
      </c>
      <c r="C5076" s="5" t="str">
        <f>IFERROR(__xludf.DUMMYFUNCTION("GOOGLETRANSLATE(B5076,""en"",""es-ES"")"),"Otra diapositiva de título presenta el siguiente clip.")</f>
        <v>Otra diapositiva de título presenta el siguiente clip.</v>
      </c>
    </row>
    <row r="5077">
      <c r="A5077" s="4" t="s">
        <v>6375</v>
      </c>
      <c r="B5077" s="4" t="s">
        <v>6379</v>
      </c>
      <c r="C5077" s="5" t="str">
        <f>IFERROR(__xludf.DUMMYFUNCTION("GOOGLETRANSLATE(B5077,""en"",""es-ES"")"),"Mientras el hombre habla con la cámara, se muestran varios clips de un hombre rodando una pelota de bolos por el carril.")</f>
        <v>Mientras el hombre habla con la cámara, se muestran varios clips de un hombre rodando una pelota de bolos por el carril.</v>
      </c>
    </row>
    <row r="5078">
      <c r="A5078" s="4" t="s">
        <v>6375</v>
      </c>
      <c r="B5078" s="4" t="s">
        <v>6380</v>
      </c>
      <c r="C5078" s="5" t="str">
        <f>IFERROR(__xludf.DUMMYFUNCTION("GOOGLETRANSLATE(B5078,""en"",""es-ES"")"),"El video termina con un clip que muestra el logotipo de título y la información del sitio web.")</f>
        <v>El video termina con un clip que muestra el logotipo de título y la información del sitio web.</v>
      </c>
    </row>
    <row r="5079">
      <c r="A5079" s="4" t="s">
        <v>6381</v>
      </c>
      <c r="B5079" s="4" t="s">
        <v>6382</v>
      </c>
      <c r="C5079" s="5" t="str">
        <f>IFERROR(__xludf.DUMMYFUNCTION("GOOGLETRANSLATE(B5079,""en"",""es-ES"")"),"Un hombre empuja a un niño en el swing de una gran área del parque.")</f>
        <v>Un hombre empuja a un niño en el swing de una gran área del parque.</v>
      </c>
    </row>
    <row r="5080">
      <c r="A5080" s="4" t="s">
        <v>6381</v>
      </c>
      <c r="B5080" s="4" t="s">
        <v>6383</v>
      </c>
      <c r="C5080" s="5" t="str">
        <f>IFERROR(__xludf.DUMMYFUNCTION("GOOGLETRANSLATE(B5080,""en"",""es-ES"")"),"El hombre sostiene el columpio y detiene al niño.")</f>
        <v>El hombre sostiene el columpio y detiene al niño.</v>
      </c>
    </row>
    <row r="5081">
      <c r="A5081" s="4" t="s">
        <v>6381</v>
      </c>
      <c r="B5081" s="4" t="s">
        <v>6384</v>
      </c>
      <c r="C5081" s="5" t="str">
        <f>IFERROR(__xludf.DUMMYFUNCTION("GOOGLETRANSLATE(B5081,""en"",""es-ES"")"),"El hombre empuja el columpio para que el niño comience de nuevo.")</f>
        <v>El hombre empuja el columpio para que el niño comience de nuevo.</v>
      </c>
    </row>
    <row r="5082">
      <c r="A5082" s="4" t="s">
        <v>6385</v>
      </c>
      <c r="B5082" s="4" t="s">
        <v>6386</v>
      </c>
      <c r="C5082" s="5" t="str">
        <f>IFERROR(__xludf.DUMMYFUNCTION("GOOGLETRANSLATE(B5082,""en"",""es-ES"")"),"Un hombre en una parte superior de construcción amarilla está pintando el beige de la pared.")</f>
        <v>Un hombre en una parte superior de construcción amarilla está pintando el beige de la pared.</v>
      </c>
    </row>
    <row r="5083">
      <c r="A5083" s="4" t="s">
        <v>6385</v>
      </c>
      <c r="B5083" s="4" t="s">
        <v>6387</v>
      </c>
      <c r="C5083" s="5" t="str">
        <f>IFERROR(__xludf.DUMMYFUNCTION("GOOGLETRANSLATE(B5083,""en"",""es-ES"")"),"Él va de abajo hacia arriba y toma más pintura en su herramienta.")</f>
        <v>Él va de abajo hacia arriba y toma más pintura en su herramienta.</v>
      </c>
    </row>
    <row r="5084">
      <c r="A5084" s="4" t="s">
        <v>6385</v>
      </c>
      <c r="B5084" s="4" t="s">
        <v>6388</v>
      </c>
      <c r="C5084" s="5" t="str">
        <f>IFERROR(__xludf.DUMMYFUNCTION("GOOGLETRANSLATE(B5084,""en"",""es-ES"")"),"Está progresando a través de la pared bastante rápido de la forma en que lo está haciendo.")</f>
        <v>Está progresando a través de la pared bastante rápido de la forma en que lo está haciendo.</v>
      </c>
    </row>
    <row r="5085">
      <c r="A5085" s="4" t="s">
        <v>6385</v>
      </c>
      <c r="B5085" s="4" t="s">
        <v>6389</v>
      </c>
      <c r="C5085" s="5" t="str">
        <f>IFERROR(__xludf.DUMMYFUNCTION("GOOGLETRANSLATE(B5085,""en"",""es-ES"")"),"Él lo hace a mitad de camino a través de la pared, pero la parte inferior de la pared sigue siendo blanca.")</f>
        <v>Él lo hace a mitad de camino a través de la pared, pero la parte inferior de la pared sigue siendo blanca.</v>
      </c>
    </row>
    <row r="5086">
      <c r="A5086" s="4" t="s">
        <v>6390</v>
      </c>
      <c r="B5086" s="4" t="s">
        <v>6391</v>
      </c>
      <c r="C5086" s="5" t="str">
        <f>IFERROR(__xludf.DUMMYFUNCTION("GOOGLETRANSLATE(B5086,""en"",""es-ES"")"),"Un gráfico presenta el video de lavado de autos de mano.")</f>
        <v>Un gráfico presenta el video de lavado de autos de mano.</v>
      </c>
    </row>
    <row r="5087">
      <c r="A5087" s="4" t="s">
        <v>6390</v>
      </c>
      <c r="B5087" s="4" t="s">
        <v>6392</v>
      </c>
      <c r="C5087" s="5" t="str">
        <f>IFERROR(__xludf.DUMMYFUNCTION("GOOGLETRANSLATE(B5087,""en"",""es-ES"")"),"El auto se lava primero suavemente con jabón.")</f>
        <v>El auto se lava primero suavemente con jabón.</v>
      </c>
    </row>
    <row r="5088">
      <c r="A5088" s="4" t="s">
        <v>6390</v>
      </c>
      <c r="B5088" s="4" t="s">
        <v>6393</v>
      </c>
      <c r="C5088" s="5" t="str">
        <f>IFERROR(__xludf.DUMMYFUNCTION("GOOGLETRANSLATE(B5088,""en"",""es-ES"")"),"A continuación, los neumáticos están enjabonados y se lavan a fondo.")</f>
        <v>A continuación, los neumáticos están enjabonados y se lavan a fondo.</v>
      </c>
    </row>
    <row r="5089">
      <c r="A5089" s="4" t="s">
        <v>6390</v>
      </c>
      <c r="B5089" s="4" t="s">
        <v>6394</v>
      </c>
      <c r="C5089" s="5" t="str">
        <f>IFERROR(__xludf.DUMMYFUNCTION("GOOGLETRANSLATE(B5089,""en"",""es-ES"")"),"Después de eso, el motor del automóvil se limpia vapor.")</f>
        <v>Después de eso, el motor del automóvil se limpia vapor.</v>
      </c>
    </row>
    <row r="5090">
      <c r="A5090" s="4" t="s">
        <v>6390</v>
      </c>
      <c r="B5090" s="4" t="s">
        <v>6395</v>
      </c>
      <c r="C5090" s="5" t="str">
        <f>IFERROR(__xludf.DUMMYFUNCTION("GOOGLETRANSLATE(B5090,""en"",""es-ES"")"),"Se aplica un enjuague libre final y el automóvil se seca.")</f>
        <v>Se aplica un enjuague libre final y el automóvil se seca.</v>
      </c>
    </row>
    <row r="5091">
      <c r="A5091" s="4" t="s">
        <v>6396</v>
      </c>
      <c r="B5091" s="4" t="s">
        <v>6397</v>
      </c>
      <c r="C5091" s="5" t="str">
        <f>IFERROR(__xludf.DUMMYFUNCTION("GOOGLETRANSLATE(B5091,""en"",""es-ES"")"),"Se ve a un hombre parado dentro de una habitación grande y comienza a golpear una pelota contra una pared con una raqueta de tenis.")</f>
        <v>Se ve a un hombre parado dentro de una habitación grande y comienza a golpear una pelota contra una pared con una raqueta de tenis.</v>
      </c>
    </row>
    <row r="5092">
      <c r="A5092" s="4" t="s">
        <v>6396</v>
      </c>
      <c r="B5092" s="4" t="s">
        <v>6398</v>
      </c>
      <c r="C5092" s="5" t="str">
        <f>IFERROR(__xludf.DUMMYFUNCTION("GOOGLETRANSLATE(B5092,""en"",""es-ES"")"),"Se muestran más tiros de él golpeando la pelota en la habitación y la pelota regresa a él al final.")</f>
        <v>Se muestran más tiros de él golpeando la pelota en la habitación y la pelota regresa a él al final.</v>
      </c>
    </row>
    <row r="5093">
      <c r="A5093" s="4" t="s">
        <v>6399</v>
      </c>
      <c r="B5093" s="4" t="s">
        <v>6400</v>
      </c>
      <c r="C5093" s="5" t="str">
        <f>IFERROR(__xludf.DUMMYFUNCTION("GOOGLETRANSLATE(B5093,""en"",""es-ES"")"),"Se muestra un vaso de tequila amanecer.")</f>
        <v>Se muestra un vaso de tequila amanecer.</v>
      </c>
    </row>
    <row r="5094">
      <c r="A5094" s="4" t="s">
        <v>6399</v>
      </c>
      <c r="B5094" s="4" t="s">
        <v>6401</v>
      </c>
      <c r="C5094" s="5" t="str">
        <f>IFERROR(__xludf.DUMMYFUNCTION("GOOGLETRANSLATE(B5094,""en"",""es-ES"")"),"Un hombre está hablando frente a una exhibición de bebidas alcohólicas.")</f>
        <v>Un hombre está hablando frente a una exhibición de bebidas alcohólicas.</v>
      </c>
    </row>
    <row r="5095">
      <c r="A5095" s="4" t="s">
        <v>6399</v>
      </c>
      <c r="B5095" s="4" t="s">
        <v>6402</v>
      </c>
      <c r="C5095" s="5" t="str">
        <f>IFERROR(__xludf.DUMMYFUNCTION("GOOGLETRANSLATE(B5095,""en"",""es-ES"")"),"Coloca los ingredientes de alcohol y jugo en una mesa, agregó los ingredientes, así como la granadina a un vaso alto con hielo.")</f>
        <v>Coloca los ingredientes de alcohol y jugo en una mesa, agregó los ingredientes, así como la granadina a un vaso alto con hielo.</v>
      </c>
    </row>
    <row r="5096">
      <c r="A5096" s="4" t="s">
        <v>6399</v>
      </c>
      <c r="B5096" s="4" t="s">
        <v>6403</v>
      </c>
      <c r="C5096" s="5" t="str">
        <f>IFERROR(__xludf.DUMMYFUNCTION("GOOGLETRANSLATE(B5096,""en"",""es-ES"")"),"Muestra la hermosa bebida en la mesa.")</f>
        <v>Muestra la hermosa bebida en la mesa.</v>
      </c>
    </row>
    <row r="5097">
      <c r="A5097" s="4" t="s">
        <v>6404</v>
      </c>
      <c r="B5097" s="4" t="s">
        <v>6405</v>
      </c>
      <c r="C5097" s="5" t="str">
        <f>IFERROR(__xludf.DUMMYFUNCTION("GOOGLETRANSLATE(B5097,""en"",""es-ES"")"),"Un niño está hablando frente a una cámara en su habitación.")</f>
        <v>Un niño está hablando frente a una cámara en su habitación.</v>
      </c>
    </row>
    <row r="5098">
      <c r="A5098" s="4" t="s">
        <v>6404</v>
      </c>
      <c r="B5098" s="4" t="s">
        <v>6406</v>
      </c>
      <c r="C5098" s="5" t="str">
        <f>IFERROR(__xludf.DUMMYFUNCTION("GOOGLETRANSLATE(B5098,""en"",""es-ES"")"),"Él fuma un cigarrillo, luego le quita el humo de la boca.")</f>
        <v>Él fuma un cigarrillo, luego le quita el humo de la boca.</v>
      </c>
    </row>
    <row r="5099">
      <c r="A5099" s="4" t="s">
        <v>6404</v>
      </c>
      <c r="B5099" s="4" t="s">
        <v>6407</v>
      </c>
      <c r="C5099" s="5" t="str">
        <f>IFERROR(__xludf.DUMMYFUNCTION("GOOGLETRANSLATE(B5099,""en"",""es-ES"")"),"Comienza a hacer anillos mientras sopla el humo.")</f>
        <v>Comienza a hacer anillos mientras sopla el humo.</v>
      </c>
    </row>
    <row r="5100">
      <c r="A5100" s="4" t="s">
        <v>6408</v>
      </c>
      <c r="B5100" s="4" t="s">
        <v>6409</v>
      </c>
      <c r="C5100" s="5" t="str">
        <f>IFERROR(__xludf.DUMMYFUNCTION("GOOGLETRANSLATE(B5100,""en"",""es-ES"")"),"Una mujer está sentada como una persona con manos enguantadas inserta un agujero en su lengua.")</f>
        <v>Una mujer está sentada como una persona con manos enguantadas inserta un agujero en su lengua.</v>
      </c>
    </row>
    <row r="5101">
      <c r="A5101" s="4" t="s">
        <v>6408</v>
      </c>
      <c r="B5101" s="4" t="s">
        <v>6410</v>
      </c>
      <c r="C5101" s="5" t="str">
        <f>IFERROR(__xludf.DUMMYFUNCTION("GOOGLETRANSLATE(B5101,""en"",""es-ES"")"),"La persona aprieta la lengua, luego inserta una perforación.")</f>
        <v>La persona aprieta la lengua, luego inserta una perforación.</v>
      </c>
    </row>
    <row r="5102">
      <c r="A5102" s="4" t="s">
        <v>6408</v>
      </c>
      <c r="B5102" s="4" t="s">
        <v>6411</v>
      </c>
      <c r="C5102" s="5" t="str">
        <f>IFERROR(__xludf.DUMMYFUNCTION("GOOGLETRANSLATE(B5102,""en"",""es-ES"")"),"Luego se le muestra sonriendo y mostrando su semental.")</f>
        <v>Luego se le muestra sonriendo y mostrando su semental.</v>
      </c>
    </row>
    <row r="5103">
      <c r="A5103" s="4" t="s">
        <v>6412</v>
      </c>
      <c r="B5103" s="4" t="s">
        <v>6413</v>
      </c>
      <c r="C5103" s="5" t="str">
        <f>IFERROR(__xludf.DUMMYFUNCTION("GOOGLETRANSLATE(B5103,""en"",""es-ES"")"),"Varios luchadores se muestran alineados en un juego con una persona que elige a sus personajes.")</f>
        <v>Varios luchadores se muestran alineados en un juego con una persona que elige a sus personajes.</v>
      </c>
    </row>
    <row r="5104">
      <c r="A5104" s="4" t="s">
        <v>6412</v>
      </c>
      <c r="B5104" s="4" t="s">
        <v>6414</v>
      </c>
      <c r="C5104" s="5" t="str">
        <f>IFERROR(__xludf.DUMMYFUNCTION("GOOGLETRANSLATE(B5104,""en"",""es-ES"")"),"El juego se carga en personas luchando entre sí en un anillo.")</f>
        <v>El juego se carga en personas luchando entre sí en un anillo.</v>
      </c>
    </row>
    <row r="5105">
      <c r="A5105" s="4" t="s">
        <v>6412</v>
      </c>
      <c r="B5105" s="4" t="s">
        <v>6415</v>
      </c>
      <c r="C5105" s="5" t="str">
        <f>IFERROR(__xludf.DUMMYFUNCTION("GOOGLETRANSLATE(B5105,""en"",""es-ES"")"),"Los hombres continúan luchando en el juego y terminan mirando a un jugador.")</f>
        <v>Los hombres continúan luchando en el juego y terminan mirando a un jugador.</v>
      </c>
    </row>
    <row r="5106">
      <c r="A5106" s="4" t="s">
        <v>6416</v>
      </c>
      <c r="B5106" s="4" t="s">
        <v>6417</v>
      </c>
      <c r="C5106" s="5" t="str">
        <f>IFERROR(__xludf.DUMMYFUNCTION("GOOGLETRANSLATE(B5106,""en"",""es-ES"")"),"Hay un hombre que demuestra cómo derretir cera y cubrir las superficies con cera con un hierro.")</f>
        <v>Hay un hombre que demuestra cómo derretir cera y cubrir las superficies con cera con un hierro.</v>
      </c>
    </row>
    <row r="5107">
      <c r="A5107" s="4" t="s">
        <v>6416</v>
      </c>
      <c r="B5107" s="4" t="s">
        <v>6418</v>
      </c>
      <c r="C5107" s="5" t="str">
        <f>IFERROR(__xludf.DUMMYFUNCTION("GOOGLETRANSLATE(B5107,""en"",""es-ES"")"),"Él derrite un trozo de cera contra la superficie calentada del hierro.")</f>
        <v>Él derrite un trozo de cera contra la superficie calentada del hierro.</v>
      </c>
    </row>
    <row r="5108">
      <c r="A5108" s="4" t="s">
        <v>6416</v>
      </c>
      <c r="B5108" s="4" t="s">
        <v>6419</v>
      </c>
      <c r="C5108" s="5" t="str">
        <f>IFERROR(__xludf.DUMMYFUNCTION("GOOGLETRANSLATE(B5108,""en"",""es-ES"")"),"Luego mancha la cera y se cubre en una superficie.")</f>
        <v>Luego mancha la cera y se cubre en una superficie.</v>
      </c>
    </row>
    <row r="5109">
      <c r="A5109" s="4" t="s">
        <v>6416</v>
      </c>
      <c r="B5109" s="4" t="s">
        <v>6420</v>
      </c>
      <c r="C5109" s="5" t="str">
        <f>IFERROR(__xludf.DUMMYFUNCTION("GOOGLETRANSLATE(B5109,""en"",""es-ES"")"),"Después de que la cera se enfría y se solidifica, la raspa de la superficie.")</f>
        <v>Después de que la cera se enfría y se solidifica, la raspa de la superficie.</v>
      </c>
    </row>
    <row r="5110">
      <c r="A5110" s="4" t="s">
        <v>6421</v>
      </c>
      <c r="B5110" s="4" t="s">
        <v>6422</v>
      </c>
      <c r="C5110" s="5" t="str">
        <f>IFERROR(__xludf.DUMMYFUNCTION("GOOGLETRANSLATE(B5110,""en"",""es-ES"")"),"Un grupo de hombres está corriendo por un gimnasio.")</f>
        <v>Un grupo de hombres está corriendo por un gimnasio.</v>
      </c>
    </row>
    <row r="5111">
      <c r="A5111" s="4" t="s">
        <v>6421</v>
      </c>
      <c r="B5111" s="4" t="s">
        <v>6423</v>
      </c>
      <c r="C5111" s="5" t="str">
        <f>IFERROR(__xludf.DUMMYFUNCTION("GOOGLETRANSLATE(B5111,""en"",""es-ES"")"),"Se quedan sin un anillo juntos.")</f>
        <v>Se quedan sin un anillo juntos.</v>
      </c>
    </row>
    <row r="5112">
      <c r="A5112" s="4" t="s">
        <v>6421</v>
      </c>
      <c r="B5112" s="4" t="s">
        <v>6424</v>
      </c>
      <c r="C5112" s="5" t="str">
        <f>IFERROR(__xludf.DUMMYFUNCTION("GOOGLETRANSLATE(B5112,""en"",""es-ES"")"),"Luego se involucran en un partido de lucha libre.")</f>
        <v>Luego se involucran en un partido de lucha libre.</v>
      </c>
    </row>
    <row r="5113">
      <c r="A5113" s="4" t="s">
        <v>6425</v>
      </c>
      <c r="B5113" s="4" t="s">
        <v>6426</v>
      </c>
      <c r="C5113" s="5" t="str">
        <f>IFERROR(__xludf.DUMMYFUNCTION("GOOGLETRANSLATE(B5113,""en"",""es-ES"")"),"Un niño habla con la cámara en una playa.")</f>
        <v>Un niño habla con la cámara en una playa.</v>
      </c>
    </row>
    <row r="5114">
      <c r="A5114" s="4" t="s">
        <v>6425</v>
      </c>
      <c r="B5114" s="4" t="s">
        <v>6427</v>
      </c>
      <c r="C5114" s="5" t="str">
        <f>IFERROR(__xludf.DUMMYFUNCTION("GOOGLETRANSLATE(B5114,""en"",""es-ES"")"),"Un hombre camina de derecha a izquierda en el fondo.")</f>
        <v>Un hombre camina de derecha a izquierda en el fondo.</v>
      </c>
    </row>
    <row r="5115">
      <c r="A5115" s="4" t="s">
        <v>6425</v>
      </c>
      <c r="B5115" s="4" t="s">
        <v>6428</v>
      </c>
      <c r="C5115" s="5" t="str">
        <f>IFERROR(__xludf.DUMMYFUNCTION("GOOGLETRANSLATE(B5115,""en"",""es-ES"")"),"El niño interactúa con un hombre frente a un castillo de arena.")</f>
        <v>El niño interactúa con un hombre frente a un castillo de arena.</v>
      </c>
    </row>
    <row r="5116">
      <c r="A5116" s="4" t="s">
        <v>6425</v>
      </c>
      <c r="B5116" s="4" t="s">
        <v>6429</v>
      </c>
      <c r="C5116" s="5" t="str">
        <f>IFERROR(__xludf.DUMMYFUNCTION("GOOGLETRANSLATE(B5116,""en"",""es-ES"")"),"Una mujer camina de derecha a izquierda en el fondo.")</f>
        <v>Una mujer camina de derecha a izquierda en el fondo.</v>
      </c>
    </row>
    <row r="5117">
      <c r="A5117" s="4" t="s">
        <v>6425</v>
      </c>
      <c r="B5117" s="4" t="s">
        <v>6430</v>
      </c>
      <c r="C5117" s="5" t="str">
        <f>IFERROR(__xludf.DUMMYFUNCTION("GOOGLETRANSLATE(B5117,""en"",""es-ES"")"),"Varias imágenes fijas del niño y el hombre, a veces con otras personas, se muestran frente al castillo de arena en varias etapas de finalización.")</f>
        <v>Varias imágenes fijas del niño y el hombre, a veces con otras personas, se muestran frente al castillo de arena en varias etapas de finalización.</v>
      </c>
    </row>
    <row r="5118">
      <c r="A5118" s="4" t="s">
        <v>6425</v>
      </c>
      <c r="B5118" s="4" t="s">
        <v>6431</v>
      </c>
      <c r="C5118" s="5" t="str">
        <f>IFERROR(__xludf.DUMMYFUNCTION("GOOGLETRANSLATE(B5118,""en"",""es-ES"")"),"El niño, ahora con dos hijos más pequeños, interactúa con el hombre que todavía está trabajando en el castillo de arena.")</f>
        <v>El niño, ahora con dos hijos más pequeños, interactúa con el hombre que todavía está trabajando en el castillo de arena.</v>
      </c>
    </row>
    <row r="5119">
      <c r="A5119" s="4" t="s">
        <v>6425</v>
      </c>
      <c r="B5119" s="4" t="s">
        <v>6432</v>
      </c>
      <c r="C5119" s="5" t="str">
        <f>IFERROR(__xludf.DUMMYFUNCTION("GOOGLETRANSLATE(B5119,""en"",""es-ES"")"),"Se muestran más imágenes fijas de varios grupos de personas al lado del castillo de arena.")</f>
        <v>Se muestran más imágenes fijas de varios grupos de personas al lado del castillo de arena.</v>
      </c>
    </row>
    <row r="5120">
      <c r="A5120" s="4" t="s">
        <v>6433</v>
      </c>
      <c r="B5120" s="4" t="s">
        <v>6434</v>
      </c>
      <c r="C5120" s="5" t="str">
        <f>IFERROR(__xludf.DUMMYFUNCTION("GOOGLETRANSLATE(B5120,""en"",""es-ES"")"),"Vemos a los niños lavarse las manos en un salón de clase a sumideros de altura para niños.")</f>
        <v>Vemos a los niños lavarse las manos en un salón de clase a sumideros de altura para niños.</v>
      </c>
    </row>
    <row r="5121">
      <c r="A5121" s="4" t="s">
        <v>6433</v>
      </c>
      <c r="B5121" s="4" t="s">
        <v>6435</v>
      </c>
      <c r="C5121" s="5" t="str">
        <f>IFERROR(__xludf.DUMMYFUNCTION("GOOGLETRANSLATE(B5121,""en"",""es-ES"")"),"Vemos al niño intentar conseguir jabón.")</f>
        <v>Vemos al niño intentar conseguir jabón.</v>
      </c>
    </row>
    <row r="5122">
      <c r="A5122" s="4" t="s">
        <v>6433</v>
      </c>
      <c r="B5122" s="4" t="s">
        <v>6436</v>
      </c>
      <c r="C5122" s="5" t="str">
        <f>IFERROR(__xludf.DUMMYFUNCTION("GOOGLETRANSLATE(B5122,""en"",""es-ES"")"),"El niño usa el dispensador de jabón nuevamente.")</f>
        <v>El niño usa el dispensador de jabón nuevamente.</v>
      </c>
    </row>
    <row r="5123">
      <c r="A5123" s="4" t="s">
        <v>6433</v>
      </c>
      <c r="B5123" s="4" t="s">
        <v>6437</v>
      </c>
      <c r="C5123" s="5" t="str">
        <f>IFERROR(__xludf.DUMMYFUNCTION("GOOGLETRANSLATE(B5123,""en"",""es-ES"")"),"El niño mira la cámara y habla.")</f>
        <v>El niño mira la cámara y habla.</v>
      </c>
    </row>
    <row r="5124">
      <c r="A5124" s="4" t="s">
        <v>6433</v>
      </c>
      <c r="B5124" s="4" t="s">
        <v>6438</v>
      </c>
      <c r="C5124" s="5" t="str">
        <f>IFERROR(__xludf.DUMMYFUNCTION("GOOGLETRANSLATE(B5124,""en"",""es-ES"")"),"Un adulto agarra su mano cuando intenta obtener más jabón.")</f>
        <v>Un adulto agarra su mano cuando intenta obtener más jabón.</v>
      </c>
    </row>
    <row r="5125">
      <c r="A5125" s="4" t="s">
        <v>6439</v>
      </c>
      <c r="B5125" s="4" t="s">
        <v>6440</v>
      </c>
      <c r="C5125" s="5" t="str">
        <f>IFERROR(__xludf.DUMMYFUNCTION("GOOGLETRANSLATE(B5125,""en"",""es-ES"")"),"Una introducción conduce a varios disparos de una pista de bicicleta, así como a las personas que se mueven a lo largo de la pista para correr.")</f>
        <v>Una introducción conduce a varios disparos de una pista de bicicleta, así como a las personas que se mueven a lo largo de la pista para correr.</v>
      </c>
    </row>
    <row r="5126">
      <c r="A5126" s="4" t="s">
        <v>6439</v>
      </c>
      <c r="B5126" s="4" t="s">
        <v>6441</v>
      </c>
      <c r="C5126" s="5" t="str">
        <f>IFERROR(__xludf.DUMMYFUNCTION("GOOGLETRANSLATE(B5126,""en"",""es-ES"")"),"La cámara continúa capturando a las personas que viajan alrededor de la pista en cámara lenta con una persona cayendo y varias mirando a los lados.")</f>
        <v>La cámara continúa capturando a las personas que viajan alrededor de la pista en cámara lenta con una persona cayendo y varias mirando a los lados.</v>
      </c>
    </row>
    <row r="5127">
      <c r="A5127" s="4" t="s">
        <v>6439</v>
      </c>
      <c r="B5127" s="4" t="s">
        <v>6442</v>
      </c>
      <c r="C5127" s="5" t="str">
        <f>IFERROR(__xludf.DUMMYFUNCTION("GOOGLETRANSLATE(B5127,""en"",""es-ES"")"),"La gente luego viaja por la línea de meta y arroja sus brazos hacia el aire.")</f>
        <v>La gente luego viaja por la línea de meta y arroja sus brazos hacia el aire.</v>
      </c>
    </row>
    <row r="5128">
      <c r="A5128" s="4" t="s">
        <v>6443</v>
      </c>
      <c r="B5128" s="4" t="s">
        <v>6444</v>
      </c>
      <c r="C5128" s="5" t="str">
        <f>IFERROR(__xludf.DUMMYFUNCTION("GOOGLETRANSLATE(B5128,""en"",""es-ES"")"),"Una bicicleta volteada hacia abajo está arriba contra la pared a medida que se muestra un cambio de naranja.")</f>
        <v>Una bicicleta volteada hacia abajo está arriba contra la pared a medida que se muestra un cambio de naranja.</v>
      </c>
    </row>
    <row r="5129">
      <c r="A5129" s="4" t="s">
        <v>6443</v>
      </c>
      <c r="B5129" s="4" t="s">
        <v>6445</v>
      </c>
      <c r="C5129" s="5" t="str">
        <f>IFERROR(__xludf.DUMMYFUNCTION("GOOGLETRANSLATE(B5129,""en"",""es-ES"")"),"Una persona luego viene y elimina la cadena de la bicicleta y la coloca en el suelo.")</f>
        <v>Una persona luego viene y elimina la cadena de la bicicleta y la coloca en el suelo.</v>
      </c>
    </row>
    <row r="5130">
      <c r="A5130" s="4" t="s">
        <v>6443</v>
      </c>
      <c r="B5130" s="4" t="s">
        <v>6446</v>
      </c>
      <c r="C5130" s="5" t="str">
        <f>IFERROR(__xludf.DUMMYFUNCTION("GOOGLETRANSLATE(B5130,""en"",""es-ES"")"),"Luego, el hombre saca un criterio y comienza a medir ciertas partes de la bicicleta.")</f>
        <v>Luego, el hombre saca un criterio y comienza a medir ciertas partes de la bicicleta.</v>
      </c>
    </row>
    <row r="5131">
      <c r="A5131" s="4" t="s">
        <v>6443</v>
      </c>
      <c r="B5131" s="4" t="s">
        <v>6447</v>
      </c>
      <c r="C5131" s="5" t="str">
        <f>IFERROR(__xludf.DUMMYFUNCTION("GOOGLETRANSLATE(B5131,""en"",""es-ES"")"),"Luego se retiran las piezas y se apretan con la llave y los anillos se colocan dentro por donde va la cadena.")</f>
        <v>Luego se retiran las piezas y se apretan con la llave y los anillos se colocan dentro por donde va la cadena.</v>
      </c>
    </row>
    <row r="5132">
      <c r="A5132" s="4" t="s">
        <v>6448</v>
      </c>
      <c r="B5132" s="4" t="s">
        <v>6449</v>
      </c>
      <c r="C5132" s="5" t="str">
        <f>IFERROR(__xludf.DUMMYFUNCTION("GOOGLETRANSLATE(B5132,""en"",""es-ES"")"),"Un hombre está haciendo Tai Chi se mueve solo en una playa frente al sol.")</f>
        <v>Un hombre está haciendo Tai Chi se mueve solo en una playa frente al sol.</v>
      </c>
    </row>
    <row r="5133">
      <c r="A5133" s="4" t="s">
        <v>6448</v>
      </c>
      <c r="B5133" s="4" t="s">
        <v>6450</v>
      </c>
      <c r="C5133" s="5" t="str">
        <f>IFERROR(__xludf.DUMMYFUNCTION("GOOGLETRANSLATE(B5133,""en"",""es-ES"")"),"Un grupo de personas vestidas de blanco se une al hombre en la playa y hace los movimientos de artes marciales.")</f>
        <v>Un grupo de personas vestidas de blanco se une al hombre en la playa y hace los movimientos de artes marciales.</v>
      </c>
    </row>
    <row r="5134">
      <c r="A5134" s="4" t="s">
        <v>6448</v>
      </c>
      <c r="B5134" s="4" t="s">
        <v>6451</v>
      </c>
      <c r="C5134" s="5" t="str">
        <f>IFERROR(__xludf.DUMMYFUNCTION("GOOGLETRANSLATE(B5134,""en"",""es-ES"")"),"El hombre está solo haciendo los movimientos.")</f>
        <v>El hombre está solo haciendo los movimientos.</v>
      </c>
    </row>
    <row r="5135">
      <c r="A5135" s="4" t="s">
        <v>6448</v>
      </c>
      <c r="B5135" s="4" t="s">
        <v>6452</v>
      </c>
      <c r="C5135" s="5" t="str">
        <f>IFERROR(__xludf.DUMMYFUNCTION("GOOGLETRANSLATE(B5135,""en"",""es-ES"")"),"La gente está con el hombre haciendo Tai Chi de regreso en la playa.")</f>
        <v>La gente está con el hombre haciendo Tai Chi de regreso en la playa.</v>
      </c>
    </row>
    <row r="5136">
      <c r="A5136" s="4" t="s">
        <v>6448</v>
      </c>
      <c r="B5136" s="4" t="s">
        <v>6453</v>
      </c>
      <c r="C5136" s="5" t="str">
        <f>IFERROR(__xludf.DUMMYFUNCTION("GOOGLETRANSLATE(B5136,""en"",""es-ES"")"),"El hombre está solo en una colina haciendo los movimientos.")</f>
        <v>El hombre está solo en una colina haciendo los movimientos.</v>
      </c>
    </row>
    <row r="5137">
      <c r="A5137" s="4" t="s">
        <v>6448</v>
      </c>
      <c r="B5137" s="4" t="s">
        <v>6454</v>
      </c>
      <c r="C5137" s="5" t="str">
        <f>IFERROR(__xludf.DUMMYFUNCTION("GOOGLETRANSLATE(B5137,""en"",""es-ES"")"),"El hombre está de vuelta en la playa haciendo los movimientos cuando el sol comienza a ponerse.")</f>
        <v>El hombre está de vuelta en la playa haciendo los movimientos cuando el sol comienza a ponerse.</v>
      </c>
    </row>
    <row r="5138">
      <c r="A5138" s="4" t="s">
        <v>6448</v>
      </c>
      <c r="B5138" s="4" t="s">
        <v>6455</v>
      </c>
      <c r="C5138" s="5" t="str">
        <f>IFERROR(__xludf.DUMMYFUNCTION("GOOGLETRANSLATE(B5138,""en"",""es-ES"")"),"La gente está haciendo los movimientos con él en la playa.")</f>
        <v>La gente está haciendo los movimientos con él en la playa.</v>
      </c>
    </row>
    <row r="5139">
      <c r="A5139" s="4" t="s">
        <v>6448</v>
      </c>
      <c r="B5139" s="4" t="s">
        <v>6456</v>
      </c>
      <c r="C5139" s="5" t="str">
        <f>IFERROR(__xludf.DUMMYFUNCTION("GOOGLETRANSLATE(B5139,""en"",""es-ES"")"),"Las palabras se encuentran en la pantalla.")</f>
        <v>Las palabras se encuentran en la pantalla.</v>
      </c>
    </row>
    <row r="5140">
      <c r="A5140" s="4" t="s">
        <v>6457</v>
      </c>
      <c r="B5140" s="4" t="s">
        <v>6458</v>
      </c>
      <c r="C5140" s="5" t="str">
        <f>IFERROR(__xludf.DUMMYFUNCTION("GOOGLETRANSLATE(B5140,""en"",""es-ES"")"),"Un niño con un sombrero está hablando.")</f>
        <v>Un niño con un sombrero está hablando.</v>
      </c>
    </row>
    <row r="5141">
      <c r="A5141" s="4" t="s">
        <v>6457</v>
      </c>
      <c r="B5141" s="4" t="s">
        <v>6459</v>
      </c>
      <c r="C5141" s="5" t="str">
        <f>IFERROR(__xludf.DUMMYFUNCTION("GOOGLETRANSLATE(B5141,""en"",""es-ES"")"),"Él fuma algo y sopla el humo en el aire.")</f>
        <v>Él fuma algo y sopla el humo en el aire.</v>
      </c>
    </row>
    <row r="5142">
      <c r="A5142" s="4" t="s">
        <v>6457</v>
      </c>
      <c r="B5142" s="4" t="s">
        <v>6460</v>
      </c>
      <c r="C5142" s="5" t="str">
        <f>IFERROR(__xludf.DUMMYFUNCTION("GOOGLETRANSLATE(B5142,""en"",""es-ES"")"),"Continúa hablando con la cámara.")</f>
        <v>Continúa hablando con la cámara.</v>
      </c>
    </row>
    <row r="5143">
      <c r="A5143" s="4" t="s">
        <v>6457</v>
      </c>
      <c r="B5143" s="4" t="s">
        <v>6461</v>
      </c>
      <c r="C5143" s="5" t="str">
        <f>IFERROR(__xludf.DUMMYFUNCTION("GOOGLETRANSLATE(B5143,""en"",""es-ES"")"),"Él fuma de la tubería nuevamente y sopla el humo varias veces más.")</f>
        <v>Él fuma de la tubería nuevamente y sopla el humo varias veces más.</v>
      </c>
    </row>
    <row r="5144">
      <c r="A5144" s="4" t="s">
        <v>6462</v>
      </c>
      <c r="B5144" s="4" t="s">
        <v>6463</v>
      </c>
      <c r="C5144" s="5" t="str">
        <f>IFERROR(__xludf.DUMMYFUNCTION("GOOGLETRANSLATE(B5144,""en"",""es-ES"")"),"Un niño pequeño plancha una prenda en un tablero de juguetes.")</f>
        <v>Un niño pequeño plancha una prenda en un tablero de juguetes.</v>
      </c>
    </row>
    <row r="5145">
      <c r="A5145" s="4" t="s">
        <v>6462</v>
      </c>
      <c r="B5145" s="4" t="s">
        <v>6464</v>
      </c>
      <c r="C5145" s="5" t="str">
        <f>IFERROR(__xludf.DUMMYFUNCTION("GOOGLETRANSLATE(B5145,""en"",""es-ES"")"),"El niño rocía la prenda y se pliega, luego continúa planchándola.")</f>
        <v>El niño rocía la prenda y se pliega, luego continúa planchándola.</v>
      </c>
    </row>
    <row r="5146">
      <c r="A5146" s="4" t="s">
        <v>6462</v>
      </c>
      <c r="B5146" s="4" t="s">
        <v>6465</v>
      </c>
      <c r="C5146" s="5" t="str">
        <f>IFERROR(__xludf.DUMMYFUNCTION("GOOGLETRANSLATE(B5146,""en"",""es-ES"")"),"Luego, el niño dobla nuevamente la prenda y la plancha.")</f>
        <v>Luego, el niño dobla nuevamente la prenda y la plancha.</v>
      </c>
    </row>
    <row r="5147">
      <c r="A5147" s="4" t="s">
        <v>6466</v>
      </c>
      <c r="B5147" s="4" t="s">
        <v>6467</v>
      </c>
      <c r="C5147" s="5" t="str">
        <f>IFERROR(__xludf.DUMMYFUNCTION("GOOGLETRANSLATE(B5147,""en"",""es-ES"")"),"Se ve a una persona usando equipo y deambulando por una zona cubierta de hierba.")</f>
        <v>Se ve a una persona usando equipo y deambulando por una zona cubierta de hierba.</v>
      </c>
    </row>
    <row r="5148">
      <c r="A5148" s="4" t="s">
        <v>6466</v>
      </c>
      <c r="B5148" s="4" t="s">
        <v>6468</v>
      </c>
      <c r="C5148" s="5" t="str">
        <f>IFERROR(__xludf.DUMMYFUNCTION("GOOGLETRANSLATE(B5148,""en"",""es-ES"")"),"El hombre usa una herramienta para cortar la hierba.")</f>
        <v>El hombre usa una herramienta para cortar la hierba.</v>
      </c>
    </row>
    <row r="5149">
      <c r="A5149" s="4" t="s">
        <v>6466</v>
      </c>
      <c r="B5149" s="4" t="s">
        <v>6469</v>
      </c>
      <c r="C5149" s="5" t="str">
        <f>IFERROR(__xludf.DUMMYFUNCTION("GOOGLETRANSLATE(B5149,""en"",""es-ES"")"),"Continúa moviéndose a lo largo de la hierba y mostrando la herramienta al final.")</f>
        <v>Continúa moviéndose a lo largo de la hierba y mostrando la herramienta al final.</v>
      </c>
    </row>
    <row r="5150">
      <c r="A5150" s="4" t="s">
        <v>6470</v>
      </c>
      <c r="B5150" s="4" t="s">
        <v>6471</v>
      </c>
      <c r="C5150" s="5" t="str">
        <f>IFERROR(__xludf.DUMMYFUNCTION("GOOGLETRANSLATE(B5150,""en"",""es-ES"")"),"Una persona está montando una bicicleta de tierra sobre una colina.")</f>
        <v>Una persona está montando una bicicleta de tierra sobre una colina.</v>
      </c>
    </row>
    <row r="5151">
      <c r="A5151" s="4" t="s">
        <v>6470</v>
      </c>
      <c r="B5151" s="4" t="s">
        <v>6472</v>
      </c>
      <c r="C5151" s="5" t="str">
        <f>IFERROR(__xludf.DUMMYFUNCTION("GOOGLETRANSLATE(B5151,""en"",""es-ES"")"),"Alguien se encuentra encima de una colina de tierra.")</f>
        <v>Alguien se encuentra encima de una colina de tierra.</v>
      </c>
    </row>
    <row r="5152">
      <c r="A5152" s="4" t="s">
        <v>6470</v>
      </c>
      <c r="B5152" s="4" t="s">
        <v>6473</v>
      </c>
      <c r="C5152" s="5" t="str">
        <f>IFERROR(__xludf.DUMMYFUNCTION("GOOGLETRANSLATE(B5152,""en"",""es-ES"")"),"La gente está de pie al lado de la colina.")</f>
        <v>La gente está de pie al lado de la colina.</v>
      </c>
    </row>
    <row r="5153">
      <c r="A5153" s="4" t="s">
        <v>6474</v>
      </c>
      <c r="B5153" s="4" t="s">
        <v>6475</v>
      </c>
      <c r="C5153" s="5" t="str">
        <f>IFERROR(__xludf.DUMMYFUNCTION("GOOGLETRANSLATE(B5153,""en"",""es-ES"")"),"Un hombre está revolviendo una olla en una estufa.")</f>
        <v>Un hombre está revolviendo una olla en una estufa.</v>
      </c>
    </row>
    <row r="5154">
      <c r="A5154" s="4" t="s">
        <v>6474</v>
      </c>
      <c r="B5154" s="4" t="s">
        <v>6476</v>
      </c>
      <c r="C5154" s="5" t="str">
        <f>IFERROR(__xludf.DUMMYFUNCTION("GOOGLETRANSLATE(B5154,""en"",""es-ES"")"),"Se lleva un plato a la estufa.")</f>
        <v>Se lleva un plato a la estufa.</v>
      </c>
    </row>
    <row r="5155">
      <c r="A5155" s="4" t="s">
        <v>6474</v>
      </c>
      <c r="B5155" s="4" t="s">
        <v>6477</v>
      </c>
      <c r="C5155" s="5" t="str">
        <f>IFERROR(__xludf.DUMMYFUNCTION("GOOGLETRANSLATE(B5155,""en"",""es-ES"")"),"Él repara lo que había en la sartén en el plato.")</f>
        <v>Él repara lo que había en la sartén en el plato.</v>
      </c>
    </row>
    <row r="5156">
      <c r="A5156" s="4" t="s">
        <v>6478</v>
      </c>
      <c r="B5156" s="4" t="s">
        <v>6479</v>
      </c>
      <c r="C5156" s="5" t="str">
        <f>IFERROR(__xludf.DUMMYFUNCTION("GOOGLETRANSLATE(B5156,""en"",""es-ES"")"),"Muchas mujeres diferentes que llevan muchos zapatos diferentes están paseando a un perro en la acera, una que lleva cuñas sube unas escaleras.")</f>
        <v>Muchas mujeres diferentes que llevan muchos zapatos diferentes están paseando a un perro en la acera, una que lleva cuñas sube unas escaleras.</v>
      </c>
    </row>
    <row r="5157">
      <c r="A5157" s="4" t="s">
        <v>6478</v>
      </c>
      <c r="B5157" s="4" t="s">
        <v>6480</v>
      </c>
      <c r="C5157" s="5" t="str">
        <f>IFERROR(__xludf.DUMMYFUNCTION("GOOGLETRANSLATE(B5157,""en"",""es-ES"")"),"Un hombre comienza a hablar sobre lo que parece una sala de perros estilista.")</f>
        <v>Un hombre comienza a hablar sobre lo que parece una sala de perros estilista.</v>
      </c>
    </row>
    <row r="5158">
      <c r="A5158" s="4" t="s">
        <v>6478</v>
      </c>
      <c r="B5158" s="4" t="s">
        <v>6481</v>
      </c>
      <c r="C5158" s="5" t="str">
        <f>IFERROR(__xludf.DUMMYFUNCTION("GOOGLETRANSLATE(B5158,""en"",""es-ES"")"),"Hay muchos perros preparados y recibiendo lindos cortes de cabello elegantes.")</f>
        <v>Hay muchos perros preparados y recibiendo lindos cortes de cabello elegantes.</v>
      </c>
    </row>
    <row r="5159">
      <c r="A5159" s="4" t="s">
        <v>6478</v>
      </c>
      <c r="B5159" s="4" t="s">
        <v>6482</v>
      </c>
      <c r="C5159" s="5" t="str">
        <f>IFERROR(__xludf.DUMMYFUNCTION("GOOGLETRANSLATE(B5159,""en"",""es-ES"")"),"Uno de ellos está moviendo sus colas muy emocionadas disfrutando de la situación.")</f>
        <v>Uno de ellos está moviendo sus colas muy emocionadas disfrutando de la situación.</v>
      </c>
    </row>
    <row r="5160">
      <c r="A5160" s="4" t="s">
        <v>6483</v>
      </c>
      <c r="B5160" s="4" t="s">
        <v>6484</v>
      </c>
      <c r="C5160" s="5" t="str">
        <f>IFERROR(__xludf.DUMMYFUNCTION("GOOGLETRANSLATE(B5160,""en"",""es-ES"")"),"Fuera de un gato lumbar está de pie con un hacha, está vestido con un abrigo para mantenerse caliente.")</f>
        <v>Fuera de un gato lumbar está de pie con un hacha, está vestido con un abrigo para mantenerse caliente.</v>
      </c>
    </row>
    <row r="5161">
      <c r="A5161" s="4" t="s">
        <v>6483</v>
      </c>
      <c r="B5161" s="4" t="s">
        <v>6485</v>
      </c>
      <c r="C5161" s="5" t="str">
        <f>IFERROR(__xludf.DUMMYFUNCTION("GOOGLETRANSLATE(B5161,""en"",""es-ES"")"),"Hay muchos troncos apilados al lado de él.")</f>
        <v>Hay muchos troncos apilados al lado de él.</v>
      </c>
    </row>
    <row r="5162">
      <c r="A5162" s="4" t="s">
        <v>6483</v>
      </c>
      <c r="B5162" s="4" t="s">
        <v>6486</v>
      </c>
      <c r="C5162" s="5" t="str">
        <f>IFERROR(__xludf.DUMMYFUNCTION("GOOGLETRANSLATE(B5162,""en"",""es-ES"")"),"Todo cortado y recolectado probablemente por él para incendios para mantener la casa caliente durante las noches de invierno.")</f>
        <v>Todo cortado y recolectado probablemente por él para incendios para mantener la casa caliente durante las noches de invierno.</v>
      </c>
    </row>
    <row r="5163">
      <c r="A5163" s="4" t="s">
        <v>6483</v>
      </c>
      <c r="B5163" s="4" t="s">
        <v>6487</v>
      </c>
      <c r="C5163" s="5" t="str">
        <f>IFERROR(__xludf.DUMMYFUNCTION("GOOGLETRANSLATE(B5163,""en"",""es-ES"")"),"Toma su hacha y golpea la rama con él.")</f>
        <v>Toma su hacha y golpea la rama con él.</v>
      </c>
    </row>
    <row r="5164">
      <c r="A5164" s="4" t="s">
        <v>6488</v>
      </c>
      <c r="B5164" s="4" t="s">
        <v>6489</v>
      </c>
      <c r="C5164" s="5" t="str">
        <f>IFERROR(__xludf.DUMMYFUNCTION("GOOGLETRANSLATE(B5164,""en"",""es-ES"")"),"Se muestra una arena grande con una pantalla grande que muestra a los atletas en el campo.")</f>
        <v>Se muestra una arena grande con una pantalla grande que muestra a los atletas en el campo.</v>
      </c>
    </row>
    <row r="5165">
      <c r="A5165" s="4" t="s">
        <v>6488</v>
      </c>
      <c r="B5165" s="4" t="s">
        <v>6490</v>
      </c>
      <c r="C5165" s="5" t="str">
        <f>IFERROR(__xludf.DUMMYFUNCTION("GOOGLETRANSLATE(B5165,""en"",""es-ES"")"),"Luego se muestra a un hombre en una jaula girando alrededor de lanzar un lanzamiento de bala que la gente comienza a medir.")</f>
        <v>Luego se muestra a un hombre en una jaula girando alrededor de lanzar un lanzamiento de bala que la gente comienza a medir.</v>
      </c>
    </row>
    <row r="5166">
      <c r="A5166" s="4" t="s">
        <v>6488</v>
      </c>
      <c r="B5166" s="4" t="s">
        <v>6491</v>
      </c>
      <c r="C5166" s="5" t="str">
        <f>IFERROR(__xludf.DUMMYFUNCTION("GOOGLETRANSLATE(B5166,""en"",""es-ES"")"),"Otro hombre se acerca al círculo, repite la acción y comienza a saltar en alegría.")</f>
        <v>Otro hombre se acerca al círculo, repite la acción y comienza a saltar en alegría.</v>
      </c>
    </row>
    <row r="5167">
      <c r="A5167" s="4" t="s">
        <v>6488</v>
      </c>
      <c r="B5167" s="4" t="s">
        <v>6492</v>
      </c>
      <c r="C5167" s="5" t="str">
        <f>IFERROR(__xludf.DUMMYFUNCTION("GOOGLETRANSLATE(B5167,""en"",""es-ES"")"),"Más hombres se acercan al stand y continúa hasta que hayan completado cada una de sus turnos y luego recurren a la audiencia y saludan.")</f>
        <v>Más hombres se acercan al stand y continúa hasta que hayan completado cada una de sus turnos y luego recurren a la audiencia y saludan.</v>
      </c>
    </row>
    <row r="5168">
      <c r="A5168" s="4" t="s">
        <v>6493</v>
      </c>
      <c r="B5168" s="4" t="s">
        <v>6494</v>
      </c>
      <c r="C5168" s="5" t="str">
        <f>IFERROR(__xludf.DUMMYFUNCTION("GOOGLETRANSLATE(B5168,""en"",""es-ES"")"),"Hay un hombre trabajando en una rueda de bicicleta con varias herramientas.")</f>
        <v>Hay un hombre trabajando en una rueda de bicicleta con varias herramientas.</v>
      </c>
    </row>
    <row r="5169">
      <c r="A5169" s="4" t="s">
        <v>6493</v>
      </c>
      <c r="B5169" s="4" t="s">
        <v>6495</v>
      </c>
      <c r="C5169" s="5" t="str">
        <f>IFERROR(__xludf.DUMMYFUNCTION("GOOGLETRANSLATE(B5169,""en"",""es-ES"")"),"Comienza girando el eje de la rueda con un par de pinzas para colocar el eje en el centro.")</f>
        <v>Comienza girando el eje de la rueda con un par de pinzas para colocar el eje en el centro.</v>
      </c>
    </row>
    <row r="5170">
      <c r="A5170" s="4" t="s">
        <v>6493</v>
      </c>
      <c r="B5170" s="4" t="s">
        <v>6496</v>
      </c>
      <c r="C5170" s="5" t="str">
        <f>IFERROR(__xludf.DUMMYFUNCTION("GOOGLETRANSLATE(B5170,""en"",""es-ES"")"),"Luego arregla la tuerca central y usa una llave para aflojarla.")</f>
        <v>Luego arregla la tuerca central y usa una llave para aflojarla.</v>
      </c>
    </row>
    <row r="5171">
      <c r="A5171" s="4" t="s">
        <v>6493</v>
      </c>
      <c r="B5171" s="4" t="s">
        <v>6497</v>
      </c>
      <c r="C5171" s="5" t="str">
        <f>IFERROR(__xludf.DUMMYFUNCTION("GOOGLETRANSLATE(B5171,""en"",""es-ES"")"),"Luego usa sus manos para quitar el eje.")</f>
        <v>Luego usa sus manos para quitar el eje.</v>
      </c>
    </row>
    <row r="5172">
      <c r="A5172" s="4" t="s">
        <v>6493</v>
      </c>
      <c r="B5172" s="4" t="s">
        <v>6498</v>
      </c>
      <c r="C5172" s="5" t="str">
        <f>IFERROR(__xludf.DUMMYFUNCTION("GOOGLETRANSLATE(B5172,""en"",""es-ES"")"),"Utiliza otra herramienta para desenroscar una lavadora fuera del eje.")</f>
        <v>Utiliza otra herramienta para desenroscar una lavadora fuera del eje.</v>
      </c>
    </row>
    <row r="5173">
      <c r="A5173" s="4" t="s">
        <v>6493</v>
      </c>
      <c r="B5173" s="4" t="s">
        <v>6499</v>
      </c>
      <c r="C5173" s="5" t="str">
        <f>IFERROR(__xludf.DUMMYFUNCTION("GOOGLETRANSLATE(B5173,""en"",""es-ES"")"),"Luego usa una herramienta con un extremo magnético para eliminar pequeñas partículas de metal del eje.")</f>
        <v>Luego usa una herramienta con un extremo magnético para eliminar pequeñas partículas de metal del eje.</v>
      </c>
    </row>
    <row r="5174">
      <c r="A5174" s="4" t="s">
        <v>6493</v>
      </c>
      <c r="B5174" s="4" t="s">
        <v>6500</v>
      </c>
      <c r="C5174" s="5" t="str">
        <f>IFERROR(__xludf.DUMMYFUNCTION("GOOGLETRANSLATE(B5174,""en"",""es-ES"")"),"Después de eso, limpia el borde interior del eje grasiento con el dedo.")</f>
        <v>Después de eso, limpia el borde interior del eje grasiento con el dedo.</v>
      </c>
    </row>
    <row r="5175">
      <c r="A5175" s="4" t="s">
        <v>6493</v>
      </c>
      <c r="B5175" s="4" t="s">
        <v>6501</v>
      </c>
      <c r="C5175" s="5" t="str">
        <f>IFERROR(__xludf.DUMMYFUNCTION("GOOGLETRANSLATE(B5175,""en"",""es-ES"")"),"Luego toma la lavadora y la limpia más para arreglarla en el eje.")</f>
        <v>Luego toma la lavadora y la limpia más para arreglarla en el eje.</v>
      </c>
    </row>
    <row r="5176">
      <c r="A5176" s="4" t="s">
        <v>6502</v>
      </c>
      <c r="B5176" s="4" t="s">
        <v>6503</v>
      </c>
      <c r="C5176" s="5" t="str">
        <f>IFERROR(__xludf.DUMMYFUNCTION("GOOGLETRANSLATE(B5176,""en"",""es-ES"")"),"Se ve un primer plano de fruta sentado en un plato cuando la mano de una persona los coloca en un recipiente.")</f>
        <v>Se ve un primer plano de fruta sentado en un plato cuando la mano de una persona los coloca en un recipiente.</v>
      </c>
    </row>
    <row r="5177">
      <c r="A5177" s="4" t="s">
        <v>6502</v>
      </c>
      <c r="B5177" s="4" t="s">
        <v>6504</v>
      </c>
      <c r="C5177" s="5" t="str">
        <f>IFERROR(__xludf.DUMMYFUNCTION("GOOGLETRANSLATE(B5177,""en"",""es-ES"")"),"La persona luego empuja la fruta alrededor del tazón con una cuchara una y otra vez.")</f>
        <v>La persona luego empuja la fruta alrededor del tazón con una cuchara una y otra vez.</v>
      </c>
    </row>
    <row r="5178">
      <c r="A5178" s="4" t="s">
        <v>6502</v>
      </c>
      <c r="B5178" s="4" t="s">
        <v>6505</v>
      </c>
      <c r="C5178" s="5" t="str">
        <f>IFERROR(__xludf.DUMMYFUNCTION("GOOGLETRANSLATE(B5178,""en"",""es-ES"")"),"La persona deja caer la cuchara en la mezcla y termina con texto a través de la pantalla.")</f>
        <v>La persona deja caer la cuchara en la mezcla y termina con texto a través de la pantalla.</v>
      </c>
    </row>
    <row r="5179">
      <c r="A5179" s="4" t="s">
        <v>6506</v>
      </c>
      <c r="B5179" s="4" t="s">
        <v>6507</v>
      </c>
      <c r="C5179" s="5" t="str">
        <f>IFERROR(__xludf.DUMMYFUNCTION("GOOGLETRANSLATE(B5179,""en"",""es-ES"")"),"Una mujer se muestra en un patio, hablando con la cámara.")</f>
        <v>Una mujer se muestra en un patio, hablando con la cámara.</v>
      </c>
    </row>
    <row r="5180">
      <c r="A5180" s="4" t="s">
        <v>6506</v>
      </c>
      <c r="B5180" s="4" t="s">
        <v>6508</v>
      </c>
      <c r="C5180" s="5" t="str">
        <f>IFERROR(__xludf.DUMMYFUNCTION("GOOGLETRANSLATE(B5180,""en"",""es-ES"")"),"Luego está a caballo, y una mujer se muestra en varias escenas hablando de técnica.")</f>
        <v>Luego está a caballo, y una mujer se muestra en varias escenas hablando de técnica.</v>
      </c>
    </row>
    <row r="5181">
      <c r="A5181" s="4" t="s">
        <v>6506</v>
      </c>
      <c r="B5181" s="4" t="s">
        <v>6509</v>
      </c>
      <c r="C5181" s="5" t="str">
        <f>IFERROR(__xludf.DUMMYFUNCTION("GOOGLETRANSLATE(B5181,""en"",""es-ES"")"),"La niña monta al caballo sola, luego con otras personas por senderos.")</f>
        <v>La niña monta al caballo sola, luego con otras personas por senderos.</v>
      </c>
    </row>
    <row r="5182">
      <c r="A5182" s="4" t="s">
        <v>6510</v>
      </c>
      <c r="B5182" s="4" t="s">
        <v>6511</v>
      </c>
      <c r="C5182" s="5" t="str">
        <f>IFERROR(__xludf.DUMMYFUNCTION("GOOGLETRANSLATE(B5182,""en"",""es-ES"")"),"Hay un hombre en un gimnasio con una máquina elíptica.")</f>
        <v>Hay un hombre en un gimnasio con una máquina elíptica.</v>
      </c>
    </row>
    <row r="5183">
      <c r="A5183" s="4" t="s">
        <v>6510</v>
      </c>
      <c r="B5183" s="4" t="s">
        <v>6512</v>
      </c>
      <c r="C5183" s="5" t="str">
        <f>IFERROR(__xludf.DUMMYFUNCTION("GOOGLETRANSLATE(B5183,""en"",""es-ES"")"),"Lleva un par de pantalones negros, camisa negra y una gorra.")</f>
        <v>Lleva un par de pantalones negros, camisa negra y una gorra.</v>
      </c>
    </row>
    <row r="5184">
      <c r="A5184" s="4" t="s">
        <v>6510</v>
      </c>
      <c r="B5184" s="4" t="s">
        <v>6513</v>
      </c>
      <c r="C5184" s="5" t="str">
        <f>IFERROR(__xludf.DUMMYFUNCTION("GOOGLETRANSLATE(B5184,""en"",""es-ES"")"),"Demuestra cómo usar la elíptica correctamente para mantener una velocidad constante.")</f>
        <v>Demuestra cómo usar la elíptica correctamente para mantener una velocidad constante.</v>
      </c>
    </row>
    <row r="5185">
      <c r="A5185" s="4" t="s">
        <v>6514</v>
      </c>
      <c r="B5185" s="4" t="s">
        <v>6515</v>
      </c>
      <c r="C5185" s="5" t="str">
        <f>IFERROR(__xludf.DUMMYFUNCTION("GOOGLETRANSLATE(B5185,""en"",""es-ES"")"),"Se ve una cuchara girando alrededor de varios alimentos y líquidos y conduce a una mano que corta vegetales en una tabla de cortar.")</f>
        <v>Se ve una cuchara girando alrededor de varios alimentos y líquidos y conduce a una mano que corta vegetales en una tabla de cortar.</v>
      </c>
    </row>
    <row r="5186">
      <c r="A5186" s="4" t="s">
        <v>6514</v>
      </c>
      <c r="B5186" s="4" t="s">
        <v>6516</v>
      </c>
      <c r="C5186" s="5" t="str">
        <f>IFERROR(__xludf.DUMMYFUNCTION("GOOGLETRANSLATE(B5186,""en"",""es-ES"")"),"Se ve a un bebé observando desde atrás y la cámara se acerca a varios sitios web y alimentos presentes.")</f>
        <v>Se ve a un bebé observando desde atrás y la cámara se acerca a varios sitios web y alimentos presentes.</v>
      </c>
    </row>
    <row r="5187">
      <c r="A5187" s="4" t="s">
        <v>6514</v>
      </c>
      <c r="B5187" s="4" t="s">
        <v>6517</v>
      </c>
      <c r="C5187" s="5" t="str">
        <f>IFERROR(__xludf.DUMMYFUNCTION("GOOGLETRANSLATE(B5187,""en"",""es-ES"")"),"La pasta se ve sentada en una olla y la persona usa una cuchara para girarla.")</f>
        <v>La pasta se ve sentada en una olla y la persona usa una cuchara para girarla.</v>
      </c>
    </row>
    <row r="5188">
      <c r="A5188" s="4" t="s">
        <v>6514</v>
      </c>
      <c r="B5188" s="4" t="s">
        <v>6518</v>
      </c>
      <c r="C5188" s="5" t="str">
        <f>IFERROR(__xludf.DUMMYFUNCTION("GOOGLETRANSLATE(B5188,""en"",""es-ES"")"),"Vieren ingredientes en una olla para tazarse y agregan más verduras, terminando con todos los ingredientes juntados en un plato para presentar.")</f>
        <v>Vieren ingredientes en una olla para tazarse y agregan más verduras, terminando con todos los ingredientes juntados en un plato para presentar.</v>
      </c>
    </row>
    <row r="5189">
      <c r="A5189" s="4" t="s">
        <v>6519</v>
      </c>
      <c r="B5189" s="4" t="s">
        <v>6520</v>
      </c>
      <c r="C5189" s="5" t="str">
        <f>IFERROR(__xludf.DUMMYFUNCTION("GOOGLETRANSLATE(B5189,""en"",""es-ES"")"),"Se ve un primer plano de un hombre sosteniendo un acordeón y sentado frente a una cámara.")</f>
        <v>Se ve un primer plano de un hombre sosteniendo un acordeón y sentado frente a una cámara.</v>
      </c>
    </row>
    <row r="5190">
      <c r="A5190" s="4" t="s">
        <v>6519</v>
      </c>
      <c r="B5190" s="4" t="s">
        <v>6521</v>
      </c>
      <c r="C5190" s="5" t="str">
        <f>IFERROR(__xludf.DUMMYFUNCTION("GOOGLETRANSLATE(B5190,""en"",""es-ES"")"),"El hombre comienza a tocar el instrumento mientras mira a la cámara.")</f>
        <v>El hombre comienza a tocar el instrumento mientras mira a la cámara.</v>
      </c>
    </row>
    <row r="5191">
      <c r="A5191" s="4" t="s">
        <v>6519</v>
      </c>
      <c r="B5191" s="4" t="s">
        <v>6522</v>
      </c>
      <c r="C5191" s="5" t="str">
        <f>IFERROR(__xludf.DUMMYFUNCTION("GOOGLETRANSLATE(B5191,""en"",""es-ES"")"),"Hace una pausa para hablar por un momento y luego continúa jugando.")</f>
        <v>Hace una pausa para hablar por un momento y luego continúa jugando.</v>
      </c>
    </row>
    <row r="5192">
      <c r="A5192" s="4" t="s">
        <v>6523</v>
      </c>
      <c r="B5192" s="4" t="s">
        <v>6524</v>
      </c>
      <c r="C5192" s="5" t="str">
        <f>IFERROR(__xludf.DUMMYFUNCTION("GOOGLETRANSLATE(B5192,""en"",""es-ES"")"),"Un hombre con una camisa amarilla y un hombre que usa una camisa negra juega una pelota de raqueta.")</f>
        <v>Un hombre con una camisa amarilla y un hombre que usa una camisa negra juega una pelota de raqueta.</v>
      </c>
    </row>
    <row r="5193">
      <c r="A5193" s="4" t="s">
        <v>6523</v>
      </c>
      <c r="B5193" s="4" t="s">
        <v>6525</v>
      </c>
      <c r="C5193" s="5" t="str">
        <f>IFERROR(__xludf.DUMMYFUNCTION("GOOGLETRANSLATE(B5193,""en"",""es-ES"")"),"El hombre de negro sirve la pelota.")</f>
        <v>El hombre de negro sirve la pelota.</v>
      </c>
    </row>
    <row r="5194">
      <c r="A5194" s="4" t="s">
        <v>6523</v>
      </c>
      <c r="B5194" s="4" t="s">
        <v>6526</v>
      </c>
      <c r="C5194" s="5" t="str">
        <f>IFERROR(__xludf.DUMMYFUNCTION("GOOGLETRANSLATE(B5194,""en"",""es-ES"")"),"El hombre de amarillo sirve la pelota.")</f>
        <v>El hombre de amarillo sirve la pelota.</v>
      </c>
    </row>
    <row r="5195">
      <c r="A5195" s="4" t="s">
        <v>6523</v>
      </c>
      <c r="B5195" s="4" t="s">
        <v>6527</v>
      </c>
      <c r="C5195" s="5" t="str">
        <f>IFERROR(__xludf.DUMMYFUNCTION("GOOGLETRANSLATE(B5195,""en"",""es-ES"")"),"El hombre de amarillo sirve la pelota nuevamente.")</f>
        <v>El hombre de amarillo sirve la pelota nuevamente.</v>
      </c>
    </row>
    <row r="5196">
      <c r="A5196" s="4" t="s">
        <v>6523</v>
      </c>
      <c r="B5196" s="4" t="s">
        <v>6528</v>
      </c>
      <c r="C5196" s="5" t="str">
        <f>IFERROR(__xludf.DUMMYFUNCTION("GOOGLETRANSLATE(B5196,""en"",""es-ES"")"),"El hombre de amarillo juega solo mientras el hombre de negro está de pie.")</f>
        <v>El hombre de amarillo juega solo mientras el hombre de negro está de pie.</v>
      </c>
    </row>
    <row r="5197">
      <c r="A5197" s="4" t="s">
        <v>6523</v>
      </c>
      <c r="B5197" s="4" t="s">
        <v>6529</v>
      </c>
      <c r="C5197" s="5" t="str">
        <f>IFERROR(__xludf.DUMMYFUNCTION("GOOGLETRANSLATE(B5197,""en"",""es-ES"")"),"Una mano cubre la lente de la cámara.")</f>
        <v>Una mano cubre la lente de la cámara.</v>
      </c>
    </row>
    <row r="5198">
      <c r="A5198" s="4" t="s">
        <v>6530</v>
      </c>
      <c r="B5198" s="4" t="s">
        <v>6531</v>
      </c>
      <c r="C5198" s="5" t="str">
        <f>IFERROR(__xludf.DUMMYFUNCTION("GOOGLETRANSLATE(B5198,""en"",""es-ES"")"),"Un hombre se para sobre una formación rocosa.")</f>
        <v>Un hombre se para sobre una formación rocosa.</v>
      </c>
    </row>
    <row r="5199">
      <c r="A5199" s="4" t="s">
        <v>6530</v>
      </c>
      <c r="B5199" s="4" t="s">
        <v>6532</v>
      </c>
      <c r="C5199" s="5" t="str">
        <f>IFERROR(__xludf.DUMMYFUNCTION("GOOGLETRANSLATE(B5199,""en"",""es-ES"")"),"Varias escenas de la escalada de rocas se muestran desde varios ángulos y entornos, intercaladas con breves tomas de primer plano de los escaladores.")</f>
        <v>Varias escenas de la escalada de rocas se muestran desde varios ángulos y entornos, intercaladas con breves tomas de primer plano de los escaladores.</v>
      </c>
    </row>
    <row r="5200">
      <c r="A5200" s="4" t="s">
        <v>6530</v>
      </c>
      <c r="B5200" s="4" t="s">
        <v>6533</v>
      </c>
      <c r="C5200" s="5" t="str">
        <f>IFERROR(__xludf.DUMMYFUNCTION("GOOGLETRANSLATE(B5200,""en"",""es-ES"")"),"Varios créditos se muestran en una pantalla negra.")</f>
        <v>Varios créditos se muestran en una pantalla negra.</v>
      </c>
    </row>
    <row r="5201">
      <c r="A5201" s="4" t="s">
        <v>6534</v>
      </c>
      <c r="B5201" s="4" t="s">
        <v>6535</v>
      </c>
      <c r="C5201" s="5" t="str">
        <f>IFERROR(__xludf.DUMMYFUNCTION("GOOGLETRANSLATE(B5201,""en"",""es-ES"")"),"El agua se apresura entre rocas en un río.")</f>
        <v>El agua se apresura entre rocas en un río.</v>
      </c>
    </row>
    <row r="5202">
      <c r="A5202" s="4" t="s">
        <v>6534</v>
      </c>
      <c r="B5202" s="4" t="s">
        <v>6536</v>
      </c>
      <c r="C5202" s="5" t="str">
        <f>IFERROR(__xludf.DUMMYFUNCTION("GOOGLETRANSLATE(B5202,""en"",""es-ES"")"),"Aparecen las vigas, remando a través de las corrientes apresuradas.")</f>
        <v>Aparecen las vigas, remando a través de las corrientes apresuradas.</v>
      </c>
    </row>
    <row r="5203">
      <c r="A5203" s="4" t="s">
        <v>6534</v>
      </c>
      <c r="B5203" s="4" t="s">
        <v>6537</v>
      </c>
      <c r="C5203" s="5" t="str">
        <f>IFERROR(__xludf.DUMMYFUNCTION("GOOGLETRANSLATE(B5203,""en"",""es-ES"")"),"La viga continúa mientras navega por el río.")</f>
        <v>La viga continúa mientras navega por el río.</v>
      </c>
    </row>
    <row r="5204">
      <c r="A5204" s="4" t="s">
        <v>6538</v>
      </c>
      <c r="B5204" s="4" t="s">
        <v>6539</v>
      </c>
      <c r="C5204" s="5" t="str">
        <f>IFERROR(__xludf.DUMMYFUNCTION("GOOGLETRANSLATE(B5204,""en"",""es-ES"")"),"Aparece un logotipo azul en la pantalla con palabras blancas.")</f>
        <v>Aparece un logotipo azul en la pantalla con palabras blancas.</v>
      </c>
    </row>
    <row r="5205">
      <c r="A5205" s="4" t="s">
        <v>6538</v>
      </c>
      <c r="B5205" s="4" t="s">
        <v>6540</v>
      </c>
      <c r="C5205" s="5" t="str">
        <f>IFERROR(__xludf.DUMMYFUNCTION("GOOGLETRANSLATE(B5205,""en"",""es-ES"")"),"Luego se muestra a una joven gimnasta masculina en una habitación frente a una viga de equilibrio.")</f>
        <v>Luego se muestra a una joven gimnasta masculina en una habitación frente a una viga de equilibrio.</v>
      </c>
    </row>
    <row r="5206">
      <c r="A5206" s="4" t="s">
        <v>6538</v>
      </c>
      <c r="B5206" s="4" t="s">
        <v>6541</v>
      </c>
      <c r="C5206" s="5" t="str">
        <f>IFERROR(__xludf.DUMMYFUNCTION("GOOGLETRANSLATE(B5206,""en"",""es-ES"")"),"La gimnasta luego comienza a usar sus manos para describir los movimientos que está a punto de hacer.")</f>
        <v>La gimnasta luego comienza a usar sus manos para describir los movimientos que está a punto de hacer.</v>
      </c>
    </row>
    <row r="5207">
      <c r="A5207" s="4" t="s">
        <v>6538</v>
      </c>
      <c r="B5207" s="4" t="s">
        <v>6542</v>
      </c>
      <c r="C5207" s="5" t="str">
        <f>IFERROR(__xludf.DUMMYFUNCTION("GOOGLETRANSLATE(B5207,""en"",""es-ES"")"),"Después, el macho agarra las dos barras y se levanta y levanta su cuerpo antes de entrar en un soporte de mano, él baja y hace otro.")</f>
        <v>Después, el macho agarra las dos barras y se levanta y levanta su cuerpo antes de entrar en un soporte de mano, él baja y hace otro.</v>
      </c>
    </row>
    <row r="5208">
      <c r="A5208" s="4" t="s">
        <v>6538</v>
      </c>
      <c r="B5208" s="4" t="s">
        <v>6543</v>
      </c>
      <c r="C5208" s="5" t="str">
        <f>IFERROR(__xludf.DUMMYFUNCTION("GOOGLETRANSLATE(B5208,""en"",""es-ES"")"),"La gimnasta hace varios trucos más y luego sale de las barras.")</f>
        <v>La gimnasta hace varios trucos más y luego sale de las barras.</v>
      </c>
    </row>
    <row r="5209">
      <c r="A5209" s="4" t="s">
        <v>6544</v>
      </c>
      <c r="B5209" s="4" t="s">
        <v>6545</v>
      </c>
      <c r="C5209" s="5" t="str">
        <f>IFERROR(__xludf.DUMMYFUNCTION("GOOGLETRANSLATE(B5209,""en"",""es-ES"")"),"Una mujer vestida con una camisa azul y un delantal negro comienza a hablar detrás de la mesa.")</f>
        <v>Una mujer vestida con una camisa azul y un delantal negro comienza a hablar detrás de la mesa.</v>
      </c>
    </row>
    <row r="5210">
      <c r="A5210" s="4" t="s">
        <v>6544</v>
      </c>
      <c r="B5210" s="4" t="s">
        <v>6546</v>
      </c>
      <c r="C5210" s="5" t="str">
        <f>IFERROR(__xludf.DUMMYFUNCTION("GOOGLETRANSLATE(B5210,""en"",""es-ES"")"),"En la mesa, tiene cinco tipos diferentes de pintura, pinceles y otros suministros necesarios para completar la tarea.")</f>
        <v>En la mesa, tiene cinco tipos diferentes de pintura, pinceles y otros suministros necesarios para completar la tarea.</v>
      </c>
    </row>
    <row r="5211">
      <c r="A5211" s="4" t="s">
        <v>6544</v>
      </c>
      <c r="B5211" s="4" t="s">
        <v>6547</v>
      </c>
      <c r="C5211" s="5" t="str">
        <f>IFERROR(__xludf.DUMMYFUNCTION("GOOGLETRANSLATE(B5211,""en"",""es-ES"")"),"Luego comienza a hablar mientras se apoya en una mesa de madera junto a ella.")</f>
        <v>Luego comienza a hablar mientras se apoya en una mesa de madera junto a ella.</v>
      </c>
    </row>
    <row r="5212">
      <c r="A5212" s="4" t="s">
        <v>6544</v>
      </c>
      <c r="B5212" s="4" t="s">
        <v>6548</v>
      </c>
      <c r="C5212" s="5" t="str">
        <f>IFERROR(__xludf.DUMMYFUNCTION("GOOGLETRANSLATE(B5212,""en"",""es-ES"")"),"La señora comienza tomando un destornillador y quitando la perilla del cajón y la limpia con un paño húmedo.")</f>
        <v>La señora comienza tomando un destornillador y quitando la perilla del cajón y la limpia con un paño húmedo.</v>
      </c>
    </row>
    <row r="5213">
      <c r="A5213" s="4" t="s">
        <v>6544</v>
      </c>
      <c r="B5213" s="4" t="s">
        <v>6549</v>
      </c>
      <c r="C5213" s="5" t="str">
        <f>IFERROR(__xludf.DUMMYFUNCTION("GOOGLETRANSLATE(B5213,""en"",""es-ES"")"),"Luego viene la pintura marrón cuando comienza a poner varios trazos para terminarla.")</f>
        <v>Luego viene la pintura marrón cuando comienza a poner varios trazos para terminarla.</v>
      </c>
    </row>
    <row r="5214">
      <c r="A5214" s="4" t="s">
        <v>6544</v>
      </c>
      <c r="B5214" s="4" t="s">
        <v>6550</v>
      </c>
      <c r="C5214" s="5" t="str">
        <f>IFERROR(__xludf.DUMMYFUNCTION("GOOGLETRANSLATE(B5214,""en"",""es-ES"")"),"El soporte está listo, pero luego regresa y comienza a agregar un acabado.")</f>
        <v>El soporte está listo, pero luego regresa y comienza a agregar un acabado.</v>
      </c>
    </row>
    <row r="5215">
      <c r="A5215" s="4" t="s">
        <v>6551</v>
      </c>
      <c r="B5215" s="4" t="s">
        <v>6552</v>
      </c>
      <c r="C5215" s="5" t="str">
        <f>IFERROR(__xludf.DUMMYFUNCTION("GOOGLETRANSLATE(B5215,""en"",""es-ES"")"),"Vemos troncos en una pila en el bosque.")</f>
        <v>Vemos troncos en una pila en el bosque.</v>
      </c>
    </row>
    <row r="5216">
      <c r="A5216" s="4" t="s">
        <v>6551</v>
      </c>
      <c r="B5216" s="4" t="s">
        <v>6553</v>
      </c>
      <c r="C5216" s="5" t="str">
        <f>IFERROR(__xludf.DUMMYFUNCTION("GOOGLETRANSLATE(B5216,""en"",""es-ES"")"),"Un hombre con un sombrero de vaquero se acerca y agarra un hacha.")</f>
        <v>Un hombre con un sombrero de vaquero se acerca y agarra un hacha.</v>
      </c>
    </row>
    <row r="5217">
      <c r="A5217" s="4" t="s">
        <v>6551</v>
      </c>
      <c r="B5217" s="4" t="s">
        <v>6554</v>
      </c>
      <c r="C5217" s="5" t="str">
        <f>IFERROR(__xludf.DUMMYFUNCTION("GOOGLETRANSLATE(B5217,""en"",""es-ES"")"),"El hombre luego dio vueltas golpeando los troncos con el hacha y dividiéndolos en dos hits.")</f>
        <v>El hombre luego dio vueltas golpeando los troncos con el hacha y dividiéndolos en dos hits.</v>
      </c>
    </row>
    <row r="5218">
      <c r="A5218" s="4" t="s">
        <v>6551</v>
      </c>
      <c r="B5218" s="4" t="s">
        <v>6555</v>
      </c>
      <c r="C5218" s="5" t="str">
        <f>IFERROR(__xludf.DUMMYFUNCTION("GOOGLETRANSLATE(B5218,""en"",""es-ES"")"),"El hombre deja caer el hacha y apaga la cámara.")</f>
        <v>El hombre deja caer el hacha y apaga la cámara.</v>
      </c>
    </row>
    <row r="5219">
      <c r="A5219" s="4" t="s">
        <v>6556</v>
      </c>
      <c r="B5219" s="4" t="s">
        <v>6557</v>
      </c>
      <c r="C5219" s="5" t="str">
        <f>IFERROR(__xludf.DUMMYFUNCTION("GOOGLETRANSLATE(B5219,""en"",""es-ES"")"),"Una persona está caminando por una cancha de tenis.")</f>
        <v>Una persona está caminando por una cancha de tenis.</v>
      </c>
    </row>
    <row r="5220">
      <c r="A5220" s="4" t="s">
        <v>6556</v>
      </c>
      <c r="B5220" s="4" t="s">
        <v>6558</v>
      </c>
      <c r="C5220" s="5" t="str">
        <f>IFERROR(__xludf.DUMMYFUNCTION("GOOGLETRANSLATE(B5220,""en"",""es-ES"")"),"Otro hombre aparece balanceándose alrededor de una raqueta de tenis.")</f>
        <v>Otro hombre aparece balanceándose alrededor de una raqueta de tenis.</v>
      </c>
    </row>
    <row r="5221">
      <c r="A5221" s="4" t="s">
        <v>6556</v>
      </c>
      <c r="B5221" s="4" t="s">
        <v>6559</v>
      </c>
      <c r="C5221" s="5" t="str">
        <f>IFERROR(__xludf.DUMMYFUNCTION("GOOGLETRANSLATE(B5221,""en"",""es-ES"")"),"Rebota una pelota de tenis en el piso mientras el otro hombre entra al marco.")</f>
        <v>Rebota una pelota de tenis en el piso mientras el otro hombre entra al marco.</v>
      </c>
    </row>
    <row r="5222">
      <c r="A5222" s="4" t="s">
        <v>6556</v>
      </c>
      <c r="B5222" s="4" t="s">
        <v>6560</v>
      </c>
      <c r="C5222" s="5" t="str">
        <f>IFERROR(__xludf.DUMMYFUNCTION("GOOGLETRANSLATE(B5222,""en"",""es-ES"")"),"Hablan un poco mientras caminan y se preparan para jugar.")</f>
        <v>Hablan un poco mientras caminan y se preparan para jugar.</v>
      </c>
    </row>
    <row r="5223">
      <c r="A5223" s="4" t="s">
        <v>6556</v>
      </c>
      <c r="B5223" s="4" t="s">
        <v>6561</v>
      </c>
      <c r="C5223" s="5" t="str">
        <f>IFERROR(__xludf.DUMMYFUNCTION("GOOGLETRANSLATE(B5223,""en"",""es-ES"")"),"El hombre corre de regreso y cuarto y golpeó la pelota de la pared entre sí.")</f>
        <v>El hombre corre de regreso y cuarto y golpeó la pelota de la pared entre sí.</v>
      </c>
    </row>
    <row r="5224">
      <c r="A5224" s="4" t="s">
        <v>6562</v>
      </c>
      <c r="B5224" s="4" t="s">
        <v>6563</v>
      </c>
      <c r="C5224" s="5" t="str">
        <f>IFERROR(__xludf.DUMMYFUNCTION("GOOGLETRANSLATE(B5224,""en"",""es-ES"")"),"Hay un hombre en zancos saltando y haciendo acrobacias en un gimnasio interior.")</f>
        <v>Hay un hombre en zancos saltando y haciendo acrobacias en un gimnasio interior.</v>
      </c>
    </row>
    <row r="5225">
      <c r="A5225" s="4" t="s">
        <v>6562</v>
      </c>
      <c r="B5225" s="4" t="s">
        <v>6564</v>
      </c>
      <c r="C5225" s="5" t="str">
        <f>IFERROR(__xludf.DUMMYFUNCTION("GOOGLETRANSLATE(B5225,""en"",""es-ES"")"),"Hay varios espectadores y jueces que lo observan actuar.")</f>
        <v>Hay varios espectadores y jueces que lo observan actuar.</v>
      </c>
    </row>
    <row r="5226">
      <c r="A5226" s="4" t="s">
        <v>6562</v>
      </c>
      <c r="B5226" s="4" t="s">
        <v>6565</v>
      </c>
      <c r="C5226" s="5" t="str">
        <f>IFERROR(__xludf.DUMMYFUNCTION("GOOGLETRANSLATE(B5226,""en"",""es-ES"")"),"Después de que el hombre termina sus acrobacias, se deja de los pilotes y los jueces escriben los puntajes.")</f>
        <v>Después de que el hombre termina sus acrobacias, se deja de los pilotes y los jueces escriben los puntajes.</v>
      </c>
    </row>
    <row r="5227">
      <c r="A5227" s="4" t="s">
        <v>6566</v>
      </c>
      <c r="B5227" s="4" t="s">
        <v>6567</v>
      </c>
      <c r="C5227" s="5" t="str">
        <f>IFERROR(__xludf.DUMMYFUNCTION("GOOGLETRANSLATE(B5227,""en"",""es-ES"")"),"Una banda toca la batería en un círculo alrededor de un baterista principal.")</f>
        <v>Una banda toca la batería en un círculo alrededor de un baterista principal.</v>
      </c>
    </row>
    <row r="5228">
      <c r="A5228" s="4" t="s">
        <v>6566</v>
      </c>
      <c r="B5228" s="4" t="s">
        <v>6568</v>
      </c>
      <c r="C5228" s="5" t="str">
        <f>IFERROR(__xludf.DUMMYFUNCTION("GOOGLETRANSLATE(B5228,""en"",""es-ES"")"),"Las bateristas femeninas giran sus palos mientras juegan.")</f>
        <v>Las bateristas femeninas giran sus palos mientras juegan.</v>
      </c>
    </row>
    <row r="5229">
      <c r="A5229" s="4" t="s">
        <v>6566</v>
      </c>
      <c r="B5229" s="4" t="s">
        <v>6569</v>
      </c>
      <c r="C5229" s="5" t="str">
        <f>IFERROR(__xludf.DUMMYFUNCTION("GOOGLETRANSLATE(B5229,""en"",""es-ES"")"),"Los bateristas sostienen sus palos después de completar la canción.")</f>
        <v>Los bateristas sostienen sus palos después de completar la canción.</v>
      </c>
    </row>
    <row r="5230">
      <c r="A5230" s="4" t="s">
        <v>6570</v>
      </c>
      <c r="B5230" s="4" t="s">
        <v>6571</v>
      </c>
      <c r="C5230" s="5" t="str">
        <f>IFERROR(__xludf.DUMMYFUNCTION("GOOGLETRANSLATE(B5230,""en"",""es-ES"")"),"Un par de jaulas están en el suelo.")</f>
        <v>Un par de jaulas están en el suelo.</v>
      </c>
    </row>
    <row r="5231">
      <c r="A5231" s="4" t="s">
        <v>6570</v>
      </c>
      <c r="B5231" s="4" t="s">
        <v>6572</v>
      </c>
      <c r="C5231" s="5" t="str">
        <f>IFERROR(__xludf.DUMMYFUNCTION("GOOGLETRANSLATE(B5231,""en"",""es-ES"")"),"Hay perros durmiendo en cada jaula.")</f>
        <v>Hay perros durmiendo en cada jaula.</v>
      </c>
    </row>
    <row r="5232">
      <c r="A5232" s="4" t="s">
        <v>6570</v>
      </c>
      <c r="B5232" s="4" t="s">
        <v>6573</v>
      </c>
      <c r="C5232" s="5" t="str">
        <f>IFERROR(__xludf.DUMMYFUNCTION("GOOGLETRANSLATE(B5232,""en"",""es-ES"")"),"Un hombre se muestra en un campo realizando trucos con un perro y un montón de frisbees.")</f>
        <v>Un hombre se muestra en un campo realizando trucos con un perro y un montón de frisbees.</v>
      </c>
    </row>
    <row r="5233">
      <c r="A5233" s="4" t="s">
        <v>6570</v>
      </c>
      <c r="B5233" s="4" t="s">
        <v>6574</v>
      </c>
      <c r="C5233" s="5" t="str">
        <f>IFERROR(__xludf.DUMMYFUNCTION("GOOGLETRANSLATE(B5233,""en"",""es-ES"")"),"El perro atrapa, voltea y persigue a los Frisbees.")</f>
        <v>El perro atrapa, voltea y persigue a los Frisbees.</v>
      </c>
    </row>
    <row r="5234">
      <c r="A5234" s="4" t="s">
        <v>6575</v>
      </c>
      <c r="B5234" s="4" t="s">
        <v>6576</v>
      </c>
      <c r="C5234" s="5" t="str">
        <f>IFERROR(__xludf.DUMMYFUNCTION("GOOGLETRANSLATE(B5234,""en"",""es-ES"")"),"Hay un pequeño bebé con un babero morado sentado en una silla alta sosteniendo y chupando una paleta.")</f>
        <v>Hay un pequeño bebé con un babero morado sentado en una silla alta sosteniendo y chupando una paleta.</v>
      </c>
    </row>
    <row r="5235">
      <c r="A5235" s="4" t="s">
        <v>6575</v>
      </c>
      <c r="B5235" s="4" t="s">
        <v>6577</v>
      </c>
      <c r="C5235" s="5" t="str">
        <f>IFERROR(__xludf.DUMMYFUNCTION("GOOGLETRANSLATE(B5235,""en"",""es-ES"")"),"El bebé lame la paleta varias veces y luego la arroja.")</f>
        <v>El bebé lame la paleta varias veces y luego la arroja.</v>
      </c>
    </row>
    <row r="5236">
      <c r="A5236" s="4" t="s">
        <v>6578</v>
      </c>
      <c r="B5236" s="4" t="s">
        <v>6579</v>
      </c>
      <c r="C5236" s="5" t="str">
        <f>IFERROR(__xludf.DUMMYFUNCTION("GOOGLETRANSLATE(B5236,""en"",""es-ES"")"),"La mujer que usa ropa negra está jugando calabaza en una pequeña habitación de madera.")</f>
        <v>La mujer que usa ropa negra está jugando calabaza en una pequeña habitación de madera.</v>
      </c>
    </row>
    <row r="5237">
      <c r="A5237" s="4" t="s">
        <v>6578</v>
      </c>
      <c r="B5237" s="4" t="s">
        <v>6580</v>
      </c>
      <c r="C5237" s="5" t="str">
        <f>IFERROR(__xludf.DUMMYFUNCTION("GOOGLETRANSLATE(B5237,""en"",""es-ES"")"),"El hombre con una camisa despojada está de pie en una sala de canchas jugando squash.")</f>
        <v>El hombre con una camisa despojada está de pie en una sala de canchas jugando squash.</v>
      </c>
    </row>
    <row r="5238">
      <c r="A5238" s="4" t="s">
        <v>6578</v>
      </c>
      <c r="B5238" s="4" t="s">
        <v>6581</v>
      </c>
      <c r="C5238" s="5" t="str">
        <f>IFERROR(__xludf.DUMMYFUNCTION("GOOGLETRANSLATE(B5238,""en"",""es-ES"")"),"Un hombre y una mujer están de pie ni una cancha de madera jugando squash.")</f>
        <v>Un hombre y una mujer están de pie ni una cancha de madera jugando squash.</v>
      </c>
    </row>
    <row r="5239">
      <c r="A5239" s="4" t="s">
        <v>6582</v>
      </c>
      <c r="B5239" s="4" t="s">
        <v>6583</v>
      </c>
      <c r="C5239" s="5" t="str">
        <f>IFERROR(__xludf.DUMMYFUNCTION("GOOGLETRANSLATE(B5239,""en"",""es-ES"")"),"Un windsurfer se monta a lo largo del agua entrecortada a través de un canal con otros jinetes en el fondo.")</f>
        <v>Un windsurfer se monta a lo largo del agua entrecortada a través de un canal con otros jinetes en el fondo.</v>
      </c>
    </row>
    <row r="5240">
      <c r="A5240" s="4" t="s">
        <v>6582</v>
      </c>
      <c r="B5240" s="4" t="s">
        <v>6584</v>
      </c>
      <c r="C5240" s="5" t="str">
        <f>IFERROR(__xludf.DUMMYFUNCTION("GOOGLETRANSLATE(B5240,""en"",""es-ES"")"),"El giro de la dirección en su tabla de windsurf y bombea de un lado a otro para maniobrarlo.")</f>
        <v>El giro de la dirección en su tabla de windsurf y bombea de un lado a otro para maniobrarlo.</v>
      </c>
    </row>
    <row r="5241">
      <c r="A5241" s="4" t="s">
        <v>6582</v>
      </c>
      <c r="B5241" s="4" t="s">
        <v>6585</v>
      </c>
      <c r="C5241" s="5" t="str">
        <f>IFERROR(__xludf.DUMMYFUNCTION("GOOGLETRANSLATE(B5241,""en"",""es-ES"")"),"Un grupo de windsurfers viajan juntos alrededor de un pequeño bote sucio.")</f>
        <v>Un grupo de windsurfers viajan juntos alrededor de un pequeño bote sucio.</v>
      </c>
    </row>
    <row r="5242">
      <c r="A5242" s="4" t="s">
        <v>6586</v>
      </c>
      <c r="B5242" s="4" t="s">
        <v>6587</v>
      </c>
      <c r="C5242" s="5" t="str">
        <f>IFERROR(__xludf.DUMMYFUNCTION("GOOGLETRANSLATE(B5242,""en"",""es-ES"")"),"Un grupo de niños se está balanceando juntos en un equipo.")</f>
        <v>Un grupo de niños se está balanceando juntos en un equipo.</v>
      </c>
    </row>
    <row r="5243">
      <c r="A5243" s="4" t="s">
        <v>6586</v>
      </c>
      <c r="B5243" s="4" t="s">
        <v>6588</v>
      </c>
      <c r="C5243" s="5" t="str">
        <f>IFERROR(__xludf.DUMMYFUNCTION("GOOGLETRANSLATE(B5243,""en"",""es-ES"")"),"Se muestran en grupos, balanceándose de un lado a otro en la plataforma.")</f>
        <v>Se muestran en grupos, balanceándose de un lado a otro en la plataforma.</v>
      </c>
    </row>
    <row r="5244">
      <c r="A5244" s="4" t="s">
        <v>6586</v>
      </c>
      <c r="B5244" s="4" t="s">
        <v>6589</v>
      </c>
      <c r="C5244" s="5" t="str">
        <f>IFERROR(__xludf.DUMMYFUNCTION("GOOGLETRANSLATE(B5244,""en"",""es-ES"")"),"Están ubicados en un parque al aire libre.")</f>
        <v>Están ubicados en un parque al aire libre.</v>
      </c>
    </row>
    <row r="5245">
      <c r="A5245" s="4" t="s">
        <v>6590</v>
      </c>
      <c r="B5245" s="4" t="s">
        <v>6591</v>
      </c>
      <c r="C5245" s="5" t="str">
        <f>IFERROR(__xludf.DUMMYFUNCTION("GOOGLETRANSLATE(B5245,""en"",""es-ES"")"),"Un atleta masculino está parado afuera en un estiramiento de campo que se prepara para correr.")</f>
        <v>Un atleta masculino está parado afuera en un estiramiento de campo que se prepara para correr.</v>
      </c>
    </row>
    <row r="5246">
      <c r="A5246" s="4" t="s">
        <v>6590</v>
      </c>
      <c r="B5246" s="4" t="s">
        <v>6592</v>
      </c>
      <c r="C5246" s="5" t="str">
        <f>IFERROR(__xludf.DUMMYFUNCTION("GOOGLETRANSLATE(B5246,""en"",""es-ES"")"),"Después de que esté listo, el hombre despega corriendo y hace varios saltos de longitud al pozo.")</f>
        <v>Después de que esté listo, el hombre despega corriendo y hace varios saltos de longitud al pozo.</v>
      </c>
    </row>
    <row r="5247">
      <c r="A5247" s="4" t="s">
        <v>6590</v>
      </c>
      <c r="B5247" s="4" t="s">
        <v>6593</v>
      </c>
      <c r="C5247" s="5" t="str">
        <f>IFERROR(__xludf.DUMMYFUNCTION("GOOGLETRANSLATE(B5247,""en"",""es-ES"")"),"Cuando termina su último salto, dos personas vienen al pozo y comienzan a medir la distancia.")</f>
        <v>Cuando termina su último salto, dos personas vienen al pozo y comienzan a medir la distancia.</v>
      </c>
    </row>
    <row r="5248">
      <c r="A5248" s="4" t="s">
        <v>6594</v>
      </c>
      <c r="B5248" s="4" t="s">
        <v>6595</v>
      </c>
      <c r="C5248" s="5" t="str">
        <f>IFERROR(__xludf.DUMMYFUNCTION("GOOGLETRANSLATE(B5248,""en"",""es-ES"")"),"Hay varias personas patinando en la carretera principal en el centro de una ciudad por la noche.")</f>
        <v>Hay varias personas patinando en la carretera principal en el centro de una ciudad por la noche.</v>
      </c>
    </row>
    <row r="5249">
      <c r="A5249" s="4" t="s">
        <v>6594</v>
      </c>
      <c r="B5249" s="4" t="s">
        <v>6596</v>
      </c>
      <c r="C5249" s="5" t="str">
        <f>IFERROR(__xludf.DUMMYFUNCTION("GOOGLETRANSLATE(B5249,""en"",""es-ES"")"),"La calle está iluminada con luces de la calle y tiendas a lo largo de la acera.")</f>
        <v>La calle está iluminada con luces de la calle y tiendas a lo largo de la acera.</v>
      </c>
    </row>
    <row r="5250">
      <c r="A5250" s="4" t="s">
        <v>6594</v>
      </c>
      <c r="B5250" s="4" t="s">
        <v>6597</v>
      </c>
      <c r="C5250" s="5" t="str">
        <f>IFERROR(__xludf.DUMMYFUNCTION("GOOGLETRANSLATE(B5250,""en"",""es-ES"")"),"Las personas patinan por la carretera donde no hay automóviles que conducen.")</f>
        <v>Las personas patinan por la carretera donde no hay automóviles que conducen.</v>
      </c>
    </row>
    <row r="5251">
      <c r="A5251" s="4" t="s">
        <v>6598</v>
      </c>
      <c r="B5251" s="4" t="s">
        <v>6599</v>
      </c>
      <c r="C5251" s="5" t="str">
        <f>IFERROR(__xludf.DUMMYFUNCTION("GOOGLETRANSLATE(B5251,""en"",""es-ES"")"),"Se ve a un hombre caminando más cerca de una piñata mientras un gran grupo de personas se paran a su alrededor.")</f>
        <v>Se ve a un hombre caminando más cerca de una piñata mientras un gran grupo de personas se paran a su alrededor.</v>
      </c>
    </row>
    <row r="5252">
      <c r="A5252" s="4" t="s">
        <v>6598</v>
      </c>
      <c r="B5252" s="4" t="s">
        <v>6600</v>
      </c>
      <c r="C5252" s="5" t="str">
        <f>IFERROR(__xludf.DUMMYFUNCTION("GOOGLETRANSLATE(B5252,""en"",""es-ES"")"),"El hombre pierde la piñata y golpea a una persona detrás de él, que se muestra nuevamente en cámara lenta.")</f>
        <v>El hombre pierde la piñata y golpea a una persona detrás de él, que se muestra nuevamente en cámara lenta.</v>
      </c>
    </row>
    <row r="5253">
      <c r="A5253" s="4" t="s">
        <v>6601</v>
      </c>
      <c r="B5253" s="4" t="s">
        <v>6602</v>
      </c>
      <c r="C5253" s="5" t="str">
        <f>IFERROR(__xludf.DUMMYFUNCTION("GOOGLETRANSLATE(B5253,""en"",""es-ES"")"),"Se muestran muchos mosaicos diferentes y se muestran pisos de madera.")</f>
        <v>Se muestran muchos mosaicos diferentes y se muestran pisos de madera.</v>
      </c>
    </row>
    <row r="5254">
      <c r="A5254" s="4" t="s">
        <v>6601</v>
      </c>
      <c r="B5254" s="4" t="s">
        <v>6603</v>
      </c>
      <c r="C5254" s="5" t="str">
        <f>IFERROR(__xludf.DUMMYFUNCTION("GOOGLETRANSLATE(B5254,""en"",""es-ES"")"),"Primero, el hombre quita el zócalo, luego recibe un taladro y pone tornillos en el piso.")</f>
        <v>Primero, el hombre quita el zócalo, luego recibe un taladro y pone tornillos en el piso.</v>
      </c>
    </row>
    <row r="5255">
      <c r="A5255" s="4" t="s">
        <v>6601</v>
      </c>
      <c r="B5255" s="4" t="s">
        <v>6604</v>
      </c>
      <c r="C5255" s="5" t="str">
        <f>IFERROR(__xludf.DUMMYFUNCTION("GOOGLETRANSLATE(B5255,""en"",""es-ES"")"),"Luego dibuja líneas para poner azulejos en el piso.")</f>
        <v>Luego dibuja líneas para poner azulejos en el piso.</v>
      </c>
    </row>
    <row r="5256">
      <c r="A5256" s="4" t="s">
        <v>6601</v>
      </c>
      <c r="B5256" s="4" t="s">
        <v>6605</v>
      </c>
      <c r="C5256" s="5" t="str">
        <f>IFERROR(__xludf.DUMMYFUNCTION("GOOGLETRANSLATE(B5256,""en"",""es-ES"")"),"Luego lo veo con una máquina que corta los azulejos por la mitad y pone la mitad de un mosaico en el piso.")</f>
        <v>Luego lo veo con una máquina que corta los azulejos por la mitad y pone la mitad de un mosaico en el piso.</v>
      </c>
    </row>
    <row r="5257">
      <c r="A5257" s="4" t="s">
        <v>6601</v>
      </c>
      <c r="B5257" s="4" t="s">
        <v>6606</v>
      </c>
      <c r="C5257" s="5" t="str">
        <f>IFERROR(__xludf.DUMMYFUNCTION("GOOGLETRANSLATE(B5257,""en"",""es-ES"")"),"Luego muele cemento en el piso y se encuentra las baldosas encima.")</f>
        <v>Luego muele cemento en el piso y se encuentra las baldosas encima.</v>
      </c>
    </row>
    <row r="5258">
      <c r="A5258" s="4" t="s">
        <v>6601</v>
      </c>
      <c r="B5258" s="4" t="s">
        <v>6607</v>
      </c>
      <c r="C5258" s="5" t="str">
        <f>IFERROR(__xludf.DUMMYFUNCTION("GOOGLETRANSLATE(B5258,""en"",""es-ES"")"),"Él golpea un poco los azulejos para que se acuesten.")</f>
        <v>Él golpea un poco los azulejos para que se acuesten.</v>
      </c>
    </row>
    <row r="5259">
      <c r="A5259" s="4" t="s">
        <v>6601</v>
      </c>
      <c r="B5259" s="4" t="s">
        <v>6608</v>
      </c>
      <c r="C5259" s="5" t="str">
        <f>IFERROR(__xludf.DUMMYFUNCTION("GOOGLETRANSLATE(B5259,""en"",""es-ES"")"),"Luego, el piso ahora está terminado y limpia las fichas haciéndolas brillantes.")</f>
        <v>Luego, el piso ahora está terminado y limpia las fichas haciéndolas brillantes.</v>
      </c>
    </row>
    <row r="5260">
      <c r="A5260" s="4" t="s">
        <v>6609</v>
      </c>
      <c r="B5260" s="4" t="s">
        <v>6610</v>
      </c>
      <c r="C5260" s="5" t="str">
        <f>IFERROR(__xludf.DUMMYFUNCTION("GOOGLETRANSLATE(B5260,""en"",""es-ES"")"),"Un bebé está parado en la alfombra.")</f>
        <v>Un bebé está parado en la alfombra.</v>
      </c>
    </row>
    <row r="5261">
      <c r="A5261" s="4" t="s">
        <v>6609</v>
      </c>
      <c r="B5261" s="4" t="s">
        <v>6611</v>
      </c>
      <c r="C5261" s="5" t="str">
        <f>IFERROR(__xludf.DUMMYFUNCTION("GOOGLETRANSLATE(B5261,""en"",""es-ES"")"),"Una persona cepilla los dientes del niño con un cepillo de dientes azul.")</f>
        <v>Una persona cepilla los dientes del niño con un cepillo de dientes azul.</v>
      </c>
    </row>
    <row r="5262">
      <c r="A5262" s="4" t="s">
        <v>6609</v>
      </c>
      <c r="B5262" s="4" t="s">
        <v>6612</v>
      </c>
      <c r="C5262" s="5" t="str">
        <f>IFERROR(__xludf.DUMMYFUNCTION("GOOGLETRANSLATE(B5262,""en"",""es-ES"")"),"El niño alcanza la cámara.")</f>
        <v>El niño alcanza la cámara.</v>
      </c>
    </row>
    <row r="5263">
      <c r="A5263" s="4" t="s">
        <v>6613</v>
      </c>
      <c r="B5263" s="4" t="s">
        <v>6614</v>
      </c>
      <c r="C5263" s="5" t="str">
        <f>IFERROR(__xludf.DUMMYFUNCTION("GOOGLETRANSLATE(B5263,""en"",""es-ES"")"),"Vemos a una chica actuando con bastones.")</f>
        <v>Vemos a una chica actuando con bastones.</v>
      </c>
    </row>
    <row r="5264">
      <c r="A5264" s="4" t="s">
        <v>6613</v>
      </c>
      <c r="B5264" s="4" t="s">
        <v>6615</v>
      </c>
      <c r="C5264" s="5" t="str">
        <f>IFERROR(__xludf.DUMMYFUNCTION("GOOGLETRANSLATE(B5264,""en"",""es-ES"")"),"La niña arroja la pierna al aire y gira.")</f>
        <v>La niña arroja la pierna al aire y gira.</v>
      </c>
    </row>
    <row r="5265">
      <c r="A5265" s="4" t="s">
        <v>6613</v>
      </c>
      <c r="B5265" s="4" t="s">
        <v>6616</v>
      </c>
      <c r="C5265" s="5" t="str">
        <f>IFERROR(__xludf.DUMMYFUNCTION("GOOGLETRANSLATE(B5265,""en"",""es-ES"")"),"La niña hace una rueda de carrito.")</f>
        <v>La niña hace una rueda de carrito.</v>
      </c>
    </row>
    <row r="5266">
      <c r="A5266" s="4" t="s">
        <v>6613</v>
      </c>
      <c r="B5266" s="4" t="s">
        <v>6617</v>
      </c>
      <c r="C5266" s="5" t="str">
        <f>IFERROR(__xludf.DUMMYFUNCTION("GOOGLETRANSLATE(B5266,""en"",""es-ES"")"),"La niña se arrodilla y recoge un bastón.")</f>
        <v>La niña se arrodilla y recoge un bastón.</v>
      </c>
    </row>
    <row r="5267">
      <c r="A5267" s="4" t="s">
        <v>6613</v>
      </c>
      <c r="B5267" s="4" t="s">
        <v>6618</v>
      </c>
      <c r="C5267" s="5" t="str">
        <f>IFERROR(__xludf.DUMMYFUNCTION("GOOGLETRANSLATE(B5267,""en"",""es-ES"")"),"Las chicas terminan y arroja los brazos al aire.")</f>
        <v>Las chicas terminan y arroja los brazos al aire.</v>
      </c>
    </row>
    <row r="5268">
      <c r="A5268" s="4" t="s">
        <v>6613</v>
      </c>
      <c r="B5268" s="4" t="s">
        <v>6619</v>
      </c>
      <c r="C5268" s="5" t="str">
        <f>IFERROR(__xludf.DUMMYFUNCTION("GOOGLETRANSLATE(B5268,""en"",""es-ES"")"),"La niña se acerca y abraza a su papá.")</f>
        <v>La niña se acerca y abraza a su papá.</v>
      </c>
    </row>
    <row r="5269">
      <c r="A5269" s="4" t="s">
        <v>6620</v>
      </c>
      <c r="B5269" s="4" t="s">
        <v>6621</v>
      </c>
      <c r="C5269" s="5" t="str">
        <f>IFERROR(__xludf.DUMMYFUNCTION("GOOGLETRANSLATE(B5269,""en"",""es-ES"")"),"Un hombre está viendo un juego comiendo un cono de helado.")</f>
        <v>Un hombre está viendo un juego comiendo un cono de helado.</v>
      </c>
    </row>
    <row r="5270">
      <c r="A5270" s="4" t="s">
        <v>6620</v>
      </c>
      <c r="B5270" s="4" t="s">
        <v>6622</v>
      </c>
      <c r="C5270" s="5" t="str">
        <f>IFERROR(__xludf.DUMMYFUNCTION("GOOGLETRANSLATE(B5270,""en"",""es-ES"")"),"La gente está sentada detrás de un escritorio riendo.")</f>
        <v>La gente está sentada detrás de un escritorio riendo.</v>
      </c>
    </row>
    <row r="5271">
      <c r="A5271" s="4" t="s">
        <v>6623</v>
      </c>
      <c r="B5271" s="4" t="s">
        <v>6624</v>
      </c>
      <c r="C5271" s="5" t="str">
        <f>IFERROR(__xludf.DUMMYFUNCTION("GOOGLETRANSLATE(B5271,""en"",""es-ES"")"),"Un hombre se está preparando para correr y saltar.")</f>
        <v>Un hombre se está preparando para correr y saltar.</v>
      </c>
    </row>
    <row r="5272">
      <c r="A5272" s="4" t="s">
        <v>6623</v>
      </c>
      <c r="B5272" s="4" t="s">
        <v>6625</v>
      </c>
      <c r="C5272" s="5" t="str">
        <f>IFERROR(__xludf.DUMMYFUNCTION("GOOGLETRANSLATE(B5272,""en"",""es-ES"")"),"Corre muy rápidamente por la pista.")</f>
        <v>Corre muy rápidamente por la pista.</v>
      </c>
    </row>
    <row r="5273">
      <c r="A5273" s="4" t="s">
        <v>6623</v>
      </c>
      <c r="B5273" s="4" t="s">
        <v>6626</v>
      </c>
      <c r="C5273" s="5" t="str">
        <f>IFERROR(__xludf.DUMMYFUNCTION("GOOGLETRANSLATE(B5273,""en"",""es-ES"")"),"Da un salto volador sobre la barra alta sobre una colchoneta.")</f>
        <v>Da un salto volador sobre la barra alta sobre una colchoneta.</v>
      </c>
    </row>
    <row r="5274">
      <c r="A5274" s="4" t="s">
        <v>6627</v>
      </c>
      <c r="B5274" s="4" t="s">
        <v>6628</v>
      </c>
      <c r="C5274" s="5" t="str">
        <f>IFERROR(__xludf.DUMMYFUNCTION("GOOGLETRANSLATE(B5274,""en"",""es-ES"")"),"Una niña está sentada en una silla.")</f>
        <v>Una niña está sentada en una silla.</v>
      </c>
    </row>
    <row r="5275">
      <c r="A5275" s="4" t="s">
        <v>6627</v>
      </c>
      <c r="B5275" s="4" t="s">
        <v>6629</v>
      </c>
      <c r="C5275" s="5" t="str">
        <f>IFERROR(__xludf.DUMMYFUNCTION("GOOGLETRANSLATE(B5275,""en"",""es-ES"")"),"Otra persona está de pie detrás de ella.")</f>
        <v>Otra persona está de pie detrás de ella.</v>
      </c>
    </row>
    <row r="5276">
      <c r="A5276" s="4" t="s">
        <v>6627</v>
      </c>
      <c r="B5276" s="4" t="s">
        <v>6630</v>
      </c>
      <c r="C5276" s="5" t="str">
        <f>IFERROR(__xludf.DUMMYFUNCTION("GOOGLETRANSLATE(B5276,""en"",""es-ES"")"),"La mujer detrás de ella comienza a trenzar su cabello.")</f>
        <v>La mujer detrás de ella comienza a trenzar su cabello.</v>
      </c>
    </row>
    <row r="5277">
      <c r="A5277" s="4" t="s">
        <v>6631</v>
      </c>
      <c r="B5277" s="4" t="s">
        <v>6632</v>
      </c>
      <c r="C5277" s="5" t="str">
        <f>IFERROR(__xludf.DUMMYFUNCTION("GOOGLETRANSLATE(B5277,""en"",""es-ES"")"),"Se ve a dos hombres arrodillados y sentados ante una pared con una que habla con la cámara y comienzan a colocar metal hacia un lado.")</f>
        <v>Se ve a dos hombres arrodillados y sentados ante una pared con una que habla con la cámara y comienzan a colocar metal hacia un lado.</v>
      </c>
    </row>
    <row r="5278">
      <c r="A5278" s="4" t="s">
        <v>6631</v>
      </c>
      <c r="B5278" s="4" t="s">
        <v>6633</v>
      </c>
      <c r="C5278" s="5" t="str">
        <f>IFERROR(__xludf.DUMMYFUNCTION("GOOGLETRANSLATE(B5278,""en"",""es-ES"")"),"Los dos lo alinean y perforan el metal en su lugar mientras continúan profundizando más mientras el hombre habla con la cámara y muestra más disparos de su tripulación trabajando al final.")</f>
        <v>Los dos lo alinean y perforan el metal en su lugar mientras continúan profundizando más mientras el hombre habla con la cámara y muestra más disparos de su tripulación trabajando al final.</v>
      </c>
    </row>
    <row r="5279">
      <c r="A5279" s="4" t="s">
        <v>6634</v>
      </c>
      <c r="B5279" s="4" t="s">
        <v>6635</v>
      </c>
      <c r="C5279" s="5" t="str">
        <f>IFERROR(__xludf.DUMMYFUNCTION("GOOGLETRANSLATE(B5279,""en"",""es-ES"")"),"Una mujer hornea galletas en una alfombra de silicona.")</f>
        <v>Una mujer hornea galletas en una alfombra de silicona.</v>
      </c>
    </row>
    <row r="5280">
      <c r="A5280" s="4" t="s">
        <v>6634</v>
      </c>
      <c r="B5280" s="4" t="s">
        <v>6636</v>
      </c>
      <c r="C5280" s="5" t="str">
        <f>IFERROR(__xludf.DUMMYFUNCTION("GOOGLETRANSLATE(B5280,""en"",""es-ES"")"),"Se preparan los ingredientes y se cortan las galletas.")</f>
        <v>Se preparan los ingredientes y se cortan las galletas.</v>
      </c>
    </row>
    <row r="5281">
      <c r="A5281" s="4" t="s">
        <v>6637</v>
      </c>
      <c r="B5281" s="4" t="s">
        <v>6638</v>
      </c>
      <c r="C5281" s="5" t="str">
        <f>IFERROR(__xludf.DUMMYFUNCTION("GOOGLETRANSLATE(B5281,""en"",""es-ES"")"),"Se muestra un arrecife de coral submarino.")</f>
        <v>Se muestra un arrecife de coral submarino.</v>
      </c>
    </row>
    <row r="5282">
      <c r="A5282" s="4" t="s">
        <v>6637</v>
      </c>
      <c r="B5282" s="4" t="s">
        <v>6639</v>
      </c>
      <c r="C5282" s="5" t="str">
        <f>IFERROR(__xludf.DUMMYFUNCTION("GOOGLETRANSLATE(B5282,""en"",""es-ES"")"),"El buzo de buceo monta un caballo y luego mira los rayos.")</f>
        <v>El buzo de buceo monta un caballo y luego mira los rayos.</v>
      </c>
    </row>
    <row r="5283">
      <c r="A5283" s="4" t="s">
        <v>6640</v>
      </c>
      <c r="B5283" s="4" t="s">
        <v>6641</v>
      </c>
      <c r="C5283" s="5" t="str">
        <f>IFERROR(__xludf.DUMMYFUNCTION("GOOGLETRANSLATE(B5283,""en"",""es-ES"")"),"Se ve a un niño pequeño corriendo arriba y abajo de un área de ladrillo mientras está parado frente a un juego de escocés de lúpulo prolongado.")</f>
        <v>Se ve a un niño pequeño corriendo arriba y abajo de un área de ladrillo mientras está parado frente a un juego de escocés de lúpulo prolongado.</v>
      </c>
    </row>
    <row r="5284">
      <c r="A5284" s="4" t="s">
        <v>6640</v>
      </c>
      <c r="B5284" s="4" t="s">
        <v>6642</v>
      </c>
      <c r="C5284" s="5" t="str">
        <f>IFERROR(__xludf.DUMMYFUNCTION("GOOGLETRANSLATE(B5284,""en"",""es-ES"")"),"Luego, la niña salta a lo largo de la tiza mientras mira la cámara y le sostiene el cabello de la cara.")</f>
        <v>Luego, la niña salta a lo largo de la tiza mientras mira la cámara y le sostiene el cabello de la cara.</v>
      </c>
    </row>
    <row r="5285">
      <c r="A5285" s="4" t="s">
        <v>6640</v>
      </c>
      <c r="B5285" s="4" t="s">
        <v>6643</v>
      </c>
      <c r="C5285" s="5" t="str">
        <f>IFERROR(__xludf.DUMMYFUNCTION("GOOGLETRANSLATE(B5285,""en"",""es-ES"")"),"Al final, ella le da a la persona que sostiene la cámara un alto.")</f>
        <v>Al final, ella le da a la persona que sostiene la cámara un alto.</v>
      </c>
    </row>
    <row r="5286">
      <c r="A5286" s="4" t="s">
        <v>6644</v>
      </c>
      <c r="B5286" s="4" t="s">
        <v>6645</v>
      </c>
      <c r="C5286" s="5" t="str">
        <f>IFERROR(__xludf.DUMMYFUNCTION("GOOGLETRANSLATE(B5286,""en"",""es-ES"")"),"Se muestran varios clips de comida de cerca, así como personas que hablan con la cámara.")</f>
        <v>Se muestran varios clips de comida de cerca, así como personas que hablan con la cámara.</v>
      </c>
    </row>
    <row r="5287">
      <c r="A5287" s="4" t="s">
        <v>6644</v>
      </c>
      <c r="B5287" s="4" t="s">
        <v>6646</v>
      </c>
      <c r="C5287" s="5" t="str">
        <f>IFERROR(__xludf.DUMMYFUNCTION("GOOGLETRANSLATE(B5287,""en"",""es-ES"")"),"Se muestran tomas del exterior de un restaurante, así como los chefs que cocinan la comida y la gente que come la comida.")</f>
        <v>Se muestran tomas del exterior de un restaurante, así como los chefs que cocinan la comida y la gente que come la comida.</v>
      </c>
    </row>
    <row r="5288">
      <c r="A5288" s="4" t="s">
        <v>6647</v>
      </c>
      <c r="B5288" s="4" t="s">
        <v>6648</v>
      </c>
      <c r="C5288" s="5" t="str">
        <f>IFERROR(__xludf.DUMMYFUNCTION("GOOGLETRANSLATE(B5288,""en"",""es-ES"")"),"Aparece una pantalla blanca con un logotipo verde y palabras verdes y grises y dice ""Howdini consigue un gurú"".")</f>
        <v>Aparece una pantalla blanca con un logotipo verde y palabras verdes y grises y dice "Howdini consigue un gurú".</v>
      </c>
    </row>
    <row r="5289">
      <c r="A5289" s="4" t="s">
        <v>6647</v>
      </c>
      <c r="B5289" s="4" t="s">
        <v>6649</v>
      </c>
      <c r="C5289" s="5" t="str">
        <f>IFERROR(__xludf.DUMMYFUNCTION("GOOGLETRANSLATE(B5289,""en"",""es-ES"")"),"Una mujer morena de pie en una cocina está hablando y las palabras en la pantalla dicen ""Howdini Guru Cricket Azima Chef and Autor"", luego aparece una pantalla verde rápidamente y dice las ""Recetas de intercambio de galletas"", y vuelve a la mujer que "&amp;"habla.")</f>
        <v>Una mujer morena de pie en una cocina está hablando y las palabras en la pantalla dicen "Howdini Guru Cricket Azima Chef and Autor", luego aparece una pantalla verde rápidamente y dice las "Recetas de intercambio de galletas", y vuelve a la mujer que habla.</v>
      </c>
    </row>
    <row r="5290">
      <c r="A5290" s="4" t="s">
        <v>6647</v>
      </c>
      <c r="B5290" s="4" t="s">
        <v>6650</v>
      </c>
      <c r="C5290" s="5" t="str">
        <f>IFERROR(__xludf.DUMMYFUNCTION("GOOGLETRANSLATE(B5290,""en"",""es-ES"")"),"Se muestran galletas en un plato y las palabras en la pantalla dicen que son ""flores de mantequilla de maní"", y comienza a mostrar a la mujer vertiendo todos los ingredientes en un tazón para hacerlos, rodándolos en azúcar, colocándolos en una bandeja p"&amp;"ara hornear , y luego mostrando el producto final cuando hayan terminado de hornear y el sitio web para ver la receta completa.")</f>
        <v>Se muestran galletas en un plato y las palabras en la pantalla dicen que son "flores de mantequilla de maní", y comienza a mostrar a la mujer vertiendo todos los ingredientes en un tazón para hacerlos, rodándolos en azúcar, colocándolos en una bandeja para hornear , y luego mostrando el producto final cuando hayan terminado de hornear y el sitio web para ver la receta completa.</v>
      </c>
    </row>
    <row r="5291">
      <c r="A5291" s="4" t="s">
        <v>6647</v>
      </c>
      <c r="B5291" s="4" t="s">
        <v>6651</v>
      </c>
      <c r="C5291" s="5" t="str">
        <f>IFERROR(__xludf.DUMMYFUNCTION("GOOGLETRANSLATE(B5291,""en"",""es-ES"")"),"La mujer está hablando nuevamente y la próxima galleta que se muestra que se muestra se llama ""bolas de nieve de galletas"" y muestra todos los ingredientes necesarios, una lista sobre cuánto tiempo para cocinarlo, y está demostrando paso a paso hasta qu"&amp;"e todo está horneado y en un Plato al lado de las otras galletas.")</f>
        <v>La mujer está hablando nuevamente y la próxima galleta que se muestra que se muestra se llama "bolas de nieve de galletas" y muestra todos los ingredientes necesarios, una lista sobre cuánto tiempo para cocinarlo, y está demostrando paso a paso hasta que todo está horneado y en un Plato al lado de las otras galletas.</v>
      </c>
    </row>
    <row r="5292">
      <c r="A5292" s="4" t="s">
        <v>6647</v>
      </c>
      <c r="B5292" s="4" t="s">
        <v>6652</v>
      </c>
      <c r="C5292" s="5" t="str">
        <f>IFERROR(__xludf.DUMMYFUNCTION("GOOGLETRANSLATE(B5292,""en"",""es-ES"")"),"El video termina con más imágenes de otras cookies que no se mostró, luego a una pantalla verde que tiene palabras blancas que incluyen un mensaje para ir a su sitio web si desea ver más videos de sus recetas de galletas.")</f>
        <v>El video termina con más imágenes de otras cookies que no se mostró, luego a una pantalla verde que tiene palabras blancas que incluyen un mensaje para ir a su sitio web si desea ver más videos de sus recetas de galletas.</v>
      </c>
    </row>
    <row r="5293">
      <c r="A5293" s="4" t="s">
        <v>6653</v>
      </c>
      <c r="B5293" s="4" t="s">
        <v>6654</v>
      </c>
      <c r="C5293" s="5" t="str">
        <f>IFERROR(__xludf.DUMMYFUNCTION("GOOGLETRANSLATE(B5293,""en"",""es-ES"")"),"Una dama en una máquina de remo en un gimnasio se sienta quieto.")</f>
        <v>Una dama en una máquina de remo en un gimnasio se sienta quieto.</v>
      </c>
    </row>
    <row r="5294">
      <c r="A5294" s="4" t="s">
        <v>6653</v>
      </c>
      <c r="B5294" s="4" t="s">
        <v>6655</v>
      </c>
      <c r="C5294" s="5" t="str">
        <f>IFERROR(__xludf.DUMMYFUNCTION("GOOGLETRANSLATE(B5294,""en"",""es-ES"")"),"La señora se inclina hacia adelante y hace ejercicio lentamente en la máquina.")</f>
        <v>La señora se inclina hacia adelante y hace ejercicio lentamente en la máquina.</v>
      </c>
    </row>
    <row r="5295">
      <c r="A5295" s="4" t="s">
        <v>6653</v>
      </c>
      <c r="B5295" s="4" t="s">
        <v>6656</v>
      </c>
      <c r="C5295" s="5" t="str">
        <f>IFERROR(__xludf.DUMMYFUNCTION("GOOGLETRANSLATE(B5295,""en"",""es-ES"")"),"La señora comienza a remar un poco más rápido y la pantalla se desvanece hasta negra.")</f>
        <v>La señora comienza a remar un poco más rápido y la pantalla se desvanece hasta negra.</v>
      </c>
    </row>
    <row r="5296">
      <c r="A5296" s="4" t="s">
        <v>6657</v>
      </c>
      <c r="B5296" s="4" t="s">
        <v>6658</v>
      </c>
      <c r="C5296" s="5" t="str">
        <f>IFERROR(__xludf.DUMMYFUNCTION("GOOGLETRANSLATE(B5296,""en"",""es-ES"")"),"Se ve a dos bailarines sosteniendo una pose en medio de un gran gimnasio y comienzan a realizar una rutina con bastones.")</f>
        <v>Se ve a dos bailarines sosteniendo una pose en medio de un gran gimnasio y comienzan a realizar una rutina con bastones.</v>
      </c>
    </row>
    <row r="5297">
      <c r="A5297" s="4" t="s">
        <v>6657</v>
      </c>
      <c r="B5297" s="4" t="s">
        <v>6659</v>
      </c>
      <c r="C5297" s="5" t="str">
        <f>IFERROR(__xludf.DUMMYFUNCTION("GOOGLETRANSLATE(B5297,""en"",""es-ES"")"),"Las chicas continúan bailando y girando con los palos y terminan sosteniendo una pose.")</f>
        <v>Las chicas continúan bailando y girando con los palos y terminan sosteniendo una pose.</v>
      </c>
    </row>
    <row r="5298">
      <c r="A5298" s="4" t="s">
        <v>6660</v>
      </c>
      <c r="B5298" s="4" t="s">
        <v>6661</v>
      </c>
      <c r="C5298" s="5" t="str">
        <f>IFERROR(__xludf.DUMMYFUNCTION("GOOGLETRANSLATE(B5298,""en"",""es-ES"")"),"Vemos corredores de BMX en el campo y en varios lugares y andar en bicicleta.")</f>
        <v>Vemos corredores de BMX en el campo y en varios lugares y andar en bicicleta.</v>
      </c>
    </row>
    <row r="5299">
      <c r="A5299" s="4" t="s">
        <v>6660</v>
      </c>
      <c r="B5299" s="4" t="s">
        <v>6662</v>
      </c>
      <c r="C5299" s="5" t="str">
        <f>IFERROR(__xludf.DUMMYFUNCTION("GOOGLETRANSLATE(B5299,""en"",""es-ES"")"),"Dos hombres se caen de sus bicicletas.")</f>
        <v>Dos hombres se caen de sus bicicletas.</v>
      </c>
    </row>
    <row r="5300">
      <c r="A5300" s="4" t="s">
        <v>6660</v>
      </c>
      <c r="B5300" s="4" t="s">
        <v>6663</v>
      </c>
      <c r="C5300" s="5" t="str">
        <f>IFERROR(__xludf.DUMMYFUNCTION("GOOGLETRANSLATE(B5300,""en"",""es-ES"")"),"Vemos que las carreras comienzan en lo alto de una plataforma.")</f>
        <v>Vemos que las carreras comienzan en lo alto de una plataforma.</v>
      </c>
    </row>
    <row r="5301">
      <c r="A5301" s="4" t="s">
        <v>6660</v>
      </c>
      <c r="B5301" s="4" t="s">
        <v>6664</v>
      </c>
      <c r="C5301" s="5" t="str">
        <f>IFERROR(__xludf.DUMMYFUNCTION("GOOGLETRANSLATE(B5301,""en"",""es-ES"")"),"Un hombre sostiene una tabla de surf y un hombre lleva una bicicleta.")</f>
        <v>Un hombre sostiene una tabla de surf y un hombre lleva una bicicleta.</v>
      </c>
    </row>
    <row r="5302">
      <c r="A5302" s="4" t="s">
        <v>6660</v>
      </c>
      <c r="B5302" s="4" t="s">
        <v>6665</v>
      </c>
      <c r="C5302" s="5" t="str">
        <f>IFERROR(__xludf.DUMMYFUNCTION("GOOGLETRANSLATE(B5302,""en"",""es-ES"")"),"Vemos a un hombre riendo sosteniendo una tabla de surf.")</f>
        <v>Vemos a un hombre riendo sosteniendo una tabla de surf.</v>
      </c>
    </row>
    <row r="5303">
      <c r="A5303" s="4" t="s">
        <v>6660</v>
      </c>
      <c r="B5303" s="4" t="s">
        <v>6666</v>
      </c>
      <c r="C5303" s="5" t="str">
        <f>IFERROR(__xludf.DUMMYFUNCTION("GOOGLETRANSLATE(B5303,""en"",""es-ES"")"),"Una señora arroja un letrero de mano a la cámara.")</f>
        <v>Una señora arroja un letrero de mano a la cámara.</v>
      </c>
    </row>
    <row r="5304">
      <c r="A5304" s="4" t="s">
        <v>6660</v>
      </c>
      <c r="B5304" s="4" t="s">
        <v>6667</v>
      </c>
      <c r="C5304" s="5" t="str">
        <f>IFERROR(__xludf.DUMMYFUNCTION("GOOGLETRANSLATE(B5304,""en"",""es-ES"")"),"Vemos tomas aéreas de los campos.")</f>
        <v>Vemos tomas aéreas de los campos.</v>
      </c>
    </row>
    <row r="5305">
      <c r="A5305" s="4" t="s">
        <v>6660</v>
      </c>
      <c r="B5305" s="4" t="s">
        <v>6668</v>
      </c>
      <c r="C5305" s="5" t="str">
        <f>IFERROR(__xludf.DUMMYFUNCTION("GOOGLETRANSLATE(B5305,""en"",""es-ES"")"),"Un hombre toma una foto y un hombre sostiene una bandera de Nueva Zelanda.")</f>
        <v>Un hombre toma una foto y un hombre sostiene una bandera de Nueva Zelanda.</v>
      </c>
    </row>
    <row r="5306">
      <c r="A5306" s="4" t="s">
        <v>6660</v>
      </c>
      <c r="B5306" s="4" t="s">
        <v>6669</v>
      </c>
      <c r="C5306" s="5" t="str">
        <f>IFERROR(__xludf.DUMMYFUNCTION("GOOGLETRANSLATE(B5306,""en"",""es-ES"")"),"Un hombre se cae de su bicicleta con fuerza.")</f>
        <v>Un hombre se cae de su bicicleta con fuerza.</v>
      </c>
    </row>
    <row r="5307">
      <c r="A5307" s="4" t="s">
        <v>6660</v>
      </c>
      <c r="B5307" s="4" t="s">
        <v>6670</v>
      </c>
      <c r="C5307" s="5" t="str">
        <f>IFERROR(__xludf.DUMMYFUNCTION("GOOGLETRANSLATE(B5307,""en"",""es-ES"")"),"El video se desvanece a negro.")</f>
        <v>El video se desvanece a negro.</v>
      </c>
    </row>
    <row r="5308">
      <c r="A5308" s="4" t="s">
        <v>6671</v>
      </c>
      <c r="B5308" s="4" t="s">
        <v>6672</v>
      </c>
      <c r="C5308" s="5" t="str">
        <f>IFERROR(__xludf.DUMMYFUNCTION("GOOGLETRANSLATE(B5308,""en"",""es-ES"")"),"Se muestran varios clips del interior y fuera de una arena, así como la cámara que sale del hielo y dos personas que hablan entre sí.")</f>
        <v>Se muestran varios clips del interior y fuera de una arena, así como la cámara que sale del hielo y dos personas que hablan entre sí.</v>
      </c>
    </row>
    <row r="5309">
      <c r="A5309" s="4" t="s">
        <v>6671</v>
      </c>
      <c r="B5309" s="4" t="s">
        <v>6673</v>
      </c>
      <c r="C5309" s="5" t="str">
        <f>IFERROR(__xludf.DUMMYFUNCTION("GOOGLETRANSLATE(B5309,""en"",""es-ES"")"),"Luego se muestran varias tomas de personas que se curvan y se acercan los discos.")</f>
        <v>Luego se muestran varias tomas de personas que se curvan y se acercan los discos.</v>
      </c>
    </row>
    <row r="5310">
      <c r="A5310" s="4" t="s">
        <v>6671</v>
      </c>
      <c r="B5310" s="4" t="s">
        <v>6674</v>
      </c>
      <c r="C5310" s="5" t="str">
        <f>IFERROR(__xludf.DUMMYFUNCTION("GOOGLETRANSLATE(B5310,""en"",""es-ES"")"),"Se muestran más clips de personas jugando al juego, así como a los compañeros de equipo que miran.")</f>
        <v>Se muestran más clips de personas jugando al juego, así como a los compañeros de equipo que miran.</v>
      </c>
    </row>
    <row r="5311">
      <c r="A5311" s="4" t="s">
        <v>6675</v>
      </c>
      <c r="B5311" s="4" t="s">
        <v>6676</v>
      </c>
      <c r="C5311" s="5" t="str">
        <f>IFERROR(__xludf.DUMMYFUNCTION("GOOGLETRANSLATE(B5311,""en"",""es-ES"")"),"Un hombre con una camisa blanca se inclina y toma un gran peso.")</f>
        <v>Un hombre con una camisa blanca se inclina y toma un gran peso.</v>
      </c>
    </row>
    <row r="5312">
      <c r="A5312" s="4" t="s">
        <v>6675</v>
      </c>
      <c r="B5312" s="4" t="s">
        <v>6677</v>
      </c>
      <c r="C5312" s="5" t="str">
        <f>IFERROR(__xludf.DUMMYFUNCTION("GOOGLETRANSLATE(B5312,""en"",""es-ES"")"),"Levanta el peso de sus hombros.")</f>
        <v>Levanta el peso de sus hombros.</v>
      </c>
    </row>
    <row r="5313">
      <c r="A5313" s="4" t="s">
        <v>6675</v>
      </c>
      <c r="B5313" s="4" t="s">
        <v>6678</v>
      </c>
      <c r="C5313" s="5" t="str">
        <f>IFERROR(__xludf.DUMMYFUNCTION("GOOGLETRANSLATE(B5313,""en"",""es-ES"")"),"Se dobla y levanta el peso sobre su cabeza.")</f>
        <v>Se dobla y levanta el peso sobre su cabeza.</v>
      </c>
    </row>
    <row r="5314">
      <c r="A5314" s="4" t="s">
        <v>6679</v>
      </c>
      <c r="B5314" s="4" t="s">
        <v>6680</v>
      </c>
      <c r="C5314" s="5" t="str">
        <f>IFERROR(__xludf.DUMMYFUNCTION("GOOGLETRANSLATE(B5314,""en"",""es-ES"")"),"Un hombre llamado Alex al-Nameen está sonriendo y hablando y las palabras debajo de su nombre dicen que ha sido ""seleccionado para los obstáculos de los 110 metros de la Commonwealth Games 2014"".")</f>
        <v>Un hombre llamado Alex al-Nameen está sonriendo y hablando y las palabras debajo de su nombre dicen que ha sido "seleccionado para los obstáculos de los 110 metros de la Commonwealth Games 2014".</v>
      </c>
    </row>
    <row r="5315">
      <c r="A5315" s="4" t="s">
        <v>6679</v>
      </c>
      <c r="B5315" s="4" t="s">
        <v>6681</v>
      </c>
      <c r="C5315" s="5" t="str">
        <f>IFERROR(__xludf.DUMMYFUNCTION("GOOGLETRANSLATE(B5315,""en"",""es-ES"")"),"Luego se muestra a un hombre en la pista sentado en el suelo preparando sus pies para sus zapatos mientras envuelve la cinta alrededor de su pie.")</f>
        <v>Luego se muestra a un hombre en la pista sentado en el suelo preparando sus pies para sus zapatos mientras envuelve la cinta alrededor de su pie.</v>
      </c>
    </row>
    <row r="5316">
      <c r="A5316" s="4" t="s">
        <v>6679</v>
      </c>
      <c r="B5316" s="4" t="s">
        <v>6682</v>
      </c>
      <c r="C5316" s="5" t="str">
        <f>IFERROR(__xludf.DUMMYFUNCTION("GOOGLETRANSLATE(B5316,""en"",""es-ES"")"),"Tres hombres ahora caminan a una pista donde varias personas corren y se turnan para saltar, saltar y saltar.")</f>
        <v>Tres hombres ahora caminan a una pista donde varias personas corren y se turnan para saltar, saltar y saltar.</v>
      </c>
    </row>
    <row r="5317">
      <c r="A5317" s="4" t="s">
        <v>6679</v>
      </c>
      <c r="B5317" s="4" t="s">
        <v>6683</v>
      </c>
      <c r="C5317" s="5" t="str">
        <f>IFERROR(__xludf.DUMMYFUNCTION("GOOGLETRANSLATE(B5317,""en"",""es-ES"")"),"Un hombre se detiene y habla brevemente con la cámara mientras parece un poco sin aliento.")</f>
        <v>Un hombre se detiene y habla brevemente con la cámara mientras parece un poco sin aliento.</v>
      </c>
    </row>
    <row r="5318">
      <c r="A5318" s="4" t="s">
        <v>6679</v>
      </c>
      <c r="B5318" s="4" t="s">
        <v>6684</v>
      </c>
      <c r="C5318" s="5" t="str">
        <f>IFERROR(__xludf.DUMMYFUNCTION("GOOGLETRANSLATE(B5318,""en"",""es-ES"")"),"Otro hombre ahora está arrodillado y aplicando cinta al lado del área arenosa del salto mientras habla.")</f>
        <v>Otro hombre ahora está arrodillado y aplicando cinta al lado del área arenosa del salto mientras habla.</v>
      </c>
    </row>
    <row r="5319">
      <c r="A5319" s="4" t="s">
        <v>6679</v>
      </c>
      <c r="B5319" s="4" t="s">
        <v>6685</v>
      </c>
      <c r="C5319" s="5" t="str">
        <f>IFERROR(__xludf.DUMMYFUNCTION("GOOGLETRANSLATE(B5319,""en"",""es-ES"")"),"El hombre ahora está parado en una campana de bar con pesas muy pesadas y lentamente comienza a levantarlo, luego lo deja caer.")</f>
        <v>El hombre ahora está parado en una campana de bar con pesas muy pesadas y lentamente comienza a levantarlo, luego lo deja caer.</v>
      </c>
    </row>
    <row r="5320">
      <c r="A5320" s="4" t="s">
        <v>6679</v>
      </c>
      <c r="B5320" s="4" t="s">
        <v>6686</v>
      </c>
      <c r="C5320" s="5" t="str">
        <f>IFERROR(__xludf.DUMMYFUNCTION("GOOGLETRANSLATE(B5320,""en"",""es-ES"")"),"Una mujer ahora sostiene las pesas mientras sube unas escaleras, y el hombre se muestra nuevamente, pero esta vez está tirando de un equipo de ejercicio.")</f>
        <v>Una mujer ahora sostiene las pesas mientras sube unas escaleras, y el hombre se muestra nuevamente, pero esta vez está tirando de un equipo de ejercicio.</v>
      </c>
    </row>
    <row r="5321">
      <c r="A5321" s="4" t="s">
        <v>6679</v>
      </c>
      <c r="B5321" s="4" t="s">
        <v>6687</v>
      </c>
      <c r="C5321" s="5" t="str">
        <f>IFERROR(__xludf.DUMMYFUNCTION("GOOGLETRANSLATE(B5321,""en"",""es-ES"")"),"La pantalla White Outro aparece con su logotipo y las palabras que dicen que se suscriban a su canal de YouTube.")</f>
        <v>La pantalla White Outro aparece con su logotipo y las palabras que dicen que se suscriban a su canal de YouTube.</v>
      </c>
    </row>
    <row r="5322">
      <c r="A5322" s="4" t="s">
        <v>6688</v>
      </c>
      <c r="B5322" s="4" t="s">
        <v>6689</v>
      </c>
      <c r="C5322" s="5" t="str">
        <f>IFERROR(__xludf.DUMMYFUNCTION("GOOGLETRANSLATE(B5322,""en"",""es-ES"")"),"Tres niños juegan un juego de croquet en un gran césped verde con mazos de croquet y pelotas de croquet.")</f>
        <v>Tres niños juegan un juego de croquet en un gran césped verde con mazos de croquet y pelotas de croquet.</v>
      </c>
    </row>
    <row r="5323">
      <c r="A5323" s="4" t="s">
        <v>6688</v>
      </c>
      <c r="B5323" s="4" t="s">
        <v>6690</v>
      </c>
      <c r="C5323" s="5" t="str">
        <f>IFERROR(__xludf.DUMMYFUNCTION("GOOGLETRANSLATE(B5323,""en"",""es-ES"")"),"El niño se sienta en un banco afuera con una bolsa de mazos y bolas de croquet y habla entre ellos.")</f>
        <v>El niño se sienta en un banco afuera con una bolsa de mazos y bolas de croquet y habla entre ellos.</v>
      </c>
    </row>
    <row r="5324">
      <c r="A5324" s="4" t="s">
        <v>6688</v>
      </c>
      <c r="B5324" s="4" t="s">
        <v>6691</v>
      </c>
      <c r="C5324" s="5" t="str">
        <f>IFERROR(__xludf.DUMMYFUNCTION("GOOGLETRANSLATE(B5324,""en"",""es-ES"")"),"Luego, los muchachos entran en el campo y se lastimaron tratando de desenredar las herramientas de croquet.")</f>
        <v>Luego, los muchachos entran en el campo y se lastimaron tratando de desenredar las herramientas de croquet.</v>
      </c>
    </row>
    <row r="5325">
      <c r="A5325" s="4" t="s">
        <v>6688</v>
      </c>
      <c r="B5325" s="4" t="s">
        <v>6692</v>
      </c>
      <c r="C5325" s="5" t="str">
        <f>IFERROR(__xludf.DUMMYFUNCTION("GOOGLETRANSLATE(B5325,""en"",""es-ES"")"),"Luego, los muchachos comienzan a jugar, hablando entre ellos a través de él y terminan persiguiéndose por el campo y abordándose en el suelo.")</f>
        <v>Luego, los muchachos comienzan a jugar, hablando entre ellos a través de él y terminan persiguiéndose por el campo y abordándose en el suelo.</v>
      </c>
    </row>
    <row r="5326">
      <c r="A5326" s="4" t="s">
        <v>6688</v>
      </c>
      <c r="B5326" s="4" t="s">
        <v>6693</v>
      </c>
      <c r="C5326" s="5" t="str">
        <f>IFERROR(__xludf.DUMMYFUNCTION("GOOGLETRANSLATE(B5326,""en"",""es-ES"")"),"Los muchachos finalmente miran un teléfono celular juntos desde el campo y luego colocan su mazos de croquet uno encima del otro en un intento aparente de llevar las bolas a través del gol de croquet guiándolos a través de los agujeros en los mazos en cap"&amp;"as.")</f>
        <v>Los muchachos finalmente miran un teléfono celular juntos desde el campo y luego colocan su mazos de croquet uno encima del otro en un intento aparente de llevar las bolas a través del gol de croquet guiándolos a través de los agujeros en los mazos en capas.</v>
      </c>
    </row>
    <row r="5327">
      <c r="A5327" s="4" t="s">
        <v>6694</v>
      </c>
      <c r="B5327" s="4" t="s">
        <v>6695</v>
      </c>
      <c r="C5327" s="5" t="str">
        <f>IFERROR(__xludf.DUMMYFUNCTION("GOOGLETRANSLATE(B5327,""en"",""es-ES"")"),"Se ve a un gran grupo de personas nadando alrededor de una piscina con un hombre que habla a un lado.")</f>
        <v>Se ve a un gran grupo de personas nadando alrededor de una piscina con un hombre que habla a un lado.</v>
      </c>
    </row>
    <row r="5328">
      <c r="A5328" s="4" t="s">
        <v>6694</v>
      </c>
      <c r="B5328" s="4" t="s">
        <v>6696</v>
      </c>
      <c r="C5328" s="5" t="str">
        <f>IFERROR(__xludf.DUMMYFUNCTION("GOOGLETRANSLATE(B5328,""en"",""es-ES"")"),"El grupo comienza a tirar la pelota mientras nadaba el uno al otro.")</f>
        <v>El grupo comienza a tirar la pelota mientras nadaba el uno al otro.</v>
      </c>
    </row>
    <row r="5329">
      <c r="A5329" s="4" t="s">
        <v>6694</v>
      </c>
      <c r="B5329" s="4" t="s">
        <v>6697</v>
      </c>
      <c r="C5329" s="5" t="str">
        <f>IFERROR(__xludf.DUMMYFUNCTION("GOOGLETRANSLATE(B5329,""en"",""es-ES"")"),"El grupo continúa nadando y jugando a la pelota entre sí.")</f>
        <v>El grupo continúa nadando y jugando a la pelota entre sí.</v>
      </c>
    </row>
    <row r="5330">
      <c r="A5330" s="4" t="s">
        <v>6698</v>
      </c>
      <c r="B5330" s="4" t="s">
        <v>6699</v>
      </c>
      <c r="C5330" s="5" t="str">
        <f>IFERROR(__xludf.DUMMYFUNCTION("GOOGLETRANSLATE(B5330,""en"",""es-ES"")"),"Un hombre está sentado en una cabina rodeada de tuberías, hablando y gesticulando.")</f>
        <v>Un hombre está sentado en una cabina rodeada de tuberías, hablando y gesticulando.</v>
      </c>
    </row>
    <row r="5331">
      <c r="A5331" s="4" t="s">
        <v>6698</v>
      </c>
      <c r="B5331" s="4" t="s">
        <v>6700</v>
      </c>
      <c r="C5331" s="5" t="str">
        <f>IFERROR(__xludf.DUMMYFUNCTION("GOOGLETRANSLATE(B5331,""en"",""es-ES"")"),"El hombre sostiene un extremo de la tubería.")</f>
        <v>El hombre sostiene un extremo de la tubería.</v>
      </c>
    </row>
    <row r="5332">
      <c r="A5332" s="4" t="s">
        <v>6698</v>
      </c>
      <c r="B5332" s="4" t="s">
        <v>6701</v>
      </c>
      <c r="C5332" s="5" t="str">
        <f>IFERROR(__xludf.DUMMYFUNCTION("GOOGLETRANSLATE(B5332,""en"",""es-ES"")"),"El hombre demuestra cómo fumar usando la tubería, mientras sopla el humo anillado de su boca.")</f>
        <v>El hombre demuestra cómo fumar usando la tubería, mientras sopla el humo anillado de su boca.</v>
      </c>
    </row>
    <row r="5333">
      <c r="A5333" s="4" t="s">
        <v>6698</v>
      </c>
      <c r="B5333" s="4" t="s">
        <v>6702</v>
      </c>
      <c r="C5333" s="5" t="str">
        <f>IFERROR(__xludf.DUMMYFUNCTION("GOOGLETRANSLATE(B5333,""en"",""es-ES"")"),"Él continúa hablando y gestos.")</f>
        <v>Él continúa hablando y gestos.</v>
      </c>
    </row>
    <row r="5334">
      <c r="A5334" s="4" t="s">
        <v>6703</v>
      </c>
      <c r="B5334" s="4" t="s">
        <v>6704</v>
      </c>
      <c r="C5334" s="5" t="str">
        <f>IFERROR(__xludf.DUMMYFUNCTION("GOOGLETRANSLATE(B5334,""en"",""es-ES"")"),"Imagen de suministros necesarios para hacer peinado.")</f>
        <v>Imagen de suministros necesarios para hacer peinado.</v>
      </c>
    </row>
    <row r="5335">
      <c r="A5335" s="4" t="s">
        <v>6703</v>
      </c>
      <c r="B5335" s="4" t="s">
        <v>6705</v>
      </c>
      <c r="C5335" s="5" t="str">
        <f>IFERROR(__xludf.DUMMYFUNCTION("GOOGLETRANSLATE(B5335,""en"",""es-ES"")"),"Separe el cabello en dos partes en el medio.")</f>
        <v>Separe el cabello en dos partes en el medio.</v>
      </c>
    </row>
    <row r="5336">
      <c r="A5336" s="4" t="s">
        <v>6703</v>
      </c>
      <c r="B5336" s="4" t="s">
        <v>6706</v>
      </c>
      <c r="C5336" s="5" t="str">
        <f>IFERROR(__xludf.DUMMYFUNCTION("GOOGLETRANSLATE(B5336,""en"",""es-ES"")"),"El cabello rayado francés de izquierda a derecha hasta el final.")</f>
        <v>El cabello rayado francés de izquierda a derecha hasta el final.</v>
      </c>
    </row>
    <row r="5337">
      <c r="A5337" s="4" t="s">
        <v>6703</v>
      </c>
      <c r="B5337" s="4" t="s">
        <v>6707</v>
      </c>
      <c r="C5337" s="5" t="str">
        <f>IFERROR(__xludf.DUMMYFUNCTION("GOOGLETRANSLATE(B5337,""en"",""es-ES"")"),"El cabello de trenzado francés desde la parte posterior va de derecha a izquierda hasta el final.")</f>
        <v>El cabello de trenzado francés desde la parte posterior va de derecha a izquierda hasta el final.</v>
      </c>
    </row>
    <row r="5338">
      <c r="A5338" s="4" t="s">
        <v>6703</v>
      </c>
      <c r="B5338" s="4" t="s">
        <v>6708</v>
      </c>
      <c r="C5338" s="5" t="str">
        <f>IFERROR(__xludf.DUMMYFUNCTION("GOOGLETRANSLATE(B5338,""en"",""es-ES"")"),"Conecte las trenzas con un pasador Bobby.")</f>
        <v>Conecte las trenzas con un pasador Bobby.</v>
      </c>
    </row>
    <row r="5339">
      <c r="A5339" s="4" t="s">
        <v>6703</v>
      </c>
      <c r="B5339" s="4" t="s">
        <v>6709</v>
      </c>
      <c r="C5339" s="5" t="str">
        <f>IFERROR(__xludf.DUMMYFUNCTION("GOOGLETRANSLATE(B5339,""en"",""es-ES"")"),"Separe las trenzas por todas partes para que las trenzas se vean más llenas para formar una corona.")</f>
        <v>Separe las trenzas por todas partes para que las trenzas se vean más llenas para formar una corona.</v>
      </c>
    </row>
    <row r="5340">
      <c r="A5340" s="4" t="s">
        <v>6710</v>
      </c>
      <c r="B5340" s="4" t="s">
        <v>6711</v>
      </c>
      <c r="C5340" s="5" t="str">
        <f>IFERROR(__xludf.DUMMYFUNCTION("GOOGLETRANSLATE(B5340,""en"",""es-ES"")"),"Cinco personas saltan con cuerda a una alfombra azul.")</f>
        <v>Cinco personas saltan con cuerda a una alfombra azul.</v>
      </c>
    </row>
    <row r="5341">
      <c r="A5341" s="4" t="s">
        <v>6710</v>
      </c>
      <c r="B5341" s="4" t="s">
        <v>6712</v>
      </c>
      <c r="C5341" s="5" t="str">
        <f>IFERROR(__xludf.DUMMYFUNCTION("GOOGLETRANSLATE(B5341,""en"",""es-ES"")"),"Hacen volteos y trucos mientras saltan cuerda.")</f>
        <v>Hacen volteos y trucos mientras saltan cuerda.</v>
      </c>
    </row>
    <row r="5342">
      <c r="A5342" s="4" t="s">
        <v>6710</v>
      </c>
      <c r="B5342" s="4" t="s">
        <v>6713</v>
      </c>
      <c r="C5342" s="5" t="str">
        <f>IFERROR(__xludf.DUMMYFUNCTION("GOOGLETRANSLATE(B5342,""en"",""es-ES"")"),"Terminan y se abrazan antes de irse.")</f>
        <v>Terminan y se abrazan antes de irse.</v>
      </c>
    </row>
    <row r="5343">
      <c r="A5343" s="4" t="s">
        <v>6714</v>
      </c>
      <c r="B5343" s="4" t="s">
        <v>6097</v>
      </c>
      <c r="C5343" s="5" t="str">
        <f>IFERROR(__xludf.DUMMYFUNCTION("GOOGLETRANSLATE(B5343,""en"",""es-ES"")"),"Vemos una pantalla de apertura negra.")</f>
        <v>Vemos una pantalla de apertura negra.</v>
      </c>
    </row>
    <row r="5344">
      <c r="A5344" s="4" t="s">
        <v>6714</v>
      </c>
      <c r="B5344" s="4" t="s">
        <v>6715</v>
      </c>
      <c r="C5344" s="5" t="str">
        <f>IFERROR(__xludf.DUMMYFUNCTION("GOOGLETRANSLATE(B5344,""en"",""es-ES"")"),"Una dama se sienta en una silla de tatuaje hablando.")</f>
        <v>Una dama se sienta en una silla de tatuaje hablando.</v>
      </c>
    </row>
    <row r="5345">
      <c r="A5345" s="4" t="s">
        <v>6714</v>
      </c>
      <c r="B5345" s="4" t="s">
        <v>2814</v>
      </c>
      <c r="C5345" s="5" t="str">
        <f>IFERROR(__xludf.DUMMYFUNCTION("GOOGLETRANSLATE(B5345,""en"",""es-ES"")"),"Vemos al operador de la cámara.")</f>
        <v>Vemos al operador de la cámara.</v>
      </c>
    </row>
    <row r="5346">
      <c r="A5346" s="4" t="s">
        <v>6714</v>
      </c>
      <c r="B5346" s="4" t="s">
        <v>6716</v>
      </c>
      <c r="C5346" s="5" t="str">
        <f>IFERROR(__xludf.DUMMYFUNCTION("GOOGLETRANSLATE(B5346,""en"",""es-ES"")"),"La señora tiene un tatuaje agregado a su espalda.")</f>
        <v>La señora tiene un tatuaje agregado a su espalda.</v>
      </c>
    </row>
    <row r="5347">
      <c r="A5347" s="4" t="s">
        <v>6714</v>
      </c>
      <c r="B5347" s="4" t="s">
        <v>6717</v>
      </c>
      <c r="C5347" s="5" t="str">
        <f>IFERROR(__xludf.DUMMYFUNCTION("GOOGLETRANSLATE(B5347,""en"",""es-ES"")"),"La otra dama se sienta en la silla.")</f>
        <v>La otra dama se sienta en la silla.</v>
      </c>
    </row>
    <row r="5348">
      <c r="A5348" s="4" t="s">
        <v>6714</v>
      </c>
      <c r="B5348" s="4" t="s">
        <v>6718</v>
      </c>
      <c r="C5348" s="5" t="str">
        <f>IFERROR(__xludf.DUMMYFUNCTION("GOOGLETRANSLATE(B5348,""en"",""es-ES"")"),"La segunda dama está siendo tatuada.")</f>
        <v>La segunda dama está siendo tatuada.</v>
      </c>
    </row>
    <row r="5349">
      <c r="A5349" s="4" t="s">
        <v>6714</v>
      </c>
      <c r="B5349" s="4" t="s">
        <v>6719</v>
      </c>
      <c r="C5349" s="5" t="str">
        <f>IFERROR(__xludf.DUMMYFUNCTION("GOOGLETRANSLATE(B5349,""en"",""es-ES"")"),"Vemos los tatuajes terminados.")</f>
        <v>Vemos los tatuajes terminados.</v>
      </c>
    </row>
    <row r="5350">
      <c r="A5350" s="4" t="s">
        <v>6720</v>
      </c>
      <c r="B5350" s="4" t="s">
        <v>6721</v>
      </c>
      <c r="C5350" s="5" t="str">
        <f>IFERROR(__xludf.DUMMYFUNCTION("GOOGLETRANSLATE(B5350,""en"",""es-ES"")"),"Dos hombres empujan un pequeño helicóptero privado de su cobertizo.")</f>
        <v>Dos hombres empujan un pequeño helicóptero privado de su cobertizo.</v>
      </c>
    </row>
    <row r="5351">
      <c r="A5351" s="4" t="s">
        <v>6720</v>
      </c>
      <c r="B5351" s="4" t="s">
        <v>6722</v>
      </c>
      <c r="C5351" s="5" t="str">
        <f>IFERROR(__xludf.DUMMYFUNCTION("GOOGLETRANSLATE(B5351,""en"",""es-ES"")"),"Aterrizan en una playa, luego lo vuelan sobre el agua clara del océano.")</f>
        <v>Aterrizan en una playa, luego lo vuelan sobre el agua clara del océano.</v>
      </c>
    </row>
    <row r="5352">
      <c r="A5352" s="4" t="s">
        <v>6720</v>
      </c>
      <c r="B5352" s="4" t="s">
        <v>6723</v>
      </c>
      <c r="C5352" s="5" t="str">
        <f>IFERROR(__xludf.DUMMYFUNCTION("GOOGLETRANSLATE(B5352,""en"",""es-ES"")"),"Se paralizan, abriendo sus paracaídas a medida que se acercan al agua.")</f>
        <v>Se paralizan, abriendo sus paracaídas a medida que se acercan al agua.</v>
      </c>
    </row>
    <row r="5353">
      <c r="A5353" s="4" t="s">
        <v>6720</v>
      </c>
      <c r="B5353" s="4" t="s">
        <v>6724</v>
      </c>
      <c r="C5353" s="5" t="str">
        <f>IFERROR(__xludf.DUMMYFUNCTION("GOOGLETRANSLATE(B5353,""en"",""es-ES"")"),"Luego bucean hasta el fondo y se ponen equipo de buceo para explorar el fondo del océano.")</f>
        <v>Luego bucean hasta el fondo y se ponen equipo de buceo para explorar el fondo del océano.</v>
      </c>
    </row>
    <row r="5354">
      <c r="A5354" s="4" t="s">
        <v>6725</v>
      </c>
      <c r="B5354" s="4" t="s">
        <v>6726</v>
      </c>
      <c r="C5354" s="5" t="str">
        <f>IFERROR(__xludf.DUMMYFUNCTION("GOOGLETRANSLATE(B5354,""en"",""es-ES"")"),"Se ve a un gran grupo de personas de pie alrededor de un área y conduce a personas que juegan tira y afloja.")</f>
        <v>Se ve a un gran grupo de personas de pie alrededor de un área y conduce a personas que juegan tira y afloja.</v>
      </c>
    </row>
    <row r="5355">
      <c r="A5355" s="4" t="s">
        <v>6725</v>
      </c>
      <c r="B5355" s="4" t="s">
        <v>6727</v>
      </c>
      <c r="C5355" s="5" t="str">
        <f>IFERROR(__xludf.DUMMYFUNCTION("GOOGLETRANSLATE(B5355,""en"",""es-ES"")"),"La gente de disfraz los animan mientras continúan jugando y mostrando a la gente bailando en la ciudad.")</f>
        <v>La gente de disfraz los animan mientras continúan jugando y mostrando a la gente bailando en la ciudad.</v>
      </c>
    </row>
    <row r="5356">
      <c r="A5356" s="4" t="s">
        <v>6725</v>
      </c>
      <c r="B5356" s="4" t="s">
        <v>6728</v>
      </c>
      <c r="C5356" s="5" t="str">
        <f>IFERROR(__xludf.DUMMYFUNCTION("GOOGLETRANSLATE(B5356,""en"",""es-ES"")"),"Se muestran más imágenes del evento, así como las personas que hablan entre sí.")</f>
        <v>Se muestran más imágenes del evento, así como las personas que hablan entre sí.</v>
      </c>
    </row>
    <row r="5357">
      <c r="A5357" s="4" t="s">
        <v>6729</v>
      </c>
      <c r="B5357" s="4" t="s">
        <v>6730</v>
      </c>
      <c r="C5357" s="5" t="str">
        <f>IFERROR(__xludf.DUMMYFUNCTION("GOOGLETRANSLATE(B5357,""en"",""es-ES"")"),"Se ve a un artista del tatuaje tatuando un pie de niña y conduce a un hombre que habla con la cámara.")</f>
        <v>Se ve a un artista del tatuaje tatuando un pie de niña y conduce a un hombre que habla con la cámara.</v>
      </c>
    </row>
    <row r="5358">
      <c r="A5358" s="4" t="s">
        <v>6729</v>
      </c>
      <c r="B5358" s="4" t="s">
        <v>6731</v>
      </c>
      <c r="C5358" s="5" t="str">
        <f>IFERROR(__xludf.DUMMYFUNCTION("GOOGLETRANSLATE(B5358,""en"",""es-ES"")"),"El hombre continúa hablando con la cámara y señalando y mirando hacia otro lado.")</f>
        <v>El hombre continúa hablando con la cámara y señalando y mirando hacia otro lado.</v>
      </c>
    </row>
    <row r="5359">
      <c r="A5359" s="4" t="s">
        <v>6732</v>
      </c>
      <c r="B5359" s="4" t="s">
        <v>6733</v>
      </c>
      <c r="C5359" s="5" t="str">
        <f>IFERROR(__xludf.DUMMYFUNCTION("GOOGLETRANSLATE(B5359,""en"",""es-ES"")"),"Un niño juega el violín.")</f>
        <v>Un niño juega el violín.</v>
      </c>
    </row>
    <row r="5360">
      <c r="A5360" s="4" t="s">
        <v>6732</v>
      </c>
      <c r="B5360" s="4" t="s">
        <v>6734</v>
      </c>
      <c r="C5360" s="5" t="str">
        <f>IFERROR(__xludf.DUMMYFUNCTION("GOOGLETRANSLATE(B5360,""en"",""es-ES"")"),"Deja de jugar el violín.")</f>
        <v>Deja de jugar el violín.</v>
      </c>
    </row>
    <row r="5361">
      <c r="A5361" s="4" t="s">
        <v>6735</v>
      </c>
      <c r="B5361" s="4" t="s">
        <v>6736</v>
      </c>
      <c r="C5361" s="5" t="str">
        <f>IFERROR(__xludf.DUMMYFUNCTION("GOOGLETRANSLATE(B5361,""en"",""es-ES"")"),"Un hombre con delantal blanco y pantalones se encuentra en una escalera sosteniendo un lápiz y papel tapiz.")</f>
        <v>Un hombre con delantal blanco y pantalones se encuentra en una escalera sosteniendo un lápiz y papel tapiz.</v>
      </c>
    </row>
    <row r="5362">
      <c r="A5362" s="4" t="s">
        <v>6735</v>
      </c>
      <c r="B5362" s="4" t="s">
        <v>6737</v>
      </c>
      <c r="C5362" s="5" t="str">
        <f>IFERROR(__xludf.DUMMYFUNCTION("GOOGLETRANSLATE(B5362,""en"",""es-ES"")"),"El hombre aplica una tira de papel tapiz a una pared y suaviza con la mano.")</f>
        <v>El hombre aplica una tira de papel tapiz a una pared y suaviza con la mano.</v>
      </c>
    </row>
    <row r="5363">
      <c r="A5363" s="4" t="s">
        <v>6735</v>
      </c>
      <c r="B5363" s="4" t="s">
        <v>6738</v>
      </c>
      <c r="C5363" s="5" t="str">
        <f>IFERROR(__xludf.DUMMYFUNCTION("GOOGLETRANSLATE(B5363,""en"",""es-ES"")"),"El hombre usa un trapo y luego un cepillo para suavizar el papel de la pared a la superficie de la pared.")</f>
        <v>El hombre usa un trapo y luego un cepillo para suavizar el papel de la pared a la superficie de la pared.</v>
      </c>
    </row>
    <row r="5364">
      <c r="A5364" s="4" t="s">
        <v>6735</v>
      </c>
      <c r="B5364" s="4" t="s">
        <v>6739</v>
      </c>
      <c r="C5364" s="5" t="str">
        <f>IFERROR(__xludf.DUMMYFUNCTION("GOOGLETRANSLATE(B5364,""en"",""es-ES"")"),"El pintor usa una espátula y una cuchilla para recortar una línea recta en el borde de los fondos de pantalla a lo largo del techo.")</f>
        <v>El pintor usa una espátula y una cuchilla para recortar una línea recta en el borde de los fondos de pantalla a lo largo del techo.</v>
      </c>
    </row>
    <row r="5365">
      <c r="A5365" s="4" t="s">
        <v>6735</v>
      </c>
      <c r="B5365" s="4" t="s">
        <v>6740</v>
      </c>
      <c r="C5365" s="5" t="str">
        <f>IFERROR(__xludf.DUMMYFUNCTION("GOOGLETRANSLATE(B5365,""en"",""es-ES"")"),"El hombre se baja de la escalera y desenrolla el fondo de pantalla al piso.")</f>
        <v>El hombre se baja de la escalera y desenrolla el fondo de pantalla al piso.</v>
      </c>
    </row>
    <row r="5366">
      <c r="A5366" s="4" t="s">
        <v>6735</v>
      </c>
      <c r="B5366" s="4" t="s">
        <v>6741</v>
      </c>
      <c r="C5366" s="5" t="str">
        <f>IFERROR(__xludf.DUMMYFUNCTION("GOOGLETRANSLATE(B5366,""en"",""es-ES"")"),"El hombre continúa suavizando la sección inferior del fondo de pantalla con un cepillo hacia el piso.")</f>
        <v>El hombre continúa suavizando la sección inferior del fondo de pantalla con un cepillo hacia el piso.</v>
      </c>
    </row>
    <row r="5367">
      <c r="A5367" s="4" t="s">
        <v>6735</v>
      </c>
      <c r="B5367" s="4" t="s">
        <v>6742</v>
      </c>
      <c r="C5367" s="5" t="str">
        <f>IFERROR(__xludf.DUMMYFUNCTION("GOOGLETRANSLATE(B5367,""en"",""es-ES"")"),"El hombre recorta el borde inferior del papel de la pared con una cuchilla contra el tablero.")</f>
        <v>El hombre recorta el borde inferior del papel de la pared con una cuchilla contra el tablero.</v>
      </c>
    </row>
    <row r="5368">
      <c r="A5368" s="4" t="s">
        <v>6735</v>
      </c>
      <c r="B5368" s="4" t="s">
        <v>6743</v>
      </c>
      <c r="C5368" s="5" t="str">
        <f>IFERROR(__xludf.DUMMYFUNCTION("GOOGLETRANSLATE(B5368,""en"",""es-ES"")"),"El hombre recorta la esquina del papel de la pared del techo hacia abajo en el piso.")</f>
        <v>El hombre recorta la esquina del papel de la pared del techo hacia abajo en el piso.</v>
      </c>
    </row>
    <row r="5369">
      <c r="A5369" s="4" t="s">
        <v>6744</v>
      </c>
      <c r="B5369" s="4" t="s">
        <v>6745</v>
      </c>
      <c r="C5369" s="5" t="str">
        <f>IFERROR(__xludf.DUMMYFUNCTION("GOOGLETRANSLATE(B5369,""en"",""es-ES"")"),"Se ve a dos niños sentados en una bañera frotándose la cara y las manos de otra persona interactuan.")</f>
        <v>Se ve a dos niños sentados en una bañera frotándose la cara y las manos de otra persona interactuan.</v>
      </c>
    </row>
    <row r="5370">
      <c r="A5370" s="4" t="s">
        <v>6744</v>
      </c>
      <c r="B5370" s="4" t="s">
        <v>6746</v>
      </c>
      <c r="C5370" s="5" t="str">
        <f>IFERROR(__xludf.DUMMYFUNCTION("GOOGLETRANSLATE(B5370,""en"",""es-ES"")"),"El niño continúa frotando agua por toda la cara, así como jugando con juguetes y sonríe al camarógrafo.")</f>
        <v>El niño continúa frotando agua por toda la cara, así como jugando con juguetes y sonríe al camarógrafo.</v>
      </c>
    </row>
    <row r="5371">
      <c r="A5371" s="4" t="s">
        <v>6747</v>
      </c>
      <c r="B5371" s="4" t="s">
        <v>6748</v>
      </c>
      <c r="C5371" s="5" t="str">
        <f>IFERROR(__xludf.DUMMYFUNCTION("GOOGLETRANSLATE(B5371,""en"",""es-ES"")"),"Un hombre camina hasta un carril en una bolera.")</f>
        <v>Un hombre camina hasta un carril en una bolera.</v>
      </c>
    </row>
    <row r="5372">
      <c r="A5372" s="4" t="s">
        <v>6747</v>
      </c>
      <c r="B5372" s="4" t="s">
        <v>6749</v>
      </c>
      <c r="C5372" s="5" t="str">
        <f>IFERROR(__xludf.DUMMYFUNCTION("GOOGLETRANSLATE(B5372,""en"",""es-ES"")"),"Lanza la pelota y la ve deslizarse por el carril varias veces.")</f>
        <v>Lanza la pelota y la ve deslizarse por el carril varias veces.</v>
      </c>
    </row>
    <row r="5373">
      <c r="A5373" s="4" t="s">
        <v>6747</v>
      </c>
      <c r="B5373" s="4" t="s">
        <v>6750</v>
      </c>
      <c r="C5373" s="5" t="str">
        <f>IFERROR(__xludf.DUMMYFUNCTION("GOOGLETRANSLATE(B5373,""en"",""es-ES"")"),"Derriba todos menos dos alfileres, que extraña la segunda vez.")</f>
        <v>Derriba todos menos dos alfileres, que extraña la segunda vez.</v>
      </c>
    </row>
    <row r="5374">
      <c r="A5374" s="4" t="s">
        <v>6751</v>
      </c>
      <c r="B5374" s="4" t="s">
        <v>6752</v>
      </c>
      <c r="C5374" s="5" t="str">
        <f>IFERROR(__xludf.DUMMYFUNCTION("GOOGLETRANSLATE(B5374,""en"",""es-ES"")"),"La niña está en el escenario en una competencia y salta a un paralelo para hacer gimnasia y saltos mortales.")</f>
        <v>La niña está en el escenario en una competencia y salta a un paralelo para hacer gimnasia y saltos mortales.</v>
      </c>
    </row>
    <row r="5375">
      <c r="A5375" s="4" t="s">
        <v>6751</v>
      </c>
      <c r="B5375" s="4" t="s">
        <v>6753</v>
      </c>
      <c r="C5375" s="5" t="str">
        <f>IFERROR(__xludf.DUMMYFUNCTION("GOOGLETRANSLATE(B5375,""en"",""es-ES"")"),"Peolpe está de pie detrás del escenario hablando.")</f>
        <v>Peolpe está de pie detrás del escenario hablando.</v>
      </c>
    </row>
    <row r="5376">
      <c r="A5376" s="4" t="s">
        <v>6754</v>
      </c>
      <c r="B5376" s="4" t="s">
        <v>6755</v>
      </c>
      <c r="C5376" s="5" t="str">
        <f>IFERROR(__xludf.DUMMYFUNCTION("GOOGLETRANSLATE(B5376,""en"",""es-ES"")"),"Una mujer está tejiendo en la cama.")</f>
        <v>Una mujer está tejiendo en la cama.</v>
      </c>
    </row>
    <row r="5377">
      <c r="A5377" s="4" t="s">
        <v>6754</v>
      </c>
      <c r="B5377" s="4" t="s">
        <v>6756</v>
      </c>
      <c r="C5377" s="5" t="str">
        <f>IFERROR(__xludf.DUMMYFUNCTION("GOOGLETRANSLATE(B5377,""en"",""es-ES"")"),"La mujer baja los brazos para atrapar el hilo.")</f>
        <v>La mujer baja los brazos para atrapar el hilo.</v>
      </c>
    </row>
    <row r="5378">
      <c r="A5378" s="4" t="s">
        <v>6754</v>
      </c>
      <c r="B5378" s="4" t="s">
        <v>6757</v>
      </c>
      <c r="C5378" s="5" t="str">
        <f>IFERROR(__xludf.DUMMYFUNCTION("GOOGLETRANSLATE(B5378,""en"",""es-ES"")"),"La mujer muestra lo que estaba haciendo.")</f>
        <v>La mujer muestra lo que estaba haciendo.</v>
      </c>
    </row>
    <row r="5379">
      <c r="A5379" s="4" t="s">
        <v>6758</v>
      </c>
      <c r="B5379" s="4" t="s">
        <v>6759</v>
      </c>
      <c r="C5379" s="5" t="str">
        <f>IFERROR(__xludf.DUMMYFUNCTION("GOOGLETRANSLATE(B5379,""en"",""es-ES"")"),"La gente está parada en un campo de hierba.")</f>
        <v>La gente está parada en un campo de hierba.</v>
      </c>
    </row>
    <row r="5380">
      <c r="A5380" s="4" t="s">
        <v>6758</v>
      </c>
      <c r="B5380" s="4" t="s">
        <v>6760</v>
      </c>
      <c r="C5380" s="5" t="str">
        <f>IFERROR(__xludf.DUMMYFUNCTION("GOOGLETRANSLATE(B5380,""en"",""es-ES"")"),"Un hombre sostiene una pelota cerca de su cuello y gira.")</f>
        <v>Un hombre sostiene una pelota cerca de su cuello y gira.</v>
      </c>
    </row>
    <row r="5381">
      <c r="A5381" s="4" t="s">
        <v>6758</v>
      </c>
      <c r="B5381" s="4" t="s">
        <v>6761</v>
      </c>
      <c r="C5381" s="5" t="str">
        <f>IFERROR(__xludf.DUMMYFUNCTION("GOOGLETRANSLATE(B5381,""en"",""es-ES"")"),"Lo arroja al campo.")</f>
        <v>Lo arroja al campo.</v>
      </c>
    </row>
    <row r="5382">
      <c r="A5382" s="4" t="s">
        <v>6762</v>
      </c>
      <c r="B5382" s="4" t="s">
        <v>6763</v>
      </c>
      <c r="C5382" s="5" t="str">
        <f>IFERROR(__xludf.DUMMYFUNCTION("GOOGLETRANSLATE(B5382,""en"",""es-ES"")"),"Una mujer abre una puerta de armario blanca.")</f>
        <v>Una mujer abre una puerta de armario blanca.</v>
      </c>
    </row>
    <row r="5383">
      <c r="A5383" s="4" t="s">
        <v>6762</v>
      </c>
      <c r="B5383" s="4" t="s">
        <v>6764</v>
      </c>
      <c r="C5383" s="5" t="str">
        <f>IFERROR(__xludf.DUMMYFUNCTION("GOOGLETRANSLATE(B5383,""en"",""es-ES"")"),"Ella quita algunos zapatos del armario.")</f>
        <v>Ella quita algunos zapatos del armario.</v>
      </c>
    </row>
    <row r="5384">
      <c r="A5384" s="4" t="s">
        <v>6762</v>
      </c>
      <c r="B5384" s="4" t="s">
        <v>6765</v>
      </c>
      <c r="C5384" s="5" t="str">
        <f>IFERROR(__xludf.DUMMYFUNCTION("GOOGLETRANSLATE(B5384,""en"",""es-ES"")"),"Ella se pone los zapatos.")</f>
        <v>Ella se pone los zapatos.</v>
      </c>
    </row>
    <row r="5385">
      <c r="A5385" s="4" t="s">
        <v>6762</v>
      </c>
      <c r="B5385" s="4" t="s">
        <v>6766</v>
      </c>
      <c r="C5385" s="5" t="str">
        <f>IFERROR(__xludf.DUMMYFUNCTION("GOOGLETRANSLATE(B5385,""en"",""es-ES"")"),"Luego los sube.")</f>
        <v>Luego los sube.</v>
      </c>
    </row>
    <row r="5386">
      <c r="A5386" s="4" t="s">
        <v>6767</v>
      </c>
      <c r="B5386" s="4" t="s">
        <v>6768</v>
      </c>
      <c r="C5386" s="5" t="str">
        <f>IFERROR(__xludf.DUMMYFUNCTION("GOOGLETRANSLATE(B5386,""en"",""es-ES"")"),"Una joven rubia está hablando con la cámara dentro de su habitación.")</f>
        <v>Una joven rubia está hablando con la cámara dentro de su habitación.</v>
      </c>
    </row>
    <row r="5387">
      <c r="A5387" s="4" t="s">
        <v>6767</v>
      </c>
      <c r="B5387" s="4" t="s">
        <v>6769</v>
      </c>
      <c r="C5387" s="5" t="str">
        <f>IFERROR(__xludf.DUMMYFUNCTION("GOOGLETRANSLATE(B5387,""en"",""es-ES"")"),"Ella separa su cabello en secciones.")</f>
        <v>Ella separa su cabello en secciones.</v>
      </c>
    </row>
    <row r="5388">
      <c r="A5388" s="4" t="s">
        <v>6767</v>
      </c>
      <c r="B5388" s="4" t="s">
        <v>6770</v>
      </c>
      <c r="C5388" s="5" t="str">
        <f>IFERROR(__xludf.DUMMYFUNCTION("GOOGLETRANSLATE(B5388,""en"",""es-ES"")"),"Luego muestra cómo trenzar las secciones y fijarlo en su lugar.")</f>
        <v>Luego muestra cómo trenzar las secciones y fijarlo en su lugar.</v>
      </c>
    </row>
    <row r="5389">
      <c r="A5389" s="4" t="s">
        <v>6771</v>
      </c>
      <c r="B5389" s="4" t="s">
        <v>6772</v>
      </c>
      <c r="C5389" s="5" t="str">
        <f>IFERROR(__xludf.DUMMYFUNCTION("GOOGLETRANSLATE(B5389,""en"",""es-ES"")"),"Un hombre está en interiores, con guantes de boxeo.")</f>
        <v>Un hombre está en interiores, con guantes de boxeo.</v>
      </c>
    </row>
    <row r="5390">
      <c r="A5390" s="4" t="s">
        <v>6771</v>
      </c>
      <c r="B5390" s="4" t="s">
        <v>6773</v>
      </c>
      <c r="C5390" s="5" t="str">
        <f>IFERROR(__xludf.DUMMYFUNCTION("GOOGLETRANSLATE(B5390,""en"",""es-ES"")"),"Está kickboxing con un gran saco de boxeo, pateándolo y golpeándolo una y otra vez.")</f>
        <v>Está kickboxing con un gran saco de boxeo, pateándolo y golpeándolo una y otra vez.</v>
      </c>
    </row>
    <row r="5391">
      <c r="A5391" s="4" t="s">
        <v>6774</v>
      </c>
      <c r="B5391" s="4" t="s">
        <v>6775</v>
      </c>
      <c r="C5391" s="5" t="str">
        <f>IFERROR(__xludf.DUMMYFUNCTION("GOOGLETRANSLATE(B5391,""en"",""es-ES"")"),"La gente camina sosteniendo tablas de surf, luego abordan un bote.")</f>
        <v>La gente camina sosteniendo tablas de surf, luego abordan un bote.</v>
      </c>
    </row>
    <row r="5392">
      <c r="A5392" s="4" t="s">
        <v>6774</v>
      </c>
      <c r="B5392" s="4" t="s">
        <v>6776</v>
      </c>
      <c r="C5392" s="5" t="str">
        <f>IFERROR(__xludf.DUMMYFUNCTION("GOOGLETRANSLATE(B5392,""en"",""es-ES"")"),"Un hombre esquí de agua detrás del bote saltando alto y girando.")</f>
        <v>Un hombre esquí de agua detrás del bote saltando alto y girando.</v>
      </c>
    </row>
    <row r="5393">
      <c r="A5393" s="4" t="s">
        <v>6774</v>
      </c>
      <c r="B5393" s="4" t="s">
        <v>6777</v>
      </c>
      <c r="C5393" s="5" t="str">
        <f>IFERROR(__xludf.DUMMYFUNCTION("GOOGLETRANSLATE(B5393,""en"",""es-ES"")"),"Luego, una mujer y un hombre de esquí acuático haciendo saltos acrobáticos.")</f>
        <v>Luego, una mujer y un hombre de esquí acuático haciendo saltos acrobáticos.</v>
      </c>
    </row>
    <row r="5394">
      <c r="A5394" s="4" t="s">
        <v>6774</v>
      </c>
      <c r="B5394" s="4" t="s">
        <v>6778</v>
      </c>
      <c r="C5394" s="5" t="str">
        <f>IFERROR(__xludf.DUMMYFUNCTION("GOOGLETRANSLATE(B5394,""en"",""es-ES"")"),"Un bote navega vacío en el río.")</f>
        <v>Un bote navega vacío en el río.</v>
      </c>
    </row>
    <row r="5395">
      <c r="A5395" s="4" t="s">
        <v>6774</v>
      </c>
      <c r="B5395" s="4" t="s">
        <v>6779</v>
      </c>
      <c r="C5395" s="5" t="str">
        <f>IFERROR(__xludf.DUMMYFUNCTION("GOOGLETRANSLATE(B5395,""en"",""es-ES"")"),"Después, los hombres acuáticos saltan y se dan la vuelta.")</f>
        <v>Después, los hombres acuáticos saltan y se dan la vuelta.</v>
      </c>
    </row>
    <row r="5396">
      <c r="A5396" s="4" t="s">
        <v>6774</v>
      </c>
      <c r="B5396" s="4" t="s">
        <v>6780</v>
      </c>
      <c r="C5396" s="5" t="str">
        <f>IFERROR(__xludf.DUMMYFUNCTION("GOOGLETRANSLATE(B5396,""en"",""es-ES"")"),"Luego, una persona surfea en las olas creadas por el bote, después de que el hombre de esquí acuático saltando y volteando alto.")</f>
        <v>Luego, una persona surfea en las olas creadas por el bote, después de que el hombre de esquí acuático saltando y volteando alto.</v>
      </c>
    </row>
    <row r="5397">
      <c r="A5397" s="4" t="s">
        <v>6781</v>
      </c>
      <c r="B5397" s="4" t="s">
        <v>6782</v>
      </c>
      <c r="C5397" s="5" t="str">
        <f>IFERROR(__xludf.DUMMYFUNCTION("GOOGLETRANSLATE(B5397,""en"",""es-ES"")"),"Se ve a una persona de pie ante un fregadero con agua corriente y empujando sus manos bajo el agua.")</f>
        <v>Se ve a una persona de pie ante un fregadero con agua corriente y empujando sus manos bajo el agua.</v>
      </c>
    </row>
    <row r="5398">
      <c r="A5398" s="4" t="s">
        <v>6781</v>
      </c>
      <c r="B5398" s="4" t="s">
        <v>6783</v>
      </c>
      <c r="C5398" s="5" t="str">
        <f>IFERROR(__xludf.DUMMYFUNCTION("GOOGLETRANSLATE(B5398,""en"",""es-ES"")"),"Luego se pusieron jabón en sus manos, se frotan un poco y luego pasan sus manos bajo el agua.")</f>
        <v>Luego se pusieron jabón en sus manos, se frotan un poco y luego pasan sus manos bajo el agua.</v>
      </c>
    </row>
    <row r="5399">
      <c r="A5399" s="4" t="s">
        <v>6781</v>
      </c>
      <c r="B5399" s="4" t="s">
        <v>6784</v>
      </c>
      <c r="C5399" s="5" t="str">
        <f>IFERROR(__xludf.DUMMYFUNCTION("GOOGLETRANSLATE(B5399,""en"",""es-ES"")"),"Finalmente corre las manos bajo el agua y seca la mano con una toalla de papel.")</f>
        <v>Finalmente corre las manos bajo el agua y seca la mano con una toalla de papel.</v>
      </c>
    </row>
    <row r="5400">
      <c r="A5400" s="4" t="s">
        <v>6785</v>
      </c>
      <c r="B5400" s="4" t="s">
        <v>6786</v>
      </c>
      <c r="C5400" s="5" t="str">
        <f>IFERROR(__xludf.DUMMYFUNCTION("GOOGLETRANSLATE(B5400,""en"",""es-ES"")"),"En un río, la gente se reúne para ver a la gente en rosquillas y barcos kayak en aguas ásperas.")</f>
        <v>En un río, la gente se reúne para ver a la gente en rosquillas y barcos kayak en aguas ásperas.</v>
      </c>
    </row>
    <row r="5401">
      <c r="A5401" s="4" t="s">
        <v>6785</v>
      </c>
      <c r="B5401" s="4" t="s">
        <v>6787</v>
      </c>
      <c r="C5401" s="5" t="str">
        <f>IFERROR(__xludf.DUMMYFUNCTION("GOOGLETRANSLATE(B5401,""en"",""es-ES"")"),"Un par de personas en un kayak son volteadas y caen al río.")</f>
        <v>Un par de personas en un kayak son volteadas y caen al río.</v>
      </c>
    </row>
    <row r="5402">
      <c r="A5402" s="4" t="s">
        <v>6788</v>
      </c>
      <c r="B5402" s="4" t="s">
        <v>6789</v>
      </c>
      <c r="C5402" s="5" t="str">
        <f>IFERROR(__xludf.DUMMYFUNCTION("GOOGLETRANSLATE(B5402,""en"",""es-ES"")"),"Una mujer con un largo cuento de pony rubio comienza a correr a través de un gran campo verde que arroja una pelota.")</f>
        <v>Una mujer con un largo cuento de pony rubio comienza a correr a través de un gran campo verde que arroja una pelota.</v>
      </c>
    </row>
    <row r="5403">
      <c r="A5403" s="4" t="s">
        <v>6788</v>
      </c>
      <c r="B5403" s="4" t="s">
        <v>6790</v>
      </c>
      <c r="C5403" s="5" t="str">
        <f>IFERROR(__xludf.DUMMYFUNCTION("GOOGLETRANSLATE(B5403,""en"",""es-ES"")"),"Luego continúa corriendo por el campo y comienza a mirar las gradas y anticipando un juego de softbol.")</f>
        <v>Luego continúa corriendo por el campo y comienza a mirar las gradas y anticipando un juego de softbol.</v>
      </c>
    </row>
    <row r="5404">
      <c r="A5404" s="4" t="s">
        <v>6788</v>
      </c>
      <c r="B5404" s="4" t="s">
        <v>6791</v>
      </c>
      <c r="C5404" s="5" t="str">
        <f>IFERROR(__xludf.DUMMYFUNCTION("GOOGLETRANSLATE(B5404,""en"",""es-ES"")"),"A medida que la acción continúa, ella progresa a través de las gradas y aparece una URL en la última pantalla para ver juegos de cricket en vivo.")</f>
        <v>A medida que la acción continúa, ella progresa a través de las gradas y aparece una URL en la última pantalla para ver juegos de cricket en vivo.</v>
      </c>
    </row>
    <row r="5405">
      <c r="A5405" s="4" t="s">
        <v>6792</v>
      </c>
      <c r="B5405" s="4" t="s">
        <v>6793</v>
      </c>
      <c r="C5405" s="5" t="str">
        <f>IFERROR(__xludf.DUMMYFUNCTION("GOOGLETRANSLATE(B5405,""en"",""es-ES"")"),"Se reproduce un video en blanco y negro y uno de los hombres es Bruce Lee y está golpeando muy hábil y creativamente la pelota de ping pong de un lado a otro a otro hombre que sostiene una paleta de ping pong, mientras Bruce Lee golpea la pelota de ping p"&amp;"ong con nanchucks y El hombre con paleta no puede mantener la pelota sobre la mesa.")</f>
        <v>Se reproduce un video en blanco y negro y uno de los hombres es Bruce Lee y está golpeando muy hábil y creativamente la pelota de ping pong de un lado a otro a otro hombre que sostiene una paleta de ping pong, mientras Bruce Lee golpea la pelota de ping pong con nanchucks y El hombre con paleta no puede mantener la pelota sobre la mesa.</v>
      </c>
    </row>
    <row r="5406">
      <c r="A5406" s="4" t="s">
        <v>6792</v>
      </c>
      <c r="B5406" s="4" t="s">
        <v>6794</v>
      </c>
      <c r="C5406" s="5" t="str">
        <f>IFERROR(__xludf.DUMMYFUNCTION("GOOGLETRANSLATE(B5406,""en"",""es-ES"")"),"Ahora hay dos hombres al final de la mesa que sostienen las paletas y juegan contra Bruce Lee mientras intentan mantener la pelota sobre la mesa pero finalmente fallan.")</f>
        <v>Ahora hay dos hombres al final de la mesa que sostienen las paletas y juegan contra Bruce Lee mientras intentan mantener la pelota sobre la mesa pero finalmente fallan.</v>
      </c>
    </row>
    <row r="5407">
      <c r="A5407" s="4" t="s">
        <v>6792</v>
      </c>
      <c r="B5407" s="4" t="s">
        <v>6795</v>
      </c>
      <c r="C5407" s="5" t="str">
        <f>IFERROR(__xludf.DUMMYFUNCTION("GOOGLETRANSLATE(B5407,""en"",""es-ES"")"),"Aparece una pantalla negra con letras asiáticas blancas en el medio, luego un sitio web que dice ""www lee35 viene cn"".")</f>
        <v>Aparece una pantalla negra con letras asiáticas blancas en el medio, luego un sitio web que dice "www lee35 viene cn".</v>
      </c>
    </row>
    <row r="5408">
      <c r="A5408" s="4" t="s">
        <v>6796</v>
      </c>
      <c r="B5408" s="4" t="s">
        <v>6797</v>
      </c>
      <c r="C5408" s="5" t="str">
        <f>IFERROR(__xludf.DUMMYFUNCTION("GOOGLETRANSLATE(B5408,""en"",""es-ES"")"),"La cámara sigue a varias personas en una pasarela desde una perspectiva en primera persona.")</f>
        <v>La cámara sigue a varias personas en una pasarela desde una perspectiva en primera persona.</v>
      </c>
    </row>
    <row r="5409">
      <c r="A5409" s="4" t="s">
        <v>6796</v>
      </c>
      <c r="B5409" s="4" t="s">
        <v>6798</v>
      </c>
      <c r="C5409" s="5" t="str">
        <f>IFERROR(__xludf.DUMMYFUNCTION("GOOGLETRANSLATE(B5409,""en"",""es-ES"")"),"La cámara muestra deslizándose por una pendiente nevada desde una perspectiva en primera persona junto con otras.")</f>
        <v>La cámara muestra deslizándose por una pendiente nevada desde una perspectiva en primera persona junto con otras.</v>
      </c>
    </row>
    <row r="5410">
      <c r="A5410" s="4" t="s">
        <v>6796</v>
      </c>
      <c r="B5410" s="4" t="s">
        <v>6799</v>
      </c>
      <c r="C5410" s="5" t="str">
        <f>IFERROR(__xludf.DUMMYFUNCTION("GOOGLETRANSLATE(B5410,""en"",""es-ES"")"),"La cámara muestra deslizándose por una pendiente nevada desde una perspectiva en primera persona que mira hacia atrás.")</f>
        <v>La cámara muestra deslizándose por una pendiente nevada desde una perspectiva en primera persona que mira hacia atrás.</v>
      </c>
    </row>
    <row r="5411">
      <c r="A5411" s="4" t="s">
        <v>6796</v>
      </c>
      <c r="B5411" s="4" t="s">
        <v>6800</v>
      </c>
      <c r="C5411" s="5" t="str">
        <f>IFERROR(__xludf.DUMMYFUNCTION("GOOGLETRANSLATE(B5411,""en"",""es-ES"")"),"La cámara muestra otra diapositiva por la pendiente desde una perspectiva en primera persona junto con otras.")</f>
        <v>La cámara muestra otra diapositiva por la pendiente desde una perspectiva en primera persona junto con otras.</v>
      </c>
    </row>
    <row r="5412">
      <c r="A5412" s="4" t="s">
        <v>6796</v>
      </c>
      <c r="B5412" s="4" t="s">
        <v>6801</v>
      </c>
      <c r="C5412" s="5" t="str">
        <f>IFERROR(__xludf.DUMMYFUNCTION("GOOGLETRANSLATE(B5412,""en"",""es-ES"")"),"La cámara observa mientras otras personas se deslizan por la pendiente.")</f>
        <v>La cámara observa mientras otras personas se deslizan por la pendiente.</v>
      </c>
    </row>
    <row r="5413">
      <c r="A5413" s="4" t="s">
        <v>6796</v>
      </c>
      <c r="B5413" s="4" t="s">
        <v>6802</v>
      </c>
      <c r="C5413" s="5" t="str">
        <f>IFERROR(__xludf.DUMMYFUNCTION("GOOGLETRANSLATE(B5413,""en"",""es-ES"")"),"La cámara atrapa otro deslizamiento por la pendiente desde una perspectiva en primera persona mientras gira.")</f>
        <v>La cámara atrapa otro deslizamiento por la pendiente desde una perspectiva en primera persona mientras gira.</v>
      </c>
    </row>
    <row r="5414">
      <c r="A5414" s="4" t="s">
        <v>6796</v>
      </c>
      <c r="B5414" s="4" t="s">
        <v>6803</v>
      </c>
      <c r="C5414" s="5" t="str">
        <f>IFERROR(__xludf.DUMMYFUNCTION("GOOGLETRANSLATE(B5414,""en"",""es-ES"")"),"La cámara atrapa más diapositivas por la pendiente desde una perspectiva en primera persona mientras mira a la izquierda y a la derecha.")</f>
        <v>La cámara atrapa más diapositivas por la pendiente desde una perspectiva en primera persona mientras mira a la izquierda y a la derecha.</v>
      </c>
    </row>
    <row r="5415">
      <c r="A5415" s="4" t="s">
        <v>6804</v>
      </c>
      <c r="B5415" s="4" t="s">
        <v>6805</v>
      </c>
      <c r="C5415" s="5" t="str">
        <f>IFERROR(__xludf.DUMMYFUNCTION("GOOGLETRANSLATE(B5415,""en"",""es-ES"")"),"Se ve a una persona sentada en una silla con el brazo fuera de un tatuaje de un artista masculino.")</f>
        <v>Se ve a una persona sentada en una silla con el brazo fuera de un tatuaje de un artista masculino.</v>
      </c>
    </row>
    <row r="5416">
      <c r="A5416" s="4" t="s">
        <v>6804</v>
      </c>
      <c r="B5416" s="4" t="s">
        <v>6806</v>
      </c>
      <c r="C5416" s="5" t="str">
        <f>IFERROR(__xludf.DUMMYFUNCTION("GOOGLETRANSLATE(B5416,""en"",""es-ES"")"),"Los hombres hablan y cuarto entre sí y la cámara se acerca al brazo.")</f>
        <v>Los hombres hablan y cuarto entre sí y la cámara se acerca al brazo.</v>
      </c>
    </row>
    <row r="5417">
      <c r="A5417" s="4" t="s">
        <v>6804</v>
      </c>
      <c r="B5417" s="4" t="s">
        <v>6807</v>
      </c>
      <c r="C5417" s="5" t="str">
        <f>IFERROR(__xludf.DUMMYFUNCTION("GOOGLETRANSLATE(B5417,""en"",""es-ES"")"),"Al final, se muestran las imágenes de los hombres que parados juntos, así como el tatuaje.")</f>
        <v>Al final, se muestran las imágenes de los hombres que parados juntos, así como el tatuaje.</v>
      </c>
    </row>
    <row r="5418">
      <c r="A5418" s="4" t="s">
        <v>6808</v>
      </c>
      <c r="B5418" s="4" t="s">
        <v>6809</v>
      </c>
      <c r="C5418" s="5" t="str">
        <f>IFERROR(__xludf.DUMMYFUNCTION("GOOGLETRANSLATE(B5418,""en"",""es-ES"")"),"Se ve a un gran grupo de personas nadando alrededor de un océano, mientras que dos hombres pasan una pelota de fútbol atrás y cuarta entre sí en la orilla.")</f>
        <v>Se ve a un gran grupo de personas nadando alrededor de un océano, mientras que dos hombres pasan una pelota de fútbol atrás y cuarta entre sí en la orilla.</v>
      </c>
    </row>
    <row r="5419">
      <c r="A5419" s="4" t="s">
        <v>6808</v>
      </c>
      <c r="B5419" s="4" t="s">
        <v>6810</v>
      </c>
      <c r="C5419" s="5" t="str">
        <f>IFERROR(__xludf.DUMMYFUNCTION("GOOGLETRANSLATE(B5419,""en"",""es-ES"")"),"Más personas entran y salen del marco mientras los hombres continúan pateando la pelota y cuarta entre sí.")</f>
        <v>Más personas entran y salen del marco mientras los hombres continúan pateando la pelota y cuarta entre sí.</v>
      </c>
    </row>
    <row r="5420">
      <c r="A5420" s="4" t="s">
        <v>6811</v>
      </c>
      <c r="B5420" s="4" t="s">
        <v>6812</v>
      </c>
      <c r="C5420" s="5" t="str">
        <f>IFERROR(__xludf.DUMMYFUNCTION("GOOGLETRANSLATE(B5420,""en"",""es-ES"")"),"Una mujer habla con la cámara mientras sostiene una tarjeta.")</f>
        <v>Una mujer habla con la cámara mientras sostiene una tarjeta.</v>
      </c>
    </row>
    <row r="5421">
      <c r="A5421" s="4" t="s">
        <v>6811</v>
      </c>
      <c r="B5421" s="4" t="s">
        <v>6813</v>
      </c>
      <c r="C5421" s="5" t="str">
        <f>IFERROR(__xludf.DUMMYFUNCTION("GOOGLETRANSLATE(B5421,""en"",""es-ES"")"),"Una pareja aparece en un escenario profesional bajo un foco de atención y realiza una rutina de baile.")</f>
        <v>Una pareja aparece en un escenario profesional bajo un foco de atención y realiza una rutina de baile.</v>
      </c>
    </row>
    <row r="5422">
      <c r="A5422" s="4" t="s">
        <v>6811</v>
      </c>
      <c r="B5422" s="4" t="s">
        <v>6814</v>
      </c>
      <c r="C5422" s="5" t="str">
        <f>IFERROR(__xludf.DUMMYFUNCTION("GOOGLETRANSLATE(B5422,""en"",""es-ES"")"),"La pareja termina su rutina, besa su mano y la audiencia aplaude.")</f>
        <v>La pareja termina su rutina, besa su mano y la audiencia aplaude.</v>
      </c>
    </row>
    <row r="5423">
      <c r="A5423" s="4" t="s">
        <v>6815</v>
      </c>
      <c r="B5423" s="4" t="s">
        <v>6816</v>
      </c>
      <c r="C5423" s="5" t="str">
        <f>IFERROR(__xludf.DUMMYFUNCTION("GOOGLETRANSLATE(B5423,""en"",""es-ES"")"),"Un hombre vestido con pantalones cortos negros, camiseta, zapatillas de deporte y gorra de béisbol roja entra en una habitación con paredes naranjas con pisos de madera y demuestra un ejercicio de elevación del brazo con dos pesas negras de metal.")</f>
        <v>Un hombre vestido con pantalones cortos negros, camiseta, zapatillas de deporte y gorra de béisbol roja entra en una habitación con paredes naranjas con pisos de madera y demuestra un ejercicio de elevación del brazo con dos pesas negras de metal.</v>
      </c>
    </row>
    <row r="5424">
      <c r="A5424" s="4" t="s">
        <v>6815</v>
      </c>
      <c r="B5424" s="4" t="s">
        <v>6817</v>
      </c>
      <c r="C5424" s="5" t="str">
        <f>IFERROR(__xludf.DUMMYFUNCTION("GOOGLETRANSLATE(B5424,""en"",""es-ES"")"),"Una habitación de pared de naranja está vacía, excepto por dos pesas negras que se encuentran horizontales en el piso.")</f>
        <v>Una habitación de pared de naranja está vacía, excepto por dos pesas negras que se encuentran horizontales en el piso.</v>
      </c>
    </row>
    <row r="5425">
      <c r="A5425" s="4" t="s">
        <v>6815</v>
      </c>
      <c r="B5425" s="4" t="s">
        <v>6818</v>
      </c>
      <c r="C5425" s="5" t="str">
        <f>IFERROR(__xludf.DUMMYFUNCTION("GOOGLETRANSLATE(B5425,""en"",""es-ES"")"),"El hombre entra en la habitación y se para frente a las pesas y luego cae de rodillas donde habla y muestra su perfil y luego se vuelve de rodillas, nuevamente, para enfrentar la cámara de frente.")</f>
        <v>El hombre entra en la habitación y se para frente a las pesas y luego cae de rodillas donde habla y muestra su perfil y luego se vuelve de rodillas, nuevamente, para enfrentar la cámara de frente.</v>
      </c>
    </row>
    <row r="5426">
      <c r="A5426" s="4" t="s">
        <v>6815</v>
      </c>
      <c r="B5426" s="4" t="s">
        <v>6819</v>
      </c>
      <c r="C5426" s="5" t="str">
        <f>IFERROR(__xludf.DUMMYFUNCTION("GOOGLETRANSLATE(B5426,""en"",""es-ES"")"),"Luego, el hombre recoge las pesas y comienza a levantarlas directamente sobre su cabeza, frente a la cámara, y luego nuevamente desde un ángulo de perfil, antes de colocar las pesas hacia abajo, verticalmente y salir de la habitación.")</f>
        <v>Luego, el hombre recoge las pesas y comienza a levantarlas directamente sobre su cabeza, frente a la cámara, y luego nuevamente desde un ángulo de perfil, antes de colocar las pesas hacia abajo, verticalmente y salir de la habitación.</v>
      </c>
    </row>
    <row r="5427">
      <c r="A5427" s="4" t="s">
        <v>6820</v>
      </c>
      <c r="B5427" s="4" t="s">
        <v>6821</v>
      </c>
      <c r="C5427" s="5" t="str">
        <f>IFERROR(__xludf.DUMMYFUNCTION("GOOGLETRANSLATE(B5427,""en"",""es-ES"")"),"Una niña habla con una cámara de video con un rizador en su flequillo, ocasionalmente sosteniendo un teléfono celular en la cara e introduciendo a una persona más joven en la habitación con ella en el fondo.")</f>
        <v>Una niña habla con una cámara de video con un rizador en su flequillo, ocasionalmente sosteniendo un teléfono celular en la cara e introduciendo a una persona más joven en la habitación con ella en el fondo.</v>
      </c>
    </row>
    <row r="5428">
      <c r="A5428" s="4" t="s">
        <v>6820</v>
      </c>
      <c r="B5428" s="4" t="s">
        <v>6822</v>
      </c>
      <c r="C5428" s="5" t="str">
        <f>IFERROR(__xludf.DUMMYFUNCTION("GOOGLETRANSLATE(B5428,""en"",""es-ES"")"),"La niña con curler en su explosión habla con la cámara en un ángulo de primer plano.")</f>
        <v>La niña con curler en su explosión habla con la cámara en un ángulo de primer plano.</v>
      </c>
    </row>
    <row r="5429">
      <c r="A5429" s="4" t="s">
        <v>6820</v>
      </c>
      <c r="B5429" s="4" t="s">
        <v>6823</v>
      </c>
      <c r="C5429" s="5" t="str">
        <f>IFERROR(__xludf.DUMMYFUNCTION("GOOGLETRANSLATE(B5429,""en"",""es-ES"")"),"La niña apunta al rizador en su explosión y levanta un teléfono celular para arrojar luz sobre su rostro, lo que acerca a la cámara.")</f>
        <v>La niña apunta al rizador en su explosión y levanta un teléfono celular para arrojar luz sobre su rostro, lo que acerca a la cámara.</v>
      </c>
    </row>
    <row r="5430">
      <c r="A5430" s="4" t="s">
        <v>6820</v>
      </c>
      <c r="B5430" s="4" t="s">
        <v>6824</v>
      </c>
      <c r="C5430" s="5" t="str">
        <f>IFERROR(__xludf.DUMMYFUNCTION("GOOGLETRANSLATE(B5430,""en"",""es-ES"")"),"La niña se ríe cuando una niña más joven en la habitación con una peluca rosa se muestra en el fondo, se ríe nuevamente cuando la niña más joven pone su peluca rosa en la cámara.")</f>
        <v>La niña se ríe cuando una niña más joven en la habitación con una peluca rosa se muestra en el fondo, se ríe nuevamente cuando la niña más joven pone su peluca rosa en la cámara.</v>
      </c>
    </row>
    <row r="5431">
      <c r="A5431" s="4" t="s">
        <v>6825</v>
      </c>
      <c r="B5431" s="4" t="s">
        <v>6826</v>
      </c>
      <c r="C5431" s="5" t="str">
        <f>IFERROR(__xludf.DUMMYFUNCTION("GOOGLETRANSLATE(B5431,""en"",""es-ES"")"),"Un grupo de hombres están dentro de un gimnasio de color verde.")</f>
        <v>Un grupo de hombres están dentro de un gimnasio de color verde.</v>
      </c>
    </row>
    <row r="5432">
      <c r="A5432" s="4" t="s">
        <v>6825</v>
      </c>
      <c r="B5432" s="4" t="s">
        <v>6827</v>
      </c>
      <c r="C5432" s="5" t="str">
        <f>IFERROR(__xludf.DUMMYFUNCTION("GOOGLETRANSLATE(B5432,""en"",""es-ES"")"),"Están lanzando una pelota de tenis de un lado a otro.")</f>
        <v>Están lanzando una pelota de tenis de un lado a otro.</v>
      </c>
    </row>
    <row r="5433">
      <c r="A5433" s="4" t="s">
        <v>6825</v>
      </c>
      <c r="B5433" s="4" t="s">
        <v>6828</v>
      </c>
      <c r="C5433" s="5" t="str">
        <f>IFERROR(__xludf.DUMMYFUNCTION("GOOGLETRANSLATE(B5433,""en"",""es-ES"")"),"Están comprometidos en un juego de tenis.")</f>
        <v>Están comprometidos en un juego de tenis.</v>
      </c>
    </row>
    <row r="5434">
      <c r="A5434" s="4" t="s">
        <v>6829</v>
      </c>
      <c r="B5434" s="4" t="s">
        <v>6830</v>
      </c>
      <c r="C5434" s="5" t="str">
        <f>IFERROR(__xludf.DUMMYFUNCTION("GOOGLETRANSLATE(B5434,""en"",""es-ES"")"),"Un hombre está sentado en un techo.")</f>
        <v>Un hombre está sentado en un techo.</v>
      </c>
    </row>
    <row r="5435">
      <c r="A5435" s="4" t="s">
        <v>6829</v>
      </c>
      <c r="B5435" s="4" t="s">
        <v>6831</v>
      </c>
      <c r="C5435" s="5" t="str">
        <f>IFERROR(__xludf.DUMMYFUNCTION("GOOGLETRANSLATE(B5435,""en"",""es-ES"")"),"Comienza a levantar el techo en un techo.")</f>
        <v>Comienza a levantar el techo en un techo.</v>
      </c>
    </row>
    <row r="5436">
      <c r="A5436" s="4" t="s">
        <v>6829</v>
      </c>
      <c r="B5436" s="4" t="s">
        <v>6832</v>
      </c>
      <c r="C5436" s="5" t="str">
        <f>IFERROR(__xludf.DUMMYFUNCTION("GOOGLETRANSLATE(B5436,""en"",""es-ES"")"),"Un hombre sube una escalera al techo.")</f>
        <v>Un hombre sube una escalera al techo.</v>
      </c>
    </row>
    <row r="5437">
      <c r="A5437" s="4" t="s">
        <v>6833</v>
      </c>
      <c r="B5437" s="4" t="s">
        <v>6834</v>
      </c>
      <c r="C5437" s="5" t="str">
        <f>IFERROR(__xludf.DUMMYFUNCTION("GOOGLETRANSLATE(B5437,""en"",""es-ES"")"),"Se ve a un niño arrodillado antes de una pared y comienza a usar una herramienta en la alfombra.")</f>
        <v>Se ve a un niño arrodillado antes de una pared y comienza a usar una herramienta en la alfombra.</v>
      </c>
    </row>
    <row r="5438">
      <c r="A5438" s="4" t="s">
        <v>6833</v>
      </c>
      <c r="B5438" s="4" t="s">
        <v>6835</v>
      </c>
      <c r="C5438" s="5" t="str">
        <f>IFERROR(__xludf.DUMMYFUNCTION("GOOGLETRANSLATE(B5438,""en"",""es-ES"")"),"El hombre frota su mano a lo largo de la alfombra y continúa cortando.")</f>
        <v>El hombre frota su mano a lo largo de la alfombra y continúa cortando.</v>
      </c>
    </row>
    <row r="5439">
      <c r="A5439" s="4" t="s">
        <v>6833</v>
      </c>
      <c r="B5439" s="4" t="s">
        <v>6836</v>
      </c>
      <c r="C5439" s="5" t="str">
        <f>IFERROR(__xludf.DUMMYFUNCTION("GOOGLETRANSLATE(B5439,""en"",""es-ES"")"),"El hombre continúa cortando la alfombra mientras se frota la mano.")</f>
        <v>El hombre continúa cortando la alfombra mientras se frota la mano.</v>
      </c>
    </row>
    <row r="5440">
      <c r="A5440" s="4" t="s">
        <v>6837</v>
      </c>
      <c r="B5440" s="4" t="s">
        <v>6838</v>
      </c>
      <c r="C5440" s="5" t="str">
        <f>IFERROR(__xludf.DUMMYFUNCTION("GOOGLETRANSLATE(B5440,""en"",""es-ES"")"),"Un joven rubio está parado en un fregadero de cocina con un rociador de mano en la mano y está rociando todos los platos.")</f>
        <v>Un joven rubio está parado en un fregadero de cocina con un rociador de mano en la mano y está rociando todos los platos.</v>
      </c>
    </row>
    <row r="5441">
      <c r="A5441" s="4" t="s">
        <v>6837</v>
      </c>
      <c r="B5441" s="4" t="s">
        <v>6839</v>
      </c>
      <c r="C5441" s="5" t="str">
        <f>IFERROR(__xludf.DUMMYFUNCTION("GOOGLETRANSLATE(B5441,""en"",""es-ES"")"),"El niño luego pone el rociador en una olla verde en el mostrador y comienza a rociar el agua allí.")</f>
        <v>El niño luego pone el rociador en una olla verde en el mostrador y comienza a rociar el agua allí.</v>
      </c>
    </row>
    <row r="5442">
      <c r="A5442" s="4" t="s">
        <v>6837</v>
      </c>
      <c r="B5442" s="4" t="s">
        <v>6840</v>
      </c>
      <c r="C5442" s="5" t="str">
        <f>IFERROR(__xludf.DUMMYFUNCTION("GOOGLETRANSLATE(B5442,""en"",""es-ES"")"),"El niño deja caer el rociador y luego toma una taza del fregadero, lo llena con agua y luego vierte el agua en la olla, lo llena nuevamente y lo vierte en un tazón en el mostrador.")</f>
        <v>El niño deja caer el rociador y luego toma una taza del fregadero, lo llena con agua y luego vierte el agua en la olla, lo llena nuevamente y lo vierte en un tazón en el mostrador.</v>
      </c>
    </row>
    <row r="5443">
      <c r="A5443" s="4" t="s">
        <v>6837</v>
      </c>
      <c r="B5443" s="4" t="s">
        <v>6841</v>
      </c>
      <c r="C5443" s="5" t="str">
        <f>IFERROR(__xludf.DUMMYFUNCTION("GOOGLETRANSLATE(B5443,""en"",""es-ES"")"),"Luego, el niño recoge un vaso transparente lleno de líquido rojo, bebe algo, lo pone debajo del grifo y agrega agua, lo bebe varias veces y luego lo arroja al fregadero.")</f>
        <v>Luego, el niño recoge un vaso transparente lleno de líquido rojo, bebe algo, lo pone debajo del grifo y agrega agua, lo bebe varias veces y luego lo arroja al fregadero.</v>
      </c>
    </row>
    <row r="5444">
      <c r="A5444" s="4" t="s">
        <v>6837</v>
      </c>
      <c r="B5444" s="4" t="s">
        <v>6842</v>
      </c>
      <c r="C5444" s="5" t="str">
        <f>IFERROR(__xludf.DUMMYFUNCTION("GOOGLETRANSLATE(B5444,""en"",""es-ES"")"),"Luego, el niño toma un plato del fregadero que tiene el jugo rojo e intenta verterlo en la olla en el mostrador, pero en su lugar se derrama en todo el mostrador y él recibe una esponja e intenta limpiarla.")</f>
        <v>Luego, el niño toma un plato del fregadero que tiene el jugo rojo e intenta verterlo en la olla en el mostrador, pero en su lugar se derrama en todo el mostrador y él recibe una esponja e intenta limpiarla.</v>
      </c>
    </row>
    <row r="5445">
      <c r="A5445" s="4" t="s">
        <v>6843</v>
      </c>
      <c r="B5445" s="4" t="s">
        <v>6844</v>
      </c>
      <c r="C5445" s="5" t="str">
        <f>IFERROR(__xludf.DUMMYFUNCTION("GOOGLETRANSLATE(B5445,""en"",""es-ES"")"),"Vemos a las animadoras paradas en el escenario.")</f>
        <v>Vemos a las animadoras paradas en el escenario.</v>
      </c>
    </row>
    <row r="5446">
      <c r="A5446" s="4" t="s">
        <v>6843</v>
      </c>
      <c r="B5446" s="4" t="s">
        <v>6845</v>
      </c>
      <c r="C5446" s="5" t="str">
        <f>IFERROR(__xludf.DUMMYFUNCTION("GOOGLETRANSLATE(B5446,""en"",""es-ES"")"),"Las animadoras realizan una rutina.")</f>
        <v>Las animadoras realizan una rutina.</v>
      </c>
    </row>
    <row r="5447">
      <c r="A5447" s="4" t="s">
        <v>6843</v>
      </c>
      <c r="B5447" s="4" t="s">
        <v>6846</v>
      </c>
      <c r="C5447" s="5" t="str">
        <f>IFERROR(__xludf.DUMMYFUNCTION("GOOGLETRANSLATE(B5447,""en"",""es-ES"")"),"Se levantan cuatro chicas y sostienen a una chica entre ellas.")</f>
        <v>Se levantan cuatro chicas y sostienen a una chica entre ellas.</v>
      </c>
    </row>
    <row r="5448">
      <c r="A5448" s="4" t="s">
        <v>6843</v>
      </c>
      <c r="B5448" s="4" t="s">
        <v>6847</v>
      </c>
      <c r="C5448" s="5" t="str">
        <f>IFERROR(__xludf.DUMMYFUNCTION("GOOGLETRANSLATE(B5448,""en"",""es-ES"")"),"Las damas sostienen a las mujeres que sostienen y sacuden sus pompones.")</f>
        <v>Las damas sostienen a las mujeres que sostienen y sacuden sus pompones.</v>
      </c>
    </row>
    <row r="5449">
      <c r="A5449" s="4" t="s">
        <v>6843</v>
      </c>
      <c r="B5449" s="4" t="s">
        <v>6848</v>
      </c>
      <c r="C5449" s="5" t="str">
        <f>IFERROR(__xludf.DUMMYFUNCTION("GOOGLETRANSLATE(B5449,""en"",""es-ES"")"),"Cuatro damas son levantadas y sostienen a otras dos damas que una séptima dama.")</f>
        <v>Cuatro damas son levantadas y sostienen a otras dos damas que una séptima dama.</v>
      </c>
    </row>
    <row r="5450">
      <c r="A5450" s="4" t="s">
        <v>6843</v>
      </c>
      <c r="B5450" s="4" t="s">
        <v>6849</v>
      </c>
      <c r="C5450" s="5" t="str">
        <f>IFERROR(__xludf.DUMMYFUNCTION("GOOGLETRANSLATE(B5450,""en"",""es-ES"")"),"El equipo termina y abraza.")</f>
        <v>El equipo termina y abraza.</v>
      </c>
    </row>
    <row r="5451">
      <c r="A5451" s="4" t="s">
        <v>6843</v>
      </c>
      <c r="B5451" s="4" t="s">
        <v>6850</v>
      </c>
      <c r="C5451" s="5" t="str">
        <f>IFERROR(__xludf.DUMMYFUNCTION("GOOGLETRANSLATE(B5451,""en"",""es-ES"")"),"Vemos créditos finales y tiros aún.")</f>
        <v>Vemos créditos finales y tiros aún.</v>
      </c>
    </row>
    <row r="5452">
      <c r="A5452" s="4" t="s">
        <v>6843</v>
      </c>
      <c r="B5452" s="4" t="s">
        <v>6851</v>
      </c>
      <c r="C5452" s="5" t="str">
        <f>IFERROR(__xludf.DUMMYFUNCTION("GOOGLETRANSLATE(B5452,""en"",""es-ES"")"),"Una cita y un sitio web aparecen en la pantalla.")</f>
        <v>Una cita y un sitio web aparecen en la pantalla.</v>
      </c>
    </row>
    <row r="5453">
      <c r="A5453" s="4" t="s">
        <v>6852</v>
      </c>
      <c r="B5453" s="4" t="s">
        <v>6853</v>
      </c>
      <c r="C5453" s="5" t="str">
        <f>IFERROR(__xludf.DUMMYFUNCTION("GOOGLETRANSLATE(B5453,""en"",""es-ES"")"),"Se muestran varios disparos de un lago seguidos por una persona que trepa detrás de un bote en un tablero de vigilia.")</f>
        <v>Se muestran varios disparos de un lago seguidos por una persona que trepa detrás de un bote en un tablero de vigilia.</v>
      </c>
    </row>
    <row r="5454">
      <c r="A5454" s="4" t="s">
        <v>6852</v>
      </c>
      <c r="B5454" s="4" t="s">
        <v>6854</v>
      </c>
      <c r="C5454" s="5" t="str">
        <f>IFERROR(__xludf.DUMMYFUNCTION("GOOGLETRANSLATE(B5454,""en"",""es-ES"")"),"La persona monta el tablero de estela a lo largo del agua, mientras que varias cámaras capturan sus movimientos y salta detrás del bote.")</f>
        <v>La persona monta el tablero de estela a lo largo del agua, mientras que varias cámaras capturan sus movimientos y salta detrás del bote.</v>
      </c>
    </row>
    <row r="5455">
      <c r="A5455" s="4" t="s">
        <v>6852</v>
      </c>
      <c r="B5455" s="4" t="s">
        <v>6855</v>
      </c>
      <c r="C5455" s="5" t="str">
        <f>IFERROR(__xludf.DUMMYFUNCTION("GOOGLETRANSLATE(B5455,""en"",""es-ES"")"),"La cámara captura a la persona que conduce el bote y sigue al huésped de Wake cerca del bote.")</f>
        <v>La cámara captura a la persona que conduce el bote y sigue al huésped de Wake cerca del bote.</v>
      </c>
    </row>
    <row r="5456">
      <c r="A5456" s="4" t="s">
        <v>6852</v>
      </c>
      <c r="B5456" s="4" t="s">
        <v>6856</v>
      </c>
      <c r="C5456" s="5" t="str">
        <f>IFERROR(__xludf.DUMMYFUNCTION("GOOGLETRANSLATE(B5456,""en"",""es-ES"")"),"Al final, tres niños viajan en el bote y conducen.")</f>
        <v>Al final, tres niños viajan en el bote y conducen.</v>
      </c>
    </row>
    <row r="5457">
      <c r="A5457" s="4" t="s">
        <v>6857</v>
      </c>
      <c r="B5457" s="4" t="s">
        <v>6858</v>
      </c>
      <c r="C5457" s="5" t="str">
        <f>IFERROR(__xludf.DUMMYFUNCTION("GOOGLETRANSLATE(B5457,""en"",""es-ES"")"),"Un hombre detiene su bicicleta en la acera.")</f>
        <v>Un hombre detiene su bicicleta en la acera.</v>
      </c>
    </row>
    <row r="5458">
      <c r="A5458" s="4" t="s">
        <v>6857</v>
      </c>
      <c r="B5458" s="4" t="s">
        <v>6859</v>
      </c>
      <c r="C5458" s="5" t="str">
        <f>IFERROR(__xludf.DUMMYFUNCTION("GOOGLETRANSLATE(B5458,""en"",""es-ES"")"),"Salta hacia abajo para mirar la rueda, luego usa una herramienta para presionar el caucho.")</f>
        <v>Salta hacia abajo para mirar la rueda, luego usa una herramienta para presionar el caucho.</v>
      </c>
    </row>
    <row r="5459">
      <c r="A5459" s="4" t="s">
        <v>6857</v>
      </c>
      <c r="B5459" s="4" t="s">
        <v>6860</v>
      </c>
      <c r="C5459" s="5" t="str">
        <f>IFERROR(__xludf.DUMMYFUNCTION("GOOGLETRANSLATE(B5459,""en"",""es-ES"")"),"Continúa hablando de la herramienta antes de unirse a una carrera de bicicletas y luego volver a hablar en la acera.")</f>
        <v>Continúa hablando de la herramienta antes de unirse a una carrera de bicicletas y luego volver a hablar en la acera.</v>
      </c>
    </row>
    <row r="5460">
      <c r="A5460" s="4" t="s">
        <v>6861</v>
      </c>
      <c r="B5460" s="4" t="s">
        <v>6862</v>
      </c>
      <c r="C5460" s="5" t="str">
        <f>IFERROR(__xludf.DUMMYFUNCTION("GOOGLETRANSLATE(B5460,""en"",""es-ES"")"),"Los hombres se balancean con una pelota de lanzamiento de martillo antes de soltarla.")</f>
        <v>Los hombres se balancean con una pelota de lanzamiento de martillo antes de soltarla.</v>
      </c>
    </row>
    <row r="5461">
      <c r="A5461" s="4" t="s">
        <v>6861</v>
      </c>
      <c r="B5461" s="4" t="s">
        <v>6863</v>
      </c>
      <c r="C5461" s="5" t="str">
        <f>IFERROR(__xludf.DUMMYFUNCTION("GOOGLETRANSLATE(B5461,""en"",""es-ES"")"),"Un hombre hace tiros en un bar.")</f>
        <v>Un hombre hace tiros en un bar.</v>
      </c>
    </row>
    <row r="5462">
      <c r="A5462" s="4" t="s">
        <v>6861</v>
      </c>
      <c r="B5462" s="4" t="s">
        <v>6864</v>
      </c>
      <c r="C5462" s="5" t="str">
        <f>IFERROR(__xludf.DUMMYFUNCTION("GOOGLETRANSLATE(B5462,""en"",""es-ES"")"),"Un hombre levanta un gran peso sobre sus hombros y también lo presiona sobre su cabeza.")</f>
        <v>Un hombre levanta un gran peso sobre sus hombros y también lo presiona sobre su cabeza.</v>
      </c>
    </row>
    <row r="5463">
      <c r="A5463" s="4" t="s">
        <v>6861</v>
      </c>
      <c r="B5463" s="4" t="s">
        <v>6865</v>
      </c>
      <c r="C5463" s="5" t="str">
        <f>IFERROR(__xludf.DUMMYFUNCTION("GOOGLETRANSLATE(B5463,""en"",""es-ES"")"),"Dos hombres corren juntos.")</f>
        <v>Dos hombres corren juntos.</v>
      </c>
    </row>
    <row r="5464">
      <c r="A5464" s="4" t="s">
        <v>6866</v>
      </c>
      <c r="B5464" s="4" t="s">
        <v>6867</v>
      </c>
      <c r="C5464" s="5" t="str">
        <f>IFERROR(__xludf.DUMMYFUNCTION("GOOGLETRANSLATE(B5464,""en"",""es-ES"")"),"Una bandera saluda en un poste en un campo.")</f>
        <v>Una bandera saluda en un poste en un campo.</v>
      </c>
    </row>
    <row r="5465">
      <c r="A5465" s="4" t="s">
        <v>6866</v>
      </c>
      <c r="B5465" s="4" t="s">
        <v>6868</v>
      </c>
      <c r="C5465" s="5" t="str">
        <f>IFERROR(__xludf.DUMMYFUNCTION("GOOGLETRANSLATE(B5465,""en"",""es-ES"")"),"Vemos a una mascota rodar una pelota al plato y caer cuando le devuelve y lo golpea.")</f>
        <v>Vemos a una mascota rodar una pelota al plato y caer cuando le devuelve y lo golpea.</v>
      </c>
    </row>
    <row r="5466">
      <c r="A5466" s="4" t="s">
        <v>6866</v>
      </c>
      <c r="B5466" s="4" t="s">
        <v>6869</v>
      </c>
      <c r="C5466" s="5" t="str">
        <f>IFERROR(__xludf.DUMMYFUNCTION("GOOGLETRANSLATE(B5466,""en"",""es-ES"")"),"Luego vemos a la mascota patear la pelota y correr un jonrón.")</f>
        <v>Luego vemos a la mascota patear la pelota y correr un jonrón.</v>
      </c>
    </row>
    <row r="5467">
      <c r="A5467" s="4" t="s">
        <v>6866</v>
      </c>
      <c r="B5467" s="4" t="s">
        <v>6870</v>
      </c>
      <c r="C5467" s="5" t="str">
        <f>IFERROR(__xludf.DUMMYFUNCTION("GOOGLETRANSLATE(B5467,""en"",""es-ES"")"),"La mascota corre y atrapa una pelota en el campo.")</f>
        <v>La mascota corre y atrapa una pelota en el campo.</v>
      </c>
    </row>
    <row r="5468">
      <c r="A5468" s="4" t="s">
        <v>6866</v>
      </c>
      <c r="B5468" s="4" t="s">
        <v>6871</v>
      </c>
      <c r="C5468" s="5" t="str">
        <f>IFERROR(__xludf.DUMMYFUNCTION("GOOGLETRANSLATE(B5468,""en"",""es-ES"")"),"La mascota es una línea de personas y golpes en el pecho al último hombre que lo derriba.")</f>
        <v>La mascota es una línea de personas y golpes en el pecho al último hombre que lo derriba.</v>
      </c>
    </row>
    <row r="5469">
      <c r="A5469" s="4" t="s">
        <v>6872</v>
      </c>
      <c r="B5469" s="4" t="s">
        <v>6873</v>
      </c>
      <c r="C5469" s="5" t="str">
        <f>IFERROR(__xludf.DUMMYFUNCTION("GOOGLETRANSLATE(B5469,""en"",""es-ES"")"),"Se muestra un primer plano de zapatillas de deporte, seguido por una persona que sostiene varios objetos y mezclándolos en un tazón.")</f>
        <v>Se muestra un primer plano de zapatillas de deporte, seguido por una persona que sostiene varios objetos y mezclándolos en un tazón.</v>
      </c>
    </row>
    <row r="5470">
      <c r="A5470" s="4" t="s">
        <v>6872</v>
      </c>
      <c r="B5470" s="4" t="s">
        <v>6874</v>
      </c>
      <c r="C5470" s="5" t="str">
        <f>IFERROR(__xludf.DUMMYFUNCTION("GOOGLETRANSLATE(B5470,""en"",""es-ES"")"),"Luego, la persona usa un cepillo de dientes alrededor del zapato con los ingredientes y muestra el zapato.")</f>
        <v>Luego, la persona usa un cepillo de dientes alrededor del zapato con los ingredientes y muestra el zapato.</v>
      </c>
    </row>
    <row r="5471">
      <c r="A5471" s="4" t="s">
        <v>6875</v>
      </c>
      <c r="B5471" s="4" t="s">
        <v>6876</v>
      </c>
      <c r="C5471" s="5" t="str">
        <f>IFERROR(__xludf.DUMMYFUNCTION("GOOGLETRANSLATE(B5471,""en"",""es-ES"")"),"Una persona explica sostener una raqueta y hacer movimientos con una raqueta en una cancha de tenis.")</f>
        <v>Una persona explica sostener una raqueta y hacer movimientos con una raqueta en una cancha de tenis.</v>
      </c>
    </row>
    <row r="5472">
      <c r="A5472" s="4" t="s">
        <v>6875</v>
      </c>
      <c r="B5472" s="4" t="s">
        <v>6877</v>
      </c>
      <c r="C5472" s="5" t="str">
        <f>IFERROR(__xludf.DUMMYFUNCTION("GOOGLETRANSLATE(B5472,""en"",""es-ES"")"),"Luego, un hombre con ropa negra sirve una pelota de tenis que se devuelve, y la envía de vuelta.")</f>
        <v>Luego, un hombre con ropa negra sirve una pelota de tenis que se devuelve, y la envía de vuelta.</v>
      </c>
    </row>
    <row r="5473">
      <c r="A5473" s="4" t="s">
        <v>6875</v>
      </c>
      <c r="B5473" s="4" t="s">
        <v>6878</v>
      </c>
      <c r="C5473" s="5" t="str">
        <f>IFERROR(__xludf.DUMMYFUNCTION("GOOGLETRANSLATE(B5473,""en"",""es-ES"")"),"Luego, la persona habla sosteniendo dos bolas, después de que el hombre sirve nuevamente y la persona habla.")</f>
        <v>Luego, la persona habla sosteniendo dos bolas, después de que el hombre sirve nuevamente y la persona habla.</v>
      </c>
    </row>
    <row r="5474">
      <c r="A5474" s="4" t="s">
        <v>6875</v>
      </c>
      <c r="B5474" s="4" t="s">
        <v>6879</v>
      </c>
      <c r="C5474" s="5" t="str">
        <f>IFERROR(__xludf.DUMMYFUNCTION("GOOGLETRANSLATE(B5474,""en"",""es-ES"")"),"Después, el hombre continúa hablando.")</f>
        <v>Después, el hombre continúa hablando.</v>
      </c>
    </row>
    <row r="5475">
      <c r="A5475" s="4" t="s">
        <v>6880</v>
      </c>
      <c r="B5475" s="4" t="s">
        <v>6881</v>
      </c>
      <c r="C5475" s="5" t="str">
        <f>IFERROR(__xludf.DUMMYFUNCTION("GOOGLETRANSLATE(B5475,""en"",""es-ES"")"),"Se ve a un portero en varios clips corriendo y cuarto y bloquear bolas por pasar.")</f>
        <v>Se ve a un portero en varios clips corriendo y cuarto y bloquear bolas por pasar.</v>
      </c>
    </row>
    <row r="5476">
      <c r="A5476" s="4" t="s">
        <v>6880</v>
      </c>
      <c r="B5476" s="4" t="s">
        <v>6882</v>
      </c>
      <c r="C5476" s="5" t="str">
        <f>IFERROR(__xludf.DUMMYFUNCTION("GOOGLETRANSLATE(B5476,""en"",""es-ES"")"),"El jugador continúa corriendo y cuarto mientras otro hombre se sienta frente a él.")</f>
        <v>El jugador continúa corriendo y cuarto mientras otro hombre se sienta frente a él.</v>
      </c>
    </row>
    <row r="5477">
      <c r="A5477" s="4" t="s">
        <v>6883</v>
      </c>
      <c r="B5477" s="4" t="s">
        <v>6884</v>
      </c>
      <c r="C5477" s="5" t="str">
        <f>IFERROR(__xludf.DUMMYFUNCTION("GOOGLETRANSLATE(B5477,""en"",""es-ES"")"),"Un joven pone un aceite de sartén, cebollas, tomates, hojas verdes y sal, luego mezcla para cocinar las verduras.")</f>
        <v>Un joven pone un aceite de sartén, cebollas, tomates, hojas verdes y sal, luego mezcla para cocinar las verduras.</v>
      </c>
    </row>
    <row r="5478">
      <c r="A5478" s="4" t="s">
        <v>6883</v>
      </c>
      <c r="B5478" s="4" t="s">
        <v>6885</v>
      </c>
      <c r="C5478" s="5" t="str">
        <f>IFERROR(__xludf.DUMMYFUNCTION("GOOGLETRANSLATE(B5478,""en"",""es-ES"")"),"Después, el hombre deja de lado las verduras y cocina una tortilla en la sartén.")</f>
        <v>Después, el hombre deja de lado las verduras y cocina una tortilla en la sartén.</v>
      </c>
    </row>
    <row r="5479">
      <c r="A5479" s="4" t="s">
        <v>6883</v>
      </c>
      <c r="B5479" s="4" t="s">
        <v>6886</v>
      </c>
      <c r="C5479" s="5" t="str">
        <f>IFERROR(__xludf.DUMMYFUNCTION("GOOGLETRANSLATE(B5479,""en"",""es-ES"")"),"Después, el hombre pone las verduras sobre la tortilla y la dobla, luego sirve la tortilla.")</f>
        <v>Después, el hombre pone las verduras sobre la tortilla y la dobla, luego sirve la tortilla.</v>
      </c>
    </row>
    <row r="5480">
      <c r="A5480" s="4" t="s">
        <v>6887</v>
      </c>
      <c r="B5480" s="4" t="s">
        <v>6888</v>
      </c>
      <c r="C5480" s="5" t="str">
        <f>IFERROR(__xludf.DUMMYFUNCTION("GOOGLETRANSLATE(B5480,""en"",""es-ES"")"),"Un gran grupo de soldados de la Marina se muestra en un muelle que juega un juego de tira y afloja.")</f>
        <v>Un gran grupo de soldados de la Marina se muestra en un muelle que juega un juego de tira y afloja.</v>
      </c>
    </row>
    <row r="5481">
      <c r="A5481" s="4" t="s">
        <v>6887</v>
      </c>
      <c r="B5481" s="4" t="s">
        <v>6889</v>
      </c>
      <c r="C5481" s="5" t="str">
        <f>IFERROR(__xludf.DUMMYFUNCTION("GOOGLETRANSLATE(B5481,""en"",""es-ES"")"),"En un lado de la cuerda hay un equipo que tira lo más fuerte que pueda mientras se animan.")</f>
        <v>En un lado de la cuerda hay un equipo que tira lo más fuerte que pueda mientras se animan.</v>
      </c>
    </row>
    <row r="5482">
      <c r="A5482" s="4" t="s">
        <v>6887</v>
      </c>
      <c r="B5482" s="4" t="s">
        <v>6890</v>
      </c>
      <c r="C5482" s="5" t="str">
        <f>IFERROR(__xludf.DUMMYFUNCTION("GOOGLETRANSLATE(B5482,""en"",""es-ES"")"),"Se muestra otro soldado de la Marina tomando fotos del juego.")</f>
        <v>Se muestra otro soldado de la Marina tomando fotos del juego.</v>
      </c>
    </row>
    <row r="5483">
      <c r="A5483" s="4" t="s">
        <v>6887</v>
      </c>
      <c r="B5483" s="4" t="s">
        <v>6891</v>
      </c>
      <c r="C5483" s="5" t="str">
        <f>IFERROR(__xludf.DUMMYFUNCTION("GOOGLETRANSLATE(B5483,""en"",""es-ES"")"),"Se muestra el otro lado de la cuerda.")</f>
        <v>Se muestra el otro lado de la cuerda.</v>
      </c>
    </row>
    <row r="5484">
      <c r="A5484" s="4" t="s">
        <v>6887</v>
      </c>
      <c r="B5484" s="4" t="s">
        <v>6892</v>
      </c>
      <c r="C5484" s="5" t="str">
        <f>IFERROR(__xludf.DUMMYFUNCTION("GOOGLETRANSLATE(B5484,""en"",""es-ES"")"),"Un equipo se detiene sobre una línea roja en el suelo, terminando el juego.")</f>
        <v>Un equipo se detiene sobre una línea roja en el suelo, terminando el juego.</v>
      </c>
    </row>
    <row r="5485">
      <c r="A5485" s="4" t="s">
        <v>6887</v>
      </c>
      <c r="B5485" s="4" t="s">
        <v>6893</v>
      </c>
      <c r="C5485" s="5" t="str">
        <f>IFERROR(__xludf.DUMMYFUNCTION("GOOGLETRANSLATE(B5485,""en"",""es-ES"")"),"Los hombres se ponen de pie para relajarse.")</f>
        <v>Los hombres se ponen de pie para relajarse.</v>
      </c>
    </row>
    <row r="5486">
      <c r="A5486" s="4" t="s">
        <v>6894</v>
      </c>
      <c r="B5486" s="4" t="s">
        <v>6895</v>
      </c>
      <c r="C5486" s="5" t="str">
        <f>IFERROR(__xludf.DUMMYFUNCTION("GOOGLETRANSLATE(B5486,""en"",""es-ES"")"),"Una introducción llega a la pantalla para una competencia femenina de levantamiento de pesas.")</f>
        <v>Una introducción llega a la pantalla para una competencia femenina de levantamiento de pesas.</v>
      </c>
    </row>
    <row r="5487">
      <c r="A5487" s="4" t="s">
        <v>6894</v>
      </c>
      <c r="B5487" s="4" t="s">
        <v>6896</v>
      </c>
      <c r="C5487" s="5" t="str">
        <f>IFERROR(__xludf.DUMMYFUNCTION("GOOGLETRANSLATE(B5487,""en"",""es-ES"")"),"Uno de los levantadores de pesas femeninos se muestra en la pantalla mientras pasa por varios niveles crecientes de ascensores uno por uno.")</f>
        <v>Uno de los levantadores de pesas femeninos se muestra en la pantalla mientras pasa por varios niveles crecientes de ascensores uno por uno.</v>
      </c>
    </row>
    <row r="5488">
      <c r="A5488" s="4" t="s">
        <v>6894</v>
      </c>
      <c r="B5488" s="4" t="s">
        <v>6897</v>
      </c>
      <c r="C5488" s="5" t="str">
        <f>IFERROR(__xludf.DUMMYFUNCTION("GOOGLETRANSLATE(B5488,""en"",""es-ES"")"),"Cuando finalmente alcanza un peso que es demasiado pesado para que ella se levante, deja el desafío.")</f>
        <v>Cuando finalmente alcanza un peso que es demasiado pesado para que ella se levante, deja el desafío.</v>
      </c>
    </row>
    <row r="5489">
      <c r="A5489" s="4" t="s">
        <v>6898</v>
      </c>
      <c r="B5489" s="4" t="s">
        <v>6899</v>
      </c>
      <c r="C5489" s="5" t="str">
        <f>IFERROR(__xludf.DUMMYFUNCTION("GOOGLETRANSLATE(B5489,""en"",""es-ES"")"),"Un hombre con camisa de polo se encuentra con una bicicleta en un estante y demuestra sus características diferentes en una tienda de bicicletas.")</f>
        <v>Un hombre con camisa de polo se encuentra con una bicicleta en un estante y demuestra sus características diferentes en una tienda de bicicletas.</v>
      </c>
    </row>
    <row r="5490">
      <c r="A5490" s="4" t="s">
        <v>6898</v>
      </c>
      <c r="B5490" s="4" t="s">
        <v>6900</v>
      </c>
      <c r="C5490" s="5" t="str">
        <f>IFERROR(__xludf.DUMMYFUNCTION("GOOGLETRANSLATE(B5490,""en"",""es-ES"")"),"El hombre saca una herramienta y hace un ajuste a la rueda dentada de la rueda y luego gira la rueda antes de ajustar más.")</f>
        <v>El hombre saca una herramienta y hace un ajuste a la rueda dentada de la rueda y luego gira la rueda antes de ajustar más.</v>
      </c>
    </row>
    <row r="5491">
      <c r="A5491" s="4" t="s">
        <v>6898</v>
      </c>
      <c r="B5491" s="4" t="s">
        <v>6901</v>
      </c>
      <c r="C5491" s="5" t="str">
        <f>IFERROR(__xludf.DUMMYFUNCTION("GOOGLETRANSLATE(B5491,""en"",""es-ES"")"),"El hombre ajusta una palanca de cambios en el manillar.")</f>
        <v>El hombre ajusta una palanca de cambios en el manillar.</v>
      </c>
    </row>
    <row r="5492">
      <c r="A5492" s="4" t="s">
        <v>6902</v>
      </c>
      <c r="B5492" s="4" t="s">
        <v>6903</v>
      </c>
      <c r="C5492" s="5" t="str">
        <f>IFERROR(__xludf.DUMMYFUNCTION("GOOGLETRANSLATE(B5492,""en"",""es-ES"")"),"Un hombre está planchando una camisa en una tabla de planchar.")</f>
        <v>Un hombre está planchando una camisa en una tabla de planchar.</v>
      </c>
    </row>
    <row r="5493">
      <c r="A5493" s="4" t="s">
        <v>6902</v>
      </c>
      <c r="B5493" s="4" t="s">
        <v>6904</v>
      </c>
      <c r="C5493" s="5" t="str">
        <f>IFERROR(__xludf.DUMMYFUNCTION("GOOGLETRANSLATE(B5493,""en"",""es-ES"")"),"Se muestran bolsas sentadas en la cama.")</f>
        <v>Se muestran bolsas sentadas en la cama.</v>
      </c>
    </row>
    <row r="5494">
      <c r="A5494" s="4" t="s">
        <v>6905</v>
      </c>
      <c r="B5494" s="4" t="s">
        <v>6906</v>
      </c>
      <c r="C5494" s="5" t="str">
        <f>IFERROR(__xludf.DUMMYFUNCTION("GOOGLETRANSLATE(B5494,""en"",""es-ES"")"),"Se ve a un pequeño grupo de personas nadando alrededor de la pared mientras la cámara se mueve y las observa.")</f>
        <v>Se ve a un pequeño grupo de personas nadando alrededor de la pared mientras la cámara se mueve y las observa.</v>
      </c>
    </row>
    <row r="5495">
      <c r="A5495" s="4" t="s">
        <v>6905</v>
      </c>
      <c r="B5495" s="4" t="s">
        <v>6907</v>
      </c>
      <c r="C5495" s="5" t="str">
        <f>IFERROR(__xludf.DUMMYFUNCTION("GOOGLETRANSLATE(B5495,""en"",""es-ES"")"),"Los niños continúan moviéndose alrededor del agua mientras los adultos también pasan.")</f>
        <v>Los niños continúan moviéndose alrededor del agua mientras los adultos también pasan.</v>
      </c>
    </row>
    <row r="5496">
      <c r="A5496" s="4" t="s">
        <v>6905</v>
      </c>
      <c r="B5496" s="4" t="s">
        <v>6908</v>
      </c>
      <c r="C5496" s="5" t="str">
        <f>IFERROR(__xludf.DUMMYFUNCTION("GOOGLETRANSLATE(B5496,""en"",""es-ES"")"),"Se muestran más disparos de niños jugando en la arena.")</f>
        <v>Se muestran más disparos de niños jugando en la arena.</v>
      </c>
    </row>
    <row r="5497">
      <c r="A5497" s="4" t="s">
        <v>6909</v>
      </c>
      <c r="B5497" s="4" t="s">
        <v>6910</v>
      </c>
      <c r="C5497" s="5" t="str">
        <f>IFERROR(__xludf.DUMMYFUNCTION("GOOGLETRANSLATE(B5497,""en"",""es-ES"")"),"El video que se filma horizontalmente muestra a varias personas Windsurf en el océano en un día soleado.")</f>
        <v>El video que se filma horizontalmente muestra a varias personas Windsurf en el océano en un día soleado.</v>
      </c>
    </row>
    <row r="5498">
      <c r="A5498" s="4" t="s">
        <v>6909</v>
      </c>
      <c r="B5498" s="4" t="s">
        <v>6911</v>
      </c>
      <c r="C5498" s="5" t="str">
        <f>IFERROR(__xludf.DUMMYFUNCTION("GOOGLETRANSLATE(B5498,""en"",""es-ES"")"),"Uno de los surfistas va a una velocidad muy alta contra las olas.")</f>
        <v>Uno de los surfistas va a una velocidad muy alta contra las olas.</v>
      </c>
    </row>
    <row r="5499">
      <c r="A5499" s="4" t="s">
        <v>6909</v>
      </c>
      <c r="B5499" s="4" t="s">
        <v>6912</v>
      </c>
      <c r="C5499" s="5" t="str">
        <f>IFERROR(__xludf.DUMMYFUNCTION("GOOGLETRANSLATE(B5499,""en"",""es-ES"")"),"Un surfista en un surf naranja tiene una velocidad máxima y pierde el control y cae en el agua.")</f>
        <v>Un surfista en un surf naranja tiene una velocidad máxima y pierde el control y cae en el agua.</v>
      </c>
    </row>
    <row r="5500">
      <c r="A5500" s="4" t="s">
        <v>6909</v>
      </c>
      <c r="B5500" s="4" t="s">
        <v>6913</v>
      </c>
      <c r="C5500" s="5" t="str">
        <f>IFERROR(__xludf.DUMMYFUNCTION("GOOGLETRANSLATE(B5500,""en"",""es-ES"")"),"El surfista con velas azules logra permanecer a bordo mientras surfe en el océano.")</f>
        <v>El surfista con velas azules logra permanecer a bordo mientras surfe en el océano.</v>
      </c>
    </row>
    <row r="5501">
      <c r="A5501" s="4" t="s">
        <v>6914</v>
      </c>
      <c r="B5501" s="4" t="s">
        <v>6915</v>
      </c>
      <c r="C5501" s="5" t="str">
        <f>IFERROR(__xludf.DUMMYFUNCTION("GOOGLETRANSLATE(B5501,""en"",""es-ES"")"),"Se ve a una mujer mayor sentada antes de una batería tocando un juego de batería.")</f>
        <v>Se ve a una mujer mayor sentada antes de una batería tocando un juego de batería.</v>
      </c>
    </row>
    <row r="5502">
      <c r="A5502" s="4" t="s">
        <v>6914</v>
      </c>
      <c r="B5502" s="4" t="s">
        <v>6916</v>
      </c>
      <c r="C5502" s="5" t="str">
        <f>IFERROR(__xludf.DUMMYFUNCTION("GOOGLETRANSLATE(B5502,""en"",""es-ES"")"),"Ella gira los tambores a través de las puntas de sus dedos y continúa tocando el instrumento mientras la cámara la captura.")</f>
        <v>Ella gira los tambores a través de las puntas de sus dedos y continúa tocando el instrumento mientras la cámara la captura.</v>
      </c>
    </row>
    <row r="5503">
      <c r="A5503" s="4" t="s">
        <v>6917</v>
      </c>
      <c r="B5503" s="4" t="s">
        <v>6918</v>
      </c>
      <c r="C5503" s="5" t="str">
        <f>IFERROR(__xludf.DUMMYFUNCTION("GOOGLETRANSLATE(B5503,""en"",""es-ES"")"),"Un hombre realiza un salto de altura con un poste, salta sobre tres líneas horizontales que toca dos de ellas.")</f>
        <v>Un hombre realiza un salto de altura con un poste, salta sobre tres líneas horizontales que toca dos de ellas.</v>
      </c>
    </row>
    <row r="5504">
      <c r="A5504" s="4" t="s">
        <v>6917</v>
      </c>
      <c r="B5504" s="4" t="s">
        <v>6919</v>
      </c>
      <c r="C5504" s="5" t="str">
        <f>IFERROR(__xludf.DUMMYFUNCTION("GOOGLETRANSLATE(B5504,""en"",""es-ES"")"),"El hombre intenta saltar más alto que mientras salta con el poste.")</f>
        <v>El hombre intenta saltar más alto que mientras salta con el poste.</v>
      </c>
    </row>
    <row r="5505">
      <c r="A5505" s="4" t="s">
        <v>6917</v>
      </c>
      <c r="B5505" s="4" t="s">
        <v>6920</v>
      </c>
      <c r="C5505" s="5" t="str">
        <f>IFERROR(__xludf.DUMMYFUNCTION("GOOGLETRANSLATE(B5505,""en"",""es-ES"")"),"Nuevamente, el hombre intenta saltar más alto, pero hace que el otoño sea la línea horizontal.")</f>
        <v>Nuevamente, el hombre intenta saltar más alto, pero hace que el otoño sea la línea horizontal.</v>
      </c>
    </row>
    <row r="5506">
      <c r="A5506" s="4" t="s">
        <v>6921</v>
      </c>
      <c r="B5506" s="4" t="s">
        <v>6922</v>
      </c>
      <c r="C5506" s="5" t="str">
        <f>IFERROR(__xludf.DUMMYFUNCTION("GOOGLETRANSLATE(B5506,""en"",""es-ES"")"),"Vemos a un hombre sentado en un sofá.")</f>
        <v>Vemos a un hombre sentado en un sofá.</v>
      </c>
    </row>
    <row r="5507">
      <c r="A5507" s="4" t="s">
        <v>6921</v>
      </c>
      <c r="B5507" s="4" t="s">
        <v>6923</v>
      </c>
      <c r="C5507" s="5" t="str">
        <f>IFERROR(__xludf.DUMMYFUNCTION("GOOGLETRANSLATE(B5507,""en"",""es-ES"")"),"El hombre está jugando la gaita.")</f>
        <v>El hombre está jugando la gaita.</v>
      </c>
    </row>
    <row r="5508">
      <c r="A5508" s="4" t="s">
        <v>6921</v>
      </c>
      <c r="B5508" s="4" t="s">
        <v>6924</v>
      </c>
      <c r="C5508" s="5" t="str">
        <f>IFERROR(__xludf.DUMMYFUNCTION("GOOGLETRANSLATE(B5508,""en"",""es-ES"")"),"El hombre se ríe y deja de jugar.")</f>
        <v>El hombre se ríe y deja de jugar.</v>
      </c>
    </row>
    <row r="5509">
      <c r="A5509" s="4" t="s">
        <v>6921</v>
      </c>
      <c r="B5509" s="4" t="s">
        <v>6925</v>
      </c>
      <c r="C5509" s="5" t="str">
        <f>IFERROR(__xludf.DUMMYFUNCTION("GOOGLETRANSLATE(B5509,""en"",""es-ES"")"),"El hombre comienza a jugar la gaita nuevamente.")</f>
        <v>El hombre comienza a jugar la gaita nuevamente.</v>
      </c>
    </row>
    <row r="5510">
      <c r="A5510" s="4" t="s">
        <v>6921</v>
      </c>
      <c r="B5510" s="4" t="s">
        <v>6926</v>
      </c>
      <c r="C5510" s="5" t="str">
        <f>IFERROR(__xludf.DUMMYFUNCTION("GOOGLETRANSLATE(B5510,""en"",""es-ES"")"),"El hombre se ríe con fuerza de nuevo.")</f>
        <v>El hombre se ríe con fuerza de nuevo.</v>
      </c>
    </row>
    <row r="5511">
      <c r="A5511" s="4" t="s">
        <v>6921</v>
      </c>
      <c r="B5511" s="4" t="s">
        <v>6927</v>
      </c>
      <c r="C5511" s="5" t="str">
        <f>IFERROR(__xludf.DUMMYFUNCTION("GOOGLETRANSLATE(B5511,""en"",""es-ES"")"),"El hombre deja de tocar la gaita.")</f>
        <v>El hombre deja de tocar la gaita.</v>
      </c>
    </row>
    <row r="5512">
      <c r="A5512" s="4" t="s">
        <v>6921</v>
      </c>
      <c r="B5512" s="4" t="s">
        <v>6928</v>
      </c>
      <c r="C5512" s="5" t="str">
        <f>IFERROR(__xludf.DUMMYFUNCTION("GOOGLETRANSLATE(B5512,""en"",""es-ES"")"),"El hombre agita su mano frente a la cámara.")</f>
        <v>El hombre agita su mano frente a la cámara.</v>
      </c>
    </row>
    <row r="5513">
      <c r="A5513" s="4" t="s">
        <v>6929</v>
      </c>
      <c r="B5513" s="4" t="s">
        <v>6930</v>
      </c>
      <c r="C5513" s="5" t="str">
        <f>IFERROR(__xludf.DUMMYFUNCTION("GOOGLETRANSLATE(B5513,""en"",""es-ES"")"),"Una mujer está afuera paleando con un robohandle.")</f>
        <v>Una mujer está afuera paleando con un robohandle.</v>
      </c>
    </row>
    <row r="5514">
      <c r="A5514" s="4" t="s">
        <v>6929</v>
      </c>
      <c r="B5514" s="4" t="s">
        <v>6931</v>
      </c>
      <c r="C5514" s="5" t="str">
        <f>IFERROR(__xludf.DUMMYFUNCTION("GOOGLETRANSLATE(B5514,""en"",""es-ES"")"),"Está haciendo que el proceso sea mucho más rápido porque es un tamaño decente y recoge mucha nieve a la vez.")</f>
        <v>Está haciendo que el proceso sea mucho más rápido porque es un tamaño decente y recoge mucha nieve a la vez.</v>
      </c>
    </row>
    <row r="5515">
      <c r="A5515" s="4" t="s">
        <v>6929</v>
      </c>
      <c r="B5515" s="4" t="s">
        <v>6932</v>
      </c>
      <c r="C5515" s="5" t="str">
        <f>IFERROR(__xludf.DUMMYFUNCTION("GOOGLETRANSLATE(B5515,""en"",""es-ES"")"),"Ella está progresando mucho en una ventana tan pequeña usando este robo de nieve.")</f>
        <v>Ella está progresando mucho en una ventana tan pequeña usando este robo de nieve.</v>
      </c>
    </row>
    <row r="5516">
      <c r="A5516" s="4" t="s">
        <v>6929</v>
      </c>
      <c r="B5516" s="4" t="s">
        <v>6933</v>
      </c>
      <c r="C5516" s="5" t="str">
        <f>IFERROR(__xludf.DUMMYFUNCTION("GOOGLETRANSLATE(B5516,""en"",""es-ES"")"),"Sin embargo, el mango honestamente parece dos grandes palas.")</f>
        <v>Sin embargo, el mango honestamente parece dos grandes palas.</v>
      </c>
    </row>
    <row r="5517">
      <c r="A5517" s="4" t="s">
        <v>6934</v>
      </c>
      <c r="B5517" s="4" t="s">
        <v>6935</v>
      </c>
      <c r="C5517" s="5" t="str">
        <f>IFERROR(__xludf.DUMMYFUNCTION("GOOGLETRANSLATE(B5517,""en"",""es-ES"")"),"El texto aparece en la pantalla brevemente.")</f>
        <v>El texto aparece en la pantalla brevemente.</v>
      </c>
    </row>
    <row r="5518">
      <c r="A5518" s="4" t="s">
        <v>6934</v>
      </c>
      <c r="B5518" s="4" t="s">
        <v>6936</v>
      </c>
      <c r="C5518" s="5" t="str">
        <f>IFERROR(__xludf.DUMMYFUNCTION("GOOGLETRANSLATE(B5518,""en"",""es-ES"")"),"Un elefante pasa por una vaca.")</f>
        <v>Un elefante pasa por una vaca.</v>
      </c>
    </row>
    <row r="5519">
      <c r="A5519" s="4" t="s">
        <v>6934</v>
      </c>
      <c r="B5519" s="4" t="s">
        <v>6937</v>
      </c>
      <c r="C5519" s="5" t="str">
        <f>IFERROR(__xludf.DUMMYFUNCTION("GOOGLETRANSLATE(B5519,""en"",""es-ES"")"),"La gente está en un tubo en un río.")</f>
        <v>La gente está en un tubo en un río.</v>
      </c>
    </row>
    <row r="5520">
      <c r="A5520" s="4" t="s">
        <v>6938</v>
      </c>
      <c r="B5520" s="4" t="s">
        <v>6939</v>
      </c>
      <c r="C5520" s="5" t="str">
        <f>IFERROR(__xludf.DUMMYFUNCTION("GOOGLETRANSLATE(B5520,""en"",""es-ES"")"),"La gente baila en una pista de baile en una boda.")</f>
        <v>La gente baila en una pista de baile en una boda.</v>
      </c>
    </row>
    <row r="5521">
      <c r="A5521" s="4" t="s">
        <v>6938</v>
      </c>
      <c r="B5521" s="4" t="s">
        <v>6940</v>
      </c>
      <c r="C5521" s="5" t="str">
        <f>IFERROR(__xludf.DUMMYFUNCTION("GOOGLETRANSLATE(B5521,""en"",""es-ES"")"),"Una mujer con un vestido de novia está bailando con un hombre con un esmoquin.")</f>
        <v>Una mujer con un vestido de novia está bailando con un hombre con un esmoquin.</v>
      </c>
    </row>
    <row r="5522">
      <c r="A5522" s="4" t="s">
        <v>6938</v>
      </c>
      <c r="B5522" s="4" t="s">
        <v>6941</v>
      </c>
      <c r="C5522" s="5" t="str">
        <f>IFERROR(__xludf.DUMMYFUNCTION("GOOGLETRANSLATE(B5522,""en"",""es-ES"")"),"Un hombre con una camisa morada está bailando con una mujer.")</f>
        <v>Un hombre con una camisa morada está bailando con una mujer.</v>
      </c>
    </row>
    <row r="5523">
      <c r="A5523" s="4" t="s">
        <v>6942</v>
      </c>
      <c r="B5523" s="4" t="s">
        <v>6943</v>
      </c>
      <c r="C5523" s="5" t="str">
        <f>IFERROR(__xludf.DUMMYFUNCTION("GOOGLETRANSLATE(B5523,""en"",""es-ES"")"),"La gente se prepara para una carrera de bicicletas BMX.")</f>
        <v>La gente se prepara para una carrera de bicicletas BMX.</v>
      </c>
    </row>
    <row r="5524">
      <c r="A5524" s="4" t="s">
        <v>6942</v>
      </c>
      <c r="B5524" s="4" t="s">
        <v>6944</v>
      </c>
      <c r="C5524" s="5" t="str">
        <f>IFERROR(__xludf.DUMMYFUNCTION("GOOGLETRANSLATE(B5524,""en"",""es-ES"")"),"Una persona se alinea y luego se va.")</f>
        <v>Una persona se alinea y luego se va.</v>
      </c>
    </row>
    <row r="5525">
      <c r="A5525" s="4" t="s">
        <v>6945</v>
      </c>
      <c r="B5525" s="4" t="s">
        <v>6946</v>
      </c>
      <c r="C5525" s="5" t="str">
        <f>IFERROR(__xludf.DUMMYFUNCTION("GOOGLETRANSLATE(B5525,""en"",""es-ES"")"),"Una niña con una camisa amarilla se está cepillando los dientes en un baño.")</f>
        <v>Una niña con una camisa amarilla se está cepillando los dientes en un baño.</v>
      </c>
    </row>
    <row r="5526">
      <c r="A5526" s="4" t="s">
        <v>6945</v>
      </c>
      <c r="B5526" s="4" t="s">
        <v>6947</v>
      </c>
      <c r="C5526" s="5" t="str">
        <f>IFERROR(__xludf.DUMMYFUNCTION("GOOGLETRANSLATE(B5526,""en"",""es-ES"")"),"Una chica junto a ella con una camisa azul también se está cepillando los dientes.")</f>
        <v>Una chica junto a ella con una camisa azul también se está cepillando los dientes.</v>
      </c>
    </row>
    <row r="5527">
      <c r="A5527" s="4" t="s">
        <v>6945</v>
      </c>
      <c r="B5527" s="4" t="s">
        <v>6948</v>
      </c>
      <c r="C5527" s="5" t="str">
        <f>IFERROR(__xludf.DUMMYFUNCTION("GOOGLETRANSLATE(B5527,""en"",""es-ES"")"),"Ambos miran en el espejo.")</f>
        <v>Ambos miran en el espejo.</v>
      </c>
    </row>
    <row r="5528">
      <c r="A5528" s="4" t="s">
        <v>6949</v>
      </c>
      <c r="B5528" s="4" t="s">
        <v>6950</v>
      </c>
      <c r="C5528" s="5" t="str">
        <f>IFERROR(__xludf.DUMMYFUNCTION("GOOGLETRANSLATE(B5528,""en"",""es-ES"")"),"Una mujer rápidamente viaja en una bicicleta reclinada en la cocina.")</f>
        <v>Una mujer rápidamente viaja en una bicicleta reclinada en la cocina.</v>
      </c>
    </row>
    <row r="5529">
      <c r="A5529" s="4" t="s">
        <v>6949</v>
      </c>
      <c r="B5529" s="4" t="s">
        <v>6951</v>
      </c>
      <c r="C5529" s="5" t="str">
        <f>IFERROR(__xludf.DUMMYFUNCTION("GOOGLETRANSLATE(B5529,""en"",""es-ES"")"),"Ella se sienta junto a la estufa, agrietando los huevos en una sartén y haciendo una tortilla mientras viaja.")</f>
        <v>Ella se sienta junto a la estufa, agrietando los huevos en una sartén y haciendo una tortilla mientras viaja.</v>
      </c>
    </row>
    <row r="5530">
      <c r="A5530" s="4" t="s">
        <v>6949</v>
      </c>
      <c r="B5530" s="4" t="s">
        <v>6952</v>
      </c>
      <c r="C5530" s="5" t="str">
        <f>IFERROR(__xludf.DUMMYFUNCTION("GOOGLETRANSLATE(B5530,""en"",""es-ES"")"),"Ella revuelve el huevo, luego lo placa mientras sigue monta.")</f>
        <v>Ella revuelve el huevo, luego lo placa mientras sigue monta.</v>
      </c>
    </row>
    <row r="5531">
      <c r="A5531" s="4" t="s">
        <v>6949</v>
      </c>
      <c r="B5531" s="4" t="s">
        <v>6953</v>
      </c>
      <c r="C5531" s="5" t="str">
        <f>IFERROR(__xludf.DUMMYFUNCTION("GOOGLETRANSLATE(B5531,""en"",""es-ES"")"),"Luego come mientras continúa montando.")</f>
        <v>Luego come mientras continúa montando.</v>
      </c>
    </row>
    <row r="5532">
      <c r="A5532" s="4" t="s">
        <v>6954</v>
      </c>
      <c r="B5532" s="4" t="s">
        <v>6955</v>
      </c>
      <c r="C5532" s="5" t="str">
        <f>IFERROR(__xludf.DUMMYFUNCTION("GOOGLETRANSLATE(B5532,""en"",""es-ES"")"),"Se ve a una mujer arrodillada en una estera en un patio trasero y lo lleva a doblarse hacia atrás con sus manos.")</f>
        <v>Se ve a una mujer arrodillada en una estera en un patio trasero y lo lleva a doblarse hacia atrás con sus manos.</v>
      </c>
    </row>
    <row r="5533">
      <c r="A5533" s="4" t="s">
        <v>6954</v>
      </c>
      <c r="B5533" s="4" t="s">
        <v>6956</v>
      </c>
      <c r="C5533" s="5" t="str">
        <f>IFERROR(__xludf.DUMMYFUNCTION("GOOGLETRANSLATE(B5533,""en"",""es-ES"")"),"Luego baja las manos en el suelo mientras continúa mirando hacia arriba.")</f>
        <v>Luego baja las manos en el suelo mientras continúa mirando hacia arriba.</v>
      </c>
    </row>
    <row r="5534">
      <c r="A5534" s="4" t="s">
        <v>6957</v>
      </c>
      <c r="B5534" s="4" t="s">
        <v>6958</v>
      </c>
      <c r="C5534" s="5" t="str">
        <f>IFERROR(__xludf.DUMMYFUNCTION("GOOGLETRANSLATE(B5534,""en"",""es-ES"")"),"Vemos una pantalla de apertura blanca.")</f>
        <v>Vemos una pantalla de apertura blanca.</v>
      </c>
    </row>
    <row r="5535">
      <c r="A5535" s="4" t="s">
        <v>6957</v>
      </c>
      <c r="B5535" s="4" t="s">
        <v>6959</v>
      </c>
      <c r="C5535" s="5" t="str">
        <f>IFERROR(__xludf.DUMMYFUNCTION("GOOGLETRANSLATE(B5535,""en"",""es-ES"")"),"Vemos a una dama planchando una camisa en una tabla de planchar y hablando con la cámara.")</f>
        <v>Vemos a una dama planchando una camisa en una tabla de planchar y hablando con la cámara.</v>
      </c>
    </row>
    <row r="5536">
      <c r="A5536" s="4" t="s">
        <v>6957</v>
      </c>
      <c r="B5536" s="4" t="s">
        <v>6960</v>
      </c>
      <c r="C5536" s="5" t="str">
        <f>IFERROR(__xludf.DUMMYFUNCTION("GOOGLETRANSLATE(B5536,""en"",""es-ES"")"),"La señora hierba una manga.")</f>
        <v>La señora hierba una manga.</v>
      </c>
    </row>
    <row r="5537">
      <c r="A5537" s="4" t="s">
        <v>6957</v>
      </c>
      <c r="B5537" s="4" t="s">
        <v>6961</v>
      </c>
      <c r="C5537" s="5" t="str">
        <f>IFERROR(__xludf.DUMMYFUNCTION("GOOGLETRANSLATE(B5537,""en"",""es-ES"")"),"La dama deja la parte posterior de la camisa.")</f>
        <v>La dama deja la parte posterior de la camisa.</v>
      </c>
    </row>
    <row r="5538">
      <c r="A5538" s="4" t="s">
        <v>6957</v>
      </c>
      <c r="B5538" s="4" t="s">
        <v>6962</v>
      </c>
      <c r="C5538" s="5" t="str">
        <f>IFERROR(__xludf.DUMMYFUNCTION("GOOGLETRANSLATE(B5538,""en"",""es-ES"")"),"La señora termina y sostiene la camisa.")</f>
        <v>La señora termina y sostiene la camisa.</v>
      </c>
    </row>
    <row r="5539">
      <c r="A5539" s="4" t="s">
        <v>6957</v>
      </c>
      <c r="B5539" s="4" t="s">
        <v>6963</v>
      </c>
      <c r="C5539" s="5" t="str">
        <f>IFERROR(__xludf.DUMMYFUNCTION("GOOGLETRANSLATE(B5539,""en"",""es-ES"")"),"Vemos una pantalla de cierre de título brillante.")</f>
        <v>Vemos una pantalla de cierre de título brillante.</v>
      </c>
    </row>
    <row r="5540">
      <c r="A5540" s="4" t="s">
        <v>6964</v>
      </c>
      <c r="B5540" s="4" t="s">
        <v>6965</v>
      </c>
      <c r="C5540" s="5" t="str">
        <f>IFERROR(__xludf.DUMMYFUNCTION("GOOGLETRANSLATE(B5540,""en"",""es-ES"")"),"Vemos la pantalla del título de Howcast.")</f>
        <v>Vemos la pantalla del título de Howcast.</v>
      </c>
    </row>
    <row r="5541">
      <c r="A5541" s="4" t="s">
        <v>6964</v>
      </c>
      <c r="B5541" s="4" t="s">
        <v>6966</v>
      </c>
      <c r="C5541" s="5" t="str">
        <f>IFERROR(__xludf.DUMMYFUNCTION("GOOGLETRANSLATE(B5541,""en"",""es-ES"")"),"Una dama está parada en una sala blanca hablando con la cámara.")</f>
        <v>Una dama está parada en una sala blanca hablando con la cámara.</v>
      </c>
    </row>
    <row r="5542">
      <c r="A5542" s="4" t="s">
        <v>6964</v>
      </c>
      <c r="B5542" s="4" t="s">
        <v>6967</v>
      </c>
      <c r="C5542" s="5" t="str">
        <f>IFERROR(__xludf.DUMMYFUNCTION("GOOGLETRANSLATE(B5542,""en"",""es-ES"")"),"La dama nos muestra a bailar el vientre bailando.")</f>
        <v>La dama nos muestra a bailar el vientre bailando.</v>
      </c>
    </row>
    <row r="5543">
      <c r="A5543" s="4" t="s">
        <v>6964</v>
      </c>
      <c r="B5543" s="4" t="s">
        <v>6968</v>
      </c>
      <c r="C5543" s="5" t="str">
        <f>IFERROR(__xludf.DUMMYFUNCTION("GOOGLETRANSLATE(B5543,""en"",""es-ES"")"),"Ella se mueve hacia ella justo y luego levanta las caderas mientras baila el vientre.")</f>
        <v>Ella se mueve hacia ella justo y luego levanta las caderas mientras baila el vientre.</v>
      </c>
    </row>
    <row r="5544">
      <c r="A5544" s="4" t="s">
        <v>6964</v>
      </c>
      <c r="B5544" s="4" t="s">
        <v>6969</v>
      </c>
      <c r="C5544" s="5" t="str">
        <f>IFERROR(__xludf.DUMMYFUNCTION("GOOGLETRANSLATE(B5544,""en"",""es-ES"")"),"La señora muestra cómo levantar las caderas una a la vez.")</f>
        <v>La señora muestra cómo levantar las caderas una a la vez.</v>
      </c>
    </row>
    <row r="5545">
      <c r="A5545" s="4" t="s">
        <v>6964</v>
      </c>
      <c r="B5545" s="4" t="s">
        <v>6970</v>
      </c>
      <c r="C5545" s="5" t="str">
        <f>IFERROR(__xludf.DUMMYFUNCTION("GOOGLETRANSLATE(B5545,""en"",""es-ES"")"),"Ella le acaricia la cabeza y sacude las caderas más rápido.")</f>
        <v>Ella le acaricia la cabeza y sacude las caderas más rápido.</v>
      </c>
    </row>
    <row r="5546">
      <c r="A5546" s="4" t="s">
        <v>6964</v>
      </c>
      <c r="B5546" s="4" t="s">
        <v>6971</v>
      </c>
      <c r="C5546" s="5" t="str">
        <f>IFERROR(__xludf.DUMMYFUNCTION("GOOGLETRANSLATE(B5546,""en"",""es-ES"")"),"La señora sacude las caderas más rápido y agita los brazos sobre su cabeza.")</f>
        <v>La señora sacude las caderas más rápido y agita los brazos sobre su cabeza.</v>
      </c>
    </row>
    <row r="5547">
      <c r="A5547" s="4" t="s">
        <v>6964</v>
      </c>
      <c r="B5547" s="4" t="s">
        <v>6972</v>
      </c>
      <c r="C5547" s="5" t="str">
        <f>IFERROR(__xludf.DUMMYFUNCTION("GOOGLETRANSLATE(B5547,""en"",""es-ES"")"),"Ella deja de bailar y se detiene.")</f>
        <v>Ella deja de bailar y se detiene.</v>
      </c>
    </row>
    <row r="5548">
      <c r="A5548" s="4" t="s">
        <v>6964</v>
      </c>
      <c r="B5548" s="4" t="s">
        <v>6973</v>
      </c>
      <c r="C5548" s="5" t="str">
        <f>IFERROR(__xludf.DUMMYFUNCTION("GOOGLETRANSLATE(B5548,""en"",""es-ES"")"),"Los créditos finales se cargan en la pantalla.")</f>
        <v>Los créditos finales se cargan en la pantalla.</v>
      </c>
    </row>
    <row r="5549">
      <c r="A5549" s="4" t="s">
        <v>6974</v>
      </c>
      <c r="B5549" s="4" t="s">
        <v>6975</v>
      </c>
      <c r="C5549" s="5" t="str">
        <f>IFERROR(__xludf.DUMMYFUNCTION("GOOGLETRANSLATE(B5549,""en"",""es-ES"")"),"Una gimnasta actúa en las barras desiguales, mientras que los espectadores miran la actuación.")</f>
        <v>Una gimnasta actúa en las barras desiguales, mientras que los espectadores miran la actuación.</v>
      </c>
    </row>
    <row r="5550">
      <c r="A5550" s="4" t="s">
        <v>6974</v>
      </c>
      <c r="B5550" s="4" t="s">
        <v>6976</v>
      </c>
      <c r="C5550" s="5" t="str">
        <f>IFERROR(__xludf.DUMMYFUNCTION("GOOGLETRANSLATE(B5550,""en"",""es-ES"")"),"La gimnasta finaliza la actuación y la gran audiencia, y luego se une a sus amigos para esperar la partitura.")</f>
        <v>La gimnasta finaliza la actuación y la gran audiencia, y luego se une a sus amigos para esperar la partitura.</v>
      </c>
    </row>
    <row r="5551">
      <c r="A5551" s="4" t="s">
        <v>6974</v>
      </c>
      <c r="B5551" s="4" t="s">
        <v>6977</v>
      </c>
      <c r="C5551" s="5" t="str">
        <f>IFERROR(__xludf.DUMMYFUNCTION("GOOGLETRANSLATE(B5551,""en"",""es-ES"")"),"Una mujer mira a la gimnasta y aplaude.")</f>
        <v>Una mujer mira a la gimnasta y aplaude.</v>
      </c>
    </row>
    <row r="5552">
      <c r="A5552" s="4" t="s">
        <v>6978</v>
      </c>
      <c r="B5552" s="4" t="s">
        <v>6979</v>
      </c>
      <c r="C5552" s="5" t="str">
        <f>IFERROR(__xludf.DUMMYFUNCTION("GOOGLETRANSLATE(B5552,""en"",""es-ES"")"),"Un levantador de pesas está en un gimnasio, y levanta una barra.")</f>
        <v>Un levantador de pesas está en un gimnasio, y levanta una barra.</v>
      </c>
    </row>
    <row r="5553">
      <c r="A5553" s="4" t="s">
        <v>6978</v>
      </c>
      <c r="B5553" s="4" t="s">
        <v>6980</v>
      </c>
      <c r="C5553" s="5" t="str">
        <f>IFERROR(__xludf.DUMMYFUNCTION("GOOGLETRANSLATE(B5553,""en"",""es-ES"")"),"Lo levanta sobre su cabeza, luego lo deja caer al suelo antes de alejarse.")</f>
        <v>Lo levanta sobre su cabeza, luego lo deja caer al suelo antes de alejarse.</v>
      </c>
    </row>
    <row r="5554">
      <c r="A5554" s="4" t="s">
        <v>6981</v>
      </c>
      <c r="B5554" s="4" t="s">
        <v>6982</v>
      </c>
      <c r="C5554" s="5" t="str">
        <f>IFERROR(__xludf.DUMMYFUNCTION("GOOGLETRANSLATE(B5554,""en"",""es-ES"")"),"Se ve un primer plano de varios autos que conduce a una persona que limpia los autos.")</f>
        <v>Se ve un primer plano de varios autos que conduce a una persona que limpia los autos.</v>
      </c>
    </row>
    <row r="5555">
      <c r="A5555" s="4" t="s">
        <v>6981</v>
      </c>
      <c r="B5555" s="4" t="s">
        <v>6983</v>
      </c>
      <c r="C5555" s="5" t="str">
        <f>IFERROR(__xludf.DUMMYFUNCTION("GOOGLETRANSLATE(B5555,""en"",""es-ES"")"),"La persona limpia la parte delantera de los autos con un trapo que incluye a lo largo de los neumáticos.")</f>
        <v>La persona limpia la parte delantera de los autos con un trapo que incluye a lo largo de los neumáticos.</v>
      </c>
    </row>
    <row r="5556">
      <c r="A5556" s="4" t="s">
        <v>6981</v>
      </c>
      <c r="B5556" s="4" t="s">
        <v>6984</v>
      </c>
      <c r="C5556" s="5" t="str">
        <f>IFERROR(__xludf.DUMMYFUNCTION("GOOGLETRANSLATE(B5556,""en"",""es-ES"")"),"Los autos se muestran alineados después y se muestran todos limpios.")</f>
        <v>Los autos se muestran alineados después y se muestran todos limpios.</v>
      </c>
    </row>
    <row r="5557">
      <c r="A5557" s="4" t="s">
        <v>6985</v>
      </c>
      <c r="B5557" s="4" t="s">
        <v>6986</v>
      </c>
      <c r="C5557" s="5" t="str">
        <f>IFERROR(__xludf.DUMMYFUNCTION("GOOGLETRANSLATE(B5557,""en"",""es-ES"")"),"Una banda de música desfila por la calle.")</f>
        <v>Una banda de música desfila por la calle.</v>
      </c>
    </row>
    <row r="5558">
      <c r="A5558" s="4" t="s">
        <v>6985</v>
      </c>
      <c r="B5558" s="4" t="s">
        <v>6987</v>
      </c>
      <c r="C5558" s="5" t="str">
        <f>IFERROR(__xludf.DUMMYFUNCTION("GOOGLETRANSLATE(B5558,""en"",""es-ES"")"),"La gente a ambos lados de la calle mira el desfile y aplaude.")</f>
        <v>La gente a ambos lados de la calle mira el desfile y aplaude.</v>
      </c>
    </row>
    <row r="5559">
      <c r="A5559" s="4" t="s">
        <v>6988</v>
      </c>
      <c r="B5559" s="4" t="s">
        <v>6989</v>
      </c>
      <c r="C5559" s="5" t="str">
        <f>IFERROR(__xludf.DUMMYFUNCTION("GOOGLETRANSLATE(B5559,""en"",""es-ES"")"),"Se ve a una persona colocando bolas de masa en una sartén y luego colocándolas en un horno.")</f>
        <v>Se ve a una persona colocando bolas de masa en una sartén y luego colocándolas en un horno.</v>
      </c>
    </row>
    <row r="5560">
      <c r="A5560" s="4" t="s">
        <v>6988</v>
      </c>
      <c r="B5560" s="4" t="s">
        <v>6990</v>
      </c>
      <c r="C5560" s="5" t="str">
        <f>IFERROR(__xludf.DUMMYFUNCTION("GOOGLETRANSLATE(B5560,""en"",""es-ES"")"),"Luego los saca del horno y pone las galletas en un plato.")</f>
        <v>Luego los saca del horno y pone las galletas en un plato.</v>
      </c>
    </row>
    <row r="5561">
      <c r="A5561" s="4" t="s">
        <v>6991</v>
      </c>
      <c r="B5561" s="4" t="s">
        <v>6992</v>
      </c>
      <c r="C5561" s="5" t="str">
        <f>IFERROR(__xludf.DUMMYFUNCTION("GOOGLETRANSLATE(B5561,""en"",""es-ES"")"),"Se ve a un niño pequeño planchando una camisa en una mesa y mirando la cámara.")</f>
        <v>Se ve a un niño pequeño planchando una camisa en una mesa y mirando la cámara.</v>
      </c>
    </row>
    <row r="5562">
      <c r="A5562" s="4" t="s">
        <v>6991</v>
      </c>
      <c r="B5562" s="4" t="s">
        <v>6993</v>
      </c>
      <c r="C5562" s="5" t="str">
        <f>IFERROR(__xludf.DUMMYFUNCTION("GOOGLETRANSLATE(B5562,""en"",""es-ES"")"),"El niño continúa fingiendo planchar la camisa y finalmente pone un vestido en la mesa para planchar.")</f>
        <v>El niño continúa fingiendo planchar la camisa y finalmente pone un vestido en la mesa para planchar.</v>
      </c>
    </row>
    <row r="5563">
      <c r="A5563" s="4" t="s">
        <v>6991</v>
      </c>
      <c r="B5563" s="4" t="s">
        <v>6994</v>
      </c>
      <c r="C5563" s="5" t="str">
        <f>IFERROR(__xludf.DUMMYFUNCTION("GOOGLETRANSLATE(B5563,""en"",""es-ES"")"),"Él aloja el vestido y lo balancea.")</f>
        <v>Él aloja el vestido y lo balancea.</v>
      </c>
    </row>
    <row r="5564">
      <c r="A5564" s="4" t="s">
        <v>6995</v>
      </c>
      <c r="B5564" s="4" t="s">
        <v>6996</v>
      </c>
      <c r="C5564" s="5" t="str">
        <f>IFERROR(__xludf.DUMMYFUNCTION("GOOGLETRANSLATE(B5564,""en"",""es-ES"")"),"Un hombre camina con un soplador de hojas.")</f>
        <v>Un hombre camina con un soplador de hojas.</v>
      </c>
    </row>
    <row r="5565">
      <c r="A5565" s="4" t="s">
        <v>6995</v>
      </c>
      <c r="B5565" s="4" t="s">
        <v>6997</v>
      </c>
      <c r="C5565" s="5" t="str">
        <f>IFERROR(__xludf.DUMMYFUNCTION("GOOGLETRANSLATE(B5565,""en"",""es-ES"")"),"Él sopla hojas en el suelo.")</f>
        <v>Él sopla hojas en el suelo.</v>
      </c>
    </row>
    <row r="5566">
      <c r="A5566" s="4" t="s">
        <v>6995</v>
      </c>
      <c r="B5566" s="4" t="s">
        <v>6998</v>
      </c>
      <c r="C5566" s="5" t="str">
        <f>IFERROR(__xludf.DUMMYFUNCTION("GOOGLETRANSLATE(B5566,""en"",""es-ES"")"),"Las hojas se mueven contra el asfalto.")</f>
        <v>Las hojas se mueven contra el asfalto.</v>
      </c>
    </row>
    <row r="5567">
      <c r="A5567" s="4" t="s">
        <v>6995</v>
      </c>
      <c r="B5567" s="4" t="s">
        <v>6999</v>
      </c>
      <c r="C5567" s="5" t="str">
        <f>IFERROR(__xludf.DUMMYFUNCTION("GOOGLETRANSLATE(B5567,""en"",""es-ES"")"),"El hombre sopla a otro hombre con el soplador.")</f>
        <v>El hombre sopla a otro hombre con el soplador.</v>
      </c>
    </row>
    <row r="5568">
      <c r="A5568" s="4" t="s">
        <v>7000</v>
      </c>
      <c r="B5568" s="4" t="s">
        <v>7001</v>
      </c>
      <c r="C5568" s="5" t="str">
        <f>IFERROR(__xludf.DUMMYFUNCTION("GOOGLETRANSLATE(B5568,""en"",""es-ES"")"),"Se ve a un hombre parado detrás de un mostrador hablando con la cámara y sosteniendo productos de limpieza.")</f>
        <v>Se ve a un hombre parado detrás de un mostrador hablando con la cámara y sosteniendo productos de limpieza.</v>
      </c>
    </row>
    <row r="5569">
      <c r="A5569" s="4" t="s">
        <v>7000</v>
      </c>
      <c r="B5569" s="4" t="s">
        <v>7002</v>
      </c>
      <c r="C5569" s="5" t="str">
        <f>IFERROR(__xludf.DUMMYFUNCTION("GOOGLETRANSLATE(B5569,""en"",""es-ES"")"),"Él pone los productos en un fregadero y comienza a fregar los lados.")</f>
        <v>Él pone los productos en un fregadero y comienza a fregar los lados.</v>
      </c>
    </row>
    <row r="5570">
      <c r="A5570" s="4" t="s">
        <v>7000</v>
      </c>
      <c r="B5570" s="4" t="s">
        <v>7003</v>
      </c>
      <c r="C5570" s="5" t="str">
        <f>IFERROR(__xludf.DUMMYFUNCTION("GOOGLETRANSLATE(B5570,""en"",""es-ES"")"),"Él limpia el mostrador y muestra el fregadero terminado.")</f>
        <v>Él limpia el mostrador y muestra el fregadero terminado.</v>
      </c>
    </row>
    <row r="5571">
      <c r="A5571" s="4" t="s">
        <v>7004</v>
      </c>
      <c r="B5571" s="4" t="s">
        <v>7005</v>
      </c>
      <c r="C5571" s="5" t="str">
        <f>IFERROR(__xludf.DUMMYFUNCTION("GOOGLETRANSLATE(B5571,""en"",""es-ES"")"),"Un hombre arrojando el Frisbee a su perro y el perro atrapa.")</f>
        <v>Un hombre arrojando el Frisbee a su perro y el perro atrapa.</v>
      </c>
    </row>
    <row r="5572">
      <c r="A5572" s="4" t="s">
        <v>7004</v>
      </c>
      <c r="B5572" s="4" t="s">
        <v>7006</v>
      </c>
      <c r="C5572" s="5" t="str">
        <f>IFERROR(__xludf.DUMMYFUNCTION("GOOGLETRANSLATE(B5572,""en"",""es-ES"")"),"Un dueño hace una mano que lanza el frisbee a su perro, que puede atrapar.")</f>
        <v>Un dueño hace una mano que lanza el frisbee a su perro, que puede atrapar.</v>
      </c>
    </row>
    <row r="5573">
      <c r="A5573" s="4" t="s">
        <v>7004</v>
      </c>
      <c r="B5573" s="4" t="s">
        <v>7007</v>
      </c>
      <c r="C5573" s="5" t="str">
        <f>IFERROR(__xludf.DUMMYFUNCTION("GOOGLETRANSLATE(B5573,""en"",""es-ES"")"),"Muchos propietarios y perros arrojando y atrapando frisbees y haciendo trucos mientras lo hacen.")</f>
        <v>Muchos propietarios y perros arrojando y atrapando frisbees y haciendo trucos mientras lo hacen.</v>
      </c>
    </row>
    <row r="5574">
      <c r="A5574" s="4" t="s">
        <v>7004</v>
      </c>
      <c r="B5574" s="4" t="s">
        <v>7008</v>
      </c>
      <c r="C5574" s="5" t="str">
        <f>IFERROR(__xludf.DUMMYFUNCTION("GOOGLETRANSLATE(B5574,""en"",""es-ES"")"),"Una mujer abre los brazos y sus perros salta a ellos, atrapa al perro.")</f>
        <v>Una mujer abre los brazos y sus perros salta a ellos, atrapa al perro.</v>
      </c>
    </row>
    <row r="5575">
      <c r="A5575" s="4" t="s">
        <v>7009</v>
      </c>
      <c r="B5575" s="4" t="s">
        <v>1251</v>
      </c>
      <c r="C5575" s="5" t="str">
        <f>IFERROR(__xludf.DUMMYFUNCTION("GOOGLETRANSLATE(B5575,""en"",""es-ES"")"),"Se muestran los créditos del clip.")</f>
        <v>Se muestran los créditos del clip.</v>
      </c>
    </row>
    <row r="5576">
      <c r="A5576" s="4" t="s">
        <v>7009</v>
      </c>
      <c r="B5576" s="4" t="s">
        <v>7010</v>
      </c>
      <c r="C5576" s="5" t="str">
        <f>IFERROR(__xludf.DUMMYFUNCTION("GOOGLETRANSLATE(B5576,""en"",""es-ES"")"),"Un chico sostiene un palo de lacrosse e instruye.")</f>
        <v>Un chico sostiene un palo de lacrosse e instruye.</v>
      </c>
    </row>
    <row r="5577">
      <c r="A5577" s="4" t="s">
        <v>7009</v>
      </c>
      <c r="B5577" s="4" t="s">
        <v>7011</v>
      </c>
      <c r="C5577" s="5" t="str">
        <f>IFERROR(__xludf.DUMMYFUNCTION("GOOGLETRANSLATE(B5577,""en"",""es-ES"")"),"Un chico mueve una pelota con el palo de lacrosse.")</f>
        <v>Un chico mueve una pelota con el palo de lacrosse.</v>
      </c>
    </row>
    <row r="5578">
      <c r="A5578" s="4" t="s">
        <v>7009</v>
      </c>
      <c r="B5578" s="4" t="s">
        <v>7012</v>
      </c>
      <c r="C5578" s="5" t="str">
        <f>IFERROR(__xludf.DUMMYFUNCTION("GOOGLETRANSLATE(B5578,""en"",""es-ES"")"),"Un chico arroja una pelota a un gol.")</f>
        <v>Un chico arroja una pelota a un gol.</v>
      </c>
    </row>
    <row r="5579">
      <c r="A5579" s="4" t="s">
        <v>7013</v>
      </c>
      <c r="B5579" s="4" t="s">
        <v>7014</v>
      </c>
      <c r="C5579" s="5" t="str">
        <f>IFERROR(__xludf.DUMMYFUNCTION("GOOGLETRANSLATE(B5579,""en"",""es-ES"")"),"Una persona está montando la bicicleta en el camino de tierra.")</f>
        <v>Una persona está montando la bicicleta en el camino de tierra.</v>
      </c>
    </row>
    <row r="5580">
      <c r="A5580" s="4" t="s">
        <v>7013</v>
      </c>
      <c r="B5580" s="4" t="s">
        <v>7015</v>
      </c>
      <c r="C5580" s="5" t="str">
        <f>IFERROR(__xludf.DUMMYFUNCTION("GOOGLETRANSLATE(B5580,""en"",""es-ES"")"),"El motociclista saltó a altas rampas.")</f>
        <v>El motociclista saltó a altas rampas.</v>
      </c>
    </row>
    <row r="5581">
      <c r="A5581" s="4" t="s">
        <v>7013</v>
      </c>
      <c r="B5581" s="4" t="s">
        <v>7016</v>
      </c>
      <c r="C5581" s="5" t="str">
        <f>IFERROR(__xludf.DUMMYFUNCTION("GOOGLETRANSLATE(B5581,""en"",""es-ES"")"),"El motociclista condujo a la ruta de la curva y luego conducía sobre la rampa alta.")</f>
        <v>El motociclista condujo a la ruta de la curva y luego conducía sobre la rampa alta.</v>
      </c>
    </row>
    <row r="5582">
      <c r="A5582" s="4" t="s">
        <v>7017</v>
      </c>
      <c r="B5582" s="4" t="s">
        <v>7018</v>
      </c>
      <c r="C5582" s="5" t="str">
        <f>IFERROR(__xludf.DUMMYFUNCTION("GOOGLETRANSLATE(B5582,""en"",""es-ES"")"),"Hay dos equipos representados por el color verde y color blanco que juega lacrosse entre sí en un campo al aire libre.")</f>
        <v>Hay dos equipos representados por el color verde y color blanco que juega lacrosse entre sí en un campo al aire libre.</v>
      </c>
    </row>
    <row r="5583">
      <c r="A5583" s="4" t="s">
        <v>7017</v>
      </c>
      <c r="B5583" s="4" t="s">
        <v>7019</v>
      </c>
      <c r="C5583" s="5" t="str">
        <f>IFERROR(__xludf.DUMMYFUNCTION("GOOGLETRANSLATE(B5583,""en"",""es-ES"")"),"El jugador del equipo verde comienza a correr con su palo junto a su oponente para ir hacia la pelota.")</f>
        <v>El jugador del equipo verde comienza a correr con su palo junto a su oponente para ir hacia la pelota.</v>
      </c>
    </row>
    <row r="5584">
      <c r="A5584" s="4" t="s">
        <v>7017</v>
      </c>
      <c r="B5584" s="4" t="s">
        <v>7020</v>
      </c>
      <c r="C5584" s="5" t="str">
        <f>IFERROR(__xludf.DUMMYFUNCTION("GOOGLETRANSLATE(B5584,""en"",""es-ES"")"),"Los dos equipos se dirigen cara a cara mientras luchan para golpear el balón en la meta.")</f>
        <v>Los dos equipos se dirigen cara a cara mientras luchan para golpear el balón en la meta.</v>
      </c>
    </row>
    <row r="5585">
      <c r="A5585" s="4" t="s">
        <v>7017</v>
      </c>
      <c r="B5585" s="4" t="s">
        <v>7021</v>
      </c>
      <c r="C5585" s="5" t="str">
        <f>IFERROR(__xludf.DUMMYFUNCTION("GOOGLETRANSLATE(B5585,""en"",""es-ES"")"),"Los jugadores del equipo verde corren rápido para evitar que el equipo blanco obtenga la pelota.")</f>
        <v>Los jugadores del equipo verde corren rápido para evitar que el equipo blanco obtenga la pelota.</v>
      </c>
    </row>
    <row r="5586">
      <c r="A5586" s="4" t="s">
        <v>7017</v>
      </c>
      <c r="B5586" s="4" t="s">
        <v>7022</v>
      </c>
      <c r="C5586" s="5" t="str">
        <f>IFERROR(__xludf.DUMMYFUNCTION("GOOGLETRANSLATE(B5586,""en"",""es-ES"")"),"Los jugadores del equipo blanco intentan mantenerse al día con sus oponentes y concentrarse en golpear la pelota en la meta.")</f>
        <v>Los jugadores del equipo blanco intentan mantenerse al día con sus oponentes y concentrarse en golpear la pelota en la meta.</v>
      </c>
    </row>
    <row r="5587">
      <c r="A5587" s="4" t="s">
        <v>7017</v>
      </c>
      <c r="B5587" s="4" t="s">
        <v>7023</v>
      </c>
      <c r="C5587" s="5" t="str">
        <f>IFERROR(__xludf.DUMMYFUNCTION("GOOGLETRANSLATE(B5587,""en"",""es-ES"")"),"Dos jugadores de ambos equipos vienen corriendo el uno hacia el otro y luchan por el balón, lo que hace que uno de los jugadores del equipo verde caiga.")</f>
        <v>Dos jugadores de ambos equipos vienen corriendo el uno hacia el otro y luchan por el balón, lo que hace que uno de los jugadores del equipo verde caiga.</v>
      </c>
    </row>
    <row r="5588">
      <c r="A5588" s="4" t="s">
        <v>7017</v>
      </c>
      <c r="B5588" s="4" t="s">
        <v>7024</v>
      </c>
      <c r="C5588" s="5" t="str">
        <f>IFERROR(__xludf.DUMMYFUNCTION("GOOGLETRANSLATE(B5588,""en"",""es-ES"")"),"Se toman un descanso antes de que puedan reiniciar el juego mientras caminan hacia el costado del campo.")</f>
        <v>Se toman un descanso antes de que puedan reiniciar el juego mientras caminan hacia el costado del campo.</v>
      </c>
    </row>
    <row r="5589">
      <c r="A5589" s="4" t="s">
        <v>7025</v>
      </c>
      <c r="B5589" s="4" t="s">
        <v>7026</v>
      </c>
      <c r="C5589" s="5" t="str">
        <f>IFERROR(__xludf.DUMMYFUNCTION("GOOGLETRANSLATE(B5589,""en"",""es-ES"")"),"Un concesionario en una mesa de casino se ocupa de varios clientes, mientras que hay un flujo constante de actividad en segundo plano.")</f>
        <v>Un concesionario en una mesa de casino se ocupa de varios clientes, mientras que hay un flujo constante de actividad en segundo plano.</v>
      </c>
    </row>
    <row r="5590">
      <c r="A5590" s="4" t="s">
        <v>7025</v>
      </c>
      <c r="B5590" s="4" t="s">
        <v>7027</v>
      </c>
      <c r="C5590" s="5" t="str">
        <f>IFERROR(__xludf.DUMMYFUNCTION("GOOGLETRANSLATE(B5590,""en"",""es-ES"")"),"Uno de los jugadores comienza a reír.")</f>
        <v>Uno de los jugadores comienza a reír.</v>
      </c>
    </row>
    <row r="5591">
      <c r="A5591" s="4" t="s">
        <v>7028</v>
      </c>
      <c r="B5591" s="4" t="s">
        <v>7029</v>
      </c>
      <c r="C5591" s="5" t="str">
        <f>IFERROR(__xludf.DUMMYFUNCTION("GOOGLETRANSLATE(B5591,""en"",""es-ES"")"),"Vemos tarjetas sentadas en la mesa con papas fritas.")</f>
        <v>Vemos tarjetas sentadas en la mesa con papas fritas.</v>
      </c>
    </row>
    <row r="5592">
      <c r="A5592" s="4" t="s">
        <v>7028</v>
      </c>
      <c r="B5592" s="4" t="s">
        <v>7030</v>
      </c>
      <c r="C5592" s="5" t="str">
        <f>IFERROR(__xludf.DUMMYFUNCTION("GOOGLETRANSLATE(B5592,""en"",""es-ES"")"),"El concesionario ofrece más cartas.")</f>
        <v>El concesionario ofrece más cartas.</v>
      </c>
    </row>
    <row r="5593">
      <c r="A5593" s="4" t="s">
        <v>7028</v>
      </c>
      <c r="B5593" s="4" t="s">
        <v>7031</v>
      </c>
      <c r="C5593" s="5" t="str">
        <f>IFERROR(__xludf.DUMMYFUNCTION("GOOGLETRANSLATE(B5593,""en"",""es-ES"")"),"El distribuidor apunta a dos cartas.")</f>
        <v>El distribuidor apunta a dos cartas.</v>
      </c>
    </row>
    <row r="5594">
      <c r="A5594" s="4" t="s">
        <v>7028</v>
      </c>
      <c r="B5594" s="4" t="s">
        <v>7032</v>
      </c>
      <c r="C5594" s="5" t="str">
        <f>IFERROR(__xludf.DUMMYFUNCTION("GOOGLETRANSLATE(B5594,""en"",""es-ES"")"),"El concesionario da una tarjeta y toma las fichas del hombre.")</f>
        <v>El concesionario da una tarjeta y toma las fichas del hombre.</v>
      </c>
    </row>
    <row r="5595">
      <c r="A5595" s="4" t="s">
        <v>7033</v>
      </c>
      <c r="B5595" s="4" t="s">
        <v>7034</v>
      </c>
      <c r="C5595" s="5" t="str">
        <f>IFERROR(__xludf.DUMMYFUNCTION("GOOGLETRANSLATE(B5595,""en"",""es-ES"")"),"Un anuncio muestra la presentación de dos bailarines.")</f>
        <v>Un anuncio muestra la presentación de dos bailarines.</v>
      </c>
    </row>
    <row r="5596">
      <c r="A5596" s="4" t="s">
        <v>7033</v>
      </c>
      <c r="B5596" s="4" t="s">
        <v>7035</v>
      </c>
      <c r="C5596" s="5" t="str">
        <f>IFERROR(__xludf.DUMMYFUNCTION("GOOGLETRANSLATE(B5596,""en"",""es-ES"")"),"La pareja está bailando tomando las manos girando a ambos.")</f>
        <v>La pareja está bailando tomando las manos girando a ambos.</v>
      </c>
    </row>
    <row r="5597">
      <c r="A5597" s="4" t="s">
        <v>7033</v>
      </c>
      <c r="B5597" s="4" t="s">
        <v>7036</v>
      </c>
      <c r="C5597" s="5" t="str">
        <f>IFERROR(__xludf.DUMMYFUNCTION("GOOGLETRANSLATE(B5597,""en"",""es-ES"")"),"La mujer se da vuelta sosteniendo la mano del hombre.")</f>
        <v>La mujer se da vuelta sosteniendo la mano del hombre.</v>
      </c>
    </row>
    <row r="5598">
      <c r="A5598" s="4" t="s">
        <v>7037</v>
      </c>
      <c r="B5598" s="4" t="s">
        <v>7038</v>
      </c>
      <c r="C5598" s="5" t="str">
        <f>IFERROR(__xludf.DUMMYFUNCTION("GOOGLETRANSLATE(B5598,""en"",""es-ES"")"),"Las mujeres caminan en un junto contra los lagos y ponen sus zapatos y arnés.")</f>
        <v>Las mujeres caminan en un junto contra los lagos y ponen sus zapatos y arnés.</v>
      </c>
    </row>
    <row r="5599">
      <c r="A5599" s="4" t="s">
        <v>7037</v>
      </c>
      <c r="B5599" s="4" t="s">
        <v>7039</v>
      </c>
      <c r="C5599" s="5" t="str">
        <f>IFERROR(__xludf.DUMMYFUNCTION("GOOGLETRANSLATE(B5599,""en"",""es-ES"")"),"Las mujeres suben una pared de roca unida a un arnés.")</f>
        <v>Las mujeres suben una pared de roca unida a un arnés.</v>
      </c>
    </row>
    <row r="5600">
      <c r="A5600" s="4" t="s">
        <v>7037</v>
      </c>
      <c r="B5600" s="4" t="s">
        <v>7040</v>
      </c>
      <c r="C5600" s="5" t="str">
        <f>IFERROR(__xludf.DUMMYFUNCTION("GOOGLETRANSLATE(B5600,""en"",""es-ES"")"),"La mujer está bajando y cuándo está en el piso, le da la mano a la otra mujer.")</f>
        <v>La mujer está bajando y cuándo está en el piso, le da la mano a la otra mujer.</v>
      </c>
    </row>
    <row r="5601">
      <c r="A5601" s="4" t="s">
        <v>7041</v>
      </c>
      <c r="B5601" s="4" t="s">
        <v>7042</v>
      </c>
      <c r="C5601" s="5" t="str">
        <f>IFERROR(__xludf.DUMMYFUNCTION("GOOGLETRANSLATE(B5601,""en"",""es-ES"")"),"Una mujer está de pie detrás de un mostrador sosteniendo una copa de martini.")</f>
        <v>Una mujer está de pie detrás de un mostrador sosteniendo una copa de martini.</v>
      </c>
    </row>
    <row r="5602">
      <c r="A5602" s="4" t="s">
        <v>7041</v>
      </c>
      <c r="B5602" s="4" t="s">
        <v>7043</v>
      </c>
      <c r="C5602" s="5" t="str">
        <f>IFERROR(__xludf.DUMMYFUNCTION("GOOGLETRANSLATE(B5602,""en"",""es-ES"")"),"Ella arroja un poco de hielo en el vaso.")</f>
        <v>Ella arroja un poco de hielo en el vaso.</v>
      </c>
    </row>
    <row r="5603">
      <c r="A5603" s="4" t="s">
        <v>7041</v>
      </c>
      <c r="B5603" s="4" t="s">
        <v>7044</v>
      </c>
      <c r="C5603" s="5" t="str">
        <f>IFERROR(__xludf.DUMMYFUNCTION("GOOGLETRANSLATE(B5603,""en"",""es-ES"")"),"Ella pone un poco de hielo en otro vaso y agrega disparos de alcohol.")</f>
        <v>Ella pone un poco de hielo en otro vaso y agrega disparos de alcohol.</v>
      </c>
    </row>
    <row r="5604">
      <c r="A5604" s="4" t="s">
        <v>7041</v>
      </c>
      <c r="B5604" s="4" t="s">
        <v>7045</v>
      </c>
      <c r="C5604" s="5" t="str">
        <f>IFERROR(__xludf.DUMMYFUNCTION("GOOGLETRANSLATE(B5604,""en"",""es-ES"")"),"Ella sacude la bebida en un agitador negro.")</f>
        <v>Ella sacude la bebida en un agitador negro.</v>
      </c>
    </row>
    <row r="5605">
      <c r="A5605" s="4" t="s">
        <v>7041</v>
      </c>
      <c r="B5605" s="4" t="s">
        <v>7046</v>
      </c>
      <c r="C5605" s="5" t="str">
        <f>IFERROR(__xludf.DUMMYFUNCTION("GOOGLETRANSLATE(B5605,""en"",""es-ES"")"),"Ella vierte el hielo de una copa de martini.")</f>
        <v>Ella vierte el hielo de una copa de martini.</v>
      </c>
    </row>
    <row r="5606">
      <c r="A5606" s="4" t="s">
        <v>7041</v>
      </c>
      <c r="B5606" s="4" t="s">
        <v>7047</v>
      </c>
      <c r="C5606" s="5" t="str">
        <f>IFERROR(__xludf.DUMMYFUNCTION("GOOGLETRANSLATE(B5606,""en"",""es-ES"")"),"Ella vierte la bebida en la copa de martini.")</f>
        <v>Ella vierte la bebida en la copa de martini.</v>
      </c>
    </row>
    <row r="5607">
      <c r="A5607" s="4" t="s">
        <v>7041</v>
      </c>
      <c r="B5607" s="4" t="s">
        <v>7048</v>
      </c>
      <c r="C5607" s="5" t="str">
        <f>IFERROR(__xludf.DUMMYFUNCTION("GOOGLETRANSLATE(B5607,""en"",""es-ES"")"),"Ella levanta la copa de martini en su mano.")</f>
        <v>Ella levanta la copa de martini en su mano.</v>
      </c>
    </row>
    <row r="5608">
      <c r="A5608" s="4" t="s">
        <v>7049</v>
      </c>
      <c r="B5608" s="4" t="s">
        <v>7050</v>
      </c>
      <c r="C5608" s="5" t="str">
        <f>IFERROR(__xludf.DUMMYFUNCTION("GOOGLETRANSLATE(B5608,""en"",""es-ES"")"),"Se ve a dos luchadores de sumo luchando que conducen a personas que entran y otros bailan juntos.")</f>
        <v>Se ve a dos luchadores de sumo luchando que conducen a personas que entran y otros bailan juntos.</v>
      </c>
    </row>
    <row r="5609">
      <c r="A5609" s="4" t="s">
        <v>7049</v>
      </c>
      <c r="B5609" s="4" t="s">
        <v>7051</v>
      </c>
      <c r="C5609" s="5" t="str">
        <f>IFERROR(__xludf.DUMMYFUNCTION("GOOGLETRANSLATE(B5609,""en"",""es-ES"")"),"Más luchadores se inclinan el uno hacia el otro y comienzan a luchar mientras las personas tambalean a un lado.")</f>
        <v>Más luchadores se inclinan el uno hacia el otro y comienzan a luchar mientras las personas tambalean a un lado.</v>
      </c>
    </row>
    <row r="5610">
      <c r="A5610" s="4" t="s">
        <v>7049</v>
      </c>
      <c r="B5610" s="4" t="s">
        <v>7052</v>
      </c>
      <c r="C5610" s="5" t="str">
        <f>IFERROR(__xludf.DUMMYFUNCTION("GOOGLETRANSLATE(B5610,""en"",""es-ES"")"),"Entran más personas y continúan luchando en el pozo.")</f>
        <v>Entran más personas y continúan luchando en el pozo.</v>
      </c>
    </row>
    <row r="5611">
      <c r="A5611" s="4" t="s">
        <v>7053</v>
      </c>
      <c r="B5611" s="4" t="s">
        <v>7054</v>
      </c>
      <c r="C5611" s="5" t="str">
        <f>IFERROR(__xludf.DUMMYFUNCTION("GOOGLETRANSLATE(B5611,""en"",""es-ES"")"),"Se ve a un hombre sentado en un equipo de ejercicio retrocediendo y cuarto.")</f>
        <v>Se ve a un hombre sentado en un equipo de ejercicio retrocediendo y cuarto.</v>
      </c>
    </row>
    <row r="5612">
      <c r="A5612" s="4" t="s">
        <v>7053</v>
      </c>
      <c r="B5612" s="4" t="s">
        <v>7055</v>
      </c>
      <c r="C5612" s="5" t="str">
        <f>IFERROR(__xludf.DUMMYFUNCTION("GOOGLETRANSLATE(B5612,""en"",""es-ES"")"),"El hombre continúa moviéndose a diferentes velocidades y retrocediendo.")</f>
        <v>El hombre continúa moviéndose a diferentes velocidades y retrocediendo.</v>
      </c>
    </row>
    <row r="5613">
      <c r="A5613" s="4" t="s">
        <v>7056</v>
      </c>
      <c r="B5613" s="4" t="s">
        <v>7057</v>
      </c>
      <c r="C5613" s="5" t="str">
        <f>IFERROR(__xludf.DUMMYFUNCTION("GOOGLETRANSLATE(B5613,""en"",""es-ES"")"),"Un grupo de personas está de pie en medio de un bosque con un rastro de guijarros que los separa de un hermoso cuerpo de agua cristalina.")</f>
        <v>Un grupo de personas está de pie en medio de un bosque con un rastro de guijarros que los separa de un hermoso cuerpo de agua cristalina.</v>
      </c>
    </row>
    <row r="5614">
      <c r="A5614" s="4" t="s">
        <v>7056</v>
      </c>
      <c r="B5614" s="4" t="s">
        <v>7058</v>
      </c>
      <c r="C5614" s="5" t="str">
        <f>IFERROR(__xludf.DUMMYFUNCTION("GOOGLETRANSLATE(B5614,""en"",""es-ES"")"),"La cámara se mueve por el agua y varias personas en botes y motos de chorro se mueven en el agua cerca de una gran ola.")</f>
        <v>La cámara se mueve por el agua y varias personas en botes y motos de chorro se mueven en el agua cerca de una gran ola.</v>
      </c>
    </row>
    <row r="5615">
      <c r="A5615" s="4" t="s">
        <v>7056</v>
      </c>
      <c r="B5615" s="4" t="s">
        <v>7059</v>
      </c>
      <c r="C5615" s="5" t="str">
        <f>IFERROR(__xludf.DUMMYFUNCTION("GOOGLETRANSLATE(B5615,""en"",""es-ES"")"),"Las olas más grandes comienzan a surgir y un hombre comienza a surfear las olas.")</f>
        <v>Las olas más grandes comienzan a surgir y un hombre comienza a surfear las olas.</v>
      </c>
    </row>
    <row r="5616">
      <c r="A5616" s="4" t="s">
        <v>7056</v>
      </c>
      <c r="B5616" s="4" t="s">
        <v>7060</v>
      </c>
      <c r="C5616" s="5" t="str">
        <f>IFERROR(__xludf.DUMMYFUNCTION("GOOGLETRANSLATE(B5616,""en"",""es-ES"")"),"Luego se muestra el bosque y aparecen tablas de surf que se lavan contra las orillas del agua.")</f>
        <v>Luego se muestra el bosque y aparecen tablas de surf que se lavan contra las orillas del agua.</v>
      </c>
    </row>
    <row r="5617">
      <c r="A5617" s="4" t="s">
        <v>7061</v>
      </c>
      <c r="B5617" s="4" t="s">
        <v>7062</v>
      </c>
      <c r="C5617" s="5" t="str">
        <f>IFERROR(__xludf.DUMMYFUNCTION("GOOGLETRANSLATE(B5617,""en"",""es-ES"")"),"Un automóvil conduce por la carretera a una velocidad rápida, toma una salida para estacionar.")</f>
        <v>Un automóvil conduce por la carretera a una velocidad rápida, toma una salida para estacionar.</v>
      </c>
    </row>
    <row r="5618">
      <c r="A5618" s="4" t="s">
        <v>7061</v>
      </c>
      <c r="B5618" s="4" t="s">
        <v>7063</v>
      </c>
      <c r="C5618" s="5" t="str">
        <f>IFERROR(__xludf.DUMMYFUNCTION("GOOGLETRANSLATE(B5618,""en"",""es-ES"")"),"Luego, están en el gimnasio y es una clase llena de personas saltando de la cuerda.")</f>
        <v>Luego, están en el gimnasio y es una clase llena de personas saltando de la cuerda.</v>
      </c>
    </row>
    <row r="5619">
      <c r="A5619" s="4" t="s">
        <v>7061</v>
      </c>
      <c r="B5619" s="4" t="s">
        <v>7064</v>
      </c>
      <c r="C5619" s="5" t="str">
        <f>IFERROR(__xludf.DUMMYFUNCTION("GOOGLETRANSLATE(B5619,""en"",""es-ES"")"),"Una mujer entrenadora y una niña salta una cuerda uno a uno juntos, ella instruye a otros estudiantes en la clase.")</f>
        <v>Una mujer entrenadora y una niña salta una cuerda uno a uno juntos, ella instruye a otros estudiantes en la clase.</v>
      </c>
    </row>
    <row r="5620">
      <c r="A5620" s="4" t="s">
        <v>7061</v>
      </c>
      <c r="B5620" s="4" t="s">
        <v>7065</v>
      </c>
      <c r="C5620" s="5" t="str">
        <f>IFERROR(__xludf.DUMMYFUNCTION("GOOGLETRANSLATE(B5620,""en"",""es-ES"")"),"La clase termina con fotos del entrenador y sus alumnos.")</f>
        <v>La clase termina con fotos del entrenador y sus alumnos.</v>
      </c>
    </row>
    <row r="5621">
      <c r="A5621" s="4" t="s">
        <v>7066</v>
      </c>
      <c r="B5621" s="4" t="s">
        <v>7067</v>
      </c>
      <c r="C5621" s="5" t="str">
        <f>IFERROR(__xludf.DUMMYFUNCTION("GOOGLETRANSLATE(B5621,""en"",""es-ES"")"),"Un hombre conduce un cortacésped sobre un césped.")</f>
        <v>Un hombre conduce un cortacésped sobre un césped.</v>
      </c>
    </row>
    <row r="5622">
      <c r="A5622" s="4" t="s">
        <v>7066</v>
      </c>
      <c r="B5622" s="4" t="s">
        <v>7068</v>
      </c>
      <c r="C5622" s="5" t="str">
        <f>IFERROR(__xludf.DUMMYFUNCTION("GOOGLETRANSLATE(B5622,""en"",""es-ES"")"),"El hombre se vuelve hacia su izquierda.")</f>
        <v>El hombre se vuelve hacia su izquierda.</v>
      </c>
    </row>
    <row r="5623">
      <c r="A5623" s="4" t="s">
        <v>7066</v>
      </c>
      <c r="B5623" s="4" t="s">
        <v>7069</v>
      </c>
      <c r="C5623" s="5" t="str">
        <f>IFERROR(__xludf.DUMMYFUNCTION("GOOGLETRANSLATE(B5623,""en"",""es-ES"")"),"Un vagón detrás del hombre está siendo tirado de niños a cuestas.")</f>
        <v>Un vagón detrás del hombre está siendo tirado de niños a cuestas.</v>
      </c>
    </row>
    <row r="5624">
      <c r="A5624" s="4" t="s">
        <v>7066</v>
      </c>
      <c r="B5624" s="4" t="s">
        <v>7070</v>
      </c>
      <c r="C5624" s="5" t="str">
        <f>IFERROR(__xludf.DUMMYFUNCTION("GOOGLETRANSLATE(B5624,""en"",""es-ES"")"),"El hombre luego rodea el césped.")</f>
        <v>El hombre luego rodea el césped.</v>
      </c>
    </row>
    <row r="5625">
      <c r="A5625" s="4" t="s">
        <v>7071</v>
      </c>
      <c r="B5625" s="4" t="s">
        <v>7072</v>
      </c>
      <c r="C5625" s="5" t="str">
        <f>IFERROR(__xludf.DUMMYFUNCTION("GOOGLETRANSLATE(B5625,""en"",""es-ES"")"),"Una mujer y una niña están paseando a un perro en una zona cubierta de hierba.")</f>
        <v>Una mujer y una niña están paseando a un perro en una zona cubierta de hierba.</v>
      </c>
    </row>
    <row r="5626">
      <c r="A5626" s="4" t="s">
        <v>7071</v>
      </c>
      <c r="B5626" s="4" t="s">
        <v>7073</v>
      </c>
      <c r="C5626" s="5" t="str">
        <f>IFERROR(__xludf.DUMMYFUNCTION("GOOGLETRANSLATE(B5626,""en"",""es-ES"")"),"Se acercan a otra mujer sentada en una silla.")</f>
        <v>Se acercan a otra mujer sentada en una silla.</v>
      </c>
    </row>
    <row r="5627">
      <c r="A5627" s="4" t="s">
        <v>7071</v>
      </c>
      <c r="B5627" s="4" t="s">
        <v>7074</v>
      </c>
      <c r="C5627" s="5" t="str">
        <f>IFERROR(__xludf.DUMMYFUNCTION("GOOGLETRANSLATE(B5627,""en"",""es-ES"")"),"Ella recorre a uno de los perros.")</f>
        <v>Ella recorre a uno de los perros.</v>
      </c>
    </row>
    <row r="5628">
      <c r="A5628" s="4" t="s">
        <v>7071</v>
      </c>
      <c r="B5628" s="4" t="s">
        <v>7075</v>
      </c>
      <c r="C5628" s="5" t="str">
        <f>IFERROR(__xludf.DUMMYFUNCTION("GOOGLETRANSLATE(B5628,""en"",""es-ES"")"),"Otra mujer está sentada detrás de la mujer que recorre al perro.")</f>
        <v>Otra mujer está sentada detrás de la mujer que recorre al perro.</v>
      </c>
    </row>
    <row r="5629">
      <c r="A5629" s="4" t="s">
        <v>7071</v>
      </c>
      <c r="B5629" s="4" t="s">
        <v>7076</v>
      </c>
      <c r="C5629" s="5" t="str">
        <f>IFERROR(__xludf.DUMMYFUNCTION("GOOGLETRANSLATE(B5629,""en"",""es-ES"")"),"La mujer con el perro se acerca y toma la correa del segundo perro de la joven y se aleja con los perros y la niña todavía sosteniendo parte de una correa.")</f>
        <v>La mujer con el perro se acerca y toma la correa del segundo perro de la joven y se aleja con los perros y la niña todavía sosteniendo parte de una correa.</v>
      </c>
    </row>
    <row r="5630">
      <c r="A5630" s="4" t="s">
        <v>7071</v>
      </c>
      <c r="B5630" s="4" t="s">
        <v>7077</v>
      </c>
      <c r="C5630" s="5" t="str">
        <f>IFERROR(__xludf.DUMMYFUNCTION("GOOGLETRANSLATE(B5630,""en"",""es-ES"")"),"Un hombre está parado a un lado observando.")</f>
        <v>Un hombre está parado a un lado observando.</v>
      </c>
    </row>
    <row r="5631">
      <c r="A5631" s="4" t="s">
        <v>7071</v>
      </c>
      <c r="B5631" s="4" t="s">
        <v>7078</v>
      </c>
      <c r="C5631" s="5" t="str">
        <f>IFERROR(__xludf.DUMMYFUNCTION("GOOGLETRANSLATE(B5631,""en"",""es-ES"")"),"La mujer y la joven, cada una con un perro nuevamente, se detengan en el área cubierta de hierba, hablan y luego continúan caminando.")</f>
        <v>La mujer y la joven, cada una con un perro nuevamente, se detengan en el área cubierta de hierba, hablan y luego continúan caminando.</v>
      </c>
    </row>
    <row r="5632">
      <c r="A5632" s="4" t="s">
        <v>7079</v>
      </c>
      <c r="B5632" s="4" t="s">
        <v>7080</v>
      </c>
      <c r="C5632" s="5" t="str">
        <f>IFERROR(__xludf.DUMMYFUNCTION("GOOGLETRANSLATE(B5632,""en"",""es-ES"")"),"Vemos una pantalla de título oscura.")</f>
        <v>Vemos una pantalla de título oscura.</v>
      </c>
    </row>
    <row r="5633">
      <c r="A5633" s="4" t="s">
        <v>7079</v>
      </c>
      <c r="B5633" s="4" t="s">
        <v>7081</v>
      </c>
      <c r="C5633" s="5" t="str">
        <f>IFERROR(__xludf.DUMMYFUNCTION("GOOGLETRANSLATE(B5633,""en"",""es-ES"")"),"Vemos títulos en la pantalla y vemos a los hombres.")</f>
        <v>Vemos títulos en la pantalla y vemos a los hombres.</v>
      </c>
    </row>
    <row r="5634">
      <c r="A5634" s="4" t="s">
        <v>7079</v>
      </c>
      <c r="B5634" s="4" t="s">
        <v>7082</v>
      </c>
      <c r="C5634" s="5" t="str">
        <f>IFERROR(__xludf.DUMMYFUNCTION("GOOGLETRANSLATE(B5634,""en"",""es-ES"")"),"Vemos a dos hombres luchando contra MMA en un anillo.")</f>
        <v>Vemos a dos hombres luchando contra MMA en un anillo.</v>
      </c>
    </row>
    <row r="5635">
      <c r="A5635" s="4" t="s">
        <v>7079</v>
      </c>
      <c r="B5635" s="4" t="s">
        <v>7083</v>
      </c>
      <c r="C5635" s="5" t="str">
        <f>IFERROR(__xludf.DUMMYFUNCTION("GOOGLETRANSLATE(B5635,""en"",""es-ES"")"),"El hombre grande está perdiendo su control sobre el hombre más pequeño.")</f>
        <v>El hombre grande está perdiendo su control sobre el hombre más pequeño.</v>
      </c>
    </row>
    <row r="5636">
      <c r="A5636" s="4" t="s">
        <v>7079</v>
      </c>
      <c r="B5636" s="4" t="s">
        <v>7084</v>
      </c>
      <c r="C5636" s="5" t="str">
        <f>IFERROR(__xludf.DUMMYFUNCTION("GOOGLETRANSLATE(B5636,""en"",""es-ES"")"),"El árbitro llega a los hombres y agita los brazos.")</f>
        <v>El árbitro llega a los hombres y agita los brazos.</v>
      </c>
    </row>
    <row r="5637">
      <c r="A5637" s="4" t="s">
        <v>7079</v>
      </c>
      <c r="B5637" s="4" t="s">
        <v>7085</v>
      </c>
      <c r="C5637" s="5" t="str">
        <f>IFERROR(__xludf.DUMMYFUNCTION("GOOGLETRANSLATE(B5637,""en"",""es-ES"")"),"Vemos el resultado del juego en la pantalla.")</f>
        <v>Vemos el resultado del juego en la pantalla.</v>
      </c>
    </row>
    <row r="5638">
      <c r="A5638" s="4" t="s">
        <v>7079</v>
      </c>
      <c r="B5638" s="4" t="s">
        <v>7086</v>
      </c>
      <c r="C5638" s="5" t="str">
        <f>IFERROR(__xludf.DUMMYFUNCTION("GOOGLETRANSLATE(B5638,""en"",""es-ES"")"),"El luchador más pequeño abraza a otro hombre.")</f>
        <v>El luchador más pequeño abraza a otro hombre.</v>
      </c>
    </row>
    <row r="5639">
      <c r="A5639" s="4" t="s">
        <v>7079</v>
      </c>
      <c r="B5639" s="4" t="s">
        <v>7087</v>
      </c>
      <c r="C5639" s="5" t="str">
        <f>IFERROR(__xludf.DUMMYFUNCTION("GOOGLETRANSLATE(B5639,""en"",""es-ES"")"),"Luego vemos los créditos finales de cierre.")</f>
        <v>Luego vemos los créditos finales de cierre.</v>
      </c>
    </row>
    <row r="5640">
      <c r="A5640" s="4" t="s">
        <v>7088</v>
      </c>
      <c r="B5640" s="4" t="s">
        <v>7089</v>
      </c>
      <c r="C5640" s="5" t="str">
        <f>IFERROR(__xludf.DUMMYFUNCTION("GOOGLETRANSLATE(B5640,""en"",""es-ES"")"),"Un grupo de personas se muestra enrollando en París.")</f>
        <v>Un grupo de personas se muestra enrollando en París.</v>
      </c>
    </row>
    <row r="5641">
      <c r="A5641" s="4" t="s">
        <v>7088</v>
      </c>
      <c r="B5641" s="4" t="s">
        <v>7090</v>
      </c>
      <c r="C5641" s="5" t="str">
        <f>IFERROR(__xludf.DUMMYFUNCTION("GOOGLETRANSLATE(B5641,""en"",""es-ES"")"),"Se mueven lentamente y hay muchos de ellos mientras algunos miran a la cámara a medida que pasan.")</f>
        <v>Se mueven lentamente y hay muchos de ellos mientras algunos miran a la cámara a medida que pasan.</v>
      </c>
    </row>
    <row r="5642">
      <c r="A5642" s="4" t="s">
        <v>7088</v>
      </c>
      <c r="B5642" s="4" t="s">
        <v>7091</v>
      </c>
      <c r="C5642" s="5" t="str">
        <f>IFERROR(__xludf.DUMMYFUNCTION("GOOGLETRANSLATE(B5642,""en"",""es-ES"")"),"La procesión continúa mientras los espectadores miran hacia adelante.")</f>
        <v>La procesión continúa mientras los espectadores miran hacia adelante.</v>
      </c>
    </row>
    <row r="5643">
      <c r="A5643" s="4" t="s">
        <v>7088</v>
      </c>
      <c r="B5643" s="4" t="s">
        <v>7092</v>
      </c>
      <c r="C5643" s="5" t="str">
        <f>IFERROR(__xludf.DUMMYFUNCTION("GOOGLETRANSLATE(B5643,""en"",""es-ES"")"),"El video se corta a un ángulo lateral de los rodillos que pasan.")</f>
        <v>El video se corta a un ángulo lateral de los rodillos que pasan.</v>
      </c>
    </row>
    <row r="5644">
      <c r="A5644" s="4" t="s">
        <v>7088</v>
      </c>
      <c r="B5644" s="4" t="s">
        <v>7093</v>
      </c>
      <c r="C5644" s="5" t="str">
        <f>IFERROR(__xludf.DUMMYFUNCTION("GOOGLETRANSLATE(B5644,""en"",""es-ES"")"),"Se muestra otra toma lateral y un auto de policía y varios vehículos de escolta aparecen a la vista cuando el video se desvanece a negro.")</f>
        <v>Se muestra otra toma lateral y un auto de policía y varios vehículos de escolta aparecen a la vista cuando el video se desvanece a negro.</v>
      </c>
    </row>
    <row r="5645">
      <c r="A5645" s="4" t="s">
        <v>7094</v>
      </c>
      <c r="B5645" s="4" t="s">
        <v>7095</v>
      </c>
      <c r="C5645" s="5" t="str">
        <f>IFERROR(__xludf.DUMMYFUNCTION("GOOGLETRANSLATE(B5645,""en"",""es-ES"")"),"Una persona está grabando un evento de combate de toros desde su televisor.")</f>
        <v>Una persona está grabando un evento de combate de toros desde su televisor.</v>
      </c>
    </row>
    <row r="5646">
      <c r="A5646" s="4" t="s">
        <v>7094</v>
      </c>
      <c r="B5646" s="4" t="s">
        <v>7096</v>
      </c>
      <c r="C5646" s="5" t="str">
        <f>IFERROR(__xludf.DUMMYFUNCTION("GOOGLETRANSLATE(B5646,""en"",""es-ES"")"),"La escena de la lucha de toros se encuentra en una gran arena abierta que está llena de miles de espectadores que están animando.")</f>
        <v>La escena de la lucha de toros se encuentra en una gran arena abierta que está llena de miles de espectadores que están animando.</v>
      </c>
    </row>
    <row r="5647">
      <c r="A5647" s="4" t="s">
        <v>7094</v>
      </c>
      <c r="B5647" s="4" t="s">
        <v>7097</v>
      </c>
      <c r="C5647" s="5" t="str">
        <f>IFERROR(__xludf.DUMMYFUNCTION("GOOGLETRANSLATE(B5647,""en"",""es-ES"")"),"Los dos toros furiosos están frenando las cabezas constantemente mientras los Matadores intentan contener los toros dentro de una zona especificada.")</f>
        <v>Los dos toros furiosos están frenando las cabezas constantemente mientras los Matadores intentan contener los toros dentro de una zona especificada.</v>
      </c>
    </row>
    <row r="5648">
      <c r="A5648" s="4" t="s">
        <v>7094</v>
      </c>
      <c r="B5648" s="4" t="s">
        <v>7098</v>
      </c>
      <c r="C5648" s="5" t="str">
        <f>IFERROR(__xludf.DUMMYFUNCTION("GOOGLETRANSLATE(B5648,""en"",""es-ES"")"),"La multitud continúa animando a medida que avanza el evento.")</f>
        <v>La multitud continúa animando a medida que avanza el evento.</v>
      </c>
    </row>
    <row r="5649">
      <c r="A5649" s="4" t="s">
        <v>7099</v>
      </c>
      <c r="B5649" s="4" t="s">
        <v>7100</v>
      </c>
      <c r="C5649" s="5" t="str">
        <f>IFERROR(__xludf.DUMMYFUNCTION("GOOGLETRANSLATE(B5649,""en"",""es-ES"")"),"Una introducción lleva a una mujer que sostiene un acordeón y una mujer con un vestido de novia a su lado.")</f>
        <v>Una introducción lleva a una mujer que sostiene un acordeón y una mujer con un vestido de novia a su lado.</v>
      </c>
    </row>
    <row r="5650">
      <c r="A5650" s="4" t="s">
        <v>7099</v>
      </c>
      <c r="B5650" s="4" t="s">
        <v>7101</v>
      </c>
      <c r="C5650" s="5" t="str">
        <f>IFERROR(__xludf.DUMMYFUNCTION("GOOGLETRANSLATE(B5650,""en"",""es-ES"")"),"Luego, la mujer comienza a tocar el instrumento mientras otros se paran a su alrededor y miran y otros juegan.")</f>
        <v>Luego, la mujer comienza a tocar el instrumento mientras otros se paran a su alrededor y miran y otros juegan.</v>
      </c>
    </row>
    <row r="5651">
      <c r="A5651" s="4" t="s">
        <v>7102</v>
      </c>
      <c r="B5651" s="4" t="s">
        <v>7103</v>
      </c>
      <c r="C5651" s="5" t="str">
        <f>IFERROR(__xludf.DUMMYFUNCTION("GOOGLETRANSLATE(B5651,""en"",""es-ES"")"),"Una mujer está manchando una crema blanca en la frente y las mejillas.")</f>
        <v>Una mujer está manchando una crema blanca en la frente y las mejillas.</v>
      </c>
    </row>
    <row r="5652">
      <c r="A5652" s="4" t="s">
        <v>7102</v>
      </c>
      <c r="B5652" s="4" t="s">
        <v>7104</v>
      </c>
      <c r="C5652" s="5" t="str">
        <f>IFERROR(__xludf.DUMMYFUNCTION("GOOGLETRANSLATE(B5652,""en"",""es-ES"")"),"Ella lo extiende, alisándolo.")</f>
        <v>Ella lo extiende, alisándolo.</v>
      </c>
    </row>
    <row r="5653">
      <c r="A5653" s="4" t="s">
        <v>7105</v>
      </c>
      <c r="B5653" s="4" t="s">
        <v>7106</v>
      </c>
      <c r="C5653" s="5" t="str">
        <f>IFERROR(__xludf.DUMMYFUNCTION("GOOGLETRANSLATE(B5653,""en"",""es-ES"")"),"Un hombre perfora la mejilla de una mujer.")</f>
        <v>Un hombre perfora la mejilla de una mujer.</v>
      </c>
    </row>
    <row r="5654">
      <c r="A5654" s="4" t="s">
        <v>7105</v>
      </c>
      <c r="B5654" s="4" t="s">
        <v>7107</v>
      </c>
      <c r="C5654" s="5" t="str">
        <f>IFERROR(__xludf.DUMMYFUNCTION("GOOGLETRANSLATE(B5654,""en"",""es-ES"")"),"Ella saca la lengua y luego se completa el proceso.")</f>
        <v>Ella saca la lengua y luego se completa el proceso.</v>
      </c>
    </row>
    <row r="5655">
      <c r="A5655" s="4" t="s">
        <v>7108</v>
      </c>
      <c r="B5655" s="4" t="s">
        <v>7109</v>
      </c>
      <c r="C5655" s="5" t="str">
        <f>IFERROR(__xludf.DUMMYFUNCTION("GOOGLETRANSLATE(B5655,""en"",""es-ES"")"),"Una persona está haciendo que sus piernas se enceren sobre una mesa.")</f>
        <v>Una persona está haciendo que sus piernas se enceren sobre una mesa.</v>
      </c>
    </row>
    <row r="5656">
      <c r="A5656" s="4" t="s">
        <v>7108</v>
      </c>
      <c r="B5656" s="4" t="s">
        <v>7110</v>
      </c>
      <c r="C5656" s="5" t="str">
        <f>IFERROR(__xludf.DUMMYFUNCTION("GOOGLETRANSLATE(B5656,""en"",""es-ES"")"),"Frotan algo de loción en sus piernas después.")</f>
        <v>Frotan algo de loción en sus piernas después.</v>
      </c>
    </row>
    <row r="5657">
      <c r="A5657" s="4" t="s">
        <v>7108</v>
      </c>
      <c r="B5657" s="4" t="s">
        <v>7111</v>
      </c>
      <c r="C5657" s="5" t="str">
        <f>IFERROR(__xludf.DUMMYFUNCTION("GOOGLETRANSLATE(B5657,""en"",""es-ES"")"),"Muestran sus piernas enceradas limpias.")</f>
        <v>Muestran sus piernas enceradas limpias.</v>
      </c>
    </row>
    <row r="5658">
      <c r="A5658" s="4" t="s">
        <v>7112</v>
      </c>
      <c r="B5658" s="4" t="s">
        <v>7113</v>
      </c>
      <c r="C5658" s="5" t="str">
        <f>IFERROR(__xludf.DUMMYFUNCTION("GOOGLETRANSLATE(B5658,""en"",""es-ES"")"),"Se ve a un hombre organizar un segmento de noticias que lo lleva a hablar con otras dos personas.")</f>
        <v>Se ve a un hombre organizar un segmento de noticias que lo lleva a hablar con otras dos personas.</v>
      </c>
    </row>
    <row r="5659">
      <c r="A5659" s="4" t="s">
        <v>7112</v>
      </c>
      <c r="B5659" s="4" t="s">
        <v>7114</v>
      </c>
      <c r="C5659" s="5" t="str">
        <f>IFERROR(__xludf.DUMMYFUNCTION("GOOGLETRANSLATE(B5659,""en"",""es-ES"")"),"Se muestran tomas de un joven que juega con su padre mirando a un lado.")</f>
        <v>Se muestran tomas de un joven que juega con su padre mirando a un lado.</v>
      </c>
    </row>
    <row r="5660">
      <c r="A5660" s="4" t="s">
        <v>7112</v>
      </c>
      <c r="B5660" s="4" t="s">
        <v>7115</v>
      </c>
      <c r="C5660" s="5" t="str">
        <f>IFERROR(__xludf.DUMMYFUNCTION("GOOGLETRANSLATE(B5660,""en"",""es-ES"")"),"El hombre continúa jugando mientras su padre mira y habla con el presentador de noticias.")</f>
        <v>El hombre continúa jugando mientras su padre mira y habla con el presentador de noticias.</v>
      </c>
    </row>
    <row r="5661">
      <c r="A5661" s="4" t="s">
        <v>7116</v>
      </c>
      <c r="B5661" s="4" t="s">
        <v>7117</v>
      </c>
      <c r="C5661" s="5" t="str">
        <f>IFERROR(__xludf.DUMMYFUNCTION("GOOGLETRANSLATE(B5661,""en"",""es-ES"")"),"Se ve a una mujer caminando hacia un columpio con un niño pequeño y ponlo en el columpio.")</f>
        <v>Se ve a una mujer caminando hacia un columpio con un niño pequeño y ponlo en el columpio.</v>
      </c>
    </row>
    <row r="5662">
      <c r="A5662" s="4" t="s">
        <v>7116</v>
      </c>
      <c r="B5662" s="4" t="s">
        <v>7118</v>
      </c>
      <c r="C5662" s="5" t="str">
        <f>IFERROR(__xludf.DUMMYFUNCTION("GOOGLETRANSLATE(B5662,""en"",""es-ES"")"),"Se ven varias mujeres con sus hijos balanceándose hacia atrás y cuarto entre ellas, así como los papás jugando con sus hijos.")</f>
        <v>Se ven varias mujeres con sus hijos balanceándose hacia atrás y cuarto entre ellas, así como los papás jugando con sus hijos.</v>
      </c>
    </row>
    <row r="5663">
      <c r="A5663" s="4" t="s">
        <v>7119</v>
      </c>
      <c r="B5663" s="4" t="s">
        <v>7120</v>
      </c>
      <c r="C5663" s="5" t="str">
        <f>IFERROR(__xludf.DUMMYFUNCTION("GOOGLETRANSLATE(B5663,""en"",""es-ES"")"),"Una mujer chef demuestra, en una cocina, frente a una encimera de cocina e ingredientes, cómo preparar una ensalada.")</f>
        <v>Una mujer chef demuestra, en una cocina, frente a una encimera de cocina e ingredientes, cómo preparar una ensalada.</v>
      </c>
    </row>
    <row r="5664">
      <c r="A5664" s="4" t="s">
        <v>7119</v>
      </c>
      <c r="B5664" s="4" t="s">
        <v>7121</v>
      </c>
      <c r="C5664" s="5" t="str">
        <f>IFERROR(__xludf.DUMMYFUNCTION("GOOGLETRANSLATE(B5664,""en"",""es-ES"")"),"Una mujer se para frente a una encimera de cocina con verduras, queso, verduras y aceites y habla con la cámara.")</f>
        <v>Una mujer se para frente a una encimera de cocina con verduras, queso, verduras y aceites y habla con la cámara.</v>
      </c>
    </row>
    <row r="5665">
      <c r="A5665" s="4" t="s">
        <v>7119</v>
      </c>
      <c r="B5665" s="4" t="s">
        <v>7122</v>
      </c>
      <c r="C5665" s="5" t="str">
        <f>IFERROR(__xludf.DUMMYFUNCTION("GOOGLETRANSLATE(B5665,""en"",""es-ES"")"),"La mujer comienza a cortar las verduras y ponerlas en un tazón blanco antes de girar para tirar de los brotes de Bruselas asadas del horno.")</f>
        <v>La mujer comienza a cortar las verduras y ponerlas en un tazón blanco antes de girar para tirar de los brotes de Bruselas asadas del horno.</v>
      </c>
    </row>
    <row r="5666">
      <c r="A5666" s="4" t="s">
        <v>7119</v>
      </c>
      <c r="B5666" s="4" t="s">
        <v>7123</v>
      </c>
      <c r="C5666" s="5" t="str">
        <f>IFERROR(__xludf.DUMMYFUNCTION("GOOGLETRANSLATE(B5666,""en"",""es-ES"")"),"La mujer luego aprieta y naranja y vierte el jugo de naranja en la ensalada con los coles de Brussell y el aceite antes de que la escena se desvanezca.")</f>
        <v>La mujer luego aprieta y naranja y vierte el jugo de naranja en la ensalada con los coles de Brussell y el aceite antes de que la escena se desvanezca.</v>
      </c>
    </row>
    <row r="5667">
      <c r="A5667" s="4" t="s">
        <v>7124</v>
      </c>
      <c r="B5667" s="4" t="s">
        <v>7125</v>
      </c>
      <c r="C5667" s="5" t="str">
        <f>IFERROR(__xludf.DUMMYFUNCTION("GOOGLETRANSLATE(B5667,""en"",""es-ES"")"),"Se ve a un hombre bailando en un club y agarra a una mujer.")</f>
        <v>Se ve a un hombre bailando en un club y agarra a una mujer.</v>
      </c>
    </row>
    <row r="5668">
      <c r="A5668" s="4" t="s">
        <v>7124</v>
      </c>
      <c r="B5668" s="4" t="s">
        <v>7126</v>
      </c>
      <c r="C5668" s="5" t="str">
        <f>IFERROR(__xludf.DUMMYFUNCTION("GOOGLETRANSLATE(B5668,""en"",""es-ES"")"),"El hombre y la mujer comienzan a bailar entre sí en medio del club.")</f>
        <v>El hombre y la mujer comienzan a bailar entre sí en medio del club.</v>
      </c>
    </row>
    <row r="5669">
      <c r="A5669" s="4" t="s">
        <v>7124</v>
      </c>
      <c r="B5669" s="4" t="s">
        <v>7127</v>
      </c>
      <c r="C5669" s="5" t="str">
        <f>IFERROR(__xludf.DUMMYFUNCTION("GOOGLETRANSLATE(B5669,""en"",""es-ES"")"),"Continúan bailando unos a otros mientras otras personas bailan junto a ellos.")</f>
        <v>Continúan bailando unos a otros mientras otras personas bailan junto a ellos.</v>
      </c>
    </row>
    <row r="5670">
      <c r="A5670" s="4" t="s">
        <v>7128</v>
      </c>
      <c r="B5670" s="4" t="s">
        <v>7129</v>
      </c>
      <c r="C5670" s="5" t="str">
        <f>IFERROR(__xludf.DUMMYFUNCTION("GOOGLETRANSLATE(B5670,""en"",""es-ES"")"),"Se ve un primer plano de una mujer mirando a lo lejos y sosteniendo un dardo.")</f>
        <v>Se ve un primer plano de una mujer mirando a lo lejos y sosteniendo un dardo.</v>
      </c>
    </row>
    <row r="5671">
      <c r="A5671" s="4" t="s">
        <v>7128</v>
      </c>
      <c r="B5671" s="4" t="s">
        <v>7130</v>
      </c>
      <c r="C5671" s="5" t="str">
        <f>IFERROR(__xludf.DUMMYFUNCTION("GOOGLETRANSLATE(B5671,""en"",""es-ES"")"),"Ella arroja el dardo al tablero que aparece de cerca.")</f>
        <v>Ella arroja el dardo al tablero que aparece de cerca.</v>
      </c>
    </row>
    <row r="5672">
      <c r="A5672" s="4" t="s">
        <v>7128</v>
      </c>
      <c r="B5672" s="4" t="s">
        <v>7131</v>
      </c>
      <c r="C5672" s="5" t="str">
        <f>IFERROR(__xludf.DUMMYFUNCTION("GOOGLETRANSLATE(B5672,""en"",""es-ES"")"),"La mujer luego aprieta los puños y su lanzamiento se muestra nuevamente.")</f>
        <v>La mujer luego aprieta los puños y su lanzamiento se muestra nuevamente.</v>
      </c>
    </row>
    <row r="5673">
      <c r="A5673" s="4" t="s">
        <v>7132</v>
      </c>
      <c r="B5673" s="4" t="s">
        <v>7133</v>
      </c>
      <c r="C5673" s="5" t="str">
        <f>IFERROR(__xludf.DUMMYFUNCTION("GOOGLETRANSLATE(B5673,""en"",""es-ES"")"),"Dos equipos juegan lanzando en un estadio lleno de gente.")</f>
        <v>Dos equipos juegan lanzando en un estadio lleno de gente.</v>
      </c>
    </row>
    <row r="5674">
      <c r="A5674" s="4" t="s">
        <v>7132</v>
      </c>
      <c r="B5674" s="4" t="s">
        <v>7134</v>
      </c>
      <c r="C5674" s="5" t="str">
        <f>IFERROR(__xludf.DUMMYFUNCTION("GOOGLETRANSLATE(B5674,""en"",""es-ES"")"),"Un jugador sirve una pelota con el palo, y los equipos continúan jugando.")</f>
        <v>Un jugador sirve una pelota con el palo, y los equipos continúan jugando.</v>
      </c>
    </row>
    <row r="5675">
      <c r="A5675" s="4" t="s">
        <v>7132</v>
      </c>
      <c r="B5675" s="4" t="s">
        <v>7135</v>
      </c>
      <c r="C5675" s="5" t="str">
        <f>IFERROR(__xludf.DUMMYFUNCTION("GOOGLETRANSLATE(B5675,""en"",""es-ES"")"),"Dos jugadores disputan la pelota en el aire, luego continúan jugando.")</f>
        <v>Dos jugadores disputan la pelota en el aire, luego continúan jugando.</v>
      </c>
    </row>
    <row r="5676">
      <c r="A5676" s="4" t="s">
        <v>7136</v>
      </c>
      <c r="B5676" s="4" t="s">
        <v>7137</v>
      </c>
      <c r="C5676" s="5" t="str">
        <f>IFERROR(__xludf.DUMMYFUNCTION("GOOGLETRANSLATE(B5676,""en"",""es-ES"")"),"Se ve a un gran grupo de personas de pie alrededor de un pozo de arena temblando de la mano y hablando entre sí.")</f>
        <v>Se ve a un gran grupo de personas de pie alrededor de un pozo de arena temblando de la mano y hablando entre sí.</v>
      </c>
    </row>
    <row r="5677">
      <c r="A5677" s="4" t="s">
        <v>7136</v>
      </c>
      <c r="B5677" s="4" t="s">
        <v>7138</v>
      </c>
      <c r="C5677" s="5" t="str">
        <f>IFERROR(__xludf.DUMMYFUNCTION("GOOGLETRANSLATE(B5677,""en"",""es-ES"")"),"Luego, los hombres comienzan un partido de fútbol entre sí y animan cuando anotan un gol.")</f>
        <v>Luego, los hombres comienzan un partido de fútbol entre sí y animan cuando anotan un gol.</v>
      </c>
    </row>
    <row r="5678">
      <c r="A5678" s="4" t="s">
        <v>7136</v>
      </c>
      <c r="B5678" s="4" t="s">
        <v>7139</v>
      </c>
      <c r="C5678" s="5" t="str">
        <f>IFERROR(__xludf.DUMMYFUNCTION("GOOGLETRANSLATE(B5678,""en"",""es-ES"")"),"Los hombres continúan jugando uno contra el otro mientras la audiencia aplaude y el árbitro se encuentra a un lado.")</f>
        <v>Los hombres continúan jugando uno contra el otro mientras la audiencia aplaude y el árbitro se encuentra a un lado.</v>
      </c>
    </row>
    <row r="5679">
      <c r="A5679" s="4" t="s">
        <v>7140</v>
      </c>
      <c r="B5679" s="4" t="s">
        <v>7141</v>
      </c>
      <c r="C5679" s="5" t="str">
        <f>IFERROR(__xludf.DUMMYFUNCTION("GOOGLETRANSLATE(B5679,""en"",""es-ES"")"),"El hombre se desarme vistiendo zancos en un parque Skaet.")</f>
        <v>El hombre se desarme vistiendo zancos en un parque Skaet.</v>
      </c>
    </row>
    <row r="5680">
      <c r="A5680" s="4" t="s">
        <v>7140</v>
      </c>
      <c r="B5680" s="4" t="s">
        <v>7142</v>
      </c>
      <c r="C5680" s="5" t="str">
        <f>IFERROR(__xludf.DUMMYFUNCTION("GOOGLETRANSLATE(B5680,""en"",""es-ES"")"),"Otro hombre está saltando con el primer hombre en el parque de skate.")</f>
        <v>Otro hombre está saltando con el primer hombre en el parque de skate.</v>
      </c>
    </row>
    <row r="5681">
      <c r="A5681" s="4" t="s">
        <v>7140</v>
      </c>
      <c r="B5681" s="4" t="s">
        <v>7143</v>
      </c>
      <c r="C5681" s="5" t="str">
        <f>IFERROR(__xludf.DUMMYFUNCTION("GOOGLETRANSLATE(B5681,""en"",""es-ES"")"),"El hombre en Skate Park corre mientras un automóvil pasa por la calle.")</f>
        <v>El hombre en Skate Park corre mientras un automóvil pasa por la calle.</v>
      </c>
    </row>
    <row r="5682">
      <c r="A5682" s="4" t="s">
        <v>7144</v>
      </c>
      <c r="B5682" s="4" t="s">
        <v>7145</v>
      </c>
      <c r="C5682" s="5" t="str">
        <f>IFERROR(__xludf.DUMMYFUNCTION("GOOGLETRANSLATE(B5682,""en"",""es-ES"")"),"Se muestran las manos de una mujer envolviendo algo.")</f>
        <v>Se muestran las manos de una mujer envolviendo algo.</v>
      </c>
    </row>
    <row r="5683">
      <c r="A5683" s="4" t="s">
        <v>7144</v>
      </c>
      <c r="B5683" s="4" t="s">
        <v>7146</v>
      </c>
      <c r="C5683" s="5" t="str">
        <f>IFERROR(__xludf.DUMMYFUNCTION("GOOGLETRANSLATE(B5683,""en"",""es-ES"")"),"La mujer habla con la cámara.")</f>
        <v>La mujer habla con la cámara.</v>
      </c>
    </row>
    <row r="5684">
      <c r="A5684" s="4" t="s">
        <v>7144</v>
      </c>
      <c r="B5684" s="4" t="s">
        <v>7147</v>
      </c>
      <c r="C5684" s="5" t="str">
        <f>IFERROR(__xludf.DUMMYFUNCTION("GOOGLETRANSLATE(B5684,""en"",""es-ES"")"),"Se muestran los primeros planos del equipo necesario para esta operación.")</f>
        <v>Se muestran los primeros planos del equipo necesario para esta operación.</v>
      </c>
    </row>
    <row r="5685">
      <c r="A5685" s="4" t="s">
        <v>7144</v>
      </c>
      <c r="B5685" s="4" t="s">
        <v>7148</v>
      </c>
      <c r="C5685" s="5" t="str">
        <f>IFERROR(__xludf.DUMMYFUNCTION("GOOGLETRANSLATE(B5685,""en"",""es-ES"")"),"La mujer envuelve un libro con papel de seda y cinta adhesiva.")</f>
        <v>La mujer envuelve un libro con papel de seda y cinta adhesiva.</v>
      </c>
    </row>
    <row r="5686">
      <c r="A5686" s="4" t="s">
        <v>7144</v>
      </c>
      <c r="B5686" s="4" t="s">
        <v>7149</v>
      </c>
      <c r="C5686" s="5" t="str">
        <f>IFERROR(__xludf.DUMMYFUNCTION("GOOGLETRANSLATE(B5686,""en"",""es-ES"")"),"La mujer corta el papel para dar forma al libro.")</f>
        <v>La mujer corta el papel para dar forma al libro.</v>
      </c>
    </row>
    <row r="5687">
      <c r="A5687" s="4" t="s">
        <v>7144</v>
      </c>
      <c r="B5687" s="4" t="s">
        <v>7150</v>
      </c>
      <c r="C5687" s="5" t="str">
        <f>IFERROR(__xludf.DUMMYFUNCTION("GOOGLETRANSLATE(B5687,""en"",""es-ES"")"),"La mujer envuelve el libro con el papel y la cinta.")</f>
        <v>La mujer envuelve el libro con el papel y la cinta.</v>
      </c>
    </row>
    <row r="5688">
      <c r="A5688" s="4" t="s">
        <v>7144</v>
      </c>
      <c r="B5688" s="4" t="s">
        <v>7151</v>
      </c>
      <c r="C5688" s="5" t="str">
        <f>IFERROR(__xludf.DUMMYFUNCTION("GOOGLETRANSLATE(B5688,""en"",""es-ES"")"),"La mujer habla con la cámara entera sosteniendo el libro envuelto y cinematográfico.")</f>
        <v>La mujer habla con la cámara entera sosteniendo el libro envuelto y cinematográfico.</v>
      </c>
    </row>
    <row r="5689">
      <c r="A5689" s="4" t="s">
        <v>7144</v>
      </c>
      <c r="B5689" s="4" t="s">
        <v>7152</v>
      </c>
      <c r="C5689" s="5" t="str">
        <f>IFERROR(__xludf.DUMMYFUNCTION("GOOGLETRANSLATE(B5689,""en"",""es-ES"")"),"Se muestra un primer plano del libro envuelto y con cinta.")</f>
        <v>Se muestra un primer plano del libro envuelto y con cinta.</v>
      </c>
    </row>
    <row r="5690">
      <c r="A5690" s="4" t="s">
        <v>7153</v>
      </c>
      <c r="B5690" s="4" t="s">
        <v>7154</v>
      </c>
      <c r="C5690" s="5" t="str">
        <f>IFERROR(__xludf.DUMMYFUNCTION("GOOGLETRANSLATE(B5690,""en"",""es-ES"")"),"Se ve a un pequeño grupo de personas sentados alrededor de una mesa de casino hablando entre sí y jugando un juego de póker.")</f>
        <v>Se ve a un pequeño grupo de personas sentados alrededor de una mesa de casino hablando entre sí y jugando un juego de póker.</v>
      </c>
    </row>
    <row r="5691">
      <c r="A5691" s="4" t="s">
        <v>7153</v>
      </c>
      <c r="B5691" s="4" t="s">
        <v>7155</v>
      </c>
      <c r="C5691" s="5" t="str">
        <f>IFERROR(__xludf.DUMMYFUNCTION("GOOGLETRANSLATE(B5691,""en"",""es-ES"")"),"Muchas personas miran a los lados mientras el concesionario reparte cartas y las personas colocan sus chips en el medio.")</f>
        <v>Muchas personas miran a los lados mientras el concesionario reparte cartas y las personas colocan sus chips en el medio.</v>
      </c>
    </row>
    <row r="5692">
      <c r="A5692" s="4" t="s">
        <v>7153</v>
      </c>
      <c r="B5692" s="4" t="s">
        <v>7156</v>
      </c>
      <c r="C5692" s="5" t="str">
        <f>IFERROR(__xludf.DUMMYFUNCTION("GOOGLETRANSLATE(B5692,""en"",""es-ES"")"),"Se muestran más tomas del juego mientras la cámara se desplaza en la cara de una persona.")</f>
        <v>Se muestran más tomas del juego mientras la cámara se desplaza en la cara de una persona.</v>
      </c>
    </row>
    <row r="5693">
      <c r="A5693" s="4" t="s">
        <v>7157</v>
      </c>
      <c r="B5693" s="4" t="s">
        <v>7158</v>
      </c>
      <c r="C5693" s="5" t="str">
        <f>IFERROR(__xludf.DUMMYFUNCTION("GOOGLETRANSLATE(B5693,""en"",""es-ES"")"),"Una dama está hablando en una oficina y sosteniendo un artículo rosa.")</f>
        <v>Una dama está hablando en una oficina y sosteniendo un artículo rosa.</v>
      </c>
    </row>
    <row r="5694">
      <c r="A5694" s="4" t="s">
        <v>7157</v>
      </c>
      <c r="B5694" s="4" t="s">
        <v>7159</v>
      </c>
      <c r="C5694" s="5" t="str">
        <f>IFERROR(__xludf.DUMMYFUNCTION("GOOGLETRANSLATE(B5694,""en"",""es-ES"")"),"La señora arroja el artículo rosa en un tablero de juego en el piso.")</f>
        <v>La señora arroja el artículo rosa en un tablero de juego en el piso.</v>
      </c>
    </row>
    <row r="5695">
      <c r="A5695" s="4" t="s">
        <v>7157</v>
      </c>
      <c r="B5695" s="4" t="s">
        <v>7160</v>
      </c>
      <c r="C5695" s="5" t="str">
        <f>IFERROR(__xludf.DUMMYFUNCTION("GOOGLETRANSLATE(B5695,""en"",""es-ES"")"),"Luego salta a la raya y recoge el artículo rosa.")</f>
        <v>Luego salta a la raya y recoge el artículo rosa.</v>
      </c>
    </row>
    <row r="5696">
      <c r="A5696" s="4" t="s">
        <v>7157</v>
      </c>
      <c r="B5696" s="4" t="s">
        <v>7161</v>
      </c>
      <c r="C5696" s="5" t="str">
        <f>IFERROR(__xludf.DUMMYFUNCTION("GOOGLETRANSLATE(B5696,""en"",""es-ES"")"),"Ella lo vuelve a lanzar y salta de nuevo y regresa recogiendo el artículo rosa.")</f>
        <v>Ella lo vuelve a lanzar y salta de nuevo y regresa recogiendo el artículo rosa.</v>
      </c>
    </row>
    <row r="5697">
      <c r="A5697" s="4" t="s">
        <v>7162</v>
      </c>
      <c r="B5697" s="4" t="s">
        <v>7163</v>
      </c>
      <c r="C5697" s="5" t="str">
        <f>IFERROR(__xludf.DUMMYFUNCTION("GOOGLETRANSLATE(B5697,""en"",""es-ES"")"),"Una persona se está ejecutando en una máquina de ejercicios.")</f>
        <v>Una persona se está ejecutando en una máquina de ejercicios.</v>
      </c>
    </row>
    <row r="5698">
      <c r="A5698" s="4" t="s">
        <v>7162</v>
      </c>
      <c r="B5698" s="4" t="s">
        <v>7164</v>
      </c>
      <c r="C5698" s="5" t="str">
        <f>IFERROR(__xludf.DUMMYFUNCTION("GOOGLETRANSLATE(B5698,""en"",""es-ES"")"),"La cámara se acerca a los pies.")</f>
        <v>La cámara se acerca a los pies.</v>
      </c>
    </row>
    <row r="5699">
      <c r="A5699" s="4" t="s">
        <v>7162</v>
      </c>
      <c r="B5699" s="4" t="s">
        <v>7165</v>
      </c>
      <c r="C5699" s="5" t="str">
        <f>IFERROR(__xludf.DUMMYFUNCTION("GOOGLETRANSLATE(B5699,""en"",""es-ES"")"),"La cámara se mueve a la derecha lentamente.")</f>
        <v>La cámara se mueve a la derecha lentamente.</v>
      </c>
    </row>
    <row r="5700">
      <c r="A5700" s="4" t="s">
        <v>7166</v>
      </c>
      <c r="B5700" s="4" t="s">
        <v>7167</v>
      </c>
      <c r="C5700" s="5" t="str">
        <f>IFERROR(__xludf.DUMMYFUNCTION("GOOGLETRANSLATE(B5700,""en"",""es-ES"")"),"Un hombre le pone un sombrero de chef a una niña mientras un chef le maestra cómo cocinar.")</f>
        <v>Un hombre le pone un sombrero de chef a una niña mientras un chef le maestra cómo cocinar.</v>
      </c>
    </row>
    <row r="5701">
      <c r="A5701" s="4" t="s">
        <v>7166</v>
      </c>
      <c r="B5701" s="4" t="s">
        <v>7168</v>
      </c>
      <c r="C5701" s="5" t="str">
        <f>IFERROR(__xludf.DUMMYFUNCTION("GOOGLETRANSLATE(B5701,""en"",""es-ES"")"),"Ella mezcla varios ingredientes juntos siguiendo las órdenes del chef y prestando mucha atención a sus instrucciones.")</f>
        <v>Ella mezcla varios ingredientes juntos siguiendo las órdenes del chef y prestando mucha atención a sus instrucciones.</v>
      </c>
    </row>
    <row r="5702">
      <c r="A5702" s="4" t="s">
        <v>7166</v>
      </c>
      <c r="B5702" s="4" t="s">
        <v>7169</v>
      </c>
      <c r="C5702" s="5" t="str">
        <f>IFERROR(__xludf.DUMMYFUNCTION("GOOGLETRANSLATE(B5702,""en"",""es-ES"")"),"La niña hace un lote encantador de galletas y se encuentra disfrutando al final, así como la compañía de los demás.")</f>
        <v>La niña hace un lote encantador de galletas y se encuentra disfrutando al final, así como la compañía de los demás.</v>
      </c>
    </row>
    <row r="5703">
      <c r="A5703" s="4" t="s">
        <v>7170</v>
      </c>
      <c r="B5703" s="4" t="s">
        <v>7171</v>
      </c>
      <c r="C5703" s="5" t="str">
        <f>IFERROR(__xludf.DUMMYFUNCTION("GOOGLETRANSLATE(B5703,""en"",""es-ES"")"),"Varios hombres se unen para la cámara.")</f>
        <v>Varios hombres se unen para la cámara.</v>
      </c>
    </row>
    <row r="5704">
      <c r="A5704" s="4" t="s">
        <v>7170</v>
      </c>
      <c r="B5704" s="4" t="s">
        <v>7172</v>
      </c>
      <c r="C5704" s="5" t="str">
        <f>IFERROR(__xludf.DUMMYFUNCTION("GOOGLETRANSLATE(B5704,""en"",""es-ES"")"),"Las escenas de varias personas que realizan demostraciones de capoeira se muestran con audiencias en el fondo y en primer plano.")</f>
        <v>Las escenas de varias personas que realizan demostraciones de capoeira se muestran con audiencias en el fondo y en primer plano.</v>
      </c>
    </row>
    <row r="5705">
      <c r="A5705" s="4" t="s">
        <v>7173</v>
      </c>
      <c r="B5705" s="4" t="s">
        <v>7174</v>
      </c>
      <c r="C5705" s="5" t="str">
        <f>IFERROR(__xludf.DUMMYFUNCTION("GOOGLETRANSLATE(B5705,""en"",""es-ES"")"),"Se muestra a un hombre mayor cortando un árbol caído con un hacha.")</f>
        <v>Se muestra a un hombre mayor cortando un árbol caído con un hacha.</v>
      </c>
    </row>
    <row r="5706">
      <c r="A5706" s="4" t="s">
        <v>7173</v>
      </c>
      <c r="B5706" s="4" t="s">
        <v>7175</v>
      </c>
      <c r="C5706" s="5" t="str">
        <f>IFERROR(__xludf.DUMMYFUNCTION("GOOGLETRANSLATE(B5706,""en"",""es-ES"")"),"Se está esforzando mucho y no progresa mucho.")</f>
        <v>Se está esforzando mucho y no progresa mucho.</v>
      </c>
    </row>
    <row r="5707">
      <c r="A5707" s="4" t="s">
        <v>7173</v>
      </c>
      <c r="B5707" s="4" t="s">
        <v>7176</v>
      </c>
      <c r="C5707" s="5" t="str">
        <f>IFERROR(__xludf.DUMMYFUNCTION("GOOGLETRANSLATE(B5707,""en"",""es-ES"")"),"Parece estar frustrado y está intentando una y otra vez cortar el árbol.")</f>
        <v>Parece estar frustrado y está intentando una y otra vez cortar el árbol.</v>
      </c>
    </row>
    <row r="5708">
      <c r="A5708" s="4" t="s">
        <v>7173</v>
      </c>
      <c r="B5708" s="4" t="s">
        <v>7177</v>
      </c>
      <c r="C5708" s="5" t="str">
        <f>IFERROR(__xludf.DUMMYFUNCTION("GOOGLETRANSLATE(B5708,""en"",""es-ES"")"),"Luego mira la cámara y sonríe ligeramente antes de continuar tratando de cortar el árbol.")</f>
        <v>Luego mira la cámara y sonríe ligeramente antes de continuar tratando de cortar el árbol.</v>
      </c>
    </row>
    <row r="5709">
      <c r="A5709" s="4" t="s">
        <v>7173</v>
      </c>
      <c r="B5709" s="4" t="s">
        <v>7178</v>
      </c>
      <c r="C5709" s="5" t="str">
        <f>IFERROR(__xludf.DUMMYFUNCTION("GOOGLETRANSLATE(B5709,""en"",""es-ES"")"),"Se detiene de nuevo y mira la cámara.")</f>
        <v>Se detiene de nuevo y mira la cámara.</v>
      </c>
    </row>
    <row r="5710">
      <c r="A5710" s="4" t="s">
        <v>7173</v>
      </c>
      <c r="B5710" s="4" t="s">
        <v>7179</v>
      </c>
      <c r="C5710" s="5" t="str">
        <f>IFERROR(__xludf.DUMMYFUNCTION("GOOGLETRANSLATE(B5710,""en"",""es-ES"")"),"Se muestra un primer plano de él intentando una y otra vez antes de alejarse.")</f>
        <v>Se muestra un primer plano de él intentando una y otra vez antes de alejarse.</v>
      </c>
    </row>
    <row r="5711">
      <c r="A5711" s="4" t="s">
        <v>7173</v>
      </c>
      <c r="B5711" s="4" t="s">
        <v>7180</v>
      </c>
      <c r="C5711" s="5" t="str">
        <f>IFERROR(__xludf.DUMMYFUNCTION("GOOGLETRANSLATE(B5711,""en"",""es-ES"")"),"La cámara luego vuelve a la cara mientras continúa.")</f>
        <v>La cámara luego vuelve a la cara mientras continúa.</v>
      </c>
    </row>
    <row r="5712">
      <c r="A5712" s="4" t="s">
        <v>7181</v>
      </c>
      <c r="B5712" s="4" t="s">
        <v>7182</v>
      </c>
      <c r="C5712" s="5" t="str">
        <f>IFERROR(__xludf.DUMMYFUNCTION("GOOGLETRANSLATE(B5712,""en"",""es-ES"")"),"Tres mujeres aparecen en la pantalla haciendo un baile tribal en un estudio de entrenamiento.")</f>
        <v>Tres mujeres aparecen en la pantalla haciendo un baile tribal en un estudio de entrenamiento.</v>
      </c>
    </row>
    <row r="5713">
      <c r="A5713" s="4" t="s">
        <v>7181</v>
      </c>
      <c r="B5713" s="4" t="s">
        <v>7183</v>
      </c>
      <c r="C5713" s="5" t="str">
        <f>IFERROR(__xludf.DUMMYFUNCTION("GOOGLETRANSLATE(B5713,""en"",""es-ES"")"),"Una de las mujeres hace una actuación en solitario mientras la música se reproduce en el fondo.")</f>
        <v>Una de las mujeres hace una actuación en solitario mientras la música se reproduce en el fondo.</v>
      </c>
    </row>
    <row r="5714">
      <c r="A5714" s="4" t="s">
        <v>7181</v>
      </c>
      <c r="B5714" s="4" t="s">
        <v>7184</v>
      </c>
      <c r="C5714" s="5" t="str">
        <f>IFERROR(__xludf.DUMMYFUNCTION("GOOGLETRANSLATE(B5714,""en"",""es-ES"")"),"Las tres mujeres se muestran nuevamente haciendo el baile en el escenario, mientras que otras personas hacen el mismo baile frente al escenario.")</f>
        <v>Las tres mujeres se muestran nuevamente haciendo el baile en el escenario, mientras que otras personas hacen el mismo baile frente al escenario.</v>
      </c>
    </row>
    <row r="5715">
      <c r="A5715" s="4" t="s">
        <v>7181</v>
      </c>
      <c r="B5715" s="4" t="s">
        <v>7185</v>
      </c>
      <c r="C5715" s="5" t="str">
        <f>IFERROR(__xludf.DUMMYFUNCTION("GOOGLETRANSLATE(B5715,""en"",""es-ES"")"),"El trío de mujeres regresa a la pantalla y continúa el baile en el estudio.")</f>
        <v>El trío de mujeres regresa a la pantalla y continúa el baile en el estudio.</v>
      </c>
    </row>
    <row r="5716">
      <c r="A5716" s="4" t="s">
        <v>7181</v>
      </c>
      <c r="B5716" s="4" t="s">
        <v>7186</v>
      </c>
      <c r="C5716" s="5" t="str">
        <f>IFERROR(__xludf.DUMMYFUNCTION("GOOGLETRANSLATE(B5716,""en"",""es-ES"")"),"Se aparecen en el escenario haciendo el baile mientras la cámara los filma.")</f>
        <v>Se aparecen en el escenario haciendo el baile mientras la cámara los filma.</v>
      </c>
    </row>
    <row r="5717">
      <c r="A5717" s="4" t="s">
        <v>7181</v>
      </c>
      <c r="B5717" s="4" t="s">
        <v>7187</v>
      </c>
      <c r="C5717" s="5" t="str">
        <f>IFERROR(__xludf.DUMMYFUNCTION("GOOGLETRANSLATE(B5717,""en"",""es-ES"")"),"La cámara va y viene entre ellos haciendo el baile en el escenario y fuera del escenario mostrando diferentes ángulos.")</f>
        <v>La cámara va y viene entre ellos haciendo el baile en el escenario y fuera del escenario mostrando diferentes ángulos.</v>
      </c>
    </row>
    <row r="5718">
      <c r="A5718" s="4" t="s">
        <v>7188</v>
      </c>
      <c r="B5718" s="4" t="s">
        <v>7189</v>
      </c>
      <c r="C5718" s="5" t="str">
        <f>IFERROR(__xludf.DUMMYFUNCTION("GOOGLETRANSLATE(B5718,""en"",""es-ES"")"),"Dos hombres están dentro de un gimnasio interior.")</f>
        <v>Dos hombres están dentro de un gimnasio interior.</v>
      </c>
    </row>
    <row r="5719">
      <c r="A5719" s="4" t="s">
        <v>7188</v>
      </c>
      <c r="B5719" s="4" t="s">
        <v>7190</v>
      </c>
      <c r="C5719" s="5" t="str">
        <f>IFERROR(__xludf.DUMMYFUNCTION("GOOGLETRANSLATE(B5719,""en"",""es-ES"")"),"Están comprometidos en un arte marcial llamado kickboxing.")</f>
        <v>Están comprometidos en un arte marcial llamado kickboxing.</v>
      </c>
    </row>
    <row r="5720">
      <c r="A5720" s="4" t="s">
        <v>7188</v>
      </c>
      <c r="B5720" s="4" t="s">
        <v>7191</v>
      </c>
      <c r="C5720" s="5" t="str">
        <f>IFERROR(__xludf.DUMMYFUNCTION("GOOGLETRANSLATE(B5720,""en"",""es-ES"")"),"Se patean y se golpean, tratando de golpearse.")</f>
        <v>Se patean y se golpean, tratando de golpearse.</v>
      </c>
    </row>
    <row r="5721">
      <c r="A5721" s="4" t="s">
        <v>7192</v>
      </c>
      <c r="B5721" s="4" t="s">
        <v>7193</v>
      </c>
      <c r="C5721" s="5" t="str">
        <f>IFERROR(__xludf.DUMMYFUNCTION("GOOGLETRANSLATE(B5721,""en"",""es-ES"")"),"Dos tipos están hablando tonto en la cámara con cosas envueltas alrededor de sus cabezas.")</f>
        <v>Dos tipos están hablando tonto en la cámara con cosas envueltas alrededor de sus cabezas.</v>
      </c>
    </row>
    <row r="5722">
      <c r="A5722" s="4" t="s">
        <v>7192</v>
      </c>
      <c r="B5722" s="4" t="s">
        <v>7194</v>
      </c>
      <c r="C5722" s="5" t="str">
        <f>IFERROR(__xludf.DUMMYFUNCTION("GOOGLETRANSLATE(B5722,""en"",""es-ES"")"),"Entonces ves a todos jugando a Beer Pong pasando un buen rato afuera bromeando y bailando.")</f>
        <v>Entonces ves a todos jugando a Beer Pong pasando un buen rato afuera bromeando y bailando.</v>
      </c>
    </row>
    <row r="5723">
      <c r="A5723" s="4" t="s">
        <v>7192</v>
      </c>
      <c r="B5723" s="4" t="s">
        <v>7195</v>
      </c>
      <c r="C5723" s="5" t="str">
        <f>IFERROR(__xludf.DUMMYFUNCTION("GOOGLETRANSLATE(B5723,""en"",""es-ES"")"),"Un grupo comienza a tomar selfies y todos están vestidos muy divertidos.")</f>
        <v>Un grupo comienza a tomar selfies y todos están vestidos muy divertidos.</v>
      </c>
    </row>
    <row r="5724">
      <c r="A5724" s="4" t="s">
        <v>7192</v>
      </c>
      <c r="B5724" s="4" t="s">
        <v>7196</v>
      </c>
      <c r="C5724" s="5" t="str">
        <f>IFERROR(__xludf.DUMMYFUNCTION("GOOGLETRANSLATE(B5724,""en"",""es-ES"")"),"Uno de los tipos sale de la cámara y todos continúan jugando a Bee Pong y estar salvaje disfrutando de su tiempo.")</f>
        <v>Uno de los tipos sale de la cámara y todos continúan jugando a Bee Pong y estar salvaje disfrutando de su tiempo.</v>
      </c>
    </row>
    <row r="5725">
      <c r="A5725" s="4" t="s">
        <v>7197</v>
      </c>
      <c r="B5725" s="4" t="s">
        <v>7198</v>
      </c>
      <c r="C5725" s="5" t="str">
        <f>IFERROR(__xludf.DUMMYFUNCTION("GOOGLETRANSLATE(B5725,""en"",""es-ES"")"),"Se muestran varios tiros de personas que juegan baloncesto y conducen a dos hombres que demuestran un movimiento.")</f>
        <v>Se muestran varios tiros de personas que juegan baloncesto y conducen a dos hombres que demuestran un movimiento.</v>
      </c>
    </row>
    <row r="5726">
      <c r="A5726" s="4" t="s">
        <v>7197</v>
      </c>
      <c r="B5726" s="4" t="s">
        <v>7199</v>
      </c>
      <c r="C5726" s="5" t="str">
        <f>IFERROR(__xludf.DUMMYFUNCTION("GOOGLETRANSLATE(B5726,""en"",""es-ES"")"),"El mismo movimiento se muestra nuevamente desde varios ángulos e instructor del usuario cómo hacerlo.")</f>
        <v>El mismo movimiento se muestra nuevamente desde varios ángulos e instructor del usuario cómo hacerlo.</v>
      </c>
    </row>
    <row r="5727">
      <c r="A5727" s="4" t="s">
        <v>7197</v>
      </c>
      <c r="B5727" s="4" t="s">
        <v>7200</v>
      </c>
      <c r="C5727" s="5" t="str">
        <f>IFERROR(__xludf.DUMMYFUNCTION("GOOGLETRANSLATE(B5727,""en"",""es-ES"")"),"Se muestran más trucos, así como instrucción paso a paso sobre cómo hacerlo correctamente.")</f>
        <v>Se muestran más trucos, así como instrucción paso a paso sobre cómo hacerlo correctamente.</v>
      </c>
    </row>
    <row r="5728">
      <c r="A5728" s="4" t="s">
        <v>7201</v>
      </c>
      <c r="B5728" s="4" t="s">
        <v>7202</v>
      </c>
      <c r="C5728" s="5" t="str">
        <f>IFERROR(__xludf.DUMMYFUNCTION("GOOGLETRANSLATE(B5728,""en"",""es-ES"")"),"Una mujer está parada detrás de una variedad de dulces en una cocina.")</f>
        <v>Una mujer está parada detrás de una variedad de dulces en una cocina.</v>
      </c>
    </row>
    <row r="5729">
      <c r="A5729" s="4" t="s">
        <v>7201</v>
      </c>
      <c r="B5729" s="4" t="s">
        <v>7203</v>
      </c>
      <c r="C5729" s="5" t="str">
        <f>IFERROR(__xludf.DUMMYFUNCTION("GOOGLETRANSLATE(B5729,""en"",""es-ES"")"),"Se muestran varios pasteles diferentes.")</f>
        <v>Se muestran varios pasteles diferentes.</v>
      </c>
    </row>
    <row r="5730">
      <c r="A5730" s="4" t="s">
        <v>7201</v>
      </c>
      <c r="B5730" s="4" t="s">
        <v>7204</v>
      </c>
      <c r="C5730" s="5" t="str">
        <f>IFERROR(__xludf.DUMMYFUNCTION("GOOGLETRANSLATE(B5730,""en"",""es-ES"")"),"Los ingredientes se muestran junto a las acciones que mezclan ingredientes.")</f>
        <v>Los ingredientes se muestran junto a las acciones que mezclan ingredientes.</v>
      </c>
    </row>
    <row r="5731">
      <c r="A5731" s="4" t="s">
        <v>7201</v>
      </c>
      <c r="B5731" s="4" t="s">
        <v>7205</v>
      </c>
      <c r="C5731" s="5" t="str">
        <f>IFERROR(__xludf.DUMMYFUNCTION("GOOGLETRANSLATE(B5731,""en"",""es-ES"")"),"La mujer desmenuja el pastel en un tazón, luego agrega glaseado mientras habla.")</f>
        <v>La mujer desmenuja el pastel en un tazón, luego agrega glaseado mientras habla.</v>
      </c>
    </row>
    <row r="5732">
      <c r="A5732" s="4" t="s">
        <v>7201</v>
      </c>
      <c r="B5732" s="4" t="s">
        <v>7206</v>
      </c>
      <c r="C5732" s="5" t="str">
        <f>IFERROR(__xludf.DUMMYFUNCTION("GOOGLETRANSLATE(B5732,""en"",""es-ES"")"),"Ella les permite sentarse antes de derretir el recubrimiento de caramelo, en el que luego sumerge las bolas de pastel.")</f>
        <v>Ella les permite sentarse antes de derretir el recubrimiento de caramelo, en el que luego sumerge las bolas de pastel.</v>
      </c>
    </row>
    <row r="5733">
      <c r="A5733" s="4" t="s">
        <v>7201</v>
      </c>
      <c r="B5733" s="4" t="s">
        <v>7207</v>
      </c>
      <c r="C5733" s="5" t="str">
        <f>IFERROR(__xludf.DUMMYFUNCTION("GOOGLETRANSLATE(B5733,""en"",""es-ES"")"),"Ella decora la pelota de pastel en las etapas finales.")</f>
        <v>Ella decora la pelota de pastel en las etapas finales.</v>
      </c>
    </row>
    <row r="5734">
      <c r="A5734" s="4" t="s">
        <v>7201</v>
      </c>
      <c r="B5734" s="4" t="s">
        <v>7208</v>
      </c>
      <c r="C5734" s="5" t="str">
        <f>IFERROR(__xludf.DUMMYFUNCTION("GOOGLETRANSLATE(B5734,""en"",""es-ES"")"),"Se muestra una serie final de pasteles mientras termina el segmento.")</f>
        <v>Se muestra una serie final de pasteles mientras termina el segmento.</v>
      </c>
    </row>
    <row r="5735">
      <c r="A5735" s="4" t="s">
        <v>7209</v>
      </c>
      <c r="B5735" s="4" t="s">
        <v>7210</v>
      </c>
      <c r="C5735" s="5" t="str">
        <f>IFERROR(__xludf.DUMMYFUNCTION("GOOGLETRANSLATE(B5735,""en"",""es-ES"")"),"Una mujer está levantando y en cuclillas dentro de un gimnasio con una barra sobre los hombros.")</f>
        <v>Una mujer está levantando y en cuclillas dentro de un gimnasio con una barra sobre los hombros.</v>
      </c>
    </row>
    <row r="5736">
      <c r="A5736" s="4" t="s">
        <v>7209</v>
      </c>
      <c r="B5736" s="4" t="s">
        <v>7211</v>
      </c>
      <c r="C5736" s="5" t="str">
        <f>IFERROR(__xludf.DUMMYFUNCTION("GOOGLETRANSLATE(B5736,""en"",""es-ES"")"),"Ella se levanta y luego se sienta una y otra vez.")</f>
        <v>Ella se levanta y luego se sienta una y otra vez.</v>
      </c>
    </row>
    <row r="5737">
      <c r="A5737" s="4" t="s">
        <v>7212</v>
      </c>
      <c r="B5737" s="4" t="s">
        <v>7213</v>
      </c>
      <c r="C5737" s="5" t="str">
        <f>IFERROR(__xludf.DUMMYFUNCTION("GOOGLETRANSLATE(B5737,""en"",""es-ES"")"),"Un hombre con una camisa negra sostiene un saxofón.")</f>
        <v>Un hombre con una camisa negra sostiene un saxofón.</v>
      </c>
    </row>
    <row r="5738">
      <c r="A5738" s="4" t="s">
        <v>7212</v>
      </c>
      <c r="B5738" s="4" t="s">
        <v>7214</v>
      </c>
      <c r="C5738" s="5" t="str">
        <f>IFERROR(__xludf.DUMMYFUNCTION("GOOGLETRANSLATE(B5738,""en"",""es-ES"")"),"Comienza a tocar el saxofón.")</f>
        <v>Comienza a tocar el saxofón.</v>
      </c>
    </row>
    <row r="5739">
      <c r="A5739" s="4" t="s">
        <v>7212</v>
      </c>
      <c r="B5739" s="4" t="s">
        <v>7215</v>
      </c>
      <c r="C5739" s="5" t="str">
        <f>IFERROR(__xludf.DUMMYFUNCTION("GOOGLETRANSLATE(B5739,""en"",""es-ES"")"),"Deja de jugar y continúa hablando.")</f>
        <v>Deja de jugar y continúa hablando.</v>
      </c>
    </row>
    <row r="5740">
      <c r="A5740" s="4" t="s">
        <v>7216</v>
      </c>
      <c r="B5740" s="4" t="s">
        <v>7217</v>
      </c>
      <c r="C5740" s="5" t="str">
        <f>IFERROR(__xludf.DUMMYFUNCTION("GOOGLETRANSLATE(B5740,""en"",""es-ES"")"),"Una introducción conduce a varias tomas de varios ingredientes establecidos en un tablero de madera, seguido de un conjunto de manos cortando ciertos ingredientes.")</f>
        <v>Una introducción conduce a varias tomas de varios ingredientes establecidos en un tablero de madera, seguido de un conjunto de manos cortando ciertos ingredientes.</v>
      </c>
    </row>
    <row r="5741">
      <c r="A5741" s="4" t="s">
        <v>7216</v>
      </c>
      <c r="B5741" s="4" t="s">
        <v>7218</v>
      </c>
      <c r="C5741" s="5" t="str">
        <f>IFERROR(__xludf.DUMMYFUNCTION("GOOGLETRANSLATE(B5741,""en"",""es-ES"")"),"Una persona luego califica un poco de queso en un tazón y se abre la pasta.")</f>
        <v>Una persona luego califica un poco de queso en un tazón y se abre la pasta.</v>
      </c>
    </row>
    <row r="5742">
      <c r="A5742" s="4" t="s">
        <v>7216</v>
      </c>
      <c r="B5742" s="4" t="s">
        <v>7219</v>
      </c>
      <c r="C5742" s="5" t="str">
        <f>IFERROR(__xludf.DUMMYFUNCTION("GOOGLETRANSLATE(B5742,""en"",""es-ES"")"),"Pusieron la pasta en un tazón, así como freír los camarones y pone todos los ingredientes en una sartén.")</f>
        <v>Pusieron la pasta en un tazón, así como freír los camarones y pone todos los ingredientes en una sartén.</v>
      </c>
    </row>
    <row r="5743">
      <c r="A5743" s="4" t="s">
        <v>7216</v>
      </c>
      <c r="B5743" s="4" t="s">
        <v>7220</v>
      </c>
      <c r="C5743" s="5" t="str">
        <f>IFERROR(__xludf.DUMMYFUNCTION("GOOGLETRANSLATE(B5743,""en"",""es-ES"")"),"La persona luego sirve la comida en un plato y aparece texto en la pantalla.")</f>
        <v>La persona luego sirve la comida en un plato y aparece texto en la pantalla.</v>
      </c>
    </row>
    <row r="5744">
      <c r="A5744" s="4" t="s">
        <v>7221</v>
      </c>
      <c r="B5744" s="4" t="s">
        <v>7222</v>
      </c>
      <c r="C5744" s="5" t="str">
        <f>IFERROR(__xludf.DUMMYFUNCTION("GOOGLETRANSLATE(B5744,""en"",""es-ES"")"),"El título aparece y se desvanece.")</f>
        <v>El título aparece y se desvanece.</v>
      </c>
    </row>
    <row r="5745">
      <c r="A5745" s="4" t="s">
        <v>7221</v>
      </c>
      <c r="B5745" s="4" t="s">
        <v>7223</v>
      </c>
      <c r="C5745" s="5" t="str">
        <f>IFERROR(__xludf.DUMMYFUNCTION("GOOGLETRANSLATE(B5745,""en"",""es-ES"")"),"Vemos a un hombre que se acerca a su cabeza.")</f>
        <v>Vemos a un hombre que se acerca a su cabeza.</v>
      </c>
    </row>
    <row r="5746">
      <c r="A5746" s="4" t="s">
        <v>7221</v>
      </c>
      <c r="B5746" s="4" t="s">
        <v>7224</v>
      </c>
      <c r="C5746" s="5" t="str">
        <f>IFERROR(__xludf.DUMMYFUNCTION("GOOGLETRANSLATE(B5746,""en"",""es-ES"")"),"Tres hombres pasan en el espejo.")</f>
        <v>Tres hombres pasan en el espejo.</v>
      </c>
    </row>
    <row r="5747">
      <c r="A5747" s="4" t="s">
        <v>7221</v>
      </c>
      <c r="B5747" s="4" t="s">
        <v>7225</v>
      </c>
      <c r="C5747" s="5" t="str">
        <f>IFERROR(__xludf.DUMMYFUNCTION("GOOGLETRANSLATE(B5747,""en"",""es-ES"")"),"La cámara se acerca al tema principal.")</f>
        <v>La cámara se acerca al tema principal.</v>
      </c>
    </row>
    <row r="5748">
      <c r="A5748" s="4" t="s">
        <v>7221</v>
      </c>
      <c r="B5748" s="4" t="s">
        <v>7226</v>
      </c>
      <c r="C5748" s="5" t="str">
        <f>IFERROR(__xludf.DUMMYFUNCTION("GOOGLETRANSLATE(B5748,""en"",""es-ES"")"),"Un hombre de gris pasa en el espejo.")</f>
        <v>Un hombre de gris pasa en el espejo.</v>
      </c>
    </row>
    <row r="5749">
      <c r="A5749" s="4" t="s">
        <v>7221</v>
      </c>
      <c r="B5749" s="4" t="s">
        <v>7227</v>
      </c>
      <c r="C5749" s="5" t="str">
        <f>IFERROR(__xludf.DUMMYFUNCTION("GOOGLETRANSLATE(B5749,""en"",""es-ES"")"),"La pantalla se vuelve negra y vemos los créditos finales.")</f>
        <v>La pantalla se vuelve negra y vemos los créditos finales.</v>
      </c>
    </row>
    <row r="5750">
      <c r="A5750" s="4" t="s">
        <v>7228</v>
      </c>
      <c r="B5750" s="4" t="s">
        <v>7229</v>
      </c>
      <c r="C5750" s="5" t="str">
        <f>IFERROR(__xludf.DUMMYFUNCTION("GOOGLETRANSLATE(B5750,""en"",""es-ES"")"),"Se muestra una botella de gel de limpieza profunda.")</f>
        <v>Se muestra una botella de gel de limpieza profunda.</v>
      </c>
    </row>
    <row r="5751">
      <c r="A5751" s="4" t="s">
        <v>7228</v>
      </c>
      <c r="B5751" s="4" t="s">
        <v>7230</v>
      </c>
      <c r="C5751" s="5" t="str">
        <f>IFERROR(__xludf.DUMMYFUNCTION("GOOGLETRANSLATE(B5751,""en"",""es-ES"")"),"Una mujer levanta la botella, luego se muestra usando varias soluciones diferentes que ella se alinea en el mostrador.")</f>
        <v>Una mujer levanta la botella, luego se muestra usando varias soluciones diferentes que ella se alinea en el mostrador.</v>
      </c>
    </row>
    <row r="5752">
      <c r="A5752" s="4" t="s">
        <v>7228</v>
      </c>
      <c r="B5752" s="4" t="s">
        <v>7231</v>
      </c>
      <c r="C5752" s="5" t="str">
        <f>IFERROR(__xludf.DUMMYFUNCTION("GOOGLETRANSLATE(B5752,""en"",""es-ES"")"),"Ella usa cada uno en su rostro, luego los enjuague.")</f>
        <v>Ella usa cada uno en su rostro, luego los enjuague.</v>
      </c>
    </row>
    <row r="5753">
      <c r="A5753" s="4" t="s">
        <v>7232</v>
      </c>
      <c r="B5753" s="4" t="s">
        <v>7233</v>
      </c>
      <c r="C5753" s="5" t="str">
        <f>IFERROR(__xludf.DUMMYFUNCTION("GOOGLETRANSLATE(B5753,""en"",""es-ES"")"),"Vemos una pantalla de título azul con letras blancas.")</f>
        <v>Vemos una pantalla de título azul con letras blancas.</v>
      </c>
    </row>
    <row r="5754">
      <c r="A5754" s="4" t="s">
        <v>7232</v>
      </c>
      <c r="B5754" s="4" t="s">
        <v>7234</v>
      </c>
      <c r="C5754" s="5" t="str">
        <f>IFERROR(__xludf.DUMMYFUNCTION("GOOGLETRANSLATE(B5754,""en"",""es-ES"")"),"Vemos a dos chicas de pie en una habitación, luego realizamos un flip.")</f>
        <v>Vemos a dos chicas de pie en una habitación, luego realizamos un flip.</v>
      </c>
    </row>
    <row r="5755">
      <c r="A5755" s="4" t="s">
        <v>7232</v>
      </c>
      <c r="B5755" s="4" t="s">
        <v>7235</v>
      </c>
      <c r="C5755" s="5" t="str">
        <f>IFERROR(__xludf.DUMMYFUNCTION("GOOGLETRANSLATE(B5755,""en"",""es-ES"")"),"Vemos que 2 chicas diferentes hacen volteretas diferentes.")</f>
        <v>Vemos que 2 chicas diferentes hacen volteretas diferentes.</v>
      </c>
    </row>
    <row r="5756">
      <c r="A5756" s="4" t="s">
        <v>7232</v>
      </c>
      <c r="B5756" s="4" t="s">
        <v>7236</v>
      </c>
      <c r="C5756" s="5" t="str">
        <f>IFERROR(__xludf.DUMMYFUNCTION("GOOGLETRANSLATE(B5756,""en"",""es-ES"")"),"Una niña hace un volteo de espalda.")</f>
        <v>Una niña hace un volteo de espalda.</v>
      </c>
    </row>
    <row r="5757">
      <c r="A5757" s="4" t="s">
        <v>7232</v>
      </c>
      <c r="B5757" s="4" t="s">
        <v>7237</v>
      </c>
      <c r="C5757" s="5" t="str">
        <f>IFERROR(__xludf.DUMMYFUNCTION("GOOGLETRANSLATE(B5757,""en"",""es-ES"")"),"Luego vemos que cuatro chicas hacen un volteo de espalda.")</f>
        <v>Luego vemos que cuatro chicas hacen un volteo de espalda.</v>
      </c>
    </row>
    <row r="5758">
      <c r="A5758" s="4" t="s">
        <v>7238</v>
      </c>
      <c r="B5758" s="4" t="s">
        <v>7239</v>
      </c>
      <c r="C5758" s="5" t="str">
        <f>IFERROR(__xludf.DUMMYFUNCTION("GOOGLETRANSLATE(B5758,""en"",""es-ES"")"),"Vemos una pantalla de título negro.")</f>
        <v>Vemos una pantalla de título negro.</v>
      </c>
    </row>
    <row r="5759">
      <c r="A5759" s="4" t="s">
        <v>7238</v>
      </c>
      <c r="B5759" s="4" t="s">
        <v>7240</v>
      </c>
      <c r="C5759" s="5" t="str">
        <f>IFERROR(__xludf.DUMMYFUNCTION("GOOGLETRANSLATE(B5759,""en"",""es-ES"")"),"Vemos a un hombre que le recorta el pelo facial con una rasuradora eléctrica.")</f>
        <v>Vemos a un hombre que le recorta el pelo facial con una rasuradora eléctrica.</v>
      </c>
    </row>
    <row r="5760">
      <c r="A5760" s="4" t="s">
        <v>7238</v>
      </c>
      <c r="B5760" s="4" t="s">
        <v>7241</v>
      </c>
      <c r="C5760" s="5" t="str">
        <f>IFERROR(__xludf.DUMMYFUNCTION("GOOGLETRANSLATE(B5760,""en"",""es-ES"")"),"Vemos a un hombre afeitado con una maquinilla de afeitar recta.")</f>
        <v>Vemos a un hombre afeitado con una maquinilla de afeitar recta.</v>
      </c>
    </row>
    <row r="5761">
      <c r="A5761" s="4" t="s">
        <v>7238</v>
      </c>
      <c r="B5761" s="4" t="s">
        <v>7242</v>
      </c>
      <c r="C5761" s="5" t="str">
        <f>IFERROR(__xludf.DUMMYFUNCTION("GOOGLETRANSLATE(B5761,""en"",""es-ES"")"),"Luego vemos la pantalla de cierre.")</f>
        <v>Luego vemos la pantalla de cierre.</v>
      </c>
    </row>
    <row r="5762">
      <c r="A5762" s="4" t="s">
        <v>7243</v>
      </c>
      <c r="B5762" s="4" t="s">
        <v>7244</v>
      </c>
      <c r="C5762" s="5" t="str">
        <f>IFERROR(__xludf.DUMMYFUNCTION("GOOGLETRANSLATE(B5762,""en"",""es-ES"")"),"Un hombre se acerca a una barra y se inclina, levantando las rodillas.")</f>
        <v>Un hombre se acerca a una barra y se inclina, levantando las rodillas.</v>
      </c>
    </row>
    <row r="5763">
      <c r="A5763" s="4" t="s">
        <v>7243</v>
      </c>
      <c r="B5763" s="4" t="s">
        <v>7245</v>
      </c>
      <c r="C5763" s="5" t="str">
        <f>IFERROR(__xludf.DUMMYFUNCTION("GOOGLETRANSLATE(B5763,""en"",""es-ES"")"),"Levanta la barra hasta su pecho, descansa por un momento, luego la levanta sobre su cabeza.")</f>
        <v>Levanta la barra hasta su pecho, descansa por un momento, luego la levanta sobre su cabeza.</v>
      </c>
    </row>
    <row r="5764">
      <c r="A5764" s="4" t="s">
        <v>7243</v>
      </c>
      <c r="B5764" s="4" t="s">
        <v>7246</v>
      </c>
      <c r="C5764" s="5" t="str">
        <f>IFERROR(__xludf.DUMMYFUNCTION("GOOGLETRANSLATE(B5764,""en"",""es-ES"")"),"Sostiene la pose por unos segundos antes de dejarla caer al suelo.")</f>
        <v>Sostiene la pose por unos segundos antes de dejarla caer al suelo.</v>
      </c>
    </row>
    <row r="5765">
      <c r="A5765" s="4" t="s">
        <v>7247</v>
      </c>
      <c r="B5765" s="4" t="s">
        <v>7248</v>
      </c>
      <c r="C5765" s="5" t="str">
        <f>IFERROR(__xludf.DUMMYFUNCTION("GOOGLETRANSLATE(B5765,""en"",""es-ES"")"),"Se ve una sombra en la habitación ahumada.")</f>
        <v>Se ve una sombra en la habitación ahumada.</v>
      </c>
    </row>
    <row r="5766">
      <c r="A5766" s="4" t="s">
        <v>7247</v>
      </c>
      <c r="B5766" s="4" t="s">
        <v>7249</v>
      </c>
      <c r="C5766" s="5" t="str">
        <f>IFERROR(__xludf.DUMMYFUNCTION("GOOGLETRANSLATE(B5766,""en"",""es-ES"")"),"Una mujer se está duchando y lavándose el cabello.")</f>
        <v>Una mujer se está duchando y lavándose el cabello.</v>
      </c>
    </row>
    <row r="5767">
      <c r="A5767" s="4" t="s">
        <v>7247</v>
      </c>
      <c r="B5767" s="4" t="s">
        <v>7250</v>
      </c>
      <c r="C5767" s="5" t="str">
        <f>IFERROR(__xludf.DUMMYFUNCTION("GOOGLETRANSLATE(B5767,""en"",""es-ES"")"),"Ella lo separa en hebras, poniendo acondicionador en él.")</f>
        <v>Ella lo separa en hebras, poniendo acondicionador en él.</v>
      </c>
    </row>
    <row r="5768">
      <c r="A5768" s="4" t="s">
        <v>7251</v>
      </c>
      <c r="B5768" s="4" t="s">
        <v>7252</v>
      </c>
      <c r="C5768" s="5" t="str">
        <f>IFERROR(__xludf.DUMMYFUNCTION("GOOGLETRANSLATE(B5768,""en"",""es-ES"")"),"Se ve a una mujer con un sombrero divertido mientras habla con la cámara y sentada en una silla.")</f>
        <v>Se ve a una mujer con un sombrero divertido mientras habla con la cámara y sentada en una silla.</v>
      </c>
    </row>
    <row r="5769">
      <c r="A5769" s="4" t="s">
        <v>7251</v>
      </c>
      <c r="B5769" s="4" t="s">
        <v>7253</v>
      </c>
      <c r="C5769" s="5" t="str">
        <f>IFERROR(__xludf.DUMMYFUNCTION("GOOGLETRANSLATE(B5769,""en"",""es-ES"")"),"La mujer luego teje en su silla mientras termina con otra foto de ella.")</f>
        <v>La mujer luego teje en su silla mientras termina con otra foto de ella.</v>
      </c>
    </row>
    <row r="5770">
      <c r="A5770" s="4" t="s">
        <v>7254</v>
      </c>
      <c r="B5770" s="4" t="s">
        <v>7255</v>
      </c>
      <c r="C5770" s="5" t="str">
        <f>IFERROR(__xludf.DUMMYFUNCTION("GOOGLETRANSLATE(B5770,""en"",""es-ES"")"),"Un niño se sienta en una silla con una bata protectora y le cortan el cabello con cortadoras eléctricas por mamá en casa.")</f>
        <v>Un niño se sienta en una silla con una bata protectora y le cortan el cabello con cortadoras eléctricas por mamá en casa.</v>
      </c>
    </row>
    <row r="5771">
      <c r="A5771" s="4" t="s">
        <v>7254</v>
      </c>
      <c r="B5771" s="4" t="s">
        <v>7256</v>
      </c>
      <c r="C5771" s="5" t="str">
        <f>IFERROR(__xludf.DUMMYFUNCTION("GOOGLETRANSLATE(B5771,""en"",""es-ES"")"),"La madre elimina los pelos recortados de la cabeza de los niños con los dedos.")</f>
        <v>La madre elimina los pelos recortados de la cabeza de los niños con los dedos.</v>
      </c>
    </row>
    <row r="5772">
      <c r="A5772" s="4" t="s">
        <v>7254</v>
      </c>
      <c r="B5772" s="4" t="s">
        <v>7257</v>
      </c>
      <c r="C5772" s="5" t="str">
        <f>IFERROR(__xludf.DUMMYFUNCTION("GOOGLETRANSLATE(B5772,""en"",""es-ES"")"),"Se ve a una niña mirando en la habitación.")</f>
        <v>Se ve a una niña mirando en la habitación.</v>
      </c>
    </row>
    <row r="5773">
      <c r="A5773" s="4" t="s">
        <v>7258</v>
      </c>
      <c r="B5773" s="4" t="s">
        <v>7259</v>
      </c>
      <c r="C5773" s="5" t="str">
        <f>IFERROR(__xludf.DUMMYFUNCTION("GOOGLETRANSLATE(B5773,""en"",""es-ES"")"),"Se ve a una mujer hablando con la cámara mientras sostiene un alfiler de bobby y luego se voltea el cabello y comienza a trenzarse.")</f>
        <v>Se ve a una mujer hablando con la cámara mientras sostiene un alfiler de bobby y luego se voltea el cabello y comienza a trenzarse.</v>
      </c>
    </row>
    <row r="5774">
      <c r="A5774" s="4" t="s">
        <v>7258</v>
      </c>
      <c r="B5774" s="4" t="s">
        <v>7260</v>
      </c>
      <c r="C5774" s="5" t="str">
        <f>IFERROR(__xludf.DUMMYFUNCTION("GOOGLETRANSLATE(B5774,""en"",""es-ES"")"),"Luego, la niña pone su cabello en una cola de pony y se envuelve el cabello para hacer un juego de palabras.")</f>
        <v>Luego, la niña pone su cabello en una cola de pony y se envuelve el cabello para hacer un juego de palabras.</v>
      </c>
    </row>
    <row r="5775">
      <c r="A5775" s="4" t="s">
        <v>7258</v>
      </c>
      <c r="B5775" s="4" t="s">
        <v>7261</v>
      </c>
      <c r="C5775" s="5" t="str">
        <f>IFERROR(__xludf.DUMMYFUNCTION("GOOGLETRANSLATE(B5775,""en"",""es-ES"")"),"Finalmente se pelea el cabello y luego muestra su cabello mientras apunta a la cámara.")</f>
        <v>Finalmente se pelea el cabello y luego muestra su cabello mientras apunta a la cámara.</v>
      </c>
    </row>
    <row r="5776">
      <c r="A5776" s="4" t="s">
        <v>7262</v>
      </c>
      <c r="B5776" s="4" t="s">
        <v>7263</v>
      </c>
      <c r="C5776" s="5" t="str">
        <f>IFERROR(__xludf.DUMMYFUNCTION("GOOGLETRANSLATE(B5776,""en"",""es-ES"")"),"Una reportera de noticias femenina está hablando en una sala de noticias.")</f>
        <v>Una reportera de noticias femenina está hablando en una sala de noticias.</v>
      </c>
    </row>
    <row r="5777">
      <c r="A5777" s="4" t="s">
        <v>7262</v>
      </c>
      <c r="B5777" s="4" t="s">
        <v>7264</v>
      </c>
      <c r="C5777" s="5" t="str">
        <f>IFERROR(__xludf.DUMMYFUNCTION("GOOGLETRANSLATE(B5777,""en"",""es-ES"")"),"Vemos a varias personas montando en caballos mientras una multitud observa.")</f>
        <v>Vemos a varias personas montando en caballos mientras una multitud observa.</v>
      </c>
    </row>
    <row r="5778">
      <c r="A5778" s="4" t="s">
        <v>7262</v>
      </c>
      <c r="B5778" s="4" t="s">
        <v>7265</v>
      </c>
      <c r="C5778" s="5" t="str">
        <f>IFERROR(__xludf.DUMMYFUNCTION("GOOGLETRANSLATE(B5778,""en"",""es-ES"")"),"La gente está golpeando bolsas con palos mientras conducen.")</f>
        <v>La gente está golpeando bolsas con palos mientras conducen.</v>
      </c>
    </row>
    <row r="5779">
      <c r="A5779" s="4" t="s">
        <v>7262</v>
      </c>
      <c r="B5779" s="4" t="s">
        <v>7266</v>
      </c>
      <c r="C5779" s="5" t="str">
        <f>IFERROR(__xludf.DUMMYFUNCTION("GOOGLETRANSLATE(B5779,""en"",""es-ES"")"),"Luego se entrevista a la gente sobre el juego, y se muestra a un hombre disparando flechas.")</f>
        <v>Luego se entrevista a la gente sobre el juego, y se muestra a un hombre disparando flechas.</v>
      </c>
    </row>
    <row r="5780">
      <c r="A5780" s="4" t="s">
        <v>7267</v>
      </c>
      <c r="B5780" s="4" t="s">
        <v>7268</v>
      </c>
      <c r="C5780" s="5" t="str">
        <f>IFERROR(__xludf.DUMMYFUNCTION("GOOGLETRANSLATE(B5780,""en"",""es-ES"")"),"El hombre está en el techo del gimnasio levantamiento de pesas.")</f>
        <v>El hombre está en el techo del gimnasio levantamiento de pesas.</v>
      </c>
    </row>
    <row r="5781">
      <c r="A5781" s="4" t="s">
        <v>7267</v>
      </c>
      <c r="B5781" s="4" t="s">
        <v>7269</v>
      </c>
      <c r="C5781" s="5" t="str">
        <f>IFERROR(__xludf.DUMMYFUNCTION("GOOGLETRANSLATE(B5781,""en"",""es-ES"")"),"La mujer camina detrás del hombre mirando al hombre.")</f>
        <v>La mujer camina detrás del hombre mirando al hombre.</v>
      </c>
    </row>
    <row r="5782">
      <c r="A5782" s="4" t="s">
        <v>7267</v>
      </c>
      <c r="B5782" s="4" t="s">
        <v>7270</v>
      </c>
      <c r="C5782" s="5" t="str">
        <f>IFERROR(__xludf.DUMMYFUNCTION("GOOGLETRANSLATE(B5782,""en"",""es-ES"")"),"La mujer está levantando ochos mientras el hombre se sienta para verla.")</f>
        <v>La mujer está levantando ochos mientras el hombre se sienta para verla.</v>
      </c>
    </row>
    <row r="5783">
      <c r="A5783" s="4" t="s">
        <v>7271</v>
      </c>
      <c r="B5783" s="4" t="s">
        <v>7272</v>
      </c>
      <c r="C5783" s="5" t="str">
        <f>IFERROR(__xludf.DUMMYFUNCTION("GOOGLETRANSLATE(B5783,""en"",""es-ES"")"),"Un hombre está parado afuera sosteniendo un violín.")</f>
        <v>Un hombre está parado afuera sosteniendo un violín.</v>
      </c>
    </row>
    <row r="5784">
      <c r="A5784" s="4" t="s">
        <v>7271</v>
      </c>
      <c r="B5784" s="4" t="s">
        <v>7273</v>
      </c>
      <c r="C5784" s="5" t="str">
        <f>IFERROR(__xludf.DUMMYFUNCTION("GOOGLETRANSLATE(B5784,""en"",""es-ES"")"),"Comienza a jugar el violín.")</f>
        <v>Comienza a jugar el violín.</v>
      </c>
    </row>
    <row r="5785">
      <c r="A5785" s="4" t="s">
        <v>7271</v>
      </c>
      <c r="B5785" s="4" t="s">
        <v>7274</v>
      </c>
      <c r="C5785" s="5" t="str">
        <f>IFERROR(__xludf.DUMMYFUNCTION("GOOGLETRANSLATE(B5785,""en"",""es-ES"")"),"Se detiene y pone el violín a su lado.")</f>
        <v>Se detiene y pone el violín a su lado.</v>
      </c>
    </row>
    <row r="5786">
      <c r="A5786" s="4" t="s">
        <v>7275</v>
      </c>
      <c r="B5786" s="4" t="s">
        <v>7276</v>
      </c>
      <c r="C5786" s="5" t="str">
        <f>IFERROR(__xludf.DUMMYFUNCTION("GOOGLETRANSLATE(B5786,""en"",""es-ES"")"),"Hay dos hombres vestidos con camisas blancas con sombreros haciendo lucha libre en un estadio interior.")</f>
        <v>Hay dos hombres vestidos con camisas blancas con sombreros haciendo lucha libre en un estadio interior.</v>
      </c>
    </row>
    <row r="5787">
      <c r="A5787" s="4" t="s">
        <v>7275</v>
      </c>
      <c r="B5787" s="4" t="s">
        <v>7277</v>
      </c>
      <c r="C5787" s="5" t="str">
        <f>IFERROR(__xludf.DUMMYFUNCTION("GOOGLETRANSLATE(B5787,""en"",""es-ES"")"),"Hay varios espectadores mirándolos, algunos sentados en sillas y otros sentados en el suelo.")</f>
        <v>Hay varios espectadores mirándolos, algunos sentados en sillas y otros sentados en el suelo.</v>
      </c>
    </row>
    <row r="5788">
      <c r="A5788" s="4" t="s">
        <v>7275</v>
      </c>
      <c r="B5788" s="4" t="s">
        <v>7278</v>
      </c>
      <c r="C5788" s="5" t="str">
        <f>IFERROR(__xludf.DUMMYFUNCTION("GOOGLETRANSLATE(B5788,""en"",""es-ES"")"),"Hay algunas personas sentadas en sillas tocando varios instrumentos de mano y cantando para animar a los luchadores.")</f>
        <v>Hay algunas personas sentadas en sillas tocando varios instrumentos de mano y cantando para animar a los luchadores.</v>
      </c>
    </row>
    <row r="5789">
      <c r="A5789" s="4" t="s">
        <v>7275</v>
      </c>
      <c r="B5789" s="4" t="s">
        <v>7279</v>
      </c>
      <c r="C5789" s="5" t="str">
        <f>IFERROR(__xludf.DUMMYFUNCTION("GOOGLETRANSLATE(B5789,""en"",""es-ES"")"),"Los dos hombres continúan luchando de una manera no agresiva al atacar al oponente.")</f>
        <v>Los dos hombres continúan luchando de una manera no agresiva al atacar al oponente.</v>
      </c>
    </row>
    <row r="5790">
      <c r="A5790" s="4" t="s">
        <v>7275</v>
      </c>
      <c r="B5790" s="4" t="s">
        <v>7280</v>
      </c>
      <c r="C5790" s="5" t="str">
        <f>IFERROR(__xludf.DUMMYFUNCTION("GOOGLETRANSLATE(B5790,""en"",""es-ES"")"),"Continúan peleando mientras un hombre hace un volteo delantero.")</f>
        <v>Continúan peleando mientras un hombre hace un volteo delantero.</v>
      </c>
    </row>
    <row r="5791">
      <c r="A5791" s="4" t="s">
        <v>7275</v>
      </c>
      <c r="B5791" s="4" t="s">
        <v>7281</v>
      </c>
      <c r="C5791" s="5" t="str">
        <f>IFERROR(__xludf.DUMMYFUNCTION("GOOGLETRANSLATE(B5791,""en"",""es-ES"")"),"En la ronda final, aceleran la pelea con patadas y movimiento más rápidos.")</f>
        <v>En la ronda final, aceleran la pelea con patadas y movimiento más rápidos.</v>
      </c>
    </row>
    <row r="5792">
      <c r="A5792" s="4" t="s">
        <v>7282</v>
      </c>
      <c r="B5792" s="4" t="s">
        <v>7283</v>
      </c>
      <c r="C5792" s="5" t="str">
        <f>IFERROR(__xludf.DUMMYFUNCTION("GOOGLETRANSLATE(B5792,""en"",""es-ES"")"),"Un grupo de niños cincelan un nombre en arena en la playa con las manos.")</f>
        <v>Un grupo de niños cincelan un nombre en arena en la playa con las manos.</v>
      </c>
    </row>
    <row r="5793">
      <c r="A5793" s="4" t="s">
        <v>7282</v>
      </c>
      <c r="B5793" s="4" t="s">
        <v>7284</v>
      </c>
      <c r="C5793" s="5" t="str">
        <f>IFERROR(__xludf.DUMMYFUNCTION("GOOGLETRANSLATE(B5793,""en"",""es-ES"")"),"Los chicos dejan la pieza de arte dejando a solo un niño con una camiseta roja para trabajar solo en ella.")</f>
        <v>Los chicos dejan la pieza de arte dejando a solo un niño con una camiseta roja para trabajar solo en ella.</v>
      </c>
    </row>
    <row r="5794">
      <c r="A5794" s="4" t="s">
        <v>7282</v>
      </c>
      <c r="B5794" s="4" t="s">
        <v>7285</v>
      </c>
      <c r="C5794" s="5" t="str">
        <f>IFERROR(__xludf.DUMMYFUNCTION("GOOGLETRANSLATE(B5794,""en"",""es-ES"")"),"Dos niños regresan con dos bolas de arena en círculos y se sientan junto a la pieza de arte mientras trabajan para completar las bolas de arena que se han reunido mientras un grupo de niños se reúnen para ver.")</f>
        <v>Dos niños regresan con dos bolas de arena en círculos y se sientan junto a la pieza de arte mientras trabajan para completar las bolas de arena que se han reunido mientras un grupo de niños se reúnen para ver.</v>
      </c>
    </row>
    <row r="5795">
      <c r="A5795" s="4" t="s">
        <v>7286</v>
      </c>
      <c r="B5795" s="4" t="s">
        <v>7287</v>
      </c>
      <c r="C5795" s="5" t="str">
        <f>IFERROR(__xludf.DUMMYFUNCTION("GOOGLETRANSLATE(B5795,""en"",""es-ES"")"),"Una introducción conduce a varios disparos de graffiti en una pared, así como a las personas que se mueven y hablan entre sí.")</f>
        <v>Una introducción conduce a varios disparos de graffiti en una pared, así como a las personas que se mueven y hablan entre sí.</v>
      </c>
    </row>
    <row r="5796">
      <c r="A5796" s="4" t="s">
        <v>7286</v>
      </c>
      <c r="B5796" s="4" t="s">
        <v>7288</v>
      </c>
      <c r="C5796" s="5" t="str">
        <f>IFERROR(__xludf.DUMMYFUNCTION("GOOGLETRANSLATE(B5796,""en"",""es-ES"")"),"Luego se ve a un rapero haciendo un tatuaje de un hombre mientras la cámara captura varios ángulos y muestra obras de arte.")</f>
        <v>Luego se ve a un rapero haciendo un tatuaje de un hombre mientras la cámara captura varios ángulos y muestra obras de arte.</v>
      </c>
    </row>
    <row r="5797">
      <c r="A5797" s="4" t="s">
        <v>7286</v>
      </c>
      <c r="B5797" s="4" t="s">
        <v>7289</v>
      </c>
      <c r="C5797" s="5" t="str">
        <f>IFERROR(__xludf.DUMMYFUNCTION("GOOGLETRANSLATE(B5797,""en"",""es-ES"")"),"Más personas muestran sus tatuajes y el rapero apunta a la cámara y muestra el tatuaje terminado y la portada del álbum.")</f>
        <v>Más personas muestran sus tatuajes y el rapero apunta a la cámara y muestra el tatuaje terminado y la portada del álbum.</v>
      </c>
    </row>
    <row r="5798">
      <c r="A5798" s="4" t="s">
        <v>7290</v>
      </c>
      <c r="B5798" s="4" t="s">
        <v>7291</v>
      </c>
      <c r="C5798" s="5" t="str">
        <f>IFERROR(__xludf.DUMMYFUNCTION("GOOGLETRANSLATE(B5798,""en"",""es-ES"")"),"Una banda está practicando en un gimnasio.")</f>
        <v>Una banda está practicando en un gimnasio.</v>
      </c>
    </row>
    <row r="5799">
      <c r="A5799" s="4" t="s">
        <v>7290</v>
      </c>
      <c r="B5799" s="4" t="s">
        <v>7292</v>
      </c>
      <c r="C5799" s="5" t="str">
        <f>IFERROR(__xludf.DUMMYFUNCTION("GOOGLETRANSLATE(B5799,""en"",""es-ES"")"),"La gente está girando banderas mientras está de pie en una línea.")</f>
        <v>La gente está girando banderas mientras está de pie en una línea.</v>
      </c>
    </row>
    <row r="5800">
      <c r="A5800" s="4" t="s">
        <v>7290</v>
      </c>
      <c r="B5800" s="4" t="s">
        <v>7293</v>
      </c>
      <c r="C5800" s="5" t="str">
        <f>IFERROR(__xludf.DUMMYFUNCTION("GOOGLETRANSLATE(B5800,""en"",""es-ES"")"),"Los bateristas marchan por el gimnasio.")</f>
        <v>Los bateristas marchan por el gimnasio.</v>
      </c>
    </row>
    <row r="5801">
      <c r="A5801" s="4" t="s">
        <v>7290</v>
      </c>
      <c r="B5801" s="4" t="s">
        <v>7294</v>
      </c>
      <c r="C5801" s="5" t="str">
        <f>IFERROR(__xludf.DUMMYFUNCTION("GOOGLETRANSLATE(B5801,""en"",""es-ES"")"),"Entran en una línea y bailan fuera del gimnasio.")</f>
        <v>Entran en una línea y bailan fuera del gimnasio.</v>
      </c>
    </row>
    <row r="5802">
      <c r="A5802" s="4" t="s">
        <v>7295</v>
      </c>
      <c r="B5802" s="4" t="s">
        <v>7296</v>
      </c>
      <c r="C5802" s="5" t="str">
        <f>IFERROR(__xludf.DUMMYFUNCTION("GOOGLETRANSLATE(B5802,""en"",""es-ES"")"),"Se ve a una persona hablando con la cámara y fumar de una tubería de narguile.")</f>
        <v>Se ve a una persona hablando con la cámara y fumar de una tubería de narguile.</v>
      </c>
    </row>
    <row r="5803">
      <c r="A5803" s="4" t="s">
        <v>7295</v>
      </c>
      <c r="B5803" s="4" t="s">
        <v>7297</v>
      </c>
      <c r="C5803" s="5" t="str">
        <f>IFERROR(__xludf.DUMMYFUNCTION("GOOGLETRANSLATE(B5803,""en"",""es-ES"")"),"La cámara se desplaza por el área y continúa hablando con el hombre y conduce a una foto de un bote y un fuego cercano.")</f>
        <v>La cámara se desplaza por el área y continúa hablando con el hombre y conduce a una foto de un bote y un fuego cercano.</v>
      </c>
    </row>
    <row r="5804">
      <c r="A5804" s="4" t="s">
        <v>7298</v>
      </c>
      <c r="B5804" s="4" t="s">
        <v>7299</v>
      </c>
      <c r="C5804" s="5" t="str">
        <f>IFERROR(__xludf.DUMMYFUNCTION("GOOGLETRANSLATE(B5804,""en"",""es-ES"")"),"Una mujer comienza a bailar junto a un hombre frente a una multitud reunida.")</f>
        <v>Una mujer comienza a bailar junto a un hombre frente a una multitud reunida.</v>
      </c>
    </row>
    <row r="5805">
      <c r="A5805" s="4" t="s">
        <v>7298</v>
      </c>
      <c r="B5805" s="4" t="s">
        <v>7300</v>
      </c>
      <c r="C5805" s="5" t="str">
        <f>IFERROR(__xludf.DUMMYFUNCTION("GOOGLETRANSLATE(B5805,""en"",""es-ES"")"),"Giran en círculos mientras bailan.")</f>
        <v>Giran en círculos mientras bailan.</v>
      </c>
    </row>
    <row r="5806">
      <c r="A5806" s="4" t="s">
        <v>7298</v>
      </c>
      <c r="B5806" s="4" t="s">
        <v>7301</v>
      </c>
      <c r="C5806" s="5" t="str">
        <f>IFERROR(__xludf.DUMMYFUNCTION("GOOGLETRANSLATE(B5806,""en"",""es-ES"")"),"Ella va entre sus piernas, deslizándose hacia afuera e hiriendo su cuello.")</f>
        <v>Ella va entre sus piernas, deslizándose hacia afuera e hiriendo su cuello.</v>
      </c>
    </row>
    <row r="5807">
      <c r="A5807" s="4" t="s">
        <v>7298</v>
      </c>
      <c r="B5807" s="4" t="s">
        <v>7302</v>
      </c>
      <c r="C5807" s="5" t="str">
        <f>IFERROR(__xludf.DUMMYFUNCTION("GOOGLETRANSLATE(B5807,""en"",""es-ES"")"),"Ella se ríe y le da un abrazo al hombre.")</f>
        <v>Ella se ríe y le da un abrazo al hombre.</v>
      </c>
    </row>
    <row r="5808">
      <c r="A5808" s="4" t="s">
        <v>7303</v>
      </c>
      <c r="B5808" s="4" t="s">
        <v>7304</v>
      </c>
      <c r="C5808" s="5" t="str">
        <f>IFERROR(__xludf.DUMMYFUNCTION("GOOGLETRANSLATE(B5808,""en"",""es-ES"")"),"Se ve a una mujer que se seca el cabello mientras usa un peine en varias modas y usa diferentes productos.")</f>
        <v>Se ve a una mujer que se seca el cabello mientras usa un peine en varias modas y usa diferentes productos.</v>
      </c>
    </row>
    <row r="5809">
      <c r="A5809" s="4" t="s">
        <v>7303</v>
      </c>
      <c r="B5809" s="4" t="s">
        <v>7305</v>
      </c>
      <c r="C5809" s="5" t="str">
        <f>IFERROR(__xludf.DUMMYFUNCTION("GOOGLETRANSLATE(B5809,""en"",""es-ES"")"),"La mujer continúa usando el secador de soplado en su cabello y termina mostrando su cabello terminado.")</f>
        <v>La mujer continúa usando el secador de soplado en su cabello y termina mostrando su cabello terminado.</v>
      </c>
    </row>
    <row r="5810">
      <c r="A5810" s="4" t="s">
        <v>7306</v>
      </c>
      <c r="B5810" s="4" t="s">
        <v>7307</v>
      </c>
      <c r="C5810" s="5" t="str">
        <f>IFERROR(__xludf.DUMMYFUNCTION("GOOGLETRANSLATE(B5810,""en"",""es-ES"")"),"Un hombre con traje amarillo y negro suelda un acero.")</f>
        <v>Un hombre con traje amarillo y negro suelda un acero.</v>
      </c>
    </row>
    <row r="5811">
      <c r="A5811" s="4" t="s">
        <v>7306</v>
      </c>
      <c r="B5811" s="4" t="s">
        <v>7308</v>
      </c>
      <c r="C5811" s="5" t="str">
        <f>IFERROR(__xludf.DUMMYFUNCTION("GOOGLETRANSLATE(B5811,""en"",""es-ES"")"),"Detiene el trabajo de soldadura.")</f>
        <v>Detiene el trabajo de soldadura.</v>
      </c>
    </row>
    <row r="5812">
      <c r="A5812" s="4" t="s">
        <v>7306</v>
      </c>
      <c r="B5812" s="4" t="s">
        <v>7309</v>
      </c>
      <c r="C5812" s="5" t="str">
        <f>IFERROR(__xludf.DUMMYFUNCTION("GOOGLETRANSLATE(B5812,""en"",""es-ES"")"),"Luego se aleja e inspecciona.")</f>
        <v>Luego se aleja e inspecciona.</v>
      </c>
    </row>
    <row r="5813">
      <c r="A5813" s="4" t="s">
        <v>7310</v>
      </c>
      <c r="B5813" s="4" t="s">
        <v>7311</v>
      </c>
      <c r="C5813" s="5" t="str">
        <f>IFERROR(__xludf.DUMMYFUNCTION("GOOGLETRANSLATE(B5813,""en"",""es-ES"")"),"Tres atletas de diferentes países compiten el levantamiento de pesas en el jurado, durante la primera ronda, todos los atletas levantan el peso con éxito.")</f>
        <v>Tres atletas de diferentes países compiten el levantamiento de pesas en el jurado, durante la primera ronda, todos los atletas levantan el peso con éxito.</v>
      </c>
    </row>
    <row r="5814">
      <c r="A5814" s="4" t="s">
        <v>7310</v>
      </c>
      <c r="B5814" s="4" t="s">
        <v>7312</v>
      </c>
      <c r="C5814" s="5" t="str">
        <f>IFERROR(__xludf.DUMMYFUNCTION("GOOGLETRANSLATE(B5814,""en"",""es-ES"")"),"En la segunda ronda, el atleta con uniforme azul se eleva con éxito y besa la barra del peso, también los otros atletas tienen éxito.")</f>
        <v>En la segunda ronda, el atleta con uniforme azul se eleva con éxito y besa la barra del peso, también los otros atletas tienen éxito.</v>
      </c>
    </row>
    <row r="5815">
      <c r="A5815" s="4" t="s">
        <v>7310</v>
      </c>
      <c r="B5815" s="4" t="s">
        <v>7313</v>
      </c>
      <c r="C5815" s="5" t="str">
        <f>IFERROR(__xludf.DUMMYFUNCTION("GOOGLETRANSLATE(B5815,""en"",""es-ES"")"),"En la tercera ronda, el atleta indio dejó caer el peso.")</f>
        <v>En la tercera ronda, el atleta indio dejó caer el peso.</v>
      </c>
    </row>
    <row r="5816">
      <c r="A5816" s="4" t="s">
        <v>7310</v>
      </c>
      <c r="B5816" s="4" t="s">
        <v>7314</v>
      </c>
      <c r="C5816" s="5" t="str">
        <f>IFERROR(__xludf.DUMMYFUNCTION("GOOGLETRANSLATE(B5816,""en"",""es-ES"")"),"Se felicita al atleta con uniforme rojo, luego se encuentra en el primer lugar del podio y habla.")</f>
        <v>Se felicita al atleta con uniforme rojo, luego se encuentra en el primer lugar del podio y habla.</v>
      </c>
    </row>
    <row r="5817">
      <c r="A5817" s="4" t="s">
        <v>7315</v>
      </c>
      <c r="B5817" s="4" t="s">
        <v>7316</v>
      </c>
      <c r="C5817" s="5" t="str">
        <f>IFERROR(__xludf.DUMMYFUNCTION("GOOGLETRANSLATE(B5817,""en"",""es-ES"")"),"Se cubre una habitación para evitar que la pintura se salpique en los objetos de la habitación.")</f>
        <v>Se cubre una habitación para evitar que la pintura se salpique en los objetos de la habitación.</v>
      </c>
    </row>
    <row r="5818">
      <c r="A5818" s="4" t="s">
        <v>7315</v>
      </c>
      <c r="B5818" s="4" t="s">
        <v>7317</v>
      </c>
      <c r="C5818" s="5" t="str">
        <f>IFERROR(__xludf.DUMMYFUNCTION("GOOGLETRANSLATE(B5818,""en"",""es-ES"")"),"Se ve una habitación con cinta azul en sus bordes y paredes.")</f>
        <v>Se ve una habitación con cinta azul en sus bordes y paredes.</v>
      </c>
    </row>
    <row r="5819">
      <c r="A5819" s="4" t="s">
        <v>7315</v>
      </c>
      <c r="B5819" s="4" t="s">
        <v>7318</v>
      </c>
      <c r="C5819" s="5" t="str">
        <f>IFERROR(__xludf.DUMMYFUNCTION("GOOGLETRANSLATE(B5819,""en"",""es-ES"")"),"Los pisos de la habitación también tienen bolsa sobre la alfombra.")</f>
        <v>Los pisos de la habitación también tienen bolsa sobre la alfombra.</v>
      </c>
    </row>
    <row r="5820">
      <c r="A5820" s="4" t="s">
        <v>7315</v>
      </c>
      <c r="B5820" s="4" t="s">
        <v>7319</v>
      </c>
      <c r="C5820" s="5" t="str">
        <f>IFERROR(__xludf.DUMMYFUNCTION("GOOGLETRANSLATE(B5820,""en"",""es-ES"")"),"La escalera de una casa tiene bolsas sobre ella para evitar daños en la pintura.")</f>
        <v>La escalera de una casa tiene bolsas sobre ella para evitar daños en la pintura.</v>
      </c>
    </row>
    <row r="5821">
      <c r="A5821" s="4" t="s">
        <v>7315</v>
      </c>
      <c r="B5821" s="4" t="s">
        <v>7320</v>
      </c>
      <c r="C5821" s="5" t="str">
        <f>IFERROR(__xludf.DUMMYFUNCTION("GOOGLETRANSLATE(B5821,""en"",""es-ES"")"),"Se ve un techo brillante.")</f>
        <v>Se ve un techo brillante.</v>
      </c>
    </row>
    <row r="5822">
      <c r="A5822" s="4" t="s">
        <v>7321</v>
      </c>
      <c r="B5822" s="4" t="s">
        <v>7322</v>
      </c>
      <c r="C5822" s="5" t="str">
        <f>IFERROR(__xludf.DUMMYFUNCTION("GOOGLETRANSLATE(B5822,""en"",""es-ES"")"),"Se ve un bote montando a lo largo del agua con una persona que montaba esquís detrás.")</f>
        <v>Se ve un bote montando a lo largo del agua con una persona que montaba esquís detrás.</v>
      </c>
    </row>
    <row r="5823">
      <c r="A5823" s="4" t="s">
        <v>7321</v>
      </c>
      <c r="B5823" s="4" t="s">
        <v>7323</v>
      </c>
      <c r="C5823" s="5" t="str">
        <f>IFERROR(__xludf.DUMMYFUNCTION("GOOGLETRANSLATE(B5823,""en"",""es-ES"")"),"La persona hace un volteo y aterriza hacia atrás en el agua.")</f>
        <v>La persona hace un volteo y aterriza hacia atrás en el agua.</v>
      </c>
    </row>
    <row r="5824">
      <c r="A5824" s="4" t="s">
        <v>7324</v>
      </c>
      <c r="B5824" s="4" t="s">
        <v>7325</v>
      </c>
      <c r="C5824" s="5" t="str">
        <f>IFERROR(__xludf.DUMMYFUNCTION("GOOGLETRANSLATE(B5824,""en"",""es-ES"")"),"Una mujer y un hombre están dentro de un auto hablando, luego el hombre gira la cabeza.")</f>
        <v>Una mujer y un hombre están dentro de un auto hablando, luego el hombre gira la cabeza.</v>
      </c>
    </row>
    <row r="5825">
      <c r="A5825" s="4" t="s">
        <v>7324</v>
      </c>
      <c r="B5825" s="4" t="s">
        <v>7326</v>
      </c>
      <c r="C5825" s="5" t="str">
        <f>IFERROR(__xludf.DUMMYFUNCTION("GOOGLETRANSLATE(B5825,""en"",""es-ES"")"),"Una joven dama lava un auto que solo usa un sujetador y pantalones cortos, luego espolvorea agua sobre su cabeza y gira.")</f>
        <v>Una joven dama lava un auto que solo usa un sujetador y pantalones cortos, luego espolvorea agua sobre su cabeza y gira.</v>
      </c>
    </row>
    <row r="5826">
      <c r="A5826" s="4" t="s">
        <v>7324</v>
      </c>
      <c r="B5826" s="4" t="s">
        <v>7327</v>
      </c>
      <c r="C5826" s="5" t="str">
        <f>IFERROR(__xludf.DUMMYFUNCTION("GOOGLETRANSLATE(B5826,""en"",""es-ES"")"),"Después, el hombre se da vuelta para ver a la mujer enojada y gritar.")</f>
        <v>Después, el hombre se da vuelta para ver a la mujer enojada y gritar.</v>
      </c>
    </row>
    <row r="5827">
      <c r="A5827" s="4" t="s">
        <v>7328</v>
      </c>
      <c r="B5827" s="4" t="s">
        <v>7329</v>
      </c>
      <c r="C5827" s="5" t="str">
        <f>IFERROR(__xludf.DUMMYFUNCTION("GOOGLETRANSLATE(B5827,""en"",""es-ES"")"),"Little Kid está en la arena haciendo un castillo con una pequeña pala de juguete para hojas de niños.")</f>
        <v>Little Kid está en la arena haciendo un castillo con una pequeña pala de juguete para hojas de niños.</v>
      </c>
    </row>
    <row r="5828">
      <c r="A5828" s="4" t="s">
        <v>7328</v>
      </c>
      <c r="B5828" s="4" t="s">
        <v>7330</v>
      </c>
      <c r="C5828" s="5" t="str">
        <f>IFERROR(__xludf.DUMMYFUNCTION("GOOGLETRANSLATE(B5828,""en"",""es-ES"")"),"La niña enemigo en el castillo en la arena y comienza a jugar mientras el niño trae más agua del mar.")</f>
        <v>La niña enemigo en el castillo en la arena y comienza a jugar mientras el niño trae más agua del mar.</v>
      </c>
    </row>
    <row r="5829">
      <c r="A5829" s="4" t="s">
        <v>7331</v>
      </c>
      <c r="B5829" s="4" t="s">
        <v>7332</v>
      </c>
      <c r="C5829" s="5" t="str">
        <f>IFERROR(__xludf.DUMMYFUNCTION("GOOGLETRANSLATE(B5829,""en"",""es-ES"")"),"Una mujer está sentada con un bebé en los brazos.")</f>
        <v>Una mujer está sentada con un bebé en los brazos.</v>
      </c>
    </row>
    <row r="5830">
      <c r="A5830" s="4" t="s">
        <v>7331</v>
      </c>
      <c r="B5830" s="4" t="s">
        <v>7333</v>
      </c>
      <c r="C5830" s="5" t="str">
        <f>IFERROR(__xludf.DUMMYFUNCTION("GOOGLETRANSLATE(B5830,""en"",""es-ES"")"),"Toma lamer un cono de helado, y el bebé se ríe histéricamente cada vez.")</f>
        <v>Toma lamer un cono de helado, y el bebé se ríe histéricamente cada vez.</v>
      </c>
    </row>
    <row r="5831">
      <c r="A5831" s="4" t="s">
        <v>7331</v>
      </c>
      <c r="B5831" s="4" t="s">
        <v>7334</v>
      </c>
      <c r="C5831" s="5" t="str">
        <f>IFERROR(__xludf.DUMMYFUNCTION("GOOGLETRANSLATE(B5831,""en"",""es-ES"")"),"Ella le ofrece bocados, alejando el cono y haciéndolo reír.")</f>
        <v>Ella le ofrece bocados, alejando el cono y haciéndolo reír.</v>
      </c>
    </row>
    <row r="5832">
      <c r="A5832" s="4" t="s">
        <v>7335</v>
      </c>
      <c r="B5832" s="4" t="s">
        <v>7336</v>
      </c>
      <c r="C5832" s="5" t="str">
        <f>IFERROR(__xludf.DUMMYFUNCTION("GOOGLETRANSLATE(B5832,""en"",""es-ES"")"),"Un hombre hazá una canoa por un río.")</f>
        <v>Un hombre hazá una canoa por un río.</v>
      </c>
    </row>
    <row r="5833">
      <c r="A5833" s="4" t="s">
        <v>7335</v>
      </c>
      <c r="B5833" s="4" t="s">
        <v>7337</v>
      </c>
      <c r="C5833" s="5" t="str">
        <f>IFERROR(__xludf.DUMMYFUNCTION("GOOGLETRANSLATE(B5833,""en"",""es-ES"")"),"Varias otras personas también están remando.")</f>
        <v>Varias otras personas también están remando.</v>
      </c>
    </row>
    <row r="5834">
      <c r="A5834" s="4" t="s">
        <v>7335</v>
      </c>
      <c r="B5834" s="4" t="s">
        <v>7338</v>
      </c>
      <c r="C5834" s="5" t="str">
        <f>IFERROR(__xludf.DUMMYFUNCTION("GOOGLETRANSLATE(B5834,""en"",""es-ES"")"),"Su canoa es de color rojo.")</f>
        <v>Su canoa es de color rojo.</v>
      </c>
    </row>
    <row r="5835">
      <c r="A5835" s="4" t="s">
        <v>7335</v>
      </c>
      <c r="B5835" s="4" t="s">
        <v>7339</v>
      </c>
      <c r="C5835" s="5" t="str">
        <f>IFERROR(__xludf.DUMMYFUNCTION("GOOGLETRANSLATE(B5835,""en"",""es-ES"")"),"Finalmente pasa el punto.")</f>
        <v>Finalmente pasa el punto.</v>
      </c>
    </row>
    <row r="5836">
      <c r="A5836" s="4" t="s">
        <v>7340</v>
      </c>
      <c r="B5836" s="4" t="s">
        <v>7341</v>
      </c>
      <c r="C5836" s="5" t="str">
        <f>IFERROR(__xludf.DUMMYFUNCTION("GOOGLETRANSLATE(B5836,""en"",""es-ES"")"),"Una mujer usa un rodillo para extender la masa sobre el mostrador.")</f>
        <v>Una mujer usa un rodillo para extender la masa sobre el mostrador.</v>
      </c>
    </row>
    <row r="5837">
      <c r="A5837" s="4" t="s">
        <v>7340</v>
      </c>
      <c r="B5837" s="4" t="s">
        <v>7342</v>
      </c>
      <c r="C5837" s="5" t="str">
        <f>IFERROR(__xludf.DUMMYFUNCTION("GOOGLETRANSLATE(B5837,""en"",""es-ES"")"),"Otra mujer está quitando algo de una bandeja para hornear.")</f>
        <v>Otra mujer está quitando algo de una bandeja para hornear.</v>
      </c>
    </row>
    <row r="5838">
      <c r="A5838" s="4" t="s">
        <v>7343</v>
      </c>
      <c r="B5838" s="4" t="s">
        <v>7344</v>
      </c>
      <c r="C5838" s="5" t="str">
        <f>IFERROR(__xludf.DUMMYFUNCTION("GOOGLETRANSLATE(B5838,""en"",""es-ES"")"),"Las mujeres están de pie en una mesa haciendo lucha contra el brazo en una competencia.")</f>
        <v>Las mujeres están de pie en una mesa haciendo lucha contra el brazo en una competencia.</v>
      </c>
    </row>
    <row r="5839">
      <c r="A5839" s="4" t="s">
        <v>7343</v>
      </c>
      <c r="B5839" s="4" t="s">
        <v>7345</v>
      </c>
      <c r="C5839" s="5" t="str">
        <f>IFERROR(__xludf.DUMMYFUNCTION("GOOGLETRANSLATE(B5839,""en"",""es-ES"")"),"Dos árbitros en el lado de las mesas y se miran.")</f>
        <v>Dos árbitros en el lado de las mesas y se miran.</v>
      </c>
    </row>
    <row r="5840">
      <c r="A5840" s="4" t="s">
        <v>7343</v>
      </c>
      <c r="B5840" s="4" t="s">
        <v>7346</v>
      </c>
      <c r="C5840" s="5" t="str">
        <f>IFERROR(__xludf.DUMMYFUNCTION("GOOGLETRANSLATE(B5840,""en"",""es-ES"")"),"Las mujeres están luchando en la mesa nuevamente y al final.")</f>
        <v>Las mujeres están luchando en la mesa nuevamente y al final.</v>
      </c>
    </row>
    <row r="5841">
      <c r="A5841" s="4" t="s">
        <v>7347</v>
      </c>
      <c r="B5841" s="4" t="s">
        <v>7348</v>
      </c>
      <c r="C5841" s="5" t="str">
        <f>IFERROR(__xludf.DUMMYFUNCTION("GOOGLETRANSLATE(B5841,""en"",""es-ES"")"),"La gente juega croquet en un campo de hierba.")</f>
        <v>La gente juega croquet en un campo de hierba.</v>
      </c>
    </row>
    <row r="5842">
      <c r="A5842" s="4" t="s">
        <v>7347</v>
      </c>
      <c r="B5842" s="4" t="s">
        <v>7349</v>
      </c>
      <c r="C5842" s="5" t="str">
        <f>IFERROR(__xludf.DUMMYFUNCTION("GOOGLETRANSLATE(B5842,""en"",""es-ES"")"),"Se muestra un mapa del mundo.")</f>
        <v>Se muestra un mapa del mundo.</v>
      </c>
    </row>
    <row r="5843">
      <c r="A5843" s="4" t="s">
        <v>7347</v>
      </c>
      <c r="B5843" s="4" t="s">
        <v>7350</v>
      </c>
      <c r="C5843" s="5" t="str">
        <f>IFERROR(__xludf.DUMMYFUNCTION("GOOGLETRANSLATE(B5843,""en"",""es-ES"")"),"Los trofeos se muestran en la pantalla.")</f>
        <v>Los trofeos se muestran en la pantalla.</v>
      </c>
    </row>
    <row r="5844">
      <c r="A5844" s="4" t="s">
        <v>7351</v>
      </c>
      <c r="B5844" s="4" t="s">
        <v>7352</v>
      </c>
      <c r="C5844" s="5" t="str">
        <f>IFERROR(__xludf.DUMMYFUNCTION("GOOGLETRANSLATE(B5844,""en"",""es-ES"")"),"Un hombre lleva un sombrero y se arrodilla sobre una alfombra azul.")</f>
        <v>Un hombre lleva un sombrero y se arrodilla sobre una alfombra azul.</v>
      </c>
    </row>
    <row r="5845">
      <c r="A5845" s="4" t="s">
        <v>7351</v>
      </c>
      <c r="B5845" s="4" t="s">
        <v>7353</v>
      </c>
      <c r="C5845" s="5" t="str">
        <f>IFERROR(__xludf.DUMMYFUNCTION("GOOGLETRANSLATE(B5845,""en"",""es-ES"")"),"Comienza a tirar de una cuerda en una máquina de entrenamiento.")</f>
        <v>Comienza a tirar de una cuerda en una máquina de entrenamiento.</v>
      </c>
    </row>
    <row r="5846">
      <c r="A5846" s="4" t="s">
        <v>7354</v>
      </c>
      <c r="B5846" s="4" t="s">
        <v>7355</v>
      </c>
      <c r="C5846" s="5" t="str">
        <f>IFERROR(__xludf.DUMMYFUNCTION("GOOGLETRANSLATE(B5846,""en"",""es-ES"")"),"Una mujer en top rosa está sosteniendo un aro y hablando con la cámara.")</f>
        <v>Una mujer en top rosa está sosteniendo un aro y hablando con la cámara.</v>
      </c>
    </row>
    <row r="5847">
      <c r="A5847" s="4" t="s">
        <v>7354</v>
      </c>
      <c r="B5847" s="4" t="s">
        <v>7356</v>
      </c>
      <c r="C5847" s="5" t="str">
        <f>IFERROR(__xludf.DUMMYFUNCTION("GOOGLETRANSLATE(B5847,""en"",""es-ES"")"),"La mujer le puso el aro a la cintura y comienza a aro.")</f>
        <v>La mujer le puso el aro a la cintura y comienza a aro.</v>
      </c>
    </row>
    <row r="5848">
      <c r="A5848" s="4" t="s">
        <v>7354</v>
      </c>
      <c r="B5848" s="4" t="s">
        <v>7357</v>
      </c>
      <c r="C5848" s="5" t="str">
        <f>IFERROR(__xludf.DUMMYFUNCTION("GOOGLETRANSLATE(B5848,""en"",""es-ES"")"),"La mujer se detuvo y se dio la vuelta y comenzó a sacudir sus caderas, cambió sus aros a uno más pequeño, pero la pequeña sigue cayendo, luego cambió los aros a una más grande y comenzó a sacudir sus caderas con los aros.")</f>
        <v>La mujer se detuvo y se dio la vuelta y comenzó a sacudir sus caderas, cambió sus aros a uno más pequeño, pero la pequeña sigue cayendo, luego cambió los aros a una más grande y comenzó a sacudir sus caderas con los aros.</v>
      </c>
    </row>
    <row r="5849">
      <c r="A5849" s="4" t="s">
        <v>7358</v>
      </c>
      <c r="B5849" s="4" t="s">
        <v>7359</v>
      </c>
      <c r="C5849" s="5" t="str">
        <f>IFERROR(__xludf.DUMMYFUNCTION("GOOGLETRANSLATE(B5849,""en"",""es-ES"")"),"Un grupo de hombres está dentro de un club oscuro.")</f>
        <v>Un grupo de hombres está dentro de un club oscuro.</v>
      </c>
    </row>
    <row r="5850">
      <c r="A5850" s="4" t="s">
        <v>7358</v>
      </c>
      <c r="B5850" s="4" t="s">
        <v>7360</v>
      </c>
      <c r="C5850" s="5" t="str">
        <f>IFERROR(__xludf.DUMMYFUNCTION("GOOGLETRANSLATE(B5850,""en"",""es-ES"")"),"Un hombre comienza a lanzar dardos a algo fuera de la pantalla.")</f>
        <v>Un hombre comienza a lanzar dardos a algo fuera de la pantalla.</v>
      </c>
    </row>
    <row r="5851">
      <c r="A5851" s="4" t="s">
        <v>7358</v>
      </c>
      <c r="B5851" s="4" t="s">
        <v>7361</v>
      </c>
      <c r="C5851" s="5" t="str">
        <f>IFERROR(__xludf.DUMMYFUNCTION("GOOGLETRANSLATE(B5851,""en"",""es-ES"")"),"Repita esto muchas veces antes de rendirse, encogerse de hombros y girar la cámara hacia el tablero de dardos.")</f>
        <v>Repita esto muchas veces antes de rendirse, encogerse de hombros y girar la cámara hacia el tablero de dardos.</v>
      </c>
    </row>
    <row r="5852">
      <c r="A5852" s="4" t="s">
        <v>7358</v>
      </c>
      <c r="B5852" s="4" t="s">
        <v>7362</v>
      </c>
      <c r="C5852" s="5" t="str">
        <f>IFERROR(__xludf.DUMMYFUNCTION("GOOGLETRANSLATE(B5852,""en"",""es-ES"")"),"Vemos que cuatro de los dardos han alcanzado exactamente el mismo lugar.")</f>
        <v>Vemos que cuatro de los dardos han alcanzado exactamente el mismo lugar.</v>
      </c>
    </row>
    <row r="5853">
      <c r="A5853" s="4" t="s">
        <v>7363</v>
      </c>
      <c r="B5853" s="4" t="s">
        <v>7364</v>
      </c>
      <c r="C5853" s="5" t="str">
        <f>IFERROR(__xludf.DUMMYFUNCTION("GOOGLETRANSLATE(B5853,""en"",""es-ES"")"),"Se ve a un pequeño grupo de personas nadando alrededor de una piscina y conduce a varios disparos de un nadador arrojando una pelota a una red.")</f>
        <v>Se ve a un pequeño grupo de personas nadando alrededor de una piscina y conduce a varios disparos de un nadador arrojando una pelota a una red.</v>
      </c>
    </row>
    <row r="5854">
      <c r="A5854" s="4" t="s">
        <v>7363</v>
      </c>
      <c r="B5854" s="4" t="s">
        <v>7365</v>
      </c>
      <c r="C5854" s="5" t="str">
        <f>IFERROR(__xludf.DUMMYFUNCTION("GOOGLETRANSLATE(B5854,""en"",""es-ES"")"),"El portero bloquea algunos tiros y luego cambia con otro compañero de equipo mientras la audiencia aplaude.")</f>
        <v>El portero bloquea algunos tiros y luego cambia con otro compañero de equipo mientras la audiencia aplaude.</v>
      </c>
    </row>
    <row r="5855">
      <c r="A5855" s="4" t="s">
        <v>7363</v>
      </c>
      <c r="B5855" s="4" t="s">
        <v>7366</v>
      </c>
      <c r="C5855" s="5" t="str">
        <f>IFERROR(__xludf.DUMMYFUNCTION("GOOGLETRANSLATE(B5855,""en"",""es-ES"")"),"La gente cambia continuamente y lleva a un equipo ganar y celebrar todos juntos en el agua.")</f>
        <v>La gente cambia continuamente y lleva a un equipo ganar y celebrar todos juntos en el agua.</v>
      </c>
    </row>
    <row r="5856">
      <c r="A5856" s="4" t="s">
        <v>7367</v>
      </c>
      <c r="B5856" s="4" t="s">
        <v>7368</v>
      </c>
      <c r="C5856" s="5" t="str">
        <f>IFERROR(__xludf.DUMMYFUNCTION("GOOGLETRANSLATE(B5856,""en"",""es-ES"")"),"Varios hombres se muestran en diferentes rodeos montar a caballo y capturando el ternero unido a la cuerda.")</f>
        <v>Varios hombres se muestran en diferentes rodeos montar a caballo y capturando el ternero unido a la cuerda.</v>
      </c>
    </row>
    <row r="5857">
      <c r="A5857" s="4" t="s">
        <v>7367</v>
      </c>
      <c r="B5857" s="4" t="s">
        <v>7369</v>
      </c>
      <c r="C5857" s="5" t="str">
        <f>IFERROR(__xludf.DUMMYFUNCTION("GOOGLETRANSLATE(B5857,""en"",""es-ES"")"),"A medida que se muestran más ubicaciones, se capturan más animales y se muestran más personas observando las acciones que tienen lugar.")</f>
        <v>A medida que se muestran más ubicaciones, se capturan más animales y se muestran más personas observando las acciones que tienen lugar.</v>
      </c>
    </row>
    <row r="5858">
      <c r="A5858" s="4" t="s">
        <v>7370</v>
      </c>
      <c r="B5858" s="4" t="s">
        <v>7371</v>
      </c>
      <c r="C5858" s="5" t="str">
        <f>IFERROR(__xludf.DUMMYFUNCTION("GOOGLETRANSLATE(B5858,""en"",""es-ES"")"),"Una joven está haciendo caras en la cámara.")</f>
        <v>Una joven está haciendo caras en la cámara.</v>
      </c>
    </row>
    <row r="5859">
      <c r="A5859" s="4" t="s">
        <v>7370</v>
      </c>
      <c r="B5859" s="4" t="s">
        <v>7372</v>
      </c>
      <c r="C5859" s="5" t="str">
        <f>IFERROR(__xludf.DUMMYFUNCTION("GOOGLETRANSLATE(B5859,""en"",""es-ES"")"),"Ella sostiene una caja que tiene códigos de barras y lee ""Sterling Grey"".")</f>
        <v>Ella sostiene una caja que tiene códigos de barras y lee "Sterling Grey".</v>
      </c>
    </row>
    <row r="5860">
      <c r="A5860" s="4" t="s">
        <v>7370</v>
      </c>
      <c r="B5860" s="4" t="s">
        <v>7373</v>
      </c>
      <c r="C5860" s="5" t="str">
        <f>IFERROR(__xludf.DUMMYFUNCTION("GOOGLETRANSLATE(B5860,""en"",""es-ES"")"),"Ella muestra una botella de cajas de lentes de renovación y contacto visual.")</f>
        <v>Ella muestra una botella de cajas de lentes de renovación y contacto visual.</v>
      </c>
    </row>
    <row r="5861">
      <c r="A5861" s="4" t="s">
        <v>7370</v>
      </c>
      <c r="B5861" s="4" t="s">
        <v>7374</v>
      </c>
      <c r="C5861" s="5" t="str">
        <f>IFERROR(__xludf.DUMMYFUNCTION("GOOGLETRANSLATE(B5861,""en"",""es-ES"")"),"Ella aplica tanto las lentes de contacto y los gritos.")</f>
        <v>Ella aplica tanto las lentes de contacto y los gritos.</v>
      </c>
    </row>
    <row r="5862">
      <c r="A5862" s="4" t="s">
        <v>7375</v>
      </c>
      <c r="B5862" s="4" t="s">
        <v>7376</v>
      </c>
      <c r="C5862" s="5" t="str">
        <f>IFERROR(__xludf.DUMMYFUNCTION("GOOGLETRANSLATE(B5862,""en"",""es-ES"")"),"El hombre está abriendo una caja con tijeras y saca una bicicleta desarmada.")</f>
        <v>El hombre está abriendo una caja con tijeras y saca una bicicleta desarmada.</v>
      </c>
    </row>
    <row r="5863">
      <c r="A5863" s="4" t="s">
        <v>7375</v>
      </c>
      <c r="B5863" s="4" t="s">
        <v>7377</v>
      </c>
      <c r="C5863" s="5" t="str">
        <f>IFERROR(__xludf.DUMMYFUNCTION("GOOGLETRANSLATE(B5863,""en"",""es-ES"")"),"El hombre está armando la bicicleta dentro de una habitación con piso de madera.")</f>
        <v>El hombre está armando la bicicleta dentro de una habitación con piso de madera.</v>
      </c>
    </row>
    <row r="5864">
      <c r="A5864" s="4" t="s">
        <v>7378</v>
      </c>
      <c r="B5864" s="4" t="s">
        <v>7379</v>
      </c>
      <c r="C5864" s="5" t="str">
        <f>IFERROR(__xludf.DUMMYFUNCTION("GOOGLETRANSLATE(B5864,""en"",""es-ES"")"),"La persona sostiene una cuchilla para afilarla.")</f>
        <v>La persona sostiene una cuchilla para afilarla.</v>
      </c>
    </row>
    <row r="5865">
      <c r="A5865" s="4" t="s">
        <v>7378</v>
      </c>
      <c r="B5865" s="4" t="s">
        <v>7380</v>
      </c>
      <c r="C5865" s="5" t="str">
        <f>IFERROR(__xludf.DUMMYFUNCTION("GOOGLETRANSLATE(B5865,""en"",""es-ES"")"),"La persona quita el cinturón de la máquina.")</f>
        <v>La persona quita el cinturón de la máquina.</v>
      </c>
    </row>
    <row r="5866">
      <c r="A5866" s="4" t="s">
        <v>7378</v>
      </c>
      <c r="B5866" s="4" t="s">
        <v>7381</v>
      </c>
      <c r="C5866" s="5" t="str">
        <f>IFERROR(__xludf.DUMMYFUNCTION("GOOGLETRANSLATE(B5866,""en"",""es-ES"")"),"La persona pone un nuevo cinturón en la máquina.")</f>
        <v>La persona pone un nuevo cinturón en la máquina.</v>
      </c>
    </row>
    <row r="5867">
      <c r="A5867" s="4" t="s">
        <v>7378</v>
      </c>
      <c r="B5867" s="4" t="s">
        <v>7382</v>
      </c>
      <c r="C5867" s="5" t="str">
        <f>IFERROR(__xludf.DUMMYFUNCTION("GOOGLETRANSLATE(B5867,""en"",""es-ES"")"),"La persona agudiza la cuchilla en el segundo cinturón.")</f>
        <v>La persona agudiza la cuchilla en el segundo cinturón.</v>
      </c>
    </row>
    <row r="5868">
      <c r="A5868" s="4" t="s">
        <v>7378</v>
      </c>
      <c r="B5868" s="4" t="s">
        <v>7383</v>
      </c>
      <c r="C5868" s="5" t="str">
        <f>IFERROR(__xludf.DUMMYFUNCTION("GOOGLETRANSLATE(B5868,""en"",""es-ES"")"),"La persona quita el segundo cinturón.")</f>
        <v>La persona quita el segundo cinturón.</v>
      </c>
    </row>
    <row r="5869">
      <c r="A5869" s="4" t="s">
        <v>7378</v>
      </c>
      <c r="B5869" s="4" t="s">
        <v>7384</v>
      </c>
      <c r="C5869" s="5" t="str">
        <f>IFERROR(__xludf.DUMMYFUNCTION("GOOGLETRANSLATE(B5869,""en"",""es-ES"")"),"La persona se pone un tercer cinturón.")</f>
        <v>La persona se pone un tercer cinturón.</v>
      </c>
    </row>
    <row r="5870">
      <c r="A5870" s="4" t="s">
        <v>7378</v>
      </c>
      <c r="B5870" s="4" t="s">
        <v>7385</v>
      </c>
      <c r="C5870" s="5" t="str">
        <f>IFERROR(__xludf.DUMMYFUNCTION("GOOGLETRANSLATE(B5870,""en"",""es-ES"")"),"La persona agudiza la cuchilla en el tercer cinturón.")</f>
        <v>La persona agudiza la cuchilla en el tercer cinturón.</v>
      </c>
    </row>
    <row r="5871">
      <c r="A5871" s="4" t="s">
        <v>7378</v>
      </c>
      <c r="B5871" s="4" t="s">
        <v>7386</v>
      </c>
      <c r="C5871" s="5" t="str">
        <f>IFERROR(__xludf.DUMMYFUNCTION("GOOGLETRANSLATE(B5871,""en"",""es-ES"")"),"La persona demuestra el borde de la cuchilla.")</f>
        <v>La persona demuestra el borde de la cuchilla.</v>
      </c>
    </row>
    <row r="5872">
      <c r="A5872" s="4" t="s">
        <v>7387</v>
      </c>
      <c r="B5872" s="4" t="s">
        <v>7388</v>
      </c>
      <c r="C5872" s="5" t="str">
        <f>IFERROR(__xludf.DUMMYFUNCTION("GOOGLETRANSLATE(B5872,""en"",""es-ES"")"),"Se ve un automóvil conduciendo y conduce a un hombre que bombea aire en el neumático.")</f>
        <v>Se ve un automóvil conduciendo y conduce a un hombre que bombea aire en el neumático.</v>
      </c>
    </row>
    <row r="5873">
      <c r="A5873" s="4" t="s">
        <v>7387</v>
      </c>
      <c r="B5873" s="4" t="s">
        <v>7389</v>
      </c>
      <c r="C5873" s="5" t="str">
        <f>IFERROR(__xludf.DUMMYFUNCTION("GOOGLETRANSLATE(B5873,""en"",""es-ES"")"),"El hombre pone un cable a lo largo del neumático y continúa girando.")</f>
        <v>El hombre pone un cable a lo largo del neumático y continúa girando.</v>
      </c>
    </row>
    <row r="5874">
      <c r="A5874" s="4" t="s">
        <v>7387</v>
      </c>
      <c r="B5874" s="4" t="s">
        <v>7390</v>
      </c>
      <c r="C5874" s="5" t="str">
        <f>IFERROR(__xludf.DUMMYFUNCTION("GOOGLETRANSLATE(B5874,""en"",""es-ES"")"),"Bombea más cabello en el neumático y se quita el gato alejándolo.")</f>
        <v>Bombea más cabello en el neumático y se quita el gato alejándolo.</v>
      </c>
    </row>
    <row r="5875">
      <c r="A5875" s="4" t="s">
        <v>7391</v>
      </c>
      <c r="B5875" s="4" t="s">
        <v>7392</v>
      </c>
      <c r="C5875" s="5" t="str">
        <f>IFERROR(__xludf.DUMMYFUNCTION("GOOGLETRANSLATE(B5875,""en"",""es-ES"")"),"Una mujer se está cepillando los dientes en un baño.")</f>
        <v>Una mujer se está cepillando los dientes en un baño.</v>
      </c>
    </row>
    <row r="5876">
      <c r="A5876" s="4" t="s">
        <v>7391</v>
      </c>
      <c r="B5876" s="4" t="s">
        <v>7393</v>
      </c>
      <c r="C5876" s="5" t="str">
        <f>IFERROR(__xludf.DUMMYFUNCTION("GOOGLETRANSLATE(B5876,""en"",""es-ES"")"),"Alguien la está filmando detrás de ella.")</f>
        <v>Alguien la está filmando detrás de ella.</v>
      </c>
    </row>
    <row r="5877">
      <c r="A5877" s="4" t="s">
        <v>7391</v>
      </c>
      <c r="B5877" s="4" t="s">
        <v>7394</v>
      </c>
      <c r="C5877" s="5" t="str">
        <f>IFERROR(__xludf.DUMMYFUNCTION("GOOGLETRANSLATE(B5877,""en"",""es-ES"")"),"Ella escupe la pasta de dientes en el fregadero frente a ella.")</f>
        <v>Ella escupe la pasta de dientes en el fregadero frente a ella.</v>
      </c>
    </row>
    <row r="5878">
      <c r="A5878" s="4" t="s">
        <v>7395</v>
      </c>
      <c r="B5878" s="4" t="s">
        <v>7396</v>
      </c>
      <c r="C5878" s="5" t="str">
        <f>IFERROR(__xludf.DUMMYFUNCTION("GOOGLETRANSLATE(B5878,""en"",""es-ES"")"),"Se ve a un pequeño grupo de hombres de pie alrededor de una habitación con raquetas de tenis.")</f>
        <v>Se ve a un pequeño grupo de hombres de pie alrededor de una habitación con raquetas de tenis.</v>
      </c>
    </row>
    <row r="5879">
      <c r="A5879" s="4" t="s">
        <v>7395</v>
      </c>
      <c r="B5879" s="4" t="s">
        <v>7397</v>
      </c>
      <c r="C5879" s="5" t="str">
        <f>IFERROR(__xludf.DUMMYFUNCTION("GOOGLETRANSLATE(B5879,""en"",""es-ES"")"),"Luego, los hombres comienzan a jugar al tenis entre sí mientras golpean la pelota.")</f>
        <v>Luego, los hombres comienzan a jugar al tenis entre sí mientras golpean la pelota.</v>
      </c>
    </row>
    <row r="5880">
      <c r="A5880" s="4" t="s">
        <v>7395</v>
      </c>
      <c r="B5880" s="4" t="s">
        <v>7398</v>
      </c>
      <c r="C5880" s="5" t="str">
        <f>IFERROR(__xludf.DUMMYFUNCTION("GOOGLETRANSLATE(B5880,""en"",""es-ES"")"),"Los hombres continúan golpeando la pelota alrededor de la habitación y terminan con varios saliendo.")</f>
        <v>Los hombres continúan golpeando la pelota alrededor de la habitación y terminan con varios saliendo.</v>
      </c>
    </row>
    <row r="5881">
      <c r="A5881" s="4" t="s">
        <v>7399</v>
      </c>
      <c r="B5881" s="4" t="s">
        <v>7400</v>
      </c>
      <c r="C5881" s="5" t="str">
        <f>IFERROR(__xludf.DUMMYFUNCTION("GOOGLETRANSLATE(B5881,""en"",""es-ES"")"),"Un hombre con una camisa blanca está cortando un trozo de madera con un hacha.")</f>
        <v>Un hombre con una camisa blanca está cortando un trozo de madera con un hacha.</v>
      </c>
    </row>
    <row r="5882">
      <c r="A5882" s="4" t="s">
        <v>7399</v>
      </c>
      <c r="B5882" s="4" t="s">
        <v>7401</v>
      </c>
      <c r="C5882" s="5" t="str">
        <f>IFERROR(__xludf.DUMMYFUNCTION("GOOGLETRANSLATE(B5882,""en"",""es-ES"")"),"Se balancea en el bosque y falla y golpea el suelo.")</f>
        <v>Se balancea en el bosque y falla y golpea el suelo.</v>
      </c>
    </row>
    <row r="5883">
      <c r="A5883" s="4" t="s">
        <v>7399</v>
      </c>
      <c r="B5883" s="4" t="s">
        <v>7402</v>
      </c>
      <c r="C5883" s="5" t="str">
        <f>IFERROR(__xludf.DUMMYFUNCTION("GOOGLETRANSLATE(B5883,""en"",""es-ES"")"),"Otro hombre que lleva una olla camina detrás de él.")</f>
        <v>Otro hombre que lleva una olla camina detrás de él.</v>
      </c>
    </row>
    <row r="5884">
      <c r="A5884" s="4" t="s">
        <v>7403</v>
      </c>
      <c r="B5884" s="4" t="s">
        <v>7404</v>
      </c>
      <c r="C5884" s="5" t="str">
        <f>IFERROR(__xludf.DUMMYFUNCTION("GOOGLETRANSLATE(B5884,""en"",""es-ES"")"),"Vemos a una joven gimnasta hablando con la cámara.")</f>
        <v>Vemos a una joven gimnasta hablando con la cámara.</v>
      </c>
    </row>
    <row r="5885">
      <c r="A5885" s="4" t="s">
        <v>7403</v>
      </c>
      <c r="B5885" s="4" t="s">
        <v>991</v>
      </c>
      <c r="C5885" s="5" t="str">
        <f>IFERROR(__xludf.DUMMYFUNCTION("GOOGLETRANSLATE(B5885,""en"",""es-ES"")"),"Luego vemos la pantalla del título.")</f>
        <v>Luego vemos la pantalla del título.</v>
      </c>
    </row>
    <row r="5886">
      <c r="A5886" s="4" t="s">
        <v>7403</v>
      </c>
      <c r="B5886" s="4" t="s">
        <v>7405</v>
      </c>
      <c r="C5886" s="5" t="str">
        <f>IFERROR(__xludf.DUMMYFUNCTION("GOOGLETRANSLATE(B5886,""en"",""es-ES"")"),"Vemos a la niña realizar flips.")</f>
        <v>Vemos a la niña realizar flips.</v>
      </c>
    </row>
    <row r="5887">
      <c r="A5887" s="4" t="s">
        <v>7403</v>
      </c>
      <c r="B5887" s="4" t="s">
        <v>7406</v>
      </c>
      <c r="C5887" s="5" t="str">
        <f>IFERROR(__xludf.DUMMYFUNCTION("GOOGLETRANSLATE(B5887,""en"",""es-ES"")"),"La niña voltea un trampolín.")</f>
        <v>La niña voltea un trampolín.</v>
      </c>
    </row>
    <row r="5888">
      <c r="A5888" s="4" t="s">
        <v>7403</v>
      </c>
      <c r="B5888" s="4" t="s">
        <v>7407</v>
      </c>
      <c r="C5888" s="5" t="str">
        <f>IFERROR(__xludf.DUMMYFUNCTION("GOOGLETRANSLATE(B5888,""en"",""es-ES"")"),"Ella salta y hace una división en el aire.")</f>
        <v>Ella salta y hace una división en el aire.</v>
      </c>
    </row>
    <row r="5889">
      <c r="A5889" s="4" t="s">
        <v>7403</v>
      </c>
      <c r="B5889" s="4" t="s">
        <v>7408</v>
      </c>
      <c r="C5889" s="5" t="str">
        <f>IFERROR(__xludf.DUMMYFUNCTION("GOOGLETRANSLATE(B5889,""en"",""es-ES"")"),"Vemos a los bloopers donde se cae y una pantalla de título.")</f>
        <v>Vemos a los bloopers donde se cae y una pantalla de título.</v>
      </c>
    </row>
    <row r="5890">
      <c r="A5890" s="4" t="s">
        <v>7403</v>
      </c>
      <c r="B5890" s="4" t="s">
        <v>7409</v>
      </c>
      <c r="C5890" s="5" t="str">
        <f>IFERROR(__xludf.DUMMYFUNCTION("GOOGLETRANSLATE(B5890,""en"",""es-ES"")"),"Luego vemos las pantallas finales.")</f>
        <v>Luego vemos las pantallas finales.</v>
      </c>
    </row>
    <row r="5891">
      <c r="A5891" s="4" t="s">
        <v>7410</v>
      </c>
      <c r="B5891" s="4" t="s">
        <v>7411</v>
      </c>
      <c r="C5891" s="5" t="str">
        <f>IFERROR(__xludf.DUMMYFUNCTION("GOOGLETRANSLATE(B5891,""en"",""es-ES"")"),"Vemos una pantalla de apertura azul.")</f>
        <v>Vemos una pantalla de apertura azul.</v>
      </c>
    </row>
    <row r="5892">
      <c r="A5892" s="4" t="s">
        <v>7410</v>
      </c>
      <c r="B5892" s="4" t="s">
        <v>7412</v>
      </c>
      <c r="C5892" s="5" t="str">
        <f>IFERROR(__xludf.DUMMYFUNCTION("GOOGLETRANSLATE(B5892,""en"",""es-ES"")"),"Vemos a un hombre volteando y realizando capoeira cortada con pantallas de título azul.")</f>
        <v>Vemos a un hombre volteando y realizando capoeira cortada con pantallas de título azul.</v>
      </c>
    </row>
    <row r="5893">
      <c r="A5893" s="4" t="s">
        <v>7410</v>
      </c>
      <c r="B5893" s="4" t="s">
        <v>7413</v>
      </c>
      <c r="C5893" s="5" t="str">
        <f>IFERROR(__xludf.DUMMYFUNCTION("GOOGLETRANSLATE(B5893,""en"",""es-ES"")"),"El hombre hace una patada giratoria.")</f>
        <v>El hombre hace una patada giratoria.</v>
      </c>
    </row>
    <row r="5894">
      <c r="A5894" s="4" t="s">
        <v>7410</v>
      </c>
      <c r="B5894" s="4" t="s">
        <v>7414</v>
      </c>
      <c r="C5894" s="5" t="str">
        <f>IFERROR(__xludf.DUMMYFUNCTION("GOOGLETRANSLATE(B5894,""en"",""es-ES"")"),"El hombre hace un giro y un pato.")</f>
        <v>El hombre hace un giro y un pato.</v>
      </c>
    </row>
    <row r="5895">
      <c r="A5895" s="4" t="s">
        <v>7410</v>
      </c>
      <c r="B5895" s="4" t="s">
        <v>7415</v>
      </c>
      <c r="C5895" s="5" t="str">
        <f>IFERROR(__xludf.DUMMYFUNCTION("GOOGLETRANSLATE(B5895,""en"",""es-ES"")"),"El hombre hace un barrido de giro en el piso.")</f>
        <v>El hombre hace un barrido de giro en el piso.</v>
      </c>
    </row>
    <row r="5896">
      <c r="A5896" s="4" t="s">
        <v>7416</v>
      </c>
      <c r="B5896" s="4" t="s">
        <v>7417</v>
      </c>
      <c r="C5896" s="5" t="str">
        <f>IFERROR(__xludf.DUMMYFUNCTION("GOOGLETRANSLATE(B5896,""en"",""es-ES"")"),"Un pequeño niño está en el baño cepillándose los dientes.")</f>
        <v>Un pequeño niño está en el baño cepillándose los dientes.</v>
      </c>
    </row>
    <row r="5897">
      <c r="A5897" s="4" t="s">
        <v>7416</v>
      </c>
      <c r="B5897" s="4" t="s">
        <v>7418</v>
      </c>
      <c r="C5897" s="5" t="str">
        <f>IFERROR(__xludf.DUMMYFUNCTION("GOOGLETRANSLATE(B5897,""en"",""es-ES"")"),"Mientras cepilla frenéticamente, una mujer viene a ayudarlo mientras señala diferentes cosas en el mostrador.")</f>
        <v>Mientras cepilla frenéticamente, una mujer viene a ayudarlo mientras señala diferentes cosas en el mostrador.</v>
      </c>
    </row>
    <row r="5898">
      <c r="A5898" s="4" t="s">
        <v>7416</v>
      </c>
      <c r="B5898" s="4" t="s">
        <v>7419</v>
      </c>
      <c r="C5898" s="5" t="str">
        <f>IFERROR(__xludf.DUMMYFUNCTION("GOOGLETRANSLATE(B5898,""en"",""es-ES"")"),"El joven sigue cepillando y luego termina cambiando los cepillos de los dientes.")</f>
        <v>El joven sigue cepillando y luego termina cambiando los cepillos de los dientes.</v>
      </c>
    </row>
    <row r="5899">
      <c r="A5899" s="4" t="s">
        <v>7416</v>
      </c>
      <c r="B5899" s="4" t="s">
        <v>7420</v>
      </c>
      <c r="C5899" s="5" t="str">
        <f>IFERROR(__xludf.DUMMYFUNCTION("GOOGLETRANSLATE(B5899,""en"",""es-ES"")"),"Finalmente, la mujer pone la pasta de dientes en el cepillo y el niño se limpia los dientes.")</f>
        <v>Finalmente, la mujer pone la pasta de dientes en el cepillo y el niño se limpia los dientes.</v>
      </c>
    </row>
    <row r="5900">
      <c r="A5900" s="4" t="s">
        <v>7416</v>
      </c>
      <c r="B5900" s="4" t="s">
        <v>7421</v>
      </c>
      <c r="C5900" s="5" t="str">
        <f>IFERROR(__xludf.DUMMYFUNCTION("GOOGLETRANSLATE(B5900,""en"",""es-ES"")"),"Una vez que termine, se le da una barra de jabón y tiene que lavarse las manos.")</f>
        <v>Una vez que termine, se le da una barra de jabón y tiene que lavarse las manos.</v>
      </c>
    </row>
    <row r="5901">
      <c r="A5901" s="4" t="s">
        <v>7416</v>
      </c>
      <c r="B5901" s="4" t="s">
        <v>7422</v>
      </c>
      <c r="C5901" s="5" t="str">
        <f>IFERROR(__xludf.DUMMYFUNCTION("GOOGLETRANSLATE(B5901,""en"",""es-ES"")"),"Finalmente ha terminado y agarra su juguete y sale corriendo del baño.")</f>
        <v>Finalmente ha terminado y agarra su juguete y sale corriendo del baño.</v>
      </c>
    </row>
    <row r="5902">
      <c r="A5902" s="4" t="s">
        <v>7423</v>
      </c>
      <c r="B5902" s="4" t="s">
        <v>7424</v>
      </c>
      <c r="C5902" s="5" t="str">
        <f>IFERROR(__xludf.DUMMYFUNCTION("GOOGLETRANSLATE(B5902,""en"",""es-ES"")"),"El video conduce a varias tomas de personas que viajan en patinetas y realizan trucos.")</f>
        <v>El video conduce a varias tomas de personas que viajan en patinetas y realizan trucos.</v>
      </c>
    </row>
    <row r="5903">
      <c r="A5903" s="4" t="s">
        <v>7423</v>
      </c>
      <c r="B5903" s="4" t="s">
        <v>7425</v>
      </c>
      <c r="C5903" s="5" t="str">
        <f>IFERROR(__xludf.DUMMYFUNCTION("GOOGLETRANSLATE(B5903,""en"",""es-ES"")"),"Muchas más personas que conducen se muestran y conducen a un joven que habla con la cámara y una imagen de una camiseta.")</f>
        <v>Muchas más personas que conducen se muestran y conducen a un joven que habla con la cámara y una imagen de una camiseta.</v>
      </c>
    </row>
    <row r="5904">
      <c r="A5904" s="4" t="s">
        <v>7426</v>
      </c>
      <c r="B5904" s="4" t="s">
        <v>7427</v>
      </c>
      <c r="C5904" s="5" t="str">
        <f>IFERROR(__xludf.DUMMYFUNCTION("GOOGLETRANSLATE(B5904,""en"",""es-ES"")"),"Se ve a un hombre hablando con la cámara y lo lleva a cortar las baldosas y midiéndolas a lo largo de una pared.")</f>
        <v>Se ve a un hombre hablando con la cámara y lo lleva a cortar las baldosas y midiéndolas a lo largo de una pared.</v>
      </c>
    </row>
    <row r="5905">
      <c r="A5905" s="4" t="s">
        <v>7426</v>
      </c>
      <c r="B5905" s="4" t="s">
        <v>7428</v>
      </c>
      <c r="C5905" s="5" t="str">
        <f>IFERROR(__xludf.DUMMYFUNCTION("GOOGLETRANSLATE(B5905,""en"",""es-ES"")"),"El hombre usa una sierra para cortar la pared y el mosaico mientras usa otras herramientas para cortar los lados.")</f>
        <v>El hombre usa una sierra para cortar la pared y el mosaico mientras usa otras herramientas para cortar los lados.</v>
      </c>
    </row>
    <row r="5906">
      <c r="A5906" s="4" t="s">
        <v>7426</v>
      </c>
      <c r="B5906" s="4" t="s">
        <v>7429</v>
      </c>
      <c r="C5906" s="5" t="str">
        <f>IFERROR(__xludf.DUMMYFUNCTION("GOOGLETRANSLATE(B5906,""en"",""es-ES"")"),"Se muestran más mosaicos mientras el hombre continúa hablando y los coloca en el piso.")</f>
        <v>Se muestran más mosaicos mientras el hombre continúa hablando y los coloca en el piso.</v>
      </c>
    </row>
    <row r="5907">
      <c r="A5907" s="4" t="s">
        <v>7430</v>
      </c>
      <c r="B5907" s="4" t="s">
        <v>7431</v>
      </c>
      <c r="C5907" s="5" t="str">
        <f>IFERROR(__xludf.DUMMYFUNCTION("GOOGLETRANSLATE(B5907,""en"",""es-ES"")"),"Una niña está hablando con la cámara mientras usa sus manos.")</f>
        <v>Una niña está hablando con la cámara mientras usa sus manos.</v>
      </c>
    </row>
    <row r="5908">
      <c r="A5908" s="4" t="s">
        <v>7430</v>
      </c>
      <c r="B5908" s="4" t="s">
        <v>7432</v>
      </c>
      <c r="C5908" s="5" t="str">
        <f>IFERROR(__xludf.DUMMYFUNCTION("GOOGLETRANSLATE(B5908,""en"",""es-ES"")"),"La cámara hace un cambio de escena borrosa.")</f>
        <v>La cámara hace un cambio de escena borrosa.</v>
      </c>
    </row>
    <row r="5909">
      <c r="A5909" s="4" t="s">
        <v>7430</v>
      </c>
      <c r="B5909" s="4" t="s">
        <v>7433</v>
      </c>
      <c r="C5909" s="5" t="str">
        <f>IFERROR(__xludf.DUMMYFUNCTION("GOOGLETRANSLATE(B5909,""en"",""es-ES"")"),"La niña apunta hacia abajo y se limpia el cabello.")</f>
        <v>La niña apunta hacia abajo y se limpia el cabello.</v>
      </c>
    </row>
    <row r="5910">
      <c r="A5910" s="4" t="s">
        <v>7430</v>
      </c>
      <c r="B5910" s="4" t="s">
        <v>7434</v>
      </c>
      <c r="C5910" s="5" t="str">
        <f>IFERROR(__xludf.DUMMYFUNCTION("GOOGLETRANSLATE(B5910,""en"",""es-ES"")"),"La niña saluda en la pantalla.")</f>
        <v>La niña saluda en la pantalla.</v>
      </c>
    </row>
    <row r="5911">
      <c r="A5911" s="4" t="s">
        <v>7430</v>
      </c>
      <c r="B5911" s="4" t="s">
        <v>7435</v>
      </c>
      <c r="C5911" s="5" t="str">
        <f>IFERROR(__xludf.DUMMYFUNCTION("GOOGLETRANSLATE(B5911,""en"",""es-ES"")"),"La escena cambia a la chica de pie en una ducha.")</f>
        <v>La escena cambia a la chica de pie en una ducha.</v>
      </c>
    </row>
    <row r="5912">
      <c r="A5912" s="4" t="s">
        <v>7430</v>
      </c>
      <c r="B5912" s="4" t="s">
        <v>7436</v>
      </c>
      <c r="C5912" s="5" t="str">
        <f>IFERROR(__xludf.DUMMYFUNCTION("GOOGLETRANSLATE(B5912,""en"",""es-ES"")"),"La niña se afeita las piernas en la ducha.")</f>
        <v>La niña se afeita las piernas en la ducha.</v>
      </c>
    </row>
    <row r="5913">
      <c r="A5913" s="4" t="s">
        <v>7430</v>
      </c>
      <c r="B5913" s="4" t="s">
        <v>7437</v>
      </c>
      <c r="C5913" s="5" t="str">
        <f>IFERROR(__xludf.DUMMYFUNCTION("GOOGLETRANSLATE(B5913,""en"",""es-ES"")"),"Ella nos muestra su producto de afeitado en la lata y en sus manos.")</f>
        <v>Ella nos muestra su producto de afeitado en la lata y en sus manos.</v>
      </c>
    </row>
    <row r="5914">
      <c r="A5914" s="4" t="s">
        <v>7430</v>
      </c>
      <c r="B5914" s="4" t="s">
        <v>7438</v>
      </c>
      <c r="C5914" s="5" t="str">
        <f>IFERROR(__xludf.DUMMYFUNCTION("GOOGLETRANSLATE(B5914,""en"",""es-ES"")"),"La niña nos muestra su maquinilla de afeitar y luego comienza a afeitarse.")</f>
        <v>La niña nos muestra su maquinilla de afeitar y luego comienza a afeitarse.</v>
      </c>
    </row>
    <row r="5915">
      <c r="A5915" s="4" t="s">
        <v>7439</v>
      </c>
      <c r="B5915" s="4" t="s">
        <v>7440</v>
      </c>
      <c r="C5915" s="5" t="str">
        <f>IFERROR(__xludf.DUMMYFUNCTION("GOOGLETRANSLATE(B5915,""en"",""es-ES"")"),"Se ven dos personas de pie detrás de un conjunto de tambores mirando la cámara.")</f>
        <v>Se ven dos personas de pie detrás de un conjunto de tambores mirando la cámara.</v>
      </c>
    </row>
    <row r="5916">
      <c r="A5916" s="4" t="s">
        <v>7439</v>
      </c>
      <c r="B5916" s="4" t="s">
        <v>7441</v>
      </c>
      <c r="C5916" s="5" t="str">
        <f>IFERROR(__xludf.DUMMYFUNCTION("GOOGLETRANSLATE(B5916,""en"",""es-ES"")"),"Los dos luego comienzan a tocar la batería mientras una niña pequeña entra y sale del marco.")</f>
        <v>Los dos luego comienzan a tocar la batería mientras una niña pequeña entra y sale del marco.</v>
      </c>
    </row>
    <row r="5917">
      <c r="A5917" s="4" t="s">
        <v>7439</v>
      </c>
      <c r="B5917" s="4" t="s">
        <v>7442</v>
      </c>
      <c r="C5917" s="5" t="str">
        <f>IFERROR(__xludf.DUMMYFUNCTION("GOOGLETRANSLATE(B5917,""en"",""es-ES"")"),"Los dos se detienen por un momento y luego continúan jugando con una parada y dejando que el otro termine.")</f>
        <v>Los dos se detienen por un momento y luego continúan jugando con una parada y dejando que el otro termine.</v>
      </c>
    </row>
    <row r="5918">
      <c r="A5918" s="4" t="s">
        <v>7443</v>
      </c>
      <c r="B5918" s="4" t="s">
        <v>7444</v>
      </c>
      <c r="C5918" s="5" t="str">
        <f>IFERROR(__xludf.DUMMYFUNCTION("GOOGLETRANSLATE(B5918,""en"",""es-ES"")"),"Un hombre en una falda escocesa se prepara para lanzar un gran martillo en una competencia.")</f>
        <v>Un hombre en una falda escocesa se prepara para lanzar un gran martillo en una competencia.</v>
      </c>
    </row>
    <row r="5919">
      <c r="A5919" s="4" t="s">
        <v>7443</v>
      </c>
      <c r="B5919" s="4" t="s">
        <v>7445</v>
      </c>
      <c r="C5919" s="5" t="str">
        <f>IFERROR(__xludf.DUMMYFUNCTION("GOOGLETRANSLATE(B5919,""en"",""es-ES"")"),"Después de sus preparativos, gira el martillo en un círculo y lo arroja lo más posible.")</f>
        <v>Después de sus preparativos, gira el martillo en un círculo y lo arroja lo más posible.</v>
      </c>
    </row>
    <row r="5920">
      <c r="A5920" s="4" t="s">
        <v>7446</v>
      </c>
      <c r="B5920" s="4" t="s">
        <v>7447</v>
      </c>
      <c r="C5920" s="5" t="str">
        <f>IFERROR(__xludf.DUMMYFUNCTION("GOOGLETRANSLATE(B5920,""en"",""es-ES"")"),"Se ve a un pequeño grupo de personas tocando lacrosse en un campo que corría arriba y abajo del campo y empujándose unos a otras.")</f>
        <v>Se ve a un pequeño grupo de personas tocando lacrosse en un campo que corría arriba y abajo del campo y empujándose unos a otras.</v>
      </c>
    </row>
    <row r="5921">
      <c r="A5921" s="4" t="s">
        <v>7446</v>
      </c>
      <c r="B5921" s="4" t="s">
        <v>7448</v>
      </c>
      <c r="C5921" s="5" t="str">
        <f>IFERROR(__xludf.DUMMYFUNCTION("GOOGLETRANSLATE(B5921,""en"",""es-ES"")"),"Se muestran varios tiros de jugadores que se golpean entre sí, así como a los jugadores que empujan a otras personas.")</f>
        <v>Se muestran varios tiros de jugadores que se golpean entre sí, así como a los jugadores que empujan a otras personas.</v>
      </c>
    </row>
    <row r="5922">
      <c r="A5922" s="4" t="s">
        <v>7446</v>
      </c>
      <c r="B5922" s="4" t="s">
        <v>7449</v>
      </c>
      <c r="C5922" s="5" t="str">
        <f>IFERROR(__xludf.DUMMYFUNCTION("GOOGLETRANSLATE(B5922,""en"",""es-ES"")"),"Un equipo anota varios goles y es seguido inmediatamente por los compañeros de equipo que vitorean.")</f>
        <v>Un equipo anota varios goles y es seguido inmediatamente por los compañeros de equipo que vitorean.</v>
      </c>
    </row>
    <row r="5923">
      <c r="A5923" s="4" t="s">
        <v>7450</v>
      </c>
      <c r="B5923" s="4" t="s">
        <v>7451</v>
      </c>
      <c r="C5923" s="5" t="str">
        <f>IFERROR(__xludf.DUMMYFUNCTION("GOOGLETRANSLATE(B5923,""en"",""es-ES"")"),"Un médico entró en la habitación, luego se lavó las manos, se limpió las manos con toalla de papel.")</f>
        <v>Un médico entró en la habitación, luego se lavó las manos, se limpió las manos con toalla de papel.</v>
      </c>
    </row>
    <row r="5924">
      <c r="A5924" s="4" t="s">
        <v>7450</v>
      </c>
      <c r="B5924" s="4" t="s">
        <v>7452</v>
      </c>
      <c r="C5924" s="5" t="str">
        <f>IFERROR(__xludf.DUMMYFUNCTION("GOOGLETRANSLATE(B5924,""en"",""es-ES"")"),"Un médico está lavando su mano con agua y jabón, mientras que el otro médico con bata blanca está en su teléfono.")</f>
        <v>Un médico está lavando su mano con agua y jabón, mientras que el otro médico con bata blanca está en su teléfono.</v>
      </c>
    </row>
    <row r="5925">
      <c r="A5925" s="4" t="s">
        <v>7450</v>
      </c>
      <c r="B5925" s="4" t="s">
        <v>7453</v>
      </c>
      <c r="C5925" s="5" t="str">
        <f>IFERROR(__xludf.DUMMYFUNCTION("GOOGLETRANSLATE(B5925,""en"",""es-ES"")"),"Un hombre con abrigo amarillo se lave las manos, entonces el hombre de la camisa azul está dando una entrevista.")</f>
        <v>Un hombre con abrigo amarillo se lave las manos, entonces el hombre de la camisa azul está dando una entrevista.</v>
      </c>
    </row>
    <row r="5926">
      <c r="A5926" s="4" t="s">
        <v>7454</v>
      </c>
      <c r="B5926" s="4" t="s">
        <v>7455</v>
      </c>
      <c r="C5926" s="5" t="str">
        <f>IFERROR(__xludf.DUMMYFUNCTION("GOOGLETRANSLATE(B5926,""en"",""es-ES"")"),"Un hombre habla mientras sostiene gaitas.")</f>
        <v>Un hombre habla mientras sostiene gaitas.</v>
      </c>
    </row>
    <row r="5927">
      <c r="A5927" s="4" t="s">
        <v>7454</v>
      </c>
      <c r="B5927" s="4" t="s">
        <v>7456</v>
      </c>
      <c r="C5927" s="5" t="str">
        <f>IFERROR(__xludf.DUMMYFUNCTION("GOOGLETRANSLATE(B5927,""en"",""es-ES"")"),"Luego toca las gaitas.")</f>
        <v>Luego toca las gaitas.</v>
      </c>
    </row>
    <row r="5928">
      <c r="A5928" s="4" t="s">
        <v>7454</v>
      </c>
      <c r="B5928" s="4" t="s">
        <v>7457</v>
      </c>
      <c r="C5928" s="5" t="str">
        <f>IFERROR(__xludf.DUMMYFUNCTION("GOOGLETRANSLATE(B5928,""en"",""es-ES"")"),"El hombre mueve sus dedos para cambiar el sonido mientras toca.")</f>
        <v>El hombre mueve sus dedos para cambiar el sonido mientras toca.</v>
      </c>
    </row>
    <row r="5929">
      <c r="A5929" s="4" t="s">
        <v>7458</v>
      </c>
      <c r="B5929" s="4" t="s">
        <v>7459</v>
      </c>
      <c r="C5929" s="5" t="str">
        <f>IFERROR(__xludf.DUMMYFUNCTION("GOOGLETRANSLATE(B5929,""en"",""es-ES"")"),"Una persona está esquiando por una colina de nieve.")</f>
        <v>Una persona está esquiando por una colina de nieve.</v>
      </c>
    </row>
    <row r="5930">
      <c r="A5930" s="4" t="s">
        <v>7458</v>
      </c>
      <c r="B5930" s="4" t="s">
        <v>7460</v>
      </c>
      <c r="C5930" s="5" t="str">
        <f>IFERROR(__xludf.DUMMYFUNCTION("GOOGLETRANSLATE(B5930,""en"",""es-ES"")"),"Salen de un salto y vuelan en el aire.")</f>
        <v>Salen de un salto y vuelan en el aire.</v>
      </c>
    </row>
    <row r="5931">
      <c r="A5931" s="4" t="s">
        <v>7458</v>
      </c>
      <c r="B5931" s="4" t="s">
        <v>7461</v>
      </c>
      <c r="C5931" s="5" t="str">
        <f>IFERROR(__xludf.DUMMYFUNCTION("GOOGLETRANSLATE(B5931,""en"",""es-ES"")"),"Controlan de nuevo en la nieve y continúan esquiando por la colina.")</f>
        <v>Controlan de nuevo en la nieve y continúan esquiando por la colina.</v>
      </c>
    </row>
    <row r="5932">
      <c r="A5932" s="4" t="s">
        <v>7462</v>
      </c>
      <c r="B5932" s="4" t="s">
        <v>7463</v>
      </c>
      <c r="C5932" s="5" t="str">
        <f>IFERROR(__xludf.DUMMYFUNCTION("GOOGLETRANSLATE(B5932,""en"",""es-ES"")"),"Una cámara se acerca a un camión grande que muestra a una persona caminando por detrás y otra.")</f>
        <v>Una cámara se acerca a un camión grande que muestra a una persona caminando por detrás y otra.</v>
      </c>
    </row>
    <row r="5933">
      <c r="A5933" s="4" t="s">
        <v>7462</v>
      </c>
      <c r="B5933" s="4" t="s">
        <v>7464</v>
      </c>
      <c r="C5933" s="5" t="str">
        <f>IFERROR(__xludf.DUMMYFUNCTION("GOOGLETRANSLATE(B5933,""en"",""es-ES"")"),"Los hombres comienzan a tirar de una cuerda y a trabajar desde atrás mientras el camarógrafo habla con la cámara.")</f>
        <v>Los hombres comienzan a tirar de una cuerda y a trabajar desde atrás mientras el camarógrafo habla con la cámara.</v>
      </c>
    </row>
    <row r="5934">
      <c r="A5934" s="4" t="s">
        <v>7462</v>
      </c>
      <c r="B5934" s="4" t="s">
        <v>7465</v>
      </c>
      <c r="C5934" s="5" t="str">
        <f>IFERROR(__xludf.DUMMYFUNCTION("GOOGLETRANSLATE(B5934,""en"",""es-ES"")"),"El hombre continúa pasando por el área nevada y observa a los hombres trabajar desde atrás.")</f>
        <v>El hombre continúa pasando por el área nevada y observa a los hombres trabajar desde atrás.</v>
      </c>
    </row>
    <row r="5935">
      <c r="A5935" s="4" t="s">
        <v>7466</v>
      </c>
      <c r="B5935" s="4" t="s">
        <v>7467</v>
      </c>
      <c r="C5935" s="5" t="str">
        <f>IFERROR(__xludf.DUMMYFUNCTION("GOOGLETRANSLATE(B5935,""en"",""es-ES"")"),"Se ve a un niño pequeño sentado sobre un tobogán mientras mira a otro niño que juega.")</f>
        <v>Se ve a un niño pequeño sentado sobre un tobogán mientras mira a otro niño que juega.</v>
      </c>
    </row>
    <row r="5936">
      <c r="A5936" s="4" t="s">
        <v>7466</v>
      </c>
      <c r="B5936" s="4" t="s">
        <v>7468</v>
      </c>
      <c r="C5936" s="5" t="str">
        <f>IFERROR(__xludf.DUMMYFUNCTION("GOOGLETRANSLATE(B5936,""en"",""es-ES"")"),"El niño monta por la diapositiva varias veces más con la ayuda de la niña y un hombre de pie sosteniendo a un bebé y observando.")</f>
        <v>El niño monta por la diapositiva varias veces más con la ayuda de la niña y un hombre de pie sosteniendo a un bebé y observando.</v>
      </c>
    </row>
    <row r="5937">
      <c r="A5937" s="4" t="s">
        <v>7469</v>
      </c>
      <c r="B5937" s="4" t="s">
        <v>7470</v>
      </c>
      <c r="C5937" s="5" t="str">
        <f>IFERROR(__xludf.DUMMYFUNCTION("GOOGLETRANSLATE(B5937,""en"",""es-ES"")"),"Una chica está mirando la cámara.")</f>
        <v>Una chica está mirando la cámara.</v>
      </c>
    </row>
    <row r="5938">
      <c r="A5938" s="4" t="s">
        <v>7469</v>
      </c>
      <c r="B5938" s="4" t="s">
        <v>7471</v>
      </c>
      <c r="C5938" s="5" t="str">
        <f>IFERROR(__xludf.DUMMYFUNCTION("GOOGLETRANSLATE(B5938,""en"",""es-ES"")"),"Ella se da vuelta y le cepilla el cabello.")</f>
        <v>Ella se da vuelta y le cepilla el cabello.</v>
      </c>
    </row>
    <row r="5939">
      <c r="A5939" s="4" t="s">
        <v>7469</v>
      </c>
      <c r="B5939" s="4" t="s">
        <v>7472</v>
      </c>
      <c r="C5939" s="5" t="str">
        <f>IFERROR(__xludf.DUMMYFUNCTION("GOOGLETRANSLATE(B5939,""en"",""es-ES"")"),"Ella está mirando su teléfono.")</f>
        <v>Ella está mirando su teléfono.</v>
      </c>
    </row>
    <row r="5940">
      <c r="A5940" s="4" t="s">
        <v>7473</v>
      </c>
      <c r="B5940" s="4" t="s">
        <v>7474</v>
      </c>
      <c r="C5940" s="5" t="str">
        <f>IFERROR(__xludf.DUMMYFUNCTION("GOOGLETRANSLATE(B5940,""en"",""es-ES"")"),"Los pies de una mujer se muestran mientras se calienta en el ballet.")</f>
        <v>Los pies de una mujer se muestran mientras se calienta en el ballet.</v>
      </c>
    </row>
    <row r="5941">
      <c r="A5941" s="4" t="s">
        <v>7473</v>
      </c>
      <c r="B5941" s="4" t="s">
        <v>7475</v>
      </c>
      <c r="C5941" s="5" t="str">
        <f>IFERROR(__xludf.DUMMYFUNCTION("GOOGLETRANSLATE(B5941,""en"",""es-ES"")"),"Una mujer rubia está hablando con la cámara, que se combina con ella realizando varios movimientos de baile mientras habla.")</f>
        <v>Una mujer rubia está hablando con la cámara, que se combina con ella realizando varios movimientos de baile mientras habla.</v>
      </c>
    </row>
    <row r="5942">
      <c r="A5942" s="4" t="s">
        <v>7473</v>
      </c>
      <c r="B5942" s="4" t="s">
        <v>7476</v>
      </c>
      <c r="C5942" s="5" t="str">
        <f>IFERROR(__xludf.DUMMYFUNCTION("GOOGLETRANSLATE(B5942,""en"",""es-ES"")"),"Ella se mueve lentamente en cada paso.")</f>
        <v>Ella se mueve lentamente en cada paso.</v>
      </c>
    </row>
    <row r="5943">
      <c r="A5943" s="4" t="s">
        <v>7473</v>
      </c>
      <c r="B5943" s="4" t="s">
        <v>7477</v>
      </c>
      <c r="C5943" s="5" t="str">
        <f>IFERROR(__xludf.DUMMYFUNCTION("GOOGLETRANSLATE(B5943,""en"",""es-ES"")"),"Luego se detiene y habla sus palabras finales.")</f>
        <v>Luego se detiene y habla sus palabras finales.</v>
      </c>
    </row>
    <row r="5944">
      <c r="A5944" s="4" t="s">
        <v>7478</v>
      </c>
      <c r="B5944" s="4" t="s">
        <v>7479</v>
      </c>
      <c r="C5944" s="5" t="str">
        <f>IFERROR(__xludf.DUMMYFUNCTION("GOOGLETRANSLATE(B5944,""en"",""es-ES"")"),"Se ve a un hombre grande subiendo a un círculo y arroja varios disparos a lo lejos.")</f>
        <v>Se ve a un hombre grande subiendo a un círculo y arroja varios disparos a lo lejos.</v>
      </c>
    </row>
    <row r="5945">
      <c r="A5945" s="4" t="s">
        <v>7478</v>
      </c>
      <c r="B5945" s="4" t="s">
        <v>7480</v>
      </c>
      <c r="C5945" s="5" t="str">
        <f>IFERROR(__xludf.DUMMYFUNCTION("GOOGLETRANSLATE(B5945,""en"",""es-ES"")"),"Varios hombres más se ven dando un paso adelante en el círculo arrojando un disparo de bala a lo lejos.")</f>
        <v>Varios hombres más se ven dando un paso adelante en el círculo arrojando un disparo de bala a lo lejos.</v>
      </c>
    </row>
    <row r="5946">
      <c r="A5946" s="4" t="s">
        <v>7478</v>
      </c>
      <c r="B5946" s="4" t="s">
        <v>7481</v>
      </c>
      <c r="C5946" s="5" t="str">
        <f>IFERROR(__xludf.DUMMYFUNCTION("GOOGLETRANSLATE(B5946,""en"",""es-ES"")"),"Se ve a las personas en la audiencia animándose entre sí, ya que sus puntajes se muestran al final.")</f>
        <v>Se ve a las personas en la audiencia animándose entre sí, ya que sus puntajes se muestran al final.</v>
      </c>
    </row>
    <row r="5947">
      <c r="A5947" s="4" t="s">
        <v>7482</v>
      </c>
      <c r="B5947" s="4" t="s">
        <v>7483</v>
      </c>
      <c r="C5947" s="5" t="str">
        <f>IFERROR(__xludf.DUMMYFUNCTION("GOOGLETRANSLATE(B5947,""en"",""es-ES"")"),"Un hombre habla con la cámara mientras otro hombre se sienta en un equipo de ejercicio detrás de él.")</f>
        <v>Un hombre habla con la cámara mientras otro hombre se sienta en un equipo de ejercicio detrás de él.</v>
      </c>
    </row>
    <row r="5948">
      <c r="A5948" s="4" t="s">
        <v>7482</v>
      </c>
      <c r="B5948" s="4" t="s">
        <v>7484</v>
      </c>
      <c r="C5948" s="5" t="str">
        <f>IFERROR(__xludf.DUMMYFUNCTION("GOOGLETRANSLATE(B5948,""en"",""es-ES"")"),"El instructor continúa moviéndose cerca del hombre y le hace mostrar cómo los trabajos de máquina.")</f>
        <v>El instructor continúa moviéndose cerca del hombre y le hace mostrar cómo los trabajos de máquina.</v>
      </c>
    </row>
    <row r="5949">
      <c r="A5949" s="4" t="s">
        <v>7482</v>
      </c>
      <c r="B5949" s="4" t="s">
        <v>7485</v>
      </c>
      <c r="C5949" s="5" t="str">
        <f>IFERROR(__xludf.DUMMYFUNCTION("GOOGLETRANSLATE(B5949,""en"",""es-ES"")"),"Señala su cuerpo mostrando los músculos trabajados y camina alrededor del hombre que hace ejercicio.")</f>
        <v>Señala su cuerpo mostrando los músculos trabajados y camina alrededor del hombre que hace ejercicio.</v>
      </c>
    </row>
    <row r="5950">
      <c r="A5950" s="4" t="s">
        <v>7486</v>
      </c>
      <c r="B5950" s="4" t="s">
        <v>7487</v>
      </c>
      <c r="C5950" s="5" t="str">
        <f>IFERROR(__xludf.DUMMYFUNCTION("GOOGLETRANSLATE(B5950,""en"",""es-ES"")"),"Un gimnastas limpia sus manos mientras se preparan.")</f>
        <v>Un gimnastas limpia sus manos mientras se preparan.</v>
      </c>
    </row>
    <row r="5951">
      <c r="A5951" s="4" t="s">
        <v>7486</v>
      </c>
      <c r="B5951" s="4" t="s">
        <v>7488</v>
      </c>
      <c r="C5951" s="5" t="str">
        <f>IFERROR(__xludf.DUMMYFUNCTION("GOOGLETRANSLATE(B5951,""en"",""es-ES"")"),"La gimnasta se encuentra en una plataforma y se balancea en un conjunto de barras dobles.")</f>
        <v>La gimnasta se encuentra en una plataforma y se balancea en un conjunto de barras dobles.</v>
      </c>
    </row>
    <row r="5952">
      <c r="A5952" s="4" t="s">
        <v>7486</v>
      </c>
      <c r="B5952" s="4" t="s">
        <v>7489</v>
      </c>
      <c r="C5952" s="5" t="str">
        <f>IFERROR(__xludf.DUMMYFUNCTION("GOOGLETRANSLATE(B5952,""en"",""es-ES"")"),"La gimnasta hace una rutina de doble bar durante una competencia.")</f>
        <v>La gimnasta hace una rutina de doble bar durante una competencia.</v>
      </c>
    </row>
    <row r="5953">
      <c r="A5953" s="4" t="s">
        <v>7486</v>
      </c>
      <c r="B5953" s="4" t="s">
        <v>7490</v>
      </c>
      <c r="C5953" s="5" t="str">
        <f>IFERROR(__xludf.DUMMYFUNCTION("GOOGLETRANSLATE(B5953,""en"",""es-ES"")"),"La gimnasta golpea su pierna accidentalmente en los bares deteniéndolo.")</f>
        <v>La gimnasta golpea su pierna accidentalmente en los bares deteniéndolo.</v>
      </c>
    </row>
    <row r="5954">
      <c r="A5954" s="4" t="s">
        <v>7486</v>
      </c>
      <c r="B5954" s="4" t="s">
        <v>7491</v>
      </c>
      <c r="C5954" s="5" t="str">
        <f>IFERROR(__xludf.DUMMYFUNCTION("GOOGLETRANSLATE(B5954,""en"",""es-ES"")"),"La gimnasta desmonta de las barras dobles y aterriza en el tapete.")</f>
        <v>La gimnasta desmonta de las barras dobles y aterriza en el tapete.</v>
      </c>
    </row>
    <row r="5955">
      <c r="A5955" s="4" t="s">
        <v>7486</v>
      </c>
      <c r="B5955" s="4" t="s">
        <v>7492</v>
      </c>
      <c r="C5955" s="5" t="str">
        <f>IFERROR(__xludf.DUMMYFUNCTION("GOOGLETRANSLATE(B5955,""en"",""es-ES"")"),"Una mujer gimnastas se sienta en una silla y espera su turno.")</f>
        <v>Una mujer gimnastas se sienta en una silla y espera su turno.</v>
      </c>
    </row>
    <row r="5956">
      <c r="A5956" s="4" t="s">
        <v>7486</v>
      </c>
      <c r="B5956" s="4" t="s">
        <v>7493</v>
      </c>
      <c r="C5956" s="5" t="str">
        <f>IFERROR(__xludf.DUMMYFUNCTION("GOOGLETRANSLATE(B5956,""en"",""es-ES"")"),"Las gimnastas femeninas se extienden antes de la rutina.")</f>
        <v>Las gimnastas femeninas se extienden antes de la rutina.</v>
      </c>
    </row>
    <row r="5957">
      <c r="A5957" s="4" t="s">
        <v>7486</v>
      </c>
      <c r="B5957" s="4" t="s">
        <v>7494</v>
      </c>
      <c r="C5957" s="5" t="str">
        <f>IFERROR(__xludf.DUMMYFUNCTION("GOOGLETRANSLATE(B5957,""en"",""es-ES"")"),"Una repetición muestra los aspectos más destacados de la rutina de gimnastas en las barras dobles.")</f>
        <v>Una repetición muestra los aspectos más destacados de la rutina de gimnastas en las barras dobles.</v>
      </c>
    </row>
    <row r="5958">
      <c r="A5958" s="4" t="s">
        <v>7495</v>
      </c>
      <c r="B5958" s="4" t="s">
        <v>7496</v>
      </c>
      <c r="C5958" s="5" t="str">
        <f>IFERROR(__xludf.DUMMYFUNCTION("GOOGLETRANSLATE(B5958,""en"",""es-ES"")"),"Un hombre le pone una lente negra en el ojo.")</f>
        <v>Un hombre le pone una lente negra en el ojo.</v>
      </c>
    </row>
    <row r="5959">
      <c r="A5959" s="4" t="s">
        <v>7495</v>
      </c>
      <c r="B5959" s="4" t="s">
        <v>7497</v>
      </c>
      <c r="C5959" s="5" t="str">
        <f>IFERROR(__xludf.DUMMYFUNCTION("GOOGLETRANSLATE(B5959,""en"",""es-ES"")"),"Luego, el hombre se quita la lente y después lo vuelve a poner.")</f>
        <v>Luego, el hombre se quita la lente y después lo vuelve a poner.</v>
      </c>
    </row>
    <row r="5960">
      <c r="A5960" s="4" t="s">
        <v>7498</v>
      </c>
      <c r="B5960" s="4" t="s">
        <v>7499</v>
      </c>
      <c r="C5960" s="5" t="str">
        <f>IFERROR(__xludf.DUMMYFUNCTION("GOOGLETRANSLATE(B5960,""en"",""es-ES"")"),"Se ve a un hombre doblando hacia adelante agarrando un gran conjunto de pesas y levantándolo sobre sus hombros.")</f>
        <v>Se ve a un hombre doblando hacia adelante agarrando un gran conjunto de pesas y levantándolo sobre sus hombros.</v>
      </c>
    </row>
    <row r="5961">
      <c r="A5961" s="4" t="s">
        <v>7498</v>
      </c>
      <c r="B5961" s="4" t="s">
        <v>7500</v>
      </c>
      <c r="C5961" s="5" t="str">
        <f>IFERROR(__xludf.DUMMYFUNCTION("GOOGLETRANSLATE(B5961,""en"",""es-ES"")"),"El hombre luego lo levanta sobre su cabeza y termina arrojándolo hacia abajo.")</f>
        <v>El hombre luego lo levanta sobre su cabeza y termina arrojándolo hacia abajo.</v>
      </c>
    </row>
    <row r="5962">
      <c r="A5962" s="4" t="s">
        <v>7501</v>
      </c>
      <c r="B5962" s="4" t="s">
        <v>7502</v>
      </c>
      <c r="C5962" s="5" t="str">
        <f>IFERROR(__xludf.DUMMYFUNCTION("GOOGLETRANSLATE(B5962,""en"",""es-ES"")"),"Un atleta masculino negro corrió en el campo y luego saltó y aterrizó en el campo arenoso.")</f>
        <v>Un atleta masculino negro corrió en el campo y luego saltó y aterrizó en el campo arenoso.</v>
      </c>
    </row>
    <row r="5963">
      <c r="A5963" s="4" t="s">
        <v>7501</v>
      </c>
      <c r="B5963" s="4" t="s">
        <v>7503</v>
      </c>
      <c r="C5963" s="5" t="str">
        <f>IFERROR(__xludf.DUMMYFUNCTION("GOOGLETRANSLATE(B5963,""en"",""es-ES"")"),"El atleta corre y vitoreó y se arrodilló y reza.")</f>
        <v>El atleta corre y vitoreó y se arrodilló y reza.</v>
      </c>
    </row>
    <row r="5964">
      <c r="A5964" s="4" t="s">
        <v>7501</v>
      </c>
      <c r="B5964" s="4" t="s">
        <v>7504</v>
      </c>
      <c r="C5964" s="5" t="str">
        <f>IFERROR(__xludf.DUMMYFUNCTION("GOOGLETRANSLATE(B5964,""en"",""es-ES"")"),"El atleta corrió y se arrancó la camisa, mientras él alcanzó a la mujer y le dio un abrazo y vitoreó.")</f>
        <v>El atleta corrió y se arrancó la camisa, mientras él alcanzó a la mujer y le dio un abrazo y vitoreó.</v>
      </c>
    </row>
    <row r="5965">
      <c r="A5965" s="4" t="s">
        <v>7505</v>
      </c>
      <c r="B5965" s="4" t="s">
        <v>7506</v>
      </c>
      <c r="C5965" s="5" t="str">
        <f>IFERROR(__xludf.DUMMYFUNCTION("GOOGLETRANSLATE(B5965,""en"",""es-ES"")"),"Un hombre está arrodillado frente a un fregadero.")</f>
        <v>Un hombre está arrodillado frente a un fregadero.</v>
      </c>
    </row>
    <row r="5966">
      <c r="A5966" s="4" t="s">
        <v>7505</v>
      </c>
      <c r="B5966" s="4" t="s">
        <v>7507</v>
      </c>
      <c r="C5966" s="5" t="str">
        <f>IFERROR(__xludf.DUMMYFUNCTION("GOOGLETRANSLATE(B5966,""en"",""es-ES"")"),"Comienza a fregar el interior del fregadero con una esponja.")</f>
        <v>Comienza a fregar el interior del fregadero con una esponja.</v>
      </c>
    </row>
    <row r="5967">
      <c r="A5967" s="4" t="s">
        <v>7505</v>
      </c>
      <c r="B5967" s="4" t="s">
        <v>7508</v>
      </c>
      <c r="C5967" s="5" t="str">
        <f>IFERROR(__xludf.DUMMYFUNCTION("GOOGLETRANSLATE(B5967,""en"",""es-ES"")"),"Toma una toalla blanca y limpia el mostrador y se hundió.")</f>
        <v>Toma una toalla blanca y limpia el mostrador y se hundió.</v>
      </c>
    </row>
    <row r="5968">
      <c r="A5968" s="4" t="s">
        <v>7505</v>
      </c>
      <c r="B5968" s="4" t="s">
        <v>7509</v>
      </c>
      <c r="C5968" s="5" t="str">
        <f>IFERROR(__xludf.DUMMYFUNCTION("GOOGLETRANSLATE(B5968,""en"",""es-ES"")"),"Rocía el espejo con Windex y limpia el espejo.")</f>
        <v>Rocía el espejo con Windex y limpia el espejo.</v>
      </c>
    </row>
    <row r="5969">
      <c r="A5969" s="4" t="s">
        <v>7510</v>
      </c>
      <c r="B5969" s="4" t="s">
        <v>7511</v>
      </c>
      <c r="C5969" s="5" t="str">
        <f>IFERROR(__xludf.DUMMYFUNCTION("GOOGLETRANSLATE(B5969,""en"",""es-ES"")"),"Un río rápido está corriendo junto a un árbol.")</f>
        <v>Un río rápido está corriendo junto a un árbol.</v>
      </c>
    </row>
    <row r="5970">
      <c r="A5970" s="4" t="s">
        <v>7510</v>
      </c>
      <c r="B5970" s="4" t="s">
        <v>7512</v>
      </c>
      <c r="C5970" s="5" t="str">
        <f>IFERROR(__xludf.DUMMYFUNCTION("GOOGLETRANSLATE(B5970,""en"",""es-ES"")"),"Un grupo de vigas se pone su equipo, empujando su balsa al agua.")</f>
        <v>Un grupo de vigas se pone su equipo, empujando su balsa al agua.</v>
      </c>
    </row>
    <row r="5971">
      <c r="A5971" s="4" t="s">
        <v>7510</v>
      </c>
      <c r="B5971" s="4" t="s">
        <v>7513</v>
      </c>
      <c r="C5971" s="5" t="str">
        <f>IFERROR(__xludf.DUMMYFUNCTION("GOOGLETRANSLATE(B5971,""en"",""es-ES"")"),"El remo a través de los rápidos, tratando de mantenerse en posición vertical y juntos.")</f>
        <v>El remo a través de los rápidos, tratando de mantenerse en posición vertical y juntos.</v>
      </c>
    </row>
    <row r="5972">
      <c r="A5972" s="4" t="s">
        <v>7514</v>
      </c>
      <c r="B5972" s="4" t="s">
        <v>7515</v>
      </c>
      <c r="C5972" s="5" t="str">
        <f>IFERROR(__xludf.DUMMYFUNCTION("GOOGLETRANSLATE(B5972,""en"",""es-ES"")"),"Se ve a un gran grupo de niños de pie alrededor de un campo jugando un juego entre ellos.")</f>
        <v>Se ve a un gran grupo de niños de pie alrededor de un campo jugando un juego entre ellos.</v>
      </c>
    </row>
    <row r="5973">
      <c r="A5973" s="4" t="s">
        <v>7514</v>
      </c>
      <c r="B5973" s="4" t="s">
        <v>7516</v>
      </c>
      <c r="C5973" s="5" t="str">
        <f>IFERROR(__xludf.DUMMYFUNCTION("GOOGLETRANSLATE(B5973,""en"",""es-ES"")"),"Un niño arroja una pelota a otro y el otro lo patea a la distancia.")</f>
        <v>Un niño arroja una pelota a otro y el otro lo patea a la distancia.</v>
      </c>
    </row>
    <row r="5974">
      <c r="A5974" s="4" t="s">
        <v>7514</v>
      </c>
      <c r="B5974" s="4" t="s">
        <v>7517</v>
      </c>
      <c r="C5974" s="5" t="str">
        <f>IFERROR(__xludf.DUMMYFUNCTION("GOOGLETRANSLATE(B5974,""en"",""es-ES"")"),"Los niños continúan jugando entre sí y corren por el campo.")</f>
        <v>Los niños continúan jugando entre sí y corren por el campo.</v>
      </c>
    </row>
    <row r="5975">
      <c r="A5975" s="4" t="s">
        <v>7518</v>
      </c>
      <c r="B5975" s="4" t="s">
        <v>7519</v>
      </c>
      <c r="C5975" s="5" t="str">
        <f>IFERROR(__xludf.DUMMYFUNCTION("GOOGLETRANSLATE(B5975,""en"",""es-ES"")"),"Tres hombres se unen con ropa muy acolchada con tirantes.")</f>
        <v>Tres hombres se unen con ropa muy acolchada con tirantes.</v>
      </c>
    </row>
    <row r="5976">
      <c r="A5976" s="4" t="s">
        <v>7518</v>
      </c>
      <c r="B5976" s="4" t="s">
        <v>7520</v>
      </c>
      <c r="C5976" s="5" t="str">
        <f>IFERROR(__xludf.DUMMYFUNCTION("GOOGLETRANSLATE(B5976,""en"",""es-ES"")"),"Los dos hombres al final golpean el que está en el medio debajo del cinturón y él cae al suelo con dolor.")</f>
        <v>Los dos hombres al final golpean el que está en el medio debajo del cinturón y él cae al suelo con dolor.</v>
      </c>
    </row>
    <row r="5977">
      <c r="A5977" s="4" t="s">
        <v>7518</v>
      </c>
      <c r="B5977" s="4" t="s">
        <v>7521</v>
      </c>
      <c r="C5977" s="5" t="str">
        <f>IFERROR(__xludf.DUMMYFUNCTION("GOOGLETRANSLATE(B5977,""en"",""es-ES"")"),"Uno de los hombres se ve desde atrás caminando en un pasillo.")</f>
        <v>Uno de los hombres se ve desde atrás caminando en un pasillo.</v>
      </c>
    </row>
    <row r="5978">
      <c r="A5978" s="4" t="s">
        <v>7518</v>
      </c>
      <c r="B5978" s="4" t="s">
        <v>7522</v>
      </c>
      <c r="C5978" s="5" t="str">
        <f>IFERROR(__xludf.DUMMYFUNCTION("GOOGLETRANSLATE(B5978,""en"",""es-ES"")"),"El hombre se sienta en una bicicleta BMX en la parte superior de una rampa preparándose.")</f>
        <v>El hombre se sienta en una bicicleta BMX en la parte superior de una rampa preparándose.</v>
      </c>
    </row>
    <row r="5979">
      <c r="A5979" s="4" t="s">
        <v>7518</v>
      </c>
      <c r="B5979" s="4" t="s">
        <v>7523</v>
      </c>
      <c r="C5979" s="5" t="str">
        <f>IFERROR(__xludf.DUMMYFUNCTION("GOOGLETRANSLATE(B5979,""en"",""es-ES"")"),"El hombre cae en la rampa y cae duro golpeando en el fondo.")</f>
        <v>El hombre cae en la rampa y cae duro golpeando en el fondo.</v>
      </c>
    </row>
    <row r="5980">
      <c r="A5980" s="4" t="s">
        <v>7518</v>
      </c>
      <c r="B5980" s="4" t="s">
        <v>7524</v>
      </c>
      <c r="C5980" s="5" t="str">
        <f>IFERROR(__xludf.DUMMYFUNCTION("GOOGLETRANSLATE(B5980,""en"",""es-ES"")"),"El hombre hace trucos y salta a la rampa montando una bicicleta.")</f>
        <v>El hombre hace trucos y salta a la rampa montando una bicicleta.</v>
      </c>
    </row>
    <row r="5981">
      <c r="A5981" s="4" t="s">
        <v>7518</v>
      </c>
      <c r="B5981" s="4" t="s">
        <v>7525</v>
      </c>
      <c r="C5981" s="5" t="str">
        <f>IFERROR(__xludf.DUMMYFUNCTION("GOOGLETRANSLATE(B5981,""en"",""es-ES"")"),"Uno de los hombres de Purple monta a través de un parque de skate con el traje acolchado.")</f>
        <v>Uno de los hombres de Purple monta a través de un parque de skate con el traje acolchado.</v>
      </c>
    </row>
    <row r="5982">
      <c r="A5982" s="4" t="s">
        <v>7518</v>
      </c>
      <c r="B5982" s="4" t="s">
        <v>7526</v>
      </c>
      <c r="C5982" s="5" t="str">
        <f>IFERROR(__xludf.DUMMYFUNCTION("GOOGLETRANSLATE(B5982,""en"",""es-ES"")"),"Otro hombre con camisa gris monta una patineta en la rampa de media tubería y hace trucos.")</f>
        <v>Otro hombre con camisa gris monta una patineta en la rampa de media tubería y hace trucos.</v>
      </c>
    </row>
    <row r="5983">
      <c r="A5983" s="4" t="s">
        <v>7518</v>
      </c>
      <c r="B5983" s="4" t="s">
        <v>7527</v>
      </c>
      <c r="C5983" s="5" t="str">
        <f>IFERROR(__xludf.DUMMYFUNCTION("GOOGLETRANSLATE(B5983,""en"",""es-ES"")"),"Los tres hombres viajan juntos en la gran rampa en formación.")</f>
        <v>Los tres hombres viajan juntos en la gran rampa en formación.</v>
      </c>
    </row>
    <row r="5984">
      <c r="A5984" s="4" t="s">
        <v>7518</v>
      </c>
      <c r="B5984" s="4" t="s">
        <v>7528</v>
      </c>
      <c r="C5984" s="5" t="str">
        <f>IFERROR(__xludf.DUMMYFUNCTION("GOOGLETRANSLATE(B5984,""en"",""es-ES"")"),"El hombre en Purple Falls y es golpeado en la cara con su patineta.")</f>
        <v>El hombre en Purple Falls y es golpeado en la cara con su patineta.</v>
      </c>
    </row>
    <row r="5985">
      <c r="A5985" s="4" t="s">
        <v>7529</v>
      </c>
      <c r="B5985" s="4" t="s">
        <v>7530</v>
      </c>
      <c r="C5985" s="5" t="str">
        <f>IFERROR(__xludf.DUMMYFUNCTION("GOOGLETRANSLATE(B5985,""en"",""es-ES"")"),"Dos hombres están arrodillados sosteniendo pistolas de paintball.")</f>
        <v>Dos hombres están arrodillados sosteniendo pistolas de paintball.</v>
      </c>
    </row>
    <row r="5986">
      <c r="A5986" s="4" t="s">
        <v>7529</v>
      </c>
      <c r="B5986" s="4" t="s">
        <v>7531</v>
      </c>
      <c r="C5986" s="5" t="str">
        <f>IFERROR(__xludf.DUMMYFUNCTION("GOOGLETRANSLATE(B5986,""en"",""es-ES"")"),"Están caminando por la calle sosteniendo sus pistolas de paintball.")</f>
        <v>Están caminando por la calle sosteniendo sus pistolas de paintball.</v>
      </c>
    </row>
    <row r="5987">
      <c r="A5987" s="4" t="s">
        <v>7529</v>
      </c>
      <c r="B5987" s="4" t="s">
        <v>7532</v>
      </c>
      <c r="C5987" s="5" t="str">
        <f>IFERROR(__xludf.DUMMYFUNCTION("GOOGLETRANSLATE(B5987,""en"",""es-ES"")"),"Comienzan a jugar un juego de paintballing.")</f>
        <v>Comienzan a jugar un juego de paintballing.</v>
      </c>
    </row>
    <row r="5988">
      <c r="A5988" s="4" t="s">
        <v>7533</v>
      </c>
      <c r="B5988" s="4" t="s">
        <v>7534</v>
      </c>
      <c r="C5988" s="5" t="str">
        <f>IFERROR(__xludf.DUMMYFUNCTION("GOOGLETRANSLATE(B5988,""en"",""es-ES"")"),"Se ve a una persona con una camisa azul y de pie ante una cerca.")</f>
        <v>Se ve a una persona con una camisa azul y de pie ante una cerca.</v>
      </c>
    </row>
    <row r="5989">
      <c r="A5989" s="4" t="s">
        <v>7533</v>
      </c>
      <c r="B5989" s="4" t="s">
        <v>7535</v>
      </c>
      <c r="C5989" s="5" t="str">
        <f>IFERROR(__xludf.DUMMYFUNCTION("GOOGLETRANSLATE(B5989,""en"",""es-ES"")"),"La persona se dobla frente a la cerca y comienza a rociarla.")</f>
        <v>La persona se dobla frente a la cerca y comienza a rociarla.</v>
      </c>
    </row>
    <row r="5990">
      <c r="A5990" s="4" t="s">
        <v>7533</v>
      </c>
      <c r="B5990" s="4" t="s">
        <v>7536</v>
      </c>
      <c r="C5990" s="5" t="str">
        <f>IFERROR(__xludf.DUMMYFUNCTION("GOOGLETRANSLATE(B5990,""en"",""es-ES"")"),"La persona continúa rociando la cerca mientras la cámara captura desde atrás.")</f>
        <v>La persona continúa rociando la cerca mientras la cámara captura desde atrás.</v>
      </c>
    </row>
    <row r="5991">
      <c r="A5991" s="4" t="s">
        <v>7537</v>
      </c>
      <c r="B5991" s="4" t="s">
        <v>7538</v>
      </c>
      <c r="C5991" s="5" t="str">
        <f>IFERROR(__xludf.DUMMYFUNCTION("GOOGLETRANSLATE(B5991,""en"",""es-ES"")"),"Tres hombres están sentados en un sofá con el hombre en el medio sonriendo, el hombre de la derecha tocando una armónica y el hombre en el extremo izquierdo sosteniendo su dedo en el área de su labio superior y haciendo un ruido con el labio inferior al a"&amp;"rrancarla con Su mano.")</f>
        <v>Tres hombres están sentados en un sofá con el hombre en el medio sonriendo, el hombre de la derecha tocando una armónica y el hombre en el extremo izquierdo sosteniendo su dedo en el área de su labio superior y haciendo un ruido con el labio inferior al arrancarla con Su mano.</v>
      </c>
    </row>
    <row r="5992">
      <c r="A5992" s="4" t="s">
        <v>7537</v>
      </c>
      <c r="B5992" s="4" t="s">
        <v>7539</v>
      </c>
      <c r="C5992" s="5" t="str">
        <f>IFERROR(__xludf.DUMMYFUNCTION("GOOGLETRANSLATE(B5992,""en"",""es-ES"")"),"El hombre de la derecha golpea su pie mientras los dos hombres tocan música.")</f>
        <v>El hombre de la derecha golpea su pie mientras los dos hombres tocan música.</v>
      </c>
    </row>
    <row r="5993">
      <c r="A5993" s="4" t="s">
        <v>7537</v>
      </c>
      <c r="B5993" s="4" t="s">
        <v>7540</v>
      </c>
      <c r="C5993" s="5" t="str">
        <f>IFERROR(__xludf.DUMMYFUNCTION("GOOGLETRANSLATE(B5993,""en"",""es-ES"")"),"La cámara se dirige a un espectador de pie al costado de la habitación mirando y sonriendo.")</f>
        <v>La cámara se dirige a un espectador de pie al costado de la habitación mirando y sonriendo.</v>
      </c>
    </row>
    <row r="5994">
      <c r="A5994" s="4" t="s">
        <v>7537</v>
      </c>
      <c r="B5994" s="4" t="s">
        <v>7541</v>
      </c>
      <c r="C5994" s="5" t="str">
        <f>IFERROR(__xludf.DUMMYFUNCTION("GOOGLETRANSLATE(B5994,""en"",""es-ES"")"),"Los dos hombres dejan de jugar y el hombre en el medio se encoge de hombros mientras los otros dos hombres sonríen.")</f>
        <v>Los dos hombres dejan de jugar y el hombre en el medio se encoge de hombros mientras los otros dos hombres sonríen.</v>
      </c>
    </row>
    <row r="5995">
      <c r="A5995" s="4" t="s">
        <v>7542</v>
      </c>
      <c r="B5995" s="4" t="s">
        <v>7543</v>
      </c>
      <c r="C5995" s="5" t="str">
        <f>IFERROR(__xludf.DUMMYFUNCTION("GOOGLETRANSLATE(B5995,""en"",""es-ES"")"),"Tres niños pequeños, 2 niñas y un niño, juegan en una playa y apilan arena en una gran pila mientras las olas continúan entrando y saliendo.")</f>
        <v>Tres niños pequeños, 2 niñas y un niño, juegan en una playa y apilan arena en una gran pila mientras las olas continúan entrando y saliendo.</v>
      </c>
    </row>
    <row r="5996">
      <c r="A5996" s="4" t="s">
        <v>7542</v>
      </c>
      <c r="B5996" s="4" t="s">
        <v>7544</v>
      </c>
      <c r="C5996" s="5" t="str">
        <f>IFERROR(__xludf.DUMMYFUNCTION("GOOGLETRANSLATE(B5996,""en"",""es-ES"")"),"La persona de la cámara luego se mueve por la playa para mostrar el resto de la playa y varias otras personas que están allí.")</f>
        <v>La persona de la cámara luego se mueve por la playa para mostrar el resto de la playa y varias otras personas que están allí.</v>
      </c>
    </row>
    <row r="5997">
      <c r="A5997" s="4" t="s">
        <v>7542</v>
      </c>
      <c r="B5997" s="4" t="s">
        <v>7545</v>
      </c>
      <c r="C5997" s="5" t="str">
        <f>IFERROR(__xludf.DUMMYFUNCTION("GOOGLETRANSLATE(B5997,""en"",""es-ES"")"),"La persona de la cámara se enfoca en dos mujeres que hablan y están juntas.")</f>
        <v>La persona de la cámara se enfoca en dos mujeres que hablan y están juntas.</v>
      </c>
    </row>
    <row r="5998">
      <c r="A5998" s="4" t="s">
        <v>7542</v>
      </c>
      <c r="B5998" s="4" t="s">
        <v>7546</v>
      </c>
      <c r="C5998" s="5" t="str">
        <f>IFERROR(__xludf.DUMMYFUNCTION("GOOGLETRANSLATE(B5998,""en"",""es-ES"")"),"Luego se enfoca en los niños en la arena que continúan profundizando en la arena y apilar arena en una gran pila.")</f>
        <v>Luego se enfoca en los niños en la arena que continúan profundizando en la arena y apilar arena en una gran pila.</v>
      </c>
    </row>
    <row r="5999">
      <c r="A5999" s="4" t="s">
        <v>7542</v>
      </c>
      <c r="B5999" s="4" t="s">
        <v>7547</v>
      </c>
      <c r="C5999" s="5" t="str">
        <f>IFERROR(__xludf.DUMMYFUNCTION("GOOGLETRANSLATE(B5999,""en"",""es-ES"")"),"Una de las chicas sale del tiro y la otra niña y el único niño permanecen cerca de su pequeña pila de arena.")</f>
        <v>Una de las chicas sale del tiro y la otra niña y el único niño permanecen cerca de su pequeña pila de arena.</v>
      </c>
    </row>
    <row r="6000">
      <c r="A6000" s="4" t="s">
        <v>7548</v>
      </c>
      <c r="B6000" s="4" t="s">
        <v>7549</v>
      </c>
      <c r="C6000" s="5" t="str">
        <f>IFERROR(__xludf.DUMMYFUNCTION("GOOGLETRANSLATE(B6000,""en"",""es-ES"")"),"Una niña con cabello rubio y uñas rojas se encuentra en una silla en el dormitorio y habla con la cámara mientras fuma y muestra una botella de pílase de uñas azules.")</f>
        <v>Una niña con cabello rubio y uñas rojas se encuentra en una silla en el dormitorio y habla con la cámara mientras fuma y muestra una botella de pílase de uñas azules.</v>
      </c>
    </row>
    <row r="6001">
      <c r="A6001" s="4" t="s">
        <v>7548</v>
      </c>
      <c r="B6001" s="4" t="s">
        <v>7550</v>
      </c>
      <c r="C6001" s="5" t="str">
        <f>IFERROR(__xludf.DUMMYFUNCTION("GOOGLETRANSLATE(B6001,""en"",""es-ES"")"),"La niña se aleja de la cámara en la silla para obtener una botella de esmalte de uñas azul y sostenerla en la pantalla.")</f>
        <v>La niña se aleja de la cámara en la silla para obtener una botella de esmalte de uñas azul y sostenerla en la pantalla.</v>
      </c>
    </row>
    <row r="6002">
      <c r="A6002" s="4" t="s">
        <v>7548</v>
      </c>
      <c r="B6002" s="4" t="s">
        <v>7551</v>
      </c>
      <c r="C6002" s="5" t="str">
        <f>IFERROR(__xludf.DUMMYFUNCTION("GOOGLETRANSLATE(B6002,""en"",""es-ES"")"),"Luego, la niña comienza a fumar un cigarrillo frente a la cámara mientras habla.")</f>
        <v>Luego, la niña comienza a fumar un cigarrillo frente a la cámara mientras habla.</v>
      </c>
    </row>
    <row r="6003">
      <c r="A6003" s="4" t="s">
        <v>7548</v>
      </c>
      <c r="B6003" s="4" t="s">
        <v>7552</v>
      </c>
      <c r="C6003" s="5" t="str">
        <f>IFERROR(__xludf.DUMMYFUNCTION("GOOGLETRANSLATE(B6003,""en"",""es-ES"")"),"La niña, finalmente, toma una inhalación larga y se inclina para exhalar en la cámara antes de retroceder.")</f>
        <v>La niña, finalmente, toma una inhalación larga y se inclina para exhalar en la cámara antes de retroceder.</v>
      </c>
    </row>
    <row r="6004">
      <c r="A6004" s="4" t="s">
        <v>7553</v>
      </c>
      <c r="B6004" s="4" t="s">
        <v>7554</v>
      </c>
      <c r="C6004" s="5" t="str">
        <f>IFERROR(__xludf.DUMMYFUNCTION("GOOGLETRANSLATE(B6004,""en"",""es-ES"")"),"Se pone una cámara de casco y luego un hombre va skate.")</f>
        <v>Se pone una cámara de casco y luego un hombre va skate.</v>
      </c>
    </row>
    <row r="6005">
      <c r="A6005" s="4" t="s">
        <v>7553</v>
      </c>
      <c r="B6005" s="4" t="s">
        <v>7555</v>
      </c>
      <c r="C6005" s="5" t="str">
        <f>IFERROR(__xludf.DUMMYFUNCTION("GOOGLETRANSLATE(B6005,""en"",""es-ES"")"),"Se acerca a la ciudad y va a una carretera.")</f>
        <v>Se acerca a la ciudad y va a una carretera.</v>
      </c>
    </row>
    <row r="6006">
      <c r="A6006" s="4" t="s">
        <v>7553</v>
      </c>
      <c r="B6006" s="4" t="s">
        <v>7556</v>
      </c>
      <c r="C6006" s="5" t="str">
        <f>IFERROR(__xludf.DUMMYFUNCTION("GOOGLETRANSLATE(B6006,""en"",""es-ES"")"),"Pasa un camión y otras personas.")</f>
        <v>Pasa un camión y otras personas.</v>
      </c>
    </row>
    <row r="6007">
      <c r="A6007" s="4" t="s">
        <v>7557</v>
      </c>
      <c r="B6007" s="4" t="s">
        <v>7558</v>
      </c>
      <c r="C6007" s="5" t="str">
        <f>IFERROR(__xludf.DUMMYFUNCTION("GOOGLETRANSLATE(B6007,""en"",""es-ES"")"),"Un hombre se para en un campo hablando.")</f>
        <v>Un hombre se para en un campo hablando.</v>
      </c>
    </row>
    <row r="6008">
      <c r="A6008" s="4" t="s">
        <v>7557</v>
      </c>
      <c r="B6008" s="4" t="s">
        <v>7559</v>
      </c>
      <c r="C6008" s="5" t="str">
        <f>IFERROR(__xludf.DUMMYFUNCTION("GOOGLETRANSLATE(B6008,""en"",""es-ES"")"),"Golpea una bola de boliche con un mazo de croquet y luego sostiene una bola de boliche con un gran 8.")</f>
        <v>Golpea una bola de boliche con un mazo de croquet y luego sostiene una bola de boliche con un gran 8.</v>
      </c>
    </row>
    <row r="6009">
      <c r="A6009" s="4" t="s">
        <v>7557</v>
      </c>
      <c r="B6009" s="4" t="s">
        <v>7560</v>
      </c>
      <c r="C6009" s="5" t="str">
        <f>IFERROR(__xludf.DUMMYFUNCTION("GOOGLETRANSLATE(B6009,""en"",""es-ES"")"),"Una mujer con un cáliz grande está hablando en el mismo campo.")</f>
        <v>Una mujer con un cáliz grande está hablando en el mismo campo.</v>
      </c>
    </row>
    <row r="6010">
      <c r="A6010" s="4" t="s">
        <v>7557</v>
      </c>
      <c r="B6010" s="4" t="s">
        <v>7561</v>
      </c>
      <c r="C6010" s="5" t="str">
        <f>IFERROR(__xludf.DUMMYFUNCTION("GOOGLETRANSLATE(B6010,""en"",""es-ES"")"),"Los autos pasan y la gente camina en el fondo.")</f>
        <v>Los autos pasan y la gente camina en el fondo.</v>
      </c>
    </row>
    <row r="6011">
      <c r="A6011" s="4" t="s">
        <v>7557</v>
      </c>
      <c r="B6011" s="4" t="s">
        <v>7562</v>
      </c>
      <c r="C6011" s="5" t="str">
        <f>IFERROR(__xludf.DUMMYFUNCTION("GOOGLETRANSLATE(B6011,""en"",""es-ES"")"),"Una bola de boliche que se corta por la mitad está en el suelo.")</f>
        <v>Una bola de boliche que se corta por la mitad está en el suelo.</v>
      </c>
    </row>
    <row r="6012">
      <c r="A6012" s="4" t="s">
        <v>7557</v>
      </c>
      <c r="B6012" s="4" t="s">
        <v>7563</v>
      </c>
      <c r="C6012" s="5" t="str">
        <f>IFERROR(__xludf.DUMMYFUNCTION("GOOGLETRANSLATE(B6012,""en"",""es-ES"")"),"Un par de niños miran la media pelota de bolos.")</f>
        <v>Un par de niños miran la media pelota de bolos.</v>
      </c>
    </row>
    <row r="6013">
      <c r="A6013" s="4" t="s">
        <v>7557</v>
      </c>
      <c r="B6013" s="4" t="s">
        <v>7564</v>
      </c>
      <c r="C6013" s="5" t="str">
        <f>IFERROR(__xludf.DUMMYFUNCTION("GOOGLETRANSLATE(B6013,""en"",""es-ES"")"),"Un hombre golpea la pelota ""8"" con un mazo de croquet y baila un poco.")</f>
        <v>Un hombre golpea la pelota "8" con un mazo de croquet y baila un poco.</v>
      </c>
    </row>
    <row r="6014">
      <c r="A6014" s="4" t="s">
        <v>7557</v>
      </c>
      <c r="B6014" s="4" t="s">
        <v>7565</v>
      </c>
      <c r="C6014" s="5" t="str">
        <f>IFERROR(__xludf.DUMMYFUNCTION("GOOGLETRANSLATE(B6014,""en"",""es-ES"")"),"Una mujer golpea 1 pelota de bolos contra otra con un mazo.")</f>
        <v>Una mujer golpea 1 pelota de bolos contra otra con un mazo.</v>
      </c>
    </row>
    <row r="6015">
      <c r="A6015" s="4" t="s">
        <v>7557</v>
      </c>
      <c r="B6015" s="4" t="s">
        <v>7566</v>
      </c>
      <c r="C6015" s="5" t="str">
        <f>IFERROR(__xludf.DUMMYFUNCTION("GOOGLETRANSLATE(B6015,""en"",""es-ES"")"),"Un hombre diferente golpea una bola de boliche con un mazo.")</f>
        <v>Un hombre diferente golpea una bola de boliche con un mazo.</v>
      </c>
    </row>
    <row r="6016">
      <c r="A6016" s="4" t="s">
        <v>7557</v>
      </c>
      <c r="B6016" s="4" t="s">
        <v>7567</v>
      </c>
      <c r="C6016" s="5" t="str">
        <f>IFERROR(__xludf.DUMMYFUNCTION("GOOGLETRANSLATE(B6016,""en"",""es-ES"")"),"Una niña golpea la pelota con el mazo.")</f>
        <v>Una niña golpea la pelota con el mazo.</v>
      </c>
    </row>
    <row r="6017">
      <c r="A6017" s="4" t="s">
        <v>7557</v>
      </c>
      <c r="B6017" s="4" t="s">
        <v>7568</v>
      </c>
      <c r="C6017" s="5" t="str">
        <f>IFERROR(__xludf.DUMMYFUNCTION("GOOGLETRANSLATE(B6017,""en"",""es-ES"")"),"Otro hombre golpea una pelota de bolos y baila, las chicas jóvenes juegan mientras un hombre se vistió como un Joker habla.")</f>
        <v>Otro hombre golpea una pelota de bolos y baila, las chicas jóvenes juegan mientras un hombre se vistió como un Joker habla.</v>
      </c>
    </row>
    <row r="6018">
      <c r="A6018" s="4" t="s">
        <v>7557</v>
      </c>
      <c r="B6018" s="4" t="s">
        <v>7569</v>
      </c>
      <c r="C6018" s="5" t="str">
        <f>IFERROR(__xludf.DUMMYFUNCTION("GOOGLETRANSLATE(B6018,""en"",""es-ES"")"),"El juego termina y todos los materiales para el juego se recopilan.")</f>
        <v>El juego termina y todos los materiales para el juego se recopilan.</v>
      </c>
    </row>
    <row r="6019">
      <c r="A6019" s="4" t="s">
        <v>7557</v>
      </c>
      <c r="B6019" s="4" t="s">
        <v>7570</v>
      </c>
      <c r="C6019" s="5" t="str">
        <f>IFERROR(__xludf.DUMMYFUNCTION("GOOGLETRANSLATE(B6019,""en"",""es-ES"")"),"La mujer le da cáliz a las jóvenes que están muy emocionadas.")</f>
        <v>La mujer le da cáliz a las jóvenes que están muy emocionadas.</v>
      </c>
    </row>
    <row r="6020">
      <c r="A6020" s="4" t="s">
        <v>7571</v>
      </c>
      <c r="B6020" s="4" t="s">
        <v>7572</v>
      </c>
      <c r="C6020" s="5" t="str">
        <f>IFERROR(__xludf.DUMMYFUNCTION("GOOGLETRANSLATE(B6020,""en"",""es-ES"")"),"El texto establece que el video mostrará cómo atribuir la pintura.")</f>
        <v>El texto establece que el video mostrará cómo atribuir la pintura.</v>
      </c>
    </row>
    <row r="6021">
      <c r="A6021" s="4" t="s">
        <v>7571</v>
      </c>
      <c r="B6021" s="4" t="s">
        <v>7573</v>
      </c>
      <c r="C6021" s="5" t="str">
        <f>IFERROR(__xludf.DUMMYFUNCTION("GOOGLETRANSLATE(B6021,""en"",""es-ES"")"),"Se muestra un armario y una mujer sostiene uno de los cajones.")</f>
        <v>Se muestra un armario y una mujer sostiene uno de los cajones.</v>
      </c>
    </row>
    <row r="6022">
      <c r="A6022" s="4" t="s">
        <v>7571</v>
      </c>
      <c r="B6022" s="4" t="s">
        <v>7574</v>
      </c>
      <c r="C6022" s="5" t="str">
        <f>IFERROR(__xludf.DUMMYFUNCTION("GOOGLETRANSLATE(B6022,""en"",""es-ES"")"),"Ella arena por la madera antes de aplicar una capa de pintura de tiza con un cepillo.")</f>
        <v>Ella arena por la madera antes de aplicar una capa de pintura de tiza con un cepillo.</v>
      </c>
    </row>
    <row r="6023">
      <c r="A6023" s="4" t="s">
        <v>7571</v>
      </c>
      <c r="B6023" s="4" t="s">
        <v>7575</v>
      </c>
      <c r="C6023" s="5" t="str">
        <f>IFERROR(__xludf.DUMMYFUNCTION("GOOGLETRANSLATE(B6023,""en"",""es-ES"")"),"Ella sostiene las latas de pintura mientras habla sobre el producto terminado.")</f>
        <v>Ella sostiene las latas de pintura mientras habla sobre el producto terminado.</v>
      </c>
    </row>
    <row r="6024">
      <c r="A6024" s="4" t="s">
        <v>7571</v>
      </c>
      <c r="B6024" s="4" t="s">
        <v>7576</v>
      </c>
      <c r="C6024" s="5" t="str">
        <f>IFERROR(__xludf.DUMMYFUNCTION("GOOGLETRANSLATE(B6024,""en"",""es-ES"")"),"El armario pintado se muestra por última vez.")</f>
        <v>El armario pintado se muestra por última vez.</v>
      </c>
    </row>
    <row r="6025">
      <c r="A6025" s="4" t="s">
        <v>7577</v>
      </c>
      <c r="B6025" s="4" t="s">
        <v>7578</v>
      </c>
      <c r="C6025" s="5" t="str">
        <f>IFERROR(__xludf.DUMMYFUNCTION("GOOGLETRANSLATE(B6025,""en"",""es-ES"")"),"Se muestra una muestra de un contenedor de basura, así como a las mujeres en marcha de pie frente a él.")</f>
        <v>Se muestra una muestra de un contenedor de basura, así como a las mujeres en marcha de pie frente a él.</v>
      </c>
    </row>
    <row r="6026">
      <c r="A6026" s="4" t="s">
        <v>7577</v>
      </c>
      <c r="B6026" s="4" t="s">
        <v>7579</v>
      </c>
      <c r="C6026" s="5" t="str">
        <f>IFERROR(__xludf.DUMMYFUNCTION("GOOGLETRANSLATE(B6026,""en"",""es-ES"")"),"La mujer se mueve a lo largo del contenedor de basura mientras otras personas caminan hacia el marco.")</f>
        <v>La mujer se mueve a lo largo del contenedor de basura mientras otras personas caminan hacia el marco.</v>
      </c>
    </row>
    <row r="6027">
      <c r="A6027" s="4" t="s">
        <v>7577</v>
      </c>
      <c r="B6027" s="4" t="s">
        <v>7580</v>
      </c>
      <c r="C6027" s="5" t="str">
        <f>IFERROR(__xludf.DUMMYFUNCTION("GOOGLETRANSLATE(B6027,""en"",""es-ES"")"),"La mujer luego se mueve sobre las cuchillas de los rodillos mientras la cámara sigue sus movimientos.")</f>
        <v>La mujer luego se mueve sobre las cuchillas de los rodillos mientras la cámara sigue sus movimientos.</v>
      </c>
    </row>
    <row r="6028">
      <c r="A6028" s="4" t="s">
        <v>7581</v>
      </c>
      <c r="B6028" s="4" t="s">
        <v>7582</v>
      </c>
      <c r="C6028" s="5" t="str">
        <f>IFERROR(__xludf.DUMMYFUNCTION("GOOGLETRANSLATE(B6028,""en"",""es-ES"")"),"Vemos una pantalla de título rápida.")</f>
        <v>Vemos una pantalla de título rápida.</v>
      </c>
    </row>
    <row r="6029">
      <c r="A6029" s="4" t="s">
        <v>7581</v>
      </c>
      <c r="B6029" s="4" t="s">
        <v>7583</v>
      </c>
      <c r="C6029" s="5" t="str">
        <f>IFERROR(__xludf.DUMMYFUNCTION("GOOGLETRANSLATE(B6029,""en"",""es-ES"")"),"Luego vemos a un hombre trabajando en varias cosas en una fábrica de bicicletas.")</f>
        <v>Luego vemos a un hombre trabajando en varias cosas en una fábrica de bicicletas.</v>
      </c>
    </row>
    <row r="6030">
      <c r="A6030" s="4" t="s">
        <v>7581</v>
      </c>
      <c r="B6030" s="4" t="s">
        <v>7584</v>
      </c>
      <c r="C6030" s="5" t="str">
        <f>IFERROR(__xludf.DUMMYFUNCTION("GOOGLETRANSLATE(B6030,""en"",""es-ES"")"),"El hombre junta una bicicleta rápidamente, la pone en una caja y luego en una cinta transportadora.")</f>
        <v>El hombre junta una bicicleta rápidamente, la pone en una caja y luego en una cinta transportadora.</v>
      </c>
    </row>
    <row r="6031">
      <c r="A6031" s="4" t="s">
        <v>7581</v>
      </c>
      <c r="B6031" s="4" t="s">
        <v>7585</v>
      </c>
      <c r="C6031" s="5" t="str">
        <f>IFERROR(__xludf.DUMMYFUNCTION("GOOGLETRANSLATE(B6031,""en"",""es-ES"")"),"Luego vemos a una persona poniendo herramientas en la caja de bicicletas.")</f>
        <v>Luego vemos a una persona poniendo herramientas en la caja de bicicletas.</v>
      </c>
    </row>
    <row r="6032">
      <c r="A6032" s="4" t="s">
        <v>7581</v>
      </c>
      <c r="B6032" s="4" t="s">
        <v>7586</v>
      </c>
      <c r="C6032" s="5" t="str">
        <f>IFERROR(__xludf.DUMMYFUNCTION("GOOGLETRANSLATE(B6032,""en"",""es-ES"")"),"El hombre comienza a tomar parte de las piezas y juntar la bicicleta.")</f>
        <v>El hombre comienza a tomar parte de las piezas y juntar la bicicleta.</v>
      </c>
    </row>
    <row r="6033">
      <c r="A6033" s="4" t="s">
        <v>7581</v>
      </c>
      <c r="B6033" s="4" t="s">
        <v>7587</v>
      </c>
      <c r="C6033" s="5" t="str">
        <f>IFERROR(__xludf.DUMMYFUNCTION("GOOGLETRANSLATE(B6033,""en"",""es-ES"")"),"Vemos la fábrica brevemente.")</f>
        <v>Vemos la fábrica brevemente.</v>
      </c>
    </row>
    <row r="6034">
      <c r="A6034" s="4" t="s">
        <v>7581</v>
      </c>
      <c r="B6034" s="4" t="s">
        <v>7588</v>
      </c>
      <c r="C6034" s="5" t="str">
        <f>IFERROR(__xludf.DUMMYFUNCTION("GOOGLETRANSLATE(B6034,""en"",""es-ES"")"),"Regresamos al hombre juntando la bicicleta.")</f>
        <v>Regresamos al hombre juntando la bicicleta.</v>
      </c>
    </row>
    <row r="6035">
      <c r="A6035" s="4" t="s">
        <v>7581</v>
      </c>
      <c r="B6035" s="4" t="s">
        <v>7589</v>
      </c>
      <c r="C6035" s="5" t="str">
        <f>IFERROR(__xludf.DUMMYFUNCTION("GOOGLETRANSLATE(B6035,""en"",""es-ES"")"),"Termina y vemos el número de teléfono del servicio al cliente.")</f>
        <v>Termina y vemos el número de teléfono del servicio al cliente.</v>
      </c>
    </row>
    <row r="6036">
      <c r="A6036" s="4" t="s">
        <v>7581</v>
      </c>
      <c r="B6036" s="4" t="s">
        <v>7590</v>
      </c>
      <c r="C6036" s="5" t="str">
        <f>IFERROR(__xludf.DUMMYFUNCTION("GOOGLETRANSLATE(B6036,""en"",""es-ES"")"),"Luego vemos la pantalla del título final.")</f>
        <v>Luego vemos la pantalla del título final.</v>
      </c>
    </row>
    <row r="6037">
      <c r="A6037" s="4" t="s">
        <v>7591</v>
      </c>
      <c r="B6037" s="4" t="s">
        <v>7592</v>
      </c>
      <c r="C6037" s="5" t="str">
        <f>IFERROR(__xludf.DUMMYFUNCTION("GOOGLETRANSLATE(B6037,""en"",""es-ES"")"),"Un grupo de un hombre y tres mujeres están en el piso de un gimnasio.")</f>
        <v>Un grupo de un hombre y tres mujeres están en el piso de un gimnasio.</v>
      </c>
    </row>
    <row r="6038">
      <c r="A6038" s="4" t="s">
        <v>7591</v>
      </c>
      <c r="B6038" s="4" t="s">
        <v>7593</v>
      </c>
      <c r="C6038" s="5" t="str">
        <f>IFERROR(__xludf.DUMMYFUNCTION("GOOGLETRANSLATE(B6038,""en"",""es-ES"")"),"Están bailando al unísono, realizando varios movimientos.")</f>
        <v>Están bailando al unísono, realizando varios movimientos.</v>
      </c>
    </row>
    <row r="6039">
      <c r="A6039" s="4" t="s">
        <v>7591</v>
      </c>
      <c r="B6039" s="4" t="s">
        <v>7594</v>
      </c>
      <c r="C6039" s="5" t="str">
        <f>IFERROR(__xludf.DUMMYFUNCTION("GOOGLETRANSLATE(B6039,""en"",""es-ES"")"),"Cuando terminan, una mujer se ríe y huye.")</f>
        <v>Cuando terminan, una mujer se ríe y huye.</v>
      </c>
    </row>
    <row r="6040">
      <c r="A6040" s="4" t="s">
        <v>7595</v>
      </c>
      <c r="B6040" s="4" t="s">
        <v>7596</v>
      </c>
      <c r="C6040" s="5" t="str">
        <f>IFERROR(__xludf.DUMMYFUNCTION("GOOGLETRANSLATE(B6040,""en"",""es-ES"")"),"Un hombre monta una patineta en el interior y lo monta en un poste corto de pie en el suelo.")</f>
        <v>Un hombre monta una patineta en el interior y lo monta en un poste corto de pie en el suelo.</v>
      </c>
    </row>
    <row r="6041">
      <c r="A6041" s="4" t="s">
        <v>7595</v>
      </c>
      <c r="B6041" s="4" t="s">
        <v>7597</v>
      </c>
      <c r="C6041" s="5" t="str">
        <f>IFERROR(__xludf.DUMMYFUNCTION("GOOGLETRANSLATE(B6041,""en"",""es-ES"")"),"El mismo hombre ahora está parado afuera hablando y las palabras en la parte inferior de la pantalla dicen que su nombre es ""Shawn Connelly"" y es el fundador: San Francisco Skate Club y mientras habla varias palabras aparecen en la parte inferior de la "&amp;"pantalla en varios momentos así como clips de él en el skate que muestran diferentes movimientos que mencionan las palabras.")</f>
        <v>El mismo hombre ahora está parado afuera hablando y las palabras en la parte inferior de la pantalla dicen que su nombre es "Shawn Connelly" y es el fundador: San Francisco Skate Club y mientras habla varias palabras aparecen en la parte inferior de la pantalla en varios momentos así como clips de él en el skate que muestran diferentes movimientos que mencionan las palabras.</v>
      </c>
    </row>
    <row r="6042">
      <c r="A6042" s="4" t="s">
        <v>7595</v>
      </c>
      <c r="B6042" s="4" t="s">
        <v>7598</v>
      </c>
      <c r="C6042" s="5" t="str">
        <f>IFERROR(__xludf.DUMMYFUNCTION("GOOGLETRANSLATE(B6042,""en"",""es-ES"")"),"El hombre termina el video de solo él hablando, sin texto en la pantalla y ningún otro clips que se muestre mientras habla.")</f>
        <v>El hombre termina el video de solo él hablando, sin texto en la pantalla y ningún otro clips que se muestre mientras habla.</v>
      </c>
    </row>
    <row r="6043">
      <c r="A6043" s="4" t="s">
        <v>7599</v>
      </c>
      <c r="B6043" s="4" t="s">
        <v>7600</v>
      </c>
      <c r="C6043" s="5" t="str">
        <f>IFERROR(__xludf.DUMMYFUNCTION("GOOGLETRANSLATE(B6043,""en"",""es-ES"")"),"Un hombre en un kayak rojo rueda hacia el agua y fuera del agua.")</f>
        <v>Un hombre en un kayak rojo rueda hacia el agua y fuera del agua.</v>
      </c>
    </row>
    <row r="6044">
      <c r="A6044" s="4" t="s">
        <v>7599</v>
      </c>
      <c r="B6044" s="4" t="s">
        <v>7601</v>
      </c>
      <c r="C6044" s="5" t="str">
        <f>IFERROR(__xludf.DUMMYFUNCTION("GOOGLETRANSLATE(B6044,""en"",""es-ES"")"),"Él rueda hacia el agua una vez más.")</f>
        <v>Él rueda hacia el agua una vez más.</v>
      </c>
    </row>
    <row r="6045">
      <c r="A6045" s="4" t="s">
        <v>7599</v>
      </c>
      <c r="B6045" s="4" t="s">
        <v>7602</v>
      </c>
      <c r="C6045" s="5" t="str">
        <f>IFERROR(__xludf.DUMMYFUNCTION("GOOGLETRANSLATE(B6045,""en"",""es-ES"")"),"Luego está en un kayak azul y rueda al agua y sale del agua.")</f>
        <v>Luego está en un kayak azul y rueda al agua y sale del agua.</v>
      </c>
    </row>
    <row r="6046">
      <c r="A6046" s="4" t="s">
        <v>7599</v>
      </c>
      <c r="B6046" s="4" t="s">
        <v>7603</v>
      </c>
      <c r="C6046" s="5" t="str">
        <f>IFERROR(__xludf.DUMMYFUNCTION("GOOGLETRANSLATE(B6046,""en"",""es-ES"")"),"Lo hace una vez más.")</f>
        <v>Lo hace una vez más.</v>
      </c>
    </row>
    <row r="6047">
      <c r="A6047" s="4" t="s">
        <v>7604</v>
      </c>
      <c r="B6047" s="4" t="s">
        <v>7605</v>
      </c>
      <c r="C6047" s="5" t="str">
        <f>IFERROR(__xludf.DUMMYFUNCTION("GOOGLETRANSLATE(B6047,""en"",""es-ES"")"),"Un hombre que usa una camisa negra abre una bolsa de pan y saca tres rebanadas de pan.")</f>
        <v>Un hombre que usa una camisa negra abre una bolsa de pan y saca tres rebanadas de pan.</v>
      </c>
    </row>
    <row r="6048">
      <c r="A6048" s="4" t="s">
        <v>7604</v>
      </c>
      <c r="B6048" s="4" t="s">
        <v>7606</v>
      </c>
      <c r="C6048" s="5" t="str">
        <f>IFERROR(__xludf.DUMMYFUNCTION("GOOGLETRANSLATE(B6048,""en"",""es-ES"")"),"El hombre levanta una botella vacía de Miracle Whip y la arroja a la mano.")</f>
        <v>El hombre levanta una botella vacía de Miracle Whip y la arroja a la mano.</v>
      </c>
    </row>
    <row r="6049">
      <c r="A6049" s="4" t="s">
        <v>7604</v>
      </c>
      <c r="B6049" s="4" t="s">
        <v>7607</v>
      </c>
      <c r="C6049" s="5" t="str">
        <f>IFERROR(__xludf.DUMMYFUNCTION("GOOGLETRANSLATE(B6049,""en"",""es-ES"")"),"Luego, el hombre abre el refrigerador y saca una nueva botella de Miracle Whip.")</f>
        <v>Luego, el hombre abre el refrigerador y saca una nueva botella de Miracle Whip.</v>
      </c>
    </row>
    <row r="6050">
      <c r="A6050" s="4" t="s">
        <v>7604</v>
      </c>
      <c r="B6050" s="4" t="s">
        <v>7608</v>
      </c>
      <c r="C6050" s="5" t="str">
        <f>IFERROR(__xludf.DUMMYFUNCTION("GOOGLETRANSLATE(B6050,""en"",""es-ES"")"),"Luego usa un cuchillo para sacar el látigo milagroso sobre las rodajas de pan.")</f>
        <v>Luego usa un cuchillo para sacar el látigo milagroso sobre las rodajas de pan.</v>
      </c>
    </row>
    <row r="6051">
      <c r="A6051" s="4" t="s">
        <v>7604</v>
      </c>
      <c r="B6051" s="4" t="s">
        <v>7609</v>
      </c>
      <c r="C6051" s="5" t="str">
        <f>IFERROR(__xludf.DUMMYFUNCTION("GOOGLETRANSLATE(B6051,""en"",""es-ES"")"),"Luego, el hombre abre una bolsa de queso suizo y coloca una rebanada en cada rebanada de pan.")</f>
        <v>Luego, el hombre abre una bolsa de queso suizo y coloca una rebanada en cada rebanada de pan.</v>
      </c>
    </row>
    <row r="6052">
      <c r="A6052" s="4" t="s">
        <v>7604</v>
      </c>
      <c r="B6052" s="4" t="s">
        <v>7610</v>
      </c>
      <c r="C6052" s="5" t="str">
        <f>IFERROR(__xludf.DUMMYFUNCTION("GOOGLETRANSLATE(B6052,""en"",""es-ES"")"),"El hombre luego obtiene un recipiente de Génova Salami del refrigerador y pila las rodajas sobre las rodajas de pan.")</f>
        <v>El hombre luego obtiene un recipiente de Génova Salami del refrigerador y pila las rodajas sobre las rodajas de pan.</v>
      </c>
    </row>
    <row r="6053">
      <c r="A6053" s="4" t="s">
        <v>7604</v>
      </c>
      <c r="B6053" s="4" t="s">
        <v>7611</v>
      </c>
      <c r="C6053" s="5" t="str">
        <f>IFERROR(__xludf.DUMMYFUNCTION("GOOGLETRANSLATE(B6053,""en"",""es-ES"")"),"Luego pone las rodajas de pan uno encima del otro y completa el sándwich.")</f>
        <v>Luego pone las rodajas de pan uno encima del otro y completa el sándwich.</v>
      </c>
    </row>
    <row r="6054">
      <c r="A6054" s="4" t="s">
        <v>7612</v>
      </c>
      <c r="B6054" s="4" t="s">
        <v>7613</v>
      </c>
      <c r="C6054" s="5" t="str">
        <f>IFERROR(__xludf.DUMMYFUNCTION("GOOGLETRANSLATE(B6054,""en"",""es-ES"")"),"Vemos a un hombre y una mujer de pie junto.")</f>
        <v>Vemos a un hombre y una mujer de pie junto.</v>
      </c>
    </row>
    <row r="6055">
      <c r="A6055" s="4" t="s">
        <v>7612</v>
      </c>
      <c r="B6055" s="4" t="s">
        <v>7614</v>
      </c>
      <c r="C6055" s="5" t="str">
        <f>IFERROR(__xludf.DUMMYFUNCTION("GOOGLETRANSLATE(B6055,""en"",""es-ES"")"),"La gente luego baila juntas.")</f>
        <v>La gente luego baila juntas.</v>
      </c>
    </row>
    <row r="6056">
      <c r="A6056" s="4" t="s">
        <v>7612</v>
      </c>
      <c r="B6056" s="4" t="s">
        <v>7615</v>
      </c>
      <c r="C6056" s="5" t="str">
        <f>IFERROR(__xludf.DUMMYFUNCTION("GOOGLETRANSLATE(B6056,""en"",""es-ES"")"),"La señora sostiene las piernas a su lado.")</f>
        <v>La señora sostiene las piernas a su lado.</v>
      </c>
    </row>
    <row r="6057">
      <c r="A6057" s="4" t="s">
        <v>7612</v>
      </c>
      <c r="B6057" s="4" t="s">
        <v>7616</v>
      </c>
      <c r="C6057" s="5" t="str">
        <f>IFERROR(__xludf.DUMMYFUNCTION("GOOGLETRANSLATE(B6057,""en"",""es-ES"")"),"El hombre balancea a la mujer.")</f>
        <v>El hombre balancea a la mujer.</v>
      </c>
    </row>
    <row r="6058">
      <c r="A6058" s="4" t="s">
        <v>7612</v>
      </c>
      <c r="B6058" s="4" t="s">
        <v>7617</v>
      </c>
      <c r="C6058" s="5" t="str">
        <f>IFERROR(__xludf.DUMMYFUNCTION("GOOGLETRANSLATE(B6058,""en"",""es-ES"")"),"La señora sacude sus caderas.")</f>
        <v>La señora sacude sus caderas.</v>
      </c>
    </row>
    <row r="6059">
      <c r="A6059" s="4" t="s">
        <v>7612</v>
      </c>
      <c r="B6059" s="4" t="s">
        <v>7618</v>
      </c>
      <c r="C6059" s="5" t="str">
        <f>IFERROR(__xludf.DUMMYFUNCTION("GOOGLETRANSLATE(B6059,""en"",""es-ES"")"),"La señora se dobla y el hombre la rodea.")</f>
        <v>La señora se dobla y el hombre la rodea.</v>
      </c>
    </row>
    <row r="6060">
      <c r="A6060" s="4" t="s">
        <v>7612</v>
      </c>
      <c r="B6060" s="4" t="s">
        <v>7619</v>
      </c>
      <c r="C6060" s="5" t="str">
        <f>IFERROR(__xludf.DUMMYFUNCTION("GOOGLETRANSLATE(B6060,""en"",""es-ES"")"),"La gente se devuelve el uno al otro.")</f>
        <v>La gente se devuelve el uno al otro.</v>
      </c>
    </row>
    <row r="6061">
      <c r="A6061" s="4" t="s">
        <v>7620</v>
      </c>
      <c r="B6061" s="4" t="s">
        <v>7621</v>
      </c>
      <c r="C6061" s="5" t="str">
        <f>IFERROR(__xludf.DUMMYFUNCTION("GOOGLETRANSLATE(B6061,""en"",""es-ES"")"),"Un jugador de lacrosse que lleva una camiseta blanca y sostiene un palo de lacrosse está hablando de las posiciones del lacrosse.")</f>
        <v>Un jugador de lacrosse que lleva una camiseta blanca y sostiene un palo de lacrosse está hablando de las posiciones del lacrosse.</v>
      </c>
    </row>
    <row r="6062">
      <c r="A6062" s="4" t="s">
        <v>7620</v>
      </c>
      <c r="B6062" s="4" t="s">
        <v>7622</v>
      </c>
      <c r="C6062" s="5" t="str">
        <f>IFERROR(__xludf.DUMMYFUNCTION("GOOGLETRANSLATE(B6062,""en"",""es-ES"")"),"Está parado en un campo que está al lado de una carretera concurrida con muchos autos que pasan.")</f>
        <v>Está parado en un campo que está al lado de una carretera concurrida con muchos autos que pasan.</v>
      </c>
    </row>
    <row r="6063">
      <c r="A6063" s="4" t="s">
        <v>7620</v>
      </c>
      <c r="B6063" s="4" t="s">
        <v>7623</v>
      </c>
      <c r="C6063" s="5" t="str">
        <f>IFERROR(__xludf.DUMMYFUNCTION("GOOGLETRANSLATE(B6063,""en"",""es-ES"")"),"Está demostrando las diversas posiciones y formas de usar el palo de lacrosse con otro hombre.")</f>
        <v>Está demostrando las diversas posiciones y formas de usar el palo de lacrosse con otro hombre.</v>
      </c>
    </row>
    <row r="6064">
      <c r="A6064" s="4" t="s">
        <v>7620</v>
      </c>
      <c r="B6064" s="4" t="s">
        <v>7624</v>
      </c>
      <c r="C6064" s="5" t="str">
        <f>IFERROR(__xludf.DUMMYFUNCTION("GOOGLETRANSLATE(B6064,""en"",""es-ES"")"),"Explica cómo se marcan los goles en lacrosse.")</f>
        <v>Explica cómo se marcan los goles en lacrosse.</v>
      </c>
    </row>
    <row r="6065">
      <c r="A6065" s="4" t="s">
        <v>7625</v>
      </c>
      <c r="B6065" s="4" t="s">
        <v>7626</v>
      </c>
      <c r="C6065" s="5" t="str">
        <f>IFERROR(__xludf.DUMMYFUNCTION("GOOGLETRANSLATE(B6065,""en"",""es-ES"")"),"Un niño sostiene una guitarra en una habitación.")</f>
        <v>Un niño sostiene una guitarra en una habitación.</v>
      </c>
    </row>
    <row r="6066">
      <c r="A6066" s="4" t="s">
        <v>7625</v>
      </c>
      <c r="B6066" s="4" t="s">
        <v>7627</v>
      </c>
      <c r="C6066" s="5" t="str">
        <f>IFERROR(__xludf.DUMMYFUNCTION("GOOGLETRANSLATE(B6066,""en"",""es-ES"")"),"Está sentado en una cama.")</f>
        <v>Está sentado en una cama.</v>
      </c>
    </row>
    <row r="6067">
      <c r="A6067" s="4" t="s">
        <v>7625</v>
      </c>
      <c r="B6067" s="4" t="s">
        <v>7628</v>
      </c>
      <c r="C6067" s="5" t="str">
        <f>IFERROR(__xludf.DUMMYFUNCTION("GOOGLETRANSLATE(B6067,""en"",""es-ES"")"),"Comienza a tocar la guitarra.")</f>
        <v>Comienza a tocar la guitarra.</v>
      </c>
    </row>
    <row r="6068">
      <c r="A6068" s="4" t="s">
        <v>7625</v>
      </c>
      <c r="B6068" s="4" t="s">
        <v>7629</v>
      </c>
      <c r="C6068" s="5" t="str">
        <f>IFERROR(__xludf.DUMMYFUNCTION("GOOGLETRANSLATE(B6068,""en"",""es-ES"")"),"Finalmente termina la canción.")</f>
        <v>Finalmente termina la canción.</v>
      </c>
    </row>
    <row r="6069">
      <c r="A6069" s="4" t="s">
        <v>7630</v>
      </c>
      <c r="B6069" s="4" t="s">
        <v>7631</v>
      </c>
      <c r="C6069" s="5" t="str">
        <f>IFERROR(__xludf.DUMMYFUNCTION("GOOGLETRANSLATE(B6069,""en"",""es-ES"")"),"Hay una persona que camina sobre zancos en una acera donde se estacionan varios autos.")</f>
        <v>Hay una persona que camina sobre zancos en una acera donde se estacionan varios autos.</v>
      </c>
    </row>
    <row r="6070">
      <c r="A6070" s="4" t="s">
        <v>7630</v>
      </c>
      <c r="B6070" s="4" t="s">
        <v>7632</v>
      </c>
      <c r="C6070" s="5" t="str">
        <f>IFERROR(__xludf.DUMMYFUNCTION("GOOGLETRANSLATE(B6070,""en"",""es-ES"")"),"Está demostrando cómo caminar sobre zancos.")</f>
        <v>Está demostrando cómo caminar sobre zancos.</v>
      </c>
    </row>
    <row r="6071">
      <c r="A6071" s="4" t="s">
        <v>7630</v>
      </c>
      <c r="B6071" s="4" t="s">
        <v>7633</v>
      </c>
      <c r="C6071" s="5" t="str">
        <f>IFERROR(__xludf.DUMMYFUNCTION("GOOGLETRANSLATE(B6071,""en"",""es-ES"")"),"Se le une otros dos hombres que también se unen a él en el tutorial.")</f>
        <v>Se le une otros dos hombres que también se unen a él en el tutorial.</v>
      </c>
    </row>
    <row r="6072">
      <c r="A6072" s="4" t="s">
        <v>7630</v>
      </c>
      <c r="B6072" s="4" t="s">
        <v>7634</v>
      </c>
      <c r="C6072" s="5" t="str">
        <f>IFERROR(__xludf.DUMMYFUNCTION("GOOGLETRANSLATE(B6072,""en"",""es-ES"")"),"El hombre en pilotes muestra qué tan rápido puede correr mientras está en los zancos y saltar al alto.")</f>
        <v>El hombre en pilotes muestra qué tan rápido puede correr mientras está en los zancos y saltar al alto.</v>
      </c>
    </row>
    <row r="6073">
      <c r="A6073" s="4" t="s">
        <v>7630</v>
      </c>
      <c r="B6073" s="4" t="s">
        <v>7635</v>
      </c>
      <c r="C6073" s="5" t="str">
        <f>IFERROR(__xludf.DUMMYFUNCTION("GOOGLETRANSLATE(B6073,""en"",""es-ES"")"),"Mientras corre sobre los pilotes, su amigo conduce junto a él en un automóvil.")</f>
        <v>Mientras corre sobre los pilotes, su amigo conduce junto a él en un automóvil.</v>
      </c>
    </row>
    <row r="6074">
      <c r="A6074" s="4" t="s">
        <v>7630</v>
      </c>
      <c r="B6074" s="4" t="s">
        <v>7636</v>
      </c>
      <c r="C6074" s="5" t="str">
        <f>IFERROR(__xludf.DUMMYFUNCTION("GOOGLETRANSLATE(B6074,""en"",""es-ES"")"),"El hombre continúa haciendo acrobacias en los pilotes.")</f>
        <v>El hombre continúa haciendo acrobacias en los pilotes.</v>
      </c>
    </row>
    <row r="6075">
      <c r="A6075" s="4" t="s">
        <v>7637</v>
      </c>
      <c r="B6075" s="4" t="s">
        <v>7638</v>
      </c>
      <c r="C6075" s="5" t="str">
        <f>IFERROR(__xludf.DUMMYFUNCTION("GOOGLETRANSLATE(B6075,""en"",""es-ES"")"),"Se ve a una niña de pie en una barra de ballet realizando movimientos de ballet.")</f>
        <v>Se ve a una niña de pie en una barra de ballet realizando movimientos de ballet.</v>
      </c>
    </row>
    <row r="6076">
      <c r="A6076" s="4" t="s">
        <v>7637</v>
      </c>
      <c r="B6076" s="4" t="s">
        <v>7639</v>
      </c>
      <c r="C6076" s="5" t="str">
        <f>IFERROR(__xludf.DUMMYFUNCTION("GOOGLETRANSLATE(B6076,""en"",""es-ES"")"),"Se ve a una niña bailando en el escenario seguido de un gran grupo de chicas que se calientan.")</f>
        <v>Se ve a una niña bailando en el escenario seguido de un gran grupo de chicas que se calientan.</v>
      </c>
    </row>
    <row r="6077">
      <c r="A6077" s="4" t="s">
        <v>7637</v>
      </c>
      <c r="B6077" s="4" t="s">
        <v>7640</v>
      </c>
      <c r="C6077" s="5" t="str">
        <f>IFERROR(__xludf.DUMMYFUNCTION("GOOGLETRANSLATE(B6077,""en"",""es-ES"")"),"Las chicas continúan estirando y conduciendo a la mujer apuntando su pie.")</f>
        <v>Las chicas continúan estirando y conduciendo a la mujer apuntando su pie.</v>
      </c>
    </row>
    <row r="6078">
      <c r="A6078" s="4" t="s">
        <v>7641</v>
      </c>
      <c r="B6078" s="4" t="s">
        <v>7642</v>
      </c>
      <c r="C6078" s="5" t="str">
        <f>IFERROR(__xludf.DUMMYFUNCTION("GOOGLETRANSLATE(B6078,""en"",""es-ES"")"),"Un adolescente prepara a un hombre en su rostro.")</f>
        <v>Un adolescente prepara a un hombre en su rostro.</v>
      </c>
    </row>
    <row r="6079">
      <c r="A6079" s="4" t="s">
        <v>7641</v>
      </c>
      <c r="B6079" s="4" t="s">
        <v>7643</v>
      </c>
      <c r="C6079" s="5" t="str">
        <f>IFERROR(__xludf.DUMMYFUNCTION("GOOGLETRANSLATE(B6079,""en"",""es-ES"")"),"Luego, el adolescente pone rímel, palitos de labios y pinta el párpado con un delineador de ojos.")</f>
        <v>Luego, el adolescente pone rímel, palitos de labios y pinta el párpado con un delineador de ojos.</v>
      </c>
    </row>
    <row r="6080">
      <c r="A6080" s="4" t="s">
        <v>7641</v>
      </c>
      <c r="B6080" s="4" t="s">
        <v>7644</v>
      </c>
      <c r="C6080" s="5" t="str">
        <f>IFERROR(__xludf.DUMMYFUNCTION("GOOGLETRANSLATE(B6080,""en"",""es-ES"")"),"Luego, la adolescente pone color en las mejillas, luego ella los párpados.")</f>
        <v>Luego, la adolescente pone color en las mejillas, luego ella los párpados.</v>
      </c>
    </row>
    <row r="6081">
      <c r="A6081" s="4" t="s">
        <v>7641</v>
      </c>
      <c r="B6081" s="4" t="s">
        <v>7645</v>
      </c>
      <c r="C6081" s="5" t="str">
        <f>IFERROR(__xludf.DUMMYFUNCTION("GOOGLETRANSLATE(B6081,""en"",""es-ES"")"),"Después, el adolescente pinta la boca y puso lápiz labial en las mejillas y pinta los párpados.")</f>
        <v>Después, el adolescente pinta la boca y puso lápiz labial en las mejillas y pinta los párpados.</v>
      </c>
    </row>
    <row r="6082">
      <c r="A6082" s="4" t="s">
        <v>7646</v>
      </c>
      <c r="B6082" s="4" t="s">
        <v>7647</v>
      </c>
      <c r="C6082" s="5" t="str">
        <f>IFERROR(__xludf.DUMMYFUNCTION("GOOGLETRANSLATE(B6082,""en"",""es-ES"")"),"Dos personas están cerca en una habitación.")</f>
        <v>Dos personas están cerca en una habitación.</v>
      </c>
    </row>
    <row r="6083">
      <c r="A6083" s="4" t="s">
        <v>7646</v>
      </c>
      <c r="B6083" s="4" t="s">
        <v>7648</v>
      </c>
      <c r="C6083" s="5" t="str">
        <f>IFERROR(__xludf.DUMMYFUNCTION("GOOGLETRANSLATE(B6083,""en"",""es-ES"")"),"Una persona está de pie junto a una pared mirándolos.")</f>
        <v>Una persona está de pie junto a una pared mirándolos.</v>
      </c>
    </row>
    <row r="6084">
      <c r="A6084" s="4" t="s">
        <v>7646</v>
      </c>
      <c r="B6084" s="4" t="s">
        <v>7649</v>
      </c>
      <c r="C6084" s="5" t="str">
        <f>IFERROR(__xludf.DUMMYFUNCTION("GOOGLETRANSLATE(B6084,""en"",""es-ES"")"),"Dejan de esgrima y se alejan.")</f>
        <v>Dejan de esgrima y se alejan.</v>
      </c>
    </row>
    <row r="6085">
      <c r="A6085" s="4" t="s">
        <v>7650</v>
      </c>
      <c r="B6085" s="4" t="s">
        <v>7651</v>
      </c>
      <c r="C6085" s="5" t="str">
        <f>IFERROR(__xludf.DUMMYFUNCTION("GOOGLETRANSLATE(B6085,""en"",""es-ES"")"),"Un niño está en una cancha de tenis afuera.")</f>
        <v>Un niño está en una cancha de tenis afuera.</v>
      </c>
    </row>
    <row r="6086">
      <c r="A6086" s="4" t="s">
        <v>7650</v>
      </c>
      <c r="B6086" s="4" t="s">
        <v>7652</v>
      </c>
      <c r="C6086" s="5" t="str">
        <f>IFERROR(__xludf.DUMMYFUNCTION("GOOGLETRANSLATE(B6086,""en"",""es-ES"")"),"Sirve la pelota con una raqueta.")</f>
        <v>Sirve la pelota con una raqueta.</v>
      </c>
    </row>
    <row r="6087">
      <c r="A6087" s="4" t="s">
        <v>7650</v>
      </c>
      <c r="B6087" s="4" t="s">
        <v>7653</v>
      </c>
      <c r="C6087" s="5" t="str">
        <f>IFERROR(__xludf.DUMMYFUNCTION("GOOGLETRANSLATE(B6087,""en"",""es-ES"")"),"Lo sirve varias veces más, golpeándolo cada vez.")</f>
        <v>Lo sirve varias veces más, golpeándolo cada vez.</v>
      </c>
    </row>
    <row r="6088">
      <c r="A6088" s="4" t="s">
        <v>7654</v>
      </c>
      <c r="B6088" s="4" t="s">
        <v>7655</v>
      </c>
      <c r="C6088" s="5" t="str">
        <f>IFERROR(__xludf.DUMMYFUNCTION("GOOGLETRANSLATE(B6088,""en"",""es-ES"")"),"El café está molido en un molinillo eléctrico.")</f>
        <v>El café está molido en un molinillo eléctrico.</v>
      </c>
    </row>
    <row r="6089">
      <c r="A6089" s="4" t="s">
        <v>7654</v>
      </c>
      <c r="B6089" s="4" t="s">
        <v>7656</v>
      </c>
      <c r="C6089" s="5" t="str">
        <f>IFERROR(__xludf.DUMMYFUNCTION("GOOGLETRANSLATE(B6089,""en"",""es-ES"")"),"Una taza de café y prensa de café se coloca sobre una mesa.")</f>
        <v>Una taza de café y prensa de café se coloca sobre una mesa.</v>
      </c>
    </row>
    <row r="6090">
      <c r="A6090" s="4" t="s">
        <v>7654</v>
      </c>
      <c r="B6090" s="4" t="s">
        <v>7657</v>
      </c>
      <c r="C6090" s="5" t="str">
        <f>IFERROR(__xludf.DUMMYFUNCTION("GOOGLETRANSLATE(B6090,""en"",""es-ES"")"),"La leche se vierte en la taza de café.")</f>
        <v>La leche se vierte en la taza de café.</v>
      </c>
    </row>
    <row r="6091">
      <c r="A6091" s="4" t="s">
        <v>7654</v>
      </c>
      <c r="B6091" s="4" t="s">
        <v>7658</v>
      </c>
      <c r="C6091" s="5" t="str">
        <f>IFERROR(__xludf.DUMMYFUNCTION("GOOGLETRANSLATE(B6091,""en"",""es-ES"")"),"La taza de café se recoge y vuelve a colocar el platillo.")</f>
        <v>La taza de café se recoge y vuelve a colocar el platillo.</v>
      </c>
    </row>
    <row r="6092">
      <c r="A6092" s="4" t="s">
        <v>7659</v>
      </c>
      <c r="B6092" s="4" t="s">
        <v>7660</v>
      </c>
      <c r="C6092" s="5" t="str">
        <f>IFERROR(__xludf.DUMMYFUNCTION("GOOGLETRANSLATE(B6092,""en"",""es-ES"")"),"Se ve una figura masculina en un gimnasio que se dobla en la alfombra y lleva a cabo instrucciones a la cámara sobre cómo realizar un ejercicio.")</f>
        <v>Se ve una figura masculina en un gimnasio que se dobla en la alfombra y lleva a cabo instrucciones a la cámara sobre cómo realizar un ejercicio.</v>
      </c>
    </row>
    <row r="6093">
      <c r="A6093" s="4" t="s">
        <v>7659</v>
      </c>
      <c r="B6093" s="4" t="s">
        <v>7661</v>
      </c>
      <c r="C6093" s="5" t="str">
        <f>IFERROR(__xludf.DUMMYFUNCTION("GOOGLETRANSLATE(B6093,""en"",""es-ES"")"),"Demuestra cómo hacer ejercicios adecuadamente en una banda elástica que está unida a un poste fijo.")</f>
        <v>Demuestra cómo hacer ejercicios adecuadamente en una banda elástica que está unida a un poste fijo.</v>
      </c>
    </row>
    <row r="6094">
      <c r="A6094" s="4" t="s">
        <v>7659</v>
      </c>
      <c r="B6094" s="4" t="s">
        <v>7662</v>
      </c>
      <c r="C6094" s="5" t="str">
        <f>IFERROR(__xludf.DUMMYFUNCTION("GOOGLETRANSLATE(B6094,""en"",""es-ES"")"),"Agarra la banda elástica y la tira hacia sí mismo.")</f>
        <v>Agarra la banda elástica y la tira hacia sí mismo.</v>
      </c>
    </row>
    <row r="6095">
      <c r="A6095" s="4" t="s">
        <v>7659</v>
      </c>
      <c r="B6095" s="4" t="s">
        <v>7663</v>
      </c>
      <c r="C6095" s="5" t="str">
        <f>IFERROR(__xludf.DUMMYFUNCTION("GOOGLETRANSLATE(B6095,""en"",""es-ES"")"),"Luego empuja a la banda lejos de sí mismo cuando él y demuestra el uso adecuado del equipo.")</f>
        <v>Luego empuja a la banda lejos de sí mismo cuando él y demuestra el uso adecuado del equipo.</v>
      </c>
    </row>
    <row r="6096">
      <c r="A6096" s="4" t="s">
        <v>7664</v>
      </c>
      <c r="B6096" s="4" t="s">
        <v>7665</v>
      </c>
      <c r="C6096" s="5" t="str">
        <f>IFERROR(__xludf.DUMMYFUNCTION("GOOGLETRANSLATE(B6096,""en"",""es-ES"")"),"Se ve a una mujer guiando un camello con dos niños pequeños montando en la espalda.")</f>
        <v>Se ve a una mujer guiando un camello con dos niños pequeños montando en la espalda.</v>
      </c>
    </row>
    <row r="6097">
      <c r="A6097" s="4" t="s">
        <v>7664</v>
      </c>
      <c r="B6097" s="4" t="s">
        <v>7666</v>
      </c>
      <c r="C6097" s="5" t="str">
        <f>IFERROR(__xludf.DUMMYFUNCTION("GOOGLETRANSLATE(B6097,""en"",""es-ES"")"),"Los niños saludan a la cámara mientras se mueve alrededor de su viaje y el camello escupiendo al aire.")</f>
        <v>Los niños saludan a la cámara mientras se mueve alrededor de su viaje y el camello escupiendo al aire.</v>
      </c>
    </row>
    <row r="6098">
      <c r="A6098" s="4" t="s">
        <v>7667</v>
      </c>
      <c r="B6098" s="4" t="s">
        <v>7668</v>
      </c>
      <c r="C6098" s="5" t="str">
        <f>IFERROR(__xludf.DUMMYFUNCTION("GOOGLETRANSLATE(B6098,""en"",""es-ES"")"),"Una gimnast femenina está inactiva mientras es observada por una multitud.")</f>
        <v>Una gimnast femenina está inactiva mientras es observada por una multitud.</v>
      </c>
    </row>
    <row r="6099">
      <c r="A6099" s="4" t="s">
        <v>7667</v>
      </c>
      <c r="B6099" s="4" t="s">
        <v>7669</v>
      </c>
      <c r="C6099" s="5" t="str">
        <f>IFERROR(__xludf.DUMMYFUNCTION("GOOGLETRANSLATE(B6099,""en"",""es-ES"")"),"Se muestra un primer plano de una segunda mujer que dice algo.")</f>
        <v>Se muestra un primer plano de una segunda mujer que dice algo.</v>
      </c>
    </row>
    <row r="6100">
      <c r="A6100" s="4" t="s">
        <v>7667</v>
      </c>
      <c r="B6100" s="4" t="s">
        <v>7670</v>
      </c>
      <c r="C6100" s="5" t="str">
        <f>IFERROR(__xludf.DUMMYFUNCTION("GOOGLETRANSLATE(B6100,""en"",""es-ES"")"),"El gimnasta realiza una rutina en una viga.")</f>
        <v>El gimnasta realiza una rutina en una viga.</v>
      </c>
    </row>
    <row r="6101">
      <c r="A6101" s="4" t="s">
        <v>7667</v>
      </c>
      <c r="B6101" s="4" t="s">
        <v>7671</v>
      </c>
      <c r="C6101" s="5" t="str">
        <f>IFERROR(__xludf.DUMMYFUNCTION("GOOGLETRANSLATE(B6101,""en"",""es-ES"")"),"La gimnasta termina su rutina y desmonta.")</f>
        <v>La gimnasta termina su rutina y desmonta.</v>
      </c>
    </row>
    <row r="6102">
      <c r="A6102" s="4" t="s">
        <v>7667</v>
      </c>
      <c r="B6102" s="4" t="s">
        <v>7672</v>
      </c>
      <c r="C6102" s="5" t="str">
        <f>IFERROR(__xludf.DUMMYFUNCTION("GOOGLETRANSLATE(B6102,""en"",""es-ES"")"),"Se muestra a la gente aplaudiendo a la gimnasta.")</f>
        <v>Se muestra a la gente aplaudiendo a la gimnasta.</v>
      </c>
    </row>
    <row r="6103">
      <c r="A6103" s="4" t="s">
        <v>7667</v>
      </c>
      <c r="B6103" s="4" t="s">
        <v>7673</v>
      </c>
      <c r="C6103" s="5" t="str">
        <f>IFERROR(__xludf.DUMMYFUNCTION("GOOGLETRANSLATE(B6103,""en"",""es-ES"")"),"La gimnasta se aleja de la viga.")</f>
        <v>La gimnasta se aleja de la viga.</v>
      </c>
    </row>
    <row r="6104">
      <c r="A6104" s="4" t="s">
        <v>7674</v>
      </c>
      <c r="B6104" s="4" t="s">
        <v>7675</v>
      </c>
      <c r="C6104" s="5" t="str">
        <f>IFERROR(__xludf.DUMMYFUNCTION("GOOGLETRANSLATE(B6104,""en"",""es-ES"")"),"Se ve a un hombre doblando un gran conjunto de pesas con otro caminando detrás de él.")</f>
        <v>Se ve a un hombre doblando un gran conjunto de pesas con otro caminando detrás de él.</v>
      </c>
    </row>
    <row r="6105">
      <c r="A6105" s="4" t="s">
        <v>7674</v>
      </c>
      <c r="B6105" s="4" t="s">
        <v>7676</v>
      </c>
      <c r="C6105" s="5" t="str">
        <f>IFERROR(__xludf.DUMMYFUNCTION("GOOGLETRANSLATE(B6105,""en"",""es-ES"")"),"El hombre levanta la barra sobre su cabeza y la arroja hacia abajo.")</f>
        <v>El hombre levanta la barra sobre su cabeza y la arroja hacia abajo.</v>
      </c>
    </row>
    <row r="6106">
      <c r="A6106" s="4" t="s">
        <v>7674</v>
      </c>
      <c r="B6106" s="4" t="s">
        <v>7677</v>
      </c>
      <c r="C6106" s="5" t="str">
        <f>IFERROR(__xludf.DUMMYFUNCTION("GOOGLETRANSLATE(B6106,""en"",""es-ES"")"),"El hombre vuelve a hacer esto mientras la gente mira a los lados.")</f>
        <v>El hombre vuelve a hacer esto mientras la gente mira a los lados.</v>
      </c>
    </row>
    <row r="6107">
      <c r="A6107" s="4" t="s">
        <v>7678</v>
      </c>
      <c r="B6107" s="4" t="s">
        <v>7679</v>
      </c>
      <c r="C6107" s="5" t="str">
        <f>IFERROR(__xludf.DUMMYFUNCTION("GOOGLETRANSLATE(B6107,""en"",""es-ES"")"),"Se ve una piñata balanceándose alrededor del medio de las personas seguidas de una niña agarrando un palo.")</f>
        <v>Se ve una piñata balanceándose alrededor del medio de las personas seguidas de una niña agarrando un palo.</v>
      </c>
    </row>
    <row r="6108">
      <c r="A6108" s="4" t="s">
        <v>7678</v>
      </c>
      <c r="B6108" s="4" t="s">
        <v>7680</v>
      </c>
      <c r="C6108" s="5" t="str">
        <f>IFERROR(__xludf.DUMMYFUNCTION("GOOGLETRANSLATE(B6108,""en"",""es-ES"")"),"Se mueve por toda la habitación balanceándose hacia la piñata, así como otra chica balanceándose con su padre.")</f>
        <v>Se mueve por toda la habitación balanceándose hacia la piñata, así como otra chica balanceándose con su padre.</v>
      </c>
    </row>
    <row r="6109">
      <c r="A6109" s="4" t="s">
        <v>7678</v>
      </c>
      <c r="B6109" s="4" t="s">
        <v>7681</v>
      </c>
      <c r="C6109" s="5" t="str">
        <f>IFERROR(__xludf.DUMMYFUNCTION("GOOGLETRANSLATE(B6109,""en"",""es-ES"")"),"Un niño se acerca para tratar de golpearlo, así como a otro niño.")</f>
        <v>Un niño se acerca para tratar de golpearlo, así como a otro niño.</v>
      </c>
    </row>
    <row r="6110">
      <c r="A6110" s="4" t="s">
        <v>7682</v>
      </c>
      <c r="B6110" s="4" t="s">
        <v>7683</v>
      </c>
      <c r="C6110" s="5" t="str">
        <f>IFERROR(__xludf.DUMMYFUNCTION("GOOGLETRANSLATE(B6110,""en"",""es-ES"")"),"Un chico saluda y luego habla.")</f>
        <v>Un chico saluda y luego habla.</v>
      </c>
    </row>
    <row r="6111">
      <c r="A6111" s="4" t="s">
        <v>7682</v>
      </c>
      <c r="B6111" s="4" t="s">
        <v>7684</v>
      </c>
      <c r="C6111" s="5" t="str">
        <f>IFERROR(__xludf.DUMMYFUNCTION("GOOGLETRANSLATE(B6111,""en"",""es-ES"")"),"Un hombre se acerca y agarra un plato.")</f>
        <v>Un hombre se acerca y agarra un plato.</v>
      </c>
    </row>
    <row r="6112">
      <c r="A6112" s="4" t="s">
        <v>7682</v>
      </c>
      <c r="B6112" s="4" t="s">
        <v>7685</v>
      </c>
      <c r="C6112" s="5" t="str">
        <f>IFERROR(__xludf.DUMMYFUNCTION("GOOGLETRANSLATE(B6112,""en"",""es-ES"")"),"El macho lleva el plato al fregadero.")</f>
        <v>El macho lleva el plato al fregadero.</v>
      </c>
    </row>
    <row r="6113">
      <c r="A6113" s="4" t="s">
        <v>7682</v>
      </c>
      <c r="B6113" s="4" t="s">
        <v>7686</v>
      </c>
      <c r="C6113" s="5" t="str">
        <f>IFERROR(__xludf.DUMMYFUNCTION("GOOGLETRANSLATE(B6113,""en"",""es-ES"")"),"El macho sumerge el plato en el agua y usa una alfombra blanca para lavarla.")</f>
        <v>El macho sumerge el plato en el agua y usa una alfombra blanca para lavarla.</v>
      </c>
    </row>
    <row r="6114">
      <c r="A6114" s="4" t="s">
        <v>7682</v>
      </c>
      <c r="B6114" s="4" t="s">
        <v>7687</v>
      </c>
      <c r="C6114" s="5" t="str">
        <f>IFERROR(__xludf.DUMMYFUNCTION("GOOGLETRANSLATE(B6114,""en"",""es-ES"")"),"El macho enjuague la placa lavada.")</f>
        <v>El macho enjuague la placa lavada.</v>
      </c>
    </row>
    <row r="6115">
      <c r="A6115" s="4" t="s">
        <v>7682</v>
      </c>
      <c r="B6115" s="4" t="s">
        <v>7688</v>
      </c>
      <c r="C6115" s="5" t="str">
        <f>IFERROR(__xludf.DUMMYFUNCTION("GOOGLETRANSLATE(B6115,""en"",""es-ES"")"),"El macho empapa el plato blanco y luego lo coloca en una rejilla de secado de platos.")</f>
        <v>El macho empapa el plato blanco y luego lo coloca en una rejilla de secado de platos.</v>
      </c>
    </row>
    <row r="6116">
      <c r="A6116" s="4" t="s">
        <v>7682</v>
      </c>
      <c r="B6116" s="4" t="s">
        <v>7689</v>
      </c>
      <c r="C6116" s="5" t="str">
        <f>IFERROR(__xludf.DUMMYFUNCTION("GOOGLETRANSLATE(B6116,""en"",""es-ES"")"),"El macho da un pulgar hacia arriba.")</f>
        <v>El macho da un pulgar hacia arriba.</v>
      </c>
    </row>
    <row r="6117">
      <c r="A6117" s="4" t="s">
        <v>7690</v>
      </c>
      <c r="B6117" s="4" t="s">
        <v>7691</v>
      </c>
      <c r="C6117" s="5" t="str">
        <f>IFERROR(__xludf.DUMMYFUNCTION("GOOGLETRANSLATE(B6117,""en"",""es-ES"")"),"Se ve a un hombre girando un cubo de Rubix en sus manos seguido de más personas que intentan resolver el rompecabezas y hablar con la cámara.")</f>
        <v>Se ve a un hombre girando un cubo de Rubix en sus manos seguido de más personas que intentan resolver el rompecabezas y hablar con la cámara.</v>
      </c>
    </row>
    <row r="6118">
      <c r="A6118" s="4" t="s">
        <v>7690</v>
      </c>
      <c r="B6118" s="4" t="s">
        <v>7692</v>
      </c>
      <c r="C6118" s="5" t="str">
        <f>IFERROR(__xludf.DUMMYFUNCTION("GOOGLETRANSLATE(B6118,""en"",""es-ES"")"),"Se muestra más personas que intentan resolver el rompecabezas y hablando con la cámara y sonreír.")</f>
        <v>Se muestra más personas que intentan resolver el rompecabezas y hablando con la cámara y sonreír.</v>
      </c>
    </row>
    <row r="6119">
      <c r="A6119" s="4" t="s">
        <v>7693</v>
      </c>
      <c r="B6119" s="4" t="s">
        <v>7694</v>
      </c>
      <c r="C6119" s="5" t="str">
        <f>IFERROR(__xludf.DUMMYFUNCTION("GOOGLETRANSLATE(B6119,""en"",""es-ES"")"),"Se muestra a un gran grupo de personas sentados al margen, así como varios disparos de atletas que se preparan para un evento.")</f>
        <v>Se muestra a un gran grupo de personas sentados al margen, así como varios disparos de atletas que se preparan para un evento.</v>
      </c>
    </row>
    <row r="6120">
      <c r="A6120" s="4" t="s">
        <v>7693</v>
      </c>
      <c r="B6120" s="4" t="s">
        <v>7695</v>
      </c>
      <c r="C6120" s="5" t="str">
        <f>IFERROR(__xludf.DUMMYFUNCTION("GOOGLETRANSLATE(B6120,""en"",""es-ES"")"),"Se ve a una mujer levantando un bar varias veces mientras su entrenador grita para alentarla.")</f>
        <v>Se ve a una mujer levantando un bar varias veces mientras su entrenador grita para alentarla.</v>
      </c>
    </row>
    <row r="6121">
      <c r="A6121" s="4" t="s">
        <v>7693</v>
      </c>
      <c r="B6121" s="4" t="s">
        <v>7696</v>
      </c>
      <c r="C6121" s="5" t="str">
        <f>IFERROR(__xludf.DUMMYFUNCTION("GOOGLETRANSLATE(B6121,""en"",""es-ES"")"),"Ella termina su set y se va con varias otras personas cercanas.")</f>
        <v>Ella termina su set y se va con varias otras personas cercanas.</v>
      </c>
    </row>
    <row r="6122">
      <c r="A6122" s="4" t="s">
        <v>7697</v>
      </c>
      <c r="B6122" s="4" t="s">
        <v>7698</v>
      </c>
      <c r="C6122" s="5" t="str">
        <f>IFERROR(__xludf.DUMMYFUNCTION("GOOGLETRANSLATE(B6122,""en"",""es-ES"")"),"Un camarógrafo sigue a un hombre mientras camina por un tablero de buceo.")</f>
        <v>Un camarógrafo sigue a un hombre mientras camina por un tablero de buceo.</v>
      </c>
    </row>
    <row r="6123">
      <c r="A6123" s="4" t="s">
        <v>7697</v>
      </c>
      <c r="B6123" s="4" t="s">
        <v>7699</v>
      </c>
      <c r="C6123" s="5" t="str">
        <f>IFERROR(__xludf.DUMMYFUNCTION("GOOGLETRANSLATE(B6123,""en"",""es-ES"")"),"El buzo llega al borde del tablero y se extiende antes de caer hacia adelante en el agua.")</f>
        <v>El buzo llega al borde del tablero y se extiende antes de caer hacia adelante en el agua.</v>
      </c>
    </row>
    <row r="6124">
      <c r="A6124" s="4" t="s">
        <v>7697</v>
      </c>
      <c r="B6124" s="4" t="s">
        <v>7700</v>
      </c>
      <c r="C6124" s="5" t="str">
        <f>IFERROR(__xludf.DUMMYFUNCTION("GOOGLETRANSLATE(B6124,""en"",""es-ES"")"),"El buceador se sumerge en el agua por segunda vez.")</f>
        <v>El buceador se sumerge en el agua por segunda vez.</v>
      </c>
    </row>
    <row r="6125">
      <c r="A6125" s="4" t="s">
        <v>7697</v>
      </c>
      <c r="B6125" s="4" t="s">
        <v>7701</v>
      </c>
      <c r="C6125" s="5" t="str">
        <f>IFERROR(__xludf.DUMMYFUNCTION("GOOGLETRANSLATE(B6125,""en"",""es-ES"")"),"El buzo sale del agua y se va cuando un camarógrafo lo sigue.")</f>
        <v>El buzo sale del agua y se va cuando un camarógrafo lo sigue.</v>
      </c>
    </row>
    <row r="6126">
      <c r="A6126" s="4" t="s">
        <v>7702</v>
      </c>
      <c r="B6126" s="4" t="s">
        <v>7703</v>
      </c>
      <c r="C6126" s="5" t="str">
        <f>IFERROR(__xludf.DUMMYFUNCTION("GOOGLETRANSLATE(B6126,""en"",""es-ES"")"),"Un hombre se balancea y tira el martillo repetidamente.")</f>
        <v>Un hombre se balancea y tira el martillo repetidamente.</v>
      </c>
    </row>
    <row r="6127">
      <c r="A6127" s="4" t="s">
        <v>7702</v>
      </c>
      <c r="B6127" s="4" t="s">
        <v>7704</v>
      </c>
      <c r="C6127" s="5" t="str">
        <f>IFERROR(__xludf.DUMMYFUNCTION("GOOGLETRANSLATE(B6127,""en"",""es-ES"")"),"El hombre salta en una pierna al final y se aleja.")</f>
        <v>El hombre salta en una pierna al final y se aleja.</v>
      </c>
    </row>
    <row r="6128">
      <c r="A6128" s="4" t="s">
        <v>7702</v>
      </c>
      <c r="B6128" s="4" t="s">
        <v>7705</v>
      </c>
      <c r="C6128" s="5" t="str">
        <f>IFERROR(__xludf.DUMMYFUNCTION("GOOGLETRANSLATE(B6128,""en"",""es-ES"")"),"Cambiamos a un lanzamiento de peso de lanzamiento de hombre.")</f>
        <v>Cambiamos a un lanzamiento de peso de lanzamiento de hombre.</v>
      </c>
    </row>
    <row r="6129">
      <c r="A6129" s="4" t="s">
        <v>7702</v>
      </c>
      <c r="B6129" s="4" t="s">
        <v>7706</v>
      </c>
      <c r="C6129" s="5" t="str">
        <f>IFERROR(__xludf.DUMMYFUNCTION("GOOGLETRANSLATE(B6129,""en"",""es-ES"")"),"Hombres en la banca aplaudir y saltar.")</f>
        <v>Hombres en la banca aplaudir y saltar.</v>
      </c>
    </row>
    <row r="6130">
      <c r="A6130" s="4" t="s">
        <v>7702</v>
      </c>
      <c r="B6130" s="4" t="s">
        <v>7707</v>
      </c>
      <c r="C6130" s="5" t="str">
        <f>IFERROR(__xludf.DUMMYFUNCTION("GOOGLETRANSLATE(B6130,""en"",""es-ES"")"),"El hombre de rojo y azul levanta una bandera roja.")</f>
        <v>El hombre de rojo y azul levanta una bandera roja.</v>
      </c>
    </row>
    <row r="6131">
      <c r="A6131" s="4" t="s">
        <v>7702</v>
      </c>
      <c r="B6131" s="4" t="s">
        <v>7708</v>
      </c>
      <c r="C6131" s="5" t="str">
        <f>IFERROR(__xludf.DUMMYFUNCTION("GOOGLETRANSLATE(B6131,""en"",""es-ES"")"),"Vemos a un hombre tirar el martillo repetidamente.")</f>
        <v>Vemos a un hombre tirar el martillo repetidamente.</v>
      </c>
    </row>
    <row r="6132">
      <c r="A6132" s="4" t="s">
        <v>7709</v>
      </c>
      <c r="B6132" s="4" t="s">
        <v>7710</v>
      </c>
      <c r="C6132" s="5" t="str">
        <f>IFERROR(__xludf.DUMMYFUNCTION("GOOGLETRANSLATE(B6132,""en"",""es-ES"")"),"Hay dos autos blancos que llegan en un área apartada donde hay almacenes.")</f>
        <v>Hay dos autos blancos que llegan en un área apartada donde hay almacenes.</v>
      </c>
    </row>
    <row r="6133">
      <c r="A6133" s="4" t="s">
        <v>7709</v>
      </c>
      <c r="B6133" s="4" t="s">
        <v>7711</v>
      </c>
      <c r="C6133" s="5" t="str">
        <f>IFERROR(__xludf.DUMMYFUNCTION("GOOGLETRANSLATE(B6133,""en"",""es-ES"")"),"Cuatro hombres se bajan del auto y caminan hacia un hombre con una máscara para cubrirse la cara.")</f>
        <v>Cuatro hombres se bajan del auto y caminan hacia un hombre con una máscara para cubrirse la cara.</v>
      </c>
    </row>
    <row r="6134">
      <c r="A6134" s="4" t="s">
        <v>7709</v>
      </c>
      <c r="B6134" s="4" t="s">
        <v>7712</v>
      </c>
      <c r="C6134" s="5" t="str">
        <f>IFERROR(__xludf.DUMMYFUNCTION("GOOGLETRANSLATE(B6134,""en"",""es-ES"")"),"Hay algunas personas escondidas detrás de camiones con armas en sus manos.")</f>
        <v>Hay algunas personas escondidas detrás de camiones con armas en sus manos.</v>
      </c>
    </row>
    <row r="6135">
      <c r="A6135" s="4" t="s">
        <v>7709</v>
      </c>
      <c r="B6135" s="4" t="s">
        <v>7713</v>
      </c>
      <c r="C6135" s="5" t="str">
        <f>IFERROR(__xludf.DUMMYFUNCTION("GOOGLETRANSLATE(B6135,""en"",""es-ES"")"),"Uno de los hombres sale y abre fuego.")</f>
        <v>Uno de los hombres sale y abre fuego.</v>
      </c>
    </row>
    <row r="6136">
      <c r="A6136" s="4" t="s">
        <v>7709</v>
      </c>
      <c r="B6136" s="4" t="s">
        <v>7714</v>
      </c>
      <c r="C6136" s="5" t="str">
        <f>IFERROR(__xludf.DUMMYFUNCTION("GOOGLETRANSLATE(B6136,""en"",""es-ES"")"),"Él dispara su arma en el aire.")</f>
        <v>Él dispara su arma en el aire.</v>
      </c>
    </row>
    <row r="6137">
      <c r="A6137" s="4" t="s">
        <v>7709</v>
      </c>
      <c r="B6137" s="4" t="s">
        <v>7715</v>
      </c>
      <c r="C6137" s="5" t="str">
        <f>IFERROR(__xludf.DUMMYFUNCTION("GOOGLETRANSLATE(B6137,""en"",""es-ES"")"),"Eso provoca a las otras personas y una gran pelea de armas estalla.")</f>
        <v>Eso provoca a las otras personas y una gran pelea de armas estalla.</v>
      </c>
    </row>
    <row r="6138">
      <c r="A6138" s="4" t="s">
        <v>7709</v>
      </c>
      <c r="B6138" s="4" t="s">
        <v>7716</v>
      </c>
      <c r="C6138" s="5" t="str">
        <f>IFERROR(__xludf.DUMMYFUNCTION("GOOGLETRANSLATE(B6138,""en"",""es-ES"")"),"Los hombres comienzan a dispararse al azar.")</f>
        <v>Los hombres comienzan a dispararse al azar.</v>
      </c>
    </row>
    <row r="6139">
      <c r="A6139" s="4" t="s">
        <v>7709</v>
      </c>
      <c r="B6139" s="4" t="s">
        <v>7717</v>
      </c>
      <c r="C6139" s="5" t="str">
        <f>IFERROR(__xludf.DUMMYFUNCTION("GOOGLETRANSLATE(B6139,""en"",""es-ES"")"),"Durante ese tiempo, uno de los hombres recibe un disparo en la cabeza y se derrumba y cae.")</f>
        <v>Durante ese tiempo, uno de los hombres recibe un disparo en la cabeza y se derrumba y cae.</v>
      </c>
    </row>
    <row r="6140">
      <c r="A6140" s="4" t="s">
        <v>7718</v>
      </c>
      <c r="B6140" s="4" t="s">
        <v>7719</v>
      </c>
      <c r="C6140" s="5" t="str">
        <f>IFERROR(__xludf.DUMMYFUNCTION("GOOGLETRANSLATE(B6140,""en"",""es-ES"")"),"Un músico toca un conjunto de tambores en una pantalla jumbo elevada como una cámara que entran y sale en la actuación.")</f>
        <v>Un músico toca un conjunto de tambores en una pantalla jumbo elevada como una cámara que entran y sale en la actuación.</v>
      </c>
    </row>
    <row r="6141">
      <c r="A6141" s="4" t="s">
        <v>7718</v>
      </c>
      <c r="B6141" s="4" t="s">
        <v>7720</v>
      </c>
      <c r="C6141" s="5" t="str">
        <f>IFERROR(__xludf.DUMMYFUNCTION("GOOGLETRANSLATE(B6141,""en"",""es-ES"")"),"Un músico con un auricular conectado a sus orejas y sobre su boca comienza a tocar un juego de tambores.")</f>
        <v>Un músico con un auricular conectado a sus orejas y sobre su boca comienza a tocar un juego de tambores.</v>
      </c>
    </row>
    <row r="6142">
      <c r="A6142" s="4" t="s">
        <v>7718</v>
      </c>
      <c r="B6142" s="4" t="s">
        <v>7721</v>
      </c>
      <c r="C6142" s="5" t="str">
        <f>IFERROR(__xludf.DUMMYFUNCTION("GOOGLETRANSLATE(B6142,""en"",""es-ES"")"),"Mientras el músico toca la batería, la cámara se prepara para un primer plano y luego sale.")</f>
        <v>Mientras el músico toca la batería, la cámara se prepara para un primer plano y luego sale.</v>
      </c>
    </row>
    <row r="6143">
      <c r="A6143" s="4" t="s">
        <v>7718</v>
      </c>
      <c r="B6143" s="4" t="s">
        <v>7722</v>
      </c>
      <c r="C6143" s="5" t="str">
        <f>IFERROR(__xludf.DUMMYFUNCTION("GOOGLETRANSLATE(B6143,""en"",""es-ES"")"),"El músico termina la actuación, se encuentra y renuncia a ambos palos a la audiencia.")</f>
        <v>El músico termina la actuación, se encuentra y renuncia a ambos palos a la audiencia.</v>
      </c>
    </row>
    <row r="6144">
      <c r="A6144" s="4" t="s">
        <v>7723</v>
      </c>
      <c r="B6144" s="4" t="s">
        <v>7724</v>
      </c>
      <c r="C6144" s="5" t="str">
        <f>IFERROR(__xludf.DUMMYFUNCTION("GOOGLETRANSLATE(B6144,""en"",""es-ES"")"),"Los hombres tiran de una cuerda en una etiqueta de combate de guerra.")</f>
        <v>Los hombres tiran de una cuerda en una etiqueta de combate de guerra.</v>
      </c>
    </row>
    <row r="6145">
      <c r="A6145" s="4" t="s">
        <v>7723</v>
      </c>
      <c r="B6145" s="4" t="s">
        <v>7725</v>
      </c>
      <c r="C6145" s="5" t="str">
        <f>IFERROR(__xludf.DUMMYFUNCTION("GOOGLETRANSLATE(B6145,""en"",""es-ES"")"),"Los machos toman medidas a la derecha.")</f>
        <v>Los machos toman medidas a la derecha.</v>
      </c>
    </row>
    <row r="6146">
      <c r="A6146" s="4" t="s">
        <v>7723</v>
      </c>
      <c r="B6146" s="4" t="s">
        <v>7726</v>
      </c>
      <c r="C6146" s="5" t="str">
        <f>IFERROR(__xludf.DUMMYFUNCTION("GOOGLETRANSLATE(B6146,""en"",""es-ES"")"),"Los machos están siendo tirados a la izquierda.")</f>
        <v>Los machos están siendo tirados a la izquierda.</v>
      </c>
    </row>
    <row r="6147">
      <c r="A6147" s="4" t="s">
        <v>7723</v>
      </c>
      <c r="B6147" s="4" t="s">
        <v>7727</v>
      </c>
      <c r="C6147" s="5" t="str">
        <f>IFERROR(__xludf.DUMMYFUNCTION("GOOGLETRANSLATE(B6147,""en"",""es-ES"")"),"Los machos crían y sueltan la cuerda ahora más cerca de la izquierda.")</f>
        <v>Los machos crían y sueltan la cuerda ahora más cerca de la izquierda.</v>
      </c>
    </row>
    <row r="6148">
      <c r="A6148" s="4" t="s">
        <v>7728</v>
      </c>
      <c r="B6148" s="4" t="s">
        <v>7729</v>
      </c>
      <c r="C6148" s="5" t="str">
        <f>IFERROR(__xludf.DUMMYFUNCTION("GOOGLETRANSLATE(B6148,""en"",""es-ES"")"),"Se ve un primer plano de una persona hablando con una persona detrás de ellos y remando por el agua.")</f>
        <v>Se ve un primer plano de una persona hablando con una persona detrás de ellos y remando por el agua.</v>
      </c>
    </row>
    <row r="6149">
      <c r="A6149" s="4" t="s">
        <v>7728</v>
      </c>
      <c r="B6149" s="4" t="s">
        <v>7730</v>
      </c>
      <c r="C6149" s="5" t="str">
        <f>IFERROR(__xludf.DUMMYFUNCTION("GOOGLETRANSLATE(B6149,""en"",""es-ES"")"),"La gente continúa montando por el agua mientras el agua salpica a su alrededor y la mujer se detiene para limpiarse la cara.")</f>
        <v>La gente continúa montando por el agua mientras el agua salpica a su alrededor y la mujer se detiene para limpiarse la cara.</v>
      </c>
    </row>
    <row r="6150">
      <c r="A6150" s="4" t="s">
        <v>7731</v>
      </c>
      <c r="B6150" s="4" t="s">
        <v>7732</v>
      </c>
      <c r="C6150" s="5" t="str">
        <f>IFERROR(__xludf.DUMMYFUNCTION("GOOGLETRANSLATE(B6150,""en"",""es-ES"")"),"Un grupo de atletas se remonía en canoas durante una carrera entre boyas en una vía fluvial.")</f>
        <v>Un grupo de atletas se remonía en canoas durante una carrera entre boyas en una vía fluvial.</v>
      </c>
    </row>
    <row r="6151">
      <c r="A6151" s="4" t="s">
        <v>7731</v>
      </c>
      <c r="B6151" s="4" t="s">
        <v>7733</v>
      </c>
      <c r="C6151" s="5" t="str">
        <f>IFERROR(__xludf.DUMMYFUNCTION("GOOGLETRANSLATE(B6151,""en"",""es-ES"")"),"Los hombres cruzan las boyas numeradas finales y se deslizan mientras se desaceleran después de la carrera.")</f>
        <v>Los hombres cruzan las boyas numeradas finales y se deslizan mientras se desaceleran después de la carrera.</v>
      </c>
    </row>
    <row r="6152">
      <c r="A6152" s="4" t="s">
        <v>7734</v>
      </c>
      <c r="B6152" s="4" t="s">
        <v>7735</v>
      </c>
      <c r="C6152" s="5" t="str">
        <f>IFERROR(__xludf.DUMMYFUNCTION("GOOGLETRANSLATE(B6152,""en"",""es-ES"")"),"Una mujer en un ambiente al aire libre enseña a un niño y niña cómo lavar la ropa con una tabla de lavar y un cubo de metal.")</f>
        <v>Una mujer en un ambiente al aire libre enseña a un niño y niña cómo lavar la ropa con una tabla de lavar y un cubo de metal.</v>
      </c>
    </row>
    <row r="6153">
      <c r="A6153" s="4" t="s">
        <v>7734</v>
      </c>
      <c r="B6153" s="4" t="s">
        <v>7736</v>
      </c>
      <c r="C6153" s="5" t="str">
        <f>IFERROR(__xludf.DUMMYFUNCTION("GOOGLETRANSLATE(B6153,""en"",""es-ES"")"),"Un niño tira de una palanca de metal que sobresale de un cubo de metal con una tabla de lavar.")</f>
        <v>Un niño tira de una palanca de metal que sobresale de un cubo de metal con una tabla de lavar.</v>
      </c>
    </row>
    <row r="6154">
      <c r="A6154" s="4" t="s">
        <v>7734</v>
      </c>
      <c r="B6154" s="4" t="s">
        <v>7737</v>
      </c>
      <c r="C6154" s="5" t="str">
        <f>IFERROR(__xludf.DUMMYFUNCTION("GOOGLETRANSLATE(B6154,""en"",""es-ES"")"),"Dos chicas jóvenes miran cómo una mujer en un delantal blanco demuestra al niño y la niña cómo girar la palanca y también cuelga la ropa en una tendedera.")</f>
        <v>Dos chicas jóvenes miran cómo una mujer en un delantal blanco demuestra al niño y la niña cómo girar la palanca y también cuelga la ropa en una tendedera.</v>
      </c>
    </row>
    <row r="6155">
      <c r="A6155" s="4" t="s">
        <v>7734</v>
      </c>
      <c r="B6155" s="4" t="s">
        <v>7738</v>
      </c>
      <c r="C6155" s="5" t="str">
        <f>IFERROR(__xludf.DUMMYFUNCTION("GOOGLETRANSLATE(B6155,""en"",""es-ES"")"),"La joven comienza a tirar de la palanca mientras el niño ayuda a la mujer a colgar la ropa, y luego todos los niños se turnan para operar diferentes partes del mecanismo de la tabla de lavar.")</f>
        <v>La joven comienza a tirar de la palanca mientras el niño ayuda a la mujer a colgar la ropa, y luego todos los niños se turnan para operar diferentes partes del mecanismo de la tabla de lavar.</v>
      </c>
    </row>
    <row r="6156">
      <c r="A6156" s="4" t="s">
        <v>7739</v>
      </c>
      <c r="B6156" s="4" t="s">
        <v>7740</v>
      </c>
      <c r="C6156" s="5" t="str">
        <f>IFERROR(__xludf.DUMMYFUNCTION("GOOGLETRANSLATE(B6156,""en"",""es-ES"")"),"El video tiene lugar en un teatro que muestra una sinfonía tocando una canción.")</f>
        <v>El video tiene lugar en un teatro que muestra una sinfonía tocando una canción.</v>
      </c>
    </row>
    <row r="6157">
      <c r="A6157" s="4" t="s">
        <v>7739</v>
      </c>
      <c r="B6157" s="4" t="s">
        <v>7741</v>
      </c>
      <c r="C6157" s="5" t="str">
        <f>IFERROR(__xludf.DUMMYFUNCTION("GOOGLETRANSLATE(B6157,""en"",""es-ES"")"),"El video muestra cerca de varios de los miembros sinfónicos mientras tocan sus instrumentos.")</f>
        <v>El video muestra cerca de varios de los miembros sinfónicos mientras tocan sus instrumentos.</v>
      </c>
    </row>
    <row r="6158">
      <c r="A6158" s="4" t="s">
        <v>7739</v>
      </c>
      <c r="B6158" s="4" t="s">
        <v>7742</v>
      </c>
      <c r="C6158" s="5" t="str">
        <f>IFERROR(__xludf.DUMMYFUNCTION("GOOGLETRANSLATE(B6158,""en"",""es-ES"")"),"La cámara luego sale para mostrar a la audiencia.")</f>
        <v>La cámara luego sale para mostrar a la audiencia.</v>
      </c>
    </row>
    <row r="6159">
      <c r="A6159" s="4" t="s">
        <v>7739</v>
      </c>
      <c r="B6159" s="4" t="s">
        <v>7743</v>
      </c>
      <c r="C6159" s="5" t="str">
        <f>IFERROR(__xludf.DUMMYFUNCTION("GOOGLETRANSLATE(B6159,""en"",""es-ES"")"),"La sinfonía continúa jugando a medida que el conductor dirige.")</f>
        <v>La sinfonía continúa jugando a medida que el conductor dirige.</v>
      </c>
    </row>
    <row r="6160">
      <c r="A6160" s="4" t="s">
        <v>7739</v>
      </c>
      <c r="B6160" s="4" t="s">
        <v>7744</v>
      </c>
      <c r="C6160" s="5" t="str">
        <f>IFERROR(__xludf.DUMMYFUNCTION("GOOGLETRANSLATE(B6160,""en"",""es-ES"")"),"El video termina mostrando toda la sinfonía.")</f>
        <v>El video termina mostrando toda la sinfonía.</v>
      </c>
    </row>
    <row r="6161">
      <c r="A6161" s="4" t="s">
        <v>7745</v>
      </c>
      <c r="B6161" s="4" t="s">
        <v>7746</v>
      </c>
      <c r="C6161" s="5" t="str">
        <f>IFERROR(__xludf.DUMMYFUNCTION("GOOGLETRANSLATE(B6161,""en"",""es-ES"")"),"Se ve a una mujer de pie ante un bar y se dobla frente a él.")</f>
        <v>Se ve a una mujer de pie ante un bar y se dobla frente a él.</v>
      </c>
    </row>
    <row r="6162">
      <c r="A6162" s="4" t="s">
        <v>7745</v>
      </c>
      <c r="B6162" s="4" t="s">
        <v>7747</v>
      </c>
      <c r="C6162" s="5" t="str">
        <f>IFERROR(__xludf.DUMMYFUNCTION("GOOGLETRANSLATE(B6162,""en"",""es-ES"")"),"Ella agarra los pesos y lo levanta sobre su cabeza y luego vuelve a bajar.")</f>
        <v>Ella agarra los pesos y lo levanta sobre su cabeza y luego vuelve a bajar.</v>
      </c>
    </row>
    <row r="6163">
      <c r="A6163" s="4" t="s">
        <v>7745</v>
      </c>
      <c r="B6163" s="4" t="s">
        <v>7748</v>
      </c>
      <c r="C6163" s="5" t="str">
        <f>IFERROR(__xludf.DUMMYFUNCTION("GOOGLETRANSLATE(B6163,""en"",""es-ES"")"),"Ella continuamente levanta el peso sobre su cabeza.")</f>
        <v>Ella continuamente levanta el peso sobre su cabeza.</v>
      </c>
    </row>
    <row r="6164">
      <c r="A6164" s="4" t="s">
        <v>7749</v>
      </c>
      <c r="B6164" s="4" t="s">
        <v>7750</v>
      </c>
      <c r="C6164" s="5" t="str">
        <f>IFERROR(__xludf.DUMMYFUNCTION("GOOGLETRANSLATE(B6164,""en"",""es-ES"")"),"La joven femenina está de pie en la cocina hablando con la cámara.")</f>
        <v>La joven femenina está de pie en la cocina hablando con la cámara.</v>
      </c>
    </row>
    <row r="6165">
      <c r="A6165" s="4" t="s">
        <v>7749</v>
      </c>
      <c r="B6165" s="4" t="s">
        <v>7751</v>
      </c>
      <c r="C6165" s="5" t="str">
        <f>IFERROR(__xludf.DUMMYFUNCTION("GOOGLETRANSLATE(B6165,""en"",""es-ES"")"),"La hembra puso la pasta en agua hirviendo, cortó el ajo y vierte aceite de oliva en la sartén, destrozó la cáscara de naranja y puso la sartén y agregó tomates y mariscos.")</f>
        <v>La hembra puso la pasta en agua hirviendo, cortó el ajo y vierte aceite de oliva en la sartén, destrozó la cáscara de naranja y puso la sartén y agregó tomates y mariscos.</v>
      </c>
    </row>
    <row r="6166">
      <c r="A6166" s="4" t="s">
        <v>7749</v>
      </c>
      <c r="B6166" s="4" t="s">
        <v>7752</v>
      </c>
      <c r="C6166" s="5" t="str">
        <f>IFERROR(__xludf.DUMMYFUNCTION("GOOGLETRANSLATE(B6166,""en"",""es-ES"")"),"La mujer drena la pasta, la pone en la salsa y la pone en los tazones blancos.")</f>
        <v>La mujer drena la pasta, la pone en la salsa y la pone en los tazones blancos.</v>
      </c>
    </row>
    <row r="6167">
      <c r="A6167" s="4" t="s">
        <v>7753</v>
      </c>
      <c r="B6167" s="4" t="s">
        <v>7754</v>
      </c>
      <c r="C6167" s="5" t="str">
        <f>IFERROR(__xludf.DUMMYFUNCTION("GOOGLETRANSLATE(B6167,""en"",""es-ES"")"),"Un gran grupo de personas viajan en una gran balsa.")</f>
        <v>Un gran grupo de personas viajan en una gran balsa.</v>
      </c>
    </row>
    <row r="6168">
      <c r="A6168" s="4" t="s">
        <v>7753</v>
      </c>
      <c r="B6168" s="4" t="s">
        <v>7755</v>
      </c>
      <c r="C6168" s="5" t="str">
        <f>IFERROR(__xludf.DUMMYFUNCTION("GOOGLETRANSLATE(B6168,""en"",""es-ES"")"),"Reman por los rápidos, tratando de mantenerse en posición vertical.")</f>
        <v>Reman por los rápidos, tratando de mantenerse en posición vertical.</v>
      </c>
    </row>
    <row r="6169">
      <c r="A6169" s="4" t="s">
        <v>7753</v>
      </c>
      <c r="B6169" s="4" t="s">
        <v>7756</v>
      </c>
      <c r="C6169" s="5" t="str">
        <f>IFERROR(__xludf.DUMMYFUNCTION("GOOGLETRANSLATE(B6169,""en"",""es-ES"")"),"Se voltean, cayendo de la balsa.")</f>
        <v>Se voltean, cayendo de la balsa.</v>
      </c>
    </row>
    <row r="6170">
      <c r="A6170" s="4" t="s">
        <v>7757</v>
      </c>
      <c r="B6170" s="4" t="s">
        <v>7758</v>
      </c>
      <c r="C6170" s="5" t="str">
        <f>IFERROR(__xludf.DUMMYFUNCTION("GOOGLETRANSLATE(B6170,""en"",""es-ES"")"),"Vemos la tarjeta de título y un tocador de dolor.")</f>
        <v>Vemos la tarjeta de título y un tocador de dolor.</v>
      </c>
    </row>
    <row r="6171">
      <c r="A6171" s="4" t="s">
        <v>7757</v>
      </c>
      <c r="B6171" s="4" t="s">
        <v>7759</v>
      </c>
      <c r="C6171" s="5" t="str">
        <f>IFERROR(__xludf.DUMMYFUNCTION("GOOGLETRANSLATE(B6171,""en"",""es-ES"")"),"Una dama se sienta en el piso y discute la pintura.")</f>
        <v>Una dama se sienta en el piso y discute la pintura.</v>
      </c>
    </row>
    <row r="6172">
      <c r="A6172" s="4" t="s">
        <v>7757</v>
      </c>
      <c r="B6172" s="4" t="s">
        <v>7760</v>
      </c>
      <c r="C6172" s="5" t="str">
        <f>IFERROR(__xludf.DUMMYFUNCTION("GOOGLETRANSLATE(B6172,""en"",""es-ES"")"),"La señora pinta el tocador mientras habla de eso.")</f>
        <v>La señora pinta el tocador mientras habla de eso.</v>
      </c>
    </row>
    <row r="6173">
      <c r="A6173" s="4" t="s">
        <v>7757</v>
      </c>
      <c r="B6173" s="4" t="s">
        <v>7761</v>
      </c>
      <c r="C6173" s="5" t="str">
        <f>IFERROR(__xludf.DUMMYFUNCTION("GOOGLETRANSLATE(B6173,""en"",""es-ES"")"),"Vemos el producto Pintado End.")</f>
        <v>Vemos el producto Pintado End.</v>
      </c>
    </row>
    <row r="6174">
      <c r="A6174" s="4" t="s">
        <v>7757</v>
      </c>
      <c r="B6174" s="4" t="s">
        <v>7762</v>
      </c>
      <c r="C6174" s="5" t="str">
        <f>IFERROR(__xludf.DUMMYFUNCTION("GOOGLETRANSLATE(B6174,""en"",""es-ES"")"),"Vemos las tarjetas finales para el video.")</f>
        <v>Vemos las tarjetas finales para el video.</v>
      </c>
    </row>
    <row r="6175">
      <c r="A6175" s="4" t="s">
        <v>7763</v>
      </c>
      <c r="B6175" s="4" t="s">
        <v>7764</v>
      </c>
      <c r="C6175" s="5" t="str">
        <f>IFERROR(__xludf.DUMMYFUNCTION("GOOGLETRANSLATE(B6175,""en"",""es-ES"")"),"Una señora camina por un pasillo mientras lleva un cubo de suministros de limpieza.")</f>
        <v>Una señora camina por un pasillo mientras lleva un cubo de suministros de limpieza.</v>
      </c>
    </row>
    <row r="6176">
      <c r="A6176" s="4" t="s">
        <v>7763</v>
      </c>
      <c r="B6176" s="4" t="s">
        <v>7765</v>
      </c>
      <c r="C6176" s="5" t="str">
        <f>IFERROR(__xludf.DUMMYFUNCTION("GOOGLETRANSLATE(B6176,""en"",""es-ES"")"),"Una señora limpia una ventana con periódicos.")</f>
        <v>Una señora limpia una ventana con periódicos.</v>
      </c>
    </row>
    <row r="6177">
      <c r="A6177" s="4" t="s">
        <v>7763</v>
      </c>
      <c r="B6177" s="4" t="s">
        <v>7766</v>
      </c>
      <c r="C6177" s="5" t="str">
        <f>IFERROR(__xludf.DUMMYFUNCTION("GOOGLETRANSLATE(B6177,""en"",""es-ES"")"),"La señora rocía el periódico.")</f>
        <v>La señora rocía el periódico.</v>
      </c>
    </row>
    <row r="6178">
      <c r="A6178" s="4" t="s">
        <v>7763</v>
      </c>
      <c r="B6178" s="4" t="s">
        <v>7767</v>
      </c>
      <c r="C6178" s="5" t="str">
        <f>IFERROR(__xludf.DUMMYFUNCTION("GOOGLETRANSLATE(B6178,""en"",""es-ES"")"),"Se muestran los ingredientes para hacer el aerosol.")</f>
        <v>Se muestran los ingredientes para hacer el aerosol.</v>
      </c>
    </row>
    <row r="6179">
      <c r="A6179" s="4" t="s">
        <v>7763</v>
      </c>
      <c r="B6179" s="4" t="s">
        <v>7768</v>
      </c>
      <c r="C6179" s="5" t="str">
        <f>IFERROR(__xludf.DUMMYFUNCTION("GOOGLETRANSLATE(B6179,""en"",""es-ES"")"),"La señora rocía la ventana.")</f>
        <v>La señora rocía la ventana.</v>
      </c>
    </row>
    <row r="6180">
      <c r="A6180" s="4" t="s">
        <v>7769</v>
      </c>
      <c r="B6180" s="4" t="s">
        <v>7770</v>
      </c>
      <c r="C6180" s="5" t="str">
        <f>IFERROR(__xludf.DUMMYFUNCTION("GOOGLETRANSLATE(B6180,""en"",""es-ES"")"),"Las tuberías se muestran en una roca.")</f>
        <v>Las tuberías se muestran en una roca.</v>
      </c>
    </row>
    <row r="6181">
      <c r="A6181" s="4" t="s">
        <v>7769</v>
      </c>
      <c r="B6181" s="4" t="s">
        <v>7771</v>
      </c>
      <c r="C6181" s="5" t="str">
        <f>IFERROR(__xludf.DUMMYFUNCTION("GOOGLETRANSLATE(B6181,""en"",""es-ES"")"),"Un hombre camina por un sendero.")</f>
        <v>Un hombre camina por un sendero.</v>
      </c>
    </row>
    <row r="6182">
      <c r="A6182" s="4" t="s">
        <v>7769</v>
      </c>
      <c r="B6182" s="4" t="s">
        <v>7772</v>
      </c>
      <c r="C6182" s="5" t="str">
        <f>IFERROR(__xludf.DUMMYFUNCTION("GOOGLETRANSLATE(B6182,""en"",""es-ES"")"),"Se muestra una gran estructura detrás de una cerca.")</f>
        <v>Se muestra una gran estructura detrás de una cerca.</v>
      </c>
    </row>
    <row r="6183">
      <c r="A6183" s="4" t="s">
        <v>7769</v>
      </c>
      <c r="B6183" s="4" t="s">
        <v>7773</v>
      </c>
      <c r="C6183" s="5" t="str">
        <f>IFERROR(__xludf.DUMMYFUNCTION("GOOGLETRANSLATE(B6183,""en"",""es-ES"")"),"Un bote está en el agua que rodea una roca.")</f>
        <v>Un bote está en el agua que rodea una roca.</v>
      </c>
    </row>
    <row r="6184">
      <c r="A6184" s="4" t="s">
        <v>7769</v>
      </c>
      <c r="B6184" s="4" t="s">
        <v>7774</v>
      </c>
      <c r="C6184" s="5" t="str">
        <f>IFERROR(__xludf.DUMMYFUNCTION("GOOGLETRANSLATE(B6184,""en"",""es-ES"")"),"Un hombre se sienta en la cima de una roca.")</f>
        <v>Un hombre se sienta en la cima de una roca.</v>
      </c>
    </row>
    <row r="6185">
      <c r="A6185" s="4" t="s">
        <v>7769</v>
      </c>
      <c r="B6185" s="4" t="s">
        <v>7775</v>
      </c>
      <c r="C6185" s="5" t="str">
        <f>IFERROR(__xludf.DUMMYFUNCTION("GOOGLETRANSLATE(B6185,""en"",""es-ES"")"),"Un hombre comienza a tocar un instrumento.")</f>
        <v>Un hombre comienza a tocar un instrumento.</v>
      </c>
    </row>
    <row r="6186">
      <c r="A6186" s="4" t="s">
        <v>7769</v>
      </c>
      <c r="B6186" s="4" t="s">
        <v>7776</v>
      </c>
      <c r="C6186" s="5" t="str">
        <f>IFERROR(__xludf.DUMMYFUNCTION("GOOGLETRANSLATE(B6186,""en"",""es-ES"")"),"Se muestra una gran pared de roca.")</f>
        <v>Se muestra una gran pared de roca.</v>
      </c>
    </row>
    <row r="6187">
      <c r="A6187" s="4" t="s">
        <v>7769</v>
      </c>
      <c r="B6187" s="4" t="s">
        <v>7777</v>
      </c>
      <c r="C6187" s="5" t="str">
        <f>IFERROR(__xludf.DUMMYFUNCTION("GOOGLETRANSLATE(B6187,""en"",""es-ES"")"),"El hombre continúa tocando el instrumento.")</f>
        <v>El hombre continúa tocando el instrumento.</v>
      </c>
    </row>
    <row r="6188">
      <c r="A6188" s="4" t="s">
        <v>7778</v>
      </c>
      <c r="B6188" s="4" t="s">
        <v>7779</v>
      </c>
      <c r="C6188" s="5" t="str">
        <f>IFERROR(__xludf.DUMMYFUNCTION("GOOGLETRANSLATE(B6188,""en"",""es-ES"")"),"La cámara mira a un hombre con un sombrero hablando con alguien desde un ángulo bajo.")</f>
        <v>La cámara mira a un hombre con un sombrero hablando con alguien desde un ángulo bajo.</v>
      </c>
    </row>
    <row r="6189">
      <c r="A6189" s="4" t="s">
        <v>7778</v>
      </c>
      <c r="B6189" s="4" t="s">
        <v>7780</v>
      </c>
      <c r="C6189" s="5" t="str">
        <f>IFERROR(__xludf.DUMMYFUNCTION("GOOGLETRANSLATE(B6189,""en"",""es-ES"")"),"La configuración cambia y el hombre en el sombrero habla con otro hombre mientras los dos miran los papeles.")</f>
        <v>La configuración cambia y el hombre en el sombrero habla con otro hombre mientras los dos miran los papeles.</v>
      </c>
    </row>
    <row r="6190">
      <c r="A6190" s="4" t="s">
        <v>7778</v>
      </c>
      <c r="B6190" s="4" t="s">
        <v>7781</v>
      </c>
      <c r="C6190" s="5" t="str">
        <f>IFERROR(__xludf.DUMMYFUNCTION("GOOGLETRANSLATE(B6190,""en"",""es-ES"")"),"El hombre en el sombrero se sienta y habla con la cámara.")</f>
        <v>El hombre en el sombrero se sienta y habla con la cámara.</v>
      </c>
    </row>
    <row r="6191">
      <c r="A6191" s="4" t="s">
        <v>7778</v>
      </c>
      <c r="B6191" s="4" t="s">
        <v>7782</v>
      </c>
      <c r="C6191" s="5" t="str">
        <f>IFERROR(__xludf.DUMMYFUNCTION("GOOGLETRANSLATE(B6191,""en"",""es-ES"")"),"El hombre bebe de una botella de agua.")</f>
        <v>El hombre bebe de una botella de agua.</v>
      </c>
    </row>
    <row r="6192">
      <c r="A6192" s="4" t="s">
        <v>7778</v>
      </c>
      <c r="B6192" s="4" t="s">
        <v>7783</v>
      </c>
      <c r="C6192" s="5" t="str">
        <f>IFERROR(__xludf.DUMMYFUNCTION("GOOGLETRANSLATE(B6192,""en"",""es-ES"")"),"Una mujer aplica un patrón de tinta al cuerpo del hombre.")</f>
        <v>Una mujer aplica un patrón de tinta al cuerpo del hombre.</v>
      </c>
    </row>
    <row r="6193">
      <c r="A6193" s="4" t="s">
        <v>7778</v>
      </c>
      <c r="B6193" s="4" t="s">
        <v>7784</v>
      </c>
      <c r="C6193" s="5" t="str">
        <f>IFERROR(__xludf.DUMMYFUNCTION("GOOGLETRANSLATE(B6193,""en"",""es-ES"")"),"El hombre se acuesta de lado cuando la mujer se tatua sobre el patrón de tinta.")</f>
        <v>El hombre se acuesta de lado cuando la mujer se tatua sobre el patrón de tinta.</v>
      </c>
    </row>
    <row r="6194">
      <c r="A6194" s="4" t="s">
        <v>7778</v>
      </c>
      <c r="B6194" s="4" t="s">
        <v>7785</v>
      </c>
      <c r="C6194" s="5" t="str">
        <f>IFERROR(__xludf.DUMMYFUNCTION("GOOGLETRANSLATE(B6194,""en"",""es-ES"")"),"Se muestran imágenes fijas del tatuaje completado.")</f>
        <v>Se muestran imágenes fijas del tatuaje completado.</v>
      </c>
    </row>
    <row r="6195">
      <c r="A6195" s="4" t="s">
        <v>7786</v>
      </c>
      <c r="B6195" s="4" t="s">
        <v>7787</v>
      </c>
      <c r="C6195" s="5" t="str">
        <f>IFERROR(__xludf.DUMMYFUNCTION("GOOGLETRANSLATE(B6195,""en"",""es-ES"")"),"Se muestra a una mujer sosteniendo un gato mientras un perro se para a sus pies.")</f>
        <v>Se muestra a una mujer sosteniendo un gato mientras un perro se para a sus pies.</v>
      </c>
    </row>
    <row r="6196">
      <c r="A6196" s="4" t="s">
        <v>7786</v>
      </c>
      <c r="B6196" s="4" t="s">
        <v>7788</v>
      </c>
      <c r="C6196" s="5" t="str">
        <f>IFERROR(__xludf.DUMMYFUNCTION("GOOGLETRANSLATE(B6196,""en"",""es-ES"")"),"Ella habla con la cámara y muestra las uñas de sus gatos.")</f>
        <v>Ella habla con la cámara y muestra las uñas de sus gatos.</v>
      </c>
    </row>
    <row r="6197">
      <c r="A6197" s="4" t="s">
        <v>7786</v>
      </c>
      <c r="B6197" s="4" t="s">
        <v>7789</v>
      </c>
      <c r="C6197" s="5" t="str">
        <f>IFERROR(__xludf.DUMMYFUNCTION("GOOGLETRANSLATE(B6197,""en"",""es-ES"")"),"Ella toma una herramienta y comienza a cortar las garras del gato.")</f>
        <v>Ella toma una herramienta y comienza a cortar las garras del gato.</v>
      </c>
    </row>
    <row r="6198">
      <c r="A6198" s="4" t="s">
        <v>7786</v>
      </c>
      <c r="B6198" s="4" t="s">
        <v>7790</v>
      </c>
      <c r="C6198" s="5" t="str">
        <f>IFERROR(__xludf.DUMMYFUNCTION("GOOGLETRANSLATE(B6198,""en"",""es-ES"")"),"Ella ajusta un poco al gato pero termina sus uñas y la deja ir.")</f>
        <v>Ella ajusta un poco al gato pero termina sus uñas y la deja ir.</v>
      </c>
    </row>
    <row r="6199">
      <c r="A6199" s="4" t="s">
        <v>7791</v>
      </c>
      <c r="B6199" s="4" t="s">
        <v>7792</v>
      </c>
      <c r="C6199" s="5" t="str">
        <f>IFERROR(__xludf.DUMMYFUNCTION("GOOGLETRANSLATE(B6199,""en"",""es-ES"")"),"Una clase de niños vestidos con GI blanco está caminando, pateando y golpeando en un salón de clases mientras su maestro los rodea.")</f>
        <v>Una clase de niños vestidos con GI blanco está caminando, pateando y golpeando en un salón de clases mientras su maestro los rodea.</v>
      </c>
    </row>
    <row r="6200">
      <c r="A6200" s="4" t="s">
        <v>7791</v>
      </c>
      <c r="B6200" s="4" t="s">
        <v>7793</v>
      </c>
      <c r="C6200" s="5" t="str">
        <f>IFERROR(__xludf.DUMMYFUNCTION("GOOGLETRANSLATE(B6200,""en"",""es-ES"")"),"La clase se detiene y el instructor habla y camina a su alrededor.")</f>
        <v>La clase se detiene y el instructor habla y camina a su alrededor.</v>
      </c>
    </row>
    <row r="6201">
      <c r="A6201" s="4" t="s">
        <v>7791</v>
      </c>
      <c r="B6201" s="4" t="s">
        <v>7794</v>
      </c>
      <c r="C6201" s="5" t="str">
        <f>IFERROR(__xludf.DUMMYFUNCTION("GOOGLETRANSLATE(B6201,""en"",""es-ES"")"),"La clase luego se da vuelta y comienza a caminar, patear y golpear en la dirección de la que acaban de venir.")</f>
        <v>La clase luego se da vuelta y comienza a caminar, patear y golpear en la dirección de la que acaban de venir.</v>
      </c>
    </row>
    <row r="6202">
      <c r="A6202" s="4" t="s">
        <v>7791</v>
      </c>
      <c r="B6202" s="4" t="s">
        <v>7795</v>
      </c>
      <c r="C6202" s="5" t="str">
        <f>IFERROR(__xludf.DUMMYFUNCTION("GOOGLETRANSLATE(B6202,""en"",""es-ES"")"),"La clase se da vuelta cuando llegan al final, se detienen, y el instructor comienza a hablar y demostrando una patada y un golpe para ellos, se mueve fuera del camino y la clase se reanuda.")</f>
        <v>La clase se da vuelta cuando llegan al final, se detienen, y el instructor comienza a hablar y demostrando una patada y un golpe para ellos, se mueve fuera del camino y la clase se reanuda.</v>
      </c>
    </row>
    <row r="6203">
      <c r="A6203" s="4" t="s">
        <v>7791</v>
      </c>
      <c r="B6203" s="4" t="s">
        <v>7796</v>
      </c>
      <c r="C6203" s="5" t="str">
        <f>IFERROR(__xludf.DUMMYFUNCTION("GOOGLETRANSLATE(B6203,""en"",""es-ES"")"),"Cuando llegan al final, se dan la vuelta nuevamente para caminar, patear y golpear en la dirección de la que provienen y una vez más el instructor los detiene para hablar y demostrar los movimientos y una vez más la clase reanuda sus movimientos y cuando "&amp;"llega al final De la habitación se dan la vuelta y terminan su rutina con las piernas separadas y los brazos frente a ellas.")</f>
        <v>Cuando llegan al final, se dan la vuelta nuevamente para caminar, patear y golpear en la dirección de la que provienen y una vez más el instructor los detiene para hablar y demostrar los movimientos y una vez más la clase reanuda sus movimientos y cuando llega al final De la habitación se dan la vuelta y terminan su rutina con las piernas separadas y los brazos frente a ellas.</v>
      </c>
    </row>
    <row r="6204">
      <c r="A6204" s="4" t="s">
        <v>7797</v>
      </c>
      <c r="B6204" s="4" t="s">
        <v>7798</v>
      </c>
      <c r="C6204" s="5" t="str">
        <f>IFERROR(__xludf.DUMMYFUNCTION("GOOGLETRANSLATE(B6204,""en"",""es-ES"")"),"Se ve a un hombre sosteniendo un acordeón mientras habla con la cámara y sonríe.")</f>
        <v>Se ve a un hombre sosteniendo un acordeón mientras habla con la cámara y sonríe.</v>
      </c>
    </row>
    <row r="6205">
      <c r="A6205" s="4" t="s">
        <v>7797</v>
      </c>
      <c r="B6205" s="4" t="s">
        <v>7799</v>
      </c>
      <c r="C6205" s="5" t="str">
        <f>IFERROR(__xludf.DUMMYFUNCTION("GOOGLETRANSLATE(B6205,""en"",""es-ES"")"),"Luego toca el instrumento mientras mira la cámara y termina hablando más con la cámara.")</f>
        <v>Luego toca el instrumento mientras mira la cámara y termina hablando más con la cámara.</v>
      </c>
    </row>
    <row r="6206">
      <c r="A6206" s="4" t="s">
        <v>7800</v>
      </c>
      <c r="B6206" s="4" t="s">
        <v>7801</v>
      </c>
      <c r="C6206" s="5" t="str">
        <f>IFERROR(__xludf.DUMMYFUNCTION("GOOGLETRANSLATE(B6206,""en"",""es-ES"")"),"Un niño está parado en un taburete frente a un fregadero de la cocina.")</f>
        <v>Un niño está parado en un taburete frente a un fregadero de la cocina.</v>
      </c>
    </row>
    <row r="6207">
      <c r="A6207" s="4" t="s">
        <v>7800</v>
      </c>
      <c r="B6207" s="4" t="s">
        <v>7802</v>
      </c>
      <c r="C6207" s="5" t="str">
        <f>IFERROR(__xludf.DUMMYFUNCTION("GOOGLETRANSLATE(B6207,""en"",""es-ES"")"),"Él está lavando los platos debajo del agua.")</f>
        <v>Él está lavando los platos debajo del agua.</v>
      </c>
    </row>
    <row r="6208">
      <c r="A6208" s="4" t="s">
        <v>7800</v>
      </c>
      <c r="B6208" s="4" t="s">
        <v>7803</v>
      </c>
      <c r="C6208" s="5" t="str">
        <f>IFERROR(__xludf.DUMMYFUNCTION("GOOGLETRANSLATE(B6208,""en"",""es-ES"")"),"Él pone los platos en un colador negro.")</f>
        <v>Él pone los platos en un colador negro.</v>
      </c>
    </row>
    <row r="6209">
      <c r="A6209" s="4" t="s">
        <v>7804</v>
      </c>
      <c r="B6209" s="4" t="s">
        <v>7805</v>
      </c>
      <c r="C6209" s="5" t="str">
        <f>IFERROR(__xludf.DUMMYFUNCTION("GOOGLETRANSLATE(B6209,""en"",""es-ES"")"),"Se muestran varias tomas de personas que viajan alrededor de Kite Surf, así como personas que hablan con la cámara.")</f>
        <v>Se muestran varias tomas de personas que viajan alrededor de Kite Surf, así como personas que hablan con la cámara.</v>
      </c>
    </row>
    <row r="6210">
      <c r="A6210" s="4" t="s">
        <v>7804</v>
      </c>
      <c r="B6210" s="4" t="s">
        <v>7806</v>
      </c>
      <c r="C6210" s="5" t="str">
        <f>IFERROR(__xludf.DUMMYFUNCTION("GOOGLETRANSLATE(B6210,""en"",""es-ES"")"),"Los niños intentan surfear el viento y se los ve moviendo los brazos y las piernas y saludando a la cámara.")</f>
        <v>Los niños intentan surfear el viento y se los ve moviendo los brazos y las piernas y saludando a la cámara.</v>
      </c>
    </row>
    <row r="6211">
      <c r="A6211" s="4" t="s">
        <v>7804</v>
      </c>
      <c r="B6211" s="4" t="s">
        <v>7807</v>
      </c>
      <c r="C6211" s="5" t="str">
        <f>IFERROR(__xludf.DUMMYFUNCTION("GOOGLETRANSLATE(B6211,""en"",""es-ES"")"),"Se ven dos chicas bailando y a las personas que hablan con la cámara y los niños que miran la cámara.")</f>
        <v>Se ven dos chicas bailando y a las personas que hablan con la cámara y los niños que miran la cámara.</v>
      </c>
    </row>
    <row r="6212">
      <c r="A6212" s="4" t="s">
        <v>7808</v>
      </c>
      <c r="B6212" s="4" t="s">
        <v>7809</v>
      </c>
      <c r="C6212" s="5" t="str">
        <f>IFERROR(__xludf.DUMMYFUNCTION("GOOGLETRANSLATE(B6212,""en"",""es-ES"")"),"Una mujer está explicando cómo eliminar el papel tapiz.")</f>
        <v>Una mujer está explicando cómo eliminar el papel tapiz.</v>
      </c>
    </row>
    <row r="6213">
      <c r="A6213" s="4" t="s">
        <v>7808</v>
      </c>
      <c r="B6213" s="4" t="s">
        <v>7810</v>
      </c>
      <c r="C6213" s="5" t="str">
        <f>IFERROR(__xludf.DUMMYFUNCTION("GOOGLETRANSLATE(B6213,""en"",""es-ES"")"),"Ella se da vuelta y se inclina para recoger un vaporizador.")</f>
        <v>Ella se da vuelta y se inclina para recoger un vaporizador.</v>
      </c>
    </row>
    <row r="6214">
      <c r="A6214" s="4" t="s">
        <v>7808</v>
      </c>
      <c r="B6214" s="4" t="s">
        <v>7811</v>
      </c>
      <c r="C6214" s="5" t="str">
        <f>IFERROR(__xludf.DUMMYFUNCTION("GOOGLETRANSLATE(B6214,""en"",""es-ES"")"),"Ella muestra cómo cocinar el papel tapiz en las secciones.")</f>
        <v>Ella muestra cómo cocinar el papel tapiz en las secciones.</v>
      </c>
    </row>
    <row r="6215">
      <c r="A6215" s="4" t="s">
        <v>7808</v>
      </c>
      <c r="B6215" s="4" t="s">
        <v>7812</v>
      </c>
      <c r="C6215" s="5" t="str">
        <f>IFERROR(__xludf.DUMMYFUNCTION("GOOGLETRANSLATE(B6215,""en"",""es-ES"")"),"Ella sale de la escalera y continúa vaporizando el fondo de pantalla.")</f>
        <v>Ella sale de la escalera y continúa vaporizando el fondo de pantalla.</v>
      </c>
    </row>
    <row r="6216">
      <c r="A6216" s="4" t="s">
        <v>7808</v>
      </c>
      <c r="B6216" s="4" t="s">
        <v>7813</v>
      </c>
      <c r="C6216" s="5" t="str">
        <f>IFERROR(__xludf.DUMMYFUNCTION("GOOGLETRANSLATE(B6216,""en"",""es-ES"")"),"Ella se mueve por la escalera del camino y luego se acumula más papel tapiz, hasta el fondo, al otro lado y al medio.")</f>
        <v>Ella se mueve por la escalera del camino y luego se acumula más papel tapiz, hasta el fondo, al otro lado y al medio.</v>
      </c>
    </row>
    <row r="6217">
      <c r="A6217" s="4" t="s">
        <v>7808</v>
      </c>
      <c r="B6217" s="4" t="s">
        <v>7814</v>
      </c>
      <c r="C6217" s="5" t="str">
        <f>IFERROR(__xludf.DUMMYFUNCTION("GOOGLETRANSLATE(B6217,""en"",""es-ES"")"),"Mueve la escalera, sube y pega el fondo de pantalla de la pared, recogiendo las piezas que se pegan de la pared.")</f>
        <v>Mueve la escalera, sube y pega el fondo de pantalla de la pared, recogiendo las piezas que se pegan de la pared.</v>
      </c>
    </row>
    <row r="6218">
      <c r="A6218" s="4" t="s">
        <v>7808</v>
      </c>
      <c r="B6218" s="4" t="s">
        <v>7815</v>
      </c>
      <c r="C6218" s="5" t="str">
        <f>IFERROR(__xludf.DUMMYFUNCTION("GOOGLETRANSLATE(B6218,""en"",""es-ES"")"),"Ella saca el residuo de la pared.")</f>
        <v>Ella saca el residuo de la pared.</v>
      </c>
    </row>
    <row r="6219">
      <c r="A6219" s="4" t="s">
        <v>7808</v>
      </c>
      <c r="B6219" s="4" t="s">
        <v>7816</v>
      </c>
      <c r="C6219" s="5" t="str">
        <f>IFERROR(__xludf.DUMMYFUNCTION("GOOGLETRANSLATE(B6219,""en"",""es-ES"")"),"Sale de la gama de cámaras y regresa con un raspador para quitar las piezas izquierdas.")</f>
        <v>Sale de la gama de cámaras y regresa con un raspador para quitar las piezas izquierdas.</v>
      </c>
    </row>
    <row r="6220">
      <c r="A6220" s="4" t="s">
        <v>7808</v>
      </c>
      <c r="B6220" s="4" t="s">
        <v>7817</v>
      </c>
      <c r="C6220" s="5" t="str">
        <f>IFERROR(__xludf.DUMMYFUNCTION("GOOGLETRANSLATE(B6220,""en"",""es-ES"")"),"Se dobla nuevamente y vuelve a salir de la gama de cámaras.")</f>
        <v>Se dobla nuevamente y vuelve a salir de la gama de cámaras.</v>
      </c>
    </row>
    <row r="6221">
      <c r="A6221" s="4" t="s">
        <v>7808</v>
      </c>
      <c r="B6221" s="4" t="s">
        <v>7818</v>
      </c>
      <c r="C6221" s="5" t="str">
        <f>IFERROR(__xludf.DUMMYFUNCTION("GOOGLETRANSLATE(B6221,""en"",""es-ES"")"),"Ella tiene una esponja y está limpiando la pared.")</f>
        <v>Ella tiene una esponja y está limpiando la pared.</v>
      </c>
    </row>
    <row r="6222">
      <c r="A6222" s="4" t="s">
        <v>7808</v>
      </c>
      <c r="B6222" s="4" t="s">
        <v>7819</v>
      </c>
      <c r="C6222" s="5" t="str">
        <f>IFERROR(__xludf.DUMMYFUNCTION("GOOGLETRANSLATE(B6222,""en"",""es-ES"")"),"Ella hace más raspado y fregado.")</f>
        <v>Ella hace más raspado y fregado.</v>
      </c>
    </row>
    <row r="6223">
      <c r="A6223" s="4" t="s">
        <v>7808</v>
      </c>
      <c r="B6223" s="4" t="s">
        <v>7820</v>
      </c>
      <c r="C6223" s="5" t="str">
        <f>IFERROR(__xludf.DUMMYFUNCTION("GOOGLETRANSLATE(B6223,""en"",""es-ES"")"),"Ella se da vuelta y sonríe.")</f>
        <v>Ella se da vuelta y sonríe.</v>
      </c>
    </row>
    <row r="6224">
      <c r="A6224" s="4" t="s">
        <v>7821</v>
      </c>
      <c r="B6224" s="4" t="s">
        <v>7822</v>
      </c>
      <c r="C6224" s="5" t="str">
        <f>IFERROR(__xludf.DUMMYFUNCTION("GOOGLETRANSLATE(B6224,""en"",""es-ES"")"),"Hay copos de nieve que caen sobre un bosque.")</f>
        <v>Hay copos de nieve que caen sobre un bosque.</v>
      </c>
    </row>
    <row r="6225">
      <c r="A6225" s="4" t="s">
        <v>7821</v>
      </c>
      <c r="B6225" s="4" t="s">
        <v>7823</v>
      </c>
      <c r="C6225" s="5" t="str">
        <f>IFERROR(__xludf.DUMMYFUNCTION("GOOGLETRANSLATE(B6225,""en"",""es-ES"")"),"Un hombre con una chaqueta naranja motos de nieve en un campo nevado.")</f>
        <v>Un hombre con una chaqueta naranja motos de nieve en un campo nevado.</v>
      </c>
    </row>
    <row r="6226">
      <c r="A6226" s="4" t="s">
        <v>7821</v>
      </c>
      <c r="B6226" s="4" t="s">
        <v>7824</v>
      </c>
      <c r="C6226" s="5" t="str">
        <f>IFERROR(__xludf.DUMMYFUNCTION("GOOGLETRANSLATE(B6226,""en"",""es-ES"")"),"El hombre de snowboard por la montaña.")</f>
        <v>El hombre de snowboard por la montaña.</v>
      </c>
    </row>
    <row r="6227">
      <c r="A6227" s="4" t="s">
        <v>7821</v>
      </c>
      <c r="B6227" s="4" t="s">
        <v>7825</v>
      </c>
      <c r="C6227" s="5" t="str">
        <f>IFERROR(__xludf.DUMMYFUNCTION("GOOGLETRANSLATE(B6227,""en"",""es-ES"")"),"Dos hombres de motos de nieve a través del bosque.")</f>
        <v>Dos hombres de motos de nieve a través del bosque.</v>
      </c>
    </row>
    <row r="6228">
      <c r="A6228" s="4" t="s">
        <v>7821</v>
      </c>
      <c r="B6228" s="4" t="s">
        <v>7826</v>
      </c>
      <c r="C6228" s="5" t="str">
        <f>IFERROR(__xludf.DUMMYFUNCTION("GOOGLETRANSLATE(B6228,""en"",""es-ES"")"),"Un hombre con una chaqueta oscura snowboard a través de una ruta llena de árboles.")</f>
        <v>Un hombre con una chaqueta oscura snowboard a través de una ruta llena de árboles.</v>
      </c>
    </row>
    <row r="6229">
      <c r="A6229" s="4" t="s">
        <v>7821</v>
      </c>
      <c r="B6229" s="4" t="s">
        <v>7827</v>
      </c>
      <c r="C6229" s="5" t="str">
        <f>IFERROR(__xludf.DUMMYFUNCTION("GOOGLETRANSLATE(B6229,""en"",""es-ES"")"),"El hombre con la chaqueta naranja mira la cámara.")</f>
        <v>El hombre con la chaqueta naranja mira la cámara.</v>
      </c>
    </row>
    <row r="6230">
      <c r="A6230" s="4" t="s">
        <v>7821</v>
      </c>
      <c r="B6230" s="4" t="s">
        <v>7828</v>
      </c>
      <c r="C6230" s="5" t="str">
        <f>IFERROR(__xludf.DUMMYFUNCTION("GOOGLETRANSLATE(B6230,""en"",""es-ES"")"),"El hombre con la chaqueta naranja con motos de nieve por una montaña muy empinada.")</f>
        <v>El hombre con la chaqueta naranja con motos de nieve por una montaña muy empinada.</v>
      </c>
    </row>
    <row r="6231">
      <c r="A6231" s="4" t="s">
        <v>7821</v>
      </c>
      <c r="B6231" s="4" t="s">
        <v>7829</v>
      </c>
      <c r="C6231" s="5" t="str">
        <f>IFERROR(__xludf.DUMMYFUNCTION("GOOGLETRANSLATE(B6231,""en"",""es-ES"")"),"El hombre en la chaqueta naranja se mueve en un salto y hace trucos.")</f>
        <v>El hombre en la chaqueta naranja se mueve en un salto y hace trucos.</v>
      </c>
    </row>
    <row r="6232">
      <c r="A6232" s="4" t="s">
        <v>7821</v>
      </c>
      <c r="B6232" s="4" t="s">
        <v>7830</v>
      </c>
      <c r="C6232" s="5" t="str">
        <f>IFERROR(__xludf.DUMMYFUNCTION("GOOGLETRANSLATE(B6232,""en"",""es-ES"")"),"El hombre con la chaqueta naranja comienza un fuego.")</f>
        <v>El hombre con la chaqueta naranja comienza un fuego.</v>
      </c>
    </row>
    <row r="6233">
      <c r="A6233" s="4" t="s">
        <v>7821</v>
      </c>
      <c r="B6233" s="4" t="s">
        <v>7831</v>
      </c>
      <c r="C6233" s="5" t="str">
        <f>IFERROR(__xludf.DUMMYFUNCTION("GOOGLETRANSLATE(B6233,""en"",""es-ES"")"),"El hombre en la chaqueta oscura continúa esquiando a través de áreas traicioneras llenas de árboles.")</f>
        <v>El hombre en la chaqueta oscura continúa esquiando a través de áreas traicioneras llenas de árboles.</v>
      </c>
    </row>
    <row r="6234">
      <c r="A6234" s="4" t="s">
        <v>7832</v>
      </c>
      <c r="B6234" s="4" t="s">
        <v>7833</v>
      </c>
      <c r="C6234" s="5" t="str">
        <f>IFERROR(__xludf.DUMMYFUNCTION("GOOGLETRANSLATE(B6234,""en"",""es-ES"")"),"El hombre está soldando una máquina en una habitación oscura.")</f>
        <v>El hombre está soldando una máquina en una habitación oscura.</v>
      </c>
    </row>
    <row r="6235">
      <c r="A6235" s="4" t="s">
        <v>7832</v>
      </c>
      <c r="B6235" s="4" t="s">
        <v>7834</v>
      </c>
      <c r="C6235" s="5" t="str">
        <f>IFERROR(__xludf.DUMMYFUNCTION("GOOGLETRANSLATE(B6235,""en"",""es-ES"")"),"El hombre está soldando una olla de metal y el humo se está extendiendo de la olla.")</f>
        <v>El hombre está soldando una olla de metal y el humo se está extendiendo de la olla.</v>
      </c>
    </row>
    <row r="6236">
      <c r="A6236" s="4" t="s">
        <v>7832</v>
      </c>
      <c r="B6236" s="4" t="s">
        <v>7835</v>
      </c>
      <c r="C6236" s="5" t="str">
        <f>IFERROR(__xludf.DUMMYFUNCTION("GOOGLETRANSLATE(B6236,""en"",""es-ES"")"),"El hombre lleva una máscara de soldadura en una habitación oscura soldando algo.")</f>
        <v>El hombre lleva una máscara de soldadura en una habitación oscura soldando algo.</v>
      </c>
    </row>
    <row r="6237">
      <c r="A6237" s="4" t="s">
        <v>7836</v>
      </c>
      <c r="B6237" s="4" t="s">
        <v>7837</v>
      </c>
      <c r="C6237" s="5" t="str">
        <f>IFERROR(__xludf.DUMMYFUNCTION("GOOGLETRANSLATE(B6237,""en"",""es-ES"")"),"Se muestra un primer plano de un hombre que conduce y lo lleva a quitarse parte de sus espectáculos.")</f>
        <v>Se muestra un primer plano de un hombre que conduce y lo lleva a quitarse parte de sus espectáculos.</v>
      </c>
    </row>
    <row r="6238">
      <c r="A6238" s="4" t="s">
        <v>7836</v>
      </c>
      <c r="B6238" s="4" t="s">
        <v>7838</v>
      </c>
      <c r="C6238" s="5" t="str">
        <f>IFERROR(__xludf.DUMMYFUNCTION("GOOGLETRANSLATE(B6238,""en"",""es-ES"")"),"Muestra varios objetos y empuja un disco a lo largo de un poco de hielo mientras la cámara se sienta sobre el objeto y el hombre sigue atrás.")</f>
        <v>Muestra varios objetos y empuja un disco a lo largo de un poco de hielo mientras la cámara se sienta sobre el objeto y el hombre sigue atrás.</v>
      </c>
    </row>
    <row r="6239">
      <c r="A6239" s="4" t="s">
        <v>7839</v>
      </c>
      <c r="B6239" s="4" t="s">
        <v>7840</v>
      </c>
      <c r="C6239" s="5" t="str">
        <f>IFERROR(__xludf.DUMMYFUNCTION("GOOGLETRANSLATE(B6239,""en"",""es-ES"")"),"Un bote saca a una persona del agua.")</f>
        <v>Un bote saca a una persona del agua.</v>
      </c>
    </row>
    <row r="6240">
      <c r="A6240" s="4" t="s">
        <v>7839</v>
      </c>
      <c r="B6240" s="4" t="s">
        <v>7841</v>
      </c>
      <c r="C6240" s="5" t="str">
        <f>IFERROR(__xludf.DUMMYFUNCTION("GOOGLETRANSLATE(B6240,""en"",""es-ES"")"),"Se levantan y comienzan a esquiar en agua detrás del bote.")</f>
        <v>Se levantan y comienzan a esquiar en agua detrás del bote.</v>
      </c>
    </row>
    <row r="6241">
      <c r="A6241" s="4" t="s">
        <v>7839</v>
      </c>
      <c r="B6241" s="4" t="s">
        <v>7842</v>
      </c>
      <c r="C6241" s="5" t="str">
        <f>IFERROR(__xludf.DUMMYFUNCTION("GOOGLETRANSLATE(B6241,""en"",""es-ES"")"),"La persona cae y suelta la cuerda.")</f>
        <v>La persona cae y suelta la cuerda.</v>
      </c>
    </row>
    <row r="6242">
      <c r="A6242" s="4" t="s">
        <v>7843</v>
      </c>
      <c r="B6242" s="4" t="s">
        <v>7844</v>
      </c>
      <c r="C6242" s="5" t="str">
        <f>IFERROR(__xludf.DUMMYFUNCTION("GOOGLETRANSLATE(B6242,""en"",""es-ES"")"),"Se muestra una gran diapositiva con docenas de niños subiendo y bajando.")</f>
        <v>Se muestra una gran diapositiva con docenas de niños subiendo y bajando.</v>
      </c>
    </row>
    <row r="6243">
      <c r="A6243" s="4" t="s">
        <v>7843</v>
      </c>
      <c r="B6243" s="4" t="s">
        <v>7845</v>
      </c>
      <c r="C6243" s="5" t="str">
        <f>IFERROR(__xludf.DUMMYFUNCTION("GOOGLETRANSLATE(B6243,""en"",""es-ES"")"),"Los niños corren por el costado y continúan bajando por el tobogán.")</f>
        <v>Los niños corren por el costado y continúan bajando por el tobogán.</v>
      </c>
    </row>
    <row r="6244">
      <c r="A6244" s="4" t="s">
        <v>7843</v>
      </c>
      <c r="B6244" s="4" t="s">
        <v>7846</v>
      </c>
      <c r="C6244" s="5" t="str">
        <f>IFERROR(__xludf.DUMMYFUNCTION("GOOGLETRANSLATE(B6244,""en"",""es-ES"")"),"La cámara se desplaza alrededor de los toboganes y muestra a los niños bajando.")</f>
        <v>La cámara se desplaza alrededor de los toboganes y muestra a los niños bajando.</v>
      </c>
    </row>
    <row r="6245">
      <c r="A6245" s="4" t="s">
        <v>7847</v>
      </c>
      <c r="B6245" s="4" t="s">
        <v>7848</v>
      </c>
      <c r="C6245" s="5" t="str">
        <f>IFERROR(__xludf.DUMMYFUNCTION("GOOGLETRANSLATE(B6245,""en"",""es-ES"")"),"Una mujer hace una rutina de aderezo para el cabello cepillándose y secando el cabello.")</f>
        <v>Una mujer hace una rutina de aderezo para el cabello cepillándose y secando el cabello.</v>
      </c>
    </row>
    <row r="6246">
      <c r="A6246" s="4" t="s">
        <v>7847</v>
      </c>
      <c r="B6246" s="4" t="s">
        <v>7849</v>
      </c>
      <c r="C6246" s="5" t="str">
        <f>IFERROR(__xludf.DUMMYFUNCTION("GOOGLETRANSLATE(B6246,""en"",""es-ES"")"),"La mujer se sienta y hace que la peluquera trabaje su magia en menos de diez minutos.")</f>
        <v>La mujer se sienta y hace que la peluquera trabaje su magia en menos de diez minutos.</v>
      </c>
    </row>
    <row r="6247">
      <c r="A6247" s="4" t="s">
        <v>7850</v>
      </c>
      <c r="B6247" s="4" t="s">
        <v>7851</v>
      </c>
      <c r="C6247" s="5" t="str">
        <f>IFERROR(__xludf.DUMMYFUNCTION("GOOGLETRANSLATE(B6247,""en"",""es-ES"")"),"Una mujer pinta un marco cuadrado con piernas.")</f>
        <v>Una mujer pinta un marco cuadrado con piernas.</v>
      </c>
    </row>
    <row r="6248">
      <c r="A6248" s="4" t="s">
        <v>7850</v>
      </c>
      <c r="B6248" s="4" t="s">
        <v>7852</v>
      </c>
      <c r="C6248" s="5" t="str">
        <f>IFERROR(__xludf.DUMMYFUNCTION("GOOGLETRANSLATE(B6248,""en"",""es-ES"")"),"Ella lo gira y pinta otro lado.")</f>
        <v>Ella lo gira y pinta otro lado.</v>
      </c>
    </row>
    <row r="6249">
      <c r="A6249" s="4" t="s">
        <v>7850</v>
      </c>
      <c r="B6249" s="4" t="s">
        <v>7853</v>
      </c>
      <c r="C6249" s="5" t="str">
        <f>IFERROR(__xludf.DUMMYFUNCTION("GOOGLETRANSLATE(B6249,""en"",""es-ES"")"),"La cámara se dirige a las flores.")</f>
        <v>La cámara se dirige a las flores.</v>
      </c>
    </row>
    <row r="6250">
      <c r="A6250" s="4" t="s">
        <v>7854</v>
      </c>
      <c r="B6250" s="4" t="s">
        <v>7855</v>
      </c>
      <c r="C6250" s="5" t="str">
        <f>IFERROR(__xludf.DUMMYFUNCTION("GOOGLETRANSLATE(B6250,""en"",""es-ES"")"),"Se ve a una persona sentada en una silla con una mujer parada detrás de él cortándose el cabello.")</f>
        <v>Se ve a una persona sentada en una silla con una mujer parada detrás de él cortándose el cabello.</v>
      </c>
    </row>
    <row r="6251">
      <c r="A6251" s="4" t="s">
        <v>7854</v>
      </c>
      <c r="B6251" s="4" t="s">
        <v>7856</v>
      </c>
      <c r="C6251" s="5" t="str">
        <f>IFERROR(__xludf.DUMMYFUNCTION("GOOGLETRANSLATE(B6251,""en"",""es-ES"")"),"Ella continuamente se peina el cabello y lo mide a lo largo del costado.")</f>
        <v>Ella continuamente se peina el cabello y lo mide a lo largo del costado.</v>
      </c>
    </row>
    <row r="6252">
      <c r="A6252" s="4" t="s">
        <v>7854</v>
      </c>
      <c r="B6252" s="4" t="s">
        <v>7857</v>
      </c>
      <c r="C6252" s="5" t="str">
        <f>IFERROR(__xludf.DUMMYFUNCTION("GOOGLETRANSLATE(B6252,""en"",""es-ES"")"),"Finalmente termina el corte y se desvanece de su rostro.")</f>
        <v>Finalmente termina el corte y se desvanece de su rostro.</v>
      </c>
    </row>
    <row r="6253">
      <c r="A6253" s="4" t="s">
        <v>7858</v>
      </c>
      <c r="B6253" s="4" t="s">
        <v>7859</v>
      </c>
      <c r="C6253" s="5" t="str">
        <f>IFERROR(__xludf.DUMMYFUNCTION("GOOGLETRANSLATE(B6253,""en"",""es-ES"")"),"Una persona limpia la pantalla de una ventana y luego pone el detergente en la parte inferior de la ventana y el cepillo.")</f>
        <v>Una persona limpia la pantalla de una ventana y luego pone el detergente en la parte inferior de la ventana y el cepillo.</v>
      </c>
    </row>
    <row r="6254">
      <c r="A6254" s="4" t="s">
        <v>7858</v>
      </c>
      <c r="B6254" s="4" t="s">
        <v>7860</v>
      </c>
      <c r="C6254" s="5" t="str">
        <f>IFERROR(__xludf.DUMMYFUNCTION("GOOGLETRANSLATE(B6254,""en"",""es-ES"")"),"Luego, la persona limpia los bordes de la ventana con un paño y muestra la suciedad en la tela.")</f>
        <v>Luego, la persona limpia los bordes de la ventana con un paño y muestra la suciedad en la tela.</v>
      </c>
    </row>
    <row r="6255">
      <c r="A6255" s="4" t="s">
        <v>7858</v>
      </c>
      <c r="B6255" s="4" t="s">
        <v>7861</v>
      </c>
      <c r="C6255" s="5" t="str">
        <f>IFERROR(__xludf.DUMMYFUNCTION("GOOGLETRANSLATE(B6255,""en"",""es-ES"")"),"Después, la persona toma una botella del alféizar y continúa limpiando los bordes de la pantalla de la ventana.")</f>
        <v>Después, la persona toma una botella del alféizar y continúa limpiando los bordes de la pantalla de la ventana.</v>
      </c>
    </row>
    <row r="6256">
      <c r="A6256" s="4" t="s">
        <v>7862</v>
      </c>
      <c r="B6256" s="4" t="s">
        <v>7863</v>
      </c>
      <c r="C6256" s="5" t="str">
        <f>IFERROR(__xludf.DUMMYFUNCTION("GOOGLETRANSLATE(B6256,""en"",""es-ES"")"),"Una mujer joven está sentada en un paso y luego se muestra un póster que dice que puedo hacerlo.")</f>
        <v>Una mujer joven está sentada en un paso y luego se muestra un póster que dice que puedo hacerlo.</v>
      </c>
    </row>
    <row r="6257">
      <c r="A6257" s="4" t="s">
        <v>7862</v>
      </c>
      <c r="B6257" s="4" t="s">
        <v>7864</v>
      </c>
      <c r="C6257" s="5" t="str">
        <f>IFERROR(__xludf.DUMMYFUNCTION("GOOGLETRANSLATE(B6257,""en"",""es-ES"")"),"La niña regresa y continúa hablando de lo que está a punto de hacer.")</f>
        <v>La niña regresa y continúa hablando de lo que está a punto de hacer.</v>
      </c>
    </row>
    <row r="6258">
      <c r="A6258" s="4" t="s">
        <v>7862</v>
      </c>
      <c r="B6258" s="4" t="s">
        <v>7865</v>
      </c>
      <c r="C6258" s="5" t="str">
        <f>IFERROR(__xludf.DUMMYFUNCTION("GOOGLETRANSLATE(B6258,""en"",""es-ES"")"),"Luego saca un cuchillo y habla de ello mientras la cámara se acerca.")</f>
        <v>Luego saca un cuchillo y habla de ello mientras la cámara se acerca.</v>
      </c>
    </row>
    <row r="6259">
      <c r="A6259" s="4" t="s">
        <v>7862</v>
      </c>
      <c r="B6259" s="4" t="s">
        <v>7866</v>
      </c>
      <c r="C6259" s="5" t="str">
        <f>IFERROR(__xludf.DUMMYFUNCTION("GOOGLETRANSLATE(B6259,""en"",""es-ES"")"),"Luego comienza a cortar un palo y las palabras se muestran en la parte inferior mostrando los pasos necesarios para completar el fuego.")</f>
        <v>Luego comienza a cortar un palo y las palabras se muestran en la parte inferior mostrando los pasos necesarios para completar el fuego.</v>
      </c>
    </row>
    <row r="6260">
      <c r="A6260" s="4" t="s">
        <v>7862</v>
      </c>
      <c r="B6260" s="4" t="s">
        <v>7867</v>
      </c>
      <c r="C6260" s="5" t="str">
        <f>IFERROR(__xludf.DUMMYFUNCTION("GOOGLETRANSLATE(B6260,""en"",""es-ES"")"),"Se saca una navaja de bolsillo y ella comienza a cortar una pequeña pieza de yesca.")</f>
        <v>Se saca una navaja de bolsillo y ella comienza a cortar una pequeña pieza de yesca.</v>
      </c>
    </row>
    <row r="6261">
      <c r="A6261" s="4" t="s">
        <v>7868</v>
      </c>
      <c r="B6261" s="4" t="s">
        <v>7869</v>
      </c>
      <c r="C6261" s="5" t="str">
        <f>IFERROR(__xludf.DUMMYFUNCTION("GOOGLETRANSLATE(B6261,""en"",""es-ES"")"),"Un hombre que lleva un arete se ve a un lado.")</f>
        <v>Un hombre que lleva un arete se ve a un lado.</v>
      </c>
    </row>
    <row r="6262">
      <c r="A6262" s="4" t="s">
        <v>7868</v>
      </c>
      <c r="B6262" s="4" t="s">
        <v>7870</v>
      </c>
      <c r="C6262" s="5" t="str">
        <f>IFERROR(__xludf.DUMMYFUNCTION("GOOGLETRANSLATE(B6262,""en"",""es-ES"")"),"Se le muestra sosteniendo un arco y una flecha, apuntando, luego disparando a su objetivo.")</f>
        <v>Se le muestra sosteniendo un arco y una flecha, apuntando, luego disparando a su objetivo.</v>
      </c>
    </row>
    <row r="6263">
      <c r="A6263" s="4" t="s">
        <v>7868</v>
      </c>
      <c r="B6263" s="4" t="s">
        <v>7871</v>
      </c>
      <c r="C6263" s="5" t="str">
        <f>IFERROR(__xludf.DUMMYFUNCTION("GOOGLETRANSLATE(B6263,""en"",""es-ES"")"),"La escena se repite varias veces.")</f>
        <v>La escena se repite varias veces.</v>
      </c>
    </row>
    <row r="6264">
      <c r="A6264" s="4" t="s">
        <v>7872</v>
      </c>
      <c r="B6264" s="4" t="s">
        <v>7873</v>
      </c>
      <c r="C6264" s="5" t="str">
        <f>IFERROR(__xludf.DUMMYFUNCTION("GOOGLETRANSLATE(B6264,""en"",""es-ES"")"),"Se muestra un video de lapso de tiempo de personas que caminan por una casa.")</f>
        <v>Se muestra un video de lapso de tiempo de personas que caminan por una casa.</v>
      </c>
    </row>
    <row r="6265">
      <c r="A6265" s="4" t="s">
        <v>7872</v>
      </c>
      <c r="B6265" s="4" t="s">
        <v>7874</v>
      </c>
      <c r="C6265" s="5" t="str">
        <f>IFERROR(__xludf.DUMMYFUNCTION("GOOGLETRANSLATE(B6265,""en"",""es-ES"")"),"Más tarde, comienzan a colocar un árbol de Navidad con dos personas involucradas en el proceso.")</f>
        <v>Más tarde, comienzan a colocar un árbol de Navidad con dos personas involucradas en el proceso.</v>
      </c>
    </row>
    <row r="6266">
      <c r="A6266" s="4" t="s">
        <v>7872</v>
      </c>
      <c r="B6266" s="4" t="s">
        <v>7875</v>
      </c>
      <c r="C6266" s="5" t="str">
        <f>IFERROR(__xludf.DUMMYFUNCTION("GOOGLETRANSLATE(B6266,""en"",""es-ES"")"),"Pusieron luces en el árbol y las encenden.")</f>
        <v>Pusieron luces en el árbol y las encenden.</v>
      </c>
    </row>
    <row r="6267">
      <c r="A6267" s="4" t="s">
        <v>7872</v>
      </c>
      <c r="B6267" s="4" t="s">
        <v>7876</v>
      </c>
      <c r="C6267" s="5" t="str">
        <f>IFERROR(__xludf.DUMMYFUNCTION("GOOGLETRANSLATE(B6267,""en"",""es-ES"")"),"Luego, comienzan a poner varios adornos diferentes en el árbol.")</f>
        <v>Luego, comienzan a poner varios adornos diferentes en el árbol.</v>
      </c>
    </row>
    <row r="6268">
      <c r="A6268" s="4" t="s">
        <v>7872</v>
      </c>
      <c r="B6268" s="4" t="s">
        <v>7877</v>
      </c>
      <c r="C6268" s="5" t="str">
        <f>IFERROR(__xludf.DUMMYFUNCTION("GOOGLETRANSLATE(B6268,""en"",""es-ES"")"),"Por último, pusieron la falda debajo del árbol y terminan el video con un beso.")</f>
        <v>Por último, pusieron la falda debajo del árbol y terminan el video con un beso.</v>
      </c>
    </row>
    <row r="6269">
      <c r="A6269" s="4" t="s">
        <v>7878</v>
      </c>
      <c r="B6269" s="4" t="s">
        <v>7879</v>
      </c>
      <c r="C6269" s="5" t="str">
        <f>IFERROR(__xludf.DUMMYFUNCTION("GOOGLETRANSLATE(B6269,""en"",""es-ES"")"),"La banda está en el escenario y el líder está cantando.")</f>
        <v>La banda está en el escenario y el líder está cantando.</v>
      </c>
    </row>
    <row r="6270">
      <c r="A6270" s="4" t="s">
        <v>7878</v>
      </c>
      <c r="B6270" s="4" t="s">
        <v>7880</v>
      </c>
      <c r="C6270" s="5" t="str">
        <f>IFERROR(__xludf.DUMMYFUNCTION("GOOGLETRANSLATE(B6270,""en"",""es-ES"")"),"La mujer toca la batería con una gorra negra.")</f>
        <v>La mujer toca la batería con una gorra negra.</v>
      </c>
    </row>
    <row r="6271">
      <c r="A6271" s="4" t="s">
        <v>7881</v>
      </c>
      <c r="B6271" s="4" t="s">
        <v>7882</v>
      </c>
      <c r="C6271" s="5" t="str">
        <f>IFERROR(__xludf.DUMMYFUNCTION("GOOGLETRANSLATE(B6271,""en"",""es-ES"")"),"Se muestra un jardín desde el exterior de una casa.")</f>
        <v>Se muestra un jardín desde el exterior de una casa.</v>
      </c>
    </row>
    <row r="6272">
      <c r="A6272" s="4" t="s">
        <v>7881</v>
      </c>
      <c r="B6272" s="4" t="s">
        <v>7883</v>
      </c>
      <c r="C6272" s="5" t="str">
        <f>IFERROR(__xludf.DUMMYFUNCTION("GOOGLETRANSLATE(B6272,""en"",""es-ES"")"),"La cámara se gira para disfrutar de varias plantas y flores.")</f>
        <v>La cámara se gira para disfrutar de varias plantas y flores.</v>
      </c>
    </row>
    <row r="6273">
      <c r="A6273" s="4" t="s">
        <v>7881</v>
      </c>
      <c r="B6273" s="4" t="s">
        <v>7884</v>
      </c>
      <c r="C6273" s="5" t="str">
        <f>IFERROR(__xludf.DUMMYFUNCTION("GOOGLETRANSLATE(B6273,""en"",""es-ES"")"),"Luego tenemos un buen vistazo a la hierba.")</f>
        <v>Luego tenemos un buen vistazo a la hierba.</v>
      </c>
    </row>
    <row r="6274">
      <c r="A6274" s="4" t="s">
        <v>7885</v>
      </c>
      <c r="B6274" s="4" t="s">
        <v>7886</v>
      </c>
      <c r="C6274" s="5" t="str">
        <f>IFERROR(__xludf.DUMMYFUNCTION("GOOGLETRANSLATE(B6274,""en"",""es-ES"")"),"Los niños se equilibran en líneas flojas y hacen varios trucos.")</f>
        <v>Los niños se equilibran en líneas flojas y hacen varios trucos.</v>
      </c>
    </row>
    <row r="6275">
      <c r="A6275" s="4" t="s">
        <v>7885</v>
      </c>
      <c r="B6275" s="4" t="s">
        <v>7887</v>
      </c>
      <c r="C6275" s="5" t="str">
        <f>IFERROR(__xludf.DUMMYFUNCTION("GOOGLETRANSLATE(B6275,""en"",""es-ES"")"),"La gente se equilibra en una línea de holgura en un parque y camina lentamente a lo largo de la cuerda entre dos árboles.")</f>
        <v>La gente se equilibra en una línea de holgura en un parque y camina lentamente a lo largo de la cuerda entre dos árboles.</v>
      </c>
    </row>
    <row r="6276">
      <c r="A6276" s="4" t="s">
        <v>7885</v>
      </c>
      <c r="B6276" s="4" t="s">
        <v>7888</v>
      </c>
      <c r="C6276" s="5" t="str">
        <f>IFERROR(__xludf.DUMMYFUNCTION("GOOGLETRANSLATE(B6276,""en"",""es-ES"")"),"Los niños se equilibran en una línea de holgura colocada sobre un pequeño estanque en un parque.")</f>
        <v>Los niños se equilibran en una línea de holgura colocada sobre un pequeño estanque en un parque.</v>
      </c>
    </row>
    <row r="6277">
      <c r="A6277" s="4" t="s">
        <v>7889</v>
      </c>
      <c r="B6277" s="4" t="s">
        <v>7890</v>
      </c>
      <c r="C6277" s="5" t="str">
        <f>IFERROR(__xludf.DUMMYFUNCTION("GOOGLETRANSLATE(B6277,""en"",""es-ES"")"),"La mujer está sentada en una acera hablando con la cámara junto a un cubo verde.")</f>
        <v>La mujer está sentada en una acera hablando con la cámara junto a un cubo verde.</v>
      </c>
    </row>
    <row r="6278">
      <c r="A6278" s="4" t="s">
        <v>7889</v>
      </c>
      <c r="B6278" s="4" t="s">
        <v>7891</v>
      </c>
      <c r="C6278" s="5" t="str">
        <f>IFERROR(__xludf.DUMMYFUNCTION("GOOGLETRANSLATE(B6278,""en"",""es-ES"")"),"La mujer está saltando sobre la acera jugando.")</f>
        <v>La mujer está saltando sobre la acera jugando.</v>
      </c>
    </row>
    <row r="6279">
      <c r="A6279" s="4" t="s">
        <v>7889</v>
      </c>
      <c r="B6279" s="4" t="s">
        <v>7892</v>
      </c>
      <c r="C6279" s="5" t="str">
        <f>IFERROR(__xludf.DUMMYFUNCTION("GOOGLETRANSLATE(B6279,""en"",""es-ES"")"),"Otra mujer está en la acera saltando jugando.")</f>
        <v>Otra mujer está en la acera saltando jugando.</v>
      </c>
    </row>
    <row r="6280">
      <c r="A6280" s="4" t="s">
        <v>7893</v>
      </c>
      <c r="B6280" s="4" t="s">
        <v>7894</v>
      </c>
      <c r="C6280" s="5" t="str">
        <f>IFERROR(__xludf.DUMMYFUNCTION("GOOGLETRANSLATE(B6280,""en"",""es-ES"")"),"Una banda está sentada afuera en Asphalt.")</f>
        <v>Una banda está sentada afuera en Asphalt.</v>
      </c>
    </row>
    <row r="6281">
      <c r="A6281" s="4" t="s">
        <v>7893</v>
      </c>
      <c r="B6281" s="4" t="s">
        <v>7895</v>
      </c>
      <c r="C6281" s="5" t="str">
        <f>IFERROR(__xludf.DUMMYFUNCTION("GOOGLETRANSLATE(B6281,""en"",""es-ES"")"),"Están tocando una serie de tambores con palos y sus manos.")</f>
        <v>Están tocando una serie de tambores con palos y sus manos.</v>
      </c>
    </row>
    <row r="6282">
      <c r="A6282" s="4" t="s">
        <v>7893</v>
      </c>
      <c r="B6282" s="4" t="s">
        <v>7896</v>
      </c>
      <c r="C6282" s="5" t="str">
        <f>IFERROR(__xludf.DUMMYFUNCTION("GOOGLETRANSLATE(B6282,""en"",""es-ES"")"),"Numerosas personas pasan a pie y bicicleta.")</f>
        <v>Numerosas personas pasan a pie y bicicleta.</v>
      </c>
    </row>
    <row r="6283">
      <c r="A6283" s="4" t="s">
        <v>7897</v>
      </c>
      <c r="B6283" s="4" t="s">
        <v>7898</v>
      </c>
      <c r="C6283" s="5" t="str">
        <f>IFERROR(__xludf.DUMMYFUNCTION("GOOGLETRANSLATE(B6283,""en"",""es-ES"")"),"La gente está saltando la cuerda en un escenario.")</f>
        <v>La gente está saltando la cuerda en un escenario.</v>
      </c>
    </row>
    <row r="6284">
      <c r="A6284" s="4" t="s">
        <v>7897</v>
      </c>
      <c r="B6284" s="4" t="s">
        <v>7899</v>
      </c>
      <c r="C6284" s="5" t="str">
        <f>IFERROR(__xludf.DUMMYFUNCTION("GOOGLETRANSLATE(B6284,""en"",""es-ES"")"),"Cambian de lugar y una persona diferente comienza a saltar.")</f>
        <v>Cambian de lugar y una persona diferente comienza a saltar.</v>
      </c>
    </row>
    <row r="6285">
      <c r="A6285" s="4" t="s">
        <v>7897</v>
      </c>
      <c r="B6285" s="4" t="s">
        <v>7900</v>
      </c>
      <c r="C6285" s="5" t="str">
        <f>IFERROR(__xludf.DUMMYFUNCTION("GOOGLETRANSLATE(B6285,""en"",""es-ES"")"),"Un hombre se para y sostiene la cuerda de salto.")</f>
        <v>Un hombre se para y sostiene la cuerda de salto.</v>
      </c>
    </row>
    <row r="6286">
      <c r="A6286" s="4" t="s">
        <v>7901</v>
      </c>
      <c r="B6286" s="4" t="s">
        <v>7902</v>
      </c>
      <c r="C6286" s="5" t="str">
        <f>IFERROR(__xludf.DUMMYFUNCTION("GOOGLETRANSLATE(B6286,""en"",""es-ES"")"),"Se muestra la provincia de Albay Sello.")</f>
        <v>Se muestra la provincia de Albay Sello.</v>
      </c>
    </row>
    <row r="6287">
      <c r="A6287" s="4" t="s">
        <v>7901</v>
      </c>
      <c r="B6287" s="4" t="s">
        <v>7903</v>
      </c>
      <c r="C6287" s="5" t="str">
        <f>IFERROR(__xludf.DUMMYFUNCTION("GOOGLETRANSLATE(B6287,""en"",""es-ES"")"),"Varios miembros del equipo están en una cancha al aire libre, jugando voleibol.")</f>
        <v>Varios miembros del equipo están en una cancha al aire libre, jugando voleibol.</v>
      </c>
    </row>
    <row r="6288">
      <c r="A6288" s="4" t="s">
        <v>7901</v>
      </c>
      <c r="B6288" s="4" t="s">
        <v>7904</v>
      </c>
      <c r="C6288" s="5" t="str">
        <f>IFERROR(__xludf.DUMMYFUNCTION("GOOGLETRANSLATE(B6288,""en"",""es-ES"")"),"Lanzan la pelota de un lado a otro sobre la red frente a una audiencia.")</f>
        <v>Lanzan la pelota de un lado a otro sobre la red frente a una audiencia.</v>
      </c>
    </row>
    <row r="6289">
      <c r="A6289" s="4" t="s">
        <v>7901</v>
      </c>
      <c r="B6289" s="4" t="s">
        <v>7905</v>
      </c>
      <c r="C6289" s="5" t="str">
        <f>IFERROR(__xludf.DUMMYFUNCTION("GOOGLETRANSLATE(B6289,""en"",""es-ES"")"),"Después, celebran, riendo y sonriendo.")</f>
        <v>Después, celebran, riendo y sonriendo.</v>
      </c>
    </row>
    <row r="6290">
      <c r="A6290" s="4" t="s">
        <v>7906</v>
      </c>
      <c r="B6290" s="4" t="s">
        <v>7907</v>
      </c>
      <c r="C6290" s="5" t="str">
        <f>IFERROR(__xludf.DUMMYFUNCTION("GOOGLETRANSLATE(B6290,""en"",""es-ES"")"),"Hay dos hombres boxeando en una sala de boxeo interior que tiene espejos en una pared entera.")</f>
        <v>Hay dos hombres boxeando en una sala de boxeo interior que tiene espejos en una pared entera.</v>
      </c>
    </row>
    <row r="6291">
      <c r="A6291" s="4" t="s">
        <v>7906</v>
      </c>
      <c r="B6291" s="4" t="s">
        <v>7908</v>
      </c>
      <c r="C6291" s="5" t="str">
        <f>IFERROR(__xludf.DUMMYFUNCTION("GOOGLETRANSLATE(B6291,""en"",""es-ES"")"),"Hay otra persona parada en la misma habitación que los está grabando en video.")</f>
        <v>Hay otra persona parada en la misma habitación que los está grabando en video.</v>
      </c>
    </row>
    <row r="6292">
      <c r="A6292" s="4" t="s">
        <v>7906</v>
      </c>
      <c r="B6292" s="4" t="s">
        <v>7909</v>
      </c>
      <c r="C6292" s="5" t="str">
        <f>IFERROR(__xludf.DUMMYFUNCTION("GOOGLETRANSLATE(B6292,""en"",""es-ES"")"),"El boxeador en los pantalones cortos rojos golpea al boxeador en los pantalones cortos negros.")</f>
        <v>El boxeador en los pantalones cortos rojos golpea al boxeador en los pantalones cortos negros.</v>
      </c>
    </row>
    <row r="6293">
      <c r="A6293" s="4" t="s">
        <v>7906</v>
      </c>
      <c r="B6293" s="4" t="s">
        <v>7910</v>
      </c>
      <c r="C6293" s="5" t="str">
        <f>IFERROR(__xludf.DUMMYFUNCTION("GOOGLETRANSLATE(B6293,""en"",""es-ES"")"),"El boxeador en negro cae y aterriza sobre su espalda y gime.")</f>
        <v>El boxeador en negro cae y aterriza sobre su espalda y gime.</v>
      </c>
    </row>
    <row r="6294">
      <c r="A6294" s="4" t="s">
        <v>7906</v>
      </c>
      <c r="B6294" s="4" t="s">
        <v>7911</v>
      </c>
      <c r="C6294" s="5" t="str">
        <f>IFERROR(__xludf.DUMMYFUNCTION("GOOGLETRANSLATE(B6294,""en"",""es-ES"")"),"Luego se queda de nuevo mientras el boxeador de rojo camina a su alrededor.")</f>
        <v>Luego se queda de nuevo mientras el boxeador de rojo camina a su alrededor.</v>
      </c>
    </row>
    <row r="6295">
      <c r="A6295" s="4" t="s">
        <v>7912</v>
      </c>
      <c r="B6295" s="4" t="s">
        <v>7913</v>
      </c>
      <c r="C6295" s="5" t="str">
        <f>IFERROR(__xludf.DUMMYFUNCTION("GOOGLETRANSLATE(B6295,""en"",""es-ES"")"),"Un joven lleva auriculares y de pie frente a un micrófono.")</f>
        <v>Un joven lleva auriculares y de pie frente a un micrófono.</v>
      </c>
    </row>
    <row r="6296">
      <c r="A6296" s="4" t="s">
        <v>7912</v>
      </c>
      <c r="B6296" s="4" t="s">
        <v>7914</v>
      </c>
      <c r="C6296" s="5" t="str">
        <f>IFERROR(__xludf.DUMMYFUNCTION("GOOGLETRANSLATE(B6296,""en"",""es-ES"")"),"Comienza a tocar el violín.")</f>
        <v>Comienza a tocar el violín.</v>
      </c>
    </row>
    <row r="6297">
      <c r="A6297" s="4" t="s">
        <v>7912</v>
      </c>
      <c r="B6297" s="4" t="s">
        <v>7915</v>
      </c>
      <c r="C6297" s="5" t="str">
        <f>IFERROR(__xludf.DUMMYFUNCTION("GOOGLETRANSLATE(B6297,""en"",""es-ES"")"),"Cierra los ojos, escuchándose a sí mismo mientras juega.")</f>
        <v>Cierra los ojos, escuchándose a sí mismo mientras juega.</v>
      </c>
    </row>
    <row r="6298">
      <c r="A6298" s="4" t="s">
        <v>7916</v>
      </c>
      <c r="B6298" s="4" t="s">
        <v>7917</v>
      </c>
      <c r="C6298" s="5" t="str">
        <f>IFERROR(__xludf.DUMMYFUNCTION("GOOGLETRANSLATE(B6298,""en"",""es-ES"")"),"Se muestra una sala de gimnasia con varias bolsas de boxeo grandes alineadas a lo largo del perímetro de la habitación.")</f>
        <v>Se muestra una sala de gimnasia con varias bolsas de boxeo grandes alineadas a lo largo del perímetro de la habitación.</v>
      </c>
    </row>
    <row r="6299">
      <c r="A6299" s="4" t="s">
        <v>7916</v>
      </c>
      <c r="B6299" s="4" t="s">
        <v>7918</v>
      </c>
      <c r="C6299" s="5" t="str">
        <f>IFERROR(__xludf.DUMMYFUNCTION("GOOGLETRANSLATE(B6299,""en"",""es-ES"")"),"Un grupo de muchachos viene al edificio y comienzan a correr alrededor de las bolsas como un calentamiento.")</f>
        <v>Un grupo de muchachos viene al edificio y comienzan a correr alrededor de las bolsas como un calentamiento.</v>
      </c>
    </row>
    <row r="6300">
      <c r="A6300" s="4" t="s">
        <v>7916</v>
      </c>
      <c r="B6300" s="4" t="s">
        <v>7919</v>
      </c>
      <c r="C6300" s="5" t="str">
        <f>IFERROR(__xludf.DUMMYFUNCTION("GOOGLETRANSLATE(B6300,""en"",""es-ES"")"),"Una vez que terminan, los hombres se combinan entre sí y tres grupos se muestran en boxeo entre sí.")</f>
        <v>Una vez que terminan, los hombres se combinan entre sí y tres grupos se muestran en boxeo entre sí.</v>
      </c>
    </row>
    <row r="6301">
      <c r="A6301" s="4" t="s">
        <v>7916</v>
      </c>
      <c r="B6301" s="4" t="s">
        <v>7920</v>
      </c>
      <c r="C6301" s="5" t="str">
        <f>IFERROR(__xludf.DUMMYFUNCTION("GOOGLETRANSLATE(B6301,""en"",""es-ES"")"),"Luego aparece una pegatina para el parachoques diciendo: ""Mantenga los ojos en el premio"" y luego más pares de hombres comienzan a boxear.")</f>
        <v>Luego aparece una pegatina para el parachoques diciendo: "Mantenga los ojos en el premio" y luego más pares de hombres comienzan a boxear.</v>
      </c>
    </row>
    <row r="6302">
      <c r="A6302" s="4" t="s">
        <v>7921</v>
      </c>
      <c r="B6302" s="4" t="s">
        <v>7922</v>
      </c>
      <c r="C6302" s="5" t="str">
        <f>IFERROR(__xludf.DUMMYFUNCTION("GOOGLETRANSLATE(B6302,""en"",""es-ES"")"),"Un hombre está en un patio con un bate de cricket.")</f>
        <v>Un hombre está en un patio con un bate de cricket.</v>
      </c>
    </row>
    <row r="6303">
      <c r="A6303" s="4" t="s">
        <v>7921</v>
      </c>
      <c r="B6303" s="4" t="s">
        <v>7923</v>
      </c>
      <c r="C6303" s="5" t="str">
        <f>IFERROR(__xludf.DUMMYFUNCTION("GOOGLETRANSLATE(B6303,""en"",""es-ES"")"),"Él voltea el bate una y otra vez.")</f>
        <v>Él voltea el bate una y otra vez.</v>
      </c>
    </row>
    <row r="6304">
      <c r="A6304" s="4" t="s">
        <v>7921</v>
      </c>
      <c r="B6304" s="4" t="s">
        <v>7924</v>
      </c>
      <c r="C6304" s="5" t="str">
        <f>IFERROR(__xludf.DUMMYFUNCTION("GOOGLETRANSLATE(B6304,""en"",""es-ES"")"),"Él tropieza, luego patea la pelota en el aire, golpeándola.")</f>
        <v>Él tropieza, luego patea la pelota en el aire, golpeándola.</v>
      </c>
    </row>
    <row r="6305">
      <c r="A6305" s="4" t="s">
        <v>7925</v>
      </c>
      <c r="B6305" s="4" t="s">
        <v>7926</v>
      </c>
      <c r="C6305" s="5" t="str">
        <f>IFERROR(__xludf.DUMMYFUNCTION("GOOGLETRANSLATE(B6305,""en"",""es-ES"")"),"Una mujer está parada en una pista hablando.")</f>
        <v>Una mujer está parada en una pista hablando.</v>
      </c>
    </row>
    <row r="6306">
      <c r="A6306" s="4" t="s">
        <v>7925</v>
      </c>
      <c r="B6306" s="4" t="s">
        <v>7927</v>
      </c>
      <c r="C6306" s="5" t="str">
        <f>IFERROR(__xludf.DUMMYFUNCTION("GOOGLETRANSLATE(B6306,""en"",""es-ES"")"),"Ella salta a una pila de arena.")</f>
        <v>Ella salta a una pila de arena.</v>
      </c>
    </row>
    <row r="6307">
      <c r="A6307" s="4" t="s">
        <v>7925</v>
      </c>
      <c r="B6307" s="4" t="s">
        <v>7928</v>
      </c>
      <c r="C6307" s="5" t="str">
        <f>IFERROR(__xludf.DUMMYFUNCTION("GOOGLETRANSLATE(B6307,""en"",""es-ES"")"),"Ella está corriendo por la pista.")</f>
        <v>Ella está corriendo por la pista.</v>
      </c>
    </row>
    <row r="6308">
      <c r="A6308" s="4" t="s">
        <v>7925</v>
      </c>
      <c r="B6308" s="4" t="s">
        <v>7929</v>
      </c>
      <c r="C6308" s="5" t="str">
        <f>IFERROR(__xludf.DUMMYFUNCTION("GOOGLETRANSLATE(B6308,""en"",""es-ES"")"),"Muestra su estiramiento y saltando en una pila de arena.")</f>
        <v>Muestra su estiramiento y saltando en una pila de arena.</v>
      </c>
    </row>
    <row r="6309">
      <c r="A6309" s="4" t="s">
        <v>7930</v>
      </c>
      <c r="B6309" s="4" t="s">
        <v>7931</v>
      </c>
      <c r="C6309" s="5" t="str">
        <f>IFERROR(__xludf.DUMMYFUNCTION("GOOGLETRANSLATE(B6309,""en"",""es-ES"")"),"La cámara se mueve alrededor de un gran grupo de personas deambulando y conduce a personas que juegan un partido de fútbol.")</f>
        <v>La cámara se mueve alrededor de un gran grupo de personas deambulando y conduce a personas que juegan un partido de fútbol.</v>
      </c>
    </row>
    <row r="6310">
      <c r="A6310" s="4" t="s">
        <v>7930</v>
      </c>
      <c r="B6310" s="4" t="s">
        <v>7932</v>
      </c>
      <c r="C6310" s="5" t="str">
        <f>IFERROR(__xludf.DUMMYFUNCTION("GOOGLETRANSLATE(B6310,""en"",""es-ES"")"),"Los jugadores se muestran mirando a un lado y muestran más tiros de la gente y la ciudad.")</f>
        <v>Los jugadores se muestran mirando a un lado y muestran más tiros de la gente y la ciudad.</v>
      </c>
    </row>
    <row r="6311">
      <c r="A6311" s="4" t="s">
        <v>7933</v>
      </c>
      <c r="B6311" s="4" t="s">
        <v>7934</v>
      </c>
      <c r="C6311" s="5" t="str">
        <f>IFERROR(__xludf.DUMMYFUNCTION("GOOGLETRANSLATE(B6311,""en"",""es-ES"")"),"Un niño bromea sentado en una batería.")</f>
        <v>Un niño bromea sentado en una batería.</v>
      </c>
    </row>
    <row r="6312">
      <c r="A6312" s="4" t="s">
        <v>7933</v>
      </c>
      <c r="B6312" s="4" t="s">
        <v>7935</v>
      </c>
      <c r="C6312" s="5" t="str">
        <f>IFERROR(__xludf.DUMMYFUNCTION("GOOGLETRANSLATE(B6312,""en"",""es-ES"")"),"Un niño toca una batería en casa.")</f>
        <v>Un niño toca una batería en casa.</v>
      </c>
    </row>
    <row r="6313">
      <c r="A6313" s="4" t="s">
        <v>7933</v>
      </c>
      <c r="B6313" s="4" t="s">
        <v>7936</v>
      </c>
      <c r="C6313" s="5" t="str">
        <f>IFERROR(__xludf.DUMMYFUNCTION("GOOGLETRANSLATE(B6313,""en"",""es-ES"")"),"Los padres ven al niño tocar la batería.")</f>
        <v>Los padres ven al niño tocar la batería.</v>
      </c>
    </row>
    <row r="6314">
      <c r="A6314" s="4" t="s">
        <v>7937</v>
      </c>
      <c r="B6314" s="4" t="s">
        <v>7938</v>
      </c>
      <c r="C6314" s="5" t="str">
        <f>IFERROR(__xludf.DUMMYFUNCTION("GOOGLETRANSLATE(B6314,""en"",""es-ES"")"),"Una mano frota una tiza hasta una punta azul.")</f>
        <v>Una mano frota una tiza hasta una punta azul.</v>
      </c>
    </row>
    <row r="6315">
      <c r="A6315" s="4" t="s">
        <v>7937</v>
      </c>
      <c r="B6315" s="4" t="s">
        <v>7939</v>
      </c>
      <c r="C6315" s="5" t="str">
        <f>IFERROR(__xludf.DUMMYFUNCTION("GOOGLETRANSLATE(B6315,""en"",""es-ES"")"),"El hombre se está concentrando en la mesa de billar, golpea lentamente la pelota con el palo de billar.")</f>
        <v>El hombre se está concentrando en la mesa de billar, golpea lentamente la pelota con el palo de billar.</v>
      </c>
    </row>
    <row r="6316">
      <c r="A6316" s="4" t="s">
        <v>7937</v>
      </c>
      <c r="B6316" s="4" t="s">
        <v>7940</v>
      </c>
      <c r="C6316" s="5" t="str">
        <f>IFERROR(__xludf.DUMMYFUNCTION("GOOGLETRANSLATE(B6316,""en"",""es-ES"")"),"Un anciano con barba está dando una entrevista.")</f>
        <v>Un anciano con barba está dando una entrevista.</v>
      </c>
    </row>
    <row r="6317">
      <c r="A6317" s="4" t="s">
        <v>7937</v>
      </c>
      <c r="B6317" s="4" t="s">
        <v>7941</v>
      </c>
      <c r="C6317" s="5" t="str">
        <f>IFERROR(__xludf.DUMMYFUNCTION("GOOGLETRANSLATE(B6317,""en"",""es-ES"")"),"El hombre está arreglando la pelota en la mesa y luego los golpeó y todos entraron en los agujeros.")</f>
        <v>El hombre está arreglando la pelota en la mesa y luego los golpeó y todos entraron en los agujeros.</v>
      </c>
    </row>
    <row r="6318">
      <c r="A6318" s="4" t="s">
        <v>7942</v>
      </c>
      <c r="B6318" s="4" t="s">
        <v>7943</v>
      </c>
      <c r="C6318" s="5" t="str">
        <f>IFERROR(__xludf.DUMMYFUNCTION("GOOGLETRANSLATE(B6318,""en"",""es-ES"")"),"El atleta que usa medias grises y una camisa negra con el número 2 comenzó a ir en la viga y comenzó a girar.")</f>
        <v>El atleta que usa medias grises y una camisa negra con el número 2 comenzó a ir en la viga y comenzó a girar.</v>
      </c>
    </row>
    <row r="6319">
      <c r="A6319" s="4" t="s">
        <v>7942</v>
      </c>
      <c r="B6319" s="4" t="s">
        <v>7944</v>
      </c>
      <c r="C6319" s="5" t="str">
        <f>IFERROR(__xludf.DUMMYFUNCTION("GOOGLETRANSLATE(B6319,""en"",""es-ES"")"),"Cuando llegó de la viga, caminó hacia el recipiente amarillo que contiene polvo blanco, luego volvió a la viga e hizo sus trucos girando.")</f>
        <v>Cuando llegó de la viga, caminó hacia el recipiente amarillo que contiene polvo blanco, luego volvió a la viga e hizo sus trucos girando.</v>
      </c>
    </row>
    <row r="6320">
      <c r="A6320" s="4" t="s">
        <v>7945</v>
      </c>
      <c r="B6320" s="4" t="s">
        <v>7946</v>
      </c>
      <c r="C6320" s="5" t="str">
        <f>IFERROR(__xludf.DUMMYFUNCTION("GOOGLETRANSLATE(B6320,""en"",""es-ES"")"),"Se muestra a una mujer atlética corriendo por una pista y saltando a un gran pozo de arena.")</f>
        <v>Se muestra a una mujer atlética corriendo por una pista y saltando a un gran pozo de arena.</v>
      </c>
    </row>
    <row r="6321">
      <c r="A6321" s="4" t="s">
        <v>7945</v>
      </c>
      <c r="B6321" s="4" t="s">
        <v>7947</v>
      </c>
      <c r="C6321" s="5" t="str">
        <f>IFERROR(__xludf.DUMMYFUNCTION("GOOGLETRANSLATE(B6321,""en"",""es-ES"")"),"Su salto se muestra nuevamente varias veces en cámara lenta y otro corredor da un giro al salto.")</f>
        <v>Su salto se muestra nuevamente varias veces en cámara lenta y otro corredor da un giro al salto.</v>
      </c>
    </row>
    <row r="6322">
      <c r="A6322" s="4" t="s">
        <v>7945</v>
      </c>
      <c r="B6322" s="4" t="s">
        <v>7948</v>
      </c>
      <c r="C6322" s="5" t="str">
        <f>IFERROR(__xludf.DUMMYFUNCTION("GOOGLETRANSLATE(B6322,""en"",""es-ES"")"),"Su salto se muestra nuevamente en cámara lenta y saluda a la audiencia mientras sonríe.")</f>
        <v>Su salto se muestra nuevamente en cámara lenta y saluda a la audiencia mientras sonríe.</v>
      </c>
    </row>
    <row r="6323">
      <c r="A6323" s="4" t="s">
        <v>7949</v>
      </c>
      <c r="B6323" s="4" t="s">
        <v>7950</v>
      </c>
      <c r="C6323" s="5" t="str">
        <f>IFERROR(__xludf.DUMMYFUNCTION("GOOGLETRANSLATE(B6323,""en"",""es-ES"")"),"Un hombre sin camisa está empujando nieve afuera en la acera.")</f>
        <v>Un hombre sin camisa está empujando nieve afuera en la acera.</v>
      </c>
    </row>
    <row r="6324">
      <c r="A6324" s="4" t="s">
        <v>7949</v>
      </c>
      <c r="B6324" s="4" t="s">
        <v>7951</v>
      </c>
      <c r="C6324" s="5" t="str">
        <f>IFERROR(__xludf.DUMMYFUNCTION("GOOGLETRANSLATE(B6324,""en"",""es-ES"")"),"Él saluda las manos y se mueve en los autos que pasan.")</f>
        <v>Él saluda las manos y se mueve en los autos que pasan.</v>
      </c>
    </row>
    <row r="6325">
      <c r="A6325" s="4" t="s">
        <v>7949</v>
      </c>
      <c r="B6325" s="4" t="s">
        <v>7952</v>
      </c>
      <c r="C6325" s="5" t="str">
        <f>IFERROR(__xludf.DUMMYFUNCTION("GOOGLETRANSLATE(B6325,""en"",""es-ES"")"),"Él continúa saludando y rodando las manos en el aire a medida que pasan más autos.")</f>
        <v>Él continúa saludando y rodando las manos en el aire a medida que pasan más autos.</v>
      </c>
    </row>
    <row r="6326">
      <c r="A6326" s="4" t="s">
        <v>7949</v>
      </c>
      <c r="B6326" s="4" t="s">
        <v>7953</v>
      </c>
      <c r="C6326" s="5" t="str">
        <f>IFERROR(__xludf.DUMMYFUNCTION("GOOGLETRANSLATE(B6326,""en"",""es-ES"")"),"Continúa paleando la nieve.")</f>
        <v>Continúa paleando la nieve.</v>
      </c>
    </row>
    <row r="6327">
      <c r="A6327" s="4" t="s">
        <v>7954</v>
      </c>
      <c r="B6327" s="4" t="s">
        <v>7955</v>
      </c>
      <c r="C6327" s="5" t="str">
        <f>IFERROR(__xludf.DUMMYFUNCTION("GOOGLETRANSLATE(B6327,""en"",""es-ES"")"),"Se ve a un pequeño grupo de hombres parados en un campo arenoso golpeando una pelota hacia atrás y cuarto.")</f>
        <v>Se ve a un pequeño grupo de hombres parados en un campo arenoso golpeando una pelota hacia atrás y cuarto.</v>
      </c>
    </row>
    <row r="6328">
      <c r="A6328" s="4" t="s">
        <v>7954</v>
      </c>
      <c r="B6328" s="4" t="s">
        <v>7956</v>
      </c>
      <c r="C6328" s="5" t="str">
        <f>IFERROR(__xludf.DUMMYFUNCTION("GOOGLETRANSLATE(B6328,""en"",""es-ES"")"),"Los hombres comienzan un juego de voleibol y golpean la pelota por todo el área.")</f>
        <v>Los hombres comienzan un juego de voleibol y golpean la pelota por todo el área.</v>
      </c>
    </row>
    <row r="6329">
      <c r="A6329" s="4" t="s">
        <v>7954</v>
      </c>
      <c r="B6329" s="4" t="s">
        <v>7957</v>
      </c>
      <c r="C6329" s="5" t="str">
        <f>IFERROR(__xludf.DUMMYFUNCTION("GOOGLETRANSLATE(B6329,""en"",""es-ES"")"),"Los hombres continúan jugando mientras la cámara los captura moviéndose.")</f>
        <v>Los hombres continúan jugando mientras la cámara los captura moviéndose.</v>
      </c>
    </row>
    <row r="6330">
      <c r="A6330" s="4" t="s">
        <v>7958</v>
      </c>
      <c r="B6330" s="4" t="s">
        <v>7959</v>
      </c>
      <c r="C6330" s="5" t="str">
        <f>IFERROR(__xludf.DUMMYFUNCTION("GOOGLETRANSLATE(B6330,""en"",""es-ES"")"),"Se ve a un niño abriendo regalos con la ayuda de otro y varias tomas de él tocando un tambor que recibió.")</f>
        <v>Se ve a un niño abriendo regalos con la ayuda de otro y varias tomas de él tocando un tambor que recibió.</v>
      </c>
    </row>
    <row r="6331">
      <c r="A6331" s="4" t="s">
        <v>7958</v>
      </c>
      <c r="B6331" s="4" t="s">
        <v>7960</v>
      </c>
      <c r="C6331" s="5" t="str">
        <f>IFERROR(__xludf.DUMMYFUNCTION("GOOGLETRANSLATE(B6331,""en"",""es-ES"")"),"La madre es entrevistada y muestra más tomas del niño tocando varios instrumentos diferentes.")</f>
        <v>La madre es entrevistada y muestra más tomas del niño tocando varios instrumentos diferentes.</v>
      </c>
    </row>
    <row r="6332">
      <c r="A6332" s="4" t="s">
        <v>7958</v>
      </c>
      <c r="B6332" s="4" t="s">
        <v>7961</v>
      </c>
      <c r="C6332" s="5" t="str">
        <f>IFERROR(__xludf.DUMMYFUNCTION("GOOGLETRANSLATE(B6332,""en"",""es-ES"")"),"Finalmente muestra al niño adulto y termina con información para un trailer de películas.")</f>
        <v>Finalmente muestra al niño adulto y termina con información para un trailer de películas.</v>
      </c>
    </row>
    <row r="6333">
      <c r="A6333" s="4" t="s">
        <v>7962</v>
      </c>
      <c r="B6333" s="4" t="s">
        <v>7963</v>
      </c>
      <c r="C6333" s="5" t="str">
        <f>IFERROR(__xludf.DUMMYFUNCTION("GOOGLETRANSLATE(B6333,""en"",""es-ES"")"),"Se ve a un hombre hablando con la cámara y lleva a los actores entrevistados sobre una película.")</f>
        <v>Se ve a un hombre hablando con la cámara y lleva a los actores entrevistados sobre una película.</v>
      </c>
    </row>
    <row r="6334">
      <c r="A6334" s="4" t="s">
        <v>7962</v>
      </c>
      <c r="B6334" s="4" t="s">
        <v>7964</v>
      </c>
      <c r="C6334" s="5" t="str">
        <f>IFERROR(__xludf.DUMMYFUNCTION("GOOGLETRANSLATE(B6334,""en"",""es-ES"")"),"Se muestran varias tomas de la película, así como imágenes de otras películas y apariciones juntas.")</f>
        <v>Se muestran varias tomas de la película, así como imágenes de otras películas y apariciones juntas.</v>
      </c>
    </row>
    <row r="6335">
      <c r="A6335" s="4" t="s">
        <v>7962</v>
      </c>
      <c r="B6335" s="4" t="s">
        <v>7965</v>
      </c>
      <c r="C6335" s="5" t="str">
        <f>IFERROR(__xludf.DUMMYFUNCTION("GOOGLETRANSLATE(B6335,""en"",""es-ES"")"),"Luego se muestra a la pareja realizando una rutina de tango en un gran escenario y termina posando en el escenario con la audiencia animando.")</f>
        <v>Luego se muestra a la pareja realizando una rutina de tango en un gran escenario y termina posando en el escenario con la audiencia animando.</v>
      </c>
    </row>
    <row r="6336">
      <c r="A6336" s="4" t="s">
        <v>7966</v>
      </c>
      <c r="B6336" s="4" t="s">
        <v>7967</v>
      </c>
      <c r="C6336" s="5" t="str">
        <f>IFERROR(__xludf.DUMMYFUNCTION("GOOGLETRANSLATE(B6336,""en"",""es-ES"")"),"Una mujer está hablando de una máquina de ejercicios elíptica especialmente diseñada para mujeres.")</f>
        <v>Una mujer está hablando de una máquina de ejercicios elíptica especialmente diseñada para mujeres.</v>
      </c>
    </row>
    <row r="6337">
      <c r="A6337" s="4" t="s">
        <v>7966</v>
      </c>
      <c r="B6337" s="4" t="s">
        <v>7968</v>
      </c>
      <c r="C6337" s="5" t="str">
        <f>IFERROR(__xludf.DUMMYFUNCTION("GOOGLETRANSLATE(B6337,""en"",""es-ES"")"),"Junto a ella está el experto en fitness pro que está demostrando cómo funciona la máquina.")</f>
        <v>Junto a ella está el experto en fitness pro que está demostrando cómo funciona la máquina.</v>
      </c>
    </row>
    <row r="6338">
      <c r="A6338" s="4" t="s">
        <v>7966</v>
      </c>
      <c r="B6338" s="4" t="s">
        <v>7969</v>
      </c>
      <c r="C6338" s="5" t="str">
        <f>IFERROR(__xludf.DUMMYFUNCTION("GOOGLETRANSLATE(B6338,""en"",""es-ES"")"),"Muestra los botones que deben presionarse para comenzar la elíptica.")</f>
        <v>Muestra los botones que deben presionarse para comenzar la elíptica.</v>
      </c>
    </row>
    <row r="6339">
      <c r="A6339" s="4" t="s">
        <v>7966</v>
      </c>
      <c r="B6339" s="4" t="s">
        <v>7970</v>
      </c>
      <c r="C6339" s="5" t="str">
        <f>IFERROR(__xludf.DUMMYFUNCTION("GOOGLETRANSLATE(B6339,""en"",""es-ES"")"),"Después de comenzar la máquina, la Lady salta a la máquina y comienza a usar la elíptica.")</f>
        <v>Después de comenzar la máquina, la Lady salta a la máquina y comienza a usar la elíptica.</v>
      </c>
    </row>
    <row r="6340">
      <c r="A6340" s="4" t="s">
        <v>7966</v>
      </c>
      <c r="B6340" s="4" t="s">
        <v>7971</v>
      </c>
      <c r="C6340" s="5" t="str">
        <f>IFERROR(__xludf.DUMMYFUNCTION("GOOGLETRANSLATE(B6340,""en"",""es-ES"")"),"Ella continúa haciendo ejercicio en la máquina mientras el entrenador de fitness le da consejos sobre cómo la máquina la beneficiará.")</f>
        <v>Ella continúa haciendo ejercicio en la máquina mientras el entrenador de fitness le da consejos sobre cómo la máquina la beneficiará.</v>
      </c>
    </row>
    <row r="6341">
      <c r="A6341" s="4" t="s">
        <v>7972</v>
      </c>
      <c r="B6341" s="4" t="s">
        <v>7973</v>
      </c>
      <c r="C6341" s="5" t="str">
        <f>IFERROR(__xludf.DUMMYFUNCTION("GOOGLETRANSLATE(B6341,""en"",""es-ES"")"),"Vemos una pantalla de introducción con lentes de contacto.")</f>
        <v>Vemos una pantalla de introducción con lentes de contacto.</v>
      </c>
    </row>
    <row r="6342">
      <c r="A6342" s="4" t="s">
        <v>7972</v>
      </c>
      <c r="B6342" s="4" t="s">
        <v>7974</v>
      </c>
      <c r="C6342" s="5" t="str">
        <f>IFERROR(__xludf.DUMMYFUNCTION("GOOGLETRANSLATE(B6342,""en"",""es-ES"")"),"Vemos a un hombre lavarse la mano y tomar un contacto de un nuevo paquete.")</f>
        <v>Vemos a un hombre lavarse la mano y tomar un contacto de un nuevo paquete.</v>
      </c>
    </row>
    <row r="6343">
      <c r="A6343" s="4" t="s">
        <v>7972</v>
      </c>
      <c r="B6343" s="4" t="s">
        <v>7975</v>
      </c>
      <c r="C6343" s="5" t="str">
        <f>IFERROR(__xludf.DUMMYFUNCTION("GOOGLETRANSLATE(B6343,""en"",""es-ES"")"),"La persona mantiene el ojo abierto e inserta la lente de contacto.")</f>
        <v>La persona mantiene el ojo abierto e inserta la lente de contacto.</v>
      </c>
    </row>
    <row r="6344">
      <c r="A6344" s="4" t="s">
        <v>7972</v>
      </c>
      <c r="B6344" s="4" t="s">
        <v>7976</v>
      </c>
      <c r="C6344" s="5" t="str">
        <f>IFERROR(__xludf.DUMMYFUNCTION("GOOGLETRANSLATE(B6344,""en"",""es-ES"")"),"El hombre sonríe y vemos su rostro.")</f>
        <v>El hombre sonríe y vemos su rostro.</v>
      </c>
    </row>
    <row r="6345">
      <c r="A6345" s="4" t="s">
        <v>7972</v>
      </c>
      <c r="B6345" s="4" t="s">
        <v>7977</v>
      </c>
      <c r="C6345" s="5" t="str">
        <f>IFERROR(__xludf.DUMMYFUNCTION("GOOGLETRANSLATE(B6345,""en"",""es-ES"")"),"Luego se nos muestra cómo eliminar la lente de contacto con instrucciones.")</f>
        <v>Luego se nos muestra cómo eliminar la lente de contacto con instrucciones.</v>
      </c>
    </row>
    <row r="6346">
      <c r="A6346" s="4" t="s">
        <v>7972</v>
      </c>
      <c r="B6346" s="4" t="s">
        <v>4452</v>
      </c>
      <c r="C6346" s="5" t="str">
        <f>IFERROR(__xludf.DUMMYFUNCTION("GOOGLETRANSLATE(B6346,""en"",""es-ES"")"),"Luego vemos la pantalla final.")</f>
        <v>Luego vemos la pantalla final.</v>
      </c>
    </row>
    <row r="6347">
      <c r="A6347" s="4" t="s">
        <v>7978</v>
      </c>
      <c r="B6347" s="4" t="s">
        <v>7979</v>
      </c>
      <c r="C6347" s="5" t="str">
        <f>IFERROR(__xludf.DUMMYFUNCTION("GOOGLETRANSLATE(B6347,""en"",""es-ES"")"),"Una cuerda púrpura está unida a una azul, que luego se estira entre dos árboles.")</f>
        <v>Una cuerda púrpura está unida a una azul, que luego se estira entre dos árboles.</v>
      </c>
    </row>
    <row r="6348">
      <c r="A6348" s="4" t="s">
        <v>7978</v>
      </c>
      <c r="B6348" s="4" t="s">
        <v>7980</v>
      </c>
      <c r="C6348" s="5" t="str">
        <f>IFERROR(__xludf.DUMMYFUNCTION("GOOGLETRANSLATE(B6348,""en"",""es-ES"")"),"Un hombre rebota y sale en la cuerda mientras otros tres hombres miran.")</f>
        <v>Un hombre rebota y sale en la cuerda mientras otros tres hombres miran.</v>
      </c>
    </row>
    <row r="6349">
      <c r="A6349" s="4" t="s">
        <v>7978</v>
      </c>
      <c r="B6349" s="4" t="s">
        <v>7981</v>
      </c>
      <c r="C6349" s="5" t="str">
        <f>IFERROR(__xludf.DUMMYFUNCTION("GOOGLETRANSLATE(B6349,""en"",""es-ES"")"),"Los otros hombres se turnan, algunos caen y reequilibran.")</f>
        <v>Los otros hombres se turnan, algunos caen y reequilibran.</v>
      </c>
    </row>
    <row r="6350">
      <c r="A6350" s="4" t="s">
        <v>7982</v>
      </c>
      <c r="B6350" s="4" t="s">
        <v>7983</v>
      </c>
      <c r="C6350" s="5" t="str">
        <f>IFERROR(__xludf.DUMMYFUNCTION("GOOGLETRANSLATE(B6350,""en"",""es-ES"")"),"Primero se muestra a la mujer trazando su dedo por el cuello.")</f>
        <v>Primero se muestra a la mujer trazando su dedo por el cuello.</v>
      </c>
    </row>
    <row r="6351">
      <c r="A6351" s="4" t="s">
        <v>7982</v>
      </c>
      <c r="B6351" s="4" t="s">
        <v>7984</v>
      </c>
      <c r="C6351" s="5" t="str">
        <f>IFERROR(__xludf.DUMMYFUNCTION("GOOGLETRANSLATE(B6351,""en"",""es-ES"")"),"Luego se mueve una parte de su cabello fuera de su camino y comienza a trenzar una parte de su cabello.")</f>
        <v>Luego se mueve una parte de su cabello fuera de su camino y comienza a trenzar una parte de su cabello.</v>
      </c>
    </row>
    <row r="6352">
      <c r="A6352" s="4" t="s">
        <v>7982</v>
      </c>
      <c r="B6352" s="4" t="s">
        <v>7985</v>
      </c>
      <c r="C6352" s="5" t="str">
        <f>IFERROR(__xludf.DUMMYFUNCTION("GOOGLETRANSLATE(B6352,""en"",""es-ES"")"),"Luego trenza otra trenza que es más pequeña que la primera, pero conecta el cabello, usando un par de hilos de la última trenza.")</f>
        <v>Luego trenza otra trenza que es más pequeña que la primera, pero conecta el cabello, usando un par de hilos de la última trenza.</v>
      </c>
    </row>
    <row r="6353">
      <c r="A6353" s="4" t="s">
        <v>7986</v>
      </c>
      <c r="B6353" s="4" t="s">
        <v>7987</v>
      </c>
      <c r="C6353" s="5" t="str">
        <f>IFERROR(__xludf.DUMMYFUNCTION("GOOGLETRANSLATE(B6353,""en"",""es-ES"")"),"Una mujer hace una rutina de karate con una pareja y lanza un grupo que está bloqueado dos veces.")</f>
        <v>Una mujer hace una rutina de karate con una pareja y lanza un grupo que está bloqueado dos veces.</v>
      </c>
    </row>
    <row r="6354">
      <c r="A6354" s="4" t="s">
        <v>7986</v>
      </c>
      <c r="B6354" s="4" t="s">
        <v>7988</v>
      </c>
      <c r="C6354" s="5" t="str">
        <f>IFERROR(__xludf.DUMMYFUNCTION("GOOGLETRANSLATE(B6354,""en"",""es-ES"")"),"La mujer practica un karate a su pareja que mira y levanta las manos.")</f>
        <v>La mujer practica un karate a su pareja que mira y levanta las manos.</v>
      </c>
    </row>
    <row r="6355">
      <c r="A6355" s="4" t="s">
        <v>7986</v>
      </c>
      <c r="B6355" s="4" t="s">
        <v>7989</v>
      </c>
      <c r="C6355" s="5" t="str">
        <f>IFERROR(__xludf.DUMMYFUNCTION("GOOGLETRANSLATE(B6355,""en"",""es-ES"")"),"La mujer arroja un golpe a su pareja que lo atrapa y la arroja al suelo.")</f>
        <v>La mujer arroja un golpe a su pareja que lo atrapa y la arroja al suelo.</v>
      </c>
    </row>
    <row r="6356">
      <c r="A6356" s="4" t="s">
        <v>7990</v>
      </c>
      <c r="B6356" s="4" t="s">
        <v>7991</v>
      </c>
      <c r="C6356" s="5" t="str">
        <f>IFERROR(__xludf.DUMMYFUNCTION("GOOGLETRANSLATE(B6356,""en"",""es-ES"")"),"Un par de herramientas están sentados en el borde de una mesa.")</f>
        <v>Un par de herramientas están sentados en el borde de una mesa.</v>
      </c>
    </row>
    <row r="6357">
      <c r="A6357" s="4" t="s">
        <v>7990</v>
      </c>
      <c r="B6357" s="4" t="s">
        <v>7992</v>
      </c>
      <c r="C6357" s="5" t="str">
        <f>IFERROR(__xludf.DUMMYFUNCTION("GOOGLETRANSLATE(B6357,""en"",""es-ES"")"),"Un hombre ajusta la posición de las herramientas.")</f>
        <v>Un hombre ajusta la posición de las herramientas.</v>
      </c>
    </row>
    <row r="6358">
      <c r="A6358" s="4" t="s">
        <v>7990</v>
      </c>
      <c r="B6358" s="4" t="s">
        <v>7993</v>
      </c>
      <c r="C6358" s="5" t="str">
        <f>IFERROR(__xludf.DUMMYFUNCTION("GOOGLETRANSLATE(B6358,""en"",""es-ES"")"),"Utiliza un cuchillo en las grietas, afilando el cuchillo.")</f>
        <v>Utiliza un cuchillo en las grietas, afilando el cuchillo.</v>
      </c>
    </row>
    <row r="6359">
      <c r="A6359" s="4" t="s">
        <v>7994</v>
      </c>
      <c r="B6359" s="4" t="s">
        <v>7995</v>
      </c>
      <c r="C6359" s="5" t="str">
        <f>IFERROR(__xludf.DUMMYFUNCTION("GOOGLETRANSLATE(B6359,""en"",""es-ES"")"),"Vassen Cloud Nine Contactos de color rojo se encuentran en el contenedor al que pertenecen.")</f>
        <v>Vassen Cloud Nine Contactos de color rojo se encuentran en el contenedor al que pertenecen.</v>
      </c>
    </row>
    <row r="6360">
      <c r="A6360" s="4" t="s">
        <v>7994</v>
      </c>
      <c r="B6360" s="4" t="s">
        <v>7996</v>
      </c>
      <c r="C6360" s="5" t="str">
        <f>IFERROR(__xludf.DUMMYFUNCTION("GOOGLETRANSLATE(B6360,""en"",""es-ES"")"),"Una mujer de cabello rubio con ojos marrones coloca a una de ellas en su ojo.")</f>
        <v>Una mujer de cabello rubio con ojos marrones coloca a una de ellas en su ojo.</v>
      </c>
    </row>
    <row r="6361">
      <c r="A6361" s="4" t="s">
        <v>7994</v>
      </c>
      <c r="B6361" s="4" t="s">
        <v>7997</v>
      </c>
      <c r="C6361" s="5" t="str">
        <f>IFERROR(__xludf.DUMMYFUNCTION("GOOGLETRANSLATE(B6361,""en"",""es-ES"")"),"Puedes ver la diferencia del marrón y el contacto muy claramente y se ve bastante bien.")</f>
        <v>Puedes ver la diferencia del marrón y el contacto muy claramente y se ve bastante bien.</v>
      </c>
    </row>
    <row r="6362">
      <c r="A6362" s="4" t="s">
        <v>7994</v>
      </c>
      <c r="B6362" s="4" t="s">
        <v>7998</v>
      </c>
      <c r="C6362" s="5" t="str">
        <f>IFERROR(__xludf.DUMMYFUNCTION("GOOGLETRANSLATE(B6362,""en"",""es-ES"")"),"Luego puso el otro contacto para que pueda ver cómo se ven ambas lentes a la distancia.")</f>
        <v>Luego puso el otro contacto para que pueda ver cómo se ven ambas lentes a la distancia.</v>
      </c>
    </row>
    <row r="6363">
      <c r="A6363" s="4" t="s">
        <v>7999</v>
      </c>
      <c r="B6363" s="4" t="s">
        <v>8000</v>
      </c>
      <c r="C6363" s="5" t="str">
        <f>IFERROR(__xludf.DUMMYFUNCTION("GOOGLETRANSLATE(B6363,""en"",""es-ES"")"),"Un joven está parado en un área circular verde anetada.")</f>
        <v>Un joven está parado en un área circular verde anetada.</v>
      </c>
    </row>
    <row r="6364">
      <c r="A6364" s="4" t="s">
        <v>7999</v>
      </c>
      <c r="B6364" s="4" t="s">
        <v>8001</v>
      </c>
      <c r="C6364" s="5" t="str">
        <f>IFERROR(__xludf.DUMMYFUNCTION("GOOGLETRANSLATE(B6364,""en"",""es-ES"")"),"El hombre sostiene una pelota y comienza a girar a sí mismo y alrededor varias veces y luego lanza la pelota.")</f>
        <v>El hombre sostiene una pelota y comienza a girar a sí mismo y alrededor varias veces y luego lanza la pelota.</v>
      </c>
    </row>
    <row r="6365">
      <c r="A6365" s="4" t="s">
        <v>7999</v>
      </c>
      <c r="B6365" s="4" t="s">
        <v>8002</v>
      </c>
      <c r="C6365" s="5" t="str">
        <f>IFERROR(__xludf.DUMMYFUNCTION("GOOGLETRANSLATE(B6365,""en"",""es-ES"")"),"Después de lanzar la pelota, cae duro y rápidamente al suelo.")</f>
        <v>Después de lanzar la pelota, cae duro y rápidamente al suelo.</v>
      </c>
    </row>
    <row r="6366">
      <c r="A6366" s="4" t="s">
        <v>8003</v>
      </c>
      <c r="B6366" s="4" t="s">
        <v>8004</v>
      </c>
      <c r="C6366" s="5" t="str">
        <f>IFERROR(__xludf.DUMMYFUNCTION("GOOGLETRANSLATE(B6366,""en"",""es-ES"")"),"El video de TMZ muestra a varios hombres con sobrepeso como parte del evento de destrucción de sumo.")</f>
        <v>El video de TMZ muestra a varios hombres con sobrepeso como parte del evento de destrucción de sumo.</v>
      </c>
    </row>
    <row r="6367">
      <c r="A6367" s="4" t="s">
        <v>8003</v>
      </c>
      <c r="B6367" s="4" t="s">
        <v>8005</v>
      </c>
      <c r="C6367" s="5" t="str">
        <f>IFERROR(__xludf.DUMMYFUNCTION("GOOGLETRANSLATE(B6367,""en"",""es-ES"")"),"Muestra una foto del cantante George Michael también.")</f>
        <v>Muestra una foto del cantante George Michael también.</v>
      </c>
    </row>
    <row r="6368">
      <c r="A6368" s="4" t="s">
        <v>8003</v>
      </c>
      <c r="B6368" s="4" t="s">
        <v>8006</v>
      </c>
      <c r="C6368" s="5" t="str">
        <f>IFERROR(__xludf.DUMMYFUNCTION("GOOGLETRANSLATE(B6368,""en"",""es-ES"")"),"Hay un panel de personas sentadas en un estudio hablando sobre el evento.")</f>
        <v>Hay un panel de personas sentadas en un estudio hablando sobre el evento.</v>
      </c>
    </row>
    <row r="6369">
      <c r="A6369" s="4" t="s">
        <v>8003</v>
      </c>
      <c r="B6369" s="4" t="s">
        <v>8007</v>
      </c>
      <c r="C6369" s="5" t="str">
        <f>IFERROR(__xludf.DUMMYFUNCTION("GOOGLETRANSLATE(B6369,""en"",""es-ES"")"),"Están leyendo un guión y riendo.")</f>
        <v>Están leyendo un guión y riendo.</v>
      </c>
    </row>
    <row r="6370">
      <c r="A6370" s="4" t="s">
        <v>8003</v>
      </c>
      <c r="B6370" s="4" t="s">
        <v>8008</v>
      </c>
      <c r="C6370" s="5" t="str">
        <f>IFERROR(__xludf.DUMMYFUNCTION("GOOGLETRANSLATE(B6370,""en"",""es-ES"")"),"También se muestran imágenes de los luchadores de sumo.")</f>
        <v>También se muestran imágenes de los luchadores de sumo.</v>
      </c>
    </row>
    <row r="6371">
      <c r="A6371" s="4" t="s">
        <v>8003</v>
      </c>
      <c r="B6371" s="4" t="s">
        <v>8009</v>
      </c>
      <c r="C6371" s="5" t="str">
        <f>IFERROR(__xludf.DUMMYFUNCTION("GOOGLETRANSLATE(B6371,""en"",""es-ES"")"),"También muestra a Sumo Wrestlers Wrestling mientras los espectadores miran el evento.")</f>
        <v>También muestra a Sumo Wrestlers Wrestling mientras los espectadores miran el evento.</v>
      </c>
    </row>
    <row r="6372">
      <c r="A6372" s="4" t="s">
        <v>8010</v>
      </c>
      <c r="B6372" s="4" t="s">
        <v>8011</v>
      </c>
      <c r="C6372" s="5" t="str">
        <f>IFERROR(__xludf.DUMMYFUNCTION("GOOGLETRANSLATE(B6372,""en"",""es-ES"")"),"Tres mujeres caminan al lado de una casa en un estacionamiento.")</f>
        <v>Tres mujeres caminan al lado de una casa en un estacionamiento.</v>
      </c>
    </row>
    <row r="6373">
      <c r="A6373" s="4" t="s">
        <v>8010</v>
      </c>
      <c r="B6373" s="4" t="s">
        <v>8012</v>
      </c>
      <c r="C6373" s="5" t="str">
        <f>IFERROR(__xludf.DUMMYFUNCTION("GOOGLETRANSLATE(B6373,""en"",""es-ES"")"),"La gente está haciendo snowboard entre dos cercas en un pequeño pasillo que baja por una pequeña pendiente.")</f>
        <v>La gente está haciendo snowboard entre dos cercas en un pequeño pasillo que baja por una pequeña pendiente.</v>
      </c>
    </row>
    <row r="6374">
      <c r="A6374" s="4" t="s">
        <v>8010</v>
      </c>
      <c r="B6374" s="4" t="s">
        <v>8013</v>
      </c>
      <c r="C6374" s="5" t="str">
        <f>IFERROR(__xludf.DUMMYFUNCTION("GOOGLETRANSLATE(B6374,""en"",""es-ES"")"),"La gente está parada en una montaña nevada en tablas de snowboard.")</f>
        <v>La gente está parada en una montaña nevada en tablas de snowboard.</v>
      </c>
    </row>
    <row r="6375">
      <c r="A6375" s="4" t="s">
        <v>8010</v>
      </c>
      <c r="B6375" s="4" t="s">
        <v>8014</v>
      </c>
      <c r="C6375" s="5" t="str">
        <f>IFERROR(__xludf.DUMMYFUNCTION("GOOGLETRANSLATE(B6375,""en"",""es-ES"")"),"La gente come sentada afuera de una tienda de campaña.")</f>
        <v>La gente come sentada afuera de una tienda de campaña.</v>
      </c>
    </row>
    <row r="6376">
      <c r="A6376" s="4" t="s">
        <v>8010</v>
      </c>
      <c r="B6376" s="4" t="s">
        <v>8015</v>
      </c>
      <c r="C6376" s="5" t="str">
        <f>IFERROR(__xludf.DUMMYFUNCTION("GOOGLETRANSLATE(B6376,""en"",""es-ES"")"),"La gente está snwoboard bajando por un anuncio de pendiente nevada haciendo trucos en las montañas.")</f>
        <v>La gente está snwoboard bajando por un anuncio de pendiente nevada haciendo trucos en las montañas.</v>
      </c>
    </row>
    <row r="6377">
      <c r="A6377" s="4" t="s">
        <v>8016</v>
      </c>
      <c r="B6377" s="4" t="s">
        <v>8017</v>
      </c>
      <c r="C6377" s="5" t="str">
        <f>IFERROR(__xludf.DUMMYFUNCTION("GOOGLETRANSLATE(B6377,""en"",""es-ES"")"),"Un hombre dispara una flecha con su arco.")</f>
        <v>Un hombre dispara una flecha con su arco.</v>
      </c>
    </row>
    <row r="6378">
      <c r="A6378" s="4" t="s">
        <v>8016</v>
      </c>
      <c r="B6378" s="4" t="s">
        <v>8018</v>
      </c>
      <c r="C6378" s="5" t="str">
        <f>IFERROR(__xludf.DUMMYFUNCTION("GOOGLETRANSLATE(B6378,""en"",""es-ES"")"),"Agarra otra flecha y vuelve a disparar.")</f>
        <v>Agarra otra flecha y vuelve a disparar.</v>
      </c>
    </row>
    <row r="6379">
      <c r="A6379" s="4" t="s">
        <v>8016</v>
      </c>
      <c r="B6379" s="4" t="s">
        <v>8019</v>
      </c>
      <c r="C6379" s="5" t="str">
        <f>IFERROR(__xludf.DUMMYFUNCTION("GOOGLETRANSLATE(B6379,""en"",""es-ES"")"),"Una vez más, dispara una flecha.")</f>
        <v>Una vez más, dispara una flecha.</v>
      </c>
    </row>
    <row r="6380">
      <c r="A6380" s="4" t="s">
        <v>8016</v>
      </c>
      <c r="B6380" s="4" t="s">
        <v>8020</v>
      </c>
      <c r="C6380" s="5" t="str">
        <f>IFERROR(__xludf.DUMMYFUNCTION("GOOGLETRANSLATE(B6380,""en"",""es-ES"")"),"Encuentra otra flecha y dispara.")</f>
        <v>Encuentra otra flecha y dispara.</v>
      </c>
    </row>
    <row r="6381">
      <c r="A6381" s="4" t="s">
        <v>8016</v>
      </c>
      <c r="B6381" s="4" t="s">
        <v>8021</v>
      </c>
      <c r="C6381" s="5" t="str">
        <f>IFERROR(__xludf.DUMMYFUNCTION("GOOGLETRANSLATE(B6381,""en"",""es-ES"")"),"Toma otra foto de una flecha.")</f>
        <v>Toma otra foto de una flecha.</v>
      </c>
    </row>
    <row r="6382">
      <c r="A6382" s="4" t="s">
        <v>8016</v>
      </c>
      <c r="B6382" s="4" t="s">
        <v>8022</v>
      </c>
      <c r="C6382" s="5" t="str">
        <f>IFERROR(__xludf.DUMMYFUNCTION("GOOGLETRANSLATE(B6382,""en"",""es-ES"")"),"Se agarra otra flecha y dispara.")</f>
        <v>Se agarra otra flecha y dispara.</v>
      </c>
    </row>
    <row r="6383">
      <c r="A6383" s="4" t="s">
        <v>8016</v>
      </c>
      <c r="B6383" s="4" t="s">
        <v>8023</v>
      </c>
      <c r="C6383" s="5" t="str">
        <f>IFERROR(__xludf.DUMMYFUNCTION("GOOGLETRANSLATE(B6383,""en"",""es-ES"")"),"Toma otro y lo dispara.")</f>
        <v>Toma otro y lo dispara.</v>
      </c>
    </row>
    <row r="6384">
      <c r="A6384" s="4" t="s">
        <v>8016</v>
      </c>
      <c r="B6384" s="4" t="s">
        <v>8024</v>
      </c>
      <c r="C6384" s="5" t="str">
        <f>IFERROR(__xludf.DUMMYFUNCTION("GOOGLETRANSLATE(B6384,""en"",""es-ES"")"),"Agarra otra flecha de su cintura y dispara de nuevo.")</f>
        <v>Agarra otra flecha de su cintura y dispara de nuevo.</v>
      </c>
    </row>
    <row r="6385">
      <c r="A6385" s="4" t="s">
        <v>8016</v>
      </c>
      <c r="B6385" s="4" t="s">
        <v>8025</v>
      </c>
      <c r="C6385" s="5" t="str">
        <f>IFERROR(__xludf.DUMMYFUNCTION("GOOGLETRANSLATE(B6385,""en"",""es-ES"")"),"Él dispara una flecha una vez más.")</f>
        <v>Él dispara una flecha una vez más.</v>
      </c>
    </row>
    <row r="6386">
      <c r="A6386" s="4" t="s">
        <v>8016</v>
      </c>
      <c r="B6386" s="4" t="s">
        <v>8026</v>
      </c>
      <c r="C6386" s="5" t="str">
        <f>IFERROR(__xludf.DUMMYFUNCTION("GOOGLETRANSLATE(B6386,""en"",""es-ES"")"),"Él toma una flecha final y dispara.")</f>
        <v>Él toma una flecha final y dispara.</v>
      </c>
    </row>
    <row r="6387">
      <c r="A6387" s="4" t="s">
        <v>8016</v>
      </c>
      <c r="B6387" s="4" t="s">
        <v>8027</v>
      </c>
      <c r="C6387" s="5" t="str">
        <f>IFERROR(__xludf.DUMMYFUNCTION("GOOGLETRANSLATE(B6387,""en"",""es-ES"")"),"Una persona camina hacia el heno donde se han disparado las flechas.")</f>
        <v>Una persona camina hacia el heno donde se han disparado las flechas.</v>
      </c>
    </row>
    <row r="6388">
      <c r="A6388" s="4" t="s">
        <v>8028</v>
      </c>
      <c r="B6388" s="4" t="s">
        <v>8029</v>
      </c>
      <c r="C6388" s="5" t="str">
        <f>IFERROR(__xludf.DUMMYFUNCTION("GOOGLETRANSLATE(B6388,""en"",""es-ES"")"),"Un hombre se prepara para correr por una pista.")</f>
        <v>Un hombre se prepara para correr por una pista.</v>
      </c>
    </row>
    <row r="6389">
      <c r="A6389" s="4" t="s">
        <v>8028</v>
      </c>
      <c r="B6389" s="4" t="s">
        <v>8030</v>
      </c>
      <c r="C6389" s="5" t="str">
        <f>IFERROR(__xludf.DUMMYFUNCTION("GOOGLETRANSLATE(B6389,""en"",""es-ES"")"),"Corre muy rápido por el camino.")</f>
        <v>Corre muy rápido por el camino.</v>
      </c>
    </row>
    <row r="6390">
      <c r="A6390" s="4" t="s">
        <v>8028</v>
      </c>
      <c r="B6390" s="4" t="s">
        <v>8031</v>
      </c>
      <c r="C6390" s="5" t="str">
        <f>IFERROR(__xludf.DUMMYFUNCTION("GOOGLETRANSLATE(B6390,""en"",""es-ES"")"),"Da un salto gigante, aterrizando en la arena.")</f>
        <v>Da un salto gigante, aterrizando en la arena.</v>
      </c>
    </row>
    <row r="6391">
      <c r="A6391" s="4" t="s">
        <v>8032</v>
      </c>
      <c r="B6391" s="4" t="s">
        <v>8033</v>
      </c>
      <c r="C6391" s="5" t="str">
        <f>IFERROR(__xludf.DUMMYFUNCTION("GOOGLETRANSLATE(B6391,""en"",""es-ES"")"),"Un hombre vestido con vestimenta de negocios entra en una cocina con algunos niños detrás de él, sacude la mano de una mujer, se frota el hombro y luego presenta a los niños a la mujer, y todo el tiempo de texto negro en la parte superior de la pantalla l"&amp;"ee ""'mentir' ' Ryan tiene unos minutos para matar antes de un vuelo "".")</f>
        <v>Un hombre vestido con vestimenta de negocios entra en una cocina con algunos niños detrás de él, sacude la mano de una mujer, se frota el hombro y luego presenta a los niños a la mujer, y todo el tiempo de texto negro en la parte superior de la pantalla lee "'mentir' ' Ryan tiene unos minutos para matar antes de un vuelo ".</v>
      </c>
    </row>
    <row r="6392">
      <c r="A6392" s="4" t="s">
        <v>8032</v>
      </c>
      <c r="B6392" s="4" t="s">
        <v>8034</v>
      </c>
      <c r="C6392" s="5" t="str">
        <f>IFERROR(__xludf.DUMMYFUNCTION("GOOGLETRANSLATE(B6392,""en"",""es-ES"")"),"Más clips continúan jugando al hombre en la cocina, hablando, manejando productos de limpieza y lavando platos, pero muchas palabras negativas sobre él aparecen en la pantalla.")</f>
        <v>Más clips continúan jugando al hombre en la cocina, hablando, manejando productos de limpieza y lavando platos, pero muchas palabras negativas sobre él aparecen en la pantalla.</v>
      </c>
    </row>
    <row r="6393">
      <c r="A6393" s="4" t="s">
        <v>8032</v>
      </c>
      <c r="B6393" s="4" t="s">
        <v>8035</v>
      </c>
      <c r="C6393" s="5" t="str">
        <f>IFERROR(__xludf.DUMMYFUNCTION("GOOGLETRANSLATE(B6393,""en"",""es-ES"")"),"El hombre está fuera de la cocina ahora y camina y luego se detiene para estrechar la mano y hablar con un hombre, pero todavía aparece un mensaje negativo sobre él en la pantalla.")</f>
        <v>El hombre está fuera de la cocina ahora y camina y luego se detiene para estrechar la mano y hablar con un hombre, pero todavía aparece un mensaje negativo sobre él en la pantalla.</v>
      </c>
    </row>
    <row r="6394">
      <c r="A6394" s="4" t="s">
        <v>8036</v>
      </c>
      <c r="B6394" s="4" t="s">
        <v>8037</v>
      </c>
      <c r="C6394" s="5" t="str">
        <f>IFERROR(__xludf.DUMMYFUNCTION("GOOGLETRANSLATE(B6394,""en"",""es-ES"")"),"Se ve a una mujer corriendo por un camino mientras mira su reloj y apunta a las cosas frente a ella.")</f>
        <v>Se ve a una mujer corriendo por un camino mientras mira su reloj y apunta a las cosas frente a ella.</v>
      </c>
    </row>
    <row r="6395">
      <c r="A6395" s="4" t="s">
        <v>8036</v>
      </c>
      <c r="B6395" s="4" t="s">
        <v>8038</v>
      </c>
      <c r="C6395" s="5" t="str">
        <f>IFERROR(__xludf.DUMMYFUNCTION("GOOGLETRANSLATE(B6395,""en"",""es-ES"")"),"Ella continúa corriendo por la calle mientras otras personas la aplauden y ella sigue corriendo.")</f>
        <v>Ella continúa corriendo por la calle mientras otras personas la aplauden y ella sigue corriendo.</v>
      </c>
    </row>
    <row r="6396">
      <c r="A6396" s="4" t="s">
        <v>8039</v>
      </c>
      <c r="B6396" s="4" t="s">
        <v>8040</v>
      </c>
      <c r="C6396" s="5" t="str">
        <f>IFERROR(__xludf.DUMMYFUNCTION("GOOGLETRANSLATE(B6396,""en"",""es-ES"")"),"El hombre está sentado en un kayak al lado de la acera.")</f>
        <v>El hombre está sentado en un kayak al lado de la acera.</v>
      </c>
    </row>
    <row r="6397">
      <c r="A6397" s="4" t="s">
        <v>8039</v>
      </c>
      <c r="B6397" s="4" t="s">
        <v>8041</v>
      </c>
      <c r="C6397" s="5" t="str">
        <f>IFERROR(__xludf.DUMMYFUNCTION("GOOGLETRANSLATE(B6397,""en"",""es-ES"")"),"El hombre está sacando el kayak del agua.")</f>
        <v>El hombre está sacando el kayak del agua.</v>
      </c>
    </row>
    <row r="6398">
      <c r="A6398" s="4" t="s">
        <v>8039</v>
      </c>
      <c r="B6398" s="4" t="s">
        <v>8042</v>
      </c>
      <c r="C6398" s="5" t="str">
        <f>IFERROR(__xludf.DUMMYFUNCTION("GOOGLETRANSLATE(B6398,""en"",""es-ES"")"),"El hombre está en el río sosteniendo la fila y haciendo kayak y otros hombres están a su lado.")</f>
        <v>El hombre está en el río sosteniendo la fila y haciendo kayak y otros hombres están a su lado.</v>
      </c>
    </row>
    <row r="6399">
      <c r="A6399" s="4" t="s">
        <v>8043</v>
      </c>
      <c r="B6399" s="4" t="s">
        <v>8044</v>
      </c>
      <c r="C6399" s="5" t="str">
        <f>IFERROR(__xludf.DUMMYFUNCTION("GOOGLETRANSLATE(B6399,""en"",""es-ES"")"),"Un hombre se está grabando en una palanca con otro hombre.")</f>
        <v>Un hombre se está grabando en una palanca con otro hombre.</v>
      </c>
    </row>
    <row r="6400">
      <c r="A6400" s="4" t="s">
        <v>8043</v>
      </c>
      <c r="B6400" s="4" t="s">
        <v>8045</v>
      </c>
      <c r="C6400" s="5" t="str">
        <f>IFERROR(__xludf.DUMMYFUNCTION("GOOGLETRANSLATE(B6400,""en"",""es-ES"")"),"El viaje sube más alto y el hombre con un sombrero está hablando con el otro.")</f>
        <v>El viaje sube más alto y el hombre con un sombrero está hablando con el otro.</v>
      </c>
    </row>
    <row r="6401">
      <c r="A6401" s="4" t="s">
        <v>8043</v>
      </c>
      <c r="B6401" s="4" t="s">
        <v>8046</v>
      </c>
      <c r="C6401" s="5" t="str">
        <f>IFERROR(__xludf.DUMMYFUNCTION("GOOGLETRANSLATE(B6401,""en"",""es-ES"")"),"El viaje llega a la cima y el hombre extiende sus brazos.")</f>
        <v>El viaje llega a la cima y el hombre extiende sus brazos.</v>
      </c>
    </row>
    <row r="6402">
      <c r="A6402" s="4" t="s">
        <v>8043</v>
      </c>
      <c r="B6402" s="4" t="s">
        <v>8047</v>
      </c>
      <c r="C6402" s="5" t="str">
        <f>IFERROR(__xludf.DUMMYFUNCTION("GOOGLETRANSLATE(B6402,""en"",""es-ES"")"),"Él cuenta hacia abajo y deja caer al hombre para saltar el puenting.")</f>
        <v>Él cuenta hacia abajo y deja caer al hombre para saltar el puenting.</v>
      </c>
    </row>
    <row r="6403">
      <c r="A6403" s="4" t="s">
        <v>8043</v>
      </c>
      <c r="B6403" s="4" t="s">
        <v>8048</v>
      </c>
      <c r="C6403" s="5" t="str">
        <f>IFERROR(__xludf.DUMMYFUNCTION("GOOGLETRANSLATE(B6403,""en"",""es-ES"")"),"El hombre llega al fondo de forma segura y el viaje vuelve a bajar.")</f>
        <v>El hombre llega al fondo de forma segura y el viaje vuelve a bajar.</v>
      </c>
    </row>
    <row r="6404">
      <c r="A6404" s="4" t="s">
        <v>8049</v>
      </c>
      <c r="B6404" s="4" t="s">
        <v>8050</v>
      </c>
      <c r="C6404" s="5" t="str">
        <f>IFERROR(__xludf.DUMMYFUNCTION("GOOGLETRANSLATE(B6404,""en"",""es-ES"")"),"Afuera en Oak Creek hay algunos ciclistas que se preparan por la tierra.")</f>
        <v>Afuera en Oak Creek hay algunos ciclistas que se preparan por la tierra.</v>
      </c>
    </row>
    <row r="6405">
      <c r="A6405" s="4" t="s">
        <v>8049</v>
      </c>
      <c r="B6405" s="4" t="s">
        <v>8051</v>
      </c>
      <c r="C6405" s="5" t="str">
        <f>IFERROR(__xludf.DUMMYFUNCTION("GOOGLETRANSLATE(B6405,""en"",""es-ES"")"),"Cuando las puertas bajan, todas van tan rápido como pueden a través del obstáculo de la tierra.")</f>
        <v>Cuando las puertas bajan, todas van tan rápido como pueden a través del obstáculo de la tierra.</v>
      </c>
    </row>
    <row r="6406">
      <c r="A6406" s="4" t="s">
        <v>8049</v>
      </c>
      <c r="B6406" s="4" t="s">
        <v>8052</v>
      </c>
      <c r="C6406" s="5" t="str">
        <f>IFERROR(__xludf.DUMMYFUNCTION("GOOGLETRANSLATE(B6406,""en"",""es-ES"")"),"Hay algunas personas sentadas en las gradas mirando cómo se van a los ciclistas.")</f>
        <v>Hay algunas personas sentadas en las gradas mirando cómo se van a los ciclistas.</v>
      </c>
    </row>
    <row r="6407">
      <c r="A6407" s="4" t="s">
        <v>8049</v>
      </c>
      <c r="B6407" s="4" t="s">
        <v>8053</v>
      </c>
      <c r="C6407" s="5" t="str">
        <f>IFERROR(__xludf.DUMMYFUNCTION("GOOGLETRANSLATE(B6407,""en"",""es-ES"")"),"Incluso muestran a algunos de los niños esperando y pasando un buen rato viendo la carrera.")</f>
        <v>Incluso muestran a algunos de los niños esperando y pasando un buen rato viendo la carrera.</v>
      </c>
    </row>
    <row r="6408">
      <c r="A6408" s="4" t="s">
        <v>8054</v>
      </c>
      <c r="B6408" s="4" t="s">
        <v>8055</v>
      </c>
      <c r="C6408" s="5" t="str">
        <f>IFERROR(__xludf.DUMMYFUNCTION("GOOGLETRANSLATE(B6408,""en"",""es-ES"")"),"Una mujer practica la gimnasia del piso, mientras que otras participan en diversas actividades en el fondo.")</f>
        <v>Una mujer practica la gimnasia del piso, mientras que otras participan en diversas actividades en el fondo.</v>
      </c>
    </row>
    <row r="6409">
      <c r="A6409" s="4" t="s">
        <v>8054</v>
      </c>
      <c r="B6409" s="4" t="s">
        <v>8056</v>
      </c>
      <c r="C6409" s="5" t="str">
        <f>IFERROR(__xludf.DUMMYFUNCTION("GOOGLETRANSLATE(B6409,""en"",""es-ES"")"),"Una segunda mujer practica gimnasia en el piso.")</f>
        <v>Una segunda mujer practica gimnasia en el piso.</v>
      </c>
    </row>
    <row r="6410">
      <c r="A6410" s="4" t="s">
        <v>8054</v>
      </c>
      <c r="B6410" s="4" t="s">
        <v>8057</v>
      </c>
      <c r="C6410" s="5" t="str">
        <f>IFERROR(__xludf.DUMMYFUNCTION("GOOGLETRANSLATE(B6410,""en"",""es-ES"")"),"Se muestra a las dos mujeres realizando la misma acción a su vez.")</f>
        <v>Se muestra a las dos mujeres realizando la misma acción a su vez.</v>
      </c>
    </row>
    <row r="6411">
      <c r="A6411" s="4" t="s">
        <v>8054</v>
      </c>
      <c r="B6411" s="4" t="s">
        <v>8058</v>
      </c>
      <c r="C6411" s="5" t="str">
        <f>IFERROR(__xludf.DUMMYFUNCTION("GOOGLETRANSLATE(B6411,""en"",""es-ES"")"),"Se muestra a la primera mujer practicando más gimnasia en el piso, con repeticiones ocasionales de cámara lenta de su acción.")</f>
        <v>Se muestra a la primera mujer practicando más gimnasia en el piso, con repeticiones ocasionales de cámara lenta de su acción.</v>
      </c>
    </row>
    <row r="6412">
      <c r="A6412" s="4" t="s">
        <v>8054</v>
      </c>
      <c r="B6412" s="4" t="s">
        <v>8059</v>
      </c>
      <c r="C6412" s="5" t="str">
        <f>IFERROR(__xludf.DUMMYFUNCTION("GOOGLETRANSLATE(B6412,""en"",""es-ES"")"),"Se muestra a la segunda mujer realizando algún tipo de pose.")</f>
        <v>Se muestra a la segunda mujer realizando algún tipo de pose.</v>
      </c>
    </row>
    <row r="6413">
      <c r="A6413" s="4" t="s">
        <v>8054</v>
      </c>
      <c r="B6413" s="4" t="s">
        <v>8060</v>
      </c>
      <c r="C6413" s="5" t="str">
        <f>IFERROR(__xludf.DUMMYFUNCTION("GOOGLETRANSLATE(B6413,""en"",""es-ES"")"),"Se muestra a la primera mujer realizando gimnasia una vez más.")</f>
        <v>Se muestra a la primera mujer realizando gimnasia una vez más.</v>
      </c>
    </row>
    <row r="6414">
      <c r="A6414" s="4" t="s">
        <v>8054</v>
      </c>
      <c r="B6414" s="4" t="s">
        <v>8061</v>
      </c>
      <c r="C6414" s="5" t="str">
        <f>IFERROR(__xludf.DUMMYFUNCTION("GOOGLETRANSLATE(B6414,""en"",""es-ES"")"),"Se muestra a la segunda mujer estirando la pierna en el aire.")</f>
        <v>Se muestra a la segunda mujer estirando la pierna en el aire.</v>
      </c>
    </row>
    <row r="6415">
      <c r="A6415" s="4" t="s">
        <v>8054</v>
      </c>
      <c r="B6415" s="4" t="s">
        <v>8062</v>
      </c>
      <c r="C6415" s="5" t="str">
        <f>IFERROR(__xludf.DUMMYFUNCTION("GOOGLETRANSLATE(B6415,""en"",""es-ES"")"),"La primera mujer se muestra realizando gimnasia una vez más.")</f>
        <v>La primera mujer se muestra realizando gimnasia una vez más.</v>
      </c>
    </row>
    <row r="6416">
      <c r="A6416" s="4" t="s">
        <v>8054</v>
      </c>
      <c r="B6416" s="4" t="s">
        <v>8063</v>
      </c>
      <c r="C6416" s="5" t="str">
        <f>IFERROR(__xludf.DUMMYFUNCTION("GOOGLETRANSLATE(B6416,""en"",""es-ES"")"),"La segunda mujer se muestra en algún tipo de pose una vez más.")</f>
        <v>La segunda mujer se muestra en algún tipo de pose una vez más.</v>
      </c>
    </row>
    <row r="6417">
      <c r="A6417" s="4" t="s">
        <v>8054</v>
      </c>
      <c r="B6417" s="4" t="s">
        <v>8064</v>
      </c>
      <c r="C6417" s="5" t="str">
        <f>IFERROR(__xludf.DUMMYFUNCTION("GOOGLETRANSLATE(B6417,""en"",""es-ES"")"),"Se muestra a la primera mujer realizando gimnasia una vez más.")</f>
        <v>Se muestra a la primera mujer realizando gimnasia una vez más.</v>
      </c>
    </row>
    <row r="6418">
      <c r="A6418" s="4" t="s">
        <v>8065</v>
      </c>
      <c r="B6418" s="4" t="s">
        <v>8066</v>
      </c>
      <c r="C6418" s="5" t="str">
        <f>IFERROR(__xludf.DUMMYFUNCTION("GOOGLETRANSLATE(B6418,""en"",""es-ES"")"),"Se muestra un enorme barco rojo, blanco y negro en el agua, luego se muestra un barco más pequeño que se acerca rápidamente al bote que está filmando y de repente se estrella contra el bote y tiene humo negro que viene de la parte superior.")</f>
        <v>Se muestra un enorme barco rojo, blanco y negro en el agua, luego se muestra un barco más pequeño que se acerca rápidamente al bote que está filmando y de repente se estrella contra el bote y tiene humo negro que viene de la parte superior.</v>
      </c>
    </row>
    <row r="6419">
      <c r="A6419" s="4" t="s">
        <v>8065</v>
      </c>
      <c r="B6419" s="4" t="s">
        <v>8067</v>
      </c>
      <c r="C6419" s="5" t="str">
        <f>IFERROR(__xludf.DUMMYFUNCTION("GOOGLETRANSLATE(B6419,""en"",""es-ES"")"),"Muchas personas se muestran en el bote con chalecos salvavidas que se mueven rápidamente sobre el barco, y los hombres están tirando frenéticamente en la cuerda.")</f>
        <v>Muchas personas se muestran en el bote con chalecos salvavidas que se mueven rápidamente sobre el barco, y los hombres están tirando frenéticamente en la cuerda.</v>
      </c>
    </row>
    <row r="6420">
      <c r="A6420" s="4" t="s">
        <v>8065</v>
      </c>
      <c r="B6420" s="4" t="s">
        <v>8068</v>
      </c>
      <c r="C6420" s="5" t="str">
        <f>IFERROR(__xludf.DUMMYFUNCTION("GOOGLETRANSLATE(B6420,""en"",""es-ES"")"),"Un hombre y una mujer ahora están barriendo el área donde fue golpeado el bote y otro hombre está ayudando a recoger piezas rotas.")</f>
        <v>Un hombre y una mujer ahora están barriendo el área donde fue golpeado el bote y otro hombre está ayudando a recoger piezas rotas.</v>
      </c>
    </row>
    <row r="6421">
      <c r="A6421" s="4" t="s">
        <v>8069</v>
      </c>
      <c r="B6421" s="4" t="s">
        <v>8070</v>
      </c>
      <c r="C6421" s="5" t="str">
        <f>IFERROR(__xludf.DUMMYFUNCTION("GOOGLETRANSLATE(B6421,""en"",""es-ES"")"),"Una señora toca el arpa y otra toca la flauta en una orquesta y vemos al director y regresamos a la flauta.")</f>
        <v>Una señora toca el arpa y otra toca la flauta en una orquesta y vemos al director y regresamos a la flauta.</v>
      </c>
    </row>
    <row r="6422">
      <c r="A6422" s="4" t="s">
        <v>8069</v>
      </c>
      <c r="B6422" s="4" t="s">
        <v>8071</v>
      </c>
      <c r="C6422" s="5" t="str">
        <f>IFERROR(__xludf.DUMMYFUNCTION("GOOGLETRANSLATE(B6422,""en"",""es-ES"")"),"Vemos que toda la orquesta juega y regresa a la flauta y la orquesta corta y viene hacia adelante y hacia atrás.")</f>
        <v>Vemos que toda la orquesta juega y regresa a la flauta y la orquesta corta y viene hacia adelante y hacia atrás.</v>
      </c>
    </row>
    <row r="6423">
      <c r="A6423" s="4" t="s">
        <v>8069</v>
      </c>
      <c r="B6423" s="4" t="s">
        <v>8072</v>
      </c>
      <c r="C6423" s="5" t="str">
        <f>IFERROR(__xludf.DUMMYFUNCTION("GOOGLETRANSLATE(B6423,""en"",""es-ES"")"),"Observamos al director mientras trabaja y vemos la orquesta.")</f>
        <v>Observamos al director mientras trabaja y vemos la orquesta.</v>
      </c>
    </row>
    <row r="6424">
      <c r="A6424" s="4" t="s">
        <v>8069</v>
      </c>
      <c r="B6424" s="4" t="s">
        <v>8073</v>
      </c>
      <c r="C6424" s="5" t="str">
        <f>IFERROR(__xludf.DUMMYFUNCTION("GOOGLETRANSLATE(B6424,""en"",""es-ES"")"),"Vemos el arpa nuevamente y la orquesta antes de regresar al arpa.")</f>
        <v>Vemos el arpa nuevamente y la orquesta antes de regresar al arpa.</v>
      </c>
    </row>
    <row r="6425">
      <c r="A6425" s="4" t="s">
        <v>8074</v>
      </c>
      <c r="B6425" s="4" t="s">
        <v>8075</v>
      </c>
      <c r="C6425" s="5" t="str">
        <f>IFERROR(__xludf.DUMMYFUNCTION("GOOGLETRANSLATE(B6425,""en"",""es-ES"")"),"Una mujer está sentada en el borde de una bañera.")</f>
        <v>Una mujer está sentada en el borde de una bañera.</v>
      </c>
    </row>
    <row r="6426">
      <c r="A6426" s="4" t="s">
        <v>8074</v>
      </c>
      <c r="B6426" s="4" t="s">
        <v>8076</v>
      </c>
      <c r="C6426" s="5" t="str">
        <f>IFERROR(__xludf.DUMMYFUNCTION("GOOGLETRANSLATE(B6426,""en"",""es-ES"")"),"Ella comienza a afeitarse la pierna con una navaja de afeitar.")</f>
        <v>Ella comienza a afeitarse la pierna con una navaja de afeitar.</v>
      </c>
    </row>
    <row r="6427">
      <c r="A6427" s="4" t="s">
        <v>8074</v>
      </c>
      <c r="B6427" s="4" t="s">
        <v>8077</v>
      </c>
      <c r="C6427" s="5" t="str">
        <f>IFERROR(__xludf.DUMMYFUNCTION("GOOGLETRANSLATE(B6427,""en"",""es-ES"")"),"Ella mira el fondo de la maquinilla de afeitar.")</f>
        <v>Ella mira el fondo de la maquinilla de afeitar.</v>
      </c>
    </row>
    <row r="6428">
      <c r="A6428" s="4" t="s">
        <v>8078</v>
      </c>
      <c r="B6428" s="4" t="s">
        <v>8079</v>
      </c>
      <c r="C6428" s="5" t="str">
        <f>IFERROR(__xludf.DUMMYFUNCTION("GOOGLETRANSLATE(B6428,""en"",""es-ES"")"),"Hay un atleta haciendo el martillo en un gran estadio con algunos espectadores y pocos otros jugadores que lo observan.")</f>
        <v>Hay un atleta haciendo el martillo en un gran estadio con algunos espectadores y pocos otros jugadores que lo observan.</v>
      </c>
    </row>
    <row r="6429">
      <c r="A6429" s="4" t="s">
        <v>8078</v>
      </c>
      <c r="B6429" s="4" t="s">
        <v>8080</v>
      </c>
      <c r="C6429" s="5" t="str">
        <f>IFERROR(__xludf.DUMMYFUNCTION("GOOGLETRANSLATE(B6429,""en"",""es-ES"")"),"Comienza balanceando la cuerda de martillo en sus manos mientras giraba su cuerpo.")</f>
        <v>Comienza balanceando la cuerda de martillo en sus manos mientras giraba su cuerpo.</v>
      </c>
    </row>
    <row r="6430">
      <c r="A6430" s="4" t="s">
        <v>8078</v>
      </c>
      <c r="B6430" s="4" t="s">
        <v>8081</v>
      </c>
      <c r="C6430" s="5" t="str">
        <f>IFERROR(__xludf.DUMMYFUNCTION("GOOGLETRANSLATE(B6430,""en"",""es-ES"")"),"Dos personas dan un paso adelante para ver dónde ha aterrizado la pelota del atleta.")</f>
        <v>Dos personas dan un paso adelante para ver dónde ha aterrizado la pelota del atleta.</v>
      </c>
    </row>
    <row r="6431">
      <c r="A6431" s="4" t="s">
        <v>8078</v>
      </c>
      <c r="B6431" s="4" t="s">
        <v>8082</v>
      </c>
      <c r="C6431" s="5" t="str">
        <f>IFERROR(__xludf.DUMMYFUNCTION("GOOGLETRANSLATE(B6431,""en"",""es-ES"")"),"El atleta hace otro lanzamiento de martillo y la distancia de su lanzamiento se mide y sus estadísticas se muestran en la pantalla.")</f>
        <v>El atleta hace otro lanzamiento de martillo y la distancia de su lanzamiento se mide y sus estadísticas se muestran en la pantalla.</v>
      </c>
    </row>
    <row r="6432">
      <c r="A6432" s="4" t="s">
        <v>8078</v>
      </c>
      <c r="B6432" s="4" t="s">
        <v>8083</v>
      </c>
      <c r="C6432" s="5" t="str">
        <f>IFERROR(__xludf.DUMMYFUNCTION("GOOGLETRANSLATE(B6432,""en"",""es-ES"")"),"Los espectadores en las gradas miran el evento deportivo.")</f>
        <v>Los espectadores en las gradas miran el evento deportivo.</v>
      </c>
    </row>
    <row r="6433">
      <c r="A6433" s="4" t="s">
        <v>8084</v>
      </c>
      <c r="B6433" s="4" t="s">
        <v>8085</v>
      </c>
      <c r="C6433" s="5" t="str">
        <f>IFERROR(__xludf.DUMMYFUNCTION("GOOGLETRANSLATE(B6433,""en"",""es-ES"")"),"Una mujer y un perro son vistos de pie en un gran campo realizando trucos con un frisbee.")</f>
        <v>Una mujer y un perro son vistos de pie en un gran campo realizando trucos con un frisbee.</v>
      </c>
    </row>
    <row r="6434">
      <c r="A6434" s="4" t="s">
        <v>8084</v>
      </c>
      <c r="B6434" s="4" t="s">
        <v>8086</v>
      </c>
      <c r="C6434" s="5" t="str">
        <f>IFERROR(__xludf.DUMMYFUNCTION("GOOGLETRANSLATE(B6434,""en"",""es-ES"")"),"La mujer y el perro se muestran en varios clips más jugando con el frisbee y los trucos de interpretación.")</f>
        <v>La mujer y el perro se muestran en varios clips más jugando con el frisbee y los trucos de interpretación.</v>
      </c>
    </row>
    <row r="6435">
      <c r="A6435" s="4" t="s">
        <v>8084</v>
      </c>
      <c r="B6435" s="4" t="s">
        <v>8087</v>
      </c>
      <c r="C6435" s="5" t="str">
        <f>IFERROR(__xludf.DUMMYFUNCTION("GOOGLETRANSLATE(B6435,""en"",""es-ES"")"),"El perro salta hacia arriba y hacia abajo, así como persigue al Frisbee mientras la mujer mira a un lado.")</f>
        <v>El perro salta hacia arriba y hacia abajo, así como persigue al Frisbee mientras la mujer mira a un lado.</v>
      </c>
    </row>
    <row r="6436">
      <c r="A6436" s="4" t="s">
        <v>8088</v>
      </c>
      <c r="B6436" s="4" t="s">
        <v>8089</v>
      </c>
      <c r="C6436" s="5" t="str">
        <f>IFERROR(__xludf.DUMMYFUNCTION("GOOGLETRANSLATE(B6436,""en"",""es-ES"")"),"Dos pares de hembras están en una habitación jugando un juego de futbolín.")</f>
        <v>Dos pares de hembras están en una habitación jugando un juego de futbolín.</v>
      </c>
    </row>
    <row r="6437">
      <c r="A6437" s="4" t="s">
        <v>8088</v>
      </c>
      <c r="B6437" s="4" t="s">
        <v>8090</v>
      </c>
      <c r="C6437" s="5" t="str">
        <f>IFERROR(__xludf.DUMMYFUNCTION("GOOGLETRANSLATE(B6437,""en"",""es-ES"")"),"Las chicas de la izquierda hacen dos goles y comienzan a animar.")</f>
        <v>Las chicas de la izquierda hacen dos goles y comienzan a animar.</v>
      </c>
    </row>
    <row r="6438">
      <c r="A6438" s="4" t="s">
        <v>8091</v>
      </c>
      <c r="B6438" s="4" t="s">
        <v>8092</v>
      </c>
      <c r="C6438" s="5" t="str">
        <f>IFERROR(__xludf.DUMMYFUNCTION("GOOGLETRANSLATE(B6438,""en"",""es-ES"")"),"Un hombre corre y se sumerge en el agua en una playa.")</f>
        <v>Un hombre corre y se sumerge en el agua en una playa.</v>
      </c>
    </row>
    <row r="6439">
      <c r="A6439" s="4" t="s">
        <v>8091</v>
      </c>
      <c r="B6439" s="4" t="s">
        <v>8093</v>
      </c>
      <c r="C6439" s="5" t="str">
        <f>IFERROR(__xludf.DUMMYFUNCTION("GOOGLETRANSLATE(B6439,""en"",""es-ES"")"),"Un hombre que lleva una tabla de surf camina por la playa.")</f>
        <v>Un hombre que lleva una tabla de surf camina por la playa.</v>
      </c>
    </row>
    <row r="6440">
      <c r="A6440" s="4" t="s">
        <v>8091</v>
      </c>
      <c r="B6440" s="4" t="s">
        <v>8094</v>
      </c>
      <c r="C6440" s="5" t="str">
        <f>IFERROR(__xludf.DUMMYFUNCTION("GOOGLETRANSLATE(B6440,""en"",""es-ES"")"),"La gente surge en el agua.")</f>
        <v>La gente surge en el agua.</v>
      </c>
    </row>
    <row r="6441">
      <c r="A6441" s="4" t="s">
        <v>8091</v>
      </c>
      <c r="B6441" s="4" t="s">
        <v>8095</v>
      </c>
      <c r="C6441" s="5" t="str">
        <f>IFERROR(__xludf.DUMMYFUNCTION("GOOGLETRANSLATE(B6441,""en"",""es-ES"")"),"Un hombre está sentado en la arena.")</f>
        <v>Un hombre está sentado en la arena.</v>
      </c>
    </row>
    <row r="6442">
      <c r="A6442" s="4" t="s">
        <v>8091</v>
      </c>
      <c r="B6442" s="4" t="s">
        <v>8096</v>
      </c>
      <c r="C6442" s="5" t="str">
        <f>IFERROR(__xludf.DUMMYFUNCTION("GOOGLETRANSLATE(B6442,""en"",""es-ES"")"),"Más personas surfean en el agua.")</f>
        <v>Más personas surfean en el agua.</v>
      </c>
    </row>
    <row r="6443">
      <c r="A6443" s="4" t="s">
        <v>8091</v>
      </c>
      <c r="B6443" s="4" t="s">
        <v>8097</v>
      </c>
      <c r="C6443" s="5" t="str">
        <f>IFERROR(__xludf.DUMMYFUNCTION("GOOGLETRANSLATE(B6443,""en"",""es-ES"")"),"Dos damas en bikinis están en la playa.")</f>
        <v>Dos damas en bikinis están en la playa.</v>
      </c>
    </row>
    <row r="6444">
      <c r="A6444" s="4" t="s">
        <v>8091</v>
      </c>
      <c r="B6444" s="4" t="s">
        <v>8098</v>
      </c>
      <c r="C6444" s="5" t="str">
        <f>IFERROR(__xludf.DUMMYFUNCTION("GOOGLETRANSLATE(B6444,""en"",""es-ES"")"),"La gente montando olas en el agua surfeando.")</f>
        <v>La gente montando olas en el agua surfeando.</v>
      </c>
    </row>
    <row r="6445">
      <c r="A6445" s="4" t="s">
        <v>8099</v>
      </c>
      <c r="B6445" s="4" t="s">
        <v>8100</v>
      </c>
      <c r="C6445" s="5" t="str">
        <f>IFERROR(__xludf.DUMMYFUNCTION("GOOGLETRANSLATE(B6445,""en"",""es-ES"")"),"El video conduce a varios clips de niños pequeños que practican movimientos de gimnasia en un gran gimnasio.")</f>
        <v>El video conduce a varios clips de niños pequeños que practican movimientos de gimnasia en un gran gimnasio.</v>
      </c>
    </row>
    <row r="6446">
      <c r="A6446" s="4" t="s">
        <v>8099</v>
      </c>
      <c r="B6446" s="4" t="s">
        <v>8101</v>
      </c>
      <c r="C6446" s="5" t="str">
        <f>IFERROR(__xludf.DUMMYFUNCTION("GOOGLETRANSLATE(B6446,""en"",""es-ES"")"),"El video continúa con los niños volteando y saltando sobre las esteras.")</f>
        <v>El video continúa con los niños volteando y saltando sobre las esteras.</v>
      </c>
    </row>
    <row r="6447">
      <c r="A6447" s="4" t="s">
        <v>8102</v>
      </c>
      <c r="B6447" s="4" t="s">
        <v>8103</v>
      </c>
      <c r="C6447" s="5" t="str">
        <f>IFERROR(__xludf.DUMMYFUNCTION("GOOGLETRANSLATE(B6447,""en"",""es-ES"")"),"El hombre está buceando bajo el agua y saludando a la cámara.")</f>
        <v>El hombre está buceando bajo el agua y saludando a la cámara.</v>
      </c>
    </row>
    <row r="6448">
      <c r="A6448" s="4" t="s">
        <v>8102</v>
      </c>
      <c r="B6448" s="4" t="s">
        <v>8104</v>
      </c>
      <c r="C6448" s="5" t="str">
        <f>IFERROR(__xludf.DUMMYFUNCTION("GOOGLETRANSLATE(B6448,""en"",""es-ES"")"),"La gente está buceando el buceo observando los peces nadando entre rocas.")</f>
        <v>La gente está buceando el buceo observando los peces nadando entre rocas.</v>
      </c>
    </row>
    <row r="6449">
      <c r="A6449" s="4" t="s">
        <v>8102</v>
      </c>
      <c r="B6449" s="4" t="s">
        <v>8105</v>
      </c>
      <c r="C6449" s="5" t="str">
        <f>IFERROR(__xludf.DUMMYFUNCTION("GOOGLETRANSLATE(B6449,""en"",""es-ES"")"),"La gente está bajo el buceo del mar registrando todo.")</f>
        <v>La gente está bajo el buceo del mar registrando todo.</v>
      </c>
    </row>
    <row r="6450">
      <c r="A6450" s="4" t="s">
        <v>8106</v>
      </c>
      <c r="B6450" s="4" t="s">
        <v>8107</v>
      </c>
      <c r="C6450" s="5" t="str">
        <f>IFERROR(__xludf.DUMMYFUNCTION("GOOGLETRANSLATE(B6450,""en"",""es-ES"")"),"Un hombre gira y arroja una pelota al campo.")</f>
        <v>Un hombre gira y arroja una pelota al campo.</v>
      </c>
    </row>
    <row r="6451">
      <c r="A6451" s="4" t="s">
        <v>8106</v>
      </c>
      <c r="B6451" s="4" t="s">
        <v>8108</v>
      </c>
      <c r="C6451" s="5" t="str">
        <f>IFERROR(__xludf.DUMMYFUNCTION("GOOGLETRANSLATE(B6451,""en"",""es-ES"")"),"Otro hombre gira y lanza una pelota en el campo.")</f>
        <v>Otro hombre gira y lanza una pelota en el campo.</v>
      </c>
    </row>
    <row r="6452">
      <c r="A6452" s="4" t="s">
        <v>8106</v>
      </c>
      <c r="B6452" s="4" t="s">
        <v>8109</v>
      </c>
      <c r="C6452" s="5" t="str">
        <f>IFERROR(__xludf.DUMMYFUNCTION("GOOGLETRANSLATE(B6452,""en"",""es-ES"")"),"La gente en las gradas está abrazando al atleta.")</f>
        <v>La gente en las gradas está abrazando al atleta.</v>
      </c>
    </row>
    <row r="6453">
      <c r="A6453" s="4" t="s">
        <v>8110</v>
      </c>
      <c r="B6453" s="4" t="s">
        <v>8111</v>
      </c>
      <c r="C6453" s="5" t="str">
        <f>IFERROR(__xludf.DUMMYFUNCTION("GOOGLETRANSLATE(B6453,""en"",""es-ES"")"),"Una introducción entra en la pantalla para un video sobre cómo reproducir diferentes canciones en el violín.")</f>
        <v>Una introducción entra en la pantalla para un video sobre cómo reproducir diferentes canciones en el violín.</v>
      </c>
    </row>
    <row r="6454">
      <c r="A6454" s="4" t="s">
        <v>8110</v>
      </c>
      <c r="B6454" s="4" t="s">
        <v>8112</v>
      </c>
      <c r="C6454" s="5" t="str">
        <f>IFERROR(__xludf.DUMMYFUNCTION("GOOGLETRANSLATE(B6454,""en"",""es-ES"")"),"Un hombre entra en la pantalla con un violín y comienza a explicar diferentes técnicas para tocar el violín.")</f>
        <v>Un hombre entra en la pantalla con un violín y comienza a explicar diferentes técnicas para tocar el violín.</v>
      </c>
    </row>
    <row r="6455">
      <c r="A6455" s="4" t="s">
        <v>8110</v>
      </c>
      <c r="B6455" s="4" t="s">
        <v>8113</v>
      </c>
      <c r="C6455" s="5" t="str">
        <f>IFERROR(__xludf.DUMMYFUNCTION("GOOGLETRANSLATE(B6455,""en"",""es-ES"")"),"Se acerca a la cámara para que puedas ver el detalle de lo que está haciendo con sus manos.")</f>
        <v>Se acerca a la cámara para que puedas ver el detalle de lo que está haciendo con sus manos.</v>
      </c>
    </row>
    <row r="6456">
      <c r="A6456" s="4" t="s">
        <v>8110</v>
      </c>
      <c r="B6456" s="4" t="s">
        <v>8114</v>
      </c>
      <c r="C6456" s="5" t="str">
        <f>IFERROR(__xludf.DUMMYFUNCTION("GOOGLETRANSLATE(B6456,""en"",""es-ES"")"),"Comienza a jugar diferentes notas sobre el violín mientras mueve los dedos.")</f>
        <v>Comienza a jugar diferentes notas sobre el violín mientras mueve los dedos.</v>
      </c>
    </row>
    <row r="6457">
      <c r="A6457" s="4" t="s">
        <v>8110</v>
      </c>
      <c r="B6457" s="4" t="s">
        <v>8115</v>
      </c>
      <c r="C6457" s="5" t="str">
        <f>IFERROR(__xludf.DUMMYFUNCTION("GOOGLETRANSLATE(B6457,""en"",""es-ES"")"),"El video termina con los créditos de cierre que se muestran en la pantalla.")</f>
        <v>El video termina con los créditos de cierre que se muestran en la pantalla.</v>
      </c>
    </row>
    <row r="6458">
      <c r="A6458" s="4" t="s">
        <v>8116</v>
      </c>
      <c r="B6458" s="4" t="s">
        <v>8117</v>
      </c>
      <c r="C6458" s="5" t="str">
        <f>IFERROR(__xludf.DUMMYFUNCTION("GOOGLETRANSLATE(B6458,""en"",""es-ES"")"),"Un hombre está parado frente a la cámara hablando y luego se mueve detrás de la mesa.")</f>
        <v>Un hombre está parado frente a la cámara hablando y luego se mueve detrás de la mesa.</v>
      </c>
    </row>
    <row r="6459">
      <c r="A6459" s="4" t="s">
        <v>8116</v>
      </c>
      <c r="B6459" s="4" t="s">
        <v>8118</v>
      </c>
      <c r="C6459" s="5" t="str">
        <f>IFERROR(__xludf.DUMMYFUNCTION("GOOGLETRANSLATE(B6459,""en"",""es-ES"")"),"En la mesa, tiene papel de envoltura, un palo de patio, cinta adhesiva y un lápiz y los mueve al otro lado de la caja.")</f>
        <v>En la mesa, tiene papel de envoltura, un palo de patio, cinta adhesiva y un lápiz y los mueve al otro lado de la caja.</v>
      </c>
    </row>
    <row r="6460">
      <c r="A6460" s="4" t="s">
        <v>8116</v>
      </c>
      <c r="B6460" s="4" t="s">
        <v>8119</v>
      </c>
      <c r="C6460" s="5" t="str">
        <f>IFERROR(__xludf.DUMMYFUNCTION("GOOGLETRANSLATE(B6460,""en"",""es-ES"")"),"Luego se recoge la caja y se coloca sobre el papel de envoltura y el hombre mide el papel de envoltura.")</f>
        <v>Luego se recoge la caja y se coloca sobre el papel de envoltura y el hombre mide el papel de envoltura.</v>
      </c>
    </row>
    <row r="6461">
      <c r="A6461" s="4" t="s">
        <v>8116</v>
      </c>
      <c r="B6461" s="4" t="s">
        <v>8120</v>
      </c>
      <c r="C6461" s="5" t="str">
        <f>IFERROR(__xludf.DUMMYFUNCTION("GOOGLETRANSLATE(B6461,""en"",""es-ES"")"),"Luego se graba el papel de envoltura y el resto se mide antes de grabar.")</f>
        <v>Luego se graba el papel de envoltura y el resto se mide antes de grabar.</v>
      </c>
    </row>
    <row r="6462">
      <c r="A6462" s="4" t="s">
        <v>8121</v>
      </c>
      <c r="B6462" s="4" t="s">
        <v>8122</v>
      </c>
      <c r="C6462" s="5" t="str">
        <f>IFERROR(__xludf.DUMMYFUNCTION("GOOGLETRANSLATE(B6462,""en"",""es-ES"")"),"Una mujer y un hombre juegan ShuffleBoard afuera.")</f>
        <v>Una mujer y un hombre juegan ShuffleBoard afuera.</v>
      </c>
    </row>
    <row r="6463">
      <c r="A6463" s="4" t="s">
        <v>8121</v>
      </c>
      <c r="B6463" s="4" t="s">
        <v>8123</v>
      </c>
      <c r="C6463" s="5" t="str">
        <f>IFERROR(__xludf.DUMMYFUNCTION("GOOGLETRANSLATE(B6463,""en"",""es-ES"")"),"La mujer va primero y luego el hombre toma su turno.")</f>
        <v>La mujer va primero y luego el hombre toma su turno.</v>
      </c>
    </row>
    <row r="6464">
      <c r="A6464" s="4" t="s">
        <v>8124</v>
      </c>
      <c r="B6464" s="4" t="s">
        <v>8125</v>
      </c>
      <c r="C6464" s="5" t="str">
        <f>IFERROR(__xludf.DUMMYFUNCTION("GOOGLETRANSLATE(B6464,""en"",""es-ES"")"),"Se muestra a un hombre con casco y trepando en una pared de roca.")</f>
        <v>Se muestra a un hombre con casco y trepando en una pared de roca.</v>
      </c>
    </row>
    <row r="6465">
      <c r="A6465" s="4" t="s">
        <v>8124</v>
      </c>
      <c r="B6465" s="4" t="s">
        <v>8126</v>
      </c>
      <c r="C6465" s="5" t="str">
        <f>IFERROR(__xludf.DUMMYFUNCTION("GOOGLETRANSLATE(B6465,""en"",""es-ES"")"),"Continúa avanzando por la pared de la roca mientras la cámara captura sus movimientos y panorámica alrededor de las montañas y el agua a su alrededor.")</f>
        <v>Continúa avanzando por la pared de la roca mientras la cámara captura sus movimientos y panorámica alrededor de las montañas y el agua a su alrededor.</v>
      </c>
    </row>
    <row r="6466">
      <c r="A6466" s="4" t="s">
        <v>8124</v>
      </c>
      <c r="B6466" s="4" t="s">
        <v>8127</v>
      </c>
      <c r="C6466" s="5" t="str">
        <f>IFERROR(__xludf.DUMMYFUNCTION("GOOGLETRANSLATE(B6466,""en"",""es-ES"")"),"El escalador revisa su cuerda y sacude el clip de su cuerda.")</f>
        <v>El escalador revisa su cuerda y sacude el clip de su cuerda.</v>
      </c>
    </row>
    <row r="6467">
      <c r="A6467" s="4" t="s">
        <v>8128</v>
      </c>
      <c r="B6467" s="4" t="s">
        <v>1251</v>
      </c>
      <c r="C6467" s="5" t="str">
        <f>IFERROR(__xludf.DUMMYFUNCTION("GOOGLETRANSLATE(B6467,""en"",""es-ES"")"),"Se muestran los créditos del clip.")</f>
        <v>Se muestran los créditos del clip.</v>
      </c>
    </row>
    <row r="6468">
      <c r="A6468" s="4" t="s">
        <v>8128</v>
      </c>
      <c r="B6468" s="4" t="s">
        <v>8129</v>
      </c>
      <c r="C6468" s="5" t="str">
        <f>IFERROR(__xludf.DUMMYFUNCTION("GOOGLETRANSLATE(B6468,""en"",""es-ES"")"),"Las personas se cargan en canoas naranjas.")</f>
        <v>Las personas se cargan en canoas naranjas.</v>
      </c>
    </row>
    <row r="6469">
      <c r="A6469" s="4" t="s">
        <v>8128</v>
      </c>
      <c r="B6469" s="4" t="s">
        <v>8130</v>
      </c>
      <c r="C6469" s="5" t="str">
        <f>IFERROR(__xludf.DUMMYFUNCTION("GOOGLETRANSLATE(B6469,""en"",""es-ES"")"),"La gente remula las canoas en un cuerpo de agua.")</f>
        <v>La gente remula las canoas en un cuerpo de agua.</v>
      </c>
    </row>
    <row r="6470">
      <c r="A6470" s="4" t="s">
        <v>8128</v>
      </c>
      <c r="B6470" s="4" t="s">
        <v>8131</v>
      </c>
      <c r="C6470" s="5" t="str">
        <f>IFERROR(__xludf.DUMMYFUNCTION("GOOGLETRANSLATE(B6470,""en"",""es-ES"")"),"Dos chicos reman su canoa.")</f>
        <v>Dos chicos reman su canoa.</v>
      </c>
    </row>
    <row r="6471">
      <c r="A6471" s="4" t="s">
        <v>8128</v>
      </c>
      <c r="B6471" s="4" t="s">
        <v>573</v>
      </c>
      <c r="C6471" s="5" t="str">
        <f>IFERROR(__xludf.DUMMYFUNCTION("GOOGLETRANSLATE(B6471,""en"",""es-ES"")"),"Se muestran los créditos del video.")</f>
        <v>Se muestran los créditos del video.</v>
      </c>
    </row>
    <row r="6472">
      <c r="A6472" s="4" t="s">
        <v>8132</v>
      </c>
      <c r="B6472" s="4" t="s">
        <v>8133</v>
      </c>
      <c r="C6472" s="5" t="str">
        <f>IFERROR(__xludf.DUMMYFUNCTION("GOOGLETRANSLATE(B6472,""en"",""es-ES"")"),"Una niña sonriente con aparatos ortopédicos y vasos levanta una bolsa rosa sobre su cabeza mientras está parada frente al medio cuerpo de un caballo, y las palabras ""preparando con erin"".")</f>
        <v>Una niña sonriente con aparatos ortopédicos y vasos levanta una bolsa rosa sobre su cabeza mientras está parada frente al medio cuerpo de un caballo, y las palabras "preparando con erin".</v>
      </c>
    </row>
    <row r="6473">
      <c r="A6473" s="4" t="s">
        <v>8132</v>
      </c>
      <c r="B6473" s="4" t="s">
        <v>8134</v>
      </c>
      <c r="C6473" s="5" t="str">
        <f>IFERROR(__xludf.DUMMYFUNCTION("GOOGLETRANSLATE(B6473,""en"",""es-ES"")"),"Ahora el caballo es completamente visible y la niña extiende su bolsa rosa para agarrar un cepillo y comienza a cepillar el caballo por todo el cuerpo de adelante hacia atrás y a cada lado.")</f>
        <v>Ahora el caballo es completamente visible y la niña extiende su bolsa rosa para agarrar un cepillo y comienza a cepillar el caballo por todo el cuerpo de adelante hacia atrás y a cada lado.</v>
      </c>
    </row>
    <row r="6474">
      <c r="A6474" s="4" t="s">
        <v>8132</v>
      </c>
      <c r="B6474" s="4" t="s">
        <v>8135</v>
      </c>
      <c r="C6474" s="5" t="str">
        <f>IFERROR(__xludf.DUMMYFUNCTION("GOOGLETRANSLATE(B6474,""en"",""es-ES"")"),"La niña vuelve a la bolsa rosa, agarra otro cepillo y comienza a cepillarse el caballo nuevamente de la cabeza a los pies y alrededor de su cuerpo a cada lado.")</f>
        <v>La niña vuelve a la bolsa rosa, agarra otro cepillo y comienza a cepillarse el caballo nuevamente de la cabeza a los pies y alrededor de su cuerpo a cada lado.</v>
      </c>
    </row>
    <row r="6475">
      <c r="A6475" s="4" t="s">
        <v>8132</v>
      </c>
      <c r="B6475" s="4" t="s">
        <v>8136</v>
      </c>
      <c r="C6475" s="5" t="str">
        <f>IFERROR(__xludf.DUMMYFUNCTION("GOOGLETRANSLATE(B6475,""en"",""es-ES"")"),"La niña una vez más va al rosa para devolver el pincel que estaba usando y agarra otro cepillo donde una vez más comienza a cepillar al caballo de la cabeza a los pies y por todos los lados.")</f>
        <v>La niña una vez más va al rosa para devolver el pincel que estaba usando y agarra otro cepillo donde una vez más comienza a cepillar al caballo de la cabeza a los pies y por todos los lados.</v>
      </c>
    </row>
    <row r="6476">
      <c r="A6476" s="4" t="s">
        <v>8132</v>
      </c>
      <c r="B6476" s="4" t="s">
        <v>8137</v>
      </c>
      <c r="C6476" s="5" t="str">
        <f>IFERROR(__xludf.DUMMYFUNCTION("GOOGLETRANSLATE(B6476,""en"",""es-ES"")"),"Las chicas a la bolsa para dejar caer el cepillo y luego agarra una herramienta verde, camina hacia el pie delantero delantero de los caballos, la recoge y comienza a limpiar el zapato, luego camina alrededor del caballo y hace el resto de sus zapatos.")</f>
        <v>Las chicas a la bolsa para dejar caer el cepillo y luego agarra una herramienta verde, camina hacia el pie delantero delantero de los caballos, la recoge y comienza a limpiar el zapato, luego camina alrededor del caballo y hace el resto de sus zapatos.</v>
      </c>
    </row>
    <row r="6477">
      <c r="A6477" s="4" t="s">
        <v>8132</v>
      </c>
      <c r="B6477" s="4" t="s">
        <v>8138</v>
      </c>
      <c r="C6477" s="5" t="str">
        <f>IFERROR(__xludf.DUMMYFUNCTION("GOOGLETRANSLATE(B6477,""en"",""es-ES"")"),"Cuando la niña termina limpiando los zapatos, devuelve la herramienta a la bolsa rosa y agarra un cepillo de la cámara, cepilla la melena, besa el caballo y luego devuelve el cepillo a la bolsa rosa, camina hacia el cámara y sonríe grande en ella.")</f>
        <v>Cuando la niña termina limpiando los zapatos, devuelve la herramienta a la bolsa rosa y agarra un cepillo de la cámara, cepilla la melena, besa el caballo y luego devuelve el cepillo a la bolsa rosa, camina hacia el cámara y sonríe grande en ella.</v>
      </c>
    </row>
    <row r="6478">
      <c r="A6478" s="4" t="s">
        <v>8139</v>
      </c>
      <c r="B6478" s="4" t="s">
        <v>8140</v>
      </c>
      <c r="C6478" s="5" t="str">
        <f>IFERROR(__xludf.DUMMYFUNCTION("GOOGLETRANSLATE(B6478,""en"",""es-ES"")"),"Una mujer gira una caña en el aire mientras gira y baila, luego arroja la caña y gira antes para atrapar la vara.")</f>
        <v>Una mujer gira una caña en el aire mientras gira y baila, luego arroja la caña y gira antes para atrapar la vara.</v>
      </c>
    </row>
    <row r="6479">
      <c r="A6479" s="4" t="s">
        <v>8139</v>
      </c>
      <c r="B6479" s="4" t="s">
        <v>8141</v>
      </c>
      <c r="C6479" s="5" t="str">
        <f>IFERROR(__xludf.DUMMYFUNCTION("GOOGLETRANSLATE(B6479,""en"",""es-ES"")"),"La mujer continúa girando la caña alrededor del cuerpo, también arroja la caña en el aire.")</f>
        <v>La mujer continúa girando la caña alrededor del cuerpo, también arroja la caña en el aire.</v>
      </c>
    </row>
    <row r="6480">
      <c r="A6480" s="4" t="s">
        <v>8139</v>
      </c>
      <c r="B6480" s="4" t="s">
        <v>8142</v>
      </c>
      <c r="C6480" s="5" t="str">
        <f>IFERROR(__xludf.DUMMYFUNCTION("GOOGLETRANSLATE(B6480,""en"",""es-ES"")"),"Luego, la mujer rueda la caña en sus brazos, luego tira la caña en el aire y hace una volante antes de atrapar la caña.")</f>
        <v>Luego, la mujer rueda la caña en sus brazos, luego tira la caña en el aire y hace una volante antes de atrapar la caña.</v>
      </c>
    </row>
    <row r="6481">
      <c r="A6481" s="4" t="s">
        <v>8139</v>
      </c>
      <c r="B6481" s="4" t="s">
        <v>8143</v>
      </c>
      <c r="C6481" s="5" t="str">
        <f>IFERROR(__xludf.DUMMYFUNCTION("GOOGLETRANSLATE(B6481,""en"",""es-ES"")"),"Luego, la mujer rueda la caña en su cuello graciosamente y termina su actuación.")</f>
        <v>Luego, la mujer rueda la caña en su cuello graciosamente y termina su actuación.</v>
      </c>
    </row>
    <row r="6482">
      <c r="A6482" s="4" t="s">
        <v>8144</v>
      </c>
      <c r="B6482" s="4" t="s">
        <v>8145</v>
      </c>
      <c r="C6482" s="5" t="str">
        <f>IFERROR(__xludf.DUMMYFUNCTION("GOOGLETRANSLATE(B6482,""en"",""es-ES"")"),"Primero, la anciana va a abrazar al joven y luego un hombre con una camisa azul toca el piano maravillosamente de diferentes melodías.")</f>
        <v>Primero, la anciana va a abrazar al joven y luego un hombre con una camisa azul toca el piano maravillosamente de diferentes melodías.</v>
      </c>
    </row>
    <row r="6483">
      <c r="A6483" s="4" t="s">
        <v>8144</v>
      </c>
      <c r="B6483" s="4" t="s">
        <v>8146</v>
      </c>
      <c r="C6483" s="5" t="str">
        <f>IFERROR(__xludf.DUMMYFUNCTION("GOOGLETRANSLATE(B6483,""en"",""es-ES"")"),"Luego, dos niños pequeños corren afuera de la puerta mientras el hombre que está de pie junto a la puerta se ve cansado y lamentable.")</f>
        <v>Luego, dos niños pequeños corren afuera de la puerta mientras el hombre que está de pie junto a la puerta se ve cansado y lamentable.</v>
      </c>
    </row>
    <row r="6484">
      <c r="A6484" s="4" t="s">
        <v>8147</v>
      </c>
      <c r="B6484" s="4" t="s">
        <v>8148</v>
      </c>
      <c r="C6484" s="5" t="str">
        <f>IFERROR(__xludf.DUMMYFUNCTION("GOOGLETRANSLATE(B6484,""en"",""es-ES"")"),"Se ve a un gran grupo de personas de pie en un gran campo de instrumentos de retención.")</f>
        <v>Se ve a un gran grupo de personas de pie en un gran campo de instrumentos de retención.</v>
      </c>
    </row>
    <row r="6485">
      <c r="A6485" s="4" t="s">
        <v>8147</v>
      </c>
      <c r="B6485" s="4" t="s">
        <v>8149</v>
      </c>
      <c r="C6485" s="5" t="str">
        <f>IFERROR(__xludf.DUMMYFUNCTION("GOOGLETRANSLATE(B6485,""en"",""es-ES"")"),"Un hombre lidera al frente cuando el grupo se aleja y comienza a tocar como banda.")</f>
        <v>Un hombre lidera al frente cuando el grupo se aleja y comienza a tocar como banda.</v>
      </c>
    </row>
    <row r="6486">
      <c r="A6486" s="4" t="s">
        <v>8147</v>
      </c>
      <c r="B6486" s="4" t="s">
        <v>8150</v>
      </c>
      <c r="C6486" s="5" t="str">
        <f>IFERROR(__xludf.DUMMYFUNCTION("GOOGLETRANSLATE(B6486,""en"",""es-ES"")"),"El grupo continúa jugando juntos y termina alejándose.")</f>
        <v>El grupo continúa jugando juntos y termina alejándose.</v>
      </c>
    </row>
    <row r="6487">
      <c r="A6487" s="4" t="s">
        <v>8151</v>
      </c>
      <c r="B6487" s="4" t="s">
        <v>8152</v>
      </c>
      <c r="C6487" s="5" t="str">
        <f>IFERROR(__xludf.DUMMYFUNCTION("GOOGLETRANSLATE(B6487,""en"",""es-ES"")"),"Un joven con una mochila está hablando y caminando por una estación.")</f>
        <v>Un joven con una mochila está hablando y caminando por una estación.</v>
      </c>
    </row>
    <row r="6488">
      <c r="A6488" s="4" t="s">
        <v>8151</v>
      </c>
      <c r="B6488" s="4" t="s">
        <v>8153</v>
      </c>
      <c r="C6488" s="5" t="str">
        <f>IFERROR(__xludf.DUMMYFUNCTION("GOOGLETRANSLATE(B6488,""en"",""es-ES"")"),"Hay un hombre sentado en el suelo brillando un zapato.")</f>
        <v>Hay un hombre sentado en el suelo brillando un zapato.</v>
      </c>
    </row>
    <row r="6489">
      <c r="A6489" s="4" t="s">
        <v>8151</v>
      </c>
      <c r="B6489" s="4" t="s">
        <v>8154</v>
      </c>
      <c r="C6489" s="5" t="str">
        <f>IFERROR(__xludf.DUMMYFUNCTION("GOOGLETRANSLATE(B6489,""en"",""es-ES"")"),"Aplica ungüento al zapato y se reanuda a pulir el zapato.")</f>
        <v>Aplica ungüento al zapato y se reanuda a pulir el zapato.</v>
      </c>
    </row>
    <row r="6490">
      <c r="A6490" s="4" t="s">
        <v>8151</v>
      </c>
      <c r="B6490" s="4" t="s">
        <v>8155</v>
      </c>
      <c r="C6490" s="5" t="str">
        <f>IFERROR(__xludf.DUMMYFUNCTION("GOOGLETRANSLATE(B6490,""en"",""es-ES"")"),"El cliente mueve su pie derecho hacia abajo y coloca su pie izquierdo sobre el soporte y el hombre comienza a pulir el zapato.")</f>
        <v>El cliente mueve su pie derecho hacia abajo y coloca su pie izquierdo sobre el soporte y el hombre comienza a pulir el zapato.</v>
      </c>
    </row>
    <row r="6491">
      <c r="A6491" s="4" t="s">
        <v>8151</v>
      </c>
      <c r="B6491" s="4" t="s">
        <v>8156</v>
      </c>
      <c r="C6491" s="5" t="str">
        <f>IFERROR(__xludf.DUMMYFUNCTION("GOOGLETRANSLATE(B6491,""en"",""es-ES"")"),"Dos hombres a ambos lados del shiner del zapato están observando a la multitud.")</f>
        <v>Dos hombres a ambos lados del shiner del zapato están observando a la multitud.</v>
      </c>
    </row>
    <row r="6492">
      <c r="A6492" s="4" t="s">
        <v>8151</v>
      </c>
      <c r="B6492" s="4" t="s">
        <v>8157</v>
      </c>
      <c r="C6492" s="5" t="str">
        <f>IFERROR(__xludf.DUMMYFUNCTION("GOOGLETRANSLATE(B6492,""en"",""es-ES"")"),"El Shiner continúa puliendo el zapato izquierdo.")</f>
        <v>El Shiner continúa puliendo el zapato izquierdo.</v>
      </c>
    </row>
    <row r="6493">
      <c r="A6493" s="4" t="s">
        <v>8151</v>
      </c>
      <c r="B6493" s="4" t="s">
        <v>8158</v>
      </c>
      <c r="C6493" s="5" t="str">
        <f>IFERROR(__xludf.DUMMYFUNCTION("GOOGLETRANSLATE(B6493,""en"",""es-ES"")"),"El tren se mueve a lo largo de la estación mientras pasa una multitud.")</f>
        <v>El tren se mueve a lo largo de la estación mientras pasa una multitud.</v>
      </c>
    </row>
    <row r="6494">
      <c r="A6494" s="4" t="s">
        <v>8151</v>
      </c>
      <c r="B6494" s="4" t="s">
        <v>8159</v>
      </c>
      <c r="C6494" s="5" t="str">
        <f>IFERROR(__xludf.DUMMYFUNCTION("GOOGLETRANSLATE(B6494,""en"",""es-ES"")"),"El Shiner vuelve a pulir el zapato derecho.")</f>
        <v>El Shiner vuelve a pulir el zapato derecho.</v>
      </c>
    </row>
    <row r="6495">
      <c r="A6495" s="4" t="s">
        <v>8151</v>
      </c>
      <c r="B6495" s="4" t="s">
        <v>8160</v>
      </c>
      <c r="C6495" s="5" t="str">
        <f>IFERROR(__xludf.DUMMYFUNCTION("GOOGLETRANSLATE(B6495,""en"",""es-ES"")"),"El Shiner limpia el zapato con un paño.")</f>
        <v>El Shiner limpia el zapato con un paño.</v>
      </c>
    </row>
    <row r="6496">
      <c r="A6496" s="4" t="s">
        <v>8151</v>
      </c>
      <c r="B6496" s="4" t="s">
        <v>8161</v>
      </c>
      <c r="C6496" s="5" t="str">
        <f>IFERROR(__xludf.DUMMYFUNCTION("GOOGLETRANSLATE(B6496,""en"",""es-ES"")"),"El hombre reanuda a pulir el zapato izquierdo.")</f>
        <v>El hombre reanuda a pulir el zapato izquierdo.</v>
      </c>
    </row>
    <row r="6497">
      <c r="A6497" s="4" t="s">
        <v>8151</v>
      </c>
      <c r="B6497" s="4" t="s">
        <v>8162</v>
      </c>
      <c r="C6497" s="5" t="str">
        <f>IFERROR(__xludf.DUMMYFUNCTION("GOOGLETRANSLATE(B6497,""en"",""es-ES"")"),"El hombre deja caer su bloque y reanuda a pulido.")</f>
        <v>El hombre deja caer su bloque y reanuda a pulido.</v>
      </c>
    </row>
    <row r="6498">
      <c r="A6498" s="4" t="s">
        <v>8151</v>
      </c>
      <c r="B6498" s="4" t="s">
        <v>8163</v>
      </c>
      <c r="C6498" s="5" t="str">
        <f>IFERROR(__xludf.DUMMYFUNCTION("GOOGLETRANSLATE(B6498,""en"",""es-ES"")"),"El hombre toma la tela para brillar el zapato izquierdo.")</f>
        <v>El hombre toma la tela para brillar el zapato izquierdo.</v>
      </c>
    </row>
    <row r="6499">
      <c r="A6499" s="4" t="s">
        <v>8151</v>
      </c>
      <c r="B6499" s="4" t="s">
        <v>8164</v>
      </c>
      <c r="C6499" s="5" t="str">
        <f>IFERROR(__xludf.DUMMYFUNCTION("GOOGLETRANSLATE(B6499,""en"",""es-ES"")"),"El cliente observa sus zapatos brillantes.")</f>
        <v>El cliente observa sus zapatos brillantes.</v>
      </c>
    </row>
    <row r="6500">
      <c r="A6500" s="4" t="s">
        <v>8151</v>
      </c>
      <c r="B6500" s="4" t="s">
        <v>8165</v>
      </c>
      <c r="C6500" s="5" t="str">
        <f>IFERROR(__xludf.DUMMYFUNCTION("GOOGLETRANSLATE(B6500,""en"",""es-ES"")"),"El cliente se aleja del shiner del zapato.")</f>
        <v>El cliente se aleja del shiner del zapato.</v>
      </c>
    </row>
    <row r="6501">
      <c r="A6501" s="4" t="s">
        <v>8166</v>
      </c>
      <c r="B6501" s="4" t="s">
        <v>8167</v>
      </c>
      <c r="C6501" s="5" t="str">
        <f>IFERROR(__xludf.DUMMYFUNCTION("GOOGLETRANSLATE(B6501,""en"",""es-ES"")"),"Se ve a un hombre con un soplador de arrecife y soplando todo un trampolín.")</f>
        <v>Se ve a un hombre con un soplador de arrecife y soplando todo un trampolín.</v>
      </c>
    </row>
    <row r="6502">
      <c r="A6502" s="4" t="s">
        <v>8166</v>
      </c>
      <c r="B6502" s="4" t="s">
        <v>8168</v>
      </c>
      <c r="C6502" s="5" t="str">
        <f>IFERROR(__xludf.DUMMYFUNCTION("GOOGLETRANSLATE(B6502,""en"",""es-ES"")"),"Se ve a los niños saltando sobre el trampolín mientras el hombre los rodea.")</f>
        <v>Se ve a los niños saltando sobre el trampolín mientras el hombre los rodea.</v>
      </c>
    </row>
    <row r="6503">
      <c r="A6503" s="4" t="s">
        <v>8166</v>
      </c>
      <c r="B6503" s="4" t="s">
        <v>8169</v>
      </c>
      <c r="C6503" s="5" t="str">
        <f>IFERROR(__xludf.DUMMYFUNCTION("GOOGLETRANSLATE(B6503,""en"",""es-ES"")"),"El hombre continúa soplando mientras los niños saltan.")</f>
        <v>El hombre continúa soplando mientras los niños saltan.</v>
      </c>
    </row>
    <row r="6504">
      <c r="A6504" s="4" t="s">
        <v>8170</v>
      </c>
      <c r="B6504" s="4" t="s">
        <v>8171</v>
      </c>
      <c r="C6504" s="5" t="str">
        <f>IFERROR(__xludf.DUMMYFUNCTION("GOOGLETRANSLATE(B6504,""en"",""es-ES"")"),"Un equipo de lacrosse se acurruca y luego practica.")</f>
        <v>Un equipo de lacrosse se acurruca y luego practica.</v>
      </c>
    </row>
    <row r="6505">
      <c r="A6505" s="4" t="s">
        <v>8170</v>
      </c>
      <c r="B6505" s="4" t="s">
        <v>8172</v>
      </c>
      <c r="C6505" s="5" t="str">
        <f>IFERROR(__xludf.DUMMYFUNCTION("GOOGLETRANSLATE(B6505,""en"",""es-ES"")"),"Se muestra un bebé y luego hay personas entrevistadas.")</f>
        <v>Se muestra un bebé y luego hay personas entrevistadas.</v>
      </c>
    </row>
    <row r="6506">
      <c r="A6506" s="4" t="s">
        <v>8170</v>
      </c>
      <c r="B6506" s="4" t="s">
        <v>8173</v>
      </c>
      <c r="C6506" s="5" t="str">
        <f>IFERROR(__xludf.DUMMYFUNCTION("GOOGLETRANSLATE(B6506,""en"",""es-ES"")"),"Se muestra un casco y se realizan más entrevistas.")</f>
        <v>Se muestra un casco y se realizan más entrevistas.</v>
      </c>
    </row>
    <row r="6507">
      <c r="A6507" s="4" t="s">
        <v>8174</v>
      </c>
      <c r="B6507" s="4" t="s">
        <v>8175</v>
      </c>
      <c r="C6507" s="5" t="str">
        <f>IFERROR(__xludf.DUMMYFUNCTION("GOOGLETRANSLATE(B6507,""en"",""es-ES"")"),"Un hombre asiático está de pie junto al teclado, lleva una camisa roja con la parte superior negra adentro.")</f>
        <v>Un hombre asiático está de pie junto al teclado, lleva una camisa roja con la parte superior negra adentro.</v>
      </c>
    </row>
    <row r="6508">
      <c r="A6508" s="4" t="s">
        <v>8174</v>
      </c>
      <c r="B6508" s="4" t="s">
        <v>8176</v>
      </c>
      <c r="C6508" s="5" t="str">
        <f>IFERROR(__xludf.DUMMYFUNCTION("GOOGLETRANSLATE(B6508,""en"",""es-ES"")"),"Dos personas, una niña y un niño están sentados, la niña lleva un top blanco, mientras que el niño lleva un suéter blanco.")</f>
        <v>Dos personas, una niña y un niño están sentados, la niña lleva un top blanco, mientras que el niño lleva un suéter blanco.</v>
      </c>
    </row>
    <row r="6509">
      <c r="A6509" s="4" t="s">
        <v>8174</v>
      </c>
      <c r="B6509" s="4" t="s">
        <v>8177</v>
      </c>
      <c r="C6509" s="5" t="str">
        <f>IFERROR(__xludf.DUMMYFUNCTION("GOOGLETRANSLATE(B6509,""en"",""es-ES"")"),"El hombre comenzó a jugar en el teclado, tiene las manos mostradas, lleva un brazalete de cuentas negras, luego continúa jugando mientras las dos personas de blanco escuchan.")</f>
        <v>El hombre comenzó a jugar en el teclado, tiene las manos mostradas, lleva un brazalete de cuentas negras, luego continúa jugando mientras las dos personas de blanco escuchan.</v>
      </c>
    </row>
    <row r="6510">
      <c r="A6510" s="4" t="s">
        <v>8174</v>
      </c>
      <c r="B6510" s="4" t="s">
        <v>8178</v>
      </c>
      <c r="C6510" s="5" t="str">
        <f>IFERROR(__xludf.DUMMYFUNCTION("GOOGLETRANSLATE(B6510,""en"",""es-ES"")"),"Cuando el hombre terminó de tocar su teclado, la gente lo vitoreó.")</f>
        <v>Cuando el hombre terminó de tocar su teclado, la gente lo vitoreó.</v>
      </c>
    </row>
    <row r="6511">
      <c r="A6511" s="4" t="s">
        <v>8179</v>
      </c>
      <c r="B6511" s="4" t="s">
        <v>8180</v>
      </c>
      <c r="C6511" s="5" t="str">
        <f>IFERROR(__xludf.DUMMYFUNCTION("GOOGLETRANSLATE(B6511,""en"",""es-ES"")"),"Una cámara se mueve alrededor de un gran cuerpo de agua seguido de personas que nadan en el agua.")</f>
        <v>Una cámara se mueve alrededor de un gran cuerpo de agua seguido de personas que nadan en el agua.</v>
      </c>
    </row>
    <row r="6512">
      <c r="A6512" s="4" t="s">
        <v>8179</v>
      </c>
      <c r="B6512" s="4" t="s">
        <v>8181</v>
      </c>
      <c r="C6512" s="5" t="str">
        <f>IFERROR(__xludf.DUMMYFUNCTION("GOOGLETRANSLATE(B6512,""en"",""es-ES"")"),"Se muestran clips de personas que surgen y nadan en el agua y sonreen a la cámara.")</f>
        <v>Se muestran clips de personas que surgen y nadan en el agua y sonreen a la cámara.</v>
      </c>
    </row>
    <row r="6513">
      <c r="A6513" s="4" t="s">
        <v>8179</v>
      </c>
      <c r="B6513" s="4" t="s">
        <v>8182</v>
      </c>
      <c r="C6513" s="5" t="str">
        <f>IFERROR(__xludf.DUMMYFUNCTION("GOOGLETRANSLATE(B6513,""en"",""es-ES"")"),"Se muestran más clips de personas de cerca que se mueven a lo largo del agua.")</f>
        <v>Se muestran más clips de personas de cerca que se mueven a lo largo del agua.</v>
      </c>
    </row>
    <row r="6514">
      <c r="A6514" s="4" t="s">
        <v>8183</v>
      </c>
      <c r="B6514" s="4" t="s">
        <v>8184</v>
      </c>
      <c r="C6514" s="5" t="str">
        <f>IFERROR(__xludf.DUMMYFUNCTION("GOOGLETRANSLATE(B6514,""en"",""es-ES"")"),"Un niño cierra una rodilla adulta enguantada en el piso.")</f>
        <v>Un niño cierra una rodilla adulta enguantada en el piso.</v>
      </c>
    </row>
    <row r="6515">
      <c r="A6515" s="4" t="s">
        <v>8183</v>
      </c>
      <c r="B6515" s="4" t="s">
        <v>8185</v>
      </c>
      <c r="C6515" s="5" t="str">
        <f>IFERROR(__xludf.DUMMYFUNCTION("GOOGLETRANSLATE(B6515,""en"",""es-ES"")"),"El niño también practica patadas de karate.")</f>
        <v>El niño también practica patadas de karate.</v>
      </c>
    </row>
    <row r="6516">
      <c r="A6516" s="4" t="s">
        <v>8183</v>
      </c>
      <c r="B6516" s="4" t="s">
        <v>8186</v>
      </c>
      <c r="C6516" s="5" t="str">
        <f>IFERROR(__xludf.DUMMYFUNCTION("GOOGLETRANSLATE(B6516,""en"",""es-ES"")"),"El adulto y el niño altos cinco con manos enguantadas.")</f>
        <v>El adulto y el niño altos cinco con manos enguantadas.</v>
      </c>
    </row>
    <row r="6517">
      <c r="A6517" s="4" t="s">
        <v>8183</v>
      </c>
      <c r="B6517" s="4" t="s">
        <v>8187</v>
      </c>
      <c r="C6517" s="5" t="str">
        <f>IFERROR(__xludf.DUMMYFUNCTION("GOOGLETRANSLATE(B6517,""en"",""es-ES"")"),"El adulto comienza a salir del piso.")</f>
        <v>El adulto comienza a salir del piso.</v>
      </c>
    </row>
    <row r="6518">
      <c r="A6518" s="4" t="s">
        <v>8188</v>
      </c>
      <c r="B6518" s="4" t="s">
        <v>8189</v>
      </c>
      <c r="C6518" s="5" t="str">
        <f>IFERROR(__xludf.DUMMYFUNCTION("GOOGLETRANSLATE(B6518,""en"",""es-ES"")"),"Un niño juega con una pieza de accesorio de vacío en un dormitorio.")</f>
        <v>Un niño juega con una pieza de accesorio de vacío en un dormitorio.</v>
      </c>
    </row>
    <row r="6519">
      <c r="A6519" s="4" t="s">
        <v>8188</v>
      </c>
      <c r="B6519" s="4" t="s">
        <v>8190</v>
      </c>
      <c r="C6519" s="5" t="str">
        <f>IFERROR(__xludf.DUMMYFUNCTION("GOOGLETRANSLATE(B6519,""en"",""es-ES"")"),"La madre aspira el piso del dormitorio.")</f>
        <v>La madre aspira el piso del dormitorio.</v>
      </c>
    </row>
    <row r="6520">
      <c r="A6520" s="4" t="s">
        <v>8188</v>
      </c>
      <c r="B6520" s="4" t="s">
        <v>8191</v>
      </c>
      <c r="C6520" s="5" t="str">
        <f>IFERROR(__xludf.DUMMYFUNCTION("GOOGLETRANSLATE(B6520,""en"",""es-ES"")"),"El niño trae el accesorio de vacío a la habitación de al lado.")</f>
        <v>El niño trae el accesorio de vacío a la habitación de al lado.</v>
      </c>
    </row>
    <row r="6521">
      <c r="A6521" s="4" t="s">
        <v>8192</v>
      </c>
      <c r="B6521" s="4" t="s">
        <v>8193</v>
      </c>
      <c r="C6521" s="5" t="str">
        <f>IFERROR(__xludf.DUMMYFUNCTION("GOOGLETRANSLATE(B6521,""en"",""es-ES"")"),"La gente está enrollando y haciendo trucos.")</f>
        <v>La gente está enrollando y haciendo trucos.</v>
      </c>
    </row>
    <row r="6522">
      <c r="A6522" s="4" t="s">
        <v>8192</v>
      </c>
      <c r="B6522" s="4" t="s">
        <v>8194</v>
      </c>
      <c r="C6522" s="5" t="str">
        <f>IFERROR(__xludf.DUMMYFUNCTION("GOOGLETRANSLATE(B6522,""en"",""es-ES"")"),"Una persona está patinando en un parque de skate.")</f>
        <v>Una persona está patinando en un parque de skate.</v>
      </c>
    </row>
    <row r="6523">
      <c r="A6523" s="4" t="s">
        <v>8192</v>
      </c>
      <c r="B6523" s="4" t="s">
        <v>8195</v>
      </c>
      <c r="C6523" s="5" t="str">
        <f>IFERROR(__xludf.DUMMYFUNCTION("GOOGLETRANSLATE(B6523,""en"",""es-ES"")"),"Un coche blanco está en la calle.")</f>
        <v>Un coche blanco está en la calle.</v>
      </c>
    </row>
    <row r="6524">
      <c r="A6524" s="4" t="s">
        <v>8196</v>
      </c>
      <c r="B6524" s="4" t="s">
        <v>8197</v>
      </c>
      <c r="C6524" s="5" t="str">
        <f>IFERROR(__xludf.DUMMYFUNCTION("GOOGLETRANSLATE(B6524,""en"",""es-ES"")"),"Afuera en el patio de recreo, un niño ha subido a la cima del swing set mientras otros niños se balancean.")</f>
        <v>Afuera en el patio de recreo, un niño ha subido a la cima del swing set mientras otros niños se balancean.</v>
      </c>
    </row>
    <row r="6525">
      <c r="A6525" s="4" t="s">
        <v>8196</v>
      </c>
      <c r="B6525" s="4" t="s">
        <v>8198</v>
      </c>
      <c r="C6525" s="5" t="str">
        <f>IFERROR(__xludf.DUMMYFUNCTION("GOOGLETRANSLATE(B6525,""en"",""es-ES"")"),"El niño en la parte superior está sentado casualmente mientras un amigo es empujado a otro niño en el columpio.")</f>
        <v>El niño en la parte superior está sentado casualmente mientras un amigo es empujado a otro niño en el columpio.</v>
      </c>
    </row>
    <row r="6526">
      <c r="A6526" s="4" t="s">
        <v>8196</v>
      </c>
      <c r="B6526" s="4" t="s">
        <v>8199</v>
      </c>
      <c r="C6526" s="5" t="str">
        <f>IFERROR(__xludf.DUMMYFUNCTION("GOOGLETRANSLATE(B6526,""en"",""es-ES"")"),"Ella está acumulando mucha velocidad y está muy alto.")</f>
        <v>Ella está acumulando mucha velocidad y está muy alto.</v>
      </c>
    </row>
    <row r="6527">
      <c r="A6527" s="4" t="s">
        <v>8196</v>
      </c>
      <c r="B6527" s="4" t="s">
        <v>8200</v>
      </c>
      <c r="C6527" s="5" t="str">
        <f>IFERROR(__xludf.DUMMYFUNCTION("GOOGLETRANSLATE(B6527,""en"",""es-ES"")"),"Ella salta pero no aterriza muy bien en absoluto, se estrelló en la hierba.")</f>
        <v>Ella salta pero no aterriza muy bien en absoluto, se estrelló en la hierba.</v>
      </c>
    </row>
    <row r="6528">
      <c r="A6528" s="4" t="s">
        <v>8201</v>
      </c>
      <c r="B6528" s="4" t="s">
        <v>8202</v>
      </c>
      <c r="C6528" s="5" t="str">
        <f>IFERROR(__xludf.DUMMYFUNCTION("GOOGLETRANSLATE(B6528,""en"",""es-ES"")"),"Un hombre se para en un campo.")</f>
        <v>Un hombre se para en un campo.</v>
      </c>
    </row>
    <row r="6529">
      <c r="A6529" s="4" t="s">
        <v>8201</v>
      </c>
      <c r="B6529" s="4" t="s">
        <v>8203</v>
      </c>
      <c r="C6529" s="5" t="str">
        <f>IFERROR(__xludf.DUMMYFUNCTION("GOOGLETRANSLATE(B6529,""en"",""es-ES"")"),"La multitud en el estadio aplaude.")</f>
        <v>La multitud en el estadio aplaude.</v>
      </c>
    </row>
    <row r="6530">
      <c r="A6530" s="4" t="s">
        <v>8201</v>
      </c>
      <c r="B6530" s="4" t="s">
        <v>8204</v>
      </c>
      <c r="C6530" s="5" t="str">
        <f>IFERROR(__xludf.DUMMYFUNCTION("GOOGLETRANSLATE(B6530,""en"",""es-ES"")"),"Los jugadores en el campo se preparan para comenzar un juego.")</f>
        <v>Los jugadores en el campo se preparan para comenzar un juego.</v>
      </c>
    </row>
    <row r="6531">
      <c r="A6531" s="4" t="s">
        <v>8201</v>
      </c>
      <c r="B6531" s="4" t="s">
        <v>8205</v>
      </c>
      <c r="C6531" s="5" t="str">
        <f>IFERROR(__xludf.DUMMYFUNCTION("GOOGLETRANSLATE(B6531,""en"",""es-ES"")"),"El lanzador lanza la pelota.")</f>
        <v>El lanzador lanza la pelota.</v>
      </c>
    </row>
    <row r="6532">
      <c r="A6532" s="4" t="s">
        <v>8201</v>
      </c>
      <c r="B6532" s="4" t="s">
        <v>8206</v>
      </c>
      <c r="C6532" s="5" t="str">
        <f>IFERROR(__xludf.DUMMYFUNCTION("GOOGLETRANSLATE(B6532,""en"",""es-ES"")"),"El bateador intenta golpear la pelota pero falla.")</f>
        <v>El bateador intenta golpear la pelota pero falla.</v>
      </c>
    </row>
    <row r="6533">
      <c r="A6533" s="4" t="s">
        <v>8201</v>
      </c>
      <c r="B6533" s="4" t="s">
        <v>8207</v>
      </c>
      <c r="C6533" s="5" t="str">
        <f>IFERROR(__xludf.DUMMYFUNCTION("GOOGLETRANSLATE(B6533,""en"",""es-ES"")"),"El equipo de lanzadores sale con entusiasmo al campo.")</f>
        <v>El equipo de lanzadores sale con entusiasmo al campo.</v>
      </c>
    </row>
    <row r="6534">
      <c r="A6534" s="4" t="s">
        <v>8208</v>
      </c>
      <c r="B6534" s="4" t="s">
        <v>8209</v>
      </c>
      <c r="C6534" s="5" t="str">
        <f>IFERROR(__xludf.DUMMYFUNCTION("GOOGLETRANSLATE(B6534,""en"",""es-ES"")"),"Hay un caballo marrón atado en un establo.")</f>
        <v>Hay un caballo marrón atado en un establo.</v>
      </c>
    </row>
    <row r="6535">
      <c r="A6535" s="4" t="s">
        <v>8208</v>
      </c>
      <c r="B6535" s="4" t="s">
        <v>8210</v>
      </c>
      <c r="C6535" s="5" t="str">
        <f>IFERROR(__xludf.DUMMYFUNCTION("GOOGLETRANSLATE(B6535,""en"",""es-ES"")"),"Una mujer con una camisa verde y botas marrones entra y comienza a fregar el caballo.")</f>
        <v>Una mujer con una camisa verde y botas marrones entra y comienza a fregar el caballo.</v>
      </c>
    </row>
    <row r="6536">
      <c r="A6536" s="4" t="s">
        <v>8208</v>
      </c>
      <c r="B6536" s="4" t="s">
        <v>8211</v>
      </c>
      <c r="C6536" s="5" t="str">
        <f>IFERROR(__xludf.DUMMYFUNCTION("GOOGLETRANSLATE(B6536,""en"",""es-ES"")"),"Ella continúa fregando y limpiando el caballo sobre su estómago.")</f>
        <v>Ella continúa fregando y limpiando el caballo sobre su estómago.</v>
      </c>
    </row>
    <row r="6537">
      <c r="A6537" s="4" t="s">
        <v>8208</v>
      </c>
      <c r="B6537" s="4" t="s">
        <v>8212</v>
      </c>
      <c r="C6537" s="5" t="str">
        <f>IFERROR(__xludf.DUMMYFUNCTION("GOOGLETRANSLATE(B6537,""en"",""es-ES"")"),"Ella fraza bien el área del cuello del caballo y el área de la espalda.")</f>
        <v>Ella fraza bien el área del cuello del caballo y el área de la espalda.</v>
      </c>
    </row>
    <row r="6538">
      <c r="A6538" s="4" t="s">
        <v>8208</v>
      </c>
      <c r="B6538" s="4" t="s">
        <v>8213</v>
      </c>
      <c r="C6538" s="5" t="str">
        <f>IFERROR(__xludf.DUMMYFUNCTION("GOOGLETRANSLATE(B6538,""en"",""es-ES"")"),"Luego camina hacia el otro lado del caballo y continúa fregando.")</f>
        <v>Luego camina hacia el otro lado del caballo y continúa fregando.</v>
      </c>
    </row>
    <row r="6539">
      <c r="A6539" s="4" t="s">
        <v>8208</v>
      </c>
      <c r="B6539" s="4" t="s">
        <v>8214</v>
      </c>
      <c r="C6539" s="5" t="str">
        <f>IFERROR(__xludf.DUMMYFUNCTION("GOOGLETRANSLATE(B6539,""en"",""es-ES"")"),"El caballo comienza a mover el cuello y la cabeza mientras ella continúa fregando.")</f>
        <v>El caballo comienza a mover el cuello y la cabeza mientras ella continúa fregando.</v>
      </c>
    </row>
    <row r="6540">
      <c r="A6540" s="4" t="s">
        <v>8208</v>
      </c>
      <c r="B6540" s="4" t="s">
        <v>8215</v>
      </c>
      <c r="C6540" s="5" t="str">
        <f>IFERROR(__xludf.DUMMYFUNCTION("GOOGLETRANSLATE(B6540,""en"",""es-ES"")"),"Luego ella va frente al caballo y se limpia la boca.")</f>
        <v>Luego ella va frente al caballo y se limpia la boca.</v>
      </c>
    </row>
    <row r="6541">
      <c r="A6541" s="4" t="s">
        <v>8216</v>
      </c>
      <c r="B6541" s="4" t="s">
        <v>8217</v>
      </c>
      <c r="C6541" s="5" t="str">
        <f>IFERROR(__xludf.DUMMYFUNCTION("GOOGLETRANSLATE(B6541,""en"",""es-ES"")"),"Tres chicas están montando bicicletas estacionarias.")</f>
        <v>Tres chicas están montando bicicletas estacionarias.</v>
      </c>
    </row>
    <row r="6542">
      <c r="A6542" s="4" t="s">
        <v>8216</v>
      </c>
      <c r="B6542" s="4" t="s">
        <v>8218</v>
      </c>
      <c r="C6542" s="5" t="str">
        <f>IFERROR(__xludf.DUMMYFUNCTION("GOOGLETRANSLATE(B6542,""en"",""es-ES"")"),"Un hombre está parado frente a ellos sosteniendo una cámara.")</f>
        <v>Un hombre está parado frente a ellos sosteniendo una cámara.</v>
      </c>
    </row>
    <row r="6543">
      <c r="A6543" s="4" t="s">
        <v>8216</v>
      </c>
      <c r="B6543" s="4" t="s">
        <v>8219</v>
      </c>
      <c r="C6543" s="5" t="str">
        <f>IFERROR(__xludf.DUMMYFUNCTION("GOOGLETRANSLATE(B6543,""en"",""es-ES"")"),"Otro hombre camina frente a ellos.")</f>
        <v>Otro hombre camina frente a ellos.</v>
      </c>
    </row>
    <row r="6544">
      <c r="A6544" s="4" t="s">
        <v>8220</v>
      </c>
      <c r="B6544" s="4" t="s">
        <v>8221</v>
      </c>
      <c r="C6544" s="5" t="str">
        <f>IFERROR(__xludf.DUMMYFUNCTION("GOOGLETRANSLATE(B6544,""en"",""es-ES"")"),"Se muestra una vista submarina cuando una mujer vestida como una sirena está nadando.")</f>
        <v>Se muestra una vista submarina cuando una mujer vestida como una sirena está nadando.</v>
      </c>
    </row>
    <row r="6545">
      <c r="A6545" s="4" t="s">
        <v>8220</v>
      </c>
      <c r="B6545" s="4" t="s">
        <v>8222</v>
      </c>
      <c r="C6545" s="5" t="str">
        <f>IFERROR(__xludf.DUMMYFUNCTION("GOOGLETRANSLATE(B6545,""en"",""es-ES"")"),"Una gran enfermera ballena nada junto a ella.")</f>
        <v>Una gran enfermera ballena nada junto a ella.</v>
      </c>
    </row>
    <row r="6546">
      <c r="A6546" s="4" t="s">
        <v>8220</v>
      </c>
      <c r="B6546" s="4" t="s">
        <v>8223</v>
      </c>
      <c r="C6546" s="5" t="str">
        <f>IFERROR(__xludf.DUMMYFUNCTION("GOOGLETRANSLATE(B6546,""en"",""es-ES"")"),"Se muestran múltiples imágenes de la sirena de natación.")</f>
        <v>Se muestran múltiples imágenes de la sirena de natación.</v>
      </c>
    </row>
    <row r="6547">
      <c r="A6547" s="4" t="s">
        <v>8224</v>
      </c>
      <c r="B6547" s="4" t="s">
        <v>8225</v>
      </c>
      <c r="C6547" s="5" t="str">
        <f>IFERROR(__xludf.DUMMYFUNCTION("GOOGLETRANSLATE(B6547,""en"",""es-ES"")"),"Se muestra una imagen de un depurador seguido por un hombre que usa el elemento en un conjunto de ventanas.")</f>
        <v>Se muestra una imagen de un depurador seguido por un hombre que usa el elemento en un conjunto de ventanas.</v>
      </c>
    </row>
    <row r="6548">
      <c r="A6548" s="4" t="s">
        <v>8224</v>
      </c>
      <c r="B6548" s="4" t="s">
        <v>8226</v>
      </c>
      <c r="C6548" s="5" t="str">
        <f>IFERROR(__xludf.DUMMYFUNCTION("GOOGLETRANSLATE(B6548,""en"",""es-ES"")"),"Luego limpia el vaso con otro trapo y señala la ventana y la cierre mientras los créditos rodan.")</f>
        <v>Luego limpia el vaso con otro trapo y señala la ventana y la cierre mientras los créditos rodan.</v>
      </c>
    </row>
    <row r="6549">
      <c r="A6549" s="4" t="s">
        <v>8227</v>
      </c>
      <c r="B6549" s="4" t="s">
        <v>8228</v>
      </c>
      <c r="C6549" s="5" t="str">
        <f>IFERROR(__xludf.DUMMYFUNCTION("GOOGLETRANSLATE(B6549,""en"",""es-ES"")"),"La gente se reúne en una exposición interior.")</f>
        <v>La gente se reúne en una exposición interior.</v>
      </c>
    </row>
    <row r="6550">
      <c r="A6550" s="4" t="s">
        <v>8227</v>
      </c>
      <c r="B6550" s="4" t="s">
        <v>8229</v>
      </c>
      <c r="C6550" s="5" t="str">
        <f>IFERROR(__xludf.DUMMYFUNCTION("GOOGLETRANSLATE(B6550,""en"",""es-ES"")"),"Un hombre y una obra de robot Ping Pong en la exposición.")</f>
        <v>Un hombre y una obra de robot Ping Pong en la exposición.</v>
      </c>
    </row>
    <row r="6551">
      <c r="A6551" s="4" t="s">
        <v>8227</v>
      </c>
      <c r="B6551" s="4" t="s">
        <v>8230</v>
      </c>
      <c r="C6551" s="5" t="str">
        <f>IFERROR(__xludf.DUMMYFUNCTION("GOOGLETRANSLATE(B6551,""en"",""es-ES"")"),"La gente usa cordones y mira alrededor de las exhibiciones, mientras que un hombre explica a una persona que sostiene dos discos.")</f>
        <v>La gente usa cordones y mira alrededor de las exhibiciones, mientras que un hombre explica a una persona que sostiene dos discos.</v>
      </c>
    </row>
    <row r="6552">
      <c r="A6552" s="4" t="s">
        <v>8227</v>
      </c>
      <c r="B6552" s="4" t="s">
        <v>8231</v>
      </c>
      <c r="C6552" s="5" t="str">
        <f>IFERROR(__xludf.DUMMYFUNCTION("GOOGLETRANSLATE(B6552,""en"",""es-ES"")"),"Otras personas se sientan en un área para comer mientras leen y envían mensajes de texto.")</f>
        <v>Otras personas se sientan en un área para comer mientras leen y envían mensajes de texto.</v>
      </c>
    </row>
    <row r="6553">
      <c r="A6553" s="4" t="s">
        <v>8232</v>
      </c>
      <c r="B6553" s="4" t="s">
        <v>8233</v>
      </c>
      <c r="C6553" s="5" t="str">
        <f>IFERROR(__xludf.DUMMYFUNCTION("GOOGLETRANSLATE(B6553,""en"",""es-ES"")"),"La gente está comiendo conos de helado.")</f>
        <v>La gente está comiendo conos de helado.</v>
      </c>
    </row>
    <row r="6554">
      <c r="A6554" s="4" t="s">
        <v>8232</v>
      </c>
      <c r="B6554" s="4" t="s">
        <v>8234</v>
      </c>
      <c r="C6554" s="5" t="str">
        <f>IFERROR(__xludf.DUMMYFUNCTION("GOOGLETRANSLATE(B6554,""en"",""es-ES"")"),"Una persona pone helado en un cono de helado.")</f>
        <v>Una persona pone helado en un cono de helado.</v>
      </c>
    </row>
    <row r="6555">
      <c r="A6555" s="4" t="s">
        <v>8232</v>
      </c>
      <c r="B6555" s="4" t="s">
        <v>8235</v>
      </c>
      <c r="C6555" s="5" t="str">
        <f>IFERROR(__xludf.DUMMYFUNCTION("GOOGLETRANSLATE(B6555,""en"",""es-ES"")"),"Una mujer con gafas habla con la cámara.")</f>
        <v>Una mujer con gafas habla con la cámara.</v>
      </c>
    </row>
    <row r="6556">
      <c r="A6556" s="4" t="s">
        <v>8236</v>
      </c>
      <c r="B6556" s="4" t="s">
        <v>8237</v>
      </c>
      <c r="C6556" s="5" t="str">
        <f>IFERROR(__xludf.DUMMYFUNCTION("GOOGLETRANSLATE(B6556,""en"",""es-ES"")"),"Dos hombres muy grandes están en medio de un anillo con trajes de lucha de sumo.")</f>
        <v>Dos hombres muy grandes están en medio de un anillo con trajes de lucha de sumo.</v>
      </c>
    </row>
    <row r="6557">
      <c r="A6557" s="4" t="s">
        <v>8236</v>
      </c>
      <c r="B6557" s="4" t="s">
        <v>8238</v>
      </c>
      <c r="C6557" s="5" t="str">
        <f>IFERROR(__xludf.DUMMYFUNCTION("GOOGLETRANSLATE(B6557,""en"",""es-ES"")"),"Están entrando en posición y esperando que el árbitro les diga que comiencen el partido.")</f>
        <v>Están entrando en posición y esperando que el árbitro les diga que comiencen el partido.</v>
      </c>
    </row>
    <row r="6558">
      <c r="A6558" s="4" t="s">
        <v>8236</v>
      </c>
      <c r="B6558" s="4" t="s">
        <v>8239</v>
      </c>
      <c r="C6558" s="5" t="str">
        <f>IFERROR(__xludf.DUMMYFUNCTION("GOOGLETRANSLATE(B6558,""en"",""es-ES"")"),"Una vez que el árbitro dice que comience, comienzan el partido, ambos corren el uno hacia el otro de inmediato.")</f>
        <v>Una vez que el árbitro dice que comience, comienzan el partido, ambos corren el uno hacia el otro de inmediato.</v>
      </c>
    </row>
    <row r="6559">
      <c r="A6559" s="4" t="s">
        <v>8236</v>
      </c>
      <c r="B6559" s="4" t="s">
        <v>8240</v>
      </c>
      <c r="C6559" s="5" t="str">
        <f>IFERROR(__xludf.DUMMYFUNCTION("GOOGLETRANSLATE(B6559,""en"",""es-ES"")"),"El hombre de piel bronceada golpea al otro hombre en el suelo y gana el partido.")</f>
        <v>El hombre de piel bronceada golpea al otro hombre en el suelo y gana el partido.</v>
      </c>
    </row>
    <row r="6560">
      <c r="A6560" s="4" t="s">
        <v>8241</v>
      </c>
      <c r="B6560" s="4" t="s">
        <v>8242</v>
      </c>
      <c r="C6560" s="5" t="str">
        <f>IFERROR(__xludf.DUMMYFUNCTION("GOOGLETRANSLATE(B6560,""en"",""es-ES"")"),"Una mujer manipula un cubo de Rubik mientras un hombre observa en un entorno competitivo.")</f>
        <v>Una mujer manipula un cubo de Rubik mientras un hombre observa en un entorno competitivo.</v>
      </c>
    </row>
    <row r="6561">
      <c r="A6561" s="4" t="s">
        <v>8241</v>
      </c>
      <c r="B6561" s="4" t="s">
        <v>8243</v>
      </c>
      <c r="C6561" s="5" t="str">
        <f>IFERROR(__xludf.DUMMYFUNCTION("GOOGLETRANSLATE(B6561,""en"",""es-ES"")"),"Dos hombres caminan a través del marco de la cámara en el fondo.")</f>
        <v>Dos hombres caminan a través del marco de la cámara en el fondo.</v>
      </c>
    </row>
    <row r="6562">
      <c r="A6562" s="4" t="s">
        <v>8241</v>
      </c>
      <c r="B6562" s="4" t="s">
        <v>8244</v>
      </c>
      <c r="C6562" s="5" t="str">
        <f>IFERROR(__xludf.DUMMYFUNCTION("GOOGLETRANSLATE(B6562,""en"",""es-ES"")"),"La mujer pone el cubo de Rubik resuelto en la mesa ante ella.")</f>
        <v>La mujer pone el cubo de Rubik resuelto en la mesa ante ella.</v>
      </c>
    </row>
    <row r="6563">
      <c r="A6563" s="4" t="s">
        <v>8245</v>
      </c>
      <c r="B6563" s="4" t="s">
        <v>8246</v>
      </c>
      <c r="C6563" s="5" t="str">
        <f>IFERROR(__xludf.DUMMYFUNCTION("GOOGLETRANSLATE(B6563,""en"",""es-ES"")"),"Una introducción conduce a varias fotos de chicas con cabello largo y niñas que tienen el cabello trenzado.")</f>
        <v>Una introducción conduce a varias fotos de chicas con cabello largo y niñas que tienen el cabello trenzado.</v>
      </c>
    </row>
    <row r="6564">
      <c r="A6564" s="4" t="s">
        <v>8245</v>
      </c>
      <c r="B6564" s="4" t="s">
        <v>8247</v>
      </c>
      <c r="C6564" s="5" t="str">
        <f>IFERROR(__xludf.DUMMYFUNCTION("GOOGLETRANSLATE(B6564,""en"",""es-ES"")"),"La longitud del cabello de una niña se mide seguido de más fotos de su cabello largo y hablando con la cámara.")</f>
        <v>La longitud del cabello de una niña se mide seguido de más fotos de su cabello largo y hablando con la cámara.</v>
      </c>
    </row>
    <row r="6565">
      <c r="A6565" s="4" t="s">
        <v>8245</v>
      </c>
      <c r="B6565" s="4" t="s">
        <v>8248</v>
      </c>
      <c r="C6565" s="5" t="str">
        <f>IFERROR(__xludf.DUMMYFUNCTION("GOOGLETRANSLATE(B6565,""en"",""es-ES"")"),"Luego se ve un juego de manos cortando el cabello de la niña y mostrando su cola de caballo a la niña.")</f>
        <v>Luego se ve un juego de manos cortando el cabello de la niña y mostrando su cola de caballo a la niña.</v>
      </c>
    </row>
    <row r="6566">
      <c r="A6566" s="4" t="s">
        <v>8245</v>
      </c>
      <c r="B6566" s="4" t="s">
        <v>8249</v>
      </c>
      <c r="C6566" s="5" t="str">
        <f>IFERROR(__xludf.DUMMYFUNCTION("GOOGLETRANSLATE(B6566,""en"",""es-ES"")"),"Se muestran más fotos del nuevo cabello de la niña, así como viejas fotos de ella.")</f>
        <v>Se muestran más fotos del nuevo cabello de la niña, así como viejas fotos de ella.</v>
      </c>
    </row>
    <row r="6567">
      <c r="A6567" s="4" t="s">
        <v>8250</v>
      </c>
      <c r="B6567" s="4" t="s">
        <v>8251</v>
      </c>
      <c r="C6567" s="5" t="str">
        <f>IFERROR(__xludf.DUMMYFUNCTION("GOOGLETRANSLATE(B6567,""en"",""es-ES"")"),"Un hombre con una camisa negra y pantalones cortos negros está parado junto a una máquina de ejercicios.")</f>
        <v>Un hombre con una camisa negra y pantalones cortos negros está parado junto a una máquina de ejercicios.</v>
      </c>
    </row>
    <row r="6568">
      <c r="A6568" s="4" t="s">
        <v>8250</v>
      </c>
      <c r="B6568" s="4" t="s">
        <v>8252</v>
      </c>
      <c r="C6568" s="5" t="str">
        <f>IFERROR(__xludf.DUMMYFUNCTION("GOOGLETRANSLATE(B6568,""en"",""es-ES"")"),"Se sienta en la máquina de ejercicios y comienza a hacer ejercicio.")</f>
        <v>Se sienta en la máquina de ejercicios y comienza a hacer ejercicio.</v>
      </c>
    </row>
    <row r="6569">
      <c r="A6569" s="4" t="s">
        <v>8250</v>
      </c>
      <c r="B6569" s="4" t="s">
        <v>8253</v>
      </c>
      <c r="C6569" s="5" t="str">
        <f>IFERROR(__xludf.DUMMYFUNCTION("GOOGLETRANSLATE(B6569,""en"",""es-ES"")"),"Deja de hacer ejercicio y libera el bar.")</f>
        <v>Deja de hacer ejercicio y libera el bar.</v>
      </c>
    </row>
    <row r="6570">
      <c r="A6570" s="4" t="s">
        <v>8254</v>
      </c>
      <c r="B6570" s="4" t="s">
        <v>8255</v>
      </c>
      <c r="C6570" s="5" t="str">
        <f>IFERROR(__xludf.DUMMYFUNCTION("GOOGLETRANSLATE(B6570,""en"",""es-ES"")"),"Un hombre freír las verduras en una sartén y revolver con una cuchara grande.")</f>
        <v>Un hombre freír las verduras en una sartén y revolver con una cuchara grande.</v>
      </c>
    </row>
    <row r="6571">
      <c r="A6571" s="4" t="s">
        <v>8254</v>
      </c>
      <c r="B6571" s="4" t="s">
        <v>8256</v>
      </c>
      <c r="C6571" s="5" t="str">
        <f>IFERROR(__xludf.DUMMYFUNCTION("GOOGLETRANSLATE(B6571,""en"",""es-ES"")"),"Luego, el hombre frena los huevos en un tazón y mezcle bien, después de que el hombre agregue los huevos en la sartén para hacer una tortilla.")</f>
        <v>Luego, el hombre frena los huevos en un tazón y mezcle bien, después de que el hombre agregue los huevos en la sartén para hacer una tortilla.</v>
      </c>
    </row>
    <row r="6572">
      <c r="A6572" s="4" t="s">
        <v>8254</v>
      </c>
      <c r="B6572" s="4" t="s">
        <v>8257</v>
      </c>
      <c r="C6572" s="5" t="str">
        <f>IFERROR(__xludf.DUMMYFUNCTION("GOOGLETRANSLATE(B6572,""en"",""es-ES"")"),"Rodó la tortilla y la voltea en el aire, luego el hombre sirve la tortilla en un plato.")</f>
        <v>Rodó la tortilla y la voltea en el aire, luego el hombre sirve la tortilla en un plato.</v>
      </c>
    </row>
    <row r="6573">
      <c r="A6573" s="4" t="s">
        <v>8258</v>
      </c>
      <c r="B6573" s="4" t="s">
        <v>8259</v>
      </c>
      <c r="C6573" s="5" t="str">
        <f>IFERROR(__xludf.DUMMYFUNCTION("GOOGLETRANSLATE(B6573,""en"",""es-ES"")"),"Una mujer está bailando algo de música mientras está parado frente a un televisor.")</f>
        <v>Una mujer está bailando algo de música mientras está parado frente a un televisor.</v>
      </c>
    </row>
    <row r="6574">
      <c r="A6574" s="4" t="s">
        <v>8258</v>
      </c>
      <c r="B6574" s="4" t="s">
        <v>8260</v>
      </c>
      <c r="C6574" s="5" t="str">
        <f>IFERROR(__xludf.DUMMYFUNCTION("GOOGLETRANSLATE(B6574,""en"",""es-ES"")"),"Mientras baila, comienza a fumar una tubería de narguile.")</f>
        <v>Mientras baila, comienza a fumar una tubería de narguile.</v>
      </c>
    </row>
    <row r="6575">
      <c r="A6575" s="4" t="s">
        <v>8258</v>
      </c>
      <c r="B6575" s="4" t="s">
        <v>8261</v>
      </c>
      <c r="C6575" s="5" t="str">
        <f>IFERROR(__xludf.DUMMYFUNCTION("GOOGLETRANSLATE(B6575,""en"",""es-ES"")"),"La cámara muestra a otras dos mujeres en la habitación mientras bailan y fuman la tubería de narguile con ella.")</f>
        <v>La cámara muestra a otras dos mujeres en la habitación mientras bailan y fuman la tubería de narguile con ella.</v>
      </c>
    </row>
    <row r="6576">
      <c r="A6576" s="4" t="s">
        <v>8258</v>
      </c>
      <c r="B6576" s="4" t="s">
        <v>8262</v>
      </c>
      <c r="C6576" s="5" t="str">
        <f>IFERROR(__xludf.DUMMYFUNCTION("GOOGLETRANSLATE(B6576,""en"",""es-ES"")"),"La cámara se vuelve hacia un hombre que está en la habitación con una cámara que toma fotos.")</f>
        <v>La cámara se vuelve hacia un hombre que está en la habitación con una cámara que toma fotos.</v>
      </c>
    </row>
    <row r="6577">
      <c r="A6577" s="4" t="s">
        <v>8263</v>
      </c>
      <c r="B6577" s="4" t="s">
        <v>8264</v>
      </c>
      <c r="C6577" s="5" t="str">
        <f>IFERROR(__xludf.DUMMYFUNCTION("GOOGLETRANSLATE(B6577,""en"",""es-ES"")"),"Una niña pequeña está haciendo galletas con su madre en su cocina.")</f>
        <v>Una niña pequeña está haciendo galletas con su madre en su cocina.</v>
      </c>
    </row>
    <row r="6578">
      <c r="A6578" s="4" t="s">
        <v>8263</v>
      </c>
      <c r="B6578" s="4" t="s">
        <v>8265</v>
      </c>
      <c r="C6578" s="5" t="str">
        <f>IFERROR(__xludf.DUMMYFUNCTION("GOOGLETRANSLATE(B6578,""en"",""es-ES"")"),"Ella quiere que su madre finja que es Santa Claus.")</f>
        <v>Ella quiere que su madre finja que es Santa Claus.</v>
      </c>
    </row>
    <row r="6579">
      <c r="A6579" s="4" t="s">
        <v>8263</v>
      </c>
      <c r="B6579" s="4" t="s">
        <v>8266</v>
      </c>
      <c r="C6579" s="5" t="str">
        <f>IFERROR(__xludf.DUMMYFUNCTION("GOOGLETRANSLATE(B6579,""en"",""es-ES"")"),"Las risas y ruedan la masa de galletas en el tablero de corte.")</f>
        <v>Las risas y ruedan la masa de galletas en el tablero de corte.</v>
      </c>
    </row>
    <row r="6580">
      <c r="A6580" s="4" t="s">
        <v>8263</v>
      </c>
      <c r="B6580" s="4" t="s">
        <v>8267</v>
      </c>
      <c r="C6580" s="5" t="str">
        <f>IFERROR(__xludf.DUMMYFUNCTION("GOOGLETRANSLATE(B6580,""en"",""es-ES"")"),"La madre abre el horno y coloca la bandeja llena de masa de galletas en el horno para hornear.")</f>
        <v>La madre abre el horno y coloca la bandeja llena de masa de galletas en el horno para hornear.</v>
      </c>
    </row>
    <row r="6581">
      <c r="A6581" s="4" t="s">
        <v>8263</v>
      </c>
      <c r="B6581" s="4" t="s">
        <v>8268</v>
      </c>
      <c r="C6581" s="5" t="str">
        <f>IFERROR(__xludf.DUMMYFUNCTION("GOOGLETRANSLATE(B6581,""en"",""es-ES"")"),"Luego, la madre toma el cortador de galletas y hace más galletas para hornear, luego tanto madre como hija atraviesan la receta de galletas mientras colocan la masa de galletas en la bandeja.")</f>
        <v>Luego, la madre toma el cortador de galletas y hace más galletas para hornear, luego tanto madre como hija atraviesan la receta de galletas mientras colocan la masa de galletas en la bandeja.</v>
      </c>
    </row>
    <row r="6582">
      <c r="A6582" s="4" t="s">
        <v>8263</v>
      </c>
      <c r="B6582" s="4" t="s">
        <v>8269</v>
      </c>
      <c r="C6582" s="5" t="str">
        <f>IFERROR(__xludf.DUMMYFUNCTION("GOOGLETRANSLATE(B6582,""en"",""es-ES"")"),"Después de hornear las galletas, decoran las galletas con chispas y glaseado.")</f>
        <v>Después de hornear las galletas, decoran las galletas con chispas y glaseado.</v>
      </c>
    </row>
    <row r="6583">
      <c r="A6583" s="4" t="s">
        <v>8263</v>
      </c>
      <c r="B6583" s="4" t="s">
        <v>8270</v>
      </c>
      <c r="C6583" s="5" t="str">
        <f>IFERROR(__xludf.DUMMYFUNCTION("GOOGLETRANSLATE(B6583,""en"",""es-ES"")"),"La niña muestra con orgullo la galleta terminada después de que termine.")</f>
        <v>La niña muestra con orgullo la galleta terminada después de que termine.</v>
      </c>
    </row>
    <row r="6584">
      <c r="A6584" s="4" t="s">
        <v>8271</v>
      </c>
      <c r="B6584" s="4" t="s">
        <v>8272</v>
      </c>
      <c r="C6584" s="5" t="str">
        <f>IFERROR(__xludf.DUMMYFUNCTION("GOOGLETRANSLATE(B6584,""en"",""es-ES"")"),"Se muestra a dos personas empujando una cortadora de césped y cortando el césped.")</f>
        <v>Se muestra a dos personas empujando una cortadora de césped y cortando el césped.</v>
      </c>
    </row>
    <row r="6585">
      <c r="A6585" s="4" t="s">
        <v>8271</v>
      </c>
      <c r="B6585" s="4" t="s">
        <v>8273</v>
      </c>
      <c r="C6585" s="5" t="str">
        <f>IFERROR(__xludf.DUMMYFUNCTION("GOOGLETRANSLATE(B6585,""en"",""es-ES"")"),"El bacto entre sí cuando uno se da vuelta al otro sigue cerca.")</f>
        <v>El bacto entre sí cuando uno se da vuelta al otro sigue cerca.</v>
      </c>
    </row>
    <row r="6586">
      <c r="A6586" s="4" t="s">
        <v>8271</v>
      </c>
      <c r="B6586" s="4" t="s">
        <v>8274</v>
      </c>
      <c r="C6586" s="5" t="str">
        <f>IFERROR(__xludf.DUMMYFUNCTION("GOOGLETRANSLATE(B6586,""en"",""es-ES"")"),"El hombre se acerca a la casa y continúa volviendo hacia la mujer.")</f>
        <v>El hombre se acerca a la casa y continúa volviendo hacia la mujer.</v>
      </c>
    </row>
    <row r="6587">
      <c r="A6587" s="4" t="s">
        <v>8275</v>
      </c>
      <c r="B6587" s="4" t="s">
        <v>8276</v>
      </c>
      <c r="C6587" s="5" t="str">
        <f>IFERROR(__xludf.DUMMYFUNCTION("GOOGLETRANSLATE(B6587,""en"",""es-ES"")"),"Se ve a una persona montar a lo largo de un sendero para bicicletas mientras una persona que usa una cámara seguía desde atrás.")</f>
        <v>Se ve a una persona montar a lo largo de un sendero para bicicletas mientras una persona que usa una cámara seguía desde atrás.</v>
      </c>
    </row>
    <row r="6588">
      <c r="A6588" s="4" t="s">
        <v>8275</v>
      </c>
      <c r="B6588" s="4" t="s">
        <v>8277</v>
      </c>
      <c r="C6588" s="5" t="str">
        <f>IFERROR(__xludf.DUMMYFUNCTION("GOOGLETRANSLATE(B6588,""en"",""es-ES"")"),"Se muestran más clips de personas que montan bicicletas a lo largo del sendero, mientras que la cámara lo captura desde varios ángulos.")</f>
        <v>Se muestran más clips de personas que montan bicicletas a lo largo del sendero, mientras que la cámara lo captura desde varios ángulos.</v>
      </c>
    </row>
    <row r="6589">
      <c r="A6589" s="4" t="s">
        <v>8278</v>
      </c>
      <c r="B6589" s="4" t="s">
        <v>8279</v>
      </c>
      <c r="C6589" s="5" t="str">
        <f>IFERROR(__xludf.DUMMYFUNCTION("GOOGLETRANSLATE(B6589,""en"",""es-ES"")"),"Se muestra un primer plano de un juego de lacrosse que conduce a un hombre que habla con la cámara.")</f>
        <v>Se muestra un primer plano de un juego de lacrosse que conduce a un hombre que habla con la cámara.</v>
      </c>
    </row>
    <row r="6590">
      <c r="A6590" s="4" t="s">
        <v>8278</v>
      </c>
      <c r="B6590" s="4" t="s">
        <v>8280</v>
      </c>
      <c r="C6590" s="5" t="str">
        <f>IFERROR(__xludf.DUMMYFUNCTION("GOOGLETRANSLATE(B6590,""en"",""es-ES"")"),"Se muestran más tiros del juego con los jugadores corriendo por el campo, así como muchos otros que hablan con la cámara.")</f>
        <v>Se muestran más tiros del juego con los jugadores corriendo por el campo, así como muchos otros que hablan con la cámara.</v>
      </c>
    </row>
    <row r="6591">
      <c r="A6591" s="4" t="s">
        <v>8281</v>
      </c>
      <c r="B6591" s="4" t="s">
        <v>8282</v>
      </c>
      <c r="C6591" s="5" t="str">
        <f>IFERROR(__xludf.DUMMYFUNCTION("GOOGLETRANSLATE(B6591,""en"",""es-ES"")"),"Se ve a un hombre con casco y arrodillado en una habitación grande.")</f>
        <v>Se ve a un hombre con casco y arrodillado en una habitación grande.</v>
      </c>
    </row>
    <row r="6592">
      <c r="A6592" s="4" t="s">
        <v>8281</v>
      </c>
      <c r="B6592" s="4" t="s">
        <v>8283</v>
      </c>
      <c r="C6592" s="5" t="str">
        <f>IFERROR(__xludf.DUMMYFUNCTION("GOOGLETRANSLATE(B6592,""en"",""es-ES"")"),"Utiliza una antorcha en un objeto mientras otra persona entra al marco.")</f>
        <v>Utiliza una antorcha en un objeto mientras otra persona entra al marco.</v>
      </c>
    </row>
    <row r="6593">
      <c r="A6593" s="4" t="s">
        <v>8281</v>
      </c>
      <c r="B6593" s="4" t="s">
        <v>8284</v>
      </c>
      <c r="C6593" s="5" t="str">
        <f>IFERROR(__xludf.DUMMYFUNCTION("GOOGLETRANSLATE(B6593,""en"",""es-ES"")"),"Al final se acerca al objeto que incendió.")</f>
        <v>Al final se acerca al objeto que incendió.</v>
      </c>
    </row>
    <row r="6594">
      <c r="A6594" s="4" t="s">
        <v>8285</v>
      </c>
      <c r="B6594" s="4" t="s">
        <v>8286</v>
      </c>
      <c r="C6594" s="5" t="str">
        <f>IFERROR(__xludf.DUMMYFUNCTION("GOOGLETRANSLATE(B6594,""en"",""es-ES"")"),"Una mujer está de pie detrás de una mesa.")</f>
        <v>Una mujer está de pie detrás de una mesa.</v>
      </c>
    </row>
    <row r="6595">
      <c r="A6595" s="4" t="s">
        <v>8285</v>
      </c>
      <c r="B6595" s="4" t="s">
        <v>8287</v>
      </c>
      <c r="C6595" s="5" t="str">
        <f>IFERROR(__xludf.DUMMYFUNCTION("GOOGLETRANSLATE(B6595,""en"",""es-ES"")"),"Ella toma un trapo y una botella de aceite.")</f>
        <v>Ella toma un trapo y una botella de aceite.</v>
      </c>
    </row>
    <row r="6596">
      <c r="A6596" s="4" t="s">
        <v>8285</v>
      </c>
      <c r="B6596" s="4" t="s">
        <v>8288</v>
      </c>
      <c r="C6596" s="5" t="str">
        <f>IFERROR(__xludf.DUMMYFUNCTION("GOOGLETRANSLATE(B6596,""en"",""es-ES"")"),"Ella pone aceite en el trapo y comienza a limpiar sus botas con él.")</f>
        <v>Ella pone aceite en el trapo y comienza a limpiar sus botas con él.</v>
      </c>
    </row>
    <row r="6597">
      <c r="A6597" s="4" t="s">
        <v>8289</v>
      </c>
      <c r="B6597" s="4" t="s">
        <v>8290</v>
      </c>
      <c r="C6597" s="5" t="str">
        <f>IFERROR(__xludf.DUMMYFUNCTION("GOOGLETRANSLATE(B6597,""en"",""es-ES"")"),"Un niño se sienta en una mesa con una chica a su lado.")</f>
        <v>Un niño se sienta en una mesa con una chica a su lado.</v>
      </c>
    </row>
    <row r="6598">
      <c r="A6598" s="4" t="s">
        <v>8289</v>
      </c>
      <c r="B6598" s="4" t="s">
        <v>8291</v>
      </c>
      <c r="C6598" s="5" t="str">
        <f>IFERROR(__xludf.DUMMYFUNCTION("GOOGLETRANSLATE(B6598,""en"",""es-ES"")"),"Él está tratando de resolver un cubo de Rubik mientras ella lo hace.")</f>
        <v>Él está tratando de resolver un cubo de Rubik mientras ella lo hace.</v>
      </c>
    </row>
    <row r="6599">
      <c r="A6599" s="4" t="s">
        <v>8289</v>
      </c>
      <c r="B6599" s="4" t="s">
        <v>8292</v>
      </c>
      <c r="C6599" s="5" t="str">
        <f>IFERROR(__xludf.DUMMYFUNCTION("GOOGLETRANSLATE(B6599,""en"",""es-ES"")"),"Un mostrador cuenta rápidamente mientras hace todo lo posible para resolver el rompecabezas.")</f>
        <v>Un mostrador cuenta rápidamente mientras hace todo lo posible para resolver el rompecabezas.</v>
      </c>
    </row>
    <row r="6600">
      <c r="A6600" s="4" t="s">
        <v>8289</v>
      </c>
      <c r="B6600" s="4" t="s">
        <v>8293</v>
      </c>
      <c r="C6600" s="5" t="str">
        <f>IFERROR(__xludf.DUMMYFUNCTION("GOOGLETRANSLATE(B6600,""en"",""es-ES"")"),"Finalmente resuelve el cubo y se levanta de la mesa.")</f>
        <v>Finalmente resuelve el cubo y se levanta de la mesa.</v>
      </c>
    </row>
    <row r="6601">
      <c r="A6601" s="4" t="s">
        <v>8294</v>
      </c>
      <c r="B6601" s="4" t="s">
        <v>8295</v>
      </c>
      <c r="C6601" s="5" t="str">
        <f>IFERROR(__xludf.DUMMYFUNCTION("GOOGLETRANSLATE(B6601,""en"",""es-ES"")"),"Un hombre está ayudando a un niño a volar una cometa.")</f>
        <v>Un hombre está ayudando a un niño a volar una cometa.</v>
      </c>
    </row>
    <row r="6602">
      <c r="A6602" s="4" t="s">
        <v>8294</v>
      </c>
      <c r="B6602" s="4" t="s">
        <v>8296</v>
      </c>
      <c r="C6602" s="5" t="str">
        <f>IFERROR(__xludf.DUMMYFUNCTION("GOOGLETRANSLATE(B6602,""en"",""es-ES"")"),"Una mujer está de pie junto a ellos.")</f>
        <v>Una mujer está de pie junto a ellos.</v>
      </c>
    </row>
    <row r="6603">
      <c r="A6603" s="4" t="s">
        <v>8294</v>
      </c>
      <c r="B6603" s="4" t="s">
        <v>8297</v>
      </c>
      <c r="C6603" s="5" t="str">
        <f>IFERROR(__xludf.DUMMYFUNCTION("GOOGLETRANSLATE(B6603,""en"",""es-ES"")"),"Las cometas están volando en el cielo sobre el agua.")</f>
        <v>Las cometas están volando en el cielo sobre el agua.</v>
      </c>
    </row>
    <row r="6604">
      <c r="A6604" s="4" t="s">
        <v>8294</v>
      </c>
      <c r="B6604" s="4" t="s">
        <v>8298</v>
      </c>
      <c r="C6604" s="5" t="str">
        <f>IFERROR(__xludf.DUMMYFUNCTION("GOOGLETRANSLATE(B6604,""en"",""es-ES"")"),"El hombre camina cuesta arriba.")</f>
        <v>El hombre camina cuesta arriba.</v>
      </c>
    </row>
    <row r="6605">
      <c r="A6605" s="4" t="s">
        <v>8299</v>
      </c>
      <c r="B6605" s="4" t="s">
        <v>8300</v>
      </c>
      <c r="C6605" s="5" t="str">
        <f>IFERROR(__xludf.DUMMYFUNCTION("GOOGLETRANSLATE(B6605,""en"",""es-ES"")"),"La gimnasta levantó el brazo cuando el juez levantó la bandera.")</f>
        <v>La gimnasta levantó el brazo cuando el juez levantó la bandera.</v>
      </c>
    </row>
    <row r="6606">
      <c r="A6606" s="4" t="s">
        <v>8299</v>
      </c>
      <c r="B6606" s="4" t="s">
        <v>8301</v>
      </c>
      <c r="C6606" s="5" t="str">
        <f>IFERROR(__xludf.DUMMYFUNCTION("GOOGLETRANSLATE(B6606,""en"",""es-ES"")"),"La gimnasta saltó a la viga, se equilibró, se hizo un marcar varias veces y se equilibró y se movió.")</f>
        <v>La gimnasta saltó a la viga, se equilibró, se hizo un marcar varias veces y se equilibró y se movió.</v>
      </c>
    </row>
    <row r="6607">
      <c r="A6607" s="4" t="s">
        <v>8299</v>
      </c>
      <c r="B6607" s="4" t="s">
        <v>8302</v>
      </c>
      <c r="C6607" s="5" t="str">
        <f>IFERROR(__xludf.DUMMYFUNCTION("GOOGLETRANSLATE(B6607,""en"",""es-ES"")"),"La niña salto de la viga aterriza a la alfombra azul.")</f>
        <v>La niña salto de la viga aterriza a la alfombra azul.</v>
      </c>
    </row>
    <row r="6608">
      <c r="A6608" s="4" t="s">
        <v>8303</v>
      </c>
      <c r="B6608" s="4" t="s">
        <v>8304</v>
      </c>
      <c r="C6608" s="5" t="str">
        <f>IFERROR(__xludf.DUMMYFUNCTION("GOOGLETRANSLATE(B6608,""en"",""es-ES"")"),"Una carretera con letreros en lo alto se muestra antes de ver una escena de playa y un conjunto de trofeos.")</f>
        <v>Una carretera con letreros en lo alto se muestra antes de ver una escena de playa y un conjunto de trofeos.</v>
      </c>
    </row>
    <row r="6609">
      <c r="A6609" s="4" t="s">
        <v>8303</v>
      </c>
      <c r="B6609" s="4" t="s">
        <v>8305</v>
      </c>
      <c r="C6609" s="5" t="str">
        <f>IFERROR(__xludf.DUMMYFUNCTION("GOOGLETRANSLATE(B6609,""en"",""es-ES"")"),"Un grupo de jugadores de voleibol se reúnen para comenzar un juego.")</f>
        <v>Un grupo de jugadores de voleibol se reúnen para comenzar un juego.</v>
      </c>
    </row>
    <row r="6610">
      <c r="A6610" s="4" t="s">
        <v>8303</v>
      </c>
      <c r="B6610" s="4" t="s">
        <v>8306</v>
      </c>
      <c r="C6610" s="5" t="str">
        <f>IFERROR(__xludf.DUMMYFUNCTION("GOOGLETRANSLATE(B6610,""en"",""es-ES"")"),"El juego comienza, las personas que hacen todo lo posible para ganar.")</f>
        <v>El juego comienza, las personas que hacen todo lo posible para ganar.</v>
      </c>
    </row>
    <row r="6611">
      <c r="A6611" s="4" t="s">
        <v>8307</v>
      </c>
      <c r="B6611" s="4" t="s">
        <v>8308</v>
      </c>
      <c r="C6611" s="5" t="str">
        <f>IFERROR(__xludf.DUMMYFUNCTION("GOOGLETRANSLATE(B6611,""en"",""es-ES"")"),"Una cámara se mueve alrededor de las caras de la persona en una colina nevada, así como que cabalgan por una montaña.")</f>
        <v>Una cámara se mueve alrededor de las caras de la persona en una colina nevada, así como que cabalgan por una montaña.</v>
      </c>
    </row>
    <row r="6612">
      <c r="A6612" s="4" t="s">
        <v>8307</v>
      </c>
      <c r="B6612" s="4" t="s">
        <v>8309</v>
      </c>
      <c r="C6612" s="5" t="str">
        <f>IFERROR(__xludf.DUMMYFUNCTION("GOOGLETRANSLATE(B6612,""en"",""es-ES"")"),"La gente continúa esquiando por el camino nevado retrocediendo y cuarto y terminando deteniéndose en el fondo.")</f>
        <v>La gente continúa esquiando por el camino nevado retrocediendo y cuarto y terminando deteniéndose en el fondo.</v>
      </c>
    </row>
    <row r="6613">
      <c r="A6613" s="4" t="s">
        <v>8310</v>
      </c>
      <c r="B6613" s="4" t="s">
        <v>8311</v>
      </c>
      <c r="C6613" s="5" t="str">
        <f>IFERROR(__xludf.DUMMYFUNCTION("GOOGLETRANSLATE(B6613,""en"",""es-ES"")"),"Se ve a un hombre con un sombrero sosteniendo una armónica y comienza a jugar con las manos.")</f>
        <v>Se ve a un hombre con un sombrero sosteniendo una armónica y comienza a jugar con las manos.</v>
      </c>
    </row>
    <row r="6614">
      <c r="A6614" s="4" t="s">
        <v>8310</v>
      </c>
      <c r="B6614" s="4" t="s">
        <v>8312</v>
      </c>
      <c r="C6614" s="5" t="str">
        <f>IFERROR(__xludf.DUMMYFUNCTION("GOOGLETRANSLATE(B6614,""en"",""es-ES"")"),"Continúa tocando el instrumento a la cámara y termina con él poniendo el instrumento hacia abajo y luego sosteniéndolo nuevamente.")</f>
        <v>Continúa tocando el instrumento a la cámara y termina con él poniendo el instrumento hacia abajo y luego sosteniéndolo nuevamente.</v>
      </c>
    </row>
    <row r="6615">
      <c r="A6615" s="4" t="s">
        <v>8313</v>
      </c>
      <c r="B6615" s="4" t="s">
        <v>8314</v>
      </c>
      <c r="C6615" s="5" t="str">
        <f>IFERROR(__xludf.DUMMYFUNCTION("GOOGLETRANSLATE(B6615,""en"",""es-ES"")"),"Se ve a dos niños pequeños dibujando con tiza en una caminata lateral mientras ocasionalmente miran hacia la cámara.")</f>
        <v>Se ve a dos niños pequeños dibujando con tiza en una caminata lateral mientras ocasionalmente miran hacia la cámara.</v>
      </c>
    </row>
    <row r="6616">
      <c r="A6616" s="4" t="s">
        <v>8313</v>
      </c>
      <c r="B6616" s="4" t="s">
        <v>8315</v>
      </c>
      <c r="C6616" s="5" t="str">
        <f>IFERROR(__xludf.DUMMYFUNCTION("GOOGLETRANSLATE(B6616,""en"",""es-ES"")"),"Luego se ve a la niña jugar escocés saltando por la tiza mientras el niño mira desde atrás.")</f>
        <v>Luego se ve a la niña jugar escocés saltando por la tiza mientras el niño mira desde atrás.</v>
      </c>
    </row>
    <row r="6617">
      <c r="A6617" s="4" t="s">
        <v>8313</v>
      </c>
      <c r="B6617" s="4" t="s">
        <v>8316</v>
      </c>
      <c r="C6617" s="5" t="str">
        <f>IFERROR(__xludf.DUMMYFUNCTION("GOOGLETRANSLATE(B6617,""en"",""es-ES"")"),"Una mujer luego ayuda al niño a saltar seguido de la joven que ayuda.")</f>
        <v>Una mujer luego ayuda al niño a saltar seguido de la joven que ayuda.</v>
      </c>
    </row>
    <row r="6618">
      <c r="A6618" s="4" t="s">
        <v>8313</v>
      </c>
      <c r="B6618" s="4" t="s">
        <v>8317</v>
      </c>
      <c r="C6618" s="5" t="str">
        <f>IFERROR(__xludf.DUMMYFUNCTION("GOOGLETRANSLATE(B6618,""en"",""es-ES"")"),"El niño salta solo y luego conduce a los dos caminando sobre una viga de acera.")</f>
        <v>El niño salta solo y luego conduce a los dos caminando sobre una viga de acera.</v>
      </c>
    </row>
    <row r="6619">
      <c r="A6619" s="4" t="s">
        <v>8313</v>
      </c>
      <c r="B6619" s="4" t="s">
        <v>8318</v>
      </c>
      <c r="C6619" s="5" t="str">
        <f>IFERROR(__xludf.DUMMYFUNCTION("GOOGLETRANSLATE(B6619,""en"",""es-ES"")"),"La niña balancea los brazos hacia arriba y luego los dos saltan.")</f>
        <v>La niña balancea los brazos hacia arriba y luego los dos saltan.</v>
      </c>
    </row>
    <row r="6620">
      <c r="A6620" s="4" t="s">
        <v>8319</v>
      </c>
      <c r="B6620" s="4" t="s">
        <v>8320</v>
      </c>
      <c r="C6620" s="5" t="str">
        <f>IFERROR(__xludf.DUMMYFUNCTION("GOOGLETRANSLATE(B6620,""en"",""es-ES"")"),"Un hombre atlético da un paso adelante ante una pista mientras sostiene un anuncio de jabalina en pie.")</f>
        <v>Un hombre atlético da un paso adelante ante una pista mientras sostiene un anuncio de jabalina en pie.</v>
      </c>
    </row>
    <row r="6621">
      <c r="A6621" s="4" t="s">
        <v>8319</v>
      </c>
      <c r="B6621" s="4" t="s">
        <v>8321</v>
      </c>
      <c r="C6621" s="5" t="str">
        <f>IFERROR(__xludf.DUMMYFUNCTION("GOOGLETRANSLATE(B6621,""en"",""es-ES"")"),"El hombre corre hacia abajo, arroja la jabalina y camina hacia atrás mientras su lanzamiento se muestra nuevamente varias veces en cámara lenta.")</f>
        <v>El hombre corre hacia abajo, arroja la jabalina y camina hacia atrás mientras su lanzamiento se muestra nuevamente varias veces en cámara lenta.</v>
      </c>
    </row>
    <row r="6622">
      <c r="A6622" s="4" t="s">
        <v>8319</v>
      </c>
      <c r="B6622" s="4" t="s">
        <v>8322</v>
      </c>
      <c r="C6622" s="5" t="str">
        <f>IFERROR(__xludf.DUMMYFUNCTION("GOOGLETRANSLATE(B6622,""en"",""es-ES"")"),"Al final se lo ve celebrando y corriendo por el campo.")</f>
        <v>Al final se lo ve celebrando y corriendo por el campo.</v>
      </c>
    </row>
    <row r="6623">
      <c r="A6623" s="4" t="s">
        <v>8323</v>
      </c>
      <c r="B6623" s="4" t="s">
        <v>8324</v>
      </c>
      <c r="C6623" s="5" t="str">
        <f>IFERROR(__xludf.DUMMYFUNCTION("GOOGLETRANSLATE(B6623,""en"",""es-ES"")"),"Seis personas en cascos corren en bicicletas de tierra alrededor de una pista circular y pavimentada rodeada de hierba, tiendas de juego y espectadores.")</f>
        <v>Seis personas en cascos corren en bicicletas de tierra alrededor de una pista circular y pavimentada rodeada de hierba, tiendas de juego y espectadores.</v>
      </c>
    </row>
    <row r="6624">
      <c r="A6624" s="4" t="s">
        <v>8323</v>
      </c>
      <c r="B6624" s="4" t="s">
        <v>8325</v>
      </c>
      <c r="C6624" s="5" t="str">
        <f>IFERROR(__xludf.DUMMYFUNCTION("GOOGLETRANSLATE(B6624,""en"",""es-ES"")"),"La gente comienza la carrera detrás de una cerca cerrada y rallada, que luego se abre y les permite comenzar a correr desde una plataforma elevada hacia la pista de carreras pavimentada.")</f>
        <v>La gente comienza la carrera detrás de una cerca cerrada y rallada, que luego se abre y les permite comenzar a correr desde una plataforma elevada hacia la pista de carreras pavimentada.</v>
      </c>
    </row>
    <row r="6625">
      <c r="A6625" s="4" t="s">
        <v>8323</v>
      </c>
      <c r="B6625" s="4" t="s">
        <v>8326</v>
      </c>
      <c r="C6625" s="5" t="str">
        <f>IFERROR(__xludf.DUMMYFUNCTION("GOOGLETRANSLATE(B6625,""en"",""es-ES"")"),"Los corredores pedales con una persona con una chaqueta blanca a la cabeza.")</f>
        <v>Los corredores pedales con una persona con una chaqueta blanca a la cabeza.</v>
      </c>
    </row>
    <row r="6626">
      <c r="A6626" s="4" t="s">
        <v>8323</v>
      </c>
      <c r="B6626" s="4" t="s">
        <v>8327</v>
      </c>
      <c r="C6626" s="5" t="str">
        <f>IFERROR(__xludf.DUMMYFUNCTION("GOOGLETRANSLATE(B6626,""en"",""es-ES"")"),"La carrera termina con la misma persona en la chaqueta blanca que queda a la cabeza hasta que se acercan al final de la pista y un cono de rayas blancas naranjas.")</f>
        <v>La carrera termina con la misma persona en la chaqueta blanca que queda a la cabeza hasta que se acercan al final de la pista y un cono de rayas blancas naranjas.</v>
      </c>
    </row>
    <row r="6627">
      <c r="A6627" s="4" t="s">
        <v>8328</v>
      </c>
      <c r="B6627" s="4" t="s">
        <v>8329</v>
      </c>
      <c r="C6627" s="5" t="str">
        <f>IFERROR(__xludf.DUMMYFUNCTION("GOOGLETRANSLATE(B6627,""en"",""es-ES"")"),"Se muestra a un joven balanceando una raqueta de tenis una y otra vez mientras golpea una pelota al mismo tiempo.")</f>
        <v>Se muestra a un joven balanceando una raqueta de tenis una y otra vez mientras golpea una pelota al mismo tiempo.</v>
      </c>
    </row>
    <row r="6628">
      <c r="A6628" s="4" t="s">
        <v>8328</v>
      </c>
      <c r="B6628" s="4" t="s">
        <v>8330</v>
      </c>
      <c r="C6628" s="5" t="str">
        <f>IFERROR(__xludf.DUMMYFUNCTION("GOOGLETRANSLATE(B6628,""en"",""es-ES"")"),"Continúa realizando este swing varias veces y golpea la pelota cada vez.")</f>
        <v>Continúa realizando este swing varias veces y golpea la pelota cada vez.</v>
      </c>
    </row>
    <row r="6629">
      <c r="A6629" s="4" t="s">
        <v>8331</v>
      </c>
      <c r="B6629" s="4" t="s">
        <v>8332</v>
      </c>
      <c r="C6629" s="5" t="str">
        <f>IFERROR(__xludf.DUMMYFUNCTION("GOOGLETRANSLATE(B6629,""en"",""es-ES"")"),"Se muestra una máquina de molinillo en un patio.")</f>
        <v>Se muestra una máquina de molinillo en un patio.</v>
      </c>
    </row>
    <row r="6630">
      <c r="A6630" s="4" t="s">
        <v>8331</v>
      </c>
      <c r="B6630" s="4" t="s">
        <v>8333</v>
      </c>
      <c r="C6630" s="5" t="str">
        <f>IFERROR(__xludf.DUMMYFUNCTION("GOOGLETRANSLATE(B6630,""en"",""es-ES"")"),"Un hombre habla mientras muestra las partes de la máquina.")</f>
        <v>Un hombre habla mientras muestra las partes de la máquina.</v>
      </c>
    </row>
    <row r="6631">
      <c r="A6631" s="4" t="s">
        <v>8331</v>
      </c>
      <c r="B6631" s="4" t="s">
        <v>8334</v>
      </c>
      <c r="C6631" s="5" t="str">
        <f>IFERROR(__xludf.DUMMYFUNCTION("GOOGLETRANSLATE(B6631,""en"",""es-ES"")"),"Luego demuestra cómo se usa la máquina.")</f>
        <v>Luego demuestra cómo se usa la máquina.</v>
      </c>
    </row>
    <row r="6632">
      <c r="A6632" s="4" t="s">
        <v>8335</v>
      </c>
      <c r="B6632" s="4" t="s">
        <v>8336</v>
      </c>
      <c r="C6632" s="5" t="str">
        <f>IFERROR(__xludf.DUMMYFUNCTION("GOOGLETRANSLATE(B6632,""en"",""es-ES"")"),"Un hombre está arrodillado en un garaje mirando herramientas en el suelo.")</f>
        <v>Un hombre está arrodillado en un garaje mirando herramientas en el suelo.</v>
      </c>
    </row>
    <row r="6633">
      <c r="A6633" s="4" t="s">
        <v>8335</v>
      </c>
      <c r="B6633" s="4" t="s">
        <v>8337</v>
      </c>
      <c r="C6633" s="5" t="str">
        <f>IFERROR(__xludf.DUMMYFUNCTION("GOOGLETRANSLATE(B6633,""en"",""es-ES"")"),"Luego agarra una máscara de metal y se coloca correctamente en el piso.")</f>
        <v>Luego agarra una máscara de metal y se coloca correctamente en el piso.</v>
      </c>
    </row>
    <row r="6634">
      <c r="A6634" s="4" t="s">
        <v>8335</v>
      </c>
      <c r="B6634" s="4" t="s">
        <v>8338</v>
      </c>
      <c r="C6634" s="5" t="str">
        <f>IFERROR(__xludf.DUMMYFUNCTION("GOOGLETRANSLATE(B6634,""en"",""es-ES"")"),"Una vez cómoda, la máscara se mantiene en posición y comienza a disparar al objeto en el suelo.")</f>
        <v>Una vez cómoda, la máscara se mantiene en posición y comienza a disparar al objeto en el suelo.</v>
      </c>
    </row>
    <row r="6635">
      <c r="A6635" s="4" t="s">
        <v>8335</v>
      </c>
      <c r="B6635" s="4" t="s">
        <v>8339</v>
      </c>
      <c r="C6635" s="5" t="str">
        <f>IFERROR(__xludf.DUMMYFUNCTION("GOOGLETRANSLATE(B6635,""en"",""es-ES"")"),"Finalmente, se lo quita y comienza a cincelar el objeto y golpear el óxido.")</f>
        <v>Finalmente, se lo quita y comienza a cincelar el objeto y golpear el óxido.</v>
      </c>
    </row>
    <row r="6636">
      <c r="A6636" s="4" t="s">
        <v>8340</v>
      </c>
      <c r="B6636" s="4" t="s">
        <v>8341</v>
      </c>
      <c r="C6636" s="5" t="str">
        <f>IFERROR(__xludf.DUMMYFUNCTION("GOOGLETRANSLATE(B6636,""en"",""es-ES"")"),"Se ve a una persona con una máscara sobre la cara y sosteniendo una manguera en la mano.")</f>
        <v>Se ve a una persona con una máscara sobre la cara y sosteniendo una manguera en la mano.</v>
      </c>
    </row>
    <row r="6637">
      <c r="A6637" s="4" t="s">
        <v>8340</v>
      </c>
      <c r="B6637" s="4" t="s">
        <v>8342</v>
      </c>
      <c r="C6637" s="5" t="str">
        <f>IFERROR(__xludf.DUMMYFUNCTION("GOOGLETRANSLATE(B6637,""en"",""es-ES"")"),"La persona luego comienza a rociar la cerca con la manguera.")</f>
        <v>La persona luego comienza a rociar la cerca con la manguera.</v>
      </c>
    </row>
    <row r="6638">
      <c r="A6638" s="4" t="s">
        <v>8340</v>
      </c>
      <c r="B6638" s="4" t="s">
        <v>8343</v>
      </c>
      <c r="C6638" s="5" t="str">
        <f>IFERROR(__xludf.DUMMYFUNCTION("GOOGLETRANSLATE(B6638,""en"",""es-ES"")"),"La persona rocía continuamente a lo largo de la cerca mientras la cámara captura sus movimientos.")</f>
        <v>La persona rocía continuamente a lo largo de la cerca mientras la cámara captura sus movimientos.</v>
      </c>
    </row>
    <row r="6639">
      <c r="A6639" s="4" t="s">
        <v>8344</v>
      </c>
      <c r="B6639" s="4" t="s">
        <v>8345</v>
      </c>
      <c r="C6639" s="5" t="str">
        <f>IFERROR(__xludf.DUMMYFUNCTION("GOOGLETRANSLATE(B6639,""en"",""es-ES"")"),"Una introducción entra en la pantalla que muestra a una chica que demostrará cómo se seca el cabello.")</f>
        <v>Una introducción entra en la pantalla que muestra a una chica que demostrará cómo se seca el cabello.</v>
      </c>
    </row>
    <row r="6640">
      <c r="A6640" s="4" t="s">
        <v>8344</v>
      </c>
      <c r="B6640" s="4" t="s">
        <v>8346</v>
      </c>
      <c r="C6640" s="5" t="str">
        <f>IFERROR(__xludf.DUMMYFUNCTION("GOOGLETRANSLATE(B6640,""en"",""es-ES"")"),"Ella pone un poco de mousse en su mano y procede a trabajar a través de su cabello.")</f>
        <v>Ella pone un poco de mousse en su mano y procede a trabajar a través de su cabello.</v>
      </c>
    </row>
    <row r="6641">
      <c r="A6641" s="4" t="s">
        <v>8344</v>
      </c>
      <c r="B6641" s="4" t="s">
        <v>8347</v>
      </c>
      <c r="C6641" s="5" t="str">
        <f>IFERROR(__xludf.DUMMYFUNCTION("GOOGLETRANSLATE(B6641,""en"",""es-ES"")"),"Ella saca una secadora de cejas y comienza a secarse el cabello de la parte posterior al frente.")</f>
        <v>Ella saca una secadora de cejas y comienza a secarse el cabello de la parte posterior al frente.</v>
      </c>
    </row>
    <row r="6642">
      <c r="A6642" s="4" t="s">
        <v>8344</v>
      </c>
      <c r="B6642" s="4" t="s">
        <v>8348</v>
      </c>
      <c r="C6642" s="5" t="str">
        <f>IFERROR(__xludf.DUMMYFUNCTION("GOOGLETRANSLATE(B6642,""en"",""es-ES"")"),"Ella expresa su cabello, saca un cepillo y comienza a secarse el cabello con el cepillo.")</f>
        <v>Ella expresa su cabello, saca un cepillo y comienza a secarse el cabello con el cepillo.</v>
      </c>
    </row>
    <row r="6643">
      <c r="A6643" s="4" t="s">
        <v>8344</v>
      </c>
      <c r="B6643" s="4" t="s">
        <v>8349</v>
      </c>
      <c r="C6643" s="5" t="str">
        <f>IFERROR(__xludf.DUMMYFUNCTION("GOOGLETRANSLATE(B6643,""en"",""es-ES"")"),"Cuando termina, los créditos de cierre para la muestra de video en la pantalla.")</f>
        <v>Cuando termina, los créditos de cierre para la muestra de video en la pantalla.</v>
      </c>
    </row>
    <row r="6644">
      <c r="A6644" s="4" t="s">
        <v>8350</v>
      </c>
      <c r="B6644" s="4" t="s">
        <v>8351</v>
      </c>
      <c r="C6644" s="5" t="str">
        <f>IFERROR(__xludf.DUMMYFUNCTION("GOOGLETRANSLATE(B6644,""en"",""es-ES"")"),"Una mujer está parada afuera de una viga.")</f>
        <v>Una mujer está parada afuera de una viga.</v>
      </c>
    </row>
    <row r="6645">
      <c r="A6645" s="4" t="s">
        <v>8350</v>
      </c>
      <c r="B6645" s="4" t="s">
        <v>8352</v>
      </c>
      <c r="C6645" s="5" t="str">
        <f>IFERROR(__xludf.DUMMYFUNCTION("GOOGLETRANSLATE(B6645,""en"",""es-ES"")"),"Ella monta la viga, luego hace varios volteos y resortes a mano sobre la barra.")</f>
        <v>Ella monta la viga, luego hace varios volteos y resortes a mano sobre la barra.</v>
      </c>
    </row>
    <row r="6646">
      <c r="A6646" s="4" t="s">
        <v>8350</v>
      </c>
      <c r="B6646" s="4" t="s">
        <v>8353</v>
      </c>
      <c r="C6646" s="5" t="str">
        <f>IFERROR(__xludf.DUMMYFUNCTION("GOOGLETRANSLATE(B6646,""en"",""es-ES"")"),"Ella desmonta, levantando los brazos en el aire.")</f>
        <v>Ella desmonta, levantando los brazos en el aire.</v>
      </c>
    </row>
    <row r="6647">
      <c r="A6647" s="4" t="s">
        <v>8354</v>
      </c>
      <c r="B6647" s="4" t="s">
        <v>8355</v>
      </c>
      <c r="C6647" s="5" t="str">
        <f>IFERROR(__xludf.DUMMYFUNCTION("GOOGLETRANSLATE(B6647,""en"",""es-ES"")"),"Se muestra a una persona nadando a través de una piscina mientras otros nadan a su alrededor.")</f>
        <v>Se muestra a una persona nadando a través de una piscina mientras otros nadan a su alrededor.</v>
      </c>
    </row>
    <row r="6648">
      <c r="A6648" s="4" t="s">
        <v>8354</v>
      </c>
      <c r="B6648" s="4" t="s">
        <v>8356</v>
      </c>
      <c r="C6648" s="5" t="str">
        <f>IFERROR(__xludf.DUMMYFUNCTION("GOOGLETRANSLATE(B6648,""en"",""es-ES"")"),"La gente pasa una pelota en el agua mientras otro equipo de jugadores juega con antecedentes.")</f>
        <v>La gente pasa una pelota en el agua mientras otro equipo de jugadores juega con antecedentes.</v>
      </c>
    </row>
    <row r="6649">
      <c r="A6649" s="4" t="s">
        <v>8357</v>
      </c>
      <c r="B6649" s="4" t="s">
        <v>8358</v>
      </c>
      <c r="C6649" s="5" t="str">
        <f>IFERROR(__xludf.DUMMYFUNCTION("GOOGLETRANSLATE(B6649,""en"",""es-ES"")"),"Una señora sostiene un gato en su regazo en el suelo.")</f>
        <v>Una señora sostiene un gato en su regazo en el suelo.</v>
      </c>
    </row>
    <row r="6650">
      <c r="A6650" s="4" t="s">
        <v>8357</v>
      </c>
      <c r="B6650" s="4" t="s">
        <v>8359</v>
      </c>
      <c r="C6650" s="5" t="str">
        <f>IFERROR(__xludf.DUMMYFUNCTION("GOOGLETRANSLATE(B6650,""en"",""es-ES"")"),"La señora luego clipa las garras de los gatos.")</f>
        <v>La señora luego clipa las garras de los gatos.</v>
      </c>
    </row>
    <row r="6651">
      <c r="A6651" s="4" t="s">
        <v>8357</v>
      </c>
      <c r="B6651" s="4" t="s">
        <v>8360</v>
      </c>
      <c r="C6651" s="5" t="str">
        <f>IFERROR(__xludf.DUMMYFUNCTION("GOOGLETRANSLATE(B6651,""en"",""es-ES"")"),"El gato intenta escapar y la persona calma al gato con un soporte para el cabello.")</f>
        <v>El gato intenta escapar y la persona calma al gato con un soporte para el cabello.</v>
      </c>
    </row>
    <row r="6652">
      <c r="A6652" s="4" t="s">
        <v>8357</v>
      </c>
      <c r="B6652" s="4" t="s">
        <v>8361</v>
      </c>
      <c r="C6652" s="5" t="str">
        <f>IFERROR(__xludf.DUMMYFUNCTION("GOOGLETRANSLATE(B6652,""en"",""es-ES"")"),"El gato intenta escapar.")</f>
        <v>El gato intenta escapar.</v>
      </c>
    </row>
    <row r="6653">
      <c r="A6653" s="4" t="s">
        <v>8357</v>
      </c>
      <c r="B6653" s="4" t="s">
        <v>8362</v>
      </c>
      <c r="C6653" s="5" t="str">
        <f>IFERROR(__xludf.DUMMYFUNCTION("GOOGLETRANSLATE(B6653,""en"",""es-ES"")"),"La señora termina y el gato sale corriendo y vemos a otro gato sentado en una cama rodeada de desorden.")</f>
        <v>La señora termina y el gato sale corriendo y vemos a otro gato sentado en una cama rodeada de desorden.</v>
      </c>
    </row>
    <row r="6654">
      <c r="A6654" s="4" t="s">
        <v>8363</v>
      </c>
      <c r="B6654" s="4" t="s">
        <v>8364</v>
      </c>
      <c r="C6654" s="5" t="str">
        <f>IFERROR(__xludf.DUMMYFUNCTION("GOOGLETRANSLATE(B6654,""en"",""es-ES"")"),"Dos hombres luchan con arcos y flechas en una habitación.")</f>
        <v>Dos hombres luchan con arcos y flechas en una habitación.</v>
      </c>
    </row>
    <row r="6655">
      <c r="A6655" s="4" t="s">
        <v>8363</v>
      </c>
      <c r="B6655" s="4" t="s">
        <v>8365</v>
      </c>
      <c r="C6655" s="5" t="str">
        <f>IFERROR(__xludf.DUMMYFUNCTION("GOOGLETRANSLATE(B6655,""en"",""es-ES"")"),"Un hombre salta de una pila de esteras.")</f>
        <v>Un hombre salta de una pila de esteras.</v>
      </c>
    </row>
    <row r="6656">
      <c r="A6656" s="4" t="s">
        <v>8363</v>
      </c>
      <c r="B6656" s="4" t="s">
        <v>8366</v>
      </c>
      <c r="C6656" s="5" t="str">
        <f>IFERROR(__xludf.DUMMYFUNCTION("GOOGLETRANSLATE(B6656,""en"",""es-ES"")"),"Otro hombre hace un volteo de la pared.")</f>
        <v>Otro hombre hace un volteo de la pared.</v>
      </c>
    </row>
    <row r="6657">
      <c r="A6657" s="4" t="s">
        <v>8367</v>
      </c>
      <c r="B6657" s="4" t="s">
        <v>8368</v>
      </c>
      <c r="C6657" s="5" t="str">
        <f>IFERROR(__xludf.DUMMYFUNCTION("GOOGLETRANSLATE(B6657,""en"",""es-ES"")"),"Un hombre limpia una pequeña tabla de madera con un paño en un taller.")</f>
        <v>Un hombre limpia una pequeña tabla de madera con un paño en un taller.</v>
      </c>
    </row>
    <row r="6658">
      <c r="A6658" s="4" t="s">
        <v>8367</v>
      </c>
      <c r="B6658" s="4" t="s">
        <v>8369</v>
      </c>
      <c r="C6658" s="5" t="str">
        <f>IFERROR(__xludf.DUMMYFUNCTION("GOOGLETRANSLATE(B6658,""en"",""es-ES"")"),"Luego, el hombre usa la franela para pulir bien el tablero de madera.")</f>
        <v>Luego, el hombre usa la franela para pulir bien el tablero de madera.</v>
      </c>
    </row>
    <row r="6659">
      <c r="A6659" s="4" t="s">
        <v>8370</v>
      </c>
      <c r="B6659" s="4" t="s">
        <v>8371</v>
      </c>
      <c r="C6659" s="5" t="str">
        <f>IFERROR(__xludf.DUMMYFUNCTION("GOOGLETRANSLATE(B6659,""en"",""es-ES"")"),"Los limones están jugados uno a la vez y luego se ponen una olla con azúcar.")</f>
        <v>Los limones están jugados uno a la vez y luego se ponen una olla con azúcar.</v>
      </c>
    </row>
    <row r="6660">
      <c r="A6660" s="4" t="s">
        <v>8370</v>
      </c>
      <c r="B6660" s="4" t="s">
        <v>8372</v>
      </c>
      <c r="C6660" s="5" t="str">
        <f>IFERROR(__xludf.DUMMYFUNCTION("GOOGLETRANSLATE(B6660,""en"",""es-ES"")"),"Se agrega agua espumosa y luego se agrega la mezcla a esto creando limonada brillante.")</f>
        <v>Se agrega agua espumosa y luego se agrega la mezcla a esto creando limonada brillante.</v>
      </c>
    </row>
    <row r="6661">
      <c r="A6661" s="4" t="s">
        <v>8373</v>
      </c>
      <c r="B6661" s="4" t="s">
        <v>8374</v>
      </c>
      <c r="C6661" s="5" t="str">
        <f>IFERROR(__xludf.DUMMYFUNCTION("GOOGLETRANSLATE(B6661,""en"",""es-ES"")"),"Un hombre está fuera de un edificio.")</f>
        <v>Un hombre está fuera de un edificio.</v>
      </c>
    </row>
    <row r="6662">
      <c r="A6662" s="4" t="s">
        <v>8373</v>
      </c>
      <c r="B6662" s="4" t="s">
        <v>8375</v>
      </c>
      <c r="C6662" s="5" t="str">
        <f>IFERROR(__xludf.DUMMYFUNCTION("GOOGLETRANSLATE(B6662,""en"",""es-ES"")"),"Está utilizando equipos de corte de césped comercial.")</f>
        <v>Está utilizando equipos de corte de césped comercial.</v>
      </c>
    </row>
    <row r="6663">
      <c r="A6663" s="4" t="s">
        <v>8373</v>
      </c>
      <c r="B6663" s="4" t="s">
        <v>8376</v>
      </c>
      <c r="C6663" s="5" t="str">
        <f>IFERROR(__xludf.DUMMYFUNCTION("GOOGLETRANSLATE(B6663,""en"",""es-ES"")"),"Camina de un lado a otro mientras corta la hierba.")</f>
        <v>Camina de un lado a otro mientras corta la hierba.</v>
      </c>
    </row>
    <row r="6664">
      <c r="A6664" s="4" t="s">
        <v>8377</v>
      </c>
      <c r="B6664" s="4" t="s">
        <v>8378</v>
      </c>
      <c r="C6664" s="5" t="str">
        <f>IFERROR(__xludf.DUMMYFUNCTION("GOOGLETRANSLATE(B6664,""en"",""es-ES"")"),"Una anciana que lleva vasos está parado frente a un automóvil.")</f>
        <v>Una anciana que lleva vasos está parado frente a un automóvil.</v>
      </c>
    </row>
    <row r="6665">
      <c r="A6665" s="4" t="s">
        <v>8377</v>
      </c>
      <c r="B6665" s="4" t="s">
        <v>8379</v>
      </c>
      <c r="C6665" s="5" t="str">
        <f>IFERROR(__xludf.DUMMYFUNCTION("GOOGLETRANSLATE(B6665,""en"",""es-ES"")"),"Ella camina hacia el auto y no puede abrir la puerta al principio.")</f>
        <v>Ella camina hacia el auto y no puede abrir la puerta al principio.</v>
      </c>
    </row>
    <row r="6666">
      <c r="A6666" s="4" t="s">
        <v>8377</v>
      </c>
      <c r="B6666" s="4" t="s">
        <v>8380</v>
      </c>
      <c r="C6666" s="5" t="str">
        <f>IFERROR(__xludf.DUMMYFUNCTION("GOOGLETRANSLATE(B6666,""en"",""es-ES"")"),"Ella entra en el auto, luego sale y limpia la nieve del auto antes de volver a entrar y alejarse.")</f>
        <v>Ella entra en el auto, luego sale y limpia la nieve del auto antes de volver a entrar y alejarse.</v>
      </c>
    </row>
    <row r="6667">
      <c r="A6667" s="4" t="s">
        <v>8381</v>
      </c>
      <c r="B6667" s="4" t="s">
        <v>8382</v>
      </c>
      <c r="C6667" s="5" t="str">
        <f>IFERROR(__xludf.DUMMYFUNCTION("GOOGLETRANSLATE(B6667,""en"",""es-ES"")"),"Un primer plano de la cara de un hombre es visto por una navaja de afeitar a un lado y la persona que peina su cabello.")</f>
        <v>Un primer plano de la cara de un hombre es visto por una navaja de afeitar a un lado y la persona que peina su cabello.</v>
      </c>
    </row>
    <row r="6668">
      <c r="A6668" s="4" t="s">
        <v>8381</v>
      </c>
      <c r="B6668" s="4" t="s">
        <v>8383</v>
      </c>
      <c r="C6668" s="5" t="str">
        <f>IFERROR(__xludf.DUMMYFUNCTION("GOOGLETRANSLATE(B6668,""en"",""es-ES"")"),"La persona continúa afeitándose y peinando el cabello del hombre, así como afeitarse la barba que cubre la crema de afeitar.")</f>
        <v>La persona continúa afeitándose y peinando el cabello del hombre, así como afeitarse la barba que cubre la crema de afeitar.</v>
      </c>
    </row>
    <row r="6669">
      <c r="A6669" s="4" t="s">
        <v>8381</v>
      </c>
      <c r="B6669" s="4" t="s">
        <v>8384</v>
      </c>
      <c r="C6669" s="5" t="str">
        <f>IFERROR(__xludf.DUMMYFUNCTION("GOOGLETRANSLATE(B6669,""en"",""es-ES"")"),"El hombre se limpia la cara cuando termina y muestra el afeitado limpio.")</f>
        <v>El hombre se limpia la cara cuando termina y muestra el afeitado limpio.</v>
      </c>
    </row>
    <row r="6670">
      <c r="A6670" s="4" t="s">
        <v>8385</v>
      </c>
      <c r="B6670" s="4" t="s">
        <v>8386</v>
      </c>
      <c r="C6670" s="5" t="str">
        <f>IFERROR(__xludf.DUMMYFUNCTION("GOOGLETRANSLATE(B6670,""en"",""es-ES"")"),"Se muestran dibujos de botellas de jabón de manos y humanos.")</f>
        <v>Se muestran dibujos de botellas de jabón de manos y humanos.</v>
      </c>
    </row>
    <row r="6671">
      <c r="A6671" s="4" t="s">
        <v>8385</v>
      </c>
      <c r="B6671" s="4" t="s">
        <v>8387</v>
      </c>
      <c r="C6671" s="5" t="str">
        <f>IFERROR(__xludf.DUMMYFUNCTION("GOOGLETRANSLATE(B6671,""en"",""es-ES"")"),"Una niña está de pie junto a un fregadero blanco, abrió el grifo, se lavó la mano, frota su mano con jabón, enjuagó la mano bien, apagó el agua y sonrió a la cámara.")</f>
        <v>Una niña está de pie junto a un fregadero blanco, abrió el grifo, se lavó la mano, frota su mano con jabón, enjuagó la mano bien, apagó el agua y sonrió a la cámara.</v>
      </c>
    </row>
    <row r="6672">
      <c r="A6672" s="4" t="s">
        <v>8388</v>
      </c>
      <c r="B6672" s="4" t="s">
        <v>8389</v>
      </c>
      <c r="C6672" s="5" t="str">
        <f>IFERROR(__xludf.DUMMYFUNCTION("GOOGLETRANSLATE(B6672,""en"",""es-ES"")"),"Vemos a un jugador de bolos frente a un puesto de multitud y sostenemos la pelota.")</f>
        <v>Vemos a un jugador de bolos frente a un puesto de multitud y sostenemos la pelota.</v>
      </c>
    </row>
    <row r="6673">
      <c r="A6673" s="4" t="s">
        <v>8388</v>
      </c>
      <c r="B6673" s="4" t="s">
        <v>8390</v>
      </c>
      <c r="C6673" s="5" t="str">
        <f>IFERROR(__xludf.DUMMYFUNCTION("GOOGLETRANSLATE(B6673,""en"",""es-ES"")"),"El jugador de bolos arroja una huelga y la multitud aplaude, una dama sostiene sus manos frente a su rostro y el jugador de bolos se limpia las manos.")</f>
        <v>El jugador de bolos arroja una huelga y la multitud aplaude, una dama sostiene sus manos frente a su rostro y el jugador de bolos se limpia las manos.</v>
      </c>
    </row>
    <row r="6674">
      <c r="A6674" s="4" t="s">
        <v>8388</v>
      </c>
      <c r="B6674" s="4" t="s">
        <v>8391</v>
      </c>
      <c r="C6674" s="5" t="str">
        <f>IFERROR(__xludf.DUMMYFUNCTION("GOOGLETRANSLATE(B6674,""en"",""es-ES"")"),"El hombre lanza otro ataque y cae.")</f>
        <v>El hombre lanza otro ataque y cae.</v>
      </c>
    </row>
    <row r="6675">
      <c r="A6675" s="4" t="s">
        <v>8388</v>
      </c>
      <c r="B6675" s="4" t="s">
        <v>8392</v>
      </c>
      <c r="C6675" s="5" t="str">
        <f>IFERROR(__xludf.DUMMYFUNCTION("GOOGLETRANSLATE(B6675,""en"",""es-ES"")"),"Se levanta del suelo mientras la multitud aplaude.")</f>
        <v>Se levanta del suelo mientras la multitud aplaude.</v>
      </c>
    </row>
    <row r="6676">
      <c r="A6676" s="4" t="s">
        <v>8388</v>
      </c>
      <c r="B6676" s="4" t="s">
        <v>8393</v>
      </c>
      <c r="C6676" s="5" t="str">
        <f>IFERROR(__xludf.DUMMYFUNCTION("GOOGLETRANSLATE(B6676,""en"",""es-ES"")"),"El hombre lanza un tercer golpe y es visto acostado en el suelo.")</f>
        <v>El hombre lanza un tercer golpe y es visto acostado en el suelo.</v>
      </c>
    </row>
    <row r="6677">
      <c r="A6677" s="4" t="s">
        <v>8388</v>
      </c>
      <c r="B6677" s="4" t="s">
        <v>8394</v>
      </c>
      <c r="C6677" s="5" t="str">
        <f>IFERROR(__xludf.DUMMYFUNCTION("GOOGLETRANSLATE(B6677,""en"",""es-ES"")"),"Se levanta y niega con la mano de los hombres y vemos a una dama sosteniendo sus manos frente a su rostro.")</f>
        <v>Se levanta y niega con la mano de los hombres y vemos a una dama sosteniendo sus manos frente a su rostro.</v>
      </c>
    </row>
    <row r="6678">
      <c r="A6678" s="4" t="s">
        <v>8388</v>
      </c>
      <c r="B6678" s="4" t="s">
        <v>8395</v>
      </c>
      <c r="C6678" s="5" t="str">
        <f>IFERROR(__xludf.DUMMYFUNCTION("GOOGLETRANSLATE(B6678,""en"",""es-ES"")"),"Luego vemos a un hombre mayor hablando solo en una habitación.")</f>
        <v>Luego vemos a un hombre mayor hablando solo en una habitación.</v>
      </c>
    </row>
    <row r="6679">
      <c r="A6679" s="4" t="s">
        <v>8396</v>
      </c>
      <c r="B6679" s="4" t="s">
        <v>8397</v>
      </c>
      <c r="C6679" s="5" t="str">
        <f>IFERROR(__xludf.DUMMYFUNCTION("GOOGLETRANSLATE(B6679,""en"",""es-ES"")"),"Hay un niño sentado en una playa construyendo castillos de arena con una botella de agua y un cubo de arena.")</f>
        <v>Hay un niño sentado en una playa construyendo castillos de arena con una botella de agua y un cubo de arena.</v>
      </c>
    </row>
    <row r="6680">
      <c r="A6680" s="4" t="s">
        <v>8396</v>
      </c>
      <c r="B6680" s="4" t="s">
        <v>8398</v>
      </c>
      <c r="C6680" s="5" t="str">
        <f>IFERROR(__xludf.DUMMYFUNCTION("GOOGLETRANSLATE(B6680,""en"",""es-ES"")"),"Otro niño pequeño con un flotador rosa viene corriendo y se une a él.")</f>
        <v>Otro niño pequeño con un flotador rosa viene corriendo y se une a él.</v>
      </c>
    </row>
    <row r="6681">
      <c r="A6681" s="4" t="s">
        <v>8396</v>
      </c>
      <c r="B6681" s="4" t="s">
        <v>8399</v>
      </c>
      <c r="C6681" s="5" t="str">
        <f>IFERROR(__xludf.DUMMYFUNCTION("GOOGLETRANSLATE(B6681,""en"",""es-ES"")"),"El niño vierte un poco de agua en el castillo de arena.")</f>
        <v>El niño vierte un poco de agua en el castillo de arena.</v>
      </c>
    </row>
    <row r="6682">
      <c r="A6682" s="4" t="s">
        <v>8396</v>
      </c>
      <c r="B6682" s="4" t="s">
        <v>8400</v>
      </c>
      <c r="C6682" s="5" t="str">
        <f>IFERROR(__xludf.DUMMYFUNCTION("GOOGLETRANSLATE(B6682,""en"",""es-ES"")"),"Luego, una niña con un traje de baño floral rosa se une a los niños y les ayuda a construir el castillo de arena.")</f>
        <v>Luego, una niña con un traje de baño floral rosa se une a los niños y les ayuda a construir el castillo de arena.</v>
      </c>
    </row>
    <row r="6683">
      <c r="A6683" s="4" t="s">
        <v>8401</v>
      </c>
      <c r="B6683" s="4" t="s">
        <v>8402</v>
      </c>
      <c r="C6683" s="5" t="str">
        <f>IFERROR(__xludf.DUMMYFUNCTION("GOOGLETRANSLATE(B6683,""en"",""es-ES"")"),"Un hombre con gafas y boina está hablando.")</f>
        <v>Un hombre con gafas y boina está hablando.</v>
      </c>
    </row>
    <row r="6684">
      <c r="A6684" s="4" t="s">
        <v>8401</v>
      </c>
      <c r="B6684" s="4" t="s">
        <v>8403</v>
      </c>
      <c r="C6684" s="5" t="str">
        <f>IFERROR(__xludf.DUMMYFUNCTION("GOOGLETRANSLATE(B6684,""en"",""es-ES"")"),"Se le muestra tocando una armónica mientras también toca un teclado.")</f>
        <v>Se le muestra tocando una armónica mientras también toca un teclado.</v>
      </c>
    </row>
    <row r="6685">
      <c r="A6685" s="4" t="s">
        <v>8401</v>
      </c>
      <c r="B6685" s="4" t="s">
        <v>8404</v>
      </c>
      <c r="C6685" s="5" t="str">
        <f>IFERROR(__xludf.DUMMYFUNCTION("GOOGLETRANSLATE(B6685,""en"",""es-ES"")"),"Habla sobre la mecánica de la hormónica entre el juego.")</f>
        <v>Habla sobre la mecánica de la hormónica entre el juego.</v>
      </c>
    </row>
    <row r="6686">
      <c r="A6686" s="4" t="s">
        <v>8405</v>
      </c>
      <c r="B6686" s="4" t="s">
        <v>8406</v>
      </c>
      <c r="C6686" s="5" t="str">
        <f>IFERROR(__xludf.DUMMYFUNCTION("GOOGLETRANSLATE(B6686,""en"",""es-ES"")"),"Un grupo de hombres, niños y camellos se encuentran en un área del desierto.")</f>
        <v>Un grupo de hombres, niños y camellos se encuentran en un área del desierto.</v>
      </c>
    </row>
    <row r="6687">
      <c r="A6687" s="4" t="s">
        <v>8405</v>
      </c>
      <c r="B6687" s="4" t="s">
        <v>8407</v>
      </c>
      <c r="C6687" s="5" t="str">
        <f>IFERROR(__xludf.DUMMYFUNCTION("GOOGLETRANSLATE(B6687,""en"",""es-ES"")"),"Un hombre está sentado en un camello.")</f>
        <v>Un hombre está sentado en un camello.</v>
      </c>
    </row>
    <row r="6688">
      <c r="A6688" s="4" t="s">
        <v>8405</v>
      </c>
      <c r="B6688" s="4" t="s">
        <v>8408</v>
      </c>
      <c r="C6688" s="5" t="str">
        <f>IFERROR(__xludf.DUMMYFUNCTION("GOOGLETRANSLATE(B6688,""en"",""es-ES"")"),"El hombre explica la forma correcta de montar un camello.")</f>
        <v>El hombre explica la forma correcta de montar un camello.</v>
      </c>
    </row>
    <row r="6689">
      <c r="A6689" s="4" t="s">
        <v>8405</v>
      </c>
      <c r="B6689" s="4" t="s">
        <v>8409</v>
      </c>
      <c r="C6689" s="5" t="str">
        <f>IFERROR(__xludf.DUMMYFUNCTION("GOOGLETRANSLATE(B6689,""en"",""es-ES"")"),"Un hombre en el fondo contiene una cámara de video.")</f>
        <v>Un hombre en el fondo contiene una cámara de video.</v>
      </c>
    </row>
    <row r="6690">
      <c r="A6690" s="4" t="s">
        <v>8405</v>
      </c>
      <c r="B6690" s="4" t="s">
        <v>8410</v>
      </c>
      <c r="C6690" s="5" t="str">
        <f>IFERROR(__xludf.DUMMYFUNCTION("GOOGLETRANSLATE(B6690,""en"",""es-ES"")"),"Otro hombre le entrega los camellos que reina al hombre y el camello comienza a caminar.")</f>
        <v>Otro hombre le entrega los camellos que reina al hombre y el camello comienza a caminar.</v>
      </c>
    </row>
    <row r="6691">
      <c r="A6691" s="4" t="s">
        <v>8405</v>
      </c>
      <c r="B6691" s="4" t="s">
        <v>8411</v>
      </c>
      <c r="C6691" s="5" t="str">
        <f>IFERROR(__xludf.DUMMYFUNCTION("GOOGLETRANSLATE(B6691,""en"",""es-ES"")"),"El camello vuelve su cabeza y le grita al hombre que lo monta.")</f>
        <v>El camello vuelve su cabeza y le grita al hombre que lo monta.</v>
      </c>
    </row>
    <row r="6692">
      <c r="A6692" s="4" t="s">
        <v>8405</v>
      </c>
      <c r="B6692" s="4" t="s">
        <v>8412</v>
      </c>
      <c r="C6692" s="5" t="str">
        <f>IFERROR(__xludf.DUMMYFUNCTION("GOOGLETRANSLATE(B6692,""en"",""es-ES"")"),"El hombre que viaja patea el camello en el costado y comienza a caminar de nuevo.")</f>
        <v>El hombre que viaja patea el camello en el costado y comienza a caminar de nuevo.</v>
      </c>
    </row>
    <row r="6693">
      <c r="A6693" s="4" t="s">
        <v>8413</v>
      </c>
      <c r="B6693" s="4" t="s">
        <v>8414</v>
      </c>
      <c r="C6693" s="5" t="str">
        <f>IFERROR(__xludf.DUMMYFUNCTION("GOOGLETRANSLATE(B6693,""en"",""es-ES"")"),"Se ve a varios hombres diferentes tratando de nevar el tablero pero, cayendo una y otra vez.")</f>
        <v>Se ve a varios hombres diferentes tratando de nevar el tablero pero, cayendo una y otra vez.</v>
      </c>
    </row>
    <row r="6694">
      <c r="A6694" s="4" t="s">
        <v>8413</v>
      </c>
      <c r="B6694" s="4" t="s">
        <v>8415</v>
      </c>
      <c r="C6694" s="5" t="str">
        <f>IFERROR(__xludf.DUMMYFUNCTION("GOOGLETRANSLATE(B6694,""en"",""es-ES"")"),"Muchas personas diferentes están en el fondo observando y haciendo cosas diferentes en la nieve.")</f>
        <v>Muchas personas diferentes están en el fondo observando y haciendo cosas diferentes en la nieve.</v>
      </c>
    </row>
    <row r="6695">
      <c r="A6695" s="4" t="s">
        <v>8413</v>
      </c>
      <c r="B6695" s="4" t="s">
        <v>8416</v>
      </c>
      <c r="C6695" s="5" t="str">
        <f>IFERROR(__xludf.DUMMYFUNCTION("GOOGLETRANSLATE(B6695,""en"",""es-ES"")"),"El hombre que se estaba cayendo se dio cuenta y se queda en una posición sentada.")</f>
        <v>El hombre que se estaba cayendo se dio cuenta y se queda en una posición sentada.</v>
      </c>
    </row>
    <row r="6696">
      <c r="A6696" s="4" t="s">
        <v>8417</v>
      </c>
      <c r="B6696" s="4" t="s">
        <v>8418</v>
      </c>
      <c r="C6696" s="5" t="str">
        <f>IFERROR(__xludf.DUMMYFUNCTION("GOOGLETRANSLATE(B6696,""en"",""es-ES"")"),"Se ve a un hombre hablando con la cámara mientras sostiene un cigarrillo.")</f>
        <v>Se ve a un hombre hablando con la cámara mientras sostiene un cigarrillo.</v>
      </c>
    </row>
    <row r="6697">
      <c r="A6697" s="4" t="s">
        <v>8417</v>
      </c>
      <c r="B6697" s="4" t="s">
        <v>8419</v>
      </c>
      <c r="C6697" s="5" t="str">
        <f>IFERROR(__xludf.DUMMYFUNCTION("GOOGLETRANSLATE(B6697,""en"",""es-ES"")"),"El hombre saca varias bocanadas del cigarrillo mientras sigue mirando hacia la cámara.")</f>
        <v>El hombre saca varias bocanadas del cigarrillo mientras sigue mirando hacia la cámara.</v>
      </c>
    </row>
    <row r="6698">
      <c r="A6698" s="4" t="s">
        <v>8417</v>
      </c>
      <c r="B6698" s="4" t="s">
        <v>8420</v>
      </c>
      <c r="C6698" s="5" t="str">
        <f>IFERROR(__xludf.DUMMYFUNCTION("GOOGLETRANSLATE(B6698,""en"",""es-ES"")"),"Continúa fumando y mirando hacia la cámara.")</f>
        <v>Continúa fumando y mirando hacia la cámara.</v>
      </c>
    </row>
    <row r="6699">
      <c r="A6699" s="4" t="s">
        <v>8421</v>
      </c>
      <c r="B6699" s="4" t="s">
        <v>8422</v>
      </c>
      <c r="C6699" s="5" t="str">
        <f>IFERROR(__xludf.DUMMYFUNCTION("GOOGLETRANSLATE(B6699,""en"",""es-ES"")"),"Se ve a un hombre parado en una cancha sosteniendo una raqueta de tenis.")</f>
        <v>Se ve a un hombre parado en una cancha sosteniendo una raqueta de tenis.</v>
      </c>
    </row>
    <row r="6700">
      <c r="A6700" s="4" t="s">
        <v>8421</v>
      </c>
      <c r="B6700" s="4" t="s">
        <v>8423</v>
      </c>
      <c r="C6700" s="5" t="str">
        <f>IFERROR(__xludf.DUMMYFUNCTION("GOOGLETRANSLATE(B6700,""en"",""es-ES"")"),"El hombre luego rebota en la raqueta y golpea la pelota de tenis que se balancea en la parte superior.")</f>
        <v>El hombre luego rebota en la raqueta y golpea la pelota de tenis que se balancea en la parte superior.</v>
      </c>
    </row>
    <row r="6701">
      <c r="A6701" s="4" t="s">
        <v>8421</v>
      </c>
      <c r="B6701" s="4" t="s">
        <v>8424</v>
      </c>
      <c r="C6701" s="5" t="str">
        <f>IFERROR(__xludf.DUMMYFUNCTION("GOOGLETRANSLATE(B6701,""en"",""es-ES"")"),"Su golpe se muestra nuevamente en cámara lenta.")</f>
        <v>Su golpe se muestra nuevamente en cámara lenta.</v>
      </c>
    </row>
    <row r="6702">
      <c r="A6702" s="4" t="s">
        <v>8425</v>
      </c>
      <c r="B6702" s="4" t="s">
        <v>8426</v>
      </c>
      <c r="C6702" s="5" t="str">
        <f>IFERROR(__xludf.DUMMYFUNCTION("GOOGLETRANSLATE(B6702,""en"",""es-ES"")"),"Vemos a un niño con una chaqueta de pie afuera y hablando.")</f>
        <v>Vemos a un niño con una chaqueta de pie afuera y hablando.</v>
      </c>
    </row>
    <row r="6703">
      <c r="A6703" s="4" t="s">
        <v>8425</v>
      </c>
      <c r="B6703" s="4" t="s">
        <v>8427</v>
      </c>
      <c r="C6703" s="5" t="str">
        <f>IFERROR(__xludf.DUMMYFUNCTION("GOOGLETRANSLATE(B6703,""en"",""es-ES"")"),"El niño entra en un edificio.")</f>
        <v>El niño entra en un edificio.</v>
      </c>
    </row>
    <row r="6704">
      <c r="A6704" s="4" t="s">
        <v>8425</v>
      </c>
      <c r="B6704" s="4" t="s">
        <v>8428</v>
      </c>
      <c r="C6704" s="5" t="str">
        <f>IFERROR(__xludf.DUMMYFUNCTION("GOOGLETRANSLATE(B6704,""en"",""es-ES"")"),"El niño se sienta en una silla y prueba un corte de pelo.")</f>
        <v>El niño se sienta en una silla y prueba un corte de pelo.</v>
      </c>
    </row>
    <row r="6705">
      <c r="A6705" s="4" t="s">
        <v>8425</v>
      </c>
      <c r="B6705" s="4" t="s">
        <v>8429</v>
      </c>
      <c r="C6705" s="5" t="str">
        <f>IFERROR(__xludf.DUMMYFUNCTION("GOOGLETRANSLATE(B6705,""en"",""es-ES"")"),"La señora luego usa tijeras.")</f>
        <v>La señora luego usa tijeras.</v>
      </c>
    </row>
    <row r="6706">
      <c r="A6706" s="4" t="s">
        <v>8425</v>
      </c>
      <c r="B6706" s="4" t="s">
        <v>8430</v>
      </c>
      <c r="C6706" s="5" t="str">
        <f>IFERROR(__xludf.DUMMYFUNCTION("GOOGLETRANSLATE(B6706,""en"",""es-ES"")"),"Vemos al niño con su nuevo cabello cortado.")</f>
        <v>Vemos al niño con su nuevo cabello cortado.</v>
      </c>
    </row>
    <row r="6707">
      <c r="A6707" s="4" t="s">
        <v>8425</v>
      </c>
      <c r="B6707" s="4" t="s">
        <v>8431</v>
      </c>
      <c r="C6707" s="5" t="str">
        <f>IFERROR(__xludf.DUMMYFUNCTION("GOOGLETRANSLATE(B6707,""en"",""es-ES"")"),"La señora le da al niño un globo rojo.")</f>
        <v>La señora le da al niño un globo rojo.</v>
      </c>
    </row>
    <row r="6708">
      <c r="A6708" s="4" t="s">
        <v>8425</v>
      </c>
      <c r="B6708" s="4" t="s">
        <v>8432</v>
      </c>
      <c r="C6708" s="5" t="str">
        <f>IFERROR(__xludf.DUMMYFUNCTION("GOOGLETRANSLATE(B6708,""en"",""es-ES"")"),"Vemos al niño mientras camina hacia la puerta.")</f>
        <v>Vemos al niño mientras camina hacia la puerta.</v>
      </c>
    </row>
    <row r="6709">
      <c r="A6709" s="4" t="s">
        <v>8433</v>
      </c>
      <c r="B6709" s="4" t="s">
        <v>8434</v>
      </c>
      <c r="C6709" s="5" t="str">
        <f>IFERROR(__xludf.DUMMYFUNCTION("GOOGLETRANSLATE(B6709,""en"",""es-ES"")"),"Un hombre se presenta a la cámara y dice que mostrará cómo construir un fuego.")</f>
        <v>Un hombre se presenta a la cámara y dice que mostrará cómo construir un fuego.</v>
      </c>
    </row>
    <row r="6710">
      <c r="A6710" s="4" t="s">
        <v>8433</v>
      </c>
      <c r="B6710" s="4" t="s">
        <v>8435</v>
      </c>
      <c r="C6710" s="5" t="str">
        <f>IFERROR(__xludf.DUMMYFUNCTION("GOOGLETRANSLATE(B6710,""en"",""es-ES"")"),"Comienza a romper su palo inicial y poner hojas en el fondo de su pozo de fuego lleno.")</f>
        <v>Comienza a romper su palo inicial y poner hojas en el fondo de su pozo de fuego lleno.</v>
      </c>
    </row>
    <row r="6711">
      <c r="A6711" s="4" t="s">
        <v>8433</v>
      </c>
      <c r="B6711" s="4" t="s">
        <v>8436</v>
      </c>
      <c r="C6711" s="5" t="str">
        <f>IFERROR(__xludf.DUMMYFUNCTION("GOOGLETRANSLATE(B6711,""en"",""es-ES"")"),"Se enciende el encendedor y comienza en la parte inferior con las hojas.")</f>
        <v>Se enciende el encendedor y comienza en la parte inferior con las hojas.</v>
      </c>
    </row>
    <row r="6712">
      <c r="A6712" s="4" t="s">
        <v>8433</v>
      </c>
      <c r="B6712" s="4" t="s">
        <v>8437</v>
      </c>
      <c r="C6712" s="5" t="str">
        <f>IFERROR(__xludf.DUMMYFUNCTION("GOOGLETRANSLATE(B6712,""en"",""es-ES"")"),"Vemos el fuego completo por la noche.")</f>
        <v>Vemos el fuego completo por la noche.</v>
      </c>
    </row>
    <row r="6713">
      <c r="A6713" s="4" t="s">
        <v>8438</v>
      </c>
      <c r="B6713" s="4" t="s">
        <v>8439</v>
      </c>
      <c r="C6713" s="5" t="str">
        <f>IFERROR(__xludf.DUMMYFUNCTION("GOOGLETRANSLATE(B6713,""en"",""es-ES"")"),"Un niño en un mono rojo está jugando a la raya.")</f>
        <v>Un niño en un mono rojo está jugando a la raya.</v>
      </c>
    </row>
    <row r="6714">
      <c r="A6714" s="4" t="s">
        <v>8438</v>
      </c>
      <c r="B6714" s="4" t="s">
        <v>8440</v>
      </c>
      <c r="C6714" s="5" t="str">
        <f>IFERROR(__xludf.DUMMYFUNCTION("GOOGLETRANSLATE(B6714,""en"",""es-ES"")"),"Una mujer camina detrás de él y se sienta.")</f>
        <v>Una mujer camina detrás de él y se sienta.</v>
      </c>
    </row>
    <row r="6715">
      <c r="A6715" s="4" t="s">
        <v>8438</v>
      </c>
      <c r="B6715" s="4" t="s">
        <v>8441</v>
      </c>
      <c r="C6715" s="5" t="str">
        <f>IFERROR(__xludf.DUMMYFUNCTION("GOOGLETRANSLATE(B6715,""en"",""es-ES"")"),"El niño termina y alcanza la filmación de la persona.")</f>
        <v>El niño termina y alcanza la filmación de la persona.</v>
      </c>
    </row>
    <row r="6716">
      <c r="A6716" s="4" t="s">
        <v>8442</v>
      </c>
      <c r="B6716" s="4" t="s">
        <v>8443</v>
      </c>
      <c r="C6716" s="5" t="str">
        <f>IFERROR(__xludf.DUMMYFUNCTION("GOOGLETRANSLATE(B6716,""en"",""es-ES"")"),"Cuatro niñas, vestidas con vestidos blancos con fajas rojas, se paran en una línea, en un escenario y tocan el violín juntos.")</f>
        <v>Cuatro niñas, vestidas con vestidos blancos con fajas rojas, se paran en una línea, en un escenario y tocan el violín juntos.</v>
      </c>
    </row>
    <row r="6717">
      <c r="A6717" s="4" t="s">
        <v>8442</v>
      </c>
      <c r="B6717" s="4" t="s">
        <v>8444</v>
      </c>
      <c r="C6717" s="5" t="str">
        <f>IFERROR(__xludf.DUMMYFUNCTION("GOOGLETRANSLATE(B6717,""en"",""es-ES"")"),"Cuatro niñas comienzan a tocar el violín en un escenario en un escenario con un telón de fondo rosa.")</f>
        <v>Cuatro niñas comienzan a tocar el violín en un escenario en un escenario con un telón de fondo rosa.</v>
      </c>
    </row>
    <row r="6718">
      <c r="A6718" s="4" t="s">
        <v>8442</v>
      </c>
      <c r="B6718" s="4" t="s">
        <v>8445</v>
      </c>
      <c r="C6718" s="5" t="str">
        <f>IFERROR(__xludf.DUMMYFUNCTION("GOOGLETRANSLATE(B6718,""en"",""es-ES"")"),"La niña juega junta usando ambas manos para jugar el violín antes de terminar la actuación y hacer una reverencia.")</f>
        <v>La niña juega junta usando ambas manos para jugar el violín antes de terminar la actuación y hacer una reverencia.</v>
      </c>
    </row>
    <row r="6719">
      <c r="A6719" s="4" t="s">
        <v>8446</v>
      </c>
      <c r="B6719" s="4" t="s">
        <v>8447</v>
      </c>
      <c r="C6719" s="5" t="str">
        <f>IFERROR(__xludf.DUMMYFUNCTION("GOOGLETRANSLATE(B6719,""en"",""es-ES"")"),"Se ve a un pequeño grupo de hombres montando en varios caballos con palos en la mano y preparándose para un juego.")</f>
        <v>Se ve a un pequeño grupo de hombres montando en varios caballos con palos en la mano y preparándose para un juego.</v>
      </c>
    </row>
    <row r="6720">
      <c r="A6720" s="4" t="s">
        <v>8446</v>
      </c>
      <c r="B6720" s="4" t="s">
        <v>8448</v>
      </c>
      <c r="C6720" s="5" t="str">
        <f>IFERROR(__xludf.DUMMYFUNCTION("GOOGLETRANSLATE(B6720,""en"",""es-ES"")"),"Luego, los hombres arrojan la pelota hacia abajo y todos viajan en caballos que intentan golpear la pelota y uno anota un gol.")</f>
        <v>Luego, los hombres arrojan la pelota hacia abajo y todos viajan en caballos que intentan golpear la pelota y uno anota un gol.</v>
      </c>
    </row>
    <row r="6721">
      <c r="A6721" s="4" t="s">
        <v>8446</v>
      </c>
      <c r="B6721" s="4" t="s">
        <v>8449</v>
      </c>
      <c r="C6721" s="5" t="str">
        <f>IFERROR(__xludf.DUMMYFUNCTION("GOOGLETRANSLATE(B6721,""en"",""es-ES"")"),"Una persona levanta una bandera y muestra a otras personas mirando a los lados.")</f>
        <v>Una persona levanta una bandera y muestra a otras personas mirando a los lados.</v>
      </c>
    </row>
    <row r="6722">
      <c r="A6722" s="4" t="s">
        <v>8446</v>
      </c>
      <c r="B6722" s="4" t="s">
        <v>8450</v>
      </c>
      <c r="C6722" s="5" t="str">
        <f>IFERROR(__xludf.DUMMYFUNCTION("GOOGLETRANSLATE(B6722,""en"",""es-ES"")"),"Luego, una persona anota dos goles más y los porteros levantan su bandera cada vez.")</f>
        <v>Luego, una persona anota dos goles más y los porteros levantan su bandera cada vez.</v>
      </c>
    </row>
    <row r="6723">
      <c r="A6723" s="4" t="s">
        <v>8451</v>
      </c>
      <c r="B6723" s="4" t="s">
        <v>8452</v>
      </c>
      <c r="C6723" s="5" t="str">
        <f>IFERROR(__xludf.DUMMYFUNCTION("GOOGLETRANSLATE(B6723,""en"",""es-ES"")"),"Un niño sostiene un poste muy largo.")</f>
        <v>Un niño sostiene un poste muy largo.</v>
      </c>
    </row>
    <row r="6724">
      <c r="A6724" s="4" t="s">
        <v>8451</v>
      </c>
      <c r="B6724" s="4" t="s">
        <v>8453</v>
      </c>
      <c r="C6724" s="5" t="str">
        <f>IFERROR(__xludf.DUMMYFUNCTION("GOOGLETRANSLATE(B6724,""en"",""es-ES"")"),"La cámara se pone en posición vertical de repente.")</f>
        <v>La cámara se pone en posición vertical de repente.</v>
      </c>
    </row>
    <row r="6725">
      <c r="A6725" s="4" t="s">
        <v>8451</v>
      </c>
      <c r="B6725" s="4" t="s">
        <v>8454</v>
      </c>
      <c r="C6725" s="5" t="str">
        <f>IFERROR(__xludf.DUMMYFUNCTION("GOOGLETRANSLATE(B6725,""en"",""es-ES"")"),"El niño corre con el poste, salto sobre una barra y sobre una colchoneta.")</f>
        <v>El niño corre con el poste, salto sobre una barra y sobre una colchoneta.</v>
      </c>
    </row>
    <row r="6726">
      <c r="A6726" s="4" t="s">
        <v>8455</v>
      </c>
      <c r="B6726" s="4" t="s">
        <v>8456</v>
      </c>
      <c r="C6726" s="5" t="str">
        <f>IFERROR(__xludf.DUMMYFUNCTION("GOOGLETRANSLATE(B6726,""en"",""es-ES"")"),"Una introducción entra en la pantalla para un video sobre mezclar una bebida llamada ""Yah Yah"".")</f>
        <v>Una introducción entra en la pantalla para un video sobre mezclar una bebida llamada "Yah Yah".</v>
      </c>
    </row>
    <row r="6727">
      <c r="A6727" s="4" t="s">
        <v>8455</v>
      </c>
      <c r="B6727" s="4" t="s">
        <v>8457</v>
      </c>
      <c r="C6727" s="5" t="str">
        <f>IFERROR(__xludf.DUMMYFUNCTION("GOOGLETRANSLATE(B6727,""en"",""es-ES"")"),"Ella repasa todos los ingredientes necesarios para la bebida.")</f>
        <v>Ella repasa todos los ingredientes necesarios para la bebida.</v>
      </c>
    </row>
    <row r="6728">
      <c r="A6728" s="4" t="s">
        <v>8455</v>
      </c>
      <c r="B6728" s="4" t="s">
        <v>8458</v>
      </c>
      <c r="C6728" s="5" t="str">
        <f>IFERROR(__xludf.DUMMYFUNCTION("GOOGLETRANSLATE(B6728,""en"",""es-ES"")"),"Ella comienza tomando un vaso y llenándolo con hielo.")</f>
        <v>Ella comienza tomando un vaso y llenándolo con hielo.</v>
      </c>
    </row>
    <row r="6729">
      <c r="A6729" s="4" t="s">
        <v>8455</v>
      </c>
      <c r="B6729" s="4" t="s">
        <v>8459</v>
      </c>
      <c r="C6729" s="5" t="str">
        <f>IFERROR(__xludf.DUMMYFUNCTION("GOOGLETRANSLATE(B6729,""en"",""es-ES"")"),"Ella agrega todos los ingredientes al vidrio sobre el hielo.")</f>
        <v>Ella agrega todos los ingredientes al vidrio sobre el hielo.</v>
      </c>
    </row>
    <row r="6730">
      <c r="A6730" s="4" t="s">
        <v>8455</v>
      </c>
      <c r="B6730" s="4" t="s">
        <v>4959</v>
      </c>
      <c r="C6730" s="5" t="str">
        <f>IFERROR(__xludf.DUMMYFUNCTION("GOOGLETRANSLATE(B6730,""en"",""es-ES"")"),"El video termina con los créditos de cierre.")</f>
        <v>El video termina con los créditos de cierre.</v>
      </c>
    </row>
    <row r="6731">
      <c r="A6731" s="4" t="s">
        <v>8460</v>
      </c>
      <c r="B6731" s="4" t="s">
        <v>8461</v>
      </c>
      <c r="C6731" s="5" t="str">
        <f>IFERROR(__xludf.DUMMYFUNCTION("GOOGLETRANSLATE(B6731,""en"",""es-ES"")"),"Vemos a una persona agitando algo.")</f>
        <v>Vemos a una persona agitando algo.</v>
      </c>
    </row>
    <row r="6732">
      <c r="A6732" s="4" t="s">
        <v>8460</v>
      </c>
      <c r="B6732" s="4" t="s">
        <v>8462</v>
      </c>
      <c r="C6732" s="5" t="str">
        <f>IFERROR(__xludf.DUMMYFUNCTION("GOOGLETRANSLATE(B6732,""en"",""es-ES"")"),"Una pantalla blanca y luego dos niños en la cocina.")</f>
        <v>Una pantalla blanca y luego dos niños en la cocina.</v>
      </c>
    </row>
    <row r="6733">
      <c r="A6733" s="4" t="s">
        <v>8460</v>
      </c>
      <c r="B6733" s="4" t="s">
        <v>8463</v>
      </c>
      <c r="C6733" s="5" t="str">
        <f>IFERROR(__xludf.DUMMYFUNCTION("GOOGLETRANSLATE(B6733,""en"",""es-ES"")"),"Vemos un mostrador con ingrediente.")</f>
        <v>Vemos un mostrador con ingrediente.</v>
      </c>
    </row>
    <row r="6734">
      <c r="A6734" s="4" t="s">
        <v>8460</v>
      </c>
      <c r="B6734" s="4" t="s">
        <v>8464</v>
      </c>
      <c r="C6734" s="5" t="str">
        <f>IFERROR(__xludf.DUMMYFUNCTION("GOOGLETRANSLATE(B6734,""en"",""es-ES"")"),"Los chicos luego mezclan ingredientes en un tazón.")</f>
        <v>Los chicos luego mezclan ingredientes en un tazón.</v>
      </c>
    </row>
    <row r="6735">
      <c r="A6735" s="4" t="s">
        <v>8460</v>
      </c>
      <c r="B6735" s="4" t="s">
        <v>8465</v>
      </c>
      <c r="C6735" s="5" t="str">
        <f>IFERROR(__xludf.DUMMYFUNCTION("GOOGLETRANSLATE(B6735,""en"",""es-ES"")"),"Vemos a una persona cambiar la harina en un tazón.")</f>
        <v>Vemos a una persona cambiar la harina en un tazón.</v>
      </c>
    </row>
    <row r="6736">
      <c r="A6736" s="4" t="s">
        <v>8460</v>
      </c>
      <c r="B6736" s="4" t="s">
        <v>8466</v>
      </c>
      <c r="C6736" s="5" t="str">
        <f>IFERROR(__xludf.DUMMYFUNCTION("GOOGLETRANSLATE(B6736,""en"",""es-ES"")"),"Alguien revuelve la masa de galletas en un tazón.")</f>
        <v>Alguien revuelve la masa de galletas en un tazón.</v>
      </c>
    </row>
    <row r="6737">
      <c r="A6737" s="4" t="s">
        <v>8460</v>
      </c>
      <c r="B6737" s="4" t="s">
        <v>8467</v>
      </c>
      <c r="C6737" s="5" t="str">
        <f>IFERROR(__xludf.DUMMYFUNCTION("GOOGLETRANSLATE(B6737,""en"",""es-ES"")"),"La masa se coloca en una hoja.")</f>
        <v>La masa se coloca en una hoja.</v>
      </c>
    </row>
    <row r="6738">
      <c r="A6738" s="4" t="s">
        <v>8460</v>
      </c>
      <c r="B6738" s="4" t="s">
        <v>8468</v>
      </c>
      <c r="C6738" s="5" t="str">
        <f>IFERROR(__xludf.DUMMYFUNCTION("GOOGLETRANSLATE(B6738,""en"",""es-ES"")"),"Un niño lava los platos.")</f>
        <v>Un niño lava los platos.</v>
      </c>
    </row>
    <row r="6739">
      <c r="A6739" s="4" t="s">
        <v>8460</v>
      </c>
      <c r="B6739" s="4" t="s">
        <v>8469</v>
      </c>
      <c r="C6739" s="5" t="str">
        <f>IFERROR(__xludf.DUMMYFUNCTION("GOOGLETRANSLATE(B6739,""en"",""es-ES"")"),"Las galletas se colocan en un horno.")</f>
        <v>Las galletas se colocan en un horno.</v>
      </c>
    </row>
    <row r="6740">
      <c r="A6740" s="4" t="s">
        <v>8460</v>
      </c>
      <c r="B6740" s="4" t="s">
        <v>8470</v>
      </c>
      <c r="C6740" s="5" t="str">
        <f>IFERROR(__xludf.DUMMYFUNCTION("GOOGLETRANSLATE(B6740,""en"",""es-ES"")"),"Un niño toca una guitarra que canta el otro chico.")</f>
        <v>Un niño toca una guitarra que canta el otro chico.</v>
      </c>
    </row>
    <row r="6741">
      <c r="A6741" s="4" t="s">
        <v>8460</v>
      </c>
      <c r="B6741" s="4" t="s">
        <v>8471</v>
      </c>
      <c r="C6741" s="5" t="str">
        <f>IFERROR(__xludf.DUMMYFUNCTION("GOOGLETRANSLATE(B6741,""en"",""es-ES"")"),"Cada niño come una galleta y la vemos salir del horno.")</f>
        <v>Cada niño come una galleta y la vemos salir del horno.</v>
      </c>
    </row>
    <row r="6742">
      <c r="A6742" s="4" t="s">
        <v>8460</v>
      </c>
      <c r="B6742" s="4" t="s">
        <v>8472</v>
      </c>
      <c r="C6742" s="5" t="str">
        <f>IFERROR(__xludf.DUMMYFUNCTION("GOOGLETRANSLATE(B6742,""en"",""es-ES"")"),"Una galleta empujada se separa.")</f>
        <v>Una galleta empujada se separa.</v>
      </c>
    </row>
    <row r="6743">
      <c r="A6743" s="4" t="s">
        <v>8460</v>
      </c>
      <c r="B6743" s="4" t="s">
        <v>8473</v>
      </c>
      <c r="C6743" s="5" t="str">
        <f>IFERROR(__xludf.DUMMYFUNCTION("GOOGLETRANSLATE(B6743,""en"",""es-ES"")"),"Un niño sacude la cabeza, sí y juega con un gran perro negro.")</f>
        <v>Un niño sacude la cabeza, sí y juega con un gran perro negro.</v>
      </c>
    </row>
    <row r="6744">
      <c r="A6744" s="4" t="s">
        <v>8474</v>
      </c>
      <c r="B6744" s="4" t="s">
        <v>8475</v>
      </c>
      <c r="C6744" s="5" t="str">
        <f>IFERROR(__xludf.DUMMYFUNCTION("GOOGLETRANSLATE(B6744,""en"",""es-ES"")"),"Un hombre muestra lavar su rostro con agua en un fregadero y poniéndole loción en la mano.")</f>
        <v>Un hombre muestra lavar su rostro con agua en un fregadero y poniéndole loción en la mano.</v>
      </c>
    </row>
    <row r="6745">
      <c r="A6745" s="4" t="s">
        <v>8474</v>
      </c>
      <c r="B6745" s="4" t="s">
        <v>8476</v>
      </c>
      <c r="C6745" s="5" t="str">
        <f>IFERROR(__xludf.DUMMYFUNCTION("GOOGLETRANSLATE(B6745,""en"",""es-ES"")"),"Se frota el jabón en sus manos y masajea a fondo en su rostro.")</f>
        <v>Se frota el jabón en sus manos y masajea a fondo en su rostro.</v>
      </c>
    </row>
    <row r="6746">
      <c r="A6746" s="4" t="s">
        <v>8474</v>
      </c>
      <c r="B6746" s="4" t="s">
        <v>8477</v>
      </c>
      <c r="C6746" s="5" t="str">
        <f>IFERROR(__xludf.DUMMYFUNCTION("GOOGLETRANSLATE(B6746,""en"",""es-ES"")"),"Luego se limpia la cara con una toalla y hablando con la cámara y vertiendo más loción.")</f>
        <v>Luego se limpia la cara con una toalla y hablando con la cámara y vertiendo más loción.</v>
      </c>
    </row>
    <row r="6747">
      <c r="A6747" s="4" t="s">
        <v>8474</v>
      </c>
      <c r="B6747" s="4" t="s">
        <v>8478</v>
      </c>
      <c r="C6747" s="5" t="str">
        <f>IFERROR(__xludf.DUMMYFUNCTION("GOOGLETRANSLATE(B6747,""en"",""es-ES"")"),"Una vez más presiona la loción en su rostro y se muestra un resumen de su rostro.")</f>
        <v>Una vez más presiona la loción en su rostro y se muestra un resumen de su rostro.</v>
      </c>
    </row>
    <row r="6748">
      <c r="A6748" s="4" t="s">
        <v>8479</v>
      </c>
      <c r="B6748" s="4" t="s">
        <v>8480</v>
      </c>
      <c r="C6748" s="5" t="str">
        <f>IFERROR(__xludf.DUMMYFUNCTION("GOOGLETRANSLATE(B6748,""en"",""es-ES"")"),"Un grupo de jóvenes juega hockey sobre campo en un campo mientras un hombre observa desde una cerca que bordea el campo de juego.")</f>
        <v>Un grupo de jóvenes juega hockey sobre campo en un campo mientras un hombre observa desde una cerca que bordea el campo de juego.</v>
      </c>
    </row>
    <row r="6749">
      <c r="A6749" s="4" t="s">
        <v>8479</v>
      </c>
      <c r="B6749" s="4" t="s">
        <v>8481</v>
      </c>
      <c r="C6749" s="5" t="str">
        <f>IFERROR(__xludf.DUMMYFUNCTION("GOOGLETRANSLATE(B6749,""en"",""es-ES"")"),"Un hombre en el equipo de gol de hockey de campo se encuentra en el centro de un semi círculo formado por jóvenes vestidos con vestimenta de hockey de campo.")</f>
        <v>Un hombre en el equipo de gol de hockey de campo se encuentra en el centro de un semi círculo formado por jóvenes vestidos con vestimenta de hockey de campo.</v>
      </c>
    </row>
    <row r="6750">
      <c r="A6750" s="4" t="s">
        <v>8479</v>
      </c>
      <c r="B6750" s="4" t="s">
        <v>8482</v>
      </c>
      <c r="C6750" s="5" t="str">
        <f>IFERROR(__xludf.DUMMYFUNCTION("GOOGLETRANSLATE(B6750,""en"",""es-ES"")"),"El hombre entrevista desde la barrera mientras las personas juegan al hockey de campo y en un momento se le presenta una camiseta de Borgoña por los jugadores.")</f>
        <v>El hombre entrevista desde la barrera mientras las personas juegan al hockey de campo y en un momento se le presenta una camiseta de Borgoña por los jugadores.</v>
      </c>
    </row>
    <row r="6751">
      <c r="A6751" s="4" t="s">
        <v>8479</v>
      </c>
      <c r="B6751" s="4" t="s">
        <v>8483</v>
      </c>
      <c r="C6751" s="5" t="str">
        <f>IFERROR(__xludf.DUMMYFUNCTION("GOOGLETRANSLATE(B6751,""en"",""es-ES"")"),"Luego, el hombre juega un juego de hockey de campo en el que termina parado en el semi círculo nuevamente arrojando una pelota arriba y abajo y mirando a la cámara mientras está rodeado de jugadores.")</f>
        <v>Luego, el hombre juega un juego de hockey de campo en el que termina parado en el semi círculo nuevamente arrojando una pelota arriba y abajo y mirando a la cámara mientras está rodeado de jugadores.</v>
      </c>
    </row>
    <row r="6752">
      <c r="A6752" s="4" t="s">
        <v>8484</v>
      </c>
      <c r="B6752" s="4" t="s">
        <v>8485</v>
      </c>
      <c r="C6752" s="5" t="str">
        <f>IFERROR(__xludf.DUMMYFUNCTION("GOOGLETRANSLATE(B6752,""en"",""es-ES"")"),"Un hombre entra en una habitación y acumula yeso sobre una base.")</f>
        <v>Un hombre entra en una habitación y acumula yeso sobre una base.</v>
      </c>
    </row>
    <row r="6753">
      <c r="A6753" s="4" t="s">
        <v>8484</v>
      </c>
      <c r="B6753" s="4" t="s">
        <v>8486</v>
      </c>
      <c r="C6753" s="5" t="str">
        <f>IFERROR(__xludf.DUMMYFUNCTION("GOOGLETRANSLATE(B6753,""en"",""es-ES"")"),"El hombre agrega golpes de yeso en la pared y luego obtiene más y lo agrega.")</f>
        <v>El hombre agrega golpes de yeso en la pared y luego obtiene más y lo agrega.</v>
      </c>
    </row>
    <row r="6754">
      <c r="A6754" s="4" t="s">
        <v>8484</v>
      </c>
      <c r="B6754" s="4" t="s">
        <v>8487</v>
      </c>
      <c r="C6754" s="5" t="str">
        <f>IFERROR(__xludf.DUMMYFUNCTION("GOOGLETRANSLATE(B6754,""en"",""es-ES"")"),"El hombre obtiene más yeso y lo desliza sobre la pared.")</f>
        <v>El hombre obtiene más yeso y lo desliza sobre la pared.</v>
      </c>
    </row>
    <row r="6755">
      <c r="A6755" s="4" t="s">
        <v>8484</v>
      </c>
      <c r="B6755" s="4" t="s">
        <v>8488</v>
      </c>
      <c r="C6755" s="5" t="str">
        <f>IFERROR(__xludf.DUMMYFUNCTION("GOOGLETRANSLATE(B6755,""en"",""es-ES"")"),"El hombre luego camina y apaga la cámara.")</f>
        <v>El hombre luego camina y apaga la cámara.</v>
      </c>
    </row>
    <row r="6756">
      <c r="A6756" s="4" t="s">
        <v>8489</v>
      </c>
      <c r="B6756" s="4" t="s">
        <v>8490</v>
      </c>
      <c r="C6756" s="5" t="str">
        <f>IFERROR(__xludf.DUMMYFUNCTION("GOOGLETRANSLATE(B6756,""en"",""es-ES"")"),"El hombre y la mujer están de pie sobre una gran roca saltando a un lago.")</f>
        <v>El hombre y la mujer están de pie sobre una gran roca saltando a un lago.</v>
      </c>
    </row>
    <row r="6757">
      <c r="A6757" s="4" t="s">
        <v>8489</v>
      </c>
      <c r="B6757" s="4" t="s">
        <v>8491</v>
      </c>
      <c r="C6757" s="5" t="str">
        <f>IFERROR(__xludf.DUMMYFUNCTION("GOOGLETRANSLATE(B6757,""en"",""es-ES"")"),"Los chicos están sentados en un lado de la roca hablando con una mujer en el lago.")</f>
        <v>Los chicos están sentados en un lado de la roca hablando con una mujer en el lago.</v>
      </c>
    </row>
    <row r="6758">
      <c r="A6758" s="4" t="s">
        <v>8492</v>
      </c>
      <c r="B6758" s="4" t="s">
        <v>8493</v>
      </c>
      <c r="C6758" s="5" t="str">
        <f>IFERROR(__xludf.DUMMYFUNCTION("GOOGLETRANSLATE(B6758,""en"",""es-ES"")"),"Se ve un gran acantilado cerca del océano.")</f>
        <v>Se ve un gran acantilado cerca del océano.</v>
      </c>
    </row>
    <row r="6759">
      <c r="A6759" s="4" t="s">
        <v>8492</v>
      </c>
      <c r="B6759" s="4" t="s">
        <v>8494</v>
      </c>
      <c r="C6759" s="5" t="str">
        <f>IFERROR(__xludf.DUMMYFUNCTION("GOOGLETRANSLATE(B6759,""en"",""es-ES"")"),"Varios barcos están cerca, y la gente está en kayak en el área.")</f>
        <v>Varios barcos están cerca, y la gente está en kayak en el área.</v>
      </c>
    </row>
    <row r="6760">
      <c r="A6760" s="4" t="s">
        <v>8492</v>
      </c>
      <c r="B6760" s="4" t="s">
        <v>8495</v>
      </c>
      <c r="C6760" s="5" t="str">
        <f>IFERROR(__xludf.DUMMYFUNCTION("GOOGLETRANSLATE(B6760,""en"",""es-ES"")"),"Un hombre está rapeando por el costado del acantilado.")</f>
        <v>Un hombre está rapeando por el costado del acantilado.</v>
      </c>
    </row>
    <row r="6761">
      <c r="A6761" s="4" t="s">
        <v>8492</v>
      </c>
      <c r="B6761" s="4" t="s">
        <v>8496</v>
      </c>
      <c r="C6761" s="5" t="str">
        <f>IFERROR(__xludf.DUMMYFUNCTION("GOOGLETRANSLATE(B6761,""en"",""es-ES"")"),"Se para triunfante en la parte trasera de un pequeño bote.")</f>
        <v>Se para triunfante en la parte trasera de un pequeño bote.</v>
      </c>
    </row>
    <row r="6762">
      <c r="A6762" s="4" t="s">
        <v>8497</v>
      </c>
      <c r="B6762" s="4" t="s">
        <v>8498</v>
      </c>
      <c r="C6762" s="5" t="str">
        <f>IFERROR(__xludf.DUMMYFUNCTION("GOOGLETRANSLATE(B6762,""en"",""es-ES"")"),"Un hombre demuestra el combate Tai Chi con otra persona.")</f>
        <v>Un hombre demuestra el combate Tai Chi con otra persona.</v>
      </c>
    </row>
    <row r="6763">
      <c r="A6763" s="4" t="s">
        <v>8497</v>
      </c>
      <c r="B6763" s="4" t="s">
        <v>8499</v>
      </c>
      <c r="C6763" s="5" t="str">
        <f>IFERROR(__xludf.DUMMYFUNCTION("GOOGLETRANSLATE(B6763,""en"",""es-ES"")"),"El hombre realiza Tai Chi mientras habla, luego muestra los movimientos con el hombre.")</f>
        <v>El hombre realiza Tai Chi mientras habla, luego muestra los movimientos con el hombre.</v>
      </c>
    </row>
    <row r="6764">
      <c r="A6764" s="4" t="s">
        <v>8497</v>
      </c>
      <c r="B6764" s="4" t="s">
        <v>8500</v>
      </c>
      <c r="C6764" s="5" t="str">
        <f>IFERROR(__xludf.DUMMYFUNCTION("GOOGLETRANSLATE(B6764,""en"",""es-ES"")"),"Después, el hombre mueve el cuerpo y las manos mientras explica.")</f>
        <v>Después, el hombre mueve el cuerpo y las manos mientras explica.</v>
      </c>
    </row>
    <row r="6765">
      <c r="A6765" s="4" t="s">
        <v>8501</v>
      </c>
      <c r="B6765" s="4" t="s">
        <v>8502</v>
      </c>
      <c r="C6765" s="5" t="str">
        <f>IFERROR(__xludf.DUMMYFUNCTION("GOOGLETRANSLATE(B6765,""en"",""es-ES"")"),"Un par de zapatos está en el piso, y un hombre con calcetines se encuentra detrás de ellos.")</f>
        <v>Un par de zapatos está en el piso, y un hombre con calcetines se encuentra detrás de ellos.</v>
      </c>
    </row>
    <row r="6766">
      <c r="A6766" s="4" t="s">
        <v>8501</v>
      </c>
      <c r="B6766" s="4" t="s">
        <v>8503</v>
      </c>
      <c r="C6766" s="5" t="str">
        <f>IFERROR(__xludf.DUMMYFUNCTION("GOOGLETRANSLATE(B6766,""en"",""es-ES"")"),"Saca un poco con poco y comienza a atar los zapatos.")</f>
        <v>Saca un poco con poco y comienza a atar los zapatos.</v>
      </c>
    </row>
    <row r="6767">
      <c r="A6767" s="4" t="s">
        <v>8501</v>
      </c>
      <c r="B6767" s="4" t="s">
        <v>8504</v>
      </c>
      <c r="C6767" s="5" t="str">
        <f>IFERROR(__xludf.DUMMYFUNCTION("GOOGLETRANSLATE(B6767,""en"",""es-ES"")"),"Luego se pone los zapatos y muestra cómo se ven.")</f>
        <v>Luego se pone los zapatos y muestra cómo se ven.</v>
      </c>
    </row>
    <row r="6768">
      <c r="A6768" s="4" t="s">
        <v>8505</v>
      </c>
      <c r="B6768" s="4" t="s">
        <v>8506</v>
      </c>
      <c r="C6768" s="5" t="str">
        <f>IFERROR(__xludf.DUMMYFUNCTION("GOOGLETRANSLATE(B6768,""en"",""es-ES"")"),"Se muestran escenas de un pequeño pueblo rural bajo una fuerte tormenta de lluvia.")</f>
        <v>Se muestran escenas de un pequeño pueblo rural bajo una fuerte tormenta de lluvia.</v>
      </c>
    </row>
    <row r="6769">
      <c r="A6769" s="4" t="s">
        <v>8505</v>
      </c>
      <c r="B6769" s="4" t="s">
        <v>8507</v>
      </c>
      <c r="C6769" s="5" t="str">
        <f>IFERROR(__xludf.DUMMYFUNCTION("GOOGLETRANSLATE(B6769,""en"",""es-ES"")"),"Una mujer lava artículos por un contenedor bajo la lluvia mientras otras personas se paran.")</f>
        <v>Una mujer lava artículos por un contenedor bajo la lluvia mientras otras personas se paran.</v>
      </c>
    </row>
    <row r="6770">
      <c r="A6770" s="4" t="s">
        <v>8505</v>
      </c>
      <c r="B6770" s="4" t="s">
        <v>8508</v>
      </c>
      <c r="C6770" s="5" t="str">
        <f>IFERROR(__xludf.DUMMYFUNCTION("GOOGLETRANSLATE(B6770,""en"",""es-ES"")"),"Se muestra un primer plano de una cuenca de lavado junto al recipiente.")</f>
        <v>Se muestra un primer plano de una cuenca de lavado junto al recipiente.</v>
      </c>
    </row>
    <row r="6771">
      <c r="A6771" s="4" t="s">
        <v>8509</v>
      </c>
      <c r="B6771" s="4" t="s">
        <v>8510</v>
      </c>
      <c r="C6771" s="5" t="str">
        <f>IFERROR(__xludf.DUMMYFUNCTION("GOOGLETRANSLATE(B6771,""en"",""es-ES"")"),"Se ve a una mujer parada en un equipo de ejercicio y moviéndose a sí misma.")</f>
        <v>Se ve a una mujer parada en un equipo de ejercicio y moviéndose a sí misma.</v>
      </c>
    </row>
    <row r="6772">
      <c r="A6772" s="4" t="s">
        <v>8509</v>
      </c>
      <c r="B6772" s="4" t="s">
        <v>8511</v>
      </c>
      <c r="C6772" s="5" t="str">
        <f>IFERROR(__xludf.DUMMYFUNCTION("GOOGLETRANSLATE(B6772,""en"",""es-ES"")"),"La mujer mueve los pies sobre la máquina y muestra cómo funciona la máquina.")</f>
        <v>La mujer mueve los pies sobre la máquina y muestra cómo funciona la máquina.</v>
      </c>
    </row>
    <row r="6773">
      <c r="A6773" s="4" t="s">
        <v>8509</v>
      </c>
      <c r="B6773" s="4" t="s">
        <v>8512</v>
      </c>
      <c r="C6773" s="5" t="str">
        <f>IFERROR(__xludf.DUMMYFUNCTION("GOOGLETRANSLATE(B6773,""en"",""es-ES"")"),"Se ve a otro hombre hacer ejercicio y termina con texto en la pantalla.")</f>
        <v>Se ve a otro hombre hacer ejercicio y termina con texto en la pantalla.</v>
      </c>
    </row>
    <row r="6774">
      <c r="A6774" s="4" t="s">
        <v>8513</v>
      </c>
      <c r="B6774" s="4" t="s">
        <v>8514</v>
      </c>
      <c r="C6774" s="5" t="str">
        <f>IFERROR(__xludf.DUMMYFUNCTION("GOOGLETRANSLATE(B6774,""en"",""es-ES"")"),"Se ve a una mujer sentada en una silla mirando hacia abajo con otros a su lado.")</f>
        <v>Se ve a una mujer sentada en una silla mirando hacia abajo con otros a su lado.</v>
      </c>
    </row>
    <row r="6775">
      <c r="A6775" s="4" t="s">
        <v>8513</v>
      </c>
      <c r="B6775" s="4" t="s">
        <v>8515</v>
      </c>
      <c r="C6775" s="5" t="str">
        <f>IFERROR(__xludf.DUMMYFUNCTION("GOOGLETRANSLATE(B6775,""en"",""es-ES"")"),"La cámara se mueve alrededor de las personas sentadas y conduce a uno poniendo un objeto en la pierna.")</f>
        <v>La cámara se mueve alrededor de las personas sentadas y conduce a uno poniendo un objeto en la pierna.</v>
      </c>
    </row>
    <row r="6776">
      <c r="A6776" s="4" t="s">
        <v>8513</v>
      </c>
      <c r="B6776" s="4" t="s">
        <v>8516</v>
      </c>
      <c r="C6776" s="5" t="str">
        <f>IFERROR(__xludf.DUMMYFUNCTION("GOOGLETRANSLATE(B6776,""en"",""es-ES"")"),"Ella arranca el objeto mostrando el cabello, así como su pierna y otros riendo.")</f>
        <v>Ella arranca el objeto mostrando el cabello, así como su pierna y otros riendo.</v>
      </c>
    </row>
    <row r="6777">
      <c r="A6777" s="4" t="s">
        <v>8517</v>
      </c>
      <c r="B6777" s="4" t="s">
        <v>8518</v>
      </c>
      <c r="C6777" s="5" t="str">
        <f>IFERROR(__xludf.DUMMYFUNCTION("GOOGLETRANSLATE(B6777,""en"",""es-ES"")"),"Un oficial de policía gira mientras baila.")</f>
        <v>Un oficial de policía gira mientras baila.</v>
      </c>
    </row>
    <row r="6778">
      <c r="A6778" s="4" t="s">
        <v>8517</v>
      </c>
      <c r="B6778" s="4" t="s">
        <v>8519</v>
      </c>
      <c r="C6778" s="5" t="str">
        <f>IFERROR(__xludf.DUMMYFUNCTION("GOOGLETRANSLATE(B6778,""en"",""es-ES"")"),"El niño hace una mano de pie.")</f>
        <v>El niño hace una mano de pie.</v>
      </c>
    </row>
    <row r="6779">
      <c r="A6779" s="4" t="s">
        <v>8517</v>
      </c>
      <c r="B6779" s="4" t="s">
        <v>8520</v>
      </c>
      <c r="C6779" s="5" t="str">
        <f>IFERROR(__xludf.DUMMYFUNCTION("GOOGLETRANSLATE(B6779,""en"",""es-ES"")"),"El oficial de policía hace un baile de discoteca John Travolta.")</f>
        <v>El oficial de policía hace un baile de discoteca John Travolta.</v>
      </c>
    </row>
    <row r="6780">
      <c r="A6780" s="4" t="s">
        <v>8517</v>
      </c>
      <c r="B6780" s="4" t="s">
        <v>8521</v>
      </c>
      <c r="C6780" s="5" t="str">
        <f>IFERROR(__xludf.DUMMYFUNCTION("GOOGLETRANSLATE(B6780,""en"",""es-ES"")"),"El oficial de policía hace una rutina de baile de break.")</f>
        <v>El oficial de policía hace una rutina de baile de break.</v>
      </c>
    </row>
    <row r="6781">
      <c r="A6781" s="4" t="s">
        <v>8517</v>
      </c>
      <c r="B6781" s="4" t="s">
        <v>8522</v>
      </c>
      <c r="C6781" s="5" t="str">
        <f>IFERROR(__xludf.DUMMYFUNCTION("GOOGLETRANSLATE(B6781,""en"",""es-ES"")"),"El grupo de niños caminan juntos en la hierba.")</f>
        <v>El grupo de niños caminan juntos en la hierba.</v>
      </c>
    </row>
    <row r="6782">
      <c r="A6782" s="4" t="s">
        <v>8523</v>
      </c>
      <c r="B6782" s="4" t="s">
        <v>8524</v>
      </c>
      <c r="C6782" s="5" t="str">
        <f>IFERROR(__xludf.DUMMYFUNCTION("GOOGLETRANSLATE(B6782,""en"",""es-ES"")"),"Se ve a un gran grupo de personas de pie a cada lado de una cuerda con muchas personas mirando a los lados.")</f>
        <v>Se ve a un gran grupo de personas de pie a cada lado de una cuerda con muchas personas mirando a los lados.</v>
      </c>
    </row>
    <row r="6783">
      <c r="A6783" s="4" t="s">
        <v>8523</v>
      </c>
      <c r="B6783" s="4" t="s">
        <v>8525</v>
      </c>
      <c r="C6783" s="5" t="str">
        <f>IFERROR(__xludf.DUMMYFUNCTION("GOOGLETRANSLATE(B6783,""en"",""es-ES"")"),"Luego, los hombres comienzan un juego de tira y afloja entre ellos con un hombre ayudando a los equipos a un lado y termina con un equipo cayendo.")</f>
        <v>Luego, los hombres comienzan un juego de tira y afloja entre ellos con un hombre ayudando a los equipos a un lado y termina con un equipo cayendo.</v>
      </c>
    </row>
    <row r="6784">
      <c r="A6784" s="4" t="s">
        <v>8526</v>
      </c>
      <c r="B6784" s="4" t="s">
        <v>8527</v>
      </c>
      <c r="C6784" s="5" t="str">
        <f>IFERROR(__xludf.DUMMYFUNCTION("GOOGLETRANSLATE(B6784,""en"",""es-ES"")"),"Un hombre está parado frente a una red.")</f>
        <v>Un hombre está parado frente a una red.</v>
      </c>
    </row>
    <row r="6785">
      <c r="A6785" s="4" t="s">
        <v>8526</v>
      </c>
      <c r="B6785" s="4" t="s">
        <v>8528</v>
      </c>
      <c r="C6785" s="5" t="str">
        <f>IFERROR(__xludf.DUMMYFUNCTION("GOOGLETRANSLATE(B6785,""en"",""es-ES"")"),"Un hombre está parado frente a una cerca de madera.")</f>
        <v>Un hombre está parado frente a una cerca de madera.</v>
      </c>
    </row>
    <row r="6786">
      <c r="A6786" s="4" t="s">
        <v>8526</v>
      </c>
      <c r="B6786" s="4" t="s">
        <v>8529</v>
      </c>
      <c r="C6786" s="5" t="str">
        <f>IFERROR(__xludf.DUMMYFUNCTION("GOOGLETRANSLATE(B6786,""en"",""es-ES"")"),"Los hombres están jugando lacrosse en un campo.")</f>
        <v>Los hombres están jugando lacrosse en un campo.</v>
      </c>
    </row>
    <row r="6787">
      <c r="A6787" s="4" t="s">
        <v>8530</v>
      </c>
      <c r="B6787" s="4" t="s">
        <v>8531</v>
      </c>
      <c r="C6787" s="5" t="str">
        <f>IFERROR(__xludf.DUMMYFUNCTION("GOOGLETRANSLATE(B6787,""en"",""es-ES"")"),"Un hombre conduce en círculos una motocicleta de cuatro ruedas en un campo con malas hierbas altas de polvo.")</f>
        <v>Un hombre conduce en círculos una motocicleta de cuatro ruedas en un campo con malas hierbas altas de polvo.</v>
      </c>
    </row>
    <row r="6788">
      <c r="A6788" s="4" t="s">
        <v>8530</v>
      </c>
      <c r="B6788" s="4" t="s">
        <v>8532</v>
      </c>
      <c r="C6788" s="5" t="str">
        <f>IFERROR(__xludf.DUMMYFUNCTION("GOOGLETRANSLATE(B6788,""en"",""es-ES"")"),"Luego, el hombre va a otro lugar para continuar conduciendo en círculos.")</f>
        <v>Luego, el hombre va a otro lugar para continuar conduciendo en círculos.</v>
      </c>
    </row>
    <row r="6789">
      <c r="A6789" s="4" t="s">
        <v>8533</v>
      </c>
      <c r="B6789" s="4" t="s">
        <v>8534</v>
      </c>
      <c r="C6789" s="5" t="str">
        <f>IFERROR(__xludf.DUMMYFUNCTION("GOOGLETRANSLATE(B6789,""en"",""es-ES"")"),"Se ven dos personas sentadas frente a las cámaras tocando instrumentos mientras la cámara se acerca.")</f>
        <v>Se ven dos personas sentadas frente a las cámaras tocando instrumentos mientras la cámara se acerca.</v>
      </c>
    </row>
    <row r="6790">
      <c r="A6790" s="4" t="s">
        <v>8533</v>
      </c>
      <c r="B6790" s="4" t="s">
        <v>8535</v>
      </c>
      <c r="C6790" s="5" t="str">
        <f>IFERROR(__xludf.DUMMYFUNCTION("GOOGLETRANSLATE(B6790,""en"",""es-ES"")"),"El hombre luego canta a la cámara mientras toca su instrumento y habla con la cámara, terminando con los dos jugando de nuevo.")</f>
        <v>El hombre luego canta a la cámara mientras toca su instrumento y habla con la cámara, terminando con los dos jugando de nuevo.</v>
      </c>
    </row>
    <row r="6791">
      <c r="A6791" s="4" t="s">
        <v>8536</v>
      </c>
      <c r="B6791" s="4" t="s">
        <v>8537</v>
      </c>
      <c r="C6791" s="5" t="str">
        <f>IFERROR(__xludf.DUMMYFUNCTION("GOOGLETRANSLATE(B6791,""en"",""es-ES"")"),"Hay un hombre con una camisa azul y otro hombre de negro sentado en una roca, hablando de escalada en roca.")</f>
        <v>Hay un hombre con una camisa azul y otro hombre de negro sentado en una roca, hablando de escalada en roca.</v>
      </c>
    </row>
    <row r="6792">
      <c r="A6792" s="4" t="s">
        <v>8536</v>
      </c>
      <c r="B6792" s="4" t="s">
        <v>8538</v>
      </c>
      <c r="C6792" s="5" t="str">
        <f>IFERROR(__xludf.DUMMYFUNCTION("GOOGLETRANSLATE(B6792,""en"",""es-ES"")"),"Están sentados a una altitud muy alta en las montañas.")</f>
        <v>Están sentados a una altitud muy alta en las montañas.</v>
      </c>
    </row>
    <row r="6793">
      <c r="A6793" s="4" t="s">
        <v>8536</v>
      </c>
      <c r="B6793" s="4" t="s">
        <v>8539</v>
      </c>
      <c r="C6793" s="5" t="str">
        <f>IFERROR(__xludf.DUMMYFUNCTION("GOOGLETRANSLATE(B6793,""en"",""es-ES"")"),"La persona de azul está demostrando cómo la cuerda se sujeta de las rocas.")</f>
        <v>La persona de azul está demostrando cómo la cuerda se sujeta de las rocas.</v>
      </c>
    </row>
    <row r="6794">
      <c r="A6794" s="4" t="s">
        <v>8536</v>
      </c>
      <c r="B6794" s="4" t="s">
        <v>8540</v>
      </c>
      <c r="C6794" s="5" t="str">
        <f>IFERROR(__xludf.DUMMYFUNCTION("GOOGLETRANSLATE(B6794,""en"",""es-ES"")"),"También muestra una cuerda apretada caminando de un extremo a otro.")</f>
        <v>También muestra una cuerda apretada caminando de un extremo a otro.</v>
      </c>
    </row>
    <row r="6795">
      <c r="A6795" s="4" t="s">
        <v>8536</v>
      </c>
      <c r="B6795" s="4" t="s">
        <v>8541</v>
      </c>
      <c r="C6795" s="5" t="str">
        <f>IFERROR(__xludf.DUMMYFUNCTION("GOOGLETRANSLATE(B6795,""en"",""es-ES"")"),"Entonces la persona de negro también camina sobre una cuerda apretada.")</f>
        <v>Entonces la persona de negro también camina sobre una cuerda apretada.</v>
      </c>
    </row>
    <row r="6796">
      <c r="A6796" s="4" t="s">
        <v>8542</v>
      </c>
      <c r="B6796" s="4" t="s">
        <v>8543</v>
      </c>
      <c r="C6796" s="5" t="str">
        <f>IFERROR(__xludf.DUMMYFUNCTION("GOOGLETRANSLATE(B6796,""en"",""es-ES"")"),"Un niño está dentro de un gimnasio.")</f>
        <v>Un niño está dentro de un gimnasio.</v>
      </c>
    </row>
    <row r="6797">
      <c r="A6797" s="4" t="s">
        <v>8542</v>
      </c>
      <c r="B6797" s="4" t="s">
        <v>8544</v>
      </c>
      <c r="C6797" s="5" t="str">
        <f>IFERROR(__xludf.DUMMYFUNCTION("GOOGLETRANSLATE(B6797,""en"",""es-ES"")"),"Levanta una barra de su pecho.")</f>
        <v>Levanta una barra de su pecho.</v>
      </c>
    </row>
    <row r="6798">
      <c r="A6798" s="4" t="s">
        <v>8542</v>
      </c>
      <c r="B6798" s="4" t="s">
        <v>8545</v>
      </c>
      <c r="C6798" s="5" t="str">
        <f>IFERROR(__xludf.DUMMYFUNCTION("GOOGLETRANSLATE(B6798,""en"",""es-ES"")"),"Hace una pausa, luego lo levanta sobre su cabeza.")</f>
        <v>Hace una pausa, luego lo levanta sobre su cabeza.</v>
      </c>
    </row>
    <row r="6799">
      <c r="A6799" s="4" t="s">
        <v>8546</v>
      </c>
      <c r="B6799" s="4" t="s">
        <v>8547</v>
      </c>
      <c r="C6799" s="5" t="str">
        <f>IFERROR(__xludf.DUMMYFUNCTION("GOOGLETRANSLATE(B6799,""en"",""es-ES"")"),"Se ve a un grupo de niños sentados hablando entre ellos y jugando varios juegos.")</f>
        <v>Se ve a un grupo de niños sentados hablando entre ellos y jugando varios juegos.</v>
      </c>
    </row>
    <row r="6800">
      <c r="A6800" s="4" t="s">
        <v>8546</v>
      </c>
      <c r="B6800" s="4" t="s">
        <v>8548</v>
      </c>
      <c r="C6800" s="5" t="str">
        <f>IFERROR(__xludf.DUMMYFUNCTION("GOOGLETRANSLATE(B6800,""en"",""es-ES"")"),"Los hombres se golpearon entre sí mientras cambian de lugar y continúan jugando más juegos.")</f>
        <v>Los hombres se golpearon entre sí mientras cambian de lugar y continúan jugando más juegos.</v>
      </c>
    </row>
    <row r="6801">
      <c r="A6801" s="4" t="s">
        <v>8549</v>
      </c>
      <c r="B6801" s="4" t="s">
        <v>8550</v>
      </c>
      <c r="C6801" s="5" t="str">
        <f>IFERROR(__xludf.DUMMYFUNCTION("GOOGLETRANSLATE(B6801,""en"",""es-ES"")"),"Se muestra una familia haciendo enjuague bucal.")</f>
        <v>Se muestra una familia haciendo enjuague bucal.</v>
      </c>
    </row>
    <row r="6802">
      <c r="A6802" s="4" t="s">
        <v>8549</v>
      </c>
      <c r="B6802" s="4" t="s">
        <v>8551</v>
      </c>
      <c r="C6802" s="5" t="str">
        <f>IFERROR(__xludf.DUMMYFUNCTION("GOOGLETRANSLATE(B6802,""en"",""es-ES"")"),"Una mujer intenta reír y tiene éxito en no escupirlo.")</f>
        <v>Una mujer intenta reír y tiene éxito en no escupirlo.</v>
      </c>
    </row>
    <row r="6803">
      <c r="A6803" s="4" t="s">
        <v>8552</v>
      </c>
      <c r="B6803" s="4" t="s">
        <v>8553</v>
      </c>
      <c r="C6803" s="5" t="str">
        <f>IFERROR(__xludf.DUMMYFUNCTION("GOOGLETRANSLATE(B6803,""en"",""es-ES"")"),"Se muestran varios cuerpos de agua y aparece un hombre remando un pequeño bote.")</f>
        <v>Se muestran varios cuerpos de agua y aparece un hombre remando un pequeño bote.</v>
      </c>
    </row>
    <row r="6804">
      <c r="A6804" s="4" t="s">
        <v>8552</v>
      </c>
      <c r="B6804" s="4" t="s">
        <v>8554</v>
      </c>
      <c r="C6804" s="5" t="str">
        <f>IFERROR(__xludf.DUMMYFUNCTION("GOOGLETRANSLATE(B6804,""en"",""es-ES"")"),"Luego se muestra a varias otras personas remando por toda la ciudad en pequeños botes, pasando varios árboles y edificios de la ciudad.")</f>
        <v>Luego se muestra a varias otras personas remando por toda la ciudad en pequeños botes, pasando varios árboles y edificios de la ciudad.</v>
      </c>
    </row>
    <row r="6805">
      <c r="A6805" s="4" t="s">
        <v>8552</v>
      </c>
      <c r="B6805" s="4" t="s">
        <v>8555</v>
      </c>
      <c r="C6805" s="5" t="str">
        <f>IFERROR(__xludf.DUMMYFUNCTION("GOOGLETRANSLATE(B6805,""en"",""es-ES"")"),"A medida que continúan allí, pasan bajo puentes, restaurantes y otros puntos de referencia y luego aparecen nombres en la pantalla.")</f>
        <v>A medida que continúan allí, pasan bajo puentes, restaurantes y otros puntos de referencia y luego aparecen nombres en la pantalla.</v>
      </c>
    </row>
    <row r="6806">
      <c r="A6806" s="4" t="s">
        <v>8556</v>
      </c>
      <c r="B6806" s="4" t="s">
        <v>8557</v>
      </c>
      <c r="C6806" s="5" t="str">
        <f>IFERROR(__xludf.DUMMYFUNCTION("GOOGLETRANSLATE(B6806,""en"",""es-ES"")"),"Una persona lleva a un perro grande con una correa de espalda y cuarto en un piso de madera dura.")</f>
        <v>Una persona lleva a un perro grande con una correa de espalda y cuarto en un piso de madera dura.</v>
      </c>
    </row>
    <row r="6807">
      <c r="A6807" s="4" t="s">
        <v>8556</v>
      </c>
      <c r="B6807" s="4" t="s">
        <v>8558</v>
      </c>
      <c r="C6807" s="5" t="str">
        <f>IFERROR(__xludf.DUMMYFUNCTION("GOOGLETRANSLATE(B6807,""en"",""es-ES"")"),"El perro arrastra a la persona de la mujer alrededor de él y mira por la puerta y sonríe.")</f>
        <v>El perro arrastra a la persona de la mujer alrededor de él y mira por la puerta y sonríe.</v>
      </c>
    </row>
    <row r="6808">
      <c r="A6808" s="4" t="s">
        <v>8559</v>
      </c>
      <c r="B6808" s="4" t="s">
        <v>8560</v>
      </c>
      <c r="C6808" s="5" t="str">
        <f>IFERROR(__xludf.DUMMYFUNCTION("GOOGLETRANSLATE(B6808,""en"",""es-ES"")"),"Dos personas están paseando a caballo en un sendero nevado.")</f>
        <v>Dos personas están paseando a caballo en un sendero nevado.</v>
      </c>
    </row>
    <row r="6809">
      <c r="A6809" s="4" t="s">
        <v>8559</v>
      </c>
      <c r="B6809" s="4" t="s">
        <v>8561</v>
      </c>
      <c r="C6809" s="5" t="str">
        <f>IFERROR(__xludf.DUMMYFUNCTION("GOOGLETRANSLATE(B6809,""en"",""es-ES"")"),"Mientras conducen pasan un conjunto de iglúes de vidrio plantados en la finca.")</f>
        <v>Mientras conducen pasan un conjunto de iglúes de vidrio plantados en la finca.</v>
      </c>
    </row>
    <row r="6810">
      <c r="A6810" s="4" t="s">
        <v>8559</v>
      </c>
      <c r="B6810" s="4" t="s">
        <v>8562</v>
      </c>
      <c r="C6810" s="5" t="str">
        <f>IFERROR(__xludf.DUMMYFUNCTION("GOOGLETRANSLATE(B6810,""en"",""es-ES"")"),"Llegan a un claro donde hay tierra abierta y varios árboles.")</f>
        <v>Llegan a un claro donde hay tierra abierta y varios árboles.</v>
      </c>
    </row>
    <row r="6811">
      <c r="A6811" s="4" t="s">
        <v>8563</v>
      </c>
      <c r="B6811" s="4" t="s">
        <v>8564</v>
      </c>
      <c r="C6811" s="5" t="str">
        <f>IFERROR(__xludf.DUMMYFUNCTION("GOOGLETRANSLATE(B6811,""en"",""es-ES"")"),"Vemos a una dama tocando lentamente un tambor.")</f>
        <v>Vemos a una dama tocando lentamente un tambor.</v>
      </c>
    </row>
    <row r="6812">
      <c r="A6812" s="4" t="s">
        <v>8563</v>
      </c>
      <c r="B6812" s="4" t="s">
        <v>8565</v>
      </c>
      <c r="C6812" s="5" t="str">
        <f>IFERROR(__xludf.DUMMYFUNCTION("GOOGLETRANSLATE(B6812,""en"",""es-ES"")"),"Pasamos a la derecha y vemos a un hombre en la batería.")</f>
        <v>Pasamos a la derecha y vemos a un hombre en la batería.</v>
      </c>
    </row>
    <row r="6813">
      <c r="A6813" s="4" t="s">
        <v>8563</v>
      </c>
      <c r="B6813" s="4" t="s">
        <v>8566</v>
      </c>
      <c r="C6813" s="5" t="str">
        <f>IFERROR(__xludf.DUMMYFUNCTION("GOOGLETRANSLATE(B6813,""en"",""es-ES"")"),"Vemos a una persona en naranja entrar.")</f>
        <v>Vemos a una persona en naranja entrar.</v>
      </c>
    </row>
    <row r="6814">
      <c r="A6814" s="4" t="s">
        <v>8563</v>
      </c>
      <c r="B6814" s="4" t="s">
        <v>8567</v>
      </c>
      <c r="C6814" s="5" t="str">
        <f>IFERROR(__xludf.DUMMYFUNCTION("GOOGLETRANSLATE(B6814,""en"",""es-ES"")"),"La señora deja de tambalearse y muestra sus manos.")</f>
        <v>La señora deja de tambalearse y muestra sus manos.</v>
      </c>
    </row>
    <row r="6815">
      <c r="A6815" s="4" t="s">
        <v>8563</v>
      </c>
      <c r="B6815" s="4" t="s">
        <v>8568</v>
      </c>
      <c r="C6815" s="5" t="str">
        <f>IFERROR(__xludf.DUMMYFUNCTION("GOOGLETRANSLATE(B6815,""en"",""es-ES"")"),"Luego vemos el operador de la cámara.")</f>
        <v>Luego vemos el operador de la cámara.</v>
      </c>
    </row>
    <row r="6816">
      <c r="A6816" s="4" t="s">
        <v>8563</v>
      </c>
      <c r="B6816" s="4" t="s">
        <v>8569</v>
      </c>
      <c r="C6816" s="5" t="str">
        <f>IFERROR(__xludf.DUMMYFUNCTION("GOOGLETRANSLATE(B6816,""en"",""es-ES"")"),"La dama y el niño de naranja luchan por un instrumento.")</f>
        <v>La dama y el niño de naranja luchan por un instrumento.</v>
      </c>
    </row>
    <row r="6817">
      <c r="A6817" s="4" t="s">
        <v>8563</v>
      </c>
      <c r="B6817" s="4" t="s">
        <v>8570</v>
      </c>
      <c r="C6817" s="5" t="str">
        <f>IFERROR(__xludf.DUMMYFUNCTION("GOOGLETRANSLATE(B6817,""en"",""es-ES"")"),"La señora finge morder al niño, luego se ríe.")</f>
        <v>La señora finge morder al niño, luego se ríe.</v>
      </c>
    </row>
    <row r="6818">
      <c r="A6818" s="4" t="s">
        <v>8563</v>
      </c>
      <c r="B6818" s="4" t="s">
        <v>8571</v>
      </c>
      <c r="C6818" s="5" t="str">
        <f>IFERROR(__xludf.DUMMYFUNCTION("GOOGLETRANSLATE(B6818,""en"",""es-ES"")"),"Vemos a un hombre entrar en la habitación.")</f>
        <v>Vemos a un hombre entrar en la habitación.</v>
      </c>
    </row>
    <row r="6819">
      <c r="A6819" s="4" t="s">
        <v>8572</v>
      </c>
      <c r="B6819" s="4" t="s">
        <v>8573</v>
      </c>
      <c r="C6819" s="5" t="str">
        <f>IFERROR(__xludf.DUMMYFUNCTION("GOOGLETRANSLATE(B6819,""en"",""es-ES"")"),"Los jugadores de hockey están sacando los tocadores a un campo.")</f>
        <v>Los jugadores de hockey están sacando los tocadores a un campo.</v>
      </c>
    </row>
    <row r="6820">
      <c r="A6820" s="4" t="s">
        <v>8572</v>
      </c>
      <c r="B6820" s="4" t="s">
        <v>8574</v>
      </c>
      <c r="C6820" s="5" t="str">
        <f>IFERROR(__xludf.DUMMYFUNCTION("GOOGLETRANSLATE(B6820,""en"",""es-ES"")"),"Los jugadores de hockey están patinando en una cancha de hielo en un gimnasio techo.")</f>
        <v>Los jugadores de hockey están patinando en una cancha de hielo en un gimnasio techo.</v>
      </c>
    </row>
    <row r="6821">
      <c r="A6821" s="4" t="s">
        <v>8572</v>
      </c>
      <c r="B6821" s="4" t="s">
        <v>8575</v>
      </c>
      <c r="C6821" s="5" t="str">
        <f>IFERROR(__xludf.DUMMYFUNCTION("GOOGLETRANSLATE(B6821,""en"",""es-ES"")"),"Soldando algo en una habitación oscura y los jugadores están jugando en la cancha.")</f>
        <v>Soldando algo en una habitación oscura y los jugadores están jugando en la cancha.</v>
      </c>
    </row>
    <row r="6822">
      <c r="A6822" s="4" t="s">
        <v>8572</v>
      </c>
      <c r="B6822" s="4" t="s">
        <v>8576</v>
      </c>
      <c r="C6822" s="5" t="str">
        <f>IFERROR(__xludf.DUMMYFUNCTION("GOOGLETRANSLATE(B6822,""en"",""es-ES"")"),"Los hombres están sentados en el autobús mirando sus teléfonos y viendo a través de la ventana y en los tocadores preparándose para jugar y en el campo.")</f>
        <v>Los hombres están sentados en el autobús mirando sus teléfonos y viendo a través de la ventana y en los tocadores preparándose para jugar y en el campo.</v>
      </c>
    </row>
    <row r="6823">
      <c r="A6823" s="4" t="s">
        <v>8577</v>
      </c>
      <c r="B6823" s="4" t="s">
        <v>8578</v>
      </c>
      <c r="C6823" s="5" t="str">
        <f>IFERROR(__xludf.DUMMYFUNCTION("GOOGLETRANSLATE(B6823,""en"",""es-ES"")"),"Una persona voltea a otra persona y es arrojada a los arbustos.")</f>
        <v>Una persona voltea a otra persona y es arrojada a los arbustos.</v>
      </c>
    </row>
    <row r="6824">
      <c r="A6824" s="4" t="s">
        <v>8577</v>
      </c>
      <c r="B6824" s="4" t="s">
        <v>8579</v>
      </c>
      <c r="C6824" s="5" t="str">
        <f>IFERROR(__xludf.DUMMYFUNCTION("GOOGLETRANSLATE(B6824,""en"",""es-ES"")"),"Una persona con una camisa roja comienza a correr hacia ellos.")</f>
        <v>Una persona con una camisa roja comienza a correr hacia ellos.</v>
      </c>
    </row>
    <row r="6825">
      <c r="A6825" s="4" t="s">
        <v>8580</v>
      </c>
      <c r="B6825" s="4" t="s">
        <v>8581</v>
      </c>
      <c r="C6825" s="5" t="str">
        <f>IFERROR(__xludf.DUMMYFUNCTION("GOOGLETRANSLATE(B6825,""en"",""es-ES"")"),"Una mujer sostiene un gato negro acurrucado en una manta púrpura.")</f>
        <v>Una mujer sostiene un gato negro acurrucado en una manta púrpura.</v>
      </c>
    </row>
    <row r="6826">
      <c r="A6826" s="4" t="s">
        <v>8580</v>
      </c>
      <c r="B6826" s="4" t="s">
        <v>8582</v>
      </c>
      <c r="C6826" s="5" t="str">
        <f>IFERROR(__xludf.DUMMYFUNCTION("GOOGLETRANSLATE(B6826,""en"",""es-ES"")"),"El gato está maullando mientras la mujer sostiene sus patas.")</f>
        <v>El gato está maullando mientras la mujer sostiene sus patas.</v>
      </c>
    </row>
    <row r="6827">
      <c r="A6827" s="4" t="s">
        <v>8580</v>
      </c>
      <c r="B6827" s="4" t="s">
        <v>8583</v>
      </c>
      <c r="C6827" s="5" t="str">
        <f>IFERROR(__xludf.DUMMYFUNCTION("GOOGLETRANSLATE(B6827,""en"",""es-ES"")"),"Hay otro hombre con cortadoras de uñas, deslizando las uñas del gato.")</f>
        <v>Hay otro hombre con cortadoras de uñas, deslizando las uñas del gato.</v>
      </c>
    </row>
    <row r="6828">
      <c r="A6828" s="4" t="s">
        <v>8580</v>
      </c>
      <c r="B6828" s="4" t="s">
        <v>8584</v>
      </c>
      <c r="C6828" s="5" t="str">
        <f>IFERROR(__xludf.DUMMYFUNCTION("GOOGLETRANSLATE(B6828,""en"",""es-ES"")"),"El gato maullana en voz alta de dolor y la mujer besa al gato para calmarla.")</f>
        <v>El gato maullana en voz alta de dolor y la mujer besa al gato para calmarla.</v>
      </c>
    </row>
    <row r="6829">
      <c r="A6829" s="4" t="s">
        <v>8580</v>
      </c>
      <c r="B6829" s="4" t="s">
        <v>8585</v>
      </c>
      <c r="C6829" s="5" t="str">
        <f>IFERROR(__xludf.DUMMYFUNCTION("GOOGLETRANSLATE(B6829,""en"",""es-ES"")"),"El hombre continúa recortando las uñas del gato mientras la mujer caza al gato y besa las orejas del gato.")</f>
        <v>El hombre continúa recortando las uñas del gato mientras la mujer caza al gato y besa las orejas del gato.</v>
      </c>
    </row>
    <row r="6830">
      <c r="A6830" s="4" t="s">
        <v>8580</v>
      </c>
      <c r="B6830" s="4" t="s">
        <v>8586</v>
      </c>
      <c r="C6830" s="5" t="str">
        <f>IFERROR(__xludf.DUMMYFUNCTION("GOOGLETRANSLATE(B6830,""en"",""es-ES"")"),"El hombre continúa cortando las uñas hasta que termine.")</f>
        <v>El hombre continúa cortando las uñas hasta que termine.</v>
      </c>
    </row>
    <row r="6831">
      <c r="A6831" s="4" t="s">
        <v>8587</v>
      </c>
      <c r="B6831" s="4" t="s">
        <v>8588</v>
      </c>
      <c r="C6831" s="5" t="str">
        <f>IFERROR(__xludf.DUMMYFUNCTION("GOOGLETRANSLATE(B6831,""en"",""es-ES"")"),"Una niña está sentada en una mecedora.")</f>
        <v>Una niña está sentada en una mecedora.</v>
      </c>
    </row>
    <row r="6832">
      <c r="A6832" s="4" t="s">
        <v>8587</v>
      </c>
      <c r="B6832" s="4" t="s">
        <v>8589</v>
      </c>
      <c r="C6832" s="5" t="str">
        <f>IFERROR(__xludf.DUMMYFUNCTION("GOOGLETRANSLATE(B6832,""en"",""es-ES"")"),"Ella se pone maquillaje compacto de un caso.")</f>
        <v>Ella se pone maquillaje compacto de un caso.</v>
      </c>
    </row>
    <row r="6833">
      <c r="A6833" s="4" t="s">
        <v>8587</v>
      </c>
      <c r="B6833" s="4" t="s">
        <v>8590</v>
      </c>
      <c r="C6833" s="5" t="str">
        <f>IFERROR(__xludf.DUMMYFUNCTION("GOOGLETRANSLATE(B6833,""en"",""es-ES"")"),"Luego aplica la sombra de ojos y el lápiz labial.")</f>
        <v>Luego aplica la sombra de ojos y el lápiz labial.</v>
      </c>
    </row>
    <row r="6834">
      <c r="A6834" s="4" t="s">
        <v>8591</v>
      </c>
      <c r="B6834" s="4" t="s">
        <v>8592</v>
      </c>
      <c r="C6834" s="5" t="str">
        <f>IFERROR(__xludf.DUMMYFUNCTION("GOOGLETRANSLATE(B6834,""en"",""es-ES"")"),"Varias tomas de jinetes de pie alrededor de un pozo de arena son seguidos por muchos ángulos de personas que montan bicicletas sobre saltos.")</f>
        <v>Varias tomas de jinetes de pie alrededor de un pozo de arena son seguidos por muchos ángulos de personas que montan bicicletas sobre saltos.</v>
      </c>
    </row>
    <row r="6835">
      <c r="A6835" s="4" t="s">
        <v>8591</v>
      </c>
      <c r="B6835" s="4" t="s">
        <v>8593</v>
      </c>
      <c r="C6835" s="5" t="str">
        <f>IFERROR(__xludf.DUMMYFUNCTION("GOOGLETRANSLATE(B6835,""en"",""es-ES"")"),"La cámara captura varios ángulos de las personas que viajan a lo largo de una pista de bicicleta y las entrevistan entre disparos.")</f>
        <v>La cámara captura varios ángulos de las personas que viajan a lo largo de una pista de bicicleta y las entrevistan entre disparos.</v>
      </c>
    </row>
    <row r="6836">
      <c r="A6836" s="4" t="s">
        <v>8591</v>
      </c>
      <c r="B6836" s="4" t="s">
        <v>8594</v>
      </c>
      <c r="C6836" s="5" t="str">
        <f>IFERROR(__xludf.DUMMYFUNCTION("GOOGLETRANSLATE(B6836,""en"",""es-ES"")"),"Al final, todos los corredores se muestran en la pantalla, además de ser entrevistados y saltando por una última vez.")</f>
        <v>Al final, todos los corredores se muestran en la pantalla, además de ser entrevistados y saltando por una última vez.</v>
      </c>
    </row>
    <row r="6837">
      <c r="A6837" s="4" t="s">
        <v>8595</v>
      </c>
      <c r="B6837" s="4" t="s">
        <v>8596</v>
      </c>
      <c r="C6837" s="5" t="str">
        <f>IFERROR(__xludf.DUMMYFUNCTION("GOOGLETRANSLATE(B6837,""en"",""es-ES"")"),"Una hembra adulta y una mujer joven está en la playa, la hembra adulta está arrojando la arena del cubo al suelo.")</f>
        <v>Una hembra adulta y una mujer joven está en la playa, la hembra adulta está arrojando la arena del cubo al suelo.</v>
      </c>
    </row>
    <row r="6838">
      <c r="A6838" s="4" t="s">
        <v>8595</v>
      </c>
      <c r="B6838" s="4" t="s">
        <v>8597</v>
      </c>
      <c r="C6838" s="5" t="str">
        <f>IFERROR(__xludf.DUMMYFUNCTION("GOOGLETRANSLATE(B6838,""en"",""es-ES"")"),"La mujer en lunares está sentada en el suelo y mostrando sus pantalones.")</f>
        <v>La mujer en lunares está sentada en el suelo y mostrando sus pantalones.</v>
      </c>
    </row>
    <row r="6839">
      <c r="A6839" s="4" t="s">
        <v>8595</v>
      </c>
      <c r="B6839" s="4" t="s">
        <v>8598</v>
      </c>
      <c r="C6839" s="5" t="str">
        <f>IFERROR(__xludf.DUMMYFUNCTION("GOOGLETRANSLATE(B6839,""en"",""es-ES"")"),"La joven apunta a algo y saluda a la cámara.")</f>
        <v>La joven apunta a algo y saluda a la cámara.</v>
      </c>
    </row>
    <row r="6840">
      <c r="A6840" s="4" t="s">
        <v>8599</v>
      </c>
      <c r="B6840" s="4" t="s">
        <v>8600</v>
      </c>
      <c r="C6840" s="5" t="str">
        <f>IFERROR(__xludf.DUMMYFUNCTION("GOOGLETRANSLATE(B6840,""en"",""es-ES"")"),"Se ven tres hombres sentados en el suelo hablando entre sí y conduciendo a ellos montando por un camino.")</f>
        <v>Se ven tres hombres sentados en el suelo hablando entre sí y conduciendo a ellos montando por un camino.</v>
      </c>
    </row>
    <row r="6841">
      <c r="A6841" s="4" t="s">
        <v>8599</v>
      </c>
      <c r="B6841" s="4" t="s">
        <v>8601</v>
      </c>
      <c r="C6841" s="5" t="str">
        <f>IFERROR(__xludf.DUMMYFUNCTION("GOOGLETRANSLATE(B6841,""en"",""es-ES"")"),"Se muestran más tomas de personas que patinan por un camino realizando varios trucos y alejándose.")</f>
        <v>Se muestran más tomas de personas que patinan por un camino realizando varios trucos y alejándose.</v>
      </c>
    </row>
    <row r="6842">
      <c r="A6842" s="4" t="s">
        <v>8602</v>
      </c>
      <c r="B6842" s="4" t="s">
        <v>8603</v>
      </c>
      <c r="C6842" s="5" t="str">
        <f>IFERROR(__xludf.DUMMYFUNCTION("GOOGLETRANSLATE(B6842,""en"",""es-ES"")"),"Se muestra un primer plano de una maquinilla de afeitar en varios clips de perros que reciben el corte.")</f>
        <v>Se muestra un primer plano de una maquinilla de afeitar en varios clips de perros que reciben el corte.</v>
      </c>
    </row>
    <row r="6843">
      <c r="A6843" s="4" t="s">
        <v>8602</v>
      </c>
      <c r="B6843" s="4" t="s">
        <v>8604</v>
      </c>
      <c r="C6843" s="5" t="str">
        <f>IFERROR(__xludf.DUMMYFUNCTION("GOOGLETRANSLATE(B6843,""en"",""es-ES"")"),"Luego se muestran varias herramientas en gatos y que se colocan como mascota.")</f>
        <v>Luego se muestran varias herramientas en gatos y que se colocan como mascota.</v>
      </c>
    </row>
    <row r="6844">
      <c r="A6844" s="4" t="s">
        <v>8605</v>
      </c>
      <c r="B6844" s="4" t="s">
        <v>8606</v>
      </c>
      <c r="C6844" s="5" t="str">
        <f>IFERROR(__xludf.DUMMYFUNCTION("GOOGLETRANSLATE(B6844,""en"",""es-ES"")"),"Un hombre está corriendo por una calle.")</f>
        <v>Un hombre está corriendo por una calle.</v>
      </c>
    </row>
    <row r="6845">
      <c r="A6845" s="4" t="s">
        <v>8605</v>
      </c>
      <c r="B6845" s="4" t="s">
        <v>8607</v>
      </c>
      <c r="C6845" s="5" t="str">
        <f>IFERROR(__xludf.DUMMYFUNCTION("GOOGLETRANSLATE(B6845,""en"",""es-ES"")"),"Un auto blanco está justo detrás de él en la calle.")</f>
        <v>Un auto blanco está justo detrás de él en la calle.</v>
      </c>
    </row>
    <row r="6846">
      <c r="A6846" s="4" t="s">
        <v>8605</v>
      </c>
      <c r="B6846" s="4" t="s">
        <v>8608</v>
      </c>
      <c r="C6846" s="5" t="str">
        <f>IFERROR(__xludf.DUMMYFUNCTION("GOOGLETRANSLATE(B6846,""en"",""es-ES"")"),"La gente montando bicicletas a su lado.")</f>
        <v>La gente montando bicicletas a su lado.</v>
      </c>
    </row>
    <row r="6847">
      <c r="A6847" s="4" t="s">
        <v>8609</v>
      </c>
      <c r="B6847" s="4" t="s">
        <v>8610</v>
      </c>
      <c r="C6847" s="5" t="str">
        <f>IFERROR(__xludf.DUMMYFUNCTION("GOOGLETRANSLATE(B6847,""en"",""es-ES"")"),"Una cámara muestra un armario que se mueve en dos chicas vistas cabalgando en una elíptica.")</f>
        <v>Una cámara muestra un armario que se mueve en dos chicas vistas cabalgando en una elíptica.</v>
      </c>
    </row>
    <row r="6848">
      <c r="A6848" s="4" t="s">
        <v>8609</v>
      </c>
      <c r="B6848" s="4" t="s">
        <v>8611</v>
      </c>
      <c r="C6848" s="5" t="str">
        <f>IFERROR(__xludf.DUMMYFUNCTION("GOOGLETRANSLATE(B6848,""en"",""es-ES"")"),"Una niña se mueve hacia arriba y hacia abajo en la máquina mientras la otra se aferra al frente, lo que los lleva a saltar y hablar con la cámara escondida en el armario.")</f>
        <v>Una niña se mueve hacia arriba y hacia abajo en la máquina mientras la otra se aferra al frente, lo que los lleva a saltar y hablar con la cámara escondida en el armario.</v>
      </c>
    </row>
    <row r="6849">
      <c r="A6849" s="4" t="s">
        <v>8612</v>
      </c>
      <c r="B6849" s="4" t="s">
        <v>8613</v>
      </c>
      <c r="C6849" s="5" t="str">
        <f>IFERROR(__xludf.DUMMYFUNCTION("GOOGLETRANSLATE(B6849,""en"",""es-ES"")"),"Se muestra un logotipo con sonidos de caída de agua que se reproducen en el fondo.")</f>
        <v>Se muestra un logotipo con sonidos de caída de agua que se reproducen en el fondo.</v>
      </c>
    </row>
    <row r="6850">
      <c r="A6850" s="4" t="s">
        <v>8612</v>
      </c>
      <c r="B6850" s="4" t="s">
        <v>8614</v>
      </c>
      <c r="C6850" s="5" t="str">
        <f>IFERROR(__xludf.DUMMYFUNCTION("GOOGLETRANSLATE(B6850,""en"",""es-ES"")"),"Luego se muestra a un hombre con equipo de Scubba y dando varias señales de mano a la cámara.")</f>
        <v>Luego se muestra a un hombre con equipo de Scubba y dando varias señales de mano a la cámara.</v>
      </c>
    </row>
    <row r="6851">
      <c r="A6851" s="4" t="s">
        <v>8612</v>
      </c>
      <c r="B6851" s="4" t="s">
        <v>8615</v>
      </c>
      <c r="C6851" s="5" t="str">
        <f>IFERROR(__xludf.DUMMYFUNCTION("GOOGLETRANSLATE(B6851,""en"",""es-ES"")"),"Los sonidos de agua aún se juegan y el hombre te muestra varios movimientos y lo que significan bajo el agua.")</f>
        <v>Los sonidos de agua aún se juegan y el hombre te muestra varios movimientos y lo que significan bajo el agua.</v>
      </c>
    </row>
    <row r="6852">
      <c r="A6852" s="4" t="s">
        <v>8612</v>
      </c>
      <c r="B6852" s="4" t="s">
        <v>8616</v>
      </c>
      <c r="C6852" s="5" t="str">
        <f>IFERROR(__xludf.DUMMYFUNCTION("GOOGLETRANSLATE(B6852,""en"",""es-ES"")"),"El logotipo luego reaparece en la pantalla y el video termina.")</f>
        <v>El logotipo luego reaparece en la pantalla y el video termina.</v>
      </c>
    </row>
    <row r="6853">
      <c r="A6853" s="4" t="s">
        <v>8617</v>
      </c>
      <c r="B6853" s="4" t="s">
        <v>8618</v>
      </c>
      <c r="C6853" s="5" t="str">
        <f>IFERROR(__xludf.DUMMYFUNCTION("GOOGLETRANSLATE(B6853,""en"",""es-ES"")"),"Se muestra a un niño pequeño tocando la batería mientras un grupo de personas detrás de él mira y sonríe.")</f>
        <v>Se muestra a un niño pequeño tocando la batería mientras un grupo de personas detrás de él mira y sonríe.</v>
      </c>
    </row>
    <row r="6854">
      <c r="A6854" s="4" t="s">
        <v>8617</v>
      </c>
      <c r="B6854" s="4" t="s">
        <v>8619</v>
      </c>
      <c r="C6854" s="5" t="str">
        <f>IFERROR(__xludf.DUMMYFUNCTION("GOOGLETRANSLATE(B6854,""en"",""es-ES"")"),"El niño continúa tocando la batería y un bebé en los brazos de un hombre detrás de él se cae de su regazo.")</f>
        <v>El niño continúa tocando la batería y un bebé en los brazos de un hombre detrás de él se cae de su regazo.</v>
      </c>
    </row>
    <row r="6855">
      <c r="A6855" s="4" t="s">
        <v>8620</v>
      </c>
      <c r="B6855" s="4" t="s">
        <v>8621</v>
      </c>
      <c r="C6855" s="5" t="str">
        <f>IFERROR(__xludf.DUMMYFUNCTION("GOOGLETRANSLATE(B6855,""en"",""es-ES"")"),"Se muestra un primer plano de una canoa, seguido de un hombre que empuja la canoa en varias áreas.")</f>
        <v>Se muestra un primer plano de una canoa, seguido de un hombre que empuja la canoa en varias áreas.</v>
      </c>
    </row>
    <row r="6856">
      <c r="A6856" s="4" t="s">
        <v>8620</v>
      </c>
      <c r="B6856" s="4" t="s">
        <v>8622</v>
      </c>
      <c r="C6856" s="5" t="str">
        <f>IFERROR(__xludf.DUMMYFUNCTION("GOOGLETRANSLATE(B6856,""en"",""es-ES"")"),"Su remo se ralentiza para demostrar cómo remar adecuadamente mientras se muestran más disparos de remo en movimiento rápido.")</f>
        <v>Su remo se ralentiza para demostrar cómo remar adecuadamente mientras se muestran más disparos de remo en movimiento rápido.</v>
      </c>
    </row>
    <row r="6857">
      <c r="A6857" s="4" t="s">
        <v>8620</v>
      </c>
      <c r="B6857" s="4" t="s">
        <v>8623</v>
      </c>
      <c r="C6857" s="5" t="str">
        <f>IFERROR(__xludf.DUMMYFUNCTION("GOOGLETRANSLATE(B6857,""en"",""es-ES"")"),"El final muestra una hermosa imagen de un sol.")</f>
        <v>El final muestra una hermosa imagen de un sol.</v>
      </c>
    </row>
    <row r="6858">
      <c r="A6858" s="4" t="s">
        <v>8624</v>
      </c>
      <c r="B6858" s="4" t="s">
        <v>8625</v>
      </c>
      <c r="C6858" s="5" t="str">
        <f>IFERROR(__xludf.DUMMYFUNCTION("GOOGLETRANSLATE(B6858,""en"",""es-ES"")"),"Una persona está despegando una pegatina de un zapato blanco.")</f>
        <v>Una persona está despegando una pegatina de un zapato blanco.</v>
      </c>
    </row>
    <row r="6859">
      <c r="A6859" s="4" t="s">
        <v>8624</v>
      </c>
      <c r="B6859" s="4" t="s">
        <v>8626</v>
      </c>
      <c r="C6859" s="5" t="str">
        <f>IFERROR(__xludf.DUMMYFUNCTION("GOOGLETRANSLATE(B6859,""en"",""es-ES"")"),"Limpian el zapato con una toalla.")</f>
        <v>Limpian el zapato con una toalla.</v>
      </c>
    </row>
    <row r="6860">
      <c r="A6860" s="4" t="s">
        <v>8627</v>
      </c>
      <c r="B6860" s="4" t="s">
        <v>8628</v>
      </c>
      <c r="C6860" s="5" t="str">
        <f>IFERROR(__xludf.DUMMYFUNCTION("GOOGLETRANSLATE(B6860,""en"",""es-ES"")"),"Una persona saca el queso de una caja, luego toma un frasco que pone en el mostrador con dos servilletas, luego abre la nevera.")</f>
        <v>Una persona saca el queso de una caja, luego toma un frasco que pone en el mostrador con dos servilletas, luego abre la nevera.</v>
      </c>
    </row>
    <row r="6861">
      <c r="A6861" s="4" t="s">
        <v>8627</v>
      </c>
      <c r="B6861" s="4" t="s">
        <v>8629</v>
      </c>
      <c r="C6861" s="5" t="str">
        <f>IFERROR(__xludf.DUMMYFUNCTION("GOOGLETRANSLATE(B6861,""en"",""es-ES"")"),"Un hombre se pone agua en la cara mientras sostiene un cubo, luego toma una esponja y tira sobre la mesa.")</f>
        <v>Un hombre se pone agua en la cara mientras sostiene un cubo, luego toma una esponja y tira sobre la mesa.</v>
      </c>
    </row>
    <row r="6862">
      <c r="A6862" s="4" t="s">
        <v>8627</v>
      </c>
      <c r="B6862" s="4" t="s">
        <v>8630</v>
      </c>
      <c r="C6862" s="5" t="str">
        <f>IFERROR(__xludf.DUMMYFUNCTION("GOOGLETRANSLATE(B6862,""en"",""es-ES"")"),"La persona pone dos botellas y dos rebanadas de pan en la mesa, luego corta el queso.")</f>
        <v>La persona pone dos botellas y dos rebanadas de pan en la mesa, luego corta el queso.</v>
      </c>
    </row>
    <row r="6863">
      <c r="A6863" s="4" t="s">
        <v>8627</v>
      </c>
      <c r="B6863" s="4" t="s">
        <v>8631</v>
      </c>
      <c r="C6863" s="5" t="str">
        <f>IFERROR(__xludf.DUMMYFUNCTION("GOOGLETRANSLATE(B6863,""en"",""es-ES"")"),"Después, la persona pone el queso y la mermelada en el pan, luego come el sándwich y bebe refresco de la botella.")</f>
        <v>Después, la persona pone el queso y la mermelada en el pan, luego come el sándwich y bebe refresco de la botella.</v>
      </c>
    </row>
    <row r="6864">
      <c r="A6864" s="4" t="s">
        <v>8632</v>
      </c>
      <c r="B6864" s="4" t="s">
        <v>8633</v>
      </c>
      <c r="C6864" s="5" t="str">
        <f>IFERROR(__xludf.DUMMYFUNCTION("GOOGLETRANSLATE(B6864,""en"",""es-ES"")"),"Se lleva a cabo un partido de esgrima dentro de un auditorio.")</f>
        <v>Se lleva a cabo un partido de esgrima dentro de un auditorio.</v>
      </c>
    </row>
    <row r="6865">
      <c r="A6865" s="4" t="s">
        <v>8632</v>
      </c>
      <c r="B6865" s="4" t="s">
        <v>8634</v>
      </c>
      <c r="C6865" s="5" t="str">
        <f>IFERROR(__xludf.DUMMYFUNCTION("GOOGLETRANSLATE(B6865,""en"",""es-ES"")"),"Dos hombres en equipo completo comienzan a pelear.")</f>
        <v>Dos hombres en equipo completo comienzan a pelear.</v>
      </c>
    </row>
    <row r="6866">
      <c r="A6866" s="4" t="s">
        <v>8632</v>
      </c>
      <c r="B6866" s="4" t="s">
        <v>8635</v>
      </c>
      <c r="C6866" s="5" t="str">
        <f>IFERROR(__xludf.DUMMYFUNCTION("GOOGLETRANSLATE(B6866,""en"",""es-ES"")"),"Se apuñalan y se balancean, cercando a la multitud.")</f>
        <v>Se apuñalan y se balancean, cercando a la multitud.</v>
      </c>
    </row>
    <row r="6867">
      <c r="A6867" s="4" t="s">
        <v>8632</v>
      </c>
      <c r="B6867" s="4" t="s">
        <v>8636</v>
      </c>
      <c r="C6867" s="5" t="str">
        <f>IFERROR(__xludf.DUMMYFUNCTION("GOOGLETRANSLATE(B6867,""en"",""es-ES"")"),"Se muestran varias personas realizando varios deportes en las imágenes finales.")</f>
        <v>Se muestran varias personas realizando varios deportes en las imágenes finales.</v>
      </c>
    </row>
    <row r="6868">
      <c r="A6868" s="4" t="s">
        <v>8637</v>
      </c>
      <c r="B6868" s="4" t="s">
        <v>8638</v>
      </c>
      <c r="C6868" s="5" t="str">
        <f>IFERROR(__xludf.DUMMYFUNCTION("GOOGLETRANSLATE(B6868,""en"",""es-ES"")"),"Se muestra a un hombre sosteniendo un recortador largo.")</f>
        <v>Se muestra a un hombre sosteniendo un recortador largo.</v>
      </c>
    </row>
    <row r="6869">
      <c r="A6869" s="4" t="s">
        <v>8637</v>
      </c>
      <c r="B6869" s="4" t="s">
        <v>8639</v>
      </c>
      <c r="C6869" s="5" t="str">
        <f>IFERROR(__xludf.DUMMYFUNCTION("GOOGLETRANSLATE(B6869,""en"",""es-ES"")"),"Él usa el recortador para hacer que los arbustos con maleza.")</f>
        <v>Él usa el recortador para hacer que los arbustos con maleza.</v>
      </c>
    </row>
    <row r="6870">
      <c r="A6870" s="4" t="s">
        <v>8637</v>
      </c>
      <c r="B6870" s="4" t="s">
        <v>8640</v>
      </c>
      <c r="C6870" s="5" t="str">
        <f>IFERROR(__xludf.DUMMYFUNCTION("GOOGLETRANSLATE(B6870,""en"",""es-ES"")"),"Las hojas caen al suelo en masa mientras recorta.")</f>
        <v>Las hojas caen al suelo en masa mientras recorta.</v>
      </c>
    </row>
    <row r="6871">
      <c r="A6871" s="4" t="s">
        <v>8641</v>
      </c>
      <c r="B6871" s="4" t="s">
        <v>1487</v>
      </c>
      <c r="C6871" s="5" t="str">
        <f>IFERROR(__xludf.DUMMYFUNCTION("GOOGLETRANSLATE(B6871,""en"",""es-ES"")"),"Vemos una pantalla de título de apertura.")</f>
        <v>Vemos una pantalla de título de apertura.</v>
      </c>
    </row>
    <row r="6872">
      <c r="A6872" s="4" t="s">
        <v>8641</v>
      </c>
      <c r="B6872" s="4" t="s">
        <v>8642</v>
      </c>
      <c r="C6872" s="5" t="str">
        <f>IFERROR(__xludf.DUMMYFUNCTION("GOOGLETRANSLATE(B6872,""en"",""es-ES"")"),"El estándar de un hombre y los niños se sientan en la nieve y el pescado de hielo.")</f>
        <v>El estándar de un hombre y los niños se sientan en la nieve y el pescado de hielo.</v>
      </c>
    </row>
    <row r="6873">
      <c r="A6873" s="4" t="s">
        <v>8641</v>
      </c>
      <c r="B6873" s="4" t="s">
        <v>8643</v>
      </c>
      <c r="C6873" s="5" t="str">
        <f>IFERROR(__xludf.DUMMYFUNCTION("GOOGLETRANSLATE(B6873,""en"",""es-ES"")"),"Vemos una pantalla de Tittle y un avión vuela por encima del cielo y vemos a las personas en el hielo y un camión a lo lejos.")</f>
        <v>Vemos una pantalla de Tittle y un avión vuela por encima del cielo y vemos a las personas en el hielo y un camión a lo lejos.</v>
      </c>
    </row>
    <row r="6874">
      <c r="A6874" s="4" t="s">
        <v>8641</v>
      </c>
      <c r="B6874" s="4" t="s">
        <v>8644</v>
      </c>
      <c r="C6874" s="5" t="str">
        <f>IFERROR(__xludf.DUMMYFUNCTION("GOOGLETRANSLATE(B6874,""en"",""es-ES"")"),"Un niño camina hacia el camión donde una señora está cocinando hot dogs en la cama de camión llena de comida.")</f>
        <v>Un niño camina hacia el camión donde una señora está cocinando hot dogs en la cama de camión llena de comida.</v>
      </c>
    </row>
    <row r="6875">
      <c r="A6875" s="4" t="s">
        <v>8641</v>
      </c>
      <c r="B6875" s="4" t="s">
        <v>8645</v>
      </c>
      <c r="C6875" s="5" t="str">
        <f>IFERROR(__xludf.DUMMYFUNCTION("GOOGLETRANSLATE(B6875,""en"",""es-ES"")"),"Vemos una pantalla de título y vemos peces congelados sentados en la nieve.")</f>
        <v>Vemos una pantalla de título y vemos peces congelados sentados en la nieve.</v>
      </c>
    </row>
    <row r="6876">
      <c r="A6876" s="4" t="s">
        <v>8646</v>
      </c>
      <c r="B6876" s="4" t="s">
        <v>8647</v>
      </c>
      <c r="C6876" s="5" t="str">
        <f>IFERROR(__xludf.DUMMYFUNCTION("GOOGLETRANSLATE(B6876,""en"",""es-ES"")"),"Una procesión del desfile camina por la calle en un desfile.")</f>
        <v>Una procesión del desfile camina por la calle en un desfile.</v>
      </c>
    </row>
    <row r="6877">
      <c r="A6877" s="4" t="s">
        <v>8646</v>
      </c>
      <c r="B6877" s="4" t="s">
        <v>8648</v>
      </c>
      <c r="C6877" s="5" t="str">
        <f>IFERROR(__xludf.DUMMYFUNCTION("GOOGLETRANSLATE(B6877,""en"",""es-ES"")"),"Un grupo de miembros con uniformes verdes camina agitando banderas.")</f>
        <v>Un grupo de miembros con uniformes verdes camina agitando banderas.</v>
      </c>
    </row>
    <row r="6878">
      <c r="A6878" s="4" t="s">
        <v>8646</v>
      </c>
      <c r="B6878" s="4" t="s">
        <v>8649</v>
      </c>
      <c r="C6878" s="5" t="str">
        <f>IFERROR(__xludf.DUMMYFUNCTION("GOOGLETRANSLATE(B6878,""en"",""es-ES"")"),"Los miembros de la procesión caminan por la calle con instrumentos de latón pequeño de bocina.")</f>
        <v>Los miembros de la procesión caminan por la calle con instrumentos de latón pequeño de bocina.</v>
      </c>
    </row>
    <row r="6879">
      <c r="A6879" s="4" t="s">
        <v>8646</v>
      </c>
      <c r="B6879" s="4" t="s">
        <v>8650</v>
      </c>
      <c r="C6879" s="5" t="str">
        <f>IFERROR(__xludf.DUMMYFUNCTION("GOOGLETRANSLATE(B6879,""en"",""es-ES"")"),"Una línea de batería pasa caminando por la calle tocando sus instrumentos.")</f>
        <v>Una línea de batería pasa caminando por la calle tocando sus instrumentos.</v>
      </c>
    </row>
    <row r="6880">
      <c r="A6880" s="4" t="s">
        <v>8646</v>
      </c>
      <c r="B6880" s="4" t="s">
        <v>8651</v>
      </c>
      <c r="C6880" s="5" t="str">
        <f>IFERROR(__xludf.DUMMYFUNCTION("GOOGLETRANSLATE(B6880,""en"",""es-ES"")"),"Los miembros de la procesión caminan por la calle con grandes instrumentos de cuerno acampanado.")</f>
        <v>Los miembros de la procesión caminan por la calle con grandes instrumentos de cuerno acampanado.</v>
      </c>
    </row>
    <row r="6881">
      <c r="A6881" s="4" t="s">
        <v>8652</v>
      </c>
      <c r="B6881" s="4" t="s">
        <v>8653</v>
      </c>
      <c r="C6881" s="5" t="str">
        <f>IFERROR(__xludf.DUMMYFUNCTION("GOOGLETRANSLATE(B6881,""en"",""es-ES"")"),"El video es de muy mala calidad y muestra a un hombre que sostiene la cámara y está en un parque con otras personas que incluye a otro adulto y un niño pequeño que parece una niña.")</f>
        <v>El video es de muy mala calidad y muestra a un hombre que sostiene la cámara y está en un parque con otras personas que incluye a otro adulto y un niño pequeño que parece una niña.</v>
      </c>
    </row>
    <row r="6882">
      <c r="A6882" s="4" t="s">
        <v>8652</v>
      </c>
      <c r="B6882" s="4" t="s">
        <v>8654</v>
      </c>
      <c r="C6882" s="5" t="str">
        <f>IFERROR(__xludf.DUMMYFUNCTION("GOOGLETRANSLATE(B6882,""en"",""es-ES"")"),"El hombre se sube al equipo del parque con la niña.")</f>
        <v>El hombre se sube al equipo del parque con la niña.</v>
      </c>
    </row>
    <row r="6883">
      <c r="A6883" s="4" t="s">
        <v>8652</v>
      </c>
      <c r="B6883" s="4" t="s">
        <v>8655</v>
      </c>
      <c r="C6883" s="5" t="str">
        <f>IFERROR(__xludf.DUMMYFUNCTION("GOOGLETRANSLATE(B6883,""en"",""es-ES"")"),"El niño y el hombre aparecen en el tobogán y la niña baja por el tobogán sola mientras sonríe todo el tiempo y el hombre permanece en la parte superior del tobogán.")</f>
        <v>El niño y el hombre aparecen en el tobogán y la niña baja por el tobogán sola mientras sonríe todo el tiempo y el hombre permanece en la parte superior del tobogán.</v>
      </c>
    </row>
    <row r="6884">
      <c r="A6884" s="4" t="s">
        <v>8656</v>
      </c>
      <c r="B6884" s="4" t="s">
        <v>8657</v>
      </c>
      <c r="C6884" s="5" t="str">
        <f>IFERROR(__xludf.DUMMYFUNCTION("GOOGLETRANSLATE(B6884,""en"",""es-ES"")"),"A una mujer y un niño se les muestra sonriendo y lavando las manos en el fregadero cuando la mujer comienza a lavarse la cara.")</f>
        <v>A una mujer y un niño se les muestra sonriendo y lavando las manos en el fregadero cuando la mujer comienza a lavarse la cara.</v>
      </c>
    </row>
    <row r="6885">
      <c r="A6885" s="4" t="s">
        <v>8656</v>
      </c>
      <c r="B6885" s="4" t="s">
        <v>8658</v>
      </c>
      <c r="C6885" s="5" t="str">
        <f>IFERROR(__xludf.DUMMYFUNCTION("GOOGLETRANSLATE(B6885,""en"",""es-ES"")"),"El niño sonríe con la mujer lavándose la cara y la mujer se seca con una toalla de papel.")</f>
        <v>El niño sonríe con la mujer lavándose la cara y la mujer se seca con una toalla de papel.</v>
      </c>
    </row>
    <row r="6886">
      <c r="A6886" s="4" t="s">
        <v>8659</v>
      </c>
      <c r="B6886" s="4" t="s">
        <v>8660</v>
      </c>
      <c r="C6886" s="5" t="str">
        <f>IFERROR(__xludf.DUMMYFUNCTION("GOOGLETRANSLATE(B6886,""en"",""es-ES"")"),"Se ve una vista de una mesa de billar, las bolas están trianguladas y numerosas personas disparando las bolas en los bolsillos de la esquina durante una competencia.")</f>
        <v>Se ve una vista de una mesa de billar, las bolas están trianguladas y numerosas personas disparando las bolas en los bolsillos de la esquina durante una competencia.</v>
      </c>
    </row>
    <row r="6887">
      <c r="A6887" s="4" t="s">
        <v>8659</v>
      </c>
      <c r="B6887" s="4" t="s">
        <v>8661</v>
      </c>
      <c r="C6887" s="5" t="str">
        <f>IFERROR(__xludf.DUMMYFUNCTION("GOOGLETRANSLATE(B6887,""en"",""es-ES"")"),"Una mujer camina sosteniendo una tarjeta de puntuación mientras juegan.")</f>
        <v>Una mujer camina sosteniendo una tarjeta de puntuación mientras juegan.</v>
      </c>
    </row>
    <row r="6888">
      <c r="A6888" s="4" t="s">
        <v>8662</v>
      </c>
      <c r="B6888" s="4" t="s">
        <v>8663</v>
      </c>
      <c r="C6888" s="5" t="str">
        <f>IFERROR(__xludf.DUMMYFUNCTION("GOOGLETRANSLATE(B6888,""en"",""es-ES"")"),"La gente conduce autos de parachoques en un piso marrón.")</f>
        <v>La gente conduce autos de parachoques en un piso marrón.</v>
      </c>
    </row>
    <row r="6889">
      <c r="A6889" s="4" t="s">
        <v>8662</v>
      </c>
      <c r="B6889" s="4" t="s">
        <v>8664</v>
      </c>
      <c r="C6889" s="5" t="str">
        <f>IFERROR(__xludf.DUMMYFUNCTION("GOOGLETRANSLATE(B6889,""en"",""es-ES"")"),"Los autos de parachoques chocan entre sí.")</f>
        <v>Los autos de parachoques chocan entre sí.</v>
      </c>
    </row>
    <row r="6890">
      <c r="A6890" s="4" t="s">
        <v>8662</v>
      </c>
      <c r="B6890" s="4" t="s">
        <v>8665</v>
      </c>
      <c r="C6890" s="5" t="str">
        <f>IFERROR(__xludf.DUMMYFUNCTION("GOOGLETRANSLATE(B6890,""en"",""es-ES"")"),"Una chica se ríe en voz alta.")</f>
        <v>Una chica se ríe en voz alta.</v>
      </c>
    </row>
    <row r="6891">
      <c r="A6891" s="4" t="s">
        <v>8666</v>
      </c>
      <c r="B6891" s="4" t="s">
        <v>8667</v>
      </c>
      <c r="C6891" s="5" t="str">
        <f>IFERROR(__xludf.DUMMYFUNCTION("GOOGLETRANSLATE(B6891,""en"",""es-ES"")"),"Un grupo de personas monta camellos.")</f>
        <v>Un grupo de personas monta camellos.</v>
      </c>
    </row>
    <row r="6892">
      <c r="A6892" s="4" t="s">
        <v>8666</v>
      </c>
      <c r="B6892" s="4" t="s">
        <v>8668</v>
      </c>
      <c r="C6892" s="5" t="str">
        <f>IFERROR(__xludf.DUMMYFUNCTION("GOOGLETRANSLATE(B6892,""en"",""es-ES"")"),"El camello se baja y se arrodilla.")</f>
        <v>El camello se baja y se arrodilla.</v>
      </c>
    </row>
    <row r="6893">
      <c r="A6893" s="4" t="s">
        <v>8669</v>
      </c>
      <c r="B6893" s="4" t="s">
        <v>8670</v>
      </c>
      <c r="C6893" s="5" t="str">
        <f>IFERROR(__xludf.DUMMYFUNCTION("GOOGLETRANSLATE(B6893,""en"",""es-ES"")"),"Vemos a una dama y una chica en una balsa en una colina nevada.")</f>
        <v>Vemos a una dama y una chica en una balsa en una colina nevada.</v>
      </c>
    </row>
    <row r="6894">
      <c r="A6894" s="4" t="s">
        <v>8669</v>
      </c>
      <c r="B6894" s="4" t="s">
        <v>8671</v>
      </c>
      <c r="C6894" s="5" t="str">
        <f>IFERROR(__xludf.DUMMYFUNCTION("GOOGLETRANSLATE(B6894,""en"",""es-ES"")"),"La dama y un hombre empujan a la gente por la colina.")</f>
        <v>La dama y un hombre empujan a la gente por la colina.</v>
      </c>
    </row>
    <row r="6895">
      <c r="A6895" s="4" t="s">
        <v>8669</v>
      </c>
      <c r="B6895" s="4" t="s">
        <v>8672</v>
      </c>
      <c r="C6895" s="5" t="str">
        <f>IFERROR(__xludf.DUMMYFUNCTION("GOOGLETRANSLATE(B6895,""en"",""es-ES"")"),"La gente se desliza en balsas cuesta abajo.")</f>
        <v>La gente se desliza en balsas cuesta abajo.</v>
      </c>
    </row>
    <row r="6896">
      <c r="A6896" s="4" t="s">
        <v>8669</v>
      </c>
      <c r="B6896" s="4" t="s">
        <v>8673</v>
      </c>
      <c r="C6896" s="5" t="str">
        <f>IFERROR(__xludf.DUMMYFUNCTION("GOOGLETRANSLATE(B6896,""en"",""es-ES"")"),"La niña se para y la mira detrás de ella.")</f>
        <v>La niña se para y la mira detrás de ella.</v>
      </c>
    </row>
    <row r="6897">
      <c r="A6897" s="4" t="s">
        <v>8674</v>
      </c>
      <c r="B6897" s="4" t="s">
        <v>8675</v>
      </c>
      <c r="C6897" s="5" t="str">
        <f>IFERROR(__xludf.DUMMYFUNCTION("GOOGLETRANSLATE(B6897,""en"",""es-ES"")"),"Un grupo de personas está sentada y aplaudiendo mientras hombres de pie vestidos con GI a lo largo de una pared reflejada pasan por diferentes movimientos de karate.")</f>
        <v>Un grupo de personas está sentada y aplaudiendo mientras hombres de pie vestidos con GI a lo largo de una pared reflejada pasan por diferentes movimientos de karate.</v>
      </c>
    </row>
    <row r="6898">
      <c r="A6898" s="4" t="s">
        <v>8674</v>
      </c>
      <c r="B6898" s="4" t="s">
        <v>8676</v>
      </c>
      <c r="C6898" s="5" t="str">
        <f>IFERROR(__xludf.DUMMYFUNCTION("GOOGLETRANSLATE(B6898,""en"",""es-ES"")"),"Elvis Presley ahora está vestido con su ropa de concierto, parado en el escenario haciendo sus movimientos de karate, y luego se vuelve a él parado frente a la pared reflejada y demostrando sus movimientos de karate mientras usa su gi.")</f>
        <v>Elvis Presley ahora está vestido con su ropa de concierto, parado en el escenario haciendo sus movimientos de karate, y luego se vuelve a él parado frente a la pared reflejada y demostrando sus movimientos de karate mientras usa su gi.</v>
      </c>
    </row>
    <row r="6899">
      <c r="A6899" s="4" t="s">
        <v>8674</v>
      </c>
      <c r="B6899" s="4" t="s">
        <v>8677</v>
      </c>
      <c r="C6899" s="5" t="str">
        <f>IFERROR(__xludf.DUMMYFUNCTION("GOOGLETRANSLATE(B6899,""en"",""es-ES"")"),"Una vez más, Elvis Presley está de vuelta en el escenario en su concierto, la ropa que el video termina con él haciendo sus movimientos de karate en el escenario.")</f>
        <v>Una vez más, Elvis Presley está de vuelta en el escenario en su concierto, la ropa que el video termina con él haciendo sus movimientos de karate en el escenario.</v>
      </c>
    </row>
    <row r="6900">
      <c r="A6900" s="4" t="s">
        <v>8678</v>
      </c>
      <c r="B6900" s="4" t="s">
        <v>8679</v>
      </c>
      <c r="C6900" s="5" t="str">
        <f>IFERROR(__xludf.DUMMYFUNCTION("GOOGLETRANSLATE(B6900,""en"",""es-ES"")"),"Un atleta que lleva una camisa blanca y pantalones cortos rojos está corriendo con una jabalina en la mano en un estadio con varios espectadores.")</f>
        <v>Un atleta que lleva una camisa blanca y pantalones cortos rojos está corriendo con una jabalina en la mano en un estadio con varios espectadores.</v>
      </c>
    </row>
    <row r="6901">
      <c r="A6901" s="4" t="s">
        <v>8678</v>
      </c>
      <c r="B6901" s="4" t="s">
        <v>8680</v>
      </c>
      <c r="C6901" s="5" t="str">
        <f>IFERROR(__xludf.DUMMYFUNCTION("GOOGLETRANSLATE(B6901,""en"",""es-ES"")"),"Hay una persona sentada en un banco blanco con un uniforme azul, atándose los cordones de los cordones.")</f>
        <v>Hay una persona sentada en un banco blanco con un uniforme azul, atándose los cordones de los cordones.</v>
      </c>
    </row>
    <row r="6902">
      <c r="A6902" s="4" t="s">
        <v>8678</v>
      </c>
      <c r="B6902" s="4" t="s">
        <v>8681</v>
      </c>
      <c r="C6902" s="5" t="str">
        <f>IFERROR(__xludf.DUMMYFUNCTION("GOOGLETRANSLATE(B6902,""en"",""es-ES"")"),"El lanzador de jabalina corre y arroja la jabalina y cae al suelo.")</f>
        <v>El lanzador de jabalina corre y arroja la jabalina y cae al suelo.</v>
      </c>
    </row>
    <row r="6903">
      <c r="A6903" s="4" t="s">
        <v>8678</v>
      </c>
      <c r="B6903" s="4" t="s">
        <v>8682</v>
      </c>
      <c r="C6903" s="5" t="str">
        <f>IFERROR(__xludf.DUMMYFUNCTION("GOOGLETRANSLATE(B6903,""en"",""es-ES"")"),"Se levanta y levanta las manos en alto en la victoria.")</f>
        <v>Se levanta y levanta las manos en alto en la victoria.</v>
      </c>
    </row>
    <row r="6904">
      <c r="A6904" s="4" t="s">
        <v>8678</v>
      </c>
      <c r="B6904" s="4" t="s">
        <v>8683</v>
      </c>
      <c r="C6904" s="5" t="str">
        <f>IFERROR(__xludf.DUMMYFUNCTION("GOOGLETRANSLATE(B6904,""en"",""es-ES"")"),"Viene corriendo de nuevo y lanza la jabalina y cae al suelo.")</f>
        <v>Viene corriendo de nuevo y lanza la jabalina y cae al suelo.</v>
      </c>
    </row>
    <row r="6905">
      <c r="A6905" s="4" t="s">
        <v>8678</v>
      </c>
      <c r="B6905" s="4" t="s">
        <v>8684</v>
      </c>
      <c r="C6905" s="5" t="str">
        <f>IFERROR(__xludf.DUMMYFUNCTION("GOOGLETRANSLATE(B6905,""en"",""es-ES"")"),"La tercera vez, su acción se repite en cámara lenta.")</f>
        <v>La tercera vez, su acción se repite en cámara lenta.</v>
      </c>
    </row>
    <row r="6906">
      <c r="A6906" s="4" t="s">
        <v>8685</v>
      </c>
      <c r="B6906" s="4" t="s">
        <v>8686</v>
      </c>
      <c r="C6906" s="5" t="str">
        <f>IFERROR(__xludf.DUMMYFUNCTION("GOOGLETRANSLATE(B6906,""en"",""es-ES"")"),"El jugador practica el lacrosse en un campo.")</f>
        <v>El jugador practica el lacrosse en un campo.</v>
      </c>
    </row>
    <row r="6907">
      <c r="A6907" s="4" t="s">
        <v>8685</v>
      </c>
      <c r="B6907" s="4" t="s">
        <v>8687</v>
      </c>
      <c r="C6907" s="5" t="str">
        <f>IFERROR(__xludf.DUMMYFUNCTION("GOOGLETRANSLATE(B6907,""en"",""es-ES"")"),"Luego, los equipos juegan lacrosse y un jugador anotan para su equipo.")</f>
        <v>Luego, los equipos juegan lacrosse y un jugador anotan para su equipo.</v>
      </c>
    </row>
    <row r="6908">
      <c r="A6908" s="4" t="s">
        <v>8685</v>
      </c>
      <c r="B6908" s="4" t="s">
        <v>8688</v>
      </c>
      <c r="C6908" s="5" t="str">
        <f>IFERROR(__xludf.DUMMYFUNCTION("GOOGLETRANSLATE(B6908,""en"",""es-ES"")"),"Un entrenador toma notas, y luego los jugadores entrenan el lacrosse.")</f>
        <v>Un entrenador toma notas, y luego los jugadores entrenan el lacrosse.</v>
      </c>
    </row>
    <row r="6909">
      <c r="A6909" s="4" t="s">
        <v>8685</v>
      </c>
      <c r="B6909" s="4" t="s">
        <v>8689</v>
      </c>
      <c r="C6909" s="5" t="str">
        <f>IFERROR(__xludf.DUMMYFUNCTION("GOOGLETRANSLATE(B6909,""en"",""es-ES"")"),"Luego, dos equipos juegan lacrosse en un campo lanzando la llamada con un palo.")</f>
        <v>Luego, dos equipos juegan lacrosse en un campo lanzando la llamada con un palo.</v>
      </c>
    </row>
    <row r="6910">
      <c r="A6910" s="4" t="s">
        <v>8690</v>
      </c>
      <c r="B6910" s="4" t="s">
        <v>8691</v>
      </c>
      <c r="C6910" s="5" t="str">
        <f>IFERROR(__xludf.DUMMYFUNCTION("GOOGLETRANSLATE(B6910,""en"",""es-ES"")"),"Un hombre camina por su patio y recupera un soplador de hojas de empuje.")</f>
        <v>Un hombre camina por su patio y recupera un soplador de hojas de empuje.</v>
      </c>
    </row>
    <row r="6911">
      <c r="A6911" s="4" t="s">
        <v>8690</v>
      </c>
      <c r="B6911" s="4" t="s">
        <v>8692</v>
      </c>
      <c r="C6911" s="5" t="str">
        <f>IFERROR(__xludf.DUMMYFUNCTION("GOOGLETRANSLATE(B6911,""en"",""es-ES"")"),"El hombre camina el soplador alrededor del patio y sopla hojas a un lado.")</f>
        <v>El hombre camina el soplador alrededor del patio y sopla hojas a un lado.</v>
      </c>
    </row>
    <row r="6912">
      <c r="A6912" s="4" t="s">
        <v>8690</v>
      </c>
      <c r="B6912" s="4" t="s">
        <v>8693</v>
      </c>
      <c r="C6912" s="5" t="str">
        <f>IFERROR(__xludf.DUMMYFUNCTION("GOOGLETRANSLATE(B6912,""en"",""es-ES"")"),"El hombre termina y empuja el soplador de la hoja al lado de la cerca con la otra maquinaria y luego se aleja.")</f>
        <v>El hombre termina y empuja el soplador de la hoja al lado de la cerca con la otra maquinaria y luego se aleja.</v>
      </c>
    </row>
    <row r="6913">
      <c r="A6913" s="4" t="s">
        <v>8694</v>
      </c>
      <c r="B6913" s="4" t="s">
        <v>8695</v>
      </c>
      <c r="C6913" s="5" t="str">
        <f>IFERROR(__xludf.DUMMYFUNCTION("GOOGLETRANSLATE(B6913,""en"",""es-ES"")"),"Mujer en rosa apunta a la meta.")</f>
        <v>Mujer en rosa apunta a la meta.</v>
      </c>
    </row>
    <row r="6914">
      <c r="A6914" s="4" t="s">
        <v>8694</v>
      </c>
      <c r="B6914" s="4" t="s">
        <v>8696</v>
      </c>
      <c r="C6914" s="5" t="str">
        <f>IFERROR(__xludf.DUMMYFUNCTION("GOOGLETRANSLATE(B6914,""en"",""es-ES"")"),"Chica en brotes negros y gol de puntaje.")</f>
        <v>Chica en brotes negros y gol de puntaje.</v>
      </c>
    </row>
    <row r="6915">
      <c r="A6915" s="4" t="s">
        <v>8694</v>
      </c>
      <c r="B6915" s="4" t="s">
        <v>8697</v>
      </c>
      <c r="C6915" s="5" t="str">
        <f>IFERROR(__xludf.DUMMYFUNCTION("GOOGLETRANSLATE(B6915,""en"",""es-ES"")"),"Los compañeros de equipo felicitan a la niña en negro por la meta.")</f>
        <v>Los compañeros de equipo felicitan a la niña en negro por la meta.</v>
      </c>
    </row>
    <row r="6916">
      <c r="A6916" s="4" t="s">
        <v>8694</v>
      </c>
      <c r="B6916" s="4" t="s">
        <v>8698</v>
      </c>
      <c r="C6916" s="5" t="str">
        <f>IFERROR(__xludf.DUMMYFUNCTION("GOOGLETRANSLATE(B6916,""en"",""es-ES"")"),"Los jugadores entran en sus posiciones.")</f>
        <v>Los jugadores entran en sus posiciones.</v>
      </c>
    </row>
    <row r="6917">
      <c r="A6917" s="4" t="s">
        <v>8694</v>
      </c>
      <c r="B6917" s="4" t="s">
        <v>8699</v>
      </c>
      <c r="C6917" s="5" t="str">
        <f>IFERROR(__xludf.DUMMYFUNCTION("GOOGLETRANSLATE(B6917,""en"",""es-ES"")"),"Chica en Black Runs después de la pelota.")</f>
        <v>Chica en Black Runs después de la pelota.</v>
      </c>
    </row>
    <row r="6918">
      <c r="A6918" s="4" t="s">
        <v>8694</v>
      </c>
      <c r="B6918" s="4" t="s">
        <v>8700</v>
      </c>
      <c r="C6918" s="5" t="str">
        <f>IFERROR(__xludf.DUMMYFUNCTION("GOOGLETRANSLATE(B6918,""en"",""es-ES"")"),"Girl in Black le golpea el balón a su compañera de equipo.")</f>
        <v>Girl in Black le golpea el balón a su compañera de equipo.</v>
      </c>
    </row>
    <row r="6919">
      <c r="A6919" s="4" t="s">
        <v>8694</v>
      </c>
      <c r="B6919" s="4" t="s">
        <v>8701</v>
      </c>
      <c r="C6919" s="5" t="str">
        <f>IFERROR(__xludf.DUMMYFUNCTION("GOOGLETRANSLATE(B6919,""en"",""es-ES"")"),"Las chicas corren tras la pelota.")</f>
        <v>Las chicas corren tras la pelota.</v>
      </c>
    </row>
    <row r="6920">
      <c r="A6920" s="4" t="s">
        <v>8702</v>
      </c>
      <c r="B6920" s="4" t="s">
        <v>8703</v>
      </c>
      <c r="C6920" s="5" t="str">
        <f>IFERROR(__xludf.DUMMYFUNCTION("GOOGLETRANSLATE(B6920,""en"",""es-ES"")"),"Un hombre está sentado en una habitación con dos congas entre sus piernas.")</f>
        <v>Un hombre está sentado en una habitación con dos congas entre sus piernas.</v>
      </c>
    </row>
    <row r="6921">
      <c r="A6921" s="4" t="s">
        <v>8702</v>
      </c>
      <c r="B6921" s="4" t="s">
        <v>8704</v>
      </c>
      <c r="C6921" s="5" t="str">
        <f>IFERROR(__xludf.DUMMYFUNCTION("GOOGLETRANSLATE(B6921,""en"",""es-ES"")"),"Uno de ellos es un poco más pequeño que el otro y tiende a jugar ese solo golpeando a los más grandes cada dos latidos.")</f>
        <v>Uno de ellos es un poco más pequeño que el otro y tiende a jugar ese solo golpeando a los más grandes cada dos latidos.</v>
      </c>
    </row>
    <row r="6922">
      <c r="A6922" s="4" t="s">
        <v>8702</v>
      </c>
      <c r="B6922" s="4" t="s">
        <v>8705</v>
      </c>
      <c r="C6922" s="5" t="str">
        <f>IFERROR(__xludf.DUMMYFUNCTION("GOOGLETRANSLATE(B6922,""en"",""es-ES"")"),"Toda su cara aparece en el marco y puedes verlo balanceándose la cabeza y enfocándose más en su sonido.")</f>
        <v>Toda su cara aparece en el marco y puedes verlo balanceándose la cabeza y enfocándose más en su sonido.</v>
      </c>
    </row>
    <row r="6923">
      <c r="A6923" s="4" t="s">
        <v>8706</v>
      </c>
      <c r="B6923" s="4" t="s">
        <v>8707</v>
      </c>
      <c r="C6923" s="5" t="str">
        <f>IFERROR(__xludf.DUMMYFUNCTION("GOOGLETRANSLATE(B6923,""en"",""es-ES"")"),"Una introducción conduce a una mujer que sostiene a un perro y frisbee y luego arroja el Fribee para que el perro la atrapa.")</f>
        <v>Una introducción conduce a una mujer que sostiene a un perro y frisbee y luego arroja el Fribee para que el perro la atrapa.</v>
      </c>
    </row>
    <row r="6924">
      <c r="A6924" s="4" t="s">
        <v>8706</v>
      </c>
      <c r="B6924" s="4" t="s">
        <v>8708</v>
      </c>
      <c r="C6924" s="5" t="str">
        <f>IFERROR(__xludf.DUMMYFUNCTION("GOOGLETRANSLATE(B6924,""en"",""es-ES"")"),"El perro lo trae de vuelta y la niña arroja el objeto varias veces más, con el perro persiguiendo y regresando cada vez.")</f>
        <v>El perro lo trae de vuelta y la niña arroja el objeto varias veces más, con el perro persiguiendo y regresando cada vez.</v>
      </c>
    </row>
    <row r="6925">
      <c r="A6925" s="4" t="s">
        <v>8709</v>
      </c>
      <c r="B6925" s="4" t="s">
        <v>1251</v>
      </c>
      <c r="C6925" s="5" t="str">
        <f>IFERROR(__xludf.DUMMYFUNCTION("GOOGLETRANSLATE(B6925,""en"",""es-ES"")"),"Se muestran los créditos del clip.")</f>
        <v>Se muestran los créditos del clip.</v>
      </c>
    </row>
    <row r="6926">
      <c r="A6926" s="4" t="s">
        <v>8709</v>
      </c>
      <c r="B6926" s="4" t="s">
        <v>8710</v>
      </c>
      <c r="C6926" s="5" t="str">
        <f>IFERROR(__xludf.DUMMYFUNCTION("GOOGLETRANSLATE(B6926,""en"",""es-ES"")"),"La señora pone el contenido de una botella en sus palmas, y la señora se la frota en la cara.")</f>
        <v>La señora pone el contenido de una botella en sus palmas, y la señora se la frota en la cara.</v>
      </c>
    </row>
    <row r="6927">
      <c r="A6927" s="4" t="s">
        <v>8709</v>
      </c>
      <c r="B6927" s="4" t="s">
        <v>8711</v>
      </c>
      <c r="C6927" s="5" t="str">
        <f>IFERROR(__xludf.DUMMYFUNCTION("GOOGLETRANSLATE(B6927,""en"",""es-ES"")"),"La señora hace caras divertidas.")</f>
        <v>La señora hace caras divertidas.</v>
      </c>
    </row>
    <row r="6928">
      <c r="A6928" s="4" t="s">
        <v>8709</v>
      </c>
      <c r="B6928" s="4" t="s">
        <v>8712</v>
      </c>
      <c r="C6928" s="5" t="str">
        <f>IFERROR(__xludf.DUMMYFUNCTION("GOOGLETRANSLATE(B6928,""en"",""es-ES"")"),"La dama se lava la cara.")</f>
        <v>La dama se lava la cara.</v>
      </c>
    </row>
    <row r="6929">
      <c r="A6929" s="4" t="s">
        <v>8709</v>
      </c>
      <c r="B6929" s="4" t="s">
        <v>8713</v>
      </c>
      <c r="C6929" s="5" t="str">
        <f>IFERROR(__xludf.DUMMYFUNCTION("GOOGLETRANSLATE(B6929,""en"",""es-ES"")"),"La toalla de la dama se seca la cara.")</f>
        <v>La toalla de la dama se seca la cara.</v>
      </c>
    </row>
    <row r="6930">
      <c r="A6930" s="4" t="s">
        <v>8709</v>
      </c>
      <c r="B6930" s="4" t="s">
        <v>8714</v>
      </c>
      <c r="C6930" s="5" t="str">
        <f>IFERROR(__xludf.DUMMYFUNCTION("GOOGLETRANSLATE(B6930,""en"",""es-ES"")"),"La señora pone manchas de loción blanca en su rostro y la frota.")</f>
        <v>La señora pone manchas de loción blanca en su rostro y la frota.</v>
      </c>
    </row>
    <row r="6931">
      <c r="A6931" s="4" t="s">
        <v>8709</v>
      </c>
      <c r="B6931" s="4" t="s">
        <v>8715</v>
      </c>
      <c r="C6931" s="5" t="str">
        <f>IFERROR(__xludf.DUMMYFUNCTION("GOOGLETRANSLATE(B6931,""en"",""es-ES"")"),"La señora presenta un pequeño producto de tubo.")</f>
        <v>La señora presenta un pequeño producto de tubo.</v>
      </c>
    </row>
    <row r="6932">
      <c r="A6932" s="4" t="s">
        <v>8709</v>
      </c>
      <c r="B6932" s="4" t="s">
        <v>573</v>
      </c>
      <c r="C6932" s="5" t="str">
        <f>IFERROR(__xludf.DUMMYFUNCTION("GOOGLETRANSLATE(B6932,""en"",""es-ES"")"),"Se muestran los créditos del video.")</f>
        <v>Se muestran los créditos del video.</v>
      </c>
    </row>
    <row r="6933">
      <c r="A6933" s="4" t="s">
        <v>8716</v>
      </c>
      <c r="B6933" s="4" t="s">
        <v>8717</v>
      </c>
      <c r="C6933" s="5" t="str">
        <f>IFERROR(__xludf.DUMMYFUNCTION("GOOGLETRANSLATE(B6933,""en"",""es-ES"")"),"Un joven se aferra a una cuerda, ya que es boogie abordando por el río.")</f>
        <v>Un joven se aferra a una cuerda, ya que es boogie abordando por el río.</v>
      </c>
    </row>
    <row r="6934">
      <c r="A6934" s="4" t="s">
        <v>8716</v>
      </c>
      <c r="B6934" s="4" t="s">
        <v>8718</v>
      </c>
      <c r="C6934" s="5" t="str">
        <f>IFERROR(__xludf.DUMMYFUNCTION("GOOGLETRANSLATE(B6934,""en"",""es-ES"")"),"El joven luego hace una volteada 360 en el agua y sigue adelante y poco después, hace otro truco.")</f>
        <v>El joven luego hace una volteada 360 en el agua y sigue adelante y poco después, hace otro truco.</v>
      </c>
    </row>
    <row r="6935">
      <c r="A6935" s="4" t="s">
        <v>8716</v>
      </c>
      <c r="B6935" s="4" t="s">
        <v>8719</v>
      </c>
      <c r="C6935" s="5" t="str">
        <f>IFERROR(__xludf.DUMMYFUNCTION("GOOGLETRANSLATE(B6935,""en"",""es-ES"")"),"Luego se muestra a otra persona y comienza a hacer trucos más rigurosos en el agua.")</f>
        <v>Luego se muestra a otra persona y comienza a hacer trucos más rigurosos en el agua.</v>
      </c>
    </row>
    <row r="6936">
      <c r="A6936" s="4" t="s">
        <v>8716</v>
      </c>
      <c r="B6936" s="4" t="s">
        <v>8720</v>
      </c>
      <c r="C6936" s="5" t="str">
        <f>IFERROR(__xludf.DUMMYFUNCTION("GOOGLETRANSLATE(B6936,""en"",""es-ES"")"),"A continuación, se muestra una serie de imágenes de otras personas que hacen trucos.")</f>
        <v>A continuación, se muestra una serie de imágenes de otras personas que hacen trucos.</v>
      </c>
    </row>
    <row r="6937">
      <c r="A6937" s="4" t="s">
        <v>8716</v>
      </c>
      <c r="B6937" s="4" t="s">
        <v>8721</v>
      </c>
      <c r="C6937" s="5" t="str">
        <f>IFERROR(__xludf.DUMMYFUNCTION("GOOGLETRANSLATE(B6937,""en"",""es-ES"")"),"A continuación, se muestra un snowboarder y luego el joven regresa con una imagen fija de él y sus premios.")</f>
        <v>A continuación, se muestra un snowboarder y luego el joven regresa con una imagen fija de él y sus premios.</v>
      </c>
    </row>
    <row r="6938">
      <c r="A6938" s="4" t="s">
        <v>8722</v>
      </c>
      <c r="B6938" s="4" t="s">
        <v>8723</v>
      </c>
      <c r="C6938" s="5" t="str">
        <f>IFERROR(__xludf.DUMMYFUNCTION("GOOGLETRANSLATE(B6938,""en"",""es-ES"")"),"Tres mujeres están de pie en un parque en un campo haciendo yoga.")</f>
        <v>Tres mujeres están de pie en un parque en un campo haciendo yoga.</v>
      </c>
    </row>
    <row r="6939">
      <c r="A6939" s="4" t="s">
        <v>8722</v>
      </c>
      <c r="B6939" s="4" t="s">
        <v>8724</v>
      </c>
      <c r="C6939" s="5" t="str">
        <f>IFERROR(__xludf.DUMMYFUNCTION("GOOGLETRANSLATE(B6939,""en"",""es-ES"")"),"El hombre está corriendo en el parque detrás de las mujeres.")</f>
        <v>El hombre está corriendo en el parque detrás de las mujeres.</v>
      </c>
    </row>
    <row r="6940">
      <c r="A6940" s="4" t="s">
        <v>8722</v>
      </c>
      <c r="B6940" s="4" t="s">
        <v>8725</v>
      </c>
      <c r="C6940" s="5" t="str">
        <f>IFERROR(__xludf.DUMMYFUNCTION("GOOGLETRANSLATE(B6940,""en"",""es-ES"")"),"Un anciano camina rápido en el parque.")</f>
        <v>Un anciano camina rápido en el parque.</v>
      </c>
    </row>
    <row r="6941">
      <c r="A6941" s="4" t="s">
        <v>8726</v>
      </c>
      <c r="B6941" s="4" t="s">
        <v>8727</v>
      </c>
      <c r="C6941" s="5" t="str">
        <f>IFERROR(__xludf.DUMMYFUNCTION("GOOGLETRANSLATE(B6941,""en"",""es-ES"")"),"Se ve a un hombre sosteniendo un par de zapatos mientras habla con la cámara y los rocía.")</f>
        <v>Se ve a un hombre sosteniendo un par de zapatos mientras habla con la cámara y los rocía.</v>
      </c>
    </row>
    <row r="6942">
      <c r="A6942" s="4" t="s">
        <v>8726</v>
      </c>
      <c r="B6942" s="4" t="s">
        <v>8728</v>
      </c>
      <c r="C6942" s="5" t="str">
        <f>IFERROR(__xludf.DUMMYFUNCTION("GOOGLETRANSLATE(B6942,""en"",""es-ES"")"),"El hombre frota los zapatos con un trapo mientras continúa hablando con la cámara.")</f>
        <v>El hombre frota los zapatos con un trapo mientras continúa hablando con la cámara.</v>
      </c>
    </row>
    <row r="6943">
      <c r="A6943" s="4" t="s">
        <v>8726</v>
      </c>
      <c r="B6943" s="4" t="s">
        <v>8729</v>
      </c>
      <c r="C6943" s="5" t="str">
        <f>IFERROR(__xludf.DUMMYFUNCTION("GOOGLETRANSLATE(B6943,""en"",""es-ES"")"),"Al final, levanta los zapatos mientras sigue hablando y le da a la cámara un pulgar hacia arriba.")</f>
        <v>Al final, levanta los zapatos mientras sigue hablando y le da a la cámara un pulgar hacia arriba.</v>
      </c>
    </row>
    <row r="6944">
      <c r="A6944" s="4" t="s">
        <v>8730</v>
      </c>
      <c r="B6944" s="4" t="s">
        <v>8731</v>
      </c>
      <c r="C6944" s="5" t="str">
        <f>IFERROR(__xludf.DUMMYFUNCTION("GOOGLETRANSLATE(B6944,""en"",""es-ES"")"),"Un par de equipos están en un campo abierto.")</f>
        <v>Un par de equipos están en un campo abierto.</v>
      </c>
    </row>
    <row r="6945">
      <c r="A6945" s="4" t="s">
        <v>8730</v>
      </c>
      <c r="B6945" s="4" t="s">
        <v>8732</v>
      </c>
      <c r="C6945" s="5" t="str">
        <f>IFERROR(__xludf.DUMMYFUNCTION("GOOGLETRANSLATE(B6945,""en"",""es-ES"")"),"Están jugando lacrosse juntos.")</f>
        <v>Están jugando lacrosse juntos.</v>
      </c>
    </row>
    <row r="6946">
      <c r="A6946" s="4" t="s">
        <v>8730</v>
      </c>
      <c r="B6946" s="4" t="s">
        <v>8733</v>
      </c>
      <c r="C6946" s="5" t="str">
        <f>IFERROR(__xludf.DUMMYFUNCTION("GOOGLETRANSLATE(B6946,""en"",""es-ES"")"),"Corren, tratando de golpear la pelota.")</f>
        <v>Corren, tratando de golpear la pelota.</v>
      </c>
    </row>
    <row r="6947">
      <c r="A6947" s="4" t="s">
        <v>8734</v>
      </c>
      <c r="B6947" s="4" t="s">
        <v>8735</v>
      </c>
      <c r="C6947" s="5" t="str">
        <f>IFERROR(__xludf.DUMMYFUNCTION("GOOGLETRANSLATE(B6947,""en"",""es-ES"")"),"Se ve a un pequeño grupo de niños corriendo alrededor de un campo interior pateando una pelota de fútbol.")</f>
        <v>Se ve a un pequeño grupo de niños corriendo alrededor de un campo interior pateando una pelota de fútbol.</v>
      </c>
    </row>
    <row r="6948">
      <c r="A6948" s="4" t="s">
        <v>8734</v>
      </c>
      <c r="B6948" s="4" t="s">
        <v>8736</v>
      </c>
      <c r="C6948" s="5" t="str">
        <f>IFERROR(__xludf.DUMMYFUNCTION("GOOGLETRANSLATE(B6948,""en"",""es-ES"")"),"Los niños se mueven hacia arriba y hacia abajo entre los postes mientras patean la pelota.")</f>
        <v>Los niños se mueven hacia arriba y hacia abajo entre los postes mientras patean la pelota.</v>
      </c>
    </row>
    <row r="6949">
      <c r="A6949" s="4" t="s">
        <v>8734</v>
      </c>
      <c r="B6949" s="4" t="s">
        <v>8737</v>
      </c>
      <c r="C6949" s="5" t="str">
        <f>IFERROR(__xludf.DUMMYFUNCTION("GOOGLETRANSLATE(B6949,""en"",""es-ES"")"),"Luego se muestra a los niños pateando pelotas en un gol uno tras otro.")</f>
        <v>Luego se muestra a los niños pateando pelotas en un gol uno tras otro.</v>
      </c>
    </row>
    <row r="6950">
      <c r="A6950" s="4" t="s">
        <v>8738</v>
      </c>
      <c r="B6950" s="4" t="s">
        <v>8739</v>
      </c>
      <c r="C6950" s="5" t="str">
        <f>IFERROR(__xludf.DUMMYFUNCTION("GOOGLETRANSLATE(B6950,""en"",""es-ES"")"),"Una niña está de pie en la parte trasera de una habitación que tiene un balón de aire de papel, y comienza a bailar moviendo sus piernas de un lado a otro y moviendo ligeramente sus brazos.")</f>
        <v>Una niña está de pie en la parte trasera de una habitación que tiene un balón de aire de papel, y comienza a bailar moviendo sus piernas de un lado a otro y moviendo ligeramente sus brazos.</v>
      </c>
    </row>
    <row r="6951">
      <c r="A6951" s="4" t="s">
        <v>8738</v>
      </c>
      <c r="B6951" s="4" t="s">
        <v>8740</v>
      </c>
      <c r="C6951" s="5" t="str">
        <f>IFERROR(__xludf.DUMMYFUNCTION("GOOGLETRANSLATE(B6951,""en"",""es-ES"")"),"Luego, la niña lo recoge y comienza a moverse más de sus brazos junto con sus piernas y baila en un área pequeña en la habitación mientras mira a la cámara.")</f>
        <v>Luego, la niña lo recoge y comienza a moverse más de sus brazos junto con sus piernas y baila en un área pequeña en la habitación mientras mira a la cámara.</v>
      </c>
    </row>
    <row r="6952">
      <c r="A6952" s="4" t="s">
        <v>8738</v>
      </c>
      <c r="B6952" s="4" t="s">
        <v>8741</v>
      </c>
      <c r="C6952" s="5" t="str">
        <f>IFERROR(__xludf.DUMMYFUNCTION("GOOGLETRANSLATE(B6952,""en"",""es-ES"")"),"Luego, la niña se vuelve hacia su lado y la vemos bailar desde un lado, se vuelve hacia la espalda y baila un poco de esa manera, luego gira una y otra vez hasta que la hayamos visto bailar en diferentes direcciones.")</f>
        <v>Luego, la niña se vuelve hacia su lado y la vemos bailar desde un lado, se vuelve hacia la espalda y baila un poco de esa manera, luego gira una y otra vez hasta que la hayamos visto bailar en diferentes direcciones.</v>
      </c>
    </row>
    <row r="6953">
      <c r="A6953" s="4" t="s">
        <v>8742</v>
      </c>
      <c r="B6953" s="4" t="s">
        <v>8743</v>
      </c>
      <c r="C6953" s="5" t="str">
        <f>IFERROR(__xludf.DUMMYFUNCTION("GOOGLETRANSLATE(B6953,""en"",""es-ES"")"),"Cuatro ciclistas al comienzo de la línea llevan diferentes colores de uniformes y cascos, están a punto de comenzar la carrera.")</f>
        <v>Cuatro ciclistas al comienzo de la línea llevan diferentes colores de uniformes y cascos, están a punto de comenzar la carrera.</v>
      </c>
    </row>
    <row r="6954">
      <c r="A6954" s="4" t="s">
        <v>8742</v>
      </c>
      <c r="B6954" s="4" t="s">
        <v>8744</v>
      </c>
      <c r="C6954" s="5" t="str">
        <f>IFERROR(__xludf.DUMMYFUNCTION("GOOGLETRANSLATE(B6954,""en"",""es-ES"")"),"La carrera comenzó, la bicicleta en bicicleta y la carrera en la pista de carreras donde saltaron y saltaron y fueron a la acera, el único jugador, cuando llegó a la línea de meta, se cayó de lado y se puso de pie y caminó hacia la gente.")</f>
        <v>La carrera comenzó, la bicicleta en bicicleta y la carrera en la pista de carreras donde saltaron y saltaron y fueron a la acera, el único jugador, cuando llegó a la línea de meta, se cayó de lado y se puso de pie y caminó hacia la gente.</v>
      </c>
    </row>
    <row r="6955">
      <c r="A6955" s="4" t="s">
        <v>8745</v>
      </c>
      <c r="B6955" s="4" t="s">
        <v>8746</v>
      </c>
      <c r="C6955" s="5" t="str">
        <f>IFERROR(__xludf.DUMMYFUNCTION("GOOGLETRANSLATE(B6955,""en"",""es-ES"")"),"Una cámara se mueve alrededor de un tocador seguido de varios objetos e ingredientes que se muestran a la cámara.")</f>
        <v>Una cámara se mueve alrededor de un tocador seguido de varios objetos e ingredientes que se muestran a la cámara.</v>
      </c>
    </row>
    <row r="6956">
      <c r="A6956" s="4" t="s">
        <v>8745</v>
      </c>
      <c r="B6956" s="4" t="s">
        <v>8747</v>
      </c>
      <c r="C6956" s="5" t="str">
        <f>IFERROR(__xludf.DUMMYFUNCTION("GOOGLETRANSLATE(B6956,""en"",""es-ES"")"),"Luego se ve a una mujer pintando el tocador con varios abrigos y lijarlo.")</f>
        <v>Luego se ve a una mujer pintando el tocador con varios abrigos y lijarlo.</v>
      </c>
    </row>
    <row r="6957">
      <c r="A6957" s="4" t="s">
        <v>8745</v>
      </c>
      <c r="B6957" s="4" t="s">
        <v>8748</v>
      </c>
      <c r="C6957" s="5" t="str">
        <f>IFERROR(__xludf.DUMMYFUNCTION("GOOGLETRANSLATE(B6957,""en"",""es-ES"")"),"Ella coloca las piezas y termina sonriendo a la cámara.")</f>
        <v>Ella coloca las piezas y termina sonriendo a la cámara.</v>
      </c>
    </row>
    <row r="6958">
      <c r="A6958" s="4" t="s">
        <v>8749</v>
      </c>
      <c r="B6958" s="4" t="s">
        <v>8750</v>
      </c>
      <c r="C6958" s="5" t="str">
        <f>IFERROR(__xludf.DUMMYFUNCTION("GOOGLETRANSLATE(B6958,""en"",""es-ES"")"),"La caricatura de héroes luchando con un personaje malvado.")</f>
        <v>La caricatura de héroes luchando con un personaje malvado.</v>
      </c>
    </row>
    <row r="6959">
      <c r="A6959" s="4" t="s">
        <v>8749</v>
      </c>
      <c r="B6959" s="4" t="s">
        <v>8751</v>
      </c>
      <c r="C6959" s="5" t="str">
        <f>IFERROR(__xludf.DUMMYFUNCTION("GOOGLETRANSLATE(B6959,""en"",""es-ES"")"),"Los héroes pelean y luego se sientan en un tronco al frente.")</f>
        <v>Los héroes pelean y luego se sientan en un tronco al frente.</v>
      </c>
    </row>
    <row r="6960">
      <c r="A6960" s="4" t="s">
        <v>8752</v>
      </c>
      <c r="B6960" s="4" t="s">
        <v>8753</v>
      </c>
      <c r="C6960" s="5" t="str">
        <f>IFERROR(__xludf.DUMMYFUNCTION("GOOGLETRANSLATE(B6960,""en"",""es-ES"")"),"Un logotipo giratorio con fondo púrpura y luego se ve texto en la pantalla.")</f>
        <v>Un logotipo giratorio con fondo púrpura y luego se ve texto en la pantalla.</v>
      </c>
    </row>
    <row r="6961">
      <c r="A6961" s="4" t="s">
        <v>8752</v>
      </c>
      <c r="B6961" s="4" t="s">
        <v>8754</v>
      </c>
      <c r="C6961" s="5" t="str">
        <f>IFERROR(__xludf.DUMMYFUNCTION("GOOGLETRANSLATE(B6961,""en"",""es-ES"")"),"Una mujer con vestido azul toca una batería en un estudio.")</f>
        <v>Una mujer con vestido azul toca una batería en un estudio.</v>
      </c>
    </row>
    <row r="6962">
      <c r="A6962" s="4" t="s">
        <v>8755</v>
      </c>
      <c r="B6962" s="4" t="s">
        <v>8756</v>
      </c>
      <c r="C6962" s="5" t="str">
        <f>IFERROR(__xludf.DUMMYFUNCTION("GOOGLETRANSLATE(B6962,""en"",""es-ES"")"),"El video se abre con el host usando cinta de uñas púrpura para crear un patrón, aplicando lentamente y asegurándose de que sea recto.")</f>
        <v>El video se abre con el host usando cinta de uñas púrpura para crear un patrón, aplicando lentamente y asegurándose de que sea recto.</v>
      </c>
    </row>
    <row r="6963">
      <c r="A6963" s="4" t="s">
        <v>8755</v>
      </c>
      <c r="B6963" s="4" t="s">
        <v>8757</v>
      </c>
      <c r="C6963" s="5" t="str">
        <f>IFERROR(__xludf.DUMMYFUNCTION("GOOGLETRANSLATE(B6963,""en"",""es-ES"")"),"A continuación se aplica una capa mate sobre la uña y la cinta.")</f>
        <v>A continuación se aplica una capa mate sobre la uña y la cinta.</v>
      </c>
    </row>
    <row r="6964">
      <c r="A6964" s="4" t="s">
        <v>8755</v>
      </c>
      <c r="B6964" s="4" t="s">
        <v>8758</v>
      </c>
      <c r="C6964" s="5" t="str">
        <f>IFERROR(__xludf.DUMMYFUNCTION("GOOGLETRANSLATE(B6964,""en"",""es-ES"")"),"La cinta se despega suavemente de la uña, y se aplica una capa superior a la intersección de las líneas.")</f>
        <v>La cinta se despega suavemente de la uña, y se aplica una capa superior a la intersección de las líneas.</v>
      </c>
    </row>
    <row r="6965">
      <c r="A6965" s="4" t="s">
        <v>8755</v>
      </c>
      <c r="B6965" s="4" t="s">
        <v>8759</v>
      </c>
      <c r="C6965" s="5" t="str">
        <f>IFERROR(__xludf.DUMMYFUNCTION("GOOGLETRANSLATE(B6965,""en"",""es-ES"")"),"A continuación, se coloca un micro cuentas donde se encuentran las líneas.")</f>
        <v>A continuación, se coloca un micro cuentas donde se encuentran las líneas.</v>
      </c>
    </row>
    <row r="6966">
      <c r="A6966" s="4" t="s">
        <v>8755</v>
      </c>
      <c r="B6966" s="4" t="s">
        <v>8760</v>
      </c>
      <c r="C6966" s="5" t="str">
        <f>IFERROR(__xludf.DUMMYFUNCTION("GOOGLETRANSLATE(B6966,""en"",""es-ES"")"),"El siguiente proyecto de uñas presenta una uña y anfitrión pintados blancos hace dos C negras para imitar el logotipo de Chanel.")</f>
        <v>El siguiente proyecto de uñas presenta una uña y anfitrión pintados blancos hace dos C negras para imitar el logotipo de Chanel.</v>
      </c>
    </row>
    <row r="6967">
      <c r="A6967" s="4" t="s">
        <v>8755</v>
      </c>
      <c r="B6967" s="4" t="s">
        <v>8761</v>
      </c>
      <c r="C6967" s="5" t="str">
        <f>IFERROR(__xludf.DUMMYFUNCTION("GOOGLETRANSLATE(B6967,""en"",""es-ES"")"),"Poco a poco, el logotipo se hace más audaz con más aplicación.")</f>
        <v>Poco a poco, el logotipo se hace más audaz con más aplicación.</v>
      </c>
    </row>
    <row r="6968">
      <c r="A6968" s="4" t="s">
        <v>8755</v>
      </c>
      <c r="B6968" s="4" t="s">
        <v>8762</v>
      </c>
      <c r="C6968" s="5" t="str">
        <f>IFERROR(__xludf.DUMMYFUNCTION("GOOGLETRANSLATE(B6968,""en"",""es-ES"")"),"Finalmente, se aplica una capa superior mate para terminarlo.")</f>
        <v>Finalmente, se aplica una capa superior mate para terminarlo.</v>
      </c>
    </row>
    <row r="6969">
      <c r="A6969" s="4" t="s">
        <v>8763</v>
      </c>
      <c r="B6969" s="4" t="s">
        <v>8764</v>
      </c>
      <c r="C6969" s="5" t="str">
        <f>IFERROR(__xludf.DUMMYFUNCTION("GOOGLETRANSLATE(B6969,""en"",""es-ES"")"),"Un trapeador se encuentra en posición vertical junto a un cubo.")</f>
        <v>Un trapeador se encuentra en posición vertical junto a un cubo.</v>
      </c>
    </row>
    <row r="6970">
      <c r="A6970" s="4" t="s">
        <v>8763</v>
      </c>
      <c r="B6970" s="4" t="s">
        <v>8765</v>
      </c>
      <c r="C6970" s="5" t="str">
        <f>IFERROR(__xludf.DUMMYFUNCTION("GOOGLETRANSLATE(B6970,""en"",""es-ES"")"),"Una persona absorbe toda el agua de un tazón con un trapeador.")</f>
        <v>Una persona absorbe toda el agua de un tazón con un trapeador.</v>
      </c>
    </row>
    <row r="6971">
      <c r="A6971" s="4" t="s">
        <v>8763</v>
      </c>
      <c r="B6971" s="4" t="s">
        <v>8766</v>
      </c>
      <c r="C6971" s="5" t="str">
        <f>IFERROR(__xludf.DUMMYFUNCTION("GOOGLETRANSLATE(B6971,""en"",""es-ES"")"),"El agua se vierte en un cubo grande.")</f>
        <v>El agua se vierte en un cubo grande.</v>
      </c>
    </row>
    <row r="6972">
      <c r="A6972" s="4" t="s">
        <v>8763</v>
      </c>
      <c r="B6972" s="4" t="s">
        <v>8767</v>
      </c>
      <c r="C6972" s="5" t="str">
        <f>IFERROR(__xludf.DUMMYFUNCTION("GOOGLETRANSLATE(B6972,""en"",""es-ES"")"),"El trapeador se sumergió en el cubo de agua y luego se seca en la bandeja.")</f>
        <v>El trapeador se sumergió en el cubo de agua y luego se seca en la bandeja.</v>
      </c>
    </row>
    <row r="6973">
      <c r="A6973" s="4" t="s">
        <v>8763</v>
      </c>
      <c r="B6973" s="4" t="s">
        <v>8768</v>
      </c>
      <c r="C6973" s="5" t="str">
        <f>IFERROR(__xludf.DUMMYFUNCTION("GOOGLETRANSLATE(B6973,""en"",""es-ES"")"),"Una zona sucia de un piso de madera se limpia limpia.")</f>
        <v>Una zona sucia de un piso de madera se limpia limpia.</v>
      </c>
    </row>
    <row r="6974">
      <c r="A6974" s="4" t="s">
        <v>8763</v>
      </c>
      <c r="B6974" s="4" t="s">
        <v>8769</v>
      </c>
      <c r="C6974" s="5" t="str">
        <f>IFERROR(__xludf.DUMMYFUNCTION("GOOGLETRANSLATE(B6974,""en"",""es-ES"")"),"Se usa un trapeador alrededor de varios muebles y electrodomésticos para entrar en las esquinas de las habitaciones.")</f>
        <v>Se usa un trapeador alrededor de varios muebles y electrodomésticos para entrar en las esquinas de las habitaciones.</v>
      </c>
    </row>
    <row r="6975">
      <c r="A6975" s="4" t="s">
        <v>8770</v>
      </c>
      <c r="B6975" s="4" t="s">
        <v>8771</v>
      </c>
      <c r="C6975" s="5" t="str">
        <f>IFERROR(__xludf.DUMMYFUNCTION("GOOGLETRANSLATE(B6975,""en"",""es-ES"")"),"Se ve a un chef hablando con la cámara y lo lleva a su tabla seguido de masa cortada.")</f>
        <v>Se ve a un chef hablando con la cámara y lo lleva a su tabla seguido de masa cortada.</v>
      </c>
    </row>
    <row r="6976">
      <c r="A6976" s="4" t="s">
        <v>8770</v>
      </c>
      <c r="B6976" s="4" t="s">
        <v>8772</v>
      </c>
      <c r="C6976" s="5" t="str">
        <f>IFERROR(__xludf.DUMMYFUNCTION("GOOGLETRANSLATE(B6976,""en"",""es-ES"")"),"El hombre pelea las piezas de masa con una máquina y las pone planas para extender la masa.")</f>
        <v>El hombre pelea las piezas de masa con una máquina y las pone planas para extender la masa.</v>
      </c>
    </row>
    <row r="6977">
      <c r="A6977" s="4" t="s">
        <v>8770</v>
      </c>
      <c r="B6977" s="4" t="s">
        <v>8773</v>
      </c>
      <c r="C6977" s="5" t="str">
        <f>IFERROR(__xludf.DUMMYFUNCTION("GOOGLETRANSLATE(B6977,""en"",""es-ES"")"),"El hombre luego extiende la masa aplanada y muestra su pasta terminada.")</f>
        <v>El hombre luego extiende la masa aplanada y muestra su pasta terminada.</v>
      </c>
    </row>
    <row r="6978">
      <c r="A6978" s="4" t="s">
        <v>8774</v>
      </c>
      <c r="B6978" s="4" t="s">
        <v>8775</v>
      </c>
      <c r="C6978" s="5" t="str">
        <f>IFERROR(__xludf.DUMMYFUNCTION("GOOGLETRANSLATE(B6978,""en"",""es-ES"")"),"Este video muestra a personas que participan en el Campeonato Mundial de la Punta Artística.")</f>
        <v>Este video muestra a personas que participan en el Campeonato Mundial de la Punta Artística.</v>
      </c>
    </row>
    <row r="6979">
      <c r="A6979" s="4" t="s">
        <v>8774</v>
      </c>
      <c r="B6979" s="4" t="s">
        <v>8776</v>
      </c>
      <c r="C6979" s="5" t="str">
        <f>IFERROR(__xludf.DUMMYFUNCTION("GOOGLETRANSLATE(B6979,""en"",""es-ES"")"),"La música suave, pero el suspenso se reproduce a lo largo de todo el video mientras las personas disparan bolas de billar en los agujeros por sí mismas.")</f>
        <v>La música suave, pero el suspenso se reproduce a lo largo de todo el video mientras las personas disparan bolas de billar en los agujeros por sí mismas.</v>
      </c>
    </row>
    <row r="6980">
      <c r="A6980" s="4" t="s">
        <v>8774</v>
      </c>
      <c r="B6980" s="4" t="s">
        <v>8777</v>
      </c>
      <c r="C6980" s="5" t="str">
        <f>IFERROR(__xludf.DUMMYFUNCTION("GOOGLETRANSLATE(B6980,""en"",""es-ES"")"),"No todos están participando, algunas personas solo están mirando y otras están caminando por otras razones.")</f>
        <v>No todos están participando, algunas personas solo están mirando y otras están caminando por otras razones.</v>
      </c>
    </row>
    <row r="6981">
      <c r="A6981" s="4" t="s">
        <v>8778</v>
      </c>
      <c r="B6981" s="4" t="s">
        <v>8779</v>
      </c>
      <c r="C6981" s="5" t="str">
        <f>IFERROR(__xludf.DUMMYFUNCTION("GOOGLETRANSLATE(B6981,""en"",""es-ES"")"),"Una mujer está sentada en una silla tejiendo.")</f>
        <v>Una mujer está sentada en una silla tejiendo.</v>
      </c>
    </row>
    <row r="6982">
      <c r="A6982" s="4" t="s">
        <v>8778</v>
      </c>
      <c r="B6982" s="4" t="s">
        <v>8780</v>
      </c>
      <c r="C6982" s="5" t="str">
        <f>IFERROR(__xludf.DUMMYFUNCTION("GOOGLETRANSLATE(B6982,""en"",""es-ES"")"),"Ella mira hacia arriba y habla con alguien.")</f>
        <v>Ella mira hacia arriba y habla con alguien.</v>
      </c>
    </row>
    <row r="6983">
      <c r="A6983" s="4" t="s">
        <v>8778</v>
      </c>
      <c r="B6983" s="4" t="s">
        <v>8781</v>
      </c>
      <c r="C6983" s="5" t="str">
        <f>IFERROR(__xludf.DUMMYFUNCTION("GOOGLETRANSLATE(B6983,""en"",""es-ES"")"),"Ella continúa tejiendo en sus manos.")</f>
        <v>Ella continúa tejiendo en sus manos.</v>
      </c>
    </row>
    <row r="6984">
      <c r="A6984" s="4" t="s">
        <v>8782</v>
      </c>
      <c r="B6984" s="4" t="s">
        <v>3561</v>
      </c>
      <c r="C6984" s="5" t="str">
        <f>IFERROR(__xludf.DUMMYFUNCTION("GOOGLETRANSLATE(B6984,""en"",""es-ES"")"),"Se muestran los créditos de un clip.")</f>
        <v>Se muestran los créditos de un clip.</v>
      </c>
    </row>
    <row r="6985">
      <c r="A6985" s="4" t="s">
        <v>8782</v>
      </c>
      <c r="B6985" s="4" t="s">
        <v>8783</v>
      </c>
      <c r="C6985" s="5" t="str">
        <f>IFERROR(__xludf.DUMMYFUNCTION("GOOGLETRANSLATE(B6985,""en"",""es-ES"")"),"Una persona ciela y se desliza en una plataforma.")</f>
        <v>Una persona ciela y se desliza en una plataforma.</v>
      </c>
    </row>
    <row r="6986">
      <c r="A6986" s="4" t="s">
        <v>8782</v>
      </c>
      <c r="B6986" s="4" t="s">
        <v>8784</v>
      </c>
      <c r="C6986" s="5" t="str">
        <f>IFERROR(__xludf.DUMMYFUNCTION("GOOGLETRANSLATE(B6986,""en"",""es-ES"")"),"Una persona cae sobre el hielo.")</f>
        <v>Una persona cae sobre el hielo.</v>
      </c>
    </row>
    <row r="6987">
      <c r="A6987" s="4" t="s">
        <v>8782</v>
      </c>
      <c r="B6987" s="4" t="s">
        <v>8785</v>
      </c>
      <c r="C6987" s="5" t="str">
        <f>IFERROR(__xludf.DUMMYFUNCTION("GOOGLETRANSLATE(B6987,""en"",""es-ES"")"),"Una persona ciela y hace volteas.")</f>
        <v>Una persona ciela y hace volteas.</v>
      </c>
    </row>
    <row r="6988">
      <c r="A6988" s="4" t="s">
        <v>8782</v>
      </c>
      <c r="B6988" s="4" t="s">
        <v>8786</v>
      </c>
      <c r="C6988" s="5" t="str">
        <f>IFERROR(__xludf.DUMMYFUNCTION("GOOGLETRANSLATE(B6988,""en"",""es-ES"")"),"Una persona pone su mano enguantada sobre la cámara.")</f>
        <v>Una persona pone su mano enguantada sobre la cámara.</v>
      </c>
    </row>
    <row r="6989">
      <c r="A6989" s="4" t="s">
        <v>8782</v>
      </c>
      <c r="B6989" s="4" t="s">
        <v>573</v>
      </c>
      <c r="C6989" s="5" t="str">
        <f>IFERROR(__xludf.DUMMYFUNCTION("GOOGLETRANSLATE(B6989,""en"",""es-ES"")"),"Se muestran los créditos del video.")</f>
        <v>Se muestran los créditos del video.</v>
      </c>
    </row>
    <row r="6990">
      <c r="A6990" s="4" t="s">
        <v>8787</v>
      </c>
      <c r="B6990" s="4" t="s">
        <v>8788</v>
      </c>
      <c r="C6990" s="5" t="str">
        <f>IFERROR(__xludf.DUMMYFUNCTION("GOOGLETRANSLATE(B6990,""en"",""es-ES"")"),"Se ve a un comediante hablando con la cámara y conduce a un toro que se encuentra con un pozo y varios clips de hombres luchando contra toros.")</f>
        <v>Se ve a un comediante hablando con la cámara y conduce a un toro que se encuentra con un pozo y varios clips de hombres luchando contra toros.</v>
      </c>
    </row>
    <row r="6991">
      <c r="A6991" s="4" t="s">
        <v>8787</v>
      </c>
      <c r="B6991" s="4" t="s">
        <v>8789</v>
      </c>
      <c r="C6991" s="5" t="str">
        <f>IFERROR(__xludf.DUMMYFUNCTION("GOOGLETRANSLATE(B6991,""en"",""es-ES"")"),"Se muestra un primer plano de la pelea de toros y se vuelve con el comediante que habla con la cámara.")</f>
        <v>Se muestra un primer plano de la pelea de toros y se vuelve con el comediante que habla con la cámara.</v>
      </c>
    </row>
    <row r="6992">
      <c r="A6992" s="4" t="s">
        <v>8790</v>
      </c>
      <c r="B6992" s="4" t="s">
        <v>8791</v>
      </c>
      <c r="C6992" s="5" t="str">
        <f>IFERROR(__xludf.DUMMYFUNCTION("GOOGLETRANSLATE(B6992,""en"",""es-ES"")"),"Se ve a dos personas paradas en el fondo de una colina nevada hablando entre sí cuando una persona se pone en un tubo.")</f>
        <v>Se ve a dos personas paradas en el fondo de una colina nevada hablando entre sí cuando una persona se pone en un tubo.</v>
      </c>
    </row>
    <row r="6993">
      <c r="A6993" s="4" t="s">
        <v>8790</v>
      </c>
      <c r="B6993" s="4" t="s">
        <v>8792</v>
      </c>
      <c r="C6993" s="5" t="str">
        <f>IFERROR(__xludf.DUMMYFUNCTION("GOOGLETRANSLATE(B6993,""en"",""es-ES"")"),"Se ve a más personas volando por la montaña con uno chocando contra otro y la persona que sale para arrastrar los tubos.")</f>
        <v>Se ve a más personas volando por la montaña con uno chocando contra otro y la persona que sale para arrastrar los tubos.</v>
      </c>
    </row>
    <row r="6994">
      <c r="A6994" s="4" t="s">
        <v>8793</v>
      </c>
      <c r="B6994" s="4" t="s">
        <v>8794</v>
      </c>
      <c r="C6994" s="5" t="str">
        <f>IFERROR(__xludf.DUMMYFUNCTION("GOOGLETRANSLATE(B6994,""en"",""es-ES"")"),"Una mujer está hablando dentro de una oficina a la cámara mientras muestra el lenguaje de señas.")</f>
        <v>Una mujer está hablando dentro de una oficina a la cámara mientras muestra el lenguaje de señas.</v>
      </c>
    </row>
    <row r="6995">
      <c r="A6995" s="4" t="s">
        <v>8793</v>
      </c>
      <c r="B6995" s="4" t="s">
        <v>8795</v>
      </c>
      <c r="C6995" s="5" t="str">
        <f>IFERROR(__xludf.DUMMYFUNCTION("GOOGLETRANSLATE(B6995,""en"",""es-ES"")"),"Aparecen dos manos, lo que demuestra varios letreros que indican el juego de roca, papel y tijeras.")</f>
        <v>Aparecen dos manos, lo que demuestra varios letreros que indican el juego de roca, papel y tijeras.</v>
      </c>
    </row>
    <row r="6996">
      <c r="A6996" s="4" t="s">
        <v>8793</v>
      </c>
      <c r="B6996" s="4" t="s">
        <v>8796</v>
      </c>
      <c r="C6996" s="5" t="str">
        <f>IFERROR(__xludf.DUMMYFUNCTION("GOOGLETRANSLATE(B6996,""en"",""es-ES"")"),"La mujer continúa hablando del juego, luego muestra varios clips de varias personas que usan el juego para ganar o tomar decisiones.")</f>
        <v>La mujer continúa hablando del juego, luego muestra varios clips de varias personas que usan el juego para ganar o tomar decisiones.</v>
      </c>
    </row>
    <row r="6997">
      <c r="A6997" s="4" t="s">
        <v>8793</v>
      </c>
      <c r="B6997" s="4" t="s">
        <v>8797</v>
      </c>
      <c r="C6997" s="5" t="str">
        <f>IFERROR(__xludf.DUMMYFUNCTION("GOOGLETRANSLATE(B6997,""en"",""es-ES"")"),"Corta un artículo sobre trucos para ganar el juego antes de concluir con la mujer que habla la última vez.")</f>
        <v>Corta un artículo sobre trucos para ganar el juego antes de concluir con la mujer que habla la última vez.</v>
      </c>
    </row>
    <row r="6998">
      <c r="A6998" s="4" t="s">
        <v>8798</v>
      </c>
      <c r="B6998" s="4" t="s">
        <v>8799</v>
      </c>
      <c r="C6998" s="5" t="str">
        <f>IFERROR(__xludf.DUMMYFUNCTION("GOOGLETRANSLATE(B6998,""en"",""es-ES"")"),"Una imagen muestra una bolsa de M&amp;M y una bolsa de maltereros que se suspenden en el aire, que aparece para verter sobre un pastel.")</f>
        <v>Una imagen muestra una bolsa de M&amp;M y una bolsa de maltereros que se suspenden en el aire, que aparece para verter sobre un pastel.</v>
      </c>
    </row>
    <row r="6999">
      <c r="A6999" s="4" t="s">
        <v>8798</v>
      </c>
      <c r="B6999" s="4" t="s">
        <v>8800</v>
      </c>
      <c r="C6999" s="5" t="str">
        <f>IFERROR(__xludf.DUMMYFUNCTION("GOOGLETRANSLATE(B6999,""en"",""es-ES"")"),"Una mujer hornea un pastel redondo, glaseándolo y lo rodea con barras de chocolate.")</f>
        <v>Una mujer hornea un pastel redondo, glaseándolo y lo rodea con barras de chocolate.</v>
      </c>
    </row>
    <row r="7000">
      <c r="A7000" s="4" t="s">
        <v>8798</v>
      </c>
      <c r="B7000" s="4" t="s">
        <v>8801</v>
      </c>
      <c r="C7000" s="5" t="str">
        <f>IFERROR(__xludf.DUMMYFUNCTION("GOOGLETRANSLATE(B7000,""en"",""es-ES"")"),"Luego vierte malteses y M&amp;M en tazones.")</f>
        <v>Luego vierte malteses y M&amp;M en tazones.</v>
      </c>
    </row>
    <row r="7001">
      <c r="A7001" s="4" t="s">
        <v>8798</v>
      </c>
      <c r="B7001" s="4" t="s">
        <v>8802</v>
      </c>
      <c r="C7001" s="5" t="str">
        <f>IFERROR(__xludf.DUMMYFUNCTION("GOOGLETRANSLATE(B7001,""en"",""es-ES"")"),"Ella prepara las bolsas, haciéndolas verse bien antes de rociar los dulces en la parte superior del pastel, cubriéndolo por completo.")</f>
        <v>Ella prepara las bolsas, haciéndolas verse bien antes de rociar los dulces en la parte superior del pastel, cubriéndolo por completo.</v>
      </c>
    </row>
    <row r="7002">
      <c r="A7002" s="4" t="s">
        <v>8798</v>
      </c>
      <c r="B7002" s="4" t="s">
        <v>8803</v>
      </c>
      <c r="C7002" s="5" t="str">
        <f>IFERROR(__xludf.DUMMYFUNCTION("GOOGLETRANSLATE(B7002,""en"",""es-ES"")"),"Luego coloca palitos en el pastel y corre glaseando los lados de los atascados antes de adherir a los velos a los palos.")</f>
        <v>Luego coloca palitos en el pastel y corre glaseando los lados de los atascados antes de adherir a los velos a los palos.</v>
      </c>
    </row>
    <row r="7003">
      <c r="A7003" s="4" t="s">
        <v>8798</v>
      </c>
      <c r="B7003" s="4" t="s">
        <v>8804</v>
      </c>
      <c r="C7003" s="5" t="str">
        <f>IFERROR(__xludf.DUMMYFUNCTION("GOOGLETRANSLATE(B7003,""en"",""es-ES"")"),"Luego equilibra las bolsas sobre los palos.")</f>
        <v>Luego equilibra las bolsas sobre los palos.</v>
      </c>
    </row>
    <row r="7004">
      <c r="A7004" s="4" t="s">
        <v>8805</v>
      </c>
      <c r="B7004" s="4" t="s">
        <v>8806</v>
      </c>
      <c r="C7004" s="5" t="str">
        <f>IFERROR(__xludf.DUMMYFUNCTION("GOOGLETRANSLATE(B7004,""en"",""es-ES"")"),"Varias personas se están preparando para jugar voleibol en la playa.")</f>
        <v>Varias personas se están preparando para jugar voleibol en la playa.</v>
      </c>
    </row>
    <row r="7005">
      <c r="A7005" s="4" t="s">
        <v>8805</v>
      </c>
      <c r="B7005" s="4" t="s">
        <v>8807</v>
      </c>
      <c r="C7005" s="5" t="str">
        <f>IFERROR(__xludf.DUMMYFUNCTION("GOOGLETRANSLATE(B7005,""en"",""es-ES"")"),"La cámara se aleja y la gente comienza a jugar el juego, lanzando la pelota de un lado a otro.")</f>
        <v>La cámara se aleja y la gente comienza a jugar el juego, lanzando la pelota de un lado a otro.</v>
      </c>
    </row>
    <row r="7006">
      <c r="A7006" s="4" t="s">
        <v>8808</v>
      </c>
      <c r="B7006" s="4" t="s">
        <v>8809</v>
      </c>
      <c r="C7006" s="5" t="str">
        <f>IFERROR(__xludf.DUMMYFUNCTION("GOOGLETRANSLATE(B7006,""en"",""es-ES"")"),"Se ve a un hombre de pie ante un seto que se sostiene en una herramienta.")</f>
        <v>Se ve a un hombre de pie ante un seto que se sostiene en una herramienta.</v>
      </c>
    </row>
    <row r="7007">
      <c r="A7007" s="4" t="s">
        <v>8808</v>
      </c>
      <c r="B7007" s="4" t="s">
        <v>8810</v>
      </c>
      <c r="C7007" s="5" t="str">
        <f>IFERROR(__xludf.DUMMYFUNCTION("GOOGLETRANSLATE(B7007,""en"",""es-ES"")"),"El hombre usa la herramienta a lo largo del seto mientras recorta la parte superior.")</f>
        <v>El hombre usa la herramienta a lo largo del seto mientras recorta la parte superior.</v>
      </c>
    </row>
    <row r="7008">
      <c r="A7008" s="4" t="s">
        <v>8808</v>
      </c>
      <c r="B7008" s="4" t="s">
        <v>8811</v>
      </c>
      <c r="C7008" s="5" t="str">
        <f>IFERROR(__xludf.DUMMYFUNCTION("GOOGLETRANSLATE(B7008,""en"",""es-ES"")"),"Continúa empujando la herramienta sobre el seto mientras se aleja de la cámara.")</f>
        <v>Continúa empujando la herramienta sobre el seto mientras se aleja de la cámara.</v>
      </c>
    </row>
    <row r="7009">
      <c r="A7009" s="4" t="s">
        <v>8812</v>
      </c>
      <c r="B7009" s="4" t="s">
        <v>8813</v>
      </c>
      <c r="C7009" s="5" t="str">
        <f>IFERROR(__xludf.DUMMYFUNCTION("GOOGLETRANSLATE(B7009,""en"",""es-ES"")"),"Se ve a un gran grupo de personas montando en autos de parachoques y que se topan entre sí.")</f>
        <v>Se ve a un gran grupo de personas montando en autos de parachoques y que se topan entre sí.</v>
      </c>
    </row>
    <row r="7010">
      <c r="A7010" s="4" t="s">
        <v>8812</v>
      </c>
      <c r="B7010" s="4" t="s">
        <v>8814</v>
      </c>
      <c r="C7010" s="5" t="str">
        <f>IFERROR(__xludf.DUMMYFUNCTION("GOOGLETRANSLATE(B7010,""en"",""es-ES"")"),"La gente continúa chocando entre sí mientras se ríen y comienzan a salir del auto.")</f>
        <v>La gente continúa chocando entre sí mientras se ríen y comienzan a salir del auto.</v>
      </c>
    </row>
    <row r="7011">
      <c r="A7011" s="4" t="s">
        <v>8815</v>
      </c>
      <c r="B7011" s="4" t="s">
        <v>8816</v>
      </c>
      <c r="C7011" s="5" t="str">
        <f>IFERROR(__xludf.DUMMYFUNCTION("GOOGLETRANSLATE(B7011,""en"",""es-ES"")"),"Dos hombres son sumo luchando en un anillo.")</f>
        <v>Dos hombres son sumo luchando en un anillo.</v>
      </c>
    </row>
    <row r="7012">
      <c r="A7012" s="4" t="s">
        <v>8815</v>
      </c>
      <c r="B7012" s="4" t="s">
        <v>8817</v>
      </c>
      <c r="C7012" s="5" t="str">
        <f>IFERROR(__xludf.DUMMYFUNCTION("GOOGLETRANSLATE(B7012,""en"",""es-ES"")"),"Un hombre con una bata está de pie detrás de ellos.")</f>
        <v>Un hombre con una bata está de pie detrás de ellos.</v>
      </c>
    </row>
    <row r="7013">
      <c r="A7013" s="4" t="s">
        <v>8815</v>
      </c>
      <c r="B7013" s="4" t="s">
        <v>8818</v>
      </c>
      <c r="C7013" s="5" t="str">
        <f>IFERROR(__xludf.DUMMYFUNCTION("GOOGLETRANSLATE(B7013,""en"",""es-ES"")"),"Un hombre tropieza y cae en la audiencia.")</f>
        <v>Un hombre tropieza y cae en la audiencia.</v>
      </c>
    </row>
    <row r="7014">
      <c r="A7014" s="4" t="s">
        <v>8819</v>
      </c>
      <c r="B7014" s="4" t="s">
        <v>8820</v>
      </c>
      <c r="C7014" s="5" t="str">
        <f>IFERROR(__xludf.DUMMYFUNCTION("GOOGLETRANSLATE(B7014,""en"",""es-ES"")"),"Un grupo de hombres juega croquet en un gran campo cubierto de hierba en un evento social al aire libre.")</f>
        <v>Un grupo de hombres juega croquet en un gran campo cubierto de hierba en un evento social al aire libre.</v>
      </c>
    </row>
    <row r="7015">
      <c r="A7015" s="4" t="s">
        <v>8819</v>
      </c>
      <c r="B7015" s="4" t="s">
        <v>8821</v>
      </c>
      <c r="C7015" s="5" t="str">
        <f>IFERROR(__xludf.DUMMYFUNCTION("GOOGLETRANSLATE(B7015,""en"",""es-ES"")"),"Los hombres comienzan a jugar croquet con un hombre haciendo una referencia sexual con el palo de croquet mientras la gente camina sobre la hierba.")</f>
        <v>Los hombres comienzan a jugar croquet con un hombre haciendo una referencia sexual con el palo de croquet mientras la gente camina sobre la hierba.</v>
      </c>
    </row>
    <row r="7016">
      <c r="A7016" s="4" t="s">
        <v>8819</v>
      </c>
      <c r="B7016" s="4" t="s">
        <v>8822</v>
      </c>
      <c r="C7016" s="5" t="str">
        <f>IFERROR(__xludf.DUMMYFUNCTION("GOOGLETRANSLATE(B7016,""en"",""es-ES"")"),"El grupo de hombres está acompañado por espectadores a medida que continúan maniobrando la pelota de croquet con sus mazos.")</f>
        <v>El grupo de hombres está acompañado por espectadores a medida que continúan maniobrando la pelota de croquet con sus mazos.</v>
      </c>
    </row>
    <row r="7017">
      <c r="A7017" s="4" t="s">
        <v>8819</v>
      </c>
      <c r="B7017" s="4" t="s">
        <v>8823</v>
      </c>
      <c r="C7017" s="5" t="str">
        <f>IFERROR(__xludf.DUMMYFUNCTION("GOOGLETRANSLATE(B7017,""en"",""es-ES"")"),"Un gol de croquet se logra en la hierba por un jugador con zapatos marrones y un pantalón azul en el clip final.")</f>
        <v>Un gol de croquet se logra en la hierba por un jugador con zapatos marrones y un pantalón azul en el clip final.</v>
      </c>
    </row>
    <row r="7018">
      <c r="A7018" s="4" t="s">
        <v>8824</v>
      </c>
      <c r="B7018" s="4" t="s">
        <v>8825</v>
      </c>
      <c r="C7018" s="5" t="str">
        <f>IFERROR(__xludf.DUMMYFUNCTION("GOOGLETRANSLATE(B7018,""en"",""es-ES"")"),"Se muestra una cinta de medición de cerca.")</f>
        <v>Se muestra una cinta de medición de cerca.</v>
      </c>
    </row>
    <row r="7019">
      <c r="A7019" s="4" t="s">
        <v>8824</v>
      </c>
      <c r="B7019" s="4" t="s">
        <v>8826</v>
      </c>
      <c r="C7019" s="5" t="str">
        <f>IFERROR(__xludf.DUMMYFUNCTION("GOOGLETRANSLATE(B7019,""en"",""es-ES"")"),"Vemos a una persona de pista prepararse para correr.")</f>
        <v>Vemos a una persona de pista prepararse para correr.</v>
      </c>
    </row>
    <row r="7020">
      <c r="A7020" s="4" t="s">
        <v>8824</v>
      </c>
      <c r="B7020" s="4" t="s">
        <v>8827</v>
      </c>
      <c r="C7020" s="5" t="str">
        <f>IFERROR(__xludf.DUMMYFUNCTION("GOOGLETRANSLATE(B7020,""en"",""es-ES"")"),"Corre, dando un gran salto a la arena, aterrizando en el número 18.")</f>
        <v>Corre, dando un gran salto a la arena, aterrizando en el número 18.</v>
      </c>
    </row>
    <row r="7021">
      <c r="A7021" s="4" t="s">
        <v>8828</v>
      </c>
      <c r="B7021" s="4" t="s">
        <v>8829</v>
      </c>
      <c r="C7021" s="5" t="str">
        <f>IFERROR(__xludf.DUMMYFUNCTION("GOOGLETRANSLATE(B7021,""en"",""es-ES"")"),"Se muestran varios clips de personas saludando a la cámara y miran a las personas montando bicicletas.")</f>
        <v>Se muestran varios clips de personas saludando a la cámara y miran a las personas montando bicicletas.</v>
      </c>
    </row>
    <row r="7022">
      <c r="A7022" s="4" t="s">
        <v>8828</v>
      </c>
      <c r="B7022" s="4" t="s">
        <v>8830</v>
      </c>
      <c r="C7022" s="5" t="str">
        <f>IFERROR(__xludf.DUMMYFUNCTION("GOOGLETRANSLATE(B7022,""en"",""es-ES"")"),"Muchas personas se muestran cabalgando en bicicletas alrededor de una pista larga y la cámara panorámica.")</f>
        <v>Muchas personas se muestran cabalgando en bicicletas alrededor de una pista larga y la cámara panorámica.</v>
      </c>
    </row>
    <row r="7023">
      <c r="A7023" s="4" t="s">
        <v>8831</v>
      </c>
      <c r="B7023" s="4" t="s">
        <v>8832</v>
      </c>
      <c r="C7023" s="5" t="str">
        <f>IFERROR(__xludf.DUMMYFUNCTION("GOOGLETRANSLATE(B7023,""en"",""es-ES"")"),"Una señora se sienta en una bañera y se frota las piernas con agua mientras usa un guante exfoliante.")</f>
        <v>Una señora se sienta en una bañera y se frota las piernas con agua mientras usa un guante exfoliante.</v>
      </c>
    </row>
    <row r="7024">
      <c r="A7024" s="4" t="s">
        <v>8831</v>
      </c>
      <c r="B7024" s="4" t="s">
        <v>8833</v>
      </c>
      <c r="C7024" s="5" t="str">
        <f>IFERROR(__xludf.DUMMYFUNCTION("GOOGLETRANSLATE(B7024,""en"",""es-ES"")"),"La cámara se aleja y vemos que es un set con equipo de cámara.")</f>
        <v>La cámara se aleja y vemos que es un set con equipo de cámara.</v>
      </c>
    </row>
    <row r="7025">
      <c r="A7025" s="4" t="s">
        <v>8831</v>
      </c>
      <c r="B7025" s="4" t="s">
        <v>8834</v>
      </c>
      <c r="C7025" s="5" t="str">
        <f>IFERROR(__xludf.DUMMYFUNCTION("GOOGLETRANSLATE(B7025,""en"",""es-ES"")"),"La señora luego se afeita las piernas con una rasuradora eléctrica.")</f>
        <v>La señora luego se afeita las piernas con una rasuradora eléctrica.</v>
      </c>
    </row>
    <row r="7026">
      <c r="A7026" s="4" t="s">
        <v>8831</v>
      </c>
      <c r="B7026" s="4" t="s">
        <v>8835</v>
      </c>
      <c r="C7026" s="5" t="str">
        <f>IFERROR(__xludf.DUMMYFUNCTION("GOOGLETRANSLATE(B7026,""en"",""es-ES"")"),"Vemos a la señora sonreír y continuamos afeitándose las piernas.")</f>
        <v>Vemos a la señora sonreír y continuamos afeitándose las piernas.</v>
      </c>
    </row>
    <row r="7027">
      <c r="A7027" s="4" t="s">
        <v>8836</v>
      </c>
      <c r="B7027" s="4" t="s">
        <v>8837</v>
      </c>
      <c r="C7027" s="5" t="str">
        <f>IFERROR(__xludf.DUMMYFUNCTION("GOOGLETRANSLATE(B7027,""en"",""es-ES"")"),"Se muestra a un hombre hablando con la cámara mientras camina lentamente al campo con un grupo de jugadores.")</f>
        <v>Se muestra a un hombre hablando con la cámara mientras camina lentamente al campo con un grupo de jugadores.</v>
      </c>
    </row>
    <row r="7028">
      <c r="A7028" s="4" t="s">
        <v>8836</v>
      </c>
      <c r="B7028" s="4" t="s">
        <v>8838</v>
      </c>
      <c r="C7028" s="5" t="str">
        <f>IFERROR(__xludf.DUMMYFUNCTION("GOOGLETRANSLATE(B7028,""en"",""es-ES"")"),"Se muestran varios jugadores uno a uno con varios disparos de estadio y ciudades se muestran.")</f>
        <v>Se muestran varios jugadores uno a uno con varios disparos de estadio y ciudades se muestran.</v>
      </c>
    </row>
    <row r="7029">
      <c r="A7029" s="4" t="s">
        <v>8836</v>
      </c>
      <c r="B7029" s="4" t="s">
        <v>8839</v>
      </c>
      <c r="C7029" s="5" t="str">
        <f>IFERROR(__xludf.DUMMYFUNCTION("GOOGLETRANSLATE(B7029,""en"",""es-ES"")"),"Los atletas se preparan para el partido y se muestran en el campo.")</f>
        <v>Los atletas se preparan para el partido y se muestran en el campo.</v>
      </c>
    </row>
    <row r="7030">
      <c r="A7030" s="4" t="s">
        <v>8836</v>
      </c>
      <c r="B7030" s="4" t="s">
        <v>8840</v>
      </c>
      <c r="C7030" s="5" t="str">
        <f>IFERROR(__xludf.DUMMYFUNCTION("GOOGLETRANSLATE(B7030,""en"",""es-ES"")"),"Los hombres animan cuando marcan un gol y se sientan en el banco después de estar cansados.")</f>
        <v>Los hombres animan cuando marcan un gol y se sientan en el banco después de estar cansados.</v>
      </c>
    </row>
    <row r="7031">
      <c r="A7031" s="4" t="s">
        <v>8836</v>
      </c>
      <c r="B7031" s="4" t="s">
        <v>8841</v>
      </c>
      <c r="C7031" s="5" t="str">
        <f>IFERROR(__xludf.DUMMYFUNCTION("GOOGLETRANSLATE(B7031,""en"",""es-ES"")"),"Corren por estadios y hablan con la cámara sobre ser un atleta profesional.")</f>
        <v>Corren por estadios y hablan con la cámara sobre ser un atleta profesional.</v>
      </c>
    </row>
    <row r="7032">
      <c r="A7032" s="4" t="s">
        <v>8842</v>
      </c>
      <c r="B7032" s="4" t="s">
        <v>8843</v>
      </c>
      <c r="C7032" s="5" t="str">
        <f>IFERROR(__xludf.DUMMYFUNCTION("GOOGLETRANSLATE(B7032,""en"",""es-ES"")"),"Hay una mujer en su cocina que demuestra cómo usar Astra Clean Composite Fregader, rocía el fregadero de la cocina con la botella de Quirt Astra Clean y luego usa un cepillo para fregar el fregadero.")</f>
        <v>Hay una mujer en su cocina que demuestra cómo usar Astra Clean Composite Fregader, rocía el fregadero de la cocina con la botella de Quirt Astra Clean y luego usa un cepillo para fregar el fregadero.</v>
      </c>
    </row>
    <row r="7033">
      <c r="A7033" s="4" t="s">
        <v>8842</v>
      </c>
      <c r="B7033" s="4" t="s">
        <v>8844</v>
      </c>
      <c r="C7033" s="5" t="str">
        <f>IFERROR(__xludf.DUMMYFUNCTION("GOOGLETRANSLATE(B7033,""en"",""es-ES"")"),"Después de que termina, se ve impresionada con el fregadero de cocina brillante.")</f>
        <v>Después de que termina, se ve impresionada con el fregadero de cocina brillante.</v>
      </c>
    </row>
    <row r="7034">
      <c r="A7034" s="4" t="s">
        <v>8842</v>
      </c>
      <c r="B7034" s="4" t="s">
        <v>8845</v>
      </c>
      <c r="C7034" s="5" t="str">
        <f>IFERROR(__xludf.DUMMYFUNCTION("GOOGLETRANSLATE(B7034,""en"",""es-ES"")"),"Ella pone la botella en el fregadero y se aleja.")</f>
        <v>Ella pone la botella en el fregadero y se aleja.</v>
      </c>
    </row>
    <row r="7035">
      <c r="A7035" s="4" t="s">
        <v>8846</v>
      </c>
      <c r="B7035" s="4" t="s">
        <v>8847</v>
      </c>
      <c r="C7035" s="5" t="str">
        <f>IFERROR(__xludf.DUMMYFUNCTION("GOOGLETRANSLATE(B7035,""en"",""es-ES"")"),"El hombre con delantal negro está cepillando el mostrador.")</f>
        <v>El hombre con delantal negro está cepillando el mostrador.</v>
      </c>
    </row>
    <row r="7036">
      <c r="A7036" s="4" t="s">
        <v>8846</v>
      </c>
      <c r="B7036" s="4" t="s">
        <v>8848</v>
      </c>
      <c r="C7036" s="5" t="str">
        <f>IFERROR(__xludf.DUMMYFUNCTION("GOOGLETRANSLATE(B7036,""en"",""es-ES"")"),"El hombre en el delantal suaviza el tablero de esquí, luego se quitó el polvo.")</f>
        <v>El hombre en el delantal suaviza el tablero de esquí, luego se quitó el polvo.</v>
      </c>
    </row>
    <row r="7037">
      <c r="A7037" s="4" t="s">
        <v>8846</v>
      </c>
      <c r="B7037" s="4" t="s">
        <v>8849</v>
      </c>
      <c r="C7037" s="5" t="str">
        <f>IFERROR(__xludf.DUMMYFUNCTION("GOOGLETRANSLATE(B7037,""en"",""es-ES"")"),"El hombre puso esmalte en el tablero y continúa raspando y cepillando el tablero.")</f>
        <v>El hombre puso esmalte en el tablero y continúa raspando y cepillando el tablero.</v>
      </c>
    </row>
    <row r="7038">
      <c r="A7038" s="4" t="s">
        <v>8850</v>
      </c>
      <c r="B7038" s="4" t="s">
        <v>8851</v>
      </c>
      <c r="C7038" s="5" t="str">
        <f>IFERROR(__xludf.DUMMYFUNCTION("GOOGLETRANSLATE(B7038,""en"",""es-ES"")"),"Una introducción conduce a varios clips de una persona que montaba por una colina nevada en una tabla de snowboard.")</f>
        <v>Una introducción conduce a varios clips de una persona que montaba por una colina nevada en una tabla de snowboard.</v>
      </c>
    </row>
    <row r="7039">
      <c r="A7039" s="4" t="s">
        <v>8850</v>
      </c>
      <c r="B7039" s="4" t="s">
        <v>8852</v>
      </c>
      <c r="C7039" s="5" t="str">
        <f>IFERROR(__xludf.DUMMYFUNCTION("GOOGLETRANSLATE(B7039,""en"",""es-ES"")"),"La persona continúa atravesando la nieve y cayendo en un punto, pero limpiando sus gafas y hablando con otros.")</f>
        <v>La persona continúa atravesando la nieve y cayendo en un punto, pero limpiando sus gafas y hablando con otros.</v>
      </c>
    </row>
    <row r="7040">
      <c r="A7040" s="4" t="s">
        <v>8853</v>
      </c>
      <c r="B7040" s="4" t="s">
        <v>8854</v>
      </c>
      <c r="C7040" s="5" t="str">
        <f>IFERROR(__xludf.DUMMYFUNCTION("GOOGLETRANSLATE(B7040,""en"",""es-ES"")"),"Se muestra un gran patio con hojas colocadas en el frente y un hombre que habla con la cámara.")</f>
        <v>Se muestra un gran patio con hojas colocadas en el frente y un hombre que habla con la cámara.</v>
      </c>
    </row>
    <row r="7041">
      <c r="A7041" s="4" t="s">
        <v>8853</v>
      </c>
      <c r="B7041" s="4" t="s">
        <v>8855</v>
      </c>
      <c r="C7041" s="5" t="str">
        <f>IFERROR(__xludf.DUMMYFUNCTION("GOOGLETRANSLATE(B7041,""en"",""es-ES"")"),"El hombre empuja las hojas alrededor del patio.")</f>
        <v>El hombre empuja las hojas alrededor del patio.</v>
      </c>
    </row>
    <row r="7042">
      <c r="A7042" s="4" t="s">
        <v>8853</v>
      </c>
      <c r="B7042" s="4" t="s">
        <v>8856</v>
      </c>
      <c r="C7042" s="5" t="str">
        <f>IFERROR(__xludf.DUMMYFUNCTION("GOOGLETRANSLATE(B7042,""en"",""es-ES"")"),"El hombre levanta las hojas y habla con la cámara.")</f>
        <v>El hombre levanta las hojas y habla con la cámara.</v>
      </c>
    </row>
    <row r="7043">
      <c r="A7043" s="4" t="s">
        <v>8857</v>
      </c>
      <c r="B7043" s="4" t="s">
        <v>8858</v>
      </c>
      <c r="C7043" s="5" t="str">
        <f>IFERROR(__xludf.DUMMYFUNCTION("GOOGLETRANSLATE(B7043,""en"",""es-ES"")"),"La persona en un costo de perro está caminando en el exterior de una casa nevada.")</f>
        <v>La persona en un costo de perro está caminando en el exterior de una casa nevada.</v>
      </c>
    </row>
    <row r="7044">
      <c r="A7044" s="4" t="s">
        <v>8857</v>
      </c>
      <c r="B7044" s="4" t="s">
        <v>8859</v>
      </c>
      <c r="C7044" s="5" t="str">
        <f>IFERROR(__xludf.DUMMYFUNCTION("GOOGLETRANSLATE(B7044,""en"",""es-ES"")"),"persona en el disfraz y cruza la calle hasta un automóvil.")</f>
        <v>persona en el disfraz y cruza la calle hasta un automóvil.</v>
      </c>
    </row>
    <row r="7045">
      <c r="A7045" s="4" t="s">
        <v>8857</v>
      </c>
      <c r="B7045" s="4" t="s">
        <v>8860</v>
      </c>
      <c r="C7045" s="5" t="str">
        <f>IFERROR(__xludf.DUMMYFUNCTION("GOOGLETRANSLATE(B7045,""en"",""es-ES"")"),"El hombre, la limpieza, nevó desde la ventana del conductor y de la ventana trasera.")</f>
        <v>El hombre, la limpieza, nevó desde la ventana del conductor y de la ventana trasera.</v>
      </c>
    </row>
    <row r="7046">
      <c r="A7046" s="4" t="s">
        <v>8861</v>
      </c>
      <c r="B7046" s="4" t="s">
        <v>8862</v>
      </c>
      <c r="C7046" s="5" t="str">
        <f>IFERROR(__xludf.DUMMYFUNCTION("GOOGLETRANSLATE(B7046,""en"",""es-ES"")"),"Una persona está parada en la parte superior de una tabla de buceo alto.")</f>
        <v>Una persona está parada en la parte superior de una tabla de buceo alto.</v>
      </c>
    </row>
    <row r="7047">
      <c r="A7047" s="4" t="s">
        <v>8861</v>
      </c>
      <c r="B7047" s="4" t="s">
        <v>8863</v>
      </c>
      <c r="C7047" s="5" t="str">
        <f>IFERROR(__xludf.DUMMYFUNCTION("GOOGLETRANSLATE(B7047,""en"",""es-ES"")"),"Saltan y se voltean al agua.")</f>
        <v>Saltan y se voltean al agua.</v>
      </c>
    </row>
    <row r="7048">
      <c r="A7048" s="4" t="s">
        <v>8861</v>
      </c>
      <c r="B7048" s="4" t="s">
        <v>8864</v>
      </c>
      <c r="C7048" s="5" t="str">
        <f>IFERROR(__xludf.DUMMYFUNCTION("GOOGLETRANSLATE(B7048,""en"",""es-ES"")"),"La multitud observa a la persona bucear.")</f>
        <v>La multitud observa a la persona bucear.</v>
      </c>
    </row>
    <row r="7049">
      <c r="A7049" s="4" t="s">
        <v>8865</v>
      </c>
      <c r="B7049" s="4" t="s">
        <v>8866</v>
      </c>
      <c r="C7049" s="5" t="str">
        <f>IFERROR(__xludf.DUMMYFUNCTION("GOOGLETRANSLATE(B7049,""en"",""es-ES"")"),"Se ve a un hombre sentado en un caballo y cabalgando en un pozo que balancea una cuerda.")</f>
        <v>Se ve a un hombre sentado en un caballo y cabalgando en un pozo que balancea una cuerda.</v>
      </c>
    </row>
    <row r="7050">
      <c r="A7050" s="4" t="s">
        <v>8865</v>
      </c>
      <c r="B7050" s="4" t="s">
        <v>8867</v>
      </c>
      <c r="C7050" s="5" t="str">
        <f>IFERROR(__xludf.DUMMYFUNCTION("GOOGLETRANSLATE(B7050,""en"",""es-ES"")"),"El hombre arroja la cuerda a una pantorrilla y salta del caballo.")</f>
        <v>El hombre arroja la cuerda a una pantorrilla y salta del caballo.</v>
      </c>
    </row>
    <row r="7051">
      <c r="A7051" s="4" t="s">
        <v>8865</v>
      </c>
      <c r="B7051" s="4" t="s">
        <v>8868</v>
      </c>
      <c r="C7051" s="5" t="str">
        <f>IFERROR(__xludf.DUMMYFUNCTION("GOOGLETRANSLATE(B7051,""en"",""es-ES"")"),"Él ata la pantorrilla y termina corriendo de regreso al caballo.")</f>
        <v>Él ata la pantorrilla y termina corriendo de regreso al caballo.</v>
      </c>
    </row>
    <row r="7052">
      <c r="A7052" s="4" t="s">
        <v>8869</v>
      </c>
      <c r="B7052" s="4" t="s">
        <v>8870</v>
      </c>
      <c r="C7052" s="5" t="str">
        <f>IFERROR(__xludf.DUMMYFUNCTION("GOOGLETRANSLATE(B7052,""en"",""es-ES"")"),"Se ve una vista del campo en múltiples imágenes, incluidos edificios, árboles, campos y flores cerca del océano.")</f>
        <v>Se ve una vista del campo en múltiples imágenes, incluidos edificios, árboles, campos y flores cerca del océano.</v>
      </c>
    </row>
    <row r="7053">
      <c r="A7053" s="4" t="s">
        <v>8869</v>
      </c>
      <c r="B7053" s="4" t="s">
        <v>8871</v>
      </c>
      <c r="C7053" s="5" t="str">
        <f>IFERROR(__xludf.DUMMYFUNCTION("GOOGLETRANSLATE(B7053,""en"",""es-ES"")"),"A un hombre se le muestra la montaña subiendo por el costado de un acantilado.")</f>
        <v>A un hombre se le muestra la montaña subiendo por el costado de un acantilado.</v>
      </c>
    </row>
    <row r="7054">
      <c r="A7054" s="4" t="s">
        <v>8872</v>
      </c>
      <c r="B7054" s="4" t="s">
        <v>8873</v>
      </c>
      <c r="C7054" s="5" t="str">
        <f>IFERROR(__xludf.DUMMYFUNCTION("GOOGLETRANSLATE(B7054,""en"",""es-ES"")"),"El hombre está limpiando el piso en una lavandería.")</f>
        <v>El hombre está limpiando el piso en una lavandería.</v>
      </c>
    </row>
    <row r="7055">
      <c r="A7055" s="4" t="s">
        <v>8872</v>
      </c>
      <c r="B7055" s="4" t="s">
        <v>8874</v>
      </c>
      <c r="C7055" s="5" t="str">
        <f>IFERROR(__xludf.DUMMYFUNCTION("GOOGLETRANSLATE(B7055,""en"",""es-ES"")"),"El hombre exprime el trapeador en un cubo.")</f>
        <v>El hombre exprime el trapeador en un cubo.</v>
      </c>
    </row>
    <row r="7056">
      <c r="A7056" s="4" t="s">
        <v>8875</v>
      </c>
      <c r="B7056" s="4" t="s">
        <v>8876</v>
      </c>
      <c r="C7056" s="5" t="str">
        <f>IFERROR(__xludf.DUMMYFUNCTION("GOOGLETRANSLATE(B7056,""en"",""es-ES"")"),"Una mujer muestra a una niña para girar un mango, luego, la niña pelea una naranja girando el mango de la máquina.")</f>
        <v>Una mujer muestra a una niña para girar un mango, luego, la niña pelea una naranja girando el mango de la máquina.</v>
      </c>
    </row>
    <row r="7057">
      <c r="A7057" s="4" t="s">
        <v>8875</v>
      </c>
      <c r="B7057" s="4" t="s">
        <v>8877</v>
      </c>
      <c r="C7057" s="5" t="str">
        <f>IFERROR(__xludf.DUMMYFUNCTION("GOOGLETRANSLATE(B7057,""en"",""es-ES"")"),"El mango se atasca y la mujer intenta ayudar a la niña.")</f>
        <v>El mango se atasca y la mujer intenta ayudar a la niña.</v>
      </c>
    </row>
    <row r="7058">
      <c r="A7058" s="4" t="s">
        <v>8875</v>
      </c>
      <c r="B7058" s="4" t="s">
        <v>8878</v>
      </c>
      <c r="C7058" s="5" t="str">
        <f>IFERROR(__xludf.DUMMYFUNCTION("GOOGLETRANSLATE(B7058,""en"",""es-ES"")"),"Después, la niña continúa girando el mango para pelar la naranja.")</f>
        <v>Después, la niña continúa girando el mango para pelar la naranja.</v>
      </c>
    </row>
    <row r="7059">
      <c r="A7059" s="4" t="s">
        <v>8879</v>
      </c>
      <c r="B7059" s="4" t="s">
        <v>8880</v>
      </c>
      <c r="C7059" s="5" t="str">
        <f>IFERROR(__xludf.DUMMYFUNCTION("GOOGLETRANSLATE(B7059,""en"",""es-ES"")"),"Se ve a un gran grupo de personas corriendo alrededor de un campo jugando un juego entre sí mientras la cámara se desplaza por el área.")</f>
        <v>Se ve a un gran grupo de personas corriendo alrededor de un campo jugando un juego entre sí mientras la cámara se desplaza por el área.</v>
      </c>
    </row>
    <row r="7060">
      <c r="A7060" s="4" t="s">
        <v>8879</v>
      </c>
      <c r="B7060" s="4" t="s">
        <v>8881</v>
      </c>
      <c r="C7060" s="5" t="str">
        <f>IFERROR(__xludf.DUMMYFUNCTION("GOOGLETRANSLATE(B7060,""en"",""es-ES"")"),"Los juegos continúan mientras las personas animan a los costados y los hombres continúan jugando entre ellos.")</f>
        <v>Los juegos continúan mientras las personas animan a los costados y los hombres continúan jugando entre ellos.</v>
      </c>
    </row>
    <row r="7061">
      <c r="A7061" s="4" t="s">
        <v>8882</v>
      </c>
      <c r="B7061" s="4" t="s">
        <v>8883</v>
      </c>
      <c r="C7061" s="5" t="str">
        <f>IFERROR(__xludf.DUMMYFUNCTION("GOOGLETRANSLATE(B7061,""en"",""es-ES"")"),"La gente montando camellos en la arena, el camello se arrodilla y el hombre y la mujer caen.")</f>
        <v>La gente montando camellos en la arena, el camello se arrodilla y el hombre y la mujer caen.</v>
      </c>
    </row>
    <row r="7062">
      <c r="A7062" s="4" t="s">
        <v>8882</v>
      </c>
      <c r="B7062" s="4" t="s">
        <v>8884</v>
      </c>
      <c r="C7062" s="5" t="str">
        <f>IFERROR(__xludf.DUMMYFUNCTION("GOOGLETRANSLATE(B7062,""en"",""es-ES"")"),"El camello en la parte posterior se arrodilla y la gente se cae en la parte de atrás hay autos y personas que caminan en el estacionamiento y toman fotos.")</f>
        <v>El camello en la parte posterior se arrodilla y la gente se cae en la parte de atrás hay autos y personas que caminan en el estacionamiento y toman fotos.</v>
      </c>
    </row>
    <row r="7063">
      <c r="A7063" s="4" t="s">
        <v>8882</v>
      </c>
      <c r="B7063" s="4" t="s">
        <v>8885</v>
      </c>
      <c r="C7063" s="5" t="str">
        <f>IFERROR(__xludf.DUMMYFUNCTION("GOOGLETRANSLATE(B7063,""en"",""es-ES"")"),"Los hombres van de camello y el camello se pone de pie.")</f>
        <v>Los hombres van de camello y el camello se pone de pie.</v>
      </c>
    </row>
    <row r="7064">
      <c r="A7064" s="4" t="s">
        <v>8886</v>
      </c>
      <c r="B7064" s="4" t="s">
        <v>8887</v>
      </c>
      <c r="C7064" s="5" t="str">
        <f>IFERROR(__xludf.DUMMYFUNCTION("GOOGLETRANSLATE(B7064,""en"",""es-ES"")"),"Un hombre está subiendo por una montaña tratando de encontrar los lugares correctos para levantarse.")</f>
        <v>Un hombre está subiendo por una montaña tratando de encontrar los lugares correctos para levantarse.</v>
      </c>
    </row>
    <row r="7065">
      <c r="A7065" s="4" t="s">
        <v>8886</v>
      </c>
      <c r="B7065" s="4" t="s">
        <v>8888</v>
      </c>
      <c r="C7065" s="5" t="str">
        <f>IFERROR(__xludf.DUMMYFUNCTION("GOOGLETRANSLATE(B7065,""en"",""es-ES"")"),"Encuentra un buen lugar para colgar su cuerda en la montaña y comienza a subir de nuevo.")</f>
        <v>Encuentra un buen lugar para colgar su cuerda en la montaña y comienza a subir de nuevo.</v>
      </c>
    </row>
    <row r="7066">
      <c r="A7066" s="4" t="s">
        <v>8886</v>
      </c>
      <c r="B7066" s="4" t="s">
        <v>8889</v>
      </c>
      <c r="C7066" s="5" t="str">
        <f>IFERROR(__xludf.DUMMYFUNCTION("GOOGLETRANSLATE(B7066,""en"",""es-ES"")"),"Decide moverlo un poco más a un lugar mejor.")</f>
        <v>Decide moverlo un poco más a un lugar mejor.</v>
      </c>
    </row>
    <row r="7067">
      <c r="A7067" s="4" t="s">
        <v>8886</v>
      </c>
      <c r="B7067" s="4" t="s">
        <v>8890</v>
      </c>
      <c r="C7067" s="5" t="str">
        <f>IFERROR(__xludf.DUMMYFUNCTION("GOOGLETRANSLATE(B7067,""en"",""es-ES"")"),"Luego, comienza a subir de nuevo a luchar un poco antes de finalmente llegar al lugar difícil.")</f>
        <v>Luego, comienza a subir de nuevo a luchar un poco antes de finalmente llegar al lugar difícil.</v>
      </c>
    </row>
    <row r="7068">
      <c r="A7068" s="4" t="s">
        <v>8891</v>
      </c>
      <c r="B7068" s="4" t="s">
        <v>8892</v>
      </c>
      <c r="C7068" s="5" t="str">
        <f>IFERROR(__xludf.DUMMYFUNCTION("GOOGLETRANSLATE(B7068,""en"",""es-ES"")"),"Un hombre con una camisa negra y guantes blancos coloca bolas de billar en una mesa de billar.")</f>
        <v>Un hombre con una camisa negra y guantes blancos coloca bolas de billar en una mesa de billar.</v>
      </c>
    </row>
    <row r="7069">
      <c r="A7069" s="4" t="s">
        <v>8891</v>
      </c>
      <c r="B7069" s="4" t="s">
        <v>8893</v>
      </c>
      <c r="C7069" s="5" t="str">
        <f>IFERROR(__xludf.DUMMYFUNCTION("GOOGLETRANSLATE(B7069,""en"",""es-ES"")"),"Un hombre con una camisa azul claro inspecciona la posición de las bolas de billar de cerca.")</f>
        <v>Un hombre con una camisa azul claro inspecciona la posición de las bolas de billar de cerca.</v>
      </c>
    </row>
    <row r="7070">
      <c r="A7070" s="4" t="s">
        <v>8891</v>
      </c>
      <c r="B7070" s="4" t="s">
        <v>8894</v>
      </c>
      <c r="C7070" s="5" t="str">
        <f>IFERROR(__xludf.DUMMYFUNCTION("GOOGLETRANSLATE(B7070,""en"",""es-ES"")"),"El hombre de la camisa azul claro se pone en posición con la señal y rompe las bolas de billar y las bolas van en muchas direcciones.")</f>
        <v>El hombre de la camisa azul claro se pone en posición con la señal y rompe las bolas de billar y las bolas van en muchas direcciones.</v>
      </c>
    </row>
    <row r="7071">
      <c r="A7071" s="4" t="s">
        <v>8891</v>
      </c>
      <c r="B7071" s="4" t="s">
        <v>8895</v>
      </c>
      <c r="C7071" s="5" t="str">
        <f>IFERROR(__xludf.DUMMYFUNCTION("GOOGLETRANSLATE(B7071,""en"",""es-ES"")"),"El hombre de la camisa negra regresa e inspecciona la mesa y luego retrocede.")</f>
        <v>El hombre de la camisa negra regresa e inspecciona la mesa y luego retrocede.</v>
      </c>
    </row>
    <row r="7072">
      <c r="A7072" s="4" t="s">
        <v>8891</v>
      </c>
      <c r="B7072" s="4" t="s">
        <v>8896</v>
      </c>
      <c r="C7072" s="5" t="str">
        <f>IFERROR(__xludf.DUMMYFUNCTION("GOOGLETRANSLATE(B7072,""en"",""es-ES"")"),"El hombre de la camisa azul claro se prepara para su próximo disparo caminando de un lado de la mesa del billar al otro buscando su próximo disparo.")</f>
        <v>El hombre de la camisa azul claro se prepara para su próximo disparo caminando de un lado de la mesa del billar al otro buscando su próximo disparo.</v>
      </c>
    </row>
    <row r="7073">
      <c r="A7073" s="4" t="s">
        <v>8891</v>
      </c>
      <c r="B7073" s="4" t="s">
        <v>8897</v>
      </c>
      <c r="C7073" s="5" t="str">
        <f>IFERROR(__xludf.DUMMYFUNCTION("GOOGLETRANSLATE(B7073,""en"",""es-ES"")"),"Él atribuye la punta del palo de señal antes de tomar su tiro.")</f>
        <v>Él atribuye la punta del palo de señal antes de tomar su tiro.</v>
      </c>
    </row>
    <row r="7074">
      <c r="A7074" s="4" t="s">
        <v>8891</v>
      </c>
      <c r="B7074" s="4" t="s">
        <v>8898</v>
      </c>
      <c r="C7074" s="5" t="str">
        <f>IFERROR(__xludf.DUMMYFUNCTION("GOOGLETRANSLATE(B7074,""en"",""es-ES"")"),"Luego se prepara para su próximo disparo caminando por la mesa del billar.")</f>
        <v>Luego se prepara para su próximo disparo caminando por la mesa del billar.</v>
      </c>
    </row>
    <row r="7075">
      <c r="A7075" s="4" t="s">
        <v>8899</v>
      </c>
      <c r="B7075" s="4" t="s">
        <v>8900</v>
      </c>
      <c r="C7075" s="5" t="str">
        <f>IFERROR(__xludf.DUMMYFUNCTION("GOOGLETRANSLATE(B7075,""en"",""es-ES"")"),"El entrenador está entrenando a su equipo.")</f>
        <v>El entrenador está entrenando a su equipo.</v>
      </c>
    </row>
    <row r="7076">
      <c r="A7076" s="4" t="s">
        <v>8899</v>
      </c>
      <c r="B7076" s="4" t="s">
        <v>8901</v>
      </c>
      <c r="C7076" s="5" t="str">
        <f>IFERROR(__xludf.DUMMYFUNCTION("GOOGLETRANSLATE(B7076,""en"",""es-ES"")"),"El tipo en el negro en la parte de atrás se va.")</f>
        <v>El tipo en el negro en la parte de atrás se va.</v>
      </c>
    </row>
    <row r="7077">
      <c r="A7077" s="4" t="s">
        <v>8899</v>
      </c>
      <c r="B7077" s="4" t="s">
        <v>8902</v>
      </c>
      <c r="C7077" s="5" t="str">
        <f>IFERROR(__xludf.DUMMYFUNCTION("GOOGLETRANSLATE(B7077,""en"",""es-ES"")"),"El entrenador está hablando con los padres.")</f>
        <v>El entrenador está hablando con los padres.</v>
      </c>
    </row>
    <row r="7078">
      <c r="A7078" s="4" t="s">
        <v>8899</v>
      </c>
      <c r="B7078" s="4" t="s">
        <v>8903</v>
      </c>
      <c r="C7078" s="5" t="str">
        <f>IFERROR(__xludf.DUMMYFUNCTION("GOOGLETRANSLATE(B7078,""en"",""es-ES"")"),"Dos chicos nuevos llegan por la parte de atrás.")</f>
        <v>Dos chicos nuevos llegan por la parte de atrás.</v>
      </c>
    </row>
    <row r="7079">
      <c r="A7079" s="4" t="s">
        <v>8899</v>
      </c>
      <c r="B7079" s="4" t="s">
        <v>8904</v>
      </c>
      <c r="C7079" s="5" t="str">
        <f>IFERROR(__xludf.DUMMYFUNCTION("GOOGLETRANSLATE(B7079,""en"",""es-ES"")"),"El entrenador está en el campo con los equipos.")</f>
        <v>El entrenador está en el campo con los equipos.</v>
      </c>
    </row>
    <row r="7080">
      <c r="A7080" s="4" t="s">
        <v>8899</v>
      </c>
      <c r="B7080" s="4" t="s">
        <v>8905</v>
      </c>
      <c r="C7080" s="5" t="str">
        <f>IFERROR(__xludf.DUMMYFUNCTION("GOOGLETRANSLATE(B7080,""en"",""es-ES"")"),"El autobús amarillo pasa.")</f>
        <v>El autobús amarillo pasa.</v>
      </c>
    </row>
    <row r="7081">
      <c r="A7081" s="4" t="s">
        <v>8899</v>
      </c>
      <c r="B7081" s="4" t="s">
        <v>8906</v>
      </c>
      <c r="C7081" s="5" t="str">
        <f>IFERROR(__xludf.DUMMYFUNCTION("GOOGLETRANSLATE(B7081,""en"",""es-ES"")"),"El equipo rojo está escuchando al entrenador.")</f>
        <v>El equipo rojo está escuchando al entrenador.</v>
      </c>
    </row>
    <row r="7082">
      <c r="A7082" s="4" t="s">
        <v>8899</v>
      </c>
      <c r="B7082" s="4" t="s">
        <v>8907</v>
      </c>
      <c r="C7082" s="5" t="str">
        <f>IFERROR(__xludf.DUMMYFUNCTION("GOOGLETRANSLATE(B7082,""en"",""es-ES"")"),"Los niños están jugando el juego.")</f>
        <v>Los niños están jugando el juego.</v>
      </c>
    </row>
    <row r="7083">
      <c r="A7083" s="4" t="s">
        <v>8899</v>
      </c>
      <c r="B7083" s="4" t="s">
        <v>8908</v>
      </c>
      <c r="C7083" s="5" t="str">
        <f>IFERROR(__xludf.DUMMYFUNCTION("GOOGLETRANSLATE(B7083,""en"",""es-ES"")"),"Los niños están escuchando al entrenador.")</f>
        <v>Los niños están escuchando al entrenador.</v>
      </c>
    </row>
    <row r="7084">
      <c r="A7084" s="4" t="s">
        <v>8899</v>
      </c>
      <c r="B7084" s="4" t="s">
        <v>8909</v>
      </c>
      <c r="C7084" s="5" t="str">
        <f>IFERROR(__xludf.DUMMYFUNCTION("GOOGLETRANSLATE(B7084,""en"",""es-ES"")"),"El juego está en marcha de nuevo.")</f>
        <v>El juego está en marcha de nuevo.</v>
      </c>
    </row>
    <row r="7085">
      <c r="A7085" s="4" t="s">
        <v>8899</v>
      </c>
      <c r="B7085" s="4" t="s">
        <v>8910</v>
      </c>
      <c r="C7085" s="5" t="str">
        <f>IFERROR(__xludf.DUMMYFUNCTION("GOOGLETRANSLATE(B7085,""en"",""es-ES"")"),"Un autobús blanco pasa.")</f>
        <v>Un autobús blanco pasa.</v>
      </c>
    </row>
    <row r="7086">
      <c r="A7086" s="4" t="s">
        <v>8911</v>
      </c>
      <c r="B7086" s="4" t="s">
        <v>8912</v>
      </c>
      <c r="C7086" s="5" t="str">
        <f>IFERROR(__xludf.DUMMYFUNCTION("GOOGLETRANSLATE(B7086,""en"",""es-ES"")"),"La palabra surfista está en la pantalla.")</f>
        <v>La palabra surfista está en la pantalla.</v>
      </c>
    </row>
    <row r="7087">
      <c r="A7087" s="4" t="s">
        <v>8911</v>
      </c>
      <c r="B7087" s="4" t="s">
        <v>8913</v>
      </c>
      <c r="C7087" s="5" t="str">
        <f>IFERROR(__xludf.DUMMYFUNCTION("GOOGLETRANSLATE(B7087,""en"",""es-ES"")"),"Un surfista está llevando a la cámara.")</f>
        <v>Un surfista está llevando a la cámara.</v>
      </c>
    </row>
    <row r="7088">
      <c r="A7088" s="4" t="s">
        <v>8911</v>
      </c>
      <c r="B7088" s="4" t="s">
        <v>8914</v>
      </c>
      <c r="C7088" s="5" t="str">
        <f>IFERROR(__xludf.DUMMYFUNCTION("GOOGLETRANSLATE(B7088,""en"",""es-ES"")"),"Un surfista camina por la playa.")</f>
        <v>Un surfista camina por la playa.</v>
      </c>
    </row>
    <row r="7089">
      <c r="A7089" s="4" t="s">
        <v>8911</v>
      </c>
      <c r="B7089" s="4" t="s">
        <v>8915</v>
      </c>
      <c r="C7089" s="5" t="str">
        <f>IFERROR(__xludf.DUMMYFUNCTION("GOOGLETRANSLATE(B7089,""en"",""es-ES"")"),"Un hombre está surfeando en el agua mientras el hombre vuelve a tomar.")</f>
        <v>Un hombre está surfeando en el agua mientras el hombre vuelve a tomar.</v>
      </c>
    </row>
    <row r="7090">
      <c r="A7090" s="4" t="s">
        <v>8911</v>
      </c>
      <c r="B7090" s="4" t="s">
        <v>8916</v>
      </c>
      <c r="C7090" s="5" t="str">
        <f>IFERROR(__xludf.DUMMYFUNCTION("GOOGLETRANSLATE(B7090,""en"",""es-ES"")"),"Hay una multitud de surfistas en la isla.")</f>
        <v>Hay una multitud de surfistas en la isla.</v>
      </c>
    </row>
    <row r="7091">
      <c r="A7091" s="4" t="s">
        <v>8911</v>
      </c>
      <c r="B7091" s="4" t="s">
        <v>8917</v>
      </c>
      <c r="C7091" s="5" t="str">
        <f>IFERROR(__xludf.DUMMYFUNCTION("GOOGLETRANSLATE(B7091,""en"",""es-ES"")"),"Varios surfistas están en el agua y el hombre todavía está siendo entrevistado.")</f>
        <v>Varios surfistas están en el agua y el hombre todavía está siendo entrevistado.</v>
      </c>
    </row>
    <row r="7092">
      <c r="A7092" s="4" t="s">
        <v>8918</v>
      </c>
      <c r="B7092" s="4" t="s">
        <v>8919</v>
      </c>
      <c r="C7092" s="5" t="str">
        <f>IFERROR(__xludf.DUMMYFUNCTION("GOOGLETRANSLATE(B7092,""en"",""es-ES"")"),"Se ve a dos personas sentadas antes de una piscina de olas y una lleva a otra sobre el agua en un tablero.")</f>
        <v>Se ve a dos personas sentadas antes de una piscina de olas y una lleva a otra sobre el agua en un tablero.</v>
      </c>
    </row>
    <row r="7093">
      <c r="A7093" s="4" t="s">
        <v>8918</v>
      </c>
      <c r="B7093" s="4" t="s">
        <v>8920</v>
      </c>
      <c r="C7093" s="5" t="str">
        <f>IFERROR(__xludf.DUMMYFUNCTION("GOOGLETRANSLATE(B7093,""en"",""es-ES"")"),"La persona cae cuando otra intenta montar el tablero en el agua.")</f>
        <v>La persona cae cuando otra intenta montar el tablero en el agua.</v>
      </c>
    </row>
    <row r="7094">
      <c r="A7094" s="4" t="s">
        <v>8918</v>
      </c>
      <c r="B7094" s="4" t="s">
        <v>8921</v>
      </c>
      <c r="C7094" s="5" t="str">
        <f>IFERROR(__xludf.DUMMYFUNCTION("GOOGLETRANSLATE(B7094,""en"",""es-ES"")"),"La persona continúa viajando a lo largo del agua y termina con la cámara que se pone en pan alrededor del área y el niño cae.")</f>
        <v>La persona continúa viajando a lo largo del agua y termina con la cámara que se pone en pan alrededor del área y el niño cae.</v>
      </c>
    </row>
    <row r="7095">
      <c r="A7095" s="4" t="s">
        <v>8922</v>
      </c>
      <c r="B7095" s="4" t="s">
        <v>8923</v>
      </c>
      <c r="C7095" s="5" t="str">
        <f>IFERROR(__xludf.DUMMYFUNCTION("GOOGLETRANSLATE(B7095,""en"",""es-ES"")"),"Varias parejas se muestran corriendo afuera y haciendo varias actividades afuera al sol.")</f>
        <v>Varias parejas se muestran corriendo afuera y haciendo varias actividades afuera al sol.</v>
      </c>
    </row>
    <row r="7096">
      <c r="A7096" s="4" t="s">
        <v>8922</v>
      </c>
      <c r="B7096" s="4" t="s">
        <v>8924</v>
      </c>
      <c r="C7096" s="5" t="str">
        <f>IFERROR(__xludf.DUMMYFUNCTION("GOOGLETRANSLATE(B7096,""en"",""es-ES"")"),"Cada vez más personas comienzan a hablar y cada una de ellas tiene una botella de pantalla solar y comienza a arrojarla en sus brazos en un esfuerzo por proteger su piel.")</f>
        <v>Cada vez más personas comienzan a hablar y cada una de ellas tiene una botella de pantalla solar y comienza a arrojarla en sus brazos en un esfuerzo por proteger su piel.</v>
      </c>
    </row>
    <row r="7097">
      <c r="A7097" s="4" t="s">
        <v>8922</v>
      </c>
      <c r="B7097" s="4" t="s">
        <v>8925</v>
      </c>
      <c r="C7097" s="5" t="str">
        <f>IFERROR(__xludf.DUMMYFUNCTION("GOOGLETRANSLATE(B7097,""en"",""es-ES"")"),"Luego se muestra una pequeña botella azul de la pantalla solar y varias personas más comienzan a hablar sobre el producto.")</f>
        <v>Luego se muestra una pequeña botella azul de la pantalla solar y varias personas más comienzan a hablar sobre el producto.</v>
      </c>
    </row>
    <row r="7098">
      <c r="A7098" s="4" t="s">
        <v>8922</v>
      </c>
      <c r="B7098" s="4" t="s">
        <v>8926</v>
      </c>
      <c r="C7098" s="5" t="str">
        <f>IFERROR(__xludf.DUMMYFUNCTION("GOOGLETRANSLATE(B7098,""en"",""es-ES"")"),"El sitio web para comprar el producto se muestra y todo el video se reproduce nuevamente como si estuviera en bucle.")</f>
        <v>El sitio web para comprar el producto se muestra y todo el video se reproduce nuevamente como si estuviera en bucle.</v>
      </c>
    </row>
    <row r="7099">
      <c r="A7099" s="4" t="s">
        <v>8927</v>
      </c>
      <c r="B7099" s="4" t="s">
        <v>8928</v>
      </c>
      <c r="C7099" s="5" t="str">
        <f>IFERROR(__xludf.DUMMYFUNCTION("GOOGLETRANSLATE(B7099,""en"",""es-ES"")"),"Un niño sostiene un plato matorral mientras habla.")</f>
        <v>Un niño sostiene un plato matorral mientras habla.</v>
      </c>
    </row>
    <row r="7100">
      <c r="A7100" s="4" t="s">
        <v>8927</v>
      </c>
      <c r="B7100" s="4" t="s">
        <v>8929</v>
      </c>
      <c r="C7100" s="5" t="str">
        <f>IFERROR(__xludf.DUMMYFUNCTION("GOOGLETRANSLATE(B7100,""en"",""es-ES"")"),"Se vuelve hacia el fregadero detrás de él donde hay platos sentados en el agua.")</f>
        <v>Se vuelve hacia el fregadero detrás de él donde hay platos sentados en el agua.</v>
      </c>
    </row>
    <row r="7101">
      <c r="A7101" s="4" t="s">
        <v>8927</v>
      </c>
      <c r="B7101" s="4" t="s">
        <v>8930</v>
      </c>
      <c r="C7101" s="5" t="str">
        <f>IFERROR(__xludf.DUMMYFUNCTION("GOOGLETRANSLATE(B7101,""en"",""es-ES"")"),"Deja caer el exfoliante en el fregadero y coloca un vaso hacia abajo.")</f>
        <v>Deja caer el exfoliante en el fregadero y coloca un vaso hacia abajo.</v>
      </c>
    </row>
    <row r="7102">
      <c r="A7102" s="4" t="s">
        <v>8927</v>
      </c>
      <c r="B7102" s="4" t="s">
        <v>8931</v>
      </c>
      <c r="C7102" s="5" t="str">
        <f>IFERROR(__xludf.DUMMYFUNCTION("GOOGLETRANSLATE(B7102,""en"",""es-ES"")"),"Agarra una toalla y limpia el vaso y se mueve para fregar el vidrio también.")</f>
        <v>Agarra una toalla y limpia el vaso y se mueve para fregar el vidrio también.</v>
      </c>
    </row>
    <row r="7103">
      <c r="A7103" s="4" t="s">
        <v>8927</v>
      </c>
      <c r="B7103" s="4" t="s">
        <v>8932</v>
      </c>
      <c r="C7103" s="5" t="str">
        <f>IFERROR(__xludf.DUMMYFUNCTION("GOOGLETRANSLATE(B7103,""en"",""es-ES"")"),"Él baja el exfoliante y agarra el vaso para colocarlo en el lado derecho del fregadero donde se gana el vidrio y lo guarda en la rejilla.")</f>
        <v>Él baja el exfoliante y agarra el vaso para colocarlo en el lado derecho del fregadero donde se gana el vidrio y lo guarda en la rejilla.</v>
      </c>
    </row>
    <row r="7104">
      <c r="A7104" s="4" t="s">
        <v>8927</v>
      </c>
      <c r="B7104" s="4" t="s">
        <v>8933</v>
      </c>
      <c r="C7104" s="5" t="str">
        <f>IFERROR(__xludf.DUMMYFUNCTION("GOOGLETRANSLATE(B7104,""en"",""es-ES"")"),"Se mueve para agarrar la toalla y limpiar un plato.")</f>
        <v>Se mueve para agarrar la toalla y limpiar un plato.</v>
      </c>
    </row>
    <row r="7105">
      <c r="A7105" s="4" t="s">
        <v>8927</v>
      </c>
      <c r="B7105" s="4" t="s">
        <v>8934</v>
      </c>
      <c r="C7105" s="5" t="str">
        <f>IFERROR(__xludf.DUMMYFUNCTION("GOOGLETRANSLATE(B7105,""en"",""es-ES"")"),"Empaba el plato en agua y lo mueve al estante de platos.")</f>
        <v>Empaba el plato en agua y lo mueve al estante de platos.</v>
      </c>
    </row>
    <row r="7106">
      <c r="A7106" s="4" t="s">
        <v>8927</v>
      </c>
      <c r="B7106" s="4" t="s">
        <v>8935</v>
      </c>
      <c r="C7106" s="5" t="str">
        <f>IFERROR(__xludf.DUMMYFUNCTION("GOOGLETRANSLATE(B7106,""en"",""es-ES"")"),"Regresa para usar la toalla y limpiar un cuchillo.")</f>
        <v>Regresa para usar la toalla y limpiar un cuchillo.</v>
      </c>
    </row>
    <row r="7107">
      <c r="A7107" s="4" t="s">
        <v>8927</v>
      </c>
      <c r="B7107" s="4" t="s">
        <v>8936</v>
      </c>
      <c r="C7107" s="5" t="str">
        <f>IFERROR(__xludf.DUMMYFUNCTION("GOOGLETRANSLATE(B7107,""en"",""es-ES"")"),"Empaba el cuchillo en el agua y lo mueve al estante de platos, el niño regresa para limpiar un tenedor con la toalla.")</f>
        <v>Empaba el cuchillo en el agua y lo mueve al estante de platos, el niño regresa para limpiar un tenedor con la toalla.</v>
      </c>
    </row>
    <row r="7108">
      <c r="A7108" s="4" t="s">
        <v>8927</v>
      </c>
      <c r="B7108" s="4" t="s">
        <v>8937</v>
      </c>
      <c r="C7108" s="5" t="str">
        <f>IFERROR(__xludf.DUMMYFUNCTION("GOOGLETRANSLATE(B7108,""en"",""es-ES"")"),"Mueve el tenedor al agua para enjuagar el jabón.")</f>
        <v>Mueve el tenedor al agua para enjuagar el jabón.</v>
      </c>
    </row>
    <row r="7109">
      <c r="A7109" s="4" t="s">
        <v>8927</v>
      </c>
      <c r="B7109" s="4" t="s">
        <v>8938</v>
      </c>
      <c r="C7109" s="5" t="str">
        <f>IFERROR(__xludf.DUMMYFUNCTION("GOOGLETRANSLATE(B7109,""en"",""es-ES"")"),"El joven se para frente a la cámara, hablando.")</f>
        <v>El joven se para frente a la cámara, hablando.</v>
      </c>
    </row>
    <row r="7110">
      <c r="A7110" s="4" t="s">
        <v>8939</v>
      </c>
      <c r="B7110" s="4" t="s">
        <v>8940</v>
      </c>
      <c r="C7110" s="5" t="str">
        <f>IFERROR(__xludf.DUMMYFUNCTION("GOOGLETRANSLATE(B7110,""en"",""es-ES"")"),"Se ve a un hombre grabando a una niña pequeña que está teniendo su cabello peinado por una mujer de pie detrás de ella.")</f>
        <v>Se ve a un hombre grabando a una niña pequeña que está teniendo su cabello peinado por una mujer de pie detrás de ella.</v>
      </c>
    </row>
    <row r="7111">
      <c r="A7111" s="4" t="s">
        <v>8939</v>
      </c>
      <c r="B7111" s="4" t="s">
        <v>8941</v>
      </c>
      <c r="C7111" s="5" t="str">
        <f>IFERROR(__xludf.DUMMYFUNCTION("GOOGLETRANSLATE(B7111,""en"",""es-ES"")"),"Varias personas y niños miran a un lado y la mujer pone el cabello de las chicas en colas de caballo.")</f>
        <v>Varias personas y niños miran a un lado y la mujer pone el cabello de las chicas en colas de caballo.</v>
      </c>
    </row>
    <row r="7112">
      <c r="A7112" s="4" t="s">
        <v>8939</v>
      </c>
      <c r="B7112" s="4" t="s">
        <v>8942</v>
      </c>
      <c r="C7112" s="5" t="str">
        <f>IFERROR(__xludf.DUMMYFUNCTION("GOOGLETRANSLATE(B7112,""en"",""es-ES"")"),"Ella habla con la cámara y se corta el cabello de la niña cuando el papá le pone el cabello en la cabeza y hace reír a los niños.")</f>
        <v>Ella habla con la cámara y se corta el cabello de la niña cuando el papá le pone el cabello en la cabeza y hace reír a los niños.</v>
      </c>
    </row>
    <row r="7113">
      <c r="A7113" s="4" t="s">
        <v>8939</v>
      </c>
      <c r="B7113" s="4" t="s">
        <v>8943</v>
      </c>
      <c r="C7113" s="5" t="str">
        <f>IFERROR(__xludf.DUMMYFUNCTION("GOOGLETRANSLATE(B7113,""en"",""es-ES"")"),"La mujer continúa cortándose el cabello mientras otros miran y habla con la cámara, seguida de la mujer enderezando el cabello y mostrándolo en cámara lenta.")</f>
        <v>La mujer continúa cortándose el cabello mientras otros miran y habla con la cámara, seguida de la mujer enderezando el cabello y mostrándolo en cámara lenta.</v>
      </c>
    </row>
    <row r="7114">
      <c r="A7114" s="4" t="s">
        <v>8939</v>
      </c>
      <c r="B7114" s="4" t="s">
        <v>8944</v>
      </c>
      <c r="C7114" s="5" t="str">
        <f>IFERROR(__xludf.DUMMYFUNCTION("GOOGLETRANSLATE(B7114,""en"",""es-ES"")"),"La niña sostiene su cabello y grita con entusiasmo a la cámara.")</f>
        <v>La niña sostiene su cabello y grita con entusiasmo a la cámara.</v>
      </c>
    </row>
    <row r="7115">
      <c r="A7115" s="4" t="s">
        <v>8945</v>
      </c>
      <c r="B7115" s="4" t="s">
        <v>8946</v>
      </c>
      <c r="C7115" s="5" t="str">
        <f>IFERROR(__xludf.DUMMYFUNCTION("GOOGLETRANSLATE(B7115,""en"",""es-ES"")"),"Se ve a dos chicas hablando con la cámara mientras sostienen tazas en sus manos y se ríen entre ellas.")</f>
        <v>Se ve a dos chicas hablando con la cámara mientras sostienen tazas en sus manos y se ríen entre ellas.</v>
      </c>
    </row>
    <row r="7116">
      <c r="A7116" s="4" t="s">
        <v>8945</v>
      </c>
      <c r="B7116" s="4" t="s">
        <v>8947</v>
      </c>
      <c r="C7116" s="5" t="str">
        <f>IFERROR(__xludf.DUMMYFUNCTION("GOOGLETRANSLATE(B7116,""en"",""es-ES"")"),"La cámara se acerca a las tazas y la niña continúa riendo mientras finalmente bebe de la taza.")</f>
        <v>La cámara se acerca a las tazas y la niña continúa riendo mientras finalmente bebe de la taza.</v>
      </c>
    </row>
    <row r="7117">
      <c r="A7117" s="4" t="s">
        <v>8945</v>
      </c>
      <c r="B7117" s="4" t="s">
        <v>8948</v>
      </c>
      <c r="C7117" s="5" t="str">
        <f>IFERROR(__xludf.DUMMYFUNCTION("GOOGLETRANSLATE(B7117,""en"",""es-ES"")"),"Sostienen el líquido en la boca y lo escupen y se ríen al final.")</f>
        <v>Sostienen el líquido en la boca y lo escupen y se ríen al final.</v>
      </c>
    </row>
    <row r="7118">
      <c r="A7118" s="4" t="s">
        <v>8949</v>
      </c>
      <c r="B7118" s="4" t="s">
        <v>8950</v>
      </c>
      <c r="C7118" s="5" t="str">
        <f>IFERROR(__xludf.DUMMYFUNCTION("GOOGLETRANSLATE(B7118,""en"",""es-ES"")"),"Se ve a un hombre hablando con la cámara y inclinarse ante la cámara.")</f>
        <v>Se ve a un hombre hablando con la cámara y inclinarse ante la cámara.</v>
      </c>
    </row>
    <row r="7119">
      <c r="A7119" s="4" t="s">
        <v>8949</v>
      </c>
      <c r="B7119" s="4" t="s">
        <v>8951</v>
      </c>
      <c r="C7119" s="5" t="str">
        <f>IFERROR(__xludf.DUMMYFUNCTION("GOOGLETRANSLATE(B7119,""en"",""es-ES"")"),"El hombre se arrodilla de rodillas varias veces y se inclina nuevamente.")</f>
        <v>El hombre se arrodilla de rodillas varias veces y se inclina nuevamente.</v>
      </c>
    </row>
    <row r="7120">
      <c r="A7120" s="4" t="s">
        <v>8949</v>
      </c>
      <c r="B7120" s="4" t="s">
        <v>8952</v>
      </c>
      <c r="C7120" s="5" t="str">
        <f>IFERROR(__xludf.DUMMYFUNCTION("GOOGLETRANSLATE(B7120,""en"",""es-ES"")"),"Se da vuelta aún inclinándose y termina de pie.")</f>
        <v>Se da vuelta aún inclinándose y termina de pie.</v>
      </c>
    </row>
    <row r="7121">
      <c r="A7121" s="4" t="s">
        <v>8953</v>
      </c>
      <c r="B7121" s="4" t="s">
        <v>8954</v>
      </c>
      <c r="C7121" s="5" t="str">
        <f>IFERROR(__xludf.DUMMYFUNCTION("GOOGLETRANSLATE(B7121,""en"",""es-ES"")"),"Antes de un evento olímpico de levantamiento de pesas, se muestra a un competidor chino preparándose haciendo ejercicio en un gimnasio.")</f>
        <v>Antes de un evento olímpico de levantamiento de pesas, se muestra a un competidor chino preparándose haciendo ejercicio en un gimnasio.</v>
      </c>
    </row>
    <row r="7122">
      <c r="A7122" s="4" t="s">
        <v>8953</v>
      </c>
      <c r="B7122" s="4" t="s">
        <v>8955</v>
      </c>
      <c r="C7122" s="5" t="str">
        <f>IFERROR(__xludf.DUMMYFUNCTION("GOOGLETRANSLATE(B7122,""en"",""es-ES"")"),"Luego practica para el evento levantando los grandes pesos del tamaño olímpico.")</f>
        <v>Luego practica para el evento levantando los grandes pesos del tamaño olímpico.</v>
      </c>
    </row>
    <row r="7123">
      <c r="A7123" s="4" t="s">
        <v>8953</v>
      </c>
      <c r="B7123" s="4" t="s">
        <v>8956</v>
      </c>
      <c r="C7123" s="5" t="str">
        <f>IFERROR(__xludf.DUMMYFUNCTION("GOOGLETRANSLATE(B7123,""en"",""es-ES"")"),"En la competencia, recoge los pesos de una posición en cuclillas antes de levantarse y luego arrojar los pesos al finalizar.")</f>
        <v>En la competencia, recoge los pesos de una posición en cuclillas antes de levantarse y luego arrojar los pesos al finalizar.</v>
      </c>
    </row>
    <row r="7124">
      <c r="A7124" s="4" t="s">
        <v>8953</v>
      </c>
      <c r="B7124" s="4" t="s">
        <v>8957</v>
      </c>
      <c r="C7124" s="5" t="str">
        <f>IFERROR(__xludf.DUMMYFUNCTION("GOOGLETRANSLATE(B7124,""en"",""es-ES"")"),"Se muestran varios ascensores exitosos y el competidor abraza a su entrenador.")</f>
        <v>Se muestran varios ascensores exitosos y el competidor abraza a su entrenador.</v>
      </c>
    </row>
    <row r="7125">
      <c r="A7125" s="4" t="s">
        <v>8958</v>
      </c>
      <c r="B7125" s="4" t="s">
        <v>8959</v>
      </c>
      <c r="C7125" s="5" t="str">
        <f>IFERROR(__xludf.DUMMYFUNCTION("GOOGLETRANSLATE(B7125,""en"",""es-ES"")"),"Las montañas se ven en la distancia con nubes que se mueven sobre la parte superior durante la tarde.")</f>
        <v>Las montañas se ven en la distancia con nubes que se mueven sobre la parte superior durante la tarde.</v>
      </c>
    </row>
    <row r="7126">
      <c r="A7126" s="4" t="s">
        <v>8958</v>
      </c>
      <c r="B7126" s="4" t="s">
        <v>8960</v>
      </c>
      <c r="C7126" s="5" t="str">
        <f>IFERROR(__xludf.DUMMYFUNCTION("GOOGLETRANSLATE(B7126,""en"",""es-ES"")"),"Los alpinistas usan cuerdas y ganchos para clips de metal a lo largo de grietas en una cara de roca pura.")</f>
        <v>Los alpinistas usan cuerdas y ganchos para clips de metal a lo largo de grietas en una cara de roca pura.</v>
      </c>
    </row>
    <row r="7127">
      <c r="A7127" s="4" t="s">
        <v>8958</v>
      </c>
      <c r="B7127" s="4" t="s">
        <v>8961</v>
      </c>
      <c r="C7127" s="5" t="str">
        <f>IFERROR(__xludf.DUMMYFUNCTION("GOOGLETRANSLATE(B7127,""en"",""es-ES"")"),"El escalador coloca un clips redondos de metal en la grieta de la cara de la roca.")</f>
        <v>El escalador coloca un clips redondos de metal en la grieta de la cara de la roca.</v>
      </c>
    </row>
    <row r="7128">
      <c r="A7128" s="4" t="s">
        <v>8958</v>
      </c>
      <c r="B7128" s="4" t="s">
        <v>8962</v>
      </c>
      <c r="C7128" s="5" t="str">
        <f>IFERROR(__xludf.DUMMYFUNCTION("GOOGLETRANSLATE(B7128,""en"",""es-ES"")"),"Las nubes se mueven sobre una cordillera al atardecer.")</f>
        <v>Las nubes se mueven sobre una cordillera al atardecer.</v>
      </c>
    </row>
    <row r="7129">
      <c r="A7129" s="4" t="s">
        <v>8963</v>
      </c>
      <c r="B7129" s="4" t="s">
        <v>8964</v>
      </c>
      <c r="C7129" s="5" t="str">
        <f>IFERROR(__xludf.DUMMYFUNCTION("GOOGLETRANSLATE(B7129,""en"",""es-ES"")"),"Se ve a una mujer organizando un segmento de noticias que habla con la cámara y hace una transición a un grupo de hombres que caminan en línea recta.")</f>
        <v>Se ve a una mujer organizando un segmento de noticias que habla con la cámara y hace una transición a un grupo de hombres que caminan en línea recta.</v>
      </c>
    </row>
    <row r="7130">
      <c r="A7130" s="4" t="s">
        <v>8963</v>
      </c>
      <c r="B7130" s="4" t="s">
        <v>8965</v>
      </c>
      <c r="C7130" s="5" t="str">
        <f>IFERROR(__xludf.DUMMYFUNCTION("GOOGLETRANSLATE(B7130,""en"",""es-ES"")"),"Luego, la gente actúa frente a un gran grupo de personas y un artista es entrevistado en el medio.")</f>
        <v>Luego, la gente actúa frente a un gran grupo de personas y un artista es entrevistado en el medio.</v>
      </c>
    </row>
    <row r="7131">
      <c r="A7131" s="4" t="s">
        <v>8963</v>
      </c>
      <c r="B7131" s="4" t="s">
        <v>8966</v>
      </c>
      <c r="C7131" s="5" t="str">
        <f>IFERROR(__xludf.DUMMYFUNCTION("GOOGLETRANSLATE(B7131,""en"",""es-ES"")"),"El segmento de noticias comienza a hablar con otras personas en el estudio que dan sus opiniones y termina con el anfitrión riendo y sonriendo.")</f>
        <v>El segmento de noticias comienza a hablar con otras personas en el estudio que dan sus opiniones y termina con el anfitrión riendo y sonriendo.</v>
      </c>
    </row>
    <row r="7132">
      <c r="A7132" s="4" t="s">
        <v>8967</v>
      </c>
      <c r="B7132" s="4" t="s">
        <v>8968</v>
      </c>
      <c r="C7132" s="5" t="str">
        <f>IFERROR(__xludf.DUMMYFUNCTION("GOOGLETRANSLATE(B7132,""en"",""es-ES"")"),"Se ve a una persona parada frente a una gran pista con gente sentada y de pie mirándolo.")</f>
        <v>Se ve a una persona parada frente a una gran pista con gente sentada y de pie mirándolo.</v>
      </c>
    </row>
    <row r="7133">
      <c r="A7133" s="4" t="s">
        <v>8967</v>
      </c>
      <c r="B7133" s="4" t="s">
        <v>8969</v>
      </c>
      <c r="C7133" s="5" t="str">
        <f>IFERROR(__xludf.DUMMYFUNCTION("GOOGLETRANSLATE(B7133,""en"",""es-ES"")"),"Las personas se producen los brazos y corre por la pista hacia el pozo de sentado y se voltea.")</f>
        <v>Las personas se producen los brazos y corre por la pista hacia el pozo de sentado y se voltea.</v>
      </c>
    </row>
    <row r="7134">
      <c r="A7134" s="4" t="s">
        <v>8970</v>
      </c>
      <c r="B7134" s="4" t="s">
        <v>8971</v>
      </c>
      <c r="C7134" s="5" t="str">
        <f>IFERROR(__xludf.DUMMYFUNCTION("GOOGLETRANSLATE(B7134,""en"",""es-ES"")"),"Un hombre con un sombrero blanco sostiene una pelota negra y habla.")</f>
        <v>Un hombre con un sombrero blanco sostiene una pelota negra y habla.</v>
      </c>
    </row>
    <row r="7135">
      <c r="A7135" s="4" t="s">
        <v>8970</v>
      </c>
      <c r="B7135" s="4" t="s">
        <v>8972</v>
      </c>
      <c r="C7135" s="5" t="str">
        <f>IFERROR(__xludf.DUMMYFUNCTION("GOOGLETRANSLATE(B7135,""en"",""es-ES"")"),"La gente está jugando un juego de fútbol interior.")</f>
        <v>La gente está jugando un juego de fútbol interior.</v>
      </c>
    </row>
    <row r="7136">
      <c r="A7136" s="4" t="s">
        <v>8970</v>
      </c>
      <c r="B7136" s="4" t="s">
        <v>8973</v>
      </c>
      <c r="C7136" s="5" t="str">
        <f>IFERROR(__xludf.DUMMYFUNCTION("GOOGLETRANSLATE(B7136,""en"",""es-ES"")"),"Un hombre con una chaqueta blanca está hablando con la cámara.")</f>
        <v>Un hombre con una chaqueta blanca está hablando con la cámara.</v>
      </c>
    </row>
    <row r="7137">
      <c r="A7137" s="4" t="s">
        <v>8974</v>
      </c>
      <c r="B7137" s="4" t="s">
        <v>8975</v>
      </c>
      <c r="C7137" s="5" t="str">
        <f>IFERROR(__xludf.DUMMYFUNCTION("GOOGLETRANSLATE(B7137,""en"",""es-ES"")"),"Un hombre está haciendo una rutina de gimnasia en bares paralelos.")</f>
        <v>Un hombre está haciendo una rutina de gimnasia en bares paralelos.</v>
      </c>
    </row>
    <row r="7138">
      <c r="A7138" s="4" t="s">
        <v>8974</v>
      </c>
      <c r="B7138" s="4" t="s">
        <v>8976</v>
      </c>
      <c r="C7138" s="5" t="str">
        <f>IFERROR(__xludf.DUMMYFUNCTION("GOOGLETRANSLATE(B7138,""en"",""es-ES"")"),"Desmita y aterriza en una estera.")</f>
        <v>Desmita y aterriza en una estera.</v>
      </c>
    </row>
    <row r="7139">
      <c r="A7139" s="4" t="s">
        <v>8974</v>
      </c>
      <c r="B7139" s="4" t="s">
        <v>8977</v>
      </c>
      <c r="C7139" s="5" t="str">
        <f>IFERROR(__xludf.DUMMYFUNCTION("GOOGLETRANSLATE(B7139,""en"",""es-ES"")"),"Da a varias personas los primeros cinco mientras sale de la colchoneta.")</f>
        <v>Da a varias personas los primeros cinco mientras sale de la colchoneta.</v>
      </c>
    </row>
    <row r="7140">
      <c r="A7140" s="4" t="s">
        <v>8978</v>
      </c>
      <c r="B7140" s="4" t="s">
        <v>8979</v>
      </c>
      <c r="C7140" s="5" t="str">
        <f>IFERROR(__xludf.DUMMYFUNCTION("GOOGLETRANSLATE(B7140,""en"",""es-ES"")"),"Se muestra a una mujer mayor hablando con la cámara y comienza a tejer en un sofá.")</f>
        <v>Se muestra a una mujer mayor hablando con la cámara y comienza a tejer en un sofá.</v>
      </c>
    </row>
    <row r="7141">
      <c r="A7141" s="4" t="s">
        <v>8978</v>
      </c>
      <c r="B7141" s="4" t="s">
        <v>8980</v>
      </c>
      <c r="C7141" s="5" t="str">
        <f>IFERROR(__xludf.DUMMYFUNCTION("GOOGLETRANSLATE(B7141,""en"",""es-ES"")"),"Ella continúa hablando con la cámara mientras la lente se acerca y sale de sus manos.")</f>
        <v>Ella continúa hablando con la cámara mientras la lente se acerca y sale de sus manos.</v>
      </c>
    </row>
    <row r="7142">
      <c r="A7142" s="4" t="s">
        <v>8978</v>
      </c>
      <c r="B7142" s="4" t="s">
        <v>8981</v>
      </c>
      <c r="C7142" s="5" t="str">
        <f>IFERROR(__xludf.DUMMYFUNCTION("GOOGLETRANSLATE(B7142,""en"",""es-ES"")"),"Ella muestra su suéter y finalmente baja su equipo de tejer.")</f>
        <v>Ella muestra su suéter y finalmente baja su equipo de tejer.</v>
      </c>
    </row>
    <row r="7143">
      <c r="A7143" s="4" t="s">
        <v>8982</v>
      </c>
      <c r="B7143" s="4" t="s">
        <v>8983</v>
      </c>
      <c r="C7143" s="5" t="str">
        <f>IFERROR(__xludf.DUMMYFUNCTION("GOOGLETRANSLATE(B7143,""en"",""es-ES"")"),"Hay un niño parado en su cocina con una jarra de agua, algunos limones y algunas manzanas detrás de él en el mostrador.")</f>
        <v>Hay un niño parado en su cocina con una jarra de agua, algunos limones y algunas manzanas detrás de él en el mostrador.</v>
      </c>
    </row>
    <row r="7144">
      <c r="A7144" s="4" t="s">
        <v>8982</v>
      </c>
      <c r="B7144" s="4" t="s">
        <v>8984</v>
      </c>
      <c r="C7144" s="5" t="str">
        <f>IFERROR(__xludf.DUMMYFUNCTION("GOOGLETRANSLATE(B7144,""en"",""es-ES"")"),"Él está señalando a los limones.")</f>
        <v>Él está señalando a los limones.</v>
      </c>
    </row>
    <row r="7145">
      <c r="A7145" s="4" t="s">
        <v>8982</v>
      </c>
      <c r="B7145" s="4" t="s">
        <v>8985</v>
      </c>
      <c r="C7145" s="5" t="str">
        <f>IFERROR(__xludf.DUMMYFUNCTION("GOOGLETRANSLATE(B7145,""en"",""es-ES"")"),"Su madre viene y lo ayuda a exprimir el jugo de los limones.")</f>
        <v>Su madre viene y lo ayuda a exprimir el jugo de los limones.</v>
      </c>
    </row>
    <row r="7146">
      <c r="A7146" s="4" t="s">
        <v>8982</v>
      </c>
      <c r="B7146" s="4" t="s">
        <v>8986</v>
      </c>
      <c r="C7146" s="5" t="str">
        <f>IFERROR(__xludf.DUMMYFUNCTION("GOOGLETRANSLATE(B7146,""en"",""es-ES"")"),"Tanto la madre como el hijo usan un exprimidor de limón para apretar el jugo y agregarlo a la jarra de agua.")</f>
        <v>Tanto la madre como el hijo usan un exprimidor de limón para apretar el jugo y agregarlo a la jarra de agua.</v>
      </c>
    </row>
    <row r="7147">
      <c r="A7147" s="4" t="s">
        <v>8982</v>
      </c>
      <c r="B7147" s="4" t="s">
        <v>8987</v>
      </c>
      <c r="C7147" s="5" t="str">
        <f>IFERROR(__xludf.DUMMYFUNCTION("GOOGLETRANSLATE(B7147,""en"",""es-ES"")"),"La madre se asegura de que todo el jugo esté exprimido correctamente de los limones, por lo que usa sus manos.")</f>
        <v>La madre se asegura de que todo el jugo esté exprimido correctamente de los limones, por lo que usa sus manos.</v>
      </c>
    </row>
    <row r="7148">
      <c r="A7148" s="4" t="s">
        <v>8982</v>
      </c>
      <c r="B7148" s="4" t="s">
        <v>8988</v>
      </c>
      <c r="C7148" s="5" t="str">
        <f>IFERROR(__xludf.DUMMYFUNCTION("GOOGLETRANSLATE(B7148,""en"",""es-ES"")"),"Luego agrega algo de coloración de alimentos a la limonada y lo revuelve bien.")</f>
        <v>Luego agrega algo de coloración de alimentos a la limonada y lo revuelve bien.</v>
      </c>
    </row>
    <row r="7149">
      <c r="A7149" s="4" t="s">
        <v>8982</v>
      </c>
      <c r="B7149" s="4" t="s">
        <v>8989</v>
      </c>
      <c r="C7149" s="5" t="str">
        <f>IFERROR(__xludf.DUMMYFUNCTION("GOOGLETRANSLATE(B7149,""en"",""es-ES"")"),"Luego vierte la limonada en un vaso con hielo y se lo da a su hijo.")</f>
        <v>Luego vierte la limonada en un vaso con hielo y se lo da a su hijo.</v>
      </c>
    </row>
    <row r="7150">
      <c r="A7150" s="4" t="s">
        <v>8982</v>
      </c>
      <c r="B7150" s="4" t="s">
        <v>8990</v>
      </c>
      <c r="C7150" s="5" t="str">
        <f>IFERROR(__xludf.DUMMYFUNCTION("GOOGLETRANSLATE(B7150,""en"",""es-ES"")"),"Toma un sorbo de la limonada y las sonrisas.")</f>
        <v>Toma un sorbo de la limonada y las sonrisas.</v>
      </c>
    </row>
    <row r="7151">
      <c r="A7151" s="4" t="s">
        <v>8991</v>
      </c>
      <c r="B7151" s="4" t="s">
        <v>8992</v>
      </c>
      <c r="C7151" s="5" t="str">
        <f>IFERROR(__xludf.DUMMYFUNCTION("GOOGLETRANSLATE(B7151,""en"",""es-ES"")"),"Se ve una foto de un hombre y conduce a un hombre doblándose en un césped y realizando varios movimientos de baile.")</f>
        <v>Se ve una foto de un hombre y conduce a un hombre doblándose en un césped y realizando varios movimientos de baile.</v>
      </c>
    </row>
    <row r="7152">
      <c r="A7152" s="4" t="s">
        <v>8991</v>
      </c>
      <c r="B7152" s="4" t="s">
        <v>8993</v>
      </c>
      <c r="C7152" s="5" t="str">
        <f>IFERROR(__xludf.DUMMYFUNCTION("GOOGLETRANSLATE(B7152,""en"",""es-ES"")"),"El hombre canta mientras realiza su rutina y luego se ve corriendo por el patio con una cortadora de césped.")</f>
        <v>El hombre canta mientras realiza su rutina y luego se ve corriendo por el patio con una cortadora de césped.</v>
      </c>
    </row>
    <row r="7153">
      <c r="A7153" s="4" t="s">
        <v>8991</v>
      </c>
      <c r="B7153" s="4" t="s">
        <v>8994</v>
      </c>
      <c r="C7153" s="5" t="str">
        <f>IFERROR(__xludf.DUMMYFUNCTION("GOOGLETRANSLATE(B7153,""en"",""es-ES"")"),"Se ve más baile y canto, se muestra una imagen de cartas de retención, y termina con él cortando la hierba y sosteniendo con un amigo.")</f>
        <v>Se ve más baile y canto, se muestra una imagen de cartas de retención, y termina con él cortando la hierba y sosteniendo con un amigo.</v>
      </c>
    </row>
    <row r="7154">
      <c r="A7154" s="4" t="s">
        <v>8995</v>
      </c>
      <c r="B7154" s="4" t="s">
        <v>8996</v>
      </c>
      <c r="C7154" s="5" t="str">
        <f>IFERROR(__xludf.DUMMYFUNCTION("GOOGLETRANSLATE(B7154,""en"",""es-ES"")"),"Una mujer se acerca a una cama de flores y una carretilla mientras habla.")</f>
        <v>Una mujer se acerca a una cama de flores y una carretilla mientras habla.</v>
      </c>
    </row>
    <row r="7155">
      <c r="A7155" s="4" t="s">
        <v>8995</v>
      </c>
      <c r="B7155" s="4" t="s">
        <v>8997</v>
      </c>
      <c r="C7155" s="5" t="str">
        <f>IFERROR(__xludf.DUMMYFUNCTION("GOOGLETRANSLATE(B7155,""en"",""es-ES"")"),"Ella demuestra cómo acolchar, recoger el material y mostrar cómo empacarlo alrededor de las plantas.")</f>
        <v>Ella demuestra cómo acolchar, recoger el material y mostrar cómo empacarlo alrededor de las plantas.</v>
      </c>
    </row>
    <row r="7156">
      <c r="A7156" s="4" t="s">
        <v>8998</v>
      </c>
      <c r="B7156" s="4" t="s">
        <v>8999</v>
      </c>
      <c r="C7156" s="5" t="str">
        <f>IFERROR(__xludf.DUMMYFUNCTION("GOOGLETRANSLATE(B7156,""en"",""es-ES"")"),"Dos chicas están en una cancha de baloncesto interior.")</f>
        <v>Dos chicas están en una cancha de baloncesto interior.</v>
      </c>
    </row>
    <row r="7157">
      <c r="A7157" s="4" t="s">
        <v>8998</v>
      </c>
      <c r="B7157" s="4" t="s">
        <v>9000</v>
      </c>
      <c r="C7157" s="5" t="str">
        <f>IFERROR(__xludf.DUMMYFUNCTION("GOOGLETRANSLATE(B7157,""en"",""es-ES"")"),"Están actuando usando bastones y con vestidos morados.")</f>
        <v>Están actuando usando bastones y con vestidos morados.</v>
      </c>
    </row>
    <row r="7158">
      <c r="A7158" s="4" t="s">
        <v>8998</v>
      </c>
      <c r="B7158" s="4" t="s">
        <v>9001</v>
      </c>
      <c r="C7158" s="5" t="str">
        <f>IFERROR(__xludf.DUMMYFUNCTION("GOOGLETRANSLATE(B7158,""en"",""es-ES"")"),"Giran y lanzan, arrojando los bastones al aire mientras se desempeñan.")</f>
        <v>Giran y lanzan, arrojando los bastones al aire mientras se desempeñan.</v>
      </c>
    </row>
    <row r="7159">
      <c r="A7159" s="4" t="s">
        <v>9002</v>
      </c>
      <c r="B7159" s="4" t="s">
        <v>9003</v>
      </c>
      <c r="C7159" s="5" t="str">
        <f>IFERROR(__xludf.DUMMYFUNCTION("GOOGLETRANSLATE(B7159,""en"",""es-ES"")"),"Una cámara y un logotipo aparecen brevemente.")</f>
        <v>Una cámara y un logotipo aparecen brevemente.</v>
      </c>
    </row>
    <row r="7160">
      <c r="A7160" s="4" t="s">
        <v>9002</v>
      </c>
      <c r="B7160" s="4" t="s">
        <v>9004</v>
      </c>
      <c r="C7160" s="5" t="str">
        <f>IFERROR(__xludf.DUMMYFUNCTION("GOOGLETRANSLATE(B7160,""en"",""es-ES"")"),"Una persona despierta tablas en un lago mientras lo remolcan.")</f>
        <v>Una persona despierta tablas en un lago mientras lo remolcan.</v>
      </c>
    </row>
    <row r="7161">
      <c r="A7161" s="4" t="s">
        <v>9002</v>
      </c>
      <c r="B7161" s="4" t="s">
        <v>9005</v>
      </c>
      <c r="C7161" s="5" t="str">
        <f>IFERROR(__xludf.DUMMYFUNCTION("GOOGLETRANSLATE(B7161,""en"",""es-ES"")"),"Pasan a una persona en el agua.")</f>
        <v>Pasan a una persona en el agua.</v>
      </c>
    </row>
    <row r="7162">
      <c r="A7162" s="4" t="s">
        <v>9002</v>
      </c>
      <c r="B7162" s="4" t="s">
        <v>9006</v>
      </c>
      <c r="C7162" s="5" t="str">
        <f>IFERROR(__xludf.DUMMYFUNCTION("GOOGLETRANSLATE(B7162,""en"",""es-ES"")"),"Ven a pasar por un muelle.")</f>
        <v>Ven a pasar por un muelle.</v>
      </c>
    </row>
    <row r="7163">
      <c r="A7163" s="4" t="s">
        <v>9007</v>
      </c>
      <c r="B7163" s="4" t="s">
        <v>9008</v>
      </c>
      <c r="C7163" s="5" t="str">
        <f>IFERROR(__xludf.DUMMYFUNCTION("GOOGLETRANSLATE(B7163,""en"",""es-ES"")"),"Se muestra una pantalla negra con palabras verdes y luego la pantalla se mueve a un papel blanco con palabras negras.")</f>
        <v>Se muestra una pantalla negra con palabras verdes y luego la pantalla se mueve a un papel blanco con palabras negras.</v>
      </c>
    </row>
    <row r="7164">
      <c r="A7164" s="4" t="s">
        <v>9007</v>
      </c>
      <c r="B7164" s="4" t="s">
        <v>9009</v>
      </c>
      <c r="C7164" s="5" t="str">
        <f>IFERROR(__xludf.DUMMYFUNCTION("GOOGLETRANSLATE(B7164,""en"",""es-ES"")"),"Después, aparece un equipo de lacrosse verde y comienzan a competir.")</f>
        <v>Después, aparece un equipo de lacrosse verde y comienzan a competir.</v>
      </c>
    </row>
    <row r="7165">
      <c r="A7165" s="4" t="s">
        <v>9007</v>
      </c>
      <c r="B7165" s="4" t="s">
        <v>9010</v>
      </c>
      <c r="C7165" s="5" t="str">
        <f>IFERROR(__xludf.DUMMYFUNCTION("GOOGLETRANSLATE(B7165,""en"",""es-ES"")"),"Alguien hace un gol y luego la pelota se coloca en el medio del campo.")</f>
        <v>Alguien hace un gol y luego la pelota se coloca en el medio del campo.</v>
      </c>
    </row>
    <row r="7166">
      <c r="A7166" s="4" t="s">
        <v>9007</v>
      </c>
      <c r="B7166" s="4" t="s">
        <v>9011</v>
      </c>
      <c r="C7166" s="5" t="str">
        <f>IFERROR(__xludf.DUMMYFUNCTION("GOOGLETRANSLATE(B7166,""en"",""es-ES"")"),"Cuando están terminados, se muestran imágenes fijas del juego.")</f>
        <v>Cuando están terminados, se muestran imágenes fijas del juego.</v>
      </c>
    </row>
    <row r="7167">
      <c r="A7167" s="4" t="s">
        <v>9007</v>
      </c>
      <c r="B7167" s="4" t="s">
        <v>9012</v>
      </c>
      <c r="C7167" s="5" t="str">
        <f>IFERROR(__xludf.DUMMYFUNCTION("GOOGLETRANSLATE(B7167,""en"",""es-ES"")"),"Finalmente, aparece una pantalla negra y la puntuación se muestra en la escritura azul y verde.")</f>
        <v>Finalmente, aparece una pantalla negra y la puntuación se muestra en la escritura azul y verde.</v>
      </c>
    </row>
    <row r="7168">
      <c r="A7168" s="4" t="s">
        <v>9013</v>
      </c>
      <c r="B7168" s="4" t="s">
        <v>9014</v>
      </c>
      <c r="C7168" s="5" t="str">
        <f>IFERROR(__xludf.DUMMYFUNCTION("GOOGLETRANSLATE(B7168,""en"",""es-ES"")"),"La gente toca instrumentos que marchan por una calle.")</f>
        <v>La gente toca instrumentos que marchan por una calle.</v>
      </c>
    </row>
    <row r="7169">
      <c r="A7169" s="4" t="s">
        <v>9013</v>
      </c>
      <c r="B7169" s="4" t="s">
        <v>9015</v>
      </c>
      <c r="C7169" s="5" t="str">
        <f>IFERROR(__xludf.DUMMYFUNCTION("GOOGLETRANSLATE(B7169,""en"",""es-ES"")"),"Comienzan a marchar en un círculo en una habitación.")</f>
        <v>Comienzan a marchar en un círculo en una habitación.</v>
      </c>
    </row>
    <row r="7170">
      <c r="A7170" s="4" t="s">
        <v>9013</v>
      </c>
      <c r="B7170" s="4" t="s">
        <v>9016</v>
      </c>
      <c r="C7170" s="5" t="str">
        <f>IFERROR(__xludf.DUMMYFUNCTION("GOOGLETRANSLATE(B7170,""en"",""es-ES"")"),"Una persona que sostiene un bastón se encuentra frente a la banda.")</f>
        <v>Una persona que sostiene un bastón se encuentra frente a la banda.</v>
      </c>
    </row>
    <row r="7171">
      <c r="A7171" s="4" t="s">
        <v>9017</v>
      </c>
      <c r="B7171" s="4" t="s">
        <v>9018</v>
      </c>
      <c r="C7171" s="5" t="str">
        <f>IFERROR(__xludf.DUMMYFUNCTION("GOOGLETRANSLATE(B7171,""en"",""es-ES"")"),"Un hombre se para en el techo de un edificio, y otros dos aparecen.")</f>
        <v>Un hombre se para en el techo de un edificio, y otros dos aparecen.</v>
      </c>
    </row>
    <row r="7172">
      <c r="A7172" s="4" t="s">
        <v>9017</v>
      </c>
      <c r="B7172" s="4" t="s">
        <v>9019</v>
      </c>
      <c r="C7172" s="5" t="str">
        <f>IFERROR(__xludf.DUMMYFUNCTION("GOOGLETRANSLATE(B7172,""en"",""es-ES"")"),"Son cometas voladoras en el aire sobre el edificio de ladrillos.")</f>
        <v>Son cometas voladoras en el aire sobre el edificio de ladrillos.</v>
      </c>
    </row>
    <row r="7173">
      <c r="A7173" s="4" t="s">
        <v>9017</v>
      </c>
      <c r="B7173" s="4" t="s">
        <v>9020</v>
      </c>
      <c r="C7173" s="5" t="str">
        <f>IFERROR(__xludf.DUMMYFUNCTION("GOOGLETRANSLATE(B7173,""en"",""es-ES"")"),"Los hombres hacen que las cometas se sumerjan y buceen mientras hablan e interactúan.")</f>
        <v>Los hombres hacen que las cometas se sumerjan y buceen mientras hablan e interactúan.</v>
      </c>
    </row>
    <row r="7174">
      <c r="A7174" s="4" t="s">
        <v>9021</v>
      </c>
      <c r="B7174" s="4" t="s">
        <v>9022</v>
      </c>
      <c r="C7174" s="5" t="str">
        <f>IFERROR(__xludf.DUMMYFUNCTION("GOOGLETRANSLATE(B7174,""en"",""es-ES"")"),"Una escena al aire libre junto a la playa muestra una gran multitud cerca de un complejo.")</f>
        <v>Una escena al aire libre junto a la playa muestra una gran multitud cerca de un complejo.</v>
      </c>
    </row>
    <row r="7175">
      <c r="A7175" s="4" t="s">
        <v>9021</v>
      </c>
      <c r="B7175" s="4" t="s">
        <v>9023</v>
      </c>
      <c r="C7175" s="5" t="str">
        <f>IFERROR(__xludf.DUMMYFUNCTION("GOOGLETRANSLATE(B7175,""en"",""es-ES"")"),"Están animando a medida que varios skaters profesionales realizan acrobacias en un pozo de rampa.")</f>
        <v>Están animando a medida que varios skaters profesionales realizan acrobacias en un pozo de rampa.</v>
      </c>
    </row>
    <row r="7176">
      <c r="A7176" s="4" t="s">
        <v>9021</v>
      </c>
      <c r="B7176" s="4" t="s">
        <v>9024</v>
      </c>
      <c r="C7176" s="5" t="str">
        <f>IFERROR(__xludf.DUMMYFUNCTION("GOOGLETRANSLATE(B7176,""en"",""es-ES"")"),"El volteo y gira en el aire, subiendo y bajando la rampa.")</f>
        <v>El volteo y gira en el aire, subiendo y bajando la rampa.</v>
      </c>
    </row>
    <row r="7177">
      <c r="A7177" s="4" t="s">
        <v>9021</v>
      </c>
      <c r="B7177" s="4" t="s">
        <v>9025</v>
      </c>
      <c r="C7177" s="5" t="str">
        <f>IFERROR(__xludf.DUMMYFUNCTION("GOOGLETRANSLATE(B7177,""en"",""es-ES"")"),"Los ganadores posan para fotos con pasteles cuando terminan.")</f>
        <v>Los ganadores posan para fotos con pasteles cuando terminan.</v>
      </c>
    </row>
    <row r="7178">
      <c r="A7178" s="4" t="s">
        <v>9026</v>
      </c>
      <c r="B7178" s="4" t="s">
        <v>9027</v>
      </c>
      <c r="C7178" s="5" t="str">
        <f>IFERROR(__xludf.DUMMYFUNCTION("GOOGLETRANSLATE(B7178,""en"",""es-ES"")"),"Los niños conducen con autos de parachoques girando y golpeando.")</f>
        <v>Los niños conducen con autos de parachoques girando y golpeando.</v>
      </c>
    </row>
    <row r="7179">
      <c r="A7179" s="4" t="s">
        <v>9026</v>
      </c>
      <c r="B7179" s="4" t="s">
        <v>9028</v>
      </c>
      <c r="C7179" s="5" t="str">
        <f>IFERROR(__xludf.DUMMYFUNCTION("GOOGLETRANSLATE(B7179,""en"",""es-ES"")"),"Kid usa camisa azul y choca con la cerca sosteniendo las manijas con ambas manos.")</f>
        <v>Kid usa camisa azul y choca con la cerca sosteniendo las manijas con ambas manos.</v>
      </c>
    </row>
    <row r="7180">
      <c r="A7180" s="4" t="s">
        <v>9026</v>
      </c>
      <c r="B7180" s="4" t="s">
        <v>9029</v>
      </c>
      <c r="C7180" s="5" t="str">
        <f>IFERROR(__xludf.DUMMYFUNCTION("GOOGLETRANSLATE(B7180,""en"",""es-ES"")"),"Girl lleva una chaqueta de cuero que abarca el coche en el coche de diversiones.")</f>
        <v>Girl lleva una chaqueta de cuero que abarca el coche en el coche de diversiones.</v>
      </c>
    </row>
    <row r="7181">
      <c r="A7181" s="4" t="s">
        <v>9030</v>
      </c>
      <c r="B7181" s="4" t="s">
        <v>9031</v>
      </c>
      <c r="C7181" s="5" t="str">
        <f>IFERROR(__xludf.DUMMYFUNCTION("GOOGLETRANSLATE(B7181,""en"",""es-ES"")"),"Hay un hombre joven con una camisa azul y un casco negro para patinar en un camino de dos vías.")</f>
        <v>Hay un hombre joven con una camisa azul y un casco negro para patinar en un camino de dos vías.</v>
      </c>
    </row>
    <row r="7182">
      <c r="A7182" s="4" t="s">
        <v>9030</v>
      </c>
      <c r="B7182" s="4" t="s">
        <v>9032</v>
      </c>
      <c r="C7182" s="5" t="str">
        <f>IFERROR(__xludf.DUMMYFUNCTION("GOOGLETRANSLATE(B7182,""en"",""es-ES"")"),"Él va a una velocidad constante y rápida cuando pasa a través de algunos autos y muchos árboles.")</f>
        <v>Él va a una velocidad constante y rápida cuando pasa a través de algunos autos y muchos árboles.</v>
      </c>
    </row>
    <row r="7183">
      <c r="A7183" s="4" t="s">
        <v>9030</v>
      </c>
      <c r="B7183" s="4" t="s">
        <v>9033</v>
      </c>
      <c r="C7183" s="5" t="str">
        <f>IFERROR(__xludf.DUMMYFUNCTION("GOOGLETRANSLATE(B7183,""en"",""es-ES"")"),"También pasa por algunas áreas residenciales mientras patina.")</f>
        <v>También pasa por algunas áreas residenciales mientras patina.</v>
      </c>
    </row>
    <row r="7184">
      <c r="A7184" s="4" t="s">
        <v>9030</v>
      </c>
      <c r="B7184" s="4" t="s">
        <v>9034</v>
      </c>
      <c r="C7184" s="5" t="str">
        <f>IFERROR(__xludf.DUMMYFUNCTION("GOOGLETRANSLATE(B7184,""en"",""es-ES"")"),"Finalmente se ralentiza cuando el camarógrafo se acerca a un automóvil gris.")</f>
        <v>Finalmente se ralentiza cuando el camarógrafo se acerca a un automóvil gris.</v>
      </c>
    </row>
    <row r="7185">
      <c r="A7185" s="4" t="s">
        <v>9030</v>
      </c>
      <c r="B7185" s="4" t="s">
        <v>9035</v>
      </c>
      <c r="C7185" s="5" t="str">
        <f>IFERROR(__xludf.DUMMYFUNCTION("GOOGLETRANSLATE(B7185,""en"",""es-ES"")"),"El camarógrafo se mete en el auto y se lleva la patineta.")</f>
        <v>El camarógrafo se mete en el auto y se lleva la patineta.</v>
      </c>
    </row>
    <row r="7186">
      <c r="A7186" s="4" t="s">
        <v>9030</v>
      </c>
      <c r="B7186" s="4" t="s">
        <v>9036</v>
      </c>
      <c r="C7186" s="5" t="str">
        <f>IFERROR(__xludf.DUMMYFUNCTION("GOOGLETRANSLATE(B7186,""en"",""es-ES"")"),"El patinador está arrodillado al costado de la carretera principal.")</f>
        <v>El patinador está arrodillado al costado de la carretera principal.</v>
      </c>
    </row>
    <row r="7187">
      <c r="A7187" s="4" t="s">
        <v>9030</v>
      </c>
      <c r="B7187" s="4" t="s">
        <v>9037</v>
      </c>
      <c r="C7187" s="5" t="str">
        <f>IFERROR(__xludf.DUMMYFUNCTION("GOOGLETRANSLATE(B7187,""en"",""es-ES"")"),"Luego se levanta y se aleja.")</f>
        <v>Luego se levanta y se aleja.</v>
      </c>
    </row>
    <row r="7188">
      <c r="A7188" s="4" t="s">
        <v>9038</v>
      </c>
      <c r="B7188" s="4" t="s">
        <v>9039</v>
      </c>
      <c r="C7188" s="5" t="str">
        <f>IFERROR(__xludf.DUMMYFUNCTION("GOOGLETRANSLATE(B7188,""en"",""es-ES"")"),"Vemos una revista sobre un fondo negro.")</f>
        <v>Vemos una revista sobre un fondo negro.</v>
      </c>
    </row>
    <row r="7189">
      <c r="A7189" s="4" t="s">
        <v>9038</v>
      </c>
      <c r="B7189" s="4" t="s">
        <v>9040</v>
      </c>
      <c r="C7189" s="5" t="str">
        <f>IFERROR(__xludf.DUMMYFUNCTION("GOOGLETRANSLATE(B7189,""en"",""es-ES"")"),"La gente comienza a correr en caminos rurales en un maratón.")</f>
        <v>La gente comienza a correr en caminos rurales en un maratón.</v>
      </c>
    </row>
    <row r="7190">
      <c r="A7190" s="4" t="s">
        <v>9038</v>
      </c>
      <c r="B7190" s="4" t="s">
        <v>9041</v>
      </c>
      <c r="C7190" s="5" t="str">
        <f>IFERROR(__xludf.DUMMYFUNCTION("GOOGLETRANSLATE(B7190,""en"",""es-ES"")"),"Los vemos tomar bebidas en una mesa.")</f>
        <v>Los vemos tomar bebidas en una mesa.</v>
      </c>
    </row>
    <row r="7191">
      <c r="A7191" s="4" t="s">
        <v>9038</v>
      </c>
      <c r="B7191" s="4" t="s">
        <v>9042</v>
      </c>
      <c r="C7191" s="5" t="str">
        <f>IFERROR(__xludf.DUMMYFUNCTION("GOOGLETRANSLATE(B7191,""en"",""es-ES"")"),"Un hombre está corriendo y sosteniendo una cámara frente a sí mismo.")</f>
        <v>Un hombre está corriendo y sosteniendo una cámara frente a sí mismo.</v>
      </c>
    </row>
    <row r="7192">
      <c r="A7192" s="4" t="s">
        <v>9038</v>
      </c>
      <c r="B7192" s="4" t="s">
        <v>9043</v>
      </c>
      <c r="C7192" s="5" t="str">
        <f>IFERROR(__xludf.DUMMYFUNCTION("GOOGLETRANSLATE(B7192,""en"",""es-ES"")"),"El hombre que está corriendo se ve de nuevo.")</f>
        <v>El hombre que está corriendo se ve de nuevo.</v>
      </c>
    </row>
    <row r="7193">
      <c r="A7193" s="4" t="s">
        <v>9038</v>
      </c>
      <c r="B7193" s="4" t="s">
        <v>9044</v>
      </c>
      <c r="C7193" s="5" t="str">
        <f>IFERROR(__xludf.DUMMYFUNCTION("GOOGLETRANSLATE(B7193,""en"",""es-ES"")"),"Vemos a una persona apuntar en un lago.")</f>
        <v>Vemos a una persona apuntar en un lago.</v>
      </c>
    </row>
    <row r="7194">
      <c r="A7194" s="4" t="s">
        <v>9038</v>
      </c>
      <c r="B7194" s="4" t="s">
        <v>9045</v>
      </c>
      <c r="C7194" s="5" t="str">
        <f>IFERROR(__xludf.DUMMYFUNCTION("GOOGLETRANSLATE(B7194,""en"",""es-ES"")"),"Cruzamos la línea de meta.")</f>
        <v>Cruzamos la línea de meta.</v>
      </c>
    </row>
    <row r="7195">
      <c r="A7195" s="4" t="s">
        <v>9038</v>
      </c>
      <c r="B7195" s="4" t="s">
        <v>9046</v>
      </c>
      <c r="C7195" s="5" t="str">
        <f>IFERROR(__xludf.DUMMYFUNCTION("GOOGLETRANSLATE(B7195,""en"",""es-ES"")"),"Un hombre está en un lago enfriándose.")</f>
        <v>Un hombre está en un lago enfriándose.</v>
      </c>
    </row>
    <row r="7196">
      <c r="A7196" s="4" t="s">
        <v>9038</v>
      </c>
      <c r="B7196" s="4" t="s">
        <v>3608</v>
      </c>
      <c r="C7196" s="5" t="str">
        <f>IFERROR(__xludf.DUMMYFUNCTION("GOOGLETRANSLATE(B7196,""en"",""es-ES"")"),"Vemos la pantalla final.")</f>
        <v>Vemos la pantalla final.</v>
      </c>
    </row>
    <row r="7197">
      <c r="A7197" s="4" t="s">
        <v>9047</v>
      </c>
      <c r="B7197" s="4" t="s">
        <v>9048</v>
      </c>
      <c r="C7197" s="5" t="str">
        <f>IFERROR(__xludf.DUMMYFUNCTION("GOOGLETRANSLATE(B7197,""en"",""es-ES"")"),"Se muestra un primer plano de una habitación con una ventana.")</f>
        <v>Se muestra un primer plano de una habitación con una ventana.</v>
      </c>
    </row>
    <row r="7198">
      <c r="A7198" s="4" t="s">
        <v>9047</v>
      </c>
      <c r="B7198" s="4" t="s">
        <v>9049</v>
      </c>
      <c r="C7198" s="5" t="str">
        <f>IFERROR(__xludf.DUMMYFUNCTION("GOOGLETRANSLATE(B7198,""en"",""es-ES"")"),"Un hombre está suavizando el lodo sobre la pared.")</f>
        <v>Un hombre está suavizando el lodo sobre la pared.</v>
      </c>
    </row>
    <row r="7199">
      <c r="A7199" s="4" t="s">
        <v>9047</v>
      </c>
      <c r="B7199" s="4" t="s">
        <v>9050</v>
      </c>
      <c r="C7199" s="5" t="str">
        <f>IFERROR(__xludf.DUMMYFUNCTION("GOOGLETRANSLATE(B7199,""en"",""es-ES"")"),"Él mide y corta y luego se extiende nuevamente.")</f>
        <v>Él mide y corta y luego se extiende nuevamente.</v>
      </c>
    </row>
    <row r="7200">
      <c r="A7200" s="4" t="s">
        <v>9047</v>
      </c>
      <c r="B7200" s="4" t="s">
        <v>9051</v>
      </c>
      <c r="C7200" s="5" t="str">
        <f>IFERROR(__xludf.DUMMYFUNCTION("GOOGLETRANSLATE(B7200,""en"",""es-ES"")"),"Cuando termina, la pared es completamente suave.")</f>
        <v>Cuando termina, la pared es completamente suave.</v>
      </c>
    </row>
    <row r="7201">
      <c r="A7201" s="4" t="s">
        <v>9052</v>
      </c>
      <c r="B7201" s="4" t="s">
        <v>9053</v>
      </c>
      <c r="C7201" s="5" t="str">
        <f>IFERROR(__xludf.DUMMYFUNCTION("GOOGLETRANSLATE(B7201,""en"",""es-ES"")"),"Un niño pequeño se mueve hacia atrás y el cuarto en un columpio mientras se ríe y sonríe a la cámara.")</f>
        <v>Un niño pequeño se mueve hacia atrás y el cuarto en un columpio mientras se ríe y sonríe a la cámara.</v>
      </c>
    </row>
    <row r="7202">
      <c r="A7202" s="4" t="s">
        <v>9052</v>
      </c>
      <c r="B7202" s="4" t="s">
        <v>9054</v>
      </c>
      <c r="C7202" s="5" t="str">
        <f>IFERROR(__xludf.DUMMYFUNCTION("GOOGLETRANSLATE(B7202,""en"",""es-ES"")"),"El niño continúa bombeando sus piernas y luego está rígido mientras mira a lo lejos.")</f>
        <v>El niño continúa bombeando sus piernas y luego está rígido mientras mira a lo lejos.</v>
      </c>
    </row>
    <row r="7203">
      <c r="A7203" s="4" t="s">
        <v>9055</v>
      </c>
      <c r="B7203" s="4" t="s">
        <v>9056</v>
      </c>
      <c r="C7203" s="5" t="str">
        <f>IFERROR(__xludf.DUMMYFUNCTION("GOOGLETRANSLATE(B7203,""en"",""es-ES"")"),"Un grupo de personas juegan con cerveza pong con diferentes atuendos.")</f>
        <v>Un grupo de personas juegan con cerveza pong con diferentes atuendos.</v>
      </c>
    </row>
    <row r="7204">
      <c r="A7204" s="4" t="s">
        <v>9055</v>
      </c>
      <c r="B7204" s="4" t="s">
        <v>9057</v>
      </c>
      <c r="C7204" s="5" t="str">
        <f>IFERROR(__xludf.DUMMYFUNCTION("GOOGLETRANSLATE(B7204,""en"",""es-ES"")"),"Entonces la gente tiene una cerveza.")</f>
        <v>Entonces la gente tiene una cerveza.</v>
      </c>
    </row>
    <row r="7205">
      <c r="A7205" s="4" t="s">
        <v>9055</v>
      </c>
      <c r="B7205" s="4" t="s">
        <v>9058</v>
      </c>
      <c r="C7205" s="5" t="str">
        <f>IFERROR(__xludf.DUMMYFUNCTION("GOOGLETRANSLATE(B7205,""en"",""es-ES"")"),"Al final ocurre mucho baile.")</f>
        <v>Al final ocurre mucho baile.</v>
      </c>
    </row>
    <row r="7206">
      <c r="A7206" s="4" t="s">
        <v>9059</v>
      </c>
      <c r="B7206" s="4" t="s">
        <v>9060</v>
      </c>
      <c r="C7206" s="5" t="str">
        <f>IFERROR(__xludf.DUMMYFUNCTION("GOOGLETRANSLATE(B7206,""en"",""es-ES"")"),"La mujer está sentada frente a una mesa blanca con una calabaza de Halloween.")</f>
        <v>La mujer está sentada frente a una mesa blanca con una calabaza de Halloween.</v>
      </c>
    </row>
    <row r="7207">
      <c r="A7207" s="4" t="s">
        <v>9059</v>
      </c>
      <c r="B7207" s="4" t="s">
        <v>9061</v>
      </c>
      <c r="C7207" s="5" t="str">
        <f>IFERROR(__xludf.DUMMYFUNCTION("GOOGLETRANSLATE(B7207,""en"",""es-ES"")"),"La mujer sostiene un cuchillo y corta la cabeza de la calabaza y retira todas las semillas del interior.")</f>
        <v>La mujer sostiene un cuchillo y corta la cabeza de la calabaza y retira todas las semillas del interior.</v>
      </c>
    </row>
    <row r="7208">
      <c r="A7208" s="4" t="s">
        <v>9059</v>
      </c>
      <c r="B7208" s="4" t="s">
        <v>9062</v>
      </c>
      <c r="C7208" s="5" t="str">
        <f>IFERROR(__xludf.DUMMYFUNCTION("GOOGLETRANSLATE(B7208,""en"",""es-ES"")"),"Mujer pesa la cara con marcadores negros y abre los agujeros en la calabaza.")</f>
        <v>Mujer pesa la cara con marcadores negros y abre los agujeros en la calabaza.</v>
      </c>
    </row>
    <row r="7209">
      <c r="A7209" s="4" t="s">
        <v>9063</v>
      </c>
      <c r="B7209" s="4" t="s">
        <v>9064</v>
      </c>
      <c r="C7209" s="5" t="str">
        <f>IFERROR(__xludf.DUMMYFUNCTION("GOOGLETRANSLATE(B7209,""en"",""es-ES"")"),"Un hombre con camisa negra está acechando frente a la cámara, luego se muestra el calendario y luego el dibujo.")</f>
        <v>Un hombre con camisa negra está acechando frente a la cámara, luego se muestra el calendario y luego el dibujo.</v>
      </c>
    </row>
    <row r="7210">
      <c r="A7210" s="4" t="s">
        <v>9063</v>
      </c>
      <c r="B7210" s="4" t="s">
        <v>9065</v>
      </c>
      <c r="C7210" s="5" t="str">
        <f>IFERROR(__xludf.DUMMYFUNCTION("GOOGLETRANSLATE(B7210,""en"",""es-ES"")"),"El hombre rubio está hablando frente a la cámara, mientras que detrás de él hay una rampa vacía, luego el skateboard en una rampa de madera, luego muestra cómo patinar, luego patinó e hizo trucos en una rampa de madera, luego continúa para hablar, y luego"&amp;" patinar de nuevo.")</f>
        <v>El hombre rubio está hablando frente a la cámara, mientras que detrás de él hay una rampa vacía, luego el skateboard en una rampa de madera, luego muestra cómo patinar, luego patinó e hizo trucos en una rampa de madera, luego continúa para hablar, y luego patinar de nuevo.</v>
      </c>
    </row>
    <row r="7211">
      <c r="A7211" s="4" t="s">
        <v>9066</v>
      </c>
      <c r="B7211" s="4" t="s">
        <v>9067</v>
      </c>
      <c r="C7211" s="5" t="str">
        <f>IFERROR(__xludf.DUMMYFUNCTION("GOOGLETRANSLATE(B7211,""en"",""es-ES"")"),"Mujer que usa una camisa roja es el brazo de nuevo y una mujer acostada en el piso.")</f>
        <v>Mujer que usa una camisa roja es el brazo de nuevo y una mujer acostada en el piso.</v>
      </c>
    </row>
    <row r="7212">
      <c r="A7212" s="4" t="s">
        <v>9066</v>
      </c>
      <c r="B7212" s="4" t="s">
        <v>9068</v>
      </c>
      <c r="C7212" s="5" t="str">
        <f>IFERROR(__xludf.DUMMYFUNCTION("GOOGLETRANSLATE(B7212,""en"",""es-ES"")"),"Una mujer rubia con camisa gris es la lucha del brazo con otra mujer en una habitación.")</f>
        <v>Una mujer rubia con camisa gris es la lucha del brazo con otra mujer en una habitación.</v>
      </c>
    </row>
    <row r="7213">
      <c r="A7213" s="4" t="s">
        <v>9066</v>
      </c>
      <c r="B7213" s="4" t="s">
        <v>9069</v>
      </c>
      <c r="C7213" s="5" t="str">
        <f>IFERROR(__xludf.DUMMYFUNCTION("GOOGLETRANSLATE(B7213,""en"",""es-ES"")"),"La mujer ganadora está haciendo poses tendidas en el piso.")</f>
        <v>La mujer ganadora está haciendo poses tendidas en el piso.</v>
      </c>
    </row>
    <row r="7214">
      <c r="A7214" s="4" t="s">
        <v>9070</v>
      </c>
      <c r="B7214" s="4" t="s">
        <v>9071</v>
      </c>
      <c r="C7214" s="5" t="str">
        <f>IFERROR(__xludf.DUMMYFUNCTION("GOOGLETRANSLATE(B7214,""en"",""es-ES"")"),"Se ve a una mujer joven mirando la cámara mientras toma una copa y arregla su cabello.")</f>
        <v>Se ve a una mujer joven mirando la cámara mientras toma una copa y arregla su cabello.</v>
      </c>
    </row>
    <row r="7215">
      <c r="A7215" s="4" t="s">
        <v>9070</v>
      </c>
      <c r="B7215" s="4" t="s">
        <v>9072</v>
      </c>
      <c r="C7215" s="5" t="str">
        <f>IFERROR(__xludf.DUMMYFUNCTION("GOOGLETRANSLATE(B7215,""en"",""es-ES"")"),"La mujer luego levanta un paquete de cigarrillos y comienza a fumar un cigarrillo.")</f>
        <v>La mujer luego levanta un paquete de cigarrillos y comienza a fumar un cigarrillo.</v>
      </c>
    </row>
    <row r="7216">
      <c r="A7216" s="4" t="s">
        <v>9070</v>
      </c>
      <c r="B7216" s="4" t="s">
        <v>9073</v>
      </c>
      <c r="C7216" s="5" t="str">
        <f>IFERROR(__xludf.DUMMYFUNCTION("GOOGLETRANSLATE(B7216,""en"",""es-ES"")"),"La mujer fuma y bebe continuamente uno tras otro mientras continúa mirando a la cámara.")</f>
        <v>La mujer fuma y bebe continuamente uno tras otro mientras continúa mirando a la cámara.</v>
      </c>
    </row>
    <row r="7217">
      <c r="A7217" s="4" t="s">
        <v>9074</v>
      </c>
      <c r="B7217" s="4" t="s">
        <v>9075</v>
      </c>
      <c r="C7217" s="5" t="str">
        <f>IFERROR(__xludf.DUMMYFUNCTION("GOOGLETRANSLATE(B7217,""en"",""es-ES"")"),"Hay diferentes atletas al comienzo del video, pero luego se muestran a 2 personas sumergiéndose en el agua mientras una gran multitud los observa.")</f>
        <v>Hay diferentes atletas al comienzo del video, pero luego se muestran a 2 personas sumergiéndose en el agua mientras una gran multitud los observa.</v>
      </c>
    </row>
    <row r="7218">
      <c r="A7218" s="4" t="s">
        <v>9074</v>
      </c>
      <c r="B7218" s="4" t="s">
        <v>9076</v>
      </c>
      <c r="C7218" s="5" t="str">
        <f>IFERROR(__xludf.DUMMYFUNCTION("GOOGLETRANSLATE(B7218,""en"",""es-ES"")"),"Al final, se lleva a cabo la plataforma Synchro de 10 metros para hombres.")</f>
        <v>Al final, se lleva a cabo la plataforma Synchro de 10 metros para hombres.</v>
      </c>
    </row>
    <row r="7219">
      <c r="A7219" s="4" t="s">
        <v>9077</v>
      </c>
      <c r="B7219" s="4" t="s">
        <v>9078</v>
      </c>
      <c r="C7219" s="5" t="str">
        <f>IFERROR(__xludf.DUMMYFUNCTION("GOOGLETRANSLATE(B7219,""en"",""es-ES"")"),"Se muestran varias tomas de paisajes que entierros con personas que viajan en una balsa grande.")</f>
        <v>Se muestran varias tomas de paisajes que entierros con personas que viajan en una balsa grande.</v>
      </c>
    </row>
    <row r="7220">
      <c r="A7220" s="4" t="s">
        <v>9077</v>
      </c>
      <c r="B7220" s="4" t="s">
        <v>9079</v>
      </c>
      <c r="C7220" s="5" t="str">
        <f>IFERROR(__xludf.DUMMYFUNCTION("GOOGLETRANSLATE(B7220,""en"",""es-ES"")"),"En un momento, la balsa voltea sobre los hombres que cabalgan por el río.")</f>
        <v>En un momento, la balsa voltea sobre los hombres que cabalgan por el río.</v>
      </c>
    </row>
    <row r="7221">
      <c r="A7221" s="4" t="s">
        <v>9077</v>
      </c>
      <c r="B7221" s="4" t="s">
        <v>9080</v>
      </c>
      <c r="C7221" s="5" t="str">
        <f>IFERROR(__xludf.DUMMYFUNCTION("GOOGLETRANSLATE(B7221,""en"",""es-ES"")"),"Se muestran más tomas de personas que viajan río abajo, así como a las personas que hablan con la cámara.")</f>
        <v>Se muestran más tomas de personas que viajan río abajo, así como a las personas que hablan con la cámara.</v>
      </c>
    </row>
    <row r="7222">
      <c r="A7222" s="4" t="s">
        <v>9081</v>
      </c>
      <c r="B7222" s="4" t="s">
        <v>9082</v>
      </c>
      <c r="C7222" s="5" t="str">
        <f>IFERROR(__xludf.DUMMYFUNCTION("GOOGLETRANSLATE(B7222,""en"",""es-ES"")"),"Una mujer de noticias está hablando en una sala de noticias.")</f>
        <v>Una mujer de noticias está hablando en una sala de noticias.</v>
      </c>
    </row>
    <row r="7223">
      <c r="A7223" s="4" t="s">
        <v>9081</v>
      </c>
      <c r="B7223" s="4" t="s">
        <v>9083</v>
      </c>
      <c r="C7223" s="5" t="str">
        <f>IFERROR(__xludf.DUMMYFUNCTION("GOOGLETRANSLATE(B7223,""en"",""es-ES"")"),"Los toro se muestran dentro de un anillo.")</f>
        <v>Los toro se muestran dentro de un anillo.</v>
      </c>
    </row>
    <row r="7224">
      <c r="A7224" s="4" t="s">
        <v>9081</v>
      </c>
      <c r="B7224" s="4" t="s">
        <v>9084</v>
      </c>
      <c r="C7224" s="5" t="str">
        <f>IFERROR(__xludf.DUMMYFUNCTION("GOOGLETRANSLATE(B7224,""en"",""es-ES"")"),"Están tratando de atraer al toro con capas.")</f>
        <v>Están tratando de atraer al toro con capas.</v>
      </c>
    </row>
    <row r="7225">
      <c r="A7225" s="4" t="s">
        <v>9085</v>
      </c>
      <c r="B7225" s="4" t="s">
        <v>9086</v>
      </c>
      <c r="C7225" s="5" t="str">
        <f>IFERROR(__xludf.DUMMYFUNCTION("GOOGLETRANSLATE(B7225,""en"",""es-ES"")"),"Dos personas bailan en una habitación.")</f>
        <v>Dos personas bailan en una habitación.</v>
      </c>
    </row>
    <row r="7226">
      <c r="A7226" s="4" t="s">
        <v>9085</v>
      </c>
      <c r="B7226" s="4" t="s">
        <v>9087</v>
      </c>
      <c r="C7226" s="5" t="str">
        <f>IFERROR(__xludf.DUMMYFUNCTION("GOOGLETRANSLATE(B7226,""en"",""es-ES"")"),"Se giran hacia un lado y continúan bailando.")</f>
        <v>Se giran hacia un lado y continúan bailando.</v>
      </c>
    </row>
    <row r="7227">
      <c r="A7227" s="4" t="s">
        <v>9085</v>
      </c>
      <c r="B7227" s="4" t="s">
        <v>9088</v>
      </c>
      <c r="C7227" s="5" t="str">
        <f>IFERROR(__xludf.DUMMYFUNCTION("GOOGLETRANSLATE(B7227,""en"",""es-ES"")"),"Terminan y posan al final.")</f>
        <v>Terminan y posan al final.</v>
      </c>
    </row>
    <row r="7228">
      <c r="A7228" s="4" t="s">
        <v>9089</v>
      </c>
      <c r="B7228" s="4" t="s">
        <v>9090</v>
      </c>
      <c r="C7228" s="5" t="str">
        <f>IFERROR(__xludf.DUMMYFUNCTION("GOOGLETRANSLATE(B7228,""en"",""es-ES"")"),"Una mujer de pie afuera en el techo fumando un cigarrillo.")</f>
        <v>Una mujer de pie afuera en el techo fumando un cigarrillo.</v>
      </c>
    </row>
    <row r="7229">
      <c r="A7229" s="4" t="s">
        <v>9089</v>
      </c>
      <c r="B7229" s="4" t="s">
        <v>9091</v>
      </c>
      <c r="C7229" s="5" t="str">
        <f>IFERROR(__xludf.DUMMYFUNCTION("GOOGLETRANSLATE(B7229,""en"",""es-ES"")"),"Ella sopla humo y juega con su cabello.")</f>
        <v>Ella sopla humo y juega con su cabello.</v>
      </c>
    </row>
    <row r="7230">
      <c r="A7230" s="4" t="s">
        <v>9089</v>
      </c>
      <c r="B7230" s="4" t="s">
        <v>9092</v>
      </c>
      <c r="C7230" s="5" t="str">
        <f>IFERROR(__xludf.DUMMYFUNCTION("GOOGLETRANSLATE(B7230,""en"",""es-ES"")"),"Ella sigue fumando y soplando fumando casualmente por su sola.")</f>
        <v>Ella sigue fumando y soplando fumando casualmente por su sola.</v>
      </c>
    </row>
    <row r="7231">
      <c r="A7231" s="4" t="s">
        <v>9089</v>
      </c>
      <c r="B7231" s="4" t="s">
        <v>9093</v>
      </c>
      <c r="C7231" s="5" t="str">
        <f>IFERROR(__xludf.DUMMYFUNCTION("GOOGLETRANSLATE(B7231,""en"",""es-ES"")"),"Ella exhala una última vez y luego saca su cigarrillo en una pared.")</f>
        <v>Ella exhala una última vez y luego saca su cigarrillo en una pared.</v>
      </c>
    </row>
    <row r="7232">
      <c r="A7232" s="4" t="s">
        <v>9094</v>
      </c>
      <c r="B7232" s="4" t="s">
        <v>9095</v>
      </c>
      <c r="C7232" s="5" t="str">
        <f>IFERROR(__xludf.DUMMYFUNCTION("GOOGLETRANSLATE(B7232,""en"",""es-ES"")"),"Un par de equipos están jugando lacrosse en un campo abierto.")</f>
        <v>Un par de equipos están jugando lacrosse en un campo abierto.</v>
      </c>
    </row>
    <row r="7233">
      <c r="A7233" s="4" t="s">
        <v>9094</v>
      </c>
      <c r="B7233" s="4" t="s">
        <v>9096</v>
      </c>
      <c r="C7233" s="5" t="str">
        <f>IFERROR(__xludf.DUMMYFUNCTION("GOOGLETRANSLATE(B7233,""en"",""es-ES"")"),"Una multitud observa el juego con atención.")</f>
        <v>Una multitud observa el juego con atención.</v>
      </c>
    </row>
    <row r="7234">
      <c r="A7234" s="4" t="s">
        <v>9094</v>
      </c>
      <c r="B7234" s="4" t="s">
        <v>9097</v>
      </c>
      <c r="C7234" s="5" t="str">
        <f>IFERROR(__xludf.DUMMYFUNCTION("GOOGLETRANSLATE(B7234,""en"",""es-ES"")"),"Los jugadores corren de un lado a otro por el campo, golpeando la pelota en goles.")</f>
        <v>Los jugadores corren de un lado a otro por el campo, golpeando la pelota en goles.</v>
      </c>
    </row>
    <row r="7235">
      <c r="A7235" s="4" t="s">
        <v>9098</v>
      </c>
      <c r="B7235" s="4" t="s">
        <v>9099</v>
      </c>
      <c r="C7235" s="5" t="str">
        <f>IFERROR(__xludf.DUMMYFUNCTION("GOOGLETRANSLATE(B7235,""en"",""es-ES"")"),"Se ve a un hombre hablando con la cámara mientras pela las papas y mira a la cámara.")</f>
        <v>Se ve a un hombre hablando con la cámara mientras pela las papas y mira a la cámara.</v>
      </c>
    </row>
    <row r="7236">
      <c r="A7236" s="4" t="s">
        <v>9098</v>
      </c>
      <c r="B7236" s="4" t="s">
        <v>9100</v>
      </c>
      <c r="C7236" s="5" t="str">
        <f>IFERROR(__xludf.DUMMYFUNCTION("GOOGLETRANSLATE(B7236,""en"",""es-ES"")"),"La cámara se desplaza alrededor del hombre continuamente mientras continúa peleando las papas y habla.")</f>
        <v>La cámara se desplaza alrededor del hombre continuamente mientras continúa peleando las papas y habla.</v>
      </c>
    </row>
    <row r="7237">
      <c r="A7237" s="4" t="s">
        <v>9101</v>
      </c>
      <c r="B7237" s="4" t="s">
        <v>9102</v>
      </c>
      <c r="C7237" s="5" t="str">
        <f>IFERROR(__xludf.DUMMYFUNCTION("GOOGLETRANSLATE(B7237,""en"",""es-ES"")"),"Una mujer está hablando con una cámara web en su habitación.")</f>
        <v>Una mujer está hablando con una cámara web en su habitación.</v>
      </c>
    </row>
    <row r="7238">
      <c r="A7238" s="4" t="s">
        <v>9101</v>
      </c>
      <c r="B7238" s="4" t="s">
        <v>9103</v>
      </c>
      <c r="C7238" s="5" t="str">
        <f>IFERROR(__xludf.DUMMYFUNCTION("GOOGLETRANSLATE(B7238,""en"",""es-ES"")"),"Ella comienza a jugar con su cabello, separando parte de él y trenzándolo.")</f>
        <v>Ella comienza a jugar con su cabello, separando parte de él y trenzándolo.</v>
      </c>
    </row>
    <row r="7239">
      <c r="A7239" s="4" t="s">
        <v>9101</v>
      </c>
      <c r="B7239" s="4" t="s">
        <v>9104</v>
      </c>
      <c r="C7239" s="5" t="str">
        <f>IFERROR(__xludf.DUMMYFUNCTION("GOOGLETRANSLATE(B7239,""en"",""es-ES"")"),"Ella coloca la primera trenza en su boca mientras crea otra.")</f>
        <v>Ella coloca la primera trenza en su boca mientras crea otra.</v>
      </c>
    </row>
    <row r="7240">
      <c r="A7240" s="4" t="s">
        <v>9101</v>
      </c>
      <c r="B7240" s="4" t="s">
        <v>9105</v>
      </c>
      <c r="C7240" s="5" t="str">
        <f>IFERROR(__xludf.DUMMYFUNCTION("GOOGLETRANSLATE(B7240,""en"",""es-ES"")"),"Ella cruza las trenzas y coloca una banda de goma.")</f>
        <v>Ella cruza las trenzas y coloca una banda de goma.</v>
      </c>
    </row>
    <row r="7241">
      <c r="A7241" s="4" t="s">
        <v>9101</v>
      </c>
      <c r="B7241" s="4" t="s">
        <v>9106</v>
      </c>
      <c r="C7241" s="5" t="str">
        <f>IFERROR(__xludf.DUMMYFUNCTION("GOOGLETRANSLATE(B7241,""en"",""es-ES"")"),"Ella comienza a hacer el mismo proceso con el otro lado de su cabello.")</f>
        <v>Ella comienza a hacer el mismo proceso con el otro lado de su cabello.</v>
      </c>
    </row>
    <row r="7242">
      <c r="A7242" s="4" t="s">
        <v>9101</v>
      </c>
      <c r="B7242" s="4" t="s">
        <v>9107</v>
      </c>
      <c r="C7242" s="5" t="str">
        <f>IFERROR(__xludf.DUMMYFUNCTION("GOOGLETRANSLATE(B7242,""en"",""es-ES"")"),"El video termina cortando una imagen fija de la misma chica y rastreando hacia arriba y hacia abajo.")</f>
        <v>El video termina cortando una imagen fija de la misma chica y rastreando hacia arriba y hacia abajo.</v>
      </c>
    </row>
    <row r="7243">
      <c r="A7243" s="4" t="s">
        <v>9108</v>
      </c>
      <c r="B7243" s="4" t="s">
        <v>9109</v>
      </c>
      <c r="C7243" s="5" t="str">
        <f>IFERROR(__xludf.DUMMYFUNCTION("GOOGLETRANSLATE(B7243,""en"",""es-ES"")"),"Un hombre está parado frente a una pantalla blanca.")</f>
        <v>Un hombre está parado frente a una pantalla blanca.</v>
      </c>
    </row>
    <row r="7244">
      <c r="A7244" s="4" t="s">
        <v>9108</v>
      </c>
      <c r="B7244" s="4" t="s">
        <v>9110</v>
      </c>
      <c r="C7244" s="5" t="str">
        <f>IFERROR(__xludf.DUMMYFUNCTION("GOOGLETRANSLATE(B7244,""en"",""es-ES"")"),"Él está hablando del saxofón en sus manos y mostrando las posiciones de la mano adecuadas.")</f>
        <v>Él está hablando del saxofón en sus manos y mostrando las posiciones de la mano adecuadas.</v>
      </c>
    </row>
    <row r="7245">
      <c r="A7245" s="4" t="s">
        <v>9108</v>
      </c>
      <c r="B7245" s="4" t="s">
        <v>9111</v>
      </c>
      <c r="C7245" s="5" t="str">
        <f>IFERROR(__xludf.DUMMYFUNCTION("GOOGLETRANSLATE(B7245,""en"",""es-ES"")"),"Demuestra cómo tocar el instrumento.")</f>
        <v>Demuestra cómo tocar el instrumento.</v>
      </c>
    </row>
    <row r="7246">
      <c r="A7246" s="4" t="s">
        <v>9112</v>
      </c>
      <c r="B7246" s="4" t="s">
        <v>9113</v>
      </c>
      <c r="C7246" s="5" t="str">
        <f>IFERROR(__xludf.DUMMYFUNCTION("GOOGLETRANSLATE(B7246,""en"",""es-ES"")"),"Una persona que usa un traje blanco grande se muestra rociando una cerca con agua.")</f>
        <v>Una persona que usa un traje blanco grande se muestra rociando una cerca con agua.</v>
      </c>
    </row>
    <row r="7247">
      <c r="A7247" s="4" t="s">
        <v>9112</v>
      </c>
      <c r="B7247" s="4" t="s">
        <v>9114</v>
      </c>
      <c r="C7247" s="5" t="str">
        <f>IFERROR(__xludf.DUMMYFUNCTION("GOOGLETRANSLATE(B7247,""en"",""es-ES"")"),"La persona se muestra desde varios ángulos que realizan la tarea y hace que la cerca se vea nueva.")</f>
        <v>La persona se muestra desde varios ángulos que realizan la tarea y hace que la cerca se vea nueva.</v>
      </c>
    </row>
    <row r="7248">
      <c r="A7248" s="4" t="s">
        <v>9115</v>
      </c>
      <c r="B7248" s="4" t="s">
        <v>9116</v>
      </c>
      <c r="C7248" s="5" t="str">
        <f>IFERROR(__xludf.DUMMYFUNCTION("GOOGLETRANSLATE(B7248,""en"",""es-ES"")"),"Una mujer parece estar haciendo trucos con un hula hooping mientras es muy flexible con su cuerpo.")</f>
        <v>Una mujer parece estar haciendo trucos con un hula hooping mientras es muy flexible con su cuerpo.</v>
      </c>
    </row>
    <row r="7249">
      <c r="A7249" s="4" t="s">
        <v>9115</v>
      </c>
      <c r="B7249" s="4" t="s">
        <v>9117</v>
      </c>
      <c r="C7249" s="5" t="str">
        <f>IFERROR(__xludf.DUMMYFUNCTION("GOOGLETRANSLATE(B7249,""en"",""es-ES"")"),"La señora también monta una bicicleta de una rueda mientras está hula hooping.")</f>
        <v>La señora también monta una bicicleta de una rueda mientras está hula hooping.</v>
      </c>
    </row>
    <row r="7250">
      <c r="A7250" s="4" t="s">
        <v>9115</v>
      </c>
      <c r="B7250" s="4" t="s">
        <v>9118</v>
      </c>
      <c r="C7250" s="5" t="str">
        <f>IFERROR(__xludf.DUMMYFUNCTION("GOOGLETRANSLATE(B7250,""en"",""es-ES"")"),"La niña luego Hula Hoops mientras está de pie sobre una colchoneta y luego Hula Hoops con dos Hula Hoops parados en el mismo lugar.")</f>
        <v>La niña luego Hula Hoops mientras está de pie sobre una colchoneta y luego Hula Hoops con dos Hula Hoops parados en el mismo lugar.</v>
      </c>
    </row>
    <row r="7251">
      <c r="A7251" s="4" t="s">
        <v>9115</v>
      </c>
      <c r="B7251" s="4" t="s">
        <v>9119</v>
      </c>
      <c r="C7251" s="5" t="str">
        <f>IFERROR(__xludf.DUMMYFUNCTION("GOOGLETRANSLATE(B7251,""en"",""es-ES"")"),"La niña luego Hula Hoops colgando boca abajo, también hula Hula alrededor de su mano mientras se divide en una colchoneta.")</f>
        <v>La niña luego Hula Hoops colgando boca abajo, también hula Hula alrededor de su mano mientras se divide en una colchoneta.</v>
      </c>
    </row>
    <row r="7252">
      <c r="A7252" s="4" t="s">
        <v>9115</v>
      </c>
      <c r="B7252" s="4" t="s">
        <v>9120</v>
      </c>
      <c r="C7252" s="5" t="str">
        <f>IFERROR(__xludf.DUMMYFUNCTION("GOOGLETRANSLATE(B7252,""en"",""es-ES"")"),"La niña Hula Hoops Un gran neumático Hula Hoop y luego Hula Hoops con tres hula hoops usando sus dos manos y un pie del aire.")</f>
        <v>La niña Hula Hoops Un gran neumático Hula Hoop y luego Hula Hoops con tres hula hoops usando sus dos manos y un pie del aire.</v>
      </c>
    </row>
    <row r="7253">
      <c r="A7253" s="4" t="s">
        <v>9115</v>
      </c>
      <c r="B7253" s="4" t="s">
        <v>9121</v>
      </c>
      <c r="C7253" s="5" t="str">
        <f>IFERROR(__xludf.DUMMYFUNCTION("GOOGLETRANSLATE(B7253,""en"",""es-ES"")"),"La niña intenta hula hoop muchos Hula Hoops a la vez mientras otras chicas siguen agregando más a ella.")</f>
        <v>La niña intenta hula hoop muchos Hula Hoops a la vez mientras otras chicas siguen agregando más a ella.</v>
      </c>
    </row>
    <row r="7254">
      <c r="A7254" s="4" t="s">
        <v>9122</v>
      </c>
      <c r="B7254" s="4" t="s">
        <v>9123</v>
      </c>
      <c r="C7254" s="5" t="str">
        <f>IFERROR(__xludf.DUMMYFUNCTION("GOOGLETRANSLATE(B7254,""en"",""es-ES"")"),"Tres hombres vestidos con equipo de esgrima están parados en un gimnasio.")</f>
        <v>Tres hombres vestidos con equipo de esgrima están parados en un gimnasio.</v>
      </c>
    </row>
    <row r="7255">
      <c r="A7255" s="4" t="s">
        <v>9122</v>
      </c>
      <c r="B7255" s="4" t="s">
        <v>9124</v>
      </c>
      <c r="C7255" s="5" t="str">
        <f>IFERROR(__xludf.DUMMYFUNCTION("GOOGLETRANSLATE(B7255,""en"",""es-ES"")"),"El hombre en el medio está hablando y los otros dos permanecen quieto.")</f>
        <v>El hombre en el medio está hablando y los otros dos permanecen quieto.</v>
      </c>
    </row>
    <row r="7256">
      <c r="A7256" s="4" t="s">
        <v>9122</v>
      </c>
      <c r="B7256" s="4" t="s">
        <v>9125</v>
      </c>
      <c r="C7256" s="5" t="str">
        <f>IFERROR(__xludf.DUMMYFUNCTION("GOOGLETRANSLATE(B7256,""en"",""es-ES"")"),"Los dos hombres comienzan a hacer movimientos mientras el hombre les indica, mostrando las diferentes técnicas de esgrima.")</f>
        <v>Los dos hombres comienzan a hacer movimientos mientras el hombre les indica, mostrando las diferentes técnicas de esgrima.</v>
      </c>
    </row>
    <row r="7257">
      <c r="A7257" s="4" t="s">
        <v>9122</v>
      </c>
      <c r="B7257" s="4" t="s">
        <v>9126</v>
      </c>
      <c r="C7257" s="5" t="str">
        <f>IFERROR(__xludf.DUMMYFUNCTION("GOOGLETRANSLATE(B7257,""en"",""es-ES"")"),"Luchan lentamente, mostrando cada paso antes de culminar en las últimas palabras del hombre en la pantalla.")</f>
        <v>Luchan lentamente, mostrando cada paso antes de culminar en las últimas palabras del hombre en la pantalla.</v>
      </c>
    </row>
    <row r="7258">
      <c r="A7258" s="4" t="s">
        <v>9127</v>
      </c>
      <c r="B7258" s="4" t="s">
        <v>9128</v>
      </c>
      <c r="C7258" s="5" t="str">
        <f>IFERROR(__xludf.DUMMYFUNCTION("GOOGLETRANSLATE(B7258,""en"",""es-ES"")"),"Un hombre está hablando en su cocina.")</f>
        <v>Un hombre está hablando en su cocina.</v>
      </c>
    </row>
    <row r="7259">
      <c r="A7259" s="4" t="s">
        <v>9127</v>
      </c>
      <c r="B7259" s="4" t="s">
        <v>9129</v>
      </c>
      <c r="C7259" s="5" t="str">
        <f>IFERROR(__xludf.DUMMYFUNCTION("GOOGLETRANSLATE(B7259,""en"",""es-ES"")"),"Muestra cómo mezclar una salsa en la pasta y sazonarla.")</f>
        <v>Muestra cómo mezclar una salsa en la pasta y sazonarla.</v>
      </c>
    </row>
    <row r="7260">
      <c r="A7260" s="4" t="s">
        <v>9127</v>
      </c>
      <c r="B7260" s="4" t="s">
        <v>9130</v>
      </c>
      <c r="C7260" s="5" t="str">
        <f>IFERROR(__xludf.DUMMYFUNCTION("GOOGLETRANSLATE(B7260,""en"",""es-ES"")"),"Luego muestra cómo plantar y servir la comida.")</f>
        <v>Luego muestra cómo plantar y servir la comida.</v>
      </c>
    </row>
    <row r="7261">
      <c r="A7261" s="4" t="s">
        <v>9131</v>
      </c>
      <c r="B7261" s="4" t="s">
        <v>9132</v>
      </c>
      <c r="C7261" s="5" t="str">
        <f>IFERROR(__xludf.DUMMYFUNCTION("GOOGLETRANSLATE(B7261,""en"",""es-ES"")"),"Una mujer salto con pértiga sobre una barra alta.")</f>
        <v>Una mujer salto con pértiga sobre una barra alta.</v>
      </c>
    </row>
    <row r="7262">
      <c r="A7262" s="4" t="s">
        <v>9131</v>
      </c>
      <c r="B7262" s="4" t="s">
        <v>9133</v>
      </c>
      <c r="C7262" s="5" t="str">
        <f>IFERROR(__xludf.DUMMYFUNCTION("GOOGLETRANSLATE(B7262,""en"",""es-ES"")"),"Ella aterriza en una alfombra amarilla debajo de ella.")</f>
        <v>Ella aterriza en una alfombra amarilla debajo de ella.</v>
      </c>
    </row>
    <row r="7263">
      <c r="A7263" s="4" t="s">
        <v>9131</v>
      </c>
      <c r="B7263" s="4" t="s">
        <v>2042</v>
      </c>
      <c r="C7263" s="5" t="str">
        <f>IFERROR(__xludf.DUMMYFUNCTION("GOOGLETRANSLATE(B7263,""en"",""es-ES"")"),"Las palabras entran en la pantalla al final.")</f>
        <v>Las palabras entran en la pantalla al final.</v>
      </c>
    </row>
    <row r="7264">
      <c r="A7264" s="4" t="s">
        <v>9134</v>
      </c>
      <c r="B7264" s="4" t="s">
        <v>9135</v>
      </c>
      <c r="C7264" s="5" t="str">
        <f>IFERROR(__xludf.DUMMYFUNCTION("GOOGLETRANSLATE(B7264,""en"",""es-ES"")"),"Un joven está hablando de la cámara.")</f>
        <v>Un joven está hablando de la cámara.</v>
      </c>
    </row>
    <row r="7265">
      <c r="A7265" s="4" t="s">
        <v>9134</v>
      </c>
      <c r="B7265" s="4" t="s">
        <v>9136</v>
      </c>
      <c r="C7265" s="5" t="str">
        <f>IFERROR(__xludf.DUMMYFUNCTION("GOOGLETRANSLATE(B7265,""en"",""es-ES"")"),"El hombre se para con un palo en la mano.")</f>
        <v>El hombre se para con un palo en la mano.</v>
      </c>
    </row>
    <row r="7266">
      <c r="A7266" s="4" t="s">
        <v>9134</v>
      </c>
      <c r="B7266" s="4" t="s">
        <v>9137</v>
      </c>
      <c r="C7266" s="5" t="str">
        <f>IFERROR(__xludf.DUMMYFUNCTION("GOOGLETRANSLATE(B7266,""en"",""es-ES"")"),"El hombre apunta lejos de sí mismo.")</f>
        <v>El hombre apunta lejos de sí mismo.</v>
      </c>
    </row>
    <row r="7267">
      <c r="A7267" s="4" t="s">
        <v>9134</v>
      </c>
      <c r="B7267" s="4" t="s">
        <v>9138</v>
      </c>
      <c r="C7267" s="5" t="str">
        <f>IFERROR(__xludf.DUMMYFUNCTION("GOOGLETRANSLATE(B7267,""en"",""es-ES"")"),"El hombre toma el palo y empuja los discos alrededor del suelo.")</f>
        <v>El hombre toma el palo y empuja los discos alrededor del suelo.</v>
      </c>
    </row>
    <row r="7268">
      <c r="A7268" s="4" t="s">
        <v>9139</v>
      </c>
      <c r="B7268" s="4" t="s">
        <v>9140</v>
      </c>
      <c r="C7268" s="5" t="str">
        <f>IFERROR(__xludf.DUMMYFUNCTION("GOOGLETRANSLATE(B7268,""en"",""es-ES"")"),"Mujer pone un huevo en un tazón y mezcle con vainilla.")</f>
        <v>Mujer pone un huevo en un tazón y mezcle con vainilla.</v>
      </c>
    </row>
    <row r="7269">
      <c r="A7269" s="4" t="s">
        <v>9139</v>
      </c>
      <c r="B7269" s="4" t="s">
        <v>9141</v>
      </c>
      <c r="C7269" s="5" t="str">
        <f>IFERROR(__xludf.DUMMYFUNCTION("GOOGLETRANSLATE(B7269,""en"",""es-ES"")"),"La avena rápida y el polvo de hornear, el cacao en polvo y la sal se mezclan en un tazón.")</f>
        <v>La avena rápida y el polvo de hornear, el cacao en polvo y la sal se mezclan en un tazón.</v>
      </c>
    </row>
    <row r="7270">
      <c r="A7270" s="4" t="s">
        <v>9139</v>
      </c>
      <c r="B7270" s="4" t="s">
        <v>9142</v>
      </c>
      <c r="C7270" s="5" t="str">
        <f>IFERROR(__xludf.DUMMYFUNCTION("GOOGLETRANSLATE(B7270,""en"",""es-ES"")"),"Una barra de chocolate se corta en pedazos con nueces y se coloca en un tazón.")</f>
        <v>Una barra de chocolate se corta en pedazos con nueces y se coloca en un tazón.</v>
      </c>
    </row>
    <row r="7271">
      <c r="A7271" s="4" t="s">
        <v>9139</v>
      </c>
      <c r="B7271" s="4" t="s">
        <v>9143</v>
      </c>
      <c r="C7271" s="5" t="str">
        <f>IFERROR(__xludf.DUMMYFUNCTION("GOOGLETRANSLATE(B7271,""en"",""es-ES"")"),"El azúcar y la mantequilla se mezclan en un tazón hasta que la crema y coloque la vainilla y los ingredientes en polvo con el chocolate y los nueces.")</f>
        <v>El azúcar y la mantequilla se mezclan en un tazón hasta que la crema y coloque la vainilla y los ingredientes en polvo con el chocolate y los nueces.</v>
      </c>
    </row>
    <row r="7272">
      <c r="A7272" s="4" t="s">
        <v>9139</v>
      </c>
      <c r="B7272" s="4" t="s">
        <v>9144</v>
      </c>
      <c r="C7272" s="5" t="str">
        <f>IFERROR(__xludf.DUMMYFUNCTION("GOOGLETRANSLATE(B7272,""en"",""es-ES"")"),"Themix se envuelve y se pone en un refrigerador.")</f>
        <v>Themix se envuelve y se pone en un refrigerador.</v>
      </c>
    </row>
    <row r="7273">
      <c r="A7273" s="4" t="s">
        <v>9139</v>
      </c>
      <c r="B7273" s="4" t="s">
        <v>9145</v>
      </c>
      <c r="C7273" s="5" t="str">
        <f>IFERROR(__xludf.DUMMYFUNCTION("GOOGLETRANSLATE(B7273,""en"",""es-ES"")"),"El lote está en una sartén y AR listo para comer.")</f>
        <v>El lote está en una sartén y AR listo para comer.</v>
      </c>
    </row>
    <row r="7274">
      <c r="A7274" s="4" t="s">
        <v>9146</v>
      </c>
      <c r="B7274" s="4" t="s">
        <v>9147</v>
      </c>
      <c r="C7274" s="5" t="str">
        <f>IFERROR(__xludf.DUMMYFUNCTION("GOOGLETRANSLATE(B7274,""en"",""es-ES"")"),"Un hombre está parado en un espectáculo tocando gaitas mientras que otros a su alrededor miran con asombro.")</f>
        <v>Un hombre está parado en un espectáculo tocando gaitas mientras que otros a su alrededor miran con asombro.</v>
      </c>
    </row>
    <row r="7275">
      <c r="A7275" s="4" t="s">
        <v>9146</v>
      </c>
      <c r="B7275" s="4" t="s">
        <v>9148</v>
      </c>
      <c r="C7275" s="5" t="str">
        <f>IFERROR(__xludf.DUMMYFUNCTION("GOOGLETRANSLATE(B7275,""en"",""es-ES"")"),"El hombre continúa jugando y la audiencia aplaude cuando termina.")</f>
        <v>El hombre continúa jugando y la audiencia aplaude cuando termina.</v>
      </c>
    </row>
    <row r="7276">
      <c r="A7276" s="4" t="s">
        <v>9146</v>
      </c>
      <c r="B7276" s="4" t="s">
        <v>9149</v>
      </c>
      <c r="C7276" s="5" t="str">
        <f>IFERROR(__xludf.DUMMYFUNCTION("GOOGLETRANSLATE(B7276,""en"",""es-ES"")"),"Demuestra el instrumento a un hombre que entra y le da al anfitrión un apretón de manos.")</f>
        <v>Demuestra el instrumento a un hombre que entra y le da al anfitrión un apretón de manos.</v>
      </c>
    </row>
    <row r="7277">
      <c r="A7277" s="4" t="s">
        <v>9146</v>
      </c>
      <c r="B7277" s="4" t="s">
        <v>9150</v>
      </c>
      <c r="C7277" s="5" t="str">
        <f>IFERROR(__xludf.DUMMYFUNCTION("GOOGLETRANSLATE(B7277,""en"",""es-ES"")"),"Habla un poco con el anfitrión y tiene una pose antes de que el anfitrión termine con el invitado.")</f>
        <v>Habla un poco con el anfitrión y tiene una pose antes de que el anfitrión termine con el invitado.</v>
      </c>
    </row>
    <row r="7278">
      <c r="A7278" s="4" t="s">
        <v>9151</v>
      </c>
      <c r="B7278" s="4" t="s">
        <v>9152</v>
      </c>
      <c r="C7278" s="5" t="str">
        <f>IFERROR(__xludf.DUMMYFUNCTION("GOOGLETRANSLATE(B7278,""en"",""es-ES"")"),"Una persona practica driblar y disparar la pelota caminando o corriendo en la cancha, mientras un hombre observa el entrenamiento.")</f>
        <v>Una persona practica driblar y disparar la pelota caminando o corriendo en la cancha, mientras un hombre observa el entrenamiento.</v>
      </c>
    </row>
    <row r="7279">
      <c r="A7279" s="4" t="s">
        <v>9151</v>
      </c>
      <c r="B7279" s="4" t="s">
        <v>9153</v>
      </c>
      <c r="C7279" s="5" t="str">
        <f>IFERROR(__xludf.DUMMYFUNCTION("GOOGLETRANSLATE(B7279,""en"",""es-ES"")"),"El hombre se para y deja la corte.")</f>
        <v>El hombre se para y deja la corte.</v>
      </c>
    </row>
    <row r="7280">
      <c r="A7280" s="4" t="s">
        <v>9151</v>
      </c>
      <c r="B7280" s="4" t="s">
        <v>9154</v>
      </c>
      <c r="C7280" s="5" t="str">
        <f>IFERROR(__xludf.DUMMYFUNCTION("GOOGLETRANSLATE(B7280,""en"",""es-ES"")"),"Después, varios hombres practican el baloncesto en una cancha.")</f>
        <v>Después, varios hombres practican el baloncesto en una cancha.</v>
      </c>
    </row>
    <row r="7281">
      <c r="A7281" s="4" t="s">
        <v>9155</v>
      </c>
      <c r="B7281" s="4" t="s">
        <v>9156</v>
      </c>
      <c r="C7281" s="5" t="str">
        <f>IFERROR(__xludf.DUMMYFUNCTION("GOOGLETRANSLATE(B7281,""en"",""es-ES"")"),"La palabra feliz está escrita en guijarros en el costado de la arena.")</f>
        <v>La palabra feliz está escrita en guijarros en el costado de la arena.</v>
      </c>
    </row>
    <row r="7282">
      <c r="A7282" s="4" t="s">
        <v>9155</v>
      </c>
      <c r="B7282" s="4" t="s">
        <v>9157</v>
      </c>
      <c r="C7282" s="5" t="str">
        <f>IFERROR(__xludf.DUMMYFUNCTION("GOOGLETRANSLATE(B7282,""en"",""es-ES"")"),"Se muestra un gran cuerpo de agua azul cristalina y se encuentra un gran bote con personas.")</f>
        <v>Se muestra un gran cuerpo de agua azul cristalina y se encuentra un gran bote con personas.</v>
      </c>
    </row>
    <row r="7283">
      <c r="A7283" s="4" t="s">
        <v>9155</v>
      </c>
      <c r="B7283" s="4" t="s">
        <v>9158</v>
      </c>
      <c r="C7283" s="5" t="str">
        <f>IFERROR(__xludf.DUMMYFUNCTION("GOOGLETRANSLATE(B7283,""en"",""es-ES"")"),"Las personas comenzaron a bailar y saltar del bote y disfrutar en el agua.")</f>
        <v>Las personas comenzaron a bailar y saltar del bote y disfrutar en el agua.</v>
      </c>
    </row>
    <row r="7284">
      <c r="A7284" s="4" t="s">
        <v>9155</v>
      </c>
      <c r="B7284" s="4" t="s">
        <v>9159</v>
      </c>
      <c r="C7284" s="5" t="str">
        <f>IFERROR(__xludf.DUMMYFUNCTION("GOOGLETRANSLATE(B7284,""en"",""es-ES"")"),"A medida que la gente continúa, tres o cuatro personas están en el agua nadando con gafas puestas.")</f>
        <v>A medida que la gente continúa, tres o cuatro personas están en el agua nadando con gafas puestas.</v>
      </c>
    </row>
    <row r="7285">
      <c r="A7285" s="4" t="s">
        <v>9160</v>
      </c>
      <c r="B7285" s="4" t="s">
        <v>9161</v>
      </c>
      <c r="C7285" s="5" t="str">
        <f>IFERROR(__xludf.DUMMYFUNCTION("GOOGLETRANSLATE(B7285,""en"",""es-ES"")"),"Un hombre de rojo se para en un escenario.")</f>
        <v>Un hombre de rojo se para en un escenario.</v>
      </c>
    </row>
    <row r="7286">
      <c r="A7286" s="4" t="s">
        <v>9160</v>
      </c>
      <c r="B7286" s="4" t="s">
        <v>9162</v>
      </c>
      <c r="C7286" s="5" t="str">
        <f>IFERROR(__xludf.DUMMYFUNCTION("GOOGLETRANSLATE(B7286,""en"",""es-ES"")"),"Levanta una barra sobre su cabeza.")</f>
        <v>Levanta una barra sobre su cabeza.</v>
      </c>
    </row>
    <row r="7287">
      <c r="A7287" s="4" t="s">
        <v>9160</v>
      </c>
      <c r="B7287" s="4" t="s">
        <v>9163</v>
      </c>
      <c r="C7287" s="5" t="str">
        <f>IFERROR(__xludf.DUMMYFUNCTION("GOOGLETRANSLATE(B7287,""en"",""es-ES"")"),"Él deja caer la barra en el suelo.")</f>
        <v>Él deja caer la barra en el suelo.</v>
      </c>
    </row>
    <row r="7288">
      <c r="A7288" s="4" t="s">
        <v>9160</v>
      </c>
      <c r="B7288" s="4" t="s">
        <v>9164</v>
      </c>
      <c r="C7288" s="5" t="str">
        <f>IFERROR(__xludf.DUMMYFUNCTION("GOOGLETRANSLATE(B7288,""en"",""es-ES"")"),"Varias personas lo animan.")</f>
        <v>Varias personas lo animan.</v>
      </c>
    </row>
    <row r="7289">
      <c r="A7289" s="4" t="s">
        <v>9165</v>
      </c>
      <c r="B7289" s="4" t="s">
        <v>9166</v>
      </c>
      <c r="C7289" s="5" t="str">
        <f>IFERROR(__xludf.DUMMYFUNCTION("GOOGLETRANSLATE(B7289,""en"",""es-ES"")"),"La mujer con camisa blanca está de pie, luego se arrodilla junto a una gran bolsa de plástico en el suelo.")</f>
        <v>La mujer con camisa blanca está de pie, luego se arrodilla junto a una gran bolsa de plástico en el suelo.</v>
      </c>
    </row>
    <row r="7290">
      <c r="A7290" s="4" t="s">
        <v>9165</v>
      </c>
      <c r="B7290" s="4" t="s">
        <v>9167</v>
      </c>
      <c r="C7290" s="5" t="str">
        <f>IFERROR(__xludf.DUMMYFUNCTION("GOOGLETRANSLATE(B7290,""en"",""es-ES"")"),"Abrió la bolsa, colocó el contenido de la bolsa en el agujero desigual en el suelo y la aplanó usando su mano enguantada.")</f>
        <v>Abrió la bolsa, colocó el contenido de la bolsa en el agujero desigual en el suelo y la aplanó usando su mano enguantada.</v>
      </c>
    </row>
    <row r="7291">
      <c r="A7291" s="4" t="s">
        <v>9165</v>
      </c>
      <c r="B7291" s="4" t="s">
        <v>9168</v>
      </c>
      <c r="C7291" s="5" t="str">
        <f>IFERROR(__xludf.DUMMYFUNCTION("GOOGLETRANSLATE(B7291,""en"",""es-ES"")"),"Miró la cámara y habló mientras estaba arrodillada al lado de las bolsas de plástico.")</f>
        <v>Miró la cámara y habló mientras estaba arrodillada al lado de las bolsas de plástico.</v>
      </c>
    </row>
    <row r="7292">
      <c r="A7292" s="4" t="s">
        <v>9165</v>
      </c>
      <c r="B7292" s="4" t="s">
        <v>9169</v>
      </c>
      <c r="C7292" s="5" t="str">
        <f>IFERROR(__xludf.DUMMYFUNCTION("GOOGLETRANSLATE(B7292,""en"",""es-ES"")"),"Puso otra bolsa en el suelo, los aplané usando su mano hasta que el área esté cubierta.")</f>
        <v>Puso otra bolsa en el suelo, los aplané usando su mano hasta que el área esté cubierta.</v>
      </c>
    </row>
    <row r="7293">
      <c r="A7293" s="4" t="s">
        <v>9165</v>
      </c>
      <c r="B7293" s="4" t="s">
        <v>9170</v>
      </c>
      <c r="C7293" s="5" t="str">
        <f>IFERROR(__xludf.DUMMYFUNCTION("GOOGLETRANSLATE(B7293,""en"",""es-ES"")"),"Ella camina hacia adelante, se dobla hacia el lado para aplanar un poco más de tierra.")</f>
        <v>Ella camina hacia adelante, se dobla hacia el lado para aplanar un poco más de tierra.</v>
      </c>
    </row>
    <row r="7294">
      <c r="A7294" s="4" t="s">
        <v>9171</v>
      </c>
      <c r="B7294" s="4" t="s">
        <v>9172</v>
      </c>
      <c r="C7294" s="5" t="str">
        <f>IFERROR(__xludf.DUMMYFUNCTION("GOOGLETRANSLATE(B7294,""en"",""es-ES"")"),"Dos mujeres están en un puesto uno frente al otro en una mesa que comienza a luchar contra el brazo.")</f>
        <v>Dos mujeres están en un puesto uno frente al otro en una mesa que comienza a luchar contra el brazo.</v>
      </c>
    </row>
    <row r="7295">
      <c r="A7295" s="4" t="s">
        <v>9171</v>
      </c>
      <c r="B7295" s="4" t="s">
        <v>9173</v>
      </c>
      <c r="C7295" s="5" t="str">
        <f>IFERROR(__xludf.DUMMYFUNCTION("GOOGLETRANSLATE(B7295,""en"",""es-ES"")"),"Hay una breve retención antes de que comiencen, porque su pulgar es inexacto.")</f>
        <v>Hay una breve retención antes de que comiencen, porque su pulgar es inexacto.</v>
      </c>
    </row>
    <row r="7296">
      <c r="A7296" s="4" t="s">
        <v>9171</v>
      </c>
      <c r="B7296" s="4" t="s">
        <v>9174</v>
      </c>
      <c r="C7296" s="5" t="str">
        <f>IFERROR(__xludf.DUMMYFUNCTION("GOOGLETRANSLATE(B7296,""en"",""es-ES"")"),"Una vez que finalmente comienzan, la niña de la izquierda gana, pero se detiene rápidamente y tienen que reiniciar y la misma niña gana nuevamente.")</f>
        <v>Una vez que finalmente comienzan, la niña de la izquierda gana, pero se detiene rápidamente y tienen que reiniciar y la misma niña gana nuevamente.</v>
      </c>
    </row>
    <row r="7297">
      <c r="A7297" s="4" t="s">
        <v>9175</v>
      </c>
      <c r="B7297" s="4" t="s">
        <v>9176</v>
      </c>
      <c r="C7297" s="5" t="str">
        <f>IFERROR(__xludf.DUMMYFUNCTION("GOOGLETRANSLATE(B7297,""en"",""es-ES"")"),"Un niño extiende la mantequilla de maní en dos rebanadas de pan.")</f>
        <v>Un niño extiende la mantequilla de maní en dos rebanadas de pan.</v>
      </c>
    </row>
    <row r="7298">
      <c r="A7298" s="4" t="s">
        <v>9175</v>
      </c>
      <c r="B7298" s="4" t="s">
        <v>9177</v>
      </c>
      <c r="C7298" s="5" t="str">
        <f>IFERROR(__xludf.DUMMYFUNCTION("GOOGLETRANSLATE(B7298,""en"",""es-ES"")"),"Entonces, el niño agrega en la gelatina superior.")</f>
        <v>Entonces, el niño agrega en la gelatina superior.</v>
      </c>
    </row>
    <row r="7299">
      <c r="A7299" s="4" t="s">
        <v>9175</v>
      </c>
      <c r="B7299" s="4" t="s">
        <v>9178</v>
      </c>
      <c r="C7299" s="5" t="str">
        <f>IFERROR(__xludf.DUMMYFUNCTION("GOOGLETRANSLATE(B7299,""en"",""es-ES"")"),"Después, el niño le da algo a la mantequilla de maní y al sándwich de gelatina.")</f>
        <v>Después, el niño le da algo a la mantequilla de maní y al sándwich de gelatina.</v>
      </c>
    </row>
    <row r="7300">
      <c r="A7300" s="4" t="s">
        <v>9179</v>
      </c>
      <c r="B7300" s="4" t="s">
        <v>9180</v>
      </c>
      <c r="C7300" s="5" t="str">
        <f>IFERROR(__xludf.DUMMYFUNCTION("GOOGLETRANSLATE(B7300,""en"",""es-ES"")"),"Hay una mujer en una blusa blanca junto con un hombre con una camisa blanca en un estudio que practica baile de salón de baile.")</f>
        <v>Hay una mujer en una blusa blanca junto con un hombre con una camisa blanca en un estudio que practica baile de salón de baile.</v>
      </c>
    </row>
    <row r="7301">
      <c r="A7301" s="4" t="s">
        <v>9179</v>
      </c>
      <c r="B7301" s="4" t="s">
        <v>9181</v>
      </c>
      <c r="C7301" s="5" t="str">
        <f>IFERROR(__xludf.DUMMYFUNCTION("GOOGLETRANSLATE(B7301,""en"",""es-ES"")"),"Están en una habitación con una pared llena de espejos.")</f>
        <v>Están en una habitación con una pared llena de espejos.</v>
      </c>
    </row>
    <row r="7302">
      <c r="A7302" s="4" t="s">
        <v>9179</v>
      </c>
      <c r="B7302" s="4" t="s">
        <v>9182</v>
      </c>
      <c r="C7302" s="5" t="str">
        <f>IFERROR(__xludf.DUMMYFUNCTION("GOOGLETRANSLATE(B7302,""en"",""es-ES"")"),"La señora está explicando los pasos del baile mientras ambos demuestran los movimientos y el trabajo de los pies involucrados en el baile.")</f>
        <v>La señora está explicando los pasos del baile mientras ambos demuestran los movimientos y el trabajo de los pies involucrados en el baile.</v>
      </c>
    </row>
    <row r="7303">
      <c r="A7303" s="4" t="s">
        <v>9179</v>
      </c>
      <c r="B7303" s="4" t="s">
        <v>9183</v>
      </c>
      <c r="C7303" s="5" t="str">
        <f>IFERROR(__xludf.DUMMYFUNCTION("GOOGLETRANSLATE(B7303,""en"",""es-ES"")"),"Van de un lado a otro mientras dan sus pasos mientras se sostienen las manos.")</f>
        <v>Van de un lado a otro mientras dan sus pasos mientras se sostienen las manos.</v>
      </c>
    </row>
    <row r="7304">
      <c r="A7304" s="4" t="s">
        <v>9184</v>
      </c>
      <c r="B7304" s="4" t="s">
        <v>9185</v>
      </c>
      <c r="C7304" s="5" t="str">
        <f>IFERROR(__xludf.DUMMYFUNCTION("GOOGLETRANSLATE(B7304,""en"",""es-ES"")"),"Un hombre pasa más allá de una tormenta que se acerca.")</f>
        <v>Un hombre pasa más allá de una tormenta que se acerca.</v>
      </c>
    </row>
    <row r="7305">
      <c r="A7305" s="4" t="s">
        <v>9184</v>
      </c>
      <c r="B7305" s="4" t="s">
        <v>9186</v>
      </c>
      <c r="C7305" s="5" t="str">
        <f>IFERROR(__xludf.DUMMYFUNCTION("GOOGLETRANSLATE(B7305,""en"",""es-ES"")"),"Los surfistas se ven en el agua, y la gente camina con sus tablas de surf.")</f>
        <v>Los surfistas se ven en el agua, y la gente camina con sus tablas de surf.</v>
      </c>
    </row>
    <row r="7306">
      <c r="A7306" s="4" t="s">
        <v>9184</v>
      </c>
      <c r="B7306" s="4" t="s">
        <v>9187</v>
      </c>
      <c r="C7306" s="5" t="str">
        <f>IFERROR(__xludf.DUMMYFUNCTION("GOOGLETRANSLATE(B7306,""en"",""es-ES"")"),"Un grupo de mujeres se reúne, y se ve una mantis rezando.")</f>
        <v>Un grupo de mujeres se reúne, y se ve una mantis rezando.</v>
      </c>
    </row>
    <row r="7307">
      <c r="A7307" s="4" t="s">
        <v>9184</v>
      </c>
      <c r="B7307" s="4" t="s">
        <v>9188</v>
      </c>
      <c r="C7307" s="5" t="str">
        <f>IFERROR(__xludf.DUMMYFUNCTION("GOOGLETRANSLATE(B7307,""en"",""es-ES"")"),"Luego se muestran numerosos surfistas, pasando y sobre varias olas.")</f>
        <v>Luego se muestran numerosos surfistas, pasando y sobre varias olas.</v>
      </c>
    </row>
    <row r="7308">
      <c r="A7308" s="4" t="s">
        <v>9189</v>
      </c>
      <c r="B7308" s="4" t="s">
        <v>9190</v>
      </c>
      <c r="C7308" s="5" t="str">
        <f>IFERROR(__xludf.DUMMYFUNCTION("GOOGLETRANSLATE(B7308,""en"",""es-ES"")"),"La mujer está pintando en un papel blanco hojas verdes en un árbol chino.")</f>
        <v>La mujer está pintando en un papel blanco hojas verdes en un árbol chino.</v>
      </c>
    </row>
    <row r="7309">
      <c r="A7309" s="4" t="s">
        <v>9189</v>
      </c>
      <c r="B7309" s="4" t="s">
        <v>9191</v>
      </c>
      <c r="C7309" s="5" t="str">
        <f>IFERROR(__xludf.DUMMYFUNCTION("GOOGLETRANSLATE(B7309,""en"",""es-ES"")"),"Se muestra una pintura roja y la mujer pone un sello en la esquina del papel.")</f>
        <v>Se muestra una pintura roja y la mujer pone un sello en la esquina del papel.</v>
      </c>
    </row>
    <row r="7310">
      <c r="A7310" s="4" t="s">
        <v>9189</v>
      </c>
      <c r="B7310" s="4" t="s">
        <v>9192</v>
      </c>
      <c r="C7310" s="5" t="str">
        <f>IFERROR(__xludf.DUMMYFUNCTION("GOOGLETRANSLATE(B7310,""en"",""es-ES"")"),"La mujer está pintando una flor azul y la flor china púrpura.")</f>
        <v>La mujer está pintando una flor azul y la flor china púrpura.</v>
      </c>
    </row>
    <row r="7311">
      <c r="A7311" s="4" t="s">
        <v>9189</v>
      </c>
      <c r="B7311" s="4" t="s">
        <v>9193</v>
      </c>
      <c r="C7311" s="5" t="str">
        <f>IFERROR(__xludf.DUMMYFUNCTION("GOOGLETRANSLATE(B7311,""en"",""es-ES"")"),"Se pintan flores rojas y negras en un papel blanco con muy detalle para la misma mujer en una habitación oscura.")</f>
        <v>Se pintan flores rojas y negras en un papel blanco con muy detalle para la misma mujer en una habitación oscura.</v>
      </c>
    </row>
    <row r="7312">
      <c r="A7312" s="4" t="s">
        <v>9189</v>
      </c>
      <c r="B7312" s="4" t="s">
        <v>9194</v>
      </c>
      <c r="C7312" s="5" t="str">
        <f>IFERROR(__xludf.DUMMYFUNCTION("GOOGLETRANSLATE(B7312,""en"",""es-ES"")"),"La mujer usó un poco de pintura negra para hacer detalles, coloque el sello rojo en la esquina y terminó la pintura con colas amarillas y reddetas en las flores.")</f>
        <v>La mujer usó un poco de pintura negra para hacer detalles, coloque el sello rojo en la esquina y terminó la pintura con colas amarillas y reddetas en las flores.</v>
      </c>
    </row>
    <row r="7313">
      <c r="A7313" s="4" t="s">
        <v>9195</v>
      </c>
      <c r="B7313" s="4" t="s">
        <v>9196</v>
      </c>
      <c r="C7313" s="5" t="str">
        <f>IFERROR(__xludf.DUMMYFUNCTION("GOOGLETRANSLATE(B7313,""en"",""es-ES"")"),"Se muestra un primer plano de un hombre seguido por él haciendo una pregunta a una mujer en la playa.")</f>
        <v>Se muestra un primer plano de un hombre seguido por él haciendo una pregunta a una mujer en la playa.</v>
      </c>
    </row>
    <row r="7314">
      <c r="A7314" s="4" t="s">
        <v>9195</v>
      </c>
      <c r="B7314" s="4" t="s">
        <v>9197</v>
      </c>
      <c r="C7314" s="5" t="str">
        <f>IFERROR(__xludf.DUMMYFUNCTION("GOOGLETRANSLATE(B7314,""en"",""es-ES"")"),"Luego se muestra hablando con varias personas diferentes sosteniendo un frisbee y jugando un juego.")</f>
        <v>Luego se muestra hablando con varias personas diferentes sosteniendo un frisbee y jugando un juego.</v>
      </c>
    </row>
    <row r="7315">
      <c r="A7315" s="4" t="s">
        <v>9195</v>
      </c>
      <c r="B7315" s="4" t="s">
        <v>9198</v>
      </c>
      <c r="C7315" s="5" t="str">
        <f>IFERROR(__xludf.DUMMYFUNCTION("GOOGLETRANSLATE(B7315,""en"",""es-ES"")"),"Muchas mujeres se ríen con los hombres y el hombre les da a varias de ellas un beso.")</f>
        <v>Muchas mujeres se ríen con los hombres y el hombre les da a varias de ellas un beso.</v>
      </c>
    </row>
    <row r="7316">
      <c r="A7316" s="4" t="s">
        <v>9199</v>
      </c>
      <c r="B7316" s="4" t="s">
        <v>9200</v>
      </c>
      <c r="C7316" s="5" t="str">
        <f>IFERROR(__xludf.DUMMYFUNCTION("GOOGLETRANSLATE(B7316,""en"",""es-ES"")"),"Se ve a dos hombres saltando y pateando unos a otros realizando varias volteretas y trucos.")</f>
        <v>Se ve a dos hombres saltando y pateando unos a otros realizando varias volteretas y trucos.</v>
      </c>
    </row>
    <row r="7317">
      <c r="A7317" s="4" t="s">
        <v>9199</v>
      </c>
      <c r="B7317" s="4" t="s">
        <v>9201</v>
      </c>
      <c r="C7317" s="5" t="str">
        <f>IFERROR(__xludf.DUMMYFUNCTION("GOOGLETRANSLATE(B7317,""en"",""es-ES"")"),"Los hombres continúan girando entre sí, así como realizando movimientos de gimnasia en diferentes lugares.")</f>
        <v>Los hombres continúan girando entre sí, así como realizando movimientos de gimnasia en diferentes lugares.</v>
      </c>
    </row>
    <row r="7318">
      <c r="A7318" s="4" t="s">
        <v>9202</v>
      </c>
      <c r="B7318" s="4" t="s">
        <v>9203</v>
      </c>
      <c r="C7318" s="5" t="str">
        <f>IFERROR(__xludf.DUMMYFUNCTION("GOOGLETRANSLATE(B7318,""en"",""es-ES"")"),"Se ve una maceta de flores frente a una casa.")</f>
        <v>Se ve una maceta de flores frente a una casa.</v>
      </c>
    </row>
    <row r="7319">
      <c r="A7319" s="4" t="s">
        <v>9202</v>
      </c>
      <c r="B7319" s="4" t="s">
        <v>9204</v>
      </c>
      <c r="C7319" s="5" t="str">
        <f>IFERROR(__xludf.DUMMYFUNCTION("GOOGLETRANSLATE(B7319,""en"",""es-ES"")"),"Un techador clava los mosaicos en las vigas del techo de una casa.")</f>
        <v>Un techador clava los mosaicos en las vigas del techo de una casa.</v>
      </c>
    </row>
    <row r="7320">
      <c r="A7320" s="4" t="s">
        <v>9202</v>
      </c>
      <c r="B7320" s="4" t="s">
        <v>9205</v>
      </c>
      <c r="C7320" s="5" t="str">
        <f>IFERROR(__xludf.DUMMYFUNCTION("GOOGLETRANSLATE(B7320,""en"",""es-ES"")"),"El trabajador de la construcción se desliza en su lugar en un techo.")</f>
        <v>El trabajador de la construcción se desliza en su lugar en un techo.</v>
      </c>
    </row>
    <row r="7321">
      <c r="A7321" s="4" t="s">
        <v>9202</v>
      </c>
      <c r="B7321" s="4" t="s">
        <v>9206</v>
      </c>
      <c r="C7321" s="5" t="str">
        <f>IFERROR(__xludf.DUMMYFUNCTION("GOOGLETRANSLATE(B7321,""en"",""es-ES"")"),"Una tripulación de trabajadores de la construcción sube a un techo.")</f>
        <v>Una tripulación de trabajadores de la construcción sube a un techo.</v>
      </c>
    </row>
    <row r="7322">
      <c r="A7322" s="4" t="s">
        <v>9202</v>
      </c>
      <c r="B7322" s="4" t="s">
        <v>9207</v>
      </c>
      <c r="C7322" s="5" t="str">
        <f>IFERROR(__xludf.DUMMYFUNCTION("GOOGLETRANSLATE(B7322,""en"",""es-ES"")"),"Se ve un techo de mosaico terminado cuando se realiza el trabajo.")</f>
        <v>Se ve un techo de mosaico terminado cuando se realiza el trabajo.</v>
      </c>
    </row>
    <row r="7323">
      <c r="A7323" s="4" t="s">
        <v>9202</v>
      </c>
      <c r="B7323" s="4" t="s">
        <v>9208</v>
      </c>
      <c r="C7323" s="5" t="str">
        <f>IFERROR(__xludf.DUMMYFUNCTION("GOOGLETRANSLATE(B7323,""en"",""es-ES"")"),"Un trabajador utiliza una herramienta de espátula para aplicar la lechada entre los azulejos en el techo.")</f>
        <v>Un trabajador utiliza una herramienta de espátula para aplicar la lechada entre los azulejos en el techo.</v>
      </c>
    </row>
    <row r="7324">
      <c r="A7324" s="4" t="s">
        <v>9209</v>
      </c>
      <c r="B7324" s="4" t="s">
        <v>9210</v>
      </c>
      <c r="C7324" s="5" t="str">
        <f>IFERROR(__xludf.DUMMYFUNCTION("GOOGLETRANSLATE(B7324,""en"",""es-ES"")"),"Se muestra una cancha de baloncesto al aire libre.")</f>
        <v>Se muestra una cancha de baloncesto al aire libre.</v>
      </c>
    </row>
    <row r="7325">
      <c r="A7325" s="4" t="s">
        <v>9209</v>
      </c>
      <c r="B7325" s="4" t="s">
        <v>9211</v>
      </c>
      <c r="C7325" s="5" t="str">
        <f>IFERROR(__xludf.DUMMYFUNCTION("GOOGLETRANSLATE(B7325,""en"",""es-ES"")"),"Un hombre corre y hace varias colocaciones consecutivas.")</f>
        <v>Un hombre corre y hace varias colocaciones consecutivas.</v>
      </c>
    </row>
    <row r="7326">
      <c r="A7326" s="4" t="s">
        <v>9209</v>
      </c>
      <c r="B7326" s="4" t="s">
        <v>9212</v>
      </c>
      <c r="C7326" s="5" t="str">
        <f>IFERROR(__xludf.DUMMYFUNCTION("GOOGLETRANSLATE(B7326,""en"",""es-ES"")"),"Hace algunas canastas, luego intenta una y otra vez.")</f>
        <v>Hace algunas canastas, luego intenta una y otra vez.</v>
      </c>
    </row>
    <row r="7327">
      <c r="A7327" s="4" t="s">
        <v>9209</v>
      </c>
      <c r="B7327" s="4" t="s">
        <v>9213</v>
      </c>
      <c r="C7327" s="5" t="str">
        <f>IFERROR(__xludf.DUMMYFUNCTION("GOOGLETRANSLATE(B7327,""en"",""es-ES"")"),"Algunos niños corren, saludando a la cámara.")</f>
        <v>Algunos niños corren, saludando a la cámara.</v>
      </c>
    </row>
    <row r="7328">
      <c r="A7328" s="4" t="s">
        <v>9214</v>
      </c>
      <c r="B7328" s="4" t="s">
        <v>9215</v>
      </c>
      <c r="C7328" s="5" t="str">
        <f>IFERROR(__xludf.DUMMYFUNCTION("GOOGLETRANSLATE(B7328,""en"",""es-ES"")"),"Un hombre está parado afuera hablando.")</f>
        <v>Un hombre está parado afuera hablando.</v>
      </c>
    </row>
    <row r="7329">
      <c r="A7329" s="4" t="s">
        <v>9214</v>
      </c>
      <c r="B7329" s="4" t="s">
        <v>9216</v>
      </c>
      <c r="C7329" s="5" t="str">
        <f>IFERROR(__xludf.DUMMYFUNCTION("GOOGLETRANSLATE(B7329,""en"",""es-ES"")"),"Se sube a una línea floja y comienza a cruzarla.")</f>
        <v>Se sube a una línea floja y comienza a cruzarla.</v>
      </c>
    </row>
    <row r="7330">
      <c r="A7330" s="4" t="s">
        <v>9214</v>
      </c>
      <c r="B7330" s="4" t="s">
        <v>9217</v>
      </c>
      <c r="C7330" s="5" t="str">
        <f>IFERROR(__xludf.DUMMYFUNCTION("GOOGLETRANSLATE(B7330,""en"",""es-ES"")"),"Se cae sobre la hierba.")</f>
        <v>Se cae sobre la hierba.</v>
      </c>
    </row>
    <row r="7331">
      <c r="A7331" s="4" t="s">
        <v>9218</v>
      </c>
      <c r="B7331" s="4" t="s">
        <v>9219</v>
      </c>
      <c r="C7331" s="5" t="str">
        <f>IFERROR(__xludf.DUMMYFUNCTION("GOOGLETRANSLATE(B7331,""en"",""es-ES"")"),"Vemos una cláusula de Santa bajo el agua en el océano.")</f>
        <v>Vemos una cláusula de Santa bajo el agua en el océano.</v>
      </c>
    </row>
    <row r="7332">
      <c r="A7332" s="4" t="s">
        <v>9218</v>
      </c>
      <c r="B7332" s="4" t="s">
        <v>9220</v>
      </c>
      <c r="C7332" s="5" t="str">
        <f>IFERROR(__xludf.DUMMYFUNCTION("GOOGLETRANSLATE(B7332,""en"",""es-ES"")"),"Vemos peces blancos y amarillos que nadan alrededor del hombre.")</f>
        <v>Vemos peces blancos y amarillos que nadan alrededor del hombre.</v>
      </c>
    </row>
    <row r="7333">
      <c r="A7333" s="4" t="s">
        <v>9218</v>
      </c>
      <c r="B7333" s="4" t="s">
        <v>9221</v>
      </c>
      <c r="C7333" s="5" t="str">
        <f>IFERROR(__xludf.DUMMYFUNCTION("GOOGLETRANSLATE(B7333,""en"",""es-ES"")"),"Nos sentamos por encima del hombre viendo sus burbujas.")</f>
        <v>Nos sentamos por encima del hombre viendo sus burbujas.</v>
      </c>
    </row>
    <row r="7334">
      <c r="A7334" s="4" t="s">
        <v>9218</v>
      </c>
      <c r="B7334" s="4" t="s">
        <v>9222</v>
      </c>
      <c r="C7334" s="5" t="str">
        <f>IFERROR(__xludf.DUMMYFUNCTION("GOOGLETRANSLATE(B7334,""en"",""es-ES"")"),"El hombre nada bajo un arco de roca.")</f>
        <v>El hombre nada bajo un arco de roca.</v>
      </c>
    </row>
    <row r="7335">
      <c r="A7335" s="4" t="s">
        <v>9223</v>
      </c>
      <c r="B7335" s="4" t="s">
        <v>9224</v>
      </c>
      <c r="C7335" s="5" t="str">
        <f>IFERROR(__xludf.DUMMYFUNCTION("GOOGLETRANSLATE(B7335,""en"",""es-ES"")"),"El hombre está de pie en el botom de una escalera y está limpiando la nieve en la calle que pasa un quitanieves y el hombre está limpiando la nieve y está haciendo un camino.")</f>
        <v>El hombre está de pie en el botom de una escalera y está limpiando la nieve en la calle que pasa un quitanieves y el hombre está limpiando la nieve y está haciendo un camino.</v>
      </c>
    </row>
    <row r="7336">
      <c r="A7336" s="4" t="s">
        <v>9223</v>
      </c>
      <c r="B7336" s="4" t="s">
        <v>9225</v>
      </c>
      <c r="C7336" s="5" t="str">
        <f>IFERROR(__xludf.DUMMYFUNCTION("GOOGLETRANSLATE(B7336,""en"",""es-ES"")"),"El hombre está parado frente a un automóvil y está limpiando el parabrisas y todas las ventanas.")</f>
        <v>El hombre está parado frente a un automóvil y está limpiando el parabrisas y todas las ventanas.</v>
      </c>
    </row>
    <row r="7337">
      <c r="A7337" s="4" t="s">
        <v>9226</v>
      </c>
      <c r="B7337" s="4" t="s">
        <v>9227</v>
      </c>
      <c r="C7337" s="5" t="str">
        <f>IFERROR(__xludf.DUMMYFUNCTION("GOOGLETRANSLATE(B7337,""en"",""es-ES"")"),"La gente se prepara para ir a piragüismo y luego lanzar sus barcos.")</f>
        <v>La gente se prepara para ir a piragüismo y luego lanzar sus barcos.</v>
      </c>
    </row>
    <row r="7338">
      <c r="A7338" s="4" t="s">
        <v>9226</v>
      </c>
      <c r="B7338" s="4" t="s">
        <v>9228</v>
      </c>
      <c r="C7338" s="5" t="str">
        <f>IFERROR(__xludf.DUMMYFUNCTION("GOOGLETRANSLATE(B7338,""en"",""es-ES"")"),"La gente luego baja por la corriente.")</f>
        <v>La gente luego baja por la corriente.</v>
      </c>
    </row>
    <row r="7339">
      <c r="A7339" s="4" t="s">
        <v>9229</v>
      </c>
      <c r="B7339" s="4" t="s">
        <v>9230</v>
      </c>
      <c r="C7339" s="5" t="str">
        <f>IFERROR(__xludf.DUMMYFUNCTION("GOOGLETRANSLATE(B7339,""en"",""es-ES"")"),"Un hombre con una camisa de Batman está sentado hablando.")</f>
        <v>Un hombre con una camisa de Batman está sentado hablando.</v>
      </c>
    </row>
    <row r="7340">
      <c r="A7340" s="4" t="s">
        <v>9229</v>
      </c>
      <c r="B7340" s="4" t="s">
        <v>9231</v>
      </c>
      <c r="C7340" s="5" t="str">
        <f>IFERROR(__xludf.DUMMYFUNCTION("GOOGLETRANSLATE(B7340,""en"",""es-ES"")"),"Una persona comienza a soldar un trozo de metal.")</f>
        <v>Una persona comienza a soldar un trozo de metal.</v>
      </c>
    </row>
    <row r="7341">
      <c r="A7341" s="4" t="s">
        <v>9229</v>
      </c>
      <c r="B7341" s="4" t="s">
        <v>9232</v>
      </c>
      <c r="C7341" s="5" t="str">
        <f>IFERROR(__xludf.DUMMYFUNCTION("GOOGLETRANSLATE(B7341,""en"",""es-ES"")"),"Quita un cepillo y cepilla la pieza de metal.")</f>
        <v>Quita un cepillo y cepilla la pieza de metal.</v>
      </c>
    </row>
    <row r="7342">
      <c r="A7342" s="4" t="s">
        <v>9229</v>
      </c>
      <c r="B7342" s="4" t="s">
        <v>9233</v>
      </c>
      <c r="C7342" s="5" t="str">
        <f>IFERROR(__xludf.DUMMYFUNCTION("GOOGLETRANSLATE(B7342,""en"",""es-ES"")"),"Él pone todas las piezas en una bolsa negra.")</f>
        <v>Él pone todas las piezas en una bolsa negra.</v>
      </c>
    </row>
    <row r="7343">
      <c r="A7343" s="4" t="s">
        <v>9234</v>
      </c>
      <c r="B7343" s="4" t="s">
        <v>9235</v>
      </c>
      <c r="C7343" s="5" t="str">
        <f>IFERROR(__xludf.DUMMYFUNCTION("GOOGLETRANSLATE(B7343,""en"",""es-ES"")"),"Se ve a un pequeño grupo de personas de pie en dos lados de una red.")</f>
        <v>Se ve a un pequeño grupo de personas de pie en dos lados de una red.</v>
      </c>
    </row>
    <row r="7344">
      <c r="A7344" s="4" t="s">
        <v>9234</v>
      </c>
      <c r="B7344" s="4" t="s">
        <v>9236</v>
      </c>
      <c r="C7344" s="5" t="str">
        <f>IFERROR(__xludf.DUMMYFUNCTION("GOOGLETRANSLATE(B7344,""en"",""es-ES"")"),"Luego, la gente comienza a jugar un juego de bádminton el uno con el otro.")</f>
        <v>Luego, la gente comienza a jugar un juego de bádminton el uno con el otro.</v>
      </c>
    </row>
    <row r="7345">
      <c r="A7345" s="4" t="s">
        <v>9234</v>
      </c>
      <c r="B7345" s="4" t="s">
        <v>9237</v>
      </c>
      <c r="C7345" s="5" t="str">
        <f>IFERROR(__xludf.DUMMYFUNCTION("GOOGLETRANSLATE(B7345,""en"",""es-ES"")"),"Continúan golpeando al birdie mientras lo sirven al otro lado y lo devuelven.")</f>
        <v>Continúan golpeando al birdie mientras lo sirven al otro lado y lo devuelven.</v>
      </c>
    </row>
    <row r="7346">
      <c r="A7346" s="4" t="s">
        <v>9238</v>
      </c>
      <c r="B7346" s="4" t="s">
        <v>9239</v>
      </c>
      <c r="C7346" s="5" t="str">
        <f>IFERROR(__xludf.DUMMYFUNCTION("GOOGLETRANSLATE(B7346,""en"",""es-ES"")"),"Una multitud de unas mil personas están afuera y en el estadio observan una pelea de toros.")</f>
        <v>Una multitud de unas mil personas están afuera y en el estadio observan una pelea de toros.</v>
      </c>
    </row>
    <row r="7347">
      <c r="A7347" s="4" t="s">
        <v>9238</v>
      </c>
      <c r="B7347" s="4" t="s">
        <v>9240</v>
      </c>
      <c r="C7347" s="5" t="str">
        <f>IFERROR(__xludf.DUMMYFUNCTION("GOOGLETRANSLATE(B7347,""en"",""es-ES"")"),"Tres jóvenes están en el centro y comienzan a manipular con dos toros en blanco y negro.")</f>
        <v>Tres jóvenes están en el centro y comienzan a manipular con dos toros en blanco y negro.</v>
      </c>
    </row>
    <row r="7348">
      <c r="A7348" s="4" t="s">
        <v>9238</v>
      </c>
      <c r="B7348" s="4" t="s">
        <v>9241</v>
      </c>
      <c r="C7348" s="5" t="str">
        <f>IFERROR(__xludf.DUMMYFUNCTION("GOOGLETRANSLATE(B7348,""en"",""es-ES"")"),"Los dos toros ahora están peleando entre ellos y la multitud comienza a cerrarlos para ver la acción.")</f>
        <v>Los dos toros ahora están peleando entre ellos y la multitud comienza a cerrarlos para ver la acción.</v>
      </c>
    </row>
    <row r="7349">
      <c r="A7349" s="4" t="s">
        <v>9242</v>
      </c>
      <c r="B7349" s="4" t="s">
        <v>9243</v>
      </c>
      <c r="C7349" s="5" t="str">
        <f>IFERROR(__xludf.DUMMYFUNCTION("GOOGLETRANSLATE(B7349,""en"",""es-ES"")"),"Una cámara se mueve alrededor de un lago y muestra un bote que se mueve a lo largo del agua.")</f>
        <v>Una cámara se mueve alrededor de un lago y muestra un bote que se mueve a lo largo del agua.</v>
      </c>
    </row>
    <row r="7350">
      <c r="A7350" s="4" t="s">
        <v>9242</v>
      </c>
      <c r="B7350" s="4" t="s">
        <v>9244</v>
      </c>
      <c r="C7350" s="5" t="str">
        <f>IFERROR(__xludf.DUMMYFUNCTION("GOOGLETRANSLATE(B7350,""en"",""es-ES"")"),"Se ve a una persona cabalgando detrás del bote en un par de esquís.")</f>
        <v>Se ve a una persona cabalgando detrás del bote en un par de esquís.</v>
      </c>
    </row>
    <row r="7351">
      <c r="A7351" s="4" t="s">
        <v>9242</v>
      </c>
      <c r="B7351" s="4" t="s">
        <v>9245</v>
      </c>
      <c r="C7351" s="5" t="str">
        <f>IFERROR(__xludf.DUMMYFUNCTION("GOOGLETRANSLATE(B7351,""en"",""es-ES"")"),"Se muestran más disparos del bote que conduce con una persona esquiando en la parte de atrás.")</f>
        <v>Se muestran más disparos del bote que conduce con una persona esquiando en la parte de atrás.</v>
      </c>
    </row>
    <row r="7352">
      <c r="A7352" s="4" t="s">
        <v>9246</v>
      </c>
      <c r="B7352" s="4" t="s">
        <v>9247</v>
      </c>
      <c r="C7352" s="5" t="str">
        <f>IFERROR(__xludf.DUMMYFUNCTION("GOOGLETRANSLATE(B7352,""en"",""es-ES"")"),"Se ve a un gran grupo de personas parados juntos vestidos con un hombre hablando en un micrófono y señalando.")</f>
        <v>Se ve a un gran grupo de personas parados juntos vestidos con un hombre hablando en un micrófono y señalando.</v>
      </c>
    </row>
    <row r="7353">
      <c r="A7353" s="4" t="s">
        <v>9246</v>
      </c>
      <c r="B7353" s="4" t="s">
        <v>9248</v>
      </c>
      <c r="C7353" s="5" t="str">
        <f>IFERROR(__xludf.DUMMYFUNCTION("GOOGLETRANSLATE(B7353,""en"",""es-ES"")"),"El hombre luego sale a la canción y baila con otro hombre y señala al novio gradualmente.")</f>
        <v>El hombre luego sale a la canción y baila con otro hombre y señala al novio gradualmente.</v>
      </c>
    </row>
    <row r="7354">
      <c r="A7354" s="4" t="s">
        <v>9249</v>
      </c>
      <c r="B7354" s="4" t="s">
        <v>9250</v>
      </c>
      <c r="C7354" s="5" t="str">
        <f>IFERROR(__xludf.DUMMYFUNCTION("GOOGLETRANSLATE(B7354,""en"",""es-ES"")"),"Los hombres de negocios caminan a través de una multitud ocupada.")</f>
        <v>Los hombres de negocios caminan a través de una multitud ocupada.</v>
      </c>
    </row>
    <row r="7355">
      <c r="A7355" s="4" t="s">
        <v>9249</v>
      </c>
      <c r="B7355" s="4" t="s">
        <v>9251</v>
      </c>
      <c r="C7355" s="5" t="str">
        <f>IFERROR(__xludf.DUMMYFUNCTION("GOOGLETRANSLATE(B7355,""en"",""es-ES"")"),"Un hombre de negocios juega contra un profesional de tenis de mesa.")</f>
        <v>Un hombre de negocios juega contra un profesional de tenis de mesa.</v>
      </c>
    </row>
    <row r="7356">
      <c r="A7356" s="4" t="s">
        <v>9249</v>
      </c>
      <c r="B7356" s="4" t="s">
        <v>9252</v>
      </c>
      <c r="C7356" s="5" t="str">
        <f>IFERROR(__xludf.DUMMYFUNCTION("GOOGLETRANSLATE(B7356,""en"",""es-ES"")"),"Dos empresarios juegan en un equipo contra la mesa tenis Pro.")</f>
        <v>Dos empresarios juegan en un equipo contra la mesa tenis Pro.</v>
      </c>
    </row>
    <row r="7357">
      <c r="A7357" s="4" t="s">
        <v>9249</v>
      </c>
      <c r="B7357" s="4" t="s">
        <v>9253</v>
      </c>
      <c r="C7357" s="5" t="str">
        <f>IFERROR(__xludf.DUMMYFUNCTION("GOOGLETRANSLATE(B7357,""en"",""es-ES"")"),"El partido termina y los hombres de negocios se dan la mano al atleta.")</f>
        <v>El partido termina y los hombres de negocios se dan la mano al atleta.</v>
      </c>
    </row>
    <row r="7358">
      <c r="A7358" s="4" t="s">
        <v>9254</v>
      </c>
      <c r="B7358" s="4" t="s">
        <v>9255</v>
      </c>
      <c r="C7358" s="5" t="str">
        <f>IFERROR(__xludf.DUMMYFUNCTION("GOOGLETRANSLATE(B7358,""en"",""es-ES"")"),"Un niño preadolescente está en un parque abierto de desafíos de filmación en bares de mono que señala a la izquierda.")</f>
        <v>Un niño preadolescente está en un parque abierto de desafíos de filmación en bares de mono que señala a la izquierda.</v>
      </c>
    </row>
    <row r="7359">
      <c r="A7359" s="4" t="s">
        <v>9254</v>
      </c>
      <c r="B7359" s="4" t="s">
        <v>9256</v>
      </c>
      <c r="C7359" s="5" t="str">
        <f>IFERROR(__xludf.DUMMYFUNCTION("GOOGLETRANSLATE(B7359,""en"",""es-ES"")"),"La cámara se dirige hacia la izquierda para mostrar el portaobjetos en otra parte del gimnasio de la jungla.")</f>
        <v>La cámara se dirige hacia la izquierda para mostrar el portaobjetos en otra parte del gimnasio de la jungla.</v>
      </c>
    </row>
    <row r="7360">
      <c r="A7360" s="4" t="s">
        <v>9254</v>
      </c>
      <c r="B7360" s="4" t="s">
        <v>9257</v>
      </c>
      <c r="C7360" s="5" t="str">
        <f>IFERROR(__xludf.DUMMYFUNCTION("GOOGLETRANSLATE(B7360,""en"",""es-ES"")"),"La cámara regresa a las barras de mono.")</f>
        <v>La cámara regresa a las barras de mono.</v>
      </c>
    </row>
    <row r="7361">
      <c r="A7361" s="4" t="s">
        <v>9254</v>
      </c>
      <c r="B7361" s="4" t="s">
        <v>9258</v>
      </c>
      <c r="C7361" s="5" t="str">
        <f>IFERROR(__xludf.DUMMYFUNCTION("GOOGLETRANSLATE(B7361,""en"",""es-ES"")"),"El niño intenta escalar las barras de mono a partir del segundo desde el peldaño superior de la escalera en el interior y cae, se levanta y va a la escalera.")</f>
        <v>El niño intenta escalar las barras de mono a partir del segundo desde el peldaño superior de la escalera en el interior y cae, se levanta y va a la escalera.</v>
      </c>
    </row>
    <row r="7362">
      <c r="A7362" s="4" t="s">
        <v>9254</v>
      </c>
      <c r="B7362" s="4" t="s">
        <v>9259</v>
      </c>
      <c r="C7362" s="5" t="str">
        <f>IFERROR(__xludf.DUMMYFUNCTION("GOOGLETRANSLATE(B7362,""en"",""es-ES"")"),"El niño intenta la subida nuevamente, esta vez desde el peldaño superior de la escalera en el interior y cae, se levanta y va a la escalera nuevamente.")</f>
        <v>El niño intenta la subida nuevamente, esta vez desde el peldaño superior de la escalera en el interior y cae, se levanta y va a la escalera nuevamente.</v>
      </c>
    </row>
    <row r="7363">
      <c r="A7363" s="4" t="s">
        <v>9254</v>
      </c>
      <c r="B7363" s="4" t="s">
        <v>9260</v>
      </c>
      <c r="C7363" s="5" t="str">
        <f>IFERROR(__xludf.DUMMYFUNCTION("GOOGLETRANSLATE(B7363,""en"",""es-ES"")"),"El niño intenta subir nuevamente, desde la barra superior en el interior y cae nuevamente, se levanta y va a la escalera nuevamente.")</f>
        <v>El niño intenta subir nuevamente, desde la barra superior en el interior y cae nuevamente, se levanta y va a la escalera nuevamente.</v>
      </c>
    </row>
    <row r="7364">
      <c r="A7364" s="4" t="s">
        <v>9254</v>
      </c>
      <c r="B7364" s="4" t="s">
        <v>9261</v>
      </c>
      <c r="C7364" s="5" t="str">
        <f>IFERROR(__xludf.DUMMYFUNCTION("GOOGLETRANSLATE(B7364,""en"",""es-ES"")"),"El niño intenta subir nuevamente, esta vez se ajusta nuevamente de pie en el segundo peldaño en el interior y cae nuevamente cuando intenta escalar.")</f>
        <v>El niño intenta subir nuevamente, esta vez se ajusta nuevamente de pie en el segundo peldaño en el interior y cae nuevamente cuando intenta escalar.</v>
      </c>
    </row>
    <row r="7365">
      <c r="A7365" s="4" t="s">
        <v>9254</v>
      </c>
      <c r="B7365" s="4" t="s">
        <v>9262</v>
      </c>
      <c r="C7365" s="5" t="str">
        <f>IFERROR(__xludf.DUMMYFUNCTION("GOOGLETRANSLATE(B7365,""en"",""es-ES"")"),"El niño intenta escalar nuevamente usando el mismo punto de partida y cae, se levanta y se dirige hacia la escalera, pero decide que ha terminado y se despide.")</f>
        <v>El niño intenta escalar nuevamente usando el mismo punto de partida y cae, se levanta y se dirige hacia la escalera, pero decide que ha terminado y se despide.</v>
      </c>
    </row>
    <row r="7366">
      <c r="A7366" s="4" t="s">
        <v>9263</v>
      </c>
      <c r="B7366" s="4" t="s">
        <v>9264</v>
      </c>
      <c r="C7366" s="5" t="str">
        <f>IFERROR(__xludf.DUMMYFUNCTION("GOOGLETRANSLATE(B7366,""en"",""es-ES"")"),"Se ve a un hombre cabalgando sobre un caballo sosteniendo un palo y luego deteniéndose para sentarse.")</f>
        <v>Se ve a un hombre cabalgando sobre un caballo sosteniendo un palo y luego deteniéndose para sentarse.</v>
      </c>
    </row>
    <row r="7367">
      <c r="A7367" s="4" t="s">
        <v>9263</v>
      </c>
      <c r="B7367" s="4" t="s">
        <v>9265</v>
      </c>
      <c r="C7367" s="5" t="str">
        <f>IFERROR(__xludf.DUMMYFUNCTION("GOOGLETRANSLATE(B7367,""en"",""es-ES"")"),"Luego se lo ve nuevamente caminando con un gran grupo de personas bebiendo agua y luego da la mano de varias personas mientras camina de regreso.")</f>
        <v>Luego se lo ve nuevamente caminando con un gran grupo de personas bebiendo agua y luego da la mano de varias personas mientras camina de regreso.</v>
      </c>
    </row>
    <row r="7368">
      <c r="A7368" s="4" t="s">
        <v>9266</v>
      </c>
      <c r="B7368" s="4" t="s">
        <v>9267</v>
      </c>
      <c r="C7368" s="5" t="str">
        <f>IFERROR(__xludf.DUMMYFUNCTION("GOOGLETRANSLATE(B7368,""en"",""es-ES"")"),"Se muestra un primer plano de una masa y conduce a una persona que extiende glaseado en una masa.")</f>
        <v>Se muestra un primer plano de una masa y conduce a una persona que extiende glaseado en una masa.</v>
      </c>
    </row>
    <row r="7369">
      <c r="A7369" s="4" t="s">
        <v>9266</v>
      </c>
      <c r="B7369" s="4" t="s">
        <v>9268</v>
      </c>
      <c r="C7369" s="5" t="str">
        <f>IFERROR(__xludf.DUMMYFUNCTION("GOOGLETRANSLATE(B7369,""en"",""es-ES"")"),"Ella pone la masa en el pastel y continúa poniendo glaseado alrededor del pastel.")</f>
        <v>Ella pone la masa en el pastel y continúa poniendo glaseado alrededor del pastel.</v>
      </c>
    </row>
    <row r="7370">
      <c r="A7370" s="4" t="s">
        <v>9266</v>
      </c>
      <c r="B7370" s="4" t="s">
        <v>9269</v>
      </c>
      <c r="C7370" s="5" t="str">
        <f>IFERROR(__xludf.DUMMYFUNCTION("GOOGLETRANSLATE(B7370,""en"",""es-ES"")"),"La cámara se acerca al pastel y muestra a la mujer poniendo una cara en el pastel y mostrando el resultado final.")</f>
        <v>La cámara se acerca al pastel y muestra a la mujer poniendo una cara en el pastel y mostrando el resultado final.</v>
      </c>
    </row>
    <row r="7371">
      <c r="A7371" s="4" t="s">
        <v>9270</v>
      </c>
      <c r="B7371" s="4" t="s">
        <v>9271</v>
      </c>
      <c r="C7371" s="5" t="str">
        <f>IFERROR(__xludf.DUMMYFUNCTION("GOOGLETRANSLATE(B7371,""en"",""es-ES"")"),"Dos presentadores de noticias están hablando en una habitación.")</f>
        <v>Dos presentadores de noticias están hablando en una habitación.</v>
      </c>
    </row>
    <row r="7372">
      <c r="A7372" s="4" t="s">
        <v>9270</v>
      </c>
      <c r="B7372" s="4" t="s">
        <v>9272</v>
      </c>
      <c r="C7372" s="5" t="str">
        <f>IFERROR(__xludf.DUMMYFUNCTION("GOOGLETRANSLATE(B7372,""en"",""es-ES"")"),"Un hombre está haciendo comida en una cocina.")</f>
        <v>Un hombre está haciendo comida en una cocina.</v>
      </c>
    </row>
    <row r="7373">
      <c r="A7373" s="4" t="s">
        <v>9270</v>
      </c>
      <c r="B7373" s="4" t="s">
        <v>9273</v>
      </c>
      <c r="C7373" s="5" t="str">
        <f>IFERROR(__xludf.DUMMYFUNCTION("GOOGLETRANSLATE(B7373,""en"",""es-ES"")"),"Él cocina champiñones en una sartén.")</f>
        <v>Él cocina champiñones en una sartén.</v>
      </c>
    </row>
    <row r="7374">
      <c r="A7374" s="4" t="s">
        <v>9270</v>
      </c>
      <c r="B7374" s="4" t="s">
        <v>9274</v>
      </c>
      <c r="C7374" s="5" t="str">
        <f>IFERROR(__xludf.DUMMYFUNCTION("GOOGLETRANSLATE(B7374,""en"",""es-ES"")"),"Agrega la comida a un tazón.")</f>
        <v>Agrega la comida a un tazón.</v>
      </c>
    </row>
    <row r="7375">
      <c r="A7375" s="4" t="s">
        <v>9275</v>
      </c>
      <c r="B7375" s="4" t="s">
        <v>9276</v>
      </c>
      <c r="C7375" s="5" t="str">
        <f>IFERROR(__xludf.DUMMYFUNCTION("GOOGLETRANSLATE(B7375,""en"",""es-ES"")"),"Se ve una bufanda larga y colorida corriendo sobre sillas.")</f>
        <v>Se ve una bufanda larga y colorida corriendo sobre sillas.</v>
      </c>
    </row>
    <row r="7376">
      <c r="A7376" s="4" t="s">
        <v>9275</v>
      </c>
      <c r="B7376" s="4" t="s">
        <v>9277</v>
      </c>
      <c r="C7376" s="5" t="str">
        <f>IFERROR(__xludf.DUMMYFUNCTION("GOOGLETRANSLATE(B7376,""en"",""es-ES"")"),"Se ve a una mujer tejiendo la bufanda con un vestido morado.")</f>
        <v>Se ve a una mujer tejiendo la bufanda con un vestido morado.</v>
      </c>
    </row>
    <row r="7377">
      <c r="A7377" s="4" t="s">
        <v>9275</v>
      </c>
      <c r="B7377" s="4" t="s">
        <v>9278</v>
      </c>
      <c r="C7377" s="5" t="str">
        <f>IFERROR(__xludf.DUMMYFUNCTION("GOOGLETRANSLATE(B7377,""en"",""es-ES"")"),"Otras tres mujeres se sientan juntas y tejen una sección de la bufanda.")</f>
        <v>Otras tres mujeres se sientan juntas y tejen una sección de la bufanda.</v>
      </c>
    </row>
    <row r="7378">
      <c r="A7378" s="4" t="s">
        <v>9279</v>
      </c>
      <c r="B7378" s="4" t="s">
        <v>1487</v>
      </c>
      <c r="C7378" s="5" t="str">
        <f>IFERROR(__xludf.DUMMYFUNCTION("GOOGLETRANSLATE(B7378,""en"",""es-ES"")"),"Vemos una pantalla de título de apertura.")</f>
        <v>Vemos una pantalla de título de apertura.</v>
      </c>
    </row>
    <row r="7379">
      <c r="A7379" s="4" t="s">
        <v>9279</v>
      </c>
      <c r="B7379" s="4" t="s">
        <v>9280</v>
      </c>
      <c r="C7379" s="5" t="str">
        <f>IFERROR(__xludf.DUMMYFUNCTION("GOOGLETRANSLATE(B7379,""en"",""es-ES"")"),"Vemos imágenes de un hombre que abre persianas y lleva un embarque afuera.")</f>
        <v>Vemos imágenes de un hombre que abre persianas y lleva un embarque afuera.</v>
      </c>
    </row>
    <row r="7380">
      <c r="A7380" s="4" t="s">
        <v>9279</v>
      </c>
      <c r="B7380" s="4" t="s">
        <v>9281</v>
      </c>
      <c r="C7380" s="5" t="str">
        <f>IFERROR(__xludf.DUMMYFUNCTION("GOOGLETRANSLATE(B7380,""en"",""es-ES"")"),"Vemos a un hombre montando motos de agua y realizando flips.")</f>
        <v>Vemos a un hombre montando motos de agua y realizando flips.</v>
      </c>
    </row>
    <row r="7381">
      <c r="A7381" s="4" t="s">
        <v>9279</v>
      </c>
      <c r="B7381" s="4" t="s">
        <v>9282</v>
      </c>
      <c r="C7381" s="5" t="str">
        <f>IFERROR(__xludf.DUMMYFUNCTION("GOOGLETRANSLATE(B7381,""en"",""es-ES"")"),"Vemos a un hombre sentado en el muelle.")</f>
        <v>Vemos a un hombre sentado en el muelle.</v>
      </c>
    </row>
    <row r="7382">
      <c r="A7382" s="4" t="s">
        <v>9279</v>
      </c>
      <c r="B7382" s="4" t="s">
        <v>9283</v>
      </c>
      <c r="C7382" s="5" t="str">
        <f>IFERROR(__xludf.DUMMYFUNCTION("GOOGLETRANSLATE(B7382,""en"",""es-ES"")"),"Vemos el Jet Skier montar sobre una rampa.")</f>
        <v>Vemos el Jet Skier montar sobre una rampa.</v>
      </c>
    </row>
    <row r="7383">
      <c r="A7383" s="4" t="s">
        <v>9279</v>
      </c>
      <c r="B7383" s="4" t="s">
        <v>9284</v>
      </c>
      <c r="C7383" s="5" t="str">
        <f>IFERROR(__xludf.DUMMYFUNCTION("GOOGLETRANSLATE(B7383,""en"",""es-ES"")"),"Vemos un zapato brevemente.")</f>
        <v>Vemos un zapato brevemente.</v>
      </c>
    </row>
    <row r="7384">
      <c r="A7384" s="4" t="s">
        <v>9279</v>
      </c>
      <c r="B7384" s="4" t="s">
        <v>777</v>
      </c>
      <c r="C7384" s="5" t="str">
        <f>IFERROR(__xludf.DUMMYFUNCTION("GOOGLETRANSLATE(B7384,""en"",""es-ES"")"),"Vemos la pantalla de título final.")</f>
        <v>Vemos la pantalla de título final.</v>
      </c>
    </row>
    <row r="7385">
      <c r="A7385" s="4" t="s">
        <v>9285</v>
      </c>
      <c r="B7385" s="4" t="s">
        <v>9286</v>
      </c>
      <c r="C7385" s="5" t="str">
        <f>IFERROR(__xludf.DUMMYFUNCTION("GOOGLETRANSLATE(B7385,""en"",""es-ES"")"),"Los individuos se lanzan en sus carriles y derriban pasadores.")</f>
        <v>Los individuos se lanzan en sus carriles y derriban pasadores.</v>
      </c>
    </row>
    <row r="7386">
      <c r="A7386" s="4" t="s">
        <v>9285</v>
      </c>
      <c r="B7386" s="4" t="s">
        <v>9287</v>
      </c>
      <c r="C7386" s="5" t="str">
        <f>IFERROR(__xludf.DUMMYFUNCTION("GOOGLETRANSLATE(B7386,""en"",""es-ES"")"),"Un chico recauda una huelga y abre la boca para expresar la angustia.")</f>
        <v>Un chico recauda una huelga y abre la boca para expresar la angustia.</v>
      </c>
    </row>
    <row r="7387">
      <c r="A7387" s="4" t="s">
        <v>9288</v>
      </c>
      <c r="B7387" s="4" t="s">
        <v>9289</v>
      </c>
      <c r="C7387" s="5" t="str">
        <f>IFERROR(__xludf.DUMMYFUNCTION("GOOGLETRANSLATE(B7387,""en"",""es-ES"")"),"Los estudiantes son entrevistados y luego corren una carrera.")</f>
        <v>Los estudiantes son entrevistados y luego corren una carrera.</v>
      </c>
    </row>
    <row r="7388">
      <c r="A7388" s="4" t="s">
        <v>9288</v>
      </c>
      <c r="B7388" s="4" t="s">
        <v>9290</v>
      </c>
      <c r="C7388" s="5" t="str">
        <f>IFERROR(__xludf.DUMMYFUNCTION("GOOGLETRANSLATE(B7388,""en"",""es-ES"")"),"Todos parecen felices de participar con el Colegio de Charleston.")</f>
        <v>Todos parecen felices de participar con el Colegio de Charleston.</v>
      </c>
    </row>
    <row r="7389">
      <c r="A7389" s="4" t="s">
        <v>9291</v>
      </c>
      <c r="B7389" s="4" t="s">
        <v>9292</v>
      </c>
      <c r="C7389" s="5" t="str">
        <f>IFERROR(__xludf.DUMMYFUNCTION("GOOGLETRANSLATE(B7389,""en"",""es-ES"")"),"Un chef demuestra cómo pelar una papa con un pelador de papas y una papa, en una cocina frente a la tabla de cortar.")</f>
        <v>Un chef demuestra cómo pelar una papa con un pelador de papas y una papa, en una cocina frente a la tabla de cortar.</v>
      </c>
    </row>
    <row r="7390">
      <c r="A7390" s="4" t="s">
        <v>9291</v>
      </c>
      <c r="B7390" s="4" t="s">
        <v>9293</v>
      </c>
      <c r="C7390" s="5" t="str">
        <f>IFERROR(__xludf.DUMMYFUNCTION("GOOGLETRANSLATE(B7390,""en"",""es-ES"")"),"El hombre habla con la cámara y comienza a pelar la papa con el pelado de rodajas de piel y gestos en la mesa.")</f>
        <v>El hombre habla con la cámara y comienza a pelar la papa con el pelado de rodajas de piel y gestos en la mesa.</v>
      </c>
    </row>
    <row r="7391">
      <c r="A7391" s="4" t="s">
        <v>9291</v>
      </c>
      <c r="B7391" s="4" t="s">
        <v>9294</v>
      </c>
      <c r="C7391" s="5" t="str">
        <f>IFERROR(__xludf.DUMMYFUNCTION("GOOGLETRANSLATE(B7391,""en"",""es-ES"")"),"El hombre pelea la papa hasta que no tiene más piel.")</f>
        <v>El hombre pelea la papa hasta que no tiene más piel.</v>
      </c>
    </row>
    <row r="7392">
      <c r="A7392" s="4" t="s">
        <v>9295</v>
      </c>
      <c r="B7392" s="4" t="s">
        <v>9296</v>
      </c>
      <c r="C7392" s="5" t="str">
        <f>IFERROR(__xludf.DUMMYFUNCTION("GOOGLETRANSLATE(B7392,""en"",""es-ES"")"),"Dos hombres están de pie juntos sobre una mesa con el puño mientras el árbitro sostiene su muñeca.")</f>
        <v>Dos hombres están de pie juntos sobre una mesa con el puño mientras el árbitro sostiene su muñeca.</v>
      </c>
    </row>
    <row r="7393">
      <c r="A7393" s="4" t="s">
        <v>9295</v>
      </c>
      <c r="B7393" s="4" t="s">
        <v>9297</v>
      </c>
      <c r="C7393" s="5" t="str">
        <f>IFERROR(__xludf.DUMMYFUNCTION("GOOGLETRANSLATE(B7393,""en"",""es-ES"")"),"El árbitro luego deja ir y casi instantáneamente el partido de lucha libre ha terminado y se declara un ganador, el ganador avanza y comienzan a tener lugar varios partidos más y ellos también terminan abruptamente.")</f>
        <v>El árbitro luego deja ir y casi instantáneamente el partido de lucha libre ha terminado y se declara un ganador, el ganador avanza y comienzan a tener lugar varios partidos más y ellos también terminan abruptamente.</v>
      </c>
    </row>
    <row r="7394">
      <c r="A7394" s="4" t="s">
        <v>9295</v>
      </c>
      <c r="B7394" s="4" t="s">
        <v>9298</v>
      </c>
      <c r="C7394" s="5" t="str">
        <f>IFERROR(__xludf.DUMMYFUNCTION("GOOGLETRANSLATE(B7394,""en"",""es-ES"")"),"Cerca del final, sin embargo, los oponentes finalmente coinciden y tarda una eternidad en declarar a un ganador mientras luchan por mover sus manos.")</f>
        <v>Cerca del final, sin embargo, los oponentes finalmente coinciden y tarda una eternidad en declarar a un ganador mientras luchan por mover sus manos.</v>
      </c>
    </row>
    <row r="7395">
      <c r="A7395" s="4" t="s">
        <v>9299</v>
      </c>
      <c r="B7395" s="4" t="s">
        <v>9300</v>
      </c>
      <c r="C7395" s="5" t="str">
        <f>IFERROR(__xludf.DUMMYFUNCTION("GOOGLETRANSLATE(B7395,""en"",""es-ES"")"),"Los hombres juegan canasta en una cancha de madera techada.")</f>
        <v>Los hombres juegan canasta en una cancha de madera techada.</v>
      </c>
    </row>
    <row r="7396">
      <c r="A7396" s="4" t="s">
        <v>9299</v>
      </c>
      <c r="B7396" s="4" t="s">
        <v>9301</v>
      </c>
      <c r="C7396" s="5" t="str">
        <f>IFERROR(__xludf.DUMMYFUNCTION("GOOGLETRANSLATE(B7396,""en"",""es-ES"")"),"El hombre está solo haciendo los colocaciones para la canasta.")</f>
        <v>El hombre está solo haciendo los colocaciones para la canasta.</v>
      </c>
    </row>
    <row r="7397">
      <c r="A7397" s="4" t="s">
        <v>9299</v>
      </c>
      <c r="B7397" s="4" t="s">
        <v>9302</v>
      </c>
      <c r="C7397" s="5" t="str">
        <f>IFERROR(__xludf.DUMMYFUNCTION("GOOGLETRANSLATE(B7397,""en"",""es-ES"")"),"Otro hombre llega a la cancha y comienza a jugar juntos.")</f>
        <v>Otro hombre llega a la cancha y comienza a jugar juntos.</v>
      </c>
    </row>
    <row r="7398">
      <c r="A7398" s="4" t="s">
        <v>9303</v>
      </c>
      <c r="B7398" s="4" t="s">
        <v>9304</v>
      </c>
      <c r="C7398" s="5" t="str">
        <f>IFERROR(__xludf.DUMMYFUNCTION("GOOGLETRANSLATE(B7398,""en"",""es-ES"")"),"Un registro de la compañía está en la pantalla.")</f>
        <v>Un registro de la compañía está en la pantalla.</v>
      </c>
    </row>
    <row r="7399">
      <c r="A7399" s="4" t="s">
        <v>9303</v>
      </c>
      <c r="B7399" s="4" t="s">
        <v>9305</v>
      </c>
      <c r="C7399" s="5" t="str">
        <f>IFERROR(__xludf.DUMMYFUNCTION("GOOGLETRANSLATE(B7399,""en"",""es-ES"")"),"Un bote está flotando en el agua.")</f>
        <v>Un bote está flotando en el agua.</v>
      </c>
    </row>
    <row r="7400">
      <c r="A7400" s="4" t="s">
        <v>9303</v>
      </c>
      <c r="B7400" s="4" t="s">
        <v>9306</v>
      </c>
      <c r="C7400" s="5" t="str">
        <f>IFERROR(__xludf.DUMMYFUNCTION("GOOGLETRANSLATE(B7400,""en"",""es-ES"")"),"Un tubo tiene agua que lo atraviesa y hay flotadores en el agua.")</f>
        <v>Un tubo tiene agua que lo atraviesa y hay flotadores en el agua.</v>
      </c>
    </row>
    <row r="7401">
      <c r="A7401" s="4" t="s">
        <v>9303</v>
      </c>
      <c r="B7401" s="4" t="s">
        <v>9307</v>
      </c>
      <c r="C7401" s="5" t="str">
        <f>IFERROR(__xludf.DUMMYFUNCTION("GOOGLETRANSLATE(B7401,""en"",""es-ES"")"),"La cámara está escaneando el bote.")</f>
        <v>La cámara está escaneando el bote.</v>
      </c>
    </row>
    <row r="7402">
      <c r="A7402" s="4" t="s">
        <v>9303</v>
      </c>
      <c r="B7402" s="4" t="s">
        <v>9308</v>
      </c>
      <c r="C7402" s="5" t="str">
        <f>IFERROR(__xludf.DUMMYFUNCTION("GOOGLETRANSLATE(B7402,""en"",""es-ES"")"),"Dos mujeres están sentadas en el bote, una está empujando a la otra.")</f>
        <v>Dos mujeres están sentadas en el bote, una está empujando a la otra.</v>
      </c>
    </row>
    <row r="7403">
      <c r="A7403" s="4" t="s">
        <v>9303</v>
      </c>
      <c r="B7403" s="4" t="s">
        <v>9309</v>
      </c>
      <c r="C7403" s="5" t="str">
        <f>IFERROR(__xludf.DUMMYFUNCTION("GOOGLETRANSLATE(B7403,""en"",""es-ES"")"),"Se infla un asiento de plástico y luego se coloca una tabla en el agua.")</f>
        <v>Se infla un asiento de plástico y luego se coloca una tabla en el agua.</v>
      </c>
    </row>
    <row r="7404">
      <c r="A7404" s="4" t="s">
        <v>9303</v>
      </c>
      <c r="B7404" s="4" t="s">
        <v>9310</v>
      </c>
      <c r="C7404" s="5" t="str">
        <f>IFERROR(__xludf.DUMMYFUNCTION("GOOGLETRANSLATE(B7404,""en"",""es-ES"")"),"Una mujer está en el tablero y se sostiene en una línea unida al bote.")</f>
        <v>Una mujer está en el tablero y se sostiene en una línea unida al bote.</v>
      </c>
    </row>
    <row r="7405">
      <c r="A7405" s="4" t="s">
        <v>9303</v>
      </c>
      <c r="B7405" s="4" t="s">
        <v>9311</v>
      </c>
      <c r="C7405" s="5" t="str">
        <f>IFERROR(__xludf.DUMMYFUNCTION("GOOGLETRANSLATE(B7405,""en"",""es-ES"")"),"Una mujer conduce el bote mientras la otra mujer está abordando detrás de ella.")</f>
        <v>Una mujer conduce el bote mientras la otra mujer está abordando detrás de ella.</v>
      </c>
    </row>
    <row r="7406">
      <c r="A7406" s="4" t="s">
        <v>9303</v>
      </c>
      <c r="B7406" s="4" t="s">
        <v>9312</v>
      </c>
      <c r="C7406" s="5" t="str">
        <f>IFERROR(__xludf.DUMMYFUNCTION("GOOGLETRANSLATE(B7406,""en"",""es-ES"")"),"Una mujer se está tomando una selfie mientras está en el bote.")</f>
        <v>Una mujer se está tomando una selfie mientras está en el bote.</v>
      </c>
    </row>
    <row r="7407">
      <c r="A7407" s="4" t="s">
        <v>9303</v>
      </c>
      <c r="B7407" s="4" t="s">
        <v>9313</v>
      </c>
      <c r="C7407" s="5" t="str">
        <f>IFERROR(__xludf.DUMMYFUNCTION("GOOGLETRANSLATE(B7407,""en"",""es-ES"")"),"La mujer está haciendo trucos con el tablero en el agua.")</f>
        <v>La mujer está haciendo trucos con el tablero en el agua.</v>
      </c>
    </row>
    <row r="7408">
      <c r="A7408" s="4" t="s">
        <v>9303</v>
      </c>
      <c r="B7408" s="4" t="s">
        <v>9314</v>
      </c>
      <c r="C7408" s="5" t="str">
        <f>IFERROR(__xludf.DUMMYFUNCTION("GOOGLETRANSLATE(B7408,""en"",""es-ES"")"),"Ella soltó la línea y flotó libremente.")</f>
        <v>Ella soltó la línea y flotó libremente.</v>
      </c>
    </row>
    <row r="7409">
      <c r="A7409" s="4" t="s">
        <v>9315</v>
      </c>
      <c r="B7409" s="4" t="s">
        <v>9316</v>
      </c>
      <c r="C7409" s="5" t="str">
        <f>IFERROR(__xludf.DUMMYFUNCTION("GOOGLETRANSLATE(B7409,""en"",""es-ES"")"),"Se ve a una mujer maquillándose en su rostro y conduce a varias fotos de maquillaje.")</f>
        <v>Se ve a una mujer maquillándose en su rostro y conduce a varias fotos de maquillaje.</v>
      </c>
    </row>
    <row r="7410">
      <c r="A7410" s="4" t="s">
        <v>9315</v>
      </c>
      <c r="B7410" s="4" t="s">
        <v>9317</v>
      </c>
      <c r="C7410" s="5" t="str">
        <f>IFERROR(__xludf.DUMMYFUNCTION("GOOGLETRANSLATE(B7410,""en"",""es-ES"")"),"Se muestran muchas más imágenes de productos con texto en la pantalla.")</f>
        <v>Se muestran muchas más imágenes de productos con texto en la pantalla.</v>
      </c>
    </row>
    <row r="7411">
      <c r="A7411" s="4" t="s">
        <v>9315</v>
      </c>
      <c r="B7411" s="4" t="s">
        <v>9318</v>
      </c>
      <c r="C7411" s="5" t="str">
        <f>IFERROR(__xludf.DUMMYFUNCTION("GOOGLETRANSLATE(B7411,""en"",""es-ES"")"),"Se muestran más imágenes de productos que terminan con más texto y una mujer que empuja el maquillaje.")</f>
        <v>Se muestran más imágenes de productos que terminan con más texto y una mujer que empuja el maquillaje.</v>
      </c>
    </row>
    <row r="7412">
      <c r="A7412" s="4" t="s">
        <v>9319</v>
      </c>
      <c r="B7412" s="4" t="s">
        <v>9320</v>
      </c>
      <c r="C7412" s="5" t="str">
        <f>IFERROR(__xludf.DUMMYFUNCTION("GOOGLETRANSLATE(B7412,""en"",""es-ES"")"),"Una gran montaña nevada se ve cuando la gente se reúne en el hielo.")</f>
        <v>Una gran montaña nevada se ve cuando la gente se reúne en el hielo.</v>
      </c>
    </row>
    <row r="7413">
      <c r="A7413" s="4" t="s">
        <v>9319</v>
      </c>
      <c r="B7413" s="4" t="s">
        <v>9321</v>
      </c>
      <c r="C7413" s="5" t="str">
        <f>IFERROR(__xludf.DUMMYFUNCTION("GOOGLETRANSLATE(B7413,""en"",""es-ES"")"),"Golpearon varios discos, barriéndolos en un juego.")</f>
        <v>Golpearon varios discos, barriéndolos en un juego.</v>
      </c>
    </row>
    <row r="7414">
      <c r="A7414" s="4" t="s">
        <v>9322</v>
      </c>
      <c r="B7414" s="4" t="s">
        <v>9323</v>
      </c>
      <c r="C7414" s="5" t="str">
        <f>IFERROR(__xludf.DUMMYFUNCTION("GOOGLETRANSLATE(B7414,""en"",""es-ES"")"),"Una gimnasta femenina está demostrando una actuación de gimnasia en bares.")</f>
        <v>Una gimnasta femenina está demostrando una actuación de gimnasia en bares.</v>
      </c>
    </row>
    <row r="7415">
      <c r="A7415" s="4" t="s">
        <v>9322</v>
      </c>
      <c r="B7415" s="4" t="s">
        <v>9324</v>
      </c>
      <c r="C7415" s="5" t="str">
        <f>IFERROR(__xludf.DUMMYFUNCTION("GOOGLETRANSLATE(B7415,""en"",""es-ES"")"),"Otras gimnastas y un instructor están viendo actuar a la gimnasta femenina.")</f>
        <v>Otras gimnastas y un instructor están viendo actuar a la gimnasta femenina.</v>
      </c>
    </row>
    <row r="7416">
      <c r="A7416" s="4" t="s">
        <v>9322</v>
      </c>
      <c r="B7416" s="4" t="s">
        <v>9325</v>
      </c>
      <c r="C7416" s="5" t="str">
        <f>IFERROR(__xludf.DUMMYFUNCTION("GOOGLETRANSLATE(B7416,""en"",""es-ES"")"),"Otra gimnasta femenina está practicando en el fondo.")</f>
        <v>Otra gimnasta femenina está practicando en el fondo.</v>
      </c>
    </row>
    <row r="7417">
      <c r="A7417" s="4" t="s">
        <v>9326</v>
      </c>
      <c r="B7417" s="4" t="s">
        <v>9327</v>
      </c>
      <c r="C7417" s="5" t="str">
        <f>IFERROR(__xludf.DUMMYFUNCTION("GOOGLETRANSLATE(B7417,""en"",""es-ES"")"),"Un hombre está levantando pesas en el gimnasio.")</f>
        <v>Un hombre está levantando pesas en el gimnasio.</v>
      </c>
    </row>
    <row r="7418">
      <c r="A7418" s="4" t="s">
        <v>9326</v>
      </c>
      <c r="B7418" s="4" t="s">
        <v>9328</v>
      </c>
      <c r="C7418" s="5" t="str">
        <f>IFERROR(__xludf.DUMMYFUNCTION("GOOGLETRANSLATE(B7418,""en"",""es-ES"")"),"La pelota va al pecho del hombre por primera vez.")</f>
        <v>La pelota va al pecho del hombre por primera vez.</v>
      </c>
    </row>
    <row r="7419">
      <c r="A7419" s="4" t="s">
        <v>9326</v>
      </c>
      <c r="B7419" s="4" t="s">
        <v>9329</v>
      </c>
      <c r="C7419" s="5" t="str">
        <f>IFERROR(__xludf.DUMMYFUNCTION("GOOGLETRANSLATE(B7419,""en"",""es-ES"")"),"El hombre se toma un descanso.")</f>
        <v>El hombre se toma un descanso.</v>
      </c>
    </row>
    <row r="7420">
      <c r="A7420" s="4" t="s">
        <v>9330</v>
      </c>
      <c r="B7420" s="4" t="s">
        <v>9331</v>
      </c>
      <c r="C7420" s="5" t="str">
        <f>IFERROR(__xludf.DUMMYFUNCTION("GOOGLETRANSLATE(B7420,""en"",""es-ES"")"),"Se ve a una niña escuchando música y las transiciones a ella interpretando una rutina de baile afuera en un camino de caminata.")</f>
        <v>Se ve a una niña escuchando música y las transiciones a ella interpretando una rutina de baile afuera en un camino de caminata.</v>
      </c>
    </row>
    <row r="7421">
      <c r="A7421" s="4" t="s">
        <v>9330</v>
      </c>
      <c r="B7421" s="4" t="s">
        <v>9332</v>
      </c>
      <c r="C7421" s="5" t="str">
        <f>IFERROR(__xludf.DUMMYFUNCTION("GOOGLETRANSLATE(B7421,""en"",""es-ES"")"),"Ella continúa bailando mientras sonriendo a la cámara y termina alejándose y dando dos señales de paz a la cámara.")</f>
        <v>Ella continúa bailando mientras sonriendo a la cámara y termina alejándose y dando dos señales de paz a la cámara.</v>
      </c>
    </row>
    <row r="7422">
      <c r="A7422" s="4" t="s">
        <v>9333</v>
      </c>
      <c r="B7422" s="4" t="s">
        <v>9334</v>
      </c>
      <c r="C7422" s="5" t="str">
        <f>IFERROR(__xludf.DUMMYFUNCTION("GOOGLETRANSLATE(B7422,""en"",""es-ES"")"),"Se ve a una persona caminando en el marco frente a un par de tambores.")</f>
        <v>Se ve a una persona caminando en el marco frente a un par de tambores.</v>
      </c>
    </row>
    <row r="7423">
      <c r="A7423" s="4" t="s">
        <v>9333</v>
      </c>
      <c r="B7423" s="4" t="s">
        <v>9335</v>
      </c>
      <c r="C7423" s="5" t="str">
        <f>IFERROR(__xludf.DUMMYFUNCTION("GOOGLETRANSLATE(B7423,""en"",""es-ES"")"),"Luego comienza a tocar la batería y cuarto.")</f>
        <v>Luego comienza a tocar la batería y cuarto.</v>
      </c>
    </row>
    <row r="7424">
      <c r="A7424" s="4" t="s">
        <v>9333</v>
      </c>
      <c r="B7424" s="4" t="s">
        <v>9336</v>
      </c>
      <c r="C7424" s="5" t="str">
        <f>IFERROR(__xludf.DUMMYFUNCTION("GOOGLETRANSLATE(B7424,""en"",""es-ES"")"),"Continúa tocando en la batería y termina apagando la cámara.")</f>
        <v>Continúa tocando en la batería y termina apagando la cámara.</v>
      </c>
    </row>
    <row r="7425">
      <c r="A7425" s="4" t="s">
        <v>9337</v>
      </c>
      <c r="B7425" s="4" t="s">
        <v>9338</v>
      </c>
      <c r="C7425" s="5" t="str">
        <f>IFERROR(__xludf.DUMMYFUNCTION("GOOGLETRANSLATE(B7425,""en"",""es-ES"")"),"Una niña realiza su rutina de gimnasia en la viga de equilibrio.")</f>
        <v>Una niña realiza su rutina de gimnasia en la viga de equilibrio.</v>
      </c>
    </row>
    <row r="7426">
      <c r="A7426" s="4" t="s">
        <v>9337</v>
      </c>
      <c r="B7426" s="4" t="s">
        <v>9339</v>
      </c>
      <c r="C7426" s="5" t="str">
        <f>IFERROR(__xludf.DUMMYFUNCTION("GOOGLETRANSLATE(B7426,""en"",""es-ES"")"),"La joven sube a la viga y continúa su rutina.")</f>
        <v>La joven sube a la viga y continúa su rutina.</v>
      </c>
    </row>
    <row r="7427">
      <c r="A7427" s="4" t="s">
        <v>9337</v>
      </c>
      <c r="B7427" s="4" t="s">
        <v>9340</v>
      </c>
      <c r="C7427" s="5" t="str">
        <f>IFERROR(__xludf.DUMMYFUNCTION("GOOGLETRANSLATE(B7427,""en"",""es-ES"")"),"La joven se cae del rayo.")</f>
        <v>La joven se cae del rayo.</v>
      </c>
    </row>
    <row r="7428">
      <c r="A7428" s="4" t="s">
        <v>9337</v>
      </c>
      <c r="B7428" s="4" t="s">
        <v>9341</v>
      </c>
      <c r="C7428" s="5" t="str">
        <f>IFERROR(__xludf.DUMMYFUNCTION("GOOGLETRANSLATE(B7428,""en"",""es-ES"")"),"La joven vuelve a la viga y termina su rutina.")</f>
        <v>La joven vuelve a la viga y termina su rutina.</v>
      </c>
    </row>
    <row r="7429">
      <c r="A7429" s="4" t="s">
        <v>9342</v>
      </c>
      <c r="B7429" s="4" t="s">
        <v>9343</v>
      </c>
      <c r="C7429" s="5" t="str">
        <f>IFERROR(__xludf.DUMMYFUNCTION("GOOGLETRANSLATE(B7429,""en"",""es-ES"")"),"Un hombre con camisa blanca está parada frente a una máquina.")</f>
        <v>Un hombre con camisa blanca está parada frente a una máquina.</v>
      </c>
    </row>
    <row r="7430">
      <c r="A7430" s="4" t="s">
        <v>9342</v>
      </c>
      <c r="B7430" s="4" t="s">
        <v>9344</v>
      </c>
      <c r="C7430" s="5" t="str">
        <f>IFERROR(__xludf.DUMMYFUNCTION("GOOGLETRANSLATE(B7430,""en"",""es-ES"")"),"Se dio la vuelta y apuntó a la máquina.")</f>
        <v>Se dio la vuelta y apuntó a la máquina.</v>
      </c>
    </row>
    <row r="7431">
      <c r="A7431" s="4" t="s">
        <v>9342</v>
      </c>
      <c r="B7431" s="4" t="s">
        <v>9345</v>
      </c>
      <c r="C7431" s="5" t="str">
        <f>IFERROR(__xludf.DUMMYFUNCTION("GOOGLETRANSLATE(B7431,""en"",""es-ES"")"),"Se está mostrando la máquina.")</f>
        <v>Se está mostrando la máquina.</v>
      </c>
    </row>
    <row r="7432">
      <c r="A7432" s="4" t="s">
        <v>9342</v>
      </c>
      <c r="B7432" s="4" t="s">
        <v>9346</v>
      </c>
      <c r="C7432" s="5" t="str">
        <f>IFERROR(__xludf.DUMMYFUNCTION("GOOGLETRANSLATE(B7432,""en"",""es-ES"")"),"Un hombre que lleva una camisa blanca sigue hablando, mientras que detrás de él un hombre con camisa gris caminó y alcanzó algo en la máquina.")</f>
        <v>Un hombre que lleva una camisa blanca sigue hablando, mientras que detrás de él un hombre con camisa gris caminó y alcanzó algo en la máquina.</v>
      </c>
    </row>
    <row r="7433">
      <c r="A7433" s="4" t="s">
        <v>9342</v>
      </c>
      <c r="B7433" s="4" t="s">
        <v>9347</v>
      </c>
      <c r="C7433" s="5" t="str">
        <f>IFERROR(__xludf.DUMMYFUNCTION("GOOGLETRANSLATE(B7433,""en"",""es-ES"")"),"El hombre con camisa gris puso un material en polvo en la máquina.")</f>
        <v>El hombre con camisa gris puso un material en polvo en la máquina.</v>
      </c>
    </row>
    <row r="7434">
      <c r="A7434" s="4" t="s">
        <v>9342</v>
      </c>
      <c r="B7434" s="4" t="s">
        <v>9348</v>
      </c>
      <c r="C7434" s="5" t="str">
        <f>IFERROR(__xludf.DUMMYFUNCTION("GOOGLETRANSLATE(B7434,""en"",""es-ES"")"),"Él está sacudiendo la bolsa.")</f>
        <v>Él está sacudiendo la bolsa.</v>
      </c>
    </row>
    <row r="7435">
      <c r="A7435" s="4" t="s">
        <v>9342</v>
      </c>
      <c r="B7435" s="4" t="s">
        <v>9349</v>
      </c>
      <c r="C7435" s="5" t="str">
        <f>IFERROR(__xludf.DUMMYFUNCTION("GOOGLETRANSLATE(B7435,""en"",""es-ES"")"),"El hombre con camisa blanca está poniendo cemento en la pared.")</f>
        <v>El hombre con camisa blanca está poniendo cemento en la pared.</v>
      </c>
    </row>
    <row r="7436">
      <c r="A7436" s="4" t="s">
        <v>9342</v>
      </c>
      <c r="B7436" s="4" t="s">
        <v>9350</v>
      </c>
      <c r="C7436" s="5" t="str">
        <f>IFERROR(__xludf.DUMMYFUNCTION("GOOGLETRANSLATE(B7436,""en"",""es-ES"")"),"El hombre sostiene un tubo azul largo apuntando en la pared.")</f>
        <v>El hombre sostiene un tubo azul largo apuntando en la pared.</v>
      </c>
    </row>
    <row r="7437">
      <c r="A7437" s="4" t="s">
        <v>9342</v>
      </c>
      <c r="B7437" s="4" t="s">
        <v>9351</v>
      </c>
      <c r="C7437" s="5" t="str">
        <f>IFERROR(__xludf.DUMMYFUNCTION("GOOGLETRANSLATE(B7437,""en"",""es-ES"")"),"El hombre con uniforme gris usó el tubo/bomba y rocía el cemento en la pared.")</f>
        <v>El hombre con uniforme gris usó el tubo/bomba y rocía el cemento en la pared.</v>
      </c>
    </row>
    <row r="7438">
      <c r="A7438" s="4" t="s">
        <v>9342</v>
      </c>
      <c r="B7438" s="4" t="s">
        <v>9352</v>
      </c>
      <c r="C7438" s="5" t="str">
        <f>IFERROR(__xludf.DUMMYFUNCTION("GOOGLETRANSLATE(B7438,""en"",""es-ES"")"),"Un anciano está alisando el cemento en la pared.")</f>
        <v>Un anciano está alisando el cemento en la pared.</v>
      </c>
    </row>
    <row r="7439">
      <c r="A7439" s="4" t="s">
        <v>9353</v>
      </c>
      <c r="B7439" s="4" t="s">
        <v>9354</v>
      </c>
      <c r="C7439" s="5" t="str">
        <f>IFERROR(__xludf.DUMMYFUNCTION("GOOGLETRANSLATE(B7439,""en"",""es-ES"")"),"Una dama hula hoop con cinco hula hoops y uno por uno que se lleva de ella y la arroja hasta que tiró los cinco hula hoops con los que estaba hula hooping.")</f>
        <v>Una dama hula hoop con cinco hula hoops y uno por uno que se lleva de ella y la arroja hasta que tiró los cinco hula hoops con los que estaba hula hooping.</v>
      </c>
    </row>
    <row r="7440">
      <c r="A7440" s="4" t="s">
        <v>9353</v>
      </c>
      <c r="B7440" s="4" t="s">
        <v>9355</v>
      </c>
      <c r="C7440" s="5" t="str">
        <f>IFERROR(__xludf.DUMMYFUNCTION("GOOGLETRANSLATE(B7440,""en"",""es-ES"")"),"La señora entonces Hula Hoops con 300 hula hoops será un récord mundial.")</f>
        <v>La señora entonces Hula Hoops con 300 hula hoops será un récord mundial.</v>
      </c>
    </row>
    <row r="7441">
      <c r="A7441" s="4" t="s">
        <v>9353</v>
      </c>
      <c r="B7441" s="4" t="s">
        <v>9356</v>
      </c>
      <c r="C7441" s="5" t="str">
        <f>IFERROR(__xludf.DUMMYFUNCTION("GOOGLETRANSLATE(B7441,""en"",""es-ES"")"),"La señora comienza colocando los 300 Hula Hoops alrededor de su cuerpo mientras se dobla para agarrarlos bien, luego se para directamente y comienza a girar los 300 Hula Hoops alrededor de su cuerpo.")</f>
        <v>La señora comienza colocando los 300 Hula Hoops alrededor de su cuerpo mientras se dobla para agarrarlos bien, luego se para directamente y comienza a girar los 300 Hula Hoops alrededor de su cuerpo.</v>
      </c>
    </row>
    <row r="7442">
      <c r="A7442" s="4" t="s">
        <v>9353</v>
      </c>
      <c r="B7442" s="4" t="s">
        <v>9357</v>
      </c>
      <c r="C7442" s="5" t="str">
        <f>IFERROR(__xludf.DUMMYFUNCTION("GOOGLETRANSLATE(B7442,""en"",""es-ES"")"),"Finalmente, se las arregla para girar todo el hula hoop alrededor de su cuerpo de agujeros y termina con los hula hoops en el suelo y se inclina hacia las personas que la están mirando.")</f>
        <v>Finalmente, se las arregla para girar todo el hula hoop alrededor de su cuerpo de agujeros y termina con los hula hoops en el suelo y se inclina hacia las personas que la están mirando.</v>
      </c>
    </row>
    <row r="7443">
      <c r="A7443" s="4" t="s">
        <v>9358</v>
      </c>
      <c r="B7443" s="4" t="s">
        <v>9359</v>
      </c>
      <c r="C7443" s="5" t="str">
        <f>IFERROR(__xludf.DUMMYFUNCTION("GOOGLETRANSLATE(B7443,""en"",""es-ES"")"),"Se ve a un hombre trotar al costado de la carretera y hablar con la cámara.")</f>
        <v>Se ve a un hombre trotar al costado de la carretera y hablar con la cámara.</v>
      </c>
    </row>
    <row r="7444">
      <c r="A7444" s="4" t="s">
        <v>9358</v>
      </c>
      <c r="B7444" s="4" t="s">
        <v>9360</v>
      </c>
      <c r="C7444" s="5" t="str">
        <f>IFERROR(__xludf.DUMMYFUNCTION("GOOGLETRANSLATE(B7444,""en"",""es-ES"")"),"Se muestran clips de él calentándose en el costado y corriendo a lo largo de las montañas.")</f>
        <v>Se muestran clips de él calentándose en el costado y corriendo a lo largo de las montañas.</v>
      </c>
    </row>
    <row r="7445">
      <c r="A7445" s="4" t="s">
        <v>9358</v>
      </c>
      <c r="B7445" s="4" t="s">
        <v>9361</v>
      </c>
      <c r="C7445" s="5" t="str">
        <f>IFERROR(__xludf.DUMMYFUNCTION("GOOGLETRANSLATE(B7445,""en"",""es-ES"")"),"Continúa hablando con la cámara mientras corre por un vecindario y la gente mostrando sus movimientos.")</f>
        <v>Continúa hablando con la cámara mientras corre por un vecindario y la gente mostrando sus movimientos.</v>
      </c>
    </row>
    <row r="7446">
      <c r="A7446" s="4" t="s">
        <v>9362</v>
      </c>
      <c r="B7446" s="4" t="s">
        <v>9363</v>
      </c>
      <c r="C7446" s="5" t="str">
        <f>IFERROR(__xludf.DUMMYFUNCTION("GOOGLETRANSLATE(B7446,""en"",""es-ES"")"),"Un hombre está parado detrás de dos tambores invertidos.")</f>
        <v>Un hombre está parado detrás de dos tambores invertidos.</v>
      </c>
    </row>
    <row r="7447">
      <c r="A7447" s="4" t="s">
        <v>9362</v>
      </c>
      <c r="B7447" s="4" t="s">
        <v>9364</v>
      </c>
      <c r="C7447" s="5" t="str">
        <f>IFERROR(__xludf.DUMMYFUNCTION("GOOGLETRANSLATE(B7447,""en"",""es-ES"")"),"Comienza a jugarlos con pequeños palos.")</f>
        <v>Comienza a jugarlos con pequeños palos.</v>
      </c>
    </row>
    <row r="7448">
      <c r="A7448" s="4" t="s">
        <v>9362</v>
      </c>
      <c r="B7448" s="4" t="s">
        <v>9365</v>
      </c>
      <c r="C7448" s="5" t="str">
        <f>IFERROR(__xludf.DUMMYFUNCTION("GOOGLETRANSLATE(B7448,""en"",""es-ES"")"),"Termina de jugar y se aleja.")</f>
        <v>Termina de jugar y se aleja.</v>
      </c>
    </row>
    <row r="7449">
      <c r="A7449" s="4" t="s">
        <v>9366</v>
      </c>
      <c r="B7449" s="4" t="s">
        <v>9367</v>
      </c>
      <c r="C7449" s="5" t="str">
        <f>IFERROR(__xludf.DUMMYFUNCTION("GOOGLETRANSLATE(B7449,""en"",""es-ES"")"),"Se ve a un hombre atlético de pie antes de una viga y comienza a realizar una rutina de gimnasia.")</f>
        <v>Se ve a un hombre atlético de pie antes de una viga y comienza a realizar una rutina de gimnasia.</v>
      </c>
    </row>
    <row r="7450">
      <c r="A7450" s="4" t="s">
        <v>9366</v>
      </c>
      <c r="B7450" s="4" t="s">
        <v>9368</v>
      </c>
      <c r="C7450" s="5" t="str">
        <f>IFERROR(__xludf.DUMMYFUNCTION("GOOGLETRANSLATE(B7450,""en"",""es-ES"")"),"Se balancea y se realiza realizando volteretas y trucos y termina besando a la multitud y alejándose.")</f>
        <v>Se balancea y se realiza realizando volteretas y trucos y termina besando a la multitud y alejándose.</v>
      </c>
    </row>
    <row r="7451">
      <c r="A7451" s="4" t="s">
        <v>9369</v>
      </c>
      <c r="B7451" s="4" t="s">
        <v>9370</v>
      </c>
      <c r="C7451" s="5" t="str">
        <f>IFERROR(__xludf.DUMMYFUNCTION("GOOGLETRANSLATE(B7451,""en"",""es-ES"")"),"Aparece una pantalla de introducción de efecto especial que es principalmente palabras azules y blancas en el medio de la pantalla y leen ""saltos de cuerda"".")</f>
        <v>Aparece una pantalla de introducción de efecto especial que es principalmente palabras azules y blancas en el medio de la pantalla y leen "saltos de cuerda".</v>
      </c>
    </row>
    <row r="7452">
      <c r="A7452" s="4" t="s">
        <v>9369</v>
      </c>
      <c r="B7452" s="4" t="s">
        <v>9371</v>
      </c>
      <c r="C7452" s="5" t="str">
        <f>IFERROR(__xludf.DUMMYFUNCTION("GOOGLETRANSLATE(B7452,""en"",""es-ES"")"),"Detrás de las palabras hay 4 chicas con sus propias cuerdas de salto y todas son una cuerda que se saltan por separado y finalmente saltan al unísono.")</f>
        <v>Detrás de las palabras hay 4 chicas con sus propias cuerdas de salto y todas son una cuerda que se saltan por separado y finalmente saltan al unísono.</v>
      </c>
    </row>
    <row r="7453">
      <c r="A7453" s="4" t="s">
        <v>9369</v>
      </c>
      <c r="B7453" s="4" t="s">
        <v>9372</v>
      </c>
      <c r="C7453" s="5" t="str">
        <f>IFERROR(__xludf.DUMMYFUNCTION("GOOGLETRANSLATE(B7453,""en"",""es-ES"")"),"Las palabras blancas aparecen en la pantalla que decían ""Klasse 7c/fr leifels"", las chicas caen al suelo para terminar su rutina y sonríen y miran a su alrededor.")</f>
        <v>Las palabras blancas aparecen en la pantalla que decían "Klasse 7c/fr leifels", las chicas caen al suelo para terminar su rutina y sonríen y miran a su alrededor.</v>
      </c>
    </row>
    <row r="7454">
      <c r="A7454" s="4" t="s">
        <v>9373</v>
      </c>
      <c r="B7454" s="4" t="s">
        <v>9374</v>
      </c>
      <c r="C7454" s="5" t="str">
        <f>IFERROR(__xludf.DUMMYFUNCTION("GOOGLETRANSLATE(B7454,""en"",""es-ES"")"),"Un hombre con una sudadera con huella gris se encuentra contra una pared que se presenta y luego explica que va a dar un tutorial para algunos trucos.")</f>
        <v>Un hombre con una sudadera con huella gris se encuentra contra una pared que se presenta y luego explica que va a dar un tutorial para algunos trucos.</v>
      </c>
    </row>
    <row r="7455">
      <c r="A7455" s="4" t="s">
        <v>9373</v>
      </c>
      <c r="B7455" s="4" t="s">
        <v>9375</v>
      </c>
      <c r="C7455" s="5" t="str">
        <f>IFERROR(__xludf.DUMMYFUNCTION("GOOGLETRANSLATE(B7455,""en"",""es-ES"")"),"Se muestra una animación Stop Start con un calendario de escritorio con dibujos de animación Flip que se mezclan en una animación enmarcada que conduce al título del grupo y el tutorial de skate que están a punto de explicar.")</f>
        <v>Se muestra una animación Stop Start con un calendario de escritorio con dibujos de animación Flip que se mezclan en una animación enmarcada que conduce al título del grupo y el tutorial de skate que están a punto de explicar.</v>
      </c>
    </row>
    <row r="7456">
      <c r="A7456" s="4" t="s">
        <v>9373</v>
      </c>
      <c r="B7456" s="4" t="s">
        <v>9376</v>
      </c>
      <c r="C7456" s="5" t="str">
        <f>IFERROR(__xludf.DUMMYFUNCTION("GOOGLETRANSLATE(B7456,""en"",""es-ES"")"),"El hombre en la sudadera con capucha gris, lo siguen un skate que hace un truco que hace un truco frente a una cámara. aprendiendo el truco.")</f>
        <v>El hombre en la sudadera con capucha gris, lo siguen un skate que hace un truco que hace un truco frente a una cámara. aprendiendo el truco.</v>
      </c>
    </row>
    <row r="7457">
      <c r="A7457" s="4" t="s">
        <v>9373</v>
      </c>
      <c r="B7457" s="4" t="s">
        <v>9377</v>
      </c>
      <c r="C7457" s="5" t="str">
        <f>IFERROR(__xludf.DUMMYFUNCTION("GOOGLETRANSLATE(B7457,""en"",""es-ES"")"),"Luego entra en la explicación de cómo hacer el truco en profundidad, así como las imágenes que se muestran mientras habla sobre el truco.")</f>
        <v>Luego entra en la explicación de cómo hacer el truco en profundidad, así como las imágenes que se muestran mientras habla sobre el truco.</v>
      </c>
    </row>
    <row r="7458">
      <c r="A7458" s="4" t="s">
        <v>9373</v>
      </c>
      <c r="B7458" s="4" t="s">
        <v>9378</v>
      </c>
      <c r="C7458" s="5" t="str">
        <f>IFERROR(__xludf.DUMMYFUNCTION("GOOGLETRANSLATE(B7458,""en"",""es-ES"")"),"La cámara se prepara y aparece una pantalla negra con letras blancas y una dirección de sitio web seguida de una compañía de cine y un canal de sitio.")</f>
        <v>La cámara se prepara y aparece una pantalla negra con letras blancas y una dirección de sitio web seguida de una compañía de cine y un canal de sitio.</v>
      </c>
    </row>
    <row r="7459">
      <c r="A7459" s="4" t="s">
        <v>9379</v>
      </c>
      <c r="B7459" s="4" t="s">
        <v>9380</v>
      </c>
      <c r="C7459" s="5" t="str">
        <f>IFERROR(__xludf.DUMMYFUNCTION("GOOGLETRANSLATE(B7459,""en"",""es-ES"")"),"Se muestra a un hombre fumando un cigarrillo mientras camina a varios perros unidos a las cadenas en su cinturón.")</f>
        <v>Se muestra a un hombre fumando un cigarrillo mientras camina a varios perros unidos a las cadenas en su cinturón.</v>
      </c>
    </row>
    <row r="7460">
      <c r="A7460" s="4" t="s">
        <v>9379</v>
      </c>
      <c r="B7460" s="4" t="s">
        <v>9381</v>
      </c>
      <c r="C7460" s="5" t="str">
        <f>IFERROR(__xludf.DUMMYFUNCTION("GOOGLETRANSLATE(B7460,""en"",""es-ES"")"),"Un hombre está hablando de detrás de una mesa.")</f>
        <v>Un hombre está hablando de detrás de una mesa.</v>
      </c>
    </row>
    <row r="7461">
      <c r="A7461" s="4" t="s">
        <v>9379</v>
      </c>
      <c r="B7461" s="4" t="s">
        <v>9382</v>
      </c>
      <c r="C7461" s="5" t="str">
        <f>IFERROR(__xludf.DUMMYFUNCTION("GOOGLETRANSLATE(B7461,""en"",""es-ES"")"),"Luego se muestran varias escenas del actor mientras la persona de noticias habla de él.")</f>
        <v>Luego se muestran varias escenas del actor mientras la persona de noticias habla de él.</v>
      </c>
    </row>
    <row r="7462">
      <c r="A7462" s="4" t="s">
        <v>9383</v>
      </c>
      <c r="B7462" s="4" t="s">
        <v>9384</v>
      </c>
      <c r="C7462" s="5" t="str">
        <f>IFERROR(__xludf.DUMMYFUNCTION("GOOGLETRANSLATE(B7462,""en"",""es-ES"")"),"Una mujer se está preparando para bañar a su perro en su patio delantero.")</f>
        <v>Una mujer se está preparando para bañar a su perro en su patio delantero.</v>
      </c>
    </row>
    <row r="7463">
      <c r="A7463" s="4" t="s">
        <v>9383</v>
      </c>
      <c r="B7463" s="4" t="s">
        <v>9385</v>
      </c>
      <c r="C7463" s="5" t="str">
        <f>IFERROR(__xludf.DUMMYFUNCTION("GOOGLETRANSLATE(B7463,""en"",""es-ES"")"),"Ella toma una manguera y el perro primero.")</f>
        <v>Ella toma una manguera y el perro primero.</v>
      </c>
    </row>
    <row r="7464">
      <c r="A7464" s="4" t="s">
        <v>9383</v>
      </c>
      <c r="B7464" s="4" t="s">
        <v>9386</v>
      </c>
      <c r="C7464" s="5" t="str">
        <f>IFERROR(__xludf.DUMMYFUNCTION("GOOGLETRANSLATE(B7464,""en"",""es-ES"")"),"Hay otro cachorro corriendo alrededor del perro y un gatito también.")</f>
        <v>Hay otro cachorro corriendo alrededor del perro y un gatito también.</v>
      </c>
    </row>
    <row r="7465">
      <c r="A7465" s="4" t="s">
        <v>9383</v>
      </c>
      <c r="B7465" s="4" t="s">
        <v>9387</v>
      </c>
      <c r="C7465" s="5" t="str">
        <f>IFERROR(__xludf.DUMMYFUNCTION("GOOGLETRANSLATE(B7465,""en"",""es-ES"")"),"La mujer toma un poco de jabón líquido y lo frota sobre el perro.")</f>
        <v>La mujer toma un poco de jabón líquido y lo frota sobre el perro.</v>
      </c>
    </row>
    <row r="7466">
      <c r="A7466" s="4" t="s">
        <v>9383</v>
      </c>
      <c r="B7466" s="4" t="s">
        <v>9388</v>
      </c>
      <c r="C7466" s="5" t="str">
        <f>IFERROR(__xludf.DUMMYFUNCTION("GOOGLETRANSLATE(B7466,""en"",""es-ES"")"),"Después de que ella haya terminado de lavarse, lo limpia con una toalla.")</f>
        <v>Después de que ella haya terminado de lavarse, lo limpia con una toalla.</v>
      </c>
    </row>
    <row r="7467">
      <c r="A7467" s="4" t="s">
        <v>9383</v>
      </c>
      <c r="B7467" s="4" t="s">
        <v>9389</v>
      </c>
      <c r="C7467" s="5" t="str">
        <f>IFERROR(__xludf.DUMMYFUNCTION("GOOGLETRANSLATE(B7467,""en"",""es-ES"")"),"Luego baña al pequeño cachorro de la misma manera con jabón y jabón.")</f>
        <v>Luego baña al pequeño cachorro de la misma manera con jabón y jabón.</v>
      </c>
    </row>
    <row r="7468">
      <c r="A7468" s="4" t="s">
        <v>9383</v>
      </c>
      <c r="B7468" s="4" t="s">
        <v>9390</v>
      </c>
      <c r="C7468" s="5" t="str">
        <f>IFERROR(__xludf.DUMMYFUNCTION("GOOGLETRANSLATE(B7468,""en"",""es-ES"")"),"El perro juega en una alfombra después de que el baño termina con pelaje húmedo en su cuerpo.")</f>
        <v>El perro juega en una alfombra después de que el baño termina con pelaje húmedo en su cuerpo.</v>
      </c>
    </row>
    <row r="7469">
      <c r="A7469" s="4" t="s">
        <v>9383</v>
      </c>
      <c r="B7469" s="4" t="s">
        <v>9391</v>
      </c>
      <c r="C7469" s="5" t="str">
        <f>IFERROR(__xludf.DUMMYFUNCTION("GOOGLETRANSLATE(B7469,""en"",""es-ES"")"),"El pequeño cachorro está corriendo alrededor del perro con pelaje mojado también.")</f>
        <v>El pequeño cachorro está corriendo alrededor del perro con pelaje mojado también.</v>
      </c>
    </row>
    <row r="7470">
      <c r="A7470" s="4" t="s">
        <v>9392</v>
      </c>
      <c r="B7470" s="4" t="s">
        <v>9393</v>
      </c>
      <c r="C7470" s="5" t="str">
        <f>IFERROR(__xludf.DUMMYFUNCTION("GOOGLETRANSLATE(B7470,""en"",""es-ES"")"),"Se muestra una bandeja de galletas, seguida de mantequilla golpeada en un tazón.")</f>
        <v>Se muestra una bandeja de galletas, seguida de mantequilla golpeada en un tazón.</v>
      </c>
    </row>
    <row r="7471">
      <c r="A7471" s="4" t="s">
        <v>9392</v>
      </c>
      <c r="B7471" s="4" t="s">
        <v>9394</v>
      </c>
      <c r="C7471" s="5" t="str">
        <f>IFERROR(__xludf.DUMMYFUNCTION("GOOGLETRANSLATE(B7471,""en"",""es-ES"")"),"Los ingredientes se agregan uno a la vez, mezclándolos todos juntos.")</f>
        <v>Los ingredientes se agregan uno a la vez, mezclándolos todos juntos.</v>
      </c>
    </row>
    <row r="7472">
      <c r="A7472" s="4" t="s">
        <v>9392</v>
      </c>
      <c r="B7472" s="4" t="s">
        <v>9395</v>
      </c>
      <c r="C7472" s="5" t="str">
        <f>IFERROR(__xludf.DUMMYFUNCTION("GOOGLETRANSLATE(B7472,""en"",""es-ES"")"),"La masa se pone en la bandeja, luego se hornea.")</f>
        <v>La masa se pone en la bandeja, luego se hornea.</v>
      </c>
    </row>
    <row r="7473">
      <c r="A7473" s="4" t="s">
        <v>9396</v>
      </c>
      <c r="B7473" s="4" t="s">
        <v>9397</v>
      </c>
      <c r="C7473" s="5" t="str">
        <f>IFERROR(__xludf.DUMMYFUNCTION("GOOGLETRANSLATE(B7473,""en"",""es-ES"")"),"Una mujer está de pie en una habitación hablando.")</f>
        <v>Una mujer está de pie en una habitación hablando.</v>
      </c>
    </row>
    <row r="7474">
      <c r="A7474" s="4" t="s">
        <v>9396</v>
      </c>
      <c r="B7474" s="4" t="s">
        <v>9398</v>
      </c>
      <c r="C7474" s="5" t="str">
        <f>IFERROR(__xludf.DUMMYFUNCTION("GOOGLETRANSLATE(B7474,""en"",""es-ES"")"),"Ella toma una botella de plástico.")</f>
        <v>Ella toma una botella de plástico.</v>
      </c>
    </row>
    <row r="7475">
      <c r="A7475" s="4" t="s">
        <v>9396</v>
      </c>
      <c r="B7475" s="4" t="s">
        <v>9399</v>
      </c>
      <c r="C7475" s="5" t="str">
        <f>IFERROR(__xludf.DUMMYFUNCTION("GOOGLETRANSLATE(B7475,""en"",""es-ES"")"),"Ella comienza a desempolvar un tocador.")</f>
        <v>Ella comienza a desempolvar un tocador.</v>
      </c>
    </row>
    <row r="7476">
      <c r="A7476" s="4" t="s">
        <v>9396</v>
      </c>
      <c r="B7476" s="4" t="s">
        <v>9400</v>
      </c>
      <c r="C7476" s="5" t="str">
        <f>IFERROR(__xludf.DUMMYFUNCTION("GOOGLETRANSLATE(B7476,""en"",""es-ES"")"),"Ella lo limpia con una toalla.")</f>
        <v>Ella lo limpia con una toalla.</v>
      </c>
    </row>
    <row r="7477">
      <c r="A7477" s="4" t="s">
        <v>9396</v>
      </c>
      <c r="B7477" s="4" t="s">
        <v>9401</v>
      </c>
      <c r="C7477" s="5" t="str">
        <f>IFERROR(__xludf.DUMMYFUNCTION("GOOGLETRANSLATE(B7477,""en"",""es-ES"")"),"Ella arroja aceite de oliva sobre un trapo y lo frota en el tocador.")</f>
        <v>Ella arroja aceite de oliva sobre un trapo y lo frota en el tocador.</v>
      </c>
    </row>
    <row r="7478">
      <c r="A7478" s="4" t="s">
        <v>9402</v>
      </c>
      <c r="B7478" s="4" t="s">
        <v>9403</v>
      </c>
      <c r="C7478" s="5" t="str">
        <f>IFERROR(__xludf.DUMMYFUNCTION("GOOGLETRANSLATE(B7478,""en"",""es-ES"")"),"El equipo está en una cancha jugando fútbol sala, corriendo por la cancha, mientras la gente se encuentra en stands mirando el juego.")</f>
        <v>El equipo está en una cancha jugando fútbol sala, corriendo por la cancha, mientras la gente se encuentra en stands mirando el juego.</v>
      </c>
    </row>
    <row r="7479">
      <c r="A7479" s="4" t="s">
        <v>9402</v>
      </c>
      <c r="B7479" s="4" t="s">
        <v>9404</v>
      </c>
      <c r="C7479" s="5" t="str">
        <f>IFERROR(__xludf.DUMMYFUNCTION("GOOGLETRANSLATE(B7479,""en"",""es-ES"")"),"El equipo está parado en los lados cargando una penalización.")</f>
        <v>El equipo está parado en los lados cargando una penalización.</v>
      </c>
    </row>
    <row r="7480">
      <c r="A7480" s="4" t="s">
        <v>9402</v>
      </c>
      <c r="B7480" s="4" t="s">
        <v>9405</v>
      </c>
      <c r="C7480" s="5" t="str">
        <f>IFERROR(__xludf.DUMMYFUNCTION("GOOGLETRANSLATE(B7480,""en"",""es-ES"")"),"La gente está en un gimnasio techo jugando y caminando el juego.")</f>
        <v>La gente está en un gimnasio techo jugando y caminando el juego.</v>
      </c>
    </row>
    <row r="7481">
      <c r="A7481" s="4" t="s">
        <v>9406</v>
      </c>
      <c r="B7481" s="4" t="s">
        <v>9407</v>
      </c>
      <c r="C7481" s="5" t="str">
        <f>IFERROR(__xludf.DUMMYFUNCTION("GOOGLETRANSLATE(B7481,""en"",""es-ES"")"),"Vemos a un hombre hablando mientras camina por una casa.")</f>
        <v>Vemos a un hombre hablando mientras camina por una casa.</v>
      </c>
    </row>
    <row r="7482">
      <c r="A7482" s="4" t="s">
        <v>9406</v>
      </c>
      <c r="B7482" s="4" t="s">
        <v>9408</v>
      </c>
      <c r="C7482" s="5" t="str">
        <f>IFERROR(__xludf.DUMMYFUNCTION("GOOGLETRANSLATE(B7482,""en"",""es-ES"")"),"Vemos a otro hombre trabajando en el piso.")</f>
        <v>Vemos a otro hombre trabajando en el piso.</v>
      </c>
    </row>
    <row r="7483">
      <c r="A7483" s="4" t="s">
        <v>9406</v>
      </c>
      <c r="B7483" s="4" t="s">
        <v>9409</v>
      </c>
      <c r="C7483" s="5" t="str">
        <f>IFERROR(__xludf.DUMMYFUNCTION("GOOGLETRANSLATE(B7483,""en"",""es-ES"")"),"Vemos a un hombre colocando baldosas en otra habitación.")</f>
        <v>Vemos a un hombre colocando baldosas en otra habitación.</v>
      </c>
    </row>
    <row r="7484">
      <c r="A7484" s="4" t="s">
        <v>9406</v>
      </c>
      <c r="B7484" s="4" t="s">
        <v>9410</v>
      </c>
      <c r="C7484" s="5" t="str">
        <f>IFERROR(__xludf.DUMMYFUNCTION("GOOGLETRANSLATE(B7484,""en"",""es-ES"")"),"Dos hombres están en la misma habitación trabajando en diferentes proyectos.")</f>
        <v>Dos hombres están en la misma habitación trabajando en diferentes proyectos.</v>
      </c>
    </row>
    <row r="7485">
      <c r="A7485" s="4" t="s">
        <v>9406</v>
      </c>
      <c r="B7485" s="4" t="s">
        <v>9411</v>
      </c>
      <c r="C7485" s="5" t="str">
        <f>IFERROR(__xludf.DUMMYFUNCTION("GOOGLETRANSLATE(B7485,""en"",""es-ES"")"),"Vemos al hombre hablando con la cámara nuevamente.")</f>
        <v>Vemos al hombre hablando con la cámara nuevamente.</v>
      </c>
    </row>
    <row r="7486">
      <c r="A7486" s="4" t="s">
        <v>9412</v>
      </c>
      <c r="B7486" s="4" t="s">
        <v>9413</v>
      </c>
      <c r="C7486" s="5" t="str">
        <f>IFERROR(__xludf.DUMMYFUNCTION("GOOGLETRANSLATE(B7486,""en"",""es-ES"")"),"Se escribe una dirección del sitio web.")</f>
        <v>Se escribe una dirección del sitio web.</v>
      </c>
    </row>
    <row r="7487">
      <c r="A7487" s="4" t="s">
        <v>9412</v>
      </c>
      <c r="B7487" s="4" t="s">
        <v>9414</v>
      </c>
      <c r="C7487" s="5" t="str">
        <f>IFERROR(__xludf.DUMMYFUNCTION("GOOGLETRANSLATE(B7487,""en"",""es-ES"")"),"Las patinetas patinan y hacen trucos por las escaleras y en los bancos en toda una ciudad.")</f>
        <v>Las patinetas patinan y hacen trucos por las escaleras y en los bancos en toda una ciudad.</v>
      </c>
    </row>
    <row r="7488">
      <c r="A7488" s="4" t="s">
        <v>9412</v>
      </c>
      <c r="B7488" s="4" t="s">
        <v>9415</v>
      </c>
      <c r="C7488" s="5" t="str">
        <f>IFERROR(__xludf.DUMMYFUNCTION("GOOGLETRANSLATE(B7488,""en"",""es-ES"")"),"Un patinador monta una rampa de concreto en un parque de patinaje.")</f>
        <v>Un patinador monta una rampa de concreto en un parque de patinaje.</v>
      </c>
    </row>
    <row r="7489">
      <c r="A7489" s="4" t="s">
        <v>9412</v>
      </c>
      <c r="B7489" s="4" t="s">
        <v>9416</v>
      </c>
      <c r="C7489" s="5" t="str">
        <f>IFERROR(__xludf.DUMMYFUNCTION("GOOGLETRANSLATE(B7489,""en"",""es-ES"")"),"Los skaters montan en las orillas de una zanja de drenaje.")</f>
        <v>Los skaters montan en las orillas de una zanja de drenaje.</v>
      </c>
    </row>
    <row r="7490">
      <c r="A7490" s="4" t="s">
        <v>9412</v>
      </c>
      <c r="B7490" s="4" t="s">
        <v>9417</v>
      </c>
      <c r="C7490" s="5" t="str">
        <f>IFERROR(__xludf.DUMMYFUNCTION("GOOGLETRANSLATE(B7490,""en"",""es-ES"")"),"Diferentes patinadores viajan en una rampa de concreto haciendo trucos.")</f>
        <v>Diferentes patinadores viajan en una rampa de concreto haciendo trucos.</v>
      </c>
    </row>
    <row r="7491">
      <c r="A7491" s="4" t="s">
        <v>9412</v>
      </c>
      <c r="B7491" s="4" t="s">
        <v>9418</v>
      </c>
      <c r="C7491" s="5" t="str">
        <f>IFERROR(__xludf.DUMMYFUNCTION("GOOGLETRANSLATE(B7491,""en"",""es-ES"")"),"Las luces de la ciudad se ven por la noche con el tráfico que pasa en movimiento rápido.")</f>
        <v>Las luces de la ciudad se ven por la noche con el tráfico que pasa en movimiento rápido.</v>
      </c>
    </row>
    <row r="7492">
      <c r="A7492" s="4" t="s">
        <v>9419</v>
      </c>
      <c r="B7492" s="4" t="s">
        <v>9420</v>
      </c>
      <c r="C7492" s="5" t="str">
        <f>IFERROR(__xludf.DUMMYFUNCTION("GOOGLETRANSLATE(B7492,""en"",""es-ES"")"),"La gente está bailando en un escenario.")</f>
        <v>La gente está bailando en un escenario.</v>
      </c>
    </row>
    <row r="7493">
      <c r="A7493" s="4" t="s">
        <v>9419</v>
      </c>
      <c r="B7493" s="4" t="s">
        <v>9421</v>
      </c>
      <c r="C7493" s="5" t="str">
        <f>IFERROR(__xludf.DUMMYFUNCTION("GOOGLETRANSLATE(B7493,""en"",""es-ES"")"),"La gente de la audiencia está levantando las manos.")</f>
        <v>La gente de la audiencia está levantando las manos.</v>
      </c>
    </row>
    <row r="7494">
      <c r="A7494" s="4" t="s">
        <v>9419</v>
      </c>
      <c r="B7494" s="4" t="s">
        <v>9422</v>
      </c>
      <c r="C7494" s="5" t="str">
        <f>IFERROR(__xludf.DUMMYFUNCTION("GOOGLETRANSLATE(B7494,""en"",""es-ES"")"),"Un hombre con una camisa blanca comienza a cantar y bailar en el escenario.")</f>
        <v>Un hombre con una camisa blanca comienza a cantar y bailar en el escenario.</v>
      </c>
    </row>
    <row r="7495">
      <c r="A7495" s="4" t="s">
        <v>9423</v>
      </c>
      <c r="B7495" s="4" t="s">
        <v>9424</v>
      </c>
      <c r="C7495" s="5" t="str">
        <f>IFERROR(__xludf.DUMMYFUNCTION("GOOGLETRANSLATE(B7495,""en"",""es-ES"")"),"Un chef demuestra cómo cortar y cortar varias verduras mientras prepara una comida inspirada en asiático.")</f>
        <v>Un chef demuestra cómo cortar y cortar varias verduras mientras prepara una comida inspirada en asiático.</v>
      </c>
    </row>
    <row r="7496">
      <c r="A7496" s="4" t="s">
        <v>9423</v>
      </c>
      <c r="B7496" s="4" t="s">
        <v>9425</v>
      </c>
      <c r="C7496" s="5" t="str">
        <f>IFERROR(__xludf.DUMMYFUNCTION("GOOGLETRANSLATE(B7496,""en"",""es-ES"")"),"Un chef con un atuendo de chefs blancos en una cocina, hierve papas y cebollas en una olla.")</f>
        <v>Un chef con un atuendo de chefs blancos en una cocina, hierve papas y cebollas en una olla.</v>
      </c>
    </row>
    <row r="7497">
      <c r="A7497" s="4" t="s">
        <v>9423</v>
      </c>
      <c r="B7497" s="4" t="s">
        <v>9426</v>
      </c>
      <c r="C7497" s="5" t="str">
        <f>IFERROR(__xludf.DUMMYFUNCTION("GOOGLETRANSLATE(B7497,""en"",""es-ES"")"),"El chef habla con la cámara y toma una serie de verduras y las corta en un mostrador.")</f>
        <v>El chef habla con la cámara y toma una serie de verduras y las corta en un mostrador.</v>
      </c>
    </row>
    <row r="7498">
      <c r="A7498" s="4" t="s">
        <v>9423</v>
      </c>
      <c r="B7498" s="4" t="s">
        <v>9427</v>
      </c>
      <c r="C7498" s="5" t="str">
        <f>IFERROR(__xludf.DUMMYFUNCTION("GOOGLETRANSLATE(B7498,""en"",""es-ES"")"),"Luego, el chef coloca las verduras junto con un poco de aceite en un tazón y pega dos palillos grandes para mostrar el producto terminado.")</f>
        <v>Luego, el chef coloca las verduras junto con un poco de aceite en un tazón y pega dos palillos grandes para mostrar el producto terminado.</v>
      </c>
    </row>
    <row r="7499">
      <c r="A7499" s="4" t="s">
        <v>9428</v>
      </c>
      <c r="B7499" s="4" t="s">
        <v>9429</v>
      </c>
      <c r="C7499" s="5" t="str">
        <f>IFERROR(__xludf.DUMMYFUNCTION("GOOGLETRANSLATE(B7499,""en"",""es-ES"")"),"Se ve a una mujer acostada sobre una mesa con un hombre que la tatúa desde atrás.")</f>
        <v>Se ve a una mujer acostada sobre una mesa con un hombre que la tatúa desde atrás.</v>
      </c>
    </row>
    <row r="7500">
      <c r="A7500" s="4" t="s">
        <v>9428</v>
      </c>
      <c r="B7500" s="4" t="s">
        <v>9430</v>
      </c>
      <c r="C7500" s="5" t="str">
        <f>IFERROR(__xludf.DUMMYFUNCTION("GOOGLETRANSLATE(B7500,""en"",""es-ES"")"),"Una mujer mira a un lado mientras el hombre continúa tatuándose y la mujer que lo hace parar.")</f>
        <v>Una mujer mira a un lado mientras el hombre continúa tatuándose y la mujer que lo hace parar.</v>
      </c>
    </row>
    <row r="7501">
      <c r="A7501" s="4" t="s">
        <v>9428</v>
      </c>
      <c r="B7501" s="4" t="s">
        <v>9431</v>
      </c>
      <c r="C7501" s="5" t="str">
        <f>IFERROR(__xludf.DUMMYFUNCTION("GOOGLETRANSLATE(B7501,""en"",""es-ES"")"),"La mujer continúa tratando de hacerse el tatuaje pero detenerse y hablar con la cámara porque me dolía mucho.")</f>
        <v>La mujer continúa tratando de hacerse el tatuaje pero detenerse y hablar con la cámara porque me dolía mucho.</v>
      </c>
    </row>
    <row r="7502">
      <c r="A7502" s="4" t="s">
        <v>9432</v>
      </c>
      <c r="B7502" s="4" t="s">
        <v>9433</v>
      </c>
      <c r="C7502" s="5" t="str">
        <f>IFERROR(__xludf.DUMMYFUNCTION("GOOGLETRANSLATE(B7502,""en"",""es-ES"")"),"Se ve a un hombre parado en una escalera y conduce a varias fotos de él en la escalera y luego pinta la pared con otra.")</f>
        <v>Se ve a un hombre parado en una escalera y conduce a varias fotos de él en la escalera y luego pinta la pared con otra.</v>
      </c>
    </row>
    <row r="7503">
      <c r="A7503" s="4" t="s">
        <v>9432</v>
      </c>
      <c r="B7503" s="4" t="s">
        <v>9434</v>
      </c>
      <c r="C7503" s="5" t="str">
        <f>IFERROR(__xludf.DUMMYFUNCTION("GOOGLETRANSLATE(B7503,""en"",""es-ES"")"),"Se ven colgando carteles, subiendo y bajando escaleras, y finalmente cortando alimentos cariosos en un palo grande después.")</f>
        <v>Se ven colgando carteles, subiendo y bajando escaleras, y finalmente cortando alimentos cariosos en un palo grande después.</v>
      </c>
    </row>
    <row r="7504">
      <c r="A7504" s="4" t="s">
        <v>9435</v>
      </c>
      <c r="B7504" s="4" t="s">
        <v>9436</v>
      </c>
      <c r="C7504" s="5" t="str">
        <f>IFERROR(__xludf.DUMMYFUNCTION("GOOGLETRANSLATE(B7504,""en"",""es-ES"")"),"Un hombre está sentado en una silla.")</f>
        <v>Un hombre está sentado en una silla.</v>
      </c>
    </row>
    <row r="7505">
      <c r="A7505" s="4" t="s">
        <v>9435</v>
      </c>
      <c r="B7505" s="4" t="s">
        <v>9437</v>
      </c>
      <c r="C7505" s="5" t="str">
        <f>IFERROR(__xludf.DUMMYFUNCTION("GOOGLETRANSLATE(B7505,""en"",""es-ES"")"),"Comienza a jugar un acordeón en su regazo.")</f>
        <v>Comienza a jugar un acordeón en su regazo.</v>
      </c>
    </row>
    <row r="7506">
      <c r="A7506" s="4" t="s">
        <v>9435</v>
      </c>
      <c r="B7506" s="4" t="s">
        <v>9438</v>
      </c>
      <c r="C7506" s="5" t="str">
        <f>IFERROR(__xludf.DUMMYFUNCTION("GOOGLETRANSLATE(B7506,""en"",""es-ES"")"),"Deja de jugar y mira la cámara.")</f>
        <v>Deja de jugar y mira la cámara.</v>
      </c>
    </row>
    <row r="7507">
      <c r="A7507" s="4" t="s">
        <v>9439</v>
      </c>
      <c r="B7507" s="4" t="s">
        <v>9440</v>
      </c>
      <c r="C7507" s="5" t="str">
        <f>IFERROR(__xludf.DUMMYFUNCTION("GOOGLETRANSLATE(B7507,""en"",""es-ES"")"),"Se ve a un hombre caminando hacia adelante hablando con la cámara y comienza a lavar un automóvil.")</f>
        <v>Se ve a un hombre caminando hacia adelante hablando con la cámara y comienza a lavar un automóvil.</v>
      </c>
    </row>
    <row r="7508">
      <c r="A7508" s="4" t="s">
        <v>9439</v>
      </c>
      <c r="B7508" s="4" t="s">
        <v>9441</v>
      </c>
      <c r="C7508" s="5" t="str">
        <f>IFERROR(__xludf.DUMMYFUNCTION("GOOGLETRANSLATE(B7508,""en"",""es-ES"")"),"El hombre se frota por todo el auto mientras todavía habla con la cámara.")</f>
        <v>El hombre se frota por todo el auto mientras todavía habla con la cámara.</v>
      </c>
    </row>
    <row r="7509">
      <c r="A7509" s="4" t="s">
        <v>9439</v>
      </c>
      <c r="B7509" s="4" t="s">
        <v>9442</v>
      </c>
      <c r="C7509" s="5" t="str">
        <f>IFERROR(__xludf.DUMMYFUNCTION("GOOGLETRANSLATE(B7509,""en"",""es-ES"")"),"Continúa lavando el auto y se detiene por un momento para hablar con la cámara.")</f>
        <v>Continúa lavando el auto y se detiene por un momento para hablar con la cámara.</v>
      </c>
    </row>
    <row r="7510">
      <c r="A7510" s="4" t="s">
        <v>9443</v>
      </c>
      <c r="B7510" s="4" t="s">
        <v>9444</v>
      </c>
      <c r="C7510" s="5" t="str">
        <f>IFERROR(__xludf.DUMMYFUNCTION("GOOGLETRANSLATE(B7510,""en"",""es-ES"")"),"Una mujer está tratando de jugar malhumorado.")</f>
        <v>Una mujer está tratando de jugar malhumorado.</v>
      </c>
    </row>
    <row r="7511">
      <c r="A7511" s="4" t="s">
        <v>9443</v>
      </c>
      <c r="B7511" s="4" t="s">
        <v>9445</v>
      </c>
      <c r="C7511" s="5" t="str">
        <f>IFERROR(__xludf.DUMMYFUNCTION("GOOGLETRANSLATE(B7511,""en"",""es-ES"")"),"Ella está golpeando la polla del transbordador.")</f>
        <v>Ella está golpeando la polla del transbordador.</v>
      </c>
    </row>
    <row r="7512">
      <c r="A7512" s="4" t="s">
        <v>9443</v>
      </c>
      <c r="B7512" s="4" t="s">
        <v>9446</v>
      </c>
      <c r="C7512" s="5" t="str">
        <f>IFERROR(__xludf.DUMMYFUNCTION("GOOGLETRANSLATE(B7512,""en"",""es-ES"")"),"Ella está caminando por la cancha, mirando a su alrededor.")</f>
        <v>Ella está caminando por la cancha, mirando a su alrededor.</v>
      </c>
    </row>
    <row r="7513">
      <c r="A7513" s="4" t="s">
        <v>9443</v>
      </c>
      <c r="B7513" s="4" t="s">
        <v>9447</v>
      </c>
      <c r="C7513" s="5" t="str">
        <f>IFERROR(__xludf.DUMMYFUNCTION("GOOGLETRANSLATE(B7513,""en"",""es-ES"")"),"Ella está tratando de jugar el juego con no mucho esfuerzo.")</f>
        <v>Ella está tratando de jugar el juego con no mucho esfuerzo.</v>
      </c>
    </row>
    <row r="7514">
      <c r="A7514" s="4" t="s">
        <v>9443</v>
      </c>
      <c r="B7514" s="4" t="s">
        <v>9448</v>
      </c>
      <c r="C7514" s="5" t="str">
        <f>IFERROR(__xludf.DUMMYFUNCTION("GOOGLETRANSLATE(B7514,""en"",""es-ES"")"),"Ella le entrega otra raqueta a un amigo.")</f>
        <v>Ella le entrega otra raqueta a un amigo.</v>
      </c>
    </row>
    <row r="7515">
      <c r="A7515" s="4" t="s">
        <v>9443</v>
      </c>
      <c r="B7515" s="4" t="s">
        <v>9449</v>
      </c>
      <c r="C7515" s="5" t="str">
        <f>IFERROR(__xludf.DUMMYFUNCTION("GOOGLETRANSLATE(B7515,""en"",""es-ES"")"),"Ella no está jugando realmente.")</f>
        <v>Ella no está jugando realmente.</v>
      </c>
    </row>
    <row r="7516">
      <c r="A7516" s="4" t="s">
        <v>9443</v>
      </c>
      <c r="B7516" s="4" t="s">
        <v>9450</v>
      </c>
      <c r="C7516" s="5" t="str">
        <f>IFERROR(__xludf.DUMMYFUNCTION("GOOGLETRANSLATE(B7516,""en"",""es-ES"")"),"El otro jugador es una jugadora más seria mientras sirve.")</f>
        <v>El otro jugador es una jugadora más seria mientras sirve.</v>
      </c>
    </row>
    <row r="7517">
      <c r="A7517" s="4" t="s">
        <v>9443</v>
      </c>
      <c r="B7517" s="4" t="s">
        <v>9451</v>
      </c>
      <c r="C7517" s="5" t="str">
        <f>IFERROR(__xludf.DUMMYFUNCTION("GOOGLETRANSLATE(B7517,""en"",""es-ES"")"),"El juego de malhechado continúa cuando el primer jugador perdió una y otra vez.")</f>
        <v>El juego de malhechado continúa cuando el primer jugador perdió una y otra vez.</v>
      </c>
    </row>
    <row r="7518">
      <c r="A7518" s="4" t="s">
        <v>9443</v>
      </c>
      <c r="B7518" s="4" t="s">
        <v>9452</v>
      </c>
      <c r="C7518" s="5" t="str">
        <f>IFERROR(__xludf.DUMMYFUNCTION("GOOGLETRANSLATE(B7518,""en"",""es-ES"")"),"La gente camina frente a la cámara.")</f>
        <v>La gente camina frente a la cámara.</v>
      </c>
    </row>
    <row r="7519">
      <c r="A7519" s="4" t="s">
        <v>9443</v>
      </c>
      <c r="B7519" s="4" t="s">
        <v>9453</v>
      </c>
      <c r="C7519" s="5" t="str">
        <f>IFERROR(__xludf.DUMMYFUNCTION("GOOGLETRANSLATE(B7519,""en"",""es-ES"")"),"La cámara muestra a los otros dos jugadores.")</f>
        <v>La cámara muestra a los otros dos jugadores.</v>
      </c>
    </row>
    <row r="7520">
      <c r="A7520" s="4" t="s">
        <v>9443</v>
      </c>
      <c r="B7520" s="4" t="s">
        <v>9454</v>
      </c>
      <c r="C7520" s="5" t="str">
        <f>IFERROR(__xludf.DUMMYFUNCTION("GOOGLETRANSLATE(B7520,""en"",""es-ES"")"),"El juego continúa por un tiempo más antes de que termine.")</f>
        <v>El juego continúa por un tiempo más antes de que termine.</v>
      </c>
    </row>
    <row r="7521">
      <c r="A7521" s="4" t="s">
        <v>9455</v>
      </c>
      <c r="B7521" s="4" t="s">
        <v>9456</v>
      </c>
      <c r="C7521" s="5" t="str">
        <f>IFERROR(__xludf.DUMMYFUNCTION("GOOGLETRANSLATE(B7521,""en"",""es-ES"")"),"Se ve a una mujer mirando la cámara y sosteniendo un trozo de maquillaje.")</f>
        <v>Se ve a una mujer mirando la cámara y sosteniendo un trozo de maquillaje.</v>
      </c>
    </row>
    <row r="7522">
      <c r="A7522" s="4" t="s">
        <v>9455</v>
      </c>
      <c r="B7522" s="4" t="s">
        <v>9457</v>
      </c>
      <c r="C7522" s="5" t="str">
        <f>IFERROR(__xludf.DUMMYFUNCTION("GOOGLETRANSLATE(B7522,""en"",""es-ES"")"),"Luego saca sus contactos y levanta otro contenedor.")</f>
        <v>Luego saca sus contactos y levanta otro contenedor.</v>
      </c>
    </row>
    <row r="7523">
      <c r="A7523" s="4" t="s">
        <v>9455</v>
      </c>
      <c r="B7523" s="4" t="s">
        <v>9458</v>
      </c>
      <c r="C7523" s="5" t="str">
        <f>IFERROR(__xludf.DUMMYFUNCTION("GOOGLETRANSLATE(B7523,""en"",""es-ES"")"),"Luego pone otro conjunto de contactos y sonríe a la cámara.")</f>
        <v>Luego pone otro conjunto de contactos y sonríe a la cámara.</v>
      </c>
    </row>
    <row r="7524">
      <c r="A7524" s="4" t="s">
        <v>9459</v>
      </c>
      <c r="B7524" s="4" t="s">
        <v>9460</v>
      </c>
      <c r="C7524" s="5" t="str">
        <f>IFERROR(__xludf.DUMMYFUNCTION("GOOGLETRANSLATE(B7524,""en"",""es-ES"")"),"Un hombre ajusta su cámara y captura un primer plano de su mano y cara.")</f>
        <v>Un hombre ajusta su cámara y captura un primer plano de su mano y cara.</v>
      </c>
    </row>
    <row r="7525">
      <c r="A7525" s="4" t="s">
        <v>9459</v>
      </c>
      <c r="B7525" s="4" t="s">
        <v>9461</v>
      </c>
      <c r="C7525" s="5" t="str">
        <f>IFERROR(__xludf.DUMMYFUNCTION("GOOGLETRANSLATE(B7525,""en"",""es-ES"")"),"Un niño pequeño con una camisa verde está tocando algunos instrumentos de percusión conga.")</f>
        <v>Un niño pequeño con una camisa verde está tocando algunos instrumentos de percusión conga.</v>
      </c>
    </row>
    <row r="7526">
      <c r="A7526" s="4" t="s">
        <v>9459</v>
      </c>
      <c r="B7526" s="4" t="s">
        <v>9462</v>
      </c>
      <c r="C7526" s="5" t="str">
        <f>IFERROR(__xludf.DUMMYFUNCTION("GOOGLETRANSLATE(B7526,""en"",""es-ES"")"),"Un niño mayor que lleva una camisa de Borgoña se mueve en la imagen detrás del niño que toca el conga y comienza a bailar.")</f>
        <v>Un niño mayor que lleva una camisa de Borgoña se mueve en la imagen detrás del niño que toca el conga y comienza a bailar.</v>
      </c>
    </row>
    <row r="7527">
      <c r="A7527" s="4" t="s">
        <v>9459</v>
      </c>
      <c r="B7527" s="4" t="s">
        <v>9463</v>
      </c>
      <c r="C7527" s="5" t="str">
        <f>IFERROR(__xludf.DUMMYFUNCTION("GOOGLETRANSLATE(B7527,""en"",""es-ES"")"),"El niño de la camisa de Borgoña sale de la imagen cuando el joven conga también se aleja mientras la cámara lo sigue.")</f>
        <v>El niño de la camisa de Borgoña sale de la imagen cuando el joven conga también se aleja mientras la cámara lo sigue.</v>
      </c>
    </row>
    <row r="7528">
      <c r="A7528" s="4" t="s">
        <v>9459</v>
      </c>
      <c r="B7528" s="4" t="s">
        <v>9464</v>
      </c>
      <c r="C7528" s="5" t="str">
        <f>IFERROR(__xludf.DUMMYFUNCTION("GOOGLETRANSLATE(B7528,""en"",""es-ES"")"),"El niño pequeño regresa para continuar jugando a los Conga cuando era niño con una camisa azul caminando detrás del joven Conga Player.")</f>
        <v>El niño pequeño regresa para continuar jugando a los Conga cuando era niño con una camisa azul caminando detrás del joven Conga Player.</v>
      </c>
    </row>
    <row r="7529">
      <c r="A7529" s="4" t="s">
        <v>9465</v>
      </c>
      <c r="B7529" s="4" t="s">
        <v>9466</v>
      </c>
      <c r="C7529" s="5" t="str">
        <f>IFERROR(__xludf.DUMMYFUNCTION("GOOGLETRANSLATE(B7529,""en"",""es-ES"")"),"Se ve a un hombre grande sentado en el medio de un círculo mirando hacia otro lado de la cámara.")</f>
        <v>Se ve a un hombre grande sentado en el medio de un círculo mirando hacia otro lado de la cámara.</v>
      </c>
    </row>
    <row r="7530">
      <c r="A7530" s="4" t="s">
        <v>9465</v>
      </c>
      <c r="B7530" s="4" t="s">
        <v>9467</v>
      </c>
      <c r="C7530" s="5" t="str">
        <f>IFERROR(__xludf.DUMMYFUNCTION("GOOGLETRANSLATE(B7530,""en"",""es-ES"")"),"El hombre luego se gira con una discusión en sus manos.")</f>
        <v>El hombre luego se gira con una discusión en sus manos.</v>
      </c>
    </row>
    <row r="7531">
      <c r="A7531" s="4" t="s">
        <v>9465</v>
      </c>
      <c r="B7531" s="4" t="s">
        <v>9468</v>
      </c>
      <c r="C7531" s="5" t="str">
        <f>IFERROR(__xludf.DUMMYFUNCTION("GOOGLETRANSLATE(B7531,""en"",""es-ES"")"),"Finalmente arroja el objeto a la distancia.")</f>
        <v>Finalmente arroja el objeto a la distancia.</v>
      </c>
    </row>
    <row r="7532">
      <c r="A7532" s="4" t="s">
        <v>9469</v>
      </c>
      <c r="B7532" s="4" t="s">
        <v>9470</v>
      </c>
      <c r="C7532" s="5" t="str">
        <f>IFERROR(__xludf.DUMMYFUNCTION("GOOGLETRANSLATE(B7532,""en"",""es-ES"")"),"Una mujer está vertiendo ingredientes en una ayuda de cocina.")</f>
        <v>Una mujer está vertiendo ingredientes en una ayuda de cocina.</v>
      </c>
    </row>
    <row r="7533">
      <c r="A7533" s="4" t="s">
        <v>9469</v>
      </c>
      <c r="B7533" s="4" t="s">
        <v>9471</v>
      </c>
      <c r="C7533" s="5" t="str">
        <f>IFERROR(__xludf.DUMMYFUNCTION("GOOGLETRANSLATE(B7533,""en"",""es-ES"")"),"Ella lo enciende y mezcla los ingredientes.")</f>
        <v>Ella lo enciende y mezcla los ingredientes.</v>
      </c>
    </row>
    <row r="7534">
      <c r="A7534" s="4" t="s">
        <v>9469</v>
      </c>
      <c r="B7534" s="4" t="s">
        <v>9472</v>
      </c>
      <c r="C7534" s="5" t="str">
        <f>IFERROR(__xludf.DUMMYFUNCTION("GOOGLETRANSLATE(B7534,""en"",""es-ES"")"),"Ella vierte la mezcla en sartenes.")</f>
        <v>Ella vierte la mezcla en sartenes.</v>
      </c>
    </row>
    <row r="7535">
      <c r="A7535" s="4" t="s">
        <v>9469</v>
      </c>
      <c r="B7535" s="4" t="s">
        <v>9473</v>
      </c>
      <c r="C7535" s="5" t="str">
        <f>IFERROR(__xludf.DUMMYFUNCTION("GOOGLETRANSLATE(B7535,""en"",""es-ES"")"),"Se muestra un pedazo de pastel en un plato.")</f>
        <v>Se muestra un pedazo de pastel en un plato.</v>
      </c>
    </row>
    <row r="7536">
      <c r="A7536" s="4" t="s">
        <v>9474</v>
      </c>
      <c r="B7536" s="4" t="s">
        <v>9475</v>
      </c>
      <c r="C7536" s="5" t="str">
        <f>IFERROR(__xludf.DUMMYFUNCTION("GOOGLETRANSLATE(B7536,""en"",""es-ES"")"),"Se ve a un hombre tocando la batería en un conjunto de cubos, mientras que varias personas pasan junto a él y otras lo graban.")</f>
        <v>Se ve a un hombre tocando la batería en un conjunto de cubos, mientras que varias personas pasan junto a él y otras lo graban.</v>
      </c>
    </row>
    <row r="7537">
      <c r="A7537" s="4" t="s">
        <v>9474</v>
      </c>
      <c r="B7537" s="4" t="s">
        <v>9476</v>
      </c>
      <c r="C7537" s="5" t="str">
        <f>IFERROR(__xludf.DUMMYFUNCTION("GOOGLETRANSLATE(B7537,""en"",""es-ES"")"),"El hombre continúa jugando mientras la cámara se desplaza a su alrededor y la gente continúa caminando a su alrededor y mostrando el área.")</f>
        <v>El hombre continúa jugando mientras la cámara se desplaza a su alrededor y la gente continúa caminando a su alrededor y mostrando el área.</v>
      </c>
    </row>
    <row r="7538">
      <c r="A7538" s="4" t="s">
        <v>9477</v>
      </c>
      <c r="B7538" s="4" t="s">
        <v>9478</v>
      </c>
      <c r="C7538" s="5" t="str">
        <f>IFERROR(__xludf.DUMMYFUNCTION("GOOGLETRANSLATE(B7538,""en"",""es-ES"")"),"Dos equipos están jugando al aire libre de lacrosse.")</f>
        <v>Dos equipos están jugando al aire libre de lacrosse.</v>
      </c>
    </row>
    <row r="7539">
      <c r="A7539" s="4" t="s">
        <v>9477</v>
      </c>
      <c r="B7539" s="4" t="s">
        <v>9479</v>
      </c>
      <c r="C7539" s="5" t="str">
        <f>IFERROR(__xludf.DUMMYFUNCTION("GOOGLETRANSLATE(B7539,""en"",""es-ES"")"),"Los jugadores anotan y saltan y corren para celebrar los puntajes.")</f>
        <v>Los jugadores anotan y saltan y corren para celebrar los puntajes.</v>
      </c>
    </row>
    <row r="7540">
      <c r="A7540" s="4" t="s">
        <v>9477</v>
      </c>
      <c r="B7540" s="4" t="s">
        <v>9480</v>
      </c>
      <c r="C7540" s="5" t="str">
        <f>IFERROR(__xludf.DUMMYFUNCTION("GOOGLETRANSLATE(B7540,""en"",""es-ES"")"),"Un jugador toma la pelota en el palo y corre hacia la portería para anotar, donde un jugador anota.")</f>
        <v>Un jugador toma la pelota en el palo y corre hacia la portería para anotar, donde un jugador anota.</v>
      </c>
    </row>
    <row r="7541">
      <c r="A7541" s="4" t="s">
        <v>9477</v>
      </c>
      <c r="B7541" s="4" t="s">
        <v>9481</v>
      </c>
      <c r="C7541" s="5" t="str">
        <f>IFERROR(__xludf.DUMMYFUNCTION("GOOGLETRANSLATE(B7541,""en"",""es-ES"")"),"El tablero muestra al ganador.")</f>
        <v>El tablero muestra al ganador.</v>
      </c>
    </row>
    <row r="7542">
      <c r="A7542" s="4" t="s">
        <v>9482</v>
      </c>
      <c r="B7542" s="4" t="s">
        <v>9483</v>
      </c>
      <c r="C7542" s="5" t="str">
        <f>IFERROR(__xludf.DUMMYFUNCTION("GOOGLETRANSLATE(B7542,""en"",""es-ES"")"),"Hay un hombre con una camisa blanca tocando la batería en una habitación.")</f>
        <v>Hay un hombre con una camisa blanca tocando la batería en una habitación.</v>
      </c>
    </row>
    <row r="7543">
      <c r="A7543" s="4" t="s">
        <v>9482</v>
      </c>
      <c r="B7543" s="4" t="s">
        <v>9484</v>
      </c>
      <c r="C7543" s="5" t="str">
        <f>IFERROR(__xludf.DUMMYFUNCTION("GOOGLETRANSLATE(B7543,""en"",""es-ES"")"),"Comienza tocando el Snare Drum y el Bajo.")</f>
        <v>Comienza tocando el Snare Drum y el Bajo.</v>
      </c>
    </row>
    <row r="7544">
      <c r="A7544" s="4" t="s">
        <v>9482</v>
      </c>
      <c r="B7544" s="4" t="s">
        <v>9485</v>
      </c>
      <c r="C7544" s="5" t="str">
        <f>IFERROR(__xludf.DUMMYFUNCTION("GOOGLETRANSLATE(B7544,""en"",""es-ES"")"),"Luego continúa jugando al golpear los platillos y el Hi-Hat.")</f>
        <v>Luego continúa jugando al golpear los platillos y el Hi-Hat.</v>
      </c>
    </row>
    <row r="7545">
      <c r="A7545" s="4" t="s">
        <v>9482</v>
      </c>
      <c r="B7545" s="4" t="s">
        <v>9486</v>
      </c>
      <c r="C7545" s="5" t="str">
        <f>IFERROR(__xludf.DUMMYFUNCTION("GOOGLETRANSLATE(B7545,""en"",""es-ES"")"),"Se detiene un poco y luego se reanuda tocando la batería.")</f>
        <v>Se detiene un poco y luego se reanuda tocando la batería.</v>
      </c>
    </row>
    <row r="7546">
      <c r="A7546" s="4" t="s">
        <v>9482</v>
      </c>
      <c r="B7546" s="4" t="s">
        <v>9487</v>
      </c>
      <c r="C7546" s="5" t="str">
        <f>IFERROR(__xludf.DUMMYFUNCTION("GOOGLETRANSLATE(B7546,""en"",""es-ES"")"),"Toca rítmicamente mientras se acelera y toca la batería.")</f>
        <v>Toca rítmicamente mientras se acelera y toca la batería.</v>
      </c>
    </row>
    <row r="7547">
      <c r="A7547" s="4" t="s">
        <v>9482</v>
      </c>
      <c r="B7547" s="4" t="s">
        <v>9488</v>
      </c>
      <c r="C7547" s="5" t="str">
        <f>IFERROR(__xludf.DUMMYFUNCTION("GOOGLETRANSLATE(B7547,""en"",""es-ES"")"),"Luego se detiene y se levanta para apagar la cámara.")</f>
        <v>Luego se detiene y se levanta para apagar la cámara.</v>
      </c>
    </row>
    <row r="7548">
      <c r="A7548" s="4" t="s">
        <v>9489</v>
      </c>
      <c r="B7548" s="4" t="s">
        <v>9490</v>
      </c>
      <c r="C7548" s="5" t="str">
        <f>IFERROR(__xludf.DUMMYFUNCTION("GOOGLETRANSLATE(B7548,""en"",""es-ES"")"),"Un hombre está alcanzando el agua y lavando su rostro.")</f>
        <v>Un hombre está alcanzando el agua y lavando su rostro.</v>
      </c>
    </row>
    <row r="7549">
      <c r="A7549" s="4" t="s">
        <v>9489</v>
      </c>
      <c r="B7549" s="4" t="s">
        <v>9491</v>
      </c>
      <c r="C7549" s="5" t="str">
        <f>IFERROR(__xludf.DUMMYFUNCTION("GOOGLETRANSLATE(B7549,""en"",""es-ES"")"),"Una mujer está trabajando en el otro lado del agua.")</f>
        <v>Una mujer está trabajando en el otro lado del agua.</v>
      </c>
    </row>
    <row r="7550">
      <c r="A7550" s="4" t="s">
        <v>9489</v>
      </c>
      <c r="B7550" s="4" t="s">
        <v>9492</v>
      </c>
      <c r="C7550" s="5" t="str">
        <f>IFERROR(__xludf.DUMMYFUNCTION("GOOGLETRANSLATE(B7550,""en"",""es-ES"")"),"El hombre salpica al trabajador con agua.")</f>
        <v>El hombre salpica al trabajador con agua.</v>
      </c>
    </row>
    <row r="7551">
      <c r="A7551" s="4" t="s">
        <v>9489</v>
      </c>
      <c r="B7551" s="4" t="s">
        <v>9493</v>
      </c>
      <c r="C7551" s="5" t="str">
        <f>IFERROR(__xludf.DUMMYFUNCTION("GOOGLETRANSLATE(B7551,""en"",""es-ES"")"),"Una mujer mira y se ríe del hombre.")</f>
        <v>Una mujer mira y se ríe del hombre.</v>
      </c>
    </row>
    <row r="7552">
      <c r="A7552" s="4" t="s">
        <v>9494</v>
      </c>
      <c r="B7552" s="4" t="s">
        <v>9495</v>
      </c>
      <c r="C7552" s="5" t="str">
        <f>IFERROR(__xludf.DUMMYFUNCTION("GOOGLETRANSLATE(B7552,""en"",""es-ES"")"),"Un pequeño collie está parado sobre una mesa.")</f>
        <v>Un pequeño collie está parado sobre una mesa.</v>
      </c>
    </row>
    <row r="7553">
      <c r="A7553" s="4" t="s">
        <v>9494</v>
      </c>
      <c r="B7553" s="4" t="s">
        <v>9496</v>
      </c>
      <c r="C7553" s="5" t="str">
        <f>IFERROR(__xludf.DUMMYFUNCTION("GOOGLETRANSLATE(B7553,""en"",""es-ES"")"),"Está atado en su lugar, y un hombre comienza a cepillarse por todas partes.")</f>
        <v>Está atado en su lugar, y un hombre comienza a cepillarse por todas partes.</v>
      </c>
    </row>
    <row r="7554">
      <c r="A7554" s="4" t="s">
        <v>9494</v>
      </c>
      <c r="B7554" s="4" t="s">
        <v>9497</v>
      </c>
      <c r="C7554" s="5" t="str">
        <f>IFERROR(__xludf.DUMMYFUNCTION("GOOGLETRANSLATE(B7554,""en"",""es-ES"")"),"Se queda quieto mientras está siendo preparado.")</f>
        <v>Se queda quieto mientras está siendo preparado.</v>
      </c>
    </row>
    <row r="7555">
      <c r="A7555" s="4" t="s">
        <v>9498</v>
      </c>
      <c r="B7555" s="4" t="s">
        <v>9499</v>
      </c>
      <c r="C7555" s="5" t="str">
        <f>IFERROR(__xludf.DUMMYFUNCTION("GOOGLETRANSLATE(B7555,""en"",""es-ES"")"),"Una persona se pone un casco de soldadura.")</f>
        <v>Una persona se pone un casco de soldadura.</v>
      </c>
    </row>
    <row r="7556">
      <c r="A7556" s="4" t="s">
        <v>9498</v>
      </c>
      <c r="B7556" s="4" t="s">
        <v>9500</v>
      </c>
      <c r="C7556" s="5" t="str">
        <f>IFERROR(__xludf.DUMMYFUNCTION("GOOGLETRANSLATE(B7556,""en"",""es-ES"")"),"Luego, la persona soldaba un trozo de metal.")</f>
        <v>Luego, la persona soldaba un trozo de metal.</v>
      </c>
    </row>
    <row r="7557">
      <c r="A7557" s="4" t="s">
        <v>9498</v>
      </c>
      <c r="B7557" s="4" t="s">
        <v>9501</v>
      </c>
      <c r="C7557" s="5" t="str">
        <f>IFERROR(__xludf.DUMMYFUNCTION("GOOGLETRANSLATE(B7557,""en"",""es-ES"")"),"Luego, la persona termina para soldar y levante su casco, pero se pliega.")</f>
        <v>Luego, la persona termina para soldar y levante su casco, pero se pliega.</v>
      </c>
    </row>
    <row r="7558">
      <c r="A7558" s="4" t="s">
        <v>9502</v>
      </c>
      <c r="B7558" s="4" t="s">
        <v>9503</v>
      </c>
      <c r="C7558" s="5" t="str">
        <f>IFERROR(__xludf.DUMMYFUNCTION("GOOGLETRANSLATE(B7558,""en"",""es-ES"")"),"Hay un evento de ciclismo de tierra que está patrocinado por Monster Energy Drink.")</f>
        <v>Hay un evento de ciclismo de tierra que está patrocinado por Monster Energy Drink.</v>
      </c>
    </row>
    <row r="7559">
      <c r="A7559" s="4" t="s">
        <v>9502</v>
      </c>
      <c r="B7559" s="4" t="s">
        <v>9504</v>
      </c>
      <c r="C7559" s="5" t="str">
        <f>IFERROR(__xludf.DUMMYFUNCTION("GOOGLETRANSLATE(B7559,""en"",""es-ES"")"),"Hay varios concursantes que participan en el evento.")</f>
        <v>Hay varios concursantes que participan en el evento.</v>
      </c>
    </row>
    <row r="7560">
      <c r="A7560" s="4" t="s">
        <v>9502</v>
      </c>
      <c r="B7560" s="4" t="s">
        <v>9505</v>
      </c>
      <c r="C7560" s="5" t="str">
        <f>IFERROR(__xludf.DUMMYFUNCTION("GOOGLETRANSLATE(B7560,""en"",""es-ES"")"),"Uno de los concursantes se cae de su bicicleta y parece que está herido.")</f>
        <v>Uno de los concursantes se cae de su bicicleta y parece que está herido.</v>
      </c>
    </row>
    <row r="7561">
      <c r="A7561" s="4" t="s">
        <v>9502</v>
      </c>
      <c r="B7561" s="4" t="s">
        <v>9506</v>
      </c>
      <c r="C7561" s="5" t="str">
        <f>IFERROR(__xludf.DUMMYFUNCTION("GOOGLETRANSLATE(B7561,""en"",""es-ES"")"),"Se levanta de inmediato y camina hacia la esquina.")</f>
        <v>Se levanta de inmediato y camina hacia la esquina.</v>
      </c>
    </row>
    <row r="7562">
      <c r="A7562" s="4" t="s">
        <v>9507</v>
      </c>
      <c r="B7562" s="4" t="s">
        <v>9508</v>
      </c>
      <c r="C7562" s="5" t="str">
        <f>IFERROR(__xludf.DUMMYFUNCTION("GOOGLETRANSLATE(B7562,""en"",""es-ES"")"),"Se ve a un hombre hablando con la cámara seguido por él hablando con mujeres al azar en la playa.")</f>
        <v>Se ve a un hombre hablando con la cámara seguido por él hablando con mujeres al azar en la playa.</v>
      </c>
    </row>
    <row r="7563">
      <c r="A7563" s="4" t="s">
        <v>9507</v>
      </c>
      <c r="B7563" s="4" t="s">
        <v>9509</v>
      </c>
      <c r="C7563" s="5" t="str">
        <f>IFERROR(__xludf.DUMMYFUNCTION("GOOGLETRANSLATE(B7563,""en"",""es-ES"")"),"Juegan un juego juntos y cuando gana, la niña le da un beso.")</f>
        <v>Juegan un juego juntos y cuando gana, la niña le da un beso.</v>
      </c>
    </row>
    <row r="7564">
      <c r="A7564" s="4" t="s">
        <v>9507</v>
      </c>
      <c r="B7564" s="4" t="s">
        <v>9510</v>
      </c>
      <c r="C7564" s="5" t="str">
        <f>IFERROR(__xludf.DUMMYFUNCTION("GOOGLETRANSLATE(B7564,""en"",""es-ES"")"),"Cuando pierden a la niña lo golpea.")</f>
        <v>Cuando pierden a la niña lo golpea.</v>
      </c>
    </row>
    <row r="7565">
      <c r="A7565" s="4" t="s">
        <v>9507</v>
      </c>
      <c r="B7565" s="4" t="s">
        <v>9511</v>
      </c>
      <c r="C7565" s="5" t="str">
        <f>IFERROR(__xludf.DUMMYFUNCTION("GOOGLETRANSLATE(B7565,""en"",""es-ES"")"),"Varias chicas se ríen y juegan mientras reciben un beso o abofeteando al hombre.")</f>
        <v>Varias chicas se ríen y juegan mientras reciben un beso o abofeteando al hombre.</v>
      </c>
    </row>
    <row r="7566">
      <c r="A7566" s="4" t="s">
        <v>9512</v>
      </c>
      <c r="B7566" s="4" t="s">
        <v>9513</v>
      </c>
      <c r="C7566" s="5" t="str">
        <f>IFERROR(__xludf.DUMMYFUNCTION("GOOGLETRANSLATE(B7566,""en"",""es-ES"")"),"Se ve a una persona con un disfraz divertido mientras se aferra a un trozo de maquinaria.")</f>
        <v>Se ve a una persona con un disfraz divertido mientras se aferra a un trozo de maquinaria.</v>
      </c>
    </row>
    <row r="7567">
      <c r="A7567" s="4" t="s">
        <v>9512</v>
      </c>
      <c r="B7567" s="4" t="s">
        <v>9514</v>
      </c>
      <c r="C7567" s="5" t="str">
        <f>IFERROR(__xludf.DUMMYFUNCTION("GOOGLETRANSLATE(B7567,""en"",""es-ES"")"),"El hombre empuja la maquinaria alrededor del césped mientras mira a la cámara.")</f>
        <v>El hombre empuja la maquinaria alrededor del césped mientras mira a la cámara.</v>
      </c>
    </row>
    <row r="7568">
      <c r="A7568" s="4" t="s">
        <v>9512</v>
      </c>
      <c r="B7568" s="4" t="s">
        <v>9515</v>
      </c>
      <c r="C7568" s="5" t="str">
        <f>IFERROR(__xludf.DUMMYFUNCTION("GOOGLETRANSLATE(B7568,""en"",""es-ES"")"),"El hombre continúa usando la máquina mientras mira la cámara.")</f>
        <v>El hombre continúa usando la máquina mientras mira la cámara.</v>
      </c>
    </row>
    <row r="7569">
      <c r="A7569" s="4" t="s">
        <v>9516</v>
      </c>
      <c r="B7569" s="4" t="s">
        <v>9517</v>
      </c>
      <c r="C7569" s="5" t="str">
        <f>IFERROR(__xludf.DUMMYFUNCTION("GOOGLETRANSLATE(B7569,""en"",""es-ES"")"),"Se muestra a un grupo de hombres vitoreando y saltando en cámara lenta.")</f>
        <v>Se muestra a un grupo de hombres vitoreando y saltando en cámara lenta.</v>
      </c>
    </row>
    <row r="7570">
      <c r="A7570" s="4" t="s">
        <v>9516</v>
      </c>
      <c r="B7570" s="4" t="s">
        <v>9518</v>
      </c>
      <c r="C7570" s="5" t="str">
        <f>IFERROR(__xludf.DUMMYFUNCTION("GOOGLETRANSLATE(B7570,""en"",""es-ES"")"),"Muchas personas están presentes a medida que se muestran trofeos.")</f>
        <v>Muchas personas están presentes a medida que se muestran trofeos.</v>
      </c>
    </row>
    <row r="7571">
      <c r="A7571" s="4" t="s">
        <v>9516</v>
      </c>
      <c r="B7571" s="4" t="s">
        <v>9519</v>
      </c>
      <c r="C7571" s="5" t="str">
        <f>IFERROR(__xludf.DUMMYFUNCTION("GOOGLETRANSLATE(B7571,""en"",""es-ES"")"),"Un grupo de personas se reúnen para jugar cerveza pong y beber.")</f>
        <v>Un grupo de personas se reúnen para jugar cerveza pong y beber.</v>
      </c>
    </row>
    <row r="7572">
      <c r="A7572" s="4" t="s">
        <v>9516</v>
      </c>
      <c r="B7572" s="4" t="s">
        <v>9520</v>
      </c>
      <c r="C7572" s="5" t="str">
        <f>IFERROR(__xludf.DUMMYFUNCTION("GOOGLETRANSLATE(B7572,""en"",""es-ES"")"),"Se muestran varias tomas de la acción en diferentes tablas y luego el video se corta a una dirección de Internet para obtener más información.")</f>
        <v>Se muestran varias tomas de la acción en diferentes tablas y luego el video se corta a una dirección de Internet para obtener más información.</v>
      </c>
    </row>
    <row r="7573">
      <c r="A7573" s="4" t="s">
        <v>9521</v>
      </c>
      <c r="B7573" s="4" t="s">
        <v>9522</v>
      </c>
      <c r="C7573" s="5" t="str">
        <f>IFERROR(__xludf.DUMMYFUNCTION("GOOGLETRANSLATE(B7573,""en"",""es-ES"")"),"Hay dos mujeres en un baño lavando ropa en cubos azules llenos de agua espumosa de jabón.")</f>
        <v>Hay dos mujeres en un baño lavando ropa en cubos azules llenos de agua espumosa de jabón.</v>
      </c>
    </row>
    <row r="7574">
      <c r="A7574" s="4" t="s">
        <v>9521</v>
      </c>
      <c r="B7574" s="4" t="s">
        <v>9523</v>
      </c>
      <c r="C7574" s="5" t="str">
        <f>IFERROR(__xludf.DUMMYFUNCTION("GOOGLETRANSLATE(B7574,""en"",""es-ES"")"),"Las mujeres empapan la ropa en el agua del jabón y las enjuagan para limpiarlas.")</f>
        <v>Las mujeres empapan la ropa en el agua del jabón y las enjuagan para limpiarlas.</v>
      </c>
    </row>
    <row r="7575">
      <c r="A7575" s="4" t="s">
        <v>9521</v>
      </c>
      <c r="B7575" s="4" t="s">
        <v>9524</v>
      </c>
      <c r="C7575" s="5" t="str">
        <f>IFERROR(__xludf.DUMMYFUNCTION("GOOGLETRANSLATE(B7575,""en"",""es-ES"")"),"Luego puso la ropa en un tambor de metal grande que gira rápidamente para drenar el exceso de agua.")</f>
        <v>Luego puso la ropa en un tambor de metal grande que gira rápidamente para drenar el exceso de agua.</v>
      </c>
    </row>
    <row r="7576">
      <c r="A7576" s="4" t="s">
        <v>9521</v>
      </c>
      <c r="B7576" s="4" t="s">
        <v>9525</v>
      </c>
      <c r="C7576" s="5" t="str">
        <f>IFERROR(__xludf.DUMMYFUNCTION("GOOGLETRANSLATE(B7576,""en"",""es-ES"")"),"Luego van a la cima de su edificio en una terraza abierta donde las cuerdas están atadas a las paredes.")</f>
        <v>Luego van a la cima de su edificio en una terraza abierta donde las cuerdas están atadas a las paredes.</v>
      </c>
    </row>
    <row r="7577">
      <c r="A7577" s="4" t="s">
        <v>9521</v>
      </c>
      <c r="B7577" s="4" t="s">
        <v>9526</v>
      </c>
      <c r="C7577" s="5" t="str">
        <f>IFERROR(__xludf.DUMMYFUNCTION("GOOGLETRANSLATE(B7577,""en"",""es-ES"")"),"Comienzan a colgar la ropa en el tendedero para secarse.")</f>
        <v>Comienzan a colgar la ropa en el tendedero para secarse.</v>
      </c>
    </row>
    <row r="7578">
      <c r="A7578" s="4" t="s">
        <v>9527</v>
      </c>
      <c r="B7578" s="4" t="s">
        <v>9528</v>
      </c>
      <c r="C7578" s="5" t="str">
        <f>IFERROR(__xludf.DUMMYFUNCTION("GOOGLETRANSLATE(B7578,""en"",""es-ES"")"),"Un niño cuelga de bares de mono.")</f>
        <v>Un niño cuelga de bares de mono.</v>
      </c>
    </row>
    <row r="7579">
      <c r="A7579" s="4" t="s">
        <v>9527</v>
      </c>
      <c r="B7579" s="4" t="s">
        <v>9529</v>
      </c>
      <c r="C7579" s="5" t="str">
        <f>IFERROR(__xludf.DUMMYFUNCTION("GOOGLETRANSLATE(B7579,""en"",""es-ES"")"),"Él cruza el obstáculo fácilmente.")</f>
        <v>Él cruza el obstáculo fácilmente.</v>
      </c>
    </row>
    <row r="7580">
      <c r="A7580" s="4" t="s">
        <v>9527</v>
      </c>
      <c r="B7580" s="4" t="s">
        <v>9530</v>
      </c>
      <c r="C7580" s="5" t="str">
        <f>IFERROR(__xludf.DUMMYFUNCTION("GOOGLETRANSLATE(B7580,""en"",""es-ES"")"),"Se ve orgulloso de sí mismo.")</f>
        <v>Se ve orgulloso de sí mismo.</v>
      </c>
    </row>
    <row r="7581">
      <c r="A7581" s="4" t="s">
        <v>9527</v>
      </c>
      <c r="B7581" s="4" t="s">
        <v>9531</v>
      </c>
      <c r="C7581" s="5" t="str">
        <f>IFERROR(__xludf.DUMMYFUNCTION("GOOGLETRANSLATE(B7581,""en"",""es-ES"")"),"Él sonríe a la cámara.")</f>
        <v>Él sonríe a la cámara.</v>
      </c>
    </row>
    <row r="7582">
      <c r="A7582" s="4" t="s">
        <v>9532</v>
      </c>
      <c r="B7582" s="4" t="s">
        <v>9533</v>
      </c>
      <c r="C7582" s="5" t="str">
        <f>IFERROR(__xludf.DUMMYFUNCTION("GOOGLETRANSLATE(B7582,""en"",""es-ES"")"),"Una mujer que lleva un chal se encuentra frente a una planta tropical al aire libre.")</f>
        <v>Una mujer que lleva un chal se encuentra frente a una planta tropical al aire libre.</v>
      </c>
    </row>
    <row r="7583">
      <c r="A7583" s="4" t="s">
        <v>9532</v>
      </c>
      <c r="B7583" s="4" t="s">
        <v>9534</v>
      </c>
      <c r="C7583" s="5" t="str">
        <f>IFERROR(__xludf.DUMMYFUNCTION("GOOGLETRANSLATE(B7583,""en"",""es-ES"")"),"Una mujer presenta una banda en el escenario para una actuación.")</f>
        <v>Una mujer presenta una banda en el escenario para una actuación.</v>
      </c>
    </row>
    <row r="7584">
      <c r="A7584" s="4" t="s">
        <v>9532</v>
      </c>
      <c r="B7584" s="4" t="s">
        <v>9535</v>
      </c>
      <c r="C7584" s="5" t="str">
        <f>IFERROR(__xludf.DUMMYFUNCTION("GOOGLETRANSLATE(B7584,""en"",""es-ES"")"),"Un jugador de flauta reproduce una parte de una canción durante la actuación.")</f>
        <v>Un jugador de flauta reproduce una parte de una canción durante la actuación.</v>
      </c>
    </row>
    <row r="7585">
      <c r="A7585" s="4" t="s">
        <v>9532</v>
      </c>
      <c r="B7585" s="4" t="s">
        <v>9536</v>
      </c>
      <c r="C7585" s="5" t="str">
        <f>IFERROR(__xludf.DUMMYFUNCTION("GOOGLETRANSLATE(B7585,""en"",""es-ES"")"),"La banda toca una canción juntos durante la actuación.")</f>
        <v>La banda toca una canción juntos durante la actuación.</v>
      </c>
    </row>
    <row r="7586">
      <c r="A7586" s="4" t="s">
        <v>9537</v>
      </c>
      <c r="B7586" s="4" t="s">
        <v>9538</v>
      </c>
      <c r="C7586" s="5" t="str">
        <f>IFERROR(__xludf.DUMMYFUNCTION("GOOGLETRANSLATE(B7586,""en"",""es-ES"")"),"La mujer está de pie en una sala de tiro sosteniendo un arco y arrojando la flecha a un tablero.")</f>
        <v>La mujer está de pie en una sala de tiro sosteniendo un arco y arrojando la flecha a un tablero.</v>
      </c>
    </row>
    <row r="7587">
      <c r="A7587" s="4" t="s">
        <v>9537</v>
      </c>
      <c r="B7587" s="4" t="s">
        <v>9539</v>
      </c>
      <c r="C7587" s="5" t="str">
        <f>IFERROR(__xludf.DUMMYFUNCTION("GOOGLETRANSLATE(B7587,""en"",""es-ES"")"),"La mujer se para en un campo grande BG sosteniendo un arco y una flecha a los balones.")</f>
        <v>La mujer se para en un campo grande BG sosteniendo un arco y una flecha a los balones.</v>
      </c>
    </row>
    <row r="7588">
      <c r="A7588" s="4" t="s">
        <v>9537</v>
      </c>
      <c r="B7588" s="4" t="s">
        <v>9540</v>
      </c>
      <c r="C7588" s="5" t="str">
        <f>IFERROR(__xludf.DUMMYFUNCTION("GOOGLETRANSLATE(B7588,""en"",""es-ES"")"),"La mujer está de pie en una pequeña cancha sosteniendo un arco y arrojando un aro a una manzana en la cabeza de un hombre.")</f>
        <v>La mujer está de pie en una pequeña cancha sosteniendo un arco y arrojando un aro a una manzana en la cabeza de un hombre.</v>
      </c>
    </row>
    <row r="7589">
      <c r="A7589" s="4" t="s">
        <v>9537</v>
      </c>
      <c r="B7589" s="4" t="s">
        <v>9541</v>
      </c>
      <c r="C7589" s="5" t="str">
        <f>IFERROR(__xludf.DUMMYFUNCTION("GOOGLETRANSLATE(B7589,""en"",""es-ES"")"),"El hombre está de pie en un campo verde Alrge que muestra a una mujer cómo disparar una flecha y la mujer saca una pistola de los bolsillos y disparó al tablero.")</f>
        <v>El hombre está de pie en un campo verde Alrge que muestra a una mujer cómo disparar una flecha y la mujer saca una pistola de los bolsillos y disparó al tablero.</v>
      </c>
    </row>
    <row r="7590">
      <c r="A7590" s="4" t="s">
        <v>9537</v>
      </c>
      <c r="B7590" s="4" t="s">
        <v>9542</v>
      </c>
      <c r="C7590" s="5" t="str">
        <f>IFERROR(__xludf.DUMMYFUNCTION("GOOGLETRANSLATE(B7590,""en"",""es-ES"")"),"El hombre está de pie junto a un árbol sosteniendo una cámara.")</f>
        <v>El hombre está de pie junto a un árbol sosteniendo una cámara.</v>
      </c>
    </row>
    <row r="7591">
      <c r="A7591" s="4" t="s">
        <v>9537</v>
      </c>
      <c r="B7591" s="4" t="s">
        <v>9543</v>
      </c>
      <c r="C7591" s="5" t="str">
        <f>IFERROR(__xludf.DUMMYFUNCTION("GOOGLETRANSLATE(B7591,""en"",""es-ES"")"),"La mujer está lanzando Arros a una sandía.")</f>
        <v>La mujer está lanzando Arros a una sandía.</v>
      </c>
    </row>
    <row r="7592">
      <c r="A7592" s="4" t="s">
        <v>9537</v>
      </c>
      <c r="B7592" s="4" t="s">
        <v>9544</v>
      </c>
      <c r="C7592" s="5" t="str">
        <f>IFERROR(__xludf.DUMMYFUNCTION("GOOGLETRANSLATE(B7592,""en"",""es-ES"")"),"Mujer está lanzando flechas a carteles de películas y hablando con la cámara.")</f>
        <v>Mujer está lanzando flechas a carteles de películas y hablando con la cámara.</v>
      </c>
    </row>
    <row r="7593">
      <c r="A7593" s="4" t="s">
        <v>9545</v>
      </c>
      <c r="B7593" s="4" t="s">
        <v>9546</v>
      </c>
      <c r="C7593" s="5" t="str">
        <f>IFERROR(__xludf.DUMMYFUNCTION("GOOGLETRANSLATE(B7593,""en"",""es-ES"")"),"El hombre está hablando con la cámara de pie junto a una caja.")</f>
        <v>El hombre está hablando con la cámara de pie junto a una caja.</v>
      </c>
    </row>
    <row r="7594">
      <c r="A7594" s="4" t="s">
        <v>9545</v>
      </c>
      <c r="B7594" s="4" t="s">
        <v>9547</v>
      </c>
      <c r="C7594" s="5" t="str">
        <f>IFERROR(__xludf.DUMMYFUNCTION("GOOGLETRANSLATE(B7594,""en"",""es-ES"")"),"El hombre está reuniendo una cancha de shuffleboard en una acera.")</f>
        <v>El hombre está reuniendo una cancha de shuffleboard en una acera.</v>
      </c>
    </row>
    <row r="7595">
      <c r="A7595" s="4" t="s">
        <v>9545</v>
      </c>
      <c r="B7595" s="4" t="s">
        <v>9548</v>
      </c>
      <c r="C7595" s="5" t="str">
        <f>IFERROR(__xludf.DUMMYFUNCTION("GOOGLETRANSLATE(B7595,""en"",""es-ES"")"),"El hombre comienza a tocar el SuffleBoard golpeando los discos.")</f>
        <v>El hombre comienza a tocar el SuffleBoard golpeando los discos.</v>
      </c>
    </row>
    <row r="7596">
      <c r="A7596" s="4" t="s">
        <v>9549</v>
      </c>
      <c r="B7596" s="4" t="s">
        <v>9550</v>
      </c>
      <c r="C7596" s="5" t="str">
        <f>IFERROR(__xludf.DUMMYFUNCTION("GOOGLETRANSLATE(B7596,""en"",""es-ES"")"),"Una niña camina hasta el borde de la tabla de buceo.")</f>
        <v>Una niña camina hasta el borde de la tabla de buceo.</v>
      </c>
    </row>
    <row r="7597">
      <c r="A7597" s="4" t="s">
        <v>9549</v>
      </c>
      <c r="B7597" s="4" t="s">
        <v>9551</v>
      </c>
      <c r="C7597" s="5" t="str">
        <f>IFERROR(__xludf.DUMMYFUNCTION("GOOGLETRANSLATE(B7597,""en"",""es-ES"")"),"La niña extiende sus manos.")</f>
        <v>La niña extiende sus manos.</v>
      </c>
    </row>
    <row r="7598">
      <c r="A7598" s="4" t="s">
        <v>9549</v>
      </c>
      <c r="B7598" s="4" t="s">
        <v>9552</v>
      </c>
      <c r="C7598" s="5" t="str">
        <f>IFERROR(__xludf.DUMMYFUNCTION("GOOGLETRANSLATE(B7598,""en"",""es-ES"")"),"La niña se sumerge en la piscina.")</f>
        <v>La niña se sumerge en la piscina.</v>
      </c>
    </row>
    <row r="7599">
      <c r="A7599" s="4" t="s">
        <v>9549</v>
      </c>
      <c r="B7599" s="4" t="s">
        <v>9553</v>
      </c>
      <c r="C7599" s="5" t="str">
        <f>IFERROR(__xludf.DUMMYFUNCTION("GOOGLETRANSLATE(B7599,""en"",""es-ES"")"),"La niña nada al borde de la piscina.")</f>
        <v>La niña nada al borde de la piscina.</v>
      </c>
    </row>
    <row r="7600">
      <c r="A7600" s="4" t="s">
        <v>9554</v>
      </c>
      <c r="B7600" s="4" t="s">
        <v>9555</v>
      </c>
      <c r="C7600" s="5" t="str">
        <f>IFERROR(__xludf.DUMMYFUNCTION("GOOGLETRANSLATE(B7600,""en"",""es-ES"")"),"Un edificio de garaje alto se muestra en la oscuridad y luego varios niños de la edad adolescente aparecen skate en el interior.")</f>
        <v>Un edificio de garaje alto se muestra en la oscuridad y luego varios niños de la edad adolescente aparecen skate en el interior.</v>
      </c>
    </row>
    <row r="7601">
      <c r="A7601" s="4" t="s">
        <v>9554</v>
      </c>
      <c r="B7601" s="4" t="s">
        <v>9556</v>
      </c>
      <c r="C7601" s="5" t="str">
        <f>IFERROR(__xludf.DUMMYFUNCTION("GOOGLETRANSLATE(B7601,""en"",""es-ES"")"),"Cuando llegan a la vuelta de la esquina, se aferran a las camisas de los demás y bajan por la carretera inclinada en una sola línea de archivos y se muestra a un niño sosteniendo una cámara con un palo selfie grabando la acción.")</f>
        <v>Cuando llegan a la vuelta de la esquina, se aferran a las camisas de los demás y bajan por la carretera inclinada en una sola línea de archivos y se muestra a un niño sosteniendo una cámara con un palo selfie grabando la acción.</v>
      </c>
    </row>
    <row r="7602">
      <c r="A7602" s="4" t="s">
        <v>9554</v>
      </c>
      <c r="B7602" s="4" t="s">
        <v>9557</v>
      </c>
      <c r="C7602" s="5" t="str">
        <f>IFERROR(__xludf.DUMMYFUNCTION("GOOGLETRANSLATE(B7602,""en"",""es-ES"")"),"Después, un hombre negro aparece hablando en el auto y se muestra a los niños subiendo un juego de escaleras.")</f>
        <v>Después, un hombre negro aparece hablando en el auto y se muestra a los niños subiendo un juego de escaleras.</v>
      </c>
    </row>
    <row r="7603">
      <c r="A7603" s="4" t="s">
        <v>9554</v>
      </c>
      <c r="B7603" s="4" t="s">
        <v>9558</v>
      </c>
      <c r="C7603" s="5" t="str">
        <f>IFERROR(__xludf.DUMMYFUNCTION("GOOGLETRANSLATE(B7603,""en"",""es-ES"")"),"La acción continúa y todos los muchachos se unen entre sí en el garaje y el hombre que hablaba en el video se ve patinando con el resto de los niños.")</f>
        <v>La acción continúa y todos los muchachos se unen entre sí en el garaje y el hombre que hablaba en el video se ve patinando con el resto de los niños.</v>
      </c>
    </row>
    <row r="7604">
      <c r="A7604" s="4" t="s">
        <v>9559</v>
      </c>
      <c r="B7604" s="4" t="s">
        <v>9560</v>
      </c>
      <c r="C7604" s="5" t="str">
        <f>IFERROR(__xludf.DUMMYFUNCTION("GOOGLETRANSLATE(B7604,""en"",""es-ES"")"),"Los hombres en una camiseta están de pie con los brazos cruzados simplemente mirando al espacio.")</f>
        <v>Los hombres en una camiseta están de pie con los brazos cruzados simplemente mirando al espacio.</v>
      </c>
    </row>
    <row r="7605">
      <c r="A7605" s="4" t="s">
        <v>9559</v>
      </c>
      <c r="B7605" s="4" t="s">
        <v>9561</v>
      </c>
      <c r="C7605" s="5" t="str">
        <f>IFERROR(__xludf.DUMMYFUNCTION("GOOGLETRANSLATE(B7605,""en"",""es-ES"")"),"Luego, los ves en el campo jugando un juego y luego hablando un poco al respecto.")</f>
        <v>Luego, los ves en el campo jugando un juego y luego hablando un poco al respecto.</v>
      </c>
    </row>
    <row r="7606">
      <c r="A7606" s="4" t="s">
        <v>9559</v>
      </c>
      <c r="B7606" s="4" t="s">
        <v>9562</v>
      </c>
      <c r="C7606" s="5" t="str">
        <f>IFERROR(__xludf.DUMMYFUNCTION("GOOGLETRANSLATE(B7606,""en"",""es-ES"")"),"Cada uno parece recordar sus propios recuerdos de veces que ganaron medalla y miran sus medallas.")</f>
        <v>Cada uno parece recordar sus propios recuerdos de veces que ganaron medalla y miran sus medallas.</v>
      </c>
    </row>
    <row r="7607">
      <c r="A7607" s="4" t="s">
        <v>9559</v>
      </c>
      <c r="B7607" s="4" t="s">
        <v>9563</v>
      </c>
      <c r="C7607" s="5" t="str">
        <f>IFERROR(__xludf.DUMMYFUNCTION("GOOGLETRANSLATE(B7607,""en"",""es-ES"")"),"Se paran en un grupo pequeño hablando y luego ves a una audiencia animando y aplaudiendo.")</f>
        <v>Se paran en un grupo pequeño hablando y luego ves a una audiencia animando y aplaudiendo.</v>
      </c>
    </row>
    <row r="7608">
      <c r="A7608" s="4" t="s">
        <v>9564</v>
      </c>
      <c r="B7608" s="4" t="s">
        <v>9565</v>
      </c>
      <c r="C7608" s="5" t="str">
        <f>IFERROR(__xludf.DUMMYFUNCTION("GOOGLETRANSLATE(B7608,""en"",""es-ES"")"),"Una persona aparece en un escenario bailando en la oscuridad con un hula hoop dirigido.")</f>
        <v>Una persona aparece en un escenario bailando en la oscuridad con un hula hoop dirigido.</v>
      </c>
    </row>
    <row r="7609">
      <c r="A7609" s="4" t="s">
        <v>9564</v>
      </c>
      <c r="B7609" s="4" t="s">
        <v>9566</v>
      </c>
      <c r="C7609" s="5" t="str">
        <f>IFERROR(__xludf.DUMMYFUNCTION("GOOGLETRANSLATE(B7609,""en"",""es-ES"")"),"A medida que la persona baila, las luces LED en el hula hoop comienzan a cambiar los colores.")</f>
        <v>A medida que la persona baila, las luces LED en el hula hoop comienzan a cambiar los colores.</v>
      </c>
    </row>
    <row r="7610">
      <c r="A7610" s="4" t="s">
        <v>9564</v>
      </c>
      <c r="B7610" s="4" t="s">
        <v>9567</v>
      </c>
      <c r="C7610" s="5" t="str">
        <f>IFERROR(__xludf.DUMMYFUNCTION("GOOGLETRANSLATE(B7610,""en"",""es-ES"")"),"Los créditos de cierre aparecen en la pantalla a medida que finaliza el video.")</f>
        <v>Los créditos de cierre aparecen en la pantalla a medida que finaliza el video.</v>
      </c>
    </row>
    <row r="7611">
      <c r="A7611" s="4" t="s">
        <v>9568</v>
      </c>
      <c r="B7611" s="4" t="s">
        <v>9569</v>
      </c>
      <c r="C7611" s="5" t="str">
        <f>IFERROR(__xludf.DUMMYFUNCTION("GOOGLETRANSLATE(B7611,""en"",""es-ES"")"),"Los niños juegan en el patio de recreo en el terreno escolar.")</f>
        <v>Los niños juegan en el patio de recreo en el terreno escolar.</v>
      </c>
    </row>
    <row r="7612">
      <c r="A7612" s="4" t="s">
        <v>9568</v>
      </c>
      <c r="B7612" s="4" t="s">
        <v>9570</v>
      </c>
      <c r="C7612" s="5" t="str">
        <f>IFERROR(__xludf.DUMMYFUNCTION("GOOGLETRANSLATE(B7612,""en"",""es-ES"")"),"Los niños están balanceándose en el columpio de un lado.")</f>
        <v>Los niños están balanceándose en el columpio de un lado.</v>
      </c>
    </row>
    <row r="7613">
      <c r="A7613" s="4" t="s">
        <v>9568</v>
      </c>
      <c r="B7613" s="4" t="s">
        <v>9571</v>
      </c>
      <c r="C7613" s="5" t="str">
        <f>IFERROR(__xludf.DUMMYFUNCTION("GOOGLETRANSLATE(B7613,""en"",""es-ES"")"),"Little Kid se para en el borde de la diapositiva.")</f>
        <v>Little Kid se para en el borde de la diapositiva.</v>
      </c>
    </row>
    <row r="7614">
      <c r="A7614" s="4" t="s">
        <v>9572</v>
      </c>
      <c r="B7614" s="4" t="s">
        <v>9573</v>
      </c>
      <c r="C7614" s="5" t="str">
        <f>IFERROR(__xludf.DUMMYFUNCTION("GOOGLETRANSLATE(B7614,""en"",""es-ES"")"),"Un chef vestido con un atuendo de chef blanco está demostrando cómo afilar los cuchillos de cocina con una herramienta llamada afinador de cuchillos Rada.")</f>
        <v>Un chef vestido con un atuendo de chef blanco está demostrando cómo afilar los cuchillos de cocina con una herramienta llamada afinador de cuchillos Rada.</v>
      </c>
    </row>
    <row r="7615">
      <c r="A7615" s="4" t="s">
        <v>9572</v>
      </c>
      <c r="B7615" s="4" t="s">
        <v>9574</v>
      </c>
      <c r="C7615" s="5" t="str">
        <f>IFERROR(__xludf.DUMMYFUNCTION("GOOGLETRANSLATE(B7615,""en"",""es-ES"")"),"Está parado en una cocina frente al mostrador que tiene una variedad de verduras crudas.")</f>
        <v>Está parado en una cocina frente al mostrador que tiene una variedad de verduras crudas.</v>
      </c>
    </row>
    <row r="7616">
      <c r="A7616" s="4" t="s">
        <v>9572</v>
      </c>
      <c r="B7616" s="4" t="s">
        <v>9575</v>
      </c>
      <c r="C7616" s="5" t="str">
        <f>IFERROR(__xludf.DUMMYFUNCTION("GOOGLETRANSLATE(B7616,""en"",""es-ES"")"),"Coloque una toalla de cocina en el mostrador y luego coloca el cuchillo encima.")</f>
        <v>Coloque una toalla de cocina en el mostrador y luego coloca el cuchillo encima.</v>
      </c>
    </row>
    <row r="7617">
      <c r="A7617" s="4" t="s">
        <v>9572</v>
      </c>
      <c r="B7617" s="4" t="s">
        <v>9576</v>
      </c>
      <c r="C7617" s="5" t="str">
        <f>IFERROR(__xludf.DUMMYFUNCTION("GOOGLETRANSLATE(B7617,""en"",""es-ES"")"),"Luego demuestra cómo usar la herramienta de afilado RADA para afilar el cuchillo de cocina corriendo IIT de un lado a otro con un movimiento suave y constante.")</f>
        <v>Luego demuestra cómo usar la herramienta de afilado RADA para afilar el cuchillo de cocina corriendo IIT de un lado a otro con un movimiento suave y constante.</v>
      </c>
    </row>
    <row r="7618">
      <c r="A7618" s="4" t="s">
        <v>9577</v>
      </c>
      <c r="B7618" s="4" t="s">
        <v>9578</v>
      </c>
      <c r="C7618" s="5" t="str">
        <f>IFERROR(__xludf.DUMMYFUNCTION("GOOGLETRANSLATE(B7618,""en"",""es-ES"")"),"Un chico se pone de pie.")</f>
        <v>Un chico se pone de pie.</v>
      </c>
    </row>
    <row r="7619">
      <c r="A7619" s="4" t="s">
        <v>9577</v>
      </c>
      <c r="B7619" s="4" t="s">
        <v>9579</v>
      </c>
      <c r="C7619" s="5" t="str">
        <f>IFERROR(__xludf.DUMMYFUNCTION("GOOGLETRANSLATE(B7619,""en"",""es-ES"")"),"El chico camina sobre una cuerda apretada.")</f>
        <v>El chico camina sobre una cuerda apretada.</v>
      </c>
    </row>
    <row r="7620">
      <c r="A7620" s="4" t="s">
        <v>9577</v>
      </c>
      <c r="B7620" s="4" t="s">
        <v>9580</v>
      </c>
      <c r="C7620" s="5" t="str">
        <f>IFERROR(__xludf.DUMMYFUNCTION("GOOGLETRANSLATE(B7620,""en"",""es-ES"")"),"El chico se vuelve para caminar de regreso.")</f>
        <v>El chico se vuelve para caminar de regreso.</v>
      </c>
    </row>
    <row r="7621">
      <c r="A7621" s="4" t="s">
        <v>9577</v>
      </c>
      <c r="B7621" s="4" t="s">
        <v>9581</v>
      </c>
      <c r="C7621" s="5" t="str">
        <f>IFERROR(__xludf.DUMMYFUNCTION("GOOGLETRANSLATE(B7621,""en"",""es-ES"")"),"El tipo camina hacia atrás en la cuerda apretada.")</f>
        <v>El tipo camina hacia atrás en la cuerda apretada.</v>
      </c>
    </row>
    <row r="7622">
      <c r="A7622" s="4" t="s">
        <v>9577</v>
      </c>
      <c r="B7622" s="4" t="s">
        <v>9582</v>
      </c>
      <c r="C7622" s="5" t="str">
        <f>IFERROR(__xludf.DUMMYFUNCTION("GOOGLETRANSLATE(B7622,""en"",""es-ES"")"),"El chico sale de la cuerda apretada y sonríe.")</f>
        <v>El chico sale de la cuerda apretada y sonríe.</v>
      </c>
    </row>
    <row r="7623">
      <c r="A7623" s="4" t="s">
        <v>9583</v>
      </c>
      <c r="B7623" s="4" t="s">
        <v>9584</v>
      </c>
      <c r="C7623" s="5" t="str">
        <f>IFERROR(__xludf.DUMMYFUNCTION("GOOGLETRANSLATE(B7623,""en"",""es-ES"")"),"Se ve a un hombre hablando con la cámara y conduce a varios ingredientes que comienzan y una persona corta queso.")</f>
        <v>Se ve a un hombre hablando con la cámara y conduce a varios ingredientes que comienzan y una persona corta queso.</v>
      </c>
    </row>
    <row r="7624">
      <c r="A7624" s="4" t="s">
        <v>9583</v>
      </c>
      <c r="B7624" s="4" t="s">
        <v>9585</v>
      </c>
      <c r="C7624" s="5" t="str">
        <f>IFERROR(__xludf.DUMMYFUNCTION("GOOGLETRANSLATE(B7624,""en"",""es-ES"")"),"La persona mezcla ingredientes y los coloca en rebanadas de pan para crear un sándwich.")</f>
        <v>La persona mezcla ingredientes y los coloca en rebanadas de pan para crear un sándwich.</v>
      </c>
    </row>
    <row r="7625">
      <c r="A7625" s="4" t="s">
        <v>9583</v>
      </c>
      <c r="B7625" s="4" t="s">
        <v>9586</v>
      </c>
      <c r="C7625" s="5" t="str">
        <f>IFERROR(__xludf.DUMMYFUNCTION("GOOGLETRANSLATE(B7625,""en"",""es-ES"")"),"La persona presiona la comida en un prensador y toma un gran bocado después.")</f>
        <v>La persona presiona la comida en un prensador y toma un gran bocado después.</v>
      </c>
    </row>
    <row r="7626">
      <c r="A7626" s="4" t="s">
        <v>9587</v>
      </c>
      <c r="B7626" s="4" t="s">
        <v>9588</v>
      </c>
      <c r="C7626" s="5" t="str">
        <f>IFERROR(__xludf.DUMMYFUNCTION("GOOGLETRANSLATE(B7626,""en"",""es-ES"")"),"Un hombre mayor está sentado en un tubo mientras una mujer mayor sube a la espalda.")</f>
        <v>Un hombre mayor está sentado en un tubo mientras una mujer mayor sube a la espalda.</v>
      </c>
    </row>
    <row r="7627">
      <c r="A7627" s="4" t="s">
        <v>9587</v>
      </c>
      <c r="B7627" s="4" t="s">
        <v>9589</v>
      </c>
      <c r="C7627" s="5" t="str">
        <f>IFERROR(__xludf.DUMMYFUNCTION("GOOGLETRANSLATE(B7627,""en"",""es-ES"")"),"El hombre en el tubo lleva esquí y eventualmente viaja detrás del bote con la mujer en la parte superior.")</f>
        <v>El hombre en el tubo lleva esquí y eventualmente viaja detrás del bote con la mujer en la parte superior.</v>
      </c>
    </row>
    <row r="7628">
      <c r="A7628" s="4" t="s">
        <v>9587</v>
      </c>
      <c r="B7628" s="4" t="s">
        <v>9590</v>
      </c>
      <c r="C7628" s="5" t="str">
        <f>IFERROR(__xludf.DUMMYFUNCTION("GOOGLETRANSLATE(B7628,""en"",""es-ES"")"),"La pareja continúa montando encima de la otra en los esquís mientras la cámara se acerca y sale para capturar el movimiento.")</f>
        <v>La pareja continúa montando encima de la otra en los esquís mientras la cámara se acerca y sale para capturar el movimiento.</v>
      </c>
    </row>
    <row r="7629">
      <c r="A7629" s="4" t="s">
        <v>9591</v>
      </c>
      <c r="B7629" s="4" t="s">
        <v>9592</v>
      </c>
      <c r="C7629" s="5" t="str">
        <f>IFERROR(__xludf.DUMMYFUNCTION("GOOGLETRANSLATE(B7629,""en"",""es-ES"")"),"Una mujer se para en una cocina, mirando la cámara.")</f>
        <v>Una mujer se para en una cocina, mirando la cámara.</v>
      </c>
    </row>
    <row r="7630">
      <c r="A7630" s="4" t="s">
        <v>9591</v>
      </c>
      <c r="B7630" s="4" t="s">
        <v>9593</v>
      </c>
      <c r="C7630" s="5" t="str">
        <f>IFERROR(__xludf.DUMMYFUNCTION("GOOGLETRANSLATE(B7630,""en"",""es-ES"")"),"La persona abre un horno y saca una bandeja de galletas con chispas de chocolate.")</f>
        <v>La persona abre un horno y saca una bandeja de galletas con chispas de chocolate.</v>
      </c>
    </row>
    <row r="7631">
      <c r="A7631" s="4" t="s">
        <v>9591</v>
      </c>
      <c r="B7631" s="4" t="s">
        <v>9594</v>
      </c>
      <c r="C7631" s="5" t="str">
        <f>IFERROR(__xludf.DUMMYFUNCTION("GOOGLETRANSLATE(B7631,""en"",""es-ES"")"),"La mujer mira las galletas y se revisa un segundo lote.")</f>
        <v>La mujer mira las galletas y se revisa un segundo lote.</v>
      </c>
    </row>
    <row r="7632">
      <c r="A7632" s="4" t="s">
        <v>9591</v>
      </c>
      <c r="B7632" s="4" t="s">
        <v>9595</v>
      </c>
      <c r="C7632" s="5" t="str">
        <f>IFERROR(__xludf.DUMMYFUNCTION("GOOGLETRANSLATE(B7632,""en"",""es-ES"")"),"La mujer saca las galletas de la bandeja, aflojándolas.")</f>
        <v>La mujer saca las galletas de la bandeja, aflojándolas.</v>
      </c>
    </row>
    <row r="7633">
      <c r="A7633" s="4" t="s">
        <v>9596</v>
      </c>
      <c r="B7633" s="4" t="s">
        <v>9597</v>
      </c>
      <c r="C7633" s="5" t="str">
        <f>IFERROR(__xludf.DUMMYFUNCTION("GOOGLETRANSLATE(B7633,""en"",""es-ES"")"),"Un niño está sonriendo cerca de la cámara.")</f>
        <v>Un niño está sonriendo cerca de la cámara.</v>
      </c>
    </row>
    <row r="7634">
      <c r="A7634" s="4" t="s">
        <v>9596</v>
      </c>
      <c r="B7634" s="4" t="s">
        <v>9598</v>
      </c>
      <c r="C7634" s="5" t="str">
        <f>IFERROR(__xludf.DUMMYFUNCTION("GOOGLETRANSLATE(B7634,""en"",""es-ES"")"),"Utiliza una llave para eliminar los pernos de los neumáticos para bicicletas para niños.")</f>
        <v>Utiliza una llave para eliminar los pernos de los neumáticos para bicicletas para niños.</v>
      </c>
    </row>
    <row r="7635">
      <c r="A7635" s="4" t="s">
        <v>9596</v>
      </c>
      <c r="B7635" s="4" t="s">
        <v>9599</v>
      </c>
      <c r="C7635" s="5" t="str">
        <f>IFERROR(__xludf.DUMMYFUNCTION("GOOGLETRANSLATE(B7635,""en"",""es-ES"")"),"Cuando termina, se ríe en voz alta.")</f>
        <v>Cuando termina, se ríe en voz alta.</v>
      </c>
    </row>
    <row r="7636">
      <c r="A7636" s="4" t="s">
        <v>9600</v>
      </c>
      <c r="B7636" s="4" t="s">
        <v>9601</v>
      </c>
      <c r="C7636" s="5" t="str">
        <f>IFERROR(__xludf.DUMMYFUNCTION("GOOGLETRANSLATE(B7636,""en"",""es-ES"")"),"Un hombre y una mujer vestidos en el escenario esperando para comenzar su actuación.")</f>
        <v>Un hombre y una mujer vestidos en el escenario esperando para comenzar su actuación.</v>
      </c>
    </row>
    <row r="7637">
      <c r="A7637" s="4" t="s">
        <v>9600</v>
      </c>
      <c r="B7637" s="4" t="s">
        <v>9602</v>
      </c>
      <c r="C7637" s="5" t="str">
        <f>IFERROR(__xludf.DUMMYFUNCTION("GOOGLETRANSLATE(B7637,""en"",""es-ES"")"),"La actuación comienza y comienza a bailar muy bellamente.")</f>
        <v>La actuación comienza y comienza a bailar muy bellamente.</v>
      </c>
    </row>
    <row r="7638">
      <c r="A7638" s="4" t="s">
        <v>9600</v>
      </c>
      <c r="B7638" s="4" t="s">
        <v>9603</v>
      </c>
      <c r="C7638" s="5" t="str">
        <f>IFERROR(__xludf.DUMMYFUNCTION("GOOGLETRANSLATE(B7638,""en"",""es-ES"")"),"Trabajan muy bien juntos, él la recoge sobre sus hombros.")</f>
        <v>Trabajan muy bien juntos, él la recoge sobre sus hombros.</v>
      </c>
    </row>
    <row r="7639">
      <c r="A7639" s="4" t="s">
        <v>9600</v>
      </c>
      <c r="B7639" s="4" t="s">
        <v>9604</v>
      </c>
      <c r="C7639" s="5" t="str">
        <f>IFERROR(__xludf.DUMMYFUNCTION("GOOGLETRANSLATE(B7639,""en"",""es-ES"")"),"Usan la silla como accesorio y bailan hasta que es hora de detenerse y luego se abrazan.")</f>
        <v>Usan la silla como accesorio y bailan hasta que es hora de detenerse y luego se abrazan.</v>
      </c>
    </row>
    <row r="7640">
      <c r="A7640" s="4" t="s">
        <v>9605</v>
      </c>
      <c r="B7640" s="4" t="s">
        <v>1251</v>
      </c>
      <c r="C7640" s="5" t="str">
        <f>IFERROR(__xludf.DUMMYFUNCTION("GOOGLETRANSLATE(B7640,""en"",""es-ES"")"),"Se muestran los créditos del clip.")</f>
        <v>Se muestran los créditos del clip.</v>
      </c>
    </row>
    <row r="7641">
      <c r="A7641" s="4" t="s">
        <v>9605</v>
      </c>
      <c r="B7641" s="4" t="s">
        <v>9606</v>
      </c>
      <c r="C7641" s="5" t="str">
        <f>IFERROR(__xludf.DUMMYFUNCTION("GOOGLETRANSLATE(B7641,""en"",""es-ES"")"),"Una atleta femenina aplaude las manos.")</f>
        <v>Una atleta femenina aplaude las manos.</v>
      </c>
    </row>
    <row r="7642">
      <c r="A7642" s="4" t="s">
        <v>9605</v>
      </c>
      <c r="B7642" s="4" t="s">
        <v>9607</v>
      </c>
      <c r="C7642" s="5" t="str">
        <f>IFERROR(__xludf.DUMMYFUNCTION("GOOGLETRANSLATE(B7642,""en"",""es-ES"")"),"La atleta femenina corre y eleva su cuerpo sobre un obstáculo elevado.")</f>
        <v>La atleta femenina corre y eleva su cuerpo sobre un obstáculo elevado.</v>
      </c>
    </row>
    <row r="7643">
      <c r="A7643" s="4" t="s">
        <v>9605</v>
      </c>
      <c r="B7643" s="4" t="s">
        <v>9608</v>
      </c>
      <c r="C7643" s="5" t="str">
        <f>IFERROR(__xludf.DUMMYFUNCTION("GOOGLETRANSLATE(B7643,""en"",""es-ES"")"),"La atleta femenina se levanta y grita de alegría.")</f>
        <v>La atleta femenina se levanta y grita de alegría.</v>
      </c>
    </row>
    <row r="7644">
      <c r="A7644" s="4" t="s">
        <v>9605</v>
      </c>
      <c r="B7644" s="4" t="s">
        <v>9609</v>
      </c>
      <c r="C7644" s="5" t="str">
        <f>IFERROR(__xludf.DUMMYFUNCTION("GOOGLETRANSLATE(B7644,""en"",""es-ES"")"),"La atleta femenina baila y gira.")</f>
        <v>La atleta femenina baila y gira.</v>
      </c>
    </row>
    <row r="7645">
      <c r="A7645" s="4" t="s">
        <v>9605</v>
      </c>
      <c r="B7645" s="4" t="s">
        <v>9610</v>
      </c>
      <c r="C7645" s="5" t="str">
        <f>IFERROR(__xludf.DUMMYFUNCTION("GOOGLETRANSLATE(B7645,""en"",""es-ES"")"),"La atleta femenina se aleja.")</f>
        <v>La atleta femenina se aleja.</v>
      </c>
    </row>
    <row r="7646">
      <c r="A7646" s="4" t="s">
        <v>9605</v>
      </c>
      <c r="B7646" s="4" t="s">
        <v>573</v>
      </c>
      <c r="C7646" s="5" t="str">
        <f>IFERROR(__xludf.DUMMYFUNCTION("GOOGLETRANSLATE(B7646,""en"",""es-ES"")"),"Se muestran los créditos del video.")</f>
        <v>Se muestran los créditos del video.</v>
      </c>
    </row>
    <row r="7647">
      <c r="A7647" s="4" t="s">
        <v>9611</v>
      </c>
      <c r="B7647" s="4" t="s">
        <v>9612</v>
      </c>
      <c r="C7647" s="5" t="str">
        <f>IFERROR(__xludf.DUMMYFUNCTION("GOOGLETRANSLATE(B7647,""en"",""es-ES"")"),"Un curso interior se critica con cámara en un almacén.")</f>
        <v>Un curso interior se critica con cámara en un almacén.</v>
      </c>
    </row>
    <row r="7648">
      <c r="A7648" s="4" t="s">
        <v>9611</v>
      </c>
      <c r="B7648" s="4" t="s">
        <v>9613</v>
      </c>
      <c r="C7648" s="5" t="str">
        <f>IFERROR(__xludf.DUMMYFUNCTION("GOOGLETRANSLATE(B7648,""en"",""es-ES"")"),"Un atleta corre por una pista y salto con pértiga sobre una barra alta y sobre una plataforma de aterrizaje acolchada.")</f>
        <v>Un atleta corre por una pista y salto con pértiga sobre una barra alta y sobre una plataforma de aterrizaje acolchada.</v>
      </c>
    </row>
    <row r="7649">
      <c r="A7649" s="4" t="s">
        <v>9611</v>
      </c>
      <c r="B7649" s="4" t="s">
        <v>9614</v>
      </c>
      <c r="C7649" s="5" t="str">
        <f>IFERROR(__xludf.DUMMYFUNCTION("GOOGLETRANSLATE(B7649,""en"",""es-ES"")"),"El saltador de poste discute eventos y establece algunas piscinas de madera antes de su uso.")</f>
        <v>El saltador de poste discute eventos y establece algunas piscinas de madera antes de su uso.</v>
      </c>
    </row>
    <row r="7650">
      <c r="A7650" s="4" t="s">
        <v>9611</v>
      </c>
      <c r="B7650" s="4" t="s">
        <v>9615</v>
      </c>
      <c r="C7650" s="5" t="str">
        <f>IFERROR(__xludf.DUMMYFUNCTION("GOOGLETRANSLATE(B7650,""en"",""es-ES"")"),"El atleta discute más y se ve en pantallas de televisión haciendo salas con pértiga anteriores.")</f>
        <v>El atleta discute más y se ve en pantallas de televisión haciendo salas con pértiga anteriores.</v>
      </c>
    </row>
    <row r="7651">
      <c r="A7651" s="4" t="s">
        <v>9611</v>
      </c>
      <c r="B7651" s="4" t="s">
        <v>9616</v>
      </c>
      <c r="C7651" s="5" t="str">
        <f>IFERROR(__xludf.DUMMYFUNCTION("GOOGLETRANSLATE(B7651,""en"",""es-ES"")"),"El atleta se sienta con un entrenador y ve una pantalla de televisión.")</f>
        <v>El atleta se sienta con un entrenador y ve una pantalla de televisión.</v>
      </c>
    </row>
    <row r="7652">
      <c r="A7652" s="4" t="s">
        <v>9611</v>
      </c>
      <c r="B7652" s="4" t="s">
        <v>9617</v>
      </c>
      <c r="C7652" s="5" t="str">
        <f>IFERROR(__xludf.DUMMYFUNCTION("GOOGLETRANSLATE(B7652,""en"",""es-ES"")"),"El atleta se para y habla en la pista y hace una carrera de calentamiento saltando sobre las esteras.")</f>
        <v>El atleta se para y habla en la pista y hace una carrera de calentamiento saltando sobre las esteras.</v>
      </c>
    </row>
    <row r="7653">
      <c r="A7653" s="4" t="s">
        <v>9611</v>
      </c>
      <c r="B7653" s="4" t="s">
        <v>9618</v>
      </c>
      <c r="C7653" s="5" t="str">
        <f>IFERROR(__xludf.DUMMYFUNCTION("GOOGLETRANSLATE(B7653,""en"",""es-ES"")"),"El atleta se acuesta en una alfombra al lado de una atleta femenina y se extiende.")</f>
        <v>El atleta se acuesta en una alfombra al lado de una atleta femenina y se extiende.</v>
      </c>
    </row>
    <row r="7654">
      <c r="A7654" s="4" t="s">
        <v>9611</v>
      </c>
      <c r="B7654" s="4" t="s">
        <v>9619</v>
      </c>
      <c r="C7654" s="5" t="str">
        <f>IFERROR(__xludf.DUMMYFUNCTION("GOOGLETRANSLATE(B7654,""en"",""es-ES"")"),"El atleta hace múltiples saltos con pértiga durante la práctica en la colchoneta.")</f>
        <v>El atleta hace múltiples saltos con pértiga durante la práctica en la colchoneta.</v>
      </c>
    </row>
    <row r="7655">
      <c r="A7655" s="4" t="s">
        <v>9611</v>
      </c>
      <c r="B7655" s="4" t="s">
        <v>9620</v>
      </c>
      <c r="C7655" s="5" t="str">
        <f>IFERROR(__xludf.DUMMYFUNCTION("GOOGLETRANSLATE(B7655,""en"",""es-ES"")"),"El exterior del almacén se ve en un entorno de la ciudad.")</f>
        <v>El exterior del almacén se ve en un entorno de la ciudad.</v>
      </c>
    </row>
    <row r="7656">
      <c r="A7656" s="4" t="s">
        <v>9621</v>
      </c>
      <c r="B7656" s="4" t="s">
        <v>9622</v>
      </c>
      <c r="C7656" s="5" t="str">
        <f>IFERROR(__xludf.DUMMYFUNCTION("GOOGLETRANSLATE(B7656,""en"",""es-ES"")"),"Se ve un primer plano de un gato sentado en el regazo de una persona.")</f>
        <v>Se ve un primer plano de un gato sentado en el regazo de una persona.</v>
      </c>
    </row>
    <row r="7657">
      <c r="A7657" s="4" t="s">
        <v>9621</v>
      </c>
      <c r="B7657" s="4" t="s">
        <v>9623</v>
      </c>
      <c r="C7657" s="5" t="str">
        <f>IFERROR(__xludf.DUMMYFUNCTION("GOOGLETRANSLATE(B7657,""en"",""es-ES"")"),"Luego, la persona toma un par de cortinas y comienza a cortar las uñas del gato.")</f>
        <v>Luego, la persona toma un par de cortinas y comienza a cortar las uñas del gato.</v>
      </c>
    </row>
    <row r="7658">
      <c r="A7658" s="4" t="s">
        <v>9621</v>
      </c>
      <c r="B7658" s="4" t="s">
        <v>9624</v>
      </c>
      <c r="C7658" s="5" t="str">
        <f>IFERROR(__xludf.DUMMYFUNCTION("GOOGLETRANSLATE(B7658,""en"",""es-ES"")"),"Continúa cortando las uñas y muestra las patas de gatos al final.")</f>
        <v>Continúa cortando las uñas y muestra las patas de gatos al final.</v>
      </c>
    </row>
    <row r="7659">
      <c r="A7659" s="4" t="s">
        <v>9625</v>
      </c>
      <c r="B7659" s="4" t="s">
        <v>9626</v>
      </c>
      <c r="C7659" s="5" t="str">
        <f>IFERROR(__xludf.DUMMYFUNCTION("GOOGLETRANSLATE(B7659,""en"",""es-ES"")"),"Un auto plateado está estacionado en la calle.")</f>
        <v>Un auto plateado está estacionado en la calle.</v>
      </c>
    </row>
    <row r="7660">
      <c r="A7660" s="4" t="s">
        <v>9625</v>
      </c>
      <c r="B7660" s="4" t="s">
        <v>9627</v>
      </c>
      <c r="C7660" s="5" t="str">
        <f>IFERROR(__xludf.DUMMYFUNCTION("GOOGLETRANSLATE(B7660,""en"",""es-ES"")"),"Un hombre de energía lava el auto en la calle.")</f>
        <v>Un hombre de energía lava el auto en la calle.</v>
      </c>
    </row>
    <row r="7661">
      <c r="A7661" s="4" t="s">
        <v>9625</v>
      </c>
      <c r="B7661" s="4" t="s">
        <v>9628</v>
      </c>
      <c r="C7661" s="5" t="str">
        <f>IFERROR(__xludf.DUMMYFUNCTION("GOOGLETRANSLATE(B7661,""en"",""es-ES"")"),"Luego lo seca.")</f>
        <v>Luego lo seca.</v>
      </c>
    </row>
    <row r="7662">
      <c r="A7662" s="4" t="s">
        <v>9625</v>
      </c>
      <c r="B7662" s="4" t="s">
        <v>9629</v>
      </c>
      <c r="C7662" s="5" t="str">
        <f>IFERROR(__xludf.DUMMYFUNCTION("GOOGLETRANSLATE(B7662,""en"",""es-ES"")"),"El auto ahora está completamente limpio.")</f>
        <v>El auto ahora está completamente limpio.</v>
      </c>
    </row>
    <row r="7663">
      <c r="A7663" s="4" t="s">
        <v>9630</v>
      </c>
      <c r="B7663" s="4" t="s">
        <v>9631</v>
      </c>
      <c r="C7663" s="5" t="str">
        <f>IFERROR(__xludf.DUMMYFUNCTION("GOOGLETRANSLATE(B7663,""en"",""es-ES"")"),"Una mujer habla con la cámara en un ambiente callejero mientras los peatones y los automóviles pasan.")</f>
        <v>Una mujer habla con la cámara en un ambiente callejero mientras los peatones y los automóviles pasan.</v>
      </c>
    </row>
    <row r="7664">
      <c r="A7664" s="4" t="s">
        <v>9630</v>
      </c>
      <c r="B7664" s="4" t="s">
        <v>9632</v>
      </c>
      <c r="C7664" s="5" t="str">
        <f>IFERROR(__xludf.DUMMYFUNCTION("GOOGLETRANSLATE(B7664,""en"",""es-ES"")"),"La mujer se asoma por detrás de una pared.")</f>
        <v>La mujer se asoma por detrás de una pared.</v>
      </c>
    </row>
    <row r="7665">
      <c r="A7665" s="4" t="s">
        <v>9630</v>
      </c>
      <c r="B7665" s="4" t="s">
        <v>9633</v>
      </c>
      <c r="C7665" s="5" t="str">
        <f>IFERROR(__xludf.DUMMYFUNCTION("GOOGLETRANSLATE(B7665,""en"",""es-ES"")"),"La mujer mira la pantalla de una computadora portátil con un hombre.")</f>
        <v>La mujer mira la pantalla de una computadora portátil con un hombre.</v>
      </c>
    </row>
    <row r="7666">
      <c r="A7666" s="4" t="s">
        <v>9630</v>
      </c>
      <c r="B7666" s="4" t="s">
        <v>9634</v>
      </c>
      <c r="C7666" s="5" t="str">
        <f>IFERROR(__xludf.DUMMYFUNCTION("GOOGLETRANSLATE(B7666,""en"",""es-ES"")"),"El hombre aplica un patrón de tatuaje en la parte superior del brazo de la mujer, y el video a veces pasa por tiempo acelerado.")</f>
        <v>El hombre aplica un patrón de tatuaje en la parte superior del brazo de la mujer, y el video a veces pasa por tiempo acelerado.</v>
      </c>
    </row>
    <row r="7667">
      <c r="A7667" s="4" t="s">
        <v>9630</v>
      </c>
      <c r="B7667" s="4" t="s">
        <v>9635</v>
      </c>
      <c r="C7667" s="5" t="str">
        <f>IFERROR(__xludf.DUMMYFUNCTION("GOOGLETRANSLATE(B7667,""en"",""es-ES"")"),"La mujer muestra el tatuaje completado mientras habla con la cámara.")</f>
        <v>La mujer muestra el tatuaje completado mientras habla con la cámara.</v>
      </c>
    </row>
    <row r="7668">
      <c r="A7668" s="4" t="s">
        <v>9636</v>
      </c>
      <c r="B7668" s="4" t="s">
        <v>9637</v>
      </c>
      <c r="C7668" s="5" t="str">
        <f>IFERROR(__xludf.DUMMYFUNCTION("GOOGLETRANSLATE(B7668,""en"",""es-ES"")"),"Se muestra una vasta vista oceánica cuando se accede a una ola.")</f>
        <v>Se muestra una vasta vista oceánica cuando se accede a una ola.</v>
      </c>
    </row>
    <row r="7669">
      <c r="A7669" s="4" t="s">
        <v>9636</v>
      </c>
      <c r="B7669" s="4" t="s">
        <v>9638</v>
      </c>
      <c r="C7669" s="5" t="str">
        <f>IFERROR(__xludf.DUMMYFUNCTION("GOOGLETRANSLATE(B7669,""en"",""es-ES"")"),"Esto se repite desde varios ángulos diferentes.")</f>
        <v>Esto se repite desde varios ángulos diferentes.</v>
      </c>
    </row>
    <row r="7670">
      <c r="A7670" s="4" t="s">
        <v>9636</v>
      </c>
      <c r="B7670" s="4" t="s">
        <v>9639</v>
      </c>
      <c r="C7670" s="5" t="str">
        <f>IFERROR(__xludf.DUMMYFUNCTION("GOOGLETRANSLATE(B7670,""en"",""es-ES"")"),"Luego se muestra a las personas navegando por las olas.")</f>
        <v>Luego se muestra a las personas navegando por las olas.</v>
      </c>
    </row>
    <row r="7671">
      <c r="A7671" s="4" t="s">
        <v>9640</v>
      </c>
      <c r="B7671" s="4" t="s">
        <v>9641</v>
      </c>
      <c r="C7671" s="5" t="str">
        <f>IFERROR(__xludf.DUMMYFUNCTION("GOOGLETRANSLATE(B7671,""en"",""es-ES"")"),"Un hombre está parado frente a una mesa.")</f>
        <v>Un hombre está parado frente a una mesa.</v>
      </c>
    </row>
    <row r="7672">
      <c r="A7672" s="4" t="s">
        <v>9640</v>
      </c>
      <c r="B7672" s="4" t="s">
        <v>9642</v>
      </c>
      <c r="C7672" s="5" t="str">
        <f>IFERROR(__xludf.DUMMYFUNCTION("GOOGLETRANSLATE(B7672,""en"",""es-ES"")"),"Está sosteniendo una papa y pelado sobre un tazón.")</f>
        <v>Está sosteniendo una papa y pelado sobre un tazón.</v>
      </c>
    </row>
    <row r="7673">
      <c r="A7673" s="4" t="s">
        <v>9640</v>
      </c>
      <c r="B7673" s="4" t="s">
        <v>9643</v>
      </c>
      <c r="C7673" s="5" t="str">
        <f>IFERROR(__xludf.DUMMYFUNCTION("GOOGLETRANSLATE(B7673,""en"",""es-ES"")"),"Pela la patata una tira a la vez.")</f>
        <v>Pela la patata una tira a la vez.</v>
      </c>
    </row>
    <row r="7674">
      <c r="A7674" s="4" t="s">
        <v>9644</v>
      </c>
      <c r="B7674" s="4" t="s">
        <v>9645</v>
      </c>
      <c r="C7674" s="5" t="str">
        <f>IFERROR(__xludf.DUMMYFUNCTION("GOOGLETRANSLATE(B7674,""en"",""es-ES"")"),"Los autos se están lavando en un lavado de autos.")</f>
        <v>Los autos se están lavando en un lavado de autos.</v>
      </c>
    </row>
    <row r="7675">
      <c r="A7675" s="4" t="s">
        <v>9644</v>
      </c>
      <c r="B7675" s="4" t="s">
        <v>9646</v>
      </c>
      <c r="C7675" s="5" t="str">
        <f>IFERROR(__xludf.DUMMYFUNCTION("GOOGLETRANSLATE(B7675,""en"",""es-ES"")"),"Se muestra una sala de juegos en el lavado de autos.")</f>
        <v>Se muestra una sala de juegos en el lavado de autos.</v>
      </c>
    </row>
    <row r="7676">
      <c r="A7676" s="4" t="s">
        <v>9644</v>
      </c>
      <c r="B7676" s="4" t="s">
        <v>9647</v>
      </c>
      <c r="C7676" s="5" t="str">
        <f>IFERROR(__xludf.DUMMYFUNCTION("GOOGLETRANSLATE(B7676,""en"",""es-ES"")"),"Se muestra el exterior del edificio de lavado de autos.")</f>
        <v>Se muestra el exterior del edificio de lavado de autos.</v>
      </c>
    </row>
    <row r="7677">
      <c r="A7677" s="4" t="s">
        <v>9648</v>
      </c>
      <c r="B7677" s="4" t="s">
        <v>9649</v>
      </c>
      <c r="C7677" s="5" t="str">
        <f>IFERROR(__xludf.DUMMYFUNCTION("GOOGLETRANSLATE(B7677,""en"",""es-ES"")"),"Una introducción muestra los productos del video.")</f>
        <v>Una introducción muestra los productos del video.</v>
      </c>
    </row>
    <row r="7678">
      <c r="A7678" s="4" t="s">
        <v>9648</v>
      </c>
      <c r="B7678" s="4" t="s">
        <v>9650</v>
      </c>
      <c r="C7678" s="5" t="str">
        <f>IFERROR(__xludf.DUMMYFUNCTION("GOOGLETRANSLATE(B7678,""en"",""es-ES"")"),"El anfitrión muestra cada producto y cómo ayudan a limpiar un zapato.")</f>
        <v>El anfitrión muestra cada producto y cómo ayudan a limpiar un zapato.</v>
      </c>
    </row>
    <row r="7679">
      <c r="A7679" s="4" t="s">
        <v>9648</v>
      </c>
      <c r="B7679" s="4" t="s">
        <v>9651</v>
      </c>
      <c r="C7679" s="5" t="str">
        <f>IFERROR(__xludf.DUMMYFUNCTION("GOOGLETRANSLATE(B7679,""en"",""es-ES"")"),"Primero vemos que la zapatilla se limpia.")</f>
        <v>Primero vemos que la zapatilla se limpia.</v>
      </c>
    </row>
    <row r="7680">
      <c r="A7680" s="4" t="s">
        <v>9648</v>
      </c>
      <c r="B7680" s="4" t="s">
        <v>9652</v>
      </c>
      <c r="C7680" s="5" t="str">
        <f>IFERROR(__xludf.DUMMYFUNCTION("GOOGLETRANSLATE(B7680,""en"",""es-ES"")"),"A continuación se limpia un zapato de baloncesto.")</f>
        <v>A continuación se limpia un zapato de baloncesto.</v>
      </c>
    </row>
    <row r="7681">
      <c r="A7681" s="4" t="s">
        <v>9648</v>
      </c>
      <c r="B7681" s="4" t="s">
        <v>9653</v>
      </c>
      <c r="C7681" s="5" t="str">
        <f>IFERROR(__xludf.DUMMYFUNCTION("GOOGLETRANSLATE(B7681,""en"",""es-ES"")"),"Algunos anuncios reproducen para cerrar el video.")</f>
        <v>Algunos anuncios reproducen para cerrar el video.</v>
      </c>
    </row>
    <row r="7682">
      <c r="A7682" s="4" t="s">
        <v>9654</v>
      </c>
      <c r="B7682" s="4" t="s">
        <v>9655</v>
      </c>
      <c r="C7682" s="5" t="str">
        <f>IFERROR(__xludf.DUMMYFUNCTION("GOOGLETRANSLATE(B7682,""en"",""es-ES"")"),"Un par de bailes en atuendos rojos en un escenario para una gran audiencia en un escenario iluminado con iluminación colorida.")</f>
        <v>Un par de bailes en atuendos rojos en un escenario para una gran audiencia en un escenario iluminado con iluminación colorida.</v>
      </c>
    </row>
    <row r="7683">
      <c r="A7683" s="4" t="s">
        <v>9654</v>
      </c>
      <c r="B7683" s="4" t="s">
        <v>9656</v>
      </c>
      <c r="C7683" s="5" t="str">
        <f>IFERROR(__xludf.DUMMYFUNCTION("GOOGLETRANSLATE(B7683,""en"",""es-ES"")"),"Un hombre y una mujer se mantienen apasionadamente parados en un abrazo.")</f>
        <v>Un hombre y una mujer se mantienen apasionadamente parados en un abrazo.</v>
      </c>
    </row>
    <row r="7684">
      <c r="A7684" s="4" t="s">
        <v>9654</v>
      </c>
      <c r="B7684" s="4" t="s">
        <v>9657</v>
      </c>
      <c r="C7684" s="5" t="str">
        <f>IFERROR(__xludf.DUMMYFUNCTION("GOOGLETRANSLATE(B7684,""en"",""es-ES"")"),"El hombre cede a su pareja femenina que hace las divisiones al final del baile.")</f>
        <v>El hombre cede a su pareja femenina que hace las divisiones al final del baile.</v>
      </c>
    </row>
    <row r="7685">
      <c r="A7685" s="4" t="s">
        <v>9658</v>
      </c>
      <c r="B7685" s="4" t="s">
        <v>9659</v>
      </c>
      <c r="C7685" s="5" t="str">
        <f>IFERROR(__xludf.DUMMYFUNCTION("GOOGLETRANSLATE(B7685,""en"",""es-ES"")"),"Una mujer con cabello largo pinta en un panel grande en video de lapso de tiempo.")</f>
        <v>Una mujer con cabello largo pinta en un panel grande en video de lapso de tiempo.</v>
      </c>
    </row>
    <row r="7686">
      <c r="A7686" s="4" t="s">
        <v>9658</v>
      </c>
      <c r="B7686" s="4" t="s">
        <v>9660</v>
      </c>
      <c r="C7686" s="5" t="str">
        <f>IFERROR(__xludf.DUMMYFUNCTION("GOOGLETRANSLATE(B7686,""en"",""es-ES"")"),"La mujer todavía está pintando el panel, pero ahora con un cambio de ropa.")</f>
        <v>La mujer todavía está pintando el panel, pero ahora con un cambio de ropa.</v>
      </c>
    </row>
    <row r="7687">
      <c r="A7687" s="4" t="s">
        <v>9658</v>
      </c>
      <c r="B7687" s="4" t="s">
        <v>9661</v>
      </c>
      <c r="C7687" s="5" t="str">
        <f>IFERROR(__xludf.DUMMYFUNCTION("GOOGLETRANSLATE(B7687,""en"",""es-ES"")"),"La mujer todavía está pintando el panel, pero con otro cambio de ropa.")</f>
        <v>La mujer todavía está pintando el panel, pero con otro cambio de ropa.</v>
      </c>
    </row>
    <row r="7688">
      <c r="A7688" s="4" t="s">
        <v>9658</v>
      </c>
      <c r="B7688" s="4" t="s">
        <v>9662</v>
      </c>
      <c r="C7688" s="5" t="str">
        <f>IFERROR(__xludf.DUMMYFUNCTION("GOOGLETRANSLATE(B7688,""en"",""es-ES"")"),"La mujer pinta con un cuarto conjunto diferente de ropa.")</f>
        <v>La mujer pinta con un cuarto conjunto diferente de ropa.</v>
      </c>
    </row>
    <row r="7689">
      <c r="A7689" s="4" t="s">
        <v>9658</v>
      </c>
      <c r="B7689" s="4" t="s">
        <v>9663</v>
      </c>
      <c r="C7689" s="5" t="str">
        <f>IFERROR(__xludf.DUMMYFUNCTION("GOOGLETRANSLATE(B7689,""en"",""es-ES"")"),"La mujer continúa pintando con un quinto conjunto diferente de ropa.")</f>
        <v>La mujer continúa pintando con un quinto conjunto diferente de ropa.</v>
      </c>
    </row>
    <row r="7690">
      <c r="A7690" s="4" t="s">
        <v>9658</v>
      </c>
      <c r="B7690" s="4" t="s">
        <v>9664</v>
      </c>
      <c r="C7690" s="5" t="str">
        <f>IFERROR(__xludf.DUMMYFUNCTION("GOOGLETRANSLATE(B7690,""en"",""es-ES"")"),"La mujer continúa pintando con un sexto conjunto diferente de ropa.")</f>
        <v>La mujer continúa pintando con un sexto conjunto diferente de ropa.</v>
      </c>
    </row>
    <row r="7691">
      <c r="A7691" s="4" t="s">
        <v>9658</v>
      </c>
      <c r="B7691" s="4" t="s">
        <v>9665</v>
      </c>
      <c r="C7691" s="5" t="str">
        <f>IFERROR(__xludf.DUMMYFUNCTION("GOOGLETRANSLATE(B7691,""en"",""es-ES"")"),"Se muestra un primer plano de la imagen completa.")</f>
        <v>Se muestra un primer plano de la imagen completa.</v>
      </c>
    </row>
    <row r="7692">
      <c r="A7692" s="4" t="s">
        <v>9666</v>
      </c>
      <c r="B7692" s="4" t="s">
        <v>9667</v>
      </c>
      <c r="C7692" s="5" t="str">
        <f>IFERROR(__xludf.DUMMYFUNCTION("GOOGLETRANSLATE(B7692,""en"",""es-ES"")"),"Aparece un logotipo de ""IAAF"" con las palabras ""hombres de salto de longitud"".")</f>
        <v>Aparece un logotipo de "IAAF" con las palabras "hombres de salto de longitud".</v>
      </c>
    </row>
    <row r="7693">
      <c r="A7693" s="4" t="s">
        <v>9666</v>
      </c>
      <c r="B7693" s="4" t="s">
        <v>9668</v>
      </c>
      <c r="C7693" s="5" t="str">
        <f>IFERROR(__xludf.DUMMYFUNCTION("GOOGLETRANSLATE(B7693,""en"",""es-ES"")"),"Varios hombres corren por una pista y realizan un salto de longitud en un lugar deportivo profesional.")</f>
        <v>Varios hombres corren por una pista y realizan un salto de longitud en un lugar deportivo profesional.</v>
      </c>
    </row>
    <row r="7694">
      <c r="A7694" s="4" t="s">
        <v>9666</v>
      </c>
      <c r="B7694" s="4" t="s">
        <v>9669</v>
      </c>
      <c r="C7694" s="5" t="str">
        <f>IFERROR(__xludf.DUMMYFUNCTION("GOOGLETRANSLATE(B7694,""en"",""es-ES"")"),"Se muestra un gráfico de marcador para todos los jugadores participantes.")</f>
        <v>Se muestra un gráfico de marcador para todos los jugadores participantes.</v>
      </c>
    </row>
    <row r="7695">
      <c r="A7695" s="4" t="s">
        <v>9670</v>
      </c>
      <c r="B7695" s="4" t="s">
        <v>9671</v>
      </c>
      <c r="C7695" s="5" t="str">
        <f>IFERROR(__xludf.DUMMYFUNCTION("GOOGLETRANSLATE(B7695,""en"",""es-ES"")"),"La gente está parada en una alfombra azul.")</f>
        <v>La gente está parada en una alfombra azul.</v>
      </c>
    </row>
    <row r="7696">
      <c r="A7696" s="4" t="s">
        <v>9670</v>
      </c>
      <c r="B7696" s="4" t="s">
        <v>9672</v>
      </c>
      <c r="C7696" s="5" t="str">
        <f>IFERROR(__xludf.DUMMYFUNCTION("GOOGLETRANSLATE(B7696,""en"",""es-ES"")"),"Comienzan a hacer una rutina de porristas en el tapete.")</f>
        <v>Comienzan a hacer una rutina de porristas en el tapete.</v>
      </c>
    </row>
    <row r="7697">
      <c r="A7697" s="4" t="s">
        <v>9670</v>
      </c>
      <c r="B7697" s="4" t="s">
        <v>9673</v>
      </c>
      <c r="C7697" s="5" t="str">
        <f>IFERROR(__xludf.DUMMYFUNCTION("GOOGLETRANSLATE(B7697,""en"",""es-ES"")"),"Sostienen letreros frente a la colchoneta.")</f>
        <v>Sostienen letreros frente a la colchoneta.</v>
      </c>
    </row>
    <row r="7698">
      <c r="A7698" s="4" t="s">
        <v>9674</v>
      </c>
      <c r="B7698" s="4" t="s">
        <v>9675</v>
      </c>
      <c r="C7698" s="5" t="str">
        <f>IFERROR(__xludf.DUMMYFUNCTION("GOOGLETRANSLATE(B7698,""en"",""es-ES"")"),"Se muestra una pantalla negra y se muestran varias palabras blancas.")</f>
        <v>Se muestra una pantalla negra y se muestran varias palabras blancas.</v>
      </c>
    </row>
    <row r="7699">
      <c r="A7699" s="4" t="s">
        <v>9674</v>
      </c>
      <c r="B7699" s="4" t="s">
        <v>9676</v>
      </c>
      <c r="C7699" s="5" t="str">
        <f>IFERROR(__xludf.DUMMYFUNCTION("GOOGLETRANSLATE(B7699,""en"",""es-ES"")"),"Después, se muestra a un hombre caucásico tocando la batería de la mano y pisoteando su pie.")</f>
        <v>Después, se muestra a un hombre caucásico tocando la batería de la mano y pisoteando su pie.</v>
      </c>
    </row>
    <row r="7700">
      <c r="A7700" s="4" t="s">
        <v>9677</v>
      </c>
      <c r="B7700" s="4" t="s">
        <v>9678</v>
      </c>
      <c r="C7700" s="5" t="str">
        <f>IFERROR(__xludf.DUMMYFUNCTION("GOOGLETRANSLATE(B7700,""en"",""es-ES"")"),"Una pala raspa a lo largo del suelo cubierto de nieve de un patio.")</f>
        <v>Una pala raspa a lo largo del suelo cubierto de nieve de un patio.</v>
      </c>
    </row>
    <row r="7701">
      <c r="A7701" s="4" t="s">
        <v>9677</v>
      </c>
      <c r="B7701" s="4" t="s">
        <v>9679</v>
      </c>
      <c r="C7701" s="5" t="str">
        <f>IFERROR(__xludf.DUMMYFUNCTION("GOOGLETRANSLATE(B7701,""en"",""es-ES"")"),"Levanta la nieve en grandes cantidades.")</f>
        <v>Levanta la nieve en grandes cantidades.</v>
      </c>
    </row>
    <row r="7702">
      <c r="A7702" s="4" t="s">
        <v>9677</v>
      </c>
      <c r="B7702" s="4" t="s">
        <v>9680</v>
      </c>
      <c r="C7702" s="5" t="str">
        <f>IFERROR(__xludf.DUMMYFUNCTION("GOOGLETRANSLATE(B7702,""en"",""es-ES"")"),"Un hombre levanta la pala y la deja a un lado.")</f>
        <v>Un hombre levanta la pala y la deja a un lado.</v>
      </c>
    </row>
    <row r="7703">
      <c r="A7703" s="4" t="s">
        <v>9681</v>
      </c>
      <c r="B7703" s="4" t="s">
        <v>9682</v>
      </c>
      <c r="C7703" s="5" t="str">
        <f>IFERROR(__xludf.DUMMYFUNCTION("GOOGLETRANSLATE(B7703,""en"",""es-ES"")"),"Vemos una pantalla de introducción azul.")</f>
        <v>Vemos una pantalla de introducción azul.</v>
      </c>
    </row>
    <row r="7704">
      <c r="A7704" s="4" t="s">
        <v>9681</v>
      </c>
      <c r="B7704" s="4" t="s">
        <v>9683</v>
      </c>
      <c r="C7704" s="5" t="str">
        <f>IFERROR(__xludf.DUMMYFUNCTION("GOOGLETRANSLATE(B7704,""en"",""es-ES"")"),"Vemos niños montando bicicletas de tierra.")</f>
        <v>Vemos niños montando bicicletas de tierra.</v>
      </c>
    </row>
    <row r="7705">
      <c r="A7705" s="4" t="s">
        <v>9681</v>
      </c>
      <c r="B7705" s="4" t="s">
        <v>9684</v>
      </c>
      <c r="C7705" s="5" t="str">
        <f>IFERROR(__xludf.DUMMYFUNCTION("GOOGLETRANSLATE(B7705,""en"",""es-ES"")"),"Vemos otra pantalla de título y se ven los corredores intermedios.")</f>
        <v>Vemos otra pantalla de título y se ven los corredores intermedios.</v>
      </c>
    </row>
    <row r="7706">
      <c r="A7706" s="4" t="s">
        <v>9681</v>
      </c>
      <c r="B7706" s="4" t="s">
        <v>9685</v>
      </c>
      <c r="C7706" s="5" t="str">
        <f>IFERROR(__xludf.DUMMYFUNCTION("GOOGLETRANSLATE(B7706,""en"",""es-ES"")"),"Vemos que la pantalla vuelve a ser azul y vemos a los expertos.")</f>
        <v>Vemos que la pantalla vuelve a ser azul y vemos a los expertos.</v>
      </c>
    </row>
    <row r="7707">
      <c r="A7707" s="4" t="s">
        <v>9681</v>
      </c>
      <c r="B7707" s="4" t="s">
        <v>9686</v>
      </c>
      <c r="C7707" s="5" t="str">
        <f>IFERROR(__xludf.DUMMYFUNCTION("GOOGLETRANSLATE(B7707,""en"",""es-ES"")"),"Se muestra otra pantalla de título y vemos los créditos.")</f>
        <v>Se muestra otra pantalla de título y vemos los créditos.</v>
      </c>
    </row>
    <row r="7708">
      <c r="A7708" s="4" t="s">
        <v>9687</v>
      </c>
      <c r="B7708" s="4" t="s">
        <v>9688</v>
      </c>
      <c r="C7708" s="5" t="str">
        <f>IFERROR(__xludf.DUMMYFUNCTION("GOOGLETRANSLATE(B7708,""en"",""es-ES"")"),"Aparece una pantalla negra y aparece un texto blanco escrito a mano en la pantalla y dice ""Bart Rollin"".")</f>
        <v>Aparece una pantalla negra y aparece un texto blanco escrito a mano en la pantalla y dice "Bart Rollin".</v>
      </c>
    </row>
    <row r="7709">
      <c r="A7709" s="4" t="s">
        <v>9687</v>
      </c>
      <c r="B7709" s="4" t="s">
        <v>9689</v>
      </c>
      <c r="C7709" s="5" t="str">
        <f>IFERROR(__xludf.DUMMYFUNCTION("GOOGLETRANSLATE(B7709,""en"",""es-ES"")"),"Un hombre está al aire libre en una ciudad patinando con y sin camisa en diferentes lugares, cayendo varias veces y patinando tanto de día como de noche mientras la gente mira diferentes lugares, y a veces está solo.")</f>
        <v>Un hombre está al aire libre en una ciudad patinando con y sin camisa en diferentes lugares, cayendo varias veces y patinando tanto de día como de noche mientras la gente mira diferentes lugares, y a veces está solo.</v>
      </c>
    </row>
    <row r="7710">
      <c r="A7710" s="4" t="s">
        <v>9687</v>
      </c>
      <c r="B7710" s="4" t="s">
        <v>9690</v>
      </c>
      <c r="C7710" s="5" t="str">
        <f>IFERROR(__xludf.DUMMYFUNCTION("GOOGLETRANSLATE(B7710,""en"",""es-ES"")"),"Cuando el hombre ha terminado de patinar el outro aparece e incluye una captura de pantalla de lo que parece un dedo sangriento, una pantalla blanca con un macho ligeramente dibujado y las palabras negras se desplazan de abajo hacia arriba hasta que solo "&amp;"la pantalla blanca con el dibujo masculino es Solo visible.")</f>
        <v>Cuando el hombre ha terminado de patinar el outro aparece e incluye una captura de pantalla de lo que parece un dedo sangriento, una pantalla blanca con un macho ligeramente dibujado y las palabras negras se desplazan de abajo hacia arriba hasta que solo la pantalla blanca con el dibujo masculino es Solo visible.</v>
      </c>
    </row>
    <row r="7711">
      <c r="A7711" s="4" t="s">
        <v>9691</v>
      </c>
      <c r="B7711" s="4" t="s">
        <v>9692</v>
      </c>
      <c r="C7711" s="5" t="str">
        <f>IFERROR(__xludf.DUMMYFUNCTION("GOOGLETRANSLATE(B7711,""en"",""es-ES"")"),"Se ve a un hombre hablando con la cámara y conduce a clips de él trepando a lo largo de una pared.")</f>
        <v>Se ve a un hombre hablando con la cámara y conduce a clips de él trepando a lo largo de una pared.</v>
      </c>
    </row>
    <row r="7712">
      <c r="A7712" s="4" t="s">
        <v>9691</v>
      </c>
      <c r="B7712" s="4" t="s">
        <v>9693</v>
      </c>
      <c r="C7712" s="5" t="str">
        <f>IFERROR(__xludf.DUMMYFUNCTION("GOOGLETRANSLATE(B7712,""en"",""es-ES"")"),"El hombre continúa subiendo a lo largo de la pared de la roca y termina mirando hacia la cámara.")</f>
        <v>El hombre continúa subiendo a lo largo de la pared de la roca y termina mirando hacia la cámara.</v>
      </c>
    </row>
    <row r="7713">
      <c r="A7713" s="4" t="s">
        <v>9694</v>
      </c>
      <c r="B7713" s="4" t="s">
        <v>9695</v>
      </c>
      <c r="C7713" s="5" t="str">
        <f>IFERROR(__xludf.DUMMYFUNCTION("GOOGLETRANSLATE(B7713,""en"",""es-ES"")"),"Dos niños están sentados en una cabina dentro de un edificio.")</f>
        <v>Dos niños están sentados en una cabina dentro de un edificio.</v>
      </c>
    </row>
    <row r="7714">
      <c r="A7714" s="4" t="s">
        <v>9694</v>
      </c>
      <c r="B7714" s="4" t="s">
        <v>9696</v>
      </c>
      <c r="C7714" s="5" t="str">
        <f>IFERROR(__xludf.DUMMYFUNCTION("GOOGLETRANSLATE(B7714,""en"",""es-ES"")"),"Están hablando de hacer clips.")</f>
        <v>Están hablando de hacer clips.</v>
      </c>
    </row>
    <row r="7715">
      <c r="A7715" s="4" t="s">
        <v>9694</v>
      </c>
      <c r="B7715" s="4" t="s">
        <v>9697</v>
      </c>
      <c r="C7715" s="5" t="str">
        <f>IFERROR(__xludf.DUMMYFUNCTION("GOOGLETRANSLATE(B7715,""en"",""es-ES"")"),"Luego hablan mientras comen tazones de helado de vainilla.")</f>
        <v>Luego hablan mientras comen tazones de helado de vainilla.</v>
      </c>
    </row>
    <row r="7716">
      <c r="A7716" s="4" t="s">
        <v>9698</v>
      </c>
      <c r="B7716" s="4" t="s">
        <v>9699</v>
      </c>
      <c r="C7716" s="5" t="str">
        <f>IFERROR(__xludf.DUMMYFUNCTION("GOOGLETRANSLATE(B7716,""en"",""es-ES"")"),"Una mujer está sentada en una silla.")</f>
        <v>Una mujer está sentada en una silla.</v>
      </c>
    </row>
    <row r="7717">
      <c r="A7717" s="4" t="s">
        <v>9698</v>
      </c>
      <c r="B7717" s="4" t="s">
        <v>9700</v>
      </c>
      <c r="C7717" s="5" t="str">
        <f>IFERROR(__xludf.DUMMYFUNCTION("GOOGLETRANSLATE(B7717,""en"",""es-ES"")"),"Un niño está cepillando su largo cabello.")</f>
        <v>Un niño está cepillando su largo cabello.</v>
      </c>
    </row>
    <row r="7718">
      <c r="A7718" s="4" t="s">
        <v>9698</v>
      </c>
      <c r="B7718" s="4" t="s">
        <v>9701</v>
      </c>
      <c r="C7718" s="5" t="str">
        <f>IFERROR(__xludf.DUMMYFUNCTION("GOOGLETRANSLATE(B7718,""en"",""es-ES"")"),"Ella se ríe y cubre su boca con la mano.")</f>
        <v>Ella se ríe y cubre su boca con la mano.</v>
      </c>
    </row>
    <row r="7719">
      <c r="A7719" s="4" t="s">
        <v>9702</v>
      </c>
      <c r="B7719" s="4" t="s">
        <v>9703</v>
      </c>
      <c r="C7719" s="5" t="str">
        <f>IFERROR(__xludf.DUMMYFUNCTION("GOOGLETRANSLATE(B7719,""en"",""es-ES"")"),"El video comienza con un niño pequeño en un casco de motocicleta, en un restaurante.")</f>
        <v>El video comienza con un niño pequeño en un casco de motocicleta, en un restaurante.</v>
      </c>
    </row>
    <row r="7720">
      <c r="A7720" s="4" t="s">
        <v>9702</v>
      </c>
      <c r="B7720" s="4" t="s">
        <v>9704</v>
      </c>
      <c r="C7720" s="5" t="str">
        <f>IFERROR(__xludf.DUMMYFUNCTION("GOOGLETRANSLATE(B7720,""en"",""es-ES"")"),"El camarógrafo le entrega esquís.")</f>
        <v>El camarógrafo le entrega esquís.</v>
      </c>
    </row>
    <row r="7721">
      <c r="A7721" s="4" t="s">
        <v>9702</v>
      </c>
      <c r="B7721" s="4" t="s">
        <v>9705</v>
      </c>
      <c r="C7721" s="5" t="str">
        <f>IFERROR(__xludf.DUMMYFUNCTION("GOOGLETRANSLATE(B7721,""en"",""es-ES"")"),"Una mujer y un bebé se sientan cerca de él e intenta caminar, solo para caer.")</f>
        <v>Una mujer y un bebé se sientan cerca de él e intenta caminar, solo para caer.</v>
      </c>
    </row>
    <row r="7722">
      <c r="A7722" s="4" t="s">
        <v>9702</v>
      </c>
      <c r="B7722" s="4" t="s">
        <v>9706</v>
      </c>
      <c r="C7722" s="5" t="str">
        <f>IFERROR(__xludf.DUMMYFUNCTION("GOOGLETRANSLATE(B7722,""en"",""es-ES"")"),"Los siguientes son clips del niño que esquía con su padre por una pendiente nevada.")</f>
        <v>Los siguientes son clips del niño que esquía con su padre por una pendiente nevada.</v>
      </c>
    </row>
    <row r="7723">
      <c r="A7723" s="4" t="s">
        <v>9702</v>
      </c>
      <c r="B7723" s="4" t="s">
        <v>9707</v>
      </c>
      <c r="C7723" s="5" t="str">
        <f>IFERROR(__xludf.DUMMYFUNCTION("GOOGLETRANSLATE(B7723,""en"",""es-ES"")"),"En un momento, se desliza sobre una pequeña rampa.")</f>
        <v>En un momento, se desliza sobre una pequeña rampa.</v>
      </c>
    </row>
    <row r="7724">
      <c r="A7724" s="4" t="s">
        <v>9702</v>
      </c>
      <c r="B7724" s="4" t="s">
        <v>9708</v>
      </c>
      <c r="C7724" s="5" t="str">
        <f>IFERROR(__xludf.DUMMYFUNCTION("GOOGLETRANSLATE(B7724,""en"",""es-ES"")"),"También se enfrenta a una caída.")</f>
        <v>También se enfrenta a una caída.</v>
      </c>
    </row>
    <row r="7725">
      <c r="A7725" s="4" t="s">
        <v>9702</v>
      </c>
      <c r="B7725" s="4" t="s">
        <v>9709</v>
      </c>
      <c r="C7725" s="5" t="str">
        <f>IFERROR(__xludf.DUMMYFUNCTION("GOOGLETRANSLATE(B7725,""en"",""es-ES"")"),"Pronto el niño y su familia cargan su vehículo para irse.")</f>
        <v>Pronto el niño y su familia cargan su vehículo para irse.</v>
      </c>
    </row>
    <row r="7726">
      <c r="A7726" s="4" t="s">
        <v>9702</v>
      </c>
      <c r="B7726" s="4" t="s">
        <v>9710</v>
      </c>
      <c r="C7726" s="5" t="str">
        <f>IFERROR(__xludf.DUMMYFUNCTION("GOOGLETRANSLATE(B7726,""en"",""es-ES"")"),"El video termina con una foto del niño y su papá.")</f>
        <v>El video termina con una foto del niño y su papá.</v>
      </c>
    </row>
    <row r="7727">
      <c r="A7727" s="4" t="s">
        <v>9711</v>
      </c>
      <c r="B7727" s="4" t="s">
        <v>9712</v>
      </c>
      <c r="C7727" s="5" t="str">
        <f>IFERROR(__xludf.DUMMYFUNCTION("GOOGLETRANSLATE(B7727,""en"",""es-ES"")"),"Se ve a una mujer arrodillada junto al vacío seguido de varias fotos de su aspiradora y moviéndose alrededor de la alfombra.")</f>
        <v>Se ve a una mujer arrodillada junto al vacío seguido de varias fotos de su aspiradora y moviéndose alrededor de la alfombra.</v>
      </c>
    </row>
    <row r="7728">
      <c r="A7728" s="4" t="s">
        <v>9711</v>
      </c>
      <c r="B7728" s="4" t="s">
        <v>9713</v>
      </c>
      <c r="C7728" s="5" t="str">
        <f>IFERROR(__xludf.DUMMYFUNCTION("GOOGLETRANSLATE(B7728,""en"",""es-ES"")"),"Se muestran más imágenes de la alfombra, así como su arrodillada y vacía la aspiradora mientras sigue hablando con la cámara.")</f>
        <v>Se muestran más imágenes de la alfombra, así como su arrodillada y vacía la aspiradora mientras sigue hablando con la cámara.</v>
      </c>
    </row>
    <row r="7729">
      <c r="A7729" s="4" t="s">
        <v>9714</v>
      </c>
      <c r="B7729" s="4" t="s">
        <v>9715</v>
      </c>
      <c r="C7729" s="5" t="str">
        <f>IFERROR(__xludf.DUMMYFUNCTION("GOOGLETRANSLATE(B7729,""en"",""es-ES"")"),"Se muestra a un hombre parado junto a un árbol que sostiene decoraciones navideñas en sus manos.")</f>
        <v>Se muestra a un hombre parado junto a un árbol que sostiene decoraciones navideñas en sus manos.</v>
      </c>
    </row>
    <row r="7730">
      <c r="A7730" s="4" t="s">
        <v>9714</v>
      </c>
      <c r="B7730" s="4" t="s">
        <v>9716</v>
      </c>
      <c r="C7730" s="5" t="str">
        <f>IFERROR(__xludf.DUMMYFUNCTION("GOOGLETRANSLATE(B7730,""en"",""es-ES"")"),"Luego cuelga las decoraciones alrededor del árbol mientras mira hacia atrás y habla con la cámara.")</f>
        <v>Luego cuelga las decoraciones alrededor del árbol mientras mira hacia atrás y habla con la cámara.</v>
      </c>
    </row>
    <row r="7731">
      <c r="A7731" s="4" t="s">
        <v>9717</v>
      </c>
      <c r="B7731" s="4" t="s">
        <v>9718</v>
      </c>
      <c r="C7731" s="5" t="str">
        <f>IFERROR(__xludf.DUMMYFUNCTION("GOOGLETRANSLATE(B7731,""en"",""es-ES"")"),"Hay un hombre joven con una camisa roja tocando una guitarra acústica.")</f>
        <v>Hay un hombre joven con una camisa roja tocando una guitarra acústica.</v>
      </c>
    </row>
    <row r="7732">
      <c r="A7732" s="4" t="s">
        <v>9717</v>
      </c>
      <c r="B7732" s="4" t="s">
        <v>9719</v>
      </c>
      <c r="C7732" s="5" t="str">
        <f>IFERROR(__xludf.DUMMYFUNCTION("GOOGLETRANSLATE(B7732,""en"",""es-ES"")"),"Toja la guitarra usando su elección y mueve sus dedos a lo largo de los acordes.")</f>
        <v>Toja la guitarra usando su elección y mueve sus dedos a lo largo de los acordes.</v>
      </c>
    </row>
    <row r="7733">
      <c r="A7733" s="4" t="s">
        <v>9717</v>
      </c>
      <c r="B7733" s="4" t="s">
        <v>9720</v>
      </c>
      <c r="C7733" s="5" t="str">
        <f>IFERROR(__xludf.DUMMYFUNCTION("GOOGLETRANSLATE(B7733,""en"",""es-ES"")"),"Después de que termine de jugar, levanta la vista y sonríe.")</f>
        <v>Después de que termine de jugar, levanta la vista y sonríe.</v>
      </c>
    </row>
    <row r="7734">
      <c r="A7734" s="4" t="s">
        <v>9721</v>
      </c>
      <c r="B7734" s="4" t="s">
        <v>9722</v>
      </c>
      <c r="C7734" s="5" t="str">
        <f>IFERROR(__xludf.DUMMYFUNCTION("GOOGLETRANSLATE(B7734,""en"",""es-ES"")"),"Una escalera se apoya contra una casa.")</f>
        <v>Una escalera se apoya contra una casa.</v>
      </c>
    </row>
    <row r="7735">
      <c r="A7735" s="4" t="s">
        <v>9721</v>
      </c>
      <c r="B7735" s="4" t="s">
        <v>9723</v>
      </c>
      <c r="C7735" s="5" t="str">
        <f>IFERROR(__xludf.DUMMYFUNCTION("GOOGLETRANSLATE(B7735,""en"",""es-ES"")"),"Un trozo de madera sube y baja por la escalera.")</f>
        <v>Un trozo de madera sube y baja por la escalera.</v>
      </c>
    </row>
    <row r="7736">
      <c r="A7736" s="4" t="s">
        <v>9724</v>
      </c>
      <c r="B7736" s="4" t="s">
        <v>9725</v>
      </c>
      <c r="C7736" s="5" t="str">
        <f>IFERROR(__xludf.DUMMYFUNCTION("GOOGLETRANSLATE(B7736,""en"",""es-ES"")"),"Un hombre se para frente a un conjunto de bares de pull up y dobles en un parque.")</f>
        <v>Un hombre se para frente a un conjunto de bares de pull up y dobles en un parque.</v>
      </c>
    </row>
    <row r="7737">
      <c r="A7737" s="4" t="s">
        <v>9724</v>
      </c>
      <c r="B7737" s="4" t="s">
        <v>9726</v>
      </c>
      <c r="C7737" s="5" t="str">
        <f>IFERROR(__xludf.DUMMYFUNCTION("GOOGLETRANSLATE(B7737,""en"",""es-ES"")"),"El hombre hace salsas de hombro en el conjunto de barras paralelas.")</f>
        <v>El hombre hace salsas de hombro en el conjunto de barras paralelas.</v>
      </c>
    </row>
    <row r="7738">
      <c r="A7738" s="4" t="s">
        <v>9724</v>
      </c>
      <c r="B7738" s="4" t="s">
        <v>9727</v>
      </c>
      <c r="C7738" s="5" t="str">
        <f>IFERROR(__xludf.DUMMYFUNCTION("GOOGLETRANSLATE(B7738,""en"",""es-ES"")"),"El hombre empuja los pies en las barras paralelas.")</f>
        <v>El hombre empuja los pies en las barras paralelas.</v>
      </c>
    </row>
    <row r="7739">
      <c r="A7739" s="4" t="s">
        <v>9724</v>
      </c>
      <c r="B7739" s="4" t="s">
        <v>9728</v>
      </c>
      <c r="C7739" s="5" t="str">
        <f>IFERROR(__xludf.DUMMYFUNCTION("GOOGLETRANSLATE(B7739,""en"",""es-ES"")"),"El hombre hace tiros en una de las barras.")</f>
        <v>El hombre hace tiros en una de las barras.</v>
      </c>
    </row>
    <row r="7740">
      <c r="A7740" s="4" t="s">
        <v>9724</v>
      </c>
      <c r="B7740" s="4" t="s">
        <v>9729</v>
      </c>
      <c r="C7740" s="5" t="str">
        <f>IFERROR(__xludf.DUMMYFUNCTION("GOOGLETRANSLATE(B7740,""en"",""es-ES"")"),"El hombre regresa frente al equipo después de la rutina.")</f>
        <v>El hombre regresa frente al equipo después de la rutina.</v>
      </c>
    </row>
    <row r="7741">
      <c r="A7741" s="4" t="s">
        <v>9730</v>
      </c>
      <c r="B7741" s="4" t="s">
        <v>9731</v>
      </c>
      <c r="C7741" s="5" t="str">
        <f>IFERROR(__xludf.DUMMYFUNCTION("GOOGLETRANSLATE(B7741,""en"",""es-ES"")"),"Una persona toma un disco de una pila de discos.")</f>
        <v>Una persona toma un disco de una pila de discos.</v>
      </c>
    </row>
    <row r="7742">
      <c r="A7742" s="4" t="s">
        <v>9730</v>
      </c>
      <c r="B7742" s="4" t="s">
        <v>9732</v>
      </c>
      <c r="C7742" s="5" t="str">
        <f>IFERROR(__xludf.DUMMYFUNCTION("GOOGLETRANSLATE(B7742,""en"",""es-ES"")"),"Lo arrojan por un tablero.")</f>
        <v>Lo arrojan por un tablero.</v>
      </c>
    </row>
    <row r="7743">
      <c r="A7743" s="4" t="s">
        <v>9730</v>
      </c>
      <c r="B7743" s="4" t="s">
        <v>9733</v>
      </c>
      <c r="C7743" s="5" t="str">
        <f>IFERROR(__xludf.DUMMYFUNCTION("GOOGLETRANSLATE(B7743,""en"",""es-ES"")"),"Continúan lanzando discos por el shuffleboard.")</f>
        <v>Continúan lanzando discos por el shuffleboard.</v>
      </c>
    </row>
    <row r="7744">
      <c r="A7744" s="4" t="s">
        <v>9734</v>
      </c>
      <c r="B7744" s="4" t="s">
        <v>9735</v>
      </c>
      <c r="C7744" s="5" t="str">
        <f>IFERROR(__xludf.DUMMYFUNCTION("GOOGLETRANSLATE(B7744,""en"",""es-ES"")"),"Se ve a una persona hablando con la cámara y conduce a un primer plano del suelo y otra persona sentada a un lado.")</f>
        <v>Se ve a una persona hablando con la cámara y conduce a un primer plano del suelo y otra persona sentada a un lado.</v>
      </c>
    </row>
    <row r="7745">
      <c r="A7745" s="4" t="s">
        <v>9734</v>
      </c>
      <c r="B7745" s="4" t="s">
        <v>9736</v>
      </c>
      <c r="C7745" s="5" t="str">
        <f>IFERROR(__xludf.DUMMYFUNCTION("GOOGLETRANSLATE(B7745,""en"",""es-ES"")"),"Se muestran más disparos de troncos y palos, así como un pozo de fuego y un niño cortando un palo.")</f>
        <v>Se muestran más disparos de troncos y palos, así como un pozo de fuego y un niño cortando un palo.</v>
      </c>
    </row>
    <row r="7746">
      <c r="A7746" s="4" t="s">
        <v>9737</v>
      </c>
      <c r="B7746" s="4" t="s">
        <v>9738</v>
      </c>
      <c r="C7746" s="5" t="str">
        <f>IFERROR(__xludf.DUMMYFUNCTION("GOOGLETRANSLATE(B7746,""en"",""es-ES"")"),"Un hombre está demostrando cómo hacer una tortilla de tres huevos en su cocina.")</f>
        <v>Un hombre está demostrando cómo hacer una tortilla de tres huevos en su cocina.</v>
      </c>
    </row>
    <row r="7747">
      <c r="A7747" s="4" t="s">
        <v>9737</v>
      </c>
      <c r="B7747" s="4" t="s">
        <v>9739</v>
      </c>
      <c r="C7747" s="5" t="str">
        <f>IFERROR(__xludf.DUMMYFUNCTION("GOOGLETRANSLATE(B7747,""en"",""es-ES"")"),"Comienza rompiendo los huevos en un tazón de vidrio transparente.")</f>
        <v>Comienza rompiendo los huevos en un tazón de vidrio transparente.</v>
      </c>
    </row>
    <row r="7748">
      <c r="A7748" s="4" t="s">
        <v>9737</v>
      </c>
      <c r="B7748" s="4" t="s">
        <v>9740</v>
      </c>
      <c r="C7748" s="5" t="str">
        <f>IFERROR(__xludf.DUMMYFUNCTION("GOOGLETRANSLATE(B7748,""en"",""es-ES"")"),"Luego golpea bien los huevos y agrega algo de mantequilla a la cacerola.")</f>
        <v>Luego golpea bien los huevos y agrega algo de mantequilla a la cacerola.</v>
      </c>
    </row>
    <row r="7749">
      <c r="A7749" s="4" t="s">
        <v>9737</v>
      </c>
      <c r="B7749" s="4" t="s">
        <v>9741</v>
      </c>
      <c r="C7749" s="5" t="str">
        <f>IFERROR(__xludf.DUMMYFUNCTION("GOOGLETRANSLATE(B7749,""en"",""es-ES"")"),"Él vierte la masa de huevo crudo en la sartén.")</f>
        <v>Él vierte la masa de huevo crudo en la sartén.</v>
      </c>
    </row>
    <row r="7750">
      <c r="A7750" s="4" t="s">
        <v>9737</v>
      </c>
      <c r="B7750" s="4" t="s">
        <v>9742</v>
      </c>
      <c r="C7750" s="5" t="str">
        <f>IFERROR(__xludf.DUMMYFUNCTION("GOOGLETRANSLATE(B7750,""en"",""es-ES"")"),"Levanta la sartén y la mueve para barajar los huevos.")</f>
        <v>Levanta la sartén y la mueve para barajar los huevos.</v>
      </c>
    </row>
    <row r="7751">
      <c r="A7751" s="4" t="s">
        <v>9737</v>
      </c>
      <c r="B7751" s="4" t="s">
        <v>9743</v>
      </c>
      <c r="C7751" s="5" t="str">
        <f>IFERROR(__xludf.DUMMYFUNCTION("GOOGLETRANSLATE(B7751,""en"",""es-ES"")"),"Luego, Tops está apagado con un poco de queso rallado.")</f>
        <v>Luego, Tops está apagado con un poco de queso rallado.</v>
      </c>
    </row>
    <row r="7752">
      <c r="A7752" s="4" t="s">
        <v>9737</v>
      </c>
      <c r="B7752" s="4" t="s">
        <v>9744</v>
      </c>
      <c r="C7752" s="5" t="str">
        <f>IFERROR(__xludf.DUMMYFUNCTION("GOOGLETRANSLATE(B7752,""en"",""es-ES"")"),"Toma un tenedor y desliza la tortilla en una placa blanca.")</f>
        <v>Toma un tenedor y desliza la tortilla en una placa blanca.</v>
      </c>
    </row>
    <row r="7753">
      <c r="A7753" s="4" t="s">
        <v>9737</v>
      </c>
      <c r="B7753" s="4" t="s">
        <v>9745</v>
      </c>
      <c r="C7753" s="5" t="str">
        <f>IFERROR(__xludf.DUMMYFUNCTION("GOOGLETRANSLATE(B7753,""en"",""es-ES"")"),"Luego lo adorna con algunos verdes en la parte superior para un toque saludable.")</f>
        <v>Luego lo adorna con algunos verdes en la parte superior para un toque saludable.</v>
      </c>
    </row>
    <row r="7754">
      <c r="A7754" s="4" t="s">
        <v>9746</v>
      </c>
      <c r="B7754" s="4" t="s">
        <v>9747</v>
      </c>
      <c r="C7754" s="5" t="str">
        <f>IFERROR(__xludf.DUMMYFUNCTION("GOOGLETRANSLATE(B7754,""en"",""es-ES"")"),"Un equipo está en un campo cuando un corredor lanza la pelota, que el bateador golpea y está atrapado.")</f>
        <v>Un equipo está en un campo cuando un corredor lanza la pelota, que el bateador golpea y está atrapado.</v>
      </c>
    </row>
    <row r="7755">
      <c r="A7755" s="4" t="s">
        <v>9746</v>
      </c>
      <c r="B7755" s="4" t="s">
        <v>9748</v>
      </c>
      <c r="C7755" s="5" t="str">
        <f>IFERROR(__xludf.DUMMYFUNCTION("GOOGLETRANSLATE(B7755,""en"",""es-ES"")"),"El entrenador instruye a los jugadores mientras continúan el juego.")</f>
        <v>El entrenador instruye a los jugadores mientras continúan el juego.</v>
      </c>
    </row>
    <row r="7756">
      <c r="A7756" s="4" t="s">
        <v>9746</v>
      </c>
      <c r="B7756" s="4" t="s">
        <v>9749</v>
      </c>
      <c r="C7756" s="5" t="str">
        <f>IFERROR(__xludf.DUMMYFUNCTION("GOOGLETRANSLATE(B7756,""en"",""es-ES"")"),"Los jugadores se alejan, luego se muestra una vista de la pelota en el bate.")</f>
        <v>Los jugadores se alejan, luego se muestra una vista de la pelota en el bate.</v>
      </c>
    </row>
    <row r="7757">
      <c r="A7757" s="4" t="s">
        <v>9750</v>
      </c>
      <c r="B7757" s="4" t="s">
        <v>9751</v>
      </c>
      <c r="C7757" s="5" t="str">
        <f>IFERROR(__xludf.DUMMYFUNCTION("GOOGLETRANSLATE(B7757,""en"",""es-ES"")"),"Se muestra una pared, cubierta de herramientas colgantes.")</f>
        <v>Se muestra una pared, cubierta de herramientas colgantes.</v>
      </c>
    </row>
    <row r="7758">
      <c r="A7758" s="4" t="s">
        <v>9750</v>
      </c>
      <c r="B7758" s="4" t="s">
        <v>9752</v>
      </c>
      <c r="C7758" s="5" t="str">
        <f>IFERROR(__xludf.DUMMYFUNCTION("GOOGLETRANSLATE(B7758,""en"",""es-ES"")"),"Un hombre está en un taller, hablando de tejas para techos.")</f>
        <v>Un hombre está en un taller, hablando de tejas para techos.</v>
      </c>
    </row>
    <row r="7759">
      <c r="A7759" s="4" t="s">
        <v>9750</v>
      </c>
      <c r="B7759" s="4" t="s">
        <v>9753</v>
      </c>
      <c r="C7759" s="5" t="str">
        <f>IFERROR(__xludf.DUMMYFUNCTION("GOOGLETRANSLATE(B7759,""en"",""es-ES"")"),"Demuestra cómo aplicar pegamento, azulejos y luego martillar y clavar las baldosas en su lugar.")</f>
        <v>Demuestra cómo aplicar pegamento, azulejos y luego martillar y clavar las baldosas en su lugar.</v>
      </c>
    </row>
    <row r="7760">
      <c r="A7760" s="4" t="s">
        <v>9754</v>
      </c>
      <c r="B7760" s="4" t="s">
        <v>9755</v>
      </c>
      <c r="C7760" s="5" t="str">
        <f>IFERROR(__xludf.DUMMYFUNCTION("GOOGLETRANSLATE(B7760,""en"",""es-ES"")"),"Se muestra una botella de crema envejecida y una mujer comienza a aplicarla en su rostro en su zona T.")</f>
        <v>Se muestra una botella de crema envejecida y una mujer comienza a aplicarla en su rostro en su zona T.</v>
      </c>
    </row>
    <row r="7761">
      <c r="A7761" s="4" t="s">
        <v>9754</v>
      </c>
      <c r="B7761" s="4" t="s">
        <v>9756</v>
      </c>
      <c r="C7761" s="5" t="str">
        <f>IFERROR(__xludf.DUMMYFUNCTION("GOOGLETRANSLATE(B7761,""en"",""es-ES"")"),"Una vez que se muestra uniformemente, varios párrafos comienzan a mostrar sobre el uso del producto y lo que debería ser cada semana.")</f>
        <v>Una vez que se muestra uniformemente, varios párrafos comienzan a mostrar sobre el uso del producto y lo que debería ser cada semana.</v>
      </c>
    </row>
    <row r="7762">
      <c r="A7762" s="4" t="s">
        <v>9754</v>
      </c>
      <c r="B7762" s="4" t="s">
        <v>9757</v>
      </c>
      <c r="C7762" s="5" t="str">
        <f>IFERROR(__xludf.DUMMYFUNCTION("GOOGLETRANSLATE(B7762,""en"",""es-ES"")"),"Después, aparece una breve oración y le dice que vaya a su página web para obtener más detalles.")</f>
        <v>Después, aparece una breve oración y le dice que vaya a su página web para obtener más detalles.</v>
      </c>
    </row>
    <row r="7763">
      <c r="A7763" s="4" t="s">
        <v>9758</v>
      </c>
      <c r="B7763" s="4" t="s">
        <v>9759</v>
      </c>
      <c r="C7763" s="5" t="str">
        <f>IFERROR(__xludf.DUMMYFUNCTION("GOOGLETRANSLATE(B7763,""en"",""es-ES"")"),"Las gimastias están paradas en una sala de competencia.")</f>
        <v>Las gimastias están paradas en una sala de competencia.</v>
      </c>
    </row>
    <row r="7764">
      <c r="A7764" s="4" t="s">
        <v>9758</v>
      </c>
      <c r="B7764" s="4" t="s">
        <v>9760</v>
      </c>
      <c r="C7764" s="5" t="str">
        <f>IFERROR(__xludf.DUMMYFUNCTION("GOOGLETRANSLATE(B7764,""en"",""es-ES"")"),"Un hombre monta una viga.")</f>
        <v>Un hombre monta una viga.</v>
      </c>
    </row>
    <row r="7765">
      <c r="A7765" s="4" t="s">
        <v>9758</v>
      </c>
      <c r="B7765" s="4" t="s">
        <v>9761</v>
      </c>
      <c r="C7765" s="5" t="str">
        <f>IFERROR(__xludf.DUMMYFUNCTION("GOOGLETRANSLATE(B7765,""en"",""es-ES"")"),"Comienza a girar, voltea y hace varios trucos.")</f>
        <v>Comienza a girar, voltea y hace varios trucos.</v>
      </c>
    </row>
    <row r="7766">
      <c r="A7766" s="4" t="s">
        <v>9758</v>
      </c>
      <c r="B7766" s="4" t="s">
        <v>9762</v>
      </c>
      <c r="C7766" s="5" t="str">
        <f>IFERROR(__xludf.DUMMYFUNCTION("GOOGLETRANSLATE(B7766,""en"",""es-ES"")"),"Desmita, levantando los brazos en el aire y inclinándose.")</f>
        <v>Desmita, levantando los brazos en el aire y inclinándose.</v>
      </c>
    </row>
    <row r="7767">
      <c r="A7767" s="4" t="s">
        <v>9763</v>
      </c>
      <c r="B7767" s="4" t="s">
        <v>9764</v>
      </c>
      <c r="C7767" s="5" t="str">
        <f>IFERROR(__xludf.DUMMYFUNCTION("GOOGLETRANSLATE(B7767,""en"",""es-ES"")"),"Se ve a un bebé balanceándose hacia atrás y cuarto en un columpio mientras se ríe y sonríe a la cámara.")</f>
        <v>Se ve a un bebé balanceándose hacia atrás y cuarto en un columpio mientras se ríe y sonríe a la cámara.</v>
      </c>
    </row>
    <row r="7768">
      <c r="A7768" s="4" t="s">
        <v>9763</v>
      </c>
      <c r="B7768" s="4" t="s">
        <v>9765</v>
      </c>
      <c r="C7768" s="5" t="str">
        <f>IFERROR(__xludf.DUMMYFUNCTION("GOOGLETRANSLATE(B7768,""en"",""es-ES"")"),"El bebé continúa moviéndose hacia atrás y cuarto mientras mira hacia la cámara y sonríe.")</f>
        <v>El bebé continúa moviéndose hacia atrás y cuarto mientras mira hacia la cámara y sonríe.</v>
      </c>
    </row>
    <row r="7769">
      <c r="A7769" s="4" t="s">
        <v>9766</v>
      </c>
      <c r="B7769" s="4" t="s">
        <v>9767</v>
      </c>
      <c r="C7769" s="5" t="str">
        <f>IFERROR(__xludf.DUMMYFUNCTION("GOOGLETRANSLATE(B7769,""en"",""es-ES"")"),"Una mujer asiática está sentada, luego monta la patineta y comenzó a patinar en la carretera vacía.")</f>
        <v>Una mujer asiática está sentada, luego monta la patineta y comenzó a patinar en la carretera vacía.</v>
      </c>
    </row>
    <row r="7770">
      <c r="A7770" s="4" t="s">
        <v>9766</v>
      </c>
      <c r="B7770" s="4" t="s">
        <v>9768</v>
      </c>
      <c r="C7770" s="5" t="str">
        <f>IFERROR(__xludf.DUMMYFUNCTION("GOOGLETRANSLATE(B7770,""en"",""es-ES"")"),"La niña está patinando de lado a lado, y mientras sostiene un palo selfie.")</f>
        <v>La niña está patinando de lado a lado, y mientras sostiene un palo selfie.</v>
      </c>
    </row>
    <row r="7771">
      <c r="A7771" s="4" t="s">
        <v>9766</v>
      </c>
      <c r="B7771" s="4" t="s">
        <v>9769</v>
      </c>
      <c r="C7771" s="5" t="str">
        <f>IFERROR(__xludf.DUMMYFUNCTION("GOOGLETRANSLATE(B7771,""en"",""es-ES"")"),"La niña patineta en la acera, cerca del agua, en un camino estrecho, y se estaciona.")</f>
        <v>La niña patineta en la acera, cerca del agua, en un camino estrecho, y se estaciona.</v>
      </c>
    </row>
    <row r="7772">
      <c r="A7772" s="4" t="s">
        <v>9770</v>
      </c>
      <c r="B7772" s="4" t="s">
        <v>9771</v>
      </c>
      <c r="C7772" s="5" t="str">
        <f>IFERROR(__xludf.DUMMYFUNCTION("GOOGLETRANSLATE(B7772,""en"",""es-ES"")"),"Un grupo de personas sentadas en gradas elevadas, mira a un hombre en un caballo un pequeño ternero negro en un anillo de rodeo cubierto de tierra cubierto de tierra.")</f>
        <v>Un grupo de personas sentadas en gradas elevadas, mira a un hombre en un caballo un pequeño ternero negro en un anillo de rodeo cubierto de tierra cubierto de tierra.</v>
      </c>
    </row>
    <row r="7773">
      <c r="A7773" s="4" t="s">
        <v>9770</v>
      </c>
      <c r="B7773" s="4" t="s">
        <v>9772</v>
      </c>
      <c r="C7773" s="5" t="str">
        <f>IFERROR(__xludf.DUMMYFUNCTION("GOOGLETRANSLATE(B7773,""en"",""es-ES"")"),"El hombre emerge en el anillo desde una puerta de nivel de piso, en un caballo, persiguiendo a una pequeña pantorrilla negra.")</f>
        <v>El hombre emerge en el anillo desde una puerta de nivel de piso, en un caballo, persiguiendo a una pequeña pantorrilla negra.</v>
      </c>
    </row>
    <row r="7774">
      <c r="A7774" s="4" t="s">
        <v>9770</v>
      </c>
      <c r="B7774" s="4" t="s">
        <v>9773</v>
      </c>
      <c r="C7774" s="5" t="str">
        <f>IFERROR(__xludf.DUMMYFUNCTION("GOOGLETRANSLATE(B7774,""en"",""es-ES"")"),"El hombre arroja simultáneamente una cuerda alrededor del cuello de la pantorrilla y desmonta el caballo, mientras el caballo está en movimiento.")</f>
        <v>El hombre arroja simultáneamente una cuerda alrededor del cuello de la pantorrilla y desmonta el caballo, mientras el caballo está en movimiento.</v>
      </c>
    </row>
    <row r="7775">
      <c r="A7775" s="4" t="s">
        <v>9770</v>
      </c>
      <c r="B7775" s="4" t="s">
        <v>9774</v>
      </c>
      <c r="C7775" s="5" t="str">
        <f>IFERROR(__xludf.DUMMYFUNCTION("GOOGLETRANSLATE(B7775,""en"",""es-ES"")"),"Al aterrizar en el suelo después del desmontaje, el hombre corre hacia la pantorrilla y ata la pantorrilla en la cuerda, y luego camina de regreso al caballo y vuelve a montar el caballo mientras dos hombres entran en el ring y agarran la pantorrilla atad"&amp;"a.")</f>
        <v>Al aterrizar en el suelo después del desmontaje, el hombre corre hacia la pantorrilla y ata la pantorrilla en la cuerda, y luego camina de regreso al caballo y vuelve a montar el caballo mientras dos hombres entran en el ring y agarran la pantorrilla atada.</v>
      </c>
    </row>
    <row r="7776">
      <c r="A7776" s="4" t="s">
        <v>9775</v>
      </c>
      <c r="B7776" s="4" t="s">
        <v>9776</v>
      </c>
      <c r="C7776" s="5" t="str">
        <f>IFERROR(__xludf.DUMMYFUNCTION("GOOGLETRANSLATE(B7776,""en"",""es-ES"")"),"Un hombre se muestra en un baño eligiendo un cepillo de dientes.")</f>
        <v>Un hombre se muestra en un baño eligiendo un cepillo de dientes.</v>
      </c>
    </row>
    <row r="7777">
      <c r="A7777" s="4" t="s">
        <v>9775</v>
      </c>
      <c r="B7777" s="4" t="s">
        <v>9777</v>
      </c>
      <c r="C7777" s="5" t="str">
        <f>IFERROR(__xludf.DUMMYFUNCTION("GOOGLETRANSLATE(B7777,""en"",""es-ES"")"),"Luego se cepilla los dientes y ve sangre.")</f>
        <v>Luego se cepilla los dientes y ve sangre.</v>
      </c>
    </row>
    <row r="7778">
      <c r="A7778" s="4" t="s">
        <v>9775</v>
      </c>
      <c r="B7778" s="4" t="s">
        <v>9778</v>
      </c>
      <c r="C7778" s="5" t="str">
        <f>IFERROR(__xludf.DUMMYFUNCTION("GOOGLETRANSLATE(B7778,""en"",""es-ES"")"),"Utiliza la bosque de listerina durante treinta segundos para matar los gérmenes.")</f>
        <v>Utiliza la bosque de listerina durante treinta segundos para matar los gérmenes.</v>
      </c>
    </row>
    <row r="7779">
      <c r="A7779" s="4" t="s">
        <v>9779</v>
      </c>
      <c r="B7779" s="4" t="s">
        <v>9780</v>
      </c>
      <c r="C7779" s="5" t="str">
        <f>IFERROR(__xludf.DUMMYFUNCTION("GOOGLETRANSLATE(B7779,""en"",""es-ES"")"),"Se muestra un primer plano de una mesa, así como un hombre de pie alrededor de la mesa y apuntando hacia un lado.")</f>
        <v>Se muestra un primer plano de una mesa, así como un hombre de pie alrededor de la mesa y apuntando hacia un lado.</v>
      </c>
    </row>
    <row r="7780">
      <c r="A7780" s="4" t="s">
        <v>9779</v>
      </c>
      <c r="B7780" s="4" t="s">
        <v>9781</v>
      </c>
      <c r="C7780" s="5" t="str">
        <f>IFERROR(__xludf.DUMMYFUNCTION("GOOGLETRANSLATE(B7780,""en"",""es-ES"")"),"Dos hombres están mirando a un lado mientras el juego continúa y otro hombre registra en su teléfono.")</f>
        <v>Dos hombres están mirando a un lado mientras el juego continúa y otro hombre registra en su teléfono.</v>
      </c>
    </row>
    <row r="7781">
      <c r="A7781" s="4" t="s">
        <v>9782</v>
      </c>
      <c r="B7781" s="4" t="s">
        <v>9783</v>
      </c>
      <c r="C7781" s="5" t="str">
        <f>IFERROR(__xludf.DUMMYFUNCTION("GOOGLETRANSLATE(B7781,""en"",""es-ES"")"),"Un niño se sienta en un camello superior.")</f>
        <v>Un niño se sienta en un camello superior.</v>
      </c>
    </row>
    <row r="7782">
      <c r="A7782" s="4" t="s">
        <v>9782</v>
      </c>
      <c r="B7782" s="4" t="s">
        <v>9784</v>
      </c>
      <c r="C7782" s="5" t="str">
        <f>IFERROR(__xludf.DUMMYFUNCTION("GOOGLETRANSLATE(B7782,""en"",""es-ES"")"),"El camello comienza a moverse con la ayuda de un controlador.")</f>
        <v>El camello comienza a moverse con la ayuda de un controlador.</v>
      </c>
    </row>
    <row r="7783">
      <c r="A7783" s="4" t="s">
        <v>9782</v>
      </c>
      <c r="B7783" s="4" t="s">
        <v>9785</v>
      </c>
      <c r="C7783" s="5" t="str">
        <f>IFERROR(__xludf.DUMMYFUNCTION("GOOGLETRANSLATE(B7783,""en"",""es-ES"")"),"La gente aparece en el fondo.")</f>
        <v>La gente aparece en el fondo.</v>
      </c>
    </row>
    <row r="7784">
      <c r="A7784" s="4" t="s">
        <v>9786</v>
      </c>
      <c r="B7784" s="4" t="s">
        <v>9787</v>
      </c>
      <c r="C7784" s="5" t="str">
        <f>IFERROR(__xludf.DUMMYFUNCTION("GOOGLETRANSLATE(B7784,""en"",""es-ES"")"),"Una madre y un niño con trajes de baño construyen castillos de arena en la playa.")</f>
        <v>Una madre y un niño con trajes de baño construyen castillos de arena en la playa.</v>
      </c>
    </row>
    <row r="7785">
      <c r="A7785" s="4" t="s">
        <v>9786</v>
      </c>
      <c r="B7785" s="4" t="s">
        <v>9788</v>
      </c>
      <c r="C7785" s="5" t="str">
        <f>IFERROR(__xludf.DUMMYFUNCTION("GOOGLETRANSLATE(B7785,""en"",""es-ES"")"),"El niño destruye los castillos de arena.")</f>
        <v>El niño destruye los castillos de arena.</v>
      </c>
    </row>
    <row r="7786">
      <c r="A7786" s="4" t="s">
        <v>9786</v>
      </c>
      <c r="B7786" s="4" t="s">
        <v>9789</v>
      </c>
      <c r="C7786" s="5" t="str">
        <f>IFERROR(__xludf.DUMMYFUNCTION("GOOGLETRANSLATE(B7786,""en"",""es-ES"")"),"La madre arroja el molde de plástico frustrado.")</f>
        <v>La madre arroja el molde de plástico frustrado.</v>
      </c>
    </row>
    <row r="7787">
      <c r="A7787" s="4" t="s">
        <v>9790</v>
      </c>
      <c r="B7787" s="4" t="s">
        <v>9791</v>
      </c>
      <c r="C7787" s="5" t="str">
        <f>IFERROR(__xludf.DUMMYFUNCTION("GOOGLETRANSLATE(B7787,""en"",""es-ES"")"),"Se muestra a una persona aspirando una alfombra grande con una aspiradora verde.")</f>
        <v>Se muestra a una persona aspirando una alfombra grande con una aspiradora verde.</v>
      </c>
    </row>
    <row r="7788">
      <c r="A7788" s="4" t="s">
        <v>9790</v>
      </c>
      <c r="B7788" s="4" t="s">
        <v>9792</v>
      </c>
      <c r="C7788" s="5" t="str">
        <f>IFERROR(__xludf.DUMMYFUNCTION("GOOGLETRANSLATE(B7788,""en"",""es-ES"")"),"Un título aparece en la pantalla mientras el hombre continúa usando el aspirador en toda la alfombra.")</f>
        <v>Un título aparece en la pantalla mientras el hombre continúa usando el aspirador en toda la alfombra.</v>
      </c>
    </row>
    <row r="7789">
      <c r="A7789" s="4" t="s">
        <v>9793</v>
      </c>
      <c r="B7789" s="4" t="s">
        <v>9794</v>
      </c>
      <c r="C7789" s="5" t="str">
        <f>IFERROR(__xludf.DUMMYFUNCTION("GOOGLETRANSLATE(B7789,""en"",""es-ES"")"),"Se muestra un primer plano de una mesa de billar, seguido de una persona que camina por los lados.")</f>
        <v>Se muestra un primer plano de una mesa de billar, seguido de una persona que camina por los lados.</v>
      </c>
    </row>
    <row r="7790">
      <c r="A7790" s="4" t="s">
        <v>9793</v>
      </c>
      <c r="B7790" s="4" t="s">
        <v>9795</v>
      </c>
      <c r="C7790" s="5" t="str">
        <f>IFERROR(__xludf.DUMMYFUNCTION("GOOGLETRANSLATE(B7790,""en"",""es-ES"")"),"La persona luego golpea una bola de billar continuamente alrededor de la mesa.")</f>
        <v>La persona luego golpea una bola de billar continuamente alrededor de la mesa.</v>
      </c>
    </row>
    <row r="7791">
      <c r="A7791" s="4" t="s">
        <v>9793</v>
      </c>
      <c r="B7791" s="4" t="s">
        <v>9796</v>
      </c>
      <c r="C7791" s="5" t="str">
        <f>IFERROR(__xludf.DUMMYFUNCTION("GOOGLETRANSLATE(B7791,""en"",""es-ES"")"),"El hombre luego hunde la última pelota y celebra con un grupo de personas.")</f>
        <v>El hombre luego hunde la última pelota y celebra con un grupo de personas.</v>
      </c>
    </row>
    <row r="7792">
      <c r="A7792" s="4" t="s">
        <v>9797</v>
      </c>
      <c r="B7792" s="4" t="s">
        <v>9798</v>
      </c>
      <c r="C7792" s="5" t="str">
        <f>IFERROR(__xludf.DUMMYFUNCTION("GOOGLETRANSLATE(B7792,""en"",""es-ES"")"),"Un hombre arroja una pelota a la acera.")</f>
        <v>Un hombre arroja una pelota a la acera.</v>
      </c>
    </row>
    <row r="7793">
      <c r="A7793" s="4" t="s">
        <v>9797</v>
      </c>
      <c r="B7793" s="4" t="s">
        <v>9799</v>
      </c>
      <c r="C7793" s="5" t="str">
        <f>IFERROR(__xludf.DUMMYFUNCTION("GOOGLETRANSLATE(B7793,""en"",""es-ES"")"),"Él juega a la raya para recogerlo.")</f>
        <v>Él juega a la raya para recogerlo.</v>
      </c>
    </row>
    <row r="7794">
      <c r="A7794" s="4" t="s">
        <v>9797</v>
      </c>
      <c r="B7794" s="4" t="s">
        <v>9800</v>
      </c>
      <c r="C7794" s="5" t="str">
        <f>IFERROR(__xludf.DUMMYFUNCTION("GOOGLETRANSLATE(B7794,""en"",""es-ES"")"),"Un niño pequeño corre frente a él.")</f>
        <v>Un niño pequeño corre frente a él.</v>
      </c>
    </row>
    <row r="7795">
      <c r="A7795" s="4" t="s">
        <v>9801</v>
      </c>
      <c r="B7795" s="4" t="s">
        <v>9802</v>
      </c>
      <c r="C7795" s="5" t="str">
        <f>IFERROR(__xludf.DUMMYFUNCTION("GOOGLETRANSLATE(B7795,""en"",""es-ES"")"),"Un hombre que sostiene un raspador de hielo está empujando el hielo de su automóvil mientras la cámara se acerca.")</f>
        <v>Un hombre que sostiene un raspador de hielo está empujando el hielo de su automóvil mientras la cámara se acerca.</v>
      </c>
    </row>
    <row r="7796">
      <c r="A7796" s="4" t="s">
        <v>9801</v>
      </c>
      <c r="B7796" s="4" t="s">
        <v>9803</v>
      </c>
      <c r="C7796" s="5" t="str">
        <f>IFERROR(__xludf.DUMMYFUNCTION("GOOGLETRANSLATE(B7796,""en"",""es-ES"")"),"La cámara muestra sus manos Mutiple Times de cerca empujando gradualmente la pieza por pieza de hielo.")</f>
        <v>La cámara muestra sus manos Mutiple Times de cerca empujando gradualmente la pieza por pieza de hielo.</v>
      </c>
    </row>
    <row r="7797">
      <c r="A7797" s="4" t="s">
        <v>9804</v>
      </c>
      <c r="B7797" s="4" t="s">
        <v>9805</v>
      </c>
      <c r="C7797" s="5" t="str">
        <f>IFERROR(__xludf.DUMMYFUNCTION("GOOGLETRANSLATE(B7797,""en"",""es-ES"")"),"Una mujer está en una sala de estar frente a un fuego.")</f>
        <v>Una mujer está en una sala de estar frente a un fuego.</v>
      </c>
    </row>
    <row r="7798">
      <c r="A7798" s="4" t="s">
        <v>9804</v>
      </c>
      <c r="B7798" s="4" t="s">
        <v>9806</v>
      </c>
      <c r="C7798" s="5" t="str">
        <f>IFERROR(__xludf.DUMMYFUNCTION("GOOGLETRANSLATE(B7798,""en"",""es-ES"")"),"Corta papel envolvente en tiras, luego lo envuelve cuidadosamente alrededor de una caja.")</f>
        <v>Corta papel envolvente en tiras, luego lo envuelve cuidadosamente alrededor de una caja.</v>
      </c>
    </row>
    <row r="7799">
      <c r="A7799" s="4" t="s">
        <v>9804</v>
      </c>
      <c r="B7799" s="4" t="s">
        <v>9807</v>
      </c>
      <c r="C7799" s="5" t="str">
        <f>IFERROR(__xludf.DUMMYFUNCTION("GOOGLETRANSLATE(B7799,""en"",""es-ES"")"),"Ella graba la caja, luego la coloca suavemente sobre la mesa.")</f>
        <v>Ella graba la caja, luego la coloca suavemente sobre la mesa.</v>
      </c>
    </row>
    <row r="7800">
      <c r="A7800" s="4" t="s">
        <v>9808</v>
      </c>
      <c r="B7800" s="4" t="s">
        <v>9809</v>
      </c>
      <c r="C7800" s="5" t="str">
        <f>IFERROR(__xludf.DUMMYFUNCTION("GOOGLETRANSLATE(B7800,""en"",""es-ES"")"),"Una mujer que lleva una camisa negra comienza a hablar y luego alguien aparece en las piernas.")</f>
        <v>Una mujer que lleva una camisa negra comienza a hablar y luego alguien aparece en las piernas.</v>
      </c>
    </row>
    <row r="7801">
      <c r="A7801" s="4" t="s">
        <v>9808</v>
      </c>
      <c r="B7801" s="4" t="s">
        <v>9810</v>
      </c>
      <c r="C7801" s="5" t="str">
        <f>IFERROR(__xludf.DUMMYFUNCTION("GOOGLETRANSLATE(B7801,""en"",""es-ES"")"),"Mientras habla, una capa de cera si se coloca en la pierna y luego un trozo de papel blanco.")</f>
        <v>Mientras habla, una capa de cera si se coloca en la pierna y luego un trozo de papel blanco.</v>
      </c>
    </row>
    <row r="7802">
      <c r="A7802" s="4" t="s">
        <v>9811</v>
      </c>
      <c r="B7802" s="4" t="s">
        <v>9812</v>
      </c>
      <c r="C7802" s="5" t="str">
        <f>IFERROR(__xludf.DUMMYFUNCTION("GOOGLETRANSLATE(B7802,""en"",""es-ES"")"),"Una gimnasta está parada en una pose esperando para comenzar su actuación.")</f>
        <v>Una gimnasta está parada en una pose esperando para comenzar su actuación.</v>
      </c>
    </row>
    <row r="7803">
      <c r="A7803" s="4" t="s">
        <v>9811</v>
      </c>
      <c r="B7803" s="4" t="s">
        <v>9813</v>
      </c>
      <c r="C7803" s="5" t="str">
        <f>IFERROR(__xludf.DUMMYFUNCTION("GOOGLETRANSLATE(B7803,""en"",""es-ES"")"),"Ella comienza a girar su bastón y mover su cuerpo mucho con él haciendo volteretas y todo.")</f>
        <v>Ella comienza a girar su bastón y mover su cuerpo mucho con él haciendo volteretas y todo.</v>
      </c>
    </row>
    <row r="7804">
      <c r="A7804" s="4" t="s">
        <v>9811</v>
      </c>
      <c r="B7804" s="4" t="s">
        <v>9814</v>
      </c>
      <c r="C7804" s="5" t="str">
        <f>IFERROR(__xludf.DUMMYFUNCTION("GOOGLETRANSLATE(B7804,""en"",""es-ES"")"),"Ella comienza a hacer volteretas de una mano y balanceando el bastón alrededor de su cuello.")</f>
        <v>Ella comienza a hacer volteretas de una mano y balanceando el bastón alrededor de su cuello.</v>
      </c>
    </row>
    <row r="7805">
      <c r="A7805" s="4" t="s">
        <v>9811</v>
      </c>
      <c r="B7805" s="4" t="s">
        <v>9815</v>
      </c>
      <c r="C7805" s="5" t="str">
        <f>IFERROR(__xludf.DUMMYFUNCTION("GOOGLETRANSLATE(B7805,""en"",""es-ES"")"),"Ella hace una actuación impresionante y una vez que termina, se congela en su lugar.")</f>
        <v>Ella hace una actuación impresionante y una vez que termina, se congela en su lugar.</v>
      </c>
    </row>
    <row r="7806">
      <c r="A7806" s="4" t="s">
        <v>9816</v>
      </c>
      <c r="B7806" s="4" t="s">
        <v>9817</v>
      </c>
      <c r="C7806" s="5" t="str">
        <f>IFERROR(__xludf.DUMMYFUNCTION("GOOGLETRANSLATE(B7806,""en"",""es-ES"")"),"Se muestra un hombre en marcha apuntando a dos armas.")</f>
        <v>Se muestra un hombre en marcha apuntando a dos armas.</v>
      </c>
    </row>
    <row r="7807">
      <c r="A7807" s="4" t="s">
        <v>9816</v>
      </c>
      <c r="B7807" s="4" t="s">
        <v>9818</v>
      </c>
      <c r="C7807" s="5" t="str">
        <f>IFERROR(__xludf.DUMMYFUNCTION("GOOGLETRANSLATE(B7807,""en"",""es-ES"")"),"Se está escondiendo detrás de las rocas, escabulléndose a otros jugadores de paintball.")</f>
        <v>Se está escondiendo detrás de las rocas, escabulléndose a otros jugadores de paintball.</v>
      </c>
    </row>
    <row r="7808">
      <c r="A7808" s="4" t="s">
        <v>9816</v>
      </c>
      <c r="B7808" s="4" t="s">
        <v>9819</v>
      </c>
      <c r="C7808" s="5" t="str">
        <f>IFERROR(__xludf.DUMMYFUNCTION("GOOGLETRANSLATE(B7808,""en"",""es-ES"")"),"Se disparan el uno al otro mientras regresa detrás de las rocas para esconderse.")</f>
        <v>Se disparan el uno al otro mientras regresa detrás de las rocas para esconderse.</v>
      </c>
    </row>
    <row r="7809">
      <c r="A7809" s="4" t="s">
        <v>9820</v>
      </c>
      <c r="B7809" s="4" t="s">
        <v>9821</v>
      </c>
      <c r="C7809" s="5" t="str">
        <f>IFERROR(__xludf.DUMMYFUNCTION("GOOGLETRANSLATE(B7809,""en"",""es-ES"")"),"Una persona está utilizando un gran mecanismo de lavado de ventanas armadas para lavar la ventana exterior, delantera y de vidrio de una tienda de sándwich.")</f>
        <v>Una persona está utilizando un gran mecanismo de lavado de ventanas armadas para lavar la ventana exterior, delantera y de vidrio de una tienda de sándwich.</v>
      </c>
    </row>
    <row r="7810">
      <c r="A7810" s="4" t="s">
        <v>9820</v>
      </c>
      <c r="B7810" s="4" t="s">
        <v>9822</v>
      </c>
      <c r="C7810" s="5" t="str">
        <f>IFERROR(__xludf.DUMMYFUNCTION("GOOGLETRANSLATE(B7810,""en"",""es-ES"")"),"La persona es un hombre con cabello gris y gafas y usa la herramienta para lavar la parte superior de la ventana hasta la base del vidrio.")</f>
        <v>La persona es un hombre con cabello gris y gafas y usa la herramienta para lavar la parte superior de la ventana hasta la base del vidrio.</v>
      </c>
    </row>
    <row r="7811">
      <c r="A7811" s="4" t="s">
        <v>9820</v>
      </c>
      <c r="B7811" s="4" t="s">
        <v>9823</v>
      </c>
      <c r="C7811" s="5" t="str">
        <f>IFERROR(__xludf.DUMMYFUNCTION("GOOGLETRANSLATE(B7811,""en"",""es-ES"")"),"El hombre continúa lavando los cuatro paneles de vidrio uno por uno usando movimientos ondulados antes de salir de la ventana y alejarse de la tienda.")</f>
        <v>El hombre continúa lavando los cuatro paneles de vidrio uno por uno usando movimientos ondulados antes de salir de la ventana y alejarse de la tienda.</v>
      </c>
    </row>
    <row r="7812">
      <c r="A7812" s="4" t="s">
        <v>9824</v>
      </c>
      <c r="B7812" s="4" t="s">
        <v>9825</v>
      </c>
      <c r="C7812" s="5" t="str">
        <f>IFERROR(__xludf.DUMMYFUNCTION("GOOGLETRANSLATE(B7812,""en"",""es-ES"")"),"Una niña está sentada en una batería con auriculares puestos.")</f>
        <v>Una niña está sentada en una batería con auriculares puestos.</v>
      </c>
    </row>
    <row r="7813">
      <c r="A7813" s="4" t="s">
        <v>9824</v>
      </c>
      <c r="B7813" s="4" t="s">
        <v>9826</v>
      </c>
      <c r="C7813" s="5" t="str">
        <f>IFERROR(__xludf.DUMMYFUNCTION("GOOGLETRANSLATE(B7813,""en"",""es-ES"")"),"Ella toca la batería y los platillos, manteniendo un ritmo rápido.")</f>
        <v>Ella toca la batería y los platillos, manteniendo un ritmo rápido.</v>
      </c>
    </row>
    <row r="7814">
      <c r="A7814" s="4" t="s">
        <v>9824</v>
      </c>
      <c r="B7814" s="4" t="s">
        <v>9827</v>
      </c>
      <c r="C7814" s="5" t="str">
        <f>IFERROR(__xludf.DUMMYFUNCTION("GOOGLETRANSLATE(B7814,""en"",""es-ES"")"),"Se golpea la cabeza de un lado a otro mientras juega.")</f>
        <v>Se golpea la cabeza de un lado a otro mientras juega.</v>
      </c>
    </row>
    <row r="7815">
      <c r="A7815" s="4" t="s">
        <v>9828</v>
      </c>
      <c r="B7815" s="4" t="s">
        <v>9829</v>
      </c>
      <c r="C7815" s="5" t="str">
        <f>IFERROR(__xludf.DUMMYFUNCTION("GOOGLETRANSLATE(B7815,""en"",""es-ES"")"),"Una niña está jugando en la arena.")</f>
        <v>Una niña está jugando en la arena.</v>
      </c>
    </row>
    <row r="7816">
      <c r="A7816" s="4" t="s">
        <v>9828</v>
      </c>
      <c r="B7816" s="4" t="s">
        <v>9830</v>
      </c>
      <c r="C7816" s="5" t="str">
        <f>IFERROR(__xludf.DUMMYFUNCTION("GOOGLETRANSLATE(B7816,""en"",""es-ES"")"),"La niña agarra una pala.")</f>
        <v>La niña agarra una pala.</v>
      </c>
    </row>
    <row r="7817">
      <c r="A7817" s="4" t="s">
        <v>9828</v>
      </c>
      <c r="B7817" s="4" t="s">
        <v>9831</v>
      </c>
      <c r="C7817" s="5" t="str">
        <f>IFERROR(__xludf.DUMMYFUNCTION("GOOGLETRANSLATE(B7817,""en"",""es-ES"")"),"Una persona camina frente a la cámara.")</f>
        <v>Una persona camina frente a la cámara.</v>
      </c>
    </row>
    <row r="7818">
      <c r="A7818" s="4" t="s">
        <v>9828</v>
      </c>
      <c r="B7818" s="4" t="s">
        <v>9832</v>
      </c>
      <c r="C7818" s="5" t="str">
        <f>IFERROR(__xludf.DUMMYFUNCTION("GOOGLETRANSLATE(B7818,""en"",""es-ES"")"),"La cámara se mueve al agua.")</f>
        <v>La cámara se mueve al agua.</v>
      </c>
    </row>
    <row r="7819">
      <c r="A7819" s="4" t="s">
        <v>9828</v>
      </c>
      <c r="B7819" s="4" t="s">
        <v>9833</v>
      </c>
      <c r="C7819" s="5" t="str">
        <f>IFERROR(__xludf.DUMMYFUNCTION("GOOGLETRANSLATE(B7819,""en"",""es-ES"")"),"La niña camina hacia el agua.")</f>
        <v>La niña camina hacia el agua.</v>
      </c>
    </row>
    <row r="7820">
      <c r="A7820" s="4" t="s">
        <v>9828</v>
      </c>
      <c r="B7820" s="4" t="s">
        <v>9834</v>
      </c>
      <c r="C7820" s="5" t="str">
        <f>IFERROR(__xludf.DUMMYFUNCTION("GOOGLETRANSLATE(B7820,""en"",""es-ES"")"),"La niña entra al agua.")</f>
        <v>La niña entra al agua.</v>
      </c>
    </row>
    <row r="7821">
      <c r="A7821" s="4" t="s">
        <v>9835</v>
      </c>
      <c r="B7821" s="4" t="s">
        <v>9836</v>
      </c>
      <c r="C7821" s="5" t="str">
        <f>IFERROR(__xludf.DUMMYFUNCTION("GOOGLETRANSLATE(B7821,""en"",""es-ES"")"),"Una introducción llega a la pantalla para una presentación sobre reparación de automóviles.")</f>
        <v>Una introducción llega a la pantalla para una presentación sobre reparación de automóviles.</v>
      </c>
    </row>
    <row r="7822">
      <c r="A7822" s="4" t="s">
        <v>9835</v>
      </c>
      <c r="B7822" s="4" t="s">
        <v>9837</v>
      </c>
      <c r="C7822" s="5" t="str">
        <f>IFERROR(__xludf.DUMMYFUNCTION("GOOGLETRANSLATE(B7822,""en"",""es-ES"")"),"El video muestra varias partes diferentes del automóvil en las que se está trabajando.")</f>
        <v>El video muestra varias partes diferentes del automóvil en las que se está trabajando.</v>
      </c>
    </row>
    <row r="7823">
      <c r="A7823" s="4" t="s">
        <v>9835</v>
      </c>
      <c r="B7823" s="4" t="s">
        <v>9838</v>
      </c>
      <c r="C7823" s="5" t="str">
        <f>IFERROR(__xludf.DUMMYFUNCTION("GOOGLETRANSLATE(B7823,""en"",""es-ES"")"),"El mecanismo de fijación de abolladuras se une a los automóviles para mostrar cómo funciona para reparar una rueda.")</f>
        <v>El mecanismo de fijación de abolladuras se une a los automóviles para mostrar cómo funciona para reparar una rueda.</v>
      </c>
    </row>
    <row r="7824">
      <c r="A7824" s="4" t="s">
        <v>9835</v>
      </c>
      <c r="B7824" s="4" t="s">
        <v>9839</v>
      </c>
      <c r="C7824" s="5" t="str">
        <f>IFERROR(__xludf.DUMMYFUNCTION("GOOGLETRANSLATE(B7824,""en"",""es-ES"")"),"Luego muestra otra rueda reparada por el mismo mecanismo.")</f>
        <v>Luego muestra otra rueda reparada por el mismo mecanismo.</v>
      </c>
    </row>
    <row r="7825">
      <c r="A7825" s="4" t="s">
        <v>9835</v>
      </c>
      <c r="B7825" s="4" t="s">
        <v>9840</v>
      </c>
      <c r="C7825" s="5" t="str">
        <f>IFERROR(__xludf.DUMMYFUNCTION("GOOGLETRANSLATE(B7825,""en"",""es-ES"")"),"A continuación, los créditos de cierre para el video aparecen en la pantalla.")</f>
        <v>A continuación, los créditos de cierre para el video aparecen en la pantalla.</v>
      </c>
    </row>
    <row r="7826">
      <c r="A7826" s="4" t="s">
        <v>9841</v>
      </c>
      <c r="B7826" s="4" t="s">
        <v>1487</v>
      </c>
      <c r="C7826" s="5" t="str">
        <f>IFERROR(__xludf.DUMMYFUNCTION("GOOGLETRANSLATE(B7826,""en"",""es-ES"")"),"Vemos una pantalla de título de apertura.")</f>
        <v>Vemos una pantalla de título de apertura.</v>
      </c>
    </row>
    <row r="7827">
      <c r="A7827" s="4" t="s">
        <v>9841</v>
      </c>
      <c r="B7827" s="4" t="s">
        <v>9842</v>
      </c>
      <c r="C7827" s="5" t="str">
        <f>IFERROR(__xludf.DUMMYFUNCTION("GOOGLETRANSLATE(B7827,""en"",""es-ES"")"),"Vemos a dos damas bailando en un campo.")</f>
        <v>Vemos a dos damas bailando en un campo.</v>
      </c>
    </row>
    <row r="7828">
      <c r="A7828" s="4" t="s">
        <v>9841</v>
      </c>
      <c r="B7828" s="4" t="s">
        <v>9843</v>
      </c>
      <c r="C7828" s="5" t="str">
        <f>IFERROR(__xludf.DUMMYFUNCTION("GOOGLETRANSLATE(B7828,""en"",""es-ES"")"),"Cambiamos a las mujeres bailando alrededor de un toro en una corteza.")</f>
        <v>Cambiamos a las mujeres bailando alrededor de un toro en una corteza.</v>
      </c>
    </row>
    <row r="7829">
      <c r="A7829" s="4" t="s">
        <v>9841</v>
      </c>
      <c r="B7829" s="4" t="s">
        <v>9844</v>
      </c>
      <c r="C7829" s="5" t="str">
        <f>IFERROR(__xludf.DUMMYFUNCTION("GOOGLETRANSLATE(B7829,""en"",""es-ES"")"),"Vemos a las damas pararse una al lado de la otra.")</f>
        <v>Vemos a las damas pararse una al lado de la otra.</v>
      </c>
    </row>
    <row r="7830">
      <c r="A7830" s="4" t="s">
        <v>9841</v>
      </c>
      <c r="B7830" s="4" t="s">
        <v>9845</v>
      </c>
      <c r="C7830" s="5" t="str">
        <f>IFERROR(__xludf.DUMMYFUNCTION("GOOGLETRANSLATE(B7830,""en"",""es-ES"")"),"Vemos a las damas de rodillas en el campo.")</f>
        <v>Vemos a las damas de rodillas en el campo.</v>
      </c>
    </row>
    <row r="7831">
      <c r="A7831" s="4" t="s">
        <v>9841</v>
      </c>
      <c r="B7831" s="4" t="s">
        <v>9846</v>
      </c>
      <c r="C7831" s="5" t="str">
        <f>IFERROR(__xludf.DUMMYFUNCTION("GOOGLETRANSLATE(B7831,""en"",""es-ES"")"),"Vemos a tres damas en el campo.")</f>
        <v>Vemos a tres damas en el campo.</v>
      </c>
    </row>
    <row r="7832">
      <c r="A7832" s="4" t="s">
        <v>9841</v>
      </c>
      <c r="B7832" s="4" t="s">
        <v>9847</v>
      </c>
      <c r="C7832" s="5" t="str">
        <f>IFERROR(__xludf.DUMMYFUNCTION("GOOGLETRANSLATE(B7832,""en"",""es-ES"")"),"Vemos a dos damas bailando.")</f>
        <v>Vemos a dos damas bailando.</v>
      </c>
    </row>
    <row r="7833">
      <c r="A7833" s="4" t="s">
        <v>9841</v>
      </c>
      <c r="B7833" s="4" t="s">
        <v>9848</v>
      </c>
      <c r="C7833" s="5" t="str">
        <f>IFERROR(__xludf.DUMMYFUNCTION("GOOGLETRANSLATE(B7833,""en"",""es-ES"")"),"Vemos las pantallas de cierre.")</f>
        <v>Vemos las pantallas de cierre.</v>
      </c>
    </row>
    <row r="7834">
      <c r="A7834" s="4" t="s">
        <v>9849</v>
      </c>
      <c r="B7834" s="4" t="s">
        <v>9850</v>
      </c>
      <c r="C7834" s="5" t="str">
        <f>IFERROR(__xludf.DUMMYFUNCTION("GOOGLETRANSLATE(B7834,""en"",""es-ES"")"),"La gente está escalando rocas.")</f>
        <v>La gente está escalando rocas.</v>
      </c>
    </row>
    <row r="7835">
      <c r="A7835" s="4" t="s">
        <v>9849</v>
      </c>
      <c r="B7835" s="4" t="s">
        <v>9851</v>
      </c>
      <c r="C7835" s="5" t="str">
        <f>IFERROR(__xludf.DUMMYFUNCTION("GOOGLETRANSLATE(B7835,""en"",""es-ES"")"),"Una persona se cae de la roca en el agua de abajo.")</f>
        <v>Una persona se cae de la roca en el agua de abajo.</v>
      </c>
    </row>
    <row r="7836">
      <c r="A7836" s="4" t="s">
        <v>9852</v>
      </c>
      <c r="B7836" s="4" t="s">
        <v>9853</v>
      </c>
      <c r="C7836" s="5" t="str">
        <f>IFERROR(__xludf.DUMMYFUNCTION("GOOGLETRANSLATE(B7836,""en"",""es-ES"")"),"Un hombre se sienta con la pierna en una silla.")</f>
        <v>Un hombre se sienta con la pierna en una silla.</v>
      </c>
    </row>
    <row r="7837">
      <c r="A7837" s="4" t="s">
        <v>9852</v>
      </c>
      <c r="B7837" s="4" t="s">
        <v>9854</v>
      </c>
      <c r="C7837" s="5" t="str">
        <f>IFERROR(__xludf.DUMMYFUNCTION("GOOGLETRANSLATE(B7837,""en"",""es-ES"")"),"Una persona pone tiras de depilación con su pierna y se quita el cabello.")</f>
        <v>Una persona pone tiras de depilación con su pierna y se quita el cabello.</v>
      </c>
    </row>
    <row r="7838">
      <c r="A7838" s="4" t="s">
        <v>9852</v>
      </c>
      <c r="B7838" s="4" t="s">
        <v>9855</v>
      </c>
      <c r="C7838" s="5" t="str">
        <f>IFERROR(__xludf.DUMMYFUNCTION("GOOGLETRANSLATE(B7838,""en"",""es-ES"")"),"Se pone su camisa sobre su rostro.")</f>
        <v>Se pone su camisa sobre su rostro.</v>
      </c>
    </row>
    <row r="7839">
      <c r="A7839" s="4" t="s">
        <v>9856</v>
      </c>
      <c r="B7839" s="4" t="s">
        <v>9857</v>
      </c>
      <c r="C7839" s="5" t="str">
        <f>IFERROR(__xludf.DUMMYFUNCTION("GOOGLETRANSLATE(B7839,""en"",""es-ES"")"),"Se ve a una persona que lleva un disfraz de pie y posando dentro de una canoa y finalmente se empuja por el río.")</f>
        <v>Se ve a una persona que lleva un disfraz de pie y posando dentro de una canoa y finalmente se empuja por el río.</v>
      </c>
    </row>
    <row r="7840">
      <c r="A7840" s="4" t="s">
        <v>9856</v>
      </c>
      <c r="B7840" s="4" t="s">
        <v>9858</v>
      </c>
      <c r="C7840" s="5" t="str">
        <f>IFERROR(__xludf.DUMMYFUNCTION("GOOGLETRANSLATE(B7840,""en"",""es-ES"")"),"La persona se mueve lentamente en la canoa y la cámara lo sigue moviéndose a lo largo del agua en la canoa.")</f>
        <v>La persona se mueve lentamente en la canoa y la cámara lo sigue moviéndose a lo largo del agua en la canoa.</v>
      </c>
    </row>
    <row r="7841">
      <c r="A7841" s="4" t="s">
        <v>9859</v>
      </c>
      <c r="B7841" s="4" t="s">
        <v>9860</v>
      </c>
      <c r="C7841" s="5" t="str">
        <f>IFERROR(__xludf.DUMMYFUNCTION("GOOGLETRANSLATE(B7841,""en"",""es-ES"")"),"Se ven dos hombres realizando movimientos de artes marciales y conducen a un hombre que habla.")</f>
        <v>Se ven dos hombres realizando movimientos de artes marciales y conducen a un hombre que habla.</v>
      </c>
    </row>
    <row r="7842">
      <c r="A7842" s="4" t="s">
        <v>9859</v>
      </c>
      <c r="B7842" s="4" t="s">
        <v>9861</v>
      </c>
      <c r="C7842" s="5" t="str">
        <f>IFERROR(__xludf.DUMMYFUNCTION("GOOGLETRANSLATE(B7842,""en"",""es-ES"")"),"Luego, el hombre demuestra varios movimientos de artes marciales con otro hombre mientras todavía habla con la cámara.")</f>
        <v>Luego, el hombre demuestra varios movimientos de artes marciales con otro hombre mientras todavía habla con la cámara.</v>
      </c>
    </row>
    <row r="7843">
      <c r="A7843" s="4" t="s">
        <v>9859</v>
      </c>
      <c r="B7843" s="4" t="s">
        <v>9862</v>
      </c>
      <c r="C7843" s="5" t="str">
        <f>IFERROR(__xludf.DUMMYFUNCTION("GOOGLETRANSLATE(B7843,""en"",""es-ES"")"),"El hombre continúa estos movimientos mientras se detiene para demostrar cómo se hace correctamente.")</f>
        <v>El hombre continúa estos movimientos mientras se detiene para demostrar cómo se hace correctamente.</v>
      </c>
    </row>
    <row r="7844">
      <c r="A7844" s="4" t="s">
        <v>9863</v>
      </c>
      <c r="B7844" s="4" t="s">
        <v>9864</v>
      </c>
      <c r="C7844" s="5" t="str">
        <f>IFERROR(__xludf.DUMMYFUNCTION("GOOGLETRANSLATE(B7844,""en"",""es-ES"")"),"La gente está jugando un juego de fútbol en una arena interior.")</f>
        <v>La gente está jugando un juego de fútbol en una arena interior.</v>
      </c>
    </row>
    <row r="7845">
      <c r="A7845" s="4" t="s">
        <v>9863</v>
      </c>
      <c r="B7845" s="4" t="s">
        <v>9865</v>
      </c>
      <c r="C7845" s="5" t="str">
        <f>IFERROR(__xludf.DUMMYFUNCTION("GOOGLETRANSLATE(B7845,""en"",""es-ES"")"),"Un hombre recoge la pelota y la arroja a alguien más.")</f>
        <v>Un hombre recoge la pelota y la arroja a alguien más.</v>
      </c>
    </row>
    <row r="7846">
      <c r="A7846" s="4" t="s">
        <v>9863</v>
      </c>
      <c r="B7846" s="4" t="s">
        <v>9866</v>
      </c>
      <c r="C7846" s="5" t="str">
        <f>IFERROR(__xludf.DUMMYFUNCTION("GOOGLETRANSLATE(B7846,""en"",""es-ES"")"),"La gente cae en el piso de la arena.")</f>
        <v>La gente cae en el piso de la arena.</v>
      </c>
    </row>
    <row r="7847">
      <c r="A7847" s="4" t="s">
        <v>9867</v>
      </c>
      <c r="B7847" s="4" t="s">
        <v>9868</v>
      </c>
      <c r="C7847" s="5" t="str">
        <f>IFERROR(__xludf.DUMMYFUNCTION("GOOGLETRANSLATE(B7847,""en"",""es-ES"")"),"Los chicos se paran en una cancha interior.")</f>
        <v>Los chicos se paran en una cancha interior.</v>
      </c>
    </row>
    <row r="7848">
      <c r="A7848" s="4" t="s">
        <v>9867</v>
      </c>
      <c r="B7848" s="4" t="s">
        <v>9869</v>
      </c>
      <c r="C7848" s="5" t="str">
        <f>IFERROR(__xludf.DUMMYFUNCTION("GOOGLETRANSLATE(B7848,""en"",""es-ES"")"),"Dos muchachos juegan al fútbol de relevos, un atleta toca las manos de su oponente y un portero antes de patear una pelota servida.")</f>
        <v>Dos muchachos juegan al fútbol de relevos, un atleta toca las manos de su oponente y un portero antes de patear una pelota servida.</v>
      </c>
    </row>
    <row r="7849">
      <c r="A7849" s="4" t="s">
        <v>9867</v>
      </c>
      <c r="B7849" s="4" t="s">
        <v>9870</v>
      </c>
      <c r="C7849" s="5" t="str">
        <f>IFERROR(__xludf.DUMMYFUNCTION("GOOGLETRANSLATE(B7849,""en"",""es-ES"")"),"Un jugador patea el balón hacia el portero desde la cancha central.")</f>
        <v>Un jugador patea el balón hacia el portero desde la cancha central.</v>
      </c>
    </row>
    <row r="7850">
      <c r="A7850" s="4" t="s">
        <v>9867</v>
      </c>
      <c r="B7850" s="4" t="s">
        <v>9871</v>
      </c>
      <c r="C7850" s="5" t="str">
        <f>IFERROR(__xludf.DUMMYFUNCTION("GOOGLETRANSLATE(B7850,""en"",""es-ES"")"),"Los chicos se detienen por un corto tiempo.")</f>
        <v>Los chicos se detienen por un corto tiempo.</v>
      </c>
    </row>
    <row r="7851">
      <c r="A7851" s="4" t="s">
        <v>9872</v>
      </c>
      <c r="B7851" s="4" t="s">
        <v>9873</v>
      </c>
      <c r="C7851" s="5" t="str">
        <f>IFERROR(__xludf.DUMMYFUNCTION("GOOGLETRANSLATE(B7851,""en"",""es-ES"")"),"Un hombre empuja una cortadora de césped cortando un alto parche de malezas en un patio.")</f>
        <v>Un hombre empuja una cortadora de césped cortando un alto parche de malezas en un patio.</v>
      </c>
    </row>
    <row r="7852">
      <c r="A7852" s="4" t="s">
        <v>9872</v>
      </c>
      <c r="B7852" s="4" t="s">
        <v>9874</v>
      </c>
      <c r="C7852" s="5" t="str">
        <f>IFERROR(__xludf.DUMMYFUNCTION("GOOGLETRANSLATE(B7852,""en"",""es-ES"")"),"El hombre gira sobre la cortadora de césped de lado y luego despeja la hierba enredada.")</f>
        <v>El hombre gira sobre la cortadora de césped de lado y luego despeja la hierba enredada.</v>
      </c>
    </row>
    <row r="7853">
      <c r="A7853" s="4" t="s">
        <v>9872</v>
      </c>
      <c r="B7853" s="4" t="s">
        <v>9875</v>
      </c>
      <c r="C7853" s="5" t="str">
        <f>IFERROR(__xludf.DUMMYFUNCTION("GOOGLETRANSLATE(B7853,""en"",""es-ES"")"),"El hombre retrocede y balancea la cortadora de césped en círculo y gira la cortadora de césped en la dirección opuesta.")</f>
        <v>El hombre retrocede y balancea la cortadora de césped en círculo y gira la cortadora de césped en la dirección opuesta.</v>
      </c>
    </row>
    <row r="7854">
      <c r="A7854" s="4" t="s">
        <v>9876</v>
      </c>
      <c r="B7854" s="4" t="s">
        <v>9877</v>
      </c>
      <c r="C7854" s="5" t="str">
        <f>IFERROR(__xludf.DUMMYFUNCTION("GOOGLETRANSLATE(B7854,""en"",""es-ES"")"),"Se muestran varios cupcakes sentados en un plato y las letras aparecen que indican cómo hacerlas.")</f>
        <v>Se muestran varios cupcakes sentados en un plato y las letras aparecen que indican cómo hacerlas.</v>
      </c>
    </row>
    <row r="7855">
      <c r="A7855" s="4" t="s">
        <v>9876</v>
      </c>
      <c r="B7855" s="4" t="s">
        <v>9878</v>
      </c>
      <c r="C7855" s="5" t="str">
        <f>IFERROR(__xludf.DUMMYFUNCTION("GOOGLETRANSLATE(B7855,""en"",""es-ES"")"),"Se muestran varios ingredientes y la persona que mezcla los ingredientes en un tazón.")</f>
        <v>Se muestran varios ingredientes y la persona que mezcla los ingredientes en un tazón.</v>
      </c>
    </row>
    <row r="7856">
      <c r="A7856" s="4" t="s">
        <v>9876</v>
      </c>
      <c r="B7856" s="4" t="s">
        <v>9879</v>
      </c>
      <c r="C7856" s="5" t="str">
        <f>IFERROR(__xludf.DUMMYFUNCTION("GOOGLETRANSLATE(B7856,""en"",""es-ES"")"),"La persona combina todos los ingredientes y los pone en una sartén para cocinar.")</f>
        <v>La persona combina todos los ingredientes y los pone en una sartén para cocinar.</v>
      </c>
    </row>
    <row r="7857">
      <c r="A7857" s="4" t="s">
        <v>9876</v>
      </c>
      <c r="B7857" s="4" t="s">
        <v>9880</v>
      </c>
      <c r="C7857" s="5" t="str">
        <f>IFERROR(__xludf.DUMMYFUNCTION("GOOGLETRANSLATE(B7857,""en"",""es-ES"")"),"Los cupcakes finalmente se cocinan y se colocan en un plato para disfrutar.")</f>
        <v>Los cupcakes finalmente se cocinan y se colocan en un plato para disfrutar.</v>
      </c>
    </row>
    <row r="7858">
      <c r="A7858" s="4" t="s">
        <v>9881</v>
      </c>
      <c r="B7858" s="4" t="s">
        <v>9882</v>
      </c>
      <c r="C7858" s="5" t="str">
        <f>IFERROR(__xludf.DUMMYFUNCTION("GOOGLETRANSLATE(B7858,""en"",""es-ES"")"),"Se muestran varias imágenes de las uñas de cerca y conduce a una persona que pinta texto en un clavo.")</f>
        <v>Se muestran varias imágenes de las uñas de cerca y conduce a una persona que pinta texto en un clavo.</v>
      </c>
    </row>
    <row r="7859">
      <c r="A7859" s="4" t="s">
        <v>9881</v>
      </c>
      <c r="B7859" s="4" t="s">
        <v>9883</v>
      </c>
      <c r="C7859" s="5" t="str">
        <f>IFERROR(__xludf.DUMMYFUNCTION("GOOGLETRANSLATE(B7859,""en"",""es-ES"")"),"La persona muestra primeros planos de esmalte de uñas y continúa pintando en la uña.")</f>
        <v>La persona muestra primeros planos de esmalte de uñas y continúa pintando en la uña.</v>
      </c>
    </row>
    <row r="7860">
      <c r="A7860" s="4" t="s">
        <v>9881</v>
      </c>
      <c r="B7860" s="4" t="s">
        <v>9884</v>
      </c>
      <c r="C7860" s="5" t="str">
        <f>IFERROR(__xludf.DUMMYFUNCTION("GOOGLETRANSLATE(B7860,""en"",""es-ES"")"),"La mujer termina su diseño y muestra otra imagen de uñas.")</f>
        <v>La mujer termina su diseño y muestra otra imagen de uñas.</v>
      </c>
    </row>
    <row r="7861">
      <c r="A7861" s="4" t="s">
        <v>9885</v>
      </c>
      <c r="B7861" s="4" t="s">
        <v>9886</v>
      </c>
      <c r="C7861" s="5" t="str">
        <f>IFERROR(__xludf.DUMMYFUNCTION("GOOGLETRANSLATE(B7861,""en"",""es-ES"")"),"Un hombre se sienta en un kayak y sostiene su remo en un río que muestra cómo usarlo correctamente.")</f>
        <v>Un hombre se sienta en un kayak y sostiene su remo en un río que muestra cómo usarlo correctamente.</v>
      </c>
    </row>
    <row r="7862">
      <c r="A7862" s="4" t="s">
        <v>9885</v>
      </c>
      <c r="B7862" s="4" t="s">
        <v>9887</v>
      </c>
      <c r="C7862" s="5" t="str">
        <f>IFERROR(__xludf.DUMMYFUNCTION("GOOGLETRANSLATE(B7862,""en"",""es-ES"")"),"El hombre se inclina en su kayak para mostrar técnicas de equilibrio.")</f>
        <v>El hombre se inclina en su kayak para mostrar técnicas de equilibrio.</v>
      </c>
    </row>
    <row r="7863">
      <c r="A7863" s="4" t="s">
        <v>9885</v>
      </c>
      <c r="B7863" s="4" t="s">
        <v>9888</v>
      </c>
      <c r="C7863" s="5" t="str">
        <f>IFERROR(__xludf.DUMMYFUNCTION("GOOGLETRANSLATE(B7863,""en"",""es-ES"")"),"El jinete de kayak remar en el lavado blanco debajo de una caída de agua y voltea y luego se derechos nuevamente.")</f>
        <v>El jinete de kayak remar en el lavado blanco debajo de una caída de agua y voltea y luego se derechos nuevamente.</v>
      </c>
    </row>
    <row r="7864">
      <c r="A7864" s="4" t="s">
        <v>9889</v>
      </c>
      <c r="B7864" s="4" t="s">
        <v>9890</v>
      </c>
      <c r="C7864" s="5" t="str">
        <f>IFERROR(__xludf.DUMMYFUNCTION("GOOGLETRANSLATE(B7864,""en"",""es-ES"")"),"Se ve a un hombre caminando con una silla y la pone en medio de un carril de bolos.")</f>
        <v>Se ve a un hombre caminando con una silla y la pone en medio de un carril de bolos.</v>
      </c>
    </row>
    <row r="7865">
      <c r="A7865" s="4" t="s">
        <v>9889</v>
      </c>
      <c r="B7865" s="4" t="s">
        <v>9891</v>
      </c>
      <c r="C7865" s="5" t="str">
        <f>IFERROR(__xludf.DUMMYFUNCTION("GOOGLETRANSLATE(B7865,""en"",""es-ES"")"),"Alcance la audiencia y arroja la pelota sobre la silla y golpea todos los alfileres.")</f>
        <v>Alcance la audiencia y arroja la pelota sobre la silla y golpea todos los alfileres.</v>
      </c>
    </row>
    <row r="7866">
      <c r="A7866" s="4" t="s">
        <v>9889</v>
      </c>
      <c r="B7866" s="4" t="s">
        <v>9892</v>
      </c>
      <c r="C7866" s="5" t="str">
        <f>IFERROR(__xludf.DUMMYFUNCTION("GOOGLETRANSLATE(B7866,""en"",""es-ES"")"),"El mismo disparo se muestra varias veces y se sienta en su silla riendo.")</f>
        <v>El mismo disparo se muestra varias veces y se sienta en su silla riendo.</v>
      </c>
    </row>
    <row r="7867">
      <c r="A7867" s="4" t="s">
        <v>9893</v>
      </c>
      <c r="B7867" s="4" t="s">
        <v>9894</v>
      </c>
      <c r="C7867" s="5" t="str">
        <f>IFERROR(__xludf.DUMMYFUNCTION("GOOGLETRANSLATE(B7867,""en"",""es-ES"")"),"Una página de título corre en manos con un pincel de pintura con un retrato en el fondo.")</f>
        <v>Una página de título corre en manos con un pincel de pintura con un retrato en el fondo.</v>
      </c>
    </row>
    <row r="7868">
      <c r="A7868" s="4" t="s">
        <v>9893</v>
      </c>
      <c r="B7868" s="4" t="s">
        <v>9895</v>
      </c>
      <c r="C7868" s="5" t="str">
        <f>IFERROR(__xludf.DUMMYFUNCTION("GOOGLETRANSLATE(B7868,""en"",""es-ES"")"),"Ella sostiene otra imagen a su lado y empuja el cepillo en pintura.")</f>
        <v>Ella sostiene otra imagen a su lado y empuja el cepillo en pintura.</v>
      </c>
    </row>
    <row r="7869">
      <c r="A7869" s="4" t="s">
        <v>9893</v>
      </c>
      <c r="B7869" s="4" t="s">
        <v>9896</v>
      </c>
      <c r="C7869" s="5" t="str">
        <f>IFERROR(__xludf.DUMMYFUNCTION("GOOGLETRANSLATE(B7869,""en"",""es-ES"")"),"Luego comienza a pintar la imagen y agregar más color al retrato.")</f>
        <v>Luego comienza a pintar la imagen y agregar más color al retrato.</v>
      </c>
    </row>
    <row r="7870">
      <c r="A7870" s="4" t="s">
        <v>9897</v>
      </c>
      <c r="B7870" s="4" t="s">
        <v>9898</v>
      </c>
      <c r="C7870" s="5" t="str">
        <f>IFERROR(__xludf.DUMMYFUNCTION("GOOGLETRANSLATE(B7870,""en"",""es-ES"")"),"Se ve a un gran grupo de personas tocando hockey en una arena que realiza varios trucos con el disco.")</f>
        <v>Se ve a un gran grupo de personas tocando hockey en una arena que realiza varios trucos con el disco.</v>
      </c>
    </row>
    <row r="7871">
      <c r="A7871" s="4" t="s">
        <v>9897</v>
      </c>
      <c r="B7871" s="4" t="s">
        <v>9899</v>
      </c>
      <c r="C7871" s="5" t="str">
        <f>IFERROR(__xludf.DUMMYFUNCTION("GOOGLETRANSLATE(B7871,""en"",""es-ES"")"),"Los hombres continúan golpeando el disco entre sí mientras la cámara los captura desde varios lados.")</f>
        <v>Los hombres continúan golpeando el disco entre sí mientras la cámara los captura desde varios lados.</v>
      </c>
    </row>
    <row r="7872">
      <c r="A7872" s="4" t="s">
        <v>9897</v>
      </c>
      <c r="B7872" s="4" t="s">
        <v>9900</v>
      </c>
      <c r="C7872" s="5" t="str">
        <f>IFERROR(__xludf.DUMMYFUNCTION("GOOGLETRANSLATE(B7872,""en"",""es-ES"")"),"El hombre empuja el disco más sobre y debajo de los obstáculos.")</f>
        <v>El hombre empuja el disco más sobre y debajo de los obstáculos.</v>
      </c>
    </row>
    <row r="7873">
      <c r="A7873" s="4" t="s">
        <v>9901</v>
      </c>
      <c r="B7873" s="4" t="s">
        <v>9902</v>
      </c>
      <c r="C7873" s="5" t="str">
        <f>IFERROR(__xludf.DUMMYFUNCTION("GOOGLETRANSLATE(B7873,""en"",""es-ES"")"),"Primero, se muestra una pantalla por un pequeño tiempo que los espectadores sepan de qué se trata este video.")</f>
        <v>Primero, se muestra una pantalla por un pequeño tiempo que los espectadores sepan de qué se trata este video.</v>
      </c>
    </row>
    <row r="7874">
      <c r="A7874" s="4" t="s">
        <v>9901</v>
      </c>
      <c r="B7874" s="4" t="s">
        <v>9903</v>
      </c>
      <c r="C7874" s="5" t="str">
        <f>IFERROR(__xludf.DUMMYFUNCTION("GOOGLETRANSLATE(B7874,""en"",""es-ES"")"),"Luego hay un hombre montando diferentes caballos en diferentes entornos donde la gente los mira.")</f>
        <v>Luego hay un hombre montando diferentes caballos en diferentes entornos donde la gente los mira.</v>
      </c>
    </row>
    <row r="7875">
      <c r="A7875" s="4" t="s">
        <v>9901</v>
      </c>
      <c r="B7875" s="4" t="s">
        <v>9904</v>
      </c>
      <c r="C7875" s="5" t="str">
        <f>IFERROR(__xludf.DUMMYFUNCTION("GOOGLETRANSLATE(B7875,""en"",""es-ES"")"),"En el primero, el caballo corre con él en su espalda e intenta saltar sobre un obstáculo de madera, pero falla y hay muchas más fallas.")</f>
        <v>En el primero, el caballo corre con él en su espalda e intenta saltar sobre un obstáculo de madera, pero falla y hay muchas más fallas.</v>
      </c>
    </row>
    <row r="7876">
      <c r="A7876" s="4" t="s">
        <v>9905</v>
      </c>
      <c r="B7876" s="4" t="s">
        <v>9906</v>
      </c>
      <c r="C7876" s="5" t="str">
        <f>IFERROR(__xludf.DUMMYFUNCTION("GOOGLETRANSLATE(B7876,""en"",""es-ES"")"),"Se ve a un hombre con cabello rizado hablando con la cámara con una seria convicción.")</f>
        <v>Se ve a un hombre con cabello rizado hablando con la cámara con una seria convicción.</v>
      </c>
    </row>
    <row r="7877">
      <c r="A7877" s="4" t="s">
        <v>9905</v>
      </c>
      <c r="B7877" s="4" t="s">
        <v>9907</v>
      </c>
      <c r="C7877" s="5" t="str">
        <f>IFERROR(__xludf.DUMMYFUNCTION("GOOGLETRANSLATE(B7877,""en"",""es-ES"")"),"Luego se cepilla el cabello con un perro en el marco y muestra su cabello poofy.")</f>
        <v>Luego se cepilla el cabello con un perro en el marco y muestra su cabello poofy.</v>
      </c>
    </row>
    <row r="7878">
      <c r="A7878" s="4" t="s">
        <v>9905</v>
      </c>
      <c r="B7878" s="4" t="s">
        <v>9908</v>
      </c>
      <c r="C7878" s="5" t="str">
        <f>IFERROR(__xludf.DUMMYFUNCTION("GOOGLETRANSLATE(B7878,""en"",""es-ES"")"),"Luego se lo ve de nuevo con el cabello mojado y cierra los ojos a la cámara.")</f>
        <v>Luego se lo ve de nuevo con el cabello mojado y cierra los ojos a la cámara.</v>
      </c>
    </row>
    <row r="7879">
      <c r="A7879" s="4" t="s">
        <v>9909</v>
      </c>
      <c r="B7879" s="4" t="s">
        <v>9910</v>
      </c>
      <c r="C7879" s="5" t="str">
        <f>IFERROR(__xludf.DUMMYFUNCTION("GOOGLETRANSLATE(B7879,""en"",""es-ES"")"),"Un hombre salta a un rayo de equilibrio.")</f>
        <v>Un hombre salta a un rayo de equilibrio.</v>
      </c>
    </row>
    <row r="7880">
      <c r="A7880" s="4" t="s">
        <v>9909</v>
      </c>
      <c r="B7880" s="4" t="s">
        <v>9911</v>
      </c>
      <c r="C7880" s="5" t="str">
        <f>IFERROR(__xludf.DUMMYFUNCTION("GOOGLETRANSLATE(B7880,""en"",""es-ES"")"),"Comienzan a hacer una rutina de gimnasia en el rayo de equilibrio.")</f>
        <v>Comienzan a hacer una rutina de gimnasia en el rayo de equilibrio.</v>
      </c>
    </row>
    <row r="7881">
      <c r="A7881" s="4" t="s">
        <v>9909</v>
      </c>
      <c r="B7881" s="4" t="s">
        <v>9912</v>
      </c>
      <c r="C7881" s="5" t="str">
        <f>IFERROR(__xludf.DUMMYFUNCTION("GOOGLETRANSLATE(B7881,""en"",""es-ES"")"),"Saltan sobre una estera al lado.")</f>
        <v>Saltan sobre una estera al lado.</v>
      </c>
    </row>
    <row r="7882">
      <c r="A7882" s="4" t="s">
        <v>9913</v>
      </c>
      <c r="B7882" s="4" t="s">
        <v>9914</v>
      </c>
      <c r="C7882" s="5" t="str">
        <f>IFERROR(__xludf.DUMMYFUNCTION("GOOGLETRANSLATE(B7882,""en"",""es-ES"")"),"Se ve a un hombre parado en una cuerda y comienza a caminar por la cuerda.")</f>
        <v>Se ve a un hombre parado en una cuerda y comienza a caminar por la cuerda.</v>
      </c>
    </row>
    <row r="7883">
      <c r="A7883" s="4" t="s">
        <v>9913</v>
      </c>
      <c r="B7883" s="4" t="s">
        <v>9915</v>
      </c>
      <c r="C7883" s="5" t="str">
        <f>IFERROR(__xludf.DUMMYFUNCTION("GOOGLETRANSLATE(B7883,""en"",""es-ES"")"),"El hombre continúa caminando mientras la cámara captura sus movimientos.")</f>
        <v>El hombre continúa caminando mientras la cámara captura sus movimientos.</v>
      </c>
    </row>
    <row r="7884">
      <c r="A7884" s="4" t="s">
        <v>9913</v>
      </c>
      <c r="B7884" s="4" t="s">
        <v>9916</v>
      </c>
      <c r="C7884" s="5" t="str">
        <f>IFERROR(__xludf.DUMMYFUNCTION("GOOGLETRANSLATE(B7884,""en"",""es-ES"")"),"Camina a lo largo de la cuerda hasta el final y salta.")</f>
        <v>Camina a lo largo de la cuerda hasta el final y salta.</v>
      </c>
    </row>
    <row r="7885">
      <c r="A7885" s="4" t="s">
        <v>9917</v>
      </c>
      <c r="B7885" s="4" t="s">
        <v>9918</v>
      </c>
      <c r="C7885" s="5" t="str">
        <f>IFERROR(__xludf.DUMMYFUNCTION("GOOGLETRANSLATE(B7885,""en"",""es-ES"")"),"Se muestra un primer plano de un porche con la cámara que se puso en marcha.")</f>
        <v>Se muestra un primer plano de un porche con la cámara que se puso en marcha.</v>
      </c>
    </row>
    <row r="7886">
      <c r="A7886" s="4" t="s">
        <v>9917</v>
      </c>
      <c r="B7886" s="4" t="s">
        <v>9919</v>
      </c>
      <c r="C7886" s="5" t="str">
        <f>IFERROR(__xludf.DUMMYFUNCTION("GOOGLETRANSLATE(B7886,""en"",""es-ES"")"),"La cámara camina hasta el final del porche.")</f>
        <v>La cámara camina hasta el final del porche.</v>
      </c>
    </row>
    <row r="7887">
      <c r="A7887" s="4" t="s">
        <v>9917</v>
      </c>
      <c r="B7887" s="4" t="s">
        <v>9920</v>
      </c>
      <c r="C7887" s="5" t="str">
        <f>IFERROR(__xludf.DUMMYFUNCTION("GOOGLETRANSLATE(B7887,""en"",""es-ES"")"),"La cámara se da vuelta mientras todavía mira el porche.")</f>
        <v>La cámara se da vuelta mientras todavía mira el porche.</v>
      </c>
    </row>
    <row r="7888">
      <c r="A7888" s="4" t="s">
        <v>9921</v>
      </c>
      <c r="B7888" s="4" t="s">
        <v>9922</v>
      </c>
      <c r="C7888" s="5" t="str">
        <f>IFERROR(__xludf.DUMMYFUNCTION("GOOGLETRANSLATE(B7888,""en"",""es-ES"")"),"Los niños juegan en la playa.")</f>
        <v>Los niños juegan en la playa.</v>
      </c>
    </row>
    <row r="7889">
      <c r="A7889" s="4" t="s">
        <v>9921</v>
      </c>
      <c r="B7889" s="4" t="s">
        <v>9923</v>
      </c>
      <c r="C7889" s="5" t="str">
        <f>IFERROR(__xludf.DUMMYFUNCTION("GOOGLETRANSLATE(B7889,""en"",""es-ES"")"),"Están construyendo un castillo de arena.")</f>
        <v>Están construyendo un castillo de arena.</v>
      </c>
    </row>
    <row r="7890">
      <c r="A7890" s="4" t="s">
        <v>9921</v>
      </c>
      <c r="B7890" s="4" t="s">
        <v>9924</v>
      </c>
      <c r="C7890" s="5" t="str">
        <f>IFERROR(__xludf.DUMMYFUNCTION("GOOGLETRANSLATE(B7890,""en"",""es-ES"")"),"Una niña tira un cubo lleno de arena frente a ella.")</f>
        <v>Una niña tira un cubo lleno de arena frente a ella.</v>
      </c>
    </row>
    <row r="7891">
      <c r="A7891" s="4" t="s">
        <v>9925</v>
      </c>
      <c r="B7891" s="4" t="s">
        <v>9926</v>
      </c>
      <c r="C7891" s="5" t="str">
        <f>IFERROR(__xludf.DUMMYFUNCTION("GOOGLETRANSLATE(B7891,""en"",""es-ES"")"),"Un hombre con un sombrero está hablando con una cámara.")</f>
        <v>Un hombre con un sombrero está hablando con una cámara.</v>
      </c>
    </row>
    <row r="7892">
      <c r="A7892" s="4" t="s">
        <v>9925</v>
      </c>
      <c r="B7892" s="4" t="s">
        <v>9927</v>
      </c>
      <c r="C7892" s="5" t="str">
        <f>IFERROR(__xludf.DUMMYFUNCTION("GOOGLETRANSLATE(B7892,""en"",""es-ES"")"),"Está vestido con un atuendo de lucha de sumo y tocando curling.")</f>
        <v>Está vestido con un atuendo de lucha de sumo y tocando curling.</v>
      </c>
    </row>
    <row r="7893">
      <c r="A7893" s="4" t="s">
        <v>9925</v>
      </c>
      <c r="B7893" s="4" t="s">
        <v>9928</v>
      </c>
      <c r="C7893" s="5" t="str">
        <f>IFERROR(__xludf.DUMMYFUNCTION("GOOGLETRANSLATE(B7893,""en"",""es-ES"")"),"Está jugando tenis en una cancha de tenis.")</f>
        <v>Está jugando tenis en una cancha de tenis.</v>
      </c>
    </row>
    <row r="7894">
      <c r="A7894" s="4" t="s">
        <v>9929</v>
      </c>
      <c r="B7894" s="4" t="s">
        <v>9930</v>
      </c>
      <c r="C7894" s="5" t="str">
        <f>IFERROR(__xludf.DUMMYFUNCTION("GOOGLETRANSLATE(B7894,""en"",""es-ES"")"),"Se ve una vista de la ciudad desde un rascacielos.")</f>
        <v>Se ve una vista de la ciudad desde un rascacielos.</v>
      </c>
    </row>
    <row r="7895">
      <c r="A7895" s="4" t="s">
        <v>9929</v>
      </c>
      <c r="B7895" s="4" t="s">
        <v>9931</v>
      </c>
      <c r="C7895" s="5" t="str">
        <f>IFERROR(__xludf.DUMMYFUNCTION("GOOGLETRANSLATE(B7895,""en"",""es-ES"")"),"Se muestran a dos hombres limpiando ventanas en el costado del edificio.")</f>
        <v>Se muestran a dos hombres limpiando ventanas en el costado del edificio.</v>
      </c>
    </row>
    <row r="7896">
      <c r="A7896" s="4" t="s">
        <v>9929</v>
      </c>
      <c r="B7896" s="4" t="s">
        <v>9932</v>
      </c>
      <c r="C7896" s="5" t="str">
        <f>IFERROR(__xludf.DUMMYFUNCTION("GOOGLETRANSLATE(B7896,""en"",""es-ES"")"),"Se escabullen y limpian el vidrio profesionalmente.")</f>
        <v>Se escabullen y limpian el vidrio profesionalmente.</v>
      </c>
    </row>
    <row r="7897">
      <c r="A7897" s="4" t="s">
        <v>9929</v>
      </c>
      <c r="B7897" s="4" t="s">
        <v>9933</v>
      </c>
      <c r="C7897" s="5" t="str">
        <f>IFERROR(__xludf.DUMMYFUNCTION("GOOGLETRANSLATE(B7897,""en"",""es-ES"")"),"Luego verifican su trabajo antes de terminar.")</f>
        <v>Luego verifican su trabajo antes de terminar.</v>
      </c>
    </row>
    <row r="7898">
      <c r="A7898" s="4" t="s">
        <v>9934</v>
      </c>
      <c r="B7898" s="4" t="s">
        <v>9935</v>
      </c>
      <c r="C7898" s="5" t="str">
        <f>IFERROR(__xludf.DUMMYFUNCTION("GOOGLETRANSLATE(B7898,""en"",""es-ES"")"),"Hay algunos gansos volando en el cielo sobre un parque.")</f>
        <v>Hay algunos gansos volando en el cielo sobre un parque.</v>
      </c>
    </row>
    <row r="7899">
      <c r="A7899" s="4" t="s">
        <v>9934</v>
      </c>
      <c r="B7899" s="4" t="s">
        <v>9936</v>
      </c>
      <c r="C7899" s="5" t="str">
        <f>IFERROR(__xludf.DUMMYFUNCTION("GOOGLETRANSLATE(B7899,""en"",""es-ES"")"),"Un hombre está hablando en su micrófono mientras algunos hombres juegan al cricket detrás de él en el parque.")</f>
        <v>Un hombre está hablando en su micrófono mientras algunos hombres juegan al cricket detrás de él en el parque.</v>
      </c>
    </row>
    <row r="7900">
      <c r="A7900" s="4" t="s">
        <v>9934</v>
      </c>
      <c r="B7900" s="4" t="s">
        <v>9937</v>
      </c>
      <c r="C7900" s="5" t="str">
        <f>IFERROR(__xludf.DUMMYFUNCTION("GOOGLETRANSLATE(B7900,""en"",""es-ES"")"),"Es un día soleado con gansos caminando por el parque y la gente que disfruta de un juego informal de cricket.")</f>
        <v>Es un día soleado con gansos caminando por el parque y la gente que disfruta de un juego informal de cricket.</v>
      </c>
    </row>
    <row r="7901">
      <c r="A7901" s="4" t="s">
        <v>9934</v>
      </c>
      <c r="B7901" s="4" t="s">
        <v>9938</v>
      </c>
      <c r="C7901" s="5" t="str">
        <f>IFERROR(__xludf.DUMMYFUNCTION("GOOGLETRANSLATE(B7901,""en"",""es-ES"")"),"Hay un hombre golpeando la pelota con su bate de cricket y otra persona que intenta atrapar su pelota.")</f>
        <v>Hay un hombre golpeando la pelota con su bate de cricket y otra persona que intenta atrapar su pelota.</v>
      </c>
    </row>
    <row r="7902">
      <c r="A7902" s="4" t="s">
        <v>9934</v>
      </c>
      <c r="B7902" s="4" t="s">
        <v>9939</v>
      </c>
      <c r="C7902" s="5" t="str">
        <f>IFERROR(__xludf.DUMMYFUNCTION("GOOGLETRANSLATE(B7902,""en"",""es-ES"")"),"Una ardilla está sentada en el banco del parque y también disfruta del sol.")</f>
        <v>Una ardilla está sentada en el banco del parque y también disfruta del sol.</v>
      </c>
    </row>
    <row r="7903">
      <c r="A7903" s="4" t="s">
        <v>9940</v>
      </c>
      <c r="B7903" s="4" t="s">
        <v>9941</v>
      </c>
      <c r="C7903" s="5" t="str">
        <f>IFERROR(__xludf.DUMMYFUNCTION("GOOGLETRANSLATE(B7903,""en"",""es-ES"")"),"Se ve a un hombre tocando un saxofón en la cámara y lo lleva a hablar.")</f>
        <v>Se ve a un hombre tocando un saxofón en la cámara y lo lleva a hablar.</v>
      </c>
    </row>
    <row r="7904">
      <c r="A7904" s="4" t="s">
        <v>9940</v>
      </c>
      <c r="B7904" s="4" t="s">
        <v>9942</v>
      </c>
      <c r="C7904" s="5" t="str">
        <f>IFERROR(__xludf.DUMMYFUNCTION("GOOGLETRANSLATE(B7904,""en"",""es-ES"")"),"Se muestran más disparos de él tocando el instrumento mientras se detiene para tocar más.")</f>
        <v>Se muestran más disparos de él tocando el instrumento mientras se detiene para tocar más.</v>
      </c>
    </row>
    <row r="7905">
      <c r="A7905" s="4" t="s">
        <v>9940</v>
      </c>
      <c r="B7905" s="4" t="s">
        <v>9943</v>
      </c>
      <c r="C7905" s="5" t="str">
        <f>IFERROR(__xludf.DUMMYFUNCTION("GOOGLETRANSLATE(B7905,""en"",""es-ES"")"),"Continúa jugando y termina sonriendo a la cámara.")</f>
        <v>Continúa jugando y termina sonriendo a la cámara.</v>
      </c>
    </row>
    <row r="7906">
      <c r="A7906" s="4" t="s">
        <v>9944</v>
      </c>
      <c r="B7906" s="4" t="s">
        <v>9945</v>
      </c>
      <c r="C7906" s="5" t="str">
        <f>IFERROR(__xludf.DUMMYFUNCTION("GOOGLETRANSLATE(B7906,""en"",""es-ES"")"),"Varias personas se muestran en fotos, reunidas en equipo de invierno en la nieve.")</f>
        <v>Varias personas se muestran en fotos, reunidas en equipo de invierno en la nieve.</v>
      </c>
    </row>
    <row r="7907">
      <c r="A7907" s="4" t="s">
        <v>9944</v>
      </c>
      <c r="B7907" s="4" t="s">
        <v>9946</v>
      </c>
      <c r="C7907" s="5" t="str">
        <f>IFERROR(__xludf.DUMMYFUNCTION("GOOGLETRANSLATE(B7907,""en"",""es-ES"")"),"Montan en intertubes por una colina juntos, riendo y hablando entre ellos.")</f>
        <v>Montan en intertubes por una colina juntos, riendo y hablando entre ellos.</v>
      </c>
    </row>
    <row r="7908">
      <c r="A7908" s="4" t="s">
        <v>9944</v>
      </c>
      <c r="B7908" s="4" t="s">
        <v>9947</v>
      </c>
      <c r="C7908" s="5" t="str">
        <f>IFERROR(__xludf.DUMMYFUNCTION("GOOGLETRANSLATE(B7908,""en"",""es-ES"")"),"Luego se muestran después de incluso fotos de celebración, posando juntos.")</f>
        <v>Luego se muestran después de incluso fotos de celebración, posando juntos.</v>
      </c>
    </row>
    <row r="7909">
      <c r="A7909" s="4" t="s">
        <v>9948</v>
      </c>
      <c r="B7909" s="4" t="s">
        <v>9949</v>
      </c>
      <c r="C7909" s="5" t="str">
        <f>IFERROR(__xludf.DUMMYFUNCTION("GOOGLETRANSLATE(B7909,""en"",""es-ES"")"),"Una cruz aparece en el estilo del mosaico debajo del agua en una piscina.")</f>
        <v>Una cruz aparece en el estilo del mosaico debajo del agua en una piscina.</v>
      </c>
    </row>
    <row r="7910">
      <c r="A7910" s="4" t="s">
        <v>9948</v>
      </c>
      <c r="B7910" s="4" t="s">
        <v>9950</v>
      </c>
      <c r="C7910" s="5" t="str">
        <f>IFERROR(__xludf.DUMMYFUNCTION("GOOGLETRANSLATE(B7910,""en"",""es-ES"")"),"Un hombre con gorra de natación nada a través del agua hacia la cámara.")</f>
        <v>Un hombre con gorra de natación nada a través del agua hacia la cámara.</v>
      </c>
    </row>
    <row r="7911">
      <c r="A7911" s="4" t="s">
        <v>9948</v>
      </c>
      <c r="B7911" s="4" t="s">
        <v>9951</v>
      </c>
      <c r="C7911" s="5" t="str">
        <f>IFERROR(__xludf.DUMMYFUNCTION("GOOGLETRANSLATE(B7911,""en"",""es-ES"")"),"Se le muestra nadando desde numerosos ángulos.")</f>
        <v>Se le muestra nadando desde numerosos ángulos.</v>
      </c>
    </row>
    <row r="7912">
      <c r="A7912" s="4" t="s">
        <v>9952</v>
      </c>
      <c r="B7912" s="4" t="s">
        <v>9953</v>
      </c>
      <c r="C7912" s="5" t="str">
        <f>IFERROR(__xludf.DUMMYFUNCTION("GOOGLETRANSLATE(B7912,""en"",""es-ES"")"),"Dos personas están vestidas de negro montando sus bicicletas por el camino.")</f>
        <v>Dos personas están vestidas de negro montando sus bicicletas por el camino.</v>
      </c>
    </row>
    <row r="7913">
      <c r="A7913" s="4" t="s">
        <v>9952</v>
      </c>
      <c r="B7913" s="4" t="s">
        <v>9954</v>
      </c>
      <c r="C7913" s="5" t="str">
        <f>IFERROR(__xludf.DUMMYFUNCTION("GOOGLETRANSLATE(B7913,""en"",""es-ES"")"),"Luego, los dos muchachos son representados en una pantalla dividida entre sí poniéndose en sus cascos.")</f>
        <v>Luego, los dos muchachos son representados en una pantalla dividida entre sí poniéndose en sus cascos.</v>
      </c>
    </row>
    <row r="7914">
      <c r="A7914" s="4" t="s">
        <v>9952</v>
      </c>
      <c r="B7914" s="4" t="s">
        <v>9955</v>
      </c>
      <c r="C7914" s="5" t="str">
        <f>IFERROR(__xludf.DUMMYFUNCTION("GOOGLETRANSLATE(B7914,""en"",""es-ES"")"),"Los dos luego se pusieron los guantes de ciclismo verde y vuelven a las bicicletas.")</f>
        <v>Los dos luego se pusieron los guantes de ciclismo verde y vuelven a las bicicletas.</v>
      </c>
    </row>
    <row r="7915">
      <c r="A7915" s="4" t="s">
        <v>9952</v>
      </c>
      <c r="B7915" s="4" t="s">
        <v>9956</v>
      </c>
      <c r="C7915" s="5" t="str">
        <f>IFERROR(__xludf.DUMMYFUNCTION("GOOGLETRANSLATE(B7915,""en"",""es-ES"")"),"Luego se muestra un parque de patinaje y uno de los muchachos comienza a hacer trucos sobre los baches.")</f>
        <v>Luego se muestra un parque de patinaje y uno de los muchachos comienza a hacer trucos sobre los baches.</v>
      </c>
    </row>
    <row r="7916">
      <c r="A7916" s="4" t="s">
        <v>9952</v>
      </c>
      <c r="B7916" s="4" t="s">
        <v>9957</v>
      </c>
      <c r="C7916" s="5" t="str">
        <f>IFERROR(__xludf.DUMMYFUNCTION("GOOGLETRANSLATE(B7916,""en"",""es-ES"")"),"Una vez completado, las bicicletas se caminan y los niños comienzan a estrechar la mano.")</f>
        <v>Una vez completado, las bicicletas se caminan y los niños comienzan a estrechar la mano.</v>
      </c>
    </row>
    <row r="7917">
      <c r="A7917" s="4" t="s">
        <v>9952</v>
      </c>
      <c r="B7917" s="4" t="s">
        <v>9958</v>
      </c>
      <c r="C7917" s="5" t="str">
        <f>IFERROR(__xludf.DUMMYFUNCTION("GOOGLETRANSLATE(B7917,""en"",""es-ES"")"),"Después de que los trucos continúan y siguen saltando y haciendo trucos sobre las colinas.")</f>
        <v>Después de que los trucos continúan y siguen saltando y haciendo trucos sobre las colinas.</v>
      </c>
    </row>
    <row r="7918">
      <c r="A7918" s="4" t="s">
        <v>9959</v>
      </c>
      <c r="B7918" s="4" t="s">
        <v>9960</v>
      </c>
      <c r="C7918" s="5" t="str">
        <f>IFERROR(__xludf.DUMMYFUNCTION("GOOGLETRANSLATE(B7918,""en"",""es-ES"")"),"La gente espera en un gimnasio interior mientras el instructor sale.")</f>
        <v>La gente espera en un gimnasio interior mientras el instructor sale.</v>
      </c>
    </row>
    <row r="7919">
      <c r="A7919" s="4" t="s">
        <v>9959</v>
      </c>
      <c r="B7919" s="4" t="s">
        <v>9961</v>
      </c>
      <c r="C7919" s="5" t="str">
        <f>IFERROR(__xludf.DUMMYFUNCTION("GOOGLETRANSLATE(B7919,""en"",""es-ES"")"),"La clase comienza una clase de acero con cajas negras.")</f>
        <v>La clase comienza una clase de acero con cajas negras.</v>
      </c>
    </row>
    <row r="7920">
      <c r="A7920" s="4" t="s">
        <v>9959</v>
      </c>
      <c r="B7920" s="4" t="s">
        <v>9962</v>
      </c>
      <c r="C7920" s="5" t="str">
        <f>IFERROR(__xludf.DUMMYFUNCTION("GOOGLETRANSLATE(B7920,""en"",""es-ES"")"),"La clase termina agitando los brazos y el instructor se aleja.")</f>
        <v>La clase termina agitando los brazos y el instructor se aleja.</v>
      </c>
    </row>
    <row r="7921">
      <c r="A7921" s="4" t="s">
        <v>9963</v>
      </c>
      <c r="B7921" s="4" t="s">
        <v>9964</v>
      </c>
      <c r="C7921" s="5" t="str">
        <f>IFERROR(__xludf.DUMMYFUNCTION("GOOGLETRANSLATE(B7921,""en"",""es-ES"")"),"Se ven a dos hombres luchando entre sí mientras se los sostienen a los lados.")</f>
        <v>Se ven a dos hombres luchando entre sí mientras se los sostienen a los lados.</v>
      </c>
    </row>
    <row r="7922">
      <c r="A7922" s="4" t="s">
        <v>9963</v>
      </c>
      <c r="B7922" s="4" t="s">
        <v>9965</v>
      </c>
      <c r="C7922" s="5" t="str">
        <f>IFERROR(__xludf.DUMMYFUNCTION("GOOGLETRANSLATE(B7922,""en"",""es-ES"")"),"Siguen comenzando de nuevo hasta que uno de ellos finalmente gana.")</f>
        <v>Siguen comenzando de nuevo hasta que uno de ellos finalmente gana.</v>
      </c>
    </row>
    <row r="7923">
      <c r="A7923" s="4" t="s">
        <v>9966</v>
      </c>
      <c r="B7923" s="4" t="s">
        <v>9967</v>
      </c>
      <c r="C7923" s="5" t="str">
        <f>IFERROR(__xludf.DUMMYFUNCTION("GOOGLETRANSLATE(B7923,""en"",""es-ES"")"),"Un hombre está parado bajo un gol de baloncesto.")</f>
        <v>Un hombre está parado bajo un gol de baloncesto.</v>
      </c>
    </row>
    <row r="7924">
      <c r="A7924" s="4" t="s">
        <v>9966</v>
      </c>
      <c r="B7924" s="4" t="s">
        <v>9968</v>
      </c>
      <c r="C7924" s="5" t="str">
        <f>IFERROR(__xludf.DUMMYFUNCTION("GOOGLETRANSLATE(B7924,""en"",""es-ES"")"),"Un grupo de niños está escuchando al entrenador.")</f>
        <v>Un grupo de niños está escuchando al entrenador.</v>
      </c>
    </row>
    <row r="7925">
      <c r="A7925" s="4" t="s">
        <v>9966</v>
      </c>
      <c r="B7925" s="4" t="s">
        <v>9969</v>
      </c>
      <c r="C7925" s="5" t="str">
        <f>IFERROR(__xludf.DUMMYFUNCTION("GOOGLETRANSLATE(B7925,""en"",""es-ES"")"),"Comienzan a calentarse haciendo colocaciones.")</f>
        <v>Comienzan a calentarse haciendo colocaciones.</v>
      </c>
    </row>
    <row r="7926">
      <c r="A7926" s="4" t="s">
        <v>9966</v>
      </c>
      <c r="B7926" s="4" t="s">
        <v>9970</v>
      </c>
      <c r="C7926" s="5" t="str">
        <f>IFERROR(__xludf.DUMMYFUNCTION("GOOGLETRANSLATE(B7926,""en"",""es-ES"")"),"Los chicos se alinean, preparados para jugar.")</f>
        <v>Los chicos se alinean, preparados para jugar.</v>
      </c>
    </row>
    <row r="7927">
      <c r="A7927" s="4" t="s">
        <v>9971</v>
      </c>
      <c r="B7927" s="4" t="s">
        <v>9972</v>
      </c>
      <c r="C7927" s="5" t="str">
        <f>IFERROR(__xludf.DUMMYFUNCTION("GOOGLETRANSLATE(B7927,""en"",""es-ES"")"),"La gente está en un wakeboard del lago siendo arrastrada por un bote.")</f>
        <v>La gente está en un wakeboard del lago siendo arrastrada por un bote.</v>
      </c>
    </row>
    <row r="7928">
      <c r="A7928" s="4" t="s">
        <v>9971</v>
      </c>
      <c r="B7928" s="4" t="s">
        <v>9973</v>
      </c>
      <c r="C7928" s="5" t="str">
        <f>IFERROR(__xludf.DUMMYFUNCTION("GOOGLETRANSLATE(B7928,""en"",""es-ES"")"),"Mucha gente está parada en un muelle mirando la competencia de wakeboard.")</f>
        <v>Mucha gente está parada en un muelle mirando la competencia de wakeboard.</v>
      </c>
    </row>
    <row r="7929">
      <c r="A7929" s="4" t="s">
        <v>9971</v>
      </c>
      <c r="B7929" s="4" t="s">
        <v>9974</v>
      </c>
      <c r="C7929" s="5" t="str">
        <f>IFERROR(__xludf.DUMMYFUNCTION("GOOGLETRANSLATE(B7929,""en"",""es-ES"")"),"La gente camina sobre el muelle con ropa de invierno.")</f>
        <v>La gente camina sobre el muelle con ropa de invierno.</v>
      </c>
    </row>
    <row r="7930">
      <c r="A7930" s="4" t="s">
        <v>9975</v>
      </c>
      <c r="B7930" s="4" t="s">
        <v>9976</v>
      </c>
      <c r="C7930" s="5" t="str">
        <f>IFERROR(__xludf.DUMMYFUNCTION("GOOGLETRANSLATE(B7930,""en"",""es-ES"")"),"Hay una mujer que usa nada más que pantalones cortos y una camiseta.")</f>
        <v>Hay una mujer que usa nada más que pantalones cortos y una camiseta.</v>
      </c>
    </row>
    <row r="7931">
      <c r="A7931" s="4" t="s">
        <v>9975</v>
      </c>
      <c r="B7931" s="4" t="s">
        <v>9977</v>
      </c>
      <c r="C7931" s="5" t="str">
        <f>IFERROR(__xludf.DUMMYFUNCTION("GOOGLETRANSLATE(B7931,""en"",""es-ES"")"),"Se la muestra sentada en una roca mientras se lava la pequeña ropa que tiene en el río.")</f>
        <v>Se la muestra sentada en una roca mientras se lava la pequeña ropa que tiene en el río.</v>
      </c>
    </row>
    <row r="7932">
      <c r="A7932" s="4" t="s">
        <v>9978</v>
      </c>
      <c r="B7932" s="4" t="s">
        <v>9979</v>
      </c>
      <c r="C7932" s="5" t="str">
        <f>IFERROR(__xludf.DUMMYFUNCTION("GOOGLETRANSLATE(B7932,""en"",""es-ES"")"),"Alguien está en la bolera en un carril con una bola roja.")</f>
        <v>Alguien está en la bolera en un carril con una bola roja.</v>
      </c>
    </row>
    <row r="7933">
      <c r="A7933" s="4" t="s">
        <v>9978</v>
      </c>
      <c r="B7933" s="4" t="s">
        <v>9980</v>
      </c>
      <c r="C7933" s="5" t="str">
        <f>IFERROR(__xludf.DUMMYFUNCTION("GOOGLETRANSLATE(B7933,""en"",""es-ES"")"),"Lanza la pelota, su pie sube y la pelota rueda para golpear los alfileres.")</f>
        <v>Lanza la pelota, su pie sube y la pelota rueda para golpear los alfileres.</v>
      </c>
    </row>
    <row r="7934">
      <c r="A7934" s="4" t="s">
        <v>9978</v>
      </c>
      <c r="B7934" s="4" t="s">
        <v>9981</v>
      </c>
      <c r="C7934" s="5" t="str">
        <f>IFERROR(__xludf.DUMMYFUNCTION("GOOGLETRANSLATE(B7934,""en"",""es-ES"")"),"Varias personas toman su turno haciendo la misma postura y todo más o menos.")</f>
        <v>Varias personas toman su turno haciendo la misma postura y todo más o menos.</v>
      </c>
    </row>
    <row r="7935">
      <c r="A7935" s="4" t="s">
        <v>9978</v>
      </c>
      <c r="B7935" s="4" t="s">
        <v>9982</v>
      </c>
      <c r="C7935" s="5" t="str">
        <f>IFERROR(__xludf.DUMMYFUNCTION("GOOGLETRANSLATE(B7935,""en"",""es-ES"")"),"Nunca ves que las bolas golpeen los pasadores solo todos lanzaron la pelota.")</f>
        <v>Nunca ves que las bolas golpeen los pasadores solo todos lanzaron la pelota.</v>
      </c>
    </row>
    <row r="7936">
      <c r="A7936" s="4" t="s">
        <v>9983</v>
      </c>
      <c r="B7936" s="4" t="s">
        <v>9984</v>
      </c>
      <c r="C7936" s="5" t="str">
        <f>IFERROR(__xludf.DUMMYFUNCTION("GOOGLETRANSLATE(B7936,""en"",""es-ES"")"),"Un camarógrafo camina por un camino de nieve para capturar a un niño pequeño paleando la nieve.")</f>
        <v>Un camarógrafo camina por un camino de nieve para capturar a un niño pequeño paleando la nieve.</v>
      </c>
    </row>
    <row r="7937">
      <c r="A7937" s="4" t="s">
        <v>9983</v>
      </c>
      <c r="B7937" s="4" t="s">
        <v>9985</v>
      </c>
      <c r="C7937" s="5" t="str">
        <f>IFERROR(__xludf.DUMMYFUNCTION("GOOGLETRANSLATE(B7937,""en"",""es-ES"")"),"El niño habla en la cámara y continúa empujando la nieve con una pala.")</f>
        <v>El niño habla en la cámara y continúa empujando la nieve con una pala.</v>
      </c>
    </row>
    <row r="7938">
      <c r="A7938" s="4" t="s">
        <v>9986</v>
      </c>
      <c r="B7938" s="4" t="s">
        <v>9987</v>
      </c>
      <c r="C7938" s="5" t="str">
        <f>IFERROR(__xludf.DUMMYFUNCTION("GOOGLETRANSLATE(B7938,""en"",""es-ES"")"),"Cinco mujeres están bailando en una habitación.")</f>
        <v>Cinco mujeres están bailando en una habitación.</v>
      </c>
    </row>
    <row r="7939">
      <c r="A7939" s="4" t="s">
        <v>9986</v>
      </c>
      <c r="B7939" s="4" t="s">
        <v>9988</v>
      </c>
      <c r="C7939" s="5" t="str">
        <f>IFERROR(__xludf.DUMMYFUNCTION("GOOGLETRANSLATE(B7939,""en"",""es-ES"")"),"Bailan en círculo.")</f>
        <v>Bailan en círculo.</v>
      </c>
    </row>
    <row r="7940">
      <c r="A7940" s="4" t="s">
        <v>9986</v>
      </c>
      <c r="B7940" s="4" t="s">
        <v>9989</v>
      </c>
      <c r="C7940" s="5" t="str">
        <f>IFERROR(__xludf.DUMMYFUNCTION("GOOGLETRANSLATE(B7940,""en"",""es-ES"")"),"Continúan bailando juntos en la habitación.")</f>
        <v>Continúan bailando juntos en la habitación.</v>
      </c>
    </row>
    <row r="7941">
      <c r="A7941" s="4" t="s">
        <v>9990</v>
      </c>
      <c r="B7941" s="4" t="s">
        <v>9991</v>
      </c>
      <c r="C7941" s="5" t="str">
        <f>IFERROR(__xludf.DUMMYFUNCTION("GOOGLETRANSLATE(B7941,""en"",""es-ES"")"),"Una mujer que usa guantes está frente a un fregadero.")</f>
        <v>Una mujer que usa guantes está frente a un fregadero.</v>
      </c>
    </row>
    <row r="7942">
      <c r="A7942" s="4" t="s">
        <v>9990</v>
      </c>
      <c r="B7942" s="4" t="s">
        <v>9992</v>
      </c>
      <c r="C7942" s="5" t="str">
        <f>IFERROR(__xludf.DUMMYFUNCTION("GOOGLETRANSLATE(B7942,""en"",""es-ES"")"),"Ella lo rocía con una solución de limpieza.")</f>
        <v>Ella lo rocía con una solución de limpieza.</v>
      </c>
    </row>
    <row r="7943">
      <c r="A7943" s="4" t="s">
        <v>9990</v>
      </c>
      <c r="B7943" s="4" t="s">
        <v>9993</v>
      </c>
      <c r="C7943" s="5" t="str">
        <f>IFERROR(__xludf.DUMMYFUNCTION("GOOGLETRANSLATE(B7943,""en"",""es-ES"")"),"Luego frota el fregadero hasta que esté limpio.")</f>
        <v>Luego frota el fregadero hasta que esté limpio.</v>
      </c>
    </row>
    <row r="7944">
      <c r="A7944" s="4" t="s">
        <v>9994</v>
      </c>
      <c r="B7944" s="4" t="s">
        <v>9995</v>
      </c>
      <c r="C7944" s="5" t="str">
        <f>IFERROR(__xludf.DUMMYFUNCTION("GOOGLETRANSLATE(B7944,""en"",""es-ES"")"),"Un hombre se para frente a la cámara, luego comienza a peinarse hacia adelante.")</f>
        <v>Un hombre se para frente a la cámara, luego comienza a peinarse hacia adelante.</v>
      </c>
    </row>
    <row r="7945">
      <c r="A7945" s="4" t="s">
        <v>9994</v>
      </c>
      <c r="B7945" s="4" t="s">
        <v>9996</v>
      </c>
      <c r="C7945" s="5" t="str">
        <f>IFERROR(__xludf.DUMMYFUNCTION("GOOGLETRANSLATE(B7945,""en"",""es-ES"")"),"Luego se enfoca en los lados y la parte posterior de su cabello, nuevamente peinando hacia abajo.")</f>
        <v>Luego se enfoca en los lados y la parte posterior de su cabello, nuevamente peinando hacia abajo.</v>
      </c>
    </row>
    <row r="7946">
      <c r="A7946" s="4" t="s">
        <v>9994</v>
      </c>
      <c r="B7946" s="4" t="s">
        <v>9997</v>
      </c>
      <c r="C7946" s="5" t="str">
        <f>IFERROR(__xludf.DUMMYFUNCTION("GOOGLETRANSLATE(B7946,""en"",""es-ES"")"),"Trae el cepillo alrededor de su cabello, agregando su mano izquierda para deslizar.")</f>
        <v>Trae el cepillo alrededor de su cabello, agregando su mano izquierda para deslizar.</v>
      </c>
    </row>
    <row r="7947">
      <c r="A7947" s="4" t="s">
        <v>9998</v>
      </c>
      <c r="B7947" s="4" t="s">
        <v>9999</v>
      </c>
      <c r="C7947" s="5" t="str">
        <f>IFERROR(__xludf.DUMMYFUNCTION("GOOGLETRANSLATE(B7947,""en"",""es-ES"")"),"Vemos a un hombre ajustar la cámara y sacudirse el cabello.")</f>
        <v>Vemos a un hombre ajustar la cámara y sacudirse el cabello.</v>
      </c>
    </row>
    <row r="7948">
      <c r="A7948" s="4" t="s">
        <v>9998</v>
      </c>
      <c r="B7948" s="4" t="s">
        <v>10000</v>
      </c>
      <c r="C7948" s="5" t="str">
        <f>IFERROR(__xludf.DUMMYFUNCTION("GOOGLETRANSLATE(B7948,""en"",""es-ES"")"),"Vemos comentarios en la pantalla.")</f>
        <v>Vemos comentarios en la pantalla.</v>
      </c>
    </row>
    <row r="7949">
      <c r="A7949" s="4" t="s">
        <v>9998</v>
      </c>
      <c r="B7949" s="4" t="s">
        <v>10001</v>
      </c>
      <c r="C7949" s="5" t="str">
        <f>IFERROR(__xludf.DUMMYFUNCTION("GOOGLETRANSLATE(B7949,""en"",""es-ES"")"),"La imagen está en color y el hombre soplaba su cabello.")</f>
        <v>La imagen está en color y el hombre soplaba su cabello.</v>
      </c>
    </row>
    <row r="7950">
      <c r="A7950" s="4" t="s">
        <v>9998</v>
      </c>
      <c r="B7950" s="4" t="s">
        <v>10002</v>
      </c>
      <c r="C7950" s="5" t="str">
        <f>IFERROR(__xludf.DUMMYFUNCTION("GOOGLETRANSLATE(B7950,""en"",""es-ES"")"),"El hombre usa un cepillo y aparecen instrucciones.")</f>
        <v>El hombre usa un cepillo y aparecen instrucciones.</v>
      </c>
    </row>
    <row r="7951">
      <c r="A7951" s="4" t="s">
        <v>9998</v>
      </c>
      <c r="B7951" s="4" t="s">
        <v>10003</v>
      </c>
      <c r="C7951" s="5" t="str">
        <f>IFERROR(__xludf.DUMMYFUNCTION("GOOGLETRANSLATE(B7951,""en"",""es-ES"")"),"Vemos más instrucciones en la pantalla.")</f>
        <v>Vemos más instrucciones en la pantalla.</v>
      </c>
    </row>
    <row r="7952">
      <c r="A7952" s="4" t="s">
        <v>9998</v>
      </c>
      <c r="B7952" s="4" t="s">
        <v>10004</v>
      </c>
      <c r="C7952" s="5" t="str">
        <f>IFERROR(__xludf.DUMMYFUNCTION("GOOGLETRANSLATE(B7952,""en"",""es-ES"")"),"Instrucciones Dígale a las vistas que moldeen el cabello.")</f>
        <v>Instrucciones Dígale a las vistas que moldeen el cabello.</v>
      </c>
    </row>
    <row r="7953">
      <c r="A7953" s="4" t="s">
        <v>9998</v>
      </c>
      <c r="B7953" s="4" t="s">
        <v>10005</v>
      </c>
      <c r="C7953" s="5" t="str">
        <f>IFERROR(__xludf.DUMMYFUNCTION("GOOGLETRANSLATE(B7953,""en"",""es-ES"")"),"Aparecen más instrucciones en la pantalla.")</f>
        <v>Aparecen más instrucciones en la pantalla.</v>
      </c>
    </row>
    <row r="7954">
      <c r="A7954" s="4" t="s">
        <v>9998</v>
      </c>
      <c r="B7954" s="4" t="s">
        <v>10006</v>
      </c>
      <c r="C7954" s="5" t="str">
        <f>IFERROR(__xludf.DUMMYFUNCTION("GOOGLETRANSLATE(B7954,""en"",""es-ES"")"),"El hombre agrega pomadas a su cabello.")</f>
        <v>El hombre agrega pomadas a su cabello.</v>
      </c>
    </row>
    <row r="7955">
      <c r="A7955" s="4" t="s">
        <v>9998</v>
      </c>
      <c r="B7955" s="4" t="s">
        <v>10007</v>
      </c>
      <c r="C7955" s="5" t="str">
        <f>IFERROR(__xludf.DUMMYFUNCTION("GOOGLETRANSLATE(B7955,""en"",""es-ES"")"),"El hombre se cepilla el cabello con un cepillo.")</f>
        <v>El hombre se cepilla el cabello con un cepillo.</v>
      </c>
    </row>
    <row r="7956">
      <c r="A7956" s="4" t="s">
        <v>9998</v>
      </c>
      <c r="B7956" s="4" t="s">
        <v>10008</v>
      </c>
      <c r="C7956" s="5" t="str">
        <f>IFERROR(__xludf.DUMMYFUNCTION("GOOGLETRANSLATE(B7956,""en"",""es-ES"")"),"Vemos que la escena se oscurece y la escritura aparece en la pantalla.")</f>
        <v>Vemos que la escena se oscurece y la escritura aparece en la pantalla.</v>
      </c>
    </row>
    <row r="7957">
      <c r="A7957" s="4" t="s">
        <v>10009</v>
      </c>
      <c r="B7957" s="4" t="s">
        <v>10010</v>
      </c>
      <c r="C7957" s="5" t="str">
        <f>IFERROR(__xludf.DUMMYFUNCTION("GOOGLETRANSLATE(B7957,""en"",""es-ES"")"),"Un caballo corre salvaje con un entrenador persiguiéndolo.")</f>
        <v>Un caballo corre salvaje con un entrenador persiguiéndolo.</v>
      </c>
    </row>
    <row r="7958">
      <c r="A7958" s="4" t="s">
        <v>10009</v>
      </c>
      <c r="B7958" s="4" t="s">
        <v>10011</v>
      </c>
      <c r="C7958" s="5" t="str">
        <f>IFERROR(__xludf.DUMMYFUNCTION("GOOGLETRANSLATE(B7958,""en"",""es-ES"")"),"Un caballo corre después y aprieta un toro que lo carga con sus cuernos.")</f>
        <v>Un caballo corre después y aprieta un toro que lo carga con sus cuernos.</v>
      </c>
    </row>
    <row r="7959">
      <c r="A7959" s="4" t="s">
        <v>10009</v>
      </c>
      <c r="B7959" s="4" t="s">
        <v>10012</v>
      </c>
      <c r="C7959" s="5" t="str">
        <f>IFERROR(__xludf.DUMMYFUNCTION("GOOGLETRANSLATE(B7959,""en"",""es-ES"")"),"El caballo es dejado fuera del coral por los Cowboys.")</f>
        <v>El caballo es dejado fuera del coral por los Cowboys.</v>
      </c>
    </row>
    <row r="7960">
      <c r="A7960" s="4" t="s">
        <v>10009</v>
      </c>
      <c r="B7960" s="4" t="s">
        <v>10013</v>
      </c>
      <c r="C7960" s="5" t="str">
        <f>IFERROR(__xludf.DUMMYFUNCTION("GOOGLETRANSLATE(B7960,""en"",""es-ES"")"),"Los intestinos de caballos cuelgan de su cuerpo de la lesión.")</f>
        <v>Los intestinos de caballos cuelgan de su cuerpo de la lesión.</v>
      </c>
    </row>
    <row r="7961">
      <c r="A7961" s="4" t="s">
        <v>10009</v>
      </c>
      <c r="B7961" s="4" t="s">
        <v>10014</v>
      </c>
      <c r="C7961" s="5" t="str">
        <f>IFERROR(__xludf.DUMMYFUNCTION("GOOGLETRANSLATE(B7961,""en"",""es-ES"")"),"El caballo se encuentra en el suelo con una convulsión.")</f>
        <v>El caballo se encuentra en el suelo con una convulsión.</v>
      </c>
    </row>
    <row r="7962">
      <c r="A7962" s="4" t="s">
        <v>10009</v>
      </c>
      <c r="B7962" s="4" t="s">
        <v>10015</v>
      </c>
      <c r="C7962" s="5" t="str">
        <f>IFERROR(__xludf.DUMMYFUNCTION("GOOGLETRANSLATE(B7962,""en"",""es-ES"")"),"Un toro persigue a un vaquero en un caballo con un lazo.")</f>
        <v>Un toro persigue a un vaquero en un caballo con un lazo.</v>
      </c>
    </row>
    <row r="7963">
      <c r="A7963" s="4" t="s">
        <v>10016</v>
      </c>
      <c r="B7963" s="4" t="s">
        <v>10017</v>
      </c>
      <c r="C7963" s="5" t="str">
        <f>IFERROR(__xludf.DUMMYFUNCTION("GOOGLETRANSLATE(B7963,""en"",""es-ES"")"),"Un motociclista está en la cama y es despertado por un despertador.")</f>
        <v>Un motociclista está en la cama y es despertado por un despertador.</v>
      </c>
    </row>
    <row r="7964">
      <c r="A7964" s="4" t="s">
        <v>10016</v>
      </c>
      <c r="B7964" s="4" t="s">
        <v>10018</v>
      </c>
      <c r="C7964" s="5" t="str">
        <f>IFERROR(__xludf.DUMMYFUNCTION("GOOGLETRANSLATE(B7964,""en"",""es-ES"")"),"El motociclista se levanta de la cama y se prepara para salir bañándose usando el baño y leyendo el periódico.")</f>
        <v>El motociclista se levanta de la cama y se prepara para salir bañándose usando el baño y leyendo el periódico.</v>
      </c>
    </row>
    <row r="7965">
      <c r="A7965" s="4" t="s">
        <v>10016</v>
      </c>
      <c r="B7965" s="4" t="s">
        <v>10019</v>
      </c>
      <c r="C7965" s="5" t="str">
        <f>IFERROR(__xludf.DUMMYFUNCTION("GOOGLETRANSLATE(B7965,""en"",""es-ES"")"),"Monta la motocicleta por el pasillo y hacia el ascensor.")</f>
        <v>Monta la motocicleta por el pasillo y hacia el ascensor.</v>
      </c>
    </row>
    <row r="7966">
      <c r="A7966" s="4" t="s">
        <v>10016</v>
      </c>
      <c r="B7966" s="4" t="s">
        <v>10020</v>
      </c>
      <c r="C7966" s="5" t="str">
        <f>IFERROR(__xludf.DUMMYFUNCTION("GOOGLETRANSLATE(B7966,""en"",""es-ES"")"),"Sale del edificio y monta la motocicleta en un casino donde realiza varios trucos mientras la gente mira.")</f>
        <v>Sale del edificio y monta la motocicleta en un casino donde realiza varios trucos mientras la gente mira.</v>
      </c>
    </row>
    <row r="7967">
      <c r="A7967" s="4" t="s">
        <v>10016</v>
      </c>
      <c r="B7967" s="4" t="s">
        <v>10021</v>
      </c>
      <c r="C7967" s="5" t="str">
        <f>IFERROR(__xludf.DUMMYFUNCTION("GOOGLETRANSLATE(B7967,""en"",""es-ES"")"),"Sale del casino y los créditos de cierre aparecen en la pantalla.")</f>
        <v>Sale del casino y los créditos de cierre aparecen en la pantalla.</v>
      </c>
    </row>
    <row r="7968">
      <c r="A7968" s="4" t="s">
        <v>10022</v>
      </c>
      <c r="B7968" s="4" t="s">
        <v>10023</v>
      </c>
      <c r="C7968" s="5" t="str">
        <f>IFERROR(__xludf.DUMMYFUNCTION("GOOGLETRANSLATE(B7968,""en"",""es-ES"")"),"Se muestra un primer plano de peso.")</f>
        <v>Se muestra un primer plano de peso.</v>
      </c>
    </row>
    <row r="7969">
      <c r="A7969" s="4" t="s">
        <v>10022</v>
      </c>
      <c r="B7969" s="4" t="s">
        <v>10024</v>
      </c>
      <c r="C7969" s="5" t="str">
        <f>IFERROR(__xludf.DUMMYFUNCTION("GOOGLETRANSLATE(B7969,""en"",""es-ES"")"),"Se muestran a varias personas levantando barras con pesas de varias maneras en un gimnasio, mientras que otras personas miran o hacen ejercicio en segundo plano.")</f>
        <v>Se muestran a varias personas levantando barras con pesas de varias maneras en un gimnasio, mientras que otras personas miran o hacen ejercicio en segundo plano.</v>
      </c>
    </row>
    <row r="7970">
      <c r="A7970" s="4" t="s">
        <v>10022</v>
      </c>
      <c r="B7970" s="4" t="s">
        <v>10025</v>
      </c>
      <c r="C7970" s="5" t="str">
        <f>IFERROR(__xludf.DUMMYFUNCTION("GOOGLETRANSLATE(B7970,""en"",""es-ES"")"),"Se muestra una pantalla con un logotipo e información de contacto.")</f>
        <v>Se muestra una pantalla con un logotipo e información de contacto.</v>
      </c>
    </row>
    <row r="7971">
      <c r="A7971" s="4" t="s">
        <v>10026</v>
      </c>
      <c r="B7971" s="4" t="s">
        <v>10027</v>
      </c>
      <c r="C7971" s="5" t="str">
        <f>IFERROR(__xludf.DUMMYFUNCTION("GOOGLETRANSLATE(B7971,""en"",""es-ES"")"),"Vemos a una dama paseando a un perro.")</f>
        <v>Vemos a una dama paseando a un perro.</v>
      </c>
    </row>
    <row r="7972">
      <c r="A7972" s="4" t="s">
        <v>10026</v>
      </c>
      <c r="B7972" s="4" t="s">
        <v>10028</v>
      </c>
      <c r="C7972" s="5" t="str">
        <f>IFERROR(__xludf.DUMMYFUNCTION("GOOGLETRANSLATE(B7972,""en"",""es-ES"")"),"Vemos a un hombre paseando al perro.")</f>
        <v>Vemos a un hombre paseando al perro.</v>
      </c>
    </row>
    <row r="7973">
      <c r="A7973" s="4" t="s">
        <v>10026</v>
      </c>
      <c r="B7973" s="4" t="s">
        <v>10029</v>
      </c>
      <c r="C7973" s="5" t="str">
        <f>IFERROR(__xludf.DUMMYFUNCTION("GOOGLETRANSLATE(B7973,""en"",""es-ES"")"),"Regresamos a la dama paseando al perro.")</f>
        <v>Regresamos a la dama paseando al perro.</v>
      </c>
    </row>
    <row r="7974">
      <c r="A7974" s="4" t="s">
        <v>10026</v>
      </c>
      <c r="B7974" s="4" t="s">
        <v>10030</v>
      </c>
      <c r="C7974" s="5" t="str">
        <f>IFERROR(__xludf.DUMMYFUNCTION("GOOGLETRANSLATE(B7974,""en"",""es-ES"")"),"El perro tira de la dama por la calle.")</f>
        <v>El perro tira de la dama por la calle.</v>
      </c>
    </row>
    <row r="7975">
      <c r="A7975" s="4" t="s">
        <v>10026</v>
      </c>
      <c r="B7975" s="4" t="s">
        <v>10031</v>
      </c>
      <c r="C7975" s="5" t="str">
        <f>IFERROR(__xludf.DUMMYFUNCTION("GOOGLETRANSLATE(B7975,""en"",""es-ES"")"),"Vemos a la dama y al hombre hablando.")</f>
        <v>Vemos a la dama y al hombre hablando.</v>
      </c>
    </row>
    <row r="7976">
      <c r="A7976" s="4" t="s">
        <v>10026</v>
      </c>
      <c r="B7976" s="4" t="s">
        <v>10032</v>
      </c>
      <c r="C7976" s="5" t="str">
        <f>IFERROR(__xludf.DUMMYFUNCTION("GOOGLETRANSLATE(B7976,""en"",""es-ES"")"),"El hombre camina al perro por las escaleras y en el camino de entrada.")</f>
        <v>El hombre camina al perro por las escaleras y en el camino de entrada.</v>
      </c>
    </row>
    <row r="7977">
      <c r="A7977" s="4" t="s">
        <v>10026</v>
      </c>
      <c r="B7977" s="4" t="s">
        <v>10033</v>
      </c>
      <c r="C7977" s="5" t="str">
        <f>IFERROR(__xludf.DUMMYFUNCTION("GOOGLETRANSLATE(B7977,""en"",""es-ES"")"),"Vemos a la señora poner un hostaje, hijo, el perro y guiarlo mientras el hombre mira.")</f>
        <v>Vemos a la señora poner un hostaje, hijo, el perro y guiarlo mientras el hombre mira.</v>
      </c>
    </row>
    <row r="7978">
      <c r="A7978" s="4" t="s">
        <v>10026</v>
      </c>
      <c r="B7978" s="4" t="s">
        <v>10034</v>
      </c>
      <c r="C7978" s="5" t="str">
        <f>IFERROR(__xludf.DUMMYFUNCTION("GOOGLETRANSLATE(B7978,""en"",""es-ES"")"),"Luego vemos la pantalla de cierre negra.")</f>
        <v>Luego vemos la pantalla de cierre negra.</v>
      </c>
    </row>
    <row r="7979">
      <c r="A7979" s="4" t="s">
        <v>10035</v>
      </c>
      <c r="B7979" s="4" t="s">
        <v>10036</v>
      </c>
      <c r="C7979" s="5" t="str">
        <f>IFERROR(__xludf.DUMMYFUNCTION("GOOGLETRANSLATE(B7979,""en"",""es-ES"")"),"La nadadora femenina salta al agua en una reunión de natación.")</f>
        <v>La nadadora femenina salta al agua en una reunión de natación.</v>
      </c>
    </row>
    <row r="7980">
      <c r="A7980" s="4" t="s">
        <v>10035</v>
      </c>
      <c r="B7980" s="4" t="s">
        <v>10037</v>
      </c>
      <c r="C7980" s="5" t="str">
        <f>IFERROR(__xludf.DUMMYFUNCTION("GOOGLETRANSLATE(B7980,""en"",""es-ES"")"),"Rápidamente corren por los carriles de natación.")</f>
        <v>Rápidamente corren por los carriles de natación.</v>
      </c>
    </row>
    <row r="7981">
      <c r="A7981" s="4" t="s">
        <v>10035</v>
      </c>
      <c r="B7981" s="4" t="s">
        <v>10038</v>
      </c>
      <c r="C7981" s="5" t="str">
        <f>IFERROR(__xludf.DUMMYFUNCTION("GOOGLETRANSLATE(B7981,""en"",""es-ES"")"),"Los nadadores vuelven repetidamente de un lado a otro por los carriles de natación utilizando varias técnicas de natación.")</f>
        <v>Los nadadores vuelven repetidamente de un lado a otro por los carriles de natación utilizando varias técnicas de natación.</v>
      </c>
    </row>
    <row r="7982">
      <c r="A7982" s="4" t="s">
        <v>10039</v>
      </c>
      <c r="B7982" s="4" t="s">
        <v>10040</v>
      </c>
      <c r="C7982" s="5" t="str">
        <f>IFERROR(__xludf.DUMMYFUNCTION("GOOGLETRANSLATE(B7982,""en"",""es-ES"")"),"Hay algunas personas que se curvan en una pista de hielo interior.")</f>
        <v>Hay algunas personas que se curvan en una pista de hielo interior.</v>
      </c>
    </row>
    <row r="7983">
      <c r="A7983" s="4" t="s">
        <v>10039</v>
      </c>
      <c r="B7983" s="4" t="s">
        <v>10041</v>
      </c>
      <c r="C7983" s="5" t="str">
        <f>IFERROR(__xludf.DUMMYFUNCTION("GOOGLETRANSLATE(B7983,""en"",""es-ES"")"),"Hay algunas chicas preparándose con los palitos de curling y preparando la pista para jugar al curling.")</f>
        <v>Hay algunas chicas preparándose con los palitos de curling y preparando la pista para jugar al curling.</v>
      </c>
    </row>
    <row r="7984">
      <c r="A7984" s="4" t="s">
        <v>10039</v>
      </c>
      <c r="B7984" s="4" t="s">
        <v>10042</v>
      </c>
      <c r="C7984" s="5" t="str">
        <f>IFERROR(__xludf.DUMMYFUNCTION("GOOGLETRANSLATE(B7984,""en"",""es-ES"")"),"Dos chicas vestidas con equipo negro están jugando el juego mientras pasan por la pista con sus palitos rizados empujando la roca.")</f>
        <v>Dos chicas vestidas con equipo negro están jugando el juego mientras pasan por la pista con sus palitos rizados empujando la roca.</v>
      </c>
    </row>
    <row r="7985">
      <c r="A7985" s="4" t="s">
        <v>10039</v>
      </c>
      <c r="B7985" s="4" t="s">
        <v>10043</v>
      </c>
      <c r="C7985" s="5" t="str">
        <f>IFERROR(__xludf.DUMMYFUNCTION("GOOGLETRANSLATE(B7985,""en"",""es-ES"")"),"Uno de los jugadores se desliza por el piso y empuja la roca hasta el final de la pista.")</f>
        <v>Uno de los jugadores se desliza por el piso y empuja la roca hasta el final de la pista.</v>
      </c>
    </row>
    <row r="7986">
      <c r="A7986" s="4" t="s">
        <v>10039</v>
      </c>
      <c r="B7986" s="4" t="s">
        <v>10044</v>
      </c>
      <c r="C7986" s="5" t="str">
        <f>IFERROR(__xludf.DUMMYFUNCTION("GOOGLETRANSLATE(B7986,""en"",""es-ES"")"),"Los dos jugadores continúan jugando mientras pasan por la pista y deslizan las rocas hasta el final de la línea.")</f>
        <v>Los dos jugadores continúan jugando mientras pasan por la pista y deslizan las rocas hasta el final de la línea.</v>
      </c>
    </row>
    <row r="7987">
      <c r="A7987" s="4" t="s">
        <v>10039</v>
      </c>
      <c r="B7987" s="4" t="s">
        <v>10045</v>
      </c>
      <c r="C7987" s="5" t="str">
        <f>IFERROR(__xludf.DUMMYFUNCTION("GOOGLETRANSLATE(B7987,""en"",""es-ES"")"),"Otros dos jugadores con rosa juegan el juego mientras deslizan las rocas a través de la pista.")</f>
        <v>Otros dos jugadores con rosa juegan el juego mientras deslizan las rocas a través de la pista.</v>
      </c>
    </row>
    <row r="7988">
      <c r="A7988" s="4" t="s">
        <v>10046</v>
      </c>
      <c r="B7988" s="4" t="s">
        <v>10047</v>
      </c>
      <c r="C7988" s="5" t="str">
        <f>IFERROR(__xludf.DUMMYFUNCTION("GOOGLETRANSLATE(B7988,""en"",""es-ES"")"),"La dama de negro está haciendo un tutorial de peinado y demostrando a otra mujer que está sentada a su lado.")</f>
        <v>La dama de negro está haciendo un tutorial de peinado y demostrando a otra mujer que está sentada a su lado.</v>
      </c>
    </row>
    <row r="7989">
      <c r="A7989" s="4" t="s">
        <v>10046</v>
      </c>
      <c r="B7989" s="4" t="s">
        <v>10048</v>
      </c>
      <c r="C7989" s="5" t="str">
        <f>IFERROR(__xludf.DUMMYFUNCTION("GOOGLETRANSLATE(B7989,""en"",""es-ES"")"),"Ella muestra la laca para el cabello que ha usado en la modelo.")</f>
        <v>Ella muestra la laca para el cabello que ha usado en la modelo.</v>
      </c>
    </row>
    <row r="7990">
      <c r="A7990" s="4" t="s">
        <v>10046</v>
      </c>
      <c r="B7990" s="4" t="s">
        <v>10049</v>
      </c>
      <c r="C7990" s="5" t="str">
        <f>IFERROR(__xludf.DUMMYFUNCTION("GOOGLETRANSLATE(B7990,""en"",""es-ES"")"),"Ella usa la laca para el cabello de la modelo y lo rocía.")</f>
        <v>Ella usa la laca para el cabello de la modelo y lo rocía.</v>
      </c>
    </row>
    <row r="7991">
      <c r="A7991" s="4" t="s">
        <v>10046</v>
      </c>
      <c r="B7991" s="4" t="s">
        <v>10050</v>
      </c>
      <c r="C7991" s="5" t="str">
        <f>IFERROR(__xludf.DUMMYFUNCTION("GOOGLETRANSLATE(B7991,""en"",""es-ES"")"),"Luego toma un par de tijeras y corta la banda de goma y rocía su cabello nuevamente.")</f>
        <v>Luego toma un par de tijeras y corta la banda de goma y rocía su cabello nuevamente.</v>
      </c>
    </row>
    <row r="7992">
      <c r="A7992" s="4" t="s">
        <v>10046</v>
      </c>
      <c r="B7992" s="4" t="s">
        <v>10051</v>
      </c>
      <c r="C7992" s="5" t="str">
        <f>IFERROR(__xludf.DUMMYFUNCTION("GOOGLETRANSLATE(B7992,""en"",""es-ES"")"),"Ella separa la trenza y frota sus dedos sobre ella.")</f>
        <v>Ella separa la trenza y frota sus dedos sobre ella.</v>
      </c>
    </row>
    <row r="7993">
      <c r="A7993" s="4" t="s">
        <v>10046</v>
      </c>
      <c r="B7993" s="4" t="s">
        <v>10052</v>
      </c>
      <c r="C7993" s="5" t="str">
        <f>IFERROR(__xludf.DUMMYFUNCTION("GOOGLETRANSLATE(B7993,""en"",""es-ES"")"),"Luego se tuerce la trenza y la ata en la cabeza de la modelo.")</f>
        <v>Luego se tuerce la trenza y la ata en la cabeza de la modelo.</v>
      </c>
    </row>
    <row r="7994">
      <c r="A7994" s="4" t="s">
        <v>10046</v>
      </c>
      <c r="B7994" s="4" t="s">
        <v>10053</v>
      </c>
      <c r="C7994" s="5" t="str">
        <f>IFERROR(__xludf.DUMMYFUNCTION("GOOGLETRANSLATE(B7994,""en"",""es-ES"")"),"Ella lo gira de nuevo y lo aprieta y lo asegura con un alfiler nuevamente.")</f>
        <v>Ella lo gira de nuevo y lo aprieta y lo asegura con un alfiler nuevamente.</v>
      </c>
    </row>
    <row r="7995">
      <c r="A7995" s="4" t="s">
        <v>10046</v>
      </c>
      <c r="B7995" s="4" t="s">
        <v>10054</v>
      </c>
      <c r="C7995" s="5" t="str">
        <f>IFERROR(__xludf.DUMMYFUNCTION("GOOGLETRANSLATE(B7995,""en"",""es-ES"")"),"Ella también hace un bollo de la trenza para completar el peinado.")</f>
        <v>Ella también hace un bollo de la trenza para completar el peinado.</v>
      </c>
    </row>
    <row r="7996">
      <c r="A7996" s="4" t="s">
        <v>10046</v>
      </c>
      <c r="B7996" s="4" t="s">
        <v>10055</v>
      </c>
      <c r="C7996" s="5" t="str">
        <f>IFERROR(__xludf.DUMMYFUNCTION("GOOGLETRANSLATE(B7996,""en"",""es-ES"")"),"Ella muestra la botella de laca para el cabello nuevamente que ha usado en la modelo.")</f>
        <v>Ella muestra la botella de laca para el cabello nuevamente que ha usado en la modelo.</v>
      </c>
    </row>
    <row r="7997">
      <c r="A7997" s="4" t="s">
        <v>10056</v>
      </c>
      <c r="B7997" s="4" t="s">
        <v>10057</v>
      </c>
      <c r="C7997" s="5" t="str">
        <f>IFERROR(__xludf.DUMMYFUNCTION("GOOGLETRANSLATE(B7997,""en"",""es-ES"")"),"Un hombre y una mujer están parados en una habitación claramente blanca.")</f>
        <v>Un hombre y una mujer están parados en una habitación claramente blanca.</v>
      </c>
    </row>
    <row r="7998">
      <c r="A7998" s="4" t="s">
        <v>10056</v>
      </c>
      <c r="B7998" s="4" t="s">
        <v>10058</v>
      </c>
      <c r="C7998" s="5" t="str">
        <f>IFERROR(__xludf.DUMMYFUNCTION("GOOGLETRANSLATE(B7998,""en"",""es-ES"")"),"Colocan plástico en el suelo y llenan una bañera con pintura blanca.")</f>
        <v>Colocan plástico en el suelo y llenan una bañera con pintura blanca.</v>
      </c>
    </row>
    <row r="7999">
      <c r="A7999" s="4" t="s">
        <v>10056</v>
      </c>
      <c r="B7999" s="4" t="s">
        <v>10059</v>
      </c>
      <c r="C7999" s="5" t="str">
        <f>IFERROR(__xludf.DUMMYFUNCTION("GOOGLETRANSLATE(B7999,""en"",""es-ES"")"),"Luego demuestran cómo colgar una tira de papel tapiz en la pared.")</f>
        <v>Luego demuestran cómo colgar una tira de papel tapiz en la pared.</v>
      </c>
    </row>
    <row r="8000">
      <c r="A8000" s="4" t="s">
        <v>10060</v>
      </c>
      <c r="B8000" s="4" t="s">
        <v>10061</v>
      </c>
      <c r="C8000" s="5" t="str">
        <f>IFERROR(__xludf.DUMMYFUNCTION("GOOGLETRANSLATE(B8000,""en"",""es-ES"")"),"Se ve a un hombre practicando sus habilidades de ping pong seguido de él jugando el juego contra otra persona.")</f>
        <v>Se ve a un hombre practicando sus habilidades de ping pong seguido de él jugando el juego contra otra persona.</v>
      </c>
    </row>
    <row r="8001">
      <c r="A8001" s="4" t="s">
        <v>10060</v>
      </c>
      <c r="B8001" s="4" t="s">
        <v>10062</v>
      </c>
      <c r="C8001" s="5" t="str">
        <f>IFERROR(__xludf.DUMMYFUNCTION("GOOGLETRANSLATE(B8001,""en"",""es-ES"")"),"Un hombre observa a un lado mientras los hombres continúan jugando con más personas que se detienen para ver.")</f>
        <v>Un hombre observa a un lado mientras los hombres continúan jugando con más personas que se detienen para ver.</v>
      </c>
    </row>
    <row r="8002">
      <c r="A8002" s="4" t="s">
        <v>10063</v>
      </c>
      <c r="B8002" s="4" t="s">
        <v>10064</v>
      </c>
      <c r="C8002" s="5" t="str">
        <f>IFERROR(__xludf.DUMMYFUNCTION("GOOGLETRANSLATE(B8002,""en"",""es-ES"")"),"Una mujer en bikini está de pie en una habitación.")</f>
        <v>Una mujer en bikini está de pie en una habitación.</v>
      </c>
    </row>
    <row r="8003">
      <c r="A8003" s="4" t="s">
        <v>10063</v>
      </c>
      <c r="B8003" s="4" t="s">
        <v>10065</v>
      </c>
      <c r="C8003" s="5" t="str">
        <f>IFERROR(__xludf.DUMMYFUNCTION("GOOGLETRANSLATE(B8003,""en"",""es-ES"")"),"Ella comienza a hula hoop con un hula hoop iluminado.")</f>
        <v>Ella comienza a hula hoop con un hula hoop iluminado.</v>
      </c>
    </row>
    <row r="8004">
      <c r="A8004" s="4" t="s">
        <v>10063</v>
      </c>
      <c r="B8004" s="4" t="s">
        <v>10066</v>
      </c>
      <c r="C8004" s="5" t="str">
        <f>IFERROR(__xludf.DUMMYFUNCTION("GOOGLETRANSLATE(B8004,""en"",""es-ES"")"),"El hula hoop se ve sentado junto a una camisa.")</f>
        <v>El hula hoop se ve sentado junto a una camisa.</v>
      </c>
    </row>
    <row r="8005">
      <c r="A8005" s="4" t="s">
        <v>10067</v>
      </c>
      <c r="B8005" s="4" t="s">
        <v>10068</v>
      </c>
      <c r="C8005" s="5" t="str">
        <f>IFERROR(__xludf.DUMMYFUNCTION("GOOGLETRANSLATE(B8005,""en"",""es-ES"")"),"Una persona entra al marco sosteniendo una herramienta y cortando un árbol hacia arriba y hacia abajo.")</f>
        <v>Una persona entra al marco sosteniendo una herramienta y cortando un árbol hacia arriba y hacia abajo.</v>
      </c>
    </row>
    <row r="8006">
      <c r="A8006" s="4" t="s">
        <v>10067</v>
      </c>
      <c r="B8006" s="4" t="s">
        <v>10069</v>
      </c>
      <c r="C8006" s="5" t="str">
        <f>IFERROR(__xludf.DUMMYFUNCTION("GOOGLETRANSLATE(B8006,""en"",""es-ES"")"),"La persona continúa usando la herramienta en el árbol y usa una pequeña para terminar los lados, presentando un pequeño árbol al final.")</f>
        <v>La persona continúa usando la herramienta en el árbol y usa una pequeña para terminar los lados, presentando un pequeño árbol al final.</v>
      </c>
    </row>
    <row r="8007">
      <c r="A8007" s="4" t="s">
        <v>10070</v>
      </c>
      <c r="B8007" s="4" t="s">
        <v>10071</v>
      </c>
      <c r="C8007" s="5" t="str">
        <f>IFERROR(__xludf.DUMMYFUNCTION("GOOGLETRANSLATE(B8007,""en"",""es-ES"")"),"Una mujer está parada frente a una tabla de planchar mientras habla.")</f>
        <v>Una mujer está parada frente a una tabla de planchar mientras habla.</v>
      </c>
    </row>
    <row r="8008">
      <c r="A8008" s="4" t="s">
        <v>10070</v>
      </c>
      <c r="B8008" s="4" t="s">
        <v>10072</v>
      </c>
      <c r="C8008" s="5" t="str">
        <f>IFERROR(__xludf.DUMMYFUNCTION("GOOGLETRANSLATE(B8008,""en"",""es-ES"")"),"Muestra una camisa blanca, que rocía con algo en una lata.")</f>
        <v>Muestra una camisa blanca, que rocía con algo en una lata.</v>
      </c>
    </row>
    <row r="8009">
      <c r="A8009" s="4" t="s">
        <v>10070</v>
      </c>
      <c r="B8009" s="4" t="s">
        <v>10073</v>
      </c>
      <c r="C8009" s="5" t="str">
        <f>IFERROR(__xludf.DUMMYFUNCTION("GOOGLETRANSLATE(B8009,""en"",""es-ES"")"),"Ella organiza la camisa en la tabla de planchar, luego comienza a planchar la camisa.")</f>
        <v>Ella organiza la camisa en la tabla de planchar, luego comienza a planchar la camisa.</v>
      </c>
    </row>
    <row r="8010">
      <c r="A8010" s="4" t="s">
        <v>10070</v>
      </c>
      <c r="B8010" s="4" t="s">
        <v>10074</v>
      </c>
      <c r="C8010" s="5" t="str">
        <f>IFERROR(__xludf.DUMMYFUNCTION("GOOGLETRANSLATE(B8010,""en"",""es-ES"")"),"Después de moler la camisa, la pantalla se destina a un anuncio para expertos en la aldea.")</f>
        <v>Después de moler la camisa, la pantalla se destina a un anuncio para expertos en la aldea.</v>
      </c>
    </row>
    <row r="8011">
      <c r="A8011" s="4" t="s">
        <v>10075</v>
      </c>
      <c r="B8011" s="4" t="s">
        <v>10076</v>
      </c>
      <c r="C8011" s="5" t="str">
        <f>IFERROR(__xludf.DUMMYFUNCTION("GOOGLETRANSLATE(B8011,""en"",""es-ES"")"),"Dos mujeres están en el lavado de autos.")</f>
        <v>Dos mujeres están en el lavado de autos.</v>
      </c>
    </row>
    <row r="8012">
      <c r="A8012" s="4" t="s">
        <v>10075</v>
      </c>
      <c r="B8012" s="4" t="s">
        <v>10077</v>
      </c>
      <c r="C8012" s="5" t="str">
        <f>IFERROR(__xludf.DUMMYFUNCTION("GOOGLETRANSLATE(B8012,""en"",""es-ES"")"),"Un automóvil está cubierto de jabón.")</f>
        <v>Un automóvil está cubierto de jabón.</v>
      </c>
    </row>
    <row r="8013">
      <c r="A8013" s="4" t="s">
        <v>10075</v>
      </c>
      <c r="B8013" s="4" t="s">
        <v>10078</v>
      </c>
      <c r="C8013" s="5" t="str">
        <f>IFERROR(__xludf.DUMMYFUNCTION("GOOGLETRANSLATE(B8013,""en"",""es-ES"")"),"Las mujeres comienzan a usar una manguera de agua para limpiar el jabón.")</f>
        <v>Las mujeres comienzan a usar una manguera de agua para limpiar el jabón.</v>
      </c>
    </row>
    <row r="8014">
      <c r="A8014" s="4" t="s">
        <v>10075</v>
      </c>
      <c r="B8014" s="4" t="s">
        <v>10079</v>
      </c>
      <c r="C8014" s="5" t="str">
        <f>IFERROR(__xludf.DUMMYFUNCTION("GOOGLETRANSLATE(B8014,""en"",""es-ES"")"),"Trabajan la manguera y cepilan por todo el auto.")</f>
        <v>Trabajan la manguera y cepilan por todo el auto.</v>
      </c>
    </row>
    <row r="8015">
      <c r="A8015" s="4" t="s">
        <v>10075</v>
      </c>
      <c r="B8015" s="4" t="s">
        <v>10080</v>
      </c>
      <c r="C8015" s="5" t="str">
        <f>IFERROR(__xludf.DUMMYFUNCTION("GOOGLETRANSLATE(B8015,""en"",""es-ES"")"),"Terminan de manipularlo.")</f>
        <v>Terminan de manipularlo.</v>
      </c>
    </row>
    <row r="8016">
      <c r="A8016" s="4" t="s">
        <v>10081</v>
      </c>
      <c r="B8016" s="4" t="s">
        <v>10082</v>
      </c>
      <c r="C8016" s="5" t="str">
        <f>IFERROR(__xludf.DUMMYFUNCTION("GOOGLETRANSLATE(B8016,""en"",""es-ES"")"),"Un joven se prepara para completar una rutina en las barras paralelas.")</f>
        <v>Un joven se prepara para completar una rutina en las barras paralelas.</v>
      </c>
    </row>
    <row r="8017">
      <c r="A8017" s="4" t="s">
        <v>10081</v>
      </c>
      <c r="B8017" s="4" t="s">
        <v>10083</v>
      </c>
      <c r="C8017" s="5" t="str">
        <f>IFERROR(__xludf.DUMMYFUNCTION("GOOGLETRANSLATE(B8017,""en"",""es-ES"")"),"Muchas personas están en gradas en el fondo caminando, sentados y observando.")</f>
        <v>Muchas personas están en gradas en el fondo caminando, sentados y observando.</v>
      </c>
    </row>
    <row r="8018">
      <c r="A8018" s="4" t="s">
        <v>10081</v>
      </c>
      <c r="B8018" s="4" t="s">
        <v>10084</v>
      </c>
      <c r="C8018" s="5" t="str">
        <f>IFERROR(__xludf.DUMMYFUNCTION("GOOGLETRANSLATE(B8018,""en"",""es-ES"")"),"El joven usa una tabla de resorte para montar las barras.")</f>
        <v>El joven usa una tabla de resorte para montar las barras.</v>
      </c>
    </row>
    <row r="8019">
      <c r="A8019" s="4" t="s">
        <v>10081</v>
      </c>
      <c r="B8019" s="4" t="s">
        <v>10085</v>
      </c>
      <c r="C8019" s="5" t="str">
        <f>IFERROR(__xludf.DUMMYFUNCTION("GOOGLETRANSLATE(B8019,""en"",""es-ES"")"),"Un hombre parado cerca saca el tablero de primavera fuera del camino.")</f>
        <v>Un hombre parado cerca saca el tablero de primavera fuera del camino.</v>
      </c>
    </row>
    <row r="8020">
      <c r="A8020" s="4" t="s">
        <v>10081</v>
      </c>
      <c r="B8020" s="4" t="s">
        <v>10086</v>
      </c>
      <c r="C8020" s="5" t="str">
        <f>IFERROR(__xludf.DUMMYFUNCTION("GOOGLETRANSLATE(B8020,""en"",""es-ES"")"),"Varios jueces se sientan en una mesa frente a las gradas que observan.")</f>
        <v>Varios jueces se sientan en una mesa frente a las gradas que observan.</v>
      </c>
    </row>
    <row r="8021">
      <c r="A8021" s="4" t="s">
        <v>10081</v>
      </c>
      <c r="B8021" s="4" t="s">
        <v>10087</v>
      </c>
      <c r="C8021" s="5" t="str">
        <f>IFERROR(__xludf.DUMMYFUNCTION("GOOGLETRANSLATE(B8021,""en"",""es-ES"")"),"El joven completa su rutina de bares paralelos.")</f>
        <v>El joven completa su rutina de bares paralelos.</v>
      </c>
    </row>
    <row r="8022">
      <c r="A8022" s="4" t="s">
        <v>10081</v>
      </c>
      <c r="B8022" s="4" t="s">
        <v>10088</v>
      </c>
      <c r="C8022" s="5" t="str">
        <f>IFERROR(__xludf.DUMMYFUNCTION("GOOGLETRANSLATE(B8022,""en"",""es-ES"")"),"El joven luego desmonta, tierras y lazos.")</f>
        <v>El joven luego desmonta, tierras y lazos.</v>
      </c>
    </row>
    <row r="8023">
      <c r="A8023" s="4" t="s">
        <v>10081</v>
      </c>
      <c r="B8023" s="4" t="s">
        <v>10089</v>
      </c>
      <c r="C8023" s="5" t="str">
        <f>IFERROR(__xludf.DUMMYFUNCTION("GOOGLETRANSLATE(B8023,""en"",""es-ES"")"),"Se aleja cuando otro hombre en el mismo uniforme se acerca.")</f>
        <v>Se aleja cuando otro hombre en el mismo uniforme se acerca.</v>
      </c>
    </row>
    <row r="8024">
      <c r="A8024" s="4" t="s">
        <v>10090</v>
      </c>
      <c r="B8024" s="4" t="s">
        <v>10091</v>
      </c>
      <c r="C8024" s="5" t="str">
        <f>IFERROR(__xludf.DUMMYFUNCTION("GOOGLETRANSLATE(B8024,""en"",""es-ES"")"),"Se ve un primer plano de un tronco y una persona que balancea un hacha hacia arriba y hacia abajo.")</f>
        <v>Se ve un primer plano de un tronco y una persona que balancea un hacha hacia arriba y hacia abajo.</v>
      </c>
    </row>
    <row r="8025">
      <c r="A8025" s="4" t="s">
        <v>10090</v>
      </c>
      <c r="B8025" s="4" t="s">
        <v>10092</v>
      </c>
      <c r="C8025" s="5" t="str">
        <f>IFERROR(__xludf.DUMMYFUNCTION("GOOGLETRANSLATE(B8025,""en"",""es-ES"")"),"La persona balancea el hacha contra el perro y lo corta por la mitad.")</f>
        <v>La persona balancea el hacha contra el perro y lo corta por la mitad.</v>
      </c>
    </row>
    <row r="8026">
      <c r="A8026" s="4" t="s">
        <v>10090</v>
      </c>
      <c r="B8026" s="4" t="s">
        <v>10093</v>
      </c>
      <c r="C8026" s="5" t="str">
        <f>IFERROR(__xludf.DUMMYFUNCTION("GOOGLETRANSLATE(B8026,""en"",""es-ES"")"),"La persona realiza esto varias veces más.")</f>
        <v>La persona realiza esto varias veces más.</v>
      </c>
    </row>
    <row r="8027">
      <c r="A8027" s="4" t="s">
        <v>10094</v>
      </c>
      <c r="B8027" s="4" t="s">
        <v>10095</v>
      </c>
      <c r="C8027" s="5" t="str">
        <f>IFERROR(__xludf.DUMMYFUNCTION("GOOGLETRANSLATE(B8027,""en"",""es-ES"")"),"Se ve a varias personas haciendo sentados con la ayuda y las transiciones de otros a varias tomas de personas que realizan tareas agotadoras.")</f>
        <v>Se ve a varias personas haciendo sentados con la ayuda y las transiciones de otros a varias tomas de personas que realizan tareas agotadoras.</v>
      </c>
    </row>
    <row r="8028">
      <c r="A8028" s="4" t="s">
        <v>10094</v>
      </c>
      <c r="B8028" s="4" t="s">
        <v>10096</v>
      </c>
      <c r="C8028" s="5" t="str">
        <f>IFERROR(__xludf.DUMMYFUNCTION("GOOGLETRANSLATE(B8028,""en"",""es-ES"")"),"Un hombre sube una pared y hace empuje, mientras que otro es entrevistado por la cámara y varias personas suben una pared.")</f>
        <v>Un hombre sube una pared y hace empuje, mientras que otro es entrevistado por la cámara y varias personas suben una pared.</v>
      </c>
    </row>
    <row r="8029">
      <c r="A8029" s="4" t="s">
        <v>10094</v>
      </c>
      <c r="B8029" s="4" t="s">
        <v>10097</v>
      </c>
      <c r="C8029" s="5" t="str">
        <f>IFERROR(__xludf.DUMMYFUNCTION("GOOGLETRANSLATE(B8029,""en"",""es-ES"")"),"Se muestran más tomas de las personas que hacen ejercicio, así como escalar paredes de roca y varias flexiones.")</f>
        <v>Se muestran más tomas de las personas que hacen ejercicio, así como escalar paredes de roca y varias flexiones.</v>
      </c>
    </row>
    <row r="8030">
      <c r="A8030" s="4" t="s">
        <v>10098</v>
      </c>
      <c r="B8030" s="4" t="s">
        <v>10099</v>
      </c>
      <c r="C8030" s="5" t="str">
        <f>IFERROR(__xludf.DUMMYFUNCTION("GOOGLETRANSLATE(B8030,""en"",""es-ES"")"),"Un hombre que lleva una camisa blanca y un patrón de rana tocada toca sus pezones mientras sostiene una grabadora.")</f>
        <v>Un hombre que lleva una camisa blanca y un patrón de rana tocada toca sus pezones mientras sostiene una grabadora.</v>
      </c>
    </row>
    <row r="8031">
      <c r="A8031" s="4" t="s">
        <v>10098</v>
      </c>
      <c r="B8031" s="4" t="s">
        <v>10100</v>
      </c>
      <c r="C8031" s="5" t="str">
        <f>IFERROR(__xludf.DUMMYFUNCTION("GOOGLETRANSLATE(B8031,""en"",""es-ES"")"),"El hombre trae la grabadora a su fosa nasal derecha.")</f>
        <v>El hombre trae la grabadora a su fosa nasal derecha.</v>
      </c>
    </row>
    <row r="8032">
      <c r="A8032" s="4" t="s">
        <v>10098</v>
      </c>
      <c r="B8032" s="4" t="s">
        <v>10101</v>
      </c>
      <c r="C8032" s="5" t="str">
        <f>IFERROR(__xludf.DUMMYFUNCTION("GOOGLETRANSLATE(B8032,""en"",""es-ES"")"),"El hombre comienza a jugar la grabadora.")</f>
        <v>El hombre comienza a jugar la grabadora.</v>
      </c>
    </row>
    <row r="8033">
      <c r="A8033" s="4" t="s">
        <v>10098</v>
      </c>
      <c r="B8033" s="4" t="s">
        <v>10102</v>
      </c>
      <c r="C8033" s="5" t="str">
        <f>IFERROR(__xludf.DUMMYFUNCTION("GOOGLETRANSLATE(B8033,""en"",""es-ES"")"),"La escena corta al hombre, después de haber terminado de jugar, inclinándose mientras tocaba sus pezones.")</f>
        <v>La escena corta al hombre, después de haber terminado de jugar, inclinándose mientras tocaba sus pezones.</v>
      </c>
    </row>
    <row r="8034">
      <c r="A8034" s="4" t="s">
        <v>10103</v>
      </c>
      <c r="B8034" s="4" t="s">
        <v>10104</v>
      </c>
      <c r="C8034" s="5" t="str">
        <f>IFERROR(__xludf.DUMMYFUNCTION("GOOGLETRANSLATE(B8034,""en"",""es-ES"")"),"La gente está jugando a la piscina en una habitación.")</f>
        <v>La gente está jugando a la piscina en una habitación.</v>
      </c>
    </row>
    <row r="8035">
      <c r="A8035" s="4" t="s">
        <v>10103</v>
      </c>
      <c r="B8035" s="4" t="s">
        <v>10105</v>
      </c>
      <c r="C8035" s="5" t="str">
        <f>IFERROR(__xludf.DUMMYFUNCTION("GOOGLETRANSLATE(B8035,""en"",""es-ES"")"),"Un hombre dispara a la pelota y llega al bolsillo.")</f>
        <v>Un hombre dispara a la pelota y llega al bolsillo.</v>
      </c>
    </row>
    <row r="8036">
      <c r="A8036" s="4" t="s">
        <v>10103</v>
      </c>
      <c r="B8036" s="4" t="s">
        <v>10106</v>
      </c>
      <c r="C8036" s="5" t="str">
        <f>IFERROR(__xludf.DUMMYFUNCTION("GOOGLETRANSLATE(B8036,""en"",""es-ES"")"),"La gente está de pie detrás de él jugando al billar en otra mesa.")</f>
        <v>La gente está de pie detrás de él jugando al billar en otra mesa.</v>
      </c>
    </row>
    <row r="8037">
      <c r="A8037" s="4" t="s">
        <v>10107</v>
      </c>
      <c r="B8037" s="4" t="s">
        <v>10108</v>
      </c>
      <c r="C8037" s="5" t="str">
        <f>IFERROR(__xludf.DUMMYFUNCTION("GOOGLETRANSLATE(B8037,""en"",""es-ES"")"),"Vemos que la tarjeta de título se desvanece.")</f>
        <v>Vemos que la tarjeta de título se desvanece.</v>
      </c>
    </row>
    <row r="8038">
      <c r="A8038" s="4" t="s">
        <v>10107</v>
      </c>
      <c r="B8038" s="4" t="s">
        <v>10109</v>
      </c>
      <c r="C8038" s="5" t="str">
        <f>IFERROR(__xludf.DUMMYFUNCTION("GOOGLETRANSLATE(B8038,""en"",""es-ES"")"),"Vemos a dos niños en un camello en un carnaval.")</f>
        <v>Vemos a dos niños en un camello en un carnaval.</v>
      </c>
    </row>
    <row r="8039">
      <c r="A8039" s="4" t="s">
        <v>10107</v>
      </c>
      <c r="B8039" s="4" t="s">
        <v>10110</v>
      </c>
      <c r="C8039" s="5" t="str">
        <f>IFERROR(__xludf.DUMMYFUNCTION("GOOGLETRANSLATE(B8039,""en"",""es-ES"")"),"El hombre saca el camello del corral mientras fuma un cigarrillo.")</f>
        <v>El hombre saca el camello del corral mientras fuma un cigarrillo.</v>
      </c>
    </row>
    <row r="8040">
      <c r="A8040" s="4" t="s">
        <v>10107</v>
      </c>
      <c r="B8040" s="4" t="s">
        <v>10111</v>
      </c>
      <c r="C8040" s="5" t="str">
        <f>IFERROR(__xludf.DUMMYFUNCTION("GOOGLETRANSLATE(B8040,""en"",""es-ES"")"),"Pasan el zoológico de mascotas.")</f>
        <v>Pasan el zoológico de mascotas.</v>
      </c>
    </row>
    <row r="8041">
      <c r="A8041" s="4" t="s">
        <v>10107</v>
      </c>
      <c r="B8041" s="4" t="s">
        <v>10112</v>
      </c>
      <c r="C8041" s="5" t="str">
        <f>IFERROR(__xludf.DUMMYFUNCTION("GOOGLETRANSLATE(B8041,""en"",""es-ES"")"),"Vemos a la madre tomando fotos de los niños.")</f>
        <v>Vemos a la madre tomando fotos de los niños.</v>
      </c>
    </row>
    <row r="8042">
      <c r="A8042" s="4" t="s">
        <v>10107</v>
      </c>
      <c r="B8042" s="4" t="s">
        <v>10113</v>
      </c>
      <c r="C8042" s="5" t="str">
        <f>IFERROR(__xludf.DUMMYFUNCTION("GOOGLETRANSLATE(B8042,""en"",""es-ES"")"),"Se muestra la tarjeta final.")</f>
        <v>Se muestra la tarjeta final.</v>
      </c>
    </row>
    <row r="8043">
      <c r="A8043" s="4" t="s">
        <v>10114</v>
      </c>
      <c r="B8043" s="4" t="s">
        <v>10115</v>
      </c>
      <c r="C8043" s="5" t="str">
        <f>IFERROR(__xludf.DUMMYFUNCTION("GOOGLETRANSLATE(B8043,""en"",""es-ES"")"),"Hay un hombre que está en la habitación con otros dos hombres y levanta un peso que pesa más de 400 libras.")</f>
        <v>Hay un hombre que está en la habitación con otros dos hombres y levanta un peso que pesa más de 400 libras.</v>
      </c>
    </row>
    <row r="8044">
      <c r="A8044" s="4" t="s">
        <v>10114</v>
      </c>
      <c r="B8044" s="4" t="s">
        <v>10116</v>
      </c>
      <c r="C8044" s="5" t="str">
        <f>IFERROR(__xludf.DUMMYFUNCTION("GOOGLETRANSLATE(B8044,""en"",""es-ES"")"),"Luego levanta un peso que es más pesado que el último.")</f>
        <v>Luego levanta un peso que es más pesado que el último.</v>
      </c>
    </row>
    <row r="8045">
      <c r="A8045" s="4" t="s">
        <v>10114</v>
      </c>
      <c r="B8045" s="4" t="s">
        <v>10117</v>
      </c>
      <c r="C8045" s="5" t="str">
        <f>IFERROR(__xludf.DUMMYFUNCTION("GOOGLETRANSLATE(B8045,""en"",""es-ES"")"),"Él obtiene, un apretón de manos y un abrazo de un hombre mayor.")</f>
        <v>Él obtiene, un apretón de manos y un abrazo de un hombre mayor.</v>
      </c>
    </row>
    <row r="8046">
      <c r="A8046" s="4" t="s">
        <v>10114</v>
      </c>
      <c r="B8046" s="4" t="s">
        <v>10118</v>
      </c>
      <c r="C8046" s="5" t="str">
        <f>IFERROR(__xludf.DUMMYFUNCTION("GOOGLETRANSLATE(B8046,""en"",""es-ES"")"),"Entonces alguien le da dinero y alguien más que está sentado en una silla le da un gran cinco.")</f>
        <v>Entonces alguien le da dinero y alguien más que está sentado en una silla le da un gran cinco.</v>
      </c>
    </row>
    <row r="8047">
      <c r="A8047" s="4" t="s">
        <v>10119</v>
      </c>
      <c r="B8047" s="4" t="s">
        <v>10120</v>
      </c>
      <c r="C8047" s="5" t="str">
        <f>IFERROR(__xludf.DUMMYFUNCTION("GOOGLETRANSLATE(B8047,""en"",""es-ES"")"),"Un grupo de niños juega en equipos de juegos observados por los padres.")</f>
        <v>Un grupo de niños juega en equipos de juegos observados por los padres.</v>
      </c>
    </row>
    <row r="8048">
      <c r="A8048" s="4" t="s">
        <v>10119</v>
      </c>
      <c r="B8048" s="4" t="s">
        <v>10121</v>
      </c>
      <c r="C8048" s="5" t="str">
        <f>IFERROR(__xludf.DUMMYFUNCTION("GOOGLETRANSLATE(B8048,""en"",""es-ES"")"),"Un niño se balancea a través de las barras de mono.")</f>
        <v>Un niño se balancea a través de las barras de mono.</v>
      </c>
    </row>
    <row r="8049">
      <c r="A8049" s="4" t="s">
        <v>10119</v>
      </c>
      <c r="B8049" s="4" t="s">
        <v>10122</v>
      </c>
      <c r="C8049" s="5" t="str">
        <f>IFERROR(__xludf.DUMMYFUNCTION("GOOGLETRANSLATE(B8049,""en"",""es-ES"")"),"El niño llega al otro lado los arcos y corre de regreso a las barras de mono saltando y riendo.")</f>
        <v>El niño llega al otro lado los arcos y corre de regreso a las barras de mono saltando y riendo.</v>
      </c>
    </row>
    <row r="8050">
      <c r="A8050" s="4" t="s">
        <v>10119</v>
      </c>
      <c r="B8050" s="4" t="s">
        <v>10123</v>
      </c>
      <c r="C8050" s="5" t="str">
        <f>IFERROR(__xludf.DUMMYFUNCTION("GOOGLETRANSLATE(B8050,""en"",""es-ES"")"),"El niño salta felizmente y se cae, pero vuelve a subir.")</f>
        <v>El niño salta felizmente y se cae, pero vuelve a subir.</v>
      </c>
    </row>
    <row r="8051">
      <c r="A8051" s="4" t="s">
        <v>10124</v>
      </c>
      <c r="B8051" s="4" t="s">
        <v>10125</v>
      </c>
      <c r="C8051" s="5" t="str">
        <f>IFERROR(__xludf.DUMMYFUNCTION("GOOGLETRANSLATE(B8051,""en"",""es-ES"")"),"Se ve a una mujer en un entrenador elíptico en un anuncio.")</f>
        <v>Se ve a una mujer en un entrenador elíptico en un anuncio.</v>
      </c>
    </row>
    <row r="8052">
      <c r="A8052" s="4" t="s">
        <v>10124</v>
      </c>
      <c r="B8052" s="4" t="s">
        <v>10126</v>
      </c>
      <c r="C8052" s="5" t="str">
        <f>IFERROR(__xludf.DUMMYFUNCTION("GOOGLETRANSLATE(B8052,""en"",""es-ES"")"),"Luego vemos los diversos componentes y opciones para usar la máquina.")</f>
        <v>Luego vemos los diversos componentes y opciones para usar la máquina.</v>
      </c>
    </row>
    <row r="8053">
      <c r="A8053" s="4" t="s">
        <v>10124</v>
      </c>
      <c r="B8053" s="4" t="s">
        <v>10127</v>
      </c>
      <c r="C8053" s="5" t="str">
        <f>IFERROR(__xludf.DUMMYFUNCTION("GOOGLETRANSLATE(B8053,""en"",""es-ES"")"),"Una mujer se desplaza a través de una pantalla digital, luego se ve montando la elíptica.")</f>
        <v>Una mujer se desplaza a través de una pantalla digital, luego se ve montando la elíptica.</v>
      </c>
    </row>
    <row r="8054">
      <c r="A8054" s="4" t="s">
        <v>10128</v>
      </c>
      <c r="B8054" s="4" t="s">
        <v>10129</v>
      </c>
      <c r="C8054" s="5" t="str">
        <f>IFERROR(__xludf.DUMMYFUNCTION("GOOGLETRANSLATE(B8054,""en"",""es-ES"")"),"Un hombre está haciendo varias tareas mientras realiza abdominales.")</f>
        <v>Un hombre está haciendo varias tareas mientras realiza abdominales.</v>
      </c>
    </row>
    <row r="8055">
      <c r="A8055" s="4" t="s">
        <v>10128</v>
      </c>
      <c r="B8055" s="4" t="s">
        <v>5880</v>
      </c>
      <c r="C8055" s="5" t="str">
        <f>IFERROR(__xludf.DUMMYFUNCTION("GOOGLETRANSLATE(B8055,""en"",""es-ES"")"),"Se detiene y habla con la cámara.")</f>
        <v>Se detiene y habla con la cámara.</v>
      </c>
    </row>
    <row r="8056">
      <c r="A8056" s="4" t="s">
        <v>10128</v>
      </c>
      <c r="B8056" s="4" t="s">
        <v>10130</v>
      </c>
      <c r="C8056" s="5" t="str">
        <f>IFERROR(__xludf.DUMMYFUNCTION("GOOGLETRANSLATE(B8056,""en"",""es-ES"")"),"Él levanta la espalda en su máquina de ejercicios y comienza a hacer abdominales nuevamente.")</f>
        <v>Él levanta la espalda en su máquina de ejercicios y comienza a hacer abdominales nuevamente.</v>
      </c>
    </row>
    <row r="8057">
      <c r="A8057" s="4" t="s">
        <v>10128</v>
      </c>
      <c r="B8057" s="4" t="s">
        <v>10131</v>
      </c>
      <c r="C8057" s="5" t="str">
        <f>IFERROR(__xludf.DUMMYFUNCTION("GOOGLETRANSLATE(B8057,""en"",""es-ES"")"),"Se sienta y continúa hablando con la cámara.")</f>
        <v>Se sienta y continúa hablando con la cámara.</v>
      </c>
    </row>
    <row r="8058">
      <c r="A8058" s="4" t="s">
        <v>10132</v>
      </c>
      <c r="B8058" s="4" t="s">
        <v>10133</v>
      </c>
      <c r="C8058" s="5" t="str">
        <f>IFERROR(__xludf.DUMMYFUNCTION("GOOGLETRANSLATE(B8058,""en"",""es-ES"")"),"Se ve a dos hombres parados en una cancha de tenis sosteniendo raquetas y hablando con la cámara.")</f>
        <v>Se ve a dos hombres parados en una cancha de tenis sosteniendo raquetas y hablando con la cámara.</v>
      </c>
    </row>
    <row r="8059">
      <c r="A8059" s="4" t="s">
        <v>10132</v>
      </c>
      <c r="B8059" s="4" t="s">
        <v>10134</v>
      </c>
      <c r="C8059" s="5" t="str">
        <f>IFERROR(__xludf.DUMMYFUNCTION("GOOGLETRANSLATE(B8059,""en"",""es-ES"")"),"Se muestran varias escenas de cámara lenta realizando un servicio de tenis correcto con los hombres que se demuestran justo después.")</f>
        <v>Se muestran varias escenas de cámara lenta realizando un servicio de tenis correcto con los hombres que se demuestran justo después.</v>
      </c>
    </row>
    <row r="8060">
      <c r="A8060" s="4" t="s">
        <v>10132</v>
      </c>
      <c r="B8060" s="4" t="s">
        <v>10135</v>
      </c>
      <c r="C8060" s="5" t="str">
        <f>IFERROR(__xludf.DUMMYFUNCTION("GOOGLETRANSLATE(B8060,""en"",""es-ES"")"),"Los hombres hacen esto durante varios turnos con una cámara lenta de un hombre que realiza el truco hecho después.")</f>
        <v>Los hombres hacen esto durante varios turnos con una cámara lenta de un hombre que realiza el truco hecho después.</v>
      </c>
    </row>
    <row r="8061">
      <c r="A8061" s="4" t="s">
        <v>10136</v>
      </c>
      <c r="B8061" s="4" t="s">
        <v>10137</v>
      </c>
      <c r="C8061" s="5" t="str">
        <f>IFERROR(__xludf.DUMMYFUNCTION("GOOGLETRANSLATE(B8061,""en"",""es-ES"")"),"Se ve a un hombre hablando con la cámara y comienza a pulir un zapato negro con un pincel.")</f>
        <v>Se ve a un hombre hablando con la cámara y comienza a pulir un zapato negro con un pincel.</v>
      </c>
    </row>
    <row r="8062">
      <c r="A8062" s="4" t="s">
        <v>10136</v>
      </c>
      <c r="B8062" s="4" t="s">
        <v>10138</v>
      </c>
      <c r="C8062" s="5" t="str">
        <f>IFERROR(__xludf.DUMMYFUNCTION("GOOGLETRANSLATE(B8062,""en"",""es-ES"")"),"Señala alrededor del zapato y voltea el zapato con las manos.")</f>
        <v>Señala alrededor del zapato y voltea el zapato con las manos.</v>
      </c>
    </row>
    <row r="8063">
      <c r="A8063" s="4" t="s">
        <v>10139</v>
      </c>
      <c r="B8063" s="4" t="s">
        <v>10140</v>
      </c>
      <c r="C8063" s="5" t="str">
        <f>IFERROR(__xludf.DUMMYFUNCTION("GOOGLETRANSLATE(B8063,""en"",""es-ES"")"),"Un niño habla en un campo, luego juega con una persona que usa un palo para golpear una pelota.")</f>
        <v>Un niño habla en un campo, luego juega con una persona que usa un palo para golpear una pelota.</v>
      </c>
    </row>
    <row r="8064">
      <c r="A8064" s="4" t="s">
        <v>10139</v>
      </c>
      <c r="B8064" s="4" t="s">
        <v>10141</v>
      </c>
      <c r="C8064" s="5" t="str">
        <f>IFERROR(__xludf.DUMMYFUNCTION("GOOGLETRANSLATE(B8064,""en"",""es-ES"")"),"El niño arroja la pelota al otro niño y anota.")</f>
        <v>El niño arroja la pelota al otro niño y anota.</v>
      </c>
    </row>
    <row r="8065">
      <c r="A8065" s="4" t="s">
        <v>10139</v>
      </c>
      <c r="B8065" s="4" t="s">
        <v>10142</v>
      </c>
      <c r="C8065" s="5" t="str">
        <f>IFERROR(__xludf.DUMMYFUNCTION("GOOGLETRANSLATE(B8065,""en"",""es-ES"")"),"Los chicos hablan en el campo.")</f>
        <v>Los chicos hablan en el campo.</v>
      </c>
    </row>
    <row r="8066">
      <c r="A8066" s="4" t="s">
        <v>10143</v>
      </c>
      <c r="B8066" s="4" t="s">
        <v>6097</v>
      </c>
      <c r="C8066" s="5" t="str">
        <f>IFERROR(__xludf.DUMMYFUNCTION("GOOGLETRANSLATE(B8066,""en"",""es-ES"")"),"Vemos una pantalla de apertura negra.")</f>
        <v>Vemos una pantalla de apertura negra.</v>
      </c>
    </row>
    <row r="8067">
      <c r="A8067" s="4" t="s">
        <v>10143</v>
      </c>
      <c r="B8067" s="4" t="s">
        <v>10144</v>
      </c>
      <c r="C8067" s="5" t="str">
        <f>IFERROR(__xludf.DUMMYFUNCTION("GOOGLETRANSLATE(B8067,""en"",""es-ES"")"),"Vemos personas que surgen en el océano, dos hombres están tomando imágenes.")</f>
        <v>Vemos personas que surgen en el océano, dos hombres están tomando imágenes.</v>
      </c>
    </row>
    <row r="8068">
      <c r="A8068" s="4" t="s">
        <v>10143</v>
      </c>
      <c r="B8068" s="4" t="s">
        <v>10145</v>
      </c>
      <c r="C8068" s="5" t="str">
        <f>IFERROR(__xludf.DUMMYFUNCTION("GOOGLETRANSLATE(B8068,""en"",""es-ES"")"),"Vemos una pantalla de título y luego dos hombres se paran en la playa con una cámara.")</f>
        <v>Vemos una pantalla de título y luego dos hombres se paran en la playa con una cámara.</v>
      </c>
    </row>
    <row r="8069">
      <c r="A8069" s="4" t="s">
        <v>10143</v>
      </c>
      <c r="B8069" s="4" t="s">
        <v>10146</v>
      </c>
      <c r="C8069" s="5" t="str">
        <f>IFERROR(__xludf.DUMMYFUNCTION("GOOGLETRANSLATE(B8069,""en"",""es-ES"")"),"Vemos a los surfistas en el océano.")</f>
        <v>Vemos a los surfistas en el océano.</v>
      </c>
    </row>
    <row r="8070">
      <c r="A8070" s="4" t="s">
        <v>10143</v>
      </c>
      <c r="B8070" s="4" t="s">
        <v>10147</v>
      </c>
      <c r="C8070" s="5" t="str">
        <f>IFERROR(__xludf.DUMMYFUNCTION("GOOGLETRANSLATE(B8070,""en"",""es-ES"")"),"Vemos la tercera pantalla de título y dos hombres en la playa con una cámara.")</f>
        <v>Vemos la tercera pantalla de título y dos hombres en la playa con una cámara.</v>
      </c>
    </row>
    <row r="8071">
      <c r="A8071" s="4" t="s">
        <v>10143</v>
      </c>
      <c r="B8071" s="4" t="s">
        <v>10148</v>
      </c>
      <c r="C8071" s="5" t="str">
        <f>IFERROR(__xludf.DUMMYFUNCTION("GOOGLETRANSLATE(B8071,""en"",""es-ES"")"),"Luego vemos a los surfistas en el océano.")</f>
        <v>Luego vemos a los surfistas en el océano.</v>
      </c>
    </row>
    <row r="8072">
      <c r="A8072" s="4" t="s">
        <v>10143</v>
      </c>
      <c r="B8072" s="4" t="s">
        <v>10149</v>
      </c>
      <c r="C8072" s="5" t="str">
        <f>IFERROR(__xludf.DUMMYFUNCTION("GOOGLETRANSLATE(B8072,""en"",""es-ES"")"),"Vemos a un hombre en un bote con una cámara.")</f>
        <v>Vemos a un hombre en un bote con una cámara.</v>
      </c>
    </row>
    <row r="8073">
      <c r="A8073" s="4" t="s">
        <v>10143</v>
      </c>
      <c r="B8073" s="4" t="s">
        <v>10150</v>
      </c>
      <c r="C8073" s="5" t="str">
        <f>IFERROR(__xludf.DUMMYFUNCTION("GOOGLETRANSLATE(B8073,""en"",""es-ES"")"),"Luego vemos la pantalla de título de cierre.")</f>
        <v>Luego vemos la pantalla de título de cierre.</v>
      </c>
    </row>
    <row r="8074">
      <c r="A8074" s="4" t="s">
        <v>10151</v>
      </c>
      <c r="B8074" s="4" t="s">
        <v>10152</v>
      </c>
      <c r="C8074" s="5" t="str">
        <f>IFERROR(__xludf.DUMMYFUNCTION("GOOGLETRANSLATE(B8074,""en"",""es-ES"")"),"Un hombre está sentado, hablando con la cámara.")</f>
        <v>Un hombre está sentado, hablando con la cámara.</v>
      </c>
    </row>
    <row r="8075">
      <c r="A8075" s="4" t="s">
        <v>10151</v>
      </c>
      <c r="B8075" s="4" t="s">
        <v>10153</v>
      </c>
      <c r="C8075" s="5" t="str">
        <f>IFERROR(__xludf.DUMMYFUNCTION("GOOGLETRANSLATE(B8075,""en"",""es-ES"")"),"Lleva un traje y una corbata con un fondo colorido.")</f>
        <v>Lleva un traje y una corbata con un fondo colorido.</v>
      </c>
    </row>
    <row r="8076">
      <c r="A8076" s="4" t="s">
        <v>10151</v>
      </c>
      <c r="B8076" s="4" t="s">
        <v>10154</v>
      </c>
      <c r="C8076" s="5" t="str">
        <f>IFERROR(__xludf.DUMMYFUNCTION("GOOGLETRANSLATE(B8076,""en"",""es-ES"")"),"Continúa hablando, usando sus manos a medida que avanza.")</f>
        <v>Continúa hablando, usando sus manos a medida que avanza.</v>
      </c>
    </row>
    <row r="8077">
      <c r="A8077" s="4" t="s">
        <v>10155</v>
      </c>
      <c r="B8077" s="4" t="s">
        <v>10156</v>
      </c>
      <c r="C8077" s="5" t="str">
        <f>IFERROR(__xludf.DUMMYFUNCTION("GOOGLETRANSLATE(B8077,""en"",""es-ES"")"),"Se ve a una mujer corriendo por una larga pista y saltando a un pozo.")</f>
        <v>Se ve a una mujer corriendo por una larga pista y saltando a un pozo.</v>
      </c>
    </row>
    <row r="8078">
      <c r="A8078" s="4" t="s">
        <v>10155</v>
      </c>
      <c r="B8078" s="4" t="s">
        <v>10157</v>
      </c>
      <c r="C8078" s="5" t="str">
        <f>IFERROR(__xludf.DUMMYFUNCTION("GOOGLETRANSLATE(B8078,""en"",""es-ES"")"),"La cámara la mira mientras se aleja y le pega la lengua a otra persona.")</f>
        <v>La cámara la mira mientras se aleja y le pega la lengua a otra persona.</v>
      </c>
    </row>
    <row r="8079">
      <c r="A8079" s="4" t="s">
        <v>10158</v>
      </c>
      <c r="B8079" s="4" t="s">
        <v>10159</v>
      </c>
      <c r="C8079" s="5" t="str">
        <f>IFERROR(__xludf.DUMMYFUNCTION("GOOGLETRANSLATE(B8079,""en"",""es-ES"")"),"Un niño soluciona un trozo de metal en una tienda interior mientras usa un abrigo protector, casco, gafas y guantes.")</f>
        <v>Un niño soluciona un trozo de metal en una tienda interior mientras usa un abrigo protector, casco, gafas y guantes.</v>
      </c>
    </row>
    <row r="8080">
      <c r="A8080" s="4" t="s">
        <v>10158</v>
      </c>
      <c r="B8080" s="4" t="s">
        <v>10160</v>
      </c>
      <c r="C8080" s="5" t="str">
        <f>IFERROR(__xludf.DUMMYFUNCTION("GOOGLETRANSLATE(B8080,""en"",""es-ES"")"),"Un niño en una tienda habla con la cámara mientras está parado frente a un trozo de metal y maneja las herramientas de soldadura en preparación para soldar.")</f>
        <v>Un niño en una tienda habla con la cámara mientras está parado frente a un trozo de metal y maneja las herramientas de soldadura en preparación para soldar.</v>
      </c>
    </row>
    <row r="8081">
      <c r="A8081" s="4" t="s">
        <v>10158</v>
      </c>
      <c r="B8081" s="4" t="s">
        <v>10161</v>
      </c>
      <c r="C8081" s="5" t="str">
        <f>IFERROR(__xludf.DUMMYFUNCTION("GOOGLETRANSLATE(B8081,""en"",""es-ES"")"),"El niño comienza a soldar creando chispas de fuego extremas como reacciones frente a él sobre el material que está soldado.")</f>
        <v>El niño comienza a soldar creando chispas de fuego extremas como reacciones frente a él sobre el material que está soldado.</v>
      </c>
    </row>
    <row r="8082">
      <c r="A8082" s="4" t="s">
        <v>10158</v>
      </c>
      <c r="B8082" s="4" t="s">
        <v>10162</v>
      </c>
      <c r="C8082" s="5" t="str">
        <f>IFERROR(__xludf.DUMMYFUNCTION("GOOGLETRANSLATE(B8082,""en"",""es-ES"")"),"El niño muestra un primer plano de la punta roja de la herramienta, termina la soldadura y acarea la cámara con otro niño vestido con el mismo equipo de soldadura protectora detrás de él.")</f>
        <v>El niño muestra un primer plano de la punta roja de la herramienta, termina la soldadura y acarea la cámara con otro niño vestido con el mismo equipo de soldadura protectora detrás de él.</v>
      </c>
    </row>
    <row r="8083">
      <c r="A8083" s="4" t="s">
        <v>10163</v>
      </c>
      <c r="B8083" s="4" t="s">
        <v>10164</v>
      </c>
      <c r="C8083" s="5" t="str">
        <f>IFERROR(__xludf.DUMMYFUNCTION("GOOGLETRANSLATE(B8083,""en"",""es-ES"")"),"Se muestran varios primeros planos de una maquinilla de afeitar que conduce a un hombre que se afeita la cara de otro.")</f>
        <v>Se muestran varios primeros planos de una maquinilla de afeitar que conduce a un hombre que se afeita la cara de otro.</v>
      </c>
    </row>
    <row r="8084">
      <c r="A8084" s="4" t="s">
        <v>10163</v>
      </c>
      <c r="B8084" s="4" t="s">
        <v>10165</v>
      </c>
      <c r="C8084" s="5" t="str">
        <f>IFERROR(__xludf.DUMMYFUNCTION("GOOGLETRANSLATE(B8084,""en"",""es-ES"")"),"El hombre muestra su rostro nuevamente con la rasuradora poniendo crema y comenzando a afeitarse.")</f>
        <v>El hombre muestra su rostro nuevamente con la rasuradora poniendo crema y comenzando a afeitarse.</v>
      </c>
    </row>
    <row r="8085">
      <c r="A8085" s="4" t="s">
        <v>10163</v>
      </c>
      <c r="B8085" s="4" t="s">
        <v>10166</v>
      </c>
      <c r="C8085" s="5" t="str">
        <f>IFERROR(__xludf.DUMMYFUNCTION("GOOGLETRANSLATE(B8085,""en"",""es-ES"")"),"El hombre usa varias herramientas en el otro para afeitarse y habla con la cámara.")</f>
        <v>El hombre usa varias herramientas en el otro para afeitarse y habla con la cámara.</v>
      </c>
    </row>
    <row r="8086">
      <c r="A8086" s="4" t="s">
        <v>10167</v>
      </c>
      <c r="B8086" s="4" t="s">
        <v>10168</v>
      </c>
      <c r="C8086" s="5" t="str">
        <f>IFERROR(__xludf.DUMMYFUNCTION("GOOGLETRANSLATE(B8086,""en"",""es-ES"")"),"Una joven muestra una botella de crema de belleza.")</f>
        <v>Una joven muestra una botella de crema de belleza.</v>
      </c>
    </row>
    <row r="8087">
      <c r="A8087" s="4" t="s">
        <v>10167</v>
      </c>
      <c r="B8087" s="4" t="s">
        <v>10169</v>
      </c>
      <c r="C8087" s="5" t="str">
        <f>IFERROR(__xludf.DUMMYFUNCTION("GOOGLETRANSLATE(B8087,""en"",""es-ES"")"),"Luego, la joven pone crema en el dedo de las horas y se frota el hombro.")</f>
        <v>Luego, la joven pone crema en el dedo de las horas y se frota el hombro.</v>
      </c>
    </row>
    <row r="8088">
      <c r="A8088" s="4" t="s">
        <v>10170</v>
      </c>
      <c r="B8088" s="4" t="s">
        <v>10171</v>
      </c>
      <c r="C8088" s="5" t="str">
        <f>IFERROR(__xludf.DUMMYFUNCTION("GOOGLETRANSLATE(B8088,""en"",""es-ES"")"),"Comienza un videojuego para WWE Professional Wrestling, que muestra un partido de tres en un partido.")</f>
        <v>Comienza un videojuego para WWE Professional Wrestling, que muestra un partido de tres en un partido.</v>
      </c>
    </row>
    <row r="8089">
      <c r="A8089" s="4" t="s">
        <v>10170</v>
      </c>
      <c r="B8089" s="4" t="s">
        <v>10172</v>
      </c>
      <c r="C8089" s="5" t="str">
        <f>IFERROR(__xludf.DUMMYFUNCTION("GOOGLETRANSLATE(B8089,""en"",""es-ES"")"),"El jugador que controla Roman Reigns da un gran movimiento a su oponente, y su equipo entra en un gran ataque coordinado.")</f>
        <v>El jugador que controla Roman Reigns da un gran movimiento a su oponente, y su equipo entra en un gran ataque coordinado.</v>
      </c>
    </row>
    <row r="8090">
      <c r="A8090" s="4" t="s">
        <v>10173</v>
      </c>
      <c r="B8090" s="4" t="s">
        <v>10174</v>
      </c>
      <c r="C8090" s="5" t="str">
        <f>IFERROR(__xludf.DUMMYFUNCTION("GOOGLETRANSLATE(B8090,""en"",""es-ES"")"),"El hombre monta un caballo dentro de un granero y con una cuerda atrapa un toro.")</f>
        <v>El hombre monta un caballo dentro de un granero y con una cuerda atrapa un toro.</v>
      </c>
    </row>
    <row r="8091">
      <c r="A8091" s="4" t="s">
        <v>10173</v>
      </c>
      <c r="B8091" s="4" t="s">
        <v>10175</v>
      </c>
      <c r="C8091" s="5" t="str">
        <f>IFERROR(__xludf.DUMMYFUNCTION("GOOGLETRANSLATE(B8091,""en"",""es-ES"")"),"El hombre está parado en el lado de Te Barn.")</f>
        <v>El hombre está parado en el lado de Te Barn.</v>
      </c>
    </row>
    <row r="8092">
      <c r="A8092" s="4" t="s">
        <v>10176</v>
      </c>
      <c r="B8092" s="4" t="s">
        <v>10177</v>
      </c>
      <c r="C8092" s="5" t="str">
        <f>IFERROR(__xludf.DUMMYFUNCTION("GOOGLETRANSLATE(B8092,""en"",""es-ES"")"),"Se ve a un hombre hablando con una cámara y conduce a él vertiendo líquido en un tazón y frotándolo en un objeto de madera.")</f>
        <v>Se ve a un hombre hablando con una cámara y conduce a él vertiendo líquido en un tazón y frotándolo en un objeto de madera.</v>
      </c>
    </row>
    <row r="8093">
      <c r="A8093" s="4" t="s">
        <v>10176</v>
      </c>
      <c r="B8093" s="4" t="s">
        <v>10178</v>
      </c>
      <c r="C8093" s="5" t="str">
        <f>IFERROR(__xludf.DUMMYFUNCTION("GOOGLETRANSLATE(B8093,""en"",""es-ES"")"),"Luego pinta por el área con un cepillo y una tela clavada en la parte posterior, creando una silla y con la bandeja de la cámara hacia abajo.")</f>
        <v>Luego pinta por el área con un cepillo y una tela clavada en la parte posterior, creando una silla y con la bandeja de la cámara hacia abajo.</v>
      </c>
    </row>
    <row r="8094">
      <c r="A8094" s="4" t="s">
        <v>10179</v>
      </c>
      <c r="B8094" s="4" t="s">
        <v>10180</v>
      </c>
      <c r="C8094" s="5" t="str">
        <f>IFERROR(__xludf.DUMMYFUNCTION("GOOGLETRANSLATE(B8094,""en"",""es-ES"")"),"Una mujer gira a un niño en círculos.")</f>
        <v>Una mujer gira a un niño en círculos.</v>
      </c>
    </row>
    <row r="8095">
      <c r="A8095" s="4" t="s">
        <v>10179</v>
      </c>
      <c r="B8095" s="4" t="s">
        <v>10181</v>
      </c>
      <c r="C8095" s="5" t="str">
        <f>IFERROR(__xludf.DUMMYFUNCTION("GOOGLETRANSLATE(B8095,""en"",""es-ES"")"),"El niño sostiene un palo largo y viene con los ojos vendados.")</f>
        <v>El niño sostiene un palo largo y viene con los ojos vendados.</v>
      </c>
    </row>
    <row r="8096">
      <c r="A8096" s="4" t="s">
        <v>10179</v>
      </c>
      <c r="B8096" s="4" t="s">
        <v>10182</v>
      </c>
      <c r="C8096" s="5" t="str">
        <f>IFERROR(__xludf.DUMMYFUNCTION("GOOGLETRANSLATE(B8096,""en"",""es-ES"")"),"La mujer deja de girar al niño y apunta a una piñata que cuelga del techo.")</f>
        <v>La mujer deja de girar al niño y apunta a una piñata que cuelga del techo.</v>
      </c>
    </row>
    <row r="8097">
      <c r="A8097" s="4" t="s">
        <v>10179</v>
      </c>
      <c r="B8097" s="4" t="s">
        <v>10183</v>
      </c>
      <c r="C8097" s="5" t="str">
        <f>IFERROR(__xludf.DUMMYFUNCTION("GOOGLETRANSLATE(B8097,""en"",""es-ES"")"),"El niño se balancea y golpea la piñata una vez.")</f>
        <v>El niño se balancea y golpea la piñata una vez.</v>
      </c>
    </row>
    <row r="8098">
      <c r="A8098" s="4" t="s">
        <v>10179</v>
      </c>
      <c r="B8098" s="4" t="s">
        <v>10184</v>
      </c>
      <c r="C8098" s="5" t="str">
        <f>IFERROR(__xludf.DUMMYFUNCTION("GOOGLETRANSLATE(B8098,""en"",""es-ES"")"),"Luego se balancea y pierde muchas veces.")</f>
        <v>Luego se balancea y pierde muchas veces.</v>
      </c>
    </row>
    <row r="8099">
      <c r="A8099" s="4" t="s">
        <v>10179</v>
      </c>
      <c r="B8099" s="4" t="s">
        <v>10185</v>
      </c>
      <c r="C8099" s="5" t="str">
        <f>IFERROR(__xludf.DUMMYFUNCTION("GOOGLETRANSLATE(B8099,""en"",""es-ES"")"),"El niño finalmente se rinde y se quita los ojos vendados.")</f>
        <v>El niño finalmente se rinde y se quita los ojos vendados.</v>
      </c>
    </row>
    <row r="8100">
      <c r="A8100" s="4" t="s">
        <v>10179</v>
      </c>
      <c r="B8100" s="4" t="s">
        <v>10186</v>
      </c>
      <c r="C8100" s="5" t="str">
        <f>IFERROR(__xludf.DUMMYFUNCTION("GOOGLETRANSLATE(B8100,""en"",""es-ES"")"),"Una mujer diferente entra y se detiene cerca de la piñata.")</f>
        <v>Una mujer diferente entra y se detiene cerca de la piñata.</v>
      </c>
    </row>
    <row r="8101">
      <c r="A8101" s="4" t="s">
        <v>10187</v>
      </c>
      <c r="B8101" s="4" t="s">
        <v>10188</v>
      </c>
      <c r="C8101" s="5" t="str">
        <f>IFERROR(__xludf.DUMMYFUNCTION("GOOGLETRANSLATE(B8101,""en"",""es-ES"")"),"Un pequeño niño está afuera corriendo por un campo verde, luego reaparece con un casco verde y un palo en la mano que tiene forma de paleta.")</f>
        <v>Un pequeño niño está afuera corriendo por un campo verde, luego reaparece con un casco verde y un palo en la mano que tiene forma de paleta.</v>
      </c>
    </row>
    <row r="8102">
      <c r="A8102" s="4" t="s">
        <v>10187</v>
      </c>
      <c r="B8102" s="4" t="s">
        <v>10189</v>
      </c>
      <c r="C8102" s="5" t="str">
        <f>IFERROR(__xludf.DUMMYFUNCTION("GOOGLETRANSLATE(B8102,""en"",""es-ES"")"),"El niño luego se reúne con el resto de su equipo, se paran en una línea y comienzan a engancharse entre sí.")</f>
        <v>El niño luego se reúne con el resto de su equipo, se paran en una línea y comienzan a engancharse entre sí.</v>
      </c>
    </row>
    <row r="8103">
      <c r="A8103" s="4" t="s">
        <v>10187</v>
      </c>
      <c r="B8103" s="4" t="s">
        <v>10190</v>
      </c>
      <c r="C8103" s="5" t="str">
        <f>IFERROR(__xludf.DUMMYFUNCTION("GOOGLETRANSLATE(B8103,""en"",""es-ES"")"),"A medida que el juego continúa, los niños corren de un lado a otro por el campo y los entrenadores se sienten detrás de ellos.")</f>
        <v>A medida que el juego continúa, los niños corren de un lado a otro por el campo y los entrenadores se sienten detrás de ellos.</v>
      </c>
    </row>
    <row r="8104">
      <c r="A8104" s="4" t="s">
        <v>10191</v>
      </c>
      <c r="B8104" s="4" t="s">
        <v>10192</v>
      </c>
      <c r="C8104" s="5" t="str">
        <f>IFERROR(__xludf.DUMMYFUNCTION("GOOGLETRANSLATE(B8104,""en"",""es-ES"")"),"Una pantalla dice triple salto sobre ella.")</f>
        <v>Una pantalla dice triple salto sobre ella.</v>
      </c>
    </row>
    <row r="8105">
      <c r="A8105" s="4" t="s">
        <v>10191</v>
      </c>
      <c r="B8105" s="4" t="s">
        <v>10193</v>
      </c>
      <c r="C8105" s="5" t="str">
        <f>IFERROR(__xludf.DUMMYFUNCTION("GOOGLETRANSLATE(B8105,""en"",""es-ES"")"),"Un hombre está parado en un campo antes de correr y saltar a un cuadrado de tierra.")</f>
        <v>Un hombre está parado en un campo antes de correr y saltar a un cuadrado de tierra.</v>
      </c>
    </row>
    <row r="8106">
      <c r="A8106" s="4" t="s">
        <v>10191</v>
      </c>
      <c r="B8106" s="4" t="s">
        <v>10194</v>
      </c>
      <c r="C8106" s="5" t="str">
        <f>IFERROR(__xludf.DUMMYFUNCTION("GOOGLETRANSLATE(B8106,""en"",""es-ES"")"),"Se aleja del salto y habla con la cámara.")</f>
        <v>Se aleja del salto y habla con la cámara.</v>
      </c>
    </row>
    <row r="8107">
      <c r="A8107" s="4" t="s">
        <v>10191</v>
      </c>
      <c r="B8107" s="4" t="s">
        <v>10195</v>
      </c>
      <c r="C8107" s="5" t="str">
        <f>IFERROR(__xludf.DUMMYFUNCTION("GOOGLETRANSLATE(B8107,""en"",""es-ES"")"),"Se muestra nuevamente en cámara lenta.")</f>
        <v>Se muestra nuevamente en cámara lenta.</v>
      </c>
    </row>
    <row r="8108">
      <c r="A8108" s="4" t="s">
        <v>10196</v>
      </c>
      <c r="B8108" s="4" t="s">
        <v>10197</v>
      </c>
      <c r="C8108" s="5" t="str">
        <f>IFERROR(__xludf.DUMMYFUNCTION("GOOGLETRANSLATE(B8108,""en"",""es-ES"")"),"Un hombre atlético vestido de azul se acerca al caballo gimnástico y se queda allí y lo mira durante unos segundos.")</f>
        <v>Un hombre atlético vestido de azul se acerca al caballo gimnástico y se queda allí y lo mira durante unos segundos.</v>
      </c>
    </row>
    <row r="8109">
      <c r="A8109" s="4" t="s">
        <v>10196</v>
      </c>
      <c r="B8109" s="4" t="s">
        <v>10198</v>
      </c>
      <c r="C8109" s="5" t="str">
        <f>IFERROR(__xludf.DUMMYFUNCTION("GOOGLETRANSLATE(B8109,""en"",""es-ES"")"),"Luego, el hombre se acerca y pone sus dos manos sobre él y comienza a hacer varios movimientos sobre él donde se tuerce, gira y maniobra su cuerpo con mucho hábilmente por todo el caballo gimnástico.")</f>
        <v>Luego, el hombre se acerca y pone sus dos manos sobre él y comienza a hacer varios movimientos sobre él donde se tuerce, gira y maniobra su cuerpo con mucho hábilmente por todo el caballo gimnástico.</v>
      </c>
    </row>
    <row r="8110">
      <c r="A8110" s="4" t="s">
        <v>10196</v>
      </c>
      <c r="B8110" s="4" t="s">
        <v>10199</v>
      </c>
      <c r="C8110" s="5" t="str">
        <f>IFERROR(__xludf.DUMMYFUNCTION("GOOGLETRANSLATE(B8110,""en"",""es-ES"")"),"El hombre termina el final de su rutina y salta del caballo gimnástico que aterriza sobre sus dos pies, sostiene sus dos brazos en el aire, aplaude una vez y luego toma un arco.")</f>
        <v>El hombre termina el final de su rutina y salta del caballo gimnástico que aterriza sobre sus dos pies, sostiene sus dos brazos en el aire, aplaude una vez y luego toma un arco.</v>
      </c>
    </row>
    <row r="8111">
      <c r="A8111" s="4" t="s">
        <v>10200</v>
      </c>
      <c r="B8111" s="4" t="s">
        <v>10201</v>
      </c>
      <c r="C8111" s="5" t="str">
        <f>IFERROR(__xludf.DUMMYFUNCTION("GOOGLETRANSLATE(B8111,""en"",""es-ES"")"),"La gente corre por obstáculos jugando un juego de paintball.")</f>
        <v>La gente corre por obstáculos jugando un juego de paintball.</v>
      </c>
    </row>
    <row r="8112">
      <c r="A8112" s="4" t="s">
        <v>10200</v>
      </c>
      <c r="B8112" s="4" t="s">
        <v>10202</v>
      </c>
      <c r="C8112" s="5" t="str">
        <f>IFERROR(__xludf.DUMMYFUNCTION("GOOGLETRANSLATE(B8112,""en"",""es-ES"")"),"Un niño mira a la vuelta de una esquina y baja al suelo.")</f>
        <v>Un niño mira a la vuelta de una esquina y baja al suelo.</v>
      </c>
    </row>
    <row r="8113">
      <c r="A8113" s="4" t="s">
        <v>10200</v>
      </c>
      <c r="B8113" s="4" t="s">
        <v>10203</v>
      </c>
      <c r="C8113" s="5" t="str">
        <f>IFERROR(__xludf.DUMMYFUNCTION("GOOGLETRANSLATE(B8113,""en"",""es-ES"")"),"Se muestra una bandera americana en la pantalla.")</f>
        <v>Se muestra una bandera americana en la pantalla.</v>
      </c>
    </row>
    <row r="8114">
      <c r="A8114" s="4" t="s">
        <v>10204</v>
      </c>
      <c r="B8114" s="4" t="s">
        <v>10205</v>
      </c>
      <c r="C8114" s="5" t="str">
        <f>IFERROR(__xludf.DUMMYFUNCTION("GOOGLETRANSLATE(B8114,""en"",""es-ES"")"),"Hay un hombre que lleva un chaleco blanco y un sombrero duro de remo en un bote de hileras amarillas con remo de doble cara.")</f>
        <v>Hay un hombre que lleva un chaleco blanco y un sombrero duro de remo en un bote de hileras amarillas con remo de doble cara.</v>
      </c>
    </row>
    <row r="8115">
      <c r="A8115" s="4" t="s">
        <v>10204</v>
      </c>
      <c r="B8115" s="4" t="s">
        <v>10206</v>
      </c>
      <c r="C8115" s="5" t="str">
        <f>IFERROR(__xludf.DUMMYFUNCTION("GOOGLETRANSLATE(B8115,""en"",""es-ES"")"),"Está demostrando la forma correcta de remar el bote mientras se mantiene a flote.")</f>
        <v>Está demostrando la forma correcta de remar el bote mientras se mantiene a flote.</v>
      </c>
    </row>
    <row r="8116">
      <c r="A8116" s="4" t="s">
        <v>10204</v>
      </c>
      <c r="B8116" s="4" t="s">
        <v>10207</v>
      </c>
      <c r="C8116" s="5" t="str">
        <f>IFERROR(__xludf.DUMMYFUNCTION("GOOGLETRANSLATE(B8116,""en"",""es-ES"")"),"Está en un cuerpo de agua que tiene algunas olas fuertes.")</f>
        <v>Está en un cuerpo de agua que tiene algunas olas fuertes.</v>
      </c>
    </row>
    <row r="8117">
      <c r="A8117" s="4" t="s">
        <v>10204</v>
      </c>
      <c r="B8117" s="4" t="s">
        <v>10208</v>
      </c>
      <c r="C8117" s="5" t="str">
        <f>IFERROR(__xludf.DUMMYFUNCTION("GOOGLETRANSLATE(B8117,""en"",""es-ES"")"),"Está mostrando cómo hacer los trazos con los remos para ir contra la corriente de agua.")</f>
        <v>Está mostrando cómo hacer los trazos con los remos para ir contra la corriente de agua.</v>
      </c>
    </row>
    <row r="8118">
      <c r="A8118" s="4" t="s">
        <v>10204</v>
      </c>
      <c r="B8118" s="4" t="s">
        <v>10209</v>
      </c>
      <c r="C8118" s="5" t="str">
        <f>IFERROR(__xludf.DUMMYFUNCTION("GOOGLETRANSLATE(B8118,""en"",""es-ES"")"),"Él va en círculos mientras demuestra cómo remar contra poderosas olas.")</f>
        <v>Él va en círculos mientras demuestra cómo remar contra poderosas olas.</v>
      </c>
    </row>
    <row r="8119">
      <c r="A8119" s="4" t="s">
        <v>10210</v>
      </c>
      <c r="B8119" s="4" t="s">
        <v>10211</v>
      </c>
      <c r="C8119" s="5" t="str">
        <f>IFERROR(__xludf.DUMMYFUNCTION("GOOGLETRANSLATE(B8119,""en"",""es-ES"")"),"Los hombres están en los lados de la mesa jugando a la cerveza.")</f>
        <v>Los hombres están en los lados de la mesa jugando a la cerveza.</v>
      </c>
    </row>
    <row r="8120">
      <c r="A8120" s="4" t="s">
        <v>10210</v>
      </c>
      <c r="B8120" s="4" t="s">
        <v>10212</v>
      </c>
      <c r="C8120" s="5" t="str">
        <f>IFERROR(__xludf.DUMMYFUNCTION("GOOGLETRANSLATE(B8120,""en"",""es-ES"")"),"Un hombre está sentado en una silla al lado de la mesa mirando a los hombres mientras juegan.")</f>
        <v>Un hombre está sentado en una silla al lado de la mesa mirando a los hombres mientras juegan.</v>
      </c>
    </row>
    <row r="8121">
      <c r="A8121" s="4" t="s">
        <v>10210</v>
      </c>
      <c r="B8121" s="4" t="s">
        <v>10213</v>
      </c>
      <c r="C8121" s="5" t="str">
        <f>IFERROR(__xludf.DUMMYFUNCTION("GOOGLETRANSLATE(B8121,""en"",""es-ES"")"),"Los hombres acomodan las tazas en la mesa.")</f>
        <v>Los hombres acomodan las tazas en la mesa.</v>
      </c>
    </row>
    <row r="8122">
      <c r="A8122" s="4" t="s">
        <v>10214</v>
      </c>
      <c r="B8122" s="4" t="s">
        <v>10215</v>
      </c>
      <c r="C8122" s="5" t="str">
        <f>IFERROR(__xludf.DUMMYFUNCTION("GOOGLETRANSLATE(B8122,""en"",""es-ES"")"),"Se ve a varias personas paradas en un área abierta realizando varios trucos con sus perros.")</f>
        <v>Se ve a varias personas paradas en un área abierta realizando varios trucos con sus perros.</v>
      </c>
    </row>
    <row r="8123">
      <c r="A8123" s="4" t="s">
        <v>10214</v>
      </c>
      <c r="B8123" s="4" t="s">
        <v>10216</v>
      </c>
      <c r="C8123" s="5" t="str">
        <f>IFERROR(__xludf.DUMMYFUNCTION("GOOGLETRANSLATE(B8123,""en"",""es-ES"")"),"Muchas personas miran al margen y más personas continúan mostrando trucos con sus perros.")</f>
        <v>Muchas personas miran al margen y más personas continúan mostrando trucos con sus perros.</v>
      </c>
    </row>
    <row r="8124">
      <c r="A8124" s="4" t="s">
        <v>10214</v>
      </c>
      <c r="B8124" s="4" t="s">
        <v>10217</v>
      </c>
      <c r="C8124" s="5" t="str">
        <f>IFERROR(__xludf.DUMMYFUNCTION("GOOGLETRANSLATE(B8124,""en"",""es-ES"")"),"Varias personas son entrevistadas por la cámara y conducen a aún más trucos que se muestran.")</f>
        <v>Varias personas son entrevistadas por la cámara y conducen a aún más trucos que se muestran.</v>
      </c>
    </row>
    <row r="8125">
      <c r="A8125" s="4" t="s">
        <v>10218</v>
      </c>
      <c r="B8125" s="4" t="s">
        <v>10219</v>
      </c>
      <c r="C8125" s="5" t="str">
        <f>IFERROR(__xludf.DUMMYFUNCTION("GOOGLETRANSLATE(B8125,""en"",""es-ES"")"),"Una línea de bateristas juega dentro de un Superdome.")</f>
        <v>Una línea de bateristas juega dentro de un Superdome.</v>
      </c>
    </row>
    <row r="8126">
      <c r="A8126" s="4" t="s">
        <v>10218</v>
      </c>
      <c r="B8126" s="4" t="s">
        <v>10220</v>
      </c>
      <c r="C8126" s="5" t="str">
        <f>IFERROR(__xludf.DUMMYFUNCTION("GOOGLETRANSLATE(B8126,""en"",""es-ES"")"),"Varios bateristas de bajo aparecen con camisetas.")</f>
        <v>Varios bateristas de bajo aparecen con camisetas.</v>
      </c>
    </row>
    <row r="8127">
      <c r="A8127" s="4" t="s">
        <v>10218</v>
      </c>
      <c r="B8127" s="4" t="s">
        <v>10221</v>
      </c>
      <c r="C8127" s="5" t="str">
        <f>IFERROR(__xludf.DUMMYFUNCTION("GOOGLETRANSLATE(B8127,""en"",""es-ES"")"),"Todos juegan un ritmo mientras las personas con cámaras caminan entre ellas.")</f>
        <v>Todos juegan un ritmo mientras las personas con cámaras caminan entre ellas.</v>
      </c>
    </row>
    <row r="8128">
      <c r="A8128" s="4" t="s">
        <v>10222</v>
      </c>
      <c r="B8128" s="4" t="s">
        <v>10223</v>
      </c>
      <c r="C8128" s="5" t="str">
        <f>IFERROR(__xludf.DUMMYFUNCTION("GOOGLETRANSLATE(B8128,""en"",""es-ES"")"),"Aparece una pantalla negra con palabras blancas que decían ""Sport Bez Barier curling na wozkach"".")</f>
        <v>Aparece una pantalla negra con palabras blancas que decían "Sport Bez Barier curling na wozkach".</v>
      </c>
    </row>
    <row r="8129">
      <c r="A8129" s="4" t="s">
        <v>10222</v>
      </c>
      <c r="B8129" s="4" t="s">
        <v>10224</v>
      </c>
      <c r="C8129" s="5" t="str">
        <f>IFERROR(__xludf.DUMMYFUNCTION("GOOGLETRANSLATE(B8129,""en"",""es-ES"")"),"Un limpiador de hielo ahora cabalga sobre una pista de hielo, y luego las personas en las sillas de ruedas comienzan a girar hacia la pista.")</f>
        <v>Un limpiador de hielo ahora cabalga sobre una pista de hielo, y luego las personas en las sillas de ruedas comienzan a girar hacia la pista.</v>
      </c>
    </row>
    <row r="8130">
      <c r="A8130" s="4" t="s">
        <v>10222</v>
      </c>
      <c r="B8130" s="4" t="s">
        <v>10225</v>
      </c>
      <c r="C8130" s="5" t="str">
        <f>IFERROR(__xludf.DUMMYFUNCTION("GOOGLETRANSLATE(B8130,""en"",""es-ES"")"),"Una mujer en una silla de ruedas comienza a hablar y las palabras en la pantalla dicen que su nombre es ""Agnieszka Kachel"".")</f>
        <v>Una mujer en una silla de ruedas comienza a hablar y las palabras en la pantalla dicen que su nombre es "Agnieszka Kachel".</v>
      </c>
    </row>
    <row r="8131">
      <c r="A8131" s="4" t="s">
        <v>10222</v>
      </c>
      <c r="B8131" s="4" t="s">
        <v>10226</v>
      </c>
      <c r="C8131" s="5" t="str">
        <f>IFERROR(__xludf.DUMMYFUNCTION("GOOGLETRANSLATE(B8131,""en"",""es-ES"")"),"La pista se muestra nuevamente y muestra objetos grises con tops coloridos que se están empujando sobre el hielo con palos que las personas en las sillas de ruedas sostienen y cambia hacia la mujer que habla sola y a las personas en el hielo que juega.")</f>
        <v>La pista se muestra nuevamente y muestra objetos grises con tops coloridos que se están empujando sobre el hielo con palos que las personas en las sillas de ruedas sostienen y cambia hacia la mujer que habla sola y a las personas en el hielo que juega.</v>
      </c>
    </row>
    <row r="8132">
      <c r="A8132" s="4" t="s">
        <v>10222</v>
      </c>
      <c r="B8132" s="4" t="s">
        <v>10227</v>
      </c>
      <c r="C8132" s="5" t="str">
        <f>IFERROR(__xludf.DUMMYFUNCTION("GOOGLETRANSLATE(B8132,""en"",""es-ES"")"),"Aparece una pantalla de outro blanca con letras negras que incluyen una lista de nombres, sitios web y logotipos.")</f>
        <v>Aparece una pantalla de outro blanca con letras negras que incluyen una lista de nombres, sitios web y logotipos.</v>
      </c>
    </row>
    <row r="8133">
      <c r="A8133" s="4" t="s">
        <v>10228</v>
      </c>
      <c r="B8133" s="4" t="s">
        <v>10229</v>
      </c>
      <c r="C8133" s="5" t="str">
        <f>IFERROR(__xludf.DUMMYFUNCTION("GOOGLETRANSLATE(B8133,""en"",""es-ES"")"),"Se ve a una gimnasta subir a un juego de barras desiguales y realizar una rutina mientras muchos miran a un lado.")</f>
        <v>Se ve a una gimnasta subir a un juego de barras desiguales y realizar una rutina mientras muchos miran a un lado.</v>
      </c>
    </row>
    <row r="8134">
      <c r="A8134" s="4" t="s">
        <v>10228</v>
      </c>
      <c r="B8134" s="4" t="s">
        <v>10230</v>
      </c>
      <c r="C8134" s="5" t="str">
        <f>IFERROR(__xludf.DUMMYFUNCTION("GOOGLETRANSLATE(B8134,""en"",""es-ES"")"),"Realiza varios volteos y trucos y termina saltando hacia abajo y levantando los brazos.")</f>
        <v>Realiza varios volteos y trucos y termina saltando hacia abajo y levantando los brazos.</v>
      </c>
    </row>
    <row r="8135">
      <c r="A8135" s="4" t="s">
        <v>10231</v>
      </c>
      <c r="B8135" s="4" t="s">
        <v>10232</v>
      </c>
      <c r="C8135" s="5" t="str">
        <f>IFERROR(__xludf.DUMMYFUNCTION("GOOGLETRANSLATE(B8135,""en"",""es-ES"")"),"Un hombre se lava la cara frente a un espejo.")</f>
        <v>Un hombre se lava la cara frente a un espejo.</v>
      </c>
    </row>
    <row r="8136">
      <c r="A8136" s="4" t="s">
        <v>10231</v>
      </c>
      <c r="B8136" s="4" t="s">
        <v>10233</v>
      </c>
      <c r="C8136" s="5" t="str">
        <f>IFERROR(__xludf.DUMMYFUNCTION("GOOGLETRANSLATE(B8136,""en"",""es-ES"")"),"Se ríe de la cámara.")</f>
        <v>Se ríe de la cámara.</v>
      </c>
    </row>
    <row r="8137">
      <c r="A8137" s="4" t="s">
        <v>10231</v>
      </c>
      <c r="B8137" s="4" t="s">
        <v>10234</v>
      </c>
      <c r="C8137" s="5" t="str">
        <f>IFERROR(__xludf.DUMMYFUNCTION("GOOGLETRANSLATE(B8137,""en"",""es-ES"")"),"Se frota la cara un poco más.")</f>
        <v>Se frota la cara un poco más.</v>
      </c>
    </row>
    <row r="8138">
      <c r="A8138" s="4" t="s">
        <v>10231</v>
      </c>
      <c r="B8138" s="4" t="s">
        <v>10235</v>
      </c>
      <c r="C8138" s="5" t="str">
        <f>IFERROR(__xludf.DUMMYFUNCTION("GOOGLETRANSLATE(B8138,""en"",""es-ES"")"),"Se inclina en el fregadero para enjuagarlo.")</f>
        <v>Se inclina en el fregadero para enjuagarlo.</v>
      </c>
    </row>
    <row r="8139">
      <c r="A8139" s="4" t="s">
        <v>10236</v>
      </c>
      <c r="B8139" s="4" t="s">
        <v>10237</v>
      </c>
      <c r="C8139" s="5" t="str">
        <f>IFERROR(__xludf.DUMMYFUNCTION("GOOGLETRANSLATE(B8139,""en"",""es-ES"")"),"Un hombre está luchando en su guitarra agresivamente.")</f>
        <v>Un hombre está luchando en su guitarra agresivamente.</v>
      </c>
    </row>
    <row r="8140">
      <c r="A8140" s="4" t="s">
        <v>10236</v>
      </c>
      <c r="B8140" s="4" t="s">
        <v>10238</v>
      </c>
      <c r="C8140" s="5" t="str">
        <f>IFERROR(__xludf.DUMMYFUNCTION("GOOGLETRANSLATE(B8140,""en"",""es-ES"")"),"Otro hombre con una guitarra azul está tocando y derribando su guitarra.")</f>
        <v>Otro hombre con una guitarra azul está tocando y derribando su guitarra.</v>
      </c>
    </row>
    <row r="8141">
      <c r="A8141" s="4" t="s">
        <v>10236</v>
      </c>
      <c r="B8141" s="4" t="s">
        <v>10239</v>
      </c>
      <c r="C8141" s="5" t="str">
        <f>IFERROR(__xludf.DUMMYFUNCTION("GOOGLETRANSLATE(B8141,""en"",""es-ES"")"),"Un hombre con una camisa roja que tiene una guitarra eléctrica está golpeando el pie manteniendo el tempo y tocando una melodía.")</f>
        <v>Un hombre con una camisa roja que tiene una guitarra eléctrica está golpeando el pie manteniendo el tempo y tocando una melodía.</v>
      </c>
    </row>
    <row r="8142">
      <c r="A8142" s="4" t="s">
        <v>10236</v>
      </c>
      <c r="B8142" s="4" t="s">
        <v>10240</v>
      </c>
      <c r="C8142" s="5" t="str">
        <f>IFERROR(__xludf.DUMMYFUNCTION("GOOGLETRANSLATE(B8142,""en"",""es-ES"")"),"Él juega hacia arriba y hacia abajo en una escala o melodía.")</f>
        <v>Él juega hacia arriba y hacia abajo en una escala o melodía.</v>
      </c>
    </row>
    <row r="8143">
      <c r="A8143" s="4" t="s">
        <v>10241</v>
      </c>
      <c r="B8143" s="4" t="s">
        <v>10242</v>
      </c>
      <c r="C8143" s="5" t="str">
        <f>IFERROR(__xludf.DUMMYFUNCTION("GOOGLETRANSLATE(B8143,""en"",""es-ES"")"),"Una mujer que lleva un atuendo rojo levanta las manos y los pies, alternándolos de manera lenta y metódica.")</f>
        <v>Una mujer que lleva un atuendo rojo levanta las manos y los pies, alternándolos de manera lenta y metódica.</v>
      </c>
    </row>
    <row r="8144">
      <c r="A8144" s="4" t="s">
        <v>10241</v>
      </c>
      <c r="B8144" s="4" t="s">
        <v>10243</v>
      </c>
      <c r="C8144" s="5" t="str">
        <f>IFERROR(__xludf.DUMMYFUNCTION("GOOGLETRANSLATE(B8144,""en"",""es-ES"")"),"Ella pone un espectáculo en un escenario, yendo y viniendo de manera fluida.")</f>
        <v>Ella pone un espectáculo en un escenario, yendo y viniendo de manera fluida.</v>
      </c>
    </row>
    <row r="8145">
      <c r="A8145" s="4" t="s">
        <v>10241</v>
      </c>
      <c r="B8145" s="4" t="s">
        <v>10244</v>
      </c>
      <c r="C8145" s="5" t="str">
        <f>IFERROR(__xludf.DUMMYFUNCTION("GOOGLETRANSLATE(B8145,""en"",""es-ES"")"),"La mujer gira en varias direcciones diferentes, proporcionando diferentes acciones antes de estar rectas y quietas como su final.")</f>
        <v>La mujer gira en varias direcciones diferentes, proporcionando diferentes acciones antes de estar rectas y quietas como su final.</v>
      </c>
    </row>
    <row r="8146">
      <c r="A8146" s="4" t="s">
        <v>10245</v>
      </c>
      <c r="B8146" s="4" t="s">
        <v>10246</v>
      </c>
      <c r="C8146" s="5" t="str">
        <f>IFERROR(__xludf.DUMMYFUNCTION("GOOGLETRANSLATE(B8146,""en"",""es-ES"")"),"Una pantalla negra con texto de zoom blanco del rendimiento de las chicas en las barras desiguales.")</f>
        <v>Una pantalla negra con texto de zoom blanco del rendimiento de las chicas en las barras desiguales.</v>
      </c>
    </row>
    <row r="8147">
      <c r="A8147" s="4" t="s">
        <v>10245</v>
      </c>
      <c r="B8147" s="4" t="s">
        <v>10247</v>
      </c>
      <c r="C8147" s="5" t="str">
        <f>IFERROR(__xludf.DUMMYFUNCTION("GOOGLETRANSLATE(B8147,""en"",""es-ES"")"),"Una gimnasta avanza hacia las barras desiguales salta de un tablero y toma las barras y pasa por su rutina.")</f>
        <v>Una gimnasta avanza hacia las barras desiguales salta de un tablero y toma las barras y pasa por su rutina.</v>
      </c>
    </row>
    <row r="8148">
      <c r="A8148" s="4" t="s">
        <v>10245</v>
      </c>
      <c r="B8148" s="4" t="s">
        <v>10248</v>
      </c>
      <c r="C8148" s="5" t="str">
        <f>IFERROR(__xludf.DUMMYFUNCTION("GOOGLETRANSLATE(B8148,""en"",""es-ES"")"),"Hay texto que aparece en la pantalla que describe lo que tiene que hacer.")</f>
        <v>Hay texto que aparece en la pantalla que describe lo que tiene que hacer.</v>
      </c>
    </row>
    <row r="8149">
      <c r="A8149" s="4" t="s">
        <v>10245</v>
      </c>
      <c r="B8149" s="4" t="s">
        <v>10249</v>
      </c>
      <c r="C8149" s="5" t="str">
        <f>IFERROR(__xludf.DUMMYFUNCTION("GOOGLETRANSLATE(B8149,""en"",""es-ES"")"),"Ella termina su rutina y aterriza en la colchoneta mientras la multitud aplaude.")</f>
        <v>Ella termina su rutina y aterriza en la colchoneta mientras la multitud aplaude.</v>
      </c>
    </row>
    <row r="8150">
      <c r="A8150" s="4" t="s">
        <v>10245</v>
      </c>
      <c r="B8150" s="4" t="s">
        <v>10250</v>
      </c>
      <c r="C8150" s="5" t="str">
        <f>IFERROR(__xludf.DUMMYFUNCTION("GOOGLETRANSLATE(B8150,""en"",""es-ES"")"),"Aparece una pantalla negra con texto blanco seguido por la partitura de gimnastas.")</f>
        <v>Aparece una pantalla negra con texto blanco seguido por la partitura de gimnastas.</v>
      </c>
    </row>
    <row r="8151">
      <c r="A8151" s="4" t="s">
        <v>10251</v>
      </c>
      <c r="B8151" s="4" t="s">
        <v>10252</v>
      </c>
      <c r="C8151" s="5" t="str">
        <f>IFERROR(__xludf.DUMMYFUNCTION("GOOGLETRANSLATE(B8151,""en"",""es-ES"")"),"Se ve a un grupo de personas sentados en bicicletas y esperando antes de una pista.")</f>
        <v>Se ve a un grupo de personas sentados en bicicletas y esperando antes de una pista.</v>
      </c>
    </row>
    <row r="8152">
      <c r="A8152" s="4" t="s">
        <v>10251</v>
      </c>
      <c r="B8152" s="4" t="s">
        <v>10253</v>
      </c>
      <c r="C8152" s="5" t="str">
        <f>IFERROR(__xludf.DUMMYFUNCTION("GOOGLETRANSLATE(B8152,""en"",""es-ES"")"),"Un bar vamos a ir y los hombres cabalgan alrededor de una larga pista en las bicicletas uno detrás del otro.")</f>
        <v>Un bar vamos a ir y los hombres cabalgan alrededor de una larga pista en las bicicletas uno detrás del otro.</v>
      </c>
    </row>
    <row r="8153">
      <c r="A8153" s="4" t="s">
        <v>10254</v>
      </c>
      <c r="B8153" s="4" t="s">
        <v>10255</v>
      </c>
      <c r="C8153" s="5" t="str">
        <f>IFERROR(__xludf.DUMMYFUNCTION("GOOGLETRANSLATE(B8153,""en"",""es-ES"")"),"Se ve a un hombre parado frente a una bicicleta hablando con la cámara y lo lleva a disparos de él paseando.")</f>
        <v>Se ve a un hombre parado frente a una bicicleta hablando con la cámara y lo lleva a disparos de él paseando.</v>
      </c>
    </row>
    <row r="8154">
      <c r="A8154" s="4" t="s">
        <v>10254</v>
      </c>
      <c r="B8154" s="4" t="s">
        <v>10256</v>
      </c>
      <c r="C8154" s="5" t="str">
        <f>IFERROR(__xludf.DUMMYFUNCTION("GOOGLETRANSLATE(B8154,""en"",""es-ES"")"),"El hombre continúa hablando con la cámara a medida que se muestran más tomas de él montando la bicicleta de tierra alrededor de una pista.")</f>
        <v>El hombre continúa hablando con la cámara a medida que se muestran más tomas de él montando la bicicleta de tierra alrededor de una pista.</v>
      </c>
    </row>
    <row r="8155">
      <c r="A8155" s="4" t="s">
        <v>10257</v>
      </c>
      <c r="B8155" s="4" t="s">
        <v>10258</v>
      </c>
      <c r="C8155" s="5" t="str">
        <f>IFERROR(__xludf.DUMMYFUNCTION("GOOGLETRANSLATE(B8155,""en"",""es-ES"")"),"Se ve a una mujer hablando con la cámara frente a un arbusto grande.")</f>
        <v>Se ve a una mujer hablando con la cámara frente a un arbusto grande.</v>
      </c>
    </row>
    <row r="8156">
      <c r="A8156" s="4" t="s">
        <v>10257</v>
      </c>
      <c r="B8156" s="4" t="s">
        <v>10259</v>
      </c>
      <c r="C8156" s="5" t="str">
        <f>IFERROR(__xludf.DUMMYFUNCTION("GOOGLETRANSLATE(B8156,""en"",""es-ES"")"),"La mujer luego usa una pala a lo largo de una tierra.")</f>
        <v>La mujer luego usa una pala a lo largo de una tierra.</v>
      </c>
    </row>
    <row r="8157">
      <c r="A8157" s="4" t="s">
        <v>10257</v>
      </c>
      <c r="B8157" s="4" t="s">
        <v>10260</v>
      </c>
      <c r="C8157" s="5" t="str">
        <f>IFERROR(__xludf.DUMMYFUNCTION("GOOGLETRANSLATE(B8157,""en"",""es-ES"")"),"La cámara se mueve alrededor de la planta cuando ella termina.")</f>
        <v>La cámara se mueve alrededor de la planta cuando ella termina.</v>
      </c>
    </row>
    <row r="8158">
      <c r="A8158" s="4" t="s">
        <v>10261</v>
      </c>
      <c r="B8158" s="4" t="s">
        <v>10262</v>
      </c>
      <c r="C8158" s="5" t="str">
        <f>IFERROR(__xludf.DUMMYFUNCTION("GOOGLETRANSLATE(B8158,""en"",""es-ES"")"),"Un hombre mayor con gafas y pelos grises se sienta y canta mientras toca la guitarra.")</f>
        <v>Un hombre mayor con gafas y pelos grises se sienta y canta mientras toca la guitarra.</v>
      </c>
    </row>
    <row r="8159">
      <c r="A8159" s="4" t="s">
        <v>10261</v>
      </c>
      <c r="B8159" s="4" t="s">
        <v>10263</v>
      </c>
      <c r="C8159" s="5" t="str">
        <f>IFERROR(__xludf.DUMMYFUNCTION("GOOGLETRANSLATE(B8159,""en"",""es-ES"")"),"El hombre hace una pausa por un segundo.")</f>
        <v>El hombre hace una pausa por un segundo.</v>
      </c>
    </row>
    <row r="8160">
      <c r="A8160" s="4" t="s">
        <v>10261</v>
      </c>
      <c r="B8160" s="4" t="s">
        <v>10264</v>
      </c>
      <c r="C8160" s="5" t="str">
        <f>IFERROR(__xludf.DUMMYFUNCTION("GOOGLETRANSLATE(B8160,""en"",""es-ES"")"),"El hombre termina su canción y se detiene.")</f>
        <v>El hombre termina su canción y se detiene.</v>
      </c>
    </row>
    <row r="8161">
      <c r="A8161" s="4" t="s">
        <v>10261</v>
      </c>
      <c r="B8161" s="4" t="s">
        <v>10265</v>
      </c>
      <c r="C8161" s="5" t="str">
        <f>IFERROR(__xludf.DUMMYFUNCTION("GOOGLETRANSLATE(B8161,""en"",""es-ES"")"),"Vemos la pantalla de título final con un gato.")</f>
        <v>Vemos la pantalla de título final con un gato.</v>
      </c>
    </row>
    <row r="8162">
      <c r="A8162" s="4" t="s">
        <v>10266</v>
      </c>
      <c r="B8162" s="4" t="s">
        <v>10267</v>
      </c>
      <c r="C8162" s="5" t="str">
        <f>IFERROR(__xludf.DUMMYFUNCTION("GOOGLETRANSLATE(B8162,""en"",""es-ES"")"),"Un hombre calvo está parado al lado del mostrador con vidrio y agitador frente a él.")</f>
        <v>Un hombre calvo está parado al lado del mostrador con vidrio y agitador frente a él.</v>
      </c>
    </row>
    <row r="8163">
      <c r="A8163" s="4" t="s">
        <v>10266</v>
      </c>
      <c r="B8163" s="4" t="s">
        <v>10268</v>
      </c>
      <c r="C8163" s="5" t="str">
        <f>IFERROR(__xludf.DUMMYFUNCTION("GOOGLETRANSLATE(B8163,""en"",""es-ES"")"),"El hombre puso hielo en el vidrio, puso líquido transparente en el vidrio, agregó jugo de naranja, mezcla el contenido al verter el jugo de naranja, luego agrega líquido rojo que cayó debajo del jugo de naranja.")</f>
        <v>El hombre puso hielo en el vidrio, puso líquido transparente en el vidrio, agregó jugo de naranja, mezcla el contenido al verter el jugo de naranja, luego agrega líquido rojo que cayó debajo del jugo de naranja.</v>
      </c>
    </row>
    <row r="8164">
      <c r="A8164" s="4" t="s">
        <v>10269</v>
      </c>
      <c r="B8164" s="4" t="s">
        <v>10270</v>
      </c>
      <c r="C8164" s="5" t="str">
        <f>IFERROR(__xludf.DUMMYFUNCTION("GOOGLETRANSLATE(B8164,""en"",""es-ES"")"),"Una joven dama patinadora en el camino en el bosque.")</f>
        <v>Una joven dama patinadora en el camino en el bosque.</v>
      </c>
    </row>
    <row r="8165">
      <c r="A8165" s="4" t="s">
        <v>10269</v>
      </c>
      <c r="B8165" s="4" t="s">
        <v>10271</v>
      </c>
      <c r="C8165" s="5" t="str">
        <f>IFERROR(__xludf.DUMMYFUNCTION("GOOGLETRANSLATE(B8165,""en"",""es-ES"")"),"Luego llega a Pass al frente de un auto abandonado.")</f>
        <v>Luego llega a Pass al frente de un auto abandonado.</v>
      </c>
    </row>
    <row r="8166">
      <c r="A8166" s="4" t="s">
        <v>10272</v>
      </c>
      <c r="B8166" s="4" t="s">
        <v>10273</v>
      </c>
      <c r="C8166" s="5" t="str">
        <f>IFERROR(__xludf.DUMMYFUNCTION("GOOGLETRANSLATE(B8166,""en"",""es-ES"")"),"Se ve a un hombre montando en una cinta de correr seguido de varias imágenes de la cinta de correr y un hombre que toma fotos.")</f>
        <v>Se ve a un hombre montando en una cinta de correr seguido de varias imágenes de la cinta de correr y un hombre que toma fotos.</v>
      </c>
    </row>
    <row r="8167">
      <c r="A8167" s="4" t="s">
        <v>10272</v>
      </c>
      <c r="B8167" s="4" t="s">
        <v>10274</v>
      </c>
      <c r="C8167" s="5" t="str">
        <f>IFERROR(__xludf.DUMMYFUNCTION("GOOGLETRANSLATE(B8167,""en"",""es-ES"")"),"Una persona deshace la máquina y luego monta la máquina y conduce a más personas que toman fotos de la máquina y las personas que conducen.")</f>
        <v>Una persona deshace la máquina y luego monta la máquina y conduce a más personas que toman fotos de la máquina y las personas que conducen.</v>
      </c>
    </row>
    <row r="8168">
      <c r="A8168" s="4" t="s">
        <v>10275</v>
      </c>
      <c r="B8168" s="4" t="s">
        <v>10276</v>
      </c>
      <c r="C8168" s="5" t="str">
        <f>IFERROR(__xludf.DUMMYFUNCTION("GOOGLETRANSLATE(B8168,""en"",""es-ES"")"),"Dos hombres están sentados en la mesa con los brazos sobre la mesa, se colocan para la lucha libre.")</f>
        <v>Dos hombres están sentados en la mesa con los brazos sobre la mesa, se colocan para la lucha libre.</v>
      </c>
    </row>
    <row r="8169">
      <c r="A8169" s="4" t="s">
        <v>10275</v>
      </c>
      <c r="B8169" s="4" t="s">
        <v>10277</v>
      </c>
      <c r="C8169" s="5" t="str">
        <f>IFERROR(__xludf.DUMMYFUNCTION("GOOGLETRANSLATE(B8169,""en"",""es-ES"")"),"Una camisa azul está parada en el centro sosteniendo ambas manos del jugador.")</f>
        <v>Una camisa azul está parada en el centro sosteniendo ambas manos del jugador.</v>
      </c>
    </row>
    <row r="8170">
      <c r="A8170" s="4" t="s">
        <v>10275</v>
      </c>
      <c r="B8170" s="4" t="s">
        <v>10278</v>
      </c>
      <c r="C8170" s="5" t="str">
        <f>IFERROR(__xludf.DUMMYFUNCTION("GOOGLETRANSLATE(B8170,""en"",""es-ES"")"),"El hombre con el oso se rompió el brazo después de que el otro hombre lo empujó hacia abajo.")</f>
        <v>El hombre con el oso se rompió el brazo después de que el otro hombre lo empujó hacia abajo.</v>
      </c>
    </row>
    <row r="8171">
      <c r="A8171" s="4" t="s">
        <v>10279</v>
      </c>
      <c r="B8171" s="4" t="s">
        <v>10280</v>
      </c>
      <c r="C8171" s="5" t="str">
        <f>IFERROR(__xludf.DUMMYFUNCTION("GOOGLETRANSLATE(B8171,""en"",""es-ES"")"),"Los turistas monta camellos mientras la gente tira de los camellos con una cuerda.")</f>
        <v>Los turistas monta camellos mientras la gente tira de los camellos con una cuerda.</v>
      </c>
    </row>
    <row r="8172">
      <c r="A8172" s="4" t="s">
        <v>10279</v>
      </c>
      <c r="B8172" s="4" t="s">
        <v>10281</v>
      </c>
      <c r="C8172" s="5" t="str">
        <f>IFERROR(__xludf.DUMMYFUNCTION("GOOGLETRANSLATE(B8172,""en"",""es-ES"")"),"Los hombres ayuda a una pareja a descargar los camellos y alimentarlos.")</f>
        <v>Los hombres ayuda a una pareja a descargar los camellos y alimentarlos.</v>
      </c>
    </row>
    <row r="8173">
      <c r="A8173" s="4" t="s">
        <v>10282</v>
      </c>
      <c r="B8173" s="4" t="s">
        <v>10283</v>
      </c>
      <c r="C8173" s="5" t="str">
        <f>IFERROR(__xludf.DUMMYFUNCTION("GOOGLETRANSLATE(B8173,""en"",""es-ES"")"),"Dos hombres comienzan a bailar en un escenario.")</f>
        <v>Dos hombres comienzan a bailar en un escenario.</v>
      </c>
    </row>
    <row r="8174">
      <c r="A8174" s="4" t="s">
        <v>10282</v>
      </c>
      <c r="B8174" s="4" t="s">
        <v>10284</v>
      </c>
      <c r="C8174" s="5" t="str">
        <f>IFERROR(__xludf.DUMMYFUNCTION("GOOGLETRANSLATE(B8174,""en"",""es-ES"")"),"Pondrían sus manos al lado de su cara.")</f>
        <v>Pondrían sus manos al lado de su cara.</v>
      </c>
    </row>
    <row r="8175">
      <c r="A8175" s="4" t="s">
        <v>10282</v>
      </c>
      <c r="B8175" s="4" t="s">
        <v>10285</v>
      </c>
      <c r="C8175" s="5" t="str">
        <f>IFERROR(__xludf.DUMMYFUNCTION("GOOGLETRANSLATE(B8175,""en"",""es-ES"")"),"Se muestra un álbum de una mujer en la pantalla.")</f>
        <v>Se muestra un álbum de una mujer en la pantalla.</v>
      </c>
    </row>
    <row r="8176">
      <c r="A8176" s="4" t="s">
        <v>10286</v>
      </c>
      <c r="B8176" s="4" t="s">
        <v>10287</v>
      </c>
      <c r="C8176" s="5" t="str">
        <f>IFERROR(__xludf.DUMMYFUNCTION("GOOGLETRANSLATE(B8176,""en"",""es-ES"")"),"Un hombre se dobla y toma un gran peso.")</f>
        <v>Un hombre se dobla y toma un gran peso.</v>
      </c>
    </row>
    <row r="8177">
      <c r="A8177" s="4" t="s">
        <v>10286</v>
      </c>
      <c r="B8177" s="4" t="s">
        <v>10288</v>
      </c>
      <c r="C8177" s="5" t="str">
        <f>IFERROR(__xludf.DUMMYFUNCTION("GOOGLETRANSLATE(B8177,""en"",""es-ES"")"),"Lo levanta sobre su cabeza.")</f>
        <v>Lo levanta sobre su cabeza.</v>
      </c>
    </row>
    <row r="8178">
      <c r="A8178" s="4" t="s">
        <v>10286</v>
      </c>
      <c r="B8178" s="4" t="s">
        <v>10289</v>
      </c>
      <c r="C8178" s="5" t="str">
        <f>IFERROR(__xludf.DUMMYFUNCTION("GOOGLETRANSLATE(B8178,""en"",""es-ES"")"),"Luego lo deja caer al suelo.")</f>
        <v>Luego lo deja caer al suelo.</v>
      </c>
    </row>
    <row r="8179">
      <c r="A8179" s="4" t="s">
        <v>10290</v>
      </c>
      <c r="B8179" s="4" t="s">
        <v>10291</v>
      </c>
      <c r="C8179" s="5" t="str">
        <f>IFERROR(__xludf.DUMMYFUNCTION("GOOGLETRANSLATE(B8179,""en"",""es-ES"")"),"Un hombre y una mujer están luchando en el brazo en la parte superior de una mesa en la mitad del escenario y la mujer gana.")</f>
        <v>Un hombre y una mujer están luchando en el brazo en la parte superior de una mesa en la mitad del escenario y la mujer gana.</v>
      </c>
    </row>
    <row r="8180">
      <c r="A8180" s="4" t="s">
        <v>10290</v>
      </c>
      <c r="B8180" s="4" t="s">
        <v>10292</v>
      </c>
      <c r="C8180" s="5" t="str">
        <f>IFERROR(__xludf.DUMMYFUNCTION("GOOGLETRANSLATE(B8180,""en"",""es-ES"")"),"La gente está en los puestos en el escenario mirando la competencia.")</f>
        <v>La gente está en los puestos en el escenario mirando la competencia.</v>
      </c>
    </row>
    <row r="8181">
      <c r="A8181" s="4" t="s">
        <v>10293</v>
      </c>
      <c r="B8181" s="4" t="s">
        <v>10294</v>
      </c>
      <c r="C8181" s="5" t="str">
        <f>IFERROR(__xludf.DUMMYFUNCTION("GOOGLETRANSLATE(B8181,""en"",""es-ES"")"),"Un logotipo de Howcast es la escena de apertura del video.")</f>
        <v>Un logotipo de Howcast es la escena de apertura del video.</v>
      </c>
    </row>
    <row r="8182">
      <c r="A8182" s="4" t="s">
        <v>10293</v>
      </c>
      <c r="B8182" s="4" t="s">
        <v>10295</v>
      </c>
      <c r="C8182" s="5" t="str">
        <f>IFERROR(__xludf.DUMMYFUNCTION("GOOGLETRANSLATE(B8182,""en"",""es-ES"")"),"Una mujer muestra pinturas de su trabajo.")</f>
        <v>Una mujer muestra pinturas de su trabajo.</v>
      </c>
    </row>
    <row r="8183">
      <c r="A8183" s="4" t="s">
        <v>10293</v>
      </c>
      <c r="B8183" s="4" t="s">
        <v>10296</v>
      </c>
      <c r="C8183" s="5" t="str">
        <f>IFERROR(__xludf.DUMMYFUNCTION("GOOGLETRANSLATE(B8183,""en"",""es-ES"")"),"Se muestra una diapositiva instructiva.")</f>
        <v>Se muestra una diapositiva instructiva.</v>
      </c>
    </row>
    <row r="8184">
      <c r="A8184" s="4" t="s">
        <v>10293</v>
      </c>
      <c r="B8184" s="4" t="s">
        <v>10297</v>
      </c>
      <c r="C8184" s="5" t="str">
        <f>IFERROR(__xludf.DUMMYFUNCTION("GOOGLETRANSLATE(B8184,""en"",""es-ES"")"),"La mujer está explicando los materiales utilizados.")</f>
        <v>La mujer está explicando los materiales utilizados.</v>
      </c>
    </row>
    <row r="8185">
      <c r="A8185" s="4" t="s">
        <v>10293</v>
      </c>
      <c r="B8185" s="4" t="s">
        <v>10298</v>
      </c>
      <c r="C8185" s="5" t="str">
        <f>IFERROR(__xludf.DUMMYFUNCTION("GOOGLETRANSLATE(B8185,""en"",""es-ES"")"),"Luego describe los pinceles que usa.")</f>
        <v>Luego describe los pinceles que usa.</v>
      </c>
    </row>
    <row r="8186">
      <c r="A8186" s="4" t="s">
        <v>10293</v>
      </c>
      <c r="B8186" s="4" t="s">
        <v>10299</v>
      </c>
      <c r="C8186" s="5" t="str">
        <f>IFERROR(__xludf.DUMMYFUNCTION("GOOGLETRANSLATE(B8186,""en"",""es-ES"")"),"Ella muestra la paleta de pintura y varios colores de pintura.")</f>
        <v>Ella muestra la paleta de pintura y varios colores de pintura.</v>
      </c>
    </row>
    <row r="8187">
      <c r="A8187" s="4" t="s">
        <v>10293</v>
      </c>
      <c r="B8187" s="4" t="s">
        <v>10300</v>
      </c>
      <c r="C8187" s="5" t="str">
        <f>IFERROR(__xludf.DUMMYFUNCTION("GOOGLETRANSLATE(B8187,""en"",""es-ES"")"),"Ella explica las botellas de pintura.")</f>
        <v>Ella explica las botellas de pintura.</v>
      </c>
    </row>
    <row r="8188">
      <c r="A8188" s="4" t="s">
        <v>10293</v>
      </c>
      <c r="B8188" s="4" t="s">
        <v>10301</v>
      </c>
      <c r="C8188" s="5" t="str">
        <f>IFERROR(__xludf.DUMMYFUNCTION("GOOGLETRANSLATE(B8188,""en"",""es-ES"")"),"Luego instruye sobre cómo limpiar los pinceles con toallas líquidas y de papel.")</f>
        <v>Luego instruye sobre cómo limpiar los pinceles con toallas líquidas y de papel.</v>
      </c>
    </row>
    <row r="8189">
      <c r="A8189" s="4" t="s">
        <v>10293</v>
      </c>
      <c r="B8189" s="4" t="s">
        <v>10302</v>
      </c>
      <c r="C8189" s="5" t="str">
        <f>IFERROR(__xludf.DUMMYFUNCTION("GOOGLETRANSLATE(B8189,""en"",""es-ES"")"),"El video termina con el mismo logotipo con el que comenzó.")</f>
        <v>El video termina con el mismo logotipo con el que comenzó.</v>
      </c>
    </row>
    <row r="8190">
      <c r="A8190" s="4" t="s">
        <v>10303</v>
      </c>
      <c r="B8190" s="4" t="s">
        <v>10304</v>
      </c>
      <c r="C8190" s="5" t="str">
        <f>IFERROR(__xludf.DUMMYFUNCTION("GOOGLETRANSLATE(B8190,""en"",""es-ES"")"),"Un grupo de niñas con atuendos de hockey sobre césped camina sobre un campo verde en una línea.")</f>
        <v>Un grupo de niñas con atuendos de hockey sobre césped camina sobre un campo verde en una línea.</v>
      </c>
    </row>
    <row r="8191">
      <c r="A8191" s="4" t="s">
        <v>10303</v>
      </c>
      <c r="B8191" s="4" t="s">
        <v>10305</v>
      </c>
      <c r="C8191" s="5" t="str">
        <f>IFERROR(__xludf.DUMMYFUNCTION("GOOGLETRANSLATE(B8191,""en"",""es-ES"")"),"Luego se ven a las chicas frente a un entrenador masculino hablando con ellas y señalando lugares en el campo.")</f>
        <v>Luego se ven a las chicas frente a un entrenador masculino hablando con ellas y señalando lugares en el campo.</v>
      </c>
    </row>
    <row r="8192">
      <c r="A8192" s="4" t="s">
        <v>10303</v>
      </c>
      <c r="B8192" s="4" t="s">
        <v>10306</v>
      </c>
      <c r="C8192" s="5" t="str">
        <f>IFERROR(__xludf.DUMMYFUNCTION("GOOGLETRANSLATE(B8192,""en"",""es-ES"")"),"Varias chicas son entrevistadas desde el campo y las gradas antes y como se muestra el video de las niñas que practican hockey sobre césped.")</f>
        <v>Varias chicas son entrevistadas desde el campo y las gradas antes y como se muestra el video de las niñas que practican hockey sobre césped.</v>
      </c>
    </row>
    <row r="8193">
      <c r="A8193" s="4" t="s">
        <v>10303</v>
      </c>
      <c r="B8193" s="4" t="s">
        <v>10307</v>
      </c>
      <c r="C8193" s="5" t="str">
        <f>IFERROR(__xludf.DUMMYFUNCTION("GOOGLETRANSLATE(B8193,""en"",""es-ES"")"),"Luego se muestran a las chicas jugando hockey sobre campo en un gran campo verde intercalado con una entrevista del entrenador.")</f>
        <v>Luego se muestran a las chicas jugando hockey sobre campo en un gran campo verde intercalado con una entrevista del entrenador.</v>
      </c>
    </row>
    <row r="8194">
      <c r="A8194" s="4" t="s">
        <v>10308</v>
      </c>
      <c r="B8194" s="4" t="s">
        <v>10309</v>
      </c>
      <c r="C8194" s="5" t="str">
        <f>IFERROR(__xludf.DUMMYFUNCTION("GOOGLETRANSLATE(B8194,""en"",""es-ES"")"),"El hombre está de pie hablando con la cámara que muestra una gran pieza de metal.")</f>
        <v>El hombre está de pie hablando con la cámara que muestra una gran pieza de metal.</v>
      </c>
    </row>
    <row r="8195">
      <c r="A8195" s="4" t="s">
        <v>10308</v>
      </c>
      <c r="B8195" s="4" t="s">
        <v>10310</v>
      </c>
      <c r="C8195" s="5" t="str">
        <f>IFERROR(__xludf.DUMMYFUNCTION("GOOGLETRANSLATE(B8195,""en"",""es-ES"")"),"Te Man en la habitación está jugando la armónica.")</f>
        <v>Te Man en la habitación está jugando la armónica.</v>
      </c>
    </row>
    <row r="8196">
      <c r="A8196" s="4" t="s">
        <v>10308</v>
      </c>
      <c r="B8196" s="4" t="s">
        <v>10311</v>
      </c>
      <c r="C8196" s="5" t="str">
        <f>IFERROR(__xludf.DUMMYFUNCTION("GOOGLETRANSLATE(B8196,""en"",""es-ES"")"),"El hombre deja de jugar y sigue hablando con la cámara en una pequeña sala blanca.")</f>
        <v>El hombre deja de jugar y sigue hablando con la cámara en una pequeña sala blanca.</v>
      </c>
    </row>
    <row r="8197">
      <c r="A8197" s="4" t="s">
        <v>10312</v>
      </c>
      <c r="B8197" s="4" t="s">
        <v>10313</v>
      </c>
      <c r="C8197" s="5" t="str">
        <f>IFERROR(__xludf.DUMMYFUNCTION("GOOGLETRANSLATE(B8197,""en"",""es-ES"")"),"Una serie White BMW 3 está en un garaje limpiado por dos hombres que usan chaquetas de seguridad.")</f>
        <v>Una serie White BMW 3 está en un garaje limpiado por dos hombres que usan chaquetas de seguridad.</v>
      </c>
    </row>
    <row r="8198">
      <c r="A8198" s="4" t="s">
        <v>10312</v>
      </c>
      <c r="B8198" s="4" t="s">
        <v>10314</v>
      </c>
      <c r="C8198" s="5" t="str">
        <f>IFERROR(__xludf.DUMMYFUNCTION("GOOGLETRANSLATE(B8198,""en"",""es-ES"")"),"Una vez que se limpia el frente, los hombres se mueven hacia la espalda rociando el vehículo y regresan para rociar el borde y regresan al tronco para obtener todos los puntos.")</f>
        <v>Una vez que se limpia el frente, los hombres se mueven hacia la espalda rociando el vehículo y regresan para rociar el borde y regresan al tronco para obtener todos los puntos.</v>
      </c>
    </row>
    <row r="8199">
      <c r="A8199" s="4" t="s">
        <v>10315</v>
      </c>
      <c r="B8199" s="4" t="s">
        <v>10316</v>
      </c>
      <c r="C8199" s="5" t="str">
        <f>IFERROR(__xludf.DUMMYFUNCTION("GOOGLETRANSLATE(B8199,""en"",""es-ES"")"),"Hay dos chicas que usan camisetas sin mangas azules y faldas negras que hacen un baile coordinado con palos en sus manos en un gimnasio.")</f>
        <v>Hay dos chicas que usan camisetas sin mangas azules y faldas negras que hacen un baile coordinado con palos en sus manos en un gimnasio.</v>
      </c>
    </row>
    <row r="8200">
      <c r="A8200" s="4" t="s">
        <v>10315</v>
      </c>
      <c r="B8200" s="4" t="s">
        <v>10317</v>
      </c>
      <c r="C8200" s="5" t="str">
        <f>IFERROR(__xludf.DUMMYFUNCTION("GOOGLETRANSLATE(B8200,""en"",""es-ES"")"),"Comienzan por la espalda a la cámara y se rompen en un movimiento de baile levantando sus palos en el aire.")</f>
        <v>Comienzan por la espalda a la cámara y se rompen en un movimiento de baile levantando sus palos en el aire.</v>
      </c>
    </row>
    <row r="8201">
      <c r="A8201" s="4" t="s">
        <v>10315</v>
      </c>
      <c r="B8201" s="4" t="s">
        <v>10318</v>
      </c>
      <c r="C8201" s="5" t="str">
        <f>IFERROR(__xludf.DUMMYFUNCTION("GOOGLETRANSLATE(B8201,""en"",""es-ES"")"),"Luego arrojan sus palos en el aire y lo atrapan y se dan la vuelta para mirar la cámara.")</f>
        <v>Luego arrojan sus palos en el aire y lo atrapan y se dan la vuelta para mirar la cámara.</v>
      </c>
    </row>
    <row r="8202">
      <c r="A8202" s="4" t="s">
        <v>10315</v>
      </c>
      <c r="B8202" s="4" t="s">
        <v>10319</v>
      </c>
      <c r="C8202" s="5" t="str">
        <f>IFERROR(__xludf.DUMMYFUNCTION("GOOGLETRANSLATE(B8202,""en"",""es-ES"")"),"Continúan bailando en coordinación yendo en círculos y girando sus cuerpos simultáneamente.")</f>
        <v>Continúan bailando en coordinación yendo en círculos y girando sus cuerpos simultáneamente.</v>
      </c>
    </row>
    <row r="8203">
      <c r="A8203" s="4" t="s">
        <v>10315</v>
      </c>
      <c r="B8203" s="4" t="s">
        <v>10320</v>
      </c>
      <c r="C8203" s="5" t="str">
        <f>IFERROR(__xludf.DUMMYFUNCTION("GOOGLETRANSLATE(B8203,""en"",""es-ES"")"),"Luego hacen volteos delanteros y continúan girando sus cuerpos en movimiento circular.")</f>
        <v>Luego hacen volteos delanteros y continúan girando sus cuerpos en movimiento circular.</v>
      </c>
    </row>
    <row r="8204">
      <c r="A8204" s="4" t="s">
        <v>10315</v>
      </c>
      <c r="B8204" s="4" t="s">
        <v>10321</v>
      </c>
      <c r="C8204" s="5" t="str">
        <f>IFERROR(__xludf.DUMMYFUNCTION("GOOGLETRANSLATE(B8204,""en"",""es-ES"")"),"Uno de los bailarines hace un volteo delantero mientras el otro arroja el palo en el aire y lo atrapa.")</f>
        <v>Uno de los bailarines hace un volteo delantero mientras el otro arroja el palo en el aire y lo atrapa.</v>
      </c>
    </row>
    <row r="8205">
      <c r="A8205" s="4" t="s">
        <v>10315</v>
      </c>
      <c r="B8205" s="4" t="s">
        <v>10322</v>
      </c>
      <c r="C8205" s="5" t="str">
        <f>IFERROR(__xludf.DUMMYFUNCTION("GOOGLETRANSLATE(B8205,""en"",""es-ES"")"),"Continúan bailando mientras arrojan sus palos y los atrapan en sus manos mientras se coordinan.")</f>
        <v>Continúan bailando mientras arrojan sus palos y los atrapan en sus manos mientras se coordinan.</v>
      </c>
    </row>
    <row r="8206">
      <c r="A8206" s="4" t="s">
        <v>10315</v>
      </c>
      <c r="B8206" s="4" t="s">
        <v>10323</v>
      </c>
      <c r="C8206" s="5" t="str">
        <f>IFERROR(__xludf.DUMMYFUNCTION("GOOGLETRANSLATE(B8206,""en"",""es-ES"")"),"Después de que terminen con el baile, se unen y saludan a la cámara.")</f>
        <v>Después de que terminen con el baile, se unen y saludan a la cámara.</v>
      </c>
    </row>
    <row r="8207">
      <c r="A8207" s="4" t="s">
        <v>10324</v>
      </c>
      <c r="B8207" s="4" t="s">
        <v>10325</v>
      </c>
      <c r="C8207" s="5" t="str">
        <f>IFERROR(__xludf.DUMMYFUNCTION("GOOGLETRANSLATE(B8207,""en"",""es-ES"")"),"Una mujer con cabello corto lleva un auricular y los anteojos muestran dos clips, luego le cortó ambos lados de su cabello, mostró sus contenedores de lentes de contacto azul y blanco y le quitó los anteojos.")</f>
        <v>Una mujer con cabello corto lleva un auricular y los anteojos muestran dos clips, luego le cortó ambos lados de su cabello, mostró sus contenedores de lentes de contacto azul y blanco y le quitó los anteojos.</v>
      </c>
    </row>
    <row r="8208">
      <c r="A8208" s="4" t="s">
        <v>10324</v>
      </c>
      <c r="B8208" s="4" t="s">
        <v>10326</v>
      </c>
      <c r="C8208" s="5" t="str">
        <f>IFERROR(__xludf.DUMMYFUNCTION("GOOGLETRANSLATE(B8208,""en"",""es-ES"")"),"Mostró su mano, luego mostró lentes de esclera y la puso en su alumno derecho, se acercó a la cámara para mostrar su ojo, luego quitó la lente de contacto de su ojo al pellizcarlo.")</f>
        <v>Mostró su mano, luego mostró lentes de esclera y la puso en su alumno derecho, se acercó a la cámara para mostrar su ojo, luego quitó la lente de contacto de su ojo al pellizcarlo.</v>
      </c>
    </row>
    <row r="8209">
      <c r="A8209" s="4" t="s">
        <v>10327</v>
      </c>
      <c r="B8209" s="4" t="s">
        <v>10328</v>
      </c>
      <c r="C8209" s="5" t="str">
        <f>IFERROR(__xludf.DUMMYFUNCTION("GOOGLETRANSLATE(B8209,""en"",""es-ES"")"),"Un hombre se muestra en una clase de gimnasio que conduce a medida que la gente sube y baja en sus esteperios.")</f>
        <v>Un hombre se muestra en una clase de gimnasio que conduce a medida que la gente sube y baja en sus esteperios.</v>
      </c>
    </row>
    <row r="8210">
      <c r="A8210" s="4" t="s">
        <v>10327</v>
      </c>
      <c r="B8210" s="4" t="s">
        <v>10329</v>
      </c>
      <c r="C8210" s="5" t="str">
        <f>IFERROR(__xludf.DUMMYFUNCTION("GOOGLETRANSLATE(B8210,""en"",""es-ES"")"),"El hombre está saltando muy con entusiasmo tratando de mantener la motivación.")</f>
        <v>El hombre está saltando muy con entusiasmo tratando de mantener la motivación.</v>
      </c>
    </row>
    <row r="8211">
      <c r="A8211" s="4" t="s">
        <v>10327</v>
      </c>
      <c r="B8211" s="4" t="s">
        <v>10330</v>
      </c>
      <c r="C8211" s="5" t="str">
        <f>IFERROR(__xludf.DUMMYFUNCTION("GOOGLETRANSLATE(B8211,""en"",""es-ES"")"),"Él está muy interesado en la clase y están bailando sincronizando el uno con el otro.")</f>
        <v>Él está muy interesado en la clase y están bailando sincronizando el uno con el otro.</v>
      </c>
    </row>
    <row r="8212">
      <c r="A8212" s="4" t="s">
        <v>10327</v>
      </c>
      <c r="B8212" s="4" t="s">
        <v>10331</v>
      </c>
      <c r="C8212" s="5" t="str">
        <f>IFERROR(__xludf.DUMMYFUNCTION("GOOGLETRANSLATE(B8212,""en"",""es-ES"")"),"Concluyen la rutina aplaudiendo y celebrando su arduo trabajo.")</f>
        <v>Concluyen la rutina aplaudiendo y celebrando su arduo trabajo.</v>
      </c>
    </row>
    <row r="8213">
      <c r="A8213" s="4" t="s">
        <v>10332</v>
      </c>
      <c r="B8213" s="4" t="s">
        <v>10333</v>
      </c>
      <c r="C8213" s="5" t="str">
        <f>IFERROR(__xludf.DUMMYFUNCTION("GOOGLETRANSLATE(B8213,""en"",""es-ES"")"),"Se ve un primer plano de un carril de bolos con un hombre parado al frente.")</f>
        <v>Se ve un primer plano de un carril de bolos con un hombre parado al frente.</v>
      </c>
    </row>
    <row r="8214">
      <c r="A8214" s="4" t="s">
        <v>10332</v>
      </c>
      <c r="B8214" s="4" t="s">
        <v>10334</v>
      </c>
      <c r="C8214" s="5" t="str">
        <f>IFERROR(__xludf.DUMMYFUNCTION("GOOGLETRANSLATE(B8214,""en"",""es-ES"")"),"El hombre arroja una pelota por el carril y golpea varios alfileres.")</f>
        <v>El hombre arroja una pelota por el carril y golpea varios alfileres.</v>
      </c>
    </row>
    <row r="8215">
      <c r="A8215" s="4" t="s">
        <v>10332</v>
      </c>
      <c r="B8215" s="4" t="s">
        <v>10335</v>
      </c>
      <c r="C8215" s="5" t="str">
        <f>IFERROR(__xludf.DUMMYFUNCTION("GOOGLETRANSLATE(B8215,""en"",""es-ES"")"),"Finalmente camina de nuevo por el carril.")</f>
        <v>Finalmente camina de nuevo por el carril.</v>
      </c>
    </row>
    <row r="8216">
      <c r="A8216" s="4" t="s">
        <v>10336</v>
      </c>
      <c r="B8216" s="4" t="s">
        <v>10337</v>
      </c>
      <c r="C8216" s="5" t="str">
        <f>IFERROR(__xludf.DUMMYFUNCTION("GOOGLETRANSLATE(B8216,""en"",""es-ES"")"),"El hombre con una camisa verde está ensamblando una bicicleta en el medio de una sala de estar.")</f>
        <v>El hombre con una camisa verde está ensamblando una bicicleta en el medio de una sala de estar.</v>
      </c>
    </row>
    <row r="8217">
      <c r="A8217" s="4" t="s">
        <v>10336</v>
      </c>
      <c r="B8217" s="4" t="s">
        <v>10338</v>
      </c>
      <c r="C8217" s="5" t="str">
        <f>IFERROR(__xludf.DUMMYFUNCTION("GOOGLETRANSLATE(B8217,""en"",""es-ES"")"),"Otro hombre que lleva un suéter azul está ayudando al otro hombre a ensamblar las bicicletas.")</f>
        <v>Otro hombre que lleva un suéter azul está ayudando al otro hombre a ensamblar las bicicletas.</v>
      </c>
    </row>
    <row r="8218">
      <c r="A8218" s="4" t="s">
        <v>10336</v>
      </c>
      <c r="B8218" s="4" t="s">
        <v>10339</v>
      </c>
      <c r="C8218" s="5" t="str">
        <f>IFERROR(__xludf.DUMMYFUNCTION("GOOGLETRANSLATE(B8218,""en"",""es-ES"")"),"Los hombres están reuniendo tres bicicletas en la sala de estar.")</f>
        <v>Los hombres están reuniendo tres bicicletas en la sala de estar.</v>
      </c>
    </row>
    <row r="8219">
      <c r="A8219" s="4" t="s">
        <v>10340</v>
      </c>
      <c r="B8219" s="4" t="s">
        <v>10341</v>
      </c>
      <c r="C8219" s="5" t="str">
        <f>IFERROR(__xludf.DUMMYFUNCTION("GOOGLETRANSLATE(B8219,""en"",""es-ES"")"),"Se ve a un hombre parado con los brazos en alto y camina entre un juego de bares desiguales.")</f>
        <v>Se ve a un hombre parado con los brazos en alto y camina entre un juego de bares desiguales.</v>
      </c>
    </row>
    <row r="8220">
      <c r="A8220" s="4" t="s">
        <v>10340</v>
      </c>
      <c r="B8220" s="4" t="s">
        <v>10342</v>
      </c>
      <c r="C8220" s="5" t="str">
        <f>IFERROR(__xludf.DUMMYFUNCTION("GOOGLETRANSLATE(B8220,""en"",""es-ES"")"),"El hombre luego espera en las barras y comienza a girar a sí mismo.")</f>
        <v>El hombre luego espera en las barras y comienza a girar a sí mismo.</v>
      </c>
    </row>
    <row r="8221">
      <c r="A8221" s="4" t="s">
        <v>10340</v>
      </c>
      <c r="B8221" s="4" t="s">
        <v>10343</v>
      </c>
      <c r="C8221" s="5" t="str">
        <f>IFERROR(__xludf.DUMMYFUNCTION("GOOGLETRANSLATE(B8221,""en"",""es-ES"")"),"Continúa girando sobre las barras y termina saltando por los lados.")</f>
        <v>Continúa girando sobre las barras y termina saltando por los lados.</v>
      </c>
    </row>
    <row r="8222">
      <c r="A8222" s="4" t="s">
        <v>10344</v>
      </c>
      <c r="B8222" s="4" t="s">
        <v>10345</v>
      </c>
      <c r="C8222" s="5" t="str">
        <f>IFERROR(__xludf.DUMMYFUNCTION("GOOGLETRANSLATE(B8222,""en"",""es-ES"")"),"Los jugadores están jugando curling en una cancha de hielo.")</f>
        <v>Los jugadores están jugando curling en una cancha de hielo.</v>
      </c>
    </row>
    <row r="8223">
      <c r="A8223" s="4" t="s">
        <v>10344</v>
      </c>
      <c r="B8223" s="4" t="s">
        <v>10346</v>
      </c>
      <c r="C8223" s="5" t="str">
        <f>IFERROR(__xludf.DUMMYFUNCTION("GOOGLETRANSLATE(B8223,""en"",""es-ES"")"),"Los jugadores empujaron la piedra y dos personas están cepillando la parte delantera de la piedra hasta que alcanzó el objetivo.")</f>
        <v>Los jugadores empujaron la piedra y dos personas están cepillando la parte delantera de la piedra hasta que alcanzó el objetivo.</v>
      </c>
    </row>
    <row r="8224">
      <c r="A8224" s="4" t="s">
        <v>10344</v>
      </c>
      <c r="B8224" s="4" t="s">
        <v>10347</v>
      </c>
      <c r="C8224" s="5" t="str">
        <f>IFERROR(__xludf.DUMMYFUNCTION("GOOGLETRANSLATE(B8224,""en"",""es-ES"")"),"Una niña asiática empujó la piedra y la otra chica está cepillando la parte delantera de la piedra hasta que golpeó otras piedras.")</f>
        <v>Una niña asiática empujó la piedra y la otra chica está cepillando la parte delantera de la piedra hasta que golpeó otras piedras.</v>
      </c>
    </row>
    <row r="8225">
      <c r="A8225" s="4" t="s">
        <v>10348</v>
      </c>
      <c r="B8225" s="4" t="s">
        <v>10349</v>
      </c>
      <c r="C8225" s="5" t="str">
        <f>IFERROR(__xludf.DUMMYFUNCTION("GOOGLETRANSLATE(B8225,""en"",""es-ES"")"),"Se muestra a un hombre arrojando una pelota de bolos por un carril.")</f>
        <v>Se muestra a un hombre arrojando una pelota de bolos por un carril.</v>
      </c>
    </row>
    <row r="8226">
      <c r="A8226" s="4" t="s">
        <v>10348</v>
      </c>
      <c r="B8226" s="4" t="s">
        <v>10350</v>
      </c>
      <c r="C8226" s="5" t="str">
        <f>IFERROR(__xludf.DUMMYFUNCTION("GOOGLETRANSLATE(B8226,""en"",""es-ES"")"),"Luego se intercala a un montón de diferentes tiros de la pelota hacia los alfileres.")</f>
        <v>Luego se intercala a un montón de diferentes tiros de la pelota hacia los alfileres.</v>
      </c>
    </row>
    <row r="8227">
      <c r="A8227" s="4" t="s">
        <v>10348</v>
      </c>
      <c r="B8227" s="4" t="s">
        <v>10351</v>
      </c>
      <c r="C8227" s="5" t="str">
        <f>IFERROR(__xludf.DUMMYFUNCTION("GOOGLETRANSLATE(B8227,""en"",""es-ES"")"),"Una mujer entrevista al jugador de bolos profesional y se puso un aparato en su muñeca.")</f>
        <v>Una mujer entrevista al jugador de bolos profesional y se puso un aparato en su muñeca.</v>
      </c>
    </row>
    <row r="8228">
      <c r="A8228" s="4" t="s">
        <v>10348</v>
      </c>
      <c r="B8228" s="4" t="s">
        <v>10352</v>
      </c>
      <c r="C8228" s="5" t="str">
        <f>IFERROR(__xludf.DUMMYFUNCTION("GOOGLETRANSLATE(B8228,""en"",""es-ES"")"),"Luego se le muestra agarrando la pelota y hace un lanzamiento en cámara lenta.")</f>
        <v>Luego se le muestra agarrando la pelota y hace un lanzamiento en cámara lenta.</v>
      </c>
    </row>
    <row r="8229">
      <c r="A8229" s="4" t="s">
        <v>10348</v>
      </c>
      <c r="B8229" s="4" t="s">
        <v>10353</v>
      </c>
      <c r="C8229" s="5" t="str">
        <f>IFERROR(__xludf.DUMMYFUNCTION("GOOGLETRANSLATE(B8229,""en"",""es-ES"")"),"Esto se muestra varias veces desde diferentes ángulos.")</f>
        <v>Esto se muestra varias veces desde diferentes ángulos.</v>
      </c>
    </row>
    <row r="8230">
      <c r="A8230" s="4" t="s">
        <v>10348</v>
      </c>
      <c r="B8230" s="4" t="s">
        <v>10354</v>
      </c>
      <c r="C8230" s="5" t="str">
        <f>IFERROR(__xludf.DUMMYFUNCTION("GOOGLETRANSLATE(B8230,""en"",""es-ES"")"),"Después de una serie de estas tomas de acción, el video se mueve a un hombre que habla directamente en la cámara, con el logotipo del programa apareciendo a medida que termina.")</f>
        <v>Después de una serie de estas tomas de acción, el video se mueve a un hombre que habla directamente en la cámara, con el logotipo del programa apareciendo a medida que termina.</v>
      </c>
    </row>
    <row r="8231">
      <c r="A8231" s="4" t="s">
        <v>10355</v>
      </c>
      <c r="B8231" s="4" t="s">
        <v>10356</v>
      </c>
      <c r="C8231" s="5" t="str">
        <f>IFERROR(__xludf.DUMMYFUNCTION("GOOGLETRANSLATE(B8231,""en"",""es-ES"")"),"Un hombre en un caballo pasa por una cerca de rodeo.")</f>
        <v>Un hombre en un caballo pasa por una cerca de rodeo.</v>
      </c>
    </row>
    <row r="8232">
      <c r="A8232" s="4" t="s">
        <v>10355</v>
      </c>
      <c r="B8232" s="4" t="s">
        <v>10357</v>
      </c>
      <c r="C8232" s="5" t="str">
        <f>IFERROR(__xludf.DUMMYFUNCTION("GOOGLETRANSLATE(B8232,""en"",""es-ES"")"),"Desmita, ata y ata un ternero.")</f>
        <v>Desmita, ata y ata un ternero.</v>
      </c>
    </row>
    <row r="8233">
      <c r="A8233" s="4" t="s">
        <v>10355</v>
      </c>
      <c r="B8233" s="4" t="s">
        <v>10358</v>
      </c>
      <c r="C8233" s="5" t="str">
        <f>IFERROR(__xludf.DUMMYFUNCTION("GOOGLETRANSLATE(B8233,""en"",""es-ES"")"),"Cuando termina, regresa a su caballo y vuelve.")</f>
        <v>Cuando termina, regresa a su caballo y vuelve.</v>
      </c>
    </row>
    <row r="8234">
      <c r="A8234" s="4" t="s">
        <v>10359</v>
      </c>
      <c r="B8234" s="4" t="s">
        <v>10360</v>
      </c>
      <c r="C8234" s="5" t="str">
        <f>IFERROR(__xludf.DUMMYFUNCTION("GOOGLETRANSLATE(B8234,""en"",""es-ES"")"),"Se ve un primer plano de un artista de tatuajes dibujando a lo largo de la pierna de una persona.")</f>
        <v>Se ve un primer plano de un artista de tatuajes dibujando a lo largo de la pierna de una persona.</v>
      </c>
    </row>
    <row r="8235">
      <c r="A8235" s="4" t="s">
        <v>10359</v>
      </c>
      <c r="B8235" s="4" t="s">
        <v>10361</v>
      </c>
      <c r="C8235" s="5" t="str">
        <f>IFERROR(__xludf.DUMMYFUNCTION("GOOGLETRANSLATE(B8235,""en"",""es-ES"")"),"El artista continúa dibujando toda la pierna de la persona mientras mira de vez en cuando a la cámara.")</f>
        <v>El artista continúa dibujando toda la pierna de la persona mientras mira de vez en cuando a la cámara.</v>
      </c>
    </row>
    <row r="8236">
      <c r="A8236" s="4" t="s">
        <v>10362</v>
      </c>
      <c r="B8236" s="4" t="s">
        <v>10363</v>
      </c>
      <c r="C8236" s="5" t="str">
        <f>IFERROR(__xludf.DUMMYFUNCTION("GOOGLETRANSLATE(B8236,""en"",""es-ES"")"),"Se ve a un niño pequeño caminando hasta el final de una tabla de buceo y mirando a la cámara.")</f>
        <v>Se ve a un niño pequeño caminando hasta el final de una tabla de buceo y mirando a la cámara.</v>
      </c>
    </row>
    <row r="8237">
      <c r="A8237" s="4" t="s">
        <v>10362</v>
      </c>
      <c r="B8237" s="4" t="s">
        <v>10364</v>
      </c>
      <c r="C8237" s="5" t="str">
        <f>IFERROR(__xludf.DUMMYFUNCTION("GOOGLETRANSLATE(B8237,""en"",""es-ES"")"),"El niño luego se sumerge en el agua y la cámara lo captura moverse bajo el agua.")</f>
        <v>El niño luego se sumerge en el agua y la cámara lo captura moverse bajo el agua.</v>
      </c>
    </row>
    <row r="8238">
      <c r="A8238" s="4" t="s">
        <v>10365</v>
      </c>
      <c r="B8238" s="4" t="s">
        <v>10366</v>
      </c>
      <c r="C8238" s="5" t="str">
        <f>IFERROR(__xludf.DUMMYFUNCTION("GOOGLETRANSLATE(B8238,""en"",""es-ES"")"),"La mujer está de pie en medio del escenario tocando la flauta.")</f>
        <v>La mujer está de pie en medio del escenario tocando la flauta.</v>
      </c>
    </row>
    <row r="8239">
      <c r="A8239" s="4" t="s">
        <v>10365</v>
      </c>
      <c r="B8239" s="4" t="s">
        <v>10367</v>
      </c>
      <c r="C8239" s="5" t="str">
        <f>IFERROR(__xludf.DUMMYFUNCTION("GOOGLETRANSLATE(B8239,""en"",""es-ES"")"),"Las mujeres están de pie detrás de la mujer con la flauta de pie sosteniendo micrófonos.")</f>
        <v>Las mujeres están de pie detrás de la mujer con la flauta de pie sosteniendo micrófonos.</v>
      </c>
    </row>
    <row r="8240">
      <c r="A8240" s="4" t="s">
        <v>10365</v>
      </c>
      <c r="B8240" s="4" t="s">
        <v>10368</v>
      </c>
      <c r="C8240" s="5" t="str">
        <f>IFERROR(__xludf.DUMMYFUNCTION("GOOGLETRANSLATE(B8240,""en"",""es-ES"")"),"Los hombres están de pie detrás de las mujeres tocando diferentes instrumentos.")</f>
        <v>Los hombres están de pie detrás de las mujeres tocando diferentes instrumentos.</v>
      </c>
    </row>
    <row r="8241">
      <c r="A8241" s="4" t="s">
        <v>10369</v>
      </c>
      <c r="B8241" s="4" t="s">
        <v>10370</v>
      </c>
      <c r="C8241" s="5" t="str">
        <f>IFERROR(__xludf.DUMMYFUNCTION("GOOGLETRANSLATE(B8241,""en"",""es-ES"")"),"Hay una niña con una camisa rosa y medias negras y zapatos rosados ​​que juegan escocés en un patio de recreo.")</f>
        <v>Hay una niña con una camisa rosa y medias negras y zapatos rosados ​​que juegan escocés en un patio de recreo.</v>
      </c>
    </row>
    <row r="8242">
      <c r="A8242" s="4" t="s">
        <v>10369</v>
      </c>
      <c r="B8242" s="4" t="s">
        <v>10371</v>
      </c>
      <c r="C8242" s="5" t="str">
        <f>IFERROR(__xludf.DUMMYFUNCTION("GOOGLETRANSLATE(B8242,""en"",""es-ES"")"),"Ella salta sobre los coloridos cuadrados mientras se divierte.")</f>
        <v>Ella salta sobre los coloridos cuadrados mientras se divierte.</v>
      </c>
    </row>
    <row r="8243">
      <c r="A8243" s="4" t="s">
        <v>10369</v>
      </c>
      <c r="B8243" s="4" t="s">
        <v>10372</v>
      </c>
      <c r="C8243" s="5" t="str">
        <f>IFERROR(__xludf.DUMMYFUNCTION("GOOGLETRANSLATE(B8243,""en"",""es-ES"")"),"Luego da la vuelta a una pequeña fuente de agua que está al lado de los cuadrados escoceses de lúpulo.")</f>
        <v>Luego da la vuelta a una pequeña fuente de agua que está al lado de los cuadrados escoceses de lúpulo.</v>
      </c>
    </row>
    <row r="8244">
      <c r="A8244" s="4" t="s">
        <v>10369</v>
      </c>
      <c r="B8244" s="4" t="s">
        <v>10373</v>
      </c>
      <c r="C8244" s="5" t="str">
        <f>IFERROR(__xludf.DUMMYFUNCTION("GOOGLETRANSLATE(B8244,""en"",""es-ES"")"),"Ella se está divirtiendo corriendo en el patio de recreo.")</f>
        <v>Ella se está divirtiendo corriendo en el patio de recreo.</v>
      </c>
    </row>
    <row r="8245">
      <c r="A8245" s="4" t="s">
        <v>10374</v>
      </c>
      <c r="B8245" s="4" t="s">
        <v>10375</v>
      </c>
      <c r="C8245" s="5" t="str">
        <f>IFERROR(__xludf.DUMMYFUNCTION("GOOGLETRANSLATE(B8245,""en"",""es-ES"")"),"Un hombre está sentado en una mesa negra.")</f>
        <v>Un hombre está sentado en una mesa negra.</v>
      </c>
    </row>
    <row r="8246">
      <c r="A8246" s="4" t="s">
        <v>10374</v>
      </c>
      <c r="B8246" s="4" t="s">
        <v>10376</v>
      </c>
      <c r="C8246" s="5" t="str">
        <f>IFERROR(__xludf.DUMMYFUNCTION("GOOGLETRANSLATE(B8246,""en"",""es-ES"")"),"Está hablando del juego y mostrando las cartas y las papas fritas.")</f>
        <v>Está hablando del juego y mostrando las cartas y las papas fritas.</v>
      </c>
    </row>
    <row r="8247">
      <c r="A8247" s="4" t="s">
        <v>10374</v>
      </c>
      <c r="B8247" s="4" t="s">
        <v>10377</v>
      </c>
      <c r="C8247" s="5" t="str">
        <f>IFERROR(__xludf.DUMMYFUNCTION("GOOGLETRANSLATE(B8247,""en"",""es-ES"")"),"Muestra cómo tratar cada mano y cómo dispensar las fichas a los ganadores.")</f>
        <v>Muestra cómo tratar cada mano y cómo dispensar las fichas a los ganadores.</v>
      </c>
    </row>
    <row r="8248">
      <c r="A8248" s="4" t="s">
        <v>10378</v>
      </c>
      <c r="B8248" s="4" t="s">
        <v>10379</v>
      </c>
      <c r="C8248" s="5" t="str">
        <f>IFERROR(__xludf.DUMMYFUNCTION("GOOGLETRANSLATE(B8248,""en"",""es-ES"")"),"Una gimnasta masculina se sube a los bares y comienza a realizar una rutina de gimnasia.")</f>
        <v>Una gimnasta masculina se sube a los bares y comienza a realizar una rutina de gimnasia.</v>
      </c>
    </row>
    <row r="8249">
      <c r="A8249" s="4" t="s">
        <v>10378</v>
      </c>
      <c r="B8249" s="4" t="s">
        <v>10380</v>
      </c>
      <c r="C8249" s="5" t="str">
        <f>IFERROR(__xludf.DUMMYFUNCTION("GOOGLETRANSLATE(B8249,""en"",""es-ES"")"),"Se balancea alrededor de los bares una y otra vez mientras los jueces miran y critican.")</f>
        <v>Se balancea alrededor de los bares una y otra vez mientras los jueces miran y critican.</v>
      </c>
    </row>
    <row r="8250">
      <c r="A8250" s="4" t="s">
        <v>10378</v>
      </c>
      <c r="B8250" s="4" t="s">
        <v>10381</v>
      </c>
      <c r="C8250" s="5" t="str">
        <f>IFERROR(__xludf.DUMMYFUNCTION("GOOGLETRANSLATE(B8250,""en"",""es-ES"")"),"El hombre finalmente salta y el video se desvanece en un efecto.")</f>
        <v>El hombre finalmente salta y el video se desvanece en un efecto.</v>
      </c>
    </row>
    <row r="8251">
      <c r="A8251" s="4" t="s">
        <v>10382</v>
      </c>
      <c r="B8251" s="4" t="s">
        <v>10383</v>
      </c>
      <c r="C8251" s="5" t="str">
        <f>IFERROR(__xludf.DUMMYFUNCTION("GOOGLETRANSLATE(B8251,""en"",""es-ES"")"),"Se ve a un hombre con guantes de boxeo golpeando una bolsa en una habitación vacía.")</f>
        <v>Se ve a un hombre con guantes de boxeo golpeando una bolsa en una habitación vacía.</v>
      </c>
    </row>
    <row r="8252">
      <c r="A8252" s="4" t="s">
        <v>10382</v>
      </c>
      <c r="B8252" s="4" t="s">
        <v>10384</v>
      </c>
      <c r="C8252" s="5" t="str">
        <f>IFERROR(__xludf.DUMMYFUNCTION("GOOGLETRANSLATE(B8252,""en"",""es-ES"")"),"Continuamente golpea la bolsa una y otra vez mientras se detiene entre golpes para recuperar el aliento.")</f>
        <v>Continuamente golpea la bolsa una y otra vez mientras se detiene entre golpes para recuperar el aliento.</v>
      </c>
    </row>
    <row r="8253">
      <c r="A8253" s="4" t="s">
        <v>10385</v>
      </c>
      <c r="B8253" s="4" t="s">
        <v>10386</v>
      </c>
      <c r="C8253" s="5" t="str">
        <f>IFERROR(__xludf.DUMMYFUNCTION("GOOGLETRANSLATE(B8253,""en"",""es-ES"")"),"Dos parejas juegan bádminton en una cancha.")</f>
        <v>Dos parejas juegan bádminton en una cancha.</v>
      </c>
    </row>
    <row r="8254">
      <c r="A8254" s="4" t="s">
        <v>10385</v>
      </c>
      <c r="B8254" s="4" t="s">
        <v>10387</v>
      </c>
      <c r="C8254" s="5" t="str">
        <f>IFERROR(__xludf.DUMMYFUNCTION("GOOGLETRANSLATE(B8254,""en"",""es-ES"")"),"Un hombre ingresa a la corte y se siente a la corte salió de la corte con otra persona.")</f>
        <v>Un hombre ingresa a la corte y se siente a la corte salió de la corte con otra persona.</v>
      </c>
    </row>
    <row r="8255">
      <c r="A8255" s="4" t="s">
        <v>10388</v>
      </c>
      <c r="B8255" s="4" t="s">
        <v>10389</v>
      </c>
      <c r="C8255" s="5" t="str">
        <f>IFERROR(__xludf.DUMMYFUNCTION("GOOGLETRANSLATE(B8255,""en"",""es-ES"")"),"Hay una mujer de cabello negro largo mirando en un espejo y cepillándose el cabello.")</f>
        <v>Hay una mujer de cabello negro largo mirando en un espejo y cepillándose el cabello.</v>
      </c>
    </row>
    <row r="8256">
      <c r="A8256" s="4" t="s">
        <v>10388</v>
      </c>
      <c r="B8256" s="4" t="s">
        <v>10390</v>
      </c>
      <c r="C8256" s="5" t="str">
        <f>IFERROR(__xludf.DUMMYFUNCTION("GOOGLETRANSLATE(B8256,""en"",""es-ES"")"),"Hay otra mujer con cabello rubio que hace que una cara se vea enojada y disgustada.")</f>
        <v>Hay otra mujer con cabello rubio que hace que una cara se vea enojada y disgustada.</v>
      </c>
    </row>
    <row r="8257">
      <c r="A8257" s="4" t="s">
        <v>10391</v>
      </c>
      <c r="B8257" s="4" t="s">
        <v>10392</v>
      </c>
      <c r="C8257" s="5" t="str">
        <f>IFERROR(__xludf.DUMMYFUNCTION("GOOGLETRANSLATE(B8257,""en"",""es-ES"")"),"Un cantinero comienza a hablar con la cámara y vierte hielo en un vaso.")</f>
        <v>Un cantinero comienza a hablar con la cámara y vierte hielo en un vaso.</v>
      </c>
    </row>
    <row r="8258">
      <c r="A8258" s="4" t="s">
        <v>10391</v>
      </c>
      <c r="B8258" s="4" t="s">
        <v>10393</v>
      </c>
      <c r="C8258" s="5" t="str">
        <f>IFERROR(__xludf.DUMMYFUNCTION("GOOGLETRANSLATE(B8258,""en"",""es-ES"")"),"Ella piensa que instruye a mezclar ron y jugo de limón en el vaso y una onza de ron diferente.")</f>
        <v>Ella piensa que instruye a mezclar ron y jugo de limón en el vaso y una onza de ron diferente.</v>
      </c>
    </row>
    <row r="8259">
      <c r="A8259" s="4" t="s">
        <v>10391</v>
      </c>
      <c r="B8259" s="4" t="s">
        <v>10394</v>
      </c>
      <c r="C8259" s="5" t="str">
        <f>IFERROR(__xludf.DUMMYFUNCTION("GOOGLETRANSLATE(B8259,""en"",""es-ES"")"),"Finalmente, mezcla granadina con un poco de mezcla dulce y agria con agua de soda.")</f>
        <v>Finalmente, mezcla granadina con un poco de mezcla dulce y agria con agua de soda.</v>
      </c>
    </row>
    <row r="8260">
      <c r="A8260" s="4" t="s">
        <v>10391</v>
      </c>
      <c r="B8260" s="4" t="s">
        <v>10395</v>
      </c>
      <c r="C8260" s="5" t="str">
        <f>IFERROR(__xludf.DUMMYFUNCTION("GOOGLETRANSLATE(B8260,""en"",""es-ES"")"),"Finalmente, mezcla todos los componentes y crea una buena bebida alcohólica.")</f>
        <v>Finalmente, mezcla todos los componentes y crea una buena bebida alcohólica.</v>
      </c>
    </row>
    <row r="8261">
      <c r="A8261" s="4" t="s">
        <v>10396</v>
      </c>
      <c r="B8261" s="4" t="s">
        <v>10397</v>
      </c>
      <c r="C8261" s="5" t="str">
        <f>IFERROR(__xludf.DUMMYFUNCTION("GOOGLETRANSLATE(B8261,""en"",""es-ES"")"),"Una niña está parada en un escenario frente a 4 jueces que están sentados a lo largo de una mesa y están hablando con ella.")</f>
        <v>Una niña está parada en un escenario frente a 4 jueces que están sentados a lo largo de una mesa y están hablando con ella.</v>
      </c>
    </row>
    <row r="8262">
      <c r="A8262" s="4" t="s">
        <v>10396</v>
      </c>
      <c r="B8262" s="4" t="s">
        <v>10398</v>
      </c>
      <c r="C8262" s="5" t="str">
        <f>IFERROR(__xludf.DUMMYFUNCTION("GOOGLETRANSLATE(B8262,""en"",""es-ES"")"),"Luego, la niña comienza su actuación en la que está bailando ballet y cantando, y cuando se enfrentan a los jueces y al público, parecen complacidos con su actuación.")</f>
        <v>Luego, la niña comienza su actuación en la que está bailando ballet y cantando, y cuando se enfrentan a los jueces y al público, parecen complacidos con su actuación.</v>
      </c>
    </row>
    <row r="8263">
      <c r="A8263" s="4" t="s">
        <v>10396</v>
      </c>
      <c r="B8263" s="4" t="s">
        <v>10399</v>
      </c>
      <c r="C8263" s="5" t="str">
        <f>IFERROR(__xludf.DUMMYFUNCTION("GOOGLETRANSLATE(B8263,""en"",""es-ES"")"),"Cuando la niña termina de actuar, recibe una ovación de pie de la audiencia y algunos de los jueces.")</f>
        <v>Cuando la niña termina de actuar, recibe una ovación de pie de la audiencia y algunos de los jueces.</v>
      </c>
    </row>
    <row r="8264">
      <c r="A8264" s="4" t="s">
        <v>10396</v>
      </c>
      <c r="B8264" s="4" t="s">
        <v>10400</v>
      </c>
      <c r="C8264" s="5" t="str">
        <f>IFERROR(__xludf.DUMMYFUNCTION("GOOGLETRANSLATE(B8264,""en"",""es-ES"")"),"Los jueces se turnan para hablar con ella expresando su aprobación, y la niña está muy feliz por eso.")</f>
        <v>Los jueces se turnan para hablar con ella expresando su aprobación, y la niña está muy feliz por eso.</v>
      </c>
    </row>
    <row r="8265">
      <c r="A8265" s="4" t="s">
        <v>10396</v>
      </c>
      <c r="B8265" s="4" t="s">
        <v>10401</v>
      </c>
      <c r="C8265" s="5" t="str">
        <f>IFERROR(__xludf.DUMMYFUNCTION("GOOGLETRANSLATE(B8265,""en"",""es-ES"")"),"Luego, la niña sale corriendo del escenario y detrás de las cortinas, le da a un hombre que posiblemente es su padre, un beso y un abrazo.")</f>
        <v>Luego, la niña sale corriendo del escenario y detrás de las cortinas, le da a un hombre que posiblemente es su padre, un beso y un abrazo.</v>
      </c>
    </row>
    <row r="8266">
      <c r="A8266" s="4" t="s">
        <v>10402</v>
      </c>
      <c r="B8266" s="4" t="s">
        <v>10403</v>
      </c>
      <c r="C8266" s="5" t="str">
        <f>IFERROR(__xludf.DUMMYFUNCTION("GOOGLETRANSLATE(B8266,""en"",""es-ES"")"),"Se ve a un grupo de mujeres caminando por un área arenosa y comienza a jugar un partido de voleibol entre sí.")</f>
        <v>Se ve a un grupo de mujeres caminando por un área arenosa y comienza a jugar un partido de voleibol entre sí.</v>
      </c>
    </row>
    <row r="8267">
      <c r="A8267" s="4" t="s">
        <v>10402</v>
      </c>
      <c r="B8267" s="4" t="s">
        <v>10404</v>
      </c>
      <c r="C8267" s="5" t="str">
        <f>IFERROR(__xludf.DUMMYFUNCTION("GOOGLETRANSLATE(B8267,""en"",""es-ES"")"),"Las chicas continúan jugando el partido mientras otras miran al margen y regresan lentamente al final.")</f>
        <v>Las chicas continúan jugando el partido mientras otras miran al margen y regresan lentamente al final.</v>
      </c>
    </row>
    <row r="8268">
      <c r="A8268" s="4" t="s">
        <v>10405</v>
      </c>
      <c r="B8268" s="4" t="s">
        <v>10406</v>
      </c>
      <c r="C8268" s="5" t="str">
        <f>IFERROR(__xludf.DUMMYFUNCTION("GOOGLETRANSLATE(B8268,""en"",""es-ES"")"),"Una niña hace una rutina de vigas de equilibrio y salta.")</f>
        <v>Una niña hace una rutina de vigas de equilibrio y salta.</v>
      </c>
    </row>
    <row r="8269">
      <c r="A8269" s="4" t="s">
        <v>10405</v>
      </c>
      <c r="B8269" s="4" t="s">
        <v>10407</v>
      </c>
      <c r="C8269" s="5" t="str">
        <f>IFERROR(__xludf.DUMMYFUNCTION("GOOGLETRANSLATE(B8269,""en"",""es-ES"")"),"Después de estirarse, la mujer hace cuatro volteos.")</f>
        <v>Después de estirarse, la mujer hace cuatro volteos.</v>
      </c>
    </row>
    <row r="8270">
      <c r="A8270" s="4" t="s">
        <v>10405</v>
      </c>
      <c r="B8270" s="4" t="s">
        <v>10408</v>
      </c>
      <c r="C8270" s="5" t="str">
        <f>IFERROR(__xludf.DUMMYFUNCTION("GOOGLETRANSLATE(B8270,""en"",""es-ES"")"),"La mujer desmonta y termina la rutina.")</f>
        <v>La mujer desmonta y termina la rutina.</v>
      </c>
    </row>
    <row r="8271">
      <c r="A8271" s="4" t="s">
        <v>10409</v>
      </c>
      <c r="B8271" s="4" t="s">
        <v>10410</v>
      </c>
      <c r="C8271" s="5" t="str">
        <f>IFERROR(__xludf.DUMMYFUNCTION("GOOGLETRANSLATE(B8271,""en"",""es-ES"")"),"En un río afuera de los niños caminan por la calle mientras pasan los autos.")</f>
        <v>En un río afuera de los niños caminan por la calle mientras pasan los autos.</v>
      </c>
    </row>
    <row r="8272">
      <c r="A8272" s="4" t="s">
        <v>10409</v>
      </c>
      <c r="B8272" s="4" t="s">
        <v>10411</v>
      </c>
      <c r="C8272" s="5" t="str">
        <f>IFERROR(__xludf.DUMMYFUNCTION("GOOGLETRANSLATE(B8272,""en"",""es-ES"")"),"Hay muchas personas haciendo muchas actividades diferentes en el agua.")</f>
        <v>Hay muchas personas haciendo muchas actividades diferentes en el agua.</v>
      </c>
    </row>
    <row r="8273">
      <c r="A8273" s="4" t="s">
        <v>10409</v>
      </c>
      <c r="B8273" s="4" t="s">
        <v>10412</v>
      </c>
      <c r="C8273" s="5" t="str">
        <f>IFERROR(__xludf.DUMMYFUNCTION("GOOGLETRANSLATE(B8273,""en"",""es-ES"")"),"Algunos de los chicos saltan del puente y otros viajan detrás de un bote.")</f>
        <v>Algunos de los chicos saltan del puente y otros viajan detrás de un bote.</v>
      </c>
    </row>
    <row r="8274">
      <c r="A8274" s="4" t="s">
        <v>10409</v>
      </c>
      <c r="B8274" s="4" t="s">
        <v>10413</v>
      </c>
      <c r="C8274" s="5" t="str">
        <f>IFERROR(__xludf.DUMMYFUNCTION("GOOGLETRANSLATE(B8274,""en"",""es-ES"")"),"Es un buen día de verano para salir y disfrutar de la diversión al sol junto al agua.")</f>
        <v>Es un buen día de verano para salir y disfrutar de la diversión al sol junto al agua.</v>
      </c>
    </row>
    <row r="8275">
      <c r="A8275" s="4" t="s">
        <v>10414</v>
      </c>
      <c r="B8275" s="4" t="s">
        <v>10415</v>
      </c>
      <c r="C8275" s="5" t="str">
        <f>IFERROR(__xludf.DUMMYFUNCTION("GOOGLETRANSLATE(B8275,""en"",""es-ES"")"),"Un chico te muestra cómo sostener un pequeño palo de final afilado en tu mano y entre tus dedos para usar como arma.")</f>
        <v>Un chico te muestra cómo sostener un pequeño palo de final afilado en tu mano y entre tus dedos para usar como arma.</v>
      </c>
    </row>
    <row r="8276">
      <c r="A8276" s="4" t="s">
        <v>10414</v>
      </c>
      <c r="B8276" s="4" t="s">
        <v>10416</v>
      </c>
      <c r="C8276" s="5" t="str">
        <f>IFERROR(__xludf.DUMMYFUNCTION("GOOGLETRANSLATE(B8276,""en"",""es-ES"")"),"El hombre te muestra cómo tirar el palo terminado y el afilado en la pared y hacer que se pegue desde diferentes distancias.")</f>
        <v>El hombre te muestra cómo tirar el palo terminado y el afilado en la pared y hacer que se pegue desde diferentes distancias.</v>
      </c>
    </row>
    <row r="8277">
      <c r="A8277" s="4" t="s">
        <v>10417</v>
      </c>
      <c r="B8277" s="4" t="s">
        <v>10418</v>
      </c>
      <c r="C8277" s="5" t="str">
        <f>IFERROR(__xludf.DUMMYFUNCTION("GOOGLETRANSLATE(B8277,""en"",""es-ES"")"),"Se ve a dos hombres parados junto con uno hablando con la cámara y el otro tendido en el piso.")</f>
        <v>Se ve a dos hombres parados junto con uno hablando con la cámara y el otro tendido en el piso.</v>
      </c>
    </row>
    <row r="8278">
      <c r="A8278" s="4" t="s">
        <v>10417</v>
      </c>
      <c r="B8278" s="4" t="s">
        <v>10419</v>
      </c>
      <c r="C8278" s="5" t="str">
        <f>IFERROR(__xludf.DUMMYFUNCTION("GOOGLETRANSLATE(B8278,""en"",""es-ES"")"),"El hombre se arrodilla detrás de él y señala su cuerpo mientras el hombre acostado la puerta se mueve los brazos y las piernas para demostrar los ejercicios adecuados.")</f>
        <v>El hombre se arrodilla detrás de él y señala su cuerpo mientras el hombre acostado la puerta se mueve los brazos y las piernas para demostrar los ejercicios adecuados.</v>
      </c>
    </row>
    <row r="8279">
      <c r="A8279" s="4" t="s">
        <v>10420</v>
      </c>
      <c r="B8279" s="4" t="s">
        <v>10421</v>
      </c>
      <c r="C8279" s="5" t="str">
        <f>IFERROR(__xludf.DUMMYFUNCTION("GOOGLETRANSLATE(B8279,""en"",""es-ES"")"),"Se muestra un primer plano de una pista seguido de una mujer que camina lentamente.")</f>
        <v>Se muestra un primer plano de una pista seguido de una mujer que camina lentamente.</v>
      </c>
    </row>
    <row r="8280">
      <c r="A8280" s="4" t="s">
        <v>10420</v>
      </c>
      <c r="B8280" s="4" t="s">
        <v>10422</v>
      </c>
      <c r="C8280" s="5" t="str">
        <f>IFERROR(__xludf.DUMMYFUNCTION("GOOGLETRANSLATE(B8280,""en"",""es-ES"")"),"Luego se muestran varias tomas de sus saltos de larga duración en varios lugares.")</f>
        <v>Luego se muestran varias tomas de sus saltos de larga duración en varios lugares.</v>
      </c>
    </row>
    <row r="8281">
      <c r="A8281" s="4" t="s">
        <v>10420</v>
      </c>
      <c r="B8281" s="4" t="s">
        <v>10423</v>
      </c>
      <c r="C8281" s="5" t="str">
        <f>IFERROR(__xludf.DUMMYFUNCTION("GOOGLETRANSLATE(B8281,""en"",""es-ES"")"),"Ella continúa saltando en cámara lenta y termina con su aterrizaje en un último hoyo.")</f>
        <v>Ella continúa saltando en cámara lenta y termina con su aterrizaje en un último hoyo.</v>
      </c>
    </row>
    <row r="8282">
      <c r="A8282" s="4" t="s">
        <v>10424</v>
      </c>
      <c r="B8282" s="4" t="s">
        <v>10425</v>
      </c>
      <c r="C8282" s="5" t="str">
        <f>IFERROR(__xludf.DUMMYFUNCTION("GOOGLETRANSLATE(B8282,""en"",""es-ES"")"),"Hay una dama en verde lijando el mostrador entregando boletos a las personas que los compran para tubos de nieve.")</f>
        <v>Hay una dama en verde lijando el mostrador entregando boletos a las personas que los compran para tubos de nieve.</v>
      </c>
    </row>
    <row r="8283">
      <c r="A8283" s="4" t="s">
        <v>10424</v>
      </c>
      <c r="B8283" s="4" t="s">
        <v>10426</v>
      </c>
      <c r="C8283" s="5" t="str">
        <f>IFERROR(__xludf.DUMMYFUNCTION("GOOGLETRANSLATE(B8283,""en"",""es-ES"")"),"Varias personas están fuera de la nieve por una pendiente con capa de nieve.")</f>
        <v>Varias personas están fuera de la nieve por una pendiente con capa de nieve.</v>
      </c>
    </row>
    <row r="8284">
      <c r="A8284" s="4" t="s">
        <v>10424</v>
      </c>
      <c r="B8284" s="4" t="s">
        <v>10427</v>
      </c>
      <c r="C8284" s="5" t="str">
        <f>IFERROR(__xludf.DUMMYFUNCTION("GOOGLETRANSLATE(B8284,""en"",""es-ES"")"),"La gente va cuesta abajo en sus tubos de nieve con equipo de invierno y gafas.")</f>
        <v>La gente va cuesta abajo en sus tubos de nieve con equipo de invierno y gafas.</v>
      </c>
    </row>
    <row r="8285">
      <c r="A8285" s="4" t="s">
        <v>10424</v>
      </c>
      <c r="B8285" s="4" t="s">
        <v>10428</v>
      </c>
      <c r="C8285" s="5" t="str">
        <f>IFERROR(__xludf.DUMMYFUNCTION("GOOGLETRANSLATE(B8285,""en"",""es-ES"")"),"Algunos de ellos son tubos de nieve en grupos de tres.")</f>
        <v>Algunos de ellos son tubos de nieve en grupos de tres.</v>
      </c>
    </row>
    <row r="8286">
      <c r="A8286" s="4" t="s">
        <v>10424</v>
      </c>
      <c r="B8286" s="4" t="s">
        <v>10429</v>
      </c>
      <c r="C8286" s="5" t="str">
        <f>IFERROR(__xludf.DUMMYFUNCTION("GOOGLETRANSLATE(B8286,""en"",""es-ES"")"),"Se divierten rápidamente bajando por la pendiente.")</f>
        <v>Se divierten rápidamente bajando por la pendiente.</v>
      </c>
    </row>
    <row r="8287">
      <c r="A8287" s="4" t="s">
        <v>10430</v>
      </c>
      <c r="B8287" s="4" t="s">
        <v>10431</v>
      </c>
      <c r="C8287" s="5" t="str">
        <f>IFERROR(__xludf.DUMMYFUNCTION("GOOGLETRANSLATE(B8287,""en"",""es-ES"")"),"Un atleta sube al caballo de pomo para realizar saltos y volteos.")</f>
        <v>Un atleta sube al caballo de pomo para realizar saltos y volteos.</v>
      </c>
    </row>
    <row r="8288">
      <c r="A8288" s="4" t="s">
        <v>10430</v>
      </c>
      <c r="B8288" s="4" t="s">
        <v>10432</v>
      </c>
      <c r="C8288" s="5" t="str">
        <f>IFERROR(__xludf.DUMMYFUNCTION("GOOGLETRANSLATE(B8288,""en"",""es-ES"")"),"El atleta voltea hacia atrás y luego continúa con su rutina.")</f>
        <v>El atleta voltea hacia atrás y luego continúa con su rutina.</v>
      </c>
    </row>
    <row r="8289">
      <c r="A8289" s="4" t="s">
        <v>10430</v>
      </c>
      <c r="B8289" s="4" t="s">
        <v>10433</v>
      </c>
      <c r="C8289" s="5" t="str">
        <f>IFERROR(__xludf.DUMMYFUNCTION("GOOGLETRANSLATE(B8289,""en"",""es-ES"")"),"El atleta se para en la frontera en el caballo de pomo y corre para saltar, luego voltea y cae en el piso.")</f>
        <v>El atleta se para en la frontera en el caballo de pomo y corre para saltar, luego voltea y cae en el piso.</v>
      </c>
    </row>
    <row r="8290">
      <c r="A8290" s="4" t="s">
        <v>10434</v>
      </c>
      <c r="B8290" s="4" t="s">
        <v>10435</v>
      </c>
      <c r="C8290" s="5" t="str">
        <f>IFERROR(__xludf.DUMMYFUNCTION("GOOGLETRANSLATE(B8290,""en"",""es-ES"")"),"Se ve a dos hombres y una mujer caminando hacia un escenario, mientras que un grupo de personas se ve detrás de ellos en los espejos.")</f>
        <v>Se ve a dos hombres y una mujer caminando hacia un escenario, mientras que un grupo de personas se ve detrás de ellos en los espejos.</v>
      </c>
    </row>
    <row r="8291">
      <c r="A8291" s="4" t="s">
        <v>10434</v>
      </c>
      <c r="B8291" s="4" t="s">
        <v>10436</v>
      </c>
      <c r="C8291" s="5" t="str">
        <f>IFERROR(__xludf.DUMMYFUNCTION("GOOGLETRANSLATE(B8291,""en"",""es-ES"")"),"Luego, los tres realizan una rutina de baile mientras las personas en la audiencia siguen desde atrás.")</f>
        <v>Luego, los tres realizan una rutina de baile mientras las personas en la audiencia siguen desde atrás.</v>
      </c>
    </row>
    <row r="8292">
      <c r="A8292" s="4" t="s">
        <v>10434</v>
      </c>
      <c r="B8292" s="4" t="s">
        <v>10437</v>
      </c>
      <c r="C8292" s="5" t="str">
        <f>IFERROR(__xludf.DUMMYFUNCTION("GOOGLETRANSLATE(B8292,""en"",""es-ES"")"),"El hombre bombea a la multitud y continúa bailando mientras los demás siguen en el espejo.")</f>
        <v>El hombre bombea a la multitud y continúa bailando mientras los demás siguen en el espejo.</v>
      </c>
    </row>
    <row r="8293">
      <c r="A8293" s="4" t="s">
        <v>10438</v>
      </c>
      <c r="B8293" s="4" t="s">
        <v>10439</v>
      </c>
      <c r="C8293" s="5" t="str">
        <f>IFERROR(__xludf.DUMMYFUNCTION("GOOGLETRANSLATE(B8293,""en"",""es-ES"")"),"Old Man está rastrillando las hojas fuera de su casa en el otoño.")</f>
        <v>Old Man está rastrillando las hojas fuera de su casa en el otoño.</v>
      </c>
    </row>
    <row r="8294">
      <c r="A8294" s="4" t="s">
        <v>10438</v>
      </c>
      <c r="B8294" s="4" t="s">
        <v>10440</v>
      </c>
      <c r="C8294" s="5" t="str">
        <f>IFERROR(__xludf.DUMMYFUNCTION("GOOGLETRANSLATE(B8294,""en"",""es-ES"")"),"El hombre está narrando la acción.")</f>
        <v>El hombre está narrando la acción.</v>
      </c>
    </row>
    <row r="8295">
      <c r="A8295" s="4" t="s">
        <v>10438</v>
      </c>
      <c r="B8295" s="4" t="s">
        <v>10441</v>
      </c>
      <c r="C8295" s="5" t="str">
        <f>IFERROR(__xludf.DUMMYFUNCTION("GOOGLETRANSLATE(B8295,""en"",""es-ES"")"),"Hay una bicicleta estacada al lado de la casa.")</f>
        <v>Hay una bicicleta estacada al lado de la casa.</v>
      </c>
    </row>
    <row r="8296">
      <c r="A8296" s="4" t="s">
        <v>10442</v>
      </c>
      <c r="B8296" s="4" t="s">
        <v>10443</v>
      </c>
      <c r="C8296" s="5" t="str">
        <f>IFERROR(__xludf.DUMMYFUNCTION("GOOGLETRANSLATE(B8296,""en"",""es-ES"")"),"Una entrenadora y directora de alegría habla con la cámara.")</f>
        <v>Una entrenadora y directora de alegría habla con la cámara.</v>
      </c>
    </row>
    <row r="8297">
      <c r="A8297" s="4" t="s">
        <v>10442</v>
      </c>
      <c r="B8297" s="4" t="s">
        <v>10444</v>
      </c>
      <c r="C8297" s="5" t="str">
        <f>IFERROR(__xludf.DUMMYFUNCTION("GOOGLETRANSLATE(B8297,""en"",""es-ES"")"),"Luego ve a una niña a través de un retroceso.")</f>
        <v>Luego ve a una niña a través de un retroceso.</v>
      </c>
    </row>
    <row r="8298">
      <c r="A8298" s="4" t="s">
        <v>10442</v>
      </c>
      <c r="B8298" s="4" t="s">
        <v>10445</v>
      </c>
      <c r="C8298" s="5" t="str">
        <f>IFERROR(__xludf.DUMMYFUNCTION("GOOGLETRANSLATE(B8298,""en"",""es-ES"")"),"Ella la ayuda a hacer varias tareas diferentes, explicando el proceso a medida que avanzan.")</f>
        <v>Ella la ayuda a hacer varias tareas diferentes, explicando el proceso a medida que avanzan.</v>
      </c>
    </row>
    <row r="8299">
      <c r="A8299" s="4" t="s">
        <v>10446</v>
      </c>
      <c r="B8299" s="4" t="s">
        <v>10447</v>
      </c>
      <c r="C8299" s="5" t="str">
        <f>IFERROR(__xludf.DUMMYFUNCTION("GOOGLETRANSLATE(B8299,""en"",""es-ES"")"),"Se ve a un gran grupo de personas parados en una playa mirando a lo lejos.")</f>
        <v>Se ve a un gran grupo de personas parados en una playa mirando a lo lejos.</v>
      </c>
    </row>
    <row r="8300">
      <c r="A8300" s="4" t="s">
        <v>10446</v>
      </c>
      <c r="B8300" s="4" t="s">
        <v>10448</v>
      </c>
      <c r="C8300" s="5" t="str">
        <f>IFERROR(__xludf.DUMMYFUNCTION("GOOGLETRANSLATE(B8300,""en"",""es-ES"")"),"Se muestran varias tomas de personas que montan una tabla de surf y otras que miran a un lado.")</f>
        <v>Se muestran varias tomas de personas que montan una tabla de surf y otras que miran a un lado.</v>
      </c>
    </row>
    <row r="8301">
      <c r="A8301" s="4" t="s">
        <v>10446</v>
      </c>
      <c r="B8301" s="4" t="s">
        <v>10449</v>
      </c>
      <c r="C8301" s="5" t="str">
        <f>IFERROR(__xludf.DUMMYFUNCTION("GOOGLETRANSLATE(B8301,""en"",""es-ES"")"),"Se ve a más personas montando las olas en varios disparos.")</f>
        <v>Se ve a más personas montando las olas en varios disparos.</v>
      </c>
    </row>
    <row r="8302">
      <c r="A8302" s="4" t="s">
        <v>10450</v>
      </c>
      <c r="B8302" s="4" t="s">
        <v>10451</v>
      </c>
      <c r="C8302" s="5" t="str">
        <f>IFERROR(__xludf.DUMMYFUNCTION("GOOGLETRANSLATE(B8302,""en"",""es-ES"")"),"Un gran camión todoterreno pasa a lo largo de una pista de tierra junto a un cuerpo de agua y se detiene.")</f>
        <v>Un gran camión todoterreno pasa a lo largo de una pista de tierra junto a un cuerpo de agua y se detiene.</v>
      </c>
    </row>
    <row r="8303">
      <c r="A8303" s="4" t="s">
        <v>10450</v>
      </c>
      <c r="B8303" s="4" t="s">
        <v>10452</v>
      </c>
      <c r="C8303" s="5" t="str">
        <f>IFERROR(__xludf.DUMMYFUNCTION("GOOGLETRANSLATE(B8303,""en"",""es-ES"")"),"Muchos espectadores se acercan al vehículo, mientras que el conductor sale del vehículo e intenta quitar una llanta de la parte trasera del camión.")</f>
        <v>Muchos espectadores se acercan al vehículo, mientras que el conductor sale del vehículo e intenta quitar una llanta de la parte trasera del camión.</v>
      </c>
    </row>
    <row r="8304">
      <c r="A8304" s="4" t="s">
        <v>10450</v>
      </c>
      <c r="B8304" s="4" t="s">
        <v>10453</v>
      </c>
      <c r="C8304" s="5" t="str">
        <f>IFERROR(__xludf.DUMMYFUNCTION("GOOGLETRANSLATE(B8304,""en"",""es-ES"")"),"Un trabajador y algunos asistentes se acercan al vehículo con una llanta de repuesto, y algunos hombres comienzan a subir la parte trasera del camión para tratar de reemplazar el neumático del lado del pasajero trasero.")</f>
        <v>Un trabajador y algunos asistentes se acercan al vehículo con una llanta de repuesto, y algunos hombres comienzan a subir la parte trasera del camión para tratar de reemplazar el neumático del lado del pasajero trasero.</v>
      </c>
    </row>
    <row r="8305">
      <c r="A8305" s="4" t="s">
        <v>10450</v>
      </c>
      <c r="B8305" s="4" t="s">
        <v>10454</v>
      </c>
      <c r="C8305" s="5" t="str">
        <f>IFERROR(__xludf.DUMMYFUNCTION("GOOGLETRANSLATE(B8305,""en"",""es-ES"")"),"Mientras se reemplaza el neumático, el conductor vuelve al camión y un especificador toma una foto del vehículo.")</f>
        <v>Mientras se reemplaza el neumático, el conductor vuelve al camión y un especificador toma una foto del vehículo.</v>
      </c>
    </row>
    <row r="8306">
      <c r="A8306" s="4" t="s">
        <v>10450</v>
      </c>
      <c r="B8306" s="4" t="s">
        <v>10455</v>
      </c>
      <c r="C8306" s="5" t="str">
        <f>IFERROR(__xludf.DUMMYFUNCTION("GOOGLETRANSLATE(B8306,""en"",""es-ES"")"),"Otros espectadores vienen al lado del conductor para hablar con el conductor.")</f>
        <v>Otros espectadores vienen al lado del conductor para hablar con el conductor.</v>
      </c>
    </row>
    <row r="8307">
      <c r="A8307" s="4" t="s">
        <v>10450</v>
      </c>
      <c r="B8307" s="4" t="s">
        <v>10456</v>
      </c>
      <c r="C8307" s="5" t="str">
        <f>IFERROR(__xludf.DUMMYFUNCTION("GOOGLETRANSLATE(B8307,""en"",""es-ES"")"),"El neumático se reemplaza y el camión se aleja.")</f>
        <v>El neumático se reemplaza y el camión se aleja.</v>
      </c>
    </row>
    <row r="8308">
      <c r="A8308" s="4" t="s">
        <v>10450</v>
      </c>
      <c r="B8308" s="4" t="s">
        <v>10457</v>
      </c>
      <c r="C8308" s="5" t="str">
        <f>IFERROR(__xludf.DUMMYFUNCTION("GOOGLETRANSLATE(B8308,""en"",""es-ES"")"),"Se muestra una mirada detallada al neumático que fue reemplazado.")</f>
        <v>Se muestra una mirada detallada al neumático que fue reemplazado.</v>
      </c>
    </row>
    <row r="8309">
      <c r="A8309" s="4" t="s">
        <v>10458</v>
      </c>
      <c r="B8309" s="4" t="s">
        <v>10459</v>
      </c>
      <c r="C8309" s="5" t="str">
        <f>IFERROR(__xludf.DUMMYFUNCTION("GOOGLETRANSLATE(B8309,""en"",""es-ES"")"),"Hay tres contratistas que remodelan una casa que está destrozada por la renovación.")</f>
        <v>Hay tres contratistas que remodelan una casa que está destrozada por la renovación.</v>
      </c>
    </row>
    <row r="8310">
      <c r="A8310" s="4" t="s">
        <v>10458</v>
      </c>
      <c r="B8310" s="4" t="s">
        <v>10460</v>
      </c>
      <c r="C8310" s="5" t="str">
        <f>IFERROR(__xludf.DUMMYFUNCTION("GOOGLETRANSLATE(B8310,""en"",""es-ES"")"),"Uno de los contratistas está consolidando una pared de ladrillos.")</f>
        <v>Uno de los contratistas está consolidando una pared de ladrillos.</v>
      </c>
    </row>
    <row r="8311">
      <c r="A8311" s="4" t="s">
        <v>10458</v>
      </c>
      <c r="B8311" s="4" t="s">
        <v>10461</v>
      </c>
      <c r="C8311" s="5" t="str">
        <f>IFERROR(__xludf.DUMMYFUNCTION("GOOGLETRANSLATE(B8311,""en"",""es-ES"")"),"El otro contratista está rompiendo una pared existente en la sala de estar.")</f>
        <v>El otro contratista está rompiendo una pared existente en la sala de estar.</v>
      </c>
    </row>
    <row r="8312">
      <c r="A8312" s="4" t="s">
        <v>10458</v>
      </c>
      <c r="B8312" s="4" t="s">
        <v>10462</v>
      </c>
      <c r="C8312" s="5" t="str">
        <f>IFERROR(__xludf.DUMMYFUNCTION("GOOGLETRANSLATE(B8312,""en"",""es-ES"")"),"Toda la casa está bajo renovación con muebles y cajas en la casa con polvo.")</f>
        <v>Toda la casa está bajo renovación con muebles y cajas en la casa con polvo.</v>
      </c>
    </row>
    <row r="8313">
      <c r="A8313" s="4" t="s">
        <v>10463</v>
      </c>
      <c r="B8313" s="4" t="s">
        <v>10464</v>
      </c>
      <c r="C8313" s="5" t="str">
        <f>IFERROR(__xludf.DUMMYFUNCTION("GOOGLETRANSLATE(B8313,""en"",""es-ES"")"),"Kid está sentado en una habitación roja hablando con la cámara.")</f>
        <v>Kid está sentado en una habitación roja hablando con la cámara.</v>
      </c>
    </row>
    <row r="8314">
      <c r="A8314" s="4" t="s">
        <v>10463</v>
      </c>
      <c r="B8314" s="4" t="s">
        <v>10465</v>
      </c>
      <c r="C8314" s="5" t="str">
        <f>IFERROR(__xludf.DUMMYFUNCTION("GOOGLETRANSLATE(B8314,""en"",""es-ES"")"),"El niño toma una guitarra y comienza a tocarla y cantar.")</f>
        <v>El niño toma una guitarra y comienza a tocarla y cantar.</v>
      </c>
    </row>
    <row r="8315">
      <c r="A8315" s="4" t="s">
        <v>10463</v>
      </c>
      <c r="B8315" s="4" t="s">
        <v>10466</v>
      </c>
      <c r="C8315" s="5" t="str">
        <f>IFERROR(__xludf.DUMMYFUNCTION("GOOGLETRANSLATE(B8315,""en"",""es-ES"")"),"Kid está tocando la guitarra y hablando con la cámara en una habitación pequeña.")</f>
        <v>Kid está tocando la guitarra y hablando con la cámara en una habitación pequeña.</v>
      </c>
    </row>
    <row r="8316">
      <c r="A8316" s="4" t="s">
        <v>10467</v>
      </c>
      <c r="B8316" s="4" t="s">
        <v>10468</v>
      </c>
      <c r="C8316" s="5" t="str">
        <f>IFERROR(__xludf.DUMMYFUNCTION("GOOGLETRANSLATE(B8316,""en"",""es-ES"")"),"Una niña se muestra en varias imágenes que reciben un corte de pelo.")</f>
        <v>Una niña se muestra en varias imágenes que reciben un corte de pelo.</v>
      </c>
    </row>
    <row r="8317">
      <c r="A8317" s="4" t="s">
        <v>10467</v>
      </c>
      <c r="B8317" s="4" t="s">
        <v>10469</v>
      </c>
      <c r="C8317" s="5" t="str">
        <f>IFERROR(__xludf.DUMMYFUNCTION("GOOGLETRANSLATE(B8317,""en"",""es-ES"")"),"Luego se muestra en forma de video ya que su cabello largo se corta al estilo de una cola de caballo, destinada a ser donada a un grupo llamado Locks of Love.")</f>
        <v>Luego se muestra en forma de video ya que su cabello largo se corta al estilo de una cola de caballo, destinada a ser donada a un grupo llamado Locks of Love.</v>
      </c>
    </row>
    <row r="8318">
      <c r="A8318" s="4" t="s">
        <v>10467</v>
      </c>
      <c r="B8318" s="4" t="s">
        <v>10470</v>
      </c>
      <c r="C8318" s="5" t="str">
        <f>IFERROR(__xludf.DUMMYFUNCTION("GOOGLETRANSLATE(B8318,""en"",""es-ES"")"),"La niña se muestra en varias fotos, sosteniendo el cabello que va a donar.")</f>
        <v>La niña se muestra en varias fotos, sosteniendo el cabello que va a donar.</v>
      </c>
    </row>
    <row r="8319">
      <c r="A8319" s="4" t="s">
        <v>10471</v>
      </c>
      <c r="B8319" s="4" t="s">
        <v>1251</v>
      </c>
      <c r="C8319" s="5" t="str">
        <f>IFERROR(__xludf.DUMMYFUNCTION("GOOGLETRANSLATE(B8319,""en"",""es-ES"")"),"Se muestran los créditos del clip.")</f>
        <v>Se muestran los créditos del clip.</v>
      </c>
    </row>
    <row r="8320">
      <c r="A8320" s="4" t="s">
        <v>10471</v>
      </c>
      <c r="B8320" s="4" t="s">
        <v>10472</v>
      </c>
      <c r="C8320" s="5" t="str">
        <f>IFERROR(__xludf.DUMMYFUNCTION("GOOGLETRANSLATE(B8320,""en"",""es-ES"")"),"Los chicos arrojan bolas en un campo.")</f>
        <v>Los chicos arrojan bolas en un campo.</v>
      </c>
    </row>
    <row r="8321">
      <c r="A8321" s="4" t="s">
        <v>10471</v>
      </c>
      <c r="B8321" s="4" t="s">
        <v>10473</v>
      </c>
      <c r="C8321" s="5" t="str">
        <f>IFERROR(__xludf.DUMMYFUNCTION("GOOGLETRANSLATE(B8321,""en"",""es-ES"")"),"Un chico tiene algunas bolas y conversaciones.")</f>
        <v>Un chico tiene algunas bolas y conversaciones.</v>
      </c>
    </row>
    <row r="8322">
      <c r="A8322" s="4" t="s">
        <v>10471</v>
      </c>
      <c r="B8322" s="4" t="s">
        <v>10474</v>
      </c>
      <c r="C8322" s="5" t="str">
        <f>IFERROR(__xludf.DUMMYFUNCTION("GOOGLETRANSLATE(B8322,""en"",""es-ES"")"),"Un hombre que sostiene un murciélago plano camina por el campo seguido de un hombre que sostiene una pelota en cada mano.")</f>
        <v>Un hombre que sostiene un murciélago plano camina por el campo seguido de un hombre que sostiene una pelota en cada mano.</v>
      </c>
    </row>
    <row r="8323">
      <c r="A8323" s="4" t="s">
        <v>10471</v>
      </c>
      <c r="B8323" s="4" t="s">
        <v>10475</v>
      </c>
      <c r="C8323" s="5" t="str">
        <f>IFERROR(__xludf.DUMMYFUNCTION("GOOGLETRANSLATE(B8323,""en"",""es-ES"")"),"Dos hombres se sientan con un hombre sosteniendo un bate plano.")</f>
        <v>Dos hombres se sientan con un hombre sosteniendo un bate plano.</v>
      </c>
    </row>
    <row r="8324">
      <c r="A8324" s="4" t="s">
        <v>10471</v>
      </c>
      <c r="B8324" s="4" t="s">
        <v>10476</v>
      </c>
      <c r="C8324" s="5" t="str">
        <f>IFERROR(__xludf.DUMMYFUNCTION("GOOGLETRANSLATE(B8324,""en"",""es-ES"")"),"Los chicos golpean bolas con el bate plano.")</f>
        <v>Los chicos golpean bolas con el bate plano.</v>
      </c>
    </row>
    <row r="8325">
      <c r="A8325" s="4" t="s">
        <v>10471</v>
      </c>
      <c r="B8325" s="4" t="s">
        <v>573</v>
      </c>
      <c r="C8325" s="5" t="str">
        <f>IFERROR(__xludf.DUMMYFUNCTION("GOOGLETRANSLATE(B8325,""en"",""es-ES"")"),"Se muestran los créditos del video.")</f>
        <v>Se muestran los créditos del video.</v>
      </c>
    </row>
    <row r="8326">
      <c r="A8326" s="4" t="s">
        <v>10477</v>
      </c>
      <c r="B8326" s="4" t="s">
        <v>10478</v>
      </c>
      <c r="C8326" s="5" t="str">
        <f>IFERROR(__xludf.DUMMYFUNCTION("GOOGLETRANSLATE(B8326,""en"",""es-ES"")"),"Se ve a un hombre hablando con la cámara detrás de una mesa con varios ingredientes y gafas establecidas.")</f>
        <v>Se ve a un hombre hablando con la cámara detrás de una mesa con varios ingredientes y gafas establecidas.</v>
      </c>
    </row>
    <row r="8327">
      <c r="A8327" s="4" t="s">
        <v>10477</v>
      </c>
      <c r="B8327" s="4" t="s">
        <v>10479</v>
      </c>
      <c r="C8327" s="5" t="str">
        <f>IFERROR(__xludf.DUMMYFUNCTION("GOOGLETRANSLATE(B8327,""en"",""es-ES"")"),"El hombre mezcla los ingredientes en un vaso juntos y aumenta una lima en el vidrio.")</f>
        <v>El hombre mezcla los ingredientes en un vaso juntos y aumenta una lima en el vidrio.</v>
      </c>
    </row>
    <row r="8328">
      <c r="A8328" s="4" t="s">
        <v>10477</v>
      </c>
      <c r="B8328" s="4" t="s">
        <v>10480</v>
      </c>
      <c r="C8328" s="5" t="str">
        <f>IFERROR(__xludf.DUMMYFUNCTION("GOOGLETRANSLATE(B8328,""en"",""es-ES"")"),"Luego empuja los ingredientes y vierte líquidos en el vaso, creando una bebida alcohólica.")</f>
        <v>Luego empuja los ingredientes y vierte líquidos en el vaso, creando una bebida alcohólica.</v>
      </c>
    </row>
    <row r="8329">
      <c r="A8329" s="4" t="s">
        <v>10477</v>
      </c>
      <c r="B8329" s="4" t="s">
        <v>10481</v>
      </c>
      <c r="C8329" s="5" t="str">
        <f>IFERROR(__xludf.DUMMYFUNCTION("GOOGLETRANSLATE(B8329,""en"",""es-ES"")"),"Él presenta el vidrio mientras se presenta la lista de ingredientes y se aleja del marco.")</f>
        <v>Él presenta el vidrio mientras se presenta la lista de ingredientes y se aleja del marco.</v>
      </c>
    </row>
    <row r="8330">
      <c r="A8330" s="4" t="s">
        <v>10482</v>
      </c>
      <c r="B8330" s="4" t="s">
        <v>10483</v>
      </c>
      <c r="C8330" s="5" t="str">
        <f>IFERROR(__xludf.DUMMYFUNCTION("GOOGLETRANSLATE(B8330,""en"",""es-ES"")"),"Un hombre lleva un artilugio que sostiene a su pequeño hijo en su espalda mientras camina en el bosque.")</f>
        <v>Un hombre lleva un artilugio que sostiene a su pequeño hijo en su espalda mientras camina en el bosque.</v>
      </c>
    </row>
    <row r="8331">
      <c r="A8331" s="4" t="s">
        <v>10482</v>
      </c>
      <c r="B8331" s="4" t="s">
        <v>10484</v>
      </c>
      <c r="C8331" s="5" t="str">
        <f>IFERROR(__xludf.DUMMYFUNCTION("GOOGLETRANSLATE(B8331,""en"",""es-ES"")"),"Vemos al niño jugando en un porche interior en la casa.")</f>
        <v>Vemos al niño jugando en un porche interior en la casa.</v>
      </c>
    </row>
    <row r="8332">
      <c r="A8332" s="4" t="s">
        <v>10482</v>
      </c>
      <c r="B8332" s="4" t="s">
        <v>10485</v>
      </c>
      <c r="C8332" s="5" t="str">
        <f>IFERROR(__xludf.DUMMYFUNCTION("GOOGLETRANSLATE(B8332,""en"",""es-ES"")"),"El niño se encuentra con el patio y su padre le pone un casco y lo ayuda a patinar.")</f>
        <v>El niño se encuentra con el patio y su padre le pone un casco y lo ayuda a patinar.</v>
      </c>
    </row>
    <row r="8333">
      <c r="A8333" s="4" t="s">
        <v>10482</v>
      </c>
      <c r="B8333" s="4" t="s">
        <v>10486</v>
      </c>
      <c r="C8333" s="5" t="str">
        <f>IFERROR(__xludf.DUMMYFUNCTION("GOOGLETRANSLATE(B8333,""en"",""es-ES"")"),"El papá patina y sostiene al niño.")</f>
        <v>El papá patina y sostiene al niño.</v>
      </c>
    </row>
    <row r="8334">
      <c r="A8334" s="4" t="s">
        <v>10482</v>
      </c>
      <c r="B8334" s="4" t="s">
        <v>10487</v>
      </c>
      <c r="C8334" s="5" t="str">
        <f>IFERROR(__xludf.DUMMYFUNCTION("GOOGLETRANSLATE(B8334,""en"",""es-ES"")"),"Luego vemos la pantalla final y cambiamos al niño sentado en una roca roca cinco su padre y volvemos a la pantalla cerrada.")</f>
        <v>Luego vemos la pantalla final y cambiamos al niño sentado en una roca roca cinco su padre y volvemos a la pantalla cerrada.</v>
      </c>
    </row>
    <row r="8335">
      <c r="A8335" s="4" t="s">
        <v>10488</v>
      </c>
      <c r="B8335" s="4" t="s">
        <v>10489</v>
      </c>
      <c r="C8335" s="5" t="str">
        <f>IFERROR(__xludf.DUMMYFUNCTION("GOOGLETRANSLATE(B8335,""en"",""es-ES"")"),"Un atleta camina hacia un campo.")</f>
        <v>Un atleta camina hacia un campo.</v>
      </c>
    </row>
    <row r="8336">
      <c r="A8336" s="4" t="s">
        <v>10488</v>
      </c>
      <c r="B8336" s="4" t="s">
        <v>10490</v>
      </c>
      <c r="C8336" s="5" t="str">
        <f>IFERROR(__xludf.DUMMYFUNCTION("GOOGLETRANSLATE(B8336,""en"",""es-ES"")"),"Gira en círculos alrededor de una plataforma.")</f>
        <v>Gira en círculos alrededor de una plataforma.</v>
      </c>
    </row>
    <row r="8337">
      <c r="A8337" s="4" t="s">
        <v>10488</v>
      </c>
      <c r="B8337" s="4" t="s">
        <v>10491</v>
      </c>
      <c r="C8337" s="5" t="str">
        <f>IFERROR(__xludf.DUMMYFUNCTION("GOOGLETRANSLATE(B8337,""en"",""es-ES"")"),"Lanza una pelota una gran distancia y se aleja.")</f>
        <v>Lanza una pelota una gran distancia y se aleja.</v>
      </c>
    </row>
    <row r="8338">
      <c r="A8338" s="4" t="s">
        <v>10492</v>
      </c>
      <c r="B8338" s="4" t="s">
        <v>10493</v>
      </c>
      <c r="C8338" s="5" t="str">
        <f>IFERROR(__xludf.DUMMYFUNCTION("GOOGLETRANSLATE(B8338,""en"",""es-ES"")"),"Hay un adolescente que lleva un sombrero de gorro negro para patinar por las calles de la ciudad.")</f>
        <v>Hay un adolescente que lleva un sombrero de gorro negro para patinar por las calles de la ciudad.</v>
      </c>
    </row>
    <row r="8339">
      <c r="A8339" s="4" t="s">
        <v>10492</v>
      </c>
      <c r="B8339" s="4" t="s">
        <v>10494</v>
      </c>
      <c r="C8339" s="5" t="str">
        <f>IFERROR(__xludf.DUMMYFUNCTION("GOOGLETRANSLATE(B8339,""en"",""es-ES"")"),"Él patina con una camisa blanca mientras salta sobre una pequeña pared de cemento.")</f>
        <v>Él patina con una camisa blanca mientras salta sobre una pequeña pared de cemento.</v>
      </c>
    </row>
    <row r="8340">
      <c r="A8340" s="4" t="s">
        <v>10492</v>
      </c>
      <c r="B8340" s="4" t="s">
        <v>10495</v>
      </c>
      <c r="C8340" s="5" t="str">
        <f>IFERROR(__xludf.DUMMYFUNCTION("GOOGLETRANSLATE(B8340,""en"",""es-ES"")"),"Luego salta sobre otra pared mientras patina.")</f>
        <v>Luego salta sobre otra pared mientras patina.</v>
      </c>
    </row>
    <row r="8341">
      <c r="A8341" s="4" t="s">
        <v>10492</v>
      </c>
      <c r="B8341" s="4" t="s">
        <v>10496</v>
      </c>
      <c r="C8341" s="5" t="str">
        <f>IFERROR(__xludf.DUMMYFUNCTION("GOOGLETRANSLATE(B8341,""en"",""es-ES"")"),"Luego, en una camisa verde, él pasa por una escuela, directamente a una cancha de baloncesto y luego salta sobre una barandilla de metal.")</f>
        <v>Luego, en una camisa verde, él pasa por una escuela, directamente a una cancha de baloncesto y luego salta sobre una barandilla de metal.</v>
      </c>
    </row>
    <row r="8342">
      <c r="A8342" s="4" t="s">
        <v>10492</v>
      </c>
      <c r="B8342" s="4" t="s">
        <v>10497</v>
      </c>
      <c r="C8342" s="5" t="str">
        <f>IFERROR(__xludf.DUMMYFUNCTION("GOOGLETRANSLATE(B8342,""en"",""es-ES"")"),"Luego, de vuelta con una camisa blanca, intenta acrobacias saltando a un riel de mano de metal en su patineta.")</f>
        <v>Luego, de vuelta con una camisa blanca, intenta acrobacias saltando a un riel de mano de metal en su patineta.</v>
      </c>
    </row>
    <row r="8343">
      <c r="A8343" s="4" t="s">
        <v>10498</v>
      </c>
      <c r="B8343" s="4" t="s">
        <v>10499</v>
      </c>
      <c r="C8343" s="5" t="str">
        <f>IFERROR(__xludf.DUMMYFUNCTION("GOOGLETRANSLATE(B8343,""en"",""es-ES"")"),"Una persona está bebiendo de una taza de café y mirando hacia la cámara.")</f>
        <v>Una persona está bebiendo de una taza de café y mirando hacia la cámara.</v>
      </c>
    </row>
    <row r="8344">
      <c r="A8344" s="4" t="s">
        <v>10498</v>
      </c>
      <c r="B8344" s="4" t="s">
        <v>10500</v>
      </c>
      <c r="C8344" s="5" t="str">
        <f>IFERROR(__xludf.DUMMYFUNCTION("GOOGLETRANSLATE(B8344,""en"",""es-ES"")"),"Sus ojos se acercan a la cámara en el último segundo y sonríe.")</f>
        <v>Sus ojos se acercan a la cámara en el último segundo y sonríe.</v>
      </c>
    </row>
    <row r="8345">
      <c r="A8345" s="4" t="s">
        <v>10501</v>
      </c>
      <c r="B8345" s="4" t="s">
        <v>10502</v>
      </c>
      <c r="C8345" s="5" t="str">
        <f>IFERROR(__xludf.DUMMYFUNCTION("GOOGLETRANSLATE(B8345,""en"",""es-ES"")"),"Una mujer está sentada en una sala de estar en un sofá hablando con la cámara explicando lo que está a punto de hacer.")</f>
        <v>Una mujer está sentada en una sala de estar en un sofá hablando con la cámara explicando lo que está a punto de hacer.</v>
      </c>
    </row>
    <row r="8346">
      <c r="A8346" s="4" t="s">
        <v>10501</v>
      </c>
      <c r="B8346" s="4" t="s">
        <v>10503</v>
      </c>
      <c r="C8346" s="5" t="str">
        <f>IFERROR(__xludf.DUMMYFUNCTION("GOOGLETRANSLATE(B8346,""en"",""es-ES"")"),"La cámara se derrama y la señora comienza a mostrar aspectos importantes del objeto que está tejiendo.")</f>
        <v>La cámara se derrama y la señora comienza a mostrar aspectos importantes del objeto que está tejiendo.</v>
      </c>
    </row>
    <row r="8347">
      <c r="A8347" s="4" t="s">
        <v>10501</v>
      </c>
      <c r="B8347" s="4" t="s">
        <v>10504</v>
      </c>
      <c r="C8347" s="5" t="str">
        <f>IFERROR(__xludf.DUMMYFUNCTION("GOOGLETRANSLATE(B8347,""en"",""es-ES"")"),"Cuando termina, agarra la aguja, pone el hilo y termina de tejer.")</f>
        <v>Cuando termina, agarra la aguja, pone el hilo y termina de tejer.</v>
      </c>
    </row>
    <row r="8348">
      <c r="A8348" s="4" t="s">
        <v>10505</v>
      </c>
      <c r="B8348" s="4" t="s">
        <v>10506</v>
      </c>
      <c r="C8348" s="5" t="str">
        <f>IFERROR(__xludf.DUMMYFUNCTION("GOOGLETRANSLATE(B8348,""en"",""es-ES"")"),"Primero se muestra a un niño comiendo un gofre delgado.")</f>
        <v>Primero se muestra a un niño comiendo un gofre delgado.</v>
      </c>
    </row>
    <row r="8349">
      <c r="A8349" s="4" t="s">
        <v>10505</v>
      </c>
      <c r="B8349" s="4" t="s">
        <v>10507</v>
      </c>
      <c r="C8349" s="5" t="str">
        <f>IFERROR(__xludf.DUMMYFUNCTION("GOOGLETRANSLATE(B8349,""en"",""es-ES"")"),"Luego se le muestra a una anciana agua potable de un pequeño vaso.")</f>
        <v>Luego se le muestra a una anciana agua potable de un pequeño vaso.</v>
      </c>
    </row>
    <row r="8350">
      <c r="A8350" s="4" t="s">
        <v>10505</v>
      </c>
      <c r="B8350" s="4" t="s">
        <v>10508</v>
      </c>
      <c r="C8350" s="5" t="str">
        <f>IFERROR(__xludf.DUMMYFUNCTION("GOOGLETRANSLATE(B8350,""en"",""es-ES"")"),"A continuación se muestra un niño pequeño sumergiendo su mano en un parfait y luego agarrando una cuchara de otro niño y luego comiendo el parfait.")</f>
        <v>A continuación se muestra un niño pequeño sumergiendo su mano en un parfait y luego agarrando una cuchara de otro niño y luego comiendo el parfait.</v>
      </c>
    </row>
    <row r="8351">
      <c r="A8351" s="4" t="s">
        <v>10505</v>
      </c>
      <c r="B8351" s="4" t="s">
        <v>10509</v>
      </c>
      <c r="C8351" s="5" t="str">
        <f>IFERROR(__xludf.DUMMYFUNCTION("GOOGLETRANSLATE(B8351,""en"",""es-ES"")"),"Finalmente, se muestra a un niño comiendo una cucharada de un batido de un vaso que tiene gofres.")</f>
        <v>Finalmente, se muestra a un niño comiendo una cucharada de un batido de un vaso que tiene gofres.</v>
      </c>
    </row>
    <row r="8352">
      <c r="A8352" s="4" t="s">
        <v>10510</v>
      </c>
      <c r="B8352" s="4" t="s">
        <v>10511</v>
      </c>
      <c r="C8352" s="5" t="str">
        <f>IFERROR(__xludf.DUMMYFUNCTION("GOOGLETRANSLATE(B8352,""en"",""es-ES"")"),"Las mujeres mezclan una variedad de bebidas alcohólicas para el consumo.")</f>
        <v>Las mujeres mezclan una variedad de bebidas alcohólicas para el consumo.</v>
      </c>
    </row>
    <row r="8353">
      <c r="A8353" s="4" t="s">
        <v>10510</v>
      </c>
      <c r="B8353" s="4" t="s">
        <v>10512</v>
      </c>
      <c r="C8353" s="5" t="str">
        <f>IFERROR(__xludf.DUMMYFUNCTION("GOOGLETRANSLATE(B8353,""en"",""es-ES"")"),"Se muestran pasos para un hermoso whisky agrio.")</f>
        <v>Se muestran pasos para un hermoso whisky agrio.</v>
      </c>
    </row>
    <row r="8354">
      <c r="A8354" s="4" t="s">
        <v>10513</v>
      </c>
      <c r="B8354" s="4" t="s">
        <v>10514</v>
      </c>
      <c r="C8354" s="5" t="str">
        <f>IFERROR(__xludf.DUMMYFUNCTION("GOOGLETRANSLATE(B8354,""en"",""es-ES"")"),"Un hombre se para frente a un mostrador con las manos hacia abajo frente al equipo.")</f>
        <v>Un hombre se para frente a un mostrador con las manos hacia abajo frente al equipo.</v>
      </c>
    </row>
    <row r="8355">
      <c r="A8355" s="4" t="s">
        <v>10513</v>
      </c>
      <c r="B8355" s="4" t="s">
        <v>10515</v>
      </c>
      <c r="C8355" s="5" t="str">
        <f>IFERROR(__xludf.DUMMYFUNCTION("GOOGLETRANSLATE(B8355,""en"",""es-ES"")"),"Utiliza la superficie para frotar una cuchilla de ida y vuelta, afilándola.")</f>
        <v>Utiliza la superficie para frotar una cuchilla de ida y vuelta, afilándola.</v>
      </c>
    </row>
    <row r="8356">
      <c r="A8356" s="4" t="s">
        <v>10513</v>
      </c>
      <c r="B8356" s="4" t="s">
        <v>10516</v>
      </c>
      <c r="C8356" s="5" t="str">
        <f>IFERROR(__xludf.DUMMYFUNCTION("GOOGLETRANSLATE(B8356,""en"",""es-ES"")"),"Cuando termina, revisa la cuchilla antes de volver a tender el cuchillo.")</f>
        <v>Cuando termina, revisa la cuchilla antes de volver a tender el cuchillo.</v>
      </c>
    </row>
    <row r="8357">
      <c r="A8357" s="4" t="s">
        <v>10517</v>
      </c>
      <c r="B8357" s="4" t="s">
        <v>10518</v>
      </c>
      <c r="C8357" s="5" t="str">
        <f>IFERROR(__xludf.DUMMYFUNCTION("GOOGLETRANSLATE(B8357,""en"",""es-ES"")"),"Se ve a un pequeño grupo de personas sosteniendo una cuerda y jugando tira y afloja.")</f>
        <v>Se ve a un pequeño grupo de personas sosteniendo una cuerda y jugando tira y afloja.</v>
      </c>
    </row>
    <row r="8358">
      <c r="A8358" s="4" t="s">
        <v>10517</v>
      </c>
      <c r="B8358" s="4" t="s">
        <v>10519</v>
      </c>
      <c r="C8358" s="5" t="str">
        <f>IFERROR(__xludf.DUMMYFUNCTION("GOOGLETRANSLATE(B8358,""en"",""es-ES"")"),"La cámara se desplaza alrededor del otro equipo que juega con el grupo mientras que otros miran a un lado.")</f>
        <v>La cámara se desplaza alrededor del otro equipo que juega con el grupo mientras que otros miran a un lado.</v>
      </c>
    </row>
    <row r="8359">
      <c r="A8359" s="4" t="s">
        <v>10517</v>
      </c>
      <c r="B8359" s="4" t="s">
        <v>10520</v>
      </c>
      <c r="C8359" s="5" t="str">
        <f>IFERROR(__xludf.DUMMYFUNCTION("GOOGLETRANSLATE(B8359,""en"",""es-ES"")"),"La gente continúa jugando y el cuarto y termina sonriendo a la cámara.")</f>
        <v>La gente continúa jugando y el cuarto y termina sonriendo a la cámara.</v>
      </c>
    </row>
    <row r="8360">
      <c r="A8360" s="4" t="s">
        <v>10521</v>
      </c>
      <c r="B8360" s="4" t="s">
        <v>10522</v>
      </c>
      <c r="C8360" s="5" t="str">
        <f>IFERROR(__xludf.DUMMYFUNCTION("GOOGLETRANSLATE(B8360,""en"",""es-ES"")"),"La cámara sigue a un niño pequeño en esquís mientras él o ella maniobra más allá de una multitud de personas.")</f>
        <v>La cámara sigue a un niño pequeño en esquís mientras él o ella maniobra más allá de una multitud de personas.</v>
      </c>
    </row>
    <row r="8361">
      <c r="A8361" s="4" t="s">
        <v>10521</v>
      </c>
      <c r="B8361" s="4" t="s">
        <v>10523</v>
      </c>
      <c r="C8361" s="5" t="str">
        <f>IFERROR(__xludf.DUMMYFUNCTION("GOOGLETRANSLATE(B8361,""en"",""es-ES"")"),"El niño esquía una pendiente con otras personas en varios puntos a lo largo del sendero.")</f>
        <v>El niño esquía una pendiente con otras personas en varios puntos a lo largo del sendero.</v>
      </c>
    </row>
    <row r="8362">
      <c r="A8362" s="4" t="s">
        <v>10521</v>
      </c>
      <c r="B8362" s="4" t="s">
        <v>10524</v>
      </c>
      <c r="C8362" s="5" t="str">
        <f>IFERROR(__xludf.DUMMYFUNCTION("GOOGLETRANSLATE(B8362,""en"",""es-ES"")"),"El niño se detiene cuando se acerca el Cameraperson.")</f>
        <v>El niño se detiene cuando se acerca el Cameraperson.</v>
      </c>
    </row>
    <row r="8363">
      <c r="A8363" s="4" t="s">
        <v>10525</v>
      </c>
      <c r="B8363" s="4" t="s">
        <v>10526</v>
      </c>
      <c r="C8363" s="5" t="str">
        <f>IFERROR(__xludf.DUMMYFUNCTION("GOOGLETRANSLATE(B8363,""en"",""es-ES"")"),"Las mujeres están vestidas con ropa elegante.")</f>
        <v>Las mujeres están vestidas con ropa elegante.</v>
      </c>
    </row>
    <row r="8364">
      <c r="A8364" s="4" t="s">
        <v>10525</v>
      </c>
      <c r="B8364" s="4" t="s">
        <v>10527</v>
      </c>
      <c r="C8364" s="5" t="str">
        <f>IFERROR(__xludf.DUMMYFUNCTION("GOOGLETRANSLATE(B8364,""en"",""es-ES"")"),"Una mujer está poniendo algo en el cuerpo de otra mujer.")</f>
        <v>Una mujer está poniendo algo en el cuerpo de otra mujer.</v>
      </c>
    </row>
    <row r="8365">
      <c r="A8365" s="4" t="s">
        <v>10525</v>
      </c>
      <c r="B8365" s="4" t="s">
        <v>2018</v>
      </c>
      <c r="C8365" s="5" t="str">
        <f>IFERROR(__xludf.DUMMYFUNCTION("GOOGLETRANSLATE(B8365,""en"",""es-ES"")"),"Las palabras aparecen en la pantalla.")</f>
        <v>Las palabras aparecen en la pantalla.</v>
      </c>
    </row>
    <row r="8366">
      <c r="A8366" s="4" t="s">
        <v>10528</v>
      </c>
      <c r="B8366" s="4" t="s">
        <v>10529</v>
      </c>
      <c r="C8366" s="5" t="str">
        <f>IFERROR(__xludf.DUMMYFUNCTION("GOOGLETRANSLATE(B8366,""en"",""es-ES"")"),"Un hombre y una mujer se paran afuera mientras él la rocía con bloqueo solar.")</f>
        <v>Un hombre y una mujer se paran afuera mientras él la rocía con bloqueo solar.</v>
      </c>
    </row>
    <row r="8367">
      <c r="A8367" s="4" t="s">
        <v>10528</v>
      </c>
      <c r="B8367" s="4" t="s">
        <v>10530</v>
      </c>
      <c r="C8367" s="5" t="str">
        <f>IFERROR(__xludf.DUMMYFUNCTION("GOOGLETRANSLATE(B8367,""en"",""es-ES"")"),"Ambos se están riendo y pasando un buen rato.")</f>
        <v>Ambos se están riendo y pasando un buen rato.</v>
      </c>
    </row>
    <row r="8368">
      <c r="A8368" s="4" t="s">
        <v>10528</v>
      </c>
      <c r="B8368" s="4" t="s">
        <v>10531</v>
      </c>
      <c r="C8368" s="5" t="str">
        <f>IFERROR(__xludf.DUMMYFUNCTION("GOOGLETRANSLATE(B8368,""en"",""es-ES"")"),"Ella se da vuelta para que él pueda recuperarla a fondo, ya que ambos coquetean juguetonamente entre sí.")</f>
        <v>Ella se da vuelta para que él pueda recuperarla a fondo, ya que ambos coquetean juguetonamente entre sí.</v>
      </c>
    </row>
    <row r="8369">
      <c r="A8369" s="4" t="s">
        <v>10528</v>
      </c>
      <c r="B8369" s="4" t="s">
        <v>10532</v>
      </c>
      <c r="C8369" s="5" t="str">
        <f>IFERROR(__xludf.DUMMYFUNCTION("GOOGLETRANSLATE(B8369,""en"",""es-ES"")"),"Él comienza a rociarla y ella le da instrucciones sobre dónde extrañaba aplicarlo.")</f>
        <v>Él comienza a rociarla y ella le da instrucciones sobre dónde extrañaba aplicarlo.</v>
      </c>
    </row>
    <row r="8370">
      <c r="A8370" s="4" t="s">
        <v>10528</v>
      </c>
      <c r="B8370" s="4" t="s">
        <v>10533</v>
      </c>
      <c r="C8370" s="5" t="str">
        <f>IFERROR(__xludf.DUMMYFUNCTION("GOOGLETRANSLATE(B8370,""en"",""es-ES"")"),"Luego se da la vuelta para que él consiga sus brazos, la cara y cualquiera de las otras áreas que él perdió.")</f>
        <v>Luego se da la vuelta para que él consiga sus brazos, la cara y cualquiera de las otras áreas que él perdió.</v>
      </c>
    </row>
    <row r="8371">
      <c r="A8371" s="4" t="s">
        <v>10534</v>
      </c>
      <c r="B8371" s="4" t="s">
        <v>10535</v>
      </c>
      <c r="C8371" s="5" t="str">
        <f>IFERROR(__xludf.DUMMYFUNCTION("GOOGLETRANSLATE(B8371,""en"",""es-ES"")"),"El día de la familia en la playa, el padre y el hijo caminan y luego comienzan a jugar en la arena.")</f>
        <v>El día de la familia en la playa, el padre y el hijo caminan y luego comienzan a jugar en la arena.</v>
      </c>
    </row>
    <row r="8372">
      <c r="A8372" s="4" t="s">
        <v>10534</v>
      </c>
      <c r="B8372" s="4" t="s">
        <v>10536</v>
      </c>
      <c r="C8372" s="5" t="str">
        <f>IFERROR(__xludf.DUMMYFUNCTION("GOOGLETRANSLATE(B8372,""en"",""es-ES"")"),"Tienen una arena en cubos que intentan construir castillos de arena.")</f>
        <v>Tienen una arena en cubos que intentan construir castillos de arena.</v>
      </c>
    </row>
    <row r="8373">
      <c r="A8373" s="4" t="s">
        <v>10534</v>
      </c>
      <c r="B8373" s="4" t="s">
        <v>10537</v>
      </c>
      <c r="C8373" s="5" t="str">
        <f>IFERROR(__xludf.DUMMYFUNCTION("GOOGLETRANSLATE(B8373,""en"",""es-ES"")"),"Cuando toman el cubo, la arena no es muy estable en absoluto.")</f>
        <v>Cuando toman el cubo, la arena no es muy estable en absoluto.</v>
      </c>
    </row>
    <row r="8374">
      <c r="A8374" s="4" t="s">
        <v>10534</v>
      </c>
      <c r="B8374" s="4" t="s">
        <v>10538</v>
      </c>
      <c r="C8374" s="5" t="str">
        <f>IFERROR(__xludf.DUMMYFUNCTION("GOOGLETRANSLATE(B8374,""en"",""es-ES"")"),"El niño va y derriba todas las partes del castillo que estaban creando.")</f>
        <v>El niño va y derriba todas las partes del castillo que estaban creando.</v>
      </c>
    </row>
    <row r="8375">
      <c r="A8375" s="4" t="s">
        <v>10539</v>
      </c>
      <c r="B8375" s="4" t="s">
        <v>10540</v>
      </c>
      <c r="C8375" s="5" t="str">
        <f>IFERROR(__xludf.DUMMYFUNCTION("GOOGLETRANSLATE(B8375,""en"",""es-ES"")"),"Se ve a un hombre tocando un saxofón y las transiciones de varios lugares de la persona tocando el instrumento.")</f>
        <v>Se ve a un hombre tocando un saxofón y las transiciones de varios lugares de la persona tocando el instrumento.</v>
      </c>
    </row>
    <row r="8376">
      <c r="A8376" s="4" t="s">
        <v>10539</v>
      </c>
      <c r="B8376" s="4" t="s">
        <v>10541</v>
      </c>
      <c r="C8376" s="5" t="str">
        <f>IFERROR(__xludf.DUMMYFUNCTION("GOOGLETRANSLATE(B8376,""en"",""es-ES"")"),"El hombre se ve al lado de sí mismo y más tiros de él jugando en una habitación.")</f>
        <v>El hombre se ve al lado de sí mismo y más tiros de él jugando en una habitación.</v>
      </c>
    </row>
    <row r="8377">
      <c r="A8377" s="4" t="s">
        <v>10542</v>
      </c>
      <c r="B8377" s="4" t="s">
        <v>10543</v>
      </c>
      <c r="C8377" s="5" t="str">
        <f>IFERROR(__xludf.DUMMYFUNCTION("GOOGLETRANSLATE(B8377,""en"",""es-ES"")"),"Un hombre está colgando en una pared de roca y hablando con la cámara.")</f>
        <v>Un hombre está colgando en una pared de roca y hablando con la cámara.</v>
      </c>
    </row>
    <row r="8378">
      <c r="A8378" s="4" t="s">
        <v>10542</v>
      </c>
      <c r="B8378" s="4" t="s">
        <v>10544</v>
      </c>
      <c r="C8378" s="5" t="str">
        <f>IFERROR(__xludf.DUMMYFUNCTION("GOOGLETRANSLATE(B8378,""en"",""es-ES"")"),"El hombre regresa y el cuarto y cómo mantener el equilibrio cuando la roca sube.")</f>
        <v>El hombre regresa y el cuarto y cómo mantener el equilibrio cuando la roca sube.</v>
      </c>
    </row>
    <row r="8379">
      <c r="A8379" s="4" t="s">
        <v>10542</v>
      </c>
      <c r="B8379" s="4" t="s">
        <v>10545</v>
      </c>
      <c r="C8379" s="5" t="str">
        <f>IFERROR(__xludf.DUMMYFUNCTION("GOOGLETRANSLATE(B8379,""en"",""es-ES"")"),"Comienza a trepar por la pared y hablando de mantener los brazos rectos.")</f>
        <v>Comienza a trepar por la pared y hablando de mantener los brazos rectos.</v>
      </c>
    </row>
    <row r="8380">
      <c r="A8380" s="4" t="s">
        <v>10542</v>
      </c>
      <c r="B8380" s="4" t="s">
        <v>10546</v>
      </c>
      <c r="C8380" s="5" t="str">
        <f>IFERROR(__xludf.DUMMYFUNCTION("GOOGLETRANSLATE(B8380,""en"",""es-ES"")"),"Continúa subiendo por la pared y dónde colocar tus pies y cómo empujar.")</f>
        <v>Continúa subiendo por la pared y dónde colocar tus pies y cómo empujar.</v>
      </c>
    </row>
    <row r="8381">
      <c r="A8381" s="4" t="s">
        <v>10542</v>
      </c>
      <c r="B8381" s="4" t="s">
        <v>10547</v>
      </c>
      <c r="C8381" s="5" t="str">
        <f>IFERROR(__xludf.DUMMYFUNCTION("GOOGLETRANSLATE(B8381,""en"",""es-ES"")"),"Finalmente llega a la cima de la pared de roca y mira la cámara.")</f>
        <v>Finalmente llega a la cima de la pared de roca y mira la cámara.</v>
      </c>
    </row>
    <row r="8382">
      <c r="A8382" s="4" t="s">
        <v>10548</v>
      </c>
      <c r="B8382" s="4" t="s">
        <v>10549</v>
      </c>
      <c r="C8382" s="5" t="str">
        <f>IFERROR(__xludf.DUMMYFUNCTION("GOOGLETRANSLATE(B8382,""en"",""es-ES"")"),"Se da un tutorial sobre cómo hacer una manicura francesa perfecta.")</f>
        <v>Se da un tutorial sobre cómo hacer una manicura francesa perfecta.</v>
      </c>
    </row>
    <row r="8383">
      <c r="A8383" s="4" t="s">
        <v>10548</v>
      </c>
      <c r="B8383" s="4" t="s">
        <v>10550</v>
      </c>
      <c r="C8383" s="5" t="str">
        <f>IFERROR(__xludf.DUMMYFUNCTION("GOOGLETRANSLATE(B8383,""en"",""es-ES"")"),"Al final se muestra un anuncio.")</f>
        <v>Al final se muestra un anuncio.</v>
      </c>
    </row>
    <row r="8384">
      <c r="A8384" s="4" t="s">
        <v>10551</v>
      </c>
      <c r="B8384" s="4" t="s">
        <v>10552</v>
      </c>
      <c r="C8384" s="5" t="str">
        <f>IFERROR(__xludf.DUMMYFUNCTION("GOOGLETRANSLATE(B8384,""en"",""es-ES"")"),"Una mujer vestida con una camisa negra que representa a la compañía Bents está parada en un jardín y demostrando cómo usar celofán para envolver una planta con fines de regalo.")</f>
        <v>Una mujer vestida con una camisa negra que representa a la compañía Bents está parada en un jardín y demostrando cómo usar celofán para envolver una planta con fines de regalo.</v>
      </c>
    </row>
    <row r="8385">
      <c r="A8385" s="4" t="s">
        <v>10551</v>
      </c>
      <c r="B8385" s="4" t="s">
        <v>10553</v>
      </c>
      <c r="C8385" s="5" t="str">
        <f>IFERROR(__xludf.DUMMYFUNCTION("GOOGLETRANSLATE(B8385,""en"",""es-ES"")"),"Corta una pieza rectangular del celofán y coloca la olla sobre ella en el centro.")</f>
        <v>Corta una pieza rectangular del celofán y coloca la olla sobre ella en el centro.</v>
      </c>
    </row>
    <row r="8386">
      <c r="A8386" s="4" t="s">
        <v>10551</v>
      </c>
      <c r="B8386" s="4" t="s">
        <v>10554</v>
      </c>
      <c r="C8386" s="5" t="str">
        <f>IFERROR(__xludf.DUMMYFUNCTION("GOOGLETRANSLATE(B8386,""en"",""es-ES"")"),"Luego reúne los bordes del celofán hacia la parte superior de la planta.")</f>
        <v>Luego reúne los bordes del celofán hacia la parte superior de la planta.</v>
      </c>
    </row>
    <row r="8387">
      <c r="A8387" s="4" t="s">
        <v>10551</v>
      </c>
      <c r="B8387" s="4" t="s">
        <v>10555</v>
      </c>
      <c r="C8387" s="5" t="str">
        <f>IFERROR(__xludf.DUMMYFUNCTION("GOOGLETRANSLATE(B8387,""en"",""es-ES"")"),"Ella toma un pedazo de cinta decora para unir el celofán arrugado para que parezca un arco en la parte superior.")</f>
        <v>Ella toma un pedazo de cinta decora para unir el celofán arrugado para que parezca un arco en la parte superior.</v>
      </c>
    </row>
    <row r="8388">
      <c r="A8388" s="4" t="s">
        <v>10556</v>
      </c>
      <c r="B8388" s="4" t="s">
        <v>10557</v>
      </c>
      <c r="C8388" s="5" t="str">
        <f>IFERROR(__xludf.DUMMYFUNCTION("GOOGLETRANSLATE(B8388,""en"",""es-ES"")"),"Los niños sacan un tren y caminan por la calle sosteniendo tablas de surf.")</f>
        <v>Los niños sacan un tren y caminan por la calle sosteniendo tablas de surf.</v>
      </c>
    </row>
    <row r="8389">
      <c r="A8389" s="4" t="s">
        <v>10556</v>
      </c>
      <c r="B8389" s="4" t="s">
        <v>10558</v>
      </c>
      <c r="C8389" s="5" t="str">
        <f>IFERROR(__xludf.DUMMYFUNCTION("GOOGLETRANSLATE(B8389,""en"",""es-ES"")"),"Ellos, los niños surfean en un río entrecortado en una ciudad.")</f>
        <v>Ellos, los niños surfean en un río entrecortado en una ciudad.</v>
      </c>
    </row>
    <row r="8390">
      <c r="A8390" s="4" t="s">
        <v>10556</v>
      </c>
      <c r="B8390" s="4" t="s">
        <v>10559</v>
      </c>
      <c r="C8390" s="5" t="str">
        <f>IFERROR(__xludf.DUMMYFUNCTION("GOOGLETRANSLATE(B8390,""en"",""es-ES"")"),"Un niño puso su tabla de surf en las rives, salta y surfean, luego cayó, también otros chicos surfean.")</f>
        <v>Un niño puso su tabla de surf en las rives, salta y surfean, luego cayó, también otros chicos surfean.</v>
      </c>
    </row>
    <row r="8391">
      <c r="A8391" s="4" t="s">
        <v>10556</v>
      </c>
      <c r="B8391" s="4" t="s">
        <v>10560</v>
      </c>
      <c r="C8391" s="5" t="str">
        <f>IFERROR(__xludf.DUMMYFUNCTION("GOOGLETRANSLATE(B8391,""en"",""es-ES"")"),"Después, los niños están dentro de un tren.")</f>
        <v>Después, los niños están dentro de un tren.</v>
      </c>
    </row>
    <row r="8392">
      <c r="A8392" s="4" t="s">
        <v>10561</v>
      </c>
      <c r="B8392" s="4" t="s">
        <v>10562</v>
      </c>
      <c r="C8392" s="5" t="str">
        <f>IFERROR(__xludf.DUMMYFUNCTION("GOOGLETRANSLATE(B8392,""en"",""es-ES"")"),"Hay un incendio en un terreno abierto al lado de algunas carpas y bicicletas.")</f>
        <v>Hay un incendio en un terreno abierto al lado de algunas carpas y bicicletas.</v>
      </c>
    </row>
    <row r="8393">
      <c r="A8393" s="4" t="s">
        <v>10561</v>
      </c>
      <c r="B8393" s="4" t="s">
        <v>10563</v>
      </c>
      <c r="C8393" s="5" t="str">
        <f>IFERROR(__xludf.DUMMYFUNCTION("GOOGLETRANSLATE(B8393,""en"",""es-ES"")"),"Hay una persona vestida con el traje de un motociclista que aparece y prende fuego a una pila de palitos de madera.")</f>
        <v>Hay una persona vestida con el traje de un motociclista que aparece y prende fuego a una pila de palitos de madera.</v>
      </c>
    </row>
    <row r="8394">
      <c r="A8394" s="4" t="s">
        <v>10561</v>
      </c>
      <c r="B8394" s="4" t="s">
        <v>10564</v>
      </c>
      <c r="C8394" s="5" t="str">
        <f>IFERROR(__xludf.DUMMYFUNCTION("GOOGLETRANSLATE(B8394,""en"",""es-ES"")"),"El fuego comienza a extenderse a través de las ramitas y los palitos de madera y estalla en grandes llamas.")</f>
        <v>El fuego comienza a extenderse a través de las ramitas y los palitos de madera y estalla en grandes llamas.</v>
      </c>
    </row>
    <row r="8395">
      <c r="A8395" s="4" t="s">
        <v>10565</v>
      </c>
      <c r="B8395" s="4" t="s">
        <v>10566</v>
      </c>
      <c r="C8395" s="5" t="str">
        <f>IFERROR(__xludf.DUMMYFUNCTION("GOOGLETRANSLATE(B8395,""en"",""es-ES"")"),"Una dama llamada Linda, creadora de pintura, está demostrando cómo hacer una pintura acrílica.")</f>
        <v>Una dama llamada Linda, creadora de pintura, está demostrando cómo hacer una pintura acrílica.</v>
      </c>
    </row>
    <row r="8396">
      <c r="A8396" s="4" t="s">
        <v>10565</v>
      </c>
      <c r="B8396" s="4" t="s">
        <v>10567</v>
      </c>
      <c r="C8396" s="5" t="str">
        <f>IFERROR(__xludf.DUMMYFUNCTION("GOOGLETRANSLATE(B8396,""en"",""es-ES"")"),"Ella comienza con un cepillo plano de una pulgada y pintura acrílica amarilla y blanca.")</f>
        <v>Ella comienza con un cepillo plano de una pulgada y pintura acrílica amarilla y blanca.</v>
      </c>
    </row>
    <row r="8397">
      <c r="A8397" s="4" t="s">
        <v>10565</v>
      </c>
      <c r="B8397" s="4" t="s">
        <v>10568</v>
      </c>
      <c r="C8397" s="5" t="str">
        <f>IFERROR(__xludf.DUMMYFUNCTION("GOOGLETRANSLATE(B8397,""en"",""es-ES"")"),"Ella fabrica patrones X a través del lienzo con el color amarillo.")</f>
        <v>Ella fabrica patrones X a través del lienzo con el color amarillo.</v>
      </c>
    </row>
    <row r="8398">
      <c r="A8398" s="4" t="s">
        <v>10565</v>
      </c>
      <c r="B8398" s="4" t="s">
        <v>10569</v>
      </c>
      <c r="C8398" s="5" t="str">
        <f>IFERROR(__xludf.DUMMYFUNCTION("GOOGLETRANSLATE(B8398,""en"",""es-ES"")"),"Ella continúa el mismo patrón en la parte superior del lienzo.")</f>
        <v>Ella continúa el mismo patrón en la parte superior del lienzo.</v>
      </c>
    </row>
    <row r="8399">
      <c r="A8399" s="4" t="s">
        <v>10565</v>
      </c>
      <c r="B8399" s="4" t="s">
        <v>10570</v>
      </c>
      <c r="C8399" s="5" t="str">
        <f>IFERROR(__xludf.DUMMYFUNCTION("GOOGLETRANSLATE(B8399,""en"",""es-ES"")"),"Luego dibuja líneas rectas a través del lienzo con un color naranja.")</f>
        <v>Luego dibuja líneas rectas a través del lienzo con un color naranja.</v>
      </c>
    </row>
    <row r="8400">
      <c r="A8400" s="4" t="s">
        <v>10565</v>
      </c>
      <c r="B8400" s="4" t="s">
        <v>10571</v>
      </c>
      <c r="C8400" s="5" t="str">
        <f>IFERROR(__xludf.DUMMYFUNCTION("GOOGLETRANSLATE(B8400,""en"",""es-ES"")"),"Luego toma un cepillo de revestimiento para hacer algunos detalles más finos sobre la pintura, como las ramas de un árbol.")</f>
        <v>Luego toma un cepillo de revestimiento para hacer algunos detalles más finos sobre la pintura, como las ramas de un árbol.</v>
      </c>
    </row>
    <row r="8401">
      <c r="A8401" s="4" t="s">
        <v>10565</v>
      </c>
      <c r="B8401" s="4" t="s">
        <v>10572</v>
      </c>
      <c r="C8401" s="5" t="str">
        <f>IFERROR(__xludf.DUMMYFUNCTION("GOOGLETRANSLATE(B8401,""en"",""es-ES"")"),"Ella toma un cepillo más plano para demostrar una técnica de aplastamiento con un exceso de pintura para mostrar pétalos de flores.")</f>
        <v>Ella toma un cepillo más plano para demostrar una técnica de aplastamiento con un exceso de pintura para mostrar pétalos de flores.</v>
      </c>
    </row>
    <row r="8402">
      <c r="A8402" s="4" t="s">
        <v>10565</v>
      </c>
      <c r="B8402" s="4" t="s">
        <v>10573</v>
      </c>
      <c r="C8402" s="5" t="str">
        <f>IFERROR(__xludf.DUMMYFUNCTION("GOOGLETRANSLATE(B8402,""en"",""es-ES"")"),"Ella termina el video con la técnica de pintura abstracta.")</f>
        <v>Ella termina el video con la técnica de pintura abstracta.</v>
      </c>
    </row>
    <row r="8403">
      <c r="A8403" s="4" t="s">
        <v>10574</v>
      </c>
      <c r="B8403" s="4" t="s">
        <v>10575</v>
      </c>
      <c r="C8403" s="5" t="str">
        <f>IFERROR(__xludf.DUMMYFUNCTION("GOOGLETRANSLATE(B8403,""en"",""es-ES"")"),"Vemos a un hombre en una piscina jugando un juego mientras un hombre de blanco se para en la banca agitando su brazo.")</f>
        <v>Vemos a un hombre en una piscina jugando un juego mientras un hombre de blanco se para en la banca agitando su brazo.</v>
      </c>
    </row>
    <row r="8404">
      <c r="A8404" s="4" t="s">
        <v>10574</v>
      </c>
      <c r="B8404" s="4" t="s">
        <v>10576</v>
      </c>
      <c r="C8404" s="5" t="str">
        <f>IFERROR(__xludf.DUMMYFUNCTION("GOOGLETRANSLATE(B8404,""en"",""es-ES"")"),"El balón se lanza y el portero frente a la red salta para detener el balón.")</f>
        <v>El balón se lanza y el portero frente a la red salta para detener el balón.</v>
      </c>
    </row>
    <row r="8405">
      <c r="A8405" s="4" t="s">
        <v>10574</v>
      </c>
      <c r="B8405" s="4" t="s">
        <v>10577</v>
      </c>
      <c r="C8405" s="5" t="str">
        <f>IFERROR(__xludf.DUMMYFUNCTION("GOOGLETRANSLATE(B8405,""en"",""es-ES"")"),"El portero luego se sumerge bajo el agua.")</f>
        <v>El portero luego se sumerge bajo el agua.</v>
      </c>
    </row>
    <row r="8406">
      <c r="A8406" s="4" t="s">
        <v>10578</v>
      </c>
      <c r="B8406" s="4" t="s">
        <v>10579</v>
      </c>
      <c r="C8406" s="5" t="str">
        <f>IFERROR(__xludf.DUMMYFUNCTION("GOOGLETRANSLATE(B8406,""en"",""es-ES"")"),"Una mujer asiática con cabello negro en la chaqueta beige y una blusa estampada, está hablando frente a la cámara.")</f>
        <v>Una mujer asiática con cabello negro en la chaqueta beige y una blusa estampada, está hablando frente a la cámara.</v>
      </c>
    </row>
    <row r="8407">
      <c r="A8407" s="4" t="s">
        <v>10578</v>
      </c>
      <c r="B8407" s="4" t="s">
        <v>10580</v>
      </c>
      <c r="C8407" s="5" t="str">
        <f>IFERROR(__xludf.DUMMYFUNCTION("GOOGLETRANSLATE(B8407,""en"",""es-ES"")"),"Cuatro cometas en blanco y negro con estampado de diamante azul y amarillo sobre ellas están volando desde el suelo, un pulpo verde, dragones y otras formas de cometas vuelan en el cielo, mientras que los hombres de rojo tiran de las cometas.")</f>
        <v>Cuatro cometas en blanco y negro con estampado de diamante azul y amarillo sobre ellas están volando desde el suelo, un pulpo verde, dragones y otras formas de cometas vuelan en el cielo, mientras que los hombres de rojo tiran de las cometas.</v>
      </c>
    </row>
    <row r="8408">
      <c r="A8408" s="4" t="s">
        <v>10581</v>
      </c>
      <c r="B8408" s="4" t="s">
        <v>10582</v>
      </c>
      <c r="C8408" s="5" t="str">
        <f>IFERROR(__xludf.DUMMYFUNCTION("GOOGLETRANSLATE(B8408,""en"",""es-ES"")"),"Se muestra a una mujer joven sentada y hablando con la cámara blanca con una camisa.")</f>
        <v>Se muestra a una mujer joven sentada y hablando con la cámara blanca con una camisa.</v>
      </c>
    </row>
    <row r="8409">
      <c r="A8409" s="4" t="s">
        <v>10581</v>
      </c>
      <c r="B8409" s="4" t="s">
        <v>10583</v>
      </c>
      <c r="C8409" s="5" t="str">
        <f>IFERROR(__xludf.DUMMYFUNCTION("GOOGLETRANSLATE(B8409,""en"",""es-ES"")"),"Ella ata la camisa alrededor de su brazo y la sumerge en el agua y la frota con las manos.")</f>
        <v>Ella ata la camisa alrededor de su brazo y la sumerge en el agua y la frota con las manos.</v>
      </c>
    </row>
    <row r="8410">
      <c r="A8410" s="4" t="s">
        <v>10584</v>
      </c>
      <c r="B8410" s="4" t="s">
        <v>10585</v>
      </c>
      <c r="C8410" s="5" t="str">
        <f>IFERROR(__xludf.DUMMYFUNCTION("GOOGLETRANSLATE(B8410,""en"",""es-ES"")"),"Un hombre está sentado en una silla, sosteniendo un saxofón.")</f>
        <v>Un hombre está sentado en una silla, sosteniendo un saxofón.</v>
      </c>
    </row>
    <row r="8411">
      <c r="A8411" s="4" t="s">
        <v>10584</v>
      </c>
      <c r="B8411" s="4" t="s">
        <v>10586</v>
      </c>
      <c r="C8411" s="5" t="str">
        <f>IFERROR(__xludf.DUMMYFUNCTION("GOOGLETRANSLATE(B8411,""en"",""es-ES"")"),"Se deja de pie mientras toca, sus dedos se mueven arriba y abajo del instrumento.")</f>
        <v>Se deja de pie mientras toca, sus dedos se mueven arriba y abajo del instrumento.</v>
      </c>
    </row>
    <row r="8412">
      <c r="A8412" s="4" t="s">
        <v>10584</v>
      </c>
      <c r="B8412" s="4" t="s">
        <v>10587</v>
      </c>
      <c r="C8412" s="5" t="str">
        <f>IFERROR(__xludf.DUMMYFUNCTION("GOOGLETRANSLATE(B8412,""en"",""es-ES"")"),"La pantalla se corta al texto en blanco y negro.")</f>
        <v>La pantalla se corta al texto en blanco y negro.</v>
      </c>
    </row>
    <row r="8413">
      <c r="A8413" s="4" t="s">
        <v>10588</v>
      </c>
      <c r="B8413" s="4" t="s">
        <v>10589</v>
      </c>
      <c r="C8413" s="5" t="str">
        <f>IFERROR(__xludf.DUMMYFUNCTION("GOOGLETRANSLATE(B8413,""en"",""es-ES"")"),"Las estadísticas de un jugador se muestran en la pantalla.")</f>
        <v>Las estadísticas de un jugador se muestran en la pantalla.</v>
      </c>
    </row>
    <row r="8414">
      <c r="A8414" s="4" t="s">
        <v>10588</v>
      </c>
      <c r="B8414" s="4" t="s">
        <v>10590</v>
      </c>
      <c r="C8414" s="5" t="str">
        <f>IFERROR(__xludf.DUMMYFUNCTION("GOOGLETRANSLATE(B8414,""en"",""es-ES"")"),"Montajes de varios juegos de fútbol cubierto.")</f>
        <v>Montajes de varios juegos de fútbol cubierto.</v>
      </c>
    </row>
    <row r="8415">
      <c r="A8415" s="4" t="s">
        <v>10588</v>
      </c>
      <c r="B8415" s="4" t="s">
        <v>10591</v>
      </c>
      <c r="C8415" s="5" t="str">
        <f>IFERROR(__xludf.DUMMYFUNCTION("GOOGLETRANSLATE(B8415,""en"",""es-ES"")"),"Las estadísticas del jugador se muestran nuevamente.")</f>
        <v>Las estadísticas del jugador se muestran nuevamente.</v>
      </c>
    </row>
    <row r="8416">
      <c r="A8416" s="4" t="s">
        <v>10592</v>
      </c>
      <c r="B8416" s="4" t="s">
        <v>10593</v>
      </c>
      <c r="C8416" s="5" t="str">
        <f>IFERROR(__xludf.DUMMYFUNCTION("GOOGLETRANSLATE(B8416,""en"",""es-ES"")"),"Vemos ranuras de números en asfalto.")</f>
        <v>Vemos ranuras de números en asfalto.</v>
      </c>
    </row>
    <row r="8417">
      <c r="A8417" s="4" t="s">
        <v>10592</v>
      </c>
      <c r="B8417" s="4" t="s">
        <v>10594</v>
      </c>
      <c r="C8417" s="5" t="str">
        <f>IFERROR(__xludf.DUMMYFUNCTION("GOOGLETRANSLATE(B8417,""en"",""es-ES"")"),"Luego vemos a los niños montando bicicletas BMX cortadas con escenas de otras cosas.")</f>
        <v>Luego vemos a los niños montando bicicletas BMX cortadas con escenas de otras cosas.</v>
      </c>
    </row>
    <row r="8418">
      <c r="A8418" s="4" t="s">
        <v>10592</v>
      </c>
      <c r="B8418" s="4" t="s">
        <v>10595</v>
      </c>
      <c r="C8418" s="5" t="str">
        <f>IFERROR(__xludf.DUMMYFUNCTION("GOOGLETRANSLATE(B8418,""en"",""es-ES"")"),"Vemos niños hablando con la cámara.")</f>
        <v>Vemos niños hablando con la cámara.</v>
      </c>
    </row>
    <row r="8419">
      <c r="A8419" s="4" t="s">
        <v>10592</v>
      </c>
      <c r="B8419" s="4" t="s">
        <v>10596</v>
      </c>
      <c r="C8419" s="5" t="str">
        <f>IFERROR(__xludf.DUMMYFUNCTION("GOOGLETRANSLATE(B8419,""en"",""es-ES"")"),"Vemos una puerta abierta y los niños comienzan a montar.")</f>
        <v>Vemos una puerta abierta y los niños comienzan a montar.</v>
      </c>
    </row>
    <row r="8420">
      <c r="A8420" s="4" t="s">
        <v>10592</v>
      </c>
      <c r="B8420" s="4" t="s">
        <v>10597</v>
      </c>
      <c r="C8420" s="5" t="str">
        <f>IFERROR(__xludf.DUMMYFUNCTION("GOOGLETRANSLATE(B8420,""en"",""es-ES"")"),"Vemos a un entrenador parado con niños.")</f>
        <v>Vemos a un entrenador parado con niños.</v>
      </c>
    </row>
    <row r="8421">
      <c r="A8421" s="4" t="s">
        <v>10592</v>
      </c>
      <c r="B8421" s="4" t="s">
        <v>10598</v>
      </c>
      <c r="C8421" s="5" t="str">
        <f>IFERROR(__xludf.DUMMYFUNCTION("GOOGLETRANSLATE(B8421,""en"",""es-ES"")"),"Vemos a otro entrenador parado con niños.")</f>
        <v>Vemos a otro entrenador parado con niños.</v>
      </c>
    </row>
    <row r="8422">
      <c r="A8422" s="4" t="s">
        <v>10592</v>
      </c>
      <c r="B8422" s="4" t="s">
        <v>10599</v>
      </c>
      <c r="C8422" s="5" t="str">
        <f>IFERROR(__xludf.DUMMYFUNCTION("GOOGLETRANSLATE(B8422,""en"",""es-ES"")"),"Vemos a los niños pasar la línea de meta.")</f>
        <v>Vemos a los niños pasar la línea de meta.</v>
      </c>
    </row>
    <row r="8423">
      <c r="A8423" s="4" t="s">
        <v>10592</v>
      </c>
      <c r="B8423" s="4" t="s">
        <v>10600</v>
      </c>
      <c r="C8423" s="5" t="str">
        <f>IFERROR(__xludf.DUMMYFUNCTION("GOOGLETRANSLATE(B8423,""en"",""es-ES"")"),"Vemos el emblema en la pantalla con niños sentados en sus bicicletas.")</f>
        <v>Vemos el emblema en la pantalla con niños sentados en sus bicicletas.</v>
      </c>
    </row>
    <row r="8424">
      <c r="A8424" s="4" t="s">
        <v>10592</v>
      </c>
      <c r="B8424" s="4" t="s">
        <v>10601</v>
      </c>
      <c r="C8424" s="5" t="str">
        <f>IFERROR(__xludf.DUMMYFUNCTION("GOOGLETRANSLATE(B8424,""en"",""es-ES"")"),"Luego vemos la pantalla cerrada.")</f>
        <v>Luego vemos la pantalla cerrada.</v>
      </c>
    </row>
    <row r="8425">
      <c r="A8425" s="4" t="s">
        <v>10602</v>
      </c>
      <c r="B8425" s="4" t="s">
        <v>10603</v>
      </c>
      <c r="C8425" s="5" t="str">
        <f>IFERROR(__xludf.DUMMYFUNCTION("GOOGLETRANSLATE(B8425,""en"",""es-ES"")"),"Un hombre que lleva un sombrero está parado afuera.")</f>
        <v>Un hombre que lleva un sombrero está parado afuera.</v>
      </c>
    </row>
    <row r="8426">
      <c r="A8426" s="4" t="s">
        <v>10602</v>
      </c>
      <c r="B8426" s="4" t="s">
        <v>10604</v>
      </c>
      <c r="C8426" s="5" t="str">
        <f>IFERROR(__xludf.DUMMYFUNCTION("GOOGLETRANSLATE(B8426,""en"",""es-ES"")"),"Él recoge una motosierra del suelo.")</f>
        <v>Él recoge una motosierra del suelo.</v>
      </c>
    </row>
    <row r="8427">
      <c r="A8427" s="4" t="s">
        <v>10602</v>
      </c>
      <c r="B8427" s="4" t="s">
        <v>10605</v>
      </c>
      <c r="C8427" s="5" t="str">
        <f>IFERROR(__xludf.DUMMYFUNCTION("GOOGLETRANSLATE(B8427,""en"",""es-ES"")"),"Comienza a cortar un arbusto a su lado.")</f>
        <v>Comienza a cortar un arbusto a su lado.</v>
      </c>
    </row>
    <row r="8428">
      <c r="A8428" s="4" t="s">
        <v>10606</v>
      </c>
      <c r="B8428" s="4" t="s">
        <v>10607</v>
      </c>
      <c r="C8428" s="5" t="str">
        <f>IFERROR(__xludf.DUMMYFUNCTION("GOOGLETRANSLATE(B8428,""en"",""es-ES"")"),"Hay un montón de niños parados alrededor de una mesa y el enfoque principal es un niño que está cortando cosas en una bandeja azul.")</f>
        <v>Hay un montón de niños parados alrededor de una mesa y el enfoque principal es un niño que está cortando cosas en una bandeja azul.</v>
      </c>
    </row>
    <row r="8429">
      <c r="A8429" s="4" t="s">
        <v>10606</v>
      </c>
      <c r="B8429" s="4" t="s">
        <v>10608</v>
      </c>
      <c r="C8429" s="5" t="str">
        <f>IFERROR(__xludf.DUMMYFUNCTION("GOOGLETRANSLATE(B8429,""en"",""es-ES"")"),"El niño se aleja de la bandeja y un adulto comienza a cortar.")</f>
        <v>El niño se aleja de la bandeja y un adulto comienza a cortar.</v>
      </c>
    </row>
    <row r="8430">
      <c r="A8430" s="4" t="s">
        <v>10606</v>
      </c>
      <c r="B8430" s="4" t="s">
        <v>10609</v>
      </c>
      <c r="C8430" s="5" t="str">
        <f>IFERROR(__xludf.DUMMYFUNCTION("GOOGLETRANSLATE(B8430,""en"",""es-ES"")"),"El adulto deja de cortar y otro niño comienza a cortar los objetos muy lentamente, el adulto interrumpe al niño para demostrar cómo cortar y el niño se aleja.")</f>
        <v>El adulto deja de cortar y otro niño comienza a cortar los objetos muy lentamente, el adulto interrumpe al niño para demostrar cómo cortar y el niño se aleja.</v>
      </c>
    </row>
    <row r="8431">
      <c r="A8431" s="4" t="s">
        <v>10610</v>
      </c>
      <c r="B8431" s="4" t="s">
        <v>10611</v>
      </c>
      <c r="C8431" s="5" t="str">
        <f>IFERROR(__xludf.DUMMYFUNCTION("GOOGLETRANSLATE(B8431,""en"",""es-ES"")"),"Se ve a dos personas hablando con la cámara seguida de varias bebidas establecidas.")</f>
        <v>Se ve a dos personas hablando con la cámara seguida de varias bebidas establecidas.</v>
      </c>
    </row>
    <row r="8432">
      <c r="A8432" s="4" t="s">
        <v>10610</v>
      </c>
      <c r="B8432" s="4" t="s">
        <v>10612</v>
      </c>
      <c r="C8432" s="5" t="str">
        <f>IFERROR(__xludf.DUMMYFUNCTION("GOOGLETRANSLATE(B8432,""en"",""es-ES"")"),"Luego, la gente comienza a mezclar ingredientes entre sí y hablando entre sí.")</f>
        <v>Luego, la gente comienza a mezclar ingredientes entre sí y hablando entre sí.</v>
      </c>
    </row>
    <row r="8433">
      <c r="A8433" s="4" t="s">
        <v>10610</v>
      </c>
      <c r="B8433" s="4" t="s">
        <v>10613</v>
      </c>
      <c r="C8433" s="5" t="str">
        <f>IFERROR(__xludf.DUMMYFUNCTION("GOOGLETRANSLATE(B8433,""en"",""es-ES"")"),"La gente continúa mezclando bebidas entre sí y presentándolas a la cámara.")</f>
        <v>La gente continúa mezclando bebidas entre sí y presentándolas a la cámara.</v>
      </c>
    </row>
    <row r="8434">
      <c r="A8434" s="4" t="s">
        <v>10614</v>
      </c>
      <c r="B8434" s="4" t="s">
        <v>10615</v>
      </c>
      <c r="C8434" s="5" t="str">
        <f>IFERROR(__xludf.DUMMYFUNCTION("GOOGLETRANSLATE(B8434,""en"",""es-ES"")"),"Hay un hombre en un caballo esperando el tiempo para comenzar.")</f>
        <v>Hay un hombre en un caballo esperando el tiempo para comenzar.</v>
      </c>
    </row>
    <row r="8435">
      <c r="A8435" s="4" t="s">
        <v>10614</v>
      </c>
      <c r="B8435" s="4" t="s">
        <v>10616</v>
      </c>
      <c r="C8435" s="5" t="str">
        <f>IFERROR(__xludf.DUMMYFUNCTION("GOOGLETRANSLATE(B8435,""en"",""es-ES"")"),"Una vez que las puertas abren una vaca comienza a correr y el hombre en el caballo lo persigue con una borla.")</f>
        <v>Una vez que las puertas abren una vaca comienza a correr y el hombre en el caballo lo persigue con una borla.</v>
      </c>
    </row>
    <row r="8436">
      <c r="A8436" s="4" t="s">
        <v>10614</v>
      </c>
      <c r="B8436" s="4" t="s">
        <v>10617</v>
      </c>
      <c r="C8436" s="5" t="str">
        <f>IFERROR(__xludf.DUMMYFUNCTION("GOOGLETRANSLATE(B8436,""en"",""es-ES"")"),"Él balancea la borla en el aire varias veces y la tira atrapando a la vaca y luego atando.")</f>
        <v>Él balancea la borla en el aire varias veces y la tira atrapando a la vaca y luego atando.</v>
      </c>
    </row>
    <row r="8437">
      <c r="A8437" s="4" t="s">
        <v>10614</v>
      </c>
      <c r="B8437" s="4" t="s">
        <v>10618</v>
      </c>
      <c r="C8437" s="5" t="str">
        <f>IFERROR(__xludf.DUMMYFUNCTION("GOOGLETRANSLATE(B8437,""en"",""es-ES"")"),"Hay una audiencia en las gradas viendo al hombre hacer esto y hay otro hombre en un caballo diferente al lado esperando.")</f>
        <v>Hay una audiencia en las gradas viendo al hombre hacer esto y hay otro hombre en un caballo diferente al lado esperando.</v>
      </c>
    </row>
    <row r="8438">
      <c r="A8438" s="4" t="s">
        <v>10619</v>
      </c>
      <c r="B8438" s="4" t="s">
        <v>10620</v>
      </c>
      <c r="C8438" s="5" t="str">
        <f>IFERROR(__xludf.DUMMYFUNCTION("GOOGLETRANSLATE(B8438,""en"",""es-ES"")"),"Una multitud se reúne con un juego de voleibol.")</f>
        <v>Una multitud se reúne con un juego de voleibol.</v>
      </c>
    </row>
    <row r="8439">
      <c r="A8439" s="4" t="s">
        <v>10619</v>
      </c>
      <c r="B8439" s="4" t="s">
        <v>10621</v>
      </c>
      <c r="C8439" s="5" t="str">
        <f>IFERROR(__xludf.DUMMYFUNCTION("GOOGLETRANSLATE(B8439,""en"",""es-ES"")"),"Un jugador de voleibol golpea la pelota.")</f>
        <v>Un jugador de voleibol golpea la pelota.</v>
      </c>
    </row>
    <row r="8440">
      <c r="A8440" s="4" t="s">
        <v>10619</v>
      </c>
      <c r="B8440" s="4" t="s">
        <v>10622</v>
      </c>
      <c r="C8440" s="5" t="str">
        <f>IFERROR(__xludf.DUMMYFUNCTION("GOOGLETRANSLATE(B8440,""en"",""es-ES"")"),"El compañero de equipo del jugador también golpea el balón.")</f>
        <v>El compañero de equipo del jugador también golpea el balón.</v>
      </c>
    </row>
    <row r="8441">
      <c r="A8441" s="4" t="s">
        <v>10619</v>
      </c>
      <c r="B8441" s="4" t="s">
        <v>10623</v>
      </c>
      <c r="C8441" s="5" t="str">
        <f>IFERROR(__xludf.DUMMYFUNCTION("GOOGLETRANSLATE(B8441,""en"",""es-ES"")"),"El jugador golpea la pelota tres veces más.")</f>
        <v>El jugador golpea la pelota tres veces más.</v>
      </c>
    </row>
    <row r="8442">
      <c r="A8442" s="4" t="s">
        <v>10619</v>
      </c>
      <c r="B8442" s="4" t="s">
        <v>10624</v>
      </c>
      <c r="C8442" s="5" t="str">
        <f>IFERROR(__xludf.DUMMYFUNCTION("GOOGLETRANSLATE(B8442,""en"",""es-ES"")"),"El compañero de equipo de los jugadores golpea el balón.")</f>
        <v>El compañero de equipo de los jugadores golpea el balón.</v>
      </c>
    </row>
    <row r="8443">
      <c r="A8443" s="4" t="s">
        <v>10619</v>
      </c>
      <c r="B8443" s="4" t="s">
        <v>10625</v>
      </c>
      <c r="C8443" s="5" t="str">
        <f>IFERROR(__xludf.DUMMYFUNCTION("GOOGLETRANSLATE(B8443,""en"",""es-ES"")"),"El otro jugador golpea la pelota sobre la red.")</f>
        <v>El otro jugador golpea la pelota sobre la red.</v>
      </c>
    </row>
    <row r="8444">
      <c r="A8444" s="4" t="s">
        <v>10619</v>
      </c>
      <c r="B8444" s="4" t="s">
        <v>10626</v>
      </c>
      <c r="C8444" s="5" t="str">
        <f>IFERROR(__xludf.DUMMYFUNCTION("GOOGLETRANSLATE(B8444,""en"",""es-ES"")"),"La pelota regresa y uno de los jugadores golpea la pelota.")</f>
        <v>La pelota regresa y uno de los jugadores golpea la pelota.</v>
      </c>
    </row>
    <row r="8445">
      <c r="A8445" s="4" t="s">
        <v>10619</v>
      </c>
      <c r="B8445" s="4" t="s">
        <v>10627</v>
      </c>
      <c r="C8445" s="5" t="str">
        <f>IFERROR(__xludf.DUMMYFUNCTION("GOOGLETRANSLATE(B8445,""en"",""es-ES"")"),"El compañero de equipo de los jugadores se sumerge para golpear la pelota.")</f>
        <v>El compañero de equipo de los jugadores se sumerge para golpear la pelota.</v>
      </c>
    </row>
    <row r="8446">
      <c r="A8446" s="4" t="s">
        <v>10619</v>
      </c>
      <c r="B8446" s="4" t="s">
        <v>10628</v>
      </c>
      <c r="C8446" s="5" t="str">
        <f>IFERROR(__xludf.DUMMYFUNCTION("GOOGLETRANSLATE(B8446,""en"",""es-ES"")"),"El otro jugador golpea el balón al otro equipo.")</f>
        <v>El otro jugador golpea el balón al otro equipo.</v>
      </c>
    </row>
    <row r="8447">
      <c r="A8447" s="4" t="s">
        <v>10619</v>
      </c>
      <c r="B8447" s="4" t="s">
        <v>10629</v>
      </c>
      <c r="C8447" s="5" t="str">
        <f>IFERROR(__xludf.DUMMYFUNCTION("GOOGLETRANSLATE(B8447,""en"",""es-ES"")"),"La pelota regresa y uno de los jugadores golpea la pelota de los límites.")</f>
        <v>La pelota regresa y uno de los jugadores golpea la pelota de los límites.</v>
      </c>
    </row>
    <row r="8448">
      <c r="A8448" s="4" t="s">
        <v>10630</v>
      </c>
      <c r="B8448" s="4" t="s">
        <v>10631</v>
      </c>
      <c r="C8448" s="5" t="str">
        <f>IFERROR(__xludf.DUMMYFUNCTION("GOOGLETRANSLATE(B8448,""en"",""es-ES"")"),"Una niña voltea una colchoneta.")</f>
        <v>Una niña voltea una colchoneta.</v>
      </c>
    </row>
    <row r="8449">
      <c r="A8449" s="4" t="s">
        <v>10630</v>
      </c>
      <c r="B8449" s="4" t="s">
        <v>10632</v>
      </c>
      <c r="C8449" s="5" t="str">
        <f>IFERROR(__xludf.DUMMYFUNCTION("GOOGLETRANSLATE(B8449,""en"",""es-ES"")"),"La estera es negra y roja.")</f>
        <v>La estera es negra y roja.</v>
      </c>
    </row>
    <row r="8450">
      <c r="A8450" s="4" t="s">
        <v>10630</v>
      </c>
      <c r="B8450" s="4" t="s">
        <v>10633</v>
      </c>
      <c r="C8450" s="5" t="str">
        <f>IFERROR(__xludf.DUMMYFUNCTION("GOOGLETRANSLATE(B8450,""en"",""es-ES"")"),"Varias chicas la miran a ella y aplauden.")</f>
        <v>Varias chicas la miran a ella y aplauden.</v>
      </c>
    </row>
    <row r="8451">
      <c r="A8451" s="4" t="s">
        <v>10630</v>
      </c>
      <c r="B8451" s="4" t="s">
        <v>10634</v>
      </c>
      <c r="C8451" s="5" t="str">
        <f>IFERROR(__xludf.DUMMYFUNCTION("GOOGLETRANSLATE(B8451,""en"",""es-ES"")"),"Luego hace algunos volavones.")</f>
        <v>Luego hace algunos volavones.</v>
      </c>
    </row>
    <row r="8452">
      <c r="A8452" s="4" t="s">
        <v>10635</v>
      </c>
      <c r="B8452" s="4" t="s">
        <v>10636</v>
      </c>
      <c r="C8452" s="5" t="str">
        <f>IFERROR(__xludf.DUMMYFUNCTION("GOOGLETRANSLATE(B8452,""en"",""es-ES"")"),"Una mujer está jugando un violín en la calle mientras varias personas caminan por aquí y detrás de ella.")</f>
        <v>Una mujer está jugando un violín en la calle mientras varias personas caminan por aquí y detrás de ella.</v>
      </c>
    </row>
    <row r="8453">
      <c r="A8453" s="4" t="s">
        <v>10635</v>
      </c>
      <c r="B8453" s="4" t="s">
        <v>10637</v>
      </c>
      <c r="C8453" s="5" t="str">
        <f>IFERROR(__xludf.DUMMYFUNCTION("GOOGLETRANSLATE(B8453,""en"",""es-ES"")"),"Ella sonríe a la cámara mientras toca y continúa tocando la canción mientras varias personas se inclinan para darle la propina y caminarla.")</f>
        <v>Ella sonríe a la cámara mientras toca y continúa tocando la canción mientras varias personas se inclinan para darle la propina y caminarla.</v>
      </c>
    </row>
    <row r="8454">
      <c r="A8454" s="4" t="s">
        <v>10638</v>
      </c>
      <c r="B8454" s="4" t="s">
        <v>10639</v>
      </c>
      <c r="C8454" s="5" t="str">
        <f>IFERROR(__xludf.DUMMYFUNCTION("GOOGLETRANSLATE(B8454,""en"",""es-ES"")"),"Se ve a un pequeño grupo de personas parado en un campo sosteniendo una cuerda.")</f>
        <v>Se ve a un pequeño grupo de personas parado en un campo sosteniendo una cuerda.</v>
      </c>
    </row>
    <row r="8455">
      <c r="A8455" s="4" t="s">
        <v>10638</v>
      </c>
      <c r="B8455" s="4" t="s">
        <v>10640</v>
      </c>
      <c r="C8455" s="5" t="str">
        <f>IFERROR(__xludf.DUMMYFUNCTION("GOOGLETRANSLATE(B8455,""en"",""es-ES"")"),"Un hombre se para delante cuando el grupo comienza a tirar de la cuerda a un lado.")</f>
        <v>Un hombre se para delante cuando el grupo comienza a tirar de la cuerda a un lado.</v>
      </c>
    </row>
    <row r="8456">
      <c r="A8456" s="4" t="s">
        <v>10638</v>
      </c>
      <c r="B8456" s="4" t="s">
        <v>10641</v>
      </c>
      <c r="C8456" s="5" t="str">
        <f>IFERROR(__xludf.DUMMYFUNCTION("GOOGLETRANSLATE(B8456,""en"",""es-ES"")"),"La gente continúa tirando hasta que uno cae después.")</f>
        <v>La gente continúa tirando hasta que uno cae después.</v>
      </c>
    </row>
    <row r="8457">
      <c r="A8457" s="4" t="s">
        <v>10642</v>
      </c>
      <c r="B8457" s="4" t="s">
        <v>10643</v>
      </c>
      <c r="C8457" s="5" t="str">
        <f>IFERROR(__xludf.DUMMYFUNCTION("GOOGLETRANSLATE(B8457,""en"",""es-ES"")"),"Una persona esquía en la eslada de una colina cubierta de nieve.")</f>
        <v>Una persona esquía en la eslada de una colina cubierta de nieve.</v>
      </c>
    </row>
    <row r="8458">
      <c r="A8458" s="4" t="s">
        <v>10642</v>
      </c>
      <c r="B8458" s="4" t="s">
        <v>10644</v>
      </c>
      <c r="C8458" s="5" t="str">
        <f>IFERROR(__xludf.DUMMYFUNCTION("GOOGLETRANSLATE(B8458,""en"",""es-ES"")"),"Luego, la persona llega a un área plana donde hay cuatro personas.")</f>
        <v>Luego, la persona llega a un área plana donde hay cuatro personas.</v>
      </c>
    </row>
    <row r="8459">
      <c r="A8459" s="4" t="s">
        <v>10645</v>
      </c>
      <c r="B8459" s="4" t="s">
        <v>10646</v>
      </c>
      <c r="C8459" s="5" t="str">
        <f>IFERROR(__xludf.DUMMYFUNCTION("GOOGLETRANSLATE(B8459,""en"",""es-ES"")"),"Un hombre está de pie en una habitación sosteniendo un gran instrumento.")</f>
        <v>Un hombre está de pie en una habitación sosteniendo un gran instrumento.</v>
      </c>
    </row>
    <row r="8460">
      <c r="A8460" s="4" t="s">
        <v>10645</v>
      </c>
      <c r="B8460" s="4" t="s">
        <v>10647</v>
      </c>
      <c r="C8460" s="5" t="str">
        <f>IFERROR(__xludf.DUMMYFUNCTION("GOOGLETRANSLATE(B8460,""en"",""es-ES"")"),"Comienza a tocar el instrumento detrás de un micrófono.")</f>
        <v>Comienza a tocar el instrumento detrás de un micrófono.</v>
      </c>
    </row>
    <row r="8461">
      <c r="A8461" s="4" t="s">
        <v>10645</v>
      </c>
      <c r="B8461" s="4" t="s">
        <v>10648</v>
      </c>
      <c r="C8461" s="5" t="str">
        <f>IFERROR(__xludf.DUMMYFUNCTION("GOOGLETRANSLATE(B8461,""en"",""es-ES"")"),"Un hombre con una camisa verde está hablando en un micrófono.")</f>
        <v>Un hombre con una camisa verde está hablando en un micrófono.</v>
      </c>
    </row>
    <row r="8462">
      <c r="A8462" s="4" t="s">
        <v>10649</v>
      </c>
      <c r="B8462" s="4" t="s">
        <v>10650</v>
      </c>
      <c r="C8462" s="5" t="str">
        <f>IFERROR(__xludf.DUMMYFUNCTION("GOOGLETRANSLATE(B8462,""en"",""es-ES"")"),"Parece que este es un idioma árabe que se está escribiendo o algo así.")</f>
        <v>Parece que este es un idioma árabe que se está escribiendo o algo así.</v>
      </c>
    </row>
    <row r="8463">
      <c r="A8463" s="4" t="s">
        <v>10649</v>
      </c>
      <c r="B8463" s="4" t="s">
        <v>10651</v>
      </c>
      <c r="C8463" s="5" t="str">
        <f>IFERROR(__xludf.DUMMYFUNCTION("GOOGLETRANSLATE(B8463,""en"",""es-ES"")"),"Luego, en un campo, hay hombres jugando un juego lanzando la pelota.")</f>
        <v>Luego, en un campo, hay hombres jugando un juego lanzando la pelota.</v>
      </c>
    </row>
    <row r="8464">
      <c r="A8464" s="4" t="s">
        <v>10649</v>
      </c>
      <c r="B8464" s="4" t="s">
        <v>10652</v>
      </c>
      <c r="C8464" s="5" t="str">
        <f>IFERROR(__xludf.DUMMYFUNCTION("GOOGLETRANSLATE(B8464,""en"",""es-ES"")"),"Algunos entrenadores caminan con sombreros para mantener el sol fuera de sus ojos.")</f>
        <v>Algunos entrenadores caminan con sombreros para mantener el sol fuera de sus ojos.</v>
      </c>
    </row>
    <row r="8465">
      <c r="A8465" s="4" t="s">
        <v>10649</v>
      </c>
      <c r="B8465" s="4" t="s">
        <v>10653</v>
      </c>
      <c r="C8465" s="5" t="str">
        <f>IFERROR(__xludf.DUMMYFUNCTION("GOOGLETRANSLATE(B8465,""en"",""es-ES"")"),"El juego se ve bastante intenso, un hombre pone todo su poder en uno de los lanzamientos que hace.")</f>
        <v>El juego se ve bastante intenso, un hombre pone todo su poder en uno de los lanzamientos que hace.</v>
      </c>
    </row>
    <row r="8466">
      <c r="A8466" s="4" t="s">
        <v>10654</v>
      </c>
      <c r="B8466" s="4" t="s">
        <v>10655</v>
      </c>
      <c r="C8466" s="5" t="str">
        <f>IFERROR(__xludf.DUMMYFUNCTION("GOOGLETRANSLATE(B8466,""en"",""es-ES"")"),"La escena se centra en la que muestra el exterior de un edificio, con algún texto en la parte inferior que dice que es una escuela para el breakdance.")</f>
        <v>La escena se centra en la que muestra el exterior de un edificio, con algún texto en la parte inferior que dice que es una escuela para el breakdance.</v>
      </c>
    </row>
    <row r="8467">
      <c r="A8467" s="4" t="s">
        <v>10654</v>
      </c>
      <c r="B8467" s="4" t="s">
        <v>10656</v>
      </c>
      <c r="C8467" s="5" t="str">
        <f>IFERROR(__xludf.DUMMYFUNCTION("GOOGLETRANSLATE(B8467,""en"",""es-ES"")"),"Un hombre está haciendo algunos documentos mientras otros hombres están parados en el fondo al lado de la pantalla de un proyector.")</f>
        <v>Un hombre está haciendo algunos documentos mientras otros hombres están parados en el fondo al lado de la pantalla de un proyector.</v>
      </c>
    </row>
    <row r="8468">
      <c r="A8468" s="4" t="s">
        <v>10654</v>
      </c>
      <c r="B8468" s="4" t="s">
        <v>10657</v>
      </c>
      <c r="C8468" s="5" t="str">
        <f>IFERROR(__xludf.DUMMYFUNCTION("GOOGLETRANSLATE(B8468,""en"",""es-ES"")"),"Una gran cantidad de niños dentro de un gimnasio están practicando breakdance.")</f>
        <v>Una gran cantidad de niños dentro de un gimnasio están practicando breakdance.</v>
      </c>
    </row>
    <row r="8469">
      <c r="A8469" s="4" t="s">
        <v>10654</v>
      </c>
      <c r="B8469" s="4" t="s">
        <v>10658</v>
      </c>
      <c r="C8469" s="5" t="str">
        <f>IFERROR(__xludf.DUMMYFUNCTION("GOOGLETRANSLATE(B8469,""en"",""es-ES"")"),"Los niños están dentro de un salón de clases viendo una presentación del hombre visto anteriormente.")</f>
        <v>Los niños están dentro de un salón de clases viendo una presentación del hombre visto anteriormente.</v>
      </c>
    </row>
    <row r="8470">
      <c r="A8470" s="4" t="s">
        <v>10654</v>
      </c>
      <c r="B8470" s="4" t="s">
        <v>10659</v>
      </c>
      <c r="C8470" s="5" t="str">
        <f>IFERROR(__xludf.DUMMYFUNCTION("GOOGLETRANSLATE(B8470,""en"",""es-ES"")"),"Se ve a los niños una vez más dentro del gimnasio practicando sus movimientos de ruptura.")</f>
        <v>Se ve a los niños una vez más dentro del gimnasio practicando sus movimientos de ruptura.</v>
      </c>
    </row>
    <row r="8471">
      <c r="A8471" s="4" t="s">
        <v>10654</v>
      </c>
      <c r="B8471" s="4" t="s">
        <v>10660</v>
      </c>
      <c r="C8471" s="5" t="str">
        <f>IFERROR(__xludf.DUMMYFUNCTION("GOOGLETRANSLATE(B8471,""en"",""es-ES"")"),"La pantalla se vuelve negra y aparece un gráfico en la pantalla que muestra el logotipo de la compañía y la información del canal de YouTube.")</f>
        <v>La pantalla se vuelve negra y aparece un gráfico en la pantalla que muestra el logotipo de la compañía y la información del canal de YouTube.</v>
      </c>
    </row>
    <row r="8472">
      <c r="A8472" s="4" t="s">
        <v>10661</v>
      </c>
      <c r="B8472" s="4" t="s">
        <v>10662</v>
      </c>
      <c r="C8472" s="5" t="str">
        <f>IFERROR(__xludf.DUMMYFUNCTION("GOOGLETRANSLATE(B8472,""en"",""es-ES"")"),"Un niño en un caballo es liberado de una puerta.")</f>
        <v>Un niño en un caballo es liberado de una puerta.</v>
      </c>
    </row>
    <row r="8473">
      <c r="A8473" s="4" t="s">
        <v>10661</v>
      </c>
      <c r="B8473" s="4" t="s">
        <v>10663</v>
      </c>
      <c r="C8473" s="5" t="str">
        <f>IFERROR(__xludf.DUMMYFUNCTION("GOOGLETRANSLATE(B8473,""en"",""es-ES"")"),"Él tiene un ternero, arrastrándolo al suelo.")</f>
        <v>Él tiene un ternero, arrastrándolo al suelo.</v>
      </c>
    </row>
    <row r="8474">
      <c r="A8474" s="4" t="s">
        <v>10661</v>
      </c>
      <c r="B8474" s="4" t="s">
        <v>10664</v>
      </c>
      <c r="C8474" s="5" t="str">
        <f>IFERROR(__xludf.DUMMYFUNCTION("GOOGLETRANSLATE(B8474,""en"",""es-ES"")"),"Desmita, atando la pantorrilla con una cuerda antes de volver a su caballo.")</f>
        <v>Desmita, atando la pantorrilla con una cuerda antes de volver a su caballo.</v>
      </c>
    </row>
    <row r="8475">
      <c r="A8475" s="4" t="s">
        <v>10665</v>
      </c>
      <c r="B8475" s="4" t="s">
        <v>10666</v>
      </c>
      <c r="C8475" s="5" t="str">
        <f>IFERROR(__xludf.DUMMYFUNCTION("GOOGLETRANSLATE(B8475,""en"",""es-ES"")"),"Una introducción conduce a un niño pequeño montando una bicicleta de tierra en un camino de tierra.")</f>
        <v>Una introducción conduce a un niño pequeño montando una bicicleta de tierra en un camino de tierra.</v>
      </c>
    </row>
    <row r="8476">
      <c r="A8476" s="4" t="s">
        <v>10665</v>
      </c>
      <c r="B8476" s="4" t="s">
        <v>10667</v>
      </c>
      <c r="C8476" s="5" t="str">
        <f>IFERROR(__xludf.DUMMYFUNCTION("GOOGLETRANSLATE(B8476,""en"",""es-ES"")"),"Varias tomas del niño adulto se muestran seguidos de más imágenes del niño montando una bicicleta de tierra.")</f>
        <v>Varias tomas del niño adulto se muestran seguidos de más imágenes del niño montando una bicicleta de tierra.</v>
      </c>
    </row>
    <row r="8477">
      <c r="A8477" s="4" t="s">
        <v>10668</v>
      </c>
      <c r="B8477" s="4" t="s">
        <v>10669</v>
      </c>
      <c r="C8477" s="5" t="str">
        <f>IFERROR(__xludf.DUMMYFUNCTION("GOOGLETRANSLATE(B8477,""en"",""es-ES"")"),"Vemos a una multitud de personas viendo un evento.")</f>
        <v>Vemos a una multitud de personas viendo un evento.</v>
      </c>
    </row>
    <row r="8478">
      <c r="A8478" s="4" t="s">
        <v>10668</v>
      </c>
      <c r="B8478" s="4" t="s">
        <v>10670</v>
      </c>
      <c r="C8478" s="5" t="str">
        <f>IFERROR(__xludf.DUMMYFUNCTION("GOOGLETRANSLATE(B8478,""en"",""es-ES"")"),"Los hombres juegan con un mango de metal.")</f>
        <v>Los hombres juegan con un mango de metal.</v>
      </c>
    </row>
    <row r="8479">
      <c r="A8479" s="4" t="s">
        <v>10668</v>
      </c>
      <c r="B8479" s="4" t="s">
        <v>10671</v>
      </c>
      <c r="C8479" s="5" t="str">
        <f>IFERROR(__xludf.DUMMYFUNCTION("GOOGLETRANSLATE(B8479,""en"",""es-ES"")"),"Se toman de las manos en preparación para el partido y el juez toca sus manos.")</f>
        <v>Se toman de las manos en preparación para el partido y el juez toca sus manos.</v>
      </c>
    </row>
    <row r="8480">
      <c r="A8480" s="4" t="s">
        <v>10668</v>
      </c>
      <c r="B8480" s="4" t="s">
        <v>10672</v>
      </c>
      <c r="C8480" s="5" t="str">
        <f>IFERROR(__xludf.DUMMYFUNCTION("GOOGLETRANSLATE(B8480,""en"",""es-ES"")"),"Los hombres comienzan su combate de lucha libre, y el tipo de la derecha gana.")</f>
        <v>Los hombres comienzan su combate de lucha libre, y el tipo de la derecha gana.</v>
      </c>
    </row>
    <row r="8481">
      <c r="A8481" s="4" t="s">
        <v>10668</v>
      </c>
      <c r="B8481" s="4" t="s">
        <v>10673</v>
      </c>
      <c r="C8481" s="5" t="str">
        <f>IFERROR(__xludf.DUMMYFUNCTION("GOOGLETRANSLATE(B8481,""en"",""es-ES"")"),"Los chicos se dan la mano y se abrazan.")</f>
        <v>Los chicos se dan la mano y se abrazan.</v>
      </c>
    </row>
    <row r="8482">
      <c r="A8482" s="4" t="s">
        <v>10668</v>
      </c>
      <c r="B8482" s="4" t="s">
        <v>10674</v>
      </c>
      <c r="C8482" s="5" t="str">
        <f>IFERROR(__xludf.DUMMYFUNCTION("GOOGLETRANSLATE(B8482,""en"",""es-ES"")"),"Vemos una foto de uno de los concursantes.")</f>
        <v>Vemos una foto de uno de los concursantes.</v>
      </c>
    </row>
    <row r="8483">
      <c r="A8483" s="4" t="s">
        <v>10675</v>
      </c>
      <c r="B8483" s="4" t="s">
        <v>10676</v>
      </c>
      <c r="C8483" s="5" t="str">
        <f>IFERROR(__xludf.DUMMYFUNCTION("GOOGLETRANSLATE(B8483,""en"",""es-ES"")"),"Dos hombres están jugando Ballet Ball en una cancha interior.")</f>
        <v>Dos hombres están jugando Ballet Ball en una cancha interior.</v>
      </c>
    </row>
    <row r="8484">
      <c r="A8484" s="4" t="s">
        <v>10675</v>
      </c>
      <c r="B8484" s="4" t="s">
        <v>10677</v>
      </c>
      <c r="C8484" s="5" t="str">
        <f>IFERROR(__xludf.DUMMYFUNCTION("GOOGLETRANSLATE(B8484,""en"",""es-ES"")"),"Los dos hombres, uno de negro y el otro con una camisa roja que juega una pelota de raqueta.")</f>
        <v>Los dos hombres, uno de negro y el otro con una camisa roja que juega una pelota de raqueta.</v>
      </c>
    </row>
    <row r="8485">
      <c r="A8485" s="4" t="s">
        <v>10675</v>
      </c>
      <c r="B8485" s="4" t="s">
        <v>10678</v>
      </c>
      <c r="C8485" s="5" t="str">
        <f>IFERROR(__xludf.DUMMYFUNCTION("GOOGLETRANSLATE(B8485,""en"",""es-ES"")"),"El hombre de negro comienza el primer servicio y el hombre de la camisa roja devuelve su servicio.")</f>
        <v>El hombre de negro comienza el primer servicio y el hombre de la camisa roja devuelve su servicio.</v>
      </c>
    </row>
    <row r="8486">
      <c r="A8486" s="4" t="s">
        <v>10675</v>
      </c>
      <c r="B8486" s="4" t="s">
        <v>10679</v>
      </c>
      <c r="C8486" s="5" t="str">
        <f>IFERROR(__xludf.DUMMYFUNCTION("GOOGLETRANSLATE(B8486,""en"",""es-ES"")"),"Continúan jugando a Ballet Ball.")</f>
        <v>Continúan jugando a Ballet Ball.</v>
      </c>
    </row>
    <row r="8487">
      <c r="A8487" s="4" t="s">
        <v>10675</v>
      </c>
      <c r="B8487" s="4" t="s">
        <v>10680</v>
      </c>
      <c r="C8487" s="5" t="str">
        <f>IFERROR(__xludf.DUMMYFUNCTION("GOOGLETRANSLATE(B8487,""en"",""es-ES"")"),"Luego, los mismos jugadores juegan una pelota de raqueta en una ocasión diferente con negro y el otro con una camisa amarilla.")</f>
        <v>Luego, los mismos jugadores juegan una pelota de raqueta en una ocasión diferente con negro y el otro con una camisa amarilla.</v>
      </c>
    </row>
    <row r="8488">
      <c r="A8488" s="4" t="s">
        <v>10675</v>
      </c>
      <c r="B8488" s="4" t="s">
        <v>10681</v>
      </c>
      <c r="C8488" s="5" t="str">
        <f>IFERROR(__xludf.DUMMYFUNCTION("GOOGLETRANSLATE(B8488,""en"",""es-ES"")"),"Continúan sirviendo y golpeando la pelota contra la pared.")</f>
        <v>Continúan sirviendo y golpeando la pelota contra la pared.</v>
      </c>
    </row>
    <row r="8489">
      <c r="A8489" s="4" t="s">
        <v>10675</v>
      </c>
      <c r="B8489" s="4" t="s">
        <v>10682</v>
      </c>
      <c r="C8489" s="5" t="str">
        <f>IFERROR(__xludf.DUMMYFUNCTION("GOOGLETRANSLATE(B8489,""en"",""es-ES"")"),"Juegan varias rondas en el juego.")</f>
        <v>Juegan varias rondas en el juego.</v>
      </c>
    </row>
    <row r="8490">
      <c r="A8490" s="4" t="s">
        <v>10675</v>
      </c>
      <c r="B8490" s="4" t="s">
        <v>10683</v>
      </c>
      <c r="C8490" s="5" t="str">
        <f>IFERROR(__xludf.DUMMYFUNCTION("GOOGLETRANSLATE(B8490,""en"",""es-ES"")"),"Vuelven de nuevo en las camisas rojas y negras que juegan una pelota de raqueta.")</f>
        <v>Vuelven de nuevo en las camisas rojas y negras que juegan una pelota de raqueta.</v>
      </c>
    </row>
    <row r="8491">
      <c r="A8491" s="4" t="s">
        <v>10675</v>
      </c>
      <c r="B8491" s="4" t="s">
        <v>10684</v>
      </c>
      <c r="C8491" s="5" t="str">
        <f>IFERROR(__xludf.DUMMYFUNCTION("GOOGLETRANSLATE(B8491,""en"",""es-ES"")"),"Corren para golpear y la pelota servida por el oponente mientras continúan jugando.")</f>
        <v>Corren para golpear y la pelota servida por el oponente mientras continúan jugando.</v>
      </c>
    </row>
    <row r="8492">
      <c r="A8492" s="4" t="s">
        <v>10685</v>
      </c>
      <c r="B8492" s="4" t="s">
        <v>10686</v>
      </c>
      <c r="C8492" s="5" t="str">
        <f>IFERROR(__xludf.DUMMYFUNCTION("GOOGLETRANSLATE(B8492,""en"",""es-ES"")"),"Una niña da consejos sobre cómo cepillarte el cabello con un cepillo redondo.")</f>
        <v>Una niña da consejos sobre cómo cepillarte el cabello con un cepillo redondo.</v>
      </c>
    </row>
    <row r="8493">
      <c r="A8493" s="4" t="s">
        <v>10685</v>
      </c>
      <c r="B8493" s="4" t="s">
        <v>10687</v>
      </c>
      <c r="C8493" s="5" t="str">
        <f>IFERROR(__xludf.DUMMYFUNCTION("GOOGLETRANSLATE(B8493,""en"",""es-ES"")"),"Ella acaricia el cabello frente a ella, cubriéndose la cara.")</f>
        <v>Ella acaricia el cabello frente a ella, cubriéndose la cara.</v>
      </c>
    </row>
    <row r="8494">
      <c r="A8494" s="4" t="s">
        <v>10685</v>
      </c>
      <c r="B8494" s="4" t="s">
        <v>10688</v>
      </c>
      <c r="C8494" s="5" t="str">
        <f>IFERROR(__xludf.DUMMYFUNCTION("GOOGLETRANSLATE(B8494,""en"",""es-ES"")"),"Ella voltea su cabello y luego termina lo que necesita hacer.")</f>
        <v>Ella voltea su cabello y luego termina lo que necesita hacer.</v>
      </c>
    </row>
    <row r="8495">
      <c r="A8495" s="4" t="s">
        <v>10689</v>
      </c>
      <c r="B8495" s="4" t="s">
        <v>10690</v>
      </c>
      <c r="C8495" s="5" t="str">
        <f>IFERROR(__xludf.DUMMYFUNCTION("GOOGLETRANSLATE(B8495,""en"",""es-ES"")"),"Vemos a un hombre darle a una dama una rosa.")</f>
        <v>Vemos a un hombre darle a una dama una rosa.</v>
      </c>
    </row>
    <row r="8496">
      <c r="A8496" s="4" t="s">
        <v>10689</v>
      </c>
      <c r="B8496" s="4" t="s">
        <v>10691</v>
      </c>
      <c r="C8496" s="5" t="str">
        <f>IFERROR(__xludf.DUMMYFUNCTION("GOOGLETRANSLATE(B8496,""en"",""es-ES"")"),"El hombre y la mujer realizan un baile frente a una multitud.")</f>
        <v>El hombre y la mujer realizan un baile frente a una multitud.</v>
      </c>
    </row>
    <row r="8497">
      <c r="A8497" s="4" t="s">
        <v>10689</v>
      </c>
      <c r="B8497" s="4" t="s">
        <v>10692</v>
      </c>
      <c r="C8497" s="5" t="str">
        <f>IFERROR(__xludf.DUMMYFUNCTION("GOOGLETRANSLATE(B8497,""en"",""es-ES"")"),"35 El hombre gira a la dama haciendo que su vestido voltea y mira su pecho.")</f>
        <v>35 El hombre gira a la dama haciendo que su vestido voltea y mira su pecho.</v>
      </c>
    </row>
    <row r="8498">
      <c r="A8498" s="4" t="s">
        <v>10689</v>
      </c>
      <c r="B8498" s="4" t="s">
        <v>10693</v>
      </c>
      <c r="C8498" s="5" t="str">
        <f>IFERROR(__xludf.DUMMYFUNCTION("GOOGLETRANSLATE(B8498,""en"",""es-ES"")"),"El baile se repite una y otra vez muchas veces.")</f>
        <v>El baile se repite una y otra vez muchas veces.</v>
      </c>
    </row>
    <row r="8499">
      <c r="A8499" s="4" t="s">
        <v>10689</v>
      </c>
      <c r="B8499" s="4" t="s">
        <v>10694</v>
      </c>
      <c r="C8499" s="5" t="str">
        <f>IFERROR(__xludf.DUMMYFUNCTION("GOOGLETRANSLATE(B8499,""en"",""es-ES"")"),"El hombre dobla a la mujer hacia adelante mirando su pecho dos veces y casi le pone la mano sobre su cuello.")</f>
        <v>El hombre dobla a la mujer hacia adelante mirando su pecho dos veces y casi le pone la mano sobre su cuello.</v>
      </c>
    </row>
    <row r="8500">
      <c r="A8500" s="4" t="s">
        <v>10695</v>
      </c>
      <c r="B8500" s="4" t="s">
        <v>10696</v>
      </c>
      <c r="C8500" s="5" t="str">
        <f>IFERROR(__xludf.DUMMYFUNCTION("GOOGLETRANSLATE(B8500,""en"",""es-ES"")"),"Un hombre negro acaricia su barba y su cara de manera amorosa.")</f>
        <v>Un hombre negro acaricia su barba y su cara de manera amorosa.</v>
      </c>
    </row>
    <row r="8501">
      <c r="A8501" s="4" t="s">
        <v>10695</v>
      </c>
      <c r="B8501" s="4" t="s">
        <v>10697</v>
      </c>
      <c r="C8501" s="5" t="str">
        <f>IFERROR(__xludf.DUMMYFUNCTION("GOOGLETRANSLATE(B8501,""en"",""es-ES"")"),"El hombre negro usa una cortadora de Clipper para recortar la barba y la cara.")</f>
        <v>El hombre negro usa una cortadora de Clipper para recortar la barba y la cara.</v>
      </c>
    </row>
    <row r="8502">
      <c r="A8502" s="4" t="s">
        <v>10695</v>
      </c>
      <c r="B8502" s="4" t="s">
        <v>10698</v>
      </c>
      <c r="C8502" s="5" t="str">
        <f>IFERROR(__xludf.DUMMYFUNCTION("GOOGLETRANSLATE(B8502,""en"",""es-ES"")"),"El hombre negro une un accesorio naranja a las cortinas y continúa recortando su barba.")</f>
        <v>El hombre negro une un accesorio naranja a las cortinas y continúa recortando su barba.</v>
      </c>
    </row>
    <row r="8503">
      <c r="A8503" s="4" t="s">
        <v>10695</v>
      </c>
      <c r="B8503" s="4" t="s">
        <v>10699</v>
      </c>
      <c r="C8503" s="5" t="str">
        <f>IFERROR(__xludf.DUMMYFUNCTION("GOOGLETRANSLATE(B8503,""en"",""es-ES"")"),"El hombre negro se lava la cara y la barba y muestra una variedad de accesorios y los aplica a la cara y la barba.")</f>
        <v>El hombre negro se lava la cara y la barba y muestra una variedad de accesorios y los aplica a la cara y la barba.</v>
      </c>
    </row>
    <row r="8504">
      <c r="A8504" s="4" t="s">
        <v>10700</v>
      </c>
      <c r="B8504" s="4" t="s">
        <v>10701</v>
      </c>
      <c r="C8504" s="5" t="str">
        <f>IFERROR(__xludf.DUMMYFUNCTION("GOOGLETRANSLATE(B8504,""en"",""es-ES"")"),"Se ve a un gran grupo de personas deambulando por un festival con tomas de personas que hablan, así como tocando crochet.")</f>
        <v>Se ve a un gran grupo de personas deambulando por un festival con tomas de personas que hablan, así como tocando crochet.</v>
      </c>
    </row>
    <row r="8505">
      <c r="A8505" s="4" t="s">
        <v>10700</v>
      </c>
      <c r="B8505" s="4" t="s">
        <v>10702</v>
      </c>
      <c r="C8505" s="5" t="str">
        <f>IFERROR(__xludf.DUMMYFUNCTION("GOOGLETRANSLATE(B8505,""en"",""es-ES"")"),"Se ve a más personas jugando el juego mientras varios otros miran al margen y las críticas.")</f>
        <v>Se ve a más personas jugando el juego mientras varios otros miran al margen y las críticas.</v>
      </c>
    </row>
    <row r="8506">
      <c r="A8506" s="4" t="s">
        <v>10703</v>
      </c>
      <c r="B8506" s="4" t="s">
        <v>10704</v>
      </c>
      <c r="C8506" s="5" t="str">
        <f>IFERROR(__xludf.DUMMYFUNCTION("GOOGLETRANSLATE(B8506,""en"",""es-ES"")"),"Una persona que lleva una camisa azul está sentada en la soldadura del piso.")</f>
        <v>Una persona que lleva una camisa azul está sentada en la soldadura del piso.</v>
      </c>
    </row>
    <row r="8507">
      <c r="A8507" s="4" t="s">
        <v>10703</v>
      </c>
      <c r="B8507" s="4" t="s">
        <v>10705</v>
      </c>
      <c r="C8507" s="5" t="str">
        <f>IFERROR(__xludf.DUMMYFUNCTION("GOOGLETRANSLATE(B8507,""en"",""es-ES"")"),"Lleva equipo de protección para cubrirse la cara y los ojos.")</f>
        <v>Lleva equipo de protección para cubrirse la cara y los ojos.</v>
      </c>
    </row>
    <row r="8508">
      <c r="A8508" s="4" t="s">
        <v>10703</v>
      </c>
      <c r="B8508" s="4" t="s">
        <v>10706</v>
      </c>
      <c r="C8508" s="5" t="str">
        <f>IFERROR(__xludf.DUMMYFUNCTION("GOOGLETRANSLATE(B8508,""en"",""es-ES"")"),"También tiene guantes protectores que son de color marrón.")</f>
        <v>También tiene guantes protectores que son de color marrón.</v>
      </c>
    </row>
    <row r="8509">
      <c r="A8509" s="4" t="s">
        <v>10703</v>
      </c>
      <c r="B8509" s="4" t="s">
        <v>10707</v>
      </c>
      <c r="C8509" s="5" t="str">
        <f>IFERROR(__xludf.DUMMYFUNCTION("GOOGLETRANSLATE(B8509,""en"",""es-ES"")"),"Continúa soldando una varilla de metal larga con herramienta de soldadura dirigida hacia la barra.")</f>
        <v>Continúa soldando una varilla de metal larga con herramienta de soldadura dirigida hacia la barra.</v>
      </c>
    </row>
    <row r="8510">
      <c r="A8510" s="4" t="s">
        <v>10708</v>
      </c>
      <c r="B8510" s="4" t="s">
        <v>10709</v>
      </c>
      <c r="C8510" s="5" t="str">
        <f>IFERROR(__xludf.DUMMYFUNCTION("GOOGLETRANSLATE(B8510,""en"",""es-ES"")"),"Se ve una gran pieza de maquinaria sentada en una habitación.")</f>
        <v>Se ve una gran pieza de maquinaria sentada en una habitación.</v>
      </c>
    </row>
    <row r="8511">
      <c r="A8511" s="4" t="s">
        <v>10708</v>
      </c>
      <c r="B8511" s="4" t="s">
        <v>10710</v>
      </c>
      <c r="C8511" s="5" t="str">
        <f>IFERROR(__xludf.DUMMYFUNCTION("GOOGLETRANSLATE(B8511,""en"",""es-ES"")"),"Un brazo robot luego se mueve al marco intentando empujar las cosas.")</f>
        <v>Un brazo robot luego se mueve al marco intentando empujar las cosas.</v>
      </c>
    </row>
    <row r="8512">
      <c r="A8512" s="4" t="s">
        <v>10708</v>
      </c>
      <c r="B8512" s="4" t="s">
        <v>10711</v>
      </c>
      <c r="C8512" s="5" t="str">
        <f>IFERROR(__xludf.DUMMYFUNCTION("GOOGLETRANSLATE(B8512,""en"",""es-ES"")"),"El robot falla y tira de su brazo de regreso.")</f>
        <v>El robot falla y tira de su brazo de regreso.</v>
      </c>
    </row>
    <row r="8513">
      <c r="A8513" s="4" t="s">
        <v>10712</v>
      </c>
      <c r="B8513" s="4" t="s">
        <v>1664</v>
      </c>
      <c r="C8513" s="5" t="str">
        <f>IFERROR(__xludf.DUMMYFUNCTION("GOOGLETRANSLATE(B8513,""en"",""es-ES"")"),"Un hombre y una mujer hablan con la cámara en un entorno de noticias.")</f>
        <v>Un hombre y una mujer hablan con la cámara en un entorno de noticias.</v>
      </c>
    </row>
    <row r="8514">
      <c r="A8514" s="4" t="s">
        <v>10712</v>
      </c>
      <c r="B8514" s="4" t="s">
        <v>10713</v>
      </c>
      <c r="C8514" s="5" t="str">
        <f>IFERROR(__xludf.DUMMYFUNCTION("GOOGLETRANSLATE(B8514,""en"",""es-ES"")"),"La escena pasa a varias personas entrenando en gimnasia.")</f>
        <v>La escena pasa a varias personas entrenando en gimnasia.</v>
      </c>
    </row>
    <row r="8515">
      <c r="A8515" s="4" t="s">
        <v>10712</v>
      </c>
      <c r="B8515" s="4" t="s">
        <v>10714</v>
      </c>
      <c r="C8515" s="5" t="str">
        <f>IFERROR(__xludf.DUMMYFUNCTION("GOOGLETRANSLATE(B8515,""en"",""es-ES"")"),"Dos mujeres son entrevistadas en la cámara secuencialmente.")</f>
        <v>Dos mujeres son entrevistadas en la cámara secuencialmente.</v>
      </c>
    </row>
    <row r="8516">
      <c r="A8516" s="4" t="s">
        <v>10712</v>
      </c>
      <c r="B8516" s="4" t="s">
        <v>10715</v>
      </c>
      <c r="C8516" s="5" t="str">
        <f>IFERROR(__xludf.DUMMYFUNCTION("GOOGLETRANSLATE(B8516,""en"",""es-ES"")"),"La escena pasa a más segmentos de práctica gimnástica.")</f>
        <v>La escena pasa a más segmentos de práctica gimnástica.</v>
      </c>
    </row>
    <row r="8517">
      <c r="A8517" s="4" t="s">
        <v>10716</v>
      </c>
      <c r="B8517" s="4" t="s">
        <v>10717</v>
      </c>
      <c r="C8517" s="5" t="str">
        <f>IFERROR(__xludf.DUMMYFUNCTION("GOOGLETRANSLATE(B8517,""en"",""es-ES"")"),"Un par de manillar se separan de la bicicleta y se colocan plano sobre una mesa.")</f>
        <v>Un par de manillar se separan de la bicicleta y se colocan plano sobre una mesa.</v>
      </c>
    </row>
    <row r="8518">
      <c r="A8518" s="4" t="s">
        <v>10716</v>
      </c>
      <c r="B8518" s="4" t="s">
        <v>10718</v>
      </c>
      <c r="C8518" s="5" t="str">
        <f>IFERROR(__xludf.DUMMYFUNCTION("GOOGLETRANSLATE(B8518,""en"",""es-ES"")"),"El hombre luego recoge el manillar y los pega de nuevo en la bicicleta apretándolos con una llave.")</f>
        <v>El hombre luego recoge el manillar y los pega de nuevo en la bicicleta apretándolos con una llave.</v>
      </c>
    </row>
    <row r="8519">
      <c r="A8519" s="4" t="s">
        <v>10719</v>
      </c>
      <c r="B8519" s="4" t="s">
        <v>10720</v>
      </c>
      <c r="C8519" s="5" t="str">
        <f>IFERROR(__xludf.DUMMYFUNCTION("GOOGLETRANSLATE(B8519,""en"",""es-ES"")"),"Se ve a una persona tarjetas de trato, así como varias tomas de una mesa de casino y chips de póker que se están tratando.")</f>
        <v>Se ve a una persona tarjetas de trato, así como varias tomas de una mesa de casino y chips de póker que se están tratando.</v>
      </c>
    </row>
    <row r="8520">
      <c r="A8520" s="4" t="s">
        <v>10719</v>
      </c>
      <c r="B8520" s="4" t="s">
        <v>10721</v>
      </c>
      <c r="C8520" s="5" t="str">
        <f>IFERROR(__xludf.DUMMYFUNCTION("GOOGLETRANSLATE(B8520,""en"",""es-ES"")"),"Se está tocando una banda, se ve a una persona fumando un cigarrillo, así como a las personas que caminan y hablan entre sí.")</f>
        <v>Se está tocando una banda, se ve a una persona fumando un cigarrillo, así como a las personas que caminan y hablan entre sí.</v>
      </c>
    </row>
    <row r="8521">
      <c r="A8521" s="4" t="s">
        <v>10719</v>
      </c>
      <c r="B8521" s="4" t="s">
        <v>10722</v>
      </c>
      <c r="C8521" s="5" t="str">
        <f>IFERROR(__xludf.DUMMYFUNCTION("GOOGLETRANSLATE(B8521,""en"",""es-ES"")"),"Al final, se ve a más personas disfrutando del casino y moviéndose.")</f>
        <v>Al final, se ve a más personas disfrutando del casino y moviéndose.</v>
      </c>
    </row>
    <row r="8522">
      <c r="A8522" s="4" t="s">
        <v>10723</v>
      </c>
      <c r="B8522" s="4" t="s">
        <v>10724</v>
      </c>
      <c r="C8522" s="5" t="str">
        <f>IFERROR(__xludf.DUMMYFUNCTION("GOOGLETRANSLATE(B8522,""en"",""es-ES"")"),"Se ve a un hombre con los ojos vendados con guantes de boxeo golpeando un saco de boxeo mientras muchos lo miran a los lados.")</f>
        <v>Se ve a un hombre con los ojos vendados con guantes de boxeo golpeando un saco de boxeo mientras muchos lo miran a los lados.</v>
      </c>
    </row>
    <row r="8523">
      <c r="A8523" s="4" t="s">
        <v>10723</v>
      </c>
      <c r="B8523" s="4" t="s">
        <v>10725</v>
      </c>
      <c r="C8523" s="5" t="str">
        <f>IFERROR(__xludf.DUMMYFUNCTION("GOOGLETRANSLATE(B8523,""en"",""es-ES"")"),"Continúa golpeando cuando una persona en el techo sube la bolsa más alto.")</f>
        <v>Continúa golpeando cuando una persona en el techo sube la bolsa más alto.</v>
      </c>
    </row>
    <row r="8524">
      <c r="A8524" s="4" t="s">
        <v>10726</v>
      </c>
      <c r="B8524" s="4" t="s">
        <v>10727</v>
      </c>
      <c r="C8524" s="5" t="str">
        <f>IFERROR(__xludf.DUMMYFUNCTION("GOOGLETRANSLATE(B8524,""en"",""es-ES"")"),"Se ve un camión estacionado frente a una casa con varios disparos de la casa que se muestran.")</f>
        <v>Se ve un camión estacionado frente a una casa con varios disparos de la casa que se muestran.</v>
      </c>
    </row>
    <row r="8525">
      <c r="A8525" s="4" t="s">
        <v>10726</v>
      </c>
      <c r="B8525" s="4" t="s">
        <v>10728</v>
      </c>
      <c r="C8525" s="5" t="str">
        <f>IFERROR(__xludf.DUMMYFUNCTION("GOOGLETRANSLATE(B8525,""en"",""es-ES"")"),"Luego se ve a un hombre parado en el techo que se coloca en la parte superior y nuevamente de pie frente a la casa de la casa.")</f>
        <v>Luego se ve a un hombre parado en el techo que se coloca en la parte superior y nuevamente de pie frente a la casa de la casa.</v>
      </c>
    </row>
    <row r="8526">
      <c r="A8526" s="4" t="s">
        <v>10726</v>
      </c>
      <c r="B8526" s="4" t="s">
        <v>10729</v>
      </c>
      <c r="C8526" s="5" t="str">
        <f>IFERROR(__xludf.DUMMYFUNCTION("GOOGLETRANSLATE(B8526,""en"",""es-ES"")"),"La cámara muestra el camión estacionado nuevamente en el frente y el producto final del techo.")</f>
        <v>La cámara muestra el camión estacionado nuevamente en el frente y el producto final del techo.</v>
      </c>
    </row>
    <row r="8527">
      <c r="A8527" s="4" t="s">
        <v>10730</v>
      </c>
      <c r="B8527" s="4" t="s">
        <v>10731</v>
      </c>
      <c r="C8527" s="5" t="str">
        <f>IFERROR(__xludf.DUMMYFUNCTION("GOOGLETRANSLATE(B8527,""en"",""es-ES"")"),"Una mujer con un vestido morado está sentado, hablando con la cámara.")</f>
        <v>Una mujer con un vestido morado está sentado, hablando con la cámara.</v>
      </c>
    </row>
    <row r="8528">
      <c r="A8528" s="4" t="s">
        <v>10730</v>
      </c>
      <c r="B8528" s="4" t="s">
        <v>10732</v>
      </c>
      <c r="C8528" s="5" t="str">
        <f>IFERROR(__xludf.DUMMYFUNCTION("GOOGLETRANSLATE(B8528,""en"",""es-ES"")"),"Se le muestra masajeando la crema en la cara, luego la enjuague con agua y se seca con una toalla.")</f>
        <v>Se le muestra masajeando la crema en la cara, luego la enjuague con agua y se seca con una toalla.</v>
      </c>
    </row>
    <row r="8529">
      <c r="A8529" s="4" t="s">
        <v>10730</v>
      </c>
      <c r="B8529" s="4" t="s">
        <v>10733</v>
      </c>
      <c r="C8529" s="5" t="str">
        <f>IFERROR(__xludf.DUMMYFUNCTION("GOOGLETRANSLATE(B8529,""en"",""es-ES"")"),"Luego vuelve a hablar con la cámara.")</f>
        <v>Luego vuelve a hablar con la cámara.</v>
      </c>
    </row>
    <row r="8530">
      <c r="A8530" s="4" t="s">
        <v>10734</v>
      </c>
      <c r="B8530" s="4" t="s">
        <v>10735</v>
      </c>
      <c r="C8530" s="5" t="str">
        <f>IFERROR(__xludf.DUMMYFUNCTION("GOOGLETRANSLATE(B8530,""en"",""es-ES"")"),"Tres chicas están sentadas en la playa, haciendo un montículo con arena y agua.")</f>
        <v>Tres chicas están sentadas en la playa, haciendo un montículo con arena y agua.</v>
      </c>
    </row>
    <row r="8531">
      <c r="A8531" s="4" t="s">
        <v>10734</v>
      </c>
      <c r="B8531" s="4" t="s">
        <v>10736</v>
      </c>
      <c r="C8531" s="5" t="str">
        <f>IFERROR(__xludf.DUMMYFUNCTION("GOOGLETRANSLATE(B8531,""en"",""es-ES"")"),"Usan un tazón para formar un molde.")</f>
        <v>Usan un tazón para formar un molde.</v>
      </c>
    </row>
    <row r="8532">
      <c r="A8532" s="4" t="s">
        <v>10737</v>
      </c>
      <c r="B8532" s="4" t="s">
        <v>10738</v>
      </c>
      <c r="C8532" s="5" t="str">
        <f>IFERROR(__xludf.DUMMYFUNCTION("GOOGLETRANSLATE(B8532,""en"",""es-ES"")"),"Un niño pequeño está en la casa jugando con su camisa y pañales.")</f>
        <v>Un niño pequeño está en la casa jugando con su camisa y pañales.</v>
      </c>
    </row>
    <row r="8533">
      <c r="A8533" s="4" t="s">
        <v>10737</v>
      </c>
      <c r="B8533" s="4" t="s">
        <v>10739</v>
      </c>
      <c r="C8533" s="5" t="str">
        <f>IFERROR(__xludf.DUMMYFUNCTION("GOOGLETRANSLATE(B8533,""en"",""es-ES"")"),"Tiene un pequeño palo de hockey y lo está usando para balancearse en un rodando hacia atrás.")</f>
        <v>Tiene un pequeño palo de hockey y lo está usando para balancearse en un rodando hacia atrás.</v>
      </c>
    </row>
    <row r="8534">
      <c r="A8534" s="4" t="s">
        <v>10737</v>
      </c>
      <c r="B8534" s="4" t="s">
        <v>10740</v>
      </c>
      <c r="C8534" s="5" t="str">
        <f>IFERROR(__xludf.DUMMYFUNCTION("GOOGLETRANSLATE(B8534,""en"",""es-ES"")"),"La pelota sigue llegando hacia él y él sigue balanceándose tratando de golpearla.")</f>
        <v>La pelota sigue llegando hacia él y él sigue balanceándose tratando de golpearla.</v>
      </c>
    </row>
    <row r="8535">
      <c r="A8535" s="4" t="s">
        <v>10737</v>
      </c>
      <c r="B8535" s="4" t="s">
        <v>10741</v>
      </c>
      <c r="C8535" s="5" t="str">
        <f>IFERROR(__xludf.DUMMYFUNCTION("GOOGLETRANSLATE(B8535,""en"",""es-ES"")"),"Se está divirtiendo mucho y se está entreteniendo jugando solo dentro.")</f>
        <v>Se está divirtiendo mucho y se está entreteniendo jugando solo dentro.</v>
      </c>
    </row>
    <row r="8536">
      <c r="A8536" s="4" t="s">
        <v>10742</v>
      </c>
      <c r="B8536" s="4" t="s">
        <v>10743</v>
      </c>
      <c r="C8536" s="5" t="str">
        <f>IFERROR(__xludf.DUMMYFUNCTION("GOOGLETRANSLATE(B8536,""en"",""es-ES"")"),"El hombre sale de su casa y abre la puerta de su auto en un día nevado.")</f>
        <v>El hombre sale de su casa y abre la puerta de su auto en un día nevado.</v>
      </c>
    </row>
    <row r="8537">
      <c r="A8537" s="4" t="s">
        <v>10742</v>
      </c>
      <c r="B8537" s="4" t="s">
        <v>10744</v>
      </c>
      <c r="C8537" s="5" t="str">
        <f>IFERROR(__xludf.DUMMYFUNCTION("GOOGLETRANSLATE(B8537,""en"",""es-ES"")"),"El hombre levanta los limpiaparabrisas de su automóvil.")</f>
        <v>El hombre levanta los limpiaparabrisas de su automóvil.</v>
      </c>
    </row>
    <row r="8538">
      <c r="A8538" s="4" t="s">
        <v>10742</v>
      </c>
      <c r="B8538" s="4" t="s">
        <v>10745</v>
      </c>
      <c r="C8538" s="5" t="str">
        <f>IFERROR(__xludf.DUMMYFUNCTION("GOOGLETRANSLATE(B8538,""en"",""es-ES"")"),"El hombre usa una escoba de la casa para barrer la nieve de su automóvil.")</f>
        <v>El hombre usa una escoba de la casa para barrer la nieve de su automóvil.</v>
      </c>
    </row>
    <row r="8539">
      <c r="A8539" s="4" t="s">
        <v>10742</v>
      </c>
      <c r="B8539" s="4" t="s">
        <v>10746</v>
      </c>
      <c r="C8539" s="5" t="str">
        <f>IFERROR(__xludf.DUMMYFUNCTION("GOOGLETRANSLATE(B8539,""en"",""es-ES"")"),"El perro juega con los propietarios.")</f>
        <v>El perro juega con los propietarios.</v>
      </c>
    </row>
    <row r="8540">
      <c r="A8540" s="4" t="s">
        <v>10742</v>
      </c>
      <c r="B8540" s="4" t="s">
        <v>10747</v>
      </c>
      <c r="C8540" s="5" t="str">
        <f>IFERROR(__xludf.DUMMYFUNCTION("GOOGLETRANSLATE(B8540,""en"",""es-ES"")"),"El hombre se mete en su auto y lo respalda hacia la casa en un lugar de estacionamiento.")</f>
        <v>El hombre se mete en su auto y lo respalda hacia la casa en un lugar de estacionamiento.</v>
      </c>
    </row>
    <row r="8541">
      <c r="A8541" s="4" t="s">
        <v>10748</v>
      </c>
      <c r="B8541" s="4" t="s">
        <v>10749</v>
      </c>
      <c r="C8541" s="5" t="str">
        <f>IFERROR(__xludf.DUMMYFUNCTION("GOOGLETRANSLATE(B8541,""en"",""es-ES"")"),"Una mujer está de pie en una cocina en la isla frente a una licuadora y varios ingredientes.")</f>
        <v>Una mujer está de pie en una cocina en la isla frente a una licuadora y varios ingredientes.</v>
      </c>
    </row>
    <row r="8542">
      <c r="A8542" s="4" t="s">
        <v>10748</v>
      </c>
      <c r="B8542" s="4" t="s">
        <v>10750</v>
      </c>
      <c r="C8542" s="5" t="str">
        <f>IFERROR(__xludf.DUMMYFUNCTION("GOOGLETRANSLATE(B8542,""en"",""es-ES"")"),"Ella coloca manzanas y azúcar en la licuadora con hielo, y las combina.")</f>
        <v>Ella coloca manzanas y azúcar en la licuadora con hielo, y las combina.</v>
      </c>
    </row>
    <row r="8543">
      <c r="A8543" s="4" t="s">
        <v>10748</v>
      </c>
      <c r="B8543" s="4" t="s">
        <v>10751</v>
      </c>
      <c r="C8543" s="5" t="str">
        <f>IFERROR(__xludf.DUMMYFUNCTION("GOOGLETRANSLATE(B8543,""en"",""es-ES"")"),"Luego vierte la mezcla en dos gafas mientras continúa hablando.")</f>
        <v>Luego vierte la mezcla en dos gafas mientras continúa hablando.</v>
      </c>
    </row>
    <row r="8544">
      <c r="A8544" s="4" t="s">
        <v>10752</v>
      </c>
      <c r="B8544" s="4" t="s">
        <v>10753</v>
      </c>
      <c r="C8544" s="5" t="str">
        <f>IFERROR(__xludf.DUMMYFUNCTION("GOOGLETRANSLATE(B8544,""en"",""es-ES"")"),"Un hombre tiene una herramienta que usa para recortar garras de gatos, se mete un poco y luego se levanta para encontrar a su gato.")</f>
        <v>Un hombre tiene una herramienta que usa para recortar garras de gatos, se mete un poco y luego se levanta para encontrar a su gato.</v>
      </c>
    </row>
    <row r="8545">
      <c r="A8545" s="4" t="s">
        <v>10752</v>
      </c>
      <c r="B8545" s="4" t="s">
        <v>10754</v>
      </c>
      <c r="C8545" s="5" t="str">
        <f>IFERROR(__xludf.DUMMYFUNCTION("GOOGLETRANSLATE(B8545,""en"",""es-ES"")"),"Él machaca un poco al gato para no hacerlo tan sospechoso y asustado.")</f>
        <v>Él machaca un poco al gato para no hacerlo tan sospechoso y asustado.</v>
      </c>
    </row>
    <row r="8546">
      <c r="A8546" s="4" t="s">
        <v>10752</v>
      </c>
      <c r="B8546" s="4" t="s">
        <v>10755</v>
      </c>
      <c r="C8546" s="5" t="str">
        <f>IFERROR(__xludf.DUMMYFUNCTION("GOOGLETRANSLATE(B8546,""en"",""es-ES"")"),"Él consigue el gatito en una buena posición y comienza a sentirse por sus garras y uno por uno comienza a recortarlas.")</f>
        <v>Él consigue el gatito en una buena posición y comienza a sentirse por sus garras y uno por uno comienza a recortarlas.</v>
      </c>
    </row>
    <row r="8547">
      <c r="A8547" s="4" t="s">
        <v>10752</v>
      </c>
      <c r="B8547" s="4" t="s">
        <v>10756</v>
      </c>
      <c r="C8547" s="5" t="str">
        <f>IFERROR(__xludf.DUMMYFUNCTION("GOOGLETRANSLATE(B8547,""en"",""es-ES"")"),"Luego la mueve los otros brazos y la mastrea un poco más, mostrando la diferencia entre sus uñas con garras y decladas.")</f>
        <v>Luego la mueve los otros brazos y la mastrea un poco más, mostrando la diferencia entre sus uñas con garras y decladas.</v>
      </c>
    </row>
    <row r="8548">
      <c r="A8548" s="4" t="s">
        <v>10757</v>
      </c>
      <c r="B8548" s="4" t="s">
        <v>10758</v>
      </c>
      <c r="C8548" s="5" t="str">
        <f>IFERROR(__xludf.DUMMYFUNCTION("GOOGLETRANSLATE(B8548,""en"",""es-ES"")"),"Hay personas paradas en un cuerpo de agua congelado y están buscando un pequeño agujero que tiene un alambre de pesca y lo miran mientras se balancea hacia arriba y hacia abajo.")</f>
        <v>Hay personas paradas en un cuerpo de agua congelado y están buscando un pequeño agujero que tiene un alambre de pesca y lo miran mientras se balancea hacia arriba y hacia abajo.</v>
      </c>
    </row>
    <row r="8549">
      <c r="A8549" s="4" t="s">
        <v>10757</v>
      </c>
      <c r="B8549" s="4" t="s">
        <v>10759</v>
      </c>
      <c r="C8549" s="5" t="str">
        <f>IFERROR(__xludf.DUMMYFUNCTION("GOOGLETRANSLATE(B8549,""en"",""es-ES"")"),"El hombre de pie levanta el poste y el cable y el hombre arrodillado sobre el hielo saca el pez del agua helada y lo pone sobre el hielo.")</f>
        <v>El hombre de pie levanta el poste y el cable y el hombre arrodillado sobre el hielo saca el pez del agua helada y lo pone sobre el hielo.</v>
      </c>
    </row>
    <row r="8550">
      <c r="A8550" s="4" t="s">
        <v>10757</v>
      </c>
      <c r="B8550" s="4" t="s">
        <v>10760</v>
      </c>
      <c r="C8550" s="5" t="str">
        <f>IFERROR(__xludf.DUMMYFUNCTION("GOOGLETRANSLATE(B8550,""en"",""es-ES"")"),"Otro hombre toma una foto del pez, el hombre arrodillado lo desengancha y el hombre de pie lo recoge, la sostiene por sus branquias y posa con él.")</f>
        <v>Otro hombre toma una foto del pez, el hombre arrodillado lo desengancha y el hombre de pie lo recoge, la sostiene por sus branquias y posa con él.</v>
      </c>
    </row>
    <row r="8551">
      <c r="A8551" s="4" t="s">
        <v>10761</v>
      </c>
      <c r="B8551" s="4" t="s">
        <v>10762</v>
      </c>
      <c r="C8551" s="5" t="str">
        <f>IFERROR(__xludf.DUMMYFUNCTION("GOOGLETRANSLATE(B8551,""en"",""es-ES"")"),"La gente baila en la playa.")</f>
        <v>La gente baila en la playa.</v>
      </c>
    </row>
    <row r="8552">
      <c r="A8552" s="4" t="s">
        <v>10761</v>
      </c>
      <c r="B8552" s="4" t="s">
        <v>10763</v>
      </c>
      <c r="C8552" s="5" t="str">
        <f>IFERROR(__xludf.DUMMYFUNCTION("GOOGLETRANSLATE(B8552,""en"",""es-ES"")"),"Una mujer está acostada sobre una toalla roja.")</f>
        <v>Una mujer está acostada sobre una toalla roja.</v>
      </c>
    </row>
    <row r="8553">
      <c r="A8553" s="4" t="s">
        <v>10761</v>
      </c>
      <c r="B8553" s="4" t="s">
        <v>10764</v>
      </c>
      <c r="C8553" s="5" t="str">
        <f>IFERROR(__xludf.DUMMYFUNCTION("GOOGLETRANSLATE(B8553,""en"",""es-ES"")"),"Un hombre está acostado sobre una toalla verde.")</f>
        <v>Un hombre está acostado sobre una toalla verde.</v>
      </c>
    </row>
    <row r="8554">
      <c r="A8554" s="4" t="s">
        <v>10761</v>
      </c>
      <c r="B8554" s="4" t="s">
        <v>10765</v>
      </c>
      <c r="C8554" s="5" t="str">
        <f>IFERROR(__xludf.DUMMYFUNCTION("GOOGLETRANSLATE(B8554,""en"",""es-ES"")"),"Dos perros están a su lado en la playa.")</f>
        <v>Dos perros están a su lado en la playa.</v>
      </c>
    </row>
    <row r="8555">
      <c r="A8555" s="4" t="s">
        <v>10766</v>
      </c>
      <c r="B8555" s="4" t="s">
        <v>10767</v>
      </c>
      <c r="C8555" s="5" t="str">
        <f>IFERROR(__xludf.DUMMYFUNCTION("GOOGLETRANSLATE(B8555,""en"",""es-ES"")"),"Un velero navega a través de aguas ásperas en el océano.")</f>
        <v>Un velero navega a través de aguas ásperas en el océano.</v>
      </c>
    </row>
    <row r="8556">
      <c r="A8556" s="4" t="s">
        <v>10766</v>
      </c>
      <c r="B8556" s="4" t="s">
        <v>10768</v>
      </c>
      <c r="C8556" s="5" t="str">
        <f>IFERROR(__xludf.DUMMYFUNCTION("GOOGLETRANSLATE(B8556,""en"",""es-ES"")"),"Se ve al patrón manejando el volante en la parte posterior del bote.")</f>
        <v>Se ve al patrón manejando el volante en la parte posterior del bote.</v>
      </c>
    </row>
    <row r="8557">
      <c r="A8557" s="4" t="s">
        <v>10766</v>
      </c>
      <c r="B8557" s="4" t="s">
        <v>10769</v>
      </c>
      <c r="C8557" s="5" t="str">
        <f>IFERROR(__xludf.DUMMYFUNCTION("GOOGLETRANSLATE(B8557,""en"",""es-ES"")"),"El mástil del barco se ve a la vista.")</f>
        <v>El mástil del barco se ve a la vista.</v>
      </c>
    </row>
    <row r="8558">
      <c r="A8558" s="4" t="s">
        <v>10770</v>
      </c>
      <c r="B8558" s="4" t="s">
        <v>10771</v>
      </c>
      <c r="C8558" s="5" t="str">
        <f>IFERROR(__xludf.DUMMYFUNCTION("GOOGLETRANSLATE(B8558,""en"",""es-ES"")"),"El niño está abriendo la caja.")</f>
        <v>El niño está abriendo la caja.</v>
      </c>
    </row>
    <row r="8559">
      <c r="A8559" s="4" t="s">
        <v>10770</v>
      </c>
      <c r="B8559" s="4" t="s">
        <v>10772</v>
      </c>
      <c r="C8559" s="5" t="str">
        <f>IFERROR(__xludf.DUMMYFUNCTION("GOOGLETRANSLATE(B8559,""en"",""es-ES"")"),"Luego quita la bicicleta.")</f>
        <v>Luego quita la bicicleta.</v>
      </c>
    </row>
    <row r="8560">
      <c r="A8560" s="4" t="s">
        <v>10770</v>
      </c>
      <c r="B8560" s="4" t="s">
        <v>10773</v>
      </c>
      <c r="C8560" s="5" t="str">
        <f>IFERROR(__xludf.DUMMYFUNCTION("GOOGLETRANSLATE(B8560,""en"",""es-ES"")"),"Él está quitando el empaque.")</f>
        <v>Él está quitando el empaque.</v>
      </c>
    </row>
    <row r="8561">
      <c r="A8561" s="4" t="s">
        <v>10770</v>
      </c>
      <c r="B8561" s="4" t="s">
        <v>10774</v>
      </c>
      <c r="C8561" s="5" t="str">
        <f>IFERROR(__xludf.DUMMYFUNCTION("GOOGLETRANSLATE(B8561,""en"",""es-ES"")"),"Está reuniendo la bicicleta.")</f>
        <v>Está reuniendo la bicicleta.</v>
      </c>
    </row>
    <row r="8562">
      <c r="A8562" s="4" t="s">
        <v>10770</v>
      </c>
      <c r="B8562" s="4" t="s">
        <v>10775</v>
      </c>
      <c r="C8562" s="5" t="str">
        <f>IFERROR(__xludf.DUMMYFUNCTION("GOOGLETRANSLATE(B8562,""en"",""es-ES"")"),"Vemos imágenes de la bicicleta.")</f>
        <v>Vemos imágenes de la bicicleta.</v>
      </c>
    </row>
    <row r="8563">
      <c r="A8563" s="4" t="s">
        <v>10770</v>
      </c>
      <c r="B8563" s="4" t="s">
        <v>10776</v>
      </c>
      <c r="C8563" s="5" t="str">
        <f>IFERROR(__xludf.DUMMYFUNCTION("GOOGLETRANSLATE(B8563,""en"",""es-ES"")"),"Aparece la página de suscripción.")</f>
        <v>Aparece la página de suscripción.</v>
      </c>
    </row>
    <row r="8564">
      <c r="A8564" s="4" t="s">
        <v>10777</v>
      </c>
      <c r="B8564" s="4" t="s">
        <v>10778</v>
      </c>
      <c r="C8564" s="5" t="str">
        <f>IFERROR(__xludf.DUMMYFUNCTION("GOOGLETRANSLATE(B8564,""en"",""es-ES"")"),"Un levantador de pesas femenino se está preparando para levantar una barra.")</f>
        <v>Un levantador de pesas femenino se está preparando para levantar una barra.</v>
      </c>
    </row>
    <row r="8565">
      <c r="A8565" s="4" t="s">
        <v>10777</v>
      </c>
      <c r="B8565" s="4" t="s">
        <v>10779</v>
      </c>
      <c r="C8565" s="5" t="str">
        <f>IFERROR(__xludf.DUMMYFUNCTION("GOOGLETRANSLATE(B8565,""en"",""es-ES"")"),"Ella se levanta con las rodillas, levantando la barra hacia el pecho.")</f>
        <v>Ella se levanta con las rodillas, levantando la barra hacia el pecho.</v>
      </c>
    </row>
    <row r="8566">
      <c r="A8566" s="4" t="s">
        <v>10777</v>
      </c>
      <c r="B8566" s="4" t="s">
        <v>10780</v>
      </c>
      <c r="C8566" s="5" t="str">
        <f>IFERROR(__xludf.DUMMYFUNCTION("GOOGLETRANSLATE(B8566,""en"",""es-ES"")"),"Luego se para, levantándolo sobre su cabeza antes de dejar caer la barra al suelo.")</f>
        <v>Luego se para, levantándolo sobre su cabeza antes de dejar caer la barra al suelo.</v>
      </c>
    </row>
    <row r="8567">
      <c r="A8567" s="4" t="s">
        <v>10781</v>
      </c>
      <c r="B8567" s="4" t="s">
        <v>10782</v>
      </c>
      <c r="C8567" s="5" t="str">
        <f>IFERROR(__xludf.DUMMYFUNCTION("GOOGLETRANSLATE(B8567,""en"",""es-ES"")"),"El hombre está parado sobre el agua antes de bucear.")</f>
        <v>El hombre está parado sobre el agua antes de bucear.</v>
      </c>
    </row>
    <row r="8568">
      <c r="A8568" s="4" t="s">
        <v>10781</v>
      </c>
      <c r="B8568" s="4" t="s">
        <v>10783</v>
      </c>
      <c r="C8568" s="5" t="str">
        <f>IFERROR(__xludf.DUMMYFUNCTION("GOOGLETRANSLATE(B8568,""en"",""es-ES"")"),"Está bajo el agua junto con algunas otras personas donde hay conchas y rocas en la arena.")</f>
        <v>Está bajo el agua junto con algunas otras personas donde hay conchas y rocas en la arena.</v>
      </c>
    </row>
    <row r="8569">
      <c r="A8569" s="4" t="s">
        <v>10781</v>
      </c>
      <c r="B8569" s="4" t="s">
        <v>10784</v>
      </c>
      <c r="C8569" s="5" t="str">
        <f>IFERROR(__xludf.DUMMYFUNCTION("GOOGLETRANSLATE(B8569,""en"",""es-ES"")"),"También hay troncos de madera y langostas pequeñas que se arrastran.")</f>
        <v>También hay troncos de madera y langostas pequeñas que se arrastran.</v>
      </c>
    </row>
    <row r="8570">
      <c r="A8570" s="4" t="s">
        <v>10785</v>
      </c>
      <c r="B8570" s="4" t="s">
        <v>10786</v>
      </c>
      <c r="C8570" s="5" t="str">
        <f>IFERROR(__xludf.DUMMYFUNCTION("GOOGLETRANSLATE(B8570,""en"",""es-ES"")"),"Un grupo está jugando hockey sobre hielo por diversión en una pista interior mientras un hombre habla con la cámara.")</f>
        <v>Un grupo está jugando hockey sobre hielo por diversión en una pista interior mientras un hombre habla con la cámara.</v>
      </c>
    </row>
    <row r="8571">
      <c r="A8571" s="4" t="s">
        <v>10785</v>
      </c>
      <c r="B8571" s="4" t="s">
        <v>10787</v>
      </c>
      <c r="C8571" s="5" t="str">
        <f>IFERROR(__xludf.DUMMYFUNCTION("GOOGLETRANSLATE(B8571,""en"",""es-ES"")"),"Dos mujeres barren, peleando por el disco, mientras una mujer habla con la cámara.")</f>
        <v>Dos mujeres barren, peleando por el disco, mientras una mujer habla con la cámara.</v>
      </c>
    </row>
    <row r="8572">
      <c r="A8572" s="4" t="s">
        <v>10788</v>
      </c>
      <c r="B8572" s="4" t="s">
        <v>10789</v>
      </c>
      <c r="C8572" s="5" t="str">
        <f>IFERROR(__xludf.DUMMYFUNCTION("GOOGLETRANSLATE(B8572,""en"",""es-ES"")"),"Se ve a un hombre hablando con la cámara con un micrófono y comienza a limpiar una ventana.")</f>
        <v>Se ve a un hombre hablando con la cámara con un micrófono y comienza a limpiar una ventana.</v>
      </c>
    </row>
    <row r="8573">
      <c r="A8573" s="4" t="s">
        <v>10788</v>
      </c>
      <c r="B8573" s="4" t="s">
        <v>10790</v>
      </c>
      <c r="C8573" s="5" t="str">
        <f>IFERROR(__xludf.DUMMYFUNCTION("GOOGLETRANSLATE(B8573,""en"",""es-ES"")"),"Utiliza varias herramientas y objetos para limpiar el vidrio y continúa limpiando mientras mira la cámara.")</f>
        <v>Utiliza varias herramientas y objetos para limpiar el vidrio y continúa limpiando mientras mira la cámara.</v>
      </c>
    </row>
    <row r="8574">
      <c r="A8574" s="4" t="s">
        <v>10791</v>
      </c>
      <c r="B8574" s="4" t="s">
        <v>10792</v>
      </c>
      <c r="C8574" s="5" t="str">
        <f>IFERROR(__xludf.DUMMYFUNCTION("GOOGLETRANSLATE(B8574,""en"",""es-ES"")"),"Una mujer se sienta en una silla.")</f>
        <v>Una mujer se sienta en una silla.</v>
      </c>
    </row>
    <row r="8575">
      <c r="A8575" s="4" t="s">
        <v>10791</v>
      </c>
      <c r="B8575" s="4" t="s">
        <v>10793</v>
      </c>
      <c r="C8575" s="5" t="str">
        <f>IFERROR(__xludf.DUMMYFUNCTION("GOOGLETRANSLATE(B8575,""en"",""es-ES"")"),"Otra mujer se pone algo en la nariz.")</f>
        <v>Otra mujer se pone algo en la nariz.</v>
      </c>
    </row>
    <row r="8576">
      <c r="A8576" s="4" t="s">
        <v>10791</v>
      </c>
      <c r="B8576" s="4" t="s">
        <v>10794</v>
      </c>
      <c r="C8576" s="5" t="str">
        <f>IFERROR(__xludf.DUMMYFUNCTION("GOOGLETRANSLATE(B8576,""en"",""es-ES"")"),"Luego lo perfora con una aguja.")</f>
        <v>Luego lo perfora con una aguja.</v>
      </c>
    </row>
    <row r="8577">
      <c r="A8577" s="4" t="s">
        <v>10791</v>
      </c>
      <c r="B8577" s="4" t="s">
        <v>10795</v>
      </c>
      <c r="C8577" s="5" t="str">
        <f>IFERROR(__xludf.DUMMYFUNCTION("GOOGLETRANSLATE(B8577,""en"",""es-ES"")"),"Ella le pone una joya a continuación.")</f>
        <v>Ella le pone una joya a continuación.</v>
      </c>
    </row>
    <row r="8578">
      <c r="A8578" s="4" t="s">
        <v>10796</v>
      </c>
      <c r="B8578" s="4" t="s">
        <v>10797</v>
      </c>
      <c r="C8578" s="5" t="str">
        <f>IFERROR(__xludf.DUMMYFUNCTION("GOOGLETRANSLATE(B8578,""en"",""es-ES"")"),"Se muestra a una niña hablando con la cámara, así como bailar y luego se ve tocando el violín.")</f>
        <v>Se muestra a una niña hablando con la cámara, así como bailar y luego se ve tocando el violín.</v>
      </c>
    </row>
    <row r="8579">
      <c r="A8579" s="4" t="s">
        <v>10796</v>
      </c>
      <c r="B8579" s="4" t="s">
        <v>10798</v>
      </c>
      <c r="C8579" s="5" t="str">
        <f>IFERROR(__xludf.DUMMYFUNCTION("GOOGLETRANSLATE(B8579,""en"",""es-ES"")"),"Ella toca el instrumento mientras baila al mismo tiempo y termina con ella hablando con la cámara.")</f>
        <v>Ella toca el instrumento mientras baila al mismo tiempo y termina con ella hablando con la cámara.</v>
      </c>
    </row>
    <row r="8580">
      <c r="A8580" s="4" t="s">
        <v>10799</v>
      </c>
      <c r="B8580" s="4" t="s">
        <v>10800</v>
      </c>
      <c r="C8580" s="5" t="str">
        <f>IFERROR(__xludf.DUMMYFUNCTION("GOOGLETRANSLATE(B8580,""en"",""es-ES"")"),"Múltiples hombres se cargan en un cubo de boom de la grúa.")</f>
        <v>Múltiples hombres se cargan en un cubo de boom de la grúa.</v>
      </c>
    </row>
    <row r="8581">
      <c r="A8581" s="4" t="s">
        <v>10799</v>
      </c>
      <c r="B8581" s="4" t="s">
        <v>10801</v>
      </c>
      <c r="C8581" s="5" t="str">
        <f>IFERROR(__xludf.DUMMYFUNCTION("GOOGLETRANSLATE(B8581,""en"",""es-ES"")"),"Cuando tres hombres están a bordo de forma segura, la grúa comienza a levantarlos lentamente en el aire.")</f>
        <v>Cuando tres hombres están a bordo de forma segura, la grúa comienza a levantarlos lentamente en el aire.</v>
      </c>
    </row>
    <row r="8582">
      <c r="A8582" s="4" t="s">
        <v>10799</v>
      </c>
      <c r="B8582" s="4" t="s">
        <v>10802</v>
      </c>
      <c r="C8582" s="5" t="str">
        <f>IFERROR(__xludf.DUMMYFUNCTION("GOOGLETRANSLATE(B8582,""en"",""es-ES"")"),"Una vez que llegan a la parte superior de la grúa, la vista cambia y se les puede ver mirando por encima del paisaje.")</f>
        <v>Una vez que llegan a la parte superior de la grúa, la vista cambia y se les puede ver mirando por encima del paisaje.</v>
      </c>
    </row>
    <row r="8583">
      <c r="A8583" s="4" t="s">
        <v>10799</v>
      </c>
      <c r="B8583" s="4" t="s">
        <v>10803</v>
      </c>
      <c r="C8583" s="5" t="str">
        <f>IFERROR(__xludf.DUMMYFUNCTION("GOOGLETRANSLATE(B8583,""en"",""es-ES"")"),"El hombre que se está preparando para saltar el bungee está al borde del boom mirando nerviosamente.")</f>
        <v>El hombre que se está preparando para saltar el bungee está al borde del boom mirando nerviosamente.</v>
      </c>
    </row>
    <row r="8584">
      <c r="A8584" s="4" t="s">
        <v>10799</v>
      </c>
      <c r="B8584" s="4" t="s">
        <v>10804</v>
      </c>
      <c r="C8584" s="5" t="str">
        <f>IFERROR(__xludf.DUMMYFUNCTION("GOOGLETRANSLATE(B8584,""en"",""es-ES"")"),"Uno a la vez, los hombres saltan del boom y cuelgan sobre un pequeño cuerpo de agua.")</f>
        <v>Uno a la vez, los hombres saltan del boom y cuelgan sobre un pequeño cuerpo de agua.</v>
      </c>
    </row>
    <row r="8585">
      <c r="A8585" s="4" t="s">
        <v>10799</v>
      </c>
      <c r="B8585" s="4" t="s">
        <v>10805</v>
      </c>
      <c r="C8585" s="5" t="str">
        <f>IFERROR(__xludf.DUMMYFUNCTION("GOOGLETRANSLATE(B8585,""en"",""es-ES"")"),"El certificado de logro finaliza el video.")</f>
        <v>El certificado de logro finaliza el video.</v>
      </c>
    </row>
    <row r="8586">
      <c r="A8586" s="4" t="s">
        <v>10806</v>
      </c>
      <c r="B8586" s="4" t="s">
        <v>10807</v>
      </c>
      <c r="C8586" s="5" t="str">
        <f>IFERROR(__xludf.DUMMYFUNCTION("GOOGLETRANSLATE(B8586,""en"",""es-ES"")"),"Las palabras ""El río Shotover en inundación"" aparecen en la pantalla.")</f>
        <v>Las palabras "El río Shotover en inundación" aparecen en la pantalla.</v>
      </c>
    </row>
    <row r="8587">
      <c r="A8587" s="4" t="s">
        <v>10806</v>
      </c>
      <c r="B8587" s="4" t="s">
        <v>10808</v>
      </c>
      <c r="C8587" s="5" t="str">
        <f>IFERROR(__xludf.DUMMYFUNCTION("GOOGLETRANSLATE(B8587,""en"",""es-ES"")"),"El video en primera persona muestra una balsa llena de personas que se dirigen hacia abajo y un río extremadamente áspero en betwree Rocky Cliffs.")</f>
        <v>El video en primera persona muestra una balsa llena de personas que se dirigen hacia abajo y un río extremadamente áspero en betwree Rocky Cliffs.</v>
      </c>
    </row>
    <row r="8588">
      <c r="A8588" s="4" t="s">
        <v>10806</v>
      </c>
      <c r="B8588" s="4" t="s">
        <v>10809</v>
      </c>
      <c r="C8588" s="5" t="str">
        <f>IFERROR(__xludf.DUMMYFUNCTION("GOOGLETRANSLATE(B8588,""en"",""es-ES"")"),"Las palabras ""Gran gracias a River Guide J-Rod"" aparecen en la pantalla.")</f>
        <v>Las palabras "Gran gracias a River Guide J-Rod" aparecen en la pantalla.</v>
      </c>
    </row>
    <row r="8589">
      <c r="A8589" s="4" t="s">
        <v>10810</v>
      </c>
      <c r="B8589" s="4" t="s">
        <v>10811</v>
      </c>
      <c r="C8589" s="5" t="str">
        <f>IFERROR(__xludf.DUMMYFUNCTION("GOOGLETRANSLATE(B8589,""en"",""es-ES"")"),"Una persona compite para resolver un rompecabezas de cubo detrás de un cronómetro, mientras que una mujer toma notas y observa a la persona.")</f>
        <v>Una persona compite para resolver un rompecabezas de cubo detrás de un cronómetro, mientras que una mujer toma notas y observa a la persona.</v>
      </c>
    </row>
    <row r="8590">
      <c r="A8590" s="4" t="s">
        <v>10810</v>
      </c>
      <c r="B8590" s="4" t="s">
        <v>10812</v>
      </c>
      <c r="C8590" s="5" t="str">
        <f>IFERROR(__xludf.DUMMYFUNCTION("GOOGLETRANSLATE(B8590,""en"",""es-ES"")"),"La persona resuelve el rompecabezas, luego se para, levanta los brazos y camina.")</f>
        <v>La persona resuelve el rompecabezas, luego se para, levanta los brazos y camina.</v>
      </c>
    </row>
    <row r="8591">
      <c r="A8591" s="4" t="s">
        <v>10810</v>
      </c>
      <c r="B8591" s="4" t="s">
        <v>10813</v>
      </c>
      <c r="C8591" s="5" t="str">
        <f>IFERROR(__xludf.DUMMYFUNCTION("GOOGLETRANSLATE(B8591,""en"",""es-ES"")"),"La persona se da la mano con gente en la habitación.")</f>
        <v>La persona se da la mano con gente en la habitación.</v>
      </c>
    </row>
    <row r="8592">
      <c r="A8592" s="4" t="s">
        <v>10810</v>
      </c>
      <c r="B8592" s="4" t="s">
        <v>10814</v>
      </c>
      <c r="C8592" s="5" t="str">
        <f>IFERROR(__xludf.DUMMYFUNCTION("GOOGLETRANSLATE(B8592,""en"",""es-ES"")"),"De repente, la persona corre haciendo golpes y pose para una foto.")</f>
        <v>De repente, la persona corre haciendo golpes y pose para una foto.</v>
      </c>
    </row>
    <row r="8593">
      <c r="A8593" s="4" t="s">
        <v>10815</v>
      </c>
      <c r="B8593" s="4" t="s">
        <v>10816</v>
      </c>
      <c r="C8593" s="5" t="str">
        <f>IFERROR(__xludf.DUMMYFUNCTION("GOOGLETRANSLATE(B8593,""en"",""es-ES"")"),"Un niño con una olla de jardinería está regando su arbusto afuera en el patio.")</f>
        <v>Un niño con una olla de jardinería está regando su arbusto afuera en el patio.</v>
      </c>
    </row>
    <row r="8594">
      <c r="A8594" s="4" t="s">
        <v>10815</v>
      </c>
      <c r="B8594" s="4" t="s">
        <v>10817</v>
      </c>
      <c r="C8594" s="5" t="str">
        <f>IFERROR(__xludf.DUMMYFUNCTION("GOOGLETRANSLATE(B8594,""en"",""es-ES"")"),"Él y otro niño se reúnen y el otro niño comienza a comenzar a jugar Croquet mientras habla.")</f>
        <v>Él y otro niño se reúnen y el otro niño comienza a comenzar a jugar Croquet mientras habla.</v>
      </c>
    </row>
    <row r="8595">
      <c r="A8595" s="4" t="s">
        <v>10815</v>
      </c>
      <c r="B8595" s="4" t="s">
        <v>10818</v>
      </c>
      <c r="C8595" s="5" t="str">
        <f>IFERROR(__xludf.DUMMYFUNCTION("GOOGLETRANSLATE(B8595,""en"",""es-ES"")"),"Otro niño más alto viene y se une a ellos y habla sobre el juego.")</f>
        <v>Otro niño más alto viene y se une a ellos y habla sobre el juego.</v>
      </c>
    </row>
    <row r="8596">
      <c r="A8596" s="4" t="s">
        <v>10815</v>
      </c>
      <c r="B8596" s="4" t="s">
        <v>10819</v>
      </c>
      <c r="C8596" s="5" t="str">
        <f>IFERROR(__xludf.DUMMYFUNCTION("GOOGLETRANSLATE(B8596,""en"",""es-ES"")"),"Luego, comienzan a golpear a las pelotas para atravesar los obstáculos.")</f>
        <v>Luego, comienzan a golpear a las pelotas para atravesar los obstáculos.</v>
      </c>
    </row>
    <row r="8597">
      <c r="A8597" s="4" t="s">
        <v>10820</v>
      </c>
      <c r="B8597" s="4" t="s">
        <v>10821</v>
      </c>
      <c r="C8597" s="5" t="str">
        <f>IFERROR(__xludf.DUMMYFUNCTION("GOOGLETRANSLATE(B8597,""en"",""es-ES"")"),"Tres personas saltan la cuerda y están haciendo trucos.")</f>
        <v>Tres personas saltan la cuerda y están haciendo trucos.</v>
      </c>
    </row>
    <row r="8598">
      <c r="A8598" s="4" t="s">
        <v>10820</v>
      </c>
      <c r="B8598" s="4" t="s">
        <v>10822</v>
      </c>
      <c r="C8598" s="5" t="str">
        <f>IFERROR(__xludf.DUMMYFUNCTION("GOOGLETRANSLATE(B8598,""en"",""es-ES"")"),"Otras personas se sientan y se paran en las mesas en el fondo y miran o filman los Jump Ropers.")</f>
        <v>Otras personas se sientan y se paran en las mesas en el fondo y miran o filman los Jump Ropers.</v>
      </c>
    </row>
    <row r="8599">
      <c r="A8599" s="4" t="s">
        <v>10820</v>
      </c>
      <c r="B8599" s="4" t="s">
        <v>10823</v>
      </c>
      <c r="C8599" s="5" t="str">
        <f>IFERROR(__xludf.DUMMYFUNCTION("GOOGLETRANSLATE(B8599,""en"",""es-ES"")"),"Cuatro personas diferentes ahora están saltando la cuerda y haciendo trucos.")</f>
        <v>Cuatro personas diferentes ahora están saltando la cuerda y haciendo trucos.</v>
      </c>
    </row>
    <row r="8600">
      <c r="A8600" s="4" t="s">
        <v>10820</v>
      </c>
      <c r="B8600" s="4" t="s">
        <v>10824</v>
      </c>
      <c r="C8600" s="5" t="str">
        <f>IFERROR(__xludf.DUMMYFUNCTION("GOOGLETRANSLATE(B8600,""en"",""es-ES"")"),"Otro grupo de tres personas muestra sus habilidades de cuerda de salto.")</f>
        <v>Otro grupo de tres personas muestra sus habilidades de cuerda de salto.</v>
      </c>
    </row>
    <row r="8601">
      <c r="A8601" s="4" t="s">
        <v>10820</v>
      </c>
      <c r="B8601" s="4" t="s">
        <v>10825</v>
      </c>
      <c r="C8601" s="5" t="str">
        <f>IFERROR(__xludf.DUMMYFUNCTION("GOOGLETRANSLATE(B8601,""en"",""es-ES"")"),"Otro grupo de tres en pantalones cortos rojos salta a la cuerda.")</f>
        <v>Otro grupo de tres en pantalones cortos rojos salta a la cuerda.</v>
      </c>
    </row>
    <row r="8602">
      <c r="A8602" s="4" t="s">
        <v>10820</v>
      </c>
      <c r="B8602" s="4" t="s">
        <v>10826</v>
      </c>
      <c r="C8602" s="5" t="str">
        <f>IFERROR(__xludf.DUMMYFUNCTION("GOOGLETRANSLATE(B8602,""en"",""es-ES"")"),"La gente en el fondo camina.")</f>
        <v>La gente en el fondo camina.</v>
      </c>
    </row>
    <row r="8603">
      <c r="A8603" s="4" t="s">
        <v>10820</v>
      </c>
      <c r="B8603" s="4" t="s">
        <v>10827</v>
      </c>
      <c r="C8603" s="5" t="str">
        <f>IFERROR(__xludf.DUMMYFUNCTION("GOOGLETRANSLATE(B8603,""en"",""es-ES"")"),"Un grupo de cuatro chicas salta de cuerda.")</f>
        <v>Un grupo de cuatro chicas salta de cuerda.</v>
      </c>
    </row>
    <row r="8604">
      <c r="A8604" s="4" t="s">
        <v>10820</v>
      </c>
      <c r="B8604" s="4" t="s">
        <v>10828</v>
      </c>
      <c r="C8604" s="5" t="str">
        <f>IFERROR(__xludf.DUMMYFUNCTION("GOOGLETRANSLATE(B8604,""en"",""es-ES"")"),"El primer grupo de personas salta con una cuarta persona.")</f>
        <v>El primer grupo de personas salta con una cuarta persona.</v>
      </c>
    </row>
    <row r="8605">
      <c r="A8605" s="4" t="s">
        <v>10820</v>
      </c>
      <c r="B8605" s="4" t="s">
        <v>10829</v>
      </c>
      <c r="C8605" s="5" t="str">
        <f>IFERROR(__xludf.DUMMYFUNCTION("GOOGLETRANSLATE(B8605,""en"",""es-ES"")"),"Un grupo diferente de cuatro en cuerda de salto rojo y negro.")</f>
        <v>Un grupo diferente de cuatro en cuerda de salto rojo y negro.</v>
      </c>
    </row>
    <row r="8606">
      <c r="A8606" s="4" t="s">
        <v>10820</v>
      </c>
      <c r="B8606" s="4" t="s">
        <v>10830</v>
      </c>
      <c r="C8606" s="5" t="str">
        <f>IFERROR(__xludf.DUMMYFUNCTION("GOOGLETRANSLATE(B8606,""en"",""es-ES"")"),"Un equipo diferente de Jump Ropers observa en el fondo.")</f>
        <v>Un equipo diferente de Jump Ropers observa en el fondo.</v>
      </c>
    </row>
    <row r="8607">
      <c r="A8607" s="4" t="s">
        <v>10820</v>
      </c>
      <c r="B8607" s="4" t="s">
        <v>10831</v>
      </c>
      <c r="C8607" s="5" t="str">
        <f>IFERROR(__xludf.DUMMYFUNCTION("GOOGLETRANSLATE(B8607,""en"",""es-ES"")"),"Un equipo de cuatro en cuerda de salto negro y amarillo.")</f>
        <v>Un equipo de cuatro en cuerda de salto negro y amarillo.</v>
      </c>
    </row>
    <row r="8608">
      <c r="A8608" s="4" t="s">
        <v>10832</v>
      </c>
      <c r="B8608" s="4" t="s">
        <v>10833</v>
      </c>
      <c r="C8608" s="5" t="str">
        <f>IFERROR(__xludf.DUMMYFUNCTION("GOOGLETRANSLATE(B8608,""en"",""es-ES"")"),"Un vaquero en un caballo corrió hacia el campo y persigue un ganado.")</f>
        <v>Un vaquero en un caballo corrió hacia el campo y persigue un ganado.</v>
      </c>
    </row>
    <row r="8609">
      <c r="A8609" s="4" t="s">
        <v>10832</v>
      </c>
      <c r="B8609" s="4" t="s">
        <v>10834</v>
      </c>
      <c r="C8609" s="5" t="str">
        <f>IFERROR(__xludf.DUMMYFUNCTION("GOOGLETRANSLATE(B8609,""en"",""es-ES"")"),"El vaquero se bajó del caballo y persiguió al ganado, cuando atrapó el ganado que ataba el ganado.")</f>
        <v>El vaquero se bajó del caballo y persiguió al ganado, cuando atrapó el ganado que ataba el ganado.</v>
      </c>
    </row>
    <row r="8610">
      <c r="A8610" s="4" t="s">
        <v>10835</v>
      </c>
      <c r="B8610" s="4" t="s">
        <v>10836</v>
      </c>
      <c r="C8610" s="5" t="str">
        <f>IFERROR(__xludf.DUMMYFUNCTION("GOOGLETRANSLATE(B8610,""en"",""es-ES"")"),"Un hombre está parado frente a un carril con las piernas separadas, y luego otro hombre va a rodar una pelota de bolos entre las piernas y lo hace, pero accidentalmente golpea su puño en las partes privadas del hombre y ambos comienzan a reír .")</f>
        <v>Un hombre está parado frente a un carril con las piernas separadas, y luego otro hombre va a rodar una pelota de bolos entre las piernas y lo hace, pero accidentalmente golpea su puño en las partes privadas del hombre y ambos comienzan a reír .</v>
      </c>
    </row>
    <row r="8611">
      <c r="A8611" s="4" t="s">
        <v>10835</v>
      </c>
      <c r="B8611" s="4" t="s">
        <v>10837</v>
      </c>
      <c r="C8611" s="5" t="str">
        <f>IFERROR(__xludf.DUMMYFUNCTION("GOOGLETRANSLATE(B8611,""en"",""es-ES"")"),"Aparece una pantalla azul y aparece texto en la pantalla y Say's ""Bowling Fails Failcorporation"".")</f>
        <v>Aparece una pantalla azul y aparece texto en la pantalla y Say's "Bowling Fails Failcorporation".</v>
      </c>
    </row>
    <row r="8612">
      <c r="A8612" s="4" t="s">
        <v>10835</v>
      </c>
      <c r="B8612" s="4" t="s">
        <v>10838</v>
      </c>
      <c r="C8612" s="5" t="str">
        <f>IFERROR(__xludf.DUMMYFUNCTION("GOOGLETRANSLATE(B8612,""en"",""es-ES"")"),"Varios clips de varias personas diferentes cayeron mientras intentan rodar la pelota, riendo e incluso arrojando accidentalmente la pelota a los juegos de techo.")</f>
        <v>Varios clips de varias personas diferentes cayeron mientras intentan rodar la pelota, riendo e incluso arrojando accidentalmente la pelota a los juegos de techo.</v>
      </c>
    </row>
    <row r="8613">
      <c r="A8613" s="4" t="s">
        <v>10835</v>
      </c>
      <c r="B8613" s="4" t="s">
        <v>10839</v>
      </c>
      <c r="C8613" s="5" t="str">
        <f>IFERROR(__xludf.DUMMYFUNCTION("GOOGLETRANSLATE(B8613,""en"",""es-ES"")"),"Aparece una pantalla azul con logotipos y texto que dice que aparece ""FailCorporation suscribe el siguiente video"".")</f>
        <v>Aparece una pantalla azul con logotipos y texto que dice que aparece "FailCorporation suscribe el siguiente video".</v>
      </c>
    </row>
    <row r="8614">
      <c r="A8614" s="4" t="s">
        <v>10840</v>
      </c>
      <c r="B8614" s="4" t="s">
        <v>10841</v>
      </c>
      <c r="C8614" s="5" t="str">
        <f>IFERROR(__xludf.DUMMYFUNCTION("GOOGLETRANSLATE(B8614,""en"",""es-ES"")"),"Una mujer está lavando platos con jabón y un matorral en el fregadero de su cocina.")</f>
        <v>Una mujer está lavando platos con jabón y un matorral en el fregadero de su cocina.</v>
      </c>
    </row>
    <row r="8615">
      <c r="A8615" s="4" t="s">
        <v>10840</v>
      </c>
      <c r="B8615" s="4" t="s">
        <v>10842</v>
      </c>
      <c r="C8615" s="5" t="str">
        <f>IFERROR(__xludf.DUMMYFUNCTION("GOOGLETRANSLATE(B8615,""en"",""es-ES"")"),"Toma el exfoliante que está empapado en jabón líquido y lo frota en el tazón para limpiarlo a fondo.")</f>
        <v>Toma el exfoliante que está empapado en jabón líquido y lo frota en el tazón para limpiarlo a fondo.</v>
      </c>
    </row>
    <row r="8616">
      <c r="A8616" s="4" t="s">
        <v>10840</v>
      </c>
      <c r="B8616" s="4" t="s">
        <v>10843</v>
      </c>
      <c r="C8616" s="5" t="str">
        <f>IFERROR(__xludf.DUMMYFUNCTION("GOOGLETRANSLATE(B8616,""en"",""es-ES"")"),"Ella coloca los platos y tazones uno encima del otro en el fregadero mientras los lava.")</f>
        <v>Ella coloca los platos y tazones uno encima del otro en el fregadero mientras los lava.</v>
      </c>
    </row>
    <row r="8617">
      <c r="A8617" s="4" t="s">
        <v>10844</v>
      </c>
      <c r="B8617" s="4" t="s">
        <v>10845</v>
      </c>
      <c r="C8617" s="5" t="str">
        <f>IFERROR(__xludf.DUMMYFUNCTION("GOOGLETRANSLATE(B8617,""en"",""es-ES"")"),"Un hombre monta un cuatro ruedas en un campo.")</f>
        <v>Un hombre monta un cuatro ruedas en un campo.</v>
      </c>
    </row>
    <row r="8618">
      <c r="A8618" s="4" t="s">
        <v>10844</v>
      </c>
      <c r="B8618" s="4" t="s">
        <v>10846</v>
      </c>
      <c r="C8618" s="5" t="str">
        <f>IFERROR(__xludf.DUMMYFUNCTION("GOOGLETRANSLATE(B8618,""en"",""es-ES"")"),"El hombre se levanta en las cuatro ruedas y golpea sus luces de descanso para inspeccionar un objetivo.")</f>
        <v>El hombre se levanta en las cuatro ruedas y golpea sus luces de descanso para inspeccionar un objetivo.</v>
      </c>
    </row>
    <row r="8619">
      <c r="A8619" s="4" t="s">
        <v>10844</v>
      </c>
      <c r="B8619" s="4" t="s">
        <v>10847</v>
      </c>
      <c r="C8619" s="5" t="str">
        <f>IFERROR(__xludf.DUMMYFUNCTION("GOOGLETRANSLATE(B8619,""en"",""es-ES"")"),"Un hombre que sostiene un arco y una flecha está hablando y demostrando características en el arco que está sosteniendo.")</f>
        <v>Un hombre que sostiene un arco y una flecha está hablando y demostrando características en el arco que está sosteniendo.</v>
      </c>
    </row>
    <row r="8620">
      <c r="A8620" s="4" t="s">
        <v>10844</v>
      </c>
      <c r="B8620" s="4" t="s">
        <v>10848</v>
      </c>
      <c r="C8620" s="5" t="str">
        <f>IFERROR(__xludf.DUMMYFUNCTION("GOOGLETRANSLATE(B8620,""en"",""es-ES"")"),"Un sitio web se desplaza por la pantalla mientras el hombre dispara el arco a un objetivo.")</f>
        <v>Un sitio web se desplaza por la pantalla mientras el hombre dispara el arco a un objetivo.</v>
      </c>
    </row>
    <row r="8621">
      <c r="A8621" s="4" t="s">
        <v>10844</v>
      </c>
      <c r="B8621" s="4" t="s">
        <v>10849</v>
      </c>
      <c r="C8621" s="5" t="str">
        <f>IFERROR(__xludf.DUMMYFUNCTION("GOOGLETRANSLATE(B8621,""en"",""es-ES"")"),"La cámara luego se acerca al objetivo.")</f>
        <v>La cámara luego se acerca al objetivo.</v>
      </c>
    </row>
    <row r="8622">
      <c r="A8622" s="4" t="s">
        <v>10844</v>
      </c>
      <c r="B8622" s="4" t="s">
        <v>10850</v>
      </c>
      <c r="C8622" s="5" t="str">
        <f>IFERROR(__xludf.DUMMYFUNCTION("GOOGLETRANSLATE(B8622,""en"",""es-ES"")"),"El sitio web se desplaza nuevamente por la pantalla y el hombre dispara tres flechas más.")</f>
        <v>El sitio web se desplaza nuevamente por la pantalla y el hombre dispara tres flechas más.</v>
      </c>
    </row>
    <row r="8623">
      <c r="A8623" s="4" t="s">
        <v>10844</v>
      </c>
      <c r="B8623" s="4" t="s">
        <v>10851</v>
      </c>
      <c r="C8623" s="5" t="str">
        <f>IFERROR(__xludf.DUMMYFUNCTION("GOOGLETRANSLATE(B8623,""en"",""es-ES"")"),"La pantalla cambia a Gray y el hombre muestra que la marca de arco es un Bowtech.")</f>
        <v>La pantalla cambia a Gray y el hombre muestra que la marca de arco es un Bowtech.</v>
      </c>
    </row>
    <row r="8624">
      <c r="A8624" s="4" t="s">
        <v>10852</v>
      </c>
      <c r="B8624" s="4" t="s">
        <v>10853</v>
      </c>
      <c r="C8624" s="5" t="str">
        <f>IFERROR(__xludf.DUMMYFUNCTION("GOOGLETRANSLATE(B8624,""en"",""es-ES"")"),"La mujer está en el estudio hablando en las noticias sosteniendo una pistola de paintball y disparó una pared.")</f>
        <v>La mujer está en el estudio hablando en las noticias sosteniendo una pistola de paintball y disparó una pared.</v>
      </c>
    </row>
    <row r="8625">
      <c r="A8625" s="4" t="s">
        <v>10852</v>
      </c>
      <c r="B8625" s="4" t="s">
        <v>10854</v>
      </c>
      <c r="C8625" s="5" t="str">
        <f>IFERROR(__xludf.DUMMYFUNCTION("GOOGLETRANSLATE(B8625,""en"",""es-ES"")"),"Un hombre y una mujer están en un campo haciendo tiros y jugando con las pequeñas bolas de dolor.")</f>
        <v>Un hombre y una mujer están en un campo haciendo tiros y jugando con las pequeñas bolas de dolor.</v>
      </c>
    </row>
    <row r="8626">
      <c r="A8626" s="4" t="s">
        <v>10852</v>
      </c>
      <c r="B8626" s="4" t="s">
        <v>10855</v>
      </c>
      <c r="C8626" s="5" t="str">
        <f>IFERROR(__xludf.DUMMYFUNCTION("GOOGLETRANSLATE(B8626,""en"",""es-ES"")"),"Recargan las armas y están jugando en una bola de paintball de patio verde que practica tiros y con máscaras.")</f>
        <v>Recargan las armas y están jugando en una bola de paintball de patio verde que practica tiros y con máscaras.</v>
      </c>
    </row>
    <row r="8627">
      <c r="A8627" s="4" t="s">
        <v>10856</v>
      </c>
      <c r="B8627" s="4" t="s">
        <v>10857</v>
      </c>
      <c r="C8627" s="5" t="str">
        <f>IFERROR(__xludf.DUMMYFUNCTION("GOOGLETRANSLATE(B8627,""en"",""es-ES"")"),"Una mujer realiza una rutina de baile con un aro en un escenario.")</f>
        <v>Una mujer realiza una rutina de baile con un aro en un escenario.</v>
      </c>
    </row>
    <row r="8628">
      <c r="A8628" s="4" t="s">
        <v>10856</v>
      </c>
      <c r="B8628" s="4" t="s">
        <v>10858</v>
      </c>
      <c r="C8628" s="5" t="str">
        <f>IFERROR(__xludf.DUMMYFUNCTION("GOOGLETRANSLATE(B8628,""en"",""es-ES"")"),"La mujer realiza la rutina con dos aros.")</f>
        <v>La mujer realiza la rutina con dos aros.</v>
      </c>
    </row>
    <row r="8629">
      <c r="A8629" s="4" t="s">
        <v>10856</v>
      </c>
      <c r="B8629" s="4" t="s">
        <v>10859</v>
      </c>
      <c r="C8629" s="5" t="str">
        <f>IFERROR(__xludf.DUMMYFUNCTION("GOOGLETRANSLATE(B8629,""en"",""es-ES"")"),"La mujer vuelve a actuar con un aro.")</f>
        <v>La mujer vuelve a actuar con un aro.</v>
      </c>
    </row>
    <row r="8630">
      <c r="A8630" s="4" t="s">
        <v>10860</v>
      </c>
      <c r="B8630" s="4" t="s">
        <v>10861</v>
      </c>
      <c r="C8630" s="5" t="str">
        <f>IFERROR(__xludf.DUMMYFUNCTION("GOOGLETRANSLATE(B8630,""en"",""es-ES"")"),"Aparece una pantalla negra con letras rojas y blancas que dicen ""Ejemplo de lanzamiento de disco de corrección de un problema de entrega para un principiante"".")</f>
        <v>Aparece una pantalla negra con letras rojas y blancas que dicen "Ejemplo de lanzamiento de disco de corrección de un problema de entrega para un principiante".</v>
      </c>
    </row>
    <row r="8631">
      <c r="A8631" s="4" t="s">
        <v>10860</v>
      </c>
      <c r="B8631" s="4" t="s">
        <v>10862</v>
      </c>
      <c r="C8631" s="5" t="str">
        <f>IFERROR(__xludf.DUMMYFUNCTION("GOOGLETRANSLATE(B8631,""en"",""es-ES"")"),"Una joven ahora está parada en un círculo de concreto y comienza a balancear su disco rojo, luego balancea su cuerpo y luego lo arroja.")</f>
        <v>Una joven ahora está parada en un círculo de concreto y comienza a balancear su disco rojo, luego balancea su cuerpo y luego lo arroja.</v>
      </c>
    </row>
    <row r="8632">
      <c r="A8632" s="4" t="s">
        <v>10860</v>
      </c>
      <c r="B8632" s="4" t="s">
        <v>10863</v>
      </c>
      <c r="C8632" s="5" t="str">
        <f>IFERROR(__xludf.DUMMYFUNCTION("GOOGLETRANSLATE(B8632,""en"",""es-ES"")"),"Aparece una pantalla negra con letras blancas que dicen ""De varias fallas, seleccionamos un problema"", y el video continúa mostrando el problema y las palabras aparecen en la pantalla para explicarlas.")</f>
        <v>Aparece una pantalla negra con letras blancas que dicen "De varias fallas, seleccionamos un problema", y el video continúa mostrando el problema y las palabras aparecen en la pantalla para explicarlas.</v>
      </c>
    </row>
    <row r="8633">
      <c r="A8633" s="4" t="s">
        <v>10860</v>
      </c>
      <c r="B8633" s="4" t="s">
        <v>10864</v>
      </c>
      <c r="C8633" s="5" t="str">
        <f>IFERROR(__xludf.DUMMYFUNCTION("GOOGLETRANSLATE(B8633,""en"",""es-ES"")"),"La misma joven ahora está parada en un área diferente sosteniendo una toalla de mano mientras practica sus columpios y palabras en la pantalla dan consejos.")</f>
        <v>La misma joven ahora está parada en un área diferente sosteniendo una toalla de mano mientras practica sus columpios y palabras en la pantalla dan consejos.</v>
      </c>
    </row>
    <row r="8634">
      <c r="A8634" s="4" t="s">
        <v>10860</v>
      </c>
      <c r="B8634" s="4" t="s">
        <v>10865</v>
      </c>
      <c r="C8634" s="5" t="str">
        <f>IFERROR(__xludf.DUMMYFUNCTION("GOOGLETRANSLATE(B8634,""en"",""es-ES"")"),"La niña está de vuelta en el círculo de concreto que balancea su disco y luego arroja el disco.")</f>
        <v>La niña está de vuelta en el círculo de concreto que balancea su disco y luego arroja el disco.</v>
      </c>
    </row>
    <row r="8635">
      <c r="A8635" s="4" t="s">
        <v>10860</v>
      </c>
      <c r="B8635" s="4" t="s">
        <v>10866</v>
      </c>
      <c r="C8635" s="5" t="str">
        <f>IFERROR(__xludf.DUMMYFUNCTION("GOOGLETRANSLATE(B8635,""en"",""es-ES"")"),"Una pantalla negra aparece nuevamente con palabras rojas y blancas que dicen ""otros ejercicios similares en la misma idea: concéntrese en el punto bajo de la trayectoria de implementación.")</f>
        <v>Una pantalla negra aparece nuevamente con palabras rojas y blancas que dicen "otros ejercicios similares en la misma idea: concéntrese en el punto bajo de la trayectoria de implementación.</v>
      </c>
    </row>
    <row r="8636">
      <c r="A8636" s="4" t="s">
        <v>10860</v>
      </c>
      <c r="B8636" s="4" t="s">
        <v>10867</v>
      </c>
      <c r="C8636" s="5" t="str">
        <f>IFERROR(__xludf.DUMMYFUNCTION("GOOGLETRANSLATE(B8636,""en"",""es-ES"")"),"Un niño ahora está parado en el círculo de concreto y está practicando sus columpios con una camisa.")</f>
        <v>Un niño ahora está parado en el círculo de concreto y está practicando sus columpios con una camisa.</v>
      </c>
    </row>
    <row r="8637">
      <c r="A8637" s="4" t="s">
        <v>10860</v>
      </c>
      <c r="B8637" s="4" t="s">
        <v>10868</v>
      </c>
      <c r="C8637" s="5" t="str">
        <f>IFERROR(__xludf.DUMMYFUNCTION("GOOGLETRANSLATE(B8637,""en"",""es-ES"")"),"Un hombre ahora está en el interior y está practicando sus columpios con un club de golf.")</f>
        <v>Un hombre ahora está en el interior y está practicando sus columpios con un club de golf.</v>
      </c>
    </row>
    <row r="8638">
      <c r="A8638" s="4" t="s">
        <v>10860</v>
      </c>
      <c r="B8638" s="4" t="s">
        <v>10869</v>
      </c>
      <c r="C8638" s="5" t="str">
        <f>IFERROR(__xludf.DUMMYFUNCTION("GOOGLETRANSLATE(B8638,""en"",""es-ES"")"),"La pantalla de Outro es principalmente blanca con un diseño negro y el nombre de la empresa y una persona.")</f>
        <v>La pantalla de Outro es principalmente blanca con un diseño negro y el nombre de la empresa y una persona.</v>
      </c>
    </row>
    <row r="8639">
      <c r="A8639" s="4" t="s">
        <v>10870</v>
      </c>
      <c r="B8639" s="4" t="s">
        <v>10871</v>
      </c>
      <c r="C8639" s="5" t="str">
        <f>IFERROR(__xludf.DUMMYFUNCTION("GOOGLETRANSLATE(B8639,""en"",""es-ES"")"),"Una persona comienza a resolver un cubo de Rubix.")</f>
        <v>Una persona comienza a resolver un cubo de Rubix.</v>
      </c>
    </row>
    <row r="8640">
      <c r="A8640" s="4" t="s">
        <v>10870</v>
      </c>
      <c r="B8640" s="4" t="s">
        <v>10872</v>
      </c>
      <c r="C8640" s="5" t="str">
        <f>IFERROR(__xludf.DUMMYFUNCTION("GOOGLETRANSLATE(B8640,""en"",""es-ES"")"),"Comienzan a girarlo en todas las direcciones.")</f>
        <v>Comienzan a girarlo en todas las direcciones.</v>
      </c>
    </row>
    <row r="8641">
      <c r="A8641" s="4" t="s">
        <v>10870</v>
      </c>
      <c r="B8641" s="4" t="s">
        <v>10873</v>
      </c>
      <c r="C8641" s="5" t="str">
        <f>IFERROR(__xludf.DUMMYFUNCTION("GOOGLETRANSLATE(B8641,""en"",""es-ES"")"),"Han resuelto el cubo Rubix.")</f>
        <v>Han resuelto el cubo Rubix.</v>
      </c>
    </row>
    <row r="8642">
      <c r="A8642" s="4" t="s">
        <v>10874</v>
      </c>
      <c r="B8642" s="4" t="s">
        <v>10875</v>
      </c>
      <c r="C8642" s="5" t="str">
        <f>IFERROR(__xludf.DUMMYFUNCTION("GOOGLETRANSLATE(B8642,""en"",""es-ES"")"),"Un grupo de personas juega voleibol acuático en una piscina al aire libre.")</f>
        <v>Un grupo de personas juega voleibol acuático en una piscina al aire libre.</v>
      </c>
    </row>
    <row r="8643">
      <c r="A8643" s="4" t="s">
        <v>10874</v>
      </c>
      <c r="B8643" s="4" t="s">
        <v>10876</v>
      </c>
      <c r="C8643" s="5" t="str">
        <f>IFERROR(__xludf.DUMMYFUNCTION("GOOGLETRANSLATE(B8643,""en"",""es-ES"")"),"La gente comienza a jugar de manera competitiva con el voleibol en el agua.")</f>
        <v>La gente comienza a jugar de manera competitiva con el voleibol en el agua.</v>
      </c>
    </row>
    <row r="8644">
      <c r="A8644" s="4" t="s">
        <v>10874</v>
      </c>
      <c r="B8644" s="4" t="s">
        <v>10877</v>
      </c>
      <c r="C8644" s="5" t="str">
        <f>IFERROR(__xludf.DUMMYFUNCTION("GOOGLETRANSLATE(B8644,""en"",""es-ES"")"),"La cámara cambia el ángulo y atrapa a las personas que juegan desde atrás con la red entre las personas y la cámara.")</f>
        <v>La cámara cambia el ángulo y atrapa a las personas que juegan desde atrás con la red entre las personas y la cámara.</v>
      </c>
    </row>
    <row r="8645">
      <c r="A8645" s="4" t="s">
        <v>10878</v>
      </c>
      <c r="B8645" s="4" t="s">
        <v>10879</v>
      </c>
      <c r="C8645" s="5" t="str">
        <f>IFERROR(__xludf.DUMMYFUNCTION("GOOGLETRANSLATE(B8645,""en"",""es-ES"")"),"Se ve a una persona arrodillada junto a un agujero de hielo y tambaleándose en un pez.")</f>
        <v>Se ve a una persona arrodillada junto a un agujero de hielo y tambaleándose en un pez.</v>
      </c>
    </row>
    <row r="8646">
      <c r="A8646" s="4" t="s">
        <v>10878</v>
      </c>
      <c r="B8646" s="4" t="s">
        <v>10880</v>
      </c>
      <c r="C8646" s="5" t="str">
        <f>IFERROR(__xludf.DUMMYFUNCTION("GOOGLETRANSLATE(B8646,""en"",""es-ES"")"),"La persona continúa tambaleándose en la barra mientras la cámara se acerca al agujero.")</f>
        <v>La persona continúa tambaleándose en la barra mientras la cámara se acerca al agujero.</v>
      </c>
    </row>
    <row r="8647">
      <c r="A8647" s="4" t="s">
        <v>10878</v>
      </c>
      <c r="B8647" s="4" t="s">
        <v>10881</v>
      </c>
      <c r="C8647" s="5" t="str">
        <f>IFERROR(__xludf.DUMMYFUNCTION("GOOGLETRANSLATE(B8647,""en"",""es-ES"")"),"Finalmente, la persona agarra el pez y lo presenta a la cámara.")</f>
        <v>Finalmente, la persona agarra el pez y lo presenta a la cámara.</v>
      </c>
    </row>
    <row r="8648">
      <c r="A8648" s="4" t="s">
        <v>10882</v>
      </c>
      <c r="B8648" s="4" t="s">
        <v>10883</v>
      </c>
      <c r="C8648" s="5" t="str">
        <f>IFERROR(__xludf.DUMMYFUNCTION("GOOGLETRANSLATE(B8648,""en"",""es-ES"")"),"Se ve un primer plano de una silla seguido de una mujer que camina hacia el marco.")</f>
        <v>Se ve un primer plano de una silla seguido de una mujer que camina hacia el marco.</v>
      </c>
    </row>
    <row r="8649">
      <c r="A8649" s="4" t="s">
        <v>10882</v>
      </c>
      <c r="B8649" s="4" t="s">
        <v>10884</v>
      </c>
      <c r="C8649" s="5" t="str">
        <f>IFERROR(__xludf.DUMMYFUNCTION("GOOGLETRANSLATE(B8649,""en"",""es-ES"")"),"La mujer se sienta en la silla y comienza a ponerse un par de zapatos.")</f>
        <v>La mujer se sienta en la silla y comienza a ponerse un par de zapatos.</v>
      </c>
    </row>
    <row r="8650">
      <c r="A8650" s="4" t="s">
        <v>10882</v>
      </c>
      <c r="B8650" s="4" t="s">
        <v>10885</v>
      </c>
      <c r="C8650" s="5" t="str">
        <f>IFERROR(__xludf.DUMMYFUNCTION("GOOGLETRANSLATE(B8650,""en"",""es-ES"")"),"Ella se pone a ambos y se levanta para mover los pies.")</f>
        <v>Ella se pone a ambos y se levanta para mover los pies.</v>
      </c>
    </row>
    <row r="8651">
      <c r="A8651" s="4" t="s">
        <v>10886</v>
      </c>
      <c r="B8651" s="4" t="s">
        <v>10887</v>
      </c>
      <c r="C8651" s="5" t="str">
        <f>IFERROR(__xludf.DUMMYFUNCTION("GOOGLETRANSLATE(B8651,""en"",""es-ES"")"),"Se ve a un hombre de pie antes de que se prolonga un juego de rayos hopas y comienza a saltar por el camino mientras otros lo siguen.")</f>
        <v>Se ve a un hombre de pie antes de que se prolonga un juego de rayos hopas y comienza a saltar por el camino mientras otros lo siguen.</v>
      </c>
    </row>
    <row r="8652">
      <c r="A8652" s="4" t="s">
        <v>10886</v>
      </c>
      <c r="B8652" s="4" t="s">
        <v>10888</v>
      </c>
      <c r="C8652" s="5" t="str">
        <f>IFERROR(__xludf.DUMMYFUNCTION("GOOGLETRANSLATE(B8652,""en"",""es-ES"")"),"La cámara continúa siguiendo al hombre mientras salta por el camino y captura a varios otros haciendo lo mismo.")</f>
        <v>La cámara continúa siguiendo al hombre mientras salta por el camino y captura a varios otros haciendo lo mismo.</v>
      </c>
    </row>
    <row r="8653">
      <c r="A8653" s="4" t="s">
        <v>10889</v>
      </c>
      <c r="B8653" s="4" t="s">
        <v>10890</v>
      </c>
      <c r="C8653" s="5" t="str">
        <f>IFERROR(__xludf.DUMMYFUNCTION("GOOGLETRANSLATE(B8653,""en"",""es-ES"")"),"Una persona se da vuelta en la cama y mira su teléfono.")</f>
        <v>Una persona se da vuelta en la cama y mira su teléfono.</v>
      </c>
    </row>
    <row r="8654">
      <c r="A8654" s="4" t="s">
        <v>10889</v>
      </c>
      <c r="B8654" s="4" t="s">
        <v>10891</v>
      </c>
      <c r="C8654" s="5" t="str">
        <f>IFERROR(__xludf.DUMMYFUNCTION("GOOGLETRANSLATE(B8654,""en"",""es-ES"")"),"Se sientan en su cama y se frotan la cara.")</f>
        <v>Se sientan en su cama y se frotan la cara.</v>
      </c>
    </row>
    <row r="8655">
      <c r="A8655" s="4" t="s">
        <v>10889</v>
      </c>
      <c r="B8655" s="4" t="s">
        <v>10892</v>
      </c>
      <c r="C8655" s="5" t="str">
        <f>IFERROR(__xludf.DUMMYFUNCTION("GOOGLETRANSLATE(B8655,""en"",""es-ES"")"),"Se lavan las manos y la cara.")</f>
        <v>Se lavan las manos y la cara.</v>
      </c>
    </row>
    <row r="8656">
      <c r="A8656" s="4" t="s">
        <v>10889</v>
      </c>
      <c r="B8656" s="4" t="s">
        <v>10893</v>
      </c>
      <c r="C8656" s="5" t="str">
        <f>IFERROR(__xludf.DUMMYFUNCTION("GOOGLETRANSLATE(B8656,""en"",""es-ES"")"),"Comienzan a rodar y haciendo trucos.")</f>
        <v>Comienzan a rodar y haciendo trucos.</v>
      </c>
    </row>
    <row r="8657">
      <c r="A8657" s="4" t="s">
        <v>10894</v>
      </c>
      <c r="B8657" s="4" t="s">
        <v>10895</v>
      </c>
      <c r="C8657" s="5" t="str">
        <f>IFERROR(__xludf.DUMMYFUNCTION("GOOGLETRANSLATE(B8657,""en"",""es-ES"")"),"Vemos a una gimnasta de niña en una viga de equilibrio actuando.")</f>
        <v>Vemos a una gimnasta de niña en una viga de equilibrio actuando.</v>
      </c>
    </row>
    <row r="8658">
      <c r="A8658" s="4" t="s">
        <v>10894</v>
      </c>
      <c r="B8658" s="4" t="s">
        <v>10896</v>
      </c>
      <c r="C8658" s="5" t="str">
        <f>IFERROR(__xludf.DUMMYFUNCTION("GOOGLETRANSLATE(B8658,""en"",""es-ES"")"),"La niña se prepara para hacer un volteo y cae sobre la barra y se duele a sí misma.")</f>
        <v>La niña se prepara para hacer un volteo y cae sobre la barra y se duele a sí misma.</v>
      </c>
    </row>
    <row r="8659">
      <c r="A8659" s="4" t="s">
        <v>10894</v>
      </c>
      <c r="B8659" s="4" t="s">
        <v>10897</v>
      </c>
      <c r="C8659" s="5" t="str">
        <f>IFERROR(__xludf.DUMMYFUNCTION("GOOGLETRANSLATE(B8659,""en"",""es-ES"")"),"La niña se para llorar y una señora viene a ayudarla.")</f>
        <v>La niña se para llorar y una señora viene a ayudarla.</v>
      </c>
    </row>
    <row r="8660">
      <c r="A8660" s="4" t="s">
        <v>10898</v>
      </c>
      <c r="B8660" s="4" t="s">
        <v>10899</v>
      </c>
      <c r="C8660" s="5" t="str">
        <f>IFERROR(__xludf.DUMMYFUNCTION("GOOGLETRANSLATE(B8660,""en"",""es-ES"")"),"El maquillaje se muestra en una mesa.")</f>
        <v>El maquillaje se muestra en una mesa.</v>
      </c>
    </row>
    <row r="8661">
      <c r="A8661" s="4" t="s">
        <v>10898</v>
      </c>
      <c r="B8661" s="4" t="s">
        <v>10900</v>
      </c>
      <c r="C8661" s="5" t="str">
        <f>IFERROR(__xludf.DUMMYFUNCTION("GOOGLETRANSLATE(B8661,""en"",""es-ES"")"),"Una mujer se sienta en su cama y le aplica maquillaje a la cara.")</f>
        <v>Una mujer se sienta en su cama y le aplica maquillaje a la cara.</v>
      </c>
    </row>
    <row r="8662">
      <c r="A8662" s="4" t="s">
        <v>10898</v>
      </c>
      <c r="B8662" s="4" t="s">
        <v>10901</v>
      </c>
      <c r="C8662" s="5" t="str">
        <f>IFERROR(__xludf.DUMMYFUNCTION("GOOGLETRANSLATE(B8662,""en"",""es-ES"")"),"Ella usa un cepillo grande para aplicar polvo en su cara.")</f>
        <v>Ella usa un cepillo grande para aplicar polvo en su cara.</v>
      </c>
    </row>
    <row r="8663">
      <c r="A8663" s="4" t="s">
        <v>10898</v>
      </c>
      <c r="B8663" s="4" t="s">
        <v>1972</v>
      </c>
      <c r="C8663" s="5" t="str">
        <f>IFERROR(__xludf.DUMMYFUNCTION("GOOGLETRANSLATE(B8663,""en"",""es-ES"")"),"Ella pone a máscara en sus pestañas.")</f>
        <v>Ella pone a máscara en sus pestañas.</v>
      </c>
    </row>
    <row r="8664">
      <c r="A8664" s="4" t="s">
        <v>10898</v>
      </c>
      <c r="B8664" s="4" t="s">
        <v>1971</v>
      </c>
      <c r="C8664" s="5" t="str">
        <f>IFERROR(__xludf.DUMMYFUNCTION("GOOGLETRANSLATE(B8664,""en"",""es-ES"")"),"Ella pone lápiz labial en sus labios.")</f>
        <v>Ella pone lápiz labial en sus labios.</v>
      </c>
    </row>
    <row r="8665">
      <c r="A8665" s="4" t="s">
        <v>10898</v>
      </c>
      <c r="B8665" s="4" t="s">
        <v>10902</v>
      </c>
      <c r="C8665" s="5" t="str">
        <f>IFERROR(__xludf.DUMMYFUNCTION("GOOGLETRANSLATE(B8665,""en"",""es-ES"")"),"Ella se pone una mochila y sale por la puerta.")</f>
        <v>Ella se pone una mochila y sale por la puerta.</v>
      </c>
    </row>
    <row r="8666">
      <c r="A8666" s="4" t="s">
        <v>10903</v>
      </c>
      <c r="B8666" s="4" t="s">
        <v>10904</v>
      </c>
      <c r="C8666" s="5" t="str">
        <f>IFERROR(__xludf.DUMMYFUNCTION("GOOGLETRANSLATE(B8666,""en"",""es-ES"")"),"Un hombre se acerca a una gran montaña, con amigos, y la sube mientras está unido a una cuerda verde hasta llegar a la cima.")</f>
        <v>Un hombre se acerca a una gran montaña, con amigos, y la sube mientras está unido a una cuerda verde hasta llegar a la cima.</v>
      </c>
    </row>
    <row r="8667">
      <c r="A8667" s="4" t="s">
        <v>10903</v>
      </c>
      <c r="B8667" s="4" t="s">
        <v>10905</v>
      </c>
      <c r="C8667" s="5" t="str">
        <f>IFERROR(__xludf.DUMMYFUNCTION("GOOGLETRANSLATE(B8667,""en"",""es-ES"")"),"Un grupo de jóvenes se acerca a la base de una montaña y colocó sus cosas donde sonríen y se preparan para escalar la montaña.")</f>
        <v>Un grupo de jóvenes se acerca a la base de una montaña y colocó sus cosas donde sonríen y se preparan para escalar la montaña.</v>
      </c>
    </row>
    <row r="8668">
      <c r="A8668" s="4" t="s">
        <v>10903</v>
      </c>
      <c r="B8668" s="4" t="s">
        <v>10906</v>
      </c>
      <c r="C8668" s="5" t="str">
        <f>IFERROR(__xludf.DUMMYFUNCTION("GOOGLETRANSLATE(B8668,""en"",""es-ES"")"),"Se muestra una larga cuerda verde en una gran roca después de la cual un hombre con vasos comienza a escalar una montaña con ganchos de metal en la montaña y sus pies para escalar la montaña.")</f>
        <v>Se muestra una larga cuerda verde en una gran roca después de la cual un hombre con vasos comienza a escalar una montaña con ganchos de metal en la montaña y sus pies para escalar la montaña.</v>
      </c>
    </row>
    <row r="8669">
      <c r="A8669" s="4" t="s">
        <v>10903</v>
      </c>
      <c r="B8669" s="4" t="s">
        <v>10907</v>
      </c>
      <c r="C8669" s="5" t="str">
        <f>IFERROR(__xludf.DUMMYFUNCTION("GOOGLETRANSLATE(B8669,""en"",""es-ES"")"),"El hombre sonríe y le da a la cámara un pulgar hacia arriba cuando llega a la cima de la montaña.")</f>
        <v>El hombre sonríe y le da a la cámara un pulgar hacia arriba cuando llega a la cima de la montaña.</v>
      </c>
    </row>
    <row r="8670">
      <c r="A8670" s="4" t="s">
        <v>10908</v>
      </c>
      <c r="B8670" s="4" t="s">
        <v>10909</v>
      </c>
      <c r="C8670" s="5" t="str">
        <f>IFERROR(__xludf.DUMMYFUNCTION("GOOGLETRANSLATE(B8670,""en"",""es-ES"")"),"Un hombre y una mujer salen al muelle de un bote.")</f>
        <v>Un hombre y una mujer salen al muelle de un bote.</v>
      </c>
    </row>
    <row r="8671">
      <c r="A8671" s="4" t="s">
        <v>10908</v>
      </c>
      <c r="B8671" s="4" t="s">
        <v>10910</v>
      </c>
      <c r="C8671" s="5" t="str">
        <f>IFERROR(__xludf.DUMMYFUNCTION("GOOGLETRANSLATE(B8671,""en"",""es-ES"")"),"Están jugando un juego radical.")</f>
        <v>Están jugando un juego radical.</v>
      </c>
    </row>
    <row r="8672">
      <c r="A8672" s="4" t="s">
        <v>10908</v>
      </c>
      <c r="B8672" s="4" t="s">
        <v>10911</v>
      </c>
      <c r="C8672" s="5" t="str">
        <f>IFERROR(__xludf.DUMMYFUNCTION("GOOGLETRANSLATE(B8672,""en"",""es-ES"")"),"La mujer empuja el disco, que se desliza hacia la cámara.")</f>
        <v>La mujer empuja el disco, que se desliza hacia la cámara.</v>
      </c>
    </row>
    <row r="8673">
      <c r="A8673" s="4" t="s">
        <v>10908</v>
      </c>
      <c r="B8673" s="4" t="s">
        <v>10912</v>
      </c>
      <c r="C8673" s="5" t="str">
        <f>IFERROR(__xludf.DUMMYFUNCTION("GOOGLETRANSLATE(B8673,""en"",""es-ES"")"),"La escena se repite en cámara lenta.")</f>
        <v>La escena se repite en cámara lenta.</v>
      </c>
    </row>
    <row r="8674">
      <c r="A8674" s="4" t="s">
        <v>10913</v>
      </c>
      <c r="B8674" s="4" t="s">
        <v>10914</v>
      </c>
      <c r="C8674" s="5" t="str">
        <f>IFERROR(__xludf.DUMMYFUNCTION("GOOGLETRANSLATE(B8674,""en"",""es-ES"")"),"Un hombre con una camisa blanca está parada junto a bares paralelos.")</f>
        <v>Un hombre con una camisa blanca está parada junto a bares paralelos.</v>
      </c>
    </row>
    <row r="8675">
      <c r="A8675" s="4" t="s">
        <v>10913</v>
      </c>
      <c r="B8675" s="4" t="s">
        <v>10915</v>
      </c>
      <c r="C8675" s="5" t="str">
        <f>IFERROR(__xludf.DUMMYFUNCTION("GOOGLETRANSLATE(B8675,""en"",""es-ES"")"),"Un niño salta a las barras paralelas y comienza a balancearse de un lado a otro.")</f>
        <v>Un niño salta a las barras paralelas y comienza a balancearse de un lado a otro.</v>
      </c>
    </row>
    <row r="8676">
      <c r="A8676" s="4" t="s">
        <v>10913</v>
      </c>
      <c r="B8676" s="4" t="s">
        <v>10916</v>
      </c>
      <c r="C8676" s="5" t="str">
        <f>IFERROR(__xludf.DUMMYFUNCTION("GOOGLETRANSLATE(B8676,""en"",""es-ES"")"),"El niño comienza a hacer una rutina en las barras paralelas.")</f>
        <v>El niño comienza a hacer una rutina en las barras paralelas.</v>
      </c>
    </row>
    <row r="8677">
      <c r="A8677" s="4" t="s">
        <v>10917</v>
      </c>
      <c r="B8677" s="4" t="s">
        <v>10918</v>
      </c>
      <c r="C8677" s="5" t="str">
        <f>IFERROR(__xludf.DUMMYFUNCTION("GOOGLETRANSLATE(B8677,""en"",""es-ES"")"),"Se ve a un hombre usando un trapo húmedo en una ventana y moviendo el limpiador alrededor del vidrio.")</f>
        <v>Se ve a un hombre usando un trapo húmedo en una ventana y moviendo el limpiador alrededor del vidrio.</v>
      </c>
    </row>
    <row r="8678">
      <c r="A8678" s="4" t="s">
        <v>10917</v>
      </c>
      <c r="B8678" s="4" t="s">
        <v>10919</v>
      </c>
      <c r="C8678" s="5" t="str">
        <f>IFERROR(__xludf.DUMMYFUNCTION("GOOGLETRANSLATE(B8678,""en"",""es-ES"")"),"Continuamente sumerge el objeto en limpieza y limpia todo el vidrio mientras usa un trapo cerca.")</f>
        <v>Continuamente sumerge el objeto en limpieza y limpia todo el vidrio mientras usa un trapo cerca.</v>
      </c>
    </row>
    <row r="8679">
      <c r="A8679" s="4" t="s">
        <v>10920</v>
      </c>
      <c r="B8679" s="4" t="s">
        <v>10921</v>
      </c>
      <c r="C8679" s="5" t="str">
        <f>IFERROR(__xludf.DUMMYFUNCTION("GOOGLETRANSLATE(B8679,""en"",""es-ES"")"),"Un hombre sosteniendo su charla de kayak con la cámara.")</f>
        <v>Un hombre sosteniendo su charla de kayak con la cámara.</v>
      </c>
    </row>
    <row r="8680">
      <c r="A8680" s="4" t="s">
        <v>10920</v>
      </c>
      <c r="B8680" s="4" t="s">
        <v>10922</v>
      </c>
      <c r="C8680" s="5" t="str">
        <f>IFERROR(__xludf.DUMMYFUNCTION("GOOGLETRANSLATE(B8680,""en"",""es-ES"")"),"Él está en su kayak remando aguas abajo.")</f>
        <v>Él está en su kayak remando aguas abajo.</v>
      </c>
    </row>
    <row r="8681">
      <c r="A8681" s="4" t="s">
        <v>10920</v>
      </c>
      <c r="B8681" s="4" t="s">
        <v>10923</v>
      </c>
      <c r="C8681" s="5" t="str">
        <f>IFERROR(__xludf.DUMMYFUNCTION("GOOGLETRANSLATE(B8681,""en"",""es-ES"")"),"Otro remero lo pasa y hace un volteo.")</f>
        <v>Otro remero lo pasa y hace un volteo.</v>
      </c>
    </row>
    <row r="8682">
      <c r="A8682" s="4" t="s">
        <v>10920</v>
      </c>
      <c r="B8682" s="4" t="s">
        <v>10924</v>
      </c>
      <c r="C8682" s="5" t="str">
        <f>IFERROR(__xludf.DUMMYFUNCTION("GOOGLETRANSLATE(B8682,""en"",""es-ES"")"),"Vuelve a hablar con la cámara.")</f>
        <v>Vuelve a hablar con la cámara.</v>
      </c>
    </row>
    <row r="8683">
      <c r="A8683" s="4" t="s">
        <v>10920</v>
      </c>
      <c r="B8683" s="4" t="s">
        <v>10925</v>
      </c>
      <c r="C8683" s="5" t="str">
        <f>IFERROR(__xludf.DUMMYFUNCTION("GOOGLETRANSLATE(B8683,""en"",""es-ES"")"),"Vemos el estacionamiento fuera de la cámara.")</f>
        <v>Vemos el estacionamiento fuera de la cámara.</v>
      </c>
    </row>
    <row r="8684">
      <c r="A8684" s="4" t="s">
        <v>10920</v>
      </c>
      <c r="B8684" s="4" t="s">
        <v>10926</v>
      </c>
      <c r="C8684" s="5" t="str">
        <f>IFERROR(__xludf.DUMMYFUNCTION("GOOGLETRANSLATE(B8684,""en"",""es-ES"")"),"De vuelta en el agua, pasando una cascada.")</f>
        <v>De vuelta en el agua, pasando una cascada.</v>
      </c>
    </row>
    <row r="8685">
      <c r="A8685" s="4" t="s">
        <v>10920</v>
      </c>
      <c r="B8685" s="4" t="s">
        <v>10927</v>
      </c>
      <c r="C8685" s="5" t="str">
        <f>IFERROR(__xludf.DUMMYFUNCTION("GOOGLETRANSLATE(B8685,""en"",""es-ES"")"),"Talking Head to Camera de nuevo.")</f>
        <v>Talking Head to Camera de nuevo.</v>
      </c>
    </row>
    <row r="8686">
      <c r="A8686" s="4" t="s">
        <v>10920</v>
      </c>
      <c r="B8686" s="4" t="s">
        <v>10928</v>
      </c>
      <c r="C8686" s="5" t="str">
        <f>IFERROR(__xludf.DUMMYFUNCTION("GOOGLETRANSLATE(B8686,""en"",""es-ES"")"),"Los disparos de punto de vista desde su kayak.")</f>
        <v>Los disparos de punto de vista desde su kayak.</v>
      </c>
    </row>
    <row r="8687">
      <c r="A8687" s="4" t="s">
        <v>10920</v>
      </c>
      <c r="B8687" s="4" t="s">
        <v>10929</v>
      </c>
      <c r="C8687" s="5" t="str">
        <f>IFERROR(__xludf.DUMMYFUNCTION("GOOGLETRANSLATE(B8687,""en"",""es-ES"")"),"Cabeza parlante mientras habla muy animadamente con la cámara.")</f>
        <v>Cabeza parlante mientras habla muy animadamente con la cámara.</v>
      </c>
    </row>
    <row r="8688">
      <c r="A8688" s="4" t="s">
        <v>10920</v>
      </c>
      <c r="B8688" s="4" t="s">
        <v>10930</v>
      </c>
      <c r="C8688" s="5" t="str">
        <f>IFERROR(__xludf.DUMMYFUNCTION("GOOGLETRANSLATE(B8688,""en"",""es-ES"")"),"Punto de vista desde el barco después de otro remero.")</f>
        <v>Punto de vista desde el barco después de otro remero.</v>
      </c>
    </row>
    <row r="8689">
      <c r="A8689" s="4" t="s">
        <v>10920</v>
      </c>
      <c r="B8689" s="4" t="s">
        <v>10931</v>
      </c>
      <c r="C8689" s="5" t="str">
        <f>IFERROR(__xludf.DUMMYFUNCTION("GOOGLETRANSLATE(B8689,""en"",""es-ES"")"),"La cabeza parlante intercalada con disparos del agua que ilustran las técnicas de las que habla en sus tomas de cabeza parlante.")</f>
        <v>La cabeza parlante intercalada con disparos del agua que ilustran las técnicas de las que habla en sus tomas de cabeza parlante.</v>
      </c>
    </row>
    <row r="8690">
      <c r="A8690" s="4" t="s">
        <v>10932</v>
      </c>
      <c r="B8690" s="4" t="s">
        <v>10933</v>
      </c>
      <c r="C8690" s="5" t="str">
        <f>IFERROR(__xludf.DUMMYFUNCTION("GOOGLETRANSLATE(B8690,""en"",""es-ES"")"),"Se ve a dos personas hablando entre sí y conducen a un hombre parado en el borde y saltando.")</f>
        <v>Se ve a dos personas hablando entre sí y conducen a un hombre parado en el borde y saltando.</v>
      </c>
    </row>
    <row r="8691">
      <c r="A8691" s="4" t="s">
        <v>10932</v>
      </c>
      <c r="B8691" s="4" t="s">
        <v>10934</v>
      </c>
      <c r="C8691" s="5" t="str">
        <f>IFERROR(__xludf.DUMMYFUNCTION("GOOGLETRANSLATE(B8691,""en"",""es-ES"")"),"El salto del hombre se muestra varias veces desde una cámara diferente mientras salta del costado y vuelve a subir.")</f>
        <v>El salto del hombre se muestra varias veces desde una cámara diferente mientras salta del costado y vuelve a subir.</v>
      </c>
    </row>
    <row r="8692">
      <c r="A8692" s="4" t="s">
        <v>10935</v>
      </c>
      <c r="B8692" s="4" t="s">
        <v>10936</v>
      </c>
      <c r="C8692" s="5" t="str">
        <f>IFERROR(__xludf.DUMMYFUNCTION("GOOGLETRANSLATE(B8692,""en"",""es-ES"")"),"Un grupo de personas está construyendo castillos de arena en la playa.")</f>
        <v>Un grupo de personas está construyendo castillos de arena en la playa.</v>
      </c>
    </row>
    <row r="8693">
      <c r="A8693" s="4" t="s">
        <v>10935</v>
      </c>
      <c r="B8693" s="4" t="s">
        <v>10937</v>
      </c>
      <c r="C8693" s="5" t="str">
        <f>IFERROR(__xludf.DUMMYFUNCTION("GOOGLETRANSLATE(B8693,""en"",""es-ES"")"),"Una niña saluda a la cámara.")</f>
        <v>Una niña saluda a la cámara.</v>
      </c>
    </row>
    <row r="8694">
      <c r="A8694" s="4" t="s">
        <v>10935</v>
      </c>
      <c r="B8694" s="4" t="s">
        <v>10938</v>
      </c>
      <c r="C8694" s="5" t="str">
        <f>IFERROR(__xludf.DUMMYFUNCTION("GOOGLETRANSLATE(B8694,""en"",""es-ES"")"),"Se ve a un hombre cavando en la arena.")</f>
        <v>Se ve a un hombre cavando en la arena.</v>
      </c>
    </row>
    <row r="8695">
      <c r="A8695" s="4" t="s">
        <v>10935</v>
      </c>
      <c r="B8695" s="4" t="s">
        <v>10939</v>
      </c>
      <c r="C8695" s="5" t="str">
        <f>IFERROR(__xludf.DUMMYFUNCTION("GOOGLETRANSLATE(B8695,""en"",""es-ES"")"),"Se ve a una niña mirando a través de una bolsa de playa.")</f>
        <v>Se ve a una niña mirando a través de una bolsa de playa.</v>
      </c>
    </row>
    <row r="8696">
      <c r="A8696" s="4" t="s">
        <v>10935</v>
      </c>
      <c r="B8696" s="4" t="s">
        <v>10940</v>
      </c>
      <c r="C8696" s="5" t="str">
        <f>IFERROR(__xludf.DUMMYFUNCTION("GOOGLETRANSLATE(B8696,""en"",""es-ES"")"),"La niña encuentra lo que está buscando.")</f>
        <v>La niña encuentra lo que está buscando.</v>
      </c>
    </row>
    <row r="8697">
      <c r="A8697" s="4" t="s">
        <v>10941</v>
      </c>
      <c r="B8697" s="4" t="s">
        <v>10942</v>
      </c>
      <c r="C8697" s="5" t="str">
        <f>IFERROR(__xludf.DUMMYFUNCTION("GOOGLETRANSLATE(B8697,""en"",""es-ES"")"),"Vemos dos imágenes de techo una al lado de la otra.")</f>
        <v>Vemos dos imágenes de techo una al lado de la otra.</v>
      </c>
    </row>
    <row r="8698">
      <c r="A8698" s="4" t="s">
        <v>10941</v>
      </c>
      <c r="B8698" s="4" t="s">
        <v>10943</v>
      </c>
      <c r="C8698" s="5" t="str">
        <f>IFERROR(__xludf.DUMMYFUNCTION("GOOGLETRANSLATE(B8698,""en"",""es-ES"")"),"Luego vemos imágenes de un techo.")</f>
        <v>Luego vemos imágenes de un techo.</v>
      </c>
    </row>
    <row r="8699">
      <c r="A8699" s="4" t="s">
        <v>10941</v>
      </c>
      <c r="B8699" s="4" t="s">
        <v>10944</v>
      </c>
      <c r="C8699" s="5" t="str">
        <f>IFERROR(__xludf.DUMMYFUNCTION("GOOGLETRANSLATE(B8699,""en"",""es-ES"")"),"Vemos el techo de cerca y vemos al musgo creciendo en él.")</f>
        <v>Vemos el techo de cerca y vemos al musgo creciendo en él.</v>
      </c>
    </row>
    <row r="8700">
      <c r="A8700" s="4" t="s">
        <v>10941</v>
      </c>
      <c r="B8700" s="4" t="s">
        <v>10945</v>
      </c>
      <c r="C8700" s="5" t="str">
        <f>IFERROR(__xludf.DUMMYFUNCTION("GOOGLETRANSLATE(B8700,""en"",""es-ES"")"),"Vemos el aislamiento y el techo a medida que se está instalando.")</f>
        <v>Vemos el aislamiento y el techo a medida que se está instalando.</v>
      </c>
    </row>
    <row r="8701">
      <c r="A8701" s="4" t="s">
        <v>10941</v>
      </c>
      <c r="B8701" s="4" t="s">
        <v>10946</v>
      </c>
      <c r="C8701" s="5" t="str">
        <f>IFERROR(__xludf.DUMMYFUNCTION("GOOGLETRANSLATE(B8701,""en"",""es-ES"")"),"Un hombre está atornillando el techo en su lugar.")</f>
        <v>Un hombre está atornillando el techo en su lugar.</v>
      </c>
    </row>
    <row r="8702">
      <c r="A8702" s="4" t="s">
        <v>10941</v>
      </c>
      <c r="B8702" s="4" t="s">
        <v>10947</v>
      </c>
      <c r="C8702" s="5" t="str">
        <f>IFERROR(__xludf.DUMMYFUNCTION("GOOGLETRANSLATE(B8702,""en"",""es-ES"")"),"Vemos el nuevo techo terminado.")</f>
        <v>Vemos el nuevo techo terminado.</v>
      </c>
    </row>
    <row r="8703">
      <c r="A8703" s="4" t="s">
        <v>10941</v>
      </c>
      <c r="B8703" s="4" t="s">
        <v>10948</v>
      </c>
      <c r="C8703" s="5" t="str">
        <f>IFERROR(__xludf.DUMMYFUNCTION("GOOGLETRANSLATE(B8703,""en"",""es-ES"")"),"Vemos los créditos de pantalla final.")</f>
        <v>Vemos los créditos de pantalla final.</v>
      </c>
    </row>
    <row r="8704">
      <c r="A8704" s="4" t="s">
        <v>10949</v>
      </c>
      <c r="B8704" s="4" t="s">
        <v>10950</v>
      </c>
      <c r="C8704" s="5" t="str">
        <f>IFERROR(__xludf.DUMMYFUNCTION("GOOGLETRANSLATE(B8704,""en"",""es-ES"")"),"Una persona se para en sus manos en un trampolín sobre una piscina, luego el niño voltea el aire y se sumerge en el agua.")</f>
        <v>Una persona se para en sus manos en un trampolín sobre una piscina, luego el niño voltea el aire y se sumerge en el agua.</v>
      </c>
    </row>
    <row r="8705">
      <c r="A8705" s="4" t="s">
        <v>10949</v>
      </c>
      <c r="B8705" s="4" t="s">
        <v>10951</v>
      </c>
      <c r="C8705" s="5" t="str">
        <f>IFERROR(__xludf.DUMMYFUNCTION("GOOGLETRANSLATE(B8705,""en"",""es-ES"")"),"Después, el niño se para en el trampolín con la parte posterior frente a la piscina, luego salta, voltea y bucee en el agua.")</f>
        <v>Después, el niño se para en el trampolín con la parte posterior frente a la piscina, luego salta, voltea y bucee en el agua.</v>
      </c>
    </row>
    <row r="8706">
      <c r="A8706" s="4" t="s">
        <v>10949</v>
      </c>
      <c r="B8706" s="4" t="s">
        <v>10952</v>
      </c>
      <c r="C8706" s="5" t="str">
        <f>IFERROR(__xludf.DUMMYFUNCTION("GOOGLETRANSLATE(B8706,""en"",""es-ES"")"),"Ahora, el niño se encuentra en el trampolín frente a la piscina, luego salta, voltea y buce en el agua, luego hace lo mismo, pero esta vez con la parte posterior de la piscina.")</f>
        <v>Ahora, el niño se encuentra en el trampolín frente a la piscina, luego salta, voltea y buce en el agua, luego hace lo mismo, pero esta vez con la parte posterior de la piscina.</v>
      </c>
    </row>
    <row r="8707">
      <c r="A8707" s="4" t="s">
        <v>10949</v>
      </c>
      <c r="B8707" s="4" t="s">
        <v>10953</v>
      </c>
      <c r="C8707" s="5" t="str">
        <f>IFERROR(__xludf.DUMMYFUNCTION("GOOGLETRANSLATE(B8707,""en"",""es-ES"")"),"Al final, el niño entra en el trampolín corriendo y voltea en el aire, luego se para en el trampolín y se voltea y termina con buceo en el agua.")</f>
        <v>Al final, el niño entra en el trampolín corriendo y voltea en el aire, luego se para en el trampolín y se voltea y termina con buceo en el agua.</v>
      </c>
    </row>
    <row r="8708">
      <c r="A8708" s="4" t="s">
        <v>10954</v>
      </c>
      <c r="B8708" s="4" t="s">
        <v>10955</v>
      </c>
      <c r="C8708" s="5" t="str">
        <f>IFERROR(__xludf.DUMMYFUNCTION("GOOGLETRANSLATE(B8708,""en"",""es-ES"")"),"Se ve a un hombre hablando con la cámara mientras conduce a varias fotos de hablar y fumar.")</f>
        <v>Se ve a un hombre hablando con la cámara mientras conduce a varias fotos de hablar y fumar.</v>
      </c>
    </row>
    <row r="8709">
      <c r="A8709" s="4" t="s">
        <v>10954</v>
      </c>
      <c r="B8709" s="4" t="s">
        <v>10956</v>
      </c>
      <c r="C8709" s="5" t="str">
        <f>IFERROR(__xludf.DUMMYFUNCTION("GOOGLETRANSLATE(B8709,""en"",""es-ES"")"),"El hombre continúa hablando mientras muestra imágenes intermitentemente de fumar y cigarrillos de cerca.")</f>
        <v>El hombre continúa hablando mientras muestra imágenes intermitentemente de fumar y cigarrillos de cerca.</v>
      </c>
    </row>
    <row r="8710">
      <c r="A8710" s="4" t="s">
        <v>10957</v>
      </c>
      <c r="B8710" s="4" t="s">
        <v>10958</v>
      </c>
      <c r="C8710" s="5" t="str">
        <f>IFERROR(__xludf.DUMMYFUNCTION("GOOGLETRANSLATE(B8710,""en"",""es-ES"")"),"Un hombre se encuentra junto a su auto montado en hielo.")</f>
        <v>Un hombre se encuentra junto a su auto montado en hielo.</v>
      </c>
    </row>
    <row r="8711">
      <c r="A8711" s="4" t="s">
        <v>10957</v>
      </c>
      <c r="B8711" s="4" t="s">
        <v>10959</v>
      </c>
      <c r="C8711" s="5" t="str">
        <f>IFERROR(__xludf.DUMMYFUNCTION("GOOGLETRANSLATE(B8711,""en"",""es-ES"")"),"Rasta toda la hoja en el suelo, mirándola romperse.")</f>
        <v>Rasta toda la hoja en el suelo, mirándola romperse.</v>
      </c>
    </row>
    <row r="8712">
      <c r="A8712" s="4" t="s">
        <v>10960</v>
      </c>
      <c r="B8712" s="4" t="s">
        <v>10961</v>
      </c>
      <c r="C8712" s="5" t="str">
        <f>IFERROR(__xludf.DUMMYFUNCTION("GOOGLETRANSLATE(B8712,""en"",""es-ES"")"),"Una gimnasta realiza una rutina de gimnasia de equilibrio en un evento deportivo profesional con una audiencia en las gradas.")</f>
        <v>Una gimnasta realiza una rutina de gimnasia de equilibrio en un evento deportivo profesional con una audiencia en las gradas.</v>
      </c>
    </row>
    <row r="8713">
      <c r="A8713" s="4" t="s">
        <v>10960</v>
      </c>
      <c r="B8713" s="4" t="s">
        <v>10962</v>
      </c>
      <c r="C8713" s="5" t="str">
        <f>IFERROR(__xludf.DUMMYFUNCTION("GOOGLETRANSLATE(B8713,""en"",""es-ES"")"),"Una niña se para frente a una viga de equilibrio en un atuendo de gimnasta y salta sobre la viga donde comienza a ejecutar una rutina de gimnasia en la viga de equilibrio.")</f>
        <v>Una niña se para frente a una viga de equilibrio en un atuendo de gimnasta y salta sobre la viga donde comienza a ejecutar una rutina de gimnasia en la viga de equilibrio.</v>
      </c>
    </row>
    <row r="8714">
      <c r="A8714" s="4" t="s">
        <v>10960</v>
      </c>
      <c r="B8714" s="4" t="s">
        <v>10963</v>
      </c>
      <c r="C8714" s="5" t="str">
        <f>IFERROR(__xludf.DUMMYFUNCTION("GOOGLETRANSLATE(B8714,""en"",""es-ES"")"),"La niña se para en la viga y realiza volteretas hacia atrás en la viga antes de aterrizar una parte posterior final del haz donde aterriza en una estera y sale del área frente a una audiencia en gradas.")</f>
        <v>La niña se para en la viga y realiza volteretas hacia atrás en la viga antes de aterrizar una parte posterior final del haz donde aterriza en una estera y sale del área frente a una audiencia en gradas.</v>
      </c>
    </row>
    <row r="8715">
      <c r="A8715" s="4" t="s">
        <v>10964</v>
      </c>
      <c r="B8715" s="4" t="s">
        <v>10965</v>
      </c>
      <c r="C8715" s="5" t="str">
        <f>IFERROR(__xludf.DUMMYFUNCTION("GOOGLETRANSLATE(B8715,""en"",""es-ES"")"),"Una mujer guía ante una cancha en un gimnasio de baloncesto.")</f>
        <v>Una mujer guía ante una cancha en un gimnasio de baloncesto.</v>
      </c>
    </row>
    <row r="8716">
      <c r="A8716" s="4" t="s">
        <v>10964</v>
      </c>
      <c r="B8716" s="4" t="s">
        <v>10966</v>
      </c>
      <c r="C8716" s="5" t="str">
        <f>IFERROR(__xludf.DUMMYFUNCTION("GOOGLETRANSLATE(B8716,""en"",""es-ES"")"),"Ella es una Majorette, volteando y tirando su bastón al aire.")</f>
        <v>Ella es una Majorette, volteando y tirando su bastón al aire.</v>
      </c>
    </row>
    <row r="8717">
      <c r="A8717" s="4" t="s">
        <v>10964</v>
      </c>
      <c r="B8717" s="4" t="s">
        <v>10967</v>
      </c>
      <c r="C8717" s="5" t="str">
        <f>IFERROR(__xludf.DUMMYFUNCTION("GOOGLETRANSLATE(B8717,""en"",""es-ES"")"),"La multitud observa mientras ella voltea, lanza y gira.")</f>
        <v>La multitud observa mientras ella voltea, lanza y gira.</v>
      </c>
    </row>
    <row r="8718">
      <c r="A8718" s="4" t="s">
        <v>10968</v>
      </c>
      <c r="B8718" s="4" t="s">
        <v>10969</v>
      </c>
      <c r="C8718" s="5" t="str">
        <f>IFERROR(__xludf.DUMMYFUNCTION("GOOGLETRANSLATE(B8718,""en"",""es-ES"")"),"Múltiples clips cortos se reproducen de diferentes movimientos de hockey y los nombres de los movimientos aparecen en la pantalla con él.")</f>
        <v>Múltiples clips cortos se reproducen de diferentes movimientos de hockey y los nombres de los movimientos aparecen en la pantalla con él.</v>
      </c>
    </row>
    <row r="8719">
      <c r="A8719" s="4" t="s">
        <v>10968</v>
      </c>
      <c r="B8719" s="4" t="s">
        <v>10970</v>
      </c>
      <c r="C8719" s="5" t="str">
        <f>IFERROR(__xludf.DUMMYFUNCTION("GOOGLETRANSLATE(B8719,""en"",""es-ES"")"),"Cuando los clips se realizan en la pantalla de introducción aparece con una nube y el suelo de hockey como telón de fondo, el logotipo de NHL y las palabras ""habilidades de hockey"".")</f>
        <v>Cuando los clips se realizan en la pantalla de introducción aparece con una nube y el suelo de hockey como telón de fondo, el logotipo de NHL y las palabras "habilidades de hockey".</v>
      </c>
    </row>
    <row r="8720">
      <c r="A8720" s="4" t="s">
        <v>10968</v>
      </c>
      <c r="B8720" s="4" t="s">
        <v>10971</v>
      </c>
      <c r="C8720" s="5" t="str">
        <f>IFERROR(__xludf.DUMMYFUNCTION("GOOGLETRANSLATE(B8720,""en"",""es-ES"")"),"Un grupo de personas que usan todo su equipo de hockey están de pie o arrodillados en el suelo mientras mira a un hombre que está de pie y habla sin un casco en la cabeza y las palabras en la pantalla dicen que su nombre es ""Kevin Weekes"".")</f>
        <v>Un grupo de personas que usan todo su equipo de hockey están de pie o arrodillados en el suelo mientras mira a un hombre que está de pie y habla sin un casco en la cabeza y las palabras en la pantalla dicen que su nombre es "Kevin Weekes".</v>
      </c>
    </row>
    <row r="8721">
      <c r="A8721" s="4" t="s">
        <v>10968</v>
      </c>
      <c r="B8721" s="4" t="s">
        <v>10972</v>
      </c>
      <c r="C8721" s="5" t="str">
        <f>IFERROR(__xludf.DUMMYFUNCTION("GOOGLETRANSLATE(B8721,""en"",""es-ES"")"),"El hombre comienza a demostrar múltiples movimientos diferentes cerca del objetivo y continúa hablando en todas las manifestaciones mientras el resto de la gente lo observa.")</f>
        <v>El hombre comienza a demostrar múltiples movimientos diferentes cerca del objetivo y continúa hablando en todas las manifestaciones mientras el resto de la gente lo observa.</v>
      </c>
    </row>
    <row r="8722">
      <c r="A8722" s="4" t="s">
        <v>10968</v>
      </c>
      <c r="B8722" s="4" t="s">
        <v>10973</v>
      </c>
      <c r="C8722" s="5" t="str">
        <f>IFERROR(__xludf.DUMMYFUNCTION("GOOGLETRANSLATE(B8722,""en"",""es-ES"")"),"Cuando el hombre termina de hablar y demostrar que otras personas en el grupo suben a la meta por separado y cada uno hace lo que el hombre estaba demostrando.")</f>
        <v>Cuando el hombre termina de hablar y demostrar que otras personas en el grupo suben a la meta por separado y cada uno hace lo que el hombre estaba demostrando.</v>
      </c>
    </row>
    <row r="8723">
      <c r="A8723" s="4" t="s">
        <v>10968</v>
      </c>
      <c r="B8723" s="4" t="s">
        <v>10974</v>
      </c>
      <c r="C8723" s="5" t="str">
        <f>IFERROR(__xludf.DUMMYFUNCTION("GOOGLETRANSLATE(B8723,""en"",""es-ES"")"),"Aparece una pantalla con un telón de fondo de nubes en la parte superior y una pista de hockey en la parte inferior con el logotipo en el medio y las palabras ""habilidades de hockey"".")</f>
        <v>Aparece una pantalla con un telón de fondo de nubes en la parte superior y una pista de hockey en la parte inferior con el logotipo en el medio y las palabras "habilidades de hockey".</v>
      </c>
    </row>
    <row r="8724">
      <c r="A8724" s="4" t="s">
        <v>10975</v>
      </c>
      <c r="B8724" s="4" t="s">
        <v>10976</v>
      </c>
      <c r="C8724" s="5" t="str">
        <f>IFERROR(__xludf.DUMMYFUNCTION("GOOGLETRANSLATE(B8724,""en"",""es-ES"")"),"Se ve a una mujer mostrando un vaso de miel.")</f>
        <v>Se ve a una mujer mostrando un vaso de miel.</v>
      </c>
    </row>
    <row r="8725">
      <c r="A8725" s="4" t="s">
        <v>10975</v>
      </c>
      <c r="B8725" s="4" t="s">
        <v>10977</v>
      </c>
      <c r="C8725" s="5" t="str">
        <f>IFERROR(__xludf.DUMMYFUNCTION("GOOGLETRANSLATE(B8725,""en"",""es-ES"")"),"Ella muestra la botella de miel, así como un tazón de agua y una toalla.")</f>
        <v>Ella muestra la botella de miel, así como un tazón de agua y una toalla.</v>
      </c>
    </row>
    <row r="8726">
      <c r="A8726" s="4" t="s">
        <v>10975</v>
      </c>
      <c r="B8726" s="4" t="s">
        <v>10978</v>
      </c>
      <c r="C8726" s="5" t="str">
        <f>IFERROR(__xludf.DUMMYFUNCTION("GOOGLETRANSLATE(B8726,""en"",""es-ES"")"),"Ella muestra su cabello retirado.")</f>
        <v>Ella muestra su cabello retirado.</v>
      </c>
    </row>
    <row r="8727">
      <c r="A8727" s="4" t="s">
        <v>10975</v>
      </c>
      <c r="B8727" s="4" t="s">
        <v>10979</v>
      </c>
      <c r="C8727" s="5" t="str">
        <f>IFERROR(__xludf.DUMMYFUNCTION("GOOGLETRANSLATE(B8727,""en"",""es-ES"")"),"Ella abre la botella de miel y la toca en toda la cara.")</f>
        <v>Ella abre la botella de miel y la toca en toda la cara.</v>
      </c>
    </row>
    <row r="8728">
      <c r="A8728" s="4" t="s">
        <v>10975</v>
      </c>
      <c r="B8728" s="4" t="s">
        <v>10980</v>
      </c>
      <c r="C8728" s="5" t="str">
        <f>IFERROR(__xludf.DUMMYFUNCTION("GOOGLETRANSLATE(B8728,""en"",""es-ES"")"),"Ella levanta un gato.")</f>
        <v>Ella levanta un gato.</v>
      </c>
    </row>
    <row r="8729">
      <c r="A8729" s="4" t="s">
        <v>10975</v>
      </c>
      <c r="B8729" s="4" t="s">
        <v>10981</v>
      </c>
      <c r="C8729" s="5" t="str">
        <f>IFERROR(__xludf.DUMMYFUNCTION("GOOGLETRANSLATE(B8729,""en"",""es-ES"")"),"Ella vuelve a enjabonarse la cara y espera con anticipación.")</f>
        <v>Ella vuelve a enjabonarse la cara y espera con anticipación.</v>
      </c>
    </row>
    <row r="8730">
      <c r="A8730" s="4" t="s">
        <v>10975</v>
      </c>
      <c r="B8730" s="4" t="s">
        <v>10982</v>
      </c>
      <c r="C8730" s="5" t="str">
        <f>IFERROR(__xludf.DUMMYFUNCTION("GOOGLETRANSLATE(B8730,""en"",""es-ES"")"),"Mientras espera, toca algunos instrumentos y con su gato.")</f>
        <v>Mientras espera, toca algunos instrumentos y con su gato.</v>
      </c>
    </row>
    <row r="8731">
      <c r="A8731" s="4" t="s">
        <v>10975</v>
      </c>
      <c r="B8731" s="4" t="s">
        <v>10983</v>
      </c>
      <c r="C8731" s="5" t="str">
        <f>IFERROR(__xludf.DUMMYFUNCTION("GOOGLETRANSLATE(B8731,""en"",""es-ES"")"),"Finalmente, enjuague su rostro con agua y se seca la cara con una toalla.")</f>
        <v>Finalmente, enjuague su rostro con agua y se seca la cara con una toalla.</v>
      </c>
    </row>
    <row r="8732">
      <c r="A8732" s="4" t="s">
        <v>10975</v>
      </c>
      <c r="B8732" s="4" t="s">
        <v>10984</v>
      </c>
      <c r="C8732" s="5" t="str">
        <f>IFERROR(__xludf.DUMMYFUNCTION("GOOGLETRANSLATE(B8732,""en"",""es-ES"")"),"Ella muestra con orgullo su botella de miel.")</f>
        <v>Ella muestra con orgullo su botella de miel.</v>
      </c>
    </row>
    <row r="8733">
      <c r="A8733" s="4" t="s">
        <v>10985</v>
      </c>
      <c r="B8733" s="4" t="s">
        <v>10986</v>
      </c>
      <c r="C8733" s="5" t="str">
        <f>IFERROR(__xludf.DUMMYFUNCTION("GOOGLETRANSLATE(B8733,""en"",""es-ES"")"),"Una gimnasta está de pie cerca de un bar con las manos en el aire.")</f>
        <v>Una gimnasta está de pie cerca de un bar con las manos en el aire.</v>
      </c>
    </row>
    <row r="8734">
      <c r="A8734" s="4" t="s">
        <v>10985</v>
      </c>
      <c r="B8734" s="4" t="s">
        <v>10987</v>
      </c>
      <c r="C8734" s="5" t="str">
        <f>IFERROR(__xludf.DUMMYFUNCTION("GOOGLETRANSLATE(B8734,""en"",""es-ES"")"),"La niña sube a la barra y actúa.")</f>
        <v>La niña sube a la barra y actúa.</v>
      </c>
    </row>
    <row r="8735">
      <c r="A8735" s="4" t="s">
        <v>10985</v>
      </c>
      <c r="B8735" s="4" t="s">
        <v>10988</v>
      </c>
      <c r="C8735" s="5" t="str">
        <f>IFERROR(__xludf.DUMMYFUNCTION("GOOGLETRANSLATE(B8735,""en"",""es-ES"")"),"La niña voltea en la barra.")</f>
        <v>La niña voltea en la barra.</v>
      </c>
    </row>
    <row r="8736">
      <c r="A8736" s="4" t="s">
        <v>10985</v>
      </c>
      <c r="B8736" s="4" t="s">
        <v>10989</v>
      </c>
      <c r="C8736" s="5" t="str">
        <f>IFERROR(__xludf.DUMMYFUNCTION("GOOGLETRANSLATE(B8736,""en"",""es-ES"")"),"La niña realiza 2 flips y casi se cae de la barra.")</f>
        <v>La niña realiza 2 flips y casi se cae de la barra.</v>
      </c>
    </row>
    <row r="8737">
      <c r="A8737" s="4" t="s">
        <v>10985</v>
      </c>
      <c r="B8737" s="4" t="s">
        <v>10990</v>
      </c>
      <c r="C8737" s="5" t="str">
        <f>IFERROR(__xludf.DUMMYFUNCTION("GOOGLETRANSLATE(B8737,""en"",""es-ES"")"),"La niña hace 2 volteretas perfectas.")</f>
        <v>La niña hace 2 volteretas perfectas.</v>
      </c>
    </row>
    <row r="8738">
      <c r="A8738" s="4" t="s">
        <v>10985</v>
      </c>
      <c r="B8738" s="4" t="s">
        <v>10991</v>
      </c>
      <c r="C8738" s="5" t="str">
        <f>IFERROR(__xludf.DUMMYFUNCTION("GOOGLETRANSLATE(B8738,""en"",""es-ES"")"),"Las chicas se voltean, luego corre, se voltea y desmonta.")</f>
        <v>Las chicas se voltean, luego corre, se voltea y desmonta.</v>
      </c>
    </row>
    <row r="8739">
      <c r="A8739" s="4" t="s">
        <v>10985</v>
      </c>
      <c r="B8739" s="4" t="s">
        <v>10992</v>
      </c>
      <c r="C8739" s="5" t="str">
        <f>IFERROR(__xludf.DUMMYFUNCTION("GOOGLETRANSLATE(B8739,""en"",""es-ES"")"),"La nube aplaude mientras se aleja.")</f>
        <v>La nube aplaude mientras se aleja.</v>
      </c>
    </row>
    <row r="8740">
      <c r="A8740" s="4" t="s">
        <v>10993</v>
      </c>
      <c r="B8740" s="4" t="s">
        <v>10994</v>
      </c>
      <c r="C8740" s="5" t="str">
        <f>IFERROR(__xludf.DUMMYFUNCTION("GOOGLETRANSLATE(B8740,""en"",""es-ES"")"),"Una mujer rubia está acostada sobre una mesa mientras una artista del tatuaje está poniendo un diseño en su pelvis.")</f>
        <v>Una mujer rubia está acostada sobre una mesa mientras una artista del tatuaje está poniendo un diseño en su pelvis.</v>
      </c>
    </row>
    <row r="8741">
      <c r="A8741" s="4" t="s">
        <v>10993</v>
      </c>
      <c r="B8741" s="4" t="s">
        <v>10995</v>
      </c>
      <c r="C8741" s="5" t="str">
        <f>IFERROR(__xludf.DUMMYFUNCTION("GOOGLETRANSLATE(B8741,""en"",""es-ES"")"),"Ella se encoge de dolor mientras él trabaja.")</f>
        <v>Ella se encoge de dolor mientras él trabaja.</v>
      </c>
    </row>
    <row r="8742">
      <c r="A8742" s="4" t="s">
        <v>10993</v>
      </c>
      <c r="B8742" s="4" t="s">
        <v>10996</v>
      </c>
      <c r="C8742" s="5" t="str">
        <f>IFERROR(__xludf.DUMMYFUNCTION("GOOGLETRANSLATE(B8742,""en"",""es-ES"")"),"Vemos un primer plano temporal de su abdomen agitado a medida que continúa.")</f>
        <v>Vemos un primer plano temporal de su abdomen agitado a medida que continúa.</v>
      </c>
    </row>
    <row r="8743">
      <c r="A8743" s="4" t="s">
        <v>10997</v>
      </c>
      <c r="B8743" s="4" t="s">
        <v>10998</v>
      </c>
      <c r="C8743" s="5" t="str">
        <f>IFERROR(__xludf.DUMMYFUNCTION("GOOGLETRANSLATE(B8743,""en"",""es-ES"")"),"El texto se muestra a través de la pantalla seguido de un hombre arrodillado en tierra.")</f>
        <v>El texto se muestra a través de la pantalla seguido de un hombre arrodillado en tierra.</v>
      </c>
    </row>
    <row r="8744">
      <c r="A8744" s="4" t="s">
        <v>10997</v>
      </c>
      <c r="B8744" s="4" t="s">
        <v>10999</v>
      </c>
      <c r="C8744" s="5" t="str">
        <f>IFERROR(__xludf.DUMMYFUNCTION("GOOGLETRANSLATE(B8744,""en"",""es-ES"")"),"El hombre que usa una antorcha para encender una chispa en la máquina frente a él.")</f>
        <v>El hombre que usa una antorcha para encender una chispa en la máquina frente a él.</v>
      </c>
    </row>
    <row r="8745">
      <c r="A8745" s="4" t="s">
        <v>10997</v>
      </c>
      <c r="B8745" s="4" t="s">
        <v>11000</v>
      </c>
      <c r="C8745" s="5" t="str">
        <f>IFERROR(__xludf.DUMMYFUNCTION("GOOGLETRANSLATE(B8745,""en"",""es-ES"")"),"Se detiene para mirar hacia atrás a la cámara.")</f>
        <v>Se detiene para mirar hacia atrás a la cámara.</v>
      </c>
    </row>
    <row r="8746">
      <c r="A8746" s="4" t="s">
        <v>11001</v>
      </c>
      <c r="B8746" s="4" t="s">
        <v>11002</v>
      </c>
      <c r="C8746" s="5" t="str">
        <f>IFERROR(__xludf.DUMMYFUNCTION("GOOGLETRANSLATE(B8746,""en"",""es-ES"")"),"Se muestra un tablero de dardos contra una pared.")</f>
        <v>Se muestra un tablero de dardos contra una pared.</v>
      </c>
    </row>
    <row r="8747">
      <c r="A8747" s="4" t="s">
        <v>11001</v>
      </c>
      <c r="B8747" s="4" t="s">
        <v>11003</v>
      </c>
      <c r="C8747" s="5" t="str">
        <f>IFERROR(__xludf.DUMMYFUNCTION("GOOGLETRANSLATE(B8747,""en"",""es-ES"")"),"Un hombre levanta su brazo en cámara lenta, lanzando dardos uno tras otro en el tablero.")</f>
        <v>Un hombre levanta su brazo en cámara lenta, lanzando dardos uno tras otro en el tablero.</v>
      </c>
    </row>
    <row r="8748">
      <c r="A8748" s="4" t="s">
        <v>11001</v>
      </c>
      <c r="B8748" s="4" t="s">
        <v>11004</v>
      </c>
      <c r="C8748" s="5" t="str">
        <f>IFERROR(__xludf.DUMMYFUNCTION("GOOGLETRANSLATE(B8748,""en"",""es-ES"")"),"Se acerca al tablero y lo alcanza.")</f>
        <v>Se acerca al tablero y lo alcanza.</v>
      </c>
    </row>
    <row r="8749">
      <c r="A8749" s="4" t="s">
        <v>11005</v>
      </c>
      <c r="B8749" s="4" t="s">
        <v>11006</v>
      </c>
      <c r="C8749" s="5" t="str">
        <f>IFERROR(__xludf.DUMMYFUNCTION("GOOGLETRANSLATE(B8749,""en"",""es-ES"")"),"Se muestra un auto rojo con las palabras Washing Wash.")</f>
        <v>Se muestra un auto rojo con las palabras Washing Wash.</v>
      </c>
    </row>
    <row r="8750">
      <c r="A8750" s="4" t="s">
        <v>11005</v>
      </c>
      <c r="B8750" s="4" t="s">
        <v>11007</v>
      </c>
      <c r="C8750" s="5" t="str">
        <f>IFERROR(__xludf.DUMMYFUNCTION("GOOGLETRANSLATE(B8750,""en"",""es-ES"")"),"Los hombres se muestran dentro del garaje de un automóvil, enjabonando un automóvil con una esponja.")</f>
        <v>Los hombres se muestran dentro del garaje de un automóvil, enjabonando un automóvil con una esponja.</v>
      </c>
    </row>
    <row r="8751">
      <c r="A8751" s="4" t="s">
        <v>11005</v>
      </c>
      <c r="B8751" s="4" t="s">
        <v>11008</v>
      </c>
      <c r="C8751" s="5" t="str">
        <f>IFERROR(__xludf.DUMMYFUNCTION("GOOGLETRANSLATE(B8751,""en"",""es-ES"")"),"Luego se ven usando un rociador para limpiar los neumáticos y rociar el residuo del vehículo.")</f>
        <v>Luego se ven usando un rociador para limpiar los neumáticos y rociar el residuo del vehículo.</v>
      </c>
    </row>
    <row r="8752">
      <c r="A8752" s="4" t="s">
        <v>11005</v>
      </c>
      <c r="B8752" s="4" t="s">
        <v>11009</v>
      </c>
      <c r="C8752" s="5" t="str">
        <f>IFERROR(__xludf.DUMMYFUNCTION("GOOGLETRANSLATE(B8752,""en"",""es-ES"")"),"Usan trapos para limpiarlo y detallar el interior del automóvil.")</f>
        <v>Usan trapos para limpiarlo y detallar el interior del automóvil.</v>
      </c>
    </row>
    <row r="8753">
      <c r="A8753" s="4" t="s">
        <v>11010</v>
      </c>
      <c r="B8753" s="4" t="s">
        <v>11011</v>
      </c>
      <c r="C8753" s="5" t="str">
        <f>IFERROR(__xludf.DUMMYFUNCTION("GOOGLETRANSLATE(B8753,""en"",""es-ES"")"),"El equipo de remo de Pinta trabaja juntos para llegar a Whitewater.")</f>
        <v>El equipo de remo de Pinta trabaja juntos para llegar a Whitewater.</v>
      </c>
    </row>
    <row r="8754">
      <c r="A8754" s="4" t="s">
        <v>11010</v>
      </c>
      <c r="B8754" s="4" t="s">
        <v>11012</v>
      </c>
      <c r="C8754" s="5" t="str">
        <f>IFERROR(__xludf.DUMMYFUNCTION("GOOGLETRANSLATE(B8754,""en"",""es-ES"")"),"Tienen una salsa refrescante debajo de una cascada para refrescarse.")</f>
        <v>Tienen una salsa refrescante debajo de una cascada para refrescarse.</v>
      </c>
    </row>
    <row r="8755">
      <c r="A8755" s="4" t="s">
        <v>11010</v>
      </c>
      <c r="B8755" s="4" t="s">
        <v>11013</v>
      </c>
      <c r="C8755" s="5" t="str">
        <f>IFERROR(__xludf.DUMMYFUNCTION("GOOGLETRANSLATE(B8755,""en"",""es-ES"")"),"Se plantean junto con otras vigas.")</f>
        <v>Se plantean junto con otras vigas.</v>
      </c>
    </row>
    <row r="8756">
      <c r="A8756" s="4" t="s">
        <v>11010</v>
      </c>
      <c r="B8756" s="4" t="s">
        <v>11014</v>
      </c>
      <c r="C8756" s="5" t="str">
        <f>IFERROR(__xludf.DUMMYFUNCTION("GOOGLETRANSLATE(B8756,""en"",""es-ES"")"),"Caer bajo el agua puede ser una empresa aterradora.")</f>
        <v>Caer bajo el agua puede ser una empresa aterradora.</v>
      </c>
    </row>
    <row r="8757">
      <c r="A8757" s="4" t="s">
        <v>11010</v>
      </c>
      <c r="B8757" s="4" t="s">
        <v>11015</v>
      </c>
      <c r="C8757" s="5" t="str">
        <f>IFERROR(__xludf.DUMMYFUNCTION("GOOGLETRANSLATE(B8757,""en"",""es-ES"")"),"En general, es un momento divertido y relajante.")</f>
        <v>En general, es un momento divertido y relajante.</v>
      </c>
    </row>
    <row r="8758">
      <c r="A8758" s="4" t="s">
        <v>11016</v>
      </c>
      <c r="B8758" s="4" t="s">
        <v>11017</v>
      </c>
      <c r="C8758" s="5" t="str">
        <f>IFERROR(__xludf.DUMMYFUNCTION("GOOGLETRANSLATE(B8758,""en"",""es-ES"")"),"Dos hombres caminan por la calle sosteniendo una caja, luego reunen una mesa de fútbol.")</f>
        <v>Dos hombres caminan por la calle sosteniendo una caja, luego reunen una mesa de fútbol.</v>
      </c>
    </row>
    <row r="8759">
      <c r="A8759" s="4" t="s">
        <v>11016</v>
      </c>
      <c r="B8759" s="4" t="s">
        <v>11018</v>
      </c>
      <c r="C8759" s="5" t="str">
        <f>IFERROR(__xludf.DUMMYFUNCTION("GOOGLETRANSLATE(B8759,""en"",""es-ES"")"),"La gente juega mesa de fútbol en la calle.")</f>
        <v>La gente juega mesa de fútbol en la calle.</v>
      </c>
    </row>
    <row r="8760">
      <c r="A8760" s="4" t="s">
        <v>11016</v>
      </c>
      <c r="B8760" s="4" t="s">
        <v>11019</v>
      </c>
      <c r="C8760" s="5" t="str">
        <f>IFERROR(__xludf.DUMMYFUNCTION("GOOGLETRANSLATE(B8760,""en"",""es-ES"")"),"Después, los hombres llevan la mesa y entran en un tren donde continúan jugando.")</f>
        <v>Después, los hombres llevan la mesa y entran en un tren donde continúan jugando.</v>
      </c>
    </row>
    <row r="8761">
      <c r="A8761" s="4" t="s">
        <v>11016</v>
      </c>
      <c r="B8761" s="4" t="s">
        <v>11020</v>
      </c>
      <c r="C8761" s="5" t="str">
        <f>IFERROR(__xludf.DUMMYFUNCTION("GOOGLETRANSLATE(B8761,""en"",""es-ES"")"),"Después de que el hombre lleva la mesa de fútbol a un parque y otros lugares donde la gente juega y la pinta.")</f>
        <v>Después de que el hombre lleva la mesa de fútbol a un parque y otros lugares donde la gente juega y la pinta.</v>
      </c>
    </row>
    <row r="8762">
      <c r="A8762" s="4" t="s">
        <v>11021</v>
      </c>
      <c r="B8762" s="4" t="s">
        <v>11022</v>
      </c>
      <c r="C8762" s="5" t="str">
        <f>IFERROR(__xludf.DUMMYFUNCTION("GOOGLETRANSLATE(B8762,""en"",""es-ES"")"),"Se ve a una mujer poniéndose una chaqueta seguida de sus partes de corte del chaleco y sosteniendo una plancha.")</f>
        <v>Se ve a una mujer poniéndose una chaqueta seguida de sus partes de corte del chaleco y sosteniendo una plancha.</v>
      </c>
    </row>
    <row r="8763">
      <c r="A8763" s="4" t="s">
        <v>11021</v>
      </c>
      <c r="B8763" s="4" t="s">
        <v>11023</v>
      </c>
      <c r="C8763" s="5" t="str">
        <f>IFERROR(__xludf.DUMMYFUNCTION("GOOGLETRANSLATE(B8763,""en"",""es-ES"")"),"Luego moldea las camisas y termina poniendo el chaleco.")</f>
        <v>Luego moldea las camisas y termina poniendo el chaleco.</v>
      </c>
    </row>
    <row r="8764">
      <c r="A8764" s="4" t="s">
        <v>11024</v>
      </c>
      <c r="B8764" s="4" t="s">
        <v>11025</v>
      </c>
      <c r="C8764" s="5" t="str">
        <f>IFERROR(__xludf.DUMMYFUNCTION("GOOGLETRANSLATE(B8764,""en"",""es-ES"")"),"Un hombre con un esmoquin negro está hablando con la cámara.")</f>
        <v>Un hombre con un esmoquin negro está hablando con la cámara.</v>
      </c>
    </row>
    <row r="8765">
      <c r="A8765" s="4" t="s">
        <v>11024</v>
      </c>
      <c r="B8765" s="4" t="s">
        <v>11026</v>
      </c>
      <c r="C8765" s="5" t="str">
        <f>IFERROR(__xludf.DUMMYFUNCTION("GOOGLETRANSLATE(B8765,""en"",""es-ES"")"),"Una persona camina en el fondo.")</f>
        <v>Una persona camina en el fondo.</v>
      </c>
    </row>
    <row r="8766">
      <c r="A8766" s="4" t="s">
        <v>11024</v>
      </c>
      <c r="B8766" s="4" t="s">
        <v>11027</v>
      </c>
      <c r="C8766" s="5" t="str">
        <f>IFERROR(__xludf.DUMMYFUNCTION("GOOGLETRANSLATE(B8766,""en"",""es-ES"")"),"Un grupo de personas camina en el fondo.")</f>
        <v>Un grupo de personas camina en el fondo.</v>
      </c>
    </row>
    <row r="8767">
      <c r="A8767" s="4" t="s">
        <v>11024</v>
      </c>
      <c r="B8767" s="4" t="s">
        <v>11028</v>
      </c>
      <c r="C8767" s="5" t="str">
        <f>IFERROR(__xludf.DUMMYFUNCTION("GOOGLETRANSLATE(B8767,""en"",""es-ES"")"),"Vemos un juego de póker jugando.")</f>
        <v>Vemos un juego de póker jugando.</v>
      </c>
    </row>
    <row r="8768">
      <c r="A8768" s="4" t="s">
        <v>11024</v>
      </c>
      <c r="B8768" s="4" t="s">
        <v>11029</v>
      </c>
      <c r="C8768" s="5" t="str">
        <f>IFERROR(__xludf.DUMMYFUNCTION("GOOGLETRANSLATE(B8768,""en"",""es-ES"")"),"Un hombre extraño aparece frente a la cámara.")</f>
        <v>Un hombre extraño aparece frente a la cámara.</v>
      </c>
    </row>
    <row r="8769">
      <c r="A8769" s="4" t="s">
        <v>11024</v>
      </c>
      <c r="B8769" s="4" t="s">
        <v>11030</v>
      </c>
      <c r="C8769" s="5" t="str">
        <f>IFERROR(__xludf.DUMMYFUNCTION("GOOGLETRANSLATE(B8769,""en"",""es-ES"")"),"Vemos al primer hombre, luego tarjetas que se tratan y nos desvanecemos en una pantalla negra.")</f>
        <v>Vemos al primer hombre, luego tarjetas que se tratan y nos desvanecemos en una pantalla negra.</v>
      </c>
    </row>
    <row r="8770">
      <c r="A8770" s="4" t="s">
        <v>11031</v>
      </c>
      <c r="B8770" s="4" t="s">
        <v>11032</v>
      </c>
      <c r="C8770" s="5" t="str">
        <f>IFERROR(__xludf.DUMMYFUNCTION("GOOGLETRANSLATE(B8770,""en"",""es-ES"")"),"Mucha gente está sentada en terrazas en un gran campo y la gente camina en la entrada de un gran estadio.")</f>
        <v>Mucha gente está sentada en terrazas en un gran campo y la gente camina en la entrada de un gran estadio.</v>
      </c>
    </row>
    <row r="8771">
      <c r="A8771" s="4" t="s">
        <v>11031</v>
      </c>
      <c r="B8771" s="4" t="s">
        <v>11033</v>
      </c>
      <c r="C8771" s="5" t="str">
        <f>IFERROR(__xludf.DUMMYFUNCTION("GOOGLETRANSLATE(B8771,""en"",""es-ES"")"),"Los hombres están parados en una zona arenosa caminando.")</f>
        <v>Los hombres están parados en una zona arenosa caminando.</v>
      </c>
    </row>
    <row r="8772">
      <c r="A8772" s="4" t="s">
        <v>11031</v>
      </c>
      <c r="B8772" s="4" t="s">
        <v>11034</v>
      </c>
      <c r="C8772" s="5" t="str">
        <f>IFERROR(__xludf.DUMMYFUNCTION("GOOGLETRANSLATE(B8772,""en"",""es-ES"")"),"El hombre está hablando con la cámara de pie sobre la arena.")</f>
        <v>El hombre está hablando con la cámara de pie sobre la arena.</v>
      </c>
    </row>
    <row r="8773">
      <c r="A8773" s="4" t="s">
        <v>11031</v>
      </c>
      <c r="B8773" s="4" t="s">
        <v>11035</v>
      </c>
      <c r="C8773" s="5" t="str">
        <f>IFERROR(__xludf.DUMMYFUNCTION("GOOGLETRANSLATE(B8773,""en"",""es-ES"")"),"Los hombres están parados en motos preparándose para una competencia de motocross.")</f>
        <v>Los hombres están parados en motos preparándose para una competencia de motocross.</v>
      </c>
    </row>
    <row r="8774">
      <c r="A8774" s="4" t="s">
        <v>11031</v>
      </c>
      <c r="B8774" s="4" t="s">
        <v>11036</v>
      </c>
      <c r="C8774" s="5" t="str">
        <f>IFERROR(__xludf.DUMMYFUNCTION("GOOGLETRANSLATE(B8774,""en"",""es-ES"")"),"El hombre está hablando con la cámara y de pie en un podio.")</f>
        <v>El hombre está hablando con la cámara y de pie en un podio.</v>
      </c>
    </row>
    <row r="8775">
      <c r="A8775" s="4" t="s">
        <v>11037</v>
      </c>
      <c r="B8775" s="4" t="s">
        <v>11038</v>
      </c>
      <c r="C8775" s="5" t="str">
        <f>IFERROR(__xludf.DUMMYFUNCTION("GOOGLETRANSLATE(B8775,""en"",""es-ES"")"),"Un grupo de personas están dentro de un gimnasio con poca luz.")</f>
        <v>Un grupo de personas están dentro de un gimnasio con poca luz.</v>
      </c>
    </row>
    <row r="8776">
      <c r="A8776" s="4" t="s">
        <v>11037</v>
      </c>
      <c r="B8776" s="4" t="s">
        <v>11039</v>
      </c>
      <c r="C8776" s="5" t="str">
        <f>IFERROR(__xludf.DUMMYFUNCTION("GOOGLETRANSLATE(B8776,""en"",""es-ES"")"),"Están montando bicicletas reclinadas mientras son conducidos.")</f>
        <v>Están montando bicicletas reclinadas mientras son conducidos.</v>
      </c>
    </row>
    <row r="8777">
      <c r="A8777" s="4" t="s">
        <v>11037</v>
      </c>
      <c r="B8777" s="4" t="s">
        <v>11040</v>
      </c>
      <c r="C8777" s="5" t="str">
        <f>IFERROR(__xludf.DUMMYFUNCTION("GOOGLETRANSLATE(B8777,""en"",""es-ES"")"),"Aplauden y pedalan rápidamente.")</f>
        <v>Aplauden y pedalan rápidamente.</v>
      </c>
    </row>
    <row r="8778">
      <c r="A8778" s="4" t="s">
        <v>11041</v>
      </c>
      <c r="B8778" s="4" t="s">
        <v>11042</v>
      </c>
      <c r="C8778" s="5" t="str">
        <f>IFERROR(__xludf.DUMMYFUNCTION("GOOGLETRANSLATE(B8778,""en"",""es-ES"")"),"Se ve a un niño pequeño sosteniendo un palo y golpear la piñata con el palo.")</f>
        <v>Se ve a un niño pequeño sosteniendo un palo y golpear la piñata con el palo.</v>
      </c>
    </row>
    <row r="8779">
      <c r="A8779" s="4" t="s">
        <v>11041</v>
      </c>
      <c r="B8779" s="4" t="s">
        <v>11043</v>
      </c>
      <c r="C8779" s="5" t="str">
        <f>IFERROR(__xludf.DUMMYFUNCTION("GOOGLETRANSLATE(B8779,""en"",""es-ES"")"),"Las mujeres mayores traen de vuelta a HR y le dan a su mano el palo a otro niño.")</f>
        <v>Las mujeres mayores traen de vuelta a HR y le dan a su mano el palo a otro niño.</v>
      </c>
    </row>
    <row r="8780">
      <c r="A8780" s="4" t="s">
        <v>11044</v>
      </c>
      <c r="B8780" s="4" t="s">
        <v>11045</v>
      </c>
      <c r="C8780" s="5" t="str">
        <f>IFERROR(__xludf.DUMMYFUNCTION("GOOGLETRANSLATE(B8780,""en"",""es-ES"")"),"Una mujer está de pie hablando y sosteniendo un trapeador azul.")</f>
        <v>Una mujer está de pie hablando y sosteniendo un trapeador azul.</v>
      </c>
    </row>
    <row r="8781">
      <c r="A8781" s="4" t="s">
        <v>11044</v>
      </c>
      <c r="B8781" s="4" t="s">
        <v>11046</v>
      </c>
      <c r="C8781" s="5" t="str">
        <f>IFERROR(__xludf.DUMMYFUNCTION("GOOGLETRANSLATE(B8781,""en"",""es-ES"")"),"Ella está mostrando el fondo del trapeador.")</f>
        <v>Ella está mostrando el fondo del trapeador.</v>
      </c>
    </row>
    <row r="8782">
      <c r="A8782" s="4" t="s">
        <v>11044</v>
      </c>
      <c r="B8782" s="4" t="s">
        <v>11047</v>
      </c>
      <c r="C8782" s="5" t="str">
        <f>IFERROR(__xludf.DUMMYFUNCTION("GOOGLETRANSLATE(B8782,""en"",""es-ES"")"),"Se muestra una botella de vinagre en una mesa al lado del alcohol y el jabón.")</f>
        <v>Se muestra una botella de vinagre en una mesa al lado del alcohol y el jabón.</v>
      </c>
    </row>
    <row r="8783">
      <c r="A8783" s="4" t="s">
        <v>11044</v>
      </c>
      <c r="B8783" s="4" t="s">
        <v>11048</v>
      </c>
      <c r="C8783" s="5" t="str">
        <f>IFERROR(__xludf.DUMMYFUNCTION("GOOGLETRANSLATE(B8783,""en"",""es-ES"")"),"Ella comienza a limpiar el piso de madera.")</f>
        <v>Ella comienza a limpiar el piso de madera.</v>
      </c>
    </row>
    <row r="8784">
      <c r="A8784" s="4" t="s">
        <v>11044</v>
      </c>
      <c r="B8784" s="4" t="s">
        <v>11049</v>
      </c>
      <c r="C8784" s="5" t="str">
        <f>IFERROR(__xludf.DUMMYFUNCTION("GOOGLETRANSLATE(B8784,""en"",""es-ES"")"),"Un perro está acostado en una cama.")</f>
        <v>Un perro está acostado en una cama.</v>
      </c>
    </row>
    <row r="8785">
      <c r="A8785" s="4" t="s">
        <v>11050</v>
      </c>
      <c r="B8785" s="4" t="s">
        <v>11051</v>
      </c>
      <c r="C8785" s="5" t="str">
        <f>IFERROR(__xludf.DUMMYFUNCTION("GOOGLETRANSLATE(B8785,""en"",""es-ES"")"),"Un hombre con una camisa azul recoge a un niño.")</f>
        <v>Un hombre con una camisa azul recoge a un niño.</v>
      </c>
    </row>
    <row r="8786">
      <c r="A8786" s="4" t="s">
        <v>11050</v>
      </c>
      <c r="B8786" s="4" t="s">
        <v>11052</v>
      </c>
      <c r="C8786" s="5" t="str">
        <f>IFERROR(__xludf.DUMMYFUNCTION("GOOGLETRANSLATE(B8786,""en"",""es-ES"")"),"Lo levanta para sentarse sobre su hombro.")</f>
        <v>Lo levanta para sentarse sobre su hombro.</v>
      </c>
    </row>
    <row r="8787">
      <c r="A8787" s="4" t="s">
        <v>11050</v>
      </c>
      <c r="B8787" s="4" t="s">
        <v>11053</v>
      </c>
      <c r="C8787" s="5" t="str">
        <f>IFERROR(__xludf.DUMMYFUNCTION("GOOGLETRANSLATE(B8787,""en"",""es-ES"")"),"Lanza al niño sobre su espalda a una cama.")</f>
        <v>Lanza al niño sobre su espalda a una cama.</v>
      </c>
    </row>
    <row r="8788">
      <c r="A8788" s="4" t="s">
        <v>11054</v>
      </c>
      <c r="B8788" s="4" t="s">
        <v>11055</v>
      </c>
      <c r="C8788" s="5" t="str">
        <f>IFERROR(__xludf.DUMMYFUNCTION("GOOGLETRANSLATE(B8788,""en"",""es-ES"")"),"El hombre es saltado a los dos postes blancos y pararse sobre sus brazos.")</f>
        <v>El hombre es saltado a los dos postes blancos y pararse sobre sus brazos.</v>
      </c>
    </row>
    <row r="8789">
      <c r="A8789" s="4" t="s">
        <v>11054</v>
      </c>
      <c r="B8789" s="4" t="s">
        <v>11056</v>
      </c>
      <c r="C8789" s="5" t="str">
        <f>IFERROR(__xludf.DUMMYFUNCTION("GOOGLETRANSLATE(B8789,""en"",""es-ES"")"),"El hombre con camisa roja fuera de la cancha está mirando al atleta mientras se balancea en el poste.")</f>
        <v>El hombre con camisa roja fuera de la cancha está mirando al atleta mientras se balancea en el poste.</v>
      </c>
    </row>
    <row r="8790">
      <c r="A8790" s="4" t="s">
        <v>11054</v>
      </c>
      <c r="B8790" s="4" t="s">
        <v>11057</v>
      </c>
      <c r="C8790" s="5" t="str">
        <f>IFERROR(__xludf.DUMMYFUNCTION("GOOGLETRANSLATE(B8790,""en"",""es-ES"")"),"El atleta se balancea y luego saltó del poste y se balanceó y el aire y aterrizó sobre la colchoneta.")</f>
        <v>El atleta se balancea y luego saltó del poste y se balanceó y el aire y aterrizó sobre la colchoneta.</v>
      </c>
    </row>
    <row r="8791">
      <c r="A8791" s="4" t="s">
        <v>11058</v>
      </c>
      <c r="B8791" s="4" t="s">
        <v>11059</v>
      </c>
      <c r="C8791" s="5" t="str">
        <f>IFERROR(__xludf.DUMMYFUNCTION("GOOGLETRANSLATE(B8791,""en"",""es-ES"")"),"Un equipo está en un campo, tratando de obtener la pelota de sus oponentes.")</f>
        <v>Un equipo está en un campo, tratando de obtener la pelota de sus oponentes.</v>
      </c>
    </row>
    <row r="8792">
      <c r="A8792" s="4" t="s">
        <v>11058</v>
      </c>
      <c r="B8792" s="4" t="s">
        <v>11060</v>
      </c>
      <c r="C8792" s="5" t="str">
        <f>IFERROR(__xludf.DUMMYFUNCTION("GOOGLETRANSLATE(B8792,""en"",""es-ES"")"),"Están jugando un juego de lacrosse.")</f>
        <v>Están jugando un juego de lacrosse.</v>
      </c>
    </row>
    <row r="8793">
      <c r="A8793" s="4" t="s">
        <v>11058</v>
      </c>
      <c r="B8793" s="4" t="s">
        <v>11061</v>
      </c>
      <c r="C8793" s="5" t="str">
        <f>IFERROR(__xludf.DUMMYFUNCTION("GOOGLETRANSLATE(B8793,""en"",""es-ES"")"),"Luchan por el balón, tratando de ponerlo en un gol.")</f>
        <v>Luchan por el balón, tratando de ponerlo en un gol.</v>
      </c>
    </row>
    <row r="8794">
      <c r="A8794" s="4" t="s">
        <v>11062</v>
      </c>
      <c r="B8794" s="4" t="s">
        <v>11063</v>
      </c>
      <c r="C8794" s="5" t="str">
        <f>IFERROR(__xludf.DUMMYFUNCTION("GOOGLETRANSLATE(B8794,""en"",""es-ES"")"),"Una mujer está montando una bicicleta por la calle, luego otras también se muestran.")</f>
        <v>Una mujer está montando una bicicleta por la calle, luego otras también se muestran.</v>
      </c>
    </row>
    <row r="8795">
      <c r="A8795" s="4" t="s">
        <v>11062</v>
      </c>
      <c r="B8795" s="4" t="s">
        <v>11064</v>
      </c>
      <c r="C8795" s="5" t="str">
        <f>IFERROR(__xludf.DUMMYFUNCTION("GOOGLETRANSLATE(B8795,""en"",""es-ES"")"),"La gente habla con la cámara entre las tomas de andar en bicicleta en las carreteras de la ciudad.")</f>
        <v>La gente habla con la cámara entre las tomas de andar en bicicleta en las carreteras de la ciudad.</v>
      </c>
    </row>
    <row r="8796">
      <c r="A8796" s="4" t="s">
        <v>11062</v>
      </c>
      <c r="B8796" s="4" t="s">
        <v>11065</v>
      </c>
      <c r="C8796" s="5" t="str">
        <f>IFERROR(__xludf.DUMMYFUNCTION("GOOGLETRANSLATE(B8796,""en"",""es-ES"")"),"La bicicleta se llama Elíptica, lo que les permite pararse y pedalear mientras conducen.")</f>
        <v>La bicicleta se llama Elíptica, lo que les permite pararse y pedalear mientras conducen.</v>
      </c>
    </row>
    <row r="8797">
      <c r="A8797" s="4" t="s">
        <v>11066</v>
      </c>
      <c r="B8797" s="4" t="s">
        <v>11067</v>
      </c>
      <c r="C8797" s="5" t="str">
        <f>IFERROR(__xludf.DUMMYFUNCTION("GOOGLETRANSLATE(B8797,""en"",""es-ES"")"),"Se ve a una persona hablando con la cámara mientras sostiene una tabla de snowboard y lo lleva hacia él montando por una colina nevada.")</f>
        <v>Se ve a una persona hablando con la cámara mientras sostiene una tabla de snowboard y lo lleva hacia él montando por una colina nevada.</v>
      </c>
    </row>
    <row r="8798">
      <c r="A8798" s="4" t="s">
        <v>11066</v>
      </c>
      <c r="B8798" s="4" t="s">
        <v>11068</v>
      </c>
      <c r="C8798" s="5" t="str">
        <f>IFERROR(__xludf.DUMMYFUNCTION("GOOGLETRANSLATE(B8798,""en"",""es-ES"")"),"El hombre continúa montando el snowboard cuesta abajo y termina con él deteniéndose en el fondo.")</f>
        <v>El hombre continúa montando el snowboard cuesta abajo y termina con él deteniéndose en el fondo.</v>
      </c>
    </row>
    <row r="8799">
      <c r="A8799" s="4" t="s">
        <v>11069</v>
      </c>
      <c r="B8799" s="4" t="s">
        <v>11070</v>
      </c>
      <c r="C8799" s="5" t="str">
        <f>IFERROR(__xludf.DUMMYFUNCTION("GOOGLETRANSLATE(B8799,""en"",""es-ES"")"),"Se ve a un hombre hablando en un micrófono con otro hombre en el escenario.")</f>
        <v>Se ve a un hombre hablando en un micrófono con otro hombre en el escenario.</v>
      </c>
    </row>
    <row r="8800">
      <c r="A8800" s="4" t="s">
        <v>11069</v>
      </c>
      <c r="B8800" s="4" t="s">
        <v>11071</v>
      </c>
      <c r="C8800" s="5" t="str">
        <f>IFERROR(__xludf.DUMMYFUNCTION("GOOGLETRANSLATE(B8800,""en"",""es-ES"")"),"Un hombre luego lleva a tocar la armónica en el escenario, mientras que otros miran a un lado.")</f>
        <v>Un hombre luego lleva a tocar la armónica en el escenario, mientras que otros miran a un lado.</v>
      </c>
    </row>
    <row r="8801">
      <c r="A8801" s="4" t="s">
        <v>11069</v>
      </c>
      <c r="B8801" s="4" t="s">
        <v>11072</v>
      </c>
      <c r="C8801" s="5" t="str">
        <f>IFERROR(__xludf.DUMMYFUNCTION("GOOGLETRANSLATE(B8801,""en"",""es-ES"")"),"El hombre continúa jugando mientras otros entran y salen del marco y juegan.")</f>
        <v>El hombre continúa jugando mientras otros entran y salen del marco y juegan.</v>
      </c>
    </row>
    <row r="8802">
      <c r="A8802" s="4" t="s">
        <v>11073</v>
      </c>
      <c r="B8802" s="4" t="s">
        <v>11074</v>
      </c>
      <c r="C8802" s="5" t="str">
        <f>IFERROR(__xludf.DUMMYFUNCTION("GOOGLETRANSLATE(B8802,""en"",""es-ES"")"),"Se muestra a un hombre mayor parado detrás de un columpio mientras empuja a una niña pequeña y cuarto.")</f>
        <v>Se muestra a un hombre mayor parado detrás de un columpio mientras empuja a una niña pequeña y cuarto.</v>
      </c>
    </row>
    <row r="8803">
      <c r="A8803" s="4" t="s">
        <v>11073</v>
      </c>
      <c r="B8803" s="4" t="s">
        <v>11075</v>
      </c>
      <c r="C8803" s="5" t="str">
        <f>IFERROR(__xludf.DUMMYFUNCTION("GOOGLETRANSLATE(B8803,""en"",""es-ES"")"),"Él agarra y sostiene a la niña y le da varios empuje mientras la niña le quita la cabeza hacia atrás y sonríe.")</f>
        <v>Él agarra y sostiene a la niña y le da varios empuje mientras la niña le quita la cabeza hacia atrás y sonríe.</v>
      </c>
    </row>
    <row r="8804">
      <c r="A8804" s="4" t="s">
        <v>11076</v>
      </c>
      <c r="B8804" s="4" t="s">
        <v>11077</v>
      </c>
      <c r="C8804" s="5" t="str">
        <f>IFERROR(__xludf.DUMMYFUNCTION("GOOGLETRANSLATE(B8804,""en"",""es-ES"")"),"Se ve a una joven maquilladora afuera, mientras que otras personas al lado miran y también juegan con maquillaje.")</f>
        <v>Se ve a una joven maquilladora afuera, mientras que otras personas al lado miran y también juegan con maquillaje.</v>
      </c>
    </row>
    <row r="8805">
      <c r="A8805" s="4" t="s">
        <v>11076</v>
      </c>
      <c r="B8805" s="4" t="s">
        <v>11078</v>
      </c>
      <c r="C8805" s="5" t="str">
        <f>IFERROR(__xludf.DUMMYFUNCTION("GOOGLETRANSLATE(B8805,""en"",""es-ES"")"),"Las chicas continúan intentando maquillarse mientras la cámara se remonta y cuarto entre los dos.")</f>
        <v>Las chicas continúan intentando maquillarse mientras la cámara se remonta y cuarto entre los dos.</v>
      </c>
    </row>
    <row r="8806">
      <c r="A8806" s="4" t="s">
        <v>11079</v>
      </c>
      <c r="B8806" s="4" t="s">
        <v>11080</v>
      </c>
      <c r="C8806" s="5" t="str">
        <f>IFERROR(__xludf.DUMMYFUNCTION("GOOGLETRANSLATE(B8806,""en"",""es-ES"")"),"Un comercial exhibe una variedad variada de equipos de soldadura y demuestra cómo soldar con el equipo.")</f>
        <v>Un comercial exhibe una variedad variada de equipos de soldadura y demuestra cómo soldar con el equipo.</v>
      </c>
    </row>
    <row r="8807">
      <c r="A8807" s="4" t="s">
        <v>11079</v>
      </c>
      <c r="B8807" s="4" t="s">
        <v>11081</v>
      </c>
      <c r="C8807" s="5" t="str">
        <f>IFERROR(__xludf.DUMMYFUNCTION("GOOGLETRANSLATE(B8807,""en"",""es-ES"")"),"Un casco de soldadura, abrazaderas, kit de soldadura y guantes se muestran en línea sobre un fondo blanco.")</f>
        <v>Un casco de soldadura, abrazaderas, kit de soldadura y guantes se muestran en línea sobre un fondo blanco.</v>
      </c>
    </row>
    <row r="8808">
      <c r="A8808" s="4" t="s">
        <v>11079</v>
      </c>
      <c r="B8808" s="4" t="s">
        <v>11082</v>
      </c>
      <c r="C8808" s="5" t="str">
        <f>IFERROR(__xludf.DUMMYFUNCTION("GOOGLETRANSLATE(B8808,""en"",""es-ES"")"),"Una persona comienza a usar las herramientas de soldadura para soldar dentro de un automóvil que produce chispas de fuego mientras se lleva a cabo la soldadura.")</f>
        <v>Una persona comienza a usar las herramientas de soldadura para soldar dentro de un automóvil que produce chispas de fuego mientras se lleva a cabo la soldadura.</v>
      </c>
    </row>
    <row r="8809">
      <c r="A8809" s="4" t="s">
        <v>11079</v>
      </c>
      <c r="B8809" s="4" t="s">
        <v>11083</v>
      </c>
      <c r="C8809" s="5" t="str">
        <f>IFERROR(__xludf.DUMMYFUNCTION("GOOGLETRANSLATE(B8809,""en"",""es-ES"")"),"Se muestra un primer plano del área soldada antes de que una plantilla de marketing se presente en la pantalla.")</f>
        <v>Se muestra un primer plano del área soldada antes de que una plantilla de marketing se presente en la pantalla.</v>
      </c>
    </row>
    <row r="8810">
      <c r="A8810" s="4" t="s">
        <v>11084</v>
      </c>
      <c r="B8810" s="4" t="s">
        <v>11085</v>
      </c>
      <c r="C8810" s="5" t="str">
        <f>IFERROR(__xludf.DUMMYFUNCTION("GOOGLETRANSLATE(B8810,""en"",""es-ES"")"),"Se ve a una persona sin camisa de pie en una cocina y sosteniendo un trapeador.")</f>
        <v>Se ve a una persona sin camisa de pie en una cocina y sosteniendo un trapeador.</v>
      </c>
    </row>
    <row r="8811">
      <c r="A8811" s="4" t="s">
        <v>11084</v>
      </c>
      <c r="B8811" s="4" t="s">
        <v>11086</v>
      </c>
      <c r="C8811" s="5" t="str">
        <f>IFERROR(__xludf.DUMMYFUNCTION("GOOGLETRANSLATE(B8811,""en"",""es-ES"")"),"El hombre mira hacia atrás y se ríe a la cámara mientras sostiene el trapeador.")</f>
        <v>El hombre mira hacia atrás y se ríe a la cámara mientras sostiene el trapeador.</v>
      </c>
    </row>
    <row r="8812">
      <c r="A8812" s="4" t="s">
        <v>11084</v>
      </c>
      <c r="B8812" s="4" t="s">
        <v>11087</v>
      </c>
      <c r="C8812" s="5" t="str">
        <f>IFERROR(__xludf.DUMMYFUNCTION("GOOGLETRANSLATE(B8812,""en"",""es-ES"")"),"Él continúa riéndose y bailando mientras empuja al trapeador.")</f>
        <v>Él continúa riéndose y bailando mientras empuja al trapeador.</v>
      </c>
    </row>
    <row r="8813">
      <c r="A8813" s="4" t="s">
        <v>11088</v>
      </c>
      <c r="B8813" s="4" t="s">
        <v>11089</v>
      </c>
      <c r="C8813" s="5" t="str">
        <f>IFERROR(__xludf.DUMMYFUNCTION("GOOGLETRANSLATE(B8813,""en"",""es-ES"")"),"Un pequeño bote de vela con dos hombres está tirando de un esquiador de agua detrás de él.")</f>
        <v>Un pequeño bote de vela con dos hombres está tirando de un esquiador de agua detrás de él.</v>
      </c>
    </row>
    <row r="8814">
      <c r="A8814" s="4" t="s">
        <v>11088</v>
      </c>
      <c r="B8814" s="4" t="s">
        <v>11090</v>
      </c>
      <c r="C8814" s="5" t="str">
        <f>IFERROR(__xludf.DUMMYFUNCTION("GOOGLETRANSLATE(B8814,""en"",""es-ES"")"),"Un surfista de viento pasa.")</f>
        <v>Un surfista de viento pasa.</v>
      </c>
    </row>
    <row r="8815">
      <c r="A8815" s="4" t="s">
        <v>11088</v>
      </c>
      <c r="B8815" s="4" t="s">
        <v>11091</v>
      </c>
      <c r="C8815" s="5" t="str">
        <f>IFERROR(__xludf.DUMMYFUNCTION("GOOGLETRANSLATE(B8815,""en"",""es-ES"")"),"Un hombre en el bote de vela se inclina hacia atrás para tirar de la vela en el bote.")</f>
        <v>Un hombre en el bote de vela se inclina hacia atrás para tirar de la vela en el bote.</v>
      </c>
    </row>
    <row r="8816">
      <c r="A8816" s="4" t="s">
        <v>11088</v>
      </c>
      <c r="B8816" s="4" t="s">
        <v>11092</v>
      </c>
      <c r="C8816" s="5" t="str">
        <f>IFERROR(__xludf.DUMMYFUNCTION("GOOGLETRANSLATE(B8816,""en"",""es-ES"")"),"Otro surfista de viento pasa.")</f>
        <v>Otro surfista de viento pasa.</v>
      </c>
    </row>
    <row r="8817">
      <c r="A8817" s="4" t="s">
        <v>11093</v>
      </c>
      <c r="B8817" s="4" t="s">
        <v>11094</v>
      </c>
      <c r="C8817" s="5" t="str">
        <f>IFERROR(__xludf.DUMMYFUNCTION("GOOGLETRANSLATE(B8817,""en"",""es-ES"")"),"Una cometa está volando en el cielo.")</f>
        <v>Una cometa está volando en el cielo.</v>
      </c>
    </row>
    <row r="8818">
      <c r="A8818" s="4" t="s">
        <v>11093</v>
      </c>
      <c r="B8818" s="4" t="s">
        <v>11095</v>
      </c>
      <c r="C8818" s="5" t="str">
        <f>IFERROR(__xludf.DUMMYFUNCTION("GOOGLETRANSLATE(B8818,""en"",""es-ES"")"),"Una niña sostiene la cuerda de la cometa.")</f>
        <v>Una niña sostiene la cuerda de la cometa.</v>
      </c>
    </row>
    <row r="8819">
      <c r="A8819" s="4" t="s">
        <v>11093</v>
      </c>
      <c r="B8819" s="4" t="s">
        <v>11096</v>
      </c>
      <c r="C8819" s="5" t="str">
        <f>IFERROR(__xludf.DUMMYFUNCTION("GOOGLETRANSLATE(B8819,""en"",""es-ES"")"),"Ella está caminando hacia atrás y hablando con alguien mientras mira la cometa.")</f>
        <v>Ella está caminando hacia atrás y hablando con alguien mientras mira la cometa.</v>
      </c>
    </row>
    <row r="8820">
      <c r="A8820" s="4" t="s">
        <v>11097</v>
      </c>
      <c r="B8820" s="4" t="s">
        <v>11098</v>
      </c>
      <c r="C8820" s="5" t="str">
        <f>IFERROR(__xludf.DUMMYFUNCTION("GOOGLETRANSLATE(B8820,""en"",""es-ES"")"),"Un hombre está en una sala de baile que tiene espejos a lo largo de las paredes, pisos de madera, y está bailando solo.")</f>
        <v>Un hombre está en una sala de baile que tiene espejos a lo largo de las paredes, pisos de madera, y está bailando solo.</v>
      </c>
    </row>
    <row r="8821">
      <c r="A8821" s="4" t="s">
        <v>11097</v>
      </c>
      <c r="B8821" s="4" t="s">
        <v>11099</v>
      </c>
      <c r="C8821" s="5" t="str">
        <f>IFERROR(__xludf.DUMMYFUNCTION("GOOGLETRANSLATE(B8821,""en"",""es-ES"")"),"Hay una mujer que está parada en la esquina y registrándolo todo el tiempo.")</f>
        <v>Hay una mujer que está parada en la esquina y registrándolo todo el tiempo.</v>
      </c>
    </row>
    <row r="8822">
      <c r="A8822" s="4" t="s">
        <v>11097</v>
      </c>
      <c r="B8822" s="4" t="s">
        <v>11100</v>
      </c>
      <c r="C8822" s="5" t="str">
        <f>IFERROR(__xludf.DUMMYFUNCTION("GOOGLETRANSLATE(B8822,""en"",""es-ES"")"),"Cuando se mueve más al otro lado de la habitación mientras baila, se revelan más personas mirándolo y grabándolo.")</f>
        <v>Cuando se mueve más al otro lado de la habitación mientras baila, se revelan más personas mirándolo y grabándolo.</v>
      </c>
    </row>
    <row r="8823">
      <c r="A8823" s="4" t="s">
        <v>11097</v>
      </c>
      <c r="B8823" s="4" t="s">
        <v>11101</v>
      </c>
      <c r="C8823" s="5" t="str">
        <f>IFERROR(__xludf.DUMMYFUNCTION("GOOGLETRANSLATE(B8823,""en"",""es-ES"")"),"El hombre hace el último movimiento de baile, sonríe, da unos pasos y luego da un lazo.")</f>
        <v>El hombre hace el último movimiento de baile, sonríe, da unos pasos y luego da un lazo.</v>
      </c>
    </row>
    <row r="8824">
      <c r="A8824" s="4" t="s">
        <v>11102</v>
      </c>
      <c r="B8824" s="4" t="s">
        <v>11103</v>
      </c>
      <c r="C8824" s="5" t="str">
        <f>IFERROR(__xludf.DUMMYFUNCTION("GOOGLETRANSLATE(B8824,""en"",""es-ES"")"),"Se muestra el cielo que conduce a un hombre que habla con la cámara con su amigo.")</f>
        <v>Se muestra el cielo que conduce a un hombre que habla con la cámara con su amigo.</v>
      </c>
    </row>
    <row r="8825">
      <c r="A8825" s="4" t="s">
        <v>11102</v>
      </c>
      <c r="B8825" s="4" t="s">
        <v>11104</v>
      </c>
      <c r="C8825" s="5" t="str">
        <f>IFERROR(__xludf.DUMMYFUNCTION("GOOGLETRANSLATE(B8825,""en"",""es-ES"")"),"Luego se ven varias personas sentadas en los tubos que viajan por un río pasar el uno al otro.")</f>
        <v>Luego se ven varias personas sentadas en los tubos que viajan por un río pasar el uno al otro.</v>
      </c>
    </row>
    <row r="8826">
      <c r="A8826" s="4" t="s">
        <v>11102</v>
      </c>
      <c r="B8826" s="4" t="s">
        <v>11105</v>
      </c>
      <c r="C8826" s="5" t="str">
        <f>IFERROR(__xludf.DUMMYFUNCTION("GOOGLETRANSLATE(B8826,""en"",""es-ES"")"),"La gente que continúa montando por el río a través de túneles y caminos mientras el hombre todavía habla con la cámara.")</f>
        <v>La gente que continúa montando por el río a través de túneles y caminos mientras el hombre todavía habla con la cámara.</v>
      </c>
    </row>
    <row r="8827">
      <c r="A8827" s="4" t="s">
        <v>11106</v>
      </c>
      <c r="B8827" s="4" t="s">
        <v>11107</v>
      </c>
      <c r="C8827" s="5" t="str">
        <f>IFERROR(__xludf.DUMMYFUNCTION("GOOGLETRANSLATE(B8827,""en"",""es-ES"")"),"Un atleta corre con un palo, luego dispara la jabalina y se aleja en un estadio.")</f>
        <v>Un atleta corre con un palo, luego dispara la jabalina y se aleja en un estadio.</v>
      </c>
    </row>
    <row r="8828">
      <c r="A8828" s="4" t="s">
        <v>11106</v>
      </c>
      <c r="B8828" s="4" t="s">
        <v>11108</v>
      </c>
      <c r="C8828" s="5" t="str">
        <f>IFERROR(__xludf.DUMMYFUNCTION("GOOGLETRANSLATE(B8828,""en"",""es-ES"")"),"Luego, un hombre sostiene una jabalina y corre para lanzar la jabalina, luego otro atleta también dispara a la jabalina.")</f>
        <v>Luego, un hombre sostiene una jabalina y corre para lanzar la jabalina, luego otro atleta también dispara a la jabalina.</v>
      </c>
    </row>
    <row r="8829">
      <c r="A8829" s="4" t="s">
        <v>11109</v>
      </c>
      <c r="B8829" s="4" t="s">
        <v>11110</v>
      </c>
      <c r="C8829" s="5" t="str">
        <f>IFERROR(__xludf.DUMMYFUNCTION("GOOGLETRANSLATE(B8829,""en"",""es-ES"")"),"Un hombre está sentado en las escaleras hablando.")</f>
        <v>Un hombre está sentado en las escaleras hablando.</v>
      </c>
    </row>
    <row r="8830">
      <c r="A8830" s="4" t="s">
        <v>11109</v>
      </c>
      <c r="B8830" s="4" t="s">
        <v>11111</v>
      </c>
      <c r="C8830" s="5" t="str">
        <f>IFERROR(__xludf.DUMMYFUNCTION("GOOGLETRANSLATE(B8830,""en"",""es-ES"")"),"Está parado sobre un fregadero.")</f>
        <v>Está parado sobre un fregadero.</v>
      </c>
    </row>
    <row r="8831">
      <c r="A8831" s="4" t="s">
        <v>11109</v>
      </c>
      <c r="B8831" s="4" t="s">
        <v>11112</v>
      </c>
      <c r="C8831" s="5" t="str">
        <f>IFERROR(__xludf.DUMMYFUNCTION("GOOGLETRANSLATE(B8831,""en"",""es-ES"")"),"Rocía el fregadero con un agente de limpieza.")</f>
        <v>Rocía el fregadero con un agente de limpieza.</v>
      </c>
    </row>
    <row r="8832">
      <c r="A8832" s="4" t="s">
        <v>11109</v>
      </c>
      <c r="B8832" s="4" t="s">
        <v>11113</v>
      </c>
      <c r="C8832" s="5" t="str">
        <f>IFERROR(__xludf.DUMMYFUNCTION("GOOGLETRANSLATE(B8832,""en"",""es-ES"")"),"Toma una esponja y frota el interior de los fregaderos.")</f>
        <v>Toma una esponja y frota el interior de los fregaderos.</v>
      </c>
    </row>
    <row r="8833">
      <c r="A8833" s="4" t="s">
        <v>11109</v>
      </c>
      <c r="B8833" s="4" t="s">
        <v>11114</v>
      </c>
      <c r="C8833" s="5" t="str">
        <f>IFERROR(__xludf.DUMMYFUNCTION("GOOGLETRANSLATE(B8833,""en"",""es-ES"")"),"Enciende el agua y rocía la manguera alrededor del fregadero.")</f>
        <v>Enciende el agua y rocía la manguera alrededor del fregadero.</v>
      </c>
    </row>
    <row r="8834">
      <c r="A8834" s="4" t="s">
        <v>11109</v>
      </c>
      <c r="B8834" s="4" t="s">
        <v>11115</v>
      </c>
      <c r="C8834" s="5" t="str">
        <f>IFERROR(__xludf.DUMMYFUNCTION("GOOGLETRANSLATE(B8834,""en"",""es-ES"")"),"Él limpia el fregadero con una toalla.")</f>
        <v>Él limpia el fregadero con una toalla.</v>
      </c>
    </row>
    <row r="8835">
      <c r="A8835" s="4" t="s">
        <v>11109</v>
      </c>
      <c r="B8835" s="4" t="s">
        <v>11116</v>
      </c>
      <c r="C8835" s="5" t="str">
        <f>IFERROR(__xludf.DUMMYFUNCTION("GOOGLETRANSLATE(B8835,""en"",""es-ES"")"),"El hombre está sentado en las escaleras nuevamente.")</f>
        <v>El hombre está sentado en las escaleras nuevamente.</v>
      </c>
    </row>
    <row r="8836">
      <c r="A8836" s="4" t="s">
        <v>11117</v>
      </c>
      <c r="B8836" s="4" t="s">
        <v>11118</v>
      </c>
      <c r="C8836" s="5" t="str">
        <f>IFERROR(__xludf.DUMMYFUNCTION("GOOGLETRANSLATE(B8836,""en"",""es-ES"")"),"Vemos una pantalla de apertura un mapa e imágenes fijas.")</f>
        <v>Vemos una pantalla de apertura un mapa e imágenes fijas.</v>
      </c>
    </row>
    <row r="8837">
      <c r="A8837" s="4" t="s">
        <v>11117</v>
      </c>
      <c r="B8837" s="4" t="s">
        <v>11119</v>
      </c>
      <c r="C8837" s="5" t="str">
        <f>IFERROR(__xludf.DUMMYFUNCTION("GOOGLETRANSLATE(B8837,""en"",""es-ES"")"),"Hombres que golpean baldosas en el techo en un panel de techo en el interior.")</f>
        <v>Hombres que golpean baldosas en el techo en un panel de techo en el interior.</v>
      </c>
    </row>
    <row r="8838">
      <c r="A8838" s="4" t="s">
        <v>11117</v>
      </c>
      <c r="B8838" s="4" t="s">
        <v>6208</v>
      </c>
      <c r="C8838" s="5" t="str">
        <f>IFERROR(__xludf.DUMMYFUNCTION("GOOGLETRANSLATE(B8838,""en"",""es-ES"")"),"Vemos una pantalla de título.")</f>
        <v>Vemos una pantalla de título.</v>
      </c>
    </row>
    <row r="8839">
      <c r="A8839" s="4" t="s">
        <v>11117</v>
      </c>
      <c r="B8839" s="4" t="s">
        <v>11120</v>
      </c>
      <c r="C8839" s="5" t="str">
        <f>IFERROR(__xludf.DUMMYFUNCTION("GOOGLETRANSLATE(B8839,""en"",""es-ES"")"),"Vemos a un hombre tocar un gancho en la madera.")</f>
        <v>Vemos a un hombre tocar un gancho en la madera.</v>
      </c>
    </row>
    <row r="8840">
      <c r="A8840" s="4" t="s">
        <v>11117</v>
      </c>
      <c r="B8840" s="4" t="s">
        <v>11121</v>
      </c>
      <c r="C8840" s="5" t="str">
        <f>IFERROR(__xludf.DUMMYFUNCTION("GOOGLETRANSLATE(B8840,""en"",""es-ES"")"),"Vemos una pantalla de título nuevamente.")</f>
        <v>Vemos una pantalla de título nuevamente.</v>
      </c>
    </row>
    <row r="8841">
      <c r="A8841" s="4" t="s">
        <v>11117</v>
      </c>
      <c r="B8841" s="4" t="s">
        <v>11122</v>
      </c>
      <c r="C8841" s="5" t="str">
        <f>IFERROR(__xludf.DUMMYFUNCTION("GOOGLETRANSLATE(B8841,""en"",""es-ES"")"),"Vemos a los hombres trabajando en techos.")</f>
        <v>Vemos a los hombres trabajando en techos.</v>
      </c>
    </row>
    <row r="8842">
      <c r="A8842" s="4" t="s">
        <v>11117</v>
      </c>
      <c r="B8842" s="4" t="s">
        <v>11123</v>
      </c>
      <c r="C8842" s="5" t="str">
        <f>IFERROR(__xludf.DUMMYFUNCTION("GOOGLETRANSLATE(B8842,""en"",""es-ES"")"),"Vemos dos pantallas con hombres trabajando en techos uno al lado del otro.")</f>
        <v>Vemos dos pantallas con hombres trabajando en techos uno al lado del otro.</v>
      </c>
    </row>
    <row r="8843">
      <c r="A8843" s="4" t="s">
        <v>11117</v>
      </c>
      <c r="B8843" s="4" t="s">
        <v>11124</v>
      </c>
      <c r="C8843" s="5" t="str">
        <f>IFERROR(__xludf.DUMMYFUNCTION("GOOGLETRANSLATE(B8843,""en"",""es-ES"")"),"Vemos las pantallas de título final.")</f>
        <v>Vemos las pantallas de título final.</v>
      </c>
    </row>
    <row r="8844">
      <c r="A8844" s="4" t="s">
        <v>11125</v>
      </c>
      <c r="B8844" s="4" t="s">
        <v>11126</v>
      </c>
      <c r="C8844" s="5" t="str">
        <f>IFERROR(__xludf.DUMMYFUNCTION("GOOGLETRANSLATE(B8844,""en"",""es-ES"")"),"Se ve a un gran grupo de personas hacer ejercicio en una clase junto con un hombre que las guía al frente.")</f>
        <v>Se ve a un gran grupo de personas hacer ejercicio en una clase junto con un hombre que las guía al frente.</v>
      </c>
    </row>
    <row r="8845">
      <c r="A8845" s="4" t="s">
        <v>11125</v>
      </c>
      <c r="B8845" s="4" t="s">
        <v>11127</v>
      </c>
      <c r="C8845" s="5" t="str">
        <f>IFERROR(__xludf.DUMMYFUNCTION("GOOGLETRANSLATE(B8845,""en"",""es-ES"")"),"El grupo continúa moviéndose juntos sobre una barra y termina con texto en la pantalla.")</f>
        <v>El grupo continúa moviéndose juntos sobre una barra y termina con texto en la pantalla.</v>
      </c>
    </row>
    <row r="8846">
      <c r="A8846" s="4" t="s">
        <v>11128</v>
      </c>
      <c r="B8846" s="4" t="s">
        <v>11129</v>
      </c>
      <c r="C8846" s="5" t="str">
        <f>IFERROR(__xludf.DUMMYFUNCTION("GOOGLETRANSLATE(B8846,""en"",""es-ES"")"),"Un hombre habla dentro de un concesionario de automóviles.")</f>
        <v>Un hombre habla dentro de un concesionario de automóviles.</v>
      </c>
    </row>
    <row r="8847">
      <c r="A8847" s="4" t="s">
        <v>11128</v>
      </c>
      <c r="B8847" s="4" t="s">
        <v>11130</v>
      </c>
      <c r="C8847" s="5" t="str">
        <f>IFERROR(__xludf.DUMMYFUNCTION("GOOGLETRANSLATE(B8847,""en"",""es-ES"")"),"Después, un automóvil sale de un lavado de autos.")</f>
        <v>Después, un automóvil sale de un lavado de autos.</v>
      </c>
    </row>
    <row r="8848">
      <c r="A8848" s="4" t="s">
        <v>11128</v>
      </c>
      <c r="B8848" s="4" t="s">
        <v>11131</v>
      </c>
      <c r="C8848" s="5" t="str">
        <f>IFERROR(__xludf.DUMMYFUNCTION("GOOGLETRANSLATE(B8848,""en"",""es-ES"")"),"Una tripulación de personas limpia un automóvil a mano.")</f>
        <v>Una tripulación de personas limpia un automóvil a mano.</v>
      </c>
    </row>
    <row r="8849">
      <c r="A8849" s="4" t="s">
        <v>11132</v>
      </c>
      <c r="B8849" s="4" t="s">
        <v>11133</v>
      </c>
      <c r="C8849" s="5" t="str">
        <f>IFERROR(__xludf.DUMMYFUNCTION("GOOGLETRANSLATE(B8849,""en"",""es-ES"")"),"Un hombre suelda una sección de un haz de acero en un taller.")</f>
        <v>Un hombre suelda una sección de un haz de acero en un taller.</v>
      </c>
    </row>
    <row r="8850">
      <c r="A8850" s="4" t="s">
        <v>11132</v>
      </c>
      <c r="B8850" s="4" t="s">
        <v>11134</v>
      </c>
      <c r="C8850" s="5" t="str">
        <f>IFERROR(__xludf.DUMMYFUNCTION("GOOGLETRANSLATE(B8850,""en"",""es-ES"")"),"La punta de la pistola de soldadura se ajusta con alicates.")</f>
        <v>La punta de la pistola de soldadura se ajusta con alicates.</v>
      </c>
    </row>
    <row r="8851">
      <c r="A8851" s="4" t="s">
        <v>11132</v>
      </c>
      <c r="B8851" s="4" t="s">
        <v>11135</v>
      </c>
      <c r="C8851" s="5" t="str">
        <f>IFERROR(__xludf.DUMMYFUNCTION("GOOGLETRANSLATE(B8851,""en"",""es-ES"")"),"El hombre marca y mide piezas de metal de placa entre las soldaduras.")</f>
        <v>El hombre marca y mide piezas de metal de placa entre las soldaduras.</v>
      </c>
    </row>
    <row r="8852">
      <c r="A8852" s="4" t="s">
        <v>11132</v>
      </c>
      <c r="B8852" s="4" t="s">
        <v>11136</v>
      </c>
      <c r="C8852" s="5" t="str">
        <f>IFERROR(__xludf.DUMMYFUNCTION("GOOGLETRANSLATE(B8852,""en"",""es-ES"")"),"El hombre demuestra el ángulo para hacer una soldadura en la pieza de metal de la placa.")</f>
        <v>El hombre demuestra el ángulo para hacer una soldadura en la pieza de metal de la placa.</v>
      </c>
    </row>
    <row r="8853">
      <c r="A8853" s="4" t="s">
        <v>11137</v>
      </c>
      <c r="B8853" s="4" t="s">
        <v>11138</v>
      </c>
      <c r="C8853" s="5" t="str">
        <f>IFERROR(__xludf.DUMMYFUNCTION("GOOGLETRANSLATE(B8853,""en"",""es-ES"")"),"Se muestra una vista telescópica de varias personas vestidas con equipo de bicicleta.")</f>
        <v>Se muestra una vista telescópica de varias personas vestidas con equipo de bicicleta.</v>
      </c>
    </row>
    <row r="8854">
      <c r="A8854" s="4" t="s">
        <v>11137</v>
      </c>
      <c r="B8854" s="4" t="s">
        <v>11139</v>
      </c>
      <c r="C8854" s="5" t="str">
        <f>IFERROR(__xludf.DUMMYFUNCTION("GOOGLETRANSLATE(B8854,""en"",""es-ES"")"),"La multitud se extiende, caminando con armas en la mano.")</f>
        <v>La multitud se extiende, caminando con armas en la mano.</v>
      </c>
    </row>
    <row r="8855">
      <c r="A8855" s="4" t="s">
        <v>11137</v>
      </c>
      <c r="B8855" s="4" t="s">
        <v>11140</v>
      </c>
      <c r="C8855" s="5" t="str">
        <f>IFERROR(__xludf.DUMMYFUNCTION("GOOGLETRANSLATE(B8855,""en"",""es-ES"")"),"Apuntan a varios objetos.")</f>
        <v>Apuntan a varios objetos.</v>
      </c>
    </row>
    <row r="8856">
      <c r="A8856" s="4" t="s">
        <v>11137</v>
      </c>
      <c r="B8856" s="4" t="s">
        <v>11141</v>
      </c>
      <c r="C8856" s="5" t="str">
        <f>IFERROR(__xludf.DUMMYFUNCTION("GOOGLETRANSLATE(B8856,""en"",""es-ES"")"),"Los hombres se esconden detrás de una pared, disparándose el uno al otro mientras corren.")</f>
        <v>Los hombres se esconden detrás de una pared, disparándose el uno al otro mientras corren.</v>
      </c>
    </row>
    <row r="8857">
      <c r="A8857" s="4" t="s">
        <v>11142</v>
      </c>
      <c r="B8857" s="4" t="s">
        <v>11143</v>
      </c>
      <c r="C8857" s="5" t="str">
        <f>IFERROR(__xludf.DUMMYFUNCTION("GOOGLETRANSLATE(B8857,""en"",""es-ES"")"),"Se ve a un gran grupo de personas deambulando por un estudio de baile con un hombre al frente.")</f>
        <v>Se ve a un gran grupo de personas deambulando por un estudio de baile con un hombre al frente.</v>
      </c>
    </row>
    <row r="8858">
      <c r="A8858" s="4" t="s">
        <v>11142</v>
      </c>
      <c r="B8858" s="4" t="s">
        <v>11144</v>
      </c>
      <c r="C8858" s="5" t="str">
        <f>IFERROR(__xludf.DUMMYFUNCTION("GOOGLETRANSLATE(B8858,""en"",""es-ES"")"),"El hombre luego comienza a liderar una clase de baile frente al grupo de personas.")</f>
        <v>El hombre luego comienza a liderar una clase de baile frente al grupo de personas.</v>
      </c>
    </row>
    <row r="8859">
      <c r="A8859" s="4" t="s">
        <v>11142</v>
      </c>
      <c r="B8859" s="4" t="s">
        <v>11145</v>
      </c>
      <c r="C8859" s="5" t="str">
        <f>IFERROR(__xludf.DUMMYFUNCTION("GOOGLETRANSLATE(B8859,""en"",""es-ES"")"),"La gente continúa bailando siguiendo al hombre y moviendo los brazos y las piernas.")</f>
        <v>La gente continúa bailando siguiendo al hombre y moviendo los brazos y las piernas.</v>
      </c>
    </row>
    <row r="8860">
      <c r="A8860" s="4" t="s">
        <v>11146</v>
      </c>
      <c r="B8860" s="4" t="s">
        <v>11147</v>
      </c>
      <c r="C8860" s="5" t="str">
        <f>IFERROR(__xludf.DUMMYFUNCTION("GOOGLETRANSLATE(B8860,""en"",""es-ES"")"),"Dos hombres se preparan para un partido de esgrima.")</f>
        <v>Dos hombres se preparan para un partido de esgrima.</v>
      </c>
    </row>
    <row r="8861">
      <c r="A8861" s="4" t="s">
        <v>11146</v>
      </c>
      <c r="B8861" s="4" t="s">
        <v>11148</v>
      </c>
      <c r="C8861" s="5" t="str">
        <f>IFERROR(__xludf.DUMMYFUNCTION("GOOGLETRANSLATE(B8861,""en"",""es-ES"")"),"El video muestra varios aspectos destacados de personas que se encuentran en varios partidos.")</f>
        <v>El video muestra varios aspectos destacados de personas que se encuentran en varios partidos.</v>
      </c>
    </row>
    <row r="8862">
      <c r="A8862" s="4" t="s">
        <v>11146</v>
      </c>
      <c r="B8862" s="4" t="s">
        <v>11149</v>
      </c>
      <c r="C8862" s="5" t="str">
        <f>IFERROR(__xludf.DUMMYFUNCTION("GOOGLETRANSLATE(B8862,""en"",""es-ES"")"),"Algunos ganan los partidos con bastante rapidez.")</f>
        <v>Algunos ganan los partidos con bastante rapidez.</v>
      </c>
    </row>
    <row r="8863">
      <c r="A8863" s="4" t="s">
        <v>11146</v>
      </c>
      <c r="B8863" s="4" t="s">
        <v>11150</v>
      </c>
      <c r="C8863" s="5" t="str">
        <f>IFERROR(__xludf.DUMMYFUNCTION("GOOGLETRANSLATE(B8863,""en"",""es-ES"")"),"Dos hombres constantemente regresan y cuarto entre sí.")</f>
        <v>Dos hombres constantemente regresan y cuarto entre sí.</v>
      </c>
    </row>
    <row r="8864">
      <c r="A8864" s="4" t="s">
        <v>11146</v>
      </c>
      <c r="B8864" s="4" t="s">
        <v>11151</v>
      </c>
      <c r="C8864" s="5" t="str">
        <f>IFERROR(__xludf.DUMMYFUNCTION("GOOGLETRANSLATE(B8864,""en"",""es-ES"")"),"El hombre gana una y otra vez.")</f>
        <v>El hombre gana una y otra vez.</v>
      </c>
    </row>
    <row r="8865">
      <c r="A8865" s="4" t="s">
        <v>11146</v>
      </c>
      <c r="B8865" s="4" t="s">
        <v>11152</v>
      </c>
      <c r="C8865" s="5" t="str">
        <f>IFERROR(__xludf.DUMMYFUNCTION("GOOGLETRANSLATE(B8865,""en"",""es-ES"")"),"Se le muestra practicando para sus próximos partidos contra otro.")</f>
        <v>Se le muestra practicando para sus próximos partidos contra otro.</v>
      </c>
    </row>
    <row r="8866">
      <c r="A8866" s="4" t="s">
        <v>11146</v>
      </c>
      <c r="B8866" s="4" t="s">
        <v>11153</v>
      </c>
      <c r="C8866" s="5" t="str">
        <f>IFERROR(__xludf.DUMMYFUNCTION("GOOGLETRANSLATE(B8866,""en"",""es-ES"")"),"Parece ganar una y otra vez.")</f>
        <v>Parece ganar una y otra vez.</v>
      </c>
    </row>
    <row r="8867">
      <c r="A8867" s="4" t="s">
        <v>11154</v>
      </c>
      <c r="B8867" s="4" t="s">
        <v>11155</v>
      </c>
      <c r="C8867" s="5" t="str">
        <f>IFERROR(__xludf.DUMMYFUNCTION("GOOGLETRANSLATE(B8867,""en"",""es-ES"")"),"La gente está parada en una peluquería sentada en sillas.")</f>
        <v>La gente está parada en una peluquería sentada en sillas.</v>
      </c>
    </row>
    <row r="8868">
      <c r="A8868" s="4" t="s">
        <v>11154</v>
      </c>
      <c r="B8868" s="4" t="s">
        <v>11156</v>
      </c>
      <c r="C8868" s="5" t="str">
        <f>IFERROR(__xludf.DUMMYFUNCTION("GOOGLETRANSLATE(B8868,""en"",""es-ES"")"),"La mujer está de pie detrás de Anoter secando su cabello peinándolo y hablando con la cámara.")</f>
        <v>La mujer está de pie detrás de Anoter secando su cabello peinándolo y hablando con la cámara.</v>
      </c>
    </row>
    <row r="8869">
      <c r="A8869" s="4" t="s">
        <v>11154</v>
      </c>
      <c r="B8869" s="4" t="s">
        <v>11157</v>
      </c>
      <c r="C8869" s="5" t="str">
        <f>IFERROR(__xludf.DUMMYFUNCTION("GOOGLETRANSLATE(B8869,""en"",""es-ES"")"),"La mujer está sentada en una silla mientras la mujer detrás de ella se está secando el pelo.")</f>
        <v>La mujer está sentada en una silla mientras la mujer detrás de ella se está secando el pelo.</v>
      </c>
    </row>
    <row r="8870">
      <c r="A8870" s="4" t="s">
        <v>11158</v>
      </c>
      <c r="B8870" s="4" t="s">
        <v>11159</v>
      </c>
      <c r="C8870" s="5" t="str">
        <f>IFERROR(__xludf.DUMMYFUNCTION("GOOGLETRANSLATE(B8870,""en"",""es-ES"")"),"El lleva a un hombre tocando una guitarra larga frente a una casa mientras se mueve los dedos hacia arriba y hacia abajo.")</f>
        <v>El lleva a un hombre tocando una guitarra larga frente a una casa mientras se mueve los dedos hacia arriba y hacia abajo.</v>
      </c>
    </row>
    <row r="8871">
      <c r="A8871" s="4" t="s">
        <v>11158</v>
      </c>
      <c r="B8871" s="4" t="s">
        <v>11160</v>
      </c>
      <c r="C8871" s="5" t="str">
        <f>IFERROR(__xludf.DUMMYFUNCTION("GOOGLETRANSLATE(B8871,""en"",""es-ES"")"),"El hombre continúa jugando y el video conduce a enviar mensajes de texto sobre su cabeza.")</f>
        <v>El hombre continúa jugando y el video conduce a enviar mensajes de texto sobre su cabeza.</v>
      </c>
    </row>
    <row r="8872">
      <c r="A8872" s="4" t="s">
        <v>11161</v>
      </c>
      <c r="B8872" s="4" t="s">
        <v>11162</v>
      </c>
      <c r="C8872" s="5" t="str">
        <f>IFERROR(__xludf.DUMMYFUNCTION("GOOGLETRANSLATE(B8872,""en"",""es-ES"")"),"Un jugador masculino con camisa amarilla y negra lleva a un niño pequeño que lleva la misma camisa mientras el reportero está entrevistado por la camisa blanca y sosteniendo un micrófono.")</f>
        <v>Un jugador masculino con camisa amarilla y negra lleva a un niño pequeño que lleva la misma camisa mientras el reportero está entrevistado por la camisa blanca y sosteniendo un micrófono.</v>
      </c>
    </row>
    <row r="8873">
      <c r="A8873" s="4" t="s">
        <v>11161</v>
      </c>
      <c r="B8873" s="4" t="s">
        <v>11163</v>
      </c>
      <c r="C8873" s="5" t="str">
        <f>IFERROR(__xludf.DUMMYFUNCTION("GOOGLETRANSLATE(B8873,""en"",""es-ES"")"),"Diferentes equipos en diferentes colores de uniformes están jugando fútbol en la mesa.")</f>
        <v>Diferentes equipos en diferentes colores de uniformes están jugando fútbol en la mesa.</v>
      </c>
    </row>
    <row r="8874">
      <c r="A8874" s="4" t="s">
        <v>11164</v>
      </c>
      <c r="B8874" s="4" t="s">
        <v>11165</v>
      </c>
      <c r="C8874" s="5" t="str">
        <f>IFERROR(__xludf.DUMMYFUNCTION("GOOGLETRANSLATE(B8874,""en"",""es-ES"")"),"Se muestran varias tomas de una montaña nevada, así como una persona que sube por una colina.")</f>
        <v>Se muestran varias tomas de una montaña nevada, así como una persona que sube por una colina.</v>
      </c>
    </row>
    <row r="8875">
      <c r="A8875" s="4" t="s">
        <v>11164</v>
      </c>
      <c r="B8875" s="4" t="s">
        <v>11166</v>
      </c>
      <c r="C8875" s="5" t="str">
        <f>IFERROR(__xludf.DUMMYFUNCTION("GOOGLETRANSLATE(B8875,""en"",""es-ES"")"),"La persona mira a los demás a su alrededor y se lo ve cabalgando por la montaña.")</f>
        <v>La persona mira a los demás a su alrededor y se lo ve cabalgando por la montaña.</v>
      </c>
    </row>
    <row r="8876">
      <c r="A8876" s="4" t="s">
        <v>11164</v>
      </c>
      <c r="B8876" s="4" t="s">
        <v>11167</v>
      </c>
      <c r="C8876" s="5" t="str">
        <f>IFERROR(__xludf.DUMMYFUNCTION("GOOGLETRANSLATE(B8876,""en"",""es-ES"")"),"La persona se reduce varias veces más con personas unidas en los lados.")</f>
        <v>La persona se reduce varias veces más con personas unidas en los lados.</v>
      </c>
    </row>
    <row r="8877">
      <c r="A8877" s="4" t="s">
        <v>11168</v>
      </c>
      <c r="B8877" s="4" t="s">
        <v>11169</v>
      </c>
      <c r="C8877" s="5" t="str">
        <f>IFERROR(__xludf.DUMMYFUNCTION("GOOGLETRANSLATE(B8877,""en"",""es-ES"")"),"Una gimnasta rusa femenina está en una estera frente a una gran arena con varias personas mirándola.")</f>
        <v>Una gimnasta rusa femenina está en una estera frente a una gran arena con varias personas mirándola.</v>
      </c>
    </row>
    <row r="8878">
      <c r="A8878" s="4" t="s">
        <v>11168</v>
      </c>
      <c r="B8878" s="4" t="s">
        <v>11170</v>
      </c>
      <c r="C8878" s="5" t="str">
        <f>IFERROR(__xludf.DUMMYFUNCTION("GOOGLETRANSLATE(B8878,""en"",""es-ES"")"),"Luego, la niña comienza a hacer una serie de volteretas y termina saltando sobre el rayo de equilibrio para hacer su rutina.")</f>
        <v>Luego, la niña comienza a hacer una serie de volteretas y termina saltando sobre el rayo de equilibrio para hacer su rutina.</v>
      </c>
    </row>
    <row r="8879">
      <c r="A8879" s="4" t="s">
        <v>11168</v>
      </c>
      <c r="B8879" s="4" t="s">
        <v>11171</v>
      </c>
      <c r="C8879" s="5" t="str">
        <f>IFERROR(__xludf.DUMMYFUNCTION("GOOGLETRANSLATE(B8879,""en"",""es-ES"")"),"Una vez que termina, la niña termina haciendo varios trucos y se va a un lado.")</f>
        <v>Una vez que termina, la niña termina haciendo varios trucos y se va a un lado.</v>
      </c>
    </row>
    <row r="8880">
      <c r="A8880" s="4" t="s">
        <v>11168</v>
      </c>
      <c r="B8880" s="4" t="s">
        <v>11172</v>
      </c>
      <c r="C8880" s="5" t="str">
        <f>IFERROR(__xludf.DUMMYFUNCTION("GOOGLETRANSLATE(B8880,""en"",""es-ES"")"),"La gente comienza a animarla y se muestra su repetición, y su puntaje de aproximadamente 28 se muestra en la parte inferior de la pantalla.")</f>
        <v>La gente comienza a animarla y se muestra su repetición, y su puntaje de aproximadamente 28 se muestra en la parte inferior de la pantalla.</v>
      </c>
    </row>
    <row r="8881">
      <c r="A8881" s="4" t="s">
        <v>11173</v>
      </c>
      <c r="B8881" s="4" t="s">
        <v>11174</v>
      </c>
      <c r="C8881" s="5" t="str">
        <f>IFERROR(__xludf.DUMMYFUNCTION("GOOGLETRANSLATE(B8881,""en"",""es-ES"")"),"Una niña con uniforme de béisbol está parado al final de un juego de rayulación.")</f>
        <v>Una niña con uniforme de béisbol está parado al final de un juego de rayulación.</v>
      </c>
    </row>
    <row r="8882">
      <c r="A8882" s="4" t="s">
        <v>11173</v>
      </c>
      <c r="B8882" s="4" t="s">
        <v>11175</v>
      </c>
      <c r="C8882" s="5" t="str">
        <f>IFERROR(__xludf.DUMMYFUNCTION("GOOGLETRANSLATE(B8882,""en"",""es-ES"")"),"Una niña con una camisa roja está jugando a la raya.")</f>
        <v>Una niña con una camisa roja está jugando a la raya.</v>
      </c>
    </row>
    <row r="8883">
      <c r="A8883" s="4" t="s">
        <v>11173</v>
      </c>
      <c r="B8883" s="4" t="s">
        <v>11176</v>
      </c>
      <c r="C8883" s="5" t="str">
        <f>IFERROR(__xludf.DUMMYFUNCTION("GOOGLETRANSLATE(B8883,""en"",""es-ES"")"),"Un jugador de pelota está jugando a la hopoth.")</f>
        <v>Un jugador de pelota está jugando a la hopoth.</v>
      </c>
    </row>
    <row r="8884">
      <c r="A8884" s="4" t="s">
        <v>11173</v>
      </c>
      <c r="B8884" s="4" t="s">
        <v>11177</v>
      </c>
      <c r="C8884" s="5" t="str">
        <f>IFERROR(__xludf.DUMMYFUNCTION("GOOGLETRANSLATE(B8884,""en"",""es-ES"")"),"Las chicas se ríen el uno del otro.")</f>
        <v>Las chicas se ríen el uno del otro.</v>
      </c>
    </row>
    <row r="8885">
      <c r="A8885" s="4" t="s">
        <v>11178</v>
      </c>
      <c r="B8885" s="4" t="s">
        <v>11179</v>
      </c>
      <c r="C8885" s="5" t="str">
        <f>IFERROR(__xludf.DUMMYFUNCTION("GOOGLETRANSLATE(B8885,""en"",""es-ES"")"),"Se ven tres chicas sosteniendo una cuerda con una que se aleja y dos jugando tira y afloja.")</f>
        <v>Se ven tres chicas sosteniendo una cuerda con una que se aleja y dos jugando tira y afloja.</v>
      </c>
    </row>
    <row r="8886">
      <c r="A8886" s="4" t="s">
        <v>11178</v>
      </c>
      <c r="B8886" s="4" t="s">
        <v>11180</v>
      </c>
      <c r="C8886" s="5" t="str">
        <f>IFERROR(__xludf.DUMMYFUNCTION("GOOGLETRANSLATE(B8886,""en"",""es-ES"")"),"Dos chicas cambian de lugar y las dos finales compiten entre sí jugando a tira y afloja de regreso y cuarto.")</f>
        <v>Dos chicas cambian de lugar y las dos finales compiten entre sí jugando a tira y afloja de regreso y cuarto.</v>
      </c>
    </row>
    <row r="8887">
      <c r="A8887" s="4" t="s">
        <v>11181</v>
      </c>
      <c r="B8887" s="4" t="s">
        <v>11182</v>
      </c>
      <c r="C8887" s="5" t="str">
        <f>IFERROR(__xludf.DUMMYFUNCTION("GOOGLETRANSLATE(B8887,""en"",""es-ES"")"),"Se ve a una niña rodando por un largo camino con varias personas caminando a su alrededor.")</f>
        <v>Se ve a una niña rodando por un largo camino con varias personas caminando a su alrededor.</v>
      </c>
    </row>
    <row r="8888">
      <c r="A8888" s="4" t="s">
        <v>11181</v>
      </c>
      <c r="B8888" s="4" t="s">
        <v>11183</v>
      </c>
      <c r="C8888" s="5" t="str">
        <f>IFERROR(__xludf.DUMMYFUNCTION("GOOGLETRANSLATE(B8888,""en"",""es-ES"")"),"La cámara se acerca a su cara y muestra a todas las personas alrededor del área seguidas de los pies del camarógrafo.")</f>
        <v>La cámara se acerca a su cara y muestra a todas las personas alrededor del área seguidas de los pies del camarógrafo.</v>
      </c>
    </row>
    <row r="8889">
      <c r="A8889" s="4" t="s">
        <v>11184</v>
      </c>
      <c r="B8889" s="4" t="s">
        <v>11185</v>
      </c>
      <c r="C8889" s="5" t="str">
        <f>IFERROR(__xludf.DUMMYFUNCTION("GOOGLETRANSLATE(B8889,""en"",""es-ES"")"),"Este hombre lleva una camiseta sin mangas roja, pantalones cortos negros y zapatos.")</f>
        <v>Este hombre lleva una camiseta sin mangas roja, pantalones cortos negros y zapatos.</v>
      </c>
    </row>
    <row r="8890">
      <c r="A8890" s="4" t="s">
        <v>11184</v>
      </c>
      <c r="B8890" s="4" t="s">
        <v>11186</v>
      </c>
      <c r="C8890" s="5" t="str">
        <f>IFERROR(__xludf.DUMMYFUNCTION("GOOGLETRANSLATE(B8890,""en"",""es-ES"")"),"Corre en la pista de carreras y hace el triple salto en el que casi llega al final.")</f>
        <v>Corre en la pista de carreras y hace el triple salto en el que casi llega al final.</v>
      </c>
    </row>
    <row r="8891">
      <c r="A8891" s="4" t="s">
        <v>11187</v>
      </c>
      <c r="B8891" s="4" t="s">
        <v>11188</v>
      </c>
      <c r="C8891" s="5" t="str">
        <f>IFERROR(__xludf.DUMMYFUNCTION("GOOGLETRANSLATE(B8891,""en"",""es-ES"")"),"Una cámara se mueve alrededor de una ciudad y conduce a varios clips de personas que juegan en un casino.")</f>
        <v>Una cámara se mueve alrededor de una ciudad y conduce a varios clips de personas que juegan en un casino.</v>
      </c>
    </row>
    <row r="8892">
      <c r="A8892" s="4" t="s">
        <v>11187</v>
      </c>
      <c r="B8892" s="4" t="s">
        <v>11189</v>
      </c>
      <c r="C8892" s="5" t="str">
        <f>IFERROR(__xludf.DUMMYFUNCTION("GOOGLETRANSLATE(B8892,""en"",""es-ES"")"),"Se ve a un hombre hablando con la cámara y que es entrevistado por las noticias.")</f>
        <v>Se ve a un hombre hablando con la cámara y que es entrevistado por las noticias.</v>
      </c>
    </row>
    <row r="8893">
      <c r="A8893" s="4" t="s">
        <v>11187</v>
      </c>
      <c r="B8893" s="4" t="s">
        <v>11190</v>
      </c>
      <c r="C8893" s="5" t="str">
        <f>IFERROR(__xludf.DUMMYFUNCTION("GOOGLETRANSLATE(B8893,""en"",""es-ES"")"),"Se ve a más hombres entrevistados mientras muestran clips del casino.")</f>
        <v>Se ve a más hombres entrevistados mientras muestran clips del casino.</v>
      </c>
    </row>
    <row r="8894">
      <c r="A8894" s="4" t="s">
        <v>11191</v>
      </c>
      <c r="B8894" s="4" t="s">
        <v>11192</v>
      </c>
      <c r="C8894" s="5" t="str">
        <f>IFERROR(__xludf.DUMMYFUNCTION("GOOGLETRANSLATE(B8894,""en"",""es-ES"")"),"Se ve un primer plano de un fregadero con un limpiador en la parte superior mientras la cámara se acerca al fregadero.")</f>
        <v>Se ve un primer plano de un fregadero con un limpiador en la parte superior mientras la cámara se acerca al fregadero.</v>
      </c>
    </row>
    <row r="8895">
      <c r="A8895" s="4" t="s">
        <v>11191</v>
      </c>
      <c r="B8895" s="4" t="s">
        <v>11193</v>
      </c>
      <c r="C8895" s="5" t="str">
        <f>IFERROR(__xludf.DUMMYFUNCTION("GOOGLETRANSLATE(B8895,""en"",""es-ES"")"),"Luego se ve a una mujer frotando el fregadero con un trapo y muestra el fregadero al final.")</f>
        <v>Luego se ve a una mujer frotando el fregadero con un trapo y muestra el fregadero al final.</v>
      </c>
    </row>
    <row r="8896">
      <c r="A8896" s="4" t="s">
        <v>11194</v>
      </c>
      <c r="B8896" s="4" t="s">
        <v>11195</v>
      </c>
      <c r="C8896" s="5" t="str">
        <f>IFERROR(__xludf.DUMMYFUNCTION("GOOGLETRANSLATE(B8896,""en"",""es-ES"")"),"Se ve a una persona empujando una cortadora de césped en todo el patio.")</f>
        <v>Se ve a una persona empujando una cortadora de césped en todo el patio.</v>
      </c>
    </row>
    <row r="8897">
      <c r="A8897" s="4" t="s">
        <v>11194</v>
      </c>
      <c r="B8897" s="4" t="s">
        <v>11196</v>
      </c>
      <c r="C8897" s="5" t="str">
        <f>IFERROR(__xludf.DUMMYFUNCTION("GOOGLETRANSLATE(B8897,""en"",""es-ES"")"),"La persona empuja el cortacésped a lo largo del borde de la hierba y por el resto de la hierba.")</f>
        <v>La persona empuja el cortacésped a lo largo del borde de la hierba y por el resto de la hierba.</v>
      </c>
    </row>
    <row r="8898">
      <c r="A8898" s="4" t="s">
        <v>11194</v>
      </c>
      <c r="B8898" s="4" t="s">
        <v>11197</v>
      </c>
      <c r="C8898" s="5" t="str">
        <f>IFERROR(__xludf.DUMMYFUNCTION("GOOGLETRANSLATE(B8898,""en"",""es-ES"")"),"El hombre luego agarra un estallido de malezas y corta las malas hierbas a lo largo del borde.")</f>
        <v>El hombre luego agarra un estallido de malezas y corta las malas hierbas a lo largo del borde.</v>
      </c>
    </row>
    <row r="8899">
      <c r="A8899" s="4" t="s">
        <v>11198</v>
      </c>
      <c r="B8899" s="4" t="s">
        <v>11199</v>
      </c>
      <c r="C8899" s="5" t="str">
        <f>IFERROR(__xludf.DUMMYFUNCTION("GOOGLETRANSLATE(B8899,""en"",""es-ES"")"),"Se ve a un hombre moviendo una mesa de fooseball rápidamente como sea posible mientras otro hombre mira a un lado.")</f>
        <v>Se ve a un hombre moviendo una mesa de fooseball rápidamente como sea posible mientras otro hombre mira a un lado.</v>
      </c>
    </row>
    <row r="8900">
      <c r="A8900" s="4" t="s">
        <v>11198</v>
      </c>
      <c r="B8900" s="4" t="s">
        <v>11200</v>
      </c>
      <c r="C8900" s="5" t="str">
        <f>IFERROR(__xludf.DUMMYFUNCTION("GOOGLETRANSLATE(B8900,""en"",""es-ES"")"),"Luego, los hombres juegan un juego uno contra el otro mientras uno continúa moviendo los polacos rápidamente.")</f>
        <v>Luego, los hombres juegan un juego uno contra el otro mientras uno continúa moviendo los polacos rápidamente.</v>
      </c>
    </row>
    <row r="8901">
      <c r="A8901" s="4" t="s">
        <v>11201</v>
      </c>
      <c r="B8901" s="4" t="s">
        <v>11202</v>
      </c>
      <c r="C8901" s="5" t="str">
        <f>IFERROR(__xludf.DUMMYFUNCTION("GOOGLETRANSLATE(B8901,""en"",""es-ES"")"),"Se ve a un gran grupo de bailarines parados en un escenario y que comienza a realizar una rutina.")</f>
        <v>Se ve a un gran grupo de bailarines parados en un escenario y que comienza a realizar una rutina.</v>
      </c>
    </row>
    <row r="8902">
      <c r="A8902" s="4" t="s">
        <v>11201</v>
      </c>
      <c r="B8902" s="4" t="s">
        <v>11203</v>
      </c>
      <c r="C8902" s="5" t="str">
        <f>IFERROR(__xludf.DUMMYFUNCTION("GOOGLETRANSLATE(B8902,""en"",""es-ES"")"),"Las chicas continúan bailando entre sí y terminando sosteniendo una pose.")</f>
        <v>Las chicas continúan bailando entre sí y terminando sosteniendo una pose.</v>
      </c>
    </row>
    <row r="8903">
      <c r="A8903" s="4" t="s">
        <v>11204</v>
      </c>
      <c r="B8903" s="4" t="s">
        <v>11205</v>
      </c>
      <c r="C8903" s="5" t="str">
        <f>IFERROR(__xludf.DUMMYFUNCTION("GOOGLETRANSLATE(B8903,""en"",""es-ES"")"),"Un hombre está sentado con un acordeo en su regazo.")</f>
        <v>Un hombre está sentado con un acordeo en su regazo.</v>
      </c>
    </row>
    <row r="8904">
      <c r="A8904" s="4" t="s">
        <v>11204</v>
      </c>
      <c r="B8904" s="4" t="s">
        <v>11206</v>
      </c>
      <c r="C8904" s="5" t="str">
        <f>IFERROR(__xludf.DUMMYFUNCTION("GOOGLETRANSLATE(B8904,""en"",""es-ES"")"),"Él lo detiene mientras toca el teclado con su otra mano.")</f>
        <v>Él lo detiene mientras toca el teclado con su otra mano.</v>
      </c>
    </row>
    <row r="8905">
      <c r="A8905" s="4" t="s">
        <v>11204</v>
      </c>
      <c r="B8905" s="4" t="s">
        <v>11207</v>
      </c>
      <c r="C8905" s="5" t="str">
        <f>IFERROR(__xludf.DUMMYFUNCTION("GOOGLETRANSLATE(B8905,""en"",""es-ES"")"),"Se le muestra con dos acuerdos diferentes mientras continúa jugando.")</f>
        <v>Se le muestra con dos acuerdos diferentes mientras continúa jugando.</v>
      </c>
    </row>
    <row r="8906">
      <c r="A8906" s="4" t="s">
        <v>11208</v>
      </c>
      <c r="B8906" s="4" t="s">
        <v>11209</v>
      </c>
      <c r="C8906" s="5" t="str">
        <f>IFERROR(__xludf.DUMMYFUNCTION("GOOGLETRANSLATE(B8906,""en"",""es-ES"")"),"Un luchador está en el medio del ring esperando a su oponente.")</f>
        <v>Un luchador está en el medio del ring esperando a su oponente.</v>
      </c>
    </row>
    <row r="8907">
      <c r="A8907" s="4" t="s">
        <v>11208</v>
      </c>
      <c r="B8907" s="4" t="s">
        <v>11210</v>
      </c>
      <c r="C8907" s="5" t="str">
        <f>IFERROR(__xludf.DUMMYFUNCTION("GOOGLETRANSLATE(B8907,""en"",""es-ES"")"),"Una vez que entra, agarran una cuerda y comienzan a jugar tira y afloja con ella, tirando unos de otros.")</f>
        <v>Una vez que entra, agarran una cuerda y comienzan a jugar tira y afloja con ella, tirando unos de otros.</v>
      </c>
    </row>
    <row r="8908">
      <c r="A8908" s="4" t="s">
        <v>11208</v>
      </c>
      <c r="B8908" s="4" t="s">
        <v>11211</v>
      </c>
      <c r="C8908" s="5" t="str">
        <f>IFERROR(__xludf.DUMMYFUNCTION("GOOGLETRANSLATE(B8908,""en"",""es-ES"")"),"Luchan tratando de vencer al otro cuando finalmente el luchador de la cabeza roja hace que el otro caiga.")</f>
        <v>Luchan tratando de vencer al otro cuando finalmente el luchador de la cabeza roja hace que el otro caiga.</v>
      </c>
    </row>
    <row r="8909">
      <c r="A8909" s="4" t="s">
        <v>11208</v>
      </c>
      <c r="B8909" s="4" t="s">
        <v>11212</v>
      </c>
      <c r="C8909" s="5" t="str">
        <f>IFERROR(__xludf.DUMMYFUNCTION("GOOGLETRANSLATE(B8909,""en"",""es-ES"")"),"Se regode, saltando hacia arriba y hacia abajo y golpeando sus manos contra su pecho.")</f>
        <v>Se regode, saltando hacia arriba y hacia abajo y golpeando sus manos contra su pecho.</v>
      </c>
    </row>
    <row r="8910">
      <c r="A8910" s="4" t="s">
        <v>11213</v>
      </c>
      <c r="B8910" s="4" t="s">
        <v>11214</v>
      </c>
      <c r="C8910" s="5" t="str">
        <f>IFERROR(__xludf.DUMMYFUNCTION("GOOGLETRANSLATE(B8910,""en"",""es-ES"")"),"Un hombre se agacha en un estudio de baile.")</f>
        <v>Un hombre se agacha en un estudio de baile.</v>
      </c>
    </row>
    <row r="8911">
      <c r="A8911" s="4" t="s">
        <v>11213</v>
      </c>
      <c r="B8911" s="4" t="s">
        <v>11215</v>
      </c>
      <c r="C8911" s="5" t="str">
        <f>IFERROR(__xludf.DUMMYFUNCTION("GOOGLETRANSLATE(B8911,""en"",""es-ES"")"),"Se levanta sobre sus manos.")</f>
        <v>Se levanta sobre sus manos.</v>
      </c>
    </row>
    <row r="8912">
      <c r="A8912" s="4" t="s">
        <v>11213</v>
      </c>
      <c r="B8912" s="4" t="s">
        <v>11216</v>
      </c>
      <c r="C8912" s="5" t="str">
        <f>IFERROR(__xludf.DUMMYFUNCTION("GOOGLETRANSLATE(B8912,""en"",""es-ES"")"),"Él sostiene los pies en el aire.")</f>
        <v>Él sostiene los pies en el aire.</v>
      </c>
    </row>
    <row r="8913">
      <c r="A8913" s="4" t="s">
        <v>11213</v>
      </c>
      <c r="B8913" s="4" t="s">
        <v>11217</v>
      </c>
      <c r="C8913" s="5" t="str">
        <f>IFERROR(__xludf.DUMMYFUNCTION("GOOGLETRANSLATE(B8913,""en"",""es-ES"")"),"Luego se acuesta sobre su espalda en el suelo.")</f>
        <v>Luego se acuesta sobre su espalda en el suelo.</v>
      </c>
    </row>
    <row r="8914">
      <c r="A8914" s="4" t="s">
        <v>11218</v>
      </c>
      <c r="B8914" s="4" t="s">
        <v>11219</v>
      </c>
      <c r="C8914" s="5" t="str">
        <f>IFERROR(__xludf.DUMMYFUNCTION("GOOGLETRANSLATE(B8914,""en"",""es-ES"")"),"Una mujer rubia está jugando con perros, los está besando y viéndoles una ducha, la mujer sostiene una tijera y está cortando el cabello del perro.")</f>
        <v>Una mujer rubia está jugando con perros, los está besando y viéndoles una ducha, la mujer sostiene una tijera y está cortando el cabello del perro.</v>
      </c>
    </row>
    <row r="8915">
      <c r="A8915" s="4" t="s">
        <v>11218</v>
      </c>
      <c r="B8915" s="4" t="s">
        <v>11220</v>
      </c>
      <c r="C8915" s="5" t="str">
        <f>IFERROR(__xludf.DUMMYFUNCTION("GOOGLETRANSLATE(B8915,""en"",""es-ES"")"),"La mujer rubia está con un hermoso perro blanco en una mesa un consultorio de veterinario.")</f>
        <v>La mujer rubia está con un hermoso perro blanco en una mesa un consultorio de veterinario.</v>
      </c>
    </row>
    <row r="8916">
      <c r="A8916" s="4" t="s">
        <v>11218</v>
      </c>
      <c r="B8916" s="4" t="s">
        <v>11221</v>
      </c>
      <c r="C8916" s="5" t="str">
        <f>IFERROR(__xludf.DUMMYFUNCTION("GOOGLETRANSLATE(B8916,""en"",""es-ES"")"),"La mujer está con el perro negro y está peinando el cabello del perro.")</f>
        <v>La mujer está con el perro negro y está peinando el cabello del perro.</v>
      </c>
    </row>
    <row r="8917">
      <c r="A8917" s="4" t="s">
        <v>11218</v>
      </c>
      <c r="B8917" s="4" t="s">
        <v>11222</v>
      </c>
      <c r="C8917" s="5" t="str">
        <f>IFERROR(__xludf.DUMMYFUNCTION("GOOGLETRANSLATE(B8917,""en"",""es-ES"")"),"La mujer muestra sus diplomas y premios y está con un charco blanco peinado.")</f>
        <v>La mujer muestra sus diplomas y premios y está con un charco blanco peinado.</v>
      </c>
    </row>
    <row r="8918">
      <c r="A8918" s="4" t="s">
        <v>11218</v>
      </c>
      <c r="B8918" s="4" t="s">
        <v>11223</v>
      </c>
      <c r="C8918" s="5" t="str">
        <f>IFERROR(__xludf.DUMMYFUNCTION("GOOGLETRANSLATE(B8918,""en"",""es-ES"")"),"La mujer peina el cabello del perro negro y juega con él.")</f>
        <v>La mujer peina el cabello del perro negro y juega con él.</v>
      </c>
    </row>
    <row r="8919">
      <c r="A8919" s="4" t="s">
        <v>11218</v>
      </c>
      <c r="B8919" s="4" t="s">
        <v>11224</v>
      </c>
      <c r="C8919" s="5" t="str">
        <f>IFERROR(__xludf.DUMMYFUNCTION("GOOGLETRANSLATE(B8919,""en"",""es-ES"")"),"La mujer sostiene la pata de perro blanco y se corta las uñas.")</f>
        <v>La mujer sostiene la pata de perro blanco y se corta las uñas.</v>
      </c>
    </row>
    <row r="8920">
      <c r="A8920" s="4" t="s">
        <v>11218</v>
      </c>
      <c r="B8920" s="4" t="s">
        <v>11225</v>
      </c>
      <c r="C8920" s="5" t="str">
        <f>IFERROR(__xludf.DUMMYFUNCTION("GOOGLETRANSLATE(B8920,""en"",""es-ES"")"),"La mujer está con el perro negro dándole una ducha y peinándose el cabello.")</f>
        <v>La mujer está con el perro negro dándole una ducha y peinándose el cabello.</v>
      </c>
    </row>
    <row r="8921">
      <c r="A8921" s="4" t="s">
        <v>11218</v>
      </c>
      <c r="B8921" s="4" t="s">
        <v>11226</v>
      </c>
      <c r="C8921" s="5" t="str">
        <f>IFERROR(__xludf.DUMMYFUNCTION("GOOGLETRANSLATE(B8921,""en"",""es-ES"")"),"La mujer habla mientras en el fondo una mujer rubia está peinando un charco blanco.")</f>
        <v>La mujer habla mientras en el fondo una mujer rubia está peinando un charco blanco.</v>
      </c>
    </row>
    <row r="8922">
      <c r="A8922" s="4" t="s">
        <v>11218</v>
      </c>
      <c r="B8922" s="4" t="s">
        <v>11227</v>
      </c>
      <c r="C8922" s="5" t="str">
        <f>IFERROR(__xludf.DUMMYFUNCTION("GOOGLETRANSLATE(B8922,""en"",""es-ES"")"),"La mujer rubia sostiene el charco blanco y está hablando con la cámara, dando la dirección de la web al salón de perro, White muestra cómo peinar y bañar a los perros.")</f>
        <v>La mujer rubia sostiene el charco blanco y está hablando con la cámara, dando la dirección de la web al salón de perro, White muestra cómo peinar y bañar a los perros.</v>
      </c>
    </row>
    <row r="8923">
      <c r="A8923" s="4" t="s">
        <v>11228</v>
      </c>
      <c r="B8923" s="4" t="s">
        <v>11229</v>
      </c>
      <c r="C8923" s="5" t="str">
        <f>IFERROR(__xludf.DUMMYFUNCTION("GOOGLETRANSLATE(B8923,""en"",""es-ES"")"),"Se ve a un atleta de pie preparado sosteniendo un poste y comienza a correr por una gran pista sobre una viga.")</f>
        <v>Se ve a un atleta de pie preparado sosteniendo un poste y comienza a correr por una gran pista sobre una viga.</v>
      </c>
    </row>
    <row r="8924">
      <c r="A8924" s="4" t="s">
        <v>11228</v>
      </c>
      <c r="B8924" s="4" t="s">
        <v>11230</v>
      </c>
      <c r="C8924" s="5" t="str">
        <f>IFERROR(__xludf.DUMMYFUNCTION("GOOGLETRANSLATE(B8924,""en"",""es-ES"")"),"La mujer luego salta sobre la viga y arroja sus brazos al aire para celebrar y correr por el campo.")</f>
        <v>La mujer luego salta sobre la viga y arroja sus brazos al aire para celebrar y correr por el campo.</v>
      </c>
    </row>
    <row r="8925">
      <c r="A8925" s="4" t="s">
        <v>11228</v>
      </c>
      <c r="B8925" s="4" t="s">
        <v>11231</v>
      </c>
      <c r="C8925" s="5" t="str">
        <f>IFERROR(__xludf.DUMMYFUNCTION("GOOGLETRANSLATE(B8925,""en"",""es-ES"")"),"La mujer voltea la colchoneta mientras celebra y termina con su salto que se muestra nuevamente y su sentado frente a su puntaje.")</f>
        <v>La mujer voltea la colchoneta mientras celebra y termina con su salto que se muestra nuevamente y su sentado frente a su puntaje.</v>
      </c>
    </row>
    <row r="8926">
      <c r="A8926" s="4" t="s">
        <v>11232</v>
      </c>
      <c r="B8926" s="4" t="s">
        <v>11233</v>
      </c>
      <c r="C8926" s="5" t="str">
        <f>IFERROR(__xludf.DUMMYFUNCTION("GOOGLETRANSLATE(B8926,""en"",""es-ES"")"),"Se ve a una mujer joven parada junto a un caballo y hablando con un grupo pequeño.")</f>
        <v>Se ve a una mujer joven parada junto a un caballo y hablando con un grupo pequeño.</v>
      </c>
    </row>
    <row r="8927">
      <c r="A8927" s="4" t="s">
        <v>11232</v>
      </c>
      <c r="B8927" s="4" t="s">
        <v>11234</v>
      </c>
      <c r="C8927" s="5" t="str">
        <f>IFERROR(__xludf.DUMMYFUNCTION("GOOGLETRANSLATE(B8927,""en"",""es-ES"")"),"Ella empuja un poco el caballo y comienza a cepillarse su cola mientras todavía habla con el grupo.")</f>
        <v>Ella empuja un poco el caballo y comienza a cepillarse su cola mientras todavía habla con el grupo.</v>
      </c>
    </row>
    <row r="8928">
      <c r="A8928" s="4" t="s">
        <v>11232</v>
      </c>
      <c r="B8928" s="4" t="s">
        <v>11235</v>
      </c>
      <c r="C8928" s="5" t="str">
        <f>IFERROR(__xludf.DUMMYFUNCTION("GOOGLETRANSLATE(B8928,""en"",""es-ES"")"),"Ella deja de cepillarse mientras habla con el grupo y se aleja.")</f>
        <v>Ella deja de cepillarse mientras habla con el grupo y se aleja.</v>
      </c>
    </row>
    <row r="8929">
      <c r="A8929" s="4" t="s">
        <v>11236</v>
      </c>
      <c r="B8929" s="4" t="s">
        <v>11237</v>
      </c>
      <c r="C8929" s="5" t="str">
        <f>IFERROR(__xludf.DUMMYFUNCTION("GOOGLETRANSLATE(B8929,""en"",""es-ES"")"),"Un hombre ligeramente rotundo se muestra de pie en una cocina mientras sostiene una lata de bebida.")</f>
        <v>Un hombre ligeramente rotundo se muestra de pie en una cocina mientras sostiene una lata de bebida.</v>
      </c>
    </row>
    <row r="8930">
      <c r="A8930" s="4" t="s">
        <v>11236</v>
      </c>
      <c r="B8930" s="4" t="s">
        <v>11238</v>
      </c>
      <c r="C8930" s="5" t="str">
        <f>IFERROR(__xludf.DUMMYFUNCTION("GOOGLETRANSLATE(B8930,""en"",""es-ES"")"),"El hombre se ríe y habla con la cámara sobre la lata en su mano.")</f>
        <v>El hombre se ríe y habla con la cámara sobre la lata en su mano.</v>
      </c>
    </row>
    <row r="8931">
      <c r="A8931" s="4" t="s">
        <v>11236</v>
      </c>
      <c r="B8931" s="4" t="s">
        <v>11239</v>
      </c>
      <c r="C8931" s="5" t="str">
        <f>IFERROR(__xludf.DUMMYFUNCTION("GOOGLETRANSLATE(B8931,""en"",""es-ES"")"),"Vierta la bebida en un vaso y procede a beberla junto a un amigo.")</f>
        <v>Vierta la bebida en un vaso y procede a beberla junto a un amigo.</v>
      </c>
    </row>
    <row r="8932">
      <c r="A8932" s="4" t="s">
        <v>11236</v>
      </c>
      <c r="B8932" s="4" t="s">
        <v>11240</v>
      </c>
      <c r="C8932" s="5" t="str">
        <f>IFERROR(__xludf.DUMMYFUNCTION("GOOGLETRANSLATE(B8932,""en"",""es-ES"")"),"Los dos hombres beben el contenido de sus gafas mientras hablan.")</f>
        <v>Los dos hombres beben el contenido de sus gafas mientras hablan.</v>
      </c>
    </row>
    <row r="8933">
      <c r="A8933" s="4" t="s">
        <v>11241</v>
      </c>
      <c r="B8933" s="4" t="s">
        <v>11242</v>
      </c>
      <c r="C8933" s="5" t="str">
        <f>IFERROR(__xludf.DUMMYFUNCTION("GOOGLETRANSLATE(B8933,""en"",""es-ES"")"),"Se ve a una mujer hablando con la cámara y colocando sus manos sobre un par de pantalones en una mesa de planchar.")</f>
        <v>Se ve a una mujer hablando con la cámara y colocando sus manos sobre un par de pantalones en una mesa de planchar.</v>
      </c>
    </row>
    <row r="8934">
      <c r="A8934" s="4" t="s">
        <v>11241</v>
      </c>
      <c r="B8934" s="4" t="s">
        <v>11243</v>
      </c>
      <c r="C8934" s="5" t="str">
        <f>IFERROR(__xludf.DUMMYFUNCTION("GOOGLETRANSLATE(B8934,""en"",""es-ES"")"),"Ella comienza a planchar los pantalones y termina mostrando el pliegue que hizo en el medio.")</f>
        <v>Ella comienza a planchar los pantalones y termina mostrando el pliegue que hizo en el medio.</v>
      </c>
    </row>
    <row r="8935">
      <c r="A8935" s="4" t="s">
        <v>11244</v>
      </c>
      <c r="B8935" s="4" t="s">
        <v>11245</v>
      </c>
      <c r="C8935" s="5" t="str">
        <f>IFERROR(__xludf.DUMMYFUNCTION("GOOGLETRANSLATE(B8935,""en"",""es-ES"")"),"Hay un hombre parado en una cocina y lavado las manos en el fregadero de la cocina de acero.")</f>
        <v>Hay un hombre parado en una cocina y lavado las manos en el fregadero de la cocina de acero.</v>
      </c>
    </row>
    <row r="8936">
      <c r="A8936" s="4" t="s">
        <v>11244</v>
      </c>
      <c r="B8936" s="4" t="s">
        <v>11246</v>
      </c>
      <c r="C8936" s="5" t="str">
        <f>IFERROR(__xludf.DUMMYFUNCTION("GOOGLETRANSLATE(B8936,""en"",""es-ES"")"),"Toma una bomba del jabón de mano líquido del mostrador del fregadero.")</f>
        <v>Toma una bomba del jabón de mano líquido del mostrador del fregadero.</v>
      </c>
    </row>
    <row r="8937">
      <c r="A8937" s="4" t="s">
        <v>11244</v>
      </c>
      <c r="B8937" s="4" t="s">
        <v>11247</v>
      </c>
      <c r="C8937" s="5" t="str">
        <f>IFERROR(__xludf.DUMMYFUNCTION("GOOGLETRANSLATE(B8937,""en"",""es-ES"")"),"Luego enciende el agua y se lava las manos.")</f>
        <v>Luego enciende el agua y se lava las manos.</v>
      </c>
    </row>
    <row r="8938">
      <c r="A8938" s="4" t="s">
        <v>11244</v>
      </c>
      <c r="B8938" s="4" t="s">
        <v>11248</v>
      </c>
      <c r="C8938" s="5" t="str">
        <f>IFERROR(__xludf.DUMMYFUNCTION("GOOGLETRANSLATE(B8938,""en"",""es-ES"")"),"Después de haber terminado de lavarse, usa una toalla de mano blanca que está al lado del fregadero en el mostrador.")</f>
        <v>Después de haber terminado de lavarse, usa una toalla de mano blanca que está al lado del fregadero en el mostrador.</v>
      </c>
    </row>
    <row r="8939">
      <c r="A8939" s="4" t="s">
        <v>11249</v>
      </c>
      <c r="B8939" s="4" t="s">
        <v>11250</v>
      </c>
      <c r="C8939" s="5" t="str">
        <f>IFERROR(__xludf.DUMMYFUNCTION("GOOGLETRANSLATE(B8939,""en"",""es-ES"")"),"Un hombre está usando una cachimba dentro de una habitación.")</f>
        <v>Un hombre está usando una cachimba dentro de una habitación.</v>
      </c>
    </row>
    <row r="8940">
      <c r="A8940" s="4" t="s">
        <v>11249</v>
      </c>
      <c r="B8940" s="4" t="s">
        <v>11251</v>
      </c>
      <c r="C8940" s="5" t="str">
        <f>IFERROR(__xludf.DUMMYFUNCTION("GOOGLETRANSLATE(B8940,""en"",""es-ES"")"),"Gira y sopla un pilar de humo.")</f>
        <v>Gira y sopla un pilar de humo.</v>
      </c>
    </row>
    <row r="8941">
      <c r="A8941" s="4" t="s">
        <v>11249</v>
      </c>
      <c r="B8941" s="4" t="s">
        <v>11252</v>
      </c>
      <c r="C8941" s="5" t="str">
        <f>IFERROR(__xludf.DUMMYFUNCTION("GOOGLETRANSLATE(B8941,""en"",""es-ES"")"),"Otro hombre toma la narguile y también recibe un golpe.")</f>
        <v>Otro hombre toma la narguile y también recibe un golpe.</v>
      </c>
    </row>
    <row r="8942">
      <c r="A8942" s="4" t="s">
        <v>11253</v>
      </c>
      <c r="B8942" s="4" t="s">
        <v>11254</v>
      </c>
      <c r="C8942" s="5" t="str">
        <f>IFERROR(__xludf.DUMMYFUNCTION("GOOGLETRANSLATE(B8942,""en"",""es-ES"")"),"Una niña demuestra varios bailes avanzados y movimientos de gimnasia en muchos lugares diferentes en toda una ciudad.")</f>
        <v>Una niña demuestra varios bailes avanzados y movimientos de gimnasia en muchos lugares diferentes en toda una ciudad.</v>
      </c>
    </row>
    <row r="8943">
      <c r="A8943" s="4" t="s">
        <v>11253</v>
      </c>
      <c r="B8943" s="4" t="s">
        <v>11255</v>
      </c>
      <c r="C8943" s="5" t="str">
        <f>IFERROR(__xludf.DUMMYFUNCTION("GOOGLETRANSLATE(B8943,""en"",""es-ES"")"),"Una niña se para en un campo cubierto de hierba y acera pavimentada y realiza varias volteretas de gimnasia y movimientos de porristas.")</f>
        <v>Una niña se para en un campo cubierto de hierba y acera pavimentada y realiza varias volteretas de gimnasia y movimientos de porristas.</v>
      </c>
    </row>
    <row r="8944">
      <c r="A8944" s="4" t="s">
        <v>11253</v>
      </c>
      <c r="B8944" s="4" t="s">
        <v>11256</v>
      </c>
      <c r="C8944" s="5" t="str">
        <f>IFERROR(__xludf.DUMMYFUNCTION("GOOGLETRANSLATE(B8944,""en"",""es-ES"")"),"Luego, la niña regresa a la hierba y hace varios backflips más avanzados.")</f>
        <v>Luego, la niña regresa a la hierba y hace varios backflips más avanzados.</v>
      </c>
    </row>
    <row r="8945">
      <c r="A8945" s="4" t="s">
        <v>11253</v>
      </c>
      <c r="B8945" s="4" t="s">
        <v>11257</v>
      </c>
      <c r="C8945" s="5" t="str">
        <f>IFERROR(__xludf.DUMMYFUNCTION("GOOGLETRANSLATE(B8945,""en"",""es-ES"")"),"La niña avanza a una pasarela de madera y realiza movimientos de baile y realiza una parada de manos en otro lugar.")</f>
        <v>La niña avanza a una pasarela de madera y realiza movimientos de baile y realiza una parada de manos en otro lugar.</v>
      </c>
    </row>
    <row r="8946">
      <c r="A8946" s="4" t="s">
        <v>11253</v>
      </c>
      <c r="B8946" s="4" t="s">
        <v>11258</v>
      </c>
      <c r="C8946" s="5" t="str">
        <f>IFERROR(__xludf.DUMMYFUNCTION("GOOGLETRANSLATE(B8946,""en"",""es-ES"")"),"El video finalmente termina con la chica realizando movimientos de baile en un túnel y acera.")</f>
        <v>El video finalmente termina con la chica realizando movimientos de baile en un túnel y acera.</v>
      </c>
    </row>
    <row r="8947">
      <c r="A8947" s="4" t="s">
        <v>11259</v>
      </c>
      <c r="B8947" s="4" t="s">
        <v>11260</v>
      </c>
      <c r="C8947" s="5" t="str">
        <f>IFERROR(__xludf.DUMMYFUNCTION("GOOGLETRANSLATE(B8947,""en"",""es-ES"")"),"Un hombre se está cortando barba con tijeras.")</f>
        <v>Un hombre se está cortando barba con tijeras.</v>
      </c>
    </row>
    <row r="8948">
      <c r="A8948" s="4" t="s">
        <v>11259</v>
      </c>
      <c r="B8948" s="4" t="s">
        <v>11261</v>
      </c>
      <c r="C8948" s="5" t="str">
        <f>IFERROR(__xludf.DUMMYFUNCTION("GOOGLETRANSLATE(B8948,""en"",""es-ES"")"),"Él usa una rasuradora para afeitarse la barba.")</f>
        <v>Él usa una rasuradora para afeitarse la barba.</v>
      </c>
    </row>
    <row r="8949">
      <c r="A8949" s="4" t="s">
        <v>11259</v>
      </c>
      <c r="B8949" s="4" t="s">
        <v>11262</v>
      </c>
      <c r="C8949" s="5" t="str">
        <f>IFERROR(__xludf.DUMMYFUNCTION("GOOGLETRANSLATE(B8949,""en"",""es-ES"")"),"Recoge el cabello en el fregadero.")</f>
        <v>Recoge el cabello en el fregadero.</v>
      </c>
    </row>
    <row r="8950">
      <c r="A8950" s="4" t="s">
        <v>11259</v>
      </c>
      <c r="B8950" s="4" t="s">
        <v>11263</v>
      </c>
      <c r="C8950" s="5" t="str">
        <f>IFERROR(__xludf.DUMMYFUNCTION("GOOGLETRANSLATE(B8950,""en"",""es-ES"")"),"Se pone la crema de afeitar en la cara y usa una maquinilla de afeitar para terminar de afeitarse.")</f>
        <v>Se pone la crema de afeitar en la cara y usa una maquinilla de afeitar para terminar de afeitarse.</v>
      </c>
    </row>
    <row r="8951">
      <c r="A8951" s="4" t="s">
        <v>11259</v>
      </c>
      <c r="B8951" s="4" t="s">
        <v>11264</v>
      </c>
      <c r="C8951" s="5" t="str">
        <f>IFERROR(__xludf.DUMMYFUNCTION("GOOGLETRANSLATE(B8951,""en"",""es-ES"")"),"Se limpia la cara con una toalla.")</f>
        <v>Se limpia la cara con una toalla.</v>
      </c>
    </row>
    <row r="8952">
      <c r="A8952" s="4" t="s">
        <v>11259</v>
      </c>
      <c r="B8952" s="4" t="s">
        <v>11265</v>
      </c>
      <c r="C8952" s="5" t="str">
        <f>IFERROR(__xludf.DUMMYFUNCTION("GOOGLETRANSLATE(B8952,""en"",""es-ES"")"),"Él sonríe y da un pulgar hacia arriba.")</f>
        <v>Él sonríe y da un pulgar hacia arriba.</v>
      </c>
    </row>
    <row r="8953">
      <c r="A8953" s="4" t="s">
        <v>11266</v>
      </c>
      <c r="B8953" s="4" t="s">
        <v>11267</v>
      </c>
      <c r="C8953" s="5" t="str">
        <f>IFERROR(__xludf.DUMMYFUNCTION("GOOGLETRANSLATE(B8953,""en"",""es-ES"")"),"Un hombre corre por dos calles en un maratón, en un entorno de la ciudad, como los espectadores de la línea lateral Cheer and Clap.")</f>
        <v>Un hombre corre por dos calles en un maratón, en un entorno de la ciudad, como los espectadores de la línea lateral Cheer and Clap.</v>
      </c>
    </row>
    <row r="8954">
      <c r="A8954" s="4" t="s">
        <v>11266</v>
      </c>
      <c r="B8954" s="4" t="s">
        <v>11268</v>
      </c>
      <c r="C8954" s="5" t="str">
        <f>IFERROR(__xludf.DUMMYFUNCTION("GOOGLETRANSLATE(B8954,""en"",""es-ES"")"),"Un hombre con pantalones cortos negros con un número clavado en su pecho está corriendo por una calle de la ciudad en un maratón.")</f>
        <v>Un hombre con pantalones cortos negros con un número clavado en su pecho está corriendo por una calle de la ciudad en un maratón.</v>
      </c>
    </row>
    <row r="8955">
      <c r="A8955" s="4" t="s">
        <v>11266</v>
      </c>
      <c r="B8955" s="4" t="s">
        <v>11269</v>
      </c>
      <c r="C8955" s="5" t="str">
        <f>IFERROR(__xludf.DUMMYFUNCTION("GOOGLETRANSLATE(B8955,""en"",""es-ES"")"),"La gente al margen aplaude al hombre y sonriendo mientras continúa corriendo.")</f>
        <v>La gente al margen aplaude al hombre y sonriendo mientras continúa corriendo.</v>
      </c>
    </row>
    <row r="8956">
      <c r="A8956" s="4" t="s">
        <v>11266</v>
      </c>
      <c r="B8956" s="4" t="s">
        <v>11270</v>
      </c>
      <c r="C8956" s="5" t="str">
        <f>IFERROR(__xludf.DUMMYFUNCTION("GOOGLETRANSLATE(B8956,""en"",""es-ES"")"),"El hombre corre por otra calle donde corre por un corto tiempo detrás de un ciclero, y cuando un motociclista aparece detrás de él cerca de la acera que tiene una barrera de metal que se extiende a lo largo.")</f>
        <v>El hombre corre por otra calle donde corre por un corto tiempo detrás de un ciclero, y cuando un motociclista aparece detrás de él cerca de la acera que tiene una barrera de metal que se extiende a lo largo.</v>
      </c>
    </row>
    <row r="8957">
      <c r="A8957" s="4" t="s">
        <v>11271</v>
      </c>
      <c r="B8957" s="4" t="s">
        <v>11272</v>
      </c>
      <c r="C8957" s="5" t="str">
        <f>IFERROR(__xludf.DUMMYFUNCTION("GOOGLETRANSLATE(B8957,""en"",""es-ES"")"),"Un violinista, Lindsay Stirling, está actuando en vivo con otros participantes en un escenario frente a una audiencia.")</f>
        <v>Un violinista, Lindsay Stirling, está actuando en vivo con otros participantes en un escenario frente a una audiencia.</v>
      </c>
    </row>
    <row r="8958">
      <c r="A8958" s="4" t="s">
        <v>11271</v>
      </c>
      <c r="B8958" s="4" t="s">
        <v>11273</v>
      </c>
      <c r="C8958" s="5" t="str">
        <f>IFERROR(__xludf.DUMMYFUNCTION("GOOGLETRANSLATE(B8958,""en"",""es-ES"")"),"Ella comienza tocando el violín mientras los otros artistas bailan de manera coreografiada.")</f>
        <v>Ella comienza tocando el violín mientras los otros artistas bailan de manera coreografiada.</v>
      </c>
    </row>
    <row r="8959">
      <c r="A8959" s="4" t="s">
        <v>11271</v>
      </c>
      <c r="B8959" s="4" t="s">
        <v>11274</v>
      </c>
      <c r="C8959" s="5" t="str">
        <f>IFERROR(__xludf.DUMMYFUNCTION("GOOGLETRANSLATE(B8959,""en"",""es-ES"")"),"El violinista baila mientras toca el instrumento junto con otros cinco bailarines.")</f>
        <v>El violinista baila mientras toca el instrumento junto con otros cinco bailarines.</v>
      </c>
    </row>
    <row r="8960">
      <c r="A8960" s="4" t="s">
        <v>11271</v>
      </c>
      <c r="B8960" s="4" t="s">
        <v>11275</v>
      </c>
      <c r="C8960" s="5" t="str">
        <f>IFERROR(__xludf.DUMMYFUNCTION("GOOGLETRANSLATE(B8960,""en"",""es-ES"")"),"Bailan en un estilo moderno y hip hop de baile.")</f>
        <v>Bailan en un estilo moderno y hip hop de baile.</v>
      </c>
    </row>
    <row r="8961">
      <c r="A8961" s="4" t="s">
        <v>11271</v>
      </c>
      <c r="B8961" s="4" t="s">
        <v>11276</v>
      </c>
      <c r="C8961" s="5" t="str">
        <f>IFERROR(__xludf.DUMMYFUNCTION("GOOGLETRANSLATE(B8961,""en"",""es-ES"")"),"Entonces, solo dos de los bailarines permanecen en el escenario con el violinista y bailan en un estilo de salsa.")</f>
        <v>Entonces, solo dos de los bailarines permanecen en el escenario con el violinista y bailan en un estilo de salsa.</v>
      </c>
    </row>
    <row r="8962">
      <c r="A8962" s="4" t="s">
        <v>11271</v>
      </c>
      <c r="B8962" s="4" t="s">
        <v>11277</v>
      </c>
      <c r="C8962" s="5" t="str">
        <f>IFERROR(__xludf.DUMMYFUNCTION("GOOGLETRANSLATE(B8962,""en"",""es-ES"")"),"Después de abandonar el escenario, uno de los bailarines masculinos hace un estilo moderno de baile mientras gira de rodillas.")</f>
        <v>Después de abandonar el escenario, uno de los bailarines masculinos hace un estilo moderno de baile mientras gira de rodillas.</v>
      </c>
    </row>
    <row r="8963">
      <c r="A8963" s="4" t="s">
        <v>11271</v>
      </c>
      <c r="B8963" s="4" t="s">
        <v>11278</v>
      </c>
      <c r="C8963" s="5" t="str">
        <f>IFERROR(__xludf.DUMMYFUNCTION("GOOGLETRANSLATE(B8963,""en"",""es-ES"")"),"Luego, todo el equipo de baile sube al escenario y continúa bailando en pasos coordinados mientras el violinista juega y baila junto con ellos.")</f>
        <v>Luego, todo el equipo de baile sube al escenario y continúa bailando en pasos coordinados mientras el violinista juega y baila junto con ellos.</v>
      </c>
    </row>
    <row r="8964">
      <c r="A8964" s="4" t="s">
        <v>11271</v>
      </c>
      <c r="B8964" s="4" t="s">
        <v>11279</v>
      </c>
      <c r="C8964" s="5" t="str">
        <f>IFERROR(__xludf.DUMMYFUNCTION("GOOGLETRANSLATE(B8964,""en"",""es-ES"")"),"Luego dejan el escenario con solo el violinista actuando mientras ella continúa bailando y tocando el instrumento.")</f>
        <v>Luego dejan el escenario con solo el violinista actuando mientras ella continúa bailando y tocando el instrumento.</v>
      </c>
    </row>
    <row r="8965">
      <c r="A8965" s="4" t="s">
        <v>11280</v>
      </c>
      <c r="B8965" s="4" t="s">
        <v>11281</v>
      </c>
      <c r="C8965" s="5" t="str">
        <f>IFERROR(__xludf.DUMMYFUNCTION("GOOGLETRANSLATE(B8965,""en"",""es-ES"")"),"Un levantador de pesas se prepara para su primer ascensor.")</f>
        <v>Un levantador de pesas se prepara para su primer ascensor.</v>
      </c>
    </row>
    <row r="8966">
      <c r="A8966" s="4" t="s">
        <v>11280</v>
      </c>
      <c r="B8966" s="4" t="s">
        <v>11282</v>
      </c>
      <c r="C8966" s="5" t="str">
        <f>IFERROR(__xludf.DUMMYFUNCTION("GOOGLETRANSLATE(B8966,""en"",""es-ES"")"),"Los amigos están viendo y una película.")</f>
        <v>Los amigos están viendo y una película.</v>
      </c>
    </row>
    <row r="8967">
      <c r="A8967" s="4" t="s">
        <v>11280</v>
      </c>
      <c r="B8967" s="4" t="s">
        <v>11283</v>
      </c>
      <c r="C8967" s="5" t="str">
        <f>IFERROR(__xludf.DUMMYFUNCTION("GOOGLETRANSLATE(B8967,""en"",""es-ES"")"),"Él se pone en cuclillas y levanta la barra.")</f>
        <v>Él se pone en cuclillas y levanta la barra.</v>
      </c>
    </row>
    <row r="8968">
      <c r="A8968" s="4" t="s">
        <v>11280</v>
      </c>
      <c r="B8968" s="4" t="s">
        <v>11284</v>
      </c>
      <c r="C8968" s="5" t="str">
        <f>IFERROR(__xludf.DUMMYFUNCTION("GOOGLETRANSLATE(B8968,""en"",""es-ES"")"),"Lo sostiene por un momento, luego lo deja caer.")</f>
        <v>Lo sostiene por un momento, luego lo deja caer.</v>
      </c>
    </row>
    <row r="8969">
      <c r="A8969" s="4" t="s">
        <v>11280</v>
      </c>
      <c r="B8969" s="4" t="s">
        <v>11285</v>
      </c>
      <c r="C8969" s="5" t="str">
        <f>IFERROR(__xludf.DUMMYFUNCTION("GOOGLETRANSLATE(B8969,""en"",""es-ES"")"),"Comienza de nuevo y completa un segundo ascensor.")</f>
        <v>Comienza de nuevo y completa un segundo ascensor.</v>
      </c>
    </row>
    <row r="8970">
      <c r="A8970" s="4" t="s">
        <v>11286</v>
      </c>
      <c r="B8970" s="4" t="s">
        <v>11287</v>
      </c>
      <c r="C8970" s="5" t="str">
        <f>IFERROR(__xludf.DUMMYFUNCTION("GOOGLETRANSLATE(B8970,""en"",""es-ES"")"),"Un grupo de personas se ve de pie en un campo cuando un hombre corre hacia una mujer con una pelota de fútbol.")</f>
        <v>Un grupo de personas se ve de pie en un campo cuando un hombre corre hacia una mujer con una pelota de fútbol.</v>
      </c>
    </row>
    <row r="8971">
      <c r="A8971" s="4" t="s">
        <v>11286</v>
      </c>
      <c r="B8971" s="4" t="s">
        <v>11288</v>
      </c>
      <c r="C8971" s="5" t="str">
        <f>IFERROR(__xludf.DUMMYFUNCTION("GOOGLETRANSLATE(B8971,""en"",""es-ES"")"),"Una chica se balancea a otra mientras un hombre agarra una pelota y la arroja a otra.")</f>
        <v>Una chica se balancea a otra mientras un hombre agarra una pelota y la arroja a otra.</v>
      </c>
    </row>
    <row r="8972">
      <c r="A8972" s="4" t="s">
        <v>11289</v>
      </c>
      <c r="B8972" s="4" t="s">
        <v>11290</v>
      </c>
      <c r="C8972" s="5" t="str">
        <f>IFERROR(__xludf.DUMMYFUNCTION("GOOGLETRANSLATE(B8972,""en"",""es-ES"")"),"Una mujer sostiene a un gato en su regazo.")</f>
        <v>Una mujer sostiene a un gato en su regazo.</v>
      </c>
    </row>
    <row r="8973">
      <c r="A8973" s="4" t="s">
        <v>11289</v>
      </c>
      <c r="B8973" s="4" t="s">
        <v>11291</v>
      </c>
      <c r="C8973" s="5" t="str">
        <f>IFERROR(__xludf.DUMMYFUNCTION("GOOGLETRANSLATE(B8973,""en"",""es-ES"")"),"El gato está golpeando a la pareja de recortadores en su mano.")</f>
        <v>El gato está golpeando a la pareja de recortadores en su mano.</v>
      </c>
    </row>
    <row r="8974">
      <c r="A8974" s="4" t="s">
        <v>11289</v>
      </c>
      <c r="B8974" s="4" t="s">
        <v>11292</v>
      </c>
      <c r="C8974" s="5" t="str">
        <f>IFERROR(__xludf.DUMMYFUNCTION("GOOGLETRANSLATE(B8974,""en"",""es-ES"")"),"Ella usa los recortadores para cortar las uñas del gato, una a la vez.")</f>
        <v>Ella usa los recortadores para cortar las uñas del gato, una a la vez.</v>
      </c>
    </row>
    <row r="8975">
      <c r="A8975" s="4" t="s">
        <v>11293</v>
      </c>
      <c r="B8975" s="4" t="s">
        <v>11294</v>
      </c>
      <c r="C8975" s="5" t="str">
        <f>IFERROR(__xludf.DUMMYFUNCTION("GOOGLETRANSLATE(B8975,""en"",""es-ES"")"),"Una persona se acerca a una aspiradora y recoge la varita.")</f>
        <v>Una persona se acerca a una aspiradora y recoge la varita.</v>
      </c>
    </row>
    <row r="8976">
      <c r="A8976" s="4" t="s">
        <v>11293</v>
      </c>
      <c r="B8976" s="4" t="s">
        <v>11295</v>
      </c>
      <c r="C8976" s="5" t="str">
        <f>IFERROR(__xludf.DUMMYFUNCTION("GOOGLETRANSLATE(B8976,""en"",""es-ES"")"),"La persona aspira una alfombra en el pasillo de una casa.")</f>
        <v>La persona aspira una alfombra en el pasillo de una casa.</v>
      </c>
    </row>
    <row r="8977">
      <c r="A8977" s="4" t="s">
        <v>11293</v>
      </c>
      <c r="B8977" s="4" t="s">
        <v>11296</v>
      </c>
      <c r="C8977" s="5" t="str">
        <f>IFERROR(__xludf.DUMMYFUNCTION("GOOGLETRANSLATE(B8977,""en"",""es-ES"")"),"La persona apaga el vacío y luego reemplaza el accesorio con una más grande para alfombras.")</f>
        <v>La persona apaga el vacío y luego reemplaza el accesorio con una más grande para alfombras.</v>
      </c>
    </row>
    <row r="8978">
      <c r="A8978" s="4" t="s">
        <v>11293</v>
      </c>
      <c r="B8978" s="4" t="s">
        <v>11297</v>
      </c>
      <c r="C8978" s="5" t="str">
        <f>IFERROR(__xludf.DUMMYFUNCTION("GOOGLETRANSLATE(B8978,""en"",""es-ES"")"),"La persona ajusta una perilla en la aspiradora.")</f>
        <v>La persona ajusta una perilla en la aspiradora.</v>
      </c>
    </row>
    <row r="8979">
      <c r="A8979" s="4" t="s">
        <v>11298</v>
      </c>
      <c r="B8979" s="4" t="s">
        <v>11299</v>
      </c>
      <c r="C8979" s="5" t="str">
        <f>IFERROR(__xludf.DUMMYFUNCTION("GOOGLETRANSLATE(B8979,""en"",""es-ES"")"),"Un hombre se arrodilla sobre una rodilla en una habitación y habla con la cámara.")</f>
        <v>Un hombre se arrodilla sobre una rodilla en una habitación y habla con la cámara.</v>
      </c>
    </row>
    <row r="8980">
      <c r="A8980" s="4" t="s">
        <v>11298</v>
      </c>
      <c r="B8980" s="4" t="s">
        <v>11300</v>
      </c>
      <c r="C8980" s="5" t="str">
        <f>IFERROR(__xludf.DUMMYFUNCTION("GOOGLETRANSLATE(B8980,""en"",""es-ES"")"),"El hombre levanta su brazo derecho y se acerca al suelo con la mano izquierda.")</f>
        <v>El hombre levanta su brazo derecho y se acerca al suelo con la mano izquierda.</v>
      </c>
    </row>
    <row r="8981">
      <c r="A8981" s="4" t="s">
        <v>11298</v>
      </c>
      <c r="B8981" s="4" t="s">
        <v>11301</v>
      </c>
      <c r="C8981" s="5" t="str">
        <f>IFERROR(__xludf.DUMMYFUNCTION("GOOGLETRANSLATE(B8981,""en"",""es-ES"")"),"El hombre cambia y hace el otro lado.")</f>
        <v>El hombre cambia y hace el otro lado.</v>
      </c>
    </row>
    <row r="8982">
      <c r="A8982" s="4" t="s">
        <v>11302</v>
      </c>
      <c r="B8982" s="4" t="s">
        <v>11303</v>
      </c>
      <c r="C8982" s="5" t="str">
        <f>IFERROR(__xludf.DUMMYFUNCTION("GOOGLETRANSLATE(B8982,""en"",""es-ES"")"),"Se ve un gran patio cubierto de nieve con una persona que camina hacia el marco.")</f>
        <v>Se ve un gran patio cubierto de nieve con una persona que camina hacia el marco.</v>
      </c>
    </row>
    <row r="8983">
      <c r="A8983" s="4" t="s">
        <v>11302</v>
      </c>
      <c r="B8983" s="4" t="s">
        <v>11304</v>
      </c>
      <c r="C8983" s="5" t="str">
        <f>IFERROR(__xludf.DUMMYFUNCTION("GOOGLETRANSLATE(B8983,""en"",""es-ES"")"),"Se ve al hombre sosteniendo una pala y comienza a empujarla por el área.")</f>
        <v>Se ve al hombre sosteniendo una pala y comienza a empujarla por el área.</v>
      </c>
    </row>
    <row r="8984">
      <c r="A8984" s="4" t="s">
        <v>11302</v>
      </c>
      <c r="B8984" s="4" t="s">
        <v>11305</v>
      </c>
      <c r="C8984" s="5" t="str">
        <f>IFERROR(__xludf.DUMMYFUNCTION("GOOGLETRANSLATE(B8984,""en"",""es-ES"")"),"El hombre limpia toda la nieve y muestra un camino al final.")</f>
        <v>El hombre limpia toda la nieve y muestra un camino al final.</v>
      </c>
    </row>
    <row r="8985">
      <c r="A8985" s="4" t="s">
        <v>11306</v>
      </c>
      <c r="B8985" s="4" t="s">
        <v>11307</v>
      </c>
      <c r="C8985" s="5" t="str">
        <f>IFERROR(__xludf.DUMMYFUNCTION("GOOGLETRANSLATE(B8985,""en"",""es-ES"")"),"Un hombre está cortando su césped alrededor de un árbol frente a su casa.")</f>
        <v>Un hombre está cortando su césped alrededor de un árbol frente a su casa.</v>
      </c>
    </row>
    <row r="8986">
      <c r="A8986" s="4" t="s">
        <v>11306</v>
      </c>
      <c r="B8986" s="4" t="s">
        <v>11308</v>
      </c>
      <c r="C8986" s="5" t="str">
        <f>IFERROR(__xludf.DUMMYFUNCTION("GOOGLETRANSLATE(B8986,""en"",""es-ES"")"),"Camina de un lado a otro, evitando las rocas.")</f>
        <v>Camina de un lado a otro, evitando las rocas.</v>
      </c>
    </row>
    <row r="8987">
      <c r="A8987" s="4" t="s">
        <v>11306</v>
      </c>
      <c r="B8987" s="4" t="s">
        <v>11309</v>
      </c>
      <c r="C8987" s="5" t="str">
        <f>IFERROR(__xludf.DUMMYFUNCTION("GOOGLETRANSLATE(B8987,""en"",""es-ES"")"),"Gira en el camino de entrada y regresa nuevamente.")</f>
        <v>Gira en el camino de entrada y regresa nuevamente.</v>
      </c>
    </row>
    <row r="8988">
      <c r="A8988" s="4" t="s">
        <v>11310</v>
      </c>
      <c r="B8988" s="4" t="s">
        <v>11311</v>
      </c>
      <c r="C8988" s="5" t="str">
        <f>IFERROR(__xludf.DUMMYFUNCTION("GOOGLETRANSLATE(B8988,""en"",""es-ES"")"),"Una mujer con un vestido que sostiene un violín se dirige a una audiencia.")</f>
        <v>Una mujer con un vestido que sostiene un violín se dirige a una audiencia.</v>
      </c>
    </row>
    <row r="8989">
      <c r="A8989" s="4" t="s">
        <v>11310</v>
      </c>
      <c r="B8989" s="4" t="s">
        <v>11312</v>
      </c>
      <c r="C8989" s="5" t="str">
        <f>IFERROR(__xludf.DUMMYFUNCTION("GOOGLETRANSLATE(B8989,""en"",""es-ES"")"),"La mujer toca el violín mientras otros músicos observan.")</f>
        <v>La mujer toca el violín mientras otros músicos observan.</v>
      </c>
    </row>
    <row r="8990">
      <c r="A8990" s="4" t="s">
        <v>11310</v>
      </c>
      <c r="B8990" s="4" t="s">
        <v>11313</v>
      </c>
      <c r="C8990" s="5" t="str">
        <f>IFERROR(__xludf.DUMMYFUNCTION("GOOGLETRANSLATE(B8990,""en"",""es-ES"")"),"La mujer termina de jugar y todos aplauden.")</f>
        <v>La mujer termina de jugar y todos aplauden.</v>
      </c>
    </row>
    <row r="8991">
      <c r="A8991" s="4" t="s">
        <v>11314</v>
      </c>
      <c r="B8991" s="4" t="s">
        <v>11315</v>
      </c>
      <c r="C8991" s="5" t="str">
        <f>IFERROR(__xludf.DUMMYFUNCTION("GOOGLETRANSLATE(B8991,""en"",""es-ES"")"),"Un hombre sostiene una sierra de cadena sobre su cabeza.")</f>
        <v>Un hombre sostiene una sierra de cadena sobre su cabeza.</v>
      </c>
    </row>
    <row r="8992">
      <c r="A8992" s="4" t="s">
        <v>11314</v>
      </c>
      <c r="B8992" s="4" t="s">
        <v>11316</v>
      </c>
      <c r="C8992" s="5" t="str">
        <f>IFERROR(__xludf.DUMMYFUNCTION("GOOGLETRANSLATE(B8992,""en"",""es-ES"")"),"Comienza a recortar la parte superior del seto.")</f>
        <v>Comienza a recortar la parte superior del seto.</v>
      </c>
    </row>
    <row r="8993">
      <c r="A8993" s="4" t="s">
        <v>11314</v>
      </c>
      <c r="B8993" s="4" t="s">
        <v>11317</v>
      </c>
      <c r="C8993" s="5" t="str">
        <f>IFERROR(__xludf.DUMMYFUNCTION("GOOGLETRANSLATE(B8993,""en"",""es-ES"")"),"La gente camina por la acera detrás de él.")</f>
        <v>La gente camina por la acera detrás de él.</v>
      </c>
    </row>
    <row r="8994">
      <c r="A8994" s="4" t="s">
        <v>11318</v>
      </c>
      <c r="B8994" s="4" t="s">
        <v>11319</v>
      </c>
      <c r="C8994" s="5" t="str">
        <f>IFERROR(__xludf.DUMMYFUNCTION("GOOGLETRANSLATE(B8994,""en"",""es-ES"")"),"Un hombre con una chaqueta naranja que sostiene esquís camina sobre la nieve hasta una colina.")</f>
        <v>Un hombre con una chaqueta naranja que sostiene esquís camina sobre la nieve hasta una colina.</v>
      </c>
    </row>
    <row r="8995">
      <c r="A8995" s="4" t="s">
        <v>11318</v>
      </c>
      <c r="B8995" s="4" t="s">
        <v>11320</v>
      </c>
      <c r="C8995" s="5" t="str">
        <f>IFERROR(__xludf.DUMMYFUNCTION("GOOGLETRANSLATE(B8995,""en"",""es-ES"")"),"La persona que sostiene la cámara baja los esquís y sostiene los postes.")</f>
        <v>La persona que sostiene la cámara baja los esquís y sostiene los postes.</v>
      </c>
    </row>
    <row r="8996">
      <c r="A8996" s="4" t="s">
        <v>11318</v>
      </c>
      <c r="B8996" s="4" t="s">
        <v>11321</v>
      </c>
      <c r="C8996" s="5" t="str">
        <f>IFERROR(__xludf.DUMMYFUNCTION("GOOGLETRANSLATE(B8996,""en"",""es-ES"")"),"El hombre con la chaqueta naranja es un pozo cuesta abajo.")</f>
        <v>El hombre con la chaqueta naranja es un pozo cuesta abajo.</v>
      </c>
    </row>
    <row r="8997">
      <c r="A8997" s="4" t="s">
        <v>11318</v>
      </c>
      <c r="B8997" s="4" t="s">
        <v>11322</v>
      </c>
      <c r="C8997" s="5" t="str">
        <f>IFERROR(__xludf.DUMMYFUNCTION("GOOGLETRANSLATE(B8997,""en"",""es-ES"")"),"El hombre que sostiene la cámara sigue.")</f>
        <v>El hombre que sostiene la cámara sigue.</v>
      </c>
    </row>
    <row r="8998">
      <c r="A8998" s="4" t="s">
        <v>11318</v>
      </c>
      <c r="B8998" s="4" t="s">
        <v>11323</v>
      </c>
      <c r="C8998" s="5" t="str">
        <f>IFERROR(__xludf.DUMMYFUNCTION("GOOGLETRANSLATE(B8998,""en"",""es-ES"")"),"Esquié cuesta abajo por la colina nevada.")</f>
        <v>Esquié cuesta abajo por la colina nevada.</v>
      </c>
    </row>
    <row r="8999">
      <c r="A8999" s="4" t="s">
        <v>11318</v>
      </c>
      <c r="B8999" s="4" t="s">
        <v>11324</v>
      </c>
      <c r="C8999" s="5" t="str">
        <f>IFERROR(__xludf.DUMMYFUNCTION("GOOGLETRANSLATE(B8999,""en"",""es-ES"")"),"El hombre de la chaqueta naranja se puede ver frente a él esquiando.")</f>
        <v>El hombre de la chaqueta naranja se puede ver frente a él esquiando.</v>
      </c>
    </row>
    <row r="9000">
      <c r="A9000" s="4" t="s">
        <v>11318</v>
      </c>
      <c r="B9000" s="4" t="s">
        <v>11325</v>
      </c>
      <c r="C9000" s="5" t="str">
        <f>IFERROR(__xludf.DUMMYFUNCTION("GOOGLETRANSLATE(B9000,""en"",""es-ES"")"),"Ambos se detienen y hablan con una dama en el fondo de la colina.")</f>
        <v>Ambos se detienen y hablan con una dama en el fondo de la colina.</v>
      </c>
    </row>
    <row r="9001">
      <c r="A9001" s="4" t="s">
        <v>11318</v>
      </c>
      <c r="B9001" s="4" t="s">
        <v>11326</v>
      </c>
      <c r="C9001" s="5" t="str">
        <f>IFERROR(__xludf.DUMMYFUNCTION("GOOGLETRANSLATE(B9001,""en"",""es-ES"")"),"Se quita el guante y saca su teléfono celular.")</f>
        <v>Se quita el guante y saca su teléfono celular.</v>
      </c>
    </row>
    <row r="9002">
      <c r="A9002" s="4" t="s">
        <v>11318</v>
      </c>
      <c r="B9002" s="4" t="s">
        <v>11327</v>
      </c>
      <c r="C9002" s="5" t="str">
        <f>IFERROR(__xludf.DUMMYFUNCTION("GOOGLETRANSLATE(B9002,""en"",""es-ES"")"),"Un hombre con un abrigo azul se acerca a ellos y habla con ellos.")</f>
        <v>Un hombre con un abrigo azul se acerca a ellos y habla con ellos.</v>
      </c>
    </row>
    <row r="9003">
      <c r="A9003" s="4" t="s">
        <v>11328</v>
      </c>
      <c r="B9003" s="4" t="s">
        <v>11329</v>
      </c>
      <c r="C9003" s="5" t="str">
        <f>IFERROR(__xludf.DUMMYFUNCTION("GOOGLETRANSLATE(B9003,""en"",""es-ES"")"),"Se ve a un pequeño grupo de niños jugando con dos adultos en una playa empujando arena en una pila.")</f>
        <v>Se ve a un pequeño grupo de niños jugando con dos adultos en una playa empujando arena en una pila.</v>
      </c>
    </row>
    <row r="9004">
      <c r="A9004" s="4" t="s">
        <v>11328</v>
      </c>
      <c r="B9004" s="4" t="s">
        <v>11330</v>
      </c>
      <c r="C9004" s="5" t="str">
        <f>IFERROR(__xludf.DUMMYFUNCTION("GOOGLETRANSLATE(B9004,""en"",""es-ES"")"),"Los niños continúan agarrando agua mientras la cámara se desplaza alrededor de las otras personas que nadan en el área.")</f>
        <v>Los niños continúan agarrando agua mientras la cámara se desplaza alrededor de las otras personas que nadan en el área.</v>
      </c>
    </row>
    <row r="9005">
      <c r="A9005" s="4" t="s">
        <v>11331</v>
      </c>
      <c r="B9005" s="4" t="s">
        <v>11332</v>
      </c>
      <c r="C9005" s="5" t="str">
        <f>IFERROR(__xludf.DUMMYFUNCTION("GOOGLETRANSLATE(B9005,""en"",""es-ES"")"),"Una mujer está sentada frente a una cámara.")</f>
        <v>Una mujer está sentada frente a una cámara.</v>
      </c>
    </row>
    <row r="9006">
      <c r="A9006" s="4" t="s">
        <v>11331</v>
      </c>
      <c r="B9006" s="4" t="s">
        <v>11333</v>
      </c>
      <c r="C9006" s="5" t="str">
        <f>IFERROR(__xludf.DUMMYFUNCTION("GOOGLETRANSLATE(B9006,""en"",""es-ES"")"),"Su cabello está en rizadores en espiral.")</f>
        <v>Su cabello está en rizadores en espiral.</v>
      </c>
    </row>
    <row r="9007">
      <c r="A9007" s="4" t="s">
        <v>11331</v>
      </c>
      <c r="B9007" s="4" t="s">
        <v>11334</v>
      </c>
      <c r="C9007" s="5" t="str">
        <f>IFERROR(__xludf.DUMMYFUNCTION("GOOGLETRANSLATE(B9007,""en"",""es-ES"")"),"Ella demuestra cómo eliminarlos, mostrando el resultado final.")</f>
        <v>Ella demuestra cómo eliminarlos, mostrando el resultado final.</v>
      </c>
    </row>
    <row r="9008">
      <c r="A9008" s="4" t="s">
        <v>11335</v>
      </c>
      <c r="B9008" s="4" t="s">
        <v>11336</v>
      </c>
      <c r="C9008" s="5" t="str">
        <f>IFERROR(__xludf.DUMMYFUNCTION("GOOGLETRANSLATE(B9008,""en"",""es-ES"")"),"La instructora de video, Stephanie, está hablando de un tutorial de cabello.")</f>
        <v>La instructora de video, Stephanie, está hablando de un tutorial de cabello.</v>
      </c>
    </row>
    <row r="9009">
      <c r="A9009" s="4" t="s">
        <v>11335</v>
      </c>
      <c r="B9009" s="4" t="s">
        <v>11337</v>
      </c>
      <c r="C9009" s="5" t="str">
        <f>IFERROR(__xludf.DUMMYFUNCTION("GOOGLETRANSLATE(B9009,""en"",""es-ES"")"),"Ella está demostrando cómo cortar el cabello largo en los hombres.")</f>
        <v>Ella está demostrando cómo cortar el cabello largo en los hombres.</v>
      </c>
    </row>
    <row r="9010">
      <c r="A9010" s="4" t="s">
        <v>11335</v>
      </c>
      <c r="B9010" s="4" t="s">
        <v>11338</v>
      </c>
      <c r="C9010" s="5" t="str">
        <f>IFERROR(__xludf.DUMMYFUNCTION("GOOGLETRANSLATE(B9010,""en"",""es-ES"")"),"Su modelo está sentada en una silla junto a ella mientras se peina el cabello mojado.")</f>
        <v>Su modelo está sentada en una silla junto a ella mientras se peina el cabello mojado.</v>
      </c>
    </row>
    <row r="9011">
      <c r="A9011" s="4" t="s">
        <v>11335</v>
      </c>
      <c r="B9011" s="4" t="s">
        <v>11339</v>
      </c>
      <c r="C9011" s="5" t="str">
        <f>IFERROR(__xludf.DUMMYFUNCTION("GOOGLETRANSLATE(B9011,""en"",""es-ES"")"),"Ella muestra cómo el cabello se separa y se seca antes de cortar el cabello que usa tijeras para apuntar las puntas del cabello de la modelo.")</f>
        <v>Ella muestra cómo el cabello se separa y se seca antes de cortar el cabello que usa tijeras para apuntar las puntas del cabello de la modelo.</v>
      </c>
    </row>
    <row r="9012">
      <c r="A9012" s="4" t="s">
        <v>11335</v>
      </c>
      <c r="B9012" s="4" t="s">
        <v>11340</v>
      </c>
      <c r="C9012" s="5" t="str">
        <f>IFERROR(__xludf.DUMMYFUNCTION("GOOGLETRANSLATE(B9012,""en"",""es-ES"")"),"Ella continúa el procedimiento en el cabello de la modelo.")</f>
        <v>Ella continúa el procedimiento en el cabello de la modelo.</v>
      </c>
    </row>
    <row r="9013">
      <c r="A9013" s="4" t="s">
        <v>11335</v>
      </c>
      <c r="B9013" s="4" t="s">
        <v>11341</v>
      </c>
      <c r="C9013" s="5" t="str">
        <f>IFERROR(__xludf.DUMMYFUNCTION("GOOGLETRANSLATE(B9013,""en"",""es-ES"")"),"Luego explica cómo secar el cabello para obtener el aspecto terminado en el modelo.")</f>
        <v>Luego explica cómo secar el cabello para obtener el aspecto terminado en el modelo.</v>
      </c>
    </row>
    <row r="9014">
      <c r="A9014" s="4" t="s">
        <v>11335</v>
      </c>
      <c r="B9014" s="4" t="s">
        <v>11342</v>
      </c>
      <c r="C9014" s="5" t="str">
        <f>IFERROR(__xludf.DUMMYFUNCTION("GOOGLETRANSLATE(B9014,""en"",""es-ES"")"),"Finalmente da información sobre su sitio web.")</f>
        <v>Finalmente da información sobre su sitio web.</v>
      </c>
    </row>
    <row r="9015">
      <c r="A9015" s="4" t="s">
        <v>11343</v>
      </c>
      <c r="B9015" s="4" t="s">
        <v>11344</v>
      </c>
      <c r="C9015" s="5" t="str">
        <f>IFERROR(__xludf.DUMMYFUNCTION("GOOGLETRANSLATE(B9015,""en"",""es-ES"")"),"Un hombre hace un tiro en disco.")</f>
        <v>Un hombre hace un tiro en disco.</v>
      </c>
    </row>
    <row r="9016">
      <c r="A9016" s="4" t="s">
        <v>11343</v>
      </c>
      <c r="B9016" s="4" t="s">
        <v>11345</v>
      </c>
      <c r="C9016" s="5" t="str">
        <f>IFERROR(__xludf.DUMMYFUNCTION("GOOGLETRANSLATE(B9016,""en"",""es-ES"")"),"Él gira y tira el disco.")</f>
        <v>Él gira y tira el disco.</v>
      </c>
    </row>
    <row r="9017">
      <c r="A9017" s="4" t="s">
        <v>11346</v>
      </c>
      <c r="B9017" s="4" t="s">
        <v>11347</v>
      </c>
      <c r="C9017" s="5" t="str">
        <f>IFERROR(__xludf.DUMMYFUNCTION("GOOGLETRANSLATE(B9017,""en"",""es-ES"")"),"Un hombre se sienta en una silla y habla mientras sostiene una armónica y ocasionalmente la juega mientras está sentado en un fondo de tela verde.")</f>
        <v>Un hombre se sienta en una silla y habla mientras sostiene una armónica y ocasionalmente la juega mientras está sentado en un fondo de tela verde.</v>
      </c>
    </row>
    <row r="9018">
      <c r="A9018" s="4" t="s">
        <v>11346</v>
      </c>
      <c r="B9018" s="4" t="s">
        <v>11348</v>
      </c>
      <c r="C9018" s="5" t="str">
        <f>IFERROR(__xludf.DUMMYFUNCTION("GOOGLETRANSLATE(B9018,""en"",""es-ES"")"),"Un hombre calvo se sienta en una silla de madera y habla con la cámara mientras sostiene, señalando y ocasionalmente tocando una armónica en sus manos.")</f>
        <v>Un hombre calvo se sienta en una silla de madera y habla con la cámara mientras sostiene, señalando y ocasionalmente tocando una armónica en sus manos.</v>
      </c>
    </row>
    <row r="9019">
      <c r="A9019" s="4" t="s">
        <v>11346</v>
      </c>
      <c r="B9019" s="4" t="s">
        <v>11349</v>
      </c>
      <c r="C9019" s="5" t="str">
        <f>IFERROR(__xludf.DUMMYFUNCTION("GOOGLETRANSLATE(B9019,""en"",""es-ES"")"),"La cámara se acerca a una toma más estricta del hombre mientras habla y antes de que el hombre se ponga la armónica directamente hacia su cara y toca la armónica brevemente antes de alejar la armónica y mirar a la cámara.")</f>
        <v>La cámara se acerca a una toma más estricta del hombre mientras habla y antes de que el hombre se ponga la armónica directamente hacia su cara y toca la armónica brevemente antes de alejar la armónica y mirar a la cámara.</v>
      </c>
    </row>
    <row r="9020">
      <c r="A9020" s="4" t="s">
        <v>11350</v>
      </c>
      <c r="B9020" s="4" t="s">
        <v>11351</v>
      </c>
      <c r="C9020" s="5" t="str">
        <f>IFERROR(__xludf.DUMMYFUNCTION("GOOGLETRANSLATE(B9020,""en"",""es-ES"")"),"Un hombre en el disfraz de Sesame Street está montando una bicicleta reclinada.")</f>
        <v>Un hombre en el disfraz de Sesame Street está montando una bicicleta reclinada.</v>
      </c>
    </row>
    <row r="9021">
      <c r="A9021" s="4" t="s">
        <v>11350</v>
      </c>
      <c r="B9021" s="4" t="s">
        <v>11352</v>
      </c>
      <c r="C9021" s="5" t="str">
        <f>IFERROR(__xludf.DUMMYFUNCTION("GOOGLETRANSLATE(B9021,""en"",""es-ES"")"),"Un hombre vestido cuando Ernie pronto se une a Bert.")</f>
        <v>Un hombre vestido cuando Ernie pronto se une a Bert.</v>
      </c>
    </row>
    <row r="9022">
      <c r="A9022" s="4" t="s">
        <v>11350</v>
      </c>
      <c r="B9022" s="4" t="s">
        <v>11353</v>
      </c>
      <c r="C9022" s="5" t="str">
        <f>IFERROR(__xludf.DUMMYFUNCTION("GOOGLETRANSLATE(B9022,""en"",""es-ES"")"),"Ellos son juntos en bicicleta, como en una carrera.")</f>
        <v>Ellos son juntos en bicicleta, como en una carrera.</v>
      </c>
    </row>
    <row r="9023">
      <c r="A9023" s="4" t="s">
        <v>11350</v>
      </c>
      <c r="B9023" s="4" t="s">
        <v>11354</v>
      </c>
      <c r="C9023" s="5" t="str">
        <f>IFERROR(__xludf.DUMMYFUNCTION("GOOGLETRANSLATE(B9023,""en"",""es-ES"")"),"Ambos se levantan y se van.")</f>
        <v>Ambos se levantan y se van.</v>
      </c>
    </row>
    <row r="9024">
      <c r="A9024" s="4" t="s">
        <v>11355</v>
      </c>
      <c r="B9024" s="4" t="s">
        <v>11356</v>
      </c>
      <c r="C9024" s="5" t="str">
        <f>IFERROR(__xludf.DUMMYFUNCTION("GOOGLETRANSLATE(B9024,""en"",""es-ES"")"),"Se ve a una persona sentada a lo largo del agua con un primer plano de una paleta.")</f>
        <v>Se ve a una persona sentada a lo largo del agua con un primer plano de una paleta.</v>
      </c>
    </row>
    <row r="9025">
      <c r="A9025" s="4" t="s">
        <v>11355</v>
      </c>
      <c r="B9025" s="4" t="s">
        <v>11357</v>
      </c>
      <c r="C9025" s="5" t="str">
        <f>IFERROR(__xludf.DUMMYFUNCTION("GOOGLETRANSLATE(B9025,""en"",""es-ES"")"),"La cámara se desplaza a otro grupo de personas sentadas en una canoa frente a ellos.")</f>
        <v>La cámara se desplaza a otro grupo de personas sentadas en una canoa frente a ellos.</v>
      </c>
    </row>
    <row r="9026">
      <c r="A9026" s="4" t="s">
        <v>11355</v>
      </c>
      <c r="B9026" s="4" t="s">
        <v>11358</v>
      </c>
      <c r="C9026" s="5" t="str">
        <f>IFERROR(__xludf.DUMMYFUNCTION("GOOGLETRANSLATE(B9026,""en"",""es-ES"")"),"Se ve a más personas sentadas en el agua y en botes a lo largo del agua.")</f>
        <v>Se ve a más personas sentadas en el agua y en botes a lo largo del agua.</v>
      </c>
    </row>
    <row r="9027">
      <c r="A9027" s="4" t="s">
        <v>11359</v>
      </c>
      <c r="B9027" s="4" t="s">
        <v>11360</v>
      </c>
      <c r="C9027" s="5" t="str">
        <f>IFERROR(__xludf.DUMMYFUNCTION("GOOGLETRANSLATE(B9027,""en"",""es-ES"")"),"Un grupo de jugadores de fútbol esperan el regreso de una pelota de fútbol al campo.")</f>
        <v>Un grupo de jugadores de fútbol esperan el regreso de una pelota de fútbol al campo.</v>
      </c>
    </row>
    <row r="9028">
      <c r="A9028" s="4" t="s">
        <v>11359</v>
      </c>
      <c r="B9028" s="4" t="s">
        <v>11361</v>
      </c>
      <c r="C9028" s="5" t="str">
        <f>IFERROR(__xludf.DUMMYFUNCTION("GOOGLETRANSLATE(B9028,""en"",""es-ES"")"),"Un jugador de fútbol patea la pelota en el campo.")</f>
        <v>Un jugador de fútbol patea la pelota en el campo.</v>
      </c>
    </row>
    <row r="9029">
      <c r="A9029" s="4" t="s">
        <v>11359</v>
      </c>
      <c r="B9029" s="4" t="s">
        <v>11362</v>
      </c>
      <c r="C9029" s="5" t="str">
        <f>IFERROR(__xludf.DUMMYFUNCTION("GOOGLETRANSLATE(B9029,""en"",""es-ES"")"),"Otro jugador de fútbol se apodera de la pelota y la pasa a otro jugador de fútbol.")</f>
        <v>Otro jugador de fútbol se apodera de la pelota y la pasa a otro jugador de fútbol.</v>
      </c>
    </row>
    <row r="9030">
      <c r="A9030" s="4" t="s">
        <v>11359</v>
      </c>
      <c r="B9030" s="4" t="s">
        <v>11363</v>
      </c>
      <c r="C9030" s="5" t="str">
        <f>IFERROR(__xludf.DUMMYFUNCTION("GOOGLETRANSLATE(B9030,""en"",""es-ES"")"),"Los jugadores de fútbol lo patean al portero.")</f>
        <v>Los jugadores de fútbol lo patean al portero.</v>
      </c>
    </row>
    <row r="9031">
      <c r="A9031" s="4" t="s">
        <v>11359</v>
      </c>
      <c r="B9031" s="4" t="s">
        <v>11364</v>
      </c>
      <c r="C9031" s="5" t="str">
        <f>IFERROR(__xludf.DUMMYFUNCTION("GOOGLETRANSLATE(B9031,""en"",""es-ES"")"),"El portero lo patea a un jugador de fútbol cercano.")</f>
        <v>El portero lo patea a un jugador de fútbol cercano.</v>
      </c>
    </row>
    <row r="9032">
      <c r="A9032" s="4" t="s">
        <v>11359</v>
      </c>
      <c r="B9032" s="4" t="s">
        <v>11365</v>
      </c>
      <c r="C9032" s="5" t="str">
        <f>IFERROR(__xludf.DUMMYFUNCTION("GOOGLETRANSLATE(B9032,""en"",""es-ES"")"),"El jugador de fútbol lo patea a otro jugador de fútbol.")</f>
        <v>El jugador de fútbol lo patea a otro jugador de fútbol.</v>
      </c>
    </row>
    <row r="9033">
      <c r="A9033" s="4" t="s">
        <v>11366</v>
      </c>
      <c r="B9033" s="4" t="s">
        <v>11367</v>
      </c>
      <c r="C9033" s="5" t="str">
        <f>IFERROR(__xludf.DUMMYFUNCTION("GOOGLETRANSLATE(B9033,""en"",""es-ES"")"),"Dos hombres están rapeando por el costado de un acantilado de roca empinada.")</f>
        <v>Dos hombres están rapeando por el costado de un acantilado de roca empinada.</v>
      </c>
    </row>
    <row r="9034">
      <c r="A9034" s="4" t="s">
        <v>11366</v>
      </c>
      <c r="B9034" s="4" t="s">
        <v>11368</v>
      </c>
      <c r="C9034" s="5" t="str">
        <f>IFERROR(__xludf.DUMMYFUNCTION("GOOGLETRANSLATE(B9034,""en"",""es-ES"")"),"Uno de los hombres sube a mitad de camino, antes de soltar y liberarse hacia el suelo.")</f>
        <v>Uno de los hombres sube a mitad de camino, antes de soltar y liberarse hacia el suelo.</v>
      </c>
    </row>
    <row r="9035">
      <c r="A9035" s="4" t="s">
        <v>11369</v>
      </c>
      <c r="B9035" s="4" t="s">
        <v>11370</v>
      </c>
      <c r="C9035" s="5" t="str">
        <f>IFERROR(__xludf.DUMMYFUNCTION("GOOGLETRANSLATE(B9035,""en"",""es-ES"")"),"Un hombre empuja una cortadora de césped en un césped.")</f>
        <v>Un hombre empuja una cortadora de césped en un césped.</v>
      </c>
    </row>
    <row r="9036">
      <c r="A9036" s="4" t="s">
        <v>11369</v>
      </c>
      <c r="B9036" s="4" t="s">
        <v>11371</v>
      </c>
      <c r="C9036" s="5" t="str">
        <f>IFERROR(__xludf.DUMMYFUNCTION("GOOGLETRANSLATE(B9036,""en"",""es-ES"")"),"Dos niños lo ayudan a empujarlo.")</f>
        <v>Dos niños lo ayudan a empujarlo.</v>
      </c>
    </row>
    <row r="9037">
      <c r="A9037" s="4" t="s">
        <v>11369</v>
      </c>
      <c r="B9037" s="4" t="s">
        <v>11372</v>
      </c>
      <c r="C9037" s="5" t="str">
        <f>IFERROR(__xludf.DUMMYFUNCTION("GOOGLETRANSLATE(B9037,""en"",""es-ES"")"),"Hacen varios pases en el césped.")</f>
        <v>Hacen varios pases en el césped.</v>
      </c>
    </row>
    <row r="9038">
      <c r="A9038" s="4" t="s">
        <v>11369</v>
      </c>
      <c r="B9038" s="4" t="s">
        <v>11373</v>
      </c>
      <c r="C9038" s="5" t="str">
        <f>IFERROR(__xludf.DUMMYFUNCTION("GOOGLETRANSLATE(B9038,""en"",""es-ES"")"),"Varios autos conducen junto a ellos.")</f>
        <v>Varios autos conducen junto a ellos.</v>
      </c>
    </row>
    <row r="9039">
      <c r="A9039" s="4" t="s">
        <v>11374</v>
      </c>
      <c r="B9039" s="4" t="s">
        <v>11375</v>
      </c>
      <c r="C9039" s="5" t="str">
        <f>IFERROR(__xludf.DUMMYFUNCTION("GOOGLETRANSLATE(B9039,""en"",""es-ES"")"),"El hombre que lleva un soplador de césped está soplando el polvo en la acera caminando por la calle.")</f>
        <v>El hombre que lleva un soplador de césped está soplando el polvo en la acera caminando por la calle.</v>
      </c>
    </row>
    <row r="9040">
      <c r="A9040" s="4" t="s">
        <v>11374</v>
      </c>
      <c r="B9040" s="4" t="s">
        <v>11376</v>
      </c>
      <c r="C9040" s="5" t="str">
        <f>IFERROR(__xludf.DUMMYFUNCTION("GOOGLETRANSLATE(B9040,""en"",""es-ES"")"),"El hombre está limpiando la acera de las hojas secas que derraman la acera.")</f>
        <v>El hombre está limpiando la acera de las hojas secas que derraman la acera.</v>
      </c>
    </row>
    <row r="9041">
      <c r="A9041" s="4" t="s">
        <v>11374</v>
      </c>
      <c r="B9041" s="4" t="s">
        <v>11377</v>
      </c>
      <c r="C9041" s="5" t="str">
        <f>IFERROR(__xludf.DUMMYFUNCTION("GOOGLETRANSLATE(B9041,""en"",""es-ES"")"),"El hombre camina en la acera mirando al hombre que lleva el soplador.")</f>
        <v>El hombre camina en la acera mirando al hombre que lleva el soplador.</v>
      </c>
    </row>
    <row r="9042">
      <c r="A9042" s="4" t="s">
        <v>11378</v>
      </c>
      <c r="B9042" s="4" t="s">
        <v>11379</v>
      </c>
      <c r="C9042" s="5" t="str">
        <f>IFERROR(__xludf.DUMMYFUNCTION("GOOGLETRANSLATE(B9042,""en"",""es-ES"")"),"Un hombre con una camisa roja habla y demuestra cómo lanzar dardos contra un tablero de dardos, mientras que otras tres personas con camisas rojas lo miran.")</f>
        <v>Un hombre con una camisa roja habla y demuestra cómo lanzar dardos contra un tablero de dardos, mientras que otras tres personas con camisas rojas lo miran.</v>
      </c>
    </row>
    <row r="9043">
      <c r="A9043" s="4" t="s">
        <v>11378</v>
      </c>
      <c r="B9043" s="4" t="s">
        <v>11380</v>
      </c>
      <c r="C9043" s="5" t="str">
        <f>IFERROR(__xludf.DUMMYFUNCTION("GOOGLETRANSLATE(B9043,""en"",""es-ES"")"),"Un hombre con una camisa roja se enfrenta a la cámara y comienza a hablar mientras sostiene los dardos en la mano y mientras tres hombres detrás de él miran.")</f>
        <v>Un hombre con una camisa roja se enfrenta a la cámara y comienza a hablar mientras sostiene los dardos en la mano y mientras tres hombres detrás de él miran.</v>
      </c>
    </row>
    <row r="9044">
      <c r="A9044" s="4" t="s">
        <v>11378</v>
      </c>
      <c r="B9044" s="4" t="s">
        <v>11381</v>
      </c>
      <c r="C9044" s="5" t="str">
        <f>IFERROR(__xludf.DUMMYFUNCTION("GOOGLETRANSLATE(B9044,""en"",""es-ES"")"),"El hombre se aleja de la cámara, de pie en una vista de perfil y frente a un tablero de dardos unido a una pared, comienza a apuntar a la tabla de dardos con los dardos en la mano.")</f>
        <v>El hombre se aleja de la cámara, de pie en una vista de perfil y frente a un tablero de dardos unido a una pared, comienza a apuntar a la tabla de dardos con los dardos en la mano.</v>
      </c>
    </row>
    <row r="9045">
      <c r="A9045" s="4" t="s">
        <v>11378</v>
      </c>
      <c r="B9045" s="4" t="s">
        <v>11382</v>
      </c>
      <c r="C9045" s="5" t="str">
        <f>IFERROR(__xludf.DUMMYFUNCTION("GOOGLETRANSLATE(B9045,""en"",""es-ES"")"),"Luego, el hombre lanza tres dardos contra el tablero de dardos, dos de los cuales se adhieren al tablero, el hombre va a recuperar un dardo del tablero y gestos con su puño y una sonrisa.")</f>
        <v>Luego, el hombre lanza tres dardos contra el tablero de dardos, dos de los cuales se adhieren al tablero, el hombre va a recuperar un dardo del tablero y gestos con su puño y una sonrisa.</v>
      </c>
    </row>
    <row r="9046">
      <c r="A9046" s="4" t="s">
        <v>11383</v>
      </c>
      <c r="B9046" s="4" t="s">
        <v>11384</v>
      </c>
      <c r="C9046" s="5" t="str">
        <f>IFERROR(__xludf.DUMMYFUNCTION("GOOGLETRANSLATE(B9046,""en"",""es-ES"")"),"Aparecen una mano vierte líquido en una copa de martini y las palabras blancas a la izquierda de la pantalla y dicen ""Chicas que mezclan bebidas Dot com"" y ""Keylime Pie With Lee"".")</f>
        <v>Aparecen una mano vierte líquido en una copa de martini y las palabras blancas a la izquierda de la pantalla y dicen "Chicas que mezclan bebidas Dot com" y "Keylime Pie With Lee".</v>
      </c>
    </row>
    <row r="9047">
      <c r="A9047" s="4" t="s">
        <v>11383</v>
      </c>
      <c r="B9047" s="4" t="s">
        <v>11385</v>
      </c>
      <c r="C9047" s="5" t="str">
        <f>IFERROR(__xludf.DUMMYFUNCTION("GOOGLETRANSLATE(B9047,""en"",""es-ES"")"),"Una mujer rubia aparece en un bar y el sitio web aparece en momentos aleatorios mientras la mujer toma tazas, alcohol y hielo mientras la bebe en una copa de martini.")</f>
        <v>Una mujer rubia aparece en un bar y el sitio web aparece en momentos aleatorios mientras la mujer toma tazas, alcohol y hielo mientras la bebe en una copa de martini.</v>
      </c>
    </row>
    <row r="9048">
      <c r="A9048" s="4" t="s">
        <v>11383</v>
      </c>
      <c r="B9048" s="4" t="s">
        <v>11386</v>
      </c>
      <c r="C9048" s="5" t="str">
        <f>IFERROR(__xludf.DUMMYFUNCTION("GOOGLETRANSLATE(B9048,""en"",""es-ES"")"),"La mujer llena la copa de martini con hielo y agua.")</f>
        <v>La mujer llena la copa de martini con hielo y agua.</v>
      </c>
    </row>
    <row r="9049">
      <c r="A9049" s="4" t="s">
        <v>11383</v>
      </c>
      <c r="B9049" s="4" t="s">
        <v>11387</v>
      </c>
      <c r="C9049" s="5" t="str">
        <f>IFERROR(__xludf.DUMMYFUNCTION("GOOGLETRANSLATE(B9049,""en"",""es-ES"")"),"Luego, la mujer se mueve hacia un gran agitador plateado de plata y comienza a poner alcohol y otros líquidos, lo cubre con una pequeña taza transparente y comienza a sacudir el contenido.")</f>
        <v>Luego, la mujer se mueve hacia un gran agitador plateado de plata y comienza a poner alcohol y otros líquidos, lo cubre con una pequeña taza transparente y comienza a sacudir el contenido.</v>
      </c>
    </row>
    <row r="9050">
      <c r="A9050" s="4" t="s">
        <v>11383</v>
      </c>
      <c r="B9050" s="4" t="s">
        <v>11388</v>
      </c>
      <c r="C9050" s="5" t="str">
        <f>IFERROR(__xludf.DUMMYFUNCTION("GOOGLETRANSLATE(B9050,""en"",""es-ES"")"),"Cuando termina de sacudir los líquidos, vacía el hielo y el agua de la taza de martini, luego lo llena con el líquido del agitador, pone una lima en el borde, empuja la copa de martini hacia adelante y sonríe.")</f>
        <v>Cuando termina de sacudir los líquidos, vacía el hielo y el agua de la taza de martini, luego lo llena con el líquido del agitador, pone una lima en el borde, empuja la copa de martini hacia adelante y sonríe.</v>
      </c>
    </row>
    <row r="9051">
      <c r="A9051" s="4" t="s">
        <v>11383</v>
      </c>
      <c r="B9051" s="4" t="s">
        <v>11389</v>
      </c>
      <c r="C9051" s="5" t="str">
        <f>IFERROR(__xludf.DUMMYFUNCTION("GOOGLETRANSLATE(B9051,""en"",""es-ES"")"),"La última pantalla aparece con un fondo rojo y el sitio web que se muestra en el medio.")</f>
        <v>La última pantalla aparece con un fondo rojo y el sitio web que se muestra en el medio.</v>
      </c>
    </row>
    <row r="9052">
      <c r="A9052" s="4" t="s">
        <v>11390</v>
      </c>
      <c r="B9052" s="4" t="s">
        <v>11391</v>
      </c>
      <c r="C9052" s="5" t="str">
        <f>IFERROR(__xludf.DUMMYFUNCTION("GOOGLETRANSLATE(B9052,""en"",""es-ES"")"),"Se muestra un montón de encendido flanqueado por rocas.")</f>
        <v>Se muestra un montón de encendido flanqueado por rocas.</v>
      </c>
    </row>
    <row r="9053">
      <c r="A9053" s="4" t="s">
        <v>11390</v>
      </c>
      <c r="B9053" s="4" t="s">
        <v>11392</v>
      </c>
      <c r="C9053" s="5" t="str">
        <f>IFERROR(__xludf.DUMMYFUNCTION("GOOGLETRANSLATE(B9053,""en"",""es-ES"")"),"El encendido está iluminado con una antorcha.")</f>
        <v>El encendido está iluminado con una antorcha.</v>
      </c>
    </row>
    <row r="9054">
      <c r="A9054" s="4" t="s">
        <v>11390</v>
      </c>
      <c r="B9054" s="4" t="s">
        <v>11393</v>
      </c>
      <c r="C9054" s="5" t="str">
        <f>IFERROR(__xludf.DUMMYFUNCTION("GOOGLETRANSLATE(B9054,""en"",""es-ES"")"),"El fuego se inicia y observamos cómo comienza a arder.")</f>
        <v>El fuego se inicia y observamos cómo comienza a arder.</v>
      </c>
    </row>
    <row r="9055">
      <c r="A9055" s="4" t="s">
        <v>11394</v>
      </c>
      <c r="B9055" s="4" t="s">
        <v>11395</v>
      </c>
      <c r="C9055" s="5" t="str">
        <f>IFERROR(__xludf.DUMMYFUNCTION("GOOGLETRANSLATE(B9055,""en"",""es-ES"")"),"Se ve a un hombre hablando con la cámara mientras las personas practican los ejercicios de baloncesto de manera intermitente.")</f>
        <v>Se ve a un hombre hablando con la cámara mientras las personas practican los ejercicios de baloncesto de manera intermitente.</v>
      </c>
    </row>
    <row r="9056">
      <c r="A9056" s="4" t="s">
        <v>11394</v>
      </c>
      <c r="B9056" s="4" t="s">
        <v>11396</v>
      </c>
      <c r="C9056" s="5" t="str">
        <f>IFERROR(__xludf.DUMMYFUNCTION("GOOGLETRANSLATE(B9056,""en"",""es-ES"")"),"El hombre ata una cuerda alrededor de una pelota y continúa haciéndolo realizar layups en la cancha.")</f>
        <v>El hombre ata una cuerda alrededor de una pelota y continúa haciéndolo realizar layups en la cancha.</v>
      </c>
    </row>
    <row r="9057">
      <c r="A9057" s="4" t="s">
        <v>11394</v>
      </c>
      <c r="B9057" s="4" t="s">
        <v>11397</v>
      </c>
      <c r="C9057" s="5" t="str">
        <f>IFERROR(__xludf.DUMMYFUNCTION("GOOGLETRANSLATE(B9057,""en"",""es-ES"")"),"Se muestran más clips de ellos practicando mientras el hombre habla con la cámara.")</f>
        <v>Se muestran más clips de ellos practicando mientras el hombre habla con la cámara.</v>
      </c>
    </row>
    <row r="9058">
      <c r="A9058" s="4" t="s">
        <v>11398</v>
      </c>
      <c r="B9058" s="4" t="s">
        <v>11399</v>
      </c>
      <c r="C9058" s="5" t="str">
        <f>IFERROR(__xludf.DUMMYFUNCTION("GOOGLETRANSLATE(B9058,""en"",""es-ES"")"),"Una niña toca una flauta de latón en el escenario durante una actuación.")</f>
        <v>Una niña toca una flauta de latón en el escenario durante una actuación.</v>
      </c>
    </row>
    <row r="9059">
      <c r="A9059" s="4" t="s">
        <v>11398</v>
      </c>
      <c r="B9059" s="4" t="s">
        <v>11400</v>
      </c>
      <c r="C9059" s="5" t="str">
        <f>IFERROR(__xludf.DUMMYFUNCTION("GOOGLETRANSLATE(B9059,""en"",""es-ES"")"),"La niña termina la actuación y baja su instrumento.")</f>
        <v>La niña termina la actuación y baja su instrumento.</v>
      </c>
    </row>
    <row r="9060">
      <c r="A9060" s="4" t="s">
        <v>11401</v>
      </c>
      <c r="B9060" s="4" t="s">
        <v>11402</v>
      </c>
      <c r="C9060" s="5" t="str">
        <f>IFERROR(__xludf.DUMMYFUNCTION("GOOGLETRANSLATE(B9060,""en"",""es-ES"")"),"Dos equipos de niños están en un campo de césped jugando un juego.")</f>
        <v>Dos equipos de niños están en un campo de césped jugando un juego.</v>
      </c>
    </row>
    <row r="9061">
      <c r="A9061" s="4" t="s">
        <v>11401</v>
      </c>
      <c r="B9061" s="4" t="s">
        <v>11403</v>
      </c>
      <c r="C9061" s="5" t="str">
        <f>IFERROR(__xludf.DUMMYFUNCTION("GOOGLETRANSLATE(B9061,""en"",""es-ES"")"),"Tienen pequeños postes con redes que usan para atrapar las bolas y tirar.")</f>
        <v>Tienen pequeños postes con redes que usan para atrapar las bolas y tirar.</v>
      </c>
    </row>
    <row r="9062">
      <c r="A9062" s="4" t="s">
        <v>11401</v>
      </c>
      <c r="B9062" s="4" t="s">
        <v>11404</v>
      </c>
      <c r="C9062" s="5" t="str">
        <f>IFERROR(__xludf.DUMMYFUNCTION("GOOGLETRANSLATE(B9062,""en"",""es-ES"")"),"Uno de los muchachos del equipo rojo arroja la pelota al otro lado.")</f>
        <v>Uno de los muchachos del equipo rojo arroja la pelota al otro lado.</v>
      </c>
    </row>
    <row r="9063">
      <c r="A9063" s="4" t="s">
        <v>11401</v>
      </c>
      <c r="B9063" s="4" t="s">
        <v>11405</v>
      </c>
      <c r="C9063" s="5" t="str">
        <f>IFERROR(__xludf.DUMMYFUNCTION("GOOGLETRANSLATE(B9063,""en"",""es-ES"")"),"Entonces, uno de los niños, el uniforme negro viene corriendo hacia atrás y lanza la pelota.")</f>
        <v>Entonces, uno de los niños, el uniforme negro viene corriendo hacia atrás y lanza la pelota.</v>
      </c>
    </row>
    <row r="9064">
      <c r="A9064" s="4" t="s">
        <v>11406</v>
      </c>
      <c r="B9064" s="4" t="s">
        <v>11407</v>
      </c>
      <c r="C9064" s="5" t="str">
        <f>IFERROR(__xludf.DUMMYFUNCTION("GOOGLETRANSLATE(B9064,""en"",""es-ES"")"),"Dos hombres juegan pingpong usando diferentes trucos.")</f>
        <v>Dos hombres juegan pingpong usando diferentes trucos.</v>
      </c>
    </row>
    <row r="9065">
      <c r="A9065" s="4" t="s">
        <v>11406</v>
      </c>
      <c r="B9065" s="4" t="s">
        <v>11408</v>
      </c>
      <c r="C9065" s="5" t="str">
        <f>IFERROR(__xludf.DUMMYFUNCTION("GOOGLETRANSLATE(B9065,""en"",""es-ES"")"),"Un hombre muestra una caja de cámara, y el reproductor de ping pong lo usa.")</f>
        <v>Un hombre muestra una caja de cámara, y el reproductor de ping pong lo usa.</v>
      </c>
    </row>
    <row r="9066">
      <c r="A9066" s="4" t="s">
        <v>11406</v>
      </c>
      <c r="B9066" s="4" t="s">
        <v>11409</v>
      </c>
      <c r="C9066" s="5" t="str">
        <f>IFERROR(__xludf.DUMMYFUNCTION("GOOGLETRANSLATE(B9066,""en"",""es-ES"")"),"Las bustas de la caja se abren para que el reproductor use una pieza de cámara para jugar.")</f>
        <v>Las bustas de la caja se abren para que el reproductor use una pieza de cámara para jugar.</v>
      </c>
    </row>
    <row r="9067">
      <c r="A9067" s="4" t="s">
        <v>11406</v>
      </c>
      <c r="B9067" s="4" t="s">
        <v>11410</v>
      </c>
      <c r="C9067" s="5" t="str">
        <f>IFERROR(__xludf.DUMMYFUNCTION("GOOGLETRANSLATE(B9067,""en"",""es-ES"")"),"Utiliza una batería para golpear y luego usa una herramienta diferente.")</f>
        <v>Utiliza una batería para golpear y luego usa una herramienta diferente.</v>
      </c>
    </row>
    <row r="9068">
      <c r="A9068" s="4" t="s">
        <v>11406</v>
      </c>
      <c r="B9068" s="4" t="s">
        <v>11411</v>
      </c>
      <c r="C9068" s="5" t="str">
        <f>IFERROR(__xludf.DUMMYFUNCTION("GOOGLETRANSLATE(B9068,""en"",""es-ES"")"),"Se utilizan varios objetos extraños para jugar el juego.")</f>
        <v>Se utilizan varios objetos extraños para jugar el juego.</v>
      </c>
    </row>
    <row r="9069">
      <c r="A9069" s="4" t="s">
        <v>11406</v>
      </c>
      <c r="B9069" s="4" t="s">
        <v>11412</v>
      </c>
      <c r="C9069" s="5" t="str">
        <f>IFERROR(__xludf.DUMMYFUNCTION("GOOGLETRANSLATE(B9069,""en"",""es-ES"")"),"El hombre rompe un huevo con la pelota.")</f>
        <v>El hombre rompe un huevo con la pelota.</v>
      </c>
    </row>
    <row r="9070">
      <c r="A9070" s="4" t="s">
        <v>11406</v>
      </c>
      <c r="B9070" s="4" t="s">
        <v>11413</v>
      </c>
      <c r="C9070" s="5" t="str">
        <f>IFERROR(__xludf.DUMMYFUNCTION("GOOGLETRANSLATE(B9070,""en"",""es-ES"")"),"Se utilizan artículos más extraños que incluyen un bate, un reloj y una barra de caramelo.")</f>
        <v>Se utilizan artículos más extraños que incluyen un bate, un reloj y una barra de caramelo.</v>
      </c>
    </row>
    <row r="9071">
      <c r="A9071" s="4" t="s">
        <v>11406</v>
      </c>
      <c r="B9071" s="4" t="s">
        <v>11414</v>
      </c>
      <c r="C9071" s="5" t="str">
        <f>IFERROR(__xludf.DUMMYFUNCTION("GOOGLETRANSLATE(B9071,""en"",""es-ES"")"),"El hombre está filmado subiendo el video a YouTube.")</f>
        <v>El hombre está filmado subiendo el video a YouTube.</v>
      </c>
    </row>
    <row r="9072">
      <c r="A9072" s="4" t="s">
        <v>11415</v>
      </c>
      <c r="B9072" s="4" t="s">
        <v>11416</v>
      </c>
      <c r="C9072" s="5" t="str">
        <f>IFERROR(__xludf.DUMMYFUNCTION("GOOGLETRANSLATE(B9072,""en"",""es-ES"")"),"Una mujer intenta comer helado a un niño, pero el niño se niega a comer el helado, luego la mujer come el helado en la cuchara.")</f>
        <v>Una mujer intenta comer helado a un niño, pero el niño se niega a comer el helado, luego la mujer come el helado en la cuchara.</v>
      </c>
    </row>
    <row r="9073">
      <c r="A9073" s="4" t="s">
        <v>11415</v>
      </c>
      <c r="B9073" s="4" t="s">
        <v>11417</v>
      </c>
      <c r="C9073" s="5" t="str">
        <f>IFERROR(__xludf.DUMMYFUNCTION("GOOGLETRANSLATE(B9073,""en"",""es-ES"")"),"Después, la mujer le da helado al niño, y luego la mujer limpia la boca del niño.")</f>
        <v>Después, la mujer le da helado al niño, y luego la mujer limpia la boca del niño.</v>
      </c>
    </row>
    <row r="9074">
      <c r="A9074" s="4" t="s">
        <v>11415</v>
      </c>
      <c r="B9074" s="4" t="s">
        <v>11418</v>
      </c>
      <c r="C9074" s="5" t="str">
        <f>IFERROR(__xludf.DUMMYFUNCTION("GOOGLETRANSLATE(B9074,""en"",""es-ES"")"),"Una anciana alimenta a un niño helado.")</f>
        <v>Una anciana alimenta a un niño helado.</v>
      </c>
    </row>
    <row r="9075">
      <c r="A9075" s="4" t="s">
        <v>11419</v>
      </c>
      <c r="B9075" s="4" t="s">
        <v>11420</v>
      </c>
      <c r="C9075" s="5" t="str">
        <f>IFERROR(__xludf.DUMMYFUNCTION("GOOGLETRANSLATE(B9075,""en"",""es-ES"")"),"Una banda de música está tocando en un campo.")</f>
        <v>Una banda de música está tocando en un campo.</v>
      </c>
    </row>
    <row r="9076">
      <c r="A9076" s="4" t="s">
        <v>11419</v>
      </c>
      <c r="B9076" s="4" t="s">
        <v>11421</v>
      </c>
      <c r="C9076" s="5" t="str">
        <f>IFERROR(__xludf.DUMMYFUNCTION("GOOGLETRANSLATE(B9076,""en"",""es-ES"")"),"Un hombre en una gabardina está hablando en un micrófono.")</f>
        <v>Un hombre en una gabardina está hablando en un micrófono.</v>
      </c>
    </row>
    <row r="9077">
      <c r="A9077" s="4" t="s">
        <v>11419</v>
      </c>
      <c r="B9077" s="4" t="s">
        <v>11422</v>
      </c>
      <c r="C9077" s="5" t="str">
        <f>IFERROR(__xludf.DUMMYFUNCTION("GOOGLETRANSLATE(B9077,""en"",""es-ES"")"),"Un equipo está jugando lacrosse en un campo de hierba.")</f>
        <v>Un equipo está jugando lacrosse en un campo de hierba.</v>
      </c>
    </row>
    <row r="9078">
      <c r="A9078" s="4" t="s">
        <v>11423</v>
      </c>
      <c r="B9078" s="4" t="s">
        <v>11424</v>
      </c>
      <c r="C9078" s="5" t="str">
        <f>IFERROR(__xludf.DUMMYFUNCTION("GOOGLETRANSLATE(B9078,""en"",""es-ES"")"),"Se ve a un hombre hablando con la cámara en varios clips, así como disparar un arco y una flecha.")</f>
        <v>Se ve a un hombre hablando con la cámara en varios clips, así como disparar un arco y una flecha.</v>
      </c>
    </row>
    <row r="9079">
      <c r="A9079" s="4" t="s">
        <v>11423</v>
      </c>
      <c r="B9079" s="4" t="s">
        <v>11425</v>
      </c>
      <c r="C9079" s="5" t="str">
        <f>IFERROR(__xludf.DUMMYFUNCTION("GOOGLETRANSLATE(B9079,""en"",""es-ES"")"),"El hombre demuestra varias veces cómo disparar adecuadamente un arco en diferentes lugares mientras mira hacia atrás para hablar con la cámara.")</f>
        <v>El hombre demuestra varias veces cómo disparar adecuadamente un arco en diferentes lugares mientras mira hacia atrás para hablar con la cámara.</v>
      </c>
    </row>
    <row r="9080">
      <c r="A9080" s="4" t="s">
        <v>11426</v>
      </c>
      <c r="B9080" s="4" t="s">
        <v>11427</v>
      </c>
      <c r="C9080" s="5" t="str">
        <f>IFERROR(__xludf.DUMMYFUNCTION("GOOGLETRANSLATE(B9080,""en"",""es-ES"")"),"Dos equipos de fútbol juegan un juego de fútbol frente a una audiencia llena de gente en Bleachers, en el que el equipo con los uniformes azules y blancos hace una serie de goles.")</f>
        <v>Dos equipos de fútbol juegan un juego de fútbol frente a una audiencia llena de gente en Bleachers, en el que el equipo con los uniformes azules y blancos hace una serie de goles.</v>
      </c>
    </row>
    <row r="9081">
      <c r="A9081" s="4" t="s">
        <v>11426</v>
      </c>
      <c r="B9081" s="4" t="s">
        <v>11428</v>
      </c>
      <c r="C9081" s="5" t="str">
        <f>IFERROR(__xludf.DUMMYFUNCTION("GOOGLETRANSLATE(B9081,""en"",""es-ES"")"),"El equipo con los uniformes amarillos y azules gana un gol en el campo contra el equipo blanco y negro y reacciona abrazándose y sonriéndose.")</f>
        <v>El equipo con los uniformes amarillos y azules gana un gol en el campo contra el equipo blanco y negro y reacciona abrazándose y sonriéndose.</v>
      </c>
    </row>
    <row r="9082">
      <c r="A9082" s="4" t="s">
        <v>11426</v>
      </c>
      <c r="B9082" s="4" t="s">
        <v>11429</v>
      </c>
      <c r="C9082" s="5" t="str">
        <f>IFERROR(__xludf.DUMMYFUNCTION("GOOGLETRANSLATE(B9082,""en"",""es-ES"")"),"El equipo amarillo y azul continúa haciendo una serie de goles, a veces deslizándose después de la patada final, con la audiencia de pie cada vez que se hace un gol y con camisas amarillas.")</f>
        <v>El equipo amarillo y azul continúa haciendo una serie de goles, a veces deslizándose después de la patada final, con la audiencia de pie cada vez que se hace un gol y con camisas amarillas.</v>
      </c>
    </row>
    <row r="9083">
      <c r="A9083" s="4" t="s">
        <v>11426</v>
      </c>
      <c r="B9083" s="4" t="s">
        <v>11430</v>
      </c>
      <c r="C9083" s="5" t="str">
        <f>IFERROR(__xludf.DUMMYFUNCTION("GOOGLETRANSLATE(B9083,""en"",""es-ES"")"),"Se muestra un marcador digital con el puntaje a medida que el equipo amarillo y azul continúa haciendo más goles.")</f>
        <v>Se muestra un marcador digital con el puntaje a medida que el equipo amarillo y azul continúa haciendo más goles.</v>
      </c>
    </row>
    <row r="9084">
      <c r="A9084" s="4" t="s">
        <v>11431</v>
      </c>
      <c r="B9084" s="4" t="s">
        <v>11432</v>
      </c>
      <c r="C9084" s="5" t="str">
        <f>IFERROR(__xludf.DUMMYFUNCTION("GOOGLETRANSLATE(B9084,""en"",""es-ES"")"),"Se muestra una pista de hielo con un juego de hockey en progreso, con el primer gol largo, se realiza seguido de una repetición.")</f>
        <v>Se muestra una pista de hielo con un juego de hockey en progreso, con el primer gol largo, se realiza seguido de una repetición.</v>
      </c>
    </row>
    <row r="9085">
      <c r="A9085" s="4" t="s">
        <v>11431</v>
      </c>
      <c r="B9085" s="4" t="s">
        <v>11433</v>
      </c>
      <c r="C9085" s="5" t="str">
        <f>IFERROR(__xludf.DUMMYFUNCTION("GOOGLETRANSLATE(B9085,""en"",""es-ES"")"),"Un gol del otro equipo en shows rojos dos veces.")</f>
        <v>Un gol del otro equipo en shows rojos dos veces.</v>
      </c>
    </row>
    <row r="9086">
      <c r="A9086" s="4" t="s">
        <v>11431</v>
      </c>
      <c r="B9086" s="4" t="s">
        <v>11434</v>
      </c>
      <c r="C9086" s="5" t="str">
        <f>IFERROR(__xludf.DUMMYFUNCTION("GOOGLETRANSLATE(B9086,""en"",""es-ES"")"),"Una acalorada batalla de dos equipos termina con un jugador del equipo naranja anotando.")</f>
        <v>Una acalorada batalla de dos equipos termina con un jugador del equipo naranja anotando.</v>
      </c>
    </row>
    <row r="9087">
      <c r="A9087" s="4" t="s">
        <v>11431</v>
      </c>
      <c r="B9087" s="4" t="s">
        <v>11435</v>
      </c>
      <c r="C9087" s="5" t="str">
        <f>IFERROR(__xludf.DUMMYFUNCTION("GOOGLETRANSLATE(B9087,""en"",""es-ES"")"),"Dos equipos más hacen largos tiros de puntuación de izquierda a derecha.")</f>
        <v>Dos equipos más hacen largos tiros de puntuación de izquierda a derecha.</v>
      </c>
    </row>
    <row r="9088">
      <c r="A9088" s="4" t="s">
        <v>11431</v>
      </c>
      <c r="B9088" s="4" t="s">
        <v>11436</v>
      </c>
      <c r="C9088" s="5" t="str">
        <f>IFERROR(__xludf.DUMMYFUNCTION("GOOGLETRANSLATE(B9088,""en"",""es-ES"")"),"Un equipo blanco anota después de que un jugador cae en la pista de hielo.")</f>
        <v>Un equipo blanco anota después de que un jugador cae en la pista de hielo.</v>
      </c>
    </row>
    <row r="9089">
      <c r="A9089" s="4" t="s">
        <v>11431</v>
      </c>
      <c r="B9089" s="4" t="s">
        <v>11437</v>
      </c>
      <c r="C9089" s="5" t="str">
        <f>IFERROR(__xludf.DUMMYFUNCTION("GOOGLETRANSLATE(B9089,""en"",""es-ES"")"),"Otros juegos y un segundo jugador caen antes de un gol.")</f>
        <v>Otros juegos y un segundo jugador caen antes de un gol.</v>
      </c>
    </row>
    <row r="9090">
      <c r="A9090" s="4" t="s">
        <v>11431</v>
      </c>
      <c r="B9090" s="4" t="s">
        <v>11438</v>
      </c>
      <c r="C9090" s="5" t="str">
        <f>IFERROR(__xludf.DUMMYFUNCTION("GOOGLETRANSLATE(B9090,""en"",""es-ES"")"),"Se ve una vista aérea más alta del último juego en mostrar.")</f>
        <v>Se ve una vista aérea más alta del último juego en mostrar.</v>
      </c>
    </row>
    <row r="9091">
      <c r="A9091" s="4" t="s">
        <v>11439</v>
      </c>
      <c r="B9091" s="4" t="s">
        <v>11440</v>
      </c>
      <c r="C9091" s="5" t="str">
        <f>IFERROR(__xludf.DUMMYFUNCTION("GOOGLETRANSLATE(B9091,""en"",""es-ES"")"),"Una señora usa una pipa shisha mientras está sentada.")</f>
        <v>Una señora usa una pipa shisha mientras está sentada.</v>
      </c>
    </row>
    <row r="9092">
      <c r="A9092" s="4" t="s">
        <v>11439</v>
      </c>
      <c r="B9092" s="4" t="s">
        <v>11441</v>
      </c>
      <c r="C9092" s="5" t="str">
        <f>IFERROR(__xludf.DUMMYFUNCTION("GOOGLETRANSLATE(B9092,""en"",""es-ES"")"),"La señora sopla el humo en una mitad de botella jabonosa.")</f>
        <v>La señora sopla el humo en una mitad de botella jabonosa.</v>
      </c>
    </row>
    <row r="9093">
      <c r="A9093" s="4" t="s">
        <v>11439</v>
      </c>
      <c r="B9093" s="4" t="s">
        <v>11442</v>
      </c>
      <c r="C9093" s="5" t="str">
        <f>IFERROR(__xludf.DUMMYFUNCTION("GOOGLETRANSLATE(B9093,""en"",""es-ES"")"),"La burbuja Pops liberando el humo.")</f>
        <v>La burbuja Pops liberando el humo.</v>
      </c>
    </row>
    <row r="9094">
      <c r="A9094" s="4" t="s">
        <v>11439</v>
      </c>
      <c r="B9094" s="4" t="s">
        <v>11443</v>
      </c>
      <c r="C9094" s="5" t="str">
        <f>IFERROR(__xludf.DUMMYFUNCTION("GOOGLETRANSLATE(B9094,""en"",""es-ES"")"),"La burbuja flota con el humo aún encerrado y cae al piso.")</f>
        <v>La burbuja flota con el humo aún encerrado y cae al piso.</v>
      </c>
    </row>
    <row r="9095">
      <c r="A9095" s="4" t="s">
        <v>11444</v>
      </c>
      <c r="B9095" s="4" t="s">
        <v>11445</v>
      </c>
      <c r="C9095" s="5" t="str">
        <f>IFERROR(__xludf.DUMMYFUNCTION("GOOGLETRANSLATE(B9095,""en"",""es-ES"")"),"Una cámara se mueve alrededor de una mesa de cerveza pong, así como personas que hablan y hablan en un micrófono.")</f>
        <v>Una cámara se mueve alrededor de una mesa de cerveza pong, así como personas que hablan y hablan en un micrófono.</v>
      </c>
    </row>
    <row r="9096">
      <c r="A9096" s="4" t="s">
        <v>11444</v>
      </c>
      <c r="B9096" s="4" t="s">
        <v>11446</v>
      </c>
      <c r="C9096" s="5" t="str">
        <f>IFERROR(__xludf.DUMMYFUNCTION("GOOGLETRANSLATE(B9096,""en"",""es-ES"")"),"Más personas dan un paso adelante para jugar el pong de la cerveza mientras un hombre rapea al micrófono y otros reaccionan.")</f>
        <v>Más personas dan un paso adelante para jugar el pong de la cerveza mientras un hombre rapea al micrófono y otros reaccionan.</v>
      </c>
    </row>
    <row r="9097">
      <c r="A9097" s="4" t="s">
        <v>11444</v>
      </c>
      <c r="B9097" s="4" t="s">
        <v>11447</v>
      </c>
      <c r="C9097" s="5" t="str">
        <f>IFERROR(__xludf.DUMMYFUNCTION("GOOGLETRANSLATE(B9097,""en"",""es-ES"")"),"Se muestran varios tiros de personas jugando el juego y animando entre sí.")</f>
        <v>Se muestran varios tiros de personas jugando el juego y animando entre sí.</v>
      </c>
    </row>
    <row r="9098">
      <c r="A9098" s="4" t="s">
        <v>11448</v>
      </c>
      <c r="B9098" s="4" t="s">
        <v>11449</v>
      </c>
      <c r="C9098" s="5" t="str">
        <f>IFERROR(__xludf.DUMMYFUNCTION("GOOGLETRANSLATE(B9098,""en"",""es-ES"")"),"Un grupo de hombres parados uno al lado del otro se doblan hacia adelante.")</f>
        <v>Un grupo de hombres parados uno al lado del otro se doblan hacia adelante.</v>
      </c>
    </row>
    <row r="9099">
      <c r="A9099" s="4" t="s">
        <v>11448</v>
      </c>
      <c r="B9099" s="4" t="s">
        <v>11450</v>
      </c>
      <c r="C9099" s="5" t="str">
        <f>IFERROR(__xludf.DUMMYFUNCTION("GOOGLETRANSLATE(B9099,""en"",""es-ES"")"),"Hay personas frente a ellos mirándolos y apuntándolos mientras chugan.")</f>
        <v>Hay personas frente a ellos mirándolos y apuntándolos mientras chugan.</v>
      </c>
    </row>
    <row r="9100">
      <c r="A9100" s="4" t="s">
        <v>11448</v>
      </c>
      <c r="B9100" s="4" t="s">
        <v>11451</v>
      </c>
      <c r="C9100" s="5" t="str">
        <f>IFERROR(__xludf.DUMMYFUNCTION("GOOGLETRANSLATE(B9100,""en"",""es-ES"")"),"Lo convirtieron en un juego que están corriendo para ver quién puede terminar primero.")</f>
        <v>Lo convirtieron en un juego que están corriendo para ver quién puede terminar primero.</v>
      </c>
    </row>
    <row r="9101">
      <c r="A9101" s="4" t="s">
        <v>11448</v>
      </c>
      <c r="B9101" s="4" t="s">
        <v>11452</v>
      </c>
      <c r="C9101" s="5" t="str">
        <f>IFERROR(__xludf.DUMMYFUNCTION("GOOGLETRANSLATE(B9101,""en"",""es-ES"")"),"Todos se detienen al mismo tiempo y la gente que observa sigue siendo muy ruidosa.")</f>
        <v>Todos se detienen al mismo tiempo y la gente que observa sigue siendo muy ruidosa.</v>
      </c>
    </row>
    <row r="9102">
      <c r="A9102" s="4" t="s">
        <v>11453</v>
      </c>
      <c r="B9102" s="4" t="s">
        <v>11454</v>
      </c>
      <c r="C9102" s="5" t="str">
        <f>IFERROR(__xludf.DUMMYFUNCTION("GOOGLETRANSLATE(B9102,""en"",""es-ES"")"),"Una niña de ocho años está tocando una armónica en un escenario.")</f>
        <v>Una niña de ocho años está tocando una armónica en un escenario.</v>
      </c>
    </row>
    <row r="9103">
      <c r="A9103" s="4" t="s">
        <v>11453</v>
      </c>
      <c r="B9103" s="4" t="s">
        <v>11455</v>
      </c>
      <c r="C9103" s="5" t="str">
        <f>IFERROR(__xludf.DUMMYFUNCTION("GOOGLETRANSLATE(B9103,""en"",""es-ES"")"),"La cámara se acerca a la niña cuando la niña comienza a jugar más y más duro, respirando más y más profundamente.")</f>
        <v>La cámara se acerca a la niña cuando la niña comienza a jugar más y más duro, respirando más y más profundamente.</v>
      </c>
    </row>
    <row r="9104">
      <c r="A9104" s="4" t="s">
        <v>11453</v>
      </c>
      <c r="B9104" s="4" t="s">
        <v>11456</v>
      </c>
      <c r="C9104" s="5" t="str">
        <f>IFERROR(__xludf.DUMMYFUNCTION("GOOGLETRANSLATE(B9104,""en"",""es-ES"")"),"La niña deja de jugar, mira a su izquierda muy rápido, luego los seres para sonreír mientras mira la cámara y aplaude.")</f>
        <v>La niña deja de jugar, mira a su izquierda muy rápido, luego los seres para sonreír mientras mira la cámara y aplaude.</v>
      </c>
    </row>
    <row r="9105">
      <c r="A9105" s="4" t="s">
        <v>11457</v>
      </c>
      <c r="B9105" s="4" t="s">
        <v>11458</v>
      </c>
      <c r="C9105" s="5" t="str">
        <f>IFERROR(__xludf.DUMMYFUNCTION("GOOGLETRANSLATE(B9105,""en"",""es-ES"")"),"El ejército está alineado, se dividen en cuatro grupos, comenzaron a hacer práctica de guerra disparando por grupo con pistola de pintura, se esconden entre los muros de piedra y los autos vacantes.")</f>
        <v>El ejército está alineado, se dividen en cuatro grupos, comenzaron a hacer práctica de guerra disparando por grupo con pistola de pintura, se esconden entre los muros de piedra y los autos vacantes.</v>
      </c>
    </row>
    <row r="9106">
      <c r="A9106" s="4" t="s">
        <v>11457</v>
      </c>
      <c r="B9106" s="4" t="s">
        <v>11459</v>
      </c>
      <c r="C9106" s="5" t="str">
        <f>IFERROR(__xludf.DUMMYFUNCTION("GOOGLETRANSLATE(B9106,""en"",""es-ES"")"),"El ejército agarra sus pistolas de pintura sobre la mesa y las cargó con bolas de pintura.")</f>
        <v>El ejército agarra sus pistolas de pintura sobre la mesa y las cargó con bolas de pintura.</v>
      </c>
    </row>
    <row r="9107">
      <c r="A9107" s="4" t="s">
        <v>11460</v>
      </c>
      <c r="B9107" s="4" t="s">
        <v>11461</v>
      </c>
      <c r="C9107" s="5" t="str">
        <f>IFERROR(__xludf.DUMMYFUNCTION("GOOGLETRANSLATE(B9107,""en"",""es-ES"")"),"Una niña está vestida con un atuendo rosa y negro que habla en una habitación acostada sobre una alfombra de yoga azul.")</f>
        <v>Una niña está vestida con un atuendo rosa y negro que habla en una habitación acostada sobre una alfombra de yoga azul.</v>
      </c>
    </row>
    <row r="9108">
      <c r="A9108" s="4" t="s">
        <v>11460</v>
      </c>
      <c r="B9108" s="4" t="s">
        <v>11462</v>
      </c>
      <c r="C9108" s="5" t="str">
        <f>IFERROR(__xludf.DUMMYFUNCTION("GOOGLETRANSLATE(B9108,""en"",""es-ES"")"),"La señora se acuesta boca arriba y pone su mano sobre su pecho.")</f>
        <v>La señora se acuesta boca arriba y pone su mano sobre su pecho.</v>
      </c>
    </row>
    <row r="9109">
      <c r="A9109" s="4" t="s">
        <v>11460</v>
      </c>
      <c r="B9109" s="4" t="s">
        <v>11463</v>
      </c>
      <c r="C9109" s="5" t="str">
        <f>IFERROR(__xludf.DUMMYFUNCTION("GOOGLETRANSLATE(B9109,""en"",""es-ES"")"),"Antes de que ella comience, habla sobre su estómago y cómo poner las manos detrás de su cuello de la manera correcta.")</f>
        <v>Antes de que ella comience, habla sobre su estómago y cómo poner las manos detrás de su cuello de la manera correcta.</v>
      </c>
    </row>
    <row r="9110">
      <c r="A9110" s="4" t="s">
        <v>11460</v>
      </c>
      <c r="B9110" s="4" t="s">
        <v>11464</v>
      </c>
      <c r="C9110" s="5" t="str">
        <f>IFERROR(__xludf.DUMMYFUNCTION("GOOGLETRANSLATE(B9110,""en"",""es-ES"")"),"Finalmente, ella hace unos cuatro abdominales y muestra que su cabeza debe estar levantada y su cuerpo antes de terminar sus abdominales.")</f>
        <v>Finalmente, ella hace unos cuatro abdominales y muestra que su cabeza debe estar levantada y su cuerpo antes de terminar sus abdominales.</v>
      </c>
    </row>
    <row r="9111">
      <c r="A9111" s="4" t="s">
        <v>11465</v>
      </c>
      <c r="B9111" s="4" t="s">
        <v>11466</v>
      </c>
      <c r="C9111" s="5" t="str">
        <f>IFERROR(__xludf.DUMMYFUNCTION("GOOGLETRANSLATE(B9111,""en"",""es-ES"")"),"Una mujer hace ejercicio en una máquina de cardio tirando un mango en un gimnasio.")</f>
        <v>Una mujer hace ejercicio en una máquina de cardio tirando un mango en un gimnasio.</v>
      </c>
    </row>
    <row r="9112">
      <c r="A9112" s="4" t="s">
        <v>11465</v>
      </c>
      <c r="B9112" s="4" t="s">
        <v>11467</v>
      </c>
      <c r="C9112" s="5" t="str">
        <f>IFERROR(__xludf.DUMMYFUNCTION("GOOGLETRANSLATE(B9112,""en"",""es-ES"")"),"Una persona entra en el gimnasio.")</f>
        <v>Una persona entra en el gimnasio.</v>
      </c>
    </row>
    <row r="9113">
      <c r="A9113" s="4" t="s">
        <v>11468</v>
      </c>
      <c r="B9113" s="4" t="s">
        <v>11469</v>
      </c>
      <c r="C9113" s="5" t="str">
        <f>IFERROR(__xludf.DUMMYFUNCTION("GOOGLETRANSLATE(B9113,""en"",""es-ES"")"),"Un dúo de baile masculino y femenino está en medio de un piso de salón de baile rodeado de personas que se preparan para bailar; Sin embargo, la música no comienza y se retrasan.")</f>
        <v>Un dúo de baile masculino y femenino está en medio de un piso de salón de baile rodeado de personas que se preparan para bailar; Sin embargo, la música no comienza y se retrasan.</v>
      </c>
    </row>
    <row r="9114">
      <c r="A9114" s="4" t="s">
        <v>11468</v>
      </c>
      <c r="B9114" s="4" t="s">
        <v>11470</v>
      </c>
      <c r="C9114" s="5" t="str">
        <f>IFERROR(__xludf.DUMMYFUNCTION("GOOGLETRANSLATE(B9114,""en"",""es-ES"")"),"Luego comienzan a bailar y arrastrar sus pies a través del azulejo y girar mutuamente.")</f>
        <v>Luego comienzan a bailar y arrastrar sus pies a través del azulejo y girar mutuamente.</v>
      </c>
    </row>
    <row r="9115">
      <c r="A9115" s="4" t="s">
        <v>11468</v>
      </c>
      <c r="B9115" s="4" t="s">
        <v>11471</v>
      </c>
      <c r="C9115" s="5" t="str">
        <f>IFERROR(__xludf.DUMMYFUNCTION("GOOGLETRANSLATE(B9115,""en"",""es-ES"")"),"Los dos se dividen, terminan la rutina y salen a mezclarse con la multitud.")</f>
        <v>Los dos se dividen, terminan la rutina y salen a mezclarse con la multitud.</v>
      </c>
    </row>
    <row r="9116">
      <c r="A9116" s="4" t="s">
        <v>11472</v>
      </c>
      <c r="B9116" s="4" t="s">
        <v>11473</v>
      </c>
      <c r="C9116" s="5" t="str">
        <f>IFERROR(__xludf.DUMMYFUNCTION("GOOGLETRANSLATE(B9116,""en"",""es-ES"")"),"Se ve a un hombre parado frente a una mesa sosteniendo una barra de cera y otros objetos.")</f>
        <v>Se ve a un hombre parado frente a una mesa sosteniendo una barra de cera y otros objetos.</v>
      </c>
    </row>
    <row r="9117">
      <c r="A9117" s="4" t="s">
        <v>11472</v>
      </c>
      <c r="B9117" s="4" t="s">
        <v>11474</v>
      </c>
      <c r="C9117" s="5" t="str">
        <f>IFERROR(__xludf.DUMMYFUNCTION("GOOGLETRANSLATE(B9117,""en"",""es-ES"")"),"Empuja la cera en una lijadora y comienza a usarla en un tablero de esquí.")</f>
        <v>Empuja la cera en una lijadora y comienza a usarla en un tablero de esquí.</v>
      </c>
    </row>
    <row r="9118">
      <c r="A9118" s="4" t="s">
        <v>11472</v>
      </c>
      <c r="B9118" s="4" t="s">
        <v>11475</v>
      </c>
      <c r="C9118" s="5" t="str">
        <f>IFERROR(__xludf.DUMMYFUNCTION("GOOGLETRANSLATE(B9118,""en"",""es-ES"")"),"Mueve la lijadora a lo largo del tablero y termina mostrándola a la cámara.")</f>
        <v>Mueve la lijadora a lo largo del tablero y termina mostrándola a la cámara.</v>
      </c>
    </row>
    <row r="9119">
      <c r="A9119" s="4" t="s">
        <v>11476</v>
      </c>
      <c r="B9119" s="4" t="s">
        <v>11477</v>
      </c>
      <c r="C9119" s="5" t="str">
        <f>IFERROR(__xludf.DUMMYFUNCTION("GOOGLETRANSLATE(B9119,""en"",""es-ES"")"),"Vemos a un hombre arrojando una piedra rizada.")</f>
        <v>Vemos a un hombre arrojando una piedra rizada.</v>
      </c>
    </row>
    <row r="9120">
      <c r="A9120" s="4" t="s">
        <v>11476</v>
      </c>
      <c r="B9120" s="4" t="s">
        <v>11478</v>
      </c>
      <c r="C9120" s="5" t="str">
        <f>IFERROR(__xludf.DUMMYFUNCTION("GOOGLETRANSLATE(B9120,""en"",""es-ES"")"),"Vemos a un hombre, 2 niñas, luego un hombre mayor entrevistado.")</f>
        <v>Vemos a un hombre, 2 niñas, luego un hombre mayor entrevistado.</v>
      </c>
    </row>
    <row r="9121">
      <c r="A9121" s="4" t="s">
        <v>11476</v>
      </c>
      <c r="B9121" s="4" t="s">
        <v>11479</v>
      </c>
      <c r="C9121" s="5" t="str">
        <f>IFERROR(__xludf.DUMMYFUNCTION("GOOGLETRANSLATE(B9121,""en"",""es-ES"")"),"Vemos a un hombre arrojando la piedra.")</f>
        <v>Vemos a un hombre arrojando la piedra.</v>
      </c>
    </row>
    <row r="9122">
      <c r="A9122" s="4" t="s">
        <v>11476</v>
      </c>
      <c r="B9122" s="4" t="s">
        <v>11480</v>
      </c>
      <c r="C9122" s="5" t="str">
        <f>IFERROR(__xludf.DUMMYFUNCTION("GOOGLETRANSLATE(B9122,""en"",""es-ES"")"),"Vemos al hombre mayor entrevistado.")</f>
        <v>Vemos al hombre mayor entrevistado.</v>
      </c>
    </row>
    <row r="9123">
      <c r="A9123" s="4" t="s">
        <v>11476</v>
      </c>
      <c r="B9123" s="4" t="s">
        <v>11481</v>
      </c>
      <c r="C9123" s="5" t="str">
        <f>IFERROR(__xludf.DUMMYFUNCTION("GOOGLETRANSLATE(B9123,""en"",""es-ES"")"),"Vemos a dos niños hablando en la pista.")</f>
        <v>Vemos a dos niños hablando en la pista.</v>
      </c>
    </row>
    <row r="9124">
      <c r="A9124" s="4" t="s">
        <v>11476</v>
      </c>
      <c r="B9124" s="4" t="s">
        <v>11482</v>
      </c>
      <c r="C9124" s="5" t="str">
        <f>IFERROR(__xludf.DUMMYFUNCTION("GOOGLETRANSLATE(B9124,""en"",""es-ES"")"),"Vemos a un hombre joven con el cabello más largo siendo entrevistado por dos chicas.")</f>
        <v>Vemos a un hombre joven con el cabello más largo siendo entrevistado por dos chicas.</v>
      </c>
    </row>
    <row r="9125">
      <c r="A9125" s="4" t="s">
        <v>11476</v>
      </c>
      <c r="B9125" s="4" t="s">
        <v>11483</v>
      </c>
      <c r="C9125" s="5" t="str">
        <f>IFERROR(__xludf.DUMMYFUNCTION("GOOGLETRANSLATE(B9125,""en"",""es-ES"")"),"Vemos al niño curl, luego nos entrevistan y una niña entrevistada.")</f>
        <v>Vemos al niño curl, luego nos entrevistan y una niña entrevistada.</v>
      </c>
    </row>
    <row r="9126">
      <c r="A9126" s="4" t="s">
        <v>11476</v>
      </c>
      <c r="B9126" s="4" t="s">
        <v>11484</v>
      </c>
      <c r="C9126" s="5" t="str">
        <f>IFERROR(__xludf.DUMMYFUNCTION("GOOGLETRANSLATE(B9126,""en"",""es-ES"")"),"Vemos a la gente acurrucada, una niña habla y un grupo de chicas habla antes de que se alejen.")</f>
        <v>Vemos a la gente acurrucada, una niña habla y un grupo de chicas habla antes de que se alejen.</v>
      </c>
    </row>
    <row r="9127">
      <c r="A9127" s="4" t="s">
        <v>11485</v>
      </c>
      <c r="B9127" s="4" t="s">
        <v>11486</v>
      </c>
      <c r="C9127" s="5" t="str">
        <f>IFERROR(__xludf.DUMMYFUNCTION("GOOGLETRANSLATE(B9127,""en"",""es-ES"")"),"Se muestran varios disparos de varios huéspedes de nieve que molenen los rieles en nieve con uno cayendo y se lastiman.")</f>
        <v>Se muestran varios disparos de varios huéspedes de nieve que molenen los rieles en nieve con uno cayendo y se lastiman.</v>
      </c>
    </row>
    <row r="9128">
      <c r="A9128" s="4" t="s">
        <v>11485</v>
      </c>
      <c r="B9128" s="4" t="s">
        <v>11487</v>
      </c>
      <c r="C9128" s="5" t="str">
        <f>IFERROR(__xludf.DUMMYFUNCTION("GOOGLETRANSLATE(B9128,""en"",""es-ES"")"),"Al final se muestran más tomas de personas que limpian al final, así como a las personas que hablan entre sí en un círculo.")</f>
        <v>Al final se muestran más tomas de personas que limpian al final, así como a las personas que hablan entre sí en un círculo.</v>
      </c>
    </row>
    <row r="9129">
      <c r="A9129" s="4" t="s">
        <v>11488</v>
      </c>
      <c r="B9129" s="4" t="s">
        <v>11489</v>
      </c>
      <c r="C9129" s="5" t="str">
        <f>IFERROR(__xludf.DUMMYFUNCTION("GOOGLETRANSLATE(B9129,""en"",""es-ES"")"),"Un gran grupo de personas vistas alejándose de una cuerda unos de otras.")</f>
        <v>Un gran grupo de personas vistas alejándose de una cuerda unos de otras.</v>
      </c>
    </row>
    <row r="9130">
      <c r="A9130" s="4" t="s">
        <v>11488</v>
      </c>
      <c r="B9130" s="4" t="s">
        <v>11490</v>
      </c>
      <c r="C9130" s="5" t="str">
        <f>IFERROR(__xludf.DUMMYFUNCTION("GOOGLETRANSLATE(B9130,""en"",""es-ES"")"),"Se muestran más juegos de personas que juegan tira y afloja.")</f>
        <v>Se muestran más juegos de personas que juegan tira y afloja.</v>
      </c>
    </row>
    <row r="9131">
      <c r="A9131" s="4" t="s">
        <v>11488</v>
      </c>
      <c r="B9131" s="4" t="s">
        <v>11491</v>
      </c>
      <c r="C9131" s="5" t="str">
        <f>IFERROR(__xludf.DUMMYFUNCTION("GOOGLETRANSLATE(B9131,""en"",""es-ES"")"),"La gente mira a los costados mientras los hombres continúan jugando entre ellos.")</f>
        <v>La gente mira a los costados mientras los hombres continúan jugando entre ellos.</v>
      </c>
    </row>
    <row r="9132">
      <c r="A9132" s="4" t="s">
        <v>11492</v>
      </c>
      <c r="B9132" s="4" t="s">
        <v>11493</v>
      </c>
      <c r="C9132" s="5" t="str">
        <f>IFERROR(__xludf.DUMMYFUNCTION("GOOGLETRANSLATE(B9132,""en"",""es-ES"")"),"Se ve a una gimnasta parada con los brazos en el aire frente a una gran multitud.")</f>
        <v>Se ve a una gimnasta parada con los brazos en el aire frente a una gran multitud.</v>
      </c>
    </row>
    <row r="9133">
      <c r="A9133" s="4" t="s">
        <v>11492</v>
      </c>
      <c r="B9133" s="4" t="s">
        <v>11494</v>
      </c>
      <c r="C9133" s="5" t="str">
        <f>IFERROR(__xludf.DUMMYFUNCTION("GOOGLETRANSLATE(B9133,""en"",""es-ES"")"),"La niña luego salta a una viga y comienza a realizar trucos de gimnasia.")</f>
        <v>La niña luego salta a una viga y comienza a realizar trucos de gimnasia.</v>
      </c>
    </row>
    <row r="9134">
      <c r="A9134" s="4" t="s">
        <v>11492</v>
      </c>
      <c r="B9134" s="4" t="s">
        <v>11495</v>
      </c>
      <c r="C9134" s="5" t="str">
        <f>IFERROR(__xludf.DUMMYFUNCTION("GOOGLETRANSLATE(B9134,""en"",""es-ES"")"),"La niña continúa volteando y girando y termina con ella saltando hacia un lado.")</f>
        <v>La niña continúa volteando y girando y termina con ella saltando hacia un lado.</v>
      </c>
    </row>
    <row r="9135">
      <c r="A9135" s="4" t="s">
        <v>11496</v>
      </c>
      <c r="B9135" s="4" t="s">
        <v>11497</v>
      </c>
      <c r="C9135" s="5" t="str">
        <f>IFERROR(__xludf.DUMMYFUNCTION("GOOGLETRANSLATE(B9135,""en"",""es-ES"")"),"Un joven corre y salta sobre una barra sobre una estera varias veces.")</f>
        <v>Un joven corre y salta sobre una barra sobre una estera varias veces.</v>
      </c>
    </row>
    <row r="9136">
      <c r="A9136" s="4" t="s">
        <v>11496</v>
      </c>
      <c r="B9136" s="4" t="s">
        <v>11498</v>
      </c>
      <c r="C9136" s="5" t="str">
        <f>IFERROR(__xludf.DUMMYFUNCTION("GOOGLETRANSLATE(B9136,""en"",""es-ES"")"),"La gente corre y camina por una pista en el fondo.")</f>
        <v>La gente corre y camina por una pista en el fondo.</v>
      </c>
    </row>
    <row r="9137">
      <c r="A9137" s="4" t="s">
        <v>11496</v>
      </c>
      <c r="B9137" s="4" t="s">
        <v>11499</v>
      </c>
      <c r="C9137" s="5" t="str">
        <f>IFERROR(__xludf.DUMMYFUNCTION("GOOGLETRANSLATE(B9137,""en"",""es-ES"")"),"El mismo joven salta sobre la barra usando un trampolín en el tapete varias veces.")</f>
        <v>El mismo joven salta sobre la barra usando un trampolín en el tapete varias veces.</v>
      </c>
    </row>
    <row r="9138">
      <c r="A9138" s="4" t="s">
        <v>11496</v>
      </c>
      <c r="B9138" s="4" t="s">
        <v>11500</v>
      </c>
      <c r="C9138" s="5" t="str">
        <f>IFERROR(__xludf.DUMMYFUNCTION("GOOGLETRANSLATE(B9138,""en"",""es-ES"")"),"La gente camina por una casa de campo cerca de la pista.")</f>
        <v>La gente camina por una casa de campo cerca de la pista.</v>
      </c>
    </row>
    <row r="9139">
      <c r="A9139" s="4" t="s">
        <v>11501</v>
      </c>
      <c r="B9139" s="4" t="s">
        <v>11502</v>
      </c>
      <c r="C9139" s="5" t="str">
        <f>IFERROR(__xludf.DUMMYFUNCTION("GOOGLETRANSLATE(B9139,""en"",""es-ES"")"),"Varios niños conducen autos de parachoques en un grupo en una feria.")</f>
        <v>Varios niños conducen autos de parachoques en un grupo en una feria.</v>
      </c>
    </row>
    <row r="9140">
      <c r="A9140" s="4" t="s">
        <v>11501</v>
      </c>
      <c r="B9140" s="4" t="s">
        <v>11503</v>
      </c>
      <c r="C9140" s="5" t="str">
        <f>IFERROR(__xludf.DUMMYFUNCTION("GOOGLETRANSLATE(B9140,""en"",""es-ES"")"),"Una niña más joven se atasca y un hombre se acerca para ayudarla.")</f>
        <v>Una niña más joven se atasca y un hombre se acerca para ayudarla.</v>
      </c>
    </row>
    <row r="9141">
      <c r="A9141" s="4" t="s">
        <v>11501</v>
      </c>
      <c r="B9141" s="4" t="s">
        <v>11504</v>
      </c>
      <c r="C9141" s="5" t="str">
        <f>IFERROR(__xludf.DUMMYFUNCTION("GOOGLETRANSLATE(B9141,""en"",""es-ES"")"),"El tiempo de los grupos se agota y todos los niños se ponen de pie y salen del área de los carros.")</f>
        <v>El tiempo de los grupos se agota y todos los niños se ponen de pie y salen del área de los carros.</v>
      </c>
    </row>
    <row r="9142">
      <c r="A9142" s="4" t="s">
        <v>11501</v>
      </c>
      <c r="B9142" s="4" t="s">
        <v>11505</v>
      </c>
      <c r="C9142" s="5" t="str">
        <f>IFERROR(__xludf.DUMMYFUNCTION("GOOGLETRANSLATE(B9142,""en"",""es-ES"")"),"Todos los niños bajan las escaleras y regresan al área de la feria.")</f>
        <v>Todos los niños bajan las escaleras y regresan al área de la feria.</v>
      </c>
    </row>
    <row r="9143">
      <c r="A9143" s="4" t="s">
        <v>11501</v>
      </c>
      <c r="B9143" s="4" t="s">
        <v>11506</v>
      </c>
      <c r="C9143" s="5" t="str">
        <f>IFERROR(__xludf.DUMMYFUNCTION("GOOGLETRANSLATE(B9143,""en"",""es-ES"")"),"Hay muchas personas de todas las edades haciendo cosas diferentes en la feria.")</f>
        <v>Hay muchas personas de todas las edades haciendo cosas diferentes en la feria.</v>
      </c>
    </row>
    <row r="9144">
      <c r="A9144" s="4" t="s">
        <v>11507</v>
      </c>
      <c r="B9144" s="4" t="s">
        <v>11508</v>
      </c>
      <c r="C9144" s="5" t="str">
        <f>IFERROR(__xludf.DUMMYFUNCTION("GOOGLETRANSLATE(B9144,""en"",""es-ES"")"),"Los objetivos de tiro se muestran en la hierba.")</f>
        <v>Los objetivos de tiro se muestran en la hierba.</v>
      </c>
    </row>
    <row r="9145">
      <c r="A9145" s="4" t="s">
        <v>11507</v>
      </c>
      <c r="B9145" s="4" t="s">
        <v>11509</v>
      </c>
      <c r="C9145" s="5" t="str">
        <f>IFERROR(__xludf.DUMMYFUNCTION("GOOGLETRANSLATE(B9145,""en"",""es-ES"")"),"Un hombre usa un arco y una flecha para golpear los objetivos.")</f>
        <v>Un hombre usa un arco y una flecha para golpear los objetivos.</v>
      </c>
    </row>
    <row r="9146">
      <c r="A9146" s="4" t="s">
        <v>11507</v>
      </c>
      <c r="B9146" s="4" t="s">
        <v>1599</v>
      </c>
      <c r="C9146" s="5" t="str">
        <f>IFERROR(__xludf.DUMMYFUNCTION("GOOGLETRANSLATE(B9146,""en"",""es-ES"")"),"Las palabras se muestran en la pantalla.")</f>
        <v>Las palabras se muestran en la pantalla.</v>
      </c>
    </row>
    <row r="9147">
      <c r="A9147" s="4" t="s">
        <v>11507</v>
      </c>
      <c r="B9147" s="4" t="s">
        <v>11510</v>
      </c>
      <c r="C9147" s="5" t="str">
        <f>IFERROR(__xludf.DUMMYFUNCTION("GOOGLETRANSLATE(B9147,""en"",""es-ES"")"),"Un hombre dispara un arco detrás de una pila de palos.")</f>
        <v>Un hombre dispara un arco detrás de una pila de palos.</v>
      </c>
    </row>
    <row r="9148">
      <c r="A9148" s="4" t="s">
        <v>11511</v>
      </c>
      <c r="B9148" s="4" t="s">
        <v>11512</v>
      </c>
      <c r="C9148" s="5" t="str">
        <f>IFERROR(__xludf.DUMMYFUNCTION("GOOGLETRANSLATE(B9148,""en"",""es-ES"")"),"Se ve a un niño pequeño parado detrás de un juego de batería y luego comienza a tocar la batería.")</f>
        <v>Se ve a un niño pequeño parado detrás de un juego de batería y luego comienza a tocar la batería.</v>
      </c>
    </row>
    <row r="9149">
      <c r="A9149" s="4" t="s">
        <v>11511</v>
      </c>
      <c r="B9149" s="4" t="s">
        <v>11513</v>
      </c>
      <c r="C9149" s="5" t="str">
        <f>IFERROR(__xludf.DUMMYFUNCTION("GOOGLETRANSLATE(B9149,""en"",""es-ES"")"),"Los chicos continúan tocando en la batería y termina con él besando sus dedos y dando un signo de paz.")</f>
        <v>Los chicos continúan tocando en la batería y termina con él besando sus dedos y dando un signo de paz.</v>
      </c>
    </row>
    <row r="9150">
      <c r="A9150" s="4" t="s">
        <v>11514</v>
      </c>
      <c r="B9150" s="4" t="s">
        <v>11515</v>
      </c>
      <c r="C9150" s="5" t="str">
        <f>IFERROR(__xludf.DUMMYFUNCTION("GOOGLETRANSLATE(B9150,""en"",""es-ES"")"),"Un joven con camiseta azul camina por una pequeña sala de baile.")</f>
        <v>Un joven con camiseta azul camina por una pequeña sala de baile.</v>
      </c>
    </row>
    <row r="9151">
      <c r="A9151" s="4" t="s">
        <v>11514</v>
      </c>
      <c r="B9151" s="4" t="s">
        <v>11516</v>
      </c>
      <c r="C9151" s="5" t="str">
        <f>IFERROR(__xludf.DUMMYFUNCTION("GOOGLETRANSLATE(B9151,""en"",""es-ES"")"),"El joven coloca su estéreo en una silla.")</f>
        <v>El joven coloca su estéreo en una silla.</v>
      </c>
    </row>
    <row r="9152">
      <c r="A9152" s="4" t="s">
        <v>11514</v>
      </c>
      <c r="B9152" s="4" t="s">
        <v>11517</v>
      </c>
      <c r="C9152" s="5" t="str">
        <f>IFERROR(__xludf.DUMMYFUNCTION("GOOGLETRANSLATE(B9152,""en"",""es-ES"")"),"El hombre joven se calienta y hace una parada de manos con una mano.")</f>
        <v>El hombre joven se calienta y hace una parada de manos con una mano.</v>
      </c>
    </row>
    <row r="9153">
      <c r="A9153" s="4" t="s">
        <v>11514</v>
      </c>
      <c r="B9153" s="4" t="s">
        <v>11518</v>
      </c>
      <c r="C9153" s="5" t="str">
        <f>IFERROR(__xludf.DUMMYFUNCTION("GOOGLETRANSLATE(B9153,""en"",""es-ES"")"),"El hombre hace una rutina de baile de descanso haciendo soportes y giros.")</f>
        <v>El hombre hace una rutina de baile de descanso haciendo soportes y giros.</v>
      </c>
    </row>
    <row r="9154">
      <c r="A9154" s="4" t="s">
        <v>11514</v>
      </c>
      <c r="B9154" s="4" t="s">
        <v>11519</v>
      </c>
      <c r="C9154" s="5" t="str">
        <f>IFERROR(__xludf.DUMMYFUNCTION("GOOGLETRANSLATE(B9154,""en"",""es-ES"")"),"Los créditos finales se muestran con nombres escritos en Cursive.")</f>
        <v>Los créditos finales se muestran con nombres escritos en Cursive.</v>
      </c>
    </row>
    <row r="9155">
      <c r="A9155" s="4" t="s">
        <v>11520</v>
      </c>
      <c r="B9155" s="4" t="s">
        <v>11521</v>
      </c>
      <c r="C9155" s="5" t="str">
        <f>IFERROR(__xludf.DUMMYFUNCTION("GOOGLETRANSLATE(B9155,""en"",""es-ES"")"),"Hay personas en un garaje de pie alrededor de una larga mesa de madera que tiene muchas tazas rojas en solitario.")</f>
        <v>Hay personas en un garaje de pie alrededor de una larga mesa de madera que tiene muchas tazas rojas en solitario.</v>
      </c>
    </row>
    <row r="9156">
      <c r="A9156" s="4" t="s">
        <v>11520</v>
      </c>
      <c r="B9156" s="4" t="s">
        <v>11522</v>
      </c>
      <c r="C9156" s="5" t="str">
        <f>IFERROR(__xludf.DUMMYFUNCTION("GOOGLETRANSLATE(B9156,""en"",""es-ES"")"),"Todos comienzan a lanzar bolas de ping pong en un intento de hacer que aterricen en una copa solitaria roja.")</f>
        <v>Todos comienzan a lanzar bolas de ping pong en un intento de hacer que aterricen en una copa solitaria roja.</v>
      </c>
    </row>
    <row r="9157">
      <c r="A9157" s="4" t="s">
        <v>11520</v>
      </c>
      <c r="B9157" s="4" t="s">
        <v>11523</v>
      </c>
      <c r="C9157" s="5" t="str">
        <f>IFERROR(__xludf.DUMMYFUNCTION("GOOGLETRANSLATE(B9157,""en"",""es-ES"")"),"De repente, uno de ellos cae hacia atrás en la mesa y la mesa cae.")</f>
        <v>De repente, uno de ellos cae hacia atrás en la mesa y la mesa cae.</v>
      </c>
    </row>
    <row r="9158">
      <c r="A9158" s="4" t="s">
        <v>11520</v>
      </c>
      <c r="B9158" s="4" t="s">
        <v>11524</v>
      </c>
      <c r="C9158" s="5" t="str">
        <f>IFERROR(__xludf.DUMMYFUNCTION("GOOGLETRANSLATE(B9158,""en"",""es-ES"")"),"Todos los hombres comienzan a reír, sacan la mesa del hombre, y solo uno de los hombres va a ayudar a la persona a levantarse.")</f>
        <v>Todos los hombres comienzan a reír, sacan la mesa del hombre, y solo uno de los hombres va a ayudar a la persona a levantarse.</v>
      </c>
    </row>
    <row r="9159">
      <c r="A9159" s="4" t="s">
        <v>11525</v>
      </c>
      <c r="B9159" s="4" t="s">
        <v>11526</v>
      </c>
      <c r="C9159" s="5" t="str">
        <f>IFERROR(__xludf.DUMMYFUNCTION("GOOGLETRANSLATE(B9159,""en"",""es-ES"")"),"Se ve a un hombre entrevistando a otro hombre en la cámara y conduce a varios grupos de personas que juegan al tablero.")</f>
        <v>Se ve a un hombre entrevistando a otro hombre en la cámara y conduce a varios grupos de personas que juegan al tablero.</v>
      </c>
    </row>
    <row r="9160">
      <c r="A9160" s="4" t="s">
        <v>11525</v>
      </c>
      <c r="B9160" s="4" t="s">
        <v>11527</v>
      </c>
      <c r="C9160" s="5" t="str">
        <f>IFERROR(__xludf.DUMMYFUNCTION("GOOGLETRANSLATE(B9160,""en"",""es-ES"")"),"La cámara regresa al hombre que está entrevistado y termina con el anfitrión que tiene una última palabra para la cámara.")</f>
        <v>La cámara regresa al hombre que está entrevistado y termina con el anfitrión que tiene una última palabra para la cámara.</v>
      </c>
    </row>
    <row r="9161">
      <c r="A9161" s="4" t="s">
        <v>11528</v>
      </c>
      <c r="B9161" s="4" t="s">
        <v>11529</v>
      </c>
      <c r="C9161" s="5" t="str">
        <f>IFERROR(__xludf.DUMMYFUNCTION("GOOGLETRANSLATE(B9161,""en"",""es-ES"")"),"Dos mujeres están al aire libre fuera de un edificio y juegan rayos en el suelo cementado.")</f>
        <v>Dos mujeres están al aire libre fuera de un edificio y juegan rayos en el suelo cementado.</v>
      </c>
    </row>
    <row r="9162">
      <c r="A9162" s="4" t="s">
        <v>11528</v>
      </c>
      <c r="B9162" s="4" t="s">
        <v>11530</v>
      </c>
      <c r="C9162" s="5" t="str">
        <f>IFERROR(__xludf.DUMMYFUNCTION("GOOGLETRANSLATE(B9162,""en"",""es-ES"")"),"Hay texto blanco en la pantalla.")</f>
        <v>Hay texto blanco en la pantalla.</v>
      </c>
    </row>
    <row r="9163">
      <c r="A9163" s="4" t="s">
        <v>11528</v>
      </c>
      <c r="B9163" s="4" t="s">
        <v>11531</v>
      </c>
      <c r="C9163" s="5" t="str">
        <f>IFERROR(__xludf.DUMMYFUNCTION("GOOGLETRANSLATE(B9163,""en"",""es-ES"")"),"La mujer más joven en pantalones cortos salta sobre los cuadrados y una mujer mayor que lleva un vestido también salta sobre los cuadrados.")</f>
        <v>La mujer más joven en pantalones cortos salta sobre los cuadrados y una mujer mayor que lleva un vestido también salta sobre los cuadrados.</v>
      </c>
    </row>
    <row r="9164">
      <c r="A9164" s="4" t="s">
        <v>11528</v>
      </c>
      <c r="B9164" s="4" t="s">
        <v>11532</v>
      </c>
      <c r="C9164" s="5" t="str">
        <f>IFERROR(__xludf.DUMMYFUNCTION("GOOGLETRANSLATE(B9164,""en"",""es-ES"")"),"La joven se cae.")</f>
        <v>La joven se cae.</v>
      </c>
    </row>
    <row r="9165">
      <c r="A9165" s="4" t="s">
        <v>11528</v>
      </c>
      <c r="B9165" s="4" t="s">
        <v>11533</v>
      </c>
      <c r="C9165" s="5" t="str">
        <f>IFERROR(__xludf.DUMMYFUNCTION("GOOGLETRANSLATE(B9165,""en"",""es-ES"")"),"La mujer mayor camina y celebra levantar los brazos.")</f>
        <v>La mujer mayor camina y celebra levantar los brazos.</v>
      </c>
    </row>
    <row r="9166">
      <c r="A9166" s="4" t="s">
        <v>11528</v>
      </c>
      <c r="B9166" s="4" t="s">
        <v>11534</v>
      </c>
      <c r="C9166" s="5" t="str">
        <f>IFERROR(__xludf.DUMMYFUNCTION("GOOGLETRANSLATE(B9166,""en"",""es-ES"")"),"Los dos miran la cámara y dan un pulgar hacia arriba.")</f>
        <v>Los dos miran la cámara y dan un pulgar hacia arriba.</v>
      </c>
    </row>
    <row r="9167">
      <c r="A9167" s="4" t="s">
        <v>11535</v>
      </c>
      <c r="B9167" s="4" t="s">
        <v>11536</v>
      </c>
      <c r="C9167" s="5" t="str">
        <f>IFERROR(__xludf.DUMMYFUNCTION("GOOGLETRANSLATE(B9167,""en"",""es-ES"")"),"Se ve un primer plano de Subway y conduce a una mujer que habla con la cámara y corta un pedazo de pan.")</f>
        <v>Se ve un primer plano de Subway y conduce a una mujer que habla con la cámara y corta un pedazo de pan.</v>
      </c>
    </row>
    <row r="9168">
      <c r="A9168" s="4" t="s">
        <v>11535</v>
      </c>
      <c r="B9168" s="4" t="s">
        <v>11537</v>
      </c>
      <c r="C9168" s="5" t="str">
        <f>IFERROR(__xludf.DUMMYFUNCTION("GOOGLETRANSLATE(B9168,""en"",""es-ES"")"),"La mujer luego presenta varios ingredientes en el pan y lo enrolla en una envoltura.")</f>
        <v>La mujer luego presenta varios ingredientes en el pan y lo enrolla en una envoltura.</v>
      </c>
    </row>
    <row r="9169">
      <c r="A9169" s="4" t="s">
        <v>11535</v>
      </c>
      <c r="B9169" s="4" t="s">
        <v>11538</v>
      </c>
      <c r="C9169" s="5" t="str">
        <f>IFERROR(__xludf.DUMMYFUNCTION("GOOGLETRANSLATE(B9169,""en"",""es-ES"")"),"Luego se muestran varias imágenes al final del sándwich, todo listo y la gente que disfruta del sándwich.")</f>
        <v>Luego se muestran varias imágenes al final del sándwich, todo listo y la gente que disfruta del sándwich.</v>
      </c>
    </row>
    <row r="9170">
      <c r="A9170" s="4" t="s">
        <v>11539</v>
      </c>
      <c r="B9170" s="4" t="s">
        <v>11540</v>
      </c>
      <c r="C9170" s="5" t="str">
        <f>IFERROR(__xludf.DUMMYFUNCTION("GOOGLETRANSLATE(B9170,""en"",""es-ES"")"),"Un hombre está de pie dentro de un gimnasio.")</f>
        <v>Un hombre está de pie dentro de un gimnasio.</v>
      </c>
    </row>
    <row r="9171">
      <c r="A9171" s="4" t="s">
        <v>11539</v>
      </c>
      <c r="B9171" s="4" t="s">
        <v>11541</v>
      </c>
      <c r="C9171" s="5" t="str">
        <f>IFERROR(__xludf.DUMMYFUNCTION("GOOGLETRANSLATE(B9171,""en"",""es-ES"")"),"Salta y sale de un paso de ejercicio, de adelante hacia atrás y de lado a lado.")</f>
        <v>Salta y sale de un paso de ejercicio, de adelante hacia atrás y de lado a lado.</v>
      </c>
    </row>
    <row r="9172">
      <c r="A9172" s="4" t="s">
        <v>11539</v>
      </c>
      <c r="B9172" s="4" t="s">
        <v>11542</v>
      </c>
      <c r="C9172" s="5" t="str">
        <f>IFERROR(__xludf.DUMMYFUNCTION("GOOGLETRANSLATE(B9172,""en"",""es-ES"")"),"Él gira mientras sube y baja.")</f>
        <v>Él gira mientras sube y baja.</v>
      </c>
    </row>
    <row r="9173">
      <c r="A9173" s="4" t="s">
        <v>11543</v>
      </c>
      <c r="B9173" s="4" t="s">
        <v>11544</v>
      </c>
      <c r="C9173" s="5" t="str">
        <f>IFERROR(__xludf.DUMMYFUNCTION("GOOGLETRANSLATE(B9173,""en"",""es-ES"")"),"Dos luchadores de sumo se muestran en un set con cientos de personas mirando en la parte posterior tomando fotos.")</f>
        <v>Dos luchadores de sumo se muestran en un set con cientos de personas mirando en la parte posterior tomando fotos.</v>
      </c>
    </row>
    <row r="9174">
      <c r="A9174" s="4" t="s">
        <v>11543</v>
      </c>
      <c r="B9174" s="4" t="s">
        <v>11545</v>
      </c>
      <c r="C9174" s="5" t="str">
        <f>IFERROR(__xludf.DUMMYFUNCTION("GOOGLETRANSLATE(B9174,""en"",""es-ES"")"),"El video continúa mostrando a varios atletas diferentes luchando en un anillo y tirar al otro en cuestión de segundos.")</f>
        <v>El video continúa mostrando a varios atletas diferentes luchando en un anillo y tirar al otro en cuestión de segundos.</v>
      </c>
    </row>
    <row r="9175">
      <c r="A9175" s="4" t="s">
        <v>11546</v>
      </c>
      <c r="B9175" s="4" t="s">
        <v>11547</v>
      </c>
      <c r="C9175" s="5" t="str">
        <f>IFERROR(__xludf.DUMMYFUNCTION("GOOGLETRANSLATE(B9175,""en"",""es-ES"")"),"Se ve a dos personas hablando con la cámara y conduce al hombre pelar una pera y alcanzar los lados.")</f>
        <v>Se ve a dos personas hablando con la cámara y conduce al hombre pelar una pera y alcanzar los lados.</v>
      </c>
    </row>
    <row r="9176">
      <c r="A9176" s="4" t="s">
        <v>11546</v>
      </c>
      <c r="B9176" s="4" t="s">
        <v>11548</v>
      </c>
      <c r="C9176" s="5" t="str">
        <f>IFERROR(__xludf.DUMMYFUNCTION("GOOGLETRANSLATE(B9176,""en"",""es-ES"")"),"El hombre luego corta la fruta y la presenta en un plato mientras sigue hablando con la cámara.")</f>
        <v>El hombre luego corta la fruta y la presenta en un plato mientras sigue hablando con la cámara.</v>
      </c>
    </row>
    <row r="9177">
      <c r="A9177" s="4" t="s">
        <v>11549</v>
      </c>
      <c r="B9177" s="4" t="s">
        <v>11550</v>
      </c>
      <c r="C9177" s="5" t="str">
        <f>IFERROR(__xludf.DUMMYFUNCTION("GOOGLETRANSLATE(B9177,""en"",""es-ES"")"),"Un grupo de amigos está hablando en el baño y divirtiéndose atreviendo a los niños para afeitarse la pierna.")</f>
        <v>Un grupo de amigos está hablando en el baño y divirtiéndose atreviendo a los niños para afeitarse la pierna.</v>
      </c>
    </row>
    <row r="9178">
      <c r="A9178" s="4" t="s">
        <v>11549</v>
      </c>
      <c r="B9178" s="4" t="s">
        <v>11551</v>
      </c>
      <c r="C9178" s="5" t="str">
        <f>IFERROR(__xludf.DUMMYFUNCTION("GOOGLETRANSLATE(B9178,""en"",""es-ES"")"),"La cámara se dirige a la pierna del niño que muestra a uno de sus amigos raspando el cabello de su pierna con una navaja eléctrica.")</f>
        <v>La cámara se dirige a la pierna del niño que muestra a uno de sus amigos raspando el cabello de su pierna con una navaja eléctrica.</v>
      </c>
    </row>
    <row r="9179">
      <c r="A9179" s="4" t="s">
        <v>11552</v>
      </c>
      <c r="B9179" s="4" t="s">
        <v>11553</v>
      </c>
      <c r="C9179" s="5" t="str">
        <f>IFERROR(__xludf.DUMMYFUNCTION("GOOGLETRANSLATE(B9179,""en"",""es-ES"")"),"Una persona coloca un cubo de Rubik en una carpeta.")</f>
        <v>Una persona coloca un cubo de Rubik en una carpeta.</v>
      </c>
    </row>
    <row r="9180">
      <c r="A9180" s="4" t="s">
        <v>11552</v>
      </c>
      <c r="B9180" s="4" t="s">
        <v>11554</v>
      </c>
      <c r="C9180" s="5" t="str">
        <f>IFERROR(__xludf.DUMMYFUNCTION("GOOGLETRANSLATE(B9180,""en"",""es-ES"")"),"El rompecabezas se resuelve en 11 segundos.")</f>
        <v>El rompecabezas se resuelve en 11 segundos.</v>
      </c>
    </row>
    <row r="9181">
      <c r="A9181" s="4" t="s">
        <v>11555</v>
      </c>
      <c r="B9181" s="4" t="s">
        <v>11556</v>
      </c>
      <c r="C9181" s="5" t="str">
        <f>IFERROR(__xludf.DUMMYFUNCTION("GOOGLETRANSLATE(B9181,""en"",""es-ES"")"),"Una familia está en la sala de estar que estoy tratando de salir después de estar nevado.")</f>
        <v>Una familia está en la sala de estar que estoy tratando de salir después de estar nevado.</v>
      </c>
    </row>
    <row r="9182">
      <c r="A9182" s="4" t="s">
        <v>11555</v>
      </c>
      <c r="B9182" s="4" t="s">
        <v>11557</v>
      </c>
      <c r="C9182" s="5" t="str">
        <f>IFERROR(__xludf.DUMMYFUNCTION("GOOGLETRANSLATE(B9182,""en"",""es-ES"")"),"Un hombre abre la puerta e intenta saltar sobre la nieve que está en el camino.")</f>
        <v>Un hombre abre la puerta e intenta saltar sobre la nieve que está en el camino.</v>
      </c>
    </row>
    <row r="9183">
      <c r="A9183" s="4" t="s">
        <v>11555</v>
      </c>
      <c r="B9183" s="4" t="s">
        <v>11558</v>
      </c>
      <c r="C9183" s="5" t="str">
        <f>IFERROR(__xludf.DUMMYFUNCTION("GOOGLETRANSLATE(B9183,""en"",""es-ES"")"),"Se queda atrapado en la nieve y su familia intenta ayudarlo a salir.")</f>
        <v>Se queda atrapado en la nieve y su familia intenta ayudarlo a salir.</v>
      </c>
    </row>
    <row r="9184">
      <c r="A9184" s="4" t="s">
        <v>11555</v>
      </c>
      <c r="B9184" s="4" t="s">
        <v>11559</v>
      </c>
      <c r="C9184" s="5" t="str">
        <f>IFERROR(__xludf.DUMMYFUNCTION("GOOGLETRANSLATE(B9184,""en"",""es-ES"")"),"Una vez que sale, les arroja una pala para palear la nieve en el piso.")</f>
        <v>Una vez que sale, les arroja una pala para palear la nieve en el piso.</v>
      </c>
    </row>
    <row r="9185">
      <c r="A9185" s="4" t="s">
        <v>11555</v>
      </c>
      <c r="B9185" s="4" t="s">
        <v>11560</v>
      </c>
      <c r="C9185" s="5" t="str">
        <f>IFERROR(__xludf.DUMMYFUNCTION("GOOGLETRANSLATE(B9185,""en"",""es-ES"")"),"El video termina con los créditos que se muestran en la pantalla.")</f>
        <v>El video termina con los créditos que se muestran en la pantalla.</v>
      </c>
    </row>
    <row r="9186">
      <c r="A9186" s="4" t="s">
        <v>11561</v>
      </c>
      <c r="B9186" s="4" t="s">
        <v>11562</v>
      </c>
      <c r="C9186" s="5" t="str">
        <f>IFERROR(__xludf.DUMMYFUNCTION("GOOGLETRANSLATE(B9186,""en"",""es-ES"")"),"La gente está flotando por un río en balsas.")</f>
        <v>La gente está flotando por un río en balsas.</v>
      </c>
    </row>
    <row r="9187">
      <c r="A9187" s="4" t="s">
        <v>11561</v>
      </c>
      <c r="B9187" s="4" t="s">
        <v>11563</v>
      </c>
      <c r="C9187" s="5" t="str">
        <f>IFERROR(__xludf.DUMMYFUNCTION("GOOGLETRANSLATE(B9187,""en"",""es-ES"")"),"Luego vemos personas que reciben balsas en un edificio.")</f>
        <v>Luego vemos personas que reciben balsas en un edificio.</v>
      </c>
    </row>
    <row r="9188">
      <c r="A9188" s="4" t="s">
        <v>11561</v>
      </c>
      <c r="B9188" s="4" t="s">
        <v>11564</v>
      </c>
      <c r="C9188" s="5" t="str">
        <f>IFERROR(__xludf.DUMMYFUNCTION("GOOGLETRANSLATE(B9188,""en"",""es-ES"")"),"Un hombre está en un barco, gente flotando en una balsa.")</f>
        <v>Un hombre está en un barco, gente flotando en una balsa.</v>
      </c>
    </row>
    <row r="9189">
      <c r="A9189" s="4" t="s">
        <v>11561</v>
      </c>
      <c r="B9189" s="4" t="s">
        <v>11565</v>
      </c>
      <c r="C9189" s="5" t="str">
        <f>IFERROR(__xludf.DUMMYFUNCTION("GOOGLETRANSLATE(B9189,""en"",""es-ES"")"),"Un autobús se encuentra frente a las instalaciones de rafting y los hombres apilan balsas mientras otros hombres caminan con sus balsas.")</f>
        <v>Un autobús se encuentra frente a las instalaciones de rafting y los hombres apilan balsas mientras otros hombres caminan con sus balsas.</v>
      </c>
    </row>
    <row r="9190">
      <c r="A9190" s="4" t="s">
        <v>11561</v>
      </c>
      <c r="B9190" s="4" t="s">
        <v>11566</v>
      </c>
      <c r="C9190" s="5" t="str">
        <f>IFERROR(__xludf.DUMMYFUNCTION("GOOGLETRANSLATE(B9190,""en"",""es-ES"")"),"Un hombre y una mujer están flotando río abajo en balsas separadas.")</f>
        <v>Un hombre y una mujer están flotando río abajo en balsas separadas.</v>
      </c>
    </row>
    <row r="9191">
      <c r="A9191" s="4" t="s">
        <v>11567</v>
      </c>
      <c r="B9191" s="4" t="s">
        <v>11568</v>
      </c>
      <c r="C9191" s="5" t="str">
        <f>IFERROR(__xludf.DUMMYFUNCTION("GOOGLETRANSLATE(B9191,""en"",""es-ES"")"),"Vemos a una dama y dos hombres parados en un lago.")</f>
        <v>Vemos a una dama y dos hombres parados en un lago.</v>
      </c>
    </row>
    <row r="9192">
      <c r="A9192" s="4" t="s">
        <v>11567</v>
      </c>
      <c r="B9192" s="4" t="s">
        <v>11569</v>
      </c>
      <c r="C9192" s="5" t="str">
        <f>IFERROR(__xludf.DUMMYFUNCTION("GOOGLETRANSLATE(B9192,""en"",""es-ES"")"),"La señora luego es motos de agua.")</f>
        <v>La señora luego es motos de agua.</v>
      </c>
    </row>
    <row r="9193">
      <c r="A9193" s="4" t="s">
        <v>11567</v>
      </c>
      <c r="B9193" s="4" t="s">
        <v>11570</v>
      </c>
      <c r="C9193" s="5" t="str">
        <f>IFERROR(__xludf.DUMMYFUNCTION("GOOGLETRANSLATE(B9193,""en"",""es-ES"")"),"Vemos a la cabeza de la persona en el bote en la izquierda bob dentro y fuera del disparo.")</f>
        <v>Vemos a la cabeza de la persona en el bote en la izquierda bob dentro y fuera del disparo.</v>
      </c>
    </row>
    <row r="9194">
      <c r="A9194" s="4" t="s">
        <v>11567</v>
      </c>
      <c r="B9194" s="4" t="s">
        <v>11571</v>
      </c>
      <c r="C9194" s="5" t="str">
        <f>IFERROR(__xludf.DUMMYFUNCTION("GOOGLETRANSLATE(B9194,""en"",""es-ES"")"),"El bote gira y ya no vemos tierras en el fondo.")</f>
        <v>El bote gira y ya no vemos tierras en el fondo.</v>
      </c>
    </row>
    <row r="9195">
      <c r="A9195" s="4" t="s">
        <v>11567</v>
      </c>
      <c r="B9195" s="4" t="s">
        <v>11572</v>
      </c>
      <c r="C9195" s="5" t="str">
        <f>IFERROR(__xludf.DUMMYFUNCTION("GOOGLETRANSLATE(B9195,""en"",""es-ES"")"),"La dama se cae del esquí.")</f>
        <v>La dama se cae del esquí.</v>
      </c>
    </row>
    <row r="9196">
      <c r="A9196" s="4" t="s">
        <v>11567</v>
      </c>
      <c r="B9196" s="4" t="s">
        <v>11573</v>
      </c>
      <c r="C9196" s="5" t="str">
        <f>IFERROR(__xludf.DUMMYFUNCTION("GOOGLETRANSLATE(B9196,""en"",""es-ES"")"),"Un hombre se acerca para ayudar a la dama en el lago.")</f>
        <v>Un hombre se acerca para ayudar a la dama en el lago.</v>
      </c>
    </row>
    <row r="9197">
      <c r="A9197" s="4" t="s">
        <v>11574</v>
      </c>
      <c r="B9197" s="4" t="s">
        <v>11575</v>
      </c>
      <c r="C9197" s="5" t="str">
        <f>IFERROR(__xludf.DUMMYFUNCTION("GOOGLETRANSLATE(B9197,""en"",""es-ES"")"),"En la feria se están utilizando los autos de parachoques.")</f>
        <v>En la feria se están utilizando los autos de parachoques.</v>
      </c>
    </row>
    <row r="9198">
      <c r="A9198" s="4" t="s">
        <v>11574</v>
      </c>
      <c r="B9198" s="4" t="s">
        <v>11576</v>
      </c>
      <c r="C9198" s="5" t="str">
        <f>IFERROR(__xludf.DUMMYFUNCTION("GOOGLETRANSLATE(B9198,""en"",""es-ES"")"),"Un grupo de personas diferentes se están topando entre sí.")</f>
        <v>Un grupo de personas diferentes se están topando entre sí.</v>
      </c>
    </row>
    <row r="9199">
      <c r="A9199" s="4" t="s">
        <v>11574</v>
      </c>
      <c r="B9199" s="4" t="s">
        <v>11577</v>
      </c>
      <c r="C9199" s="5" t="str">
        <f>IFERROR(__xludf.DUMMYFUNCTION("GOOGLETRANSLATE(B9199,""en"",""es-ES"")"),"Solo conducen sin rumbo en los círculos a medida que golpean y se calientan por otros jinetes.")</f>
        <v>Solo conducen sin rumbo en los círculos a medida que golpean y se calientan por otros jinetes.</v>
      </c>
    </row>
    <row r="9200">
      <c r="A9200" s="4" t="s">
        <v>11574</v>
      </c>
      <c r="B9200" s="4" t="s">
        <v>11578</v>
      </c>
      <c r="C9200" s="5" t="str">
        <f>IFERROR(__xludf.DUMMYFUNCTION("GOOGLETRANSLATE(B9200,""en"",""es-ES"")"),"Esta es una diversión inocente durante las noches de verano cuando estás aburrido y la feria está en la ciudad.")</f>
        <v>Esta es una diversión inocente durante las noches de verano cuando estás aburrido y la feria está en la ciudad.</v>
      </c>
    </row>
    <row r="9201">
      <c r="A9201" s="4" t="s">
        <v>11579</v>
      </c>
      <c r="B9201" s="4" t="s">
        <v>11580</v>
      </c>
      <c r="C9201" s="5" t="str">
        <f>IFERROR(__xludf.DUMMYFUNCTION("GOOGLETRANSLATE(B9201,""en"",""es-ES"")"),"Un hombre y una mujer tocan tijeras de papel rock.")</f>
        <v>Un hombre y una mujer tocan tijeras de papel rock.</v>
      </c>
    </row>
    <row r="9202">
      <c r="A9202" s="4" t="s">
        <v>11579</v>
      </c>
      <c r="B9202" s="4" t="s">
        <v>11581</v>
      </c>
      <c r="C9202" s="5" t="str">
        <f>IFERROR(__xludf.DUMMYFUNCTION("GOOGLETRANSLATE(B9202,""en"",""es-ES"")"),"La mujer gana y sonríe.")</f>
        <v>La mujer gana y sonríe.</v>
      </c>
    </row>
    <row r="9203">
      <c r="A9203" s="4" t="s">
        <v>11579</v>
      </c>
      <c r="B9203" s="4" t="s">
        <v>11582</v>
      </c>
      <c r="C9203" s="5" t="str">
        <f>IFERROR(__xludf.DUMMYFUNCTION("GOOGLETRANSLATE(B9203,""en"",""es-ES"")"),"La mujer pone un pliegue ciego.")</f>
        <v>La mujer pone un pliegue ciego.</v>
      </c>
    </row>
    <row r="9204">
      <c r="A9204" s="4" t="s">
        <v>11579</v>
      </c>
      <c r="B9204" s="4" t="s">
        <v>11583</v>
      </c>
      <c r="C9204" s="5" t="str">
        <f>IFERROR(__xludf.DUMMYFUNCTION("GOOGLETRANSLATE(B9204,""en"",""es-ES"")"),"La mujer le da un abrazo al hombre.")</f>
        <v>La mujer le da un abrazo al hombre.</v>
      </c>
    </row>
    <row r="9205">
      <c r="A9205" s="4" t="s">
        <v>11584</v>
      </c>
      <c r="B9205" s="4" t="s">
        <v>11585</v>
      </c>
      <c r="C9205" s="5" t="str">
        <f>IFERROR(__xludf.DUMMYFUNCTION("GOOGLETRANSLATE(B9205,""en"",""es-ES"")"),"Se ve a una niña hablando con la cámara y lo lleva a navegar por Internet y luego aumentar los cables en un patio.")</f>
        <v>Se ve a una niña hablando con la cámara y lo lleva a navegar por Internet y luego aumentar los cables en un patio.</v>
      </c>
    </row>
    <row r="9206">
      <c r="A9206" s="4" t="s">
        <v>11584</v>
      </c>
      <c r="B9206" s="4" t="s">
        <v>11586</v>
      </c>
      <c r="C9206" s="5" t="str">
        <f>IFERROR(__xludf.DUMMYFUNCTION("GOOGLETRANSLATE(B9206,""en"",""es-ES"")"),"Luego se ve a la niña sentada en las hojas y las transiciones a hablar con su madre en la cocina.")</f>
        <v>Luego se ve a la niña sentada en las hojas y las transiciones a hablar con su madre en la cocina.</v>
      </c>
    </row>
    <row r="9207">
      <c r="A9207" s="4" t="s">
        <v>11584</v>
      </c>
      <c r="B9207" s="4" t="s">
        <v>11587</v>
      </c>
      <c r="C9207" s="5" t="str">
        <f>IFERROR(__xludf.DUMMYFUNCTION("GOOGLETRANSLATE(B9207,""en"",""es-ES"")"),"Se le muestra hablando con la cámara una vez más y termina con varias fotos de niños.")</f>
        <v>Se le muestra hablando con la cámara una vez más y termina con varias fotos de niños.</v>
      </c>
    </row>
    <row r="9208">
      <c r="A9208" s="4" t="s">
        <v>11588</v>
      </c>
      <c r="B9208" s="4" t="s">
        <v>11589</v>
      </c>
      <c r="C9208" s="5" t="str">
        <f>IFERROR(__xludf.DUMMYFUNCTION("GOOGLETRANSLATE(B9208,""en"",""es-ES"")"),"Una gran arena alberga a mucha gente.")</f>
        <v>Una gran arena alberga a mucha gente.</v>
      </c>
    </row>
    <row r="9209">
      <c r="A9209" s="4" t="s">
        <v>11588</v>
      </c>
      <c r="B9209" s="4" t="s">
        <v>11590</v>
      </c>
      <c r="C9209" s="5" t="str">
        <f>IFERROR(__xludf.DUMMYFUNCTION("GOOGLETRANSLATE(B9209,""en"",""es-ES"")"),"Los postes se configuran en la arena.")</f>
        <v>Los postes se configuran en la arena.</v>
      </c>
    </row>
    <row r="9210">
      <c r="A9210" s="4" t="s">
        <v>11588</v>
      </c>
      <c r="B9210" s="4" t="s">
        <v>11591</v>
      </c>
      <c r="C9210" s="5" t="str">
        <f>IFERROR(__xludf.DUMMYFUNCTION("GOOGLETRANSLATE(B9210,""en"",""es-ES"")"),"Las gimnastas se desempeñan en los postes.")</f>
        <v>Las gimnastas se desempeñan en los postes.</v>
      </c>
    </row>
    <row r="9211">
      <c r="A9211" s="4" t="s">
        <v>11588</v>
      </c>
      <c r="B9211" s="4" t="s">
        <v>11592</v>
      </c>
      <c r="C9211" s="5" t="str">
        <f>IFERROR(__xludf.DUMMYFUNCTION("GOOGLETRANSLATE(B9211,""en"",""es-ES"")"),"Hacen muchos trucos sobre ellos.")</f>
        <v>Hacen muchos trucos sobre ellos.</v>
      </c>
    </row>
    <row r="9212">
      <c r="A9212" s="4" t="s">
        <v>11593</v>
      </c>
      <c r="B9212" s="4" t="s">
        <v>11594</v>
      </c>
      <c r="C9212" s="5" t="str">
        <f>IFERROR(__xludf.DUMMYFUNCTION("GOOGLETRANSLATE(B9212,""en"",""es-ES"")"),"Un hombre está cepillando el fondo de un esquí.")</f>
        <v>Un hombre está cepillando el fondo de un esquí.</v>
      </c>
    </row>
    <row r="9213">
      <c r="A9213" s="4" t="s">
        <v>11593</v>
      </c>
      <c r="B9213" s="4" t="s">
        <v>11595</v>
      </c>
      <c r="C9213" s="5" t="str">
        <f>IFERROR(__xludf.DUMMYFUNCTION("GOOGLETRANSLATE(B9213,""en"",""es-ES"")"),"Se derrite en la parte inferior del esquí y lo altera.")</f>
        <v>Se derrite en la parte inferior del esquí y lo altera.</v>
      </c>
    </row>
    <row r="9214">
      <c r="A9214" s="4" t="s">
        <v>11593</v>
      </c>
      <c r="B9214" s="4" t="s">
        <v>11596</v>
      </c>
      <c r="C9214" s="5" t="str">
        <f>IFERROR(__xludf.DUMMYFUNCTION("GOOGLETRANSLATE(B9214,""en"",""es-ES"")"),"Luego raspa la cera con una herramienta.")</f>
        <v>Luego raspa la cera con una herramienta.</v>
      </c>
    </row>
    <row r="9215">
      <c r="A9215" s="4" t="s">
        <v>11593</v>
      </c>
      <c r="B9215" s="4" t="s">
        <v>11597</v>
      </c>
      <c r="C9215" s="5" t="str">
        <f>IFERROR(__xludf.DUMMYFUNCTION("GOOGLETRANSLATE(B9215,""en"",""es-ES"")"),"Utiliza un cepillo para cepillar el fondo del esquí.")</f>
        <v>Utiliza un cepillo para cepillar el fondo del esquí.</v>
      </c>
    </row>
    <row r="9216">
      <c r="A9216" s="4" t="s">
        <v>11598</v>
      </c>
      <c r="B9216" s="4" t="s">
        <v>11599</v>
      </c>
      <c r="C9216" s="5" t="str">
        <f>IFERROR(__xludf.DUMMYFUNCTION("GOOGLETRANSLATE(B9216,""en"",""es-ES"")"),"Se muestra a un atleta calentándose frente a un poste, mientras que varios otros en el fondo corren alrededor de una pista.")</f>
        <v>Se muestra a un atleta calentándose frente a un poste, mientras que varios otros en el fondo corren alrededor de una pista.</v>
      </c>
    </row>
    <row r="9217">
      <c r="A9217" s="4" t="s">
        <v>11598</v>
      </c>
      <c r="B9217" s="4" t="s">
        <v>11600</v>
      </c>
      <c r="C9217" s="5" t="str">
        <f>IFERROR(__xludf.DUMMYFUNCTION("GOOGLETRANSLATE(B9217,""en"",""es-ES"")"),"El hombre finalmente se prepara para su salto y salta sobre el poste.")</f>
        <v>El hombre finalmente se prepara para su salto y salta sobre el poste.</v>
      </c>
    </row>
    <row r="9218">
      <c r="A9218" s="4" t="s">
        <v>11598</v>
      </c>
      <c r="B9218" s="4" t="s">
        <v>11601</v>
      </c>
      <c r="C9218" s="5" t="str">
        <f>IFERROR(__xludf.DUMMYFUNCTION("GOOGLETRANSLATE(B9218,""en"",""es-ES"")"),"Él balancea sus brazos para celebrar y otros a su alrededor aplauden por él.")</f>
        <v>Él balancea sus brazos para celebrar y otros a su alrededor aplauden por él.</v>
      </c>
    </row>
    <row r="9219">
      <c r="A9219" s="4" t="s">
        <v>11602</v>
      </c>
      <c r="B9219" s="4" t="s">
        <v>11603</v>
      </c>
      <c r="C9219" s="5" t="str">
        <f>IFERROR(__xludf.DUMMYFUNCTION("GOOGLETRANSLATE(B9219,""en"",""es-ES"")"),"Una dama se encuentra con una olla y muestra un área de una pared.")</f>
        <v>Una dama se encuentra con una olla y muestra un área de una pared.</v>
      </c>
    </row>
    <row r="9220">
      <c r="A9220" s="4" t="s">
        <v>11602</v>
      </c>
      <c r="B9220" s="4" t="s">
        <v>11604</v>
      </c>
      <c r="C9220" s="5" t="str">
        <f>IFERROR(__xludf.DUMMYFUNCTION("GOOGLETRANSLATE(B9220,""en"",""es-ES"")"),"La pared se limpia con una toalla húmeda usando la solución en la olla.")</f>
        <v>La pared se limpia con una toalla húmeda usando la solución en la olla.</v>
      </c>
    </row>
    <row r="9221">
      <c r="A9221" s="4" t="s">
        <v>11602</v>
      </c>
      <c r="B9221" s="4" t="s">
        <v>11605</v>
      </c>
      <c r="C9221" s="5" t="str">
        <f>IFERROR(__xludf.DUMMYFUNCTION("GOOGLETRANSLATE(B9221,""en"",""es-ES"")"),"La señora apunta a un área de la pared que está descolorida.")</f>
        <v>La señora apunta a un área de la pared que está descolorida.</v>
      </c>
    </row>
    <row r="9222">
      <c r="A9222" s="4" t="s">
        <v>11606</v>
      </c>
      <c r="B9222" s="4" t="s">
        <v>11607</v>
      </c>
      <c r="C9222" s="5" t="str">
        <f>IFERROR(__xludf.DUMMYFUNCTION("GOOGLETRANSLATE(B9222,""en"",""es-ES"")"),"Se muestra una imagen de una portada del álbum que lleva a un joven tocando una armónica lentamente.")</f>
        <v>Se muestra una imagen de una portada del álbum que lleva a un joven tocando una armónica lentamente.</v>
      </c>
    </row>
    <row r="9223">
      <c r="A9223" s="4" t="s">
        <v>11606</v>
      </c>
      <c r="B9223" s="4" t="s">
        <v>11608</v>
      </c>
      <c r="C9223" s="5" t="str">
        <f>IFERROR(__xludf.DUMMYFUNCTION("GOOGLETRANSLATE(B9223,""en"",""es-ES"")"),"El hombre se mueve y cuarto a la canción y los entierros entre las imágenes de una banda y él mismo tocando.")</f>
        <v>El hombre se mueve y cuarto a la canción y los entierros entre las imágenes de una banda y él mismo tocando.</v>
      </c>
    </row>
    <row r="9224">
      <c r="A9224" s="4" t="s">
        <v>11609</v>
      </c>
      <c r="B9224" s="4" t="s">
        <v>11610</v>
      </c>
      <c r="C9224" s="5" t="str">
        <f>IFERROR(__xludf.DUMMYFUNCTION("GOOGLETRANSLATE(B9224,""en"",""es-ES"")"),"El hombre está parado frente a un mostrador que muestra cómo afilar un cuchillo.")</f>
        <v>El hombre está parado frente a un mostrador que muestra cómo afilar un cuchillo.</v>
      </c>
    </row>
    <row r="9225">
      <c r="A9225" s="4" t="s">
        <v>11609</v>
      </c>
      <c r="B9225" s="4" t="s">
        <v>11611</v>
      </c>
      <c r="C9225" s="5" t="str">
        <f>IFERROR(__xludf.DUMMYFUNCTION("GOOGLETRANSLATE(B9225,""en"",""es-ES"")"),"En el fondo, el hombre está cocinando en el mostrador.")</f>
        <v>En el fondo, el hombre está cocinando en el mostrador.</v>
      </c>
    </row>
    <row r="9226">
      <c r="A9226" s="4" t="s">
        <v>11609</v>
      </c>
      <c r="B9226" s="4" t="s">
        <v>11612</v>
      </c>
      <c r="C9226" s="5" t="str">
        <f>IFERROR(__xludf.DUMMYFUNCTION("GOOGLETRANSLATE(B9226,""en"",""es-ES"")"),"El hombre está explicando y verificando las áreas del cuchillo.")</f>
        <v>El hombre está explicando y verificando las áreas del cuchillo.</v>
      </c>
    </row>
    <row r="9227">
      <c r="A9227" s="4" t="s">
        <v>11613</v>
      </c>
      <c r="B9227" s="4" t="s">
        <v>11614</v>
      </c>
      <c r="C9227" s="5" t="str">
        <f>IFERROR(__xludf.DUMMYFUNCTION("GOOGLETRANSLATE(B9227,""en"",""es-ES"")"),"Tres luchadores estaban en el ring y la multitud se observó atentamente.")</f>
        <v>Tres luchadores estaban en el ring y la multitud se observó atentamente.</v>
      </c>
    </row>
    <row r="9228">
      <c r="A9228" s="4" t="s">
        <v>11613</v>
      </c>
      <c r="B9228" s="4" t="s">
        <v>11615</v>
      </c>
      <c r="C9228" s="5" t="str">
        <f>IFERROR(__xludf.DUMMYFUNCTION("GOOGLETRANSLATE(B9228,""en"",""es-ES"")"),"Un luchador nombrado al este de Ángeles, retroceda y sube la escalera.")</f>
        <v>Un luchador nombrado al este de Ángeles, retroceda y sube la escalera.</v>
      </c>
    </row>
    <row r="9229">
      <c r="A9229" s="4" t="s">
        <v>11613</v>
      </c>
      <c r="B9229" s="4" t="s">
        <v>11616</v>
      </c>
      <c r="C9229" s="5" t="str">
        <f>IFERROR(__xludf.DUMMYFUNCTION("GOOGLETRANSLATE(B9229,""en"",""es-ES"")"),"Otro luchador, TandumisGreat, se levanta y comienza a subir al otro lado de la escalera.")</f>
        <v>Otro luchador, TandumisGreat, se levanta y comienza a subir al otro lado de la escalera.</v>
      </c>
    </row>
    <row r="9230">
      <c r="A9230" s="4" t="s">
        <v>11613</v>
      </c>
      <c r="B9230" s="4" t="s">
        <v>11617</v>
      </c>
      <c r="C9230" s="5" t="str">
        <f>IFERROR(__xludf.DUMMYFUNCTION("GOOGLETRANSLATE(B9230,""en"",""es-ES"")"),"Comenzaron a golpearse en la parte superior de la escalera.")</f>
        <v>Comenzaron a golpearse en la parte superior de la escalera.</v>
      </c>
    </row>
    <row r="9231">
      <c r="A9231" s="4" t="s">
        <v>11613</v>
      </c>
      <c r="B9231" s="4" t="s">
        <v>11618</v>
      </c>
      <c r="C9231" s="5" t="str">
        <f>IFERROR(__xludf.DUMMYFUNCTION("GOOGLETRANSLATE(B9231,""en"",""es-ES"")"),"TandumisGreat sube en la parte trasera del este de Ángeles y ambos se caen de la escalera, tocando al este de Ángeles.")</f>
        <v>TandumisGreat sube en la parte trasera del este de Ángeles y ambos se caen de la escalera, tocando al este de Ángeles.</v>
      </c>
    </row>
    <row r="9232">
      <c r="A9232" s="4" t="s">
        <v>11613</v>
      </c>
      <c r="B9232" s="4" t="s">
        <v>11619</v>
      </c>
      <c r="C9232" s="5" t="str">
        <f>IFERROR(__xludf.DUMMYFUNCTION("GOOGLETRANSLATE(B9232,""en"",""es-ES"")"),"TandumisGreat sube una vez más en la parte superior de la escalera y posee el banco de dinero colgante.")</f>
        <v>TandumisGreat sube una vez más en la parte superior de la escalera y posee el banco de dinero colgante.</v>
      </c>
    </row>
    <row r="9233">
      <c r="A9233" s="4" t="s">
        <v>11620</v>
      </c>
      <c r="B9233" s="4" t="s">
        <v>11621</v>
      </c>
      <c r="C9233" s="5" t="str">
        <f>IFERROR(__xludf.DUMMYFUNCTION("GOOGLETRANSLATE(B9233,""en"",""es-ES"")"),"Se muestran varios disparos de una gran multitud celebrando en la distancia y personas que viajan en motocicletas.")</f>
        <v>Se muestran varios disparos de una gran multitud celebrando en la distancia y personas que viajan en motocicletas.</v>
      </c>
    </row>
    <row r="9234">
      <c r="A9234" s="4" t="s">
        <v>11620</v>
      </c>
      <c r="B9234" s="4" t="s">
        <v>11622</v>
      </c>
      <c r="C9234" s="5" t="str">
        <f>IFERROR(__xludf.DUMMYFUNCTION("GOOGLETRANSLATE(B9234,""en"",""es-ES"")"),"La gente continúa montando en cámara lenta mientras la cámara captura sus movimientos.")</f>
        <v>La gente continúa montando en cámara lenta mientras la cámara captura sus movimientos.</v>
      </c>
    </row>
    <row r="9235">
      <c r="A9235" s="4" t="s">
        <v>11623</v>
      </c>
      <c r="B9235" s="4" t="s">
        <v>11624</v>
      </c>
      <c r="C9235" s="5" t="str">
        <f>IFERROR(__xludf.DUMMYFUNCTION("GOOGLETRANSLATE(B9235,""en"",""es-ES"")"),"Se muestra una animación de dibujos animados con varias manos y langostas y demuestra cómo tocar tijeras de papel rock.")</f>
        <v>Se muestra una animación de dibujos animados con varias manos y langostas y demuestra cómo tocar tijeras de papel rock.</v>
      </c>
    </row>
    <row r="9236">
      <c r="A9236" s="4" t="s">
        <v>11623</v>
      </c>
      <c r="B9236" s="4" t="s">
        <v>11625</v>
      </c>
      <c r="C9236" s="5" t="str">
        <f>IFERROR(__xludf.DUMMYFUNCTION("GOOGLETRANSLATE(B9236,""en"",""es-ES"")"),"Se muestra más texto, así como manos y animales y muestra pasos sobre cómo jugar el juego.")</f>
        <v>Se muestra más texto, así como manos y animales y muestra pasos sobre cómo jugar el juego.</v>
      </c>
    </row>
    <row r="9237">
      <c r="A9237" s="4" t="s">
        <v>11626</v>
      </c>
      <c r="B9237" s="4" t="s">
        <v>11627</v>
      </c>
      <c r="C9237" s="5" t="str">
        <f>IFERROR(__xludf.DUMMYFUNCTION("GOOGLETRANSLATE(B9237,""en"",""es-ES"")"),"Vemos una secuencia de apertura animada.")</f>
        <v>Vemos una secuencia de apertura animada.</v>
      </c>
    </row>
    <row r="9238">
      <c r="A9238" s="4" t="s">
        <v>11626</v>
      </c>
      <c r="B9238" s="4" t="s">
        <v>11628</v>
      </c>
      <c r="C9238" s="5" t="str">
        <f>IFERROR(__xludf.DUMMYFUNCTION("GOOGLETRANSLATE(B9238,""en"",""es-ES"")"),"Vemos hombres montando tablas de snowboard en una pendiente de esquí.")</f>
        <v>Vemos hombres montando tablas de snowboard en una pendiente de esquí.</v>
      </c>
    </row>
    <row r="9239">
      <c r="A9239" s="4" t="s">
        <v>11626</v>
      </c>
      <c r="B9239" s="4" t="s">
        <v>11629</v>
      </c>
      <c r="C9239" s="5" t="str">
        <f>IFERROR(__xludf.DUMMYFUNCTION("GOOGLETRANSLATE(B9239,""en"",""es-ES"")"),"Vemos a un hombre que montaba en la parte posterior de la tabla de snowboard.")</f>
        <v>Vemos a un hombre que montaba en la parte posterior de la tabla de snowboard.</v>
      </c>
    </row>
    <row r="9240">
      <c r="A9240" s="4" t="s">
        <v>11626</v>
      </c>
      <c r="B9240" s="4" t="s">
        <v>11630</v>
      </c>
      <c r="C9240" s="5" t="str">
        <f>IFERROR(__xludf.DUMMYFUNCTION("GOOGLETRANSLATE(B9240,""en"",""es-ES"")"),"Vemos a una persona con una chaqueta rosa brillante.")</f>
        <v>Vemos a una persona con una chaqueta rosa brillante.</v>
      </c>
    </row>
    <row r="9241">
      <c r="A9241" s="4" t="s">
        <v>11626</v>
      </c>
      <c r="B9241" s="4" t="s">
        <v>11631</v>
      </c>
      <c r="C9241" s="5" t="str">
        <f>IFERROR(__xludf.DUMMYFUNCTION("GOOGLETRANSLATE(B9241,""en"",""es-ES"")"),"Un hombre está snowboard con brazos desnudos.")</f>
        <v>Un hombre está snowboard con brazos desnudos.</v>
      </c>
    </row>
    <row r="9242">
      <c r="A9242" s="4" t="s">
        <v>11626</v>
      </c>
      <c r="B9242" s="4" t="s">
        <v>11632</v>
      </c>
      <c r="C9242" s="5" t="str">
        <f>IFERROR(__xludf.DUMMYFUNCTION("GOOGLETRANSLATE(B9242,""en"",""es-ES"")"),"Otro hombre sin abrigo es snowboard.")</f>
        <v>Otro hombre sin abrigo es snowboard.</v>
      </c>
    </row>
    <row r="9243">
      <c r="A9243" s="4" t="s">
        <v>11626</v>
      </c>
      <c r="B9243" s="4" t="s">
        <v>11633</v>
      </c>
      <c r="C9243" s="5" t="str">
        <f>IFERROR(__xludf.DUMMYFUNCTION("GOOGLETRANSLATE(B9243,""en"",""es-ES"")"),"Vemos la secuencia final.")</f>
        <v>Vemos la secuencia final.</v>
      </c>
    </row>
    <row r="9244">
      <c r="A9244" s="4" t="s">
        <v>11634</v>
      </c>
      <c r="B9244" s="4" t="s">
        <v>11635</v>
      </c>
      <c r="C9244" s="5" t="str">
        <f>IFERROR(__xludf.DUMMYFUNCTION("GOOGLETRANSLATE(B9244,""en"",""es-ES"")"),"La gente está arrojando bolas a vasos de plástico.")</f>
        <v>La gente está arrojando bolas a vasos de plástico.</v>
      </c>
    </row>
    <row r="9245">
      <c r="A9245" s="4" t="s">
        <v>11634</v>
      </c>
      <c r="B9245" s="4" t="s">
        <v>11636</v>
      </c>
      <c r="C9245" s="5" t="str">
        <f>IFERROR(__xludf.DUMMYFUNCTION("GOOGLETRANSLATE(B9245,""en"",""es-ES"")"),"Una mano golpea una vaso de plástico rojo y desperdicia el líquido dentro.")</f>
        <v>Una mano golpea una vaso de plástico rojo y desperdicia el líquido dentro.</v>
      </c>
    </row>
    <row r="9246">
      <c r="A9246" s="4" t="s">
        <v>11634</v>
      </c>
      <c r="B9246" s="4" t="s">
        <v>11637</v>
      </c>
      <c r="C9246" s="5" t="str">
        <f>IFERROR(__xludf.DUMMYFUNCTION("GOOGLETRANSLATE(B9246,""en"",""es-ES"")"),"Un hombre busca una pelota que ruede debajo de una mesa.")</f>
        <v>Un hombre busca una pelota que ruede debajo de una mesa.</v>
      </c>
    </row>
    <row r="9247">
      <c r="A9247" s="4" t="s">
        <v>11634</v>
      </c>
      <c r="B9247" s="4" t="s">
        <v>11638</v>
      </c>
      <c r="C9247" s="5" t="str">
        <f>IFERROR(__xludf.DUMMYFUNCTION("GOOGLETRANSLATE(B9247,""en"",""es-ES"")"),"Una taza de plástico tiene una suspensión blanca en el interior.")</f>
        <v>Una taza de plástico tiene una suspensión blanca en el interior.</v>
      </c>
    </row>
    <row r="9248">
      <c r="A9248" s="4" t="s">
        <v>11634</v>
      </c>
      <c r="B9248" s="4" t="s">
        <v>11639</v>
      </c>
      <c r="C9248" s="5" t="str">
        <f>IFERROR(__xludf.DUMMYFUNCTION("GOOGLETRANSLATE(B9248,""en"",""es-ES"")"),"Un hombre soldadura y máquina talla un tablero de madera.")</f>
        <v>Un hombre soldadura y máquina talla un tablero de madera.</v>
      </c>
    </row>
    <row r="9249">
      <c r="A9249" s="4" t="s">
        <v>11634</v>
      </c>
      <c r="B9249" s="4" t="s">
        <v>11640</v>
      </c>
      <c r="C9249" s="5" t="str">
        <f>IFERROR(__xludf.DUMMYFUNCTION("GOOGLETRANSLATE(B9249,""en"",""es-ES"")"),"Un chico lleva a una dama mientras gestan y animan.")</f>
        <v>Un chico lleva a una dama mientras gestan y animan.</v>
      </c>
    </row>
    <row r="9250">
      <c r="A9250" s="4" t="s">
        <v>11641</v>
      </c>
      <c r="B9250" s="4" t="s">
        <v>11642</v>
      </c>
      <c r="C9250" s="5" t="str">
        <f>IFERROR(__xludf.DUMMYFUNCTION("GOOGLETRANSLATE(B9250,""en"",""es-ES"")"),"Se muestra un mostrador con latas de cerveza.")</f>
        <v>Se muestra un mostrador con latas de cerveza.</v>
      </c>
    </row>
    <row r="9251">
      <c r="A9251" s="4" t="s">
        <v>11641</v>
      </c>
      <c r="B9251" s="4" t="s">
        <v>11643</v>
      </c>
      <c r="C9251" s="5" t="str">
        <f>IFERROR(__xludf.DUMMYFUNCTION("GOOGLETRANSLATE(B9251,""en"",""es-ES"")"),"Un hombre está en un baño, usando un inodoro.")</f>
        <v>Un hombre está en un baño, usando un inodoro.</v>
      </c>
    </row>
    <row r="9252">
      <c r="A9252" s="4" t="s">
        <v>11641</v>
      </c>
      <c r="B9252" s="4" t="s">
        <v>11644</v>
      </c>
      <c r="C9252" s="5" t="str">
        <f>IFERROR(__xludf.DUMMYFUNCTION("GOOGLETRANSLATE(B9252,""en"",""es-ES"")"),"Se sonroja, luego sonríe y habla con la cámara.")</f>
        <v>Se sonroja, luego sonríe y habla con la cámara.</v>
      </c>
    </row>
    <row r="9253">
      <c r="A9253" s="4" t="s">
        <v>11645</v>
      </c>
      <c r="B9253" s="4" t="s">
        <v>11646</v>
      </c>
      <c r="C9253" s="5" t="str">
        <f>IFERROR(__xludf.DUMMYFUNCTION("GOOGLETRANSLATE(B9253,""en"",""es-ES"")"),"El esquiador ajusta la cuerda con sus esquís rojos y negros que se extienden frente a él sobre el agua mientras se prepara para esquiar.")</f>
        <v>El esquiador ajusta la cuerda con sus esquís rojos y negros que se extienden frente a él sobre el agua mientras se prepara para esquiar.</v>
      </c>
    </row>
    <row r="9254">
      <c r="A9254" s="4" t="s">
        <v>11645</v>
      </c>
      <c r="B9254" s="4" t="s">
        <v>11647</v>
      </c>
      <c r="C9254" s="5" t="str">
        <f>IFERROR(__xludf.DUMMYFUNCTION("GOOGLETRANSLATE(B9254,""en"",""es-ES"")"),"El bote lo saca del muelle hacia el agua mientras descansa en posición vertical, sus esquís frente a él.")</f>
        <v>El bote lo saca del muelle hacia el agua mientras descansa en posición vertical, sus esquís frente a él.</v>
      </c>
    </row>
    <row r="9255">
      <c r="A9255" s="4" t="s">
        <v>11645</v>
      </c>
      <c r="B9255" s="4" t="s">
        <v>11648</v>
      </c>
      <c r="C9255" s="5" t="str">
        <f>IFERROR(__xludf.DUMMYFUNCTION("GOOGLETRANSLATE(B9255,""en"",""es-ES"")"),"A medida que el bote se acelera, el esquiador se eleva y se aferra a la cuerda, dirige a la izquierda y a la derecha.")</f>
        <v>A medida que el bote se acelera, el esquiador se eleva y se aferra a la cuerda, dirige a la izquierda y a la derecha.</v>
      </c>
    </row>
    <row r="9256">
      <c r="A9256" s="4" t="s">
        <v>11645</v>
      </c>
      <c r="B9256" s="4" t="s">
        <v>11649</v>
      </c>
      <c r="C9256" s="5" t="str">
        <f>IFERROR(__xludf.DUMMYFUNCTION("GOOGLETRANSLATE(B9256,""en"",""es-ES"")"),"Parece perder una boya mientras atraviesa el agua y la vigilia del bote.")</f>
        <v>Parece perder una boya mientras atraviesa el agua y la vigilia del bote.</v>
      </c>
    </row>
    <row r="9257">
      <c r="A9257" s="4" t="s">
        <v>11645</v>
      </c>
      <c r="B9257" s="4" t="s">
        <v>11650</v>
      </c>
      <c r="C9257" s="5" t="str">
        <f>IFERROR(__xludf.DUMMYFUNCTION("GOOGLETRANSLATE(B9257,""en"",""es-ES"")"),"El bote se vuelve hacia la tierra con grandes edificios que aparecen, y lentamente lo llevan de regreso al muelle.")</f>
        <v>El bote se vuelve hacia la tierra con grandes edificios que aparecen, y lentamente lo llevan de regreso al muelle.</v>
      </c>
    </row>
    <row r="9258">
      <c r="A9258" s="4" t="s">
        <v>11651</v>
      </c>
      <c r="B9258" s="4" t="s">
        <v>11652</v>
      </c>
      <c r="C9258" s="5" t="str">
        <f>IFERROR(__xludf.DUMMYFUNCTION("GOOGLETRANSLATE(B9258,""en"",""es-ES"")"),"Se ve a un pequeño grupo de niños jugando juegos de mano entre sí y finalmente golpeando al perdedor en la cabeza con una botella.")</f>
        <v>Se ve a un pequeño grupo de niños jugando juegos de mano entre sí y finalmente golpeando al perdedor en la cabeza con una botella.</v>
      </c>
    </row>
    <row r="9259">
      <c r="A9259" s="4" t="s">
        <v>11651</v>
      </c>
      <c r="B9259" s="4" t="s">
        <v>11653</v>
      </c>
      <c r="C9259" s="5" t="str">
        <f>IFERROR(__xludf.DUMMYFUNCTION("GOOGLETRANSLATE(B9259,""en"",""es-ES"")"),"Los niños continúan jugando el juego de la mano entre sí que conduce a la paliza de otro con una botella.")</f>
        <v>Los niños continúan jugando el juego de la mano entre sí que conduce a la paliza de otro con una botella.</v>
      </c>
    </row>
    <row r="9260">
      <c r="A9260" s="4" t="s">
        <v>11654</v>
      </c>
      <c r="B9260" s="4" t="s">
        <v>11655</v>
      </c>
      <c r="C9260" s="5" t="str">
        <f>IFERROR(__xludf.DUMMYFUNCTION("GOOGLETRANSLATE(B9260,""en"",""es-ES"")"),"Un hombre aplaude después de realizar un salto de altura en el campo.")</f>
        <v>Un hombre aplaude después de realizar un salto de altura en el campo.</v>
      </c>
    </row>
    <row r="9261">
      <c r="A9261" s="4" t="s">
        <v>11654</v>
      </c>
      <c r="B9261" s="4" t="s">
        <v>11656</v>
      </c>
      <c r="C9261" s="5" t="str">
        <f>IFERROR(__xludf.DUMMYFUNCTION("GOOGLETRANSLATE(B9261,""en"",""es-ES"")"),"Se nos muestra la repetición instantánea en cámara lenta un par de veces.")</f>
        <v>Se nos muestra la repetición instantánea en cámara lenta un par de veces.</v>
      </c>
    </row>
    <row r="9262">
      <c r="A9262" s="4" t="s">
        <v>11654</v>
      </c>
      <c r="B9262" s="4" t="s">
        <v>11657</v>
      </c>
      <c r="C9262" s="5" t="str">
        <f>IFERROR(__xludf.DUMMYFUNCTION("GOOGLETRANSLATE(B9262,""en"",""es-ES"")"),"Camina hacia el campo, dándose la mano con sus competidores.")</f>
        <v>Camina hacia el campo, dándose la mano con sus competidores.</v>
      </c>
    </row>
    <row r="9263">
      <c r="A9263" s="4" t="s">
        <v>11658</v>
      </c>
      <c r="B9263" s="4" t="s">
        <v>11659</v>
      </c>
      <c r="C9263" s="5" t="str">
        <f>IFERROR(__xludf.DUMMYFUNCTION("GOOGLETRANSLATE(B9263,""en"",""es-ES"")"),"Varias tomas de personas se muestran en el agua, así como en paisajes alrededor de una isla y personas que viajan y se mueven alrededor de un bote.")</f>
        <v>Varias tomas de personas se muestran en el agua, así como en paisajes alrededor de una isla y personas que viajan y se mueven alrededor de un bote.</v>
      </c>
    </row>
    <row r="9264">
      <c r="A9264" s="4" t="s">
        <v>11658</v>
      </c>
      <c r="B9264" s="4" t="s">
        <v>11660</v>
      </c>
      <c r="C9264" s="5" t="str">
        <f>IFERROR(__xludf.DUMMYFUNCTION("GOOGLETRANSLATE(B9264,""en"",""es-ES"")"),"Se muestran más disparos de buceo de personas, así como peces que nadan y personas en el océano.")</f>
        <v>Se muestran más disparos de buceo de personas, así como peces que nadan y personas en el océano.</v>
      </c>
    </row>
    <row r="9265">
      <c r="A9265" s="4" t="s">
        <v>11658</v>
      </c>
      <c r="B9265" s="4" t="s">
        <v>11661</v>
      </c>
      <c r="C9265" s="5" t="str">
        <f>IFERROR(__xludf.DUMMYFUNCTION("GOOGLETRANSLATE(B9265,""en"",""es-ES"")"),"Al final, la cámara muestra varias tomas del bote y las personas que se alejan en un bote más pequeño.")</f>
        <v>Al final, la cámara muestra varias tomas del bote y las personas que se alejan en un bote más pequeño.</v>
      </c>
    </row>
    <row r="9266">
      <c r="A9266" s="4" t="s">
        <v>11662</v>
      </c>
      <c r="B9266" s="4" t="s">
        <v>11663</v>
      </c>
      <c r="C9266" s="5" t="str">
        <f>IFERROR(__xludf.DUMMYFUNCTION("GOOGLETRANSLATE(B9266,""en"",""es-ES"")"),"Se ve a un grupo de niños practicando varios movimientos de alegría en un gimnasio, así como una mujer que habla con la cámara.")</f>
        <v>Se ve a un grupo de niños practicando varios movimientos de alegría en un gimnasio, así como una mujer que habla con la cámara.</v>
      </c>
    </row>
    <row r="9267">
      <c r="A9267" s="4" t="s">
        <v>11662</v>
      </c>
      <c r="B9267" s="4" t="s">
        <v>11664</v>
      </c>
      <c r="C9267" s="5" t="str">
        <f>IFERROR(__xludf.DUMMYFUNCTION("GOOGLETRANSLATE(B9267,""en"",""es-ES"")"),"Se muestran varias tomas de los atuendos de la niña, así como a los que demuestran movimientos.")</f>
        <v>Se muestran varias tomas de los atuendos de la niña, así como a los que demuestran movimientos.</v>
      </c>
    </row>
    <row r="9268">
      <c r="A9268" s="4" t="s">
        <v>11665</v>
      </c>
      <c r="B9268" s="4" t="s">
        <v>11666</v>
      </c>
      <c r="C9268" s="5" t="str">
        <f>IFERROR(__xludf.DUMMYFUNCTION("GOOGLETRANSLATE(B9268,""en"",""es-ES"")"),"Esta mujer está caminando, saltando y volteando el rayo de equilibrio.")</f>
        <v>Esta mujer está caminando, saltando y volteando el rayo de equilibrio.</v>
      </c>
    </row>
    <row r="9269">
      <c r="A9269" s="4" t="s">
        <v>11665</v>
      </c>
      <c r="B9269" s="4" t="s">
        <v>11667</v>
      </c>
      <c r="C9269" s="5" t="str">
        <f>IFERROR(__xludf.DUMMYFUNCTION("GOOGLETRANSLATE(B9269,""en"",""es-ES"")"),"Cuando termina, sale del escenario y va con su padre.")</f>
        <v>Cuando termina, sale del escenario y va con su padre.</v>
      </c>
    </row>
    <row r="9270">
      <c r="A9270" s="4" t="s">
        <v>11668</v>
      </c>
      <c r="B9270" s="4" t="s">
        <v>11669</v>
      </c>
      <c r="C9270" s="5" t="str">
        <f>IFERROR(__xludf.DUMMYFUNCTION("GOOGLETRANSLATE(B9270,""en"",""es-ES"")"),"Se muestra un patio trasero como un hombre sentado en una cortadora de césped eléctrica comienza a cortar la hierba.")</f>
        <v>Se muestra un patio trasero como un hombre sentado en una cortadora de césped eléctrica comienza a cortar la hierba.</v>
      </c>
    </row>
    <row r="9271">
      <c r="A9271" s="4" t="s">
        <v>11668</v>
      </c>
      <c r="B9271" s="4" t="s">
        <v>11670</v>
      </c>
      <c r="C9271" s="5" t="str">
        <f>IFERROR(__xludf.DUMMYFUNCTION("GOOGLETRANSLATE(B9271,""en"",""es-ES"")"),"Llega al otro lado pero luego comienza a correr hacia el árbol.")</f>
        <v>Llega al otro lado pero luego comienza a correr hacia el árbol.</v>
      </c>
    </row>
    <row r="9272">
      <c r="A9272" s="4" t="s">
        <v>11668</v>
      </c>
      <c r="B9272" s="4" t="s">
        <v>11671</v>
      </c>
      <c r="C9272" s="5" t="str">
        <f>IFERROR(__xludf.DUMMYFUNCTION("GOOGLETRANSLATE(B9272,""en"",""es-ES"")"),"Después, retrocede, corre hacia el árbol nuevamente y lo corta.")</f>
        <v>Después, retrocede, corre hacia el árbol nuevamente y lo corta.</v>
      </c>
    </row>
    <row r="9273">
      <c r="A9273" s="4" t="s">
        <v>11672</v>
      </c>
      <c r="B9273" s="4" t="s">
        <v>11673</v>
      </c>
      <c r="C9273" s="5" t="str">
        <f>IFERROR(__xludf.DUMMYFUNCTION("GOOGLETRANSLATE(B9273,""en"",""es-ES"")"),"Un toro sale de la puerta en un rodeo y el hombre en el ring salta sobre su espalda.")</f>
        <v>Un toro sale de la puerta en un rodeo y el hombre en el ring salta sobre su espalda.</v>
      </c>
    </row>
    <row r="9274">
      <c r="A9274" s="4" t="s">
        <v>11672</v>
      </c>
      <c r="B9274" s="4" t="s">
        <v>11674</v>
      </c>
      <c r="C9274" s="5" t="str">
        <f>IFERROR(__xludf.DUMMYFUNCTION("GOOGLETRANSLATE(B9274,""en"",""es-ES"")"),"El hombre recoge su sombrero caído en el ring.")</f>
        <v>El hombre recoge su sombrero caído en el ring.</v>
      </c>
    </row>
    <row r="9275">
      <c r="A9275" s="4" t="s">
        <v>11672</v>
      </c>
      <c r="B9275" s="4" t="s">
        <v>11675</v>
      </c>
      <c r="C9275" s="5" t="str">
        <f>IFERROR(__xludf.DUMMYFUNCTION("GOOGLETRANSLATE(B9275,""en"",""es-ES"")"),"El hombre corre esquivando el toro de carga.")</f>
        <v>El hombre corre esquivando el toro de carga.</v>
      </c>
    </row>
    <row r="9276">
      <c r="A9276" s="4" t="s">
        <v>11672</v>
      </c>
      <c r="B9276" s="4" t="s">
        <v>11676</v>
      </c>
      <c r="C9276" s="5" t="str">
        <f>IFERROR(__xludf.DUMMYFUNCTION("GOOGLETRANSLATE(B9276,""en"",""es-ES"")"),"El hombre deja caer su sombrero en el ring.")</f>
        <v>El hombre deja caer su sombrero en el ring.</v>
      </c>
    </row>
    <row r="9277">
      <c r="A9277" s="4" t="s">
        <v>11672</v>
      </c>
      <c r="B9277" s="4" t="s">
        <v>11677</v>
      </c>
      <c r="C9277" s="5" t="str">
        <f>IFERROR(__xludf.DUMMYFUNCTION("GOOGLETRANSLATE(B9277,""en"",""es-ES"")"),"El hombre salta sobre la pared para evitar el toro.")</f>
        <v>El hombre salta sobre la pared para evitar el toro.</v>
      </c>
    </row>
    <row r="9278">
      <c r="A9278" s="4" t="s">
        <v>11672</v>
      </c>
      <c r="B9278" s="4" t="s">
        <v>11678</v>
      </c>
      <c r="C9278" s="5" t="str">
        <f>IFERROR(__xludf.DUMMYFUNCTION("GOOGLETRANSLATE(B9278,""en"",""es-ES"")"),"Otro hombre abre la puerta y llama al toro para ingresar al pin.")</f>
        <v>Otro hombre abre la puerta y llama al toro para ingresar al pin.</v>
      </c>
    </row>
    <row r="9279">
      <c r="A9279" s="4" t="s">
        <v>11679</v>
      </c>
      <c r="B9279" s="4" t="s">
        <v>11680</v>
      </c>
      <c r="C9279" s="5" t="str">
        <f>IFERROR(__xludf.DUMMYFUNCTION("GOOGLETRANSLATE(B9279,""en"",""es-ES"")"),"Vemos gente haciendo una rutina de baile en una cancha de baloncesto.")</f>
        <v>Vemos gente haciendo una rutina de baile en una cancha de baloncesto.</v>
      </c>
    </row>
    <row r="9280">
      <c r="A9280" s="4" t="s">
        <v>11679</v>
      </c>
      <c r="B9280" s="4" t="s">
        <v>11681</v>
      </c>
      <c r="C9280" s="5" t="str">
        <f>IFERROR(__xludf.DUMMYFUNCTION("GOOGLETRANSLATE(B9280,""en"",""es-ES"")"),"La gente agita sus manos en el aire.")</f>
        <v>La gente agita sus manos en el aire.</v>
      </c>
    </row>
    <row r="9281">
      <c r="A9281" s="4" t="s">
        <v>11679</v>
      </c>
      <c r="B9281" s="4" t="s">
        <v>11682</v>
      </c>
      <c r="C9281" s="5" t="str">
        <f>IFERROR(__xludf.DUMMYFUNCTION("GOOGLETRANSLATE(B9281,""en"",""es-ES"")"),"La cámara se fue para mostrar a otros.")</f>
        <v>La cámara se fue para mostrar a otros.</v>
      </c>
    </row>
    <row r="9282">
      <c r="A9282" s="4" t="s">
        <v>11679</v>
      </c>
      <c r="B9282" s="4" t="s">
        <v>11683</v>
      </c>
      <c r="C9282" s="5" t="str">
        <f>IFERROR(__xludf.DUMMYFUNCTION("GOOGLETRANSLATE(B9282,""en"",""es-ES"")"),"La cámara se dirige a la derecha y vemos a otros.")</f>
        <v>La cámara se dirige a la derecha y vemos a otros.</v>
      </c>
    </row>
    <row r="9283">
      <c r="A9283" s="4" t="s">
        <v>11679</v>
      </c>
      <c r="B9283" s="4" t="s">
        <v>11684</v>
      </c>
      <c r="C9283" s="5" t="str">
        <f>IFERROR(__xludf.DUMMYFUNCTION("GOOGLETRANSLATE(B9283,""en"",""es-ES"")"),"Las muchachas se quedan quietos y agitan los brazos en el aire.")</f>
        <v>Las muchachas se quedan quietos y agitan los brazos en el aire.</v>
      </c>
    </row>
    <row r="9284">
      <c r="A9284" s="4" t="s">
        <v>11679</v>
      </c>
      <c r="B9284" s="4" t="s">
        <v>11685</v>
      </c>
      <c r="C9284" s="5" t="str">
        <f>IFERROR(__xludf.DUMMYFUNCTION("GOOGLETRANSLATE(B9284,""en"",""es-ES"")"),"La cámara se mueve hacia el suelo.")</f>
        <v>La cámara se mueve hacia el suelo.</v>
      </c>
    </row>
    <row r="9285">
      <c r="A9285" s="4" t="s">
        <v>11686</v>
      </c>
      <c r="B9285" s="4" t="s">
        <v>11687</v>
      </c>
      <c r="C9285" s="5" t="str">
        <f>IFERROR(__xludf.DUMMYFUNCTION("GOOGLETRANSLATE(B9285,""en"",""es-ES"")"),"Alguien está corriendo en la playa hacia las competiciones de Sand Castle.")</f>
        <v>Alguien está corriendo en la playa hacia las competiciones de Sand Castle.</v>
      </c>
    </row>
    <row r="9286">
      <c r="A9286" s="4" t="s">
        <v>11686</v>
      </c>
      <c r="B9286" s="4" t="s">
        <v>11688</v>
      </c>
      <c r="C9286" s="5" t="str">
        <f>IFERROR(__xludf.DUMMYFUNCTION("GOOGLETRANSLATE(B9286,""en"",""es-ES"")"),"Un perro salta en una tierra de arena y está muy feliz por eso.")</f>
        <v>Un perro salta en una tierra de arena y está muy feliz por eso.</v>
      </c>
    </row>
    <row r="9287">
      <c r="A9287" s="4" t="s">
        <v>11686</v>
      </c>
      <c r="B9287" s="4" t="s">
        <v>11689</v>
      </c>
      <c r="C9287" s="5" t="str">
        <f>IFERROR(__xludf.DUMMYFUNCTION("GOOGLETRANSLATE(B9287,""en"",""es-ES"")"),"Hay tantas cosas increíbles y diferentes que se hacen de arena, parece que lleva mucho tiempo y energía.")</f>
        <v>Hay tantas cosas increíbles y diferentes que se hacen de arena, parece que lleva mucho tiempo y energía.</v>
      </c>
    </row>
    <row r="9288">
      <c r="A9288" s="4" t="s">
        <v>11686</v>
      </c>
      <c r="B9288" s="4" t="s">
        <v>11690</v>
      </c>
      <c r="C9288" s="5" t="str">
        <f>IFERROR(__xludf.DUMMYFUNCTION("GOOGLETRANSLATE(B9288,""en"",""es-ES"")"),"Hay gente caminando y mirándolos a todos.")</f>
        <v>Hay gente caminando y mirándolos a todos.</v>
      </c>
    </row>
    <row r="9289">
      <c r="A9289" s="4" t="s">
        <v>11691</v>
      </c>
      <c r="B9289" s="4" t="s">
        <v>11692</v>
      </c>
      <c r="C9289" s="5" t="str">
        <f>IFERROR(__xludf.DUMMYFUNCTION("GOOGLETRANSLATE(B9289,""en"",""es-ES"")"),"Se muestran algunas fotos de un equipo de hockey sobre campo de la escuela secundaria.")</f>
        <v>Se muestran algunas fotos de un equipo de hockey sobre campo de la escuela secundaria.</v>
      </c>
    </row>
    <row r="9290">
      <c r="A9290" s="4" t="s">
        <v>11691</v>
      </c>
      <c r="B9290" s="4" t="s">
        <v>11693</v>
      </c>
      <c r="C9290" s="5" t="str">
        <f>IFERROR(__xludf.DUMMYFUNCTION("GOOGLETRANSLATE(B9290,""en"",""es-ES"")"),"Dos equipos de chicas jóvenes están jugando hockey sobre campo.")</f>
        <v>Dos equipos de chicas jóvenes están jugando hockey sobre campo.</v>
      </c>
    </row>
    <row r="9291">
      <c r="A9291" s="4" t="s">
        <v>11691</v>
      </c>
      <c r="B9291" s="4" t="s">
        <v>11694</v>
      </c>
      <c r="C9291" s="5" t="str">
        <f>IFERROR(__xludf.DUMMYFUNCTION("GOOGLETRANSLATE(B9291,""en"",""es-ES"")"),"El portero se muestra cayendo al suelo mientras hace una salvación.")</f>
        <v>El portero se muestra cayendo al suelo mientras hace una salvación.</v>
      </c>
    </row>
    <row r="9292">
      <c r="A9292" s="4" t="s">
        <v>11691</v>
      </c>
      <c r="B9292" s="4" t="s">
        <v>11695</v>
      </c>
      <c r="C9292" s="5" t="str">
        <f>IFERROR(__xludf.DUMMYFUNCTION("GOOGLETRANSLATE(B9292,""en"",""es-ES"")"),"El portero hace otro salto deslizante.")</f>
        <v>El portero hace otro salto deslizante.</v>
      </c>
    </row>
    <row r="9293">
      <c r="A9293" s="4" t="s">
        <v>11691</v>
      </c>
      <c r="B9293" s="4" t="s">
        <v>11696</v>
      </c>
      <c r="C9293" s="5" t="str">
        <f>IFERROR(__xludf.DUMMYFUNCTION("GOOGLETRANSLATE(B9293,""en"",""es-ES"")"),"El portero patea la pelota lejos de la red.")</f>
        <v>El portero patea la pelota lejos de la red.</v>
      </c>
    </row>
    <row r="9294">
      <c r="A9294" s="4" t="s">
        <v>11691</v>
      </c>
      <c r="B9294" s="4" t="s">
        <v>11697</v>
      </c>
      <c r="C9294" s="5" t="str">
        <f>IFERROR(__xludf.DUMMYFUNCTION("GOOGLETRANSLATE(B9294,""en"",""es-ES"")"),"El juego termina y las chicas dan cinco y cinco.")</f>
        <v>El juego termina y las chicas dan cinco y cinco.</v>
      </c>
    </row>
    <row r="9295">
      <c r="A9295" s="4" t="s">
        <v>11698</v>
      </c>
      <c r="B9295" s="4" t="s">
        <v>11699</v>
      </c>
      <c r="C9295" s="5" t="str">
        <f>IFERROR(__xludf.DUMMYFUNCTION("GOOGLETRANSLATE(B9295,""en"",""es-ES"")"),"Un hombre está parado afuera en su jardín delantero con su cortacésped.")</f>
        <v>Un hombre está parado afuera en su jardín delantero con su cortacésped.</v>
      </c>
    </row>
    <row r="9296">
      <c r="A9296" s="4" t="s">
        <v>11698</v>
      </c>
      <c r="B9296" s="4" t="s">
        <v>11700</v>
      </c>
      <c r="C9296" s="5" t="str">
        <f>IFERROR(__xludf.DUMMYFUNCTION("GOOGLETRANSLATE(B9296,""en"",""es-ES"")"),"Habla de diferentes longitudes de hierba por un tiempo y luego se inclina hacia su cortacésped.")</f>
        <v>Habla de diferentes longitudes de hierba por un tiempo y luego se inclina hacia su cortacésped.</v>
      </c>
    </row>
    <row r="9297">
      <c r="A9297" s="4" t="s">
        <v>11698</v>
      </c>
      <c r="B9297" s="4" t="s">
        <v>11701</v>
      </c>
      <c r="C9297" s="5" t="str">
        <f>IFERROR(__xludf.DUMMYFUNCTION("GOOGLETRANSLATE(B9297,""en"",""es-ES"")"),"Utiliza una regla para mostrar más detallado y luego mueve el cortacésped a la acera para hablar un poco más.")</f>
        <v>Utiliza una regla para mostrar más detallado y luego mueve el cortacésped a la acera para hablar un poco más.</v>
      </c>
    </row>
    <row r="9298">
      <c r="A9298" s="4" t="s">
        <v>11698</v>
      </c>
      <c r="B9298" s="4" t="s">
        <v>11702</v>
      </c>
      <c r="C9298" s="5" t="str">
        <f>IFERROR(__xludf.DUMMYFUNCTION("GOOGLETRANSLATE(B9298,""en"",""es-ES"")"),"Comienza a cortar el césped finalmente subiendo y bajando el césped.")</f>
        <v>Comienza a cortar el césped finalmente subiendo y bajando el césped.</v>
      </c>
    </row>
    <row r="9299">
      <c r="A9299" s="4" t="s">
        <v>11703</v>
      </c>
      <c r="B9299" s="4" t="s">
        <v>11704</v>
      </c>
      <c r="C9299" s="5" t="str">
        <f>IFERROR(__xludf.DUMMYFUNCTION("GOOGLETRANSLATE(B9299,""en"",""es-ES"")"),"Se muestran a dos mujeres paradas detrás de una mesa de tablero cuando uno empuja un disco por todos lados.")</f>
        <v>Se muestran a dos mujeres paradas detrás de una mesa de tablero cuando uno empuja un disco por todos lados.</v>
      </c>
    </row>
    <row r="9300">
      <c r="A9300" s="4" t="s">
        <v>11703</v>
      </c>
      <c r="B9300" s="4" t="s">
        <v>11705</v>
      </c>
      <c r="C9300" s="5" t="str">
        <f>IFERROR(__xludf.DUMMYFUNCTION("GOOGLETRANSLATE(B9300,""en"",""es-ES"")"),"La otra mujer prepara su empuje y lo envía a un hombre parado al otro lado.")</f>
        <v>La otra mujer prepara su empuje y lo envía a un hombre parado al otro lado.</v>
      </c>
    </row>
    <row r="9301">
      <c r="A9301" s="4" t="s">
        <v>11703</v>
      </c>
      <c r="B9301" s="4" t="s">
        <v>11706</v>
      </c>
      <c r="C9301" s="5" t="str">
        <f>IFERROR(__xludf.DUMMYFUNCTION("GOOGLETRANSLATE(B9301,""en"",""es-ES"")"),"Empujan el disco varias veces más mientras la cámara sigue sus movimientos.")</f>
        <v>Empujan el disco varias veces más mientras la cámara sigue sus movimientos.</v>
      </c>
    </row>
    <row r="9302">
      <c r="A9302" s="4" t="s">
        <v>11707</v>
      </c>
      <c r="B9302" s="4" t="s">
        <v>11708</v>
      </c>
      <c r="C9302" s="5" t="str">
        <f>IFERROR(__xludf.DUMMYFUNCTION("GOOGLETRANSLATE(B9302,""en"",""es-ES"")"),"Una persona con una máscara blanca y una sábana sobre su cabeza regresa de la cámara y agarra una calabaza.")</f>
        <v>Una persona con una máscara blanca y una sábana sobre su cabeza regresa de la cámara y agarra una calabaza.</v>
      </c>
    </row>
    <row r="9303">
      <c r="A9303" s="4" t="s">
        <v>11707</v>
      </c>
      <c r="B9303" s="4" t="s">
        <v>11709</v>
      </c>
      <c r="C9303" s="5" t="str">
        <f>IFERROR(__xludf.DUMMYFUNCTION("GOOGLETRANSLATE(B9303,""en"",""es-ES"")"),"El MIN luego comienza a tallar la calabaza y saca la calabaza.")</f>
        <v>El MIN luego comienza a tallar la calabaza y saca la calabaza.</v>
      </c>
    </row>
    <row r="9304">
      <c r="A9304" s="4" t="s">
        <v>11707</v>
      </c>
      <c r="B9304" s="4" t="s">
        <v>11710</v>
      </c>
      <c r="C9304" s="5" t="str">
        <f>IFERROR(__xludf.DUMMYFUNCTION("GOOGLETRANSLATE(B9304,""en"",""es-ES"")"),"Cuando todos se limpian, se sacan y se colocan en el horno mientras el hombre toma un sorbo de alcohol.")</f>
        <v>Cuando todos se limpian, se sacan y se colocan en el horno mientras el hombre toma un sorbo de alcohol.</v>
      </c>
    </row>
    <row r="9305">
      <c r="A9305" s="4" t="s">
        <v>11711</v>
      </c>
      <c r="B9305" s="4" t="s">
        <v>11712</v>
      </c>
      <c r="C9305" s="5" t="str">
        <f>IFERROR(__xludf.DUMMYFUNCTION("GOOGLETRANSLATE(B9305,""en"",""es-ES"")"),"Este es un documental sobre equitación.")</f>
        <v>Este es un documental sobre equitación.</v>
      </c>
    </row>
    <row r="9306">
      <c r="A9306" s="4" t="s">
        <v>11711</v>
      </c>
      <c r="B9306" s="4" t="s">
        <v>11713</v>
      </c>
      <c r="C9306" s="5" t="str">
        <f>IFERROR(__xludf.DUMMYFUNCTION("GOOGLETRANSLATE(B9306,""en"",""es-ES"")"),"Explican el poder, la emoción, la diversión, la gracia, el vuelo, los amigos, la libertad y el amor por la conducción a caballo.")</f>
        <v>Explican el poder, la emoción, la diversión, la gracia, el vuelo, los amigos, la libertad y el amor por la conducción a caballo.</v>
      </c>
    </row>
    <row r="9307">
      <c r="A9307" s="4" t="s">
        <v>11711</v>
      </c>
      <c r="B9307" s="4" t="s">
        <v>11714</v>
      </c>
      <c r="C9307" s="5" t="str">
        <f>IFERROR(__xludf.DUMMYFUNCTION("GOOGLETRANSLATE(B9307,""en"",""es-ES"")"),"Luego muestran las dificultades de entrenar caballos, los peligros de montarlos y la desventaja de la competencia.")</f>
        <v>Luego muestran las dificultades de entrenar caballos, los peligros de montarlos y la desventaja de la competencia.</v>
      </c>
    </row>
    <row r="9308">
      <c r="A9308" s="4" t="s">
        <v>11711</v>
      </c>
      <c r="B9308" s="4" t="s">
        <v>11715</v>
      </c>
      <c r="C9308" s="5" t="str">
        <f>IFERROR(__xludf.DUMMYFUNCTION("GOOGLETRANSLATE(B9308,""en"",""es-ES"")"),"Luego muestran los aspectos más destacados de la conducción competitiva.")</f>
        <v>Luego muestran los aspectos más destacados de la conducción competitiva.</v>
      </c>
    </row>
    <row r="9309">
      <c r="A9309" s="4" t="s">
        <v>11716</v>
      </c>
      <c r="B9309" s="4" t="s">
        <v>11717</v>
      </c>
      <c r="C9309" s="5" t="str">
        <f>IFERROR(__xludf.DUMMYFUNCTION("GOOGLETRANSLATE(B9309,""en"",""es-ES"")"),"Se ve a un niño pequeño de pie ante un conjunto de barras de mono.")</f>
        <v>Se ve a un niño pequeño de pie ante un conjunto de barras de mono.</v>
      </c>
    </row>
    <row r="9310">
      <c r="A9310" s="4" t="s">
        <v>11716</v>
      </c>
      <c r="B9310" s="4" t="s">
        <v>11718</v>
      </c>
      <c r="C9310" s="5" t="str">
        <f>IFERROR(__xludf.DUMMYFUNCTION("GOOGLETRANSLATE(B9310,""en"",""es-ES"")"),"El niño luego se empuja a través de las barras de mono.")</f>
        <v>El niño luego se empuja a través de las barras de mono.</v>
      </c>
    </row>
    <row r="9311">
      <c r="A9311" s="4" t="s">
        <v>11716</v>
      </c>
      <c r="B9311" s="4" t="s">
        <v>11719</v>
      </c>
      <c r="C9311" s="5" t="str">
        <f>IFERROR(__xludf.DUMMYFUNCTION("GOOGLETRANSLATE(B9311,""en"",""es-ES"")"),"Salta al final y comienza a caminar por un puente.")</f>
        <v>Salta al final y comienza a caminar por un puente.</v>
      </c>
    </row>
    <row r="9312">
      <c r="A9312" s="4" t="s">
        <v>11720</v>
      </c>
      <c r="B9312" s="4" t="s">
        <v>11721</v>
      </c>
      <c r="C9312" s="5" t="str">
        <f>IFERROR(__xludf.DUMMYFUNCTION("GOOGLETRANSLATE(B9312,""en"",""es-ES"")"),"Se ve a una mujer joven hablando con la cámara mientras se aferran a un palo de hockey de campo.")</f>
        <v>Se ve a una mujer joven hablando con la cámara mientras se aferran a un palo de hockey de campo.</v>
      </c>
    </row>
    <row r="9313">
      <c r="A9313" s="4" t="s">
        <v>11720</v>
      </c>
      <c r="B9313" s="4" t="s">
        <v>11722</v>
      </c>
      <c r="C9313" s="5" t="str">
        <f>IFERROR(__xludf.DUMMYFUNCTION("GOOGLETRANSLATE(B9313,""en"",""es-ES"")"),"Luego, la niña golpea la pelota por todo el patio mientras la cámara sigue.")</f>
        <v>Luego, la niña golpea la pelota por todo el patio mientras la cámara sigue.</v>
      </c>
    </row>
    <row r="9314">
      <c r="A9314" s="4" t="s">
        <v>11720</v>
      </c>
      <c r="B9314" s="4" t="s">
        <v>11723</v>
      </c>
      <c r="C9314" s="5" t="str">
        <f>IFERROR(__xludf.DUMMYFUNCTION("GOOGLETRANSLATE(B9314,""en"",""es-ES"")"),"Ella continúa golpeando la pelota y se detiene para mirar la cámara.")</f>
        <v>Ella continúa golpeando la pelota y se detiene para mirar la cámara.</v>
      </c>
    </row>
    <row r="9315">
      <c r="A9315" s="4" t="s">
        <v>11724</v>
      </c>
      <c r="B9315" s="4" t="s">
        <v>11725</v>
      </c>
      <c r="C9315" s="5" t="str">
        <f>IFERROR(__xludf.DUMMYFUNCTION("GOOGLETRANSLATE(B9315,""en"",""es-ES"")"),"Una piñata cuelga de un árbol, y una mujer trae a una chica con un palo.")</f>
        <v>Una piñata cuelga de un árbol, y una mujer trae a una chica con un palo.</v>
      </c>
    </row>
    <row r="9316">
      <c r="A9316" s="4" t="s">
        <v>11724</v>
      </c>
      <c r="B9316" s="4" t="s">
        <v>11726</v>
      </c>
      <c r="C9316" s="5" t="str">
        <f>IFERROR(__xludf.DUMMYFUNCTION("GOOGLETRANSLATE(B9316,""en"",""es-ES"")"),"Ella la ayuda a la piñata varias veces.")</f>
        <v>Ella la ayuda a la piñata varias veces.</v>
      </c>
    </row>
    <row r="9317">
      <c r="A9317" s="4" t="s">
        <v>11727</v>
      </c>
      <c r="B9317" s="4" t="s">
        <v>11728</v>
      </c>
      <c r="C9317" s="5" t="str">
        <f>IFERROR(__xludf.DUMMYFUNCTION("GOOGLETRANSLATE(B9317,""en"",""es-ES"")"),"Aparece una pantalla de introducción que incluye un logotipo y las palabras ""Expert Village presenta"".")</f>
        <v>Aparece una pantalla de introducción que incluye un logotipo y las palabras "Expert Village presenta".</v>
      </c>
    </row>
    <row r="9318">
      <c r="A9318" s="4" t="s">
        <v>11727</v>
      </c>
      <c r="B9318" s="4" t="s">
        <v>11729</v>
      </c>
      <c r="C9318" s="5" t="str">
        <f>IFERROR(__xludf.DUMMYFUNCTION("GOOGLETRANSLATE(B9318,""en"",""es-ES"")"),"Una mujer ahora está sentada y hablando mientras sostiene un clarinete.")</f>
        <v>Una mujer ahora está sentada y hablando mientras sostiene un clarinete.</v>
      </c>
    </row>
    <row r="9319">
      <c r="A9319" s="4" t="s">
        <v>11727</v>
      </c>
      <c r="B9319" s="4" t="s">
        <v>11730</v>
      </c>
      <c r="C9319" s="5" t="str">
        <f>IFERROR(__xludf.DUMMYFUNCTION("GOOGLETRANSLATE(B9319,""en"",""es-ES"")"),"La mujer luego se pone el clarinete en la boca y comienza a jugar durante unos segundos.")</f>
        <v>La mujer luego se pone el clarinete en la boca y comienza a jugar durante unos segundos.</v>
      </c>
    </row>
    <row r="9320">
      <c r="A9320" s="4" t="s">
        <v>11727</v>
      </c>
      <c r="B9320" s="4" t="s">
        <v>11731</v>
      </c>
      <c r="C9320" s="5" t="str">
        <f>IFERROR(__xludf.DUMMYFUNCTION("GOOGLETRANSLATE(B9320,""en"",""es-ES"")"),"La mujer deja de jugar y se reanuda hablar y usar muchos movimientos a mano, luego se reanuda a jugar.")</f>
        <v>La mujer deja de jugar y se reanuda hablar y usar muchos movimientos a mano, luego se reanuda a jugar.</v>
      </c>
    </row>
    <row r="9321">
      <c r="A9321" s="4" t="s">
        <v>11727</v>
      </c>
      <c r="B9321" s="4" t="s">
        <v>11732</v>
      </c>
      <c r="C9321" s="5" t="str">
        <f>IFERROR(__xludf.DUMMYFUNCTION("GOOGLETRANSLATE(B9321,""en"",""es-ES"")"),"La mujer una vez más deja de jugar y comienza a hablar mientras usa mucho sus manos y lo sostiene frente a su cara y etc.")</f>
        <v>La mujer una vez más deja de jugar y comienza a hablar mientras usa mucho sus manos y lo sostiene frente a su cara y etc.</v>
      </c>
    </row>
    <row r="9322">
      <c r="A9322" s="4" t="s">
        <v>11727</v>
      </c>
      <c r="B9322" s="4" t="s">
        <v>11733</v>
      </c>
      <c r="C9322" s="5" t="str">
        <f>IFERROR(__xludf.DUMMYFUNCTION("GOOGLETRANSLATE(B9322,""en"",""es-ES"")"),"La mujer comienza a jugar una vez más hasta que aparezca el outro de una pantalla blanca e incluya un logotipo e información para: derechos de autor, derechos y sitio web.")</f>
        <v>La mujer comienza a jugar una vez más hasta que aparezca el outro de una pantalla blanca e incluya un logotipo e información para: derechos de autor, derechos y sitio web.</v>
      </c>
    </row>
    <row r="9323">
      <c r="A9323" s="4" t="s">
        <v>11734</v>
      </c>
      <c r="B9323" s="4" t="s">
        <v>11735</v>
      </c>
      <c r="C9323" s="5" t="str">
        <f>IFERROR(__xludf.DUMMYFUNCTION("GOOGLETRANSLATE(B9323,""en"",""es-ES"")"),"Un grupo de seis está en un pequeño bote sentado esperando que el silbato sople.")</f>
        <v>Un grupo de seis está en un pequeño bote sentado esperando que el silbato sople.</v>
      </c>
    </row>
    <row r="9324">
      <c r="A9324" s="4" t="s">
        <v>11734</v>
      </c>
      <c r="B9324" s="4" t="s">
        <v>11736</v>
      </c>
      <c r="C9324" s="5" t="str">
        <f>IFERROR(__xludf.DUMMYFUNCTION("GOOGLETRANSLATE(B9324,""en"",""es-ES"")"),"Una vez que se explota, comienzan a remar lo más rápido posible, funcionando muy bien juntos.")</f>
        <v>Una vez que se explota, comienzan a remar lo más rápido posible, funcionando muy bien juntos.</v>
      </c>
    </row>
    <row r="9325">
      <c r="A9325" s="4" t="s">
        <v>11734</v>
      </c>
      <c r="B9325" s="4" t="s">
        <v>11737</v>
      </c>
      <c r="C9325" s="5" t="str">
        <f>IFERROR(__xludf.DUMMYFUNCTION("GOOGLETRANSLATE(B9325,""en"",""es-ES"")"),"Casi golpean una pared de rocas, pero pueden girar en el tiempo no para no continuar en la ruta.")</f>
        <v>Casi golpean una pared de rocas, pero pueden girar en el tiempo no para no continuar en la ruta.</v>
      </c>
    </row>
    <row r="9326">
      <c r="A9326" s="4" t="s">
        <v>11734</v>
      </c>
      <c r="B9326" s="4" t="s">
        <v>11738</v>
      </c>
      <c r="C9326" s="5" t="str">
        <f>IFERROR(__xludf.DUMMYFUNCTION("GOOGLETRANSLATE(B9326,""en"",""es-ES"")"),"Ondas, recoge y luego golpean una pared diferente de roca, donde se dan la vuelta para regresar.")</f>
        <v>Ondas, recoge y luego golpean una pared diferente de roca, donde se dan la vuelta para regresar.</v>
      </c>
    </row>
    <row r="9327">
      <c r="A9327" s="4" t="s">
        <v>11739</v>
      </c>
      <c r="B9327" s="4" t="s">
        <v>11740</v>
      </c>
      <c r="C9327" s="5" t="str">
        <f>IFERROR(__xludf.DUMMYFUNCTION("GOOGLETRANSLATE(B9327,""en"",""es-ES"")"),"Un hombre con mangas largas grises habla en una etapa de Ultimate Guinness World Records.")</f>
        <v>Un hombre con mangas largas grises habla en una etapa de Ultimate Guinness World Records.</v>
      </c>
    </row>
    <row r="9328">
      <c r="A9328" s="4" t="s">
        <v>11739</v>
      </c>
      <c r="B9328" s="4" t="s">
        <v>11741</v>
      </c>
      <c r="C9328" s="5" t="str">
        <f>IFERROR(__xludf.DUMMYFUNCTION("GOOGLETRANSLATE(B9328,""en"",""es-ES"")"),"Un joven tenista de mesa está parado frente a la mesa con espectadores detrás de ella.")</f>
        <v>Un joven tenista de mesa está parado frente a la mesa con espectadores detrás de ella.</v>
      </c>
    </row>
    <row r="9329">
      <c r="A9329" s="4" t="s">
        <v>11739</v>
      </c>
      <c r="B9329" s="4" t="s">
        <v>11742</v>
      </c>
      <c r="C9329" s="5" t="str">
        <f>IFERROR(__xludf.DUMMYFUNCTION("GOOGLETRANSLATE(B9329,""en"",""es-ES"")"),"Dos jugadores juegan al tenis de mesa y continúan jugando por un minuto y registran 173 hits.")</f>
        <v>Dos jugadores juegan al tenis de mesa y continúan jugando por un minuto y registran 173 hits.</v>
      </c>
    </row>
    <row r="9330">
      <c r="A9330" s="4" t="s">
        <v>11739</v>
      </c>
      <c r="B9330" s="4" t="s">
        <v>11743</v>
      </c>
      <c r="C9330" s="5" t="str">
        <f>IFERROR(__xludf.DUMMYFUNCTION("GOOGLETRANSLATE(B9330,""en"",""es-ES"")"),"Se revisa la obra y se introdujo el joven jugador como Ai Fukuhara, con un registro de la mayoría de los éxitos de contador de tenis de mesa.")</f>
        <v>Se revisa la obra y se introdujo el joven jugador como Ai Fukuhara, con un registro de la mayoría de los éxitos de contador de tenis de mesa.</v>
      </c>
    </row>
    <row r="9331">
      <c r="A9331" s="4" t="s">
        <v>11739</v>
      </c>
      <c r="B9331" s="4" t="s">
        <v>11744</v>
      </c>
      <c r="C9331" s="5" t="str">
        <f>IFERROR(__xludf.DUMMYFUNCTION("GOOGLETRANSLATE(B9331,""en"",""es-ES"")"),"El hombre en el escenario vuelve a hablar mientras camina por el escenario.")</f>
        <v>El hombre en el escenario vuelve a hablar mientras camina por el escenario.</v>
      </c>
    </row>
    <row r="9332">
      <c r="A9332" s="4" t="s">
        <v>11745</v>
      </c>
      <c r="B9332" s="4" t="s">
        <v>11746</v>
      </c>
      <c r="C9332" s="5" t="str">
        <f>IFERROR(__xludf.DUMMYFUNCTION("GOOGLETRANSLATE(B9332,""en"",""es-ES"")"),"Una mujer se sostiene en una tabla de surf de viento en el agua.")</f>
        <v>Una mujer se sostiene en una tabla de surf de viento en el agua.</v>
      </c>
    </row>
    <row r="9333">
      <c r="A9333" s="4" t="s">
        <v>11745</v>
      </c>
      <c r="B9333" s="4" t="s">
        <v>11747</v>
      </c>
      <c r="C9333" s="5" t="str">
        <f>IFERROR(__xludf.DUMMYFUNCTION("GOOGLETRANSLATE(B9333,""en"",""es-ES"")"),"Ella entra en el tablero y comienza a surfear.")</f>
        <v>Ella entra en el tablero y comienza a surfear.</v>
      </c>
    </row>
    <row r="9334">
      <c r="A9334" s="4" t="s">
        <v>11745</v>
      </c>
      <c r="B9334" s="4" t="s">
        <v>11748</v>
      </c>
      <c r="C9334" s="5" t="str">
        <f>IFERROR(__xludf.DUMMYFUNCTION("GOOGLETRANSLATE(B9334,""en"",""es-ES"")"),"Ella se aferra a la cometa del viento Surf.")</f>
        <v>Ella se aferra a la cometa del viento Surf.</v>
      </c>
    </row>
    <row r="9335">
      <c r="A9335" s="4" t="s">
        <v>11749</v>
      </c>
      <c r="B9335" s="4" t="s">
        <v>11750</v>
      </c>
      <c r="C9335" s="5" t="str">
        <f>IFERROR(__xludf.DUMMYFUNCTION("GOOGLETRANSLATE(B9335,""en"",""es-ES"")"),"Se muestra a un gran grupo de personas realizando una rutina de baile junto con una mujer que conduce al frente.")</f>
        <v>Se muestra a un gran grupo de personas realizando una rutina de baile junto con una mujer que conduce al frente.</v>
      </c>
    </row>
    <row r="9336">
      <c r="A9336" s="4" t="s">
        <v>11749</v>
      </c>
      <c r="B9336" s="4" t="s">
        <v>11751</v>
      </c>
      <c r="C9336" s="5" t="str">
        <f>IFERROR(__xludf.DUMMYFUNCTION("GOOGLETRANSLATE(B9336,""en"",""es-ES"")"),"La gente continúa moviendo sus brazos y piernas juntas para mover sus cuerpos y hacer ejercicio.")</f>
        <v>La gente continúa moviendo sus brazos y piernas juntas para mover sus cuerpos y hacer ejercicio.</v>
      </c>
    </row>
    <row r="9337">
      <c r="A9337" s="4" t="s">
        <v>11752</v>
      </c>
      <c r="B9337" s="4" t="s">
        <v>11753</v>
      </c>
      <c r="C9337" s="5" t="str">
        <f>IFERROR(__xludf.DUMMYFUNCTION("GOOGLETRANSLATE(B9337,""en"",""es-ES"")"),"Un hombre habla con la audiencia mientras está sentado en el escenario antes de una actuación.")</f>
        <v>Un hombre habla con la audiencia mientras está sentado en el escenario antes de una actuación.</v>
      </c>
    </row>
    <row r="9338">
      <c r="A9338" s="4" t="s">
        <v>11752</v>
      </c>
      <c r="B9338" s="4" t="s">
        <v>11754</v>
      </c>
      <c r="C9338" s="5" t="str">
        <f>IFERROR(__xludf.DUMMYFUNCTION("GOOGLETRANSLATE(B9338,""en"",""es-ES"")"),"Un hombre toca las llaves de un acordeón mientras se abre y cierra la caja de aire.")</f>
        <v>Un hombre toca las llaves de un acordeón mientras se abre y cierra la caja de aire.</v>
      </c>
    </row>
    <row r="9339">
      <c r="A9339" s="4" t="s">
        <v>11752</v>
      </c>
      <c r="B9339" s="4" t="s">
        <v>11755</v>
      </c>
      <c r="C9339" s="5" t="str">
        <f>IFERROR(__xludf.DUMMYFUNCTION("GOOGLETRANSLATE(B9339,""en"",""es-ES"")"),"El hombre canta algunos versículos en voz alta con emoción.")</f>
        <v>El hombre canta algunos versículos en voz alta con emoción.</v>
      </c>
    </row>
    <row r="9340">
      <c r="A9340" s="4" t="s">
        <v>11752</v>
      </c>
      <c r="B9340" s="4" t="s">
        <v>11756</v>
      </c>
      <c r="C9340" s="5" t="str">
        <f>IFERROR(__xludf.DUMMYFUNCTION("GOOGLETRANSLATE(B9340,""en"",""es-ES"")"),"El hombre termina la canción y reúne sus notas del podio.")</f>
        <v>El hombre termina la canción y reúne sus notas del podio.</v>
      </c>
    </row>
    <row r="9341">
      <c r="A9341" s="4" t="s">
        <v>11757</v>
      </c>
      <c r="B9341" s="4" t="s">
        <v>11758</v>
      </c>
      <c r="C9341" s="5" t="str">
        <f>IFERROR(__xludf.DUMMYFUNCTION("GOOGLETRANSLATE(B9341,""en"",""es-ES"")"),"Hay un equipo de jugadores jugando en un campo al aire libre.")</f>
        <v>Hay un equipo de jugadores jugando en un campo al aire libre.</v>
      </c>
    </row>
    <row r="9342">
      <c r="A9342" s="4" t="s">
        <v>11757</v>
      </c>
      <c r="B9342" s="4" t="s">
        <v>11759</v>
      </c>
      <c r="C9342" s="5" t="str">
        <f>IFERROR(__xludf.DUMMYFUNCTION("GOOGLETRANSLATE(B9342,""en"",""es-ES"")"),"Una persona llamada Donal Cusack explica qué es el lanzamiento y de qué se comprende.")</f>
        <v>Una persona llamada Donal Cusack explica qué es el lanzamiento y de qué se comprende.</v>
      </c>
    </row>
    <row r="9343">
      <c r="A9343" s="4" t="s">
        <v>11757</v>
      </c>
      <c r="B9343" s="4" t="s">
        <v>11760</v>
      </c>
      <c r="C9343" s="5" t="str">
        <f>IFERROR(__xludf.DUMMYFUNCTION("GOOGLETRANSLATE(B9343,""en"",""es-ES"")"),"Los jugadores del equipo están jugando un juego de lanzamiento con sus murciélagos mientras intentan golpear la pelota en la meta.")</f>
        <v>Los jugadores del equipo están jugando un juego de lanzamiento con sus murciélagos mientras intentan golpear la pelota en la meta.</v>
      </c>
    </row>
    <row r="9344">
      <c r="A9344" s="4" t="s">
        <v>11761</v>
      </c>
      <c r="B9344" s="4" t="s">
        <v>11762</v>
      </c>
      <c r="C9344" s="5" t="str">
        <f>IFERROR(__xludf.DUMMYFUNCTION("GOOGLETRANSLATE(B9344,""en"",""es-ES"")"),"Una dama con chaqueta negra posa para la cámara, luego se muestra un hombre con cabello de longitud media, el hombre se tocó el cabello para revisarlo, luego la niña se seca el cabello.")</f>
        <v>Una dama con chaqueta negra posa para la cámara, luego se muestra un hombre con cabello de longitud media, el hombre se tocó el cabello para revisarlo, luego la niña se seca el cabello.</v>
      </c>
    </row>
    <row r="9345">
      <c r="A9345" s="4" t="s">
        <v>11761</v>
      </c>
      <c r="B9345" s="4" t="s">
        <v>11763</v>
      </c>
      <c r="C9345" s="5" t="str">
        <f>IFERROR(__xludf.DUMMYFUNCTION("GOOGLETRANSLATE(B9345,""en"",""es-ES"")"),"La señora se sentó en el centro del estudio con su cabello mojado, puso una crema blanca en su mano y luego frotarlo en su cabello.")</f>
        <v>La señora se sentó en el centro del estudio con su cabello mojado, puso una crema blanca en su mano y luego frotarlo en su cabello.</v>
      </c>
    </row>
    <row r="9346">
      <c r="A9346" s="4" t="s">
        <v>11761</v>
      </c>
      <c r="B9346" s="4" t="s">
        <v>11764</v>
      </c>
      <c r="C9346" s="5" t="str">
        <f>IFERROR(__xludf.DUMMYFUNCTION("GOOGLETRANSLATE(B9346,""en"",""es-ES"")"),"La niña se secó el cabello con un soplador blanco, seccionó el cabello, se cepilló el cabello con el cepillo de rodillo mientras lo secaba al mismo tiempo, enrolla el cepillo hacia abajo y hacia arriba.")</f>
        <v>La niña se secó el cabello con un soplador blanco, seccionó el cabello, se cepilló el cabello con el cepillo de rodillo mientras lo secaba al mismo tiempo, enrolla el cepillo hacia abajo y hacia arriba.</v>
      </c>
    </row>
    <row r="9347">
      <c r="A9347" s="4" t="s">
        <v>11761</v>
      </c>
      <c r="B9347" s="4" t="s">
        <v>11765</v>
      </c>
      <c r="C9347" s="5" t="str">
        <f>IFERROR(__xludf.DUMMYFUNCTION("GOOGLETRANSLATE(B9347,""en"",""es-ES"")"),"Se le peinó el cabello cepillándolo y peinándolo para dar más volumen.")</f>
        <v>Se le peinó el cabello cepillándolo y peinándolo para dar más volumen.</v>
      </c>
    </row>
    <row r="9348">
      <c r="A9348" s="4" t="s">
        <v>11766</v>
      </c>
      <c r="B9348" s="4" t="s">
        <v>11767</v>
      </c>
      <c r="C9348" s="5" t="str">
        <f>IFERROR(__xludf.DUMMYFUNCTION("GOOGLETRANSLATE(B9348,""en"",""es-ES"")"),"Se ve a varias personas sentadas en los tubos en la cima de una colina.")</f>
        <v>Se ve a varias personas sentadas en los tubos en la cima de una colina.</v>
      </c>
    </row>
    <row r="9349">
      <c r="A9349" s="4" t="s">
        <v>11766</v>
      </c>
      <c r="B9349" s="4" t="s">
        <v>11768</v>
      </c>
      <c r="C9349" s="5" t="str">
        <f>IFERROR(__xludf.DUMMYFUNCTION("GOOGLETRANSLATE(B9349,""en"",""es-ES"")"),"Los hombres se hablan entre sí mientras uno sube.")</f>
        <v>Los hombres se hablan entre sí mientras uno sube.</v>
      </c>
    </row>
    <row r="9350">
      <c r="A9350" s="4" t="s">
        <v>11766</v>
      </c>
      <c r="B9350" s="4" t="s">
        <v>11769</v>
      </c>
      <c r="C9350" s="5" t="str">
        <f>IFERROR(__xludf.DUMMYFUNCTION("GOOGLETRANSLATE(B9350,""en"",""es-ES"")"),"Todos los hombres finalmente bajan la colina juntos mientras salen al final y se ríen entre ellos.")</f>
        <v>Todos los hombres finalmente bajan la colina juntos mientras salen al final y se ríen entre ellos.</v>
      </c>
    </row>
    <row r="9351">
      <c r="A9351" s="4" t="s">
        <v>11770</v>
      </c>
      <c r="B9351" s="4" t="s">
        <v>11771</v>
      </c>
      <c r="C9351" s="5" t="str">
        <f>IFERROR(__xludf.DUMMYFUNCTION("GOOGLETRANSLATE(B9351,""en"",""es-ES"")"),"Un niño pequeño está sentado en el piso cerca de una niña pequeña y están jugando con Foosball en miniatura.")</f>
        <v>Un niño pequeño está sentado en el piso cerca de una niña pequeña y están jugando con Foosball en miniatura.</v>
      </c>
    </row>
    <row r="9352">
      <c r="A9352" s="4" t="s">
        <v>11770</v>
      </c>
      <c r="B9352" s="4" t="s">
        <v>11772</v>
      </c>
      <c r="C9352" s="5" t="str">
        <f>IFERROR(__xludf.DUMMYFUNCTION("GOOGLETRANSLATE(B9352,""en"",""es-ES"")"),"El joven hombre toma su mano y extiende el interior para agarrar la pelota de fútbol.")</f>
        <v>El joven hombre toma su mano y extiende el interior para agarrar la pelota de fútbol.</v>
      </c>
    </row>
    <row r="9353">
      <c r="A9353" s="4" t="s">
        <v>11770</v>
      </c>
      <c r="B9353" s="4" t="s">
        <v>11773</v>
      </c>
      <c r="C9353" s="5" t="str">
        <f>IFERROR(__xludf.DUMMYFUNCTION("GOOGLETRANSLATE(B9353,""en"",""es-ES"")"),"Mientras siguen jugando, aparece un conjunto de pies y sostiene el final del tablero.")</f>
        <v>Mientras siguen jugando, aparece un conjunto de pies y sostiene el final del tablero.</v>
      </c>
    </row>
    <row r="9354">
      <c r="A9354" s="4" t="s">
        <v>11770</v>
      </c>
      <c r="B9354" s="4" t="s">
        <v>11774</v>
      </c>
      <c r="C9354" s="5" t="str">
        <f>IFERROR(__xludf.DUMMYFUNCTION("GOOGLETRANSLATE(B9354,""en"",""es-ES"")"),"Una vez que se retiran, los dos niños continúan jugando y moviendo las manijas en las barras.")</f>
        <v>Una vez que se retiran, los dos niños continúan jugando y moviendo las manijas en las barras.</v>
      </c>
    </row>
    <row r="9355">
      <c r="A9355" s="4" t="s">
        <v>11770</v>
      </c>
      <c r="B9355" s="4" t="s">
        <v>11775</v>
      </c>
      <c r="C9355" s="5" t="str">
        <f>IFERROR(__xludf.DUMMYFUNCTION("GOOGLETRANSLATE(B9355,""en"",""es-ES"")"),"La cámara luego se acerca al niño y luego a la niña expresando sus emociones.")</f>
        <v>La cámara luego se acerca al niño y luego a la niña expresando sus emociones.</v>
      </c>
    </row>
    <row r="9356">
      <c r="A9356" s="4" t="s">
        <v>11770</v>
      </c>
      <c r="B9356" s="4" t="s">
        <v>11776</v>
      </c>
      <c r="C9356" s="5" t="str">
        <f>IFERROR(__xludf.DUMMYFUNCTION("GOOGLETRANSLATE(B9356,""en"",""es-ES"")"),"Cada uno de ellos continúa jugando y ajustando la posición de su cuerpo a medida que se enfocan más.")</f>
        <v>Cada uno de ellos continúa jugando y ajustando la posición de su cuerpo a medida que se enfocan más.</v>
      </c>
    </row>
    <row r="9357">
      <c r="A9357" s="4" t="s">
        <v>11770</v>
      </c>
      <c r="B9357" s="4" t="s">
        <v>11777</v>
      </c>
      <c r="C9357" s="5" t="str">
        <f>IFERROR(__xludf.DUMMYFUNCTION("GOOGLETRANSLATE(B9357,""en"",""es-ES"")"),"Finalmente se hace un gol y la niña entra en la meta y elige el balón.")</f>
        <v>Finalmente se hace un gol y la niña entra en la meta y elige el balón.</v>
      </c>
    </row>
    <row r="9358">
      <c r="A9358" s="4" t="s">
        <v>11778</v>
      </c>
      <c r="B9358" s="4" t="s">
        <v>11779</v>
      </c>
      <c r="C9358" s="5" t="str">
        <f>IFERROR(__xludf.DUMMYFUNCTION("GOOGLETRANSLATE(B9358,""en"",""es-ES"")"),"Un grupo de surfistas está en sus tablas surfeando olas.")</f>
        <v>Un grupo de surfistas está en sus tablas surfeando olas.</v>
      </c>
    </row>
    <row r="9359">
      <c r="A9359" s="4" t="s">
        <v>11778</v>
      </c>
      <c r="B9359" s="4" t="s">
        <v>11780</v>
      </c>
      <c r="C9359" s="5" t="str">
        <f>IFERROR(__xludf.DUMMYFUNCTION("GOOGLETRANSLATE(B9359,""en"",""es-ES"")"),"Uno de los surfistas es tragado por una de las olas.")</f>
        <v>Uno de los surfistas es tragado por una de las olas.</v>
      </c>
    </row>
    <row r="9360">
      <c r="A9360" s="4" t="s">
        <v>11778</v>
      </c>
      <c r="B9360" s="4" t="s">
        <v>11781</v>
      </c>
      <c r="C9360" s="5" t="str">
        <f>IFERROR(__xludf.DUMMYFUNCTION("GOOGLETRANSLATE(B9360,""en"",""es-ES"")"),"Dos surfistas surfean cerca uno del otro y son derribados por una ola.")</f>
        <v>Dos surfistas surfean cerca uno del otro y son derribados por una ola.</v>
      </c>
    </row>
    <row r="9361">
      <c r="A9361" s="4" t="s">
        <v>11778</v>
      </c>
      <c r="B9361" s="4" t="s">
        <v>11782</v>
      </c>
      <c r="C9361" s="5" t="str">
        <f>IFERROR(__xludf.DUMMYFUNCTION("GOOGLETRANSLATE(B9361,""en"",""es-ES"")"),"Un surfista está nadando casualmente cuando una ola se estrella directamente en él.")</f>
        <v>Un surfista está nadando casualmente cuando una ola se estrella directamente en él.</v>
      </c>
    </row>
    <row r="9362">
      <c r="A9362" s="4" t="s">
        <v>11778</v>
      </c>
      <c r="B9362" s="4" t="s">
        <v>11783</v>
      </c>
      <c r="C9362" s="5" t="str">
        <f>IFERROR(__xludf.DUMMYFUNCTION("GOOGLETRANSLATE(B9362,""en"",""es-ES"")"),"Un surfista intenta surfear, pero rápidamente es arrojado de su tabla por una ola.")</f>
        <v>Un surfista intenta surfear, pero rápidamente es arrojado de su tabla por una ola.</v>
      </c>
    </row>
    <row r="9363">
      <c r="A9363" s="4" t="s">
        <v>11784</v>
      </c>
      <c r="B9363" s="4" t="s">
        <v>11785</v>
      </c>
      <c r="C9363" s="5" t="str">
        <f>IFERROR(__xludf.DUMMYFUNCTION("GOOGLETRANSLATE(B9363,""en"",""es-ES"")"),"Una niña está jugando con un secador de pelo de juguete.")</f>
        <v>Una niña está jugando con un secador de pelo de juguete.</v>
      </c>
    </row>
    <row r="9364">
      <c r="A9364" s="4" t="s">
        <v>11784</v>
      </c>
      <c r="B9364" s="4" t="s">
        <v>7820</v>
      </c>
      <c r="C9364" s="5" t="str">
        <f>IFERROR(__xludf.DUMMYFUNCTION("GOOGLETRANSLATE(B9364,""en"",""es-ES"")"),"Ella se da vuelta y sonríe.")</f>
        <v>Ella se da vuelta y sonríe.</v>
      </c>
    </row>
    <row r="9365">
      <c r="A9365" s="4" t="s">
        <v>11784</v>
      </c>
      <c r="B9365" s="4" t="s">
        <v>11786</v>
      </c>
      <c r="C9365" s="5" t="str">
        <f>IFERROR(__xludf.DUMMYFUNCTION("GOOGLETRANSLATE(B9365,""en"",""es-ES"")"),"Ella continúa jugando con el secador de pelo de juguete y hablando.")</f>
        <v>Ella continúa jugando con el secador de pelo de juguete y hablando.</v>
      </c>
    </row>
    <row r="9366">
      <c r="A9366" s="4" t="s">
        <v>11784</v>
      </c>
      <c r="B9366" s="4" t="s">
        <v>11787</v>
      </c>
      <c r="C9366" s="5" t="str">
        <f>IFERROR(__xludf.DUMMYFUNCTION("GOOGLETRANSLATE(B9366,""en"",""es-ES"")"),"Ella toma un rizador de juguetes y lo coloca en el escritorio frente a ella.")</f>
        <v>Ella toma un rizador de juguetes y lo coloca en el escritorio frente a ella.</v>
      </c>
    </row>
    <row r="9367">
      <c r="A9367" s="4" t="s">
        <v>11788</v>
      </c>
      <c r="B9367" s="4" t="s">
        <v>11789</v>
      </c>
      <c r="C9367" s="5" t="str">
        <f>IFERROR(__xludf.DUMMYFUNCTION("GOOGLETRANSLATE(B9367,""en"",""es-ES"")"),"Dos personas están esquiando, sosteniendo una cuerda.")</f>
        <v>Dos personas están esquiando, sosteniendo una cuerda.</v>
      </c>
    </row>
    <row r="9368">
      <c r="A9368" s="4" t="s">
        <v>11788</v>
      </c>
      <c r="B9368" s="4" t="s">
        <v>11790</v>
      </c>
      <c r="C9368" s="5" t="str">
        <f>IFERROR(__xludf.DUMMYFUNCTION("GOOGLETRANSLATE(B9368,""en"",""es-ES"")"),"Las olas se abren en su cresta.")</f>
        <v>Las olas se abren en su cresta.</v>
      </c>
    </row>
    <row r="9369">
      <c r="A9369" s="4" t="s">
        <v>11788</v>
      </c>
      <c r="B9369" s="4" t="s">
        <v>11791</v>
      </c>
      <c r="C9369" s="5" t="str">
        <f>IFERROR(__xludf.DUMMYFUNCTION("GOOGLETRANSLATE(B9369,""en"",""es-ES"")"),"Se mueven debajo de un pequeño puente.")</f>
        <v>Se mueven debajo de un pequeño puente.</v>
      </c>
    </row>
    <row r="9370">
      <c r="A9370" s="4" t="s">
        <v>11788</v>
      </c>
      <c r="B9370" s="4" t="s">
        <v>11792</v>
      </c>
      <c r="C9370" s="5" t="str">
        <f>IFERROR(__xludf.DUMMYFUNCTION("GOOGLETRANSLATE(B9370,""en"",""es-ES"")"),"El niño en verde se dobla.")</f>
        <v>El niño en verde se dobla.</v>
      </c>
    </row>
    <row r="9371">
      <c r="A9371" s="4" t="s">
        <v>11788</v>
      </c>
      <c r="B9371" s="4" t="s">
        <v>11793</v>
      </c>
      <c r="C9371" s="5" t="str">
        <f>IFERROR(__xludf.DUMMYFUNCTION("GOOGLETRANSLATE(B9371,""en"",""es-ES"")"),"El niño en verde se acerca a un lado.")</f>
        <v>El niño en verde se acerca a un lado.</v>
      </c>
    </row>
    <row r="9372">
      <c r="A9372" s="4" t="s">
        <v>11788</v>
      </c>
      <c r="B9372" s="4" t="s">
        <v>11794</v>
      </c>
      <c r="C9372" s="5" t="str">
        <f>IFERROR(__xludf.DUMMYFUNCTION("GOOGLETRANSLATE(B9372,""en"",""es-ES"")"),"El niño se mueve al costado del bote y luego voltea el segundo esquiador.")</f>
        <v>El niño se mueve al costado del bote y luego voltea el segundo esquiador.</v>
      </c>
    </row>
    <row r="9373">
      <c r="A9373" s="4" t="s">
        <v>11788</v>
      </c>
      <c r="B9373" s="4" t="s">
        <v>11795</v>
      </c>
      <c r="C9373" s="5" t="str">
        <f>IFERROR(__xludf.DUMMYFUNCTION("GOOGLETRANSLATE(B9373,""en"",""es-ES"")"),"El niño se recuesta en su tabla y vuelve sobre el otro esquiador.")</f>
        <v>El niño se recuesta en su tabla y vuelve sobre el otro esquiador.</v>
      </c>
    </row>
    <row r="9374">
      <c r="A9374" s="4" t="s">
        <v>11788</v>
      </c>
      <c r="B9374" s="4" t="s">
        <v>11796</v>
      </c>
      <c r="C9374" s="5" t="str">
        <f>IFERROR(__xludf.DUMMYFUNCTION("GOOGLETRANSLATE(B9374,""en"",""es-ES"")"),"El niño en verde se balancea nuevamente y voltea al esquiador dándole un máximo.")</f>
        <v>El niño en verde se balancea nuevamente y voltea al esquiador dándole un máximo.</v>
      </c>
    </row>
    <row r="9375">
      <c r="A9375" s="4" t="s">
        <v>11788</v>
      </c>
      <c r="B9375" s="4" t="s">
        <v>11797</v>
      </c>
      <c r="C9375" s="5" t="str">
        <f>IFERROR(__xludf.DUMMYFUNCTION("GOOGLETRANSLATE(B9375,""en"",""es-ES"")"),"Los dos esquiadores tienen una conversación mientras viajan.")</f>
        <v>Los dos esquiadores tienen una conversación mientras viajan.</v>
      </c>
    </row>
    <row r="9376">
      <c r="A9376" s="4" t="s">
        <v>11788</v>
      </c>
      <c r="B9376" s="4" t="s">
        <v>11798</v>
      </c>
      <c r="C9376" s="5" t="str">
        <f>IFERROR(__xludf.DUMMYFUNCTION("GOOGLETRANSLATE(B9376,""en"",""es-ES"")"),"Ambos esquiadores se balancean y se balancean al otro lado del bote.")</f>
        <v>Ambos esquiadores se balancean y se balancean al otro lado del bote.</v>
      </c>
    </row>
    <row r="9377">
      <c r="A9377" s="4" t="s">
        <v>11788</v>
      </c>
      <c r="B9377" s="4" t="s">
        <v>11799</v>
      </c>
      <c r="C9377" s="5" t="str">
        <f>IFERROR(__xludf.DUMMYFUNCTION("GOOGLETRANSLATE(B9377,""en"",""es-ES"")"),"Los chicos continúan saludando y hablando.")</f>
        <v>Los chicos continúan saludando y hablando.</v>
      </c>
    </row>
    <row r="9378">
      <c r="A9378" s="4" t="s">
        <v>11800</v>
      </c>
      <c r="B9378" s="4" t="s">
        <v>11801</v>
      </c>
      <c r="C9378" s="5" t="str">
        <f>IFERROR(__xludf.DUMMYFUNCTION("GOOGLETRANSLATE(B9378,""en"",""es-ES"")"),"Una mujer baila con un Hulahoop.")</f>
        <v>Una mujer baila con un Hulahoop.</v>
      </c>
    </row>
    <row r="9379">
      <c r="A9379" s="4" t="s">
        <v>11800</v>
      </c>
      <c r="B9379" s="4" t="s">
        <v>11802</v>
      </c>
      <c r="C9379" s="5" t="str">
        <f>IFERROR(__xludf.DUMMYFUNCTION("GOOGLETRANSLATE(B9379,""en"",""es-ES"")"),"Ella lo arroja, lo atrapa y baila alrededor de la habitación.")</f>
        <v>Ella lo arroja, lo atrapa y baila alrededor de la habitación.</v>
      </c>
    </row>
    <row r="9380">
      <c r="A9380" s="4" t="s">
        <v>11803</v>
      </c>
      <c r="B9380" s="4" t="s">
        <v>11804</v>
      </c>
      <c r="C9380" s="5" t="str">
        <f>IFERROR(__xludf.DUMMYFUNCTION("GOOGLETRANSLATE(B9380,""en"",""es-ES"")"),"Un joven pone cemento al techo e incluso con una herramienta plana.")</f>
        <v>Un joven pone cemento al techo e incluso con una herramienta plana.</v>
      </c>
    </row>
    <row r="9381">
      <c r="A9381" s="4" t="s">
        <v>11803</v>
      </c>
      <c r="B9381" s="4" t="s">
        <v>11805</v>
      </c>
      <c r="C9381" s="5" t="str">
        <f>IFERROR(__xludf.DUMMYFUNCTION("GOOGLETRANSLATE(B9381,""en"",""es-ES"")"),"El hombre usa zancos en sus pies.")</f>
        <v>El hombre usa zancos en sus pies.</v>
      </c>
    </row>
    <row r="9382">
      <c r="A9382" s="4" t="s">
        <v>11803</v>
      </c>
      <c r="B9382" s="4" t="s">
        <v>11806</v>
      </c>
      <c r="C9382" s="5" t="str">
        <f>IFERROR(__xludf.DUMMYFUNCTION("GOOGLETRANSLATE(B9382,""en"",""es-ES"")"),"El hombre pone cemento en los espacios vacíos y los trazos con la herramienta incluso al techo.")</f>
        <v>El hombre pone cemento en los espacios vacíos y los trazos con la herramienta incluso al techo.</v>
      </c>
    </row>
    <row r="9383">
      <c r="A9383" s="4" t="s">
        <v>11807</v>
      </c>
      <c r="B9383" s="4" t="s">
        <v>11808</v>
      </c>
      <c r="C9383" s="5" t="str">
        <f>IFERROR(__xludf.DUMMYFUNCTION("GOOGLETRANSLATE(B9383,""en"",""es-ES"")"),"Las bicicletas de tierra corren a través de una pista llena de baches.")</f>
        <v>Las bicicletas de tierra corren a través de una pista llena de baches.</v>
      </c>
    </row>
    <row r="9384">
      <c r="A9384" s="4" t="s">
        <v>11807</v>
      </c>
      <c r="B9384" s="4" t="s">
        <v>11809</v>
      </c>
      <c r="C9384" s="5" t="str">
        <f>IFERROR(__xludf.DUMMYFUNCTION("GOOGLETRANSLATE(B9384,""en"",""es-ES"")"),"Un jinete se cae de su bicicleta y una bicicleta trasera lo golpea y lo golpea al suelo.")</f>
        <v>Un jinete se cae de su bicicleta y una bicicleta trasera lo golpea y lo golpea al suelo.</v>
      </c>
    </row>
    <row r="9385">
      <c r="A9385" s="4" t="s">
        <v>11807</v>
      </c>
      <c r="B9385" s="4" t="s">
        <v>11810</v>
      </c>
      <c r="C9385" s="5" t="str">
        <f>IFERROR(__xludf.DUMMYFUNCTION("GOOGLETRANSLATE(B9385,""en"",""es-ES"")"),"Las palabras ""2014 FIM Motocross World Championship MXGP"" aparecen en la pantalla seguidas de enlaces sociales.")</f>
        <v>Las palabras "2014 FIM Motocross World Championship MXGP" aparecen en la pantalla seguidas de enlaces sociales.</v>
      </c>
    </row>
    <row r="9386">
      <c r="A9386" s="4" t="s">
        <v>11811</v>
      </c>
      <c r="B9386" s="4" t="s">
        <v>11812</v>
      </c>
      <c r="C9386" s="5" t="str">
        <f>IFERROR(__xludf.DUMMYFUNCTION("GOOGLETRANSLATE(B9386,""en"",""es-ES"")"),"Se muestra una vista de una plataforma de buceo muy grande con diferentes alturas y las personas alrededor de la piscina están caminando.")</f>
        <v>Se muestra una vista de una plataforma de buceo muy grande con diferentes alturas y las personas alrededor de la piscina están caminando.</v>
      </c>
    </row>
    <row r="9387">
      <c r="A9387" s="4" t="s">
        <v>11811</v>
      </c>
      <c r="B9387" s="4" t="s">
        <v>11813</v>
      </c>
      <c r="C9387" s="5" t="str">
        <f>IFERROR(__xludf.DUMMYFUNCTION("GOOGLETRANSLATE(B9387,""en"",""es-ES"")"),"Una persona en una de las plataformas se sumerge en la piscina.")</f>
        <v>Una persona en una de las plataformas se sumerge en la piscina.</v>
      </c>
    </row>
    <row r="9388">
      <c r="A9388" s="4" t="s">
        <v>11811</v>
      </c>
      <c r="B9388" s="4" t="s">
        <v>11814</v>
      </c>
      <c r="C9388" s="5" t="str">
        <f>IFERROR(__xludf.DUMMYFUNCTION("GOOGLETRANSLATE(B9388,""en"",""es-ES"")"),"El buzo que golpea la piscina causa una pequeña salpicadura.")</f>
        <v>El buzo que golpea la piscina causa una pequeña salpicadura.</v>
      </c>
    </row>
    <row r="9389">
      <c r="A9389" s="4" t="s">
        <v>11811</v>
      </c>
      <c r="B9389" s="4" t="s">
        <v>11815</v>
      </c>
      <c r="C9389" s="5" t="str">
        <f>IFERROR(__xludf.DUMMYFUNCTION("GOOGLETRANSLATE(B9389,""en"",""es-ES"")"),"El video luego se congela y no hay movimientos.")</f>
        <v>El video luego se congela y no hay movimientos.</v>
      </c>
    </row>
    <row r="9390">
      <c r="A9390" s="4" t="s">
        <v>11816</v>
      </c>
      <c r="B9390" s="4" t="s">
        <v>11817</v>
      </c>
      <c r="C9390" s="5" t="str">
        <f>IFERROR(__xludf.DUMMYFUNCTION("GOOGLETRANSLATE(B9390,""en"",""es-ES"")"),"Un automóvil conduce por una carretera con pasajeros.")</f>
        <v>Un automóvil conduce por una carretera con pasajeros.</v>
      </c>
    </row>
    <row r="9391">
      <c r="A9391" s="4" t="s">
        <v>11816</v>
      </c>
      <c r="B9391" s="4" t="s">
        <v>11818</v>
      </c>
      <c r="C9391" s="5" t="str">
        <f>IFERROR(__xludf.DUMMYFUNCTION("GOOGLETRANSLATE(B9391,""en"",""es-ES"")"),"Los hombres se reúnen en un puente, adornando equipos.")</f>
        <v>Los hombres se reúnen en un puente, adornando equipos.</v>
      </c>
    </row>
    <row r="9392">
      <c r="A9392" s="4" t="s">
        <v>11816</v>
      </c>
      <c r="B9392" s="4" t="s">
        <v>11819</v>
      </c>
      <c r="C9392" s="5" t="str">
        <f>IFERROR(__xludf.DUMMYFUNCTION("GOOGLETRANSLATE(B9392,""en"",""es-ES"")"),"Un hombre con un disfraz de gorila camina por el puente.")</f>
        <v>Un hombre con un disfraz de gorila camina por el puente.</v>
      </c>
    </row>
    <row r="9393">
      <c r="A9393" s="4" t="s">
        <v>11816</v>
      </c>
      <c r="B9393" s="4" t="s">
        <v>11820</v>
      </c>
      <c r="C9393" s="5" t="str">
        <f>IFERROR(__xludf.DUMMYFUNCTION("GOOGLETRANSLATE(B9393,""en"",""es-ES"")"),"Los hombres se turnan para saltar del puente.")</f>
        <v>Los hombres se turnan para saltar del puente.</v>
      </c>
    </row>
    <row r="9394">
      <c r="A9394" s="4" t="s">
        <v>11816</v>
      </c>
      <c r="B9394" s="4" t="s">
        <v>11821</v>
      </c>
      <c r="C9394" s="5" t="str">
        <f>IFERROR(__xludf.DUMMYFUNCTION("GOOGLETRANSLATE(B9394,""en"",""es-ES"")"),"La gente saluda mientras se alejan, luego se muestran posando para una imagen.")</f>
        <v>La gente saluda mientras se alejan, luego se muestran posando para una imagen.</v>
      </c>
    </row>
    <row r="9395">
      <c r="A9395" s="4" t="s">
        <v>11822</v>
      </c>
      <c r="B9395" s="4" t="s">
        <v>11823</v>
      </c>
      <c r="C9395" s="5" t="str">
        <f>IFERROR(__xludf.DUMMYFUNCTION("GOOGLETRANSLATE(B9395,""en"",""es-ES"")"),"Una mujer está hablando y está emocionada.")</f>
        <v>Una mujer está hablando y está emocionada.</v>
      </c>
    </row>
    <row r="9396">
      <c r="A9396" s="4" t="s">
        <v>11822</v>
      </c>
      <c r="B9396" s="4" t="s">
        <v>11824</v>
      </c>
      <c r="C9396" s="5" t="str">
        <f>IFERROR(__xludf.DUMMYFUNCTION("GOOGLETRANSLATE(B9396,""en"",""es-ES"")"),"Ella saca un suéter rosado para hierro.")</f>
        <v>Ella saca un suéter rosado para hierro.</v>
      </c>
    </row>
    <row r="9397">
      <c r="A9397" s="4" t="s">
        <v>11822</v>
      </c>
      <c r="B9397" s="4" t="s">
        <v>11825</v>
      </c>
      <c r="C9397" s="5" t="str">
        <f>IFERROR(__xludf.DUMMYFUNCTION("GOOGLETRANSLATE(B9397,""en"",""es-ES"")"),"Ella hierve el suéter rosa.")</f>
        <v>Ella hierve el suéter rosa.</v>
      </c>
    </row>
    <row r="9398">
      <c r="A9398" s="4" t="s">
        <v>11826</v>
      </c>
      <c r="B9398" s="4" t="s">
        <v>11827</v>
      </c>
      <c r="C9398" s="5" t="str">
        <f>IFERROR(__xludf.DUMMYFUNCTION("GOOGLETRANSLATE(B9398,""en"",""es-ES"")"),"Hay dos jugadores con una camisa roja y blanca y la otra con camisa en blanco y negro, jugando una pelota de raqueta en una cancha interior con algunos espectadores.")</f>
        <v>Hay dos jugadores con una camisa roja y blanca y la otra con camisa en blanco y negro, jugando una pelota de raqueta en una cancha interior con algunos espectadores.</v>
      </c>
    </row>
    <row r="9399">
      <c r="A9399" s="4" t="s">
        <v>11826</v>
      </c>
      <c r="B9399" s="4" t="s">
        <v>11828</v>
      </c>
      <c r="C9399" s="5" t="str">
        <f>IFERROR(__xludf.DUMMYFUNCTION("GOOGLETRANSLATE(B9399,""en"",""es-ES"")"),"El jugador de rojo golpea la pelota con una mano delantera y su oponente salta hacia adelante para devolver el balón.")</f>
        <v>El jugador de rojo golpea la pelota con una mano delantera y su oponente salta hacia adelante para devolver el balón.</v>
      </c>
    </row>
    <row r="9400">
      <c r="A9400" s="4" t="s">
        <v>11826</v>
      </c>
      <c r="B9400" s="4" t="s">
        <v>11829</v>
      </c>
      <c r="C9400" s="5" t="str">
        <f>IFERROR(__xludf.DUMMYFUNCTION("GOOGLETRANSLATE(B9400,""en"",""es-ES"")"),"El jugador de rojo continúa balanceando su raqueta en una mano delantera, ya que nunca deja de perder un solo disparo.")</f>
        <v>El jugador de rojo continúa balanceando su raqueta en una mano delantera, ya que nunca deja de perder un solo disparo.</v>
      </c>
    </row>
    <row r="9401">
      <c r="A9401" s="4" t="s">
        <v>11826</v>
      </c>
      <c r="B9401" s="4" t="s">
        <v>11830</v>
      </c>
      <c r="C9401" s="5" t="str">
        <f>IFERROR(__xludf.DUMMYFUNCTION("GOOGLETRANSLATE(B9401,""en"",""es-ES"")"),"El jugador de negro se pierde un tiro, pero inmediatamente agarra la pelota y continúan jugando nuevamente.")</f>
        <v>El jugador de negro se pierde un tiro, pero inmediatamente agarra la pelota y continúan jugando nuevamente.</v>
      </c>
    </row>
    <row r="9402">
      <c r="A9402" s="4" t="s">
        <v>11826</v>
      </c>
      <c r="B9402" s="4" t="s">
        <v>11831</v>
      </c>
      <c r="C9402" s="5" t="str">
        <f>IFERROR(__xludf.DUMMYFUNCTION("GOOGLETRANSLATE(B9402,""en"",""es-ES"")"),"Ambos jugadores continúan en un gran rally sin perderse un tiro.")</f>
        <v>Ambos jugadores continúan en un gran rally sin perderse un tiro.</v>
      </c>
    </row>
    <row r="9403">
      <c r="A9403" s="4" t="s">
        <v>11826</v>
      </c>
      <c r="B9403" s="4" t="s">
        <v>11832</v>
      </c>
      <c r="C9403" s="5" t="str">
        <f>IFERROR(__xludf.DUMMYFUNCTION("GOOGLETRANSLATE(B9403,""en"",""es-ES"")"),"El jugador de Red corre rápidamente por la cancha para golpear la pelota hacia atrás.")</f>
        <v>El jugador de Red corre rápidamente por la cancha para golpear la pelota hacia atrás.</v>
      </c>
    </row>
    <row r="9404">
      <c r="A9404" s="4" t="s">
        <v>11826</v>
      </c>
      <c r="B9404" s="4" t="s">
        <v>11833</v>
      </c>
      <c r="C9404" s="5" t="str">
        <f>IFERROR(__xludf.DUMMYFUNCTION("GOOGLETRANSLATE(B9404,""en"",""es-ES"")"),"Luego juegan cinco rondas continuamente usando columpios de la mano trasera hasta que el jugador de negro pierde un tiro.")</f>
        <v>Luego juegan cinco rondas continuamente usando columpios de la mano trasera hasta que el jugador de negro pierde un tiro.</v>
      </c>
    </row>
    <row r="9405">
      <c r="A9405" s="4" t="s">
        <v>11826</v>
      </c>
      <c r="B9405" s="4" t="s">
        <v>11834</v>
      </c>
      <c r="C9405" s="5" t="str">
        <f>IFERROR(__xludf.DUMMYFUNCTION("GOOGLETRANSLATE(B9405,""en"",""es-ES"")"),"Luego comienzan su ronda final donde el jugador de blanco y negro termina el tiro final.")</f>
        <v>Luego comienzan su ronda final donde el jugador de blanco y negro termina el tiro final.</v>
      </c>
    </row>
    <row r="9406">
      <c r="A9406" s="4" t="s">
        <v>11826</v>
      </c>
      <c r="B9406" s="4" t="s">
        <v>11835</v>
      </c>
      <c r="C9406" s="5" t="str">
        <f>IFERROR(__xludf.DUMMYFUNCTION("GOOGLETRANSLATE(B9406,""en"",""es-ES"")"),"Terminan el juego dándose la mano y salen de la cancha.")</f>
        <v>Terminan el juego dándose la mano y salen de la cancha.</v>
      </c>
    </row>
    <row r="9407">
      <c r="A9407" s="4" t="s">
        <v>11836</v>
      </c>
      <c r="B9407" s="4" t="s">
        <v>11837</v>
      </c>
      <c r="C9407" s="5" t="str">
        <f>IFERROR(__xludf.DUMMYFUNCTION("GOOGLETRANSLATE(B9407,""en"",""es-ES"")"),"Se ve a un hombre hablando con la cámara en un campo grande mientras sostiene un palo de lacrosse.")</f>
        <v>Se ve a un hombre hablando con la cámara en un campo grande mientras sostiene un palo de lacrosse.</v>
      </c>
    </row>
    <row r="9408">
      <c r="A9408" s="4" t="s">
        <v>11836</v>
      </c>
      <c r="B9408" s="4" t="s">
        <v>11838</v>
      </c>
      <c r="C9408" s="5" t="str">
        <f>IFERROR(__xludf.DUMMYFUNCTION("GOOGLETRANSLATE(B9408,""en"",""es-ES"")"),"Señala a sí mismo mientras sostiene el palo y continúa hablando con la cámara y cómo sostener adecuadamente el palo.")</f>
        <v>Señala a sí mismo mientras sostiene el palo y continúa hablando con la cámara y cómo sostener adecuadamente el palo.</v>
      </c>
    </row>
    <row r="9409">
      <c r="A9409" s="4" t="s">
        <v>11839</v>
      </c>
      <c r="B9409" s="4" t="s">
        <v>11840</v>
      </c>
      <c r="C9409" s="5" t="str">
        <f>IFERROR(__xludf.DUMMYFUNCTION("GOOGLETRANSLATE(B9409,""en"",""es-ES"")"),"Una niña se balancea su palo en una piñata.")</f>
        <v>Una niña se balancea su palo en una piñata.</v>
      </c>
    </row>
    <row r="9410">
      <c r="A9410" s="4" t="s">
        <v>11839</v>
      </c>
      <c r="B9410" s="4" t="s">
        <v>11841</v>
      </c>
      <c r="C9410" s="5" t="str">
        <f>IFERROR(__xludf.DUMMYFUNCTION("GOOGLETRANSLATE(B9410,""en"",""es-ES"")"),"Un grupo de personas la mira desde atrás y la animan.")</f>
        <v>Un grupo de personas la mira desde atrás y la animan.</v>
      </c>
    </row>
    <row r="9411">
      <c r="A9411" s="4" t="s">
        <v>11839</v>
      </c>
      <c r="B9411" s="4" t="s">
        <v>11842</v>
      </c>
      <c r="C9411" s="5" t="str">
        <f>IFERROR(__xludf.DUMMYFUNCTION("GOOGLETRANSLATE(B9411,""en"",""es-ES"")"),"Ella continúa balanceándose hacia la piñata y el objeto se mueve hacia atrás y el cuarto en el viento.")</f>
        <v>Ella continúa balanceándose hacia la piñata y el objeto se mueve hacia atrás y el cuarto en el viento.</v>
      </c>
    </row>
    <row r="9412">
      <c r="A9412" s="4" t="s">
        <v>11843</v>
      </c>
      <c r="B9412" s="4" t="s">
        <v>11844</v>
      </c>
      <c r="C9412" s="5" t="str">
        <f>IFERROR(__xludf.DUMMYFUNCTION("GOOGLETRANSLATE(B9412,""en"",""es-ES"")"),"Una cámara se mueve alrededor de un gran gimnasio y conduce a dos artistas que caminan hacia el medio del escenario.")</f>
        <v>Una cámara se mueve alrededor de un gran gimnasio y conduce a dos artistas que caminan hacia el medio del escenario.</v>
      </c>
    </row>
    <row r="9413">
      <c r="A9413" s="4" t="s">
        <v>11843</v>
      </c>
      <c r="B9413" s="4" t="s">
        <v>11845</v>
      </c>
      <c r="C9413" s="5" t="str">
        <f>IFERROR(__xludf.DUMMYFUNCTION("GOOGLETRANSLATE(B9413,""en"",""es-ES"")"),"Las chicas realizan una rutina de baile usan bastones y terminan sosteniendo una pose.")</f>
        <v>Las chicas realizan una rutina de baile usan bastones y terminan sosteniendo una pose.</v>
      </c>
    </row>
    <row r="9414">
      <c r="A9414" s="4" t="s">
        <v>11846</v>
      </c>
      <c r="B9414" s="4" t="s">
        <v>11847</v>
      </c>
      <c r="C9414" s="5" t="str">
        <f>IFERROR(__xludf.DUMMYFUNCTION("GOOGLETRANSLATE(B9414,""en"",""es-ES"")"),"Una mujer y dos hombres, con pantalones blancos, camisa blanca y cinturones en blanco y blanco, demuestran movimientos de artes marciales, descalzos, en un gran parche de hierba frente a un cuerpo de agua y un naleo de edificios de la ciudad.")</f>
        <v>Una mujer y dos hombres, con pantalones blancos, camisa blanca y cinturones en blanco y blanco, demuestran movimientos de artes marciales, descalzos, en un gran parche de hierba frente a un cuerpo de agua y un naleo de edificios de la ciudad.</v>
      </c>
    </row>
    <row r="9415">
      <c r="A9415" s="4" t="s">
        <v>11846</v>
      </c>
      <c r="B9415" s="4" t="s">
        <v>11848</v>
      </c>
      <c r="C9415" s="5" t="str">
        <f>IFERROR(__xludf.DUMMYFUNCTION("GOOGLETRANSLATE(B9415,""en"",""es-ES"")"),"Una mujer con cabello rubio en una cola de caballo y un cinturón negro demuestra que las artes marciales se mueven primero que exhiben movimientos de hombro y brazo y juego de pies.")</f>
        <v>Una mujer con cabello rubio en una cola de caballo y un cinturón negro demuestra que las artes marciales se mueven primero que exhiben movimientos de hombro y brazo y juego de pies.</v>
      </c>
    </row>
    <row r="9416">
      <c r="A9416" s="4" t="s">
        <v>11846</v>
      </c>
      <c r="B9416" s="4" t="s">
        <v>11849</v>
      </c>
      <c r="C9416" s="5" t="str">
        <f>IFERROR(__xludf.DUMMYFUNCTION("GOOGLETRANSLATE(B9416,""en"",""es-ES"")"),"Un hombre en un cinturón blanco demuestra movimientos de artes marciales con curvas de rodilla.")</f>
        <v>Un hombre en un cinturón blanco demuestra movimientos de artes marciales con curvas de rodilla.</v>
      </c>
    </row>
    <row r="9417">
      <c r="A9417" s="4" t="s">
        <v>11846</v>
      </c>
      <c r="B9417" s="4" t="s">
        <v>11850</v>
      </c>
      <c r="C9417" s="5" t="str">
        <f>IFERROR(__xludf.DUMMYFUNCTION("GOOGLETRANSLATE(B9417,""en"",""es-ES"")"),"Un tercer hombre en un cinturón negro demuestra movimientos de artes marciales que exhiben trabajos en el piso, golpes de piernas y patadas altas.")</f>
        <v>Un tercer hombre en un cinturón negro demuestra movimientos de artes marciales que exhiben trabajos en el piso, golpes de piernas y patadas altas.</v>
      </c>
    </row>
    <row r="9418">
      <c r="A9418" s="4" t="s">
        <v>11851</v>
      </c>
      <c r="B9418" s="4" t="s">
        <v>11852</v>
      </c>
      <c r="C9418" s="5" t="str">
        <f>IFERROR(__xludf.DUMMYFUNCTION("GOOGLETRANSLATE(B9418,""en"",""es-ES"")"),"Una mujer chef está demostrando cómo hacer pasta estilo restaurante.")</f>
        <v>Una mujer chef está demostrando cómo hacer pasta estilo restaurante.</v>
      </c>
    </row>
    <row r="9419">
      <c r="A9419" s="4" t="s">
        <v>11851</v>
      </c>
      <c r="B9419" s="4" t="s">
        <v>11853</v>
      </c>
      <c r="C9419" s="5" t="str">
        <f>IFERROR(__xludf.DUMMYFUNCTION("GOOGLETRANSLATE(B9419,""en"",""es-ES"")"),"Ella comienza con agregar espagueti en una gran olla de agua hirviendo.")</f>
        <v>Ella comienza con agregar espagueti en una gran olla de agua hirviendo.</v>
      </c>
    </row>
    <row r="9420">
      <c r="A9420" s="4" t="s">
        <v>11851</v>
      </c>
      <c r="B9420" s="4" t="s">
        <v>11854</v>
      </c>
      <c r="C9420" s="5" t="str">
        <f>IFERROR(__xludf.DUMMYFUNCTION("GOOGLETRANSLATE(B9420,""en"",""es-ES"")"),"Ella salta las cebollas picadas y un poco de aderezo italiano junto con ajo en una cacerola.")</f>
        <v>Ella salta las cebollas picadas y un poco de aderezo italiano junto con ajo en una cacerola.</v>
      </c>
    </row>
    <row r="9421">
      <c r="A9421" s="4" t="s">
        <v>11851</v>
      </c>
      <c r="B9421" s="4" t="s">
        <v>11855</v>
      </c>
      <c r="C9421" s="5" t="str">
        <f>IFERROR(__xludf.DUMMYFUNCTION("GOOGLETRANSLATE(B9421,""en"",""es-ES"")"),"Luego agrega una taza de tomates de uva.")</f>
        <v>Luego agrega una taza de tomates de uva.</v>
      </c>
    </row>
    <row r="9422">
      <c r="A9422" s="4" t="s">
        <v>11851</v>
      </c>
      <c r="B9422" s="4" t="s">
        <v>11856</v>
      </c>
      <c r="C9422" s="5" t="str">
        <f>IFERROR(__xludf.DUMMYFUNCTION("GOOGLETRANSLATE(B9422,""en"",""es-ES"")"),"Ella revisa la pasta por su suavidad.")</f>
        <v>Ella revisa la pasta por su suavidad.</v>
      </c>
    </row>
    <row r="9423">
      <c r="A9423" s="4" t="s">
        <v>11851</v>
      </c>
      <c r="B9423" s="4" t="s">
        <v>11857</v>
      </c>
      <c r="C9423" s="5" t="str">
        <f>IFERROR(__xludf.DUMMYFUNCTION("GOOGLETRANSLATE(B9423,""en"",""es-ES"")"),"Ella elimina la pasta cocida del gas y la vierte en un plato.")</f>
        <v>Ella elimina la pasta cocida del gas y la vierte en un plato.</v>
      </c>
    </row>
    <row r="9424">
      <c r="A9424" s="4" t="s">
        <v>11851</v>
      </c>
      <c r="B9424" s="4" t="s">
        <v>11858</v>
      </c>
      <c r="C9424" s="5" t="str">
        <f>IFERROR(__xludf.DUMMYFUNCTION("GOOGLETRANSLATE(B9424,""en"",""es-ES"")"),"Luego agrega la salsa cocida justo sobre la pasta.")</f>
        <v>Luego agrega la salsa cocida justo sobre la pasta.</v>
      </c>
    </row>
    <row r="9425">
      <c r="A9425" s="4" t="s">
        <v>11851</v>
      </c>
      <c r="B9425" s="4" t="s">
        <v>11859</v>
      </c>
      <c r="C9425" s="5" t="str">
        <f>IFERROR(__xludf.DUMMYFUNCTION("GOOGLETRANSLATE(B9425,""en"",""es-ES"")"),"Ella corta la albahaca fresca con un par de tijeras y la adorna sobre la pasta junto con un poco de queso, luego muestra una receta de salsa Alfredo.")</f>
        <v>Ella corta la albahaca fresca con un par de tijeras y la adorna sobre la pasta junto con un poco de queso, luego muestra una receta de salsa Alfredo.</v>
      </c>
    </row>
    <row r="9426">
      <c r="A9426" s="4" t="s">
        <v>11851</v>
      </c>
      <c r="B9426" s="4" t="s">
        <v>11860</v>
      </c>
      <c r="C9426" s="5" t="str">
        <f>IFERROR(__xludf.DUMMYFUNCTION("GOOGLETRANSLATE(B9426,""en"",""es-ES"")"),"Ella rocía queso parmesano rallado sobre la pasta Alfredo para terminar.")</f>
        <v>Ella rocía queso parmesano rallado sobre la pasta Alfredo para terminar.</v>
      </c>
    </row>
    <row r="9427">
      <c r="A9427" s="4" t="s">
        <v>11861</v>
      </c>
      <c r="B9427" s="4" t="s">
        <v>11862</v>
      </c>
      <c r="C9427" s="5" t="str">
        <f>IFERROR(__xludf.DUMMYFUNCTION("GOOGLETRANSLATE(B9427,""en"",""es-ES"")"),"Un grupo de nadadores se está preparando para actuar.")</f>
        <v>Un grupo de nadadores se está preparando para actuar.</v>
      </c>
    </row>
    <row r="9428">
      <c r="A9428" s="4" t="s">
        <v>11861</v>
      </c>
      <c r="B9428" s="4" t="s">
        <v>11863</v>
      </c>
      <c r="C9428" s="5" t="str">
        <f>IFERROR(__xludf.DUMMYFUNCTION("GOOGLETRANSLATE(B9428,""en"",""es-ES"")"),"La multitud observa a las chicas prepararse.")</f>
        <v>La multitud observa a las chicas prepararse.</v>
      </c>
    </row>
    <row r="9429">
      <c r="A9429" s="4" t="s">
        <v>11861</v>
      </c>
      <c r="B9429" s="4" t="s">
        <v>11864</v>
      </c>
      <c r="C9429" s="5" t="str">
        <f>IFERROR(__xludf.DUMMYFUNCTION("GOOGLETRANSLATE(B9429,""en"",""es-ES"")"),"Una niña se zambulle del tablero de buceo y la gente anima.")</f>
        <v>Una niña se zambulle del tablero de buceo y la gente anima.</v>
      </c>
    </row>
    <row r="9430">
      <c r="A9430" s="4" t="s">
        <v>11861</v>
      </c>
      <c r="B9430" s="4" t="s">
        <v>11865</v>
      </c>
      <c r="C9430" s="5" t="str">
        <f>IFERROR(__xludf.DUMMYFUNCTION("GOOGLETRANSLATE(B9430,""en"",""es-ES"")"),"Ella sale de la piscina mientras otro nadador se prepara para saltar.")</f>
        <v>Ella sale de la piscina mientras otro nadador se prepara para saltar.</v>
      </c>
    </row>
    <row r="9431">
      <c r="A9431" s="4" t="s">
        <v>11866</v>
      </c>
      <c r="B9431" s="4" t="s">
        <v>11867</v>
      </c>
      <c r="C9431" s="5" t="str">
        <f>IFERROR(__xludf.DUMMYFUNCTION("GOOGLETRANSLATE(B9431,""en"",""es-ES"")"),"Se muestra un gran pastel de terciopelo rojo multicapa, junto con la multitud de ingredientes.")</f>
        <v>Se muestra un gran pastel de terciopelo rojo multicapa, junto con la multitud de ingredientes.</v>
      </c>
    </row>
    <row r="9432">
      <c r="A9432" s="4" t="s">
        <v>11866</v>
      </c>
      <c r="B9432" s="4" t="s">
        <v>11868</v>
      </c>
      <c r="C9432" s="5" t="str">
        <f>IFERROR(__xludf.DUMMYFUNCTION("GOOGLETRANSLATE(B9432,""en"",""es-ES"")"),"Una mano enciende un horno, antes de mezclar los ingredientes en un tazón.")</f>
        <v>Una mano enciende un horno, antes de mezclar los ingredientes en un tazón.</v>
      </c>
    </row>
    <row r="9433">
      <c r="A9433" s="4" t="s">
        <v>11866</v>
      </c>
      <c r="B9433" s="4" t="s">
        <v>11869</v>
      </c>
      <c r="C9433" s="5" t="str">
        <f>IFERROR(__xludf.DUMMYFUNCTION("GOOGLETRANSLATE(B9433,""en"",""es-ES"")"),"En todo momento, se comparten algunas cositas y hechos aleatorios.")</f>
        <v>En todo momento, se comparten algunas cositas y hechos aleatorios.</v>
      </c>
    </row>
    <row r="9434">
      <c r="A9434" s="4" t="s">
        <v>11870</v>
      </c>
      <c r="B9434" s="4" t="s">
        <v>11871</v>
      </c>
      <c r="C9434" s="5" t="str">
        <f>IFERROR(__xludf.DUMMYFUNCTION("GOOGLETRANSLATE(B9434,""en"",""es-ES"")"),"Un hombre está en un escenario entre las brillantes luces intermitentes y la música.")</f>
        <v>Un hombre está en un escenario entre las brillantes luces intermitentes y la música.</v>
      </c>
    </row>
    <row r="9435">
      <c r="A9435" s="4" t="s">
        <v>11870</v>
      </c>
      <c r="B9435" s="4" t="s">
        <v>11872</v>
      </c>
      <c r="C9435" s="5" t="str">
        <f>IFERROR(__xludf.DUMMYFUNCTION("GOOGLETRANSLATE(B9435,""en"",""es-ES"")"),"Él está tocando rápidamente un violín para la audiencia.")</f>
        <v>Él está tocando rápidamente un violín para la audiencia.</v>
      </c>
    </row>
    <row r="9436">
      <c r="A9436" s="4" t="s">
        <v>11870</v>
      </c>
      <c r="B9436" s="4" t="s">
        <v>11873</v>
      </c>
      <c r="C9436" s="5" t="str">
        <f>IFERROR(__xludf.DUMMYFUNCTION("GOOGLETRANSLATE(B9436,""en"",""es-ES"")"),"Se detiene para bailar, luego vuelve a tocar mientras aplauden y animan.")</f>
        <v>Se detiene para bailar, luego vuelve a tocar mientras aplauden y animan.</v>
      </c>
    </row>
    <row r="9437">
      <c r="A9437" s="4" t="s">
        <v>11874</v>
      </c>
      <c r="B9437" s="4" t="s">
        <v>11875</v>
      </c>
      <c r="C9437" s="5" t="str">
        <f>IFERROR(__xludf.DUMMYFUNCTION("GOOGLETRANSLATE(B9437,""en"",""es-ES"")"),"Hay dos mujeres vestidas con camisetas sin mangas negras y azules que demuestran cómo usar el hula hoop.")</f>
        <v>Hay dos mujeres vestidas con camisetas sin mangas negras y azules que demuestran cómo usar el hula hoop.</v>
      </c>
    </row>
    <row r="9438">
      <c r="A9438" s="4" t="s">
        <v>11874</v>
      </c>
      <c r="B9438" s="4" t="s">
        <v>11876</v>
      </c>
      <c r="C9438" s="5" t="str">
        <f>IFERROR(__xludf.DUMMYFUNCTION("GOOGLETRANSLATE(B9438,""en"",""es-ES"")"),"Ambos comienzan a girar con Hula Hoops azul y plateado.")</f>
        <v>Ambos comienzan a girar con Hula Hoops azul y plateado.</v>
      </c>
    </row>
    <row r="9439">
      <c r="A9439" s="4" t="s">
        <v>11874</v>
      </c>
      <c r="B9439" s="4" t="s">
        <v>11877</v>
      </c>
      <c r="C9439" s="5" t="str">
        <f>IFERROR(__xludf.DUMMYFUNCTION("GOOGLETRANSLATE(B9439,""en"",""es-ES"")"),"Están en una habitación espaciosa con pequeños muebles y pisos de madera.")</f>
        <v>Están en una habitación espaciosa con pequeños muebles y pisos de madera.</v>
      </c>
    </row>
    <row r="9440">
      <c r="A9440" s="4" t="s">
        <v>11874</v>
      </c>
      <c r="B9440" s="4" t="s">
        <v>11878</v>
      </c>
      <c r="C9440" s="5" t="str">
        <f>IFERROR(__xludf.DUMMYFUNCTION("GOOGLETRANSLATE(B9440,""en"",""es-ES"")"),"La mujer en la camiseta del tanque azul muestra cómo hula hoop en movimiento rápido.")</f>
        <v>La mujer en la camiseta del tanque azul muestra cómo hula hoop en movimiento rápido.</v>
      </c>
    </row>
    <row r="9441">
      <c r="A9441" s="4" t="s">
        <v>11874</v>
      </c>
      <c r="B9441" s="4" t="s">
        <v>11879</v>
      </c>
      <c r="C9441" s="5" t="str">
        <f>IFERROR(__xludf.DUMMYFUNCTION("GOOGLETRANSLATE(B9441,""en"",""es-ES"")"),"Luego, ambas mujeres muestran cómo girar el aro levantándolo en lo alto de sus cabezas.")</f>
        <v>Luego, ambas mujeres muestran cómo girar el aro levantándolo en lo alto de sus cabezas.</v>
      </c>
    </row>
    <row r="9442">
      <c r="A9442" s="4" t="s">
        <v>11874</v>
      </c>
      <c r="B9442" s="4" t="s">
        <v>11880</v>
      </c>
      <c r="C9442" s="5" t="str">
        <f>IFERROR(__xludf.DUMMYFUNCTION("GOOGLETRANSLATE(B9442,""en"",""es-ES"")"),"Se doblan la espalda para bajarse a medida que continúan con Hula Hoop.")</f>
        <v>Se doblan la espalda para bajarse a medida que continúan con Hula Hoop.</v>
      </c>
    </row>
    <row r="9443">
      <c r="A9443" s="4" t="s">
        <v>11874</v>
      </c>
      <c r="B9443" s="4" t="s">
        <v>11881</v>
      </c>
      <c r="C9443" s="5" t="str">
        <f>IFERROR(__xludf.DUMMYFUNCTION("GOOGLETRANSLATE(B9443,""en"",""es-ES"")"),"Hablan entre sí mientras comparten consejos sobre formas de hula hoop.")</f>
        <v>Hablan entre sí mientras comparten consejos sobre formas de hula hoop.</v>
      </c>
    </row>
    <row r="9444">
      <c r="A9444" s="4" t="s">
        <v>11882</v>
      </c>
      <c r="B9444" s="4" t="s">
        <v>11883</v>
      </c>
      <c r="C9444" s="5" t="str">
        <f>IFERROR(__xludf.DUMMYFUNCTION("GOOGLETRANSLATE(B9444,""en"",""es-ES"")"),"Los hombres se turnan para cortar un registro en dos.")</f>
        <v>Los hombres se turnan para cortar un registro en dos.</v>
      </c>
    </row>
    <row r="9445">
      <c r="A9445" s="4" t="s">
        <v>11882</v>
      </c>
      <c r="B9445" s="4" t="s">
        <v>11884</v>
      </c>
      <c r="C9445" s="5" t="str">
        <f>IFERROR(__xludf.DUMMYFUNCTION("GOOGLETRANSLATE(B9445,""en"",""es-ES"")"),"El corte una y otra vez.")</f>
        <v>El corte una y otra vez.</v>
      </c>
    </row>
    <row r="9446">
      <c r="A9446" s="4" t="s">
        <v>11882</v>
      </c>
      <c r="B9446" s="4" t="s">
        <v>11885</v>
      </c>
      <c r="C9446" s="5" t="str">
        <f>IFERROR(__xludf.DUMMYFUNCTION("GOOGLETRANSLATE(B9446,""en"",""es-ES"")"),"El registro se rompe en dos.")</f>
        <v>El registro se rompe en dos.</v>
      </c>
    </row>
    <row r="9447">
      <c r="A9447" s="4" t="s">
        <v>11886</v>
      </c>
      <c r="B9447" s="4" t="s">
        <v>11887</v>
      </c>
      <c r="C9447" s="5" t="str">
        <f>IFERROR(__xludf.DUMMYFUNCTION("GOOGLETRANSLATE(B9447,""en"",""es-ES"")"),"Una mujer que lleva un delantal bronceado está sosteniendo un cuchillo y hablando.")</f>
        <v>Una mujer que lleva un delantal bronceado está sosteniendo un cuchillo y hablando.</v>
      </c>
    </row>
    <row r="9448">
      <c r="A9448" s="4" t="s">
        <v>11886</v>
      </c>
      <c r="B9448" s="4" t="s">
        <v>11888</v>
      </c>
      <c r="C9448" s="5" t="str">
        <f>IFERROR(__xludf.DUMMYFUNCTION("GOOGLETRANSLATE(B9448,""en"",""es-ES"")"),"Luego muestra un aparato sobre la mesa y lo inclina hacia arriba.")</f>
        <v>Luego muestra un aparato sobre la mesa y lo inclina hacia arriba.</v>
      </c>
    </row>
    <row r="9449">
      <c r="A9449" s="4" t="s">
        <v>11886</v>
      </c>
      <c r="B9449" s="4" t="s">
        <v>11889</v>
      </c>
      <c r="C9449" s="5" t="str">
        <f>IFERROR(__xludf.DUMMYFUNCTION("GOOGLETRANSLATE(B9449,""en"",""es-ES"")"),"Ella gira un dial en el dispositivo y lo vuelve a colocar.")</f>
        <v>Ella gira un dial en el dispositivo y lo vuelve a colocar.</v>
      </c>
    </row>
    <row r="9450">
      <c r="A9450" s="4" t="s">
        <v>11886</v>
      </c>
      <c r="B9450" s="4" t="s">
        <v>11890</v>
      </c>
      <c r="C9450" s="5" t="str">
        <f>IFERROR(__xludf.DUMMYFUNCTION("GOOGLETRANSLATE(B9450,""en"",""es-ES"")"),"Ella recoge el cuchillo y lo coloca en el aparato.")</f>
        <v>Ella recoge el cuchillo y lo coloca en el aparato.</v>
      </c>
    </row>
    <row r="9451">
      <c r="A9451" s="4" t="s">
        <v>11886</v>
      </c>
      <c r="B9451" s="4" t="s">
        <v>11891</v>
      </c>
      <c r="C9451" s="5" t="str">
        <f>IFERROR(__xludf.DUMMYFUNCTION("GOOGLETRANSLATE(B9451,""en"",""es-ES"")"),"Ella vuelve el dial nuevamente en el dispositivo.")</f>
        <v>Ella vuelve el dial nuevamente en el dispositivo.</v>
      </c>
    </row>
    <row r="9452">
      <c r="A9452" s="4" t="s">
        <v>11886</v>
      </c>
      <c r="B9452" s="4" t="s">
        <v>11892</v>
      </c>
      <c r="C9452" s="5" t="str">
        <f>IFERROR(__xludf.DUMMYFUNCTION("GOOGLETRANSLATE(B9452,""en"",""es-ES"")"),"Ella recoge el cuchillo y lo coloca en el aparato y lo retira lentamente varias veces.")</f>
        <v>Ella recoge el cuchillo y lo coloca en el aparato y lo retira lentamente varias veces.</v>
      </c>
    </row>
    <row r="9453">
      <c r="A9453" s="4" t="s">
        <v>11886</v>
      </c>
      <c r="B9453" s="4" t="s">
        <v>11893</v>
      </c>
      <c r="C9453" s="5" t="str">
        <f>IFERROR(__xludf.DUMMYFUNCTION("GOOGLETRANSLATE(B9453,""en"",""es-ES"")"),"Ella corta un tomate en un bloque de madera con el cuchillo.")</f>
        <v>Ella corta un tomate en un bloque de madera con el cuchillo.</v>
      </c>
    </row>
    <row r="9454">
      <c r="A9454" s="4" t="s">
        <v>11886</v>
      </c>
      <c r="B9454" s="4" t="s">
        <v>11894</v>
      </c>
      <c r="C9454" s="5" t="str">
        <f>IFERROR(__xludf.DUMMYFUNCTION("GOOGLETRANSLATE(B9454,""en"",""es-ES"")"),"Ella agarra un segundo cuchillo y lo pone en el aparato.")</f>
        <v>Ella agarra un segundo cuchillo y lo pone en el aparato.</v>
      </c>
    </row>
    <row r="9455">
      <c r="A9455" s="4" t="s">
        <v>11895</v>
      </c>
      <c r="B9455" s="4" t="s">
        <v>11896</v>
      </c>
      <c r="C9455" s="5" t="str">
        <f>IFERROR(__xludf.DUMMYFUNCTION("GOOGLETRANSLATE(B9455,""en"",""es-ES"")"),"Se muestra un primer plano de seto seguido por un hombre que entra en marcos con herramientas y que comienza a cortar el seto.")</f>
        <v>Se muestra un primer plano de seto seguido por un hombre que entra en marcos con herramientas y que comienza a cortar el seto.</v>
      </c>
    </row>
    <row r="9456">
      <c r="A9456" s="4" t="s">
        <v>11895</v>
      </c>
      <c r="B9456" s="4" t="s">
        <v>11897</v>
      </c>
      <c r="C9456" s="5" t="str">
        <f>IFERROR(__xludf.DUMMYFUNCTION("GOOGLETRANSLATE(B9456,""en"",""es-ES"")"),"El hombre continúa cortando a lo largo del seto mientras se mueve dentro y fuera del marco.")</f>
        <v>El hombre continúa cortando a lo largo del seto mientras se mueve dentro y fuera del marco.</v>
      </c>
    </row>
    <row r="9457">
      <c r="A9457" s="4" t="s">
        <v>11898</v>
      </c>
      <c r="B9457" s="4" t="s">
        <v>11899</v>
      </c>
      <c r="C9457" s="5" t="str">
        <f>IFERROR(__xludf.DUMMYFUNCTION("GOOGLETRANSLATE(B9457,""en"",""es-ES"")"),"Vemos a un hombre en un patio rastrillando con un título en la pantalla.")</f>
        <v>Vemos a un hombre en un patio rastrillando con un título en la pantalla.</v>
      </c>
    </row>
    <row r="9458">
      <c r="A9458" s="4" t="s">
        <v>11898</v>
      </c>
      <c r="B9458" s="4" t="s">
        <v>11900</v>
      </c>
      <c r="C9458" s="5" t="str">
        <f>IFERROR(__xludf.DUMMYFUNCTION("GOOGLETRANSLATE(B9458,""en"",""es-ES"")"),"Vemos un tronco de árbol y las hojas caen.")</f>
        <v>Vemos un tronco de árbol y las hojas caen.</v>
      </c>
    </row>
    <row r="9459">
      <c r="A9459" s="4" t="s">
        <v>11898</v>
      </c>
      <c r="B9459" s="4" t="s">
        <v>11901</v>
      </c>
      <c r="C9459" s="5" t="str">
        <f>IFERROR(__xludf.DUMMYFUNCTION("GOOGLETRANSLATE(B9459,""en"",""es-ES"")"),"Vemos al hombre hablando y vemos el patio mientras raspa.")</f>
        <v>Vemos al hombre hablando y vemos el patio mientras raspa.</v>
      </c>
    </row>
    <row r="9460">
      <c r="A9460" s="4" t="s">
        <v>11898</v>
      </c>
      <c r="B9460" s="4" t="s">
        <v>11902</v>
      </c>
      <c r="C9460" s="5" t="str">
        <f>IFERROR(__xludf.DUMMYFUNCTION("GOOGLETRANSLATE(B9460,""en"",""es-ES"")"),"Luego vemos al hombre mientras lo sopla con un soplador de hojas y un vacío.")</f>
        <v>Luego vemos al hombre mientras lo sopla con un soplador de hojas y un vacío.</v>
      </c>
    </row>
    <row r="9461">
      <c r="A9461" s="4" t="s">
        <v>11903</v>
      </c>
      <c r="B9461" s="4" t="s">
        <v>11904</v>
      </c>
      <c r="C9461" s="5" t="str">
        <f>IFERROR(__xludf.DUMMYFUNCTION("GOOGLETRANSLATE(B9461,""en"",""es-ES"")"),"Varias imágenes de perros se muestran afuera en el campo.")</f>
        <v>Varias imágenes de perros se muestran afuera en el campo.</v>
      </c>
    </row>
    <row r="9462">
      <c r="A9462" s="4" t="s">
        <v>11903</v>
      </c>
      <c r="B9462" s="4" t="s">
        <v>11905</v>
      </c>
      <c r="C9462" s="5" t="str">
        <f>IFERROR(__xludf.DUMMYFUNCTION("GOOGLETRANSLATE(B9462,""en"",""es-ES"")"),"Una mujer joven aparece en un campo cubierto de hierba y juega con su perro y le arroja un frisbee rojo.")</f>
        <v>Una mujer joven aparece en un campo cubierto de hierba y juega con su perro y le arroja un frisbee rojo.</v>
      </c>
    </row>
    <row r="9463">
      <c r="A9463" s="4" t="s">
        <v>11903</v>
      </c>
      <c r="B9463" s="4" t="s">
        <v>11906</v>
      </c>
      <c r="C9463" s="5" t="str">
        <f>IFERROR(__xludf.DUMMYFUNCTION("GOOGLETRANSLATE(B9463,""en"",""es-ES"")"),"La niña luego se arrodilla en la hierba y sostiene el frisbee sobre su cabeza y felicita a su perro a medida que se completa el truco y continúan haciéndolo una y otra vez.")</f>
        <v>La niña luego se arrodilla en la hierba y sostiene el frisbee sobre su cabeza y felicita a su perro a medida que se completa el truco y continúan haciéndolo una y otra vez.</v>
      </c>
    </row>
    <row r="9464">
      <c r="A9464" s="4" t="s">
        <v>11907</v>
      </c>
      <c r="B9464" s="4" t="s">
        <v>11908</v>
      </c>
      <c r="C9464" s="5" t="str">
        <f>IFERROR(__xludf.DUMMYFUNCTION("GOOGLETRANSLATE(B9464,""en"",""es-ES"")"),"Un niño se arrodilla afuera y se lava la cara y las manos de los pequeños platos, frente a él, lleno de agua y jabón.")</f>
        <v>Un niño se arrodilla afuera y se lava la cara y las manos de los pequeños platos, frente a él, lleno de agua y jabón.</v>
      </c>
    </row>
    <row r="9465">
      <c r="A9465" s="4" t="s">
        <v>11907</v>
      </c>
      <c r="B9465" s="4" t="s">
        <v>11909</v>
      </c>
      <c r="C9465" s="5" t="str">
        <f>IFERROR(__xludf.DUMMYFUNCTION("GOOGLETRANSLATE(B9465,""en"",""es-ES"")"),"Un niño se arrodilla en una esquina de un patio al aire libre frente a una fila de tazones.")</f>
        <v>Un niño se arrodilla en una esquina de un patio al aire libre frente a una fila de tazones.</v>
      </c>
    </row>
    <row r="9466">
      <c r="A9466" s="4" t="s">
        <v>11907</v>
      </c>
      <c r="B9466" s="4" t="s">
        <v>11910</v>
      </c>
      <c r="C9466" s="5" t="str">
        <f>IFERROR(__xludf.DUMMYFUNCTION("GOOGLETRANSLATE(B9466,""en"",""es-ES"")"),"El niño salpica agua en su rostro y se toca las manos con agua jabonosa de los platos.")</f>
        <v>El niño salpica agua en su rostro y se toca las manos con agua jabonosa de los platos.</v>
      </c>
    </row>
    <row r="9467">
      <c r="A9467" s="4" t="s">
        <v>11907</v>
      </c>
      <c r="B9467" s="4" t="s">
        <v>11911</v>
      </c>
      <c r="C9467" s="5" t="str">
        <f>IFERROR(__xludf.DUMMYFUNCTION("GOOGLETRANSLATE(B9467,""en"",""es-ES"")"),"El niño continúa lavándose la cara como una mujer con una prenda de vestir de color claro que pasa junto a él.")</f>
        <v>El niño continúa lavándose la cara como una mujer con una prenda de vestir de color claro que pasa junto a él.</v>
      </c>
    </row>
    <row r="9468">
      <c r="A9468" s="4" t="s">
        <v>11912</v>
      </c>
      <c r="B9468" s="4" t="s">
        <v>11913</v>
      </c>
      <c r="C9468" s="5" t="str">
        <f>IFERROR(__xludf.DUMMYFUNCTION("GOOGLETRANSLATE(B9468,""en"",""es-ES"")"),"Una persona usa una hoja sopla y sopla hojas.")</f>
        <v>Una persona usa una hoja sopla y sopla hojas.</v>
      </c>
    </row>
    <row r="9469">
      <c r="A9469" s="4" t="s">
        <v>11912</v>
      </c>
      <c r="B9469" s="4" t="s">
        <v>11914</v>
      </c>
      <c r="C9469" s="5" t="str">
        <f>IFERROR(__xludf.DUMMYFUNCTION("GOOGLETRANSLATE(B9469,""en"",""es-ES"")"),"El perro corre hacia la derecha y fuera del camino.")</f>
        <v>El perro corre hacia la derecha y fuera del camino.</v>
      </c>
    </row>
    <row r="9470">
      <c r="A9470" s="4" t="s">
        <v>11912</v>
      </c>
      <c r="B9470" s="4" t="s">
        <v>11915</v>
      </c>
      <c r="C9470" s="5" t="str">
        <f>IFERROR(__xludf.DUMMYFUNCTION("GOOGLETRANSLATE(B9470,""en"",""es-ES"")"),"El perro corre hacia atrás y fuerte frente al soplador de la hoja.")</f>
        <v>El perro corre hacia atrás y fuerte frente al soplador de la hoja.</v>
      </c>
    </row>
    <row r="9471">
      <c r="A9471" s="4" t="s">
        <v>11916</v>
      </c>
      <c r="B9471" s="4" t="s">
        <v>11917</v>
      </c>
      <c r="C9471" s="5" t="str">
        <f>IFERROR(__xludf.DUMMYFUNCTION("GOOGLETRANSLATE(B9471,""en"",""es-ES"")"),"Dos ñus bloquean cuernos en una lucha por el dominio.")</f>
        <v>Dos ñus bloquean cuernos en una lucha por el dominio.</v>
      </c>
    </row>
    <row r="9472">
      <c r="A9472" s="4" t="s">
        <v>11916</v>
      </c>
      <c r="B9472" s="4" t="s">
        <v>11918</v>
      </c>
      <c r="C9472" s="5" t="str">
        <f>IFERROR(__xludf.DUMMYFUNCTION("GOOGLETRANSLATE(B9472,""en"",""es-ES"")"),"La pelea continúa con el resto del rebaño de ñus mirando.")</f>
        <v>La pelea continúa con el resto del rebaño de ñus mirando.</v>
      </c>
    </row>
    <row r="9473">
      <c r="A9473" s="4" t="s">
        <v>11916</v>
      </c>
      <c r="B9473" s="4" t="s">
        <v>11919</v>
      </c>
      <c r="C9473" s="5" t="str">
        <f>IFERROR(__xludf.DUMMYFUNCTION("GOOGLETRANSLATE(B9473,""en"",""es-ES"")"),"La pelea continúa mientras un Wildabeast empuja al otro lejos del rebaño cerca de un río.")</f>
        <v>La pelea continúa mientras un Wildabeast empuja al otro lejos del rebaño cerca de un río.</v>
      </c>
    </row>
    <row r="9474">
      <c r="A9474" s="4" t="s">
        <v>11916</v>
      </c>
      <c r="B9474" s="4" t="s">
        <v>11920</v>
      </c>
      <c r="C9474" s="5" t="str">
        <f>IFERROR(__xludf.DUMMYFUNCTION("GOOGLETRANSLATE(B9474,""en"",""es-ES"")"),"Un ñu se da por vencido y se escapa como los otros persecuciones.")</f>
        <v>Un ñu se da por vencido y se escapa como los otros persecuciones.</v>
      </c>
    </row>
    <row r="9475">
      <c r="A9475" s="4" t="s">
        <v>11921</v>
      </c>
      <c r="B9475" s="4" t="s">
        <v>11922</v>
      </c>
      <c r="C9475" s="5" t="str">
        <f>IFERROR(__xludf.DUMMYFUNCTION("GOOGLETRANSLATE(B9475,""en"",""es-ES"")"),"Las manos de una persona se ven en una mesa de póker agarrando cartas mientras otra trata.")</f>
        <v>Las manos de una persona se ven en una mesa de póker agarrando cartas mientras otra trata.</v>
      </c>
    </row>
    <row r="9476">
      <c r="A9476" s="4" t="s">
        <v>11921</v>
      </c>
      <c r="B9476" s="4" t="s">
        <v>11923</v>
      </c>
      <c r="C9476" s="5" t="str">
        <f>IFERROR(__xludf.DUMMYFUNCTION("GOOGLETRANSLATE(B9476,""en"",""es-ES"")"),"El concesionario arroja continuamente cartas mientras coloca chips.")</f>
        <v>El concesionario arroja continuamente cartas mientras coloca chips.</v>
      </c>
    </row>
    <row r="9477">
      <c r="A9477" s="4" t="s">
        <v>11921</v>
      </c>
      <c r="B9477" s="4" t="s">
        <v>11924</v>
      </c>
      <c r="C9477" s="5" t="str">
        <f>IFERROR(__xludf.DUMMYFUNCTION("GOOGLETRANSLATE(B9477,""en"",""es-ES"")"),"La persona que juega hace lo mismo varias veces.")</f>
        <v>La persona que juega hace lo mismo varias veces.</v>
      </c>
    </row>
    <row r="9478">
      <c r="A9478" s="4" t="s">
        <v>11925</v>
      </c>
      <c r="B9478" s="4" t="s">
        <v>11926</v>
      </c>
      <c r="C9478" s="5" t="str">
        <f>IFERROR(__xludf.DUMMYFUNCTION("GOOGLETRANSLATE(B9478,""en"",""es-ES"")"),"Una introducción conduce a un caballo atado a un ternero con un hombre que ataca una cuerda alrededor del animal.")</f>
        <v>Una introducción conduce a un caballo atado a un ternero con un hombre que ataca una cuerda alrededor del animal.</v>
      </c>
    </row>
    <row r="9479">
      <c r="A9479" s="4" t="s">
        <v>11925</v>
      </c>
      <c r="B9479" s="4" t="s">
        <v>11927</v>
      </c>
      <c r="C9479" s="5" t="str">
        <f>IFERROR(__xludf.DUMMYFUNCTION("GOOGLETRANSLATE(B9479,""en"",""es-ES"")"),"Luego se muestra a un hombre siendo entrevistado en la cámara, así como una otra mujer a su lado.")</f>
        <v>Luego se muestra a un hombre siendo entrevistado en la cámara, así como una otra mujer a su lado.</v>
      </c>
    </row>
    <row r="9480">
      <c r="A9480" s="4" t="s">
        <v>11928</v>
      </c>
      <c r="B9480" s="4" t="s">
        <v>11929</v>
      </c>
      <c r="C9480" s="5" t="str">
        <f>IFERROR(__xludf.DUMMYFUNCTION("GOOGLETRANSLATE(B9480,""en"",""es-ES"")"),"Un hombre que lleva una camisa fantasma está jugando un juego de cerveza pong.")</f>
        <v>Un hombre que lleva una camisa fantasma está jugando un juego de cerveza pong.</v>
      </c>
    </row>
    <row r="9481">
      <c r="A9481" s="4" t="s">
        <v>11928</v>
      </c>
      <c r="B9481" s="4" t="s">
        <v>11930</v>
      </c>
      <c r="C9481" s="5" t="str">
        <f>IFERROR(__xludf.DUMMYFUNCTION("GOOGLETRANSLATE(B9481,""en"",""es-ES"")"),"Alinea cuatro tazas, arrojando las bolas a las tazas.")</f>
        <v>Alinea cuatro tazas, arrojando las bolas a las tazas.</v>
      </c>
    </row>
    <row r="9482">
      <c r="A9482" s="4" t="s">
        <v>11928</v>
      </c>
      <c r="B9482" s="4" t="s">
        <v>11931</v>
      </c>
      <c r="C9482" s="5" t="str">
        <f>IFERROR(__xludf.DUMMYFUNCTION("GOOGLETRANSLATE(B9482,""en"",""es-ES"")"),"Continúa hasta que todas las bolas hayan entrado perfectamente en las tazas.")</f>
        <v>Continúa hasta que todas las bolas hayan entrado perfectamente en las tazas.</v>
      </c>
    </row>
    <row r="9483">
      <c r="A9483" s="4" t="s">
        <v>11932</v>
      </c>
      <c r="B9483" s="4" t="s">
        <v>11933</v>
      </c>
      <c r="C9483" s="5" t="str">
        <f>IFERROR(__xludf.DUMMYFUNCTION("GOOGLETRANSLATE(B9483,""en"",""es-ES"")"),"Se ve a un grupo de hombres parados unos a otros en una playa mientras hablan y se ríen unos a otros.")</f>
        <v>Se ve a un grupo de hombres parados unos a otros en una playa mientras hablan y se ríen unos a otros.</v>
      </c>
    </row>
    <row r="9484">
      <c r="A9484" s="4" t="s">
        <v>11932</v>
      </c>
      <c r="B9484" s="4" t="s">
        <v>11934</v>
      </c>
      <c r="C9484" s="5" t="str">
        <f>IFERROR(__xludf.DUMMYFUNCTION("GOOGLETRANSLATE(B9484,""en"",""es-ES"")"),"Luego, los hombres comienzan a poner protector solar el uno al otro en una línea.")</f>
        <v>Luego, los hombres comienzan a poner protector solar el uno al otro en una línea.</v>
      </c>
    </row>
    <row r="9485">
      <c r="A9485" s="4" t="s">
        <v>11935</v>
      </c>
      <c r="B9485" s="4" t="s">
        <v>11936</v>
      </c>
      <c r="C9485" s="5" t="str">
        <f>IFERROR(__xludf.DUMMYFUNCTION("GOOGLETRANSLATE(B9485,""en"",""es-ES"")"),"Se muestra un edificio alto con una torre.")</f>
        <v>Se muestra un edificio alto con una torre.</v>
      </c>
    </row>
    <row r="9486">
      <c r="A9486" s="4" t="s">
        <v>11935</v>
      </c>
      <c r="B9486" s="4" t="s">
        <v>11937</v>
      </c>
      <c r="C9486" s="5" t="str">
        <f>IFERROR(__xludf.DUMMYFUNCTION("GOOGLETRANSLATE(B9486,""en"",""es-ES"")"),"La gente aplaude a las personas que saltan de la parte superior del edificio.")</f>
        <v>La gente aplaude a las personas que saltan de la parte superior del edificio.</v>
      </c>
    </row>
    <row r="9487">
      <c r="A9487" s="4" t="s">
        <v>11938</v>
      </c>
      <c r="B9487" s="4" t="s">
        <v>11939</v>
      </c>
      <c r="C9487" s="5" t="str">
        <f>IFERROR(__xludf.DUMMYFUNCTION("GOOGLETRANSLATE(B9487,""en"",""es-ES"")"),"Una mujer envuelve varios regalos de Navidad.")</f>
        <v>Una mujer envuelve varios regalos de Navidad.</v>
      </c>
    </row>
    <row r="9488">
      <c r="A9488" s="4" t="s">
        <v>11938</v>
      </c>
      <c r="B9488" s="4" t="s">
        <v>11940</v>
      </c>
      <c r="C9488" s="5" t="str">
        <f>IFERROR(__xludf.DUMMYFUNCTION("GOOGLETRANSLATE(B9488,""en"",""es-ES"")"),"Una mujer sonríe y corta un papel de envoltura con una tijera.")</f>
        <v>Una mujer sonríe y corta un papel de envoltura con una tijera.</v>
      </c>
    </row>
    <row r="9489">
      <c r="A9489" s="4" t="s">
        <v>11938</v>
      </c>
      <c r="B9489" s="4" t="s">
        <v>11941</v>
      </c>
      <c r="C9489" s="5" t="str">
        <f>IFERROR(__xludf.DUMMYFUNCTION("GOOGLETRANSLATE(B9489,""en"",""es-ES"")"),"La mujer coloca un oso de peluche en un tazón.")</f>
        <v>La mujer coloca un oso de peluche en un tazón.</v>
      </c>
    </row>
    <row r="9490">
      <c r="A9490" s="4" t="s">
        <v>11938</v>
      </c>
      <c r="B9490" s="4" t="s">
        <v>11942</v>
      </c>
      <c r="C9490" s="5" t="str">
        <f>IFERROR(__xludf.DUMMYFUNCTION("GOOGLETRANSLATE(B9490,""en"",""es-ES"")"),"Una mujer pone dos regalos de cristal en una caja blanca y rosa.")</f>
        <v>Una mujer pone dos regalos de cristal en una caja blanca y rosa.</v>
      </c>
    </row>
    <row r="9491">
      <c r="A9491" s="4" t="s">
        <v>11938</v>
      </c>
      <c r="B9491" s="4" t="s">
        <v>11943</v>
      </c>
      <c r="C9491" s="5" t="str">
        <f>IFERROR(__xludf.DUMMYFUNCTION("GOOGLETRANSLATE(B9491,""en"",""es-ES"")"),"Una mujer levanta un regalo cubierto envuelto en papel de envoltura plateado.")</f>
        <v>Una mujer levanta un regalo cubierto envuelto en papel de envoltura plateado.</v>
      </c>
    </row>
    <row r="9492">
      <c r="A9492" s="4" t="s">
        <v>11938</v>
      </c>
      <c r="B9492" s="4" t="s">
        <v>11944</v>
      </c>
      <c r="C9492" s="5" t="str">
        <f>IFERROR(__xludf.DUMMYFUNCTION("GOOGLETRANSLATE(B9492,""en"",""es-ES"")"),"Una mujer coloca un joyero en una caja.")</f>
        <v>Una mujer coloca un joyero en una caja.</v>
      </c>
    </row>
    <row r="9493">
      <c r="A9493" s="4" t="s">
        <v>11938</v>
      </c>
      <c r="B9493" s="4" t="s">
        <v>11945</v>
      </c>
      <c r="C9493" s="5" t="str">
        <f>IFERROR(__xludf.DUMMYFUNCTION("GOOGLETRANSLATE(B9493,""en"",""es-ES"")"),"La mujer presenta un tazón de oro.")</f>
        <v>La mujer presenta un tazón de oro.</v>
      </c>
    </row>
    <row r="9494">
      <c r="A9494" s="4" t="s">
        <v>11938</v>
      </c>
      <c r="B9494" s="4" t="s">
        <v>11946</v>
      </c>
      <c r="C9494" s="5" t="str">
        <f>IFERROR(__xludf.DUMMYFUNCTION("GOOGLETRANSLATE(B9494,""en"",""es-ES"")"),"La mujer extiende regalos acumulados y envueltos con las manos.")</f>
        <v>La mujer extiende regalos acumulados y envueltos con las manos.</v>
      </c>
    </row>
    <row r="9495">
      <c r="A9495" s="4" t="s">
        <v>11938</v>
      </c>
      <c r="B9495" s="4" t="s">
        <v>11947</v>
      </c>
      <c r="C9495" s="5" t="str">
        <f>IFERROR(__xludf.DUMMYFUNCTION("GOOGLETRANSLATE(B9495,""en"",""es-ES"")"),"La mujer sopla papeles brillantes de la palma de su mano.")</f>
        <v>La mujer sopla papeles brillantes de la palma de su mano.</v>
      </c>
    </row>
    <row r="9496">
      <c r="A9496" s="4" t="s">
        <v>11938</v>
      </c>
      <c r="B9496" s="4" t="s">
        <v>11948</v>
      </c>
      <c r="C9496" s="5" t="str">
        <f>IFERROR(__xludf.DUMMYFUNCTION("GOOGLETRANSLATE(B9496,""en"",""es-ES"")"),"El patrocinador de los clips se introduce y se muestra en la pantalla.")</f>
        <v>El patrocinador de los clips se introduce y se muestra en la pantalla.</v>
      </c>
    </row>
    <row r="9497">
      <c r="A9497" s="4" t="s">
        <v>11949</v>
      </c>
      <c r="B9497" s="4" t="s">
        <v>11950</v>
      </c>
      <c r="C9497" s="5" t="str">
        <f>IFERROR(__xludf.DUMMYFUNCTION("GOOGLETRANSLATE(B9497,""en"",""es-ES"")"),"Hay un hombre que lleva una camisa gráfica blanca, sentada con tambores de bongo tocando un ritmo en la batería.")</f>
        <v>Hay un hombre que lleva una camisa gráfica blanca, sentada con tambores de bongo tocando un ritmo en la batería.</v>
      </c>
    </row>
    <row r="9498">
      <c r="A9498" s="4" t="s">
        <v>11949</v>
      </c>
      <c r="B9498" s="4" t="s">
        <v>11951</v>
      </c>
      <c r="C9498" s="5" t="str">
        <f>IFERROR(__xludf.DUMMYFUNCTION("GOOGLETRANSLATE(B9498,""en"",""es-ES"")"),"Lleva auriculares mientras tocan un ritmo en la batería.")</f>
        <v>Lleva auriculares mientras tocan un ritmo en la batería.</v>
      </c>
    </row>
    <row r="9499">
      <c r="A9499" s="4" t="s">
        <v>11949</v>
      </c>
      <c r="B9499" s="4" t="s">
        <v>11952</v>
      </c>
      <c r="C9499" s="5" t="str">
        <f>IFERROR(__xludf.DUMMYFUNCTION("GOOGLETRANSLATE(B9499,""en"",""es-ES"")"),"Continúa tocando la batería.")</f>
        <v>Continúa tocando la batería.</v>
      </c>
    </row>
    <row r="9500">
      <c r="A9500" s="4" t="s">
        <v>11949</v>
      </c>
      <c r="B9500" s="4" t="s">
        <v>11953</v>
      </c>
      <c r="C9500" s="5" t="str">
        <f>IFERROR(__xludf.DUMMYFUNCTION("GOOGLETRANSLATE(B9500,""en"",""es-ES"")"),"Después de un tiempo, cambia el ritmo después de detenerse por un poco de tiempo.")</f>
        <v>Después de un tiempo, cambia el ritmo después de detenerse por un poco de tiempo.</v>
      </c>
    </row>
    <row r="9501">
      <c r="A9501" s="4" t="s">
        <v>11949</v>
      </c>
      <c r="B9501" s="4" t="s">
        <v>11954</v>
      </c>
      <c r="C9501" s="5" t="str">
        <f>IFERROR(__xludf.DUMMYFUNCTION("GOOGLETRANSLATE(B9501,""en"",""es-ES"")"),"Luego continúa tocando otro ritmo en la batería.")</f>
        <v>Luego continúa tocando otro ritmo en la batería.</v>
      </c>
    </row>
    <row r="9502">
      <c r="A9502" s="4" t="s">
        <v>11949</v>
      </c>
      <c r="B9502" s="4" t="s">
        <v>11955</v>
      </c>
      <c r="C9502" s="5" t="str">
        <f>IFERROR(__xludf.DUMMYFUNCTION("GOOGLETRANSLATE(B9502,""en"",""es-ES"")"),"Luego se detiene un poco y reorganiza la batería para volver a tocar.")</f>
        <v>Luego se detiene un poco y reorganiza la batería para volver a tocar.</v>
      </c>
    </row>
    <row r="9503">
      <c r="A9503" s="4" t="s">
        <v>11949</v>
      </c>
      <c r="B9503" s="4" t="s">
        <v>11956</v>
      </c>
      <c r="C9503" s="5" t="str">
        <f>IFERROR(__xludf.DUMMYFUNCTION("GOOGLETRANSLATE(B9503,""en"",""es-ES"")"),"Otra persona está tocando ritmos en una batería eléctrica que tiene varios tambores.")</f>
        <v>Otra persona está tocando ritmos en una batería eléctrica que tiene varios tambores.</v>
      </c>
    </row>
    <row r="9504">
      <c r="A9504" s="4" t="s">
        <v>11957</v>
      </c>
      <c r="B9504" s="4" t="s">
        <v>11958</v>
      </c>
      <c r="C9504" s="5" t="str">
        <f>IFERROR(__xludf.DUMMYFUNCTION("GOOGLETRANSLATE(B9504,""en"",""es-ES"")"),"Se ve a un hombre caminando hacia una niña que se encuentra en un escenario y comienza a interpretar artes marciales.")</f>
        <v>Se ve a un hombre caminando hacia una niña que se encuentra en un escenario y comienza a interpretar artes marciales.</v>
      </c>
    </row>
    <row r="9505">
      <c r="A9505" s="4" t="s">
        <v>11957</v>
      </c>
      <c r="B9505" s="4" t="s">
        <v>11959</v>
      </c>
      <c r="C9505" s="5" t="str">
        <f>IFERROR(__xludf.DUMMYFUNCTION("GOOGLETRANSLATE(B9505,""en"",""es-ES"")"),"Al final, realiza varios volteos, trucos y arcos a un hombre mientras todos aplauden por ella.")</f>
        <v>Al final, realiza varios volteos, trucos y arcos a un hombre mientras todos aplauden por ella.</v>
      </c>
    </row>
    <row r="9506">
      <c r="A9506" s="4" t="s">
        <v>11960</v>
      </c>
      <c r="B9506" s="4" t="s">
        <v>11961</v>
      </c>
      <c r="C9506" s="5" t="str">
        <f>IFERROR(__xludf.DUMMYFUNCTION("GOOGLETRANSLATE(B9506,""en"",""es-ES"")"),"El hombre con camisa negra y jeans azules está rodando una vieja alfombra roja y aspira el piso.")</f>
        <v>El hombre con camisa negra y jeans azules está rodando una vieja alfombra roja y aspira el piso.</v>
      </c>
    </row>
    <row r="9507">
      <c r="A9507" s="4" t="s">
        <v>11960</v>
      </c>
      <c r="B9507" s="4" t="s">
        <v>11962</v>
      </c>
      <c r="C9507" s="5" t="str">
        <f>IFERROR(__xludf.DUMMYFUNCTION("GOOGLETRANSLATE(B9507,""en"",""es-ES"")"),"Luego desenrolló la nueva alfombra gris, la instaló cortándola y clavando la alfombra en el piso, quitó el exceso de alfombra en la pared, la aplanó con una herramienta, luego se aspiró una vez que la instalación está completa.")</f>
        <v>Luego desenrolló la nueva alfombra gris, la instaló cortándola y clavando la alfombra en el piso, quitó el exceso de alfombra en la pared, la aplanó con una herramienta, luego se aspiró una vez que la instalación está completa.</v>
      </c>
    </row>
    <row r="9508">
      <c r="A9508" s="4" t="s">
        <v>11963</v>
      </c>
      <c r="B9508" s="4" t="s">
        <v>11964</v>
      </c>
      <c r="C9508" s="5" t="str">
        <f>IFERROR(__xludf.DUMMYFUNCTION("GOOGLETRANSLATE(B9508,""en"",""es-ES"")"),"Una introducción conduce a una cámara que se desplaza alrededor de varios lugares de nieve con personas que se mueven y se mueven en movimiento.")</f>
        <v>Una introducción conduce a una cámara que se desplaza alrededor de varios lugares de nieve con personas que se mueven y se mueven en movimiento.</v>
      </c>
    </row>
    <row r="9509">
      <c r="A9509" s="4" t="s">
        <v>11963</v>
      </c>
      <c r="B9509" s="4" t="s">
        <v>11965</v>
      </c>
      <c r="C9509" s="5" t="str">
        <f>IFERROR(__xludf.DUMMYFUNCTION("GOOGLETRANSLATE(B9509,""en"",""es-ES"")"),"La cámara muestra a varias personas diferentes que se estiran y calientan seguidas de dos personas que se caen y se ponen de pie.")</f>
        <v>La cámara muestra a varias personas diferentes que se estiran y calientan seguidas de dos personas que se caen y se ponen de pie.</v>
      </c>
    </row>
    <row r="9510">
      <c r="A9510" s="4" t="s">
        <v>11963</v>
      </c>
      <c r="B9510" s="4" t="s">
        <v>11966</v>
      </c>
      <c r="C9510" s="5" t="str">
        <f>IFERROR(__xludf.DUMMYFUNCTION("GOOGLETRANSLATE(B9510,""en"",""es-ES"")"),"Se muestran varios clips de los huéspedes de nieve que hacen trucos en una montaña, así como saltos y rutinas.")</f>
        <v>Se muestran varios clips de los huéspedes de nieve que hacen trucos en una montaña, así como saltos y rutinas.</v>
      </c>
    </row>
    <row r="9511">
      <c r="A9511" s="4" t="s">
        <v>11967</v>
      </c>
      <c r="B9511" s="4" t="s">
        <v>11968</v>
      </c>
      <c r="C9511" s="5" t="str">
        <f>IFERROR(__xludf.DUMMYFUNCTION("GOOGLETRANSLATE(B9511,""en"",""es-ES"")"),"Un hombre corre al campo de un juego deportivo.")</f>
        <v>Un hombre corre al campo de un juego deportivo.</v>
      </c>
    </row>
    <row r="9512">
      <c r="A9512" s="4" t="s">
        <v>11967</v>
      </c>
      <c r="B9512" s="4" t="s">
        <v>11969</v>
      </c>
      <c r="C9512" s="5" t="str">
        <f>IFERROR(__xludf.DUMMYFUNCTION("GOOGLETRANSLATE(B9512,""en"",""es-ES"")"),"Los jugadores de cricket son bolas lanzadas durante un juego en un estadio grande.")</f>
        <v>Los jugadores de cricket son bolas lanzadas durante un juego en un estadio grande.</v>
      </c>
    </row>
    <row r="9513">
      <c r="A9513" s="4" t="s">
        <v>11967</v>
      </c>
      <c r="B9513" s="4" t="s">
        <v>11970</v>
      </c>
      <c r="C9513" s="5" t="str">
        <f>IFERROR(__xludf.DUMMYFUNCTION("GOOGLETRANSLATE(B9513,""en"",""es-ES"")"),"El jugador de cricket golpea una mosca pop alta que está atrapada.")</f>
        <v>El jugador de cricket golpea una mosca pop alta que está atrapada.</v>
      </c>
    </row>
    <row r="9514">
      <c r="A9514" s="4" t="s">
        <v>11967</v>
      </c>
      <c r="B9514" s="4" t="s">
        <v>11971</v>
      </c>
      <c r="C9514" s="5" t="str">
        <f>IFERROR(__xludf.DUMMYFUNCTION("GOOGLETRANSLATE(B9514,""en"",""es-ES"")"),"Los jugadores de cricket posan para fotos.")</f>
        <v>Los jugadores de cricket posan para fotos.</v>
      </c>
    </row>
    <row r="9515">
      <c r="A9515" s="4" t="s">
        <v>11967</v>
      </c>
      <c r="B9515" s="4" t="s">
        <v>11972</v>
      </c>
      <c r="C9515" s="5" t="str">
        <f>IFERROR(__xludf.DUMMYFUNCTION("GOOGLETRANSLATE(B9515,""en"",""es-ES"")"),"Todos los jugadores se alinean para una carrera en la pista adyacente.")</f>
        <v>Todos los jugadores se alinean para una carrera en la pista adyacente.</v>
      </c>
    </row>
    <row r="9516">
      <c r="A9516" s="4" t="s">
        <v>11973</v>
      </c>
      <c r="B9516" s="4" t="s">
        <v>11974</v>
      </c>
      <c r="C9516" s="5" t="str">
        <f>IFERROR(__xludf.DUMMYFUNCTION("GOOGLETRANSLATE(B9516,""en"",""es-ES"")"),"Una introducción de texto conduce a varios clips de atletas que arrojan jabalinas a la distancia.")</f>
        <v>Una introducción de texto conduce a varios clips de atletas que arrojan jabalinas a la distancia.</v>
      </c>
    </row>
    <row r="9517">
      <c r="A9517" s="4" t="s">
        <v>11973</v>
      </c>
      <c r="B9517" s="4" t="s">
        <v>11975</v>
      </c>
      <c r="C9517" s="5" t="str">
        <f>IFERROR(__xludf.DUMMYFUNCTION("GOOGLETRANSLATE(B9517,""en"",""es-ES"")"),"El video continúa con varios atletas más mostrados realizando tiros impresionantes con la jabalina.")</f>
        <v>El video continúa con varios atletas más mostrados realizando tiros impresionantes con la jabalina.</v>
      </c>
    </row>
    <row r="9518">
      <c r="A9518" s="4" t="s">
        <v>11976</v>
      </c>
      <c r="B9518" s="4" t="s">
        <v>11977</v>
      </c>
      <c r="C9518" s="5" t="str">
        <f>IFERROR(__xludf.DUMMYFUNCTION("GOOGLETRANSLATE(B9518,""en"",""es-ES"")"),"Un hombre con una chaqueta roja está hablando de una pista de hockey.")</f>
        <v>Un hombre con una chaqueta roja está hablando de una pista de hockey.</v>
      </c>
    </row>
    <row r="9519">
      <c r="A9519" s="4" t="s">
        <v>11976</v>
      </c>
      <c r="B9519" s="4" t="s">
        <v>11978</v>
      </c>
      <c r="C9519" s="5" t="str">
        <f>IFERROR(__xludf.DUMMYFUNCTION("GOOGLETRANSLATE(B9519,""en"",""es-ES"")"),"Varias personas comienzan a jugar hockey en el hielo.")</f>
        <v>Varias personas comienzan a jugar hockey en el hielo.</v>
      </c>
    </row>
    <row r="9520">
      <c r="A9520" s="4" t="s">
        <v>11976</v>
      </c>
      <c r="B9520" s="4" t="s">
        <v>11979</v>
      </c>
      <c r="C9520" s="5" t="str">
        <f>IFERROR(__xludf.DUMMYFUNCTION("GOOGLETRANSLATE(B9520,""en"",""es-ES"")"),"Le da un abrazo a otro jugador.")</f>
        <v>Le da un abrazo a otro jugador.</v>
      </c>
    </row>
    <row r="9521">
      <c r="A9521" s="4" t="s">
        <v>11980</v>
      </c>
      <c r="B9521" s="4" t="s">
        <v>11981</v>
      </c>
      <c r="C9521" s="5" t="str">
        <f>IFERROR(__xludf.DUMMYFUNCTION("GOOGLETRANSLATE(B9521,""en"",""es-ES"")"),"El hombre está montando una moto en un camino polvoriento dentro de una cúpula.")</f>
        <v>El hombre está montando una moto en un camino polvoriento dentro de una cúpula.</v>
      </c>
    </row>
    <row r="9522">
      <c r="A9522" s="4" t="s">
        <v>11980</v>
      </c>
      <c r="B9522" s="4" t="s">
        <v>11982</v>
      </c>
      <c r="C9522" s="5" t="str">
        <f>IFERROR(__xludf.DUMMYFUNCTION("GOOGLETRANSLATE(B9522,""en"",""es-ES"")"),"Las motos están montando bicicletas haciendo motocross en un campo dentro de una cúpula.")</f>
        <v>Las motos están montando bicicletas haciendo motocross en un campo dentro de una cúpula.</v>
      </c>
    </row>
    <row r="9523">
      <c r="A9523" s="4" t="s">
        <v>11980</v>
      </c>
      <c r="B9523" s="4" t="s">
        <v>11983</v>
      </c>
      <c r="C9523" s="5" t="str">
        <f>IFERROR(__xludf.DUMMYFUNCTION("GOOGLETRANSLATE(B9523,""en"",""es-ES"")"),"La gente está en bicicleta en una competencia.")</f>
        <v>La gente está en bicicleta en una competencia.</v>
      </c>
    </row>
    <row r="9524">
      <c r="A9524" s="4" t="s">
        <v>11984</v>
      </c>
      <c r="B9524" s="4" t="s">
        <v>11985</v>
      </c>
      <c r="C9524" s="5" t="str">
        <f>IFERROR(__xludf.DUMMYFUNCTION("GOOGLETRANSLATE(B9524,""en"",""es-ES"")"),"Un hombre se para junto a una pila de herramientas de madera en sus hombros.")</f>
        <v>Un hombre se para junto a una pila de herramientas de madera en sus hombros.</v>
      </c>
    </row>
    <row r="9525">
      <c r="A9525" s="4" t="s">
        <v>11984</v>
      </c>
      <c r="B9525" s="4" t="s">
        <v>11986</v>
      </c>
      <c r="C9525" s="5" t="str">
        <f>IFERROR(__xludf.DUMMYFUNCTION("GOOGLETRANSLATE(B9525,""en"",""es-ES"")"),"El hombre usa un hacha grande para cortar troncos de pie en una zona boscosa cubierta de hierba.")</f>
        <v>El hombre usa un hacha grande para cortar troncos de pie en una zona boscosa cubierta de hierba.</v>
      </c>
    </row>
    <row r="9526">
      <c r="A9526" s="4" t="s">
        <v>11987</v>
      </c>
      <c r="B9526" s="4" t="s">
        <v>11988</v>
      </c>
      <c r="C9526" s="5" t="str">
        <f>IFERROR(__xludf.DUMMYFUNCTION("GOOGLETRANSLATE(B9526,""en"",""es-ES"")"),"Dos hombres están jugando a Ping Pong juntos, un chico lleva un traje negro, el chico del traje negro tiene un estilo único.")</f>
        <v>Dos hombres están jugando a Ping Pong juntos, un chico lleva un traje negro, el chico del traje negro tiene un estilo único.</v>
      </c>
    </row>
    <row r="9527">
      <c r="A9527" s="4" t="s">
        <v>11987</v>
      </c>
      <c r="B9527" s="4" t="s">
        <v>11989</v>
      </c>
      <c r="C9527" s="5" t="str">
        <f>IFERROR(__xludf.DUMMYFUNCTION("GOOGLETRANSLATE(B9527,""en"",""es-ES"")"),"El hombre del traje negro golpea la pelota de ping pong y celebra.")</f>
        <v>El hombre del traje negro golpea la pelota de ping pong y celebra.</v>
      </c>
    </row>
    <row r="9528">
      <c r="A9528" s="4" t="s">
        <v>11987</v>
      </c>
      <c r="B9528" s="4" t="s">
        <v>11990</v>
      </c>
      <c r="C9528" s="5" t="str">
        <f>IFERROR(__xludf.DUMMYFUNCTION("GOOGLETRANSLATE(B9528,""en"",""es-ES"")"),"La escena de la cámara cambia para mostrar a los jugadores desde otra perspectiva, el jugador con el traje negro hace otro pico en la pelota.")</f>
        <v>La escena de la cámara cambia para mostrar a los jugadores desde otra perspectiva, el jugador con el traje negro hace otro pico en la pelota.</v>
      </c>
    </row>
    <row r="9529">
      <c r="A9529" s="4" t="s">
        <v>11987</v>
      </c>
      <c r="B9529" s="4" t="s">
        <v>11991</v>
      </c>
      <c r="C9529" s="5" t="str">
        <f>IFERROR(__xludf.DUMMYFUNCTION("GOOGLETRANSLATE(B9529,""en"",""es-ES"")"),"Ahora dos jugadores proceden a jugar al jugador con el traje negro a la vez, disparó la pelota con ambos jugadores.")</f>
        <v>Ahora dos jugadores proceden a jugar al jugador con el traje negro a la vez, disparó la pelota con ambos jugadores.</v>
      </c>
    </row>
    <row r="9530">
      <c r="A9530" s="4" t="s">
        <v>11987</v>
      </c>
      <c r="B9530" s="4" t="s">
        <v>11992</v>
      </c>
      <c r="C9530" s="5" t="str">
        <f>IFERROR(__xludf.DUMMYFUNCTION("GOOGLETRANSLATE(B9530,""en"",""es-ES"")"),"El hombre en el traje negro está usando nunchucks para jugar Ping Pong, ahora tienen 4 jugadores jugando contra él, el hombre del traje negro se burla de ellos leyendo un libro mientras juega, también detiene las bolas de ping pong, toma un sorbo de Agua "&amp;"y reanuda El hombre comienza a reír de ellos, y los hombres están frustrados.")</f>
        <v>El hombre en el traje negro está usando nunchucks para jugar Ping Pong, ahora tienen 4 jugadores jugando contra él, el hombre del traje negro se burla de ellos leyendo un libro mientras juega, también detiene las bolas de ping pong, toma un sorbo de Agua y reanuda El hombre comienza a reír de ellos, y los hombres están frustrados.</v>
      </c>
    </row>
    <row r="9531">
      <c r="A9531" s="4" t="s">
        <v>11987</v>
      </c>
      <c r="B9531" s="4" t="s">
        <v>11993</v>
      </c>
      <c r="C9531" s="5" t="str">
        <f>IFERROR(__xludf.DUMMYFUNCTION("GOOGLETRANSLATE(B9531,""en"",""es-ES"")"),"Un retador final llega y camina hacia él.")</f>
        <v>Un retador final llega y camina hacia él.</v>
      </c>
    </row>
    <row r="9532">
      <c r="A9532" s="4" t="s">
        <v>11987</v>
      </c>
      <c r="B9532" s="4" t="s">
        <v>11994</v>
      </c>
      <c r="C9532" s="5" t="str">
        <f>IFERROR(__xludf.DUMMYFUNCTION("GOOGLETRANSLATE(B9532,""en"",""es-ES"")"),"El retador arroja la pelota tan fuerte que lo mata.")</f>
        <v>El retador arroja la pelota tan fuerte que lo mata.</v>
      </c>
    </row>
    <row r="9533">
      <c r="A9533" s="4" t="s">
        <v>11995</v>
      </c>
      <c r="B9533" s="4" t="s">
        <v>11996</v>
      </c>
      <c r="C9533" s="5" t="str">
        <f>IFERROR(__xludf.DUMMYFUNCTION("GOOGLETRANSLATE(B9533,""en"",""es-ES"")"),"Dos personas de frente a los discos de empuje delantero en el piso con un palo en un gimnasio.")</f>
        <v>Dos personas de frente a los discos de empuje delantero en el piso con un palo en un gimnasio.</v>
      </c>
    </row>
    <row r="9534">
      <c r="A9534" s="4" t="s">
        <v>11995</v>
      </c>
      <c r="B9534" s="4" t="s">
        <v>11997</v>
      </c>
      <c r="C9534" s="5" t="str">
        <f>IFERROR(__xludf.DUMMYFUNCTION("GOOGLETRANSLATE(B9534,""en"",""es-ES"")"),"Un hombre pasa en el frente un reloj.")</f>
        <v>Un hombre pasa en el frente un reloj.</v>
      </c>
    </row>
    <row r="9535">
      <c r="A9535" s="4" t="s">
        <v>11998</v>
      </c>
      <c r="B9535" s="4" t="s">
        <v>11999</v>
      </c>
      <c r="C9535" s="5" t="str">
        <f>IFERROR(__xludf.DUMMYFUNCTION("GOOGLETRANSLATE(B9535,""en"",""es-ES"")"),"Una dama se sienta y discute, en interiores.")</f>
        <v>Una dama se sienta y discute, en interiores.</v>
      </c>
    </row>
    <row r="9536">
      <c r="A9536" s="4" t="s">
        <v>11998</v>
      </c>
      <c r="B9536" s="4" t="s">
        <v>12000</v>
      </c>
      <c r="C9536" s="5" t="str">
        <f>IFERROR(__xludf.DUMMYFUNCTION("GOOGLETRANSLATE(B9536,""en"",""es-ES"")"),"La señora muestra sus uñas pintadas.")</f>
        <v>La señora muestra sus uñas pintadas.</v>
      </c>
    </row>
    <row r="9537">
      <c r="A9537" s="4" t="s">
        <v>11998</v>
      </c>
      <c r="B9537" s="4" t="s">
        <v>12001</v>
      </c>
      <c r="C9537" s="5" t="str">
        <f>IFERROR(__xludf.DUMMYFUNCTION("GOOGLETRANSLATE(B9537,""en"",""es-ES"")"),"La señora presenta sus esmaltes de uñas.")</f>
        <v>La señora presenta sus esmaltes de uñas.</v>
      </c>
    </row>
    <row r="9538">
      <c r="A9538" s="4" t="s">
        <v>11998</v>
      </c>
      <c r="B9538" s="4" t="s">
        <v>12002</v>
      </c>
      <c r="C9538" s="5" t="str">
        <f>IFERROR(__xludf.DUMMYFUNCTION("GOOGLETRANSLATE(B9538,""en"",""es-ES"")"),"La dama se pinta su uña.")</f>
        <v>La dama se pinta su uña.</v>
      </c>
    </row>
    <row r="9539">
      <c r="A9539" s="4" t="s">
        <v>11998</v>
      </c>
      <c r="B9539" s="4" t="s">
        <v>12003</v>
      </c>
      <c r="C9539" s="5" t="str">
        <f>IFERROR(__xludf.DUMMYFUNCTION("GOOGLETRANSLATE(B9539,""en"",""es-ES"")"),"El pone el esmalte de uñas en una carpeta y los usa para embellecer su uña.")</f>
        <v>El pone el esmalte de uñas en una carpeta y los usa para embellecer su uña.</v>
      </c>
    </row>
    <row r="9540">
      <c r="A9540" s="4" t="s">
        <v>11998</v>
      </c>
      <c r="B9540" s="4" t="s">
        <v>12004</v>
      </c>
      <c r="C9540" s="5" t="str">
        <f>IFERROR(__xludf.DUMMYFUNCTION("GOOGLETRANSLATE(B9540,""en"",""es-ES"")"),"La señora levanta el pie y muestra su calcetín.")</f>
        <v>La señora levanta el pie y muestra su calcetín.</v>
      </c>
    </row>
    <row r="9541">
      <c r="A9541" s="4" t="s">
        <v>11998</v>
      </c>
      <c r="B9541" s="4" t="s">
        <v>1251</v>
      </c>
      <c r="C9541" s="5" t="str">
        <f>IFERROR(__xludf.DUMMYFUNCTION("GOOGLETRANSLATE(B9541,""en"",""es-ES"")"),"Se muestran los créditos del clip.")</f>
        <v>Se muestran los créditos del clip.</v>
      </c>
    </row>
    <row r="9542">
      <c r="A9542" s="4" t="s">
        <v>12005</v>
      </c>
      <c r="B9542" s="4" t="s">
        <v>12006</v>
      </c>
      <c r="C9542" s="5" t="str">
        <f>IFERROR(__xludf.DUMMYFUNCTION("GOOGLETRANSLATE(B9542,""en"",""es-ES"")"),"El tema del video muestra cómo reproducir Foosball.")</f>
        <v>El tema del video muestra cómo reproducir Foosball.</v>
      </c>
    </row>
    <row r="9543">
      <c r="A9543" s="4" t="s">
        <v>12005</v>
      </c>
      <c r="B9543" s="4" t="s">
        <v>12007</v>
      </c>
      <c r="C9543" s="5" t="str">
        <f>IFERROR(__xludf.DUMMYFUNCTION("GOOGLETRANSLATE(B9543,""en"",""es-ES"")"),"Comienza con una pantalla de título.")</f>
        <v>Comienza con una pantalla de título.</v>
      </c>
    </row>
    <row r="9544">
      <c r="A9544" s="4" t="s">
        <v>12005</v>
      </c>
      <c r="B9544" s="4" t="s">
        <v>12008</v>
      </c>
      <c r="C9544" s="5" t="str">
        <f>IFERROR(__xludf.DUMMYFUNCTION("GOOGLETRANSLATE(B9544,""en"",""es-ES"")"),"Luego se muestra un clip de un niño que pone una pelota con forma de globo ocular en una mesa de futbolín.")</f>
        <v>Luego se muestra un clip de un niño que pone una pelota con forma de globo ocular en una mesa de futbolín.</v>
      </c>
    </row>
    <row r="9545">
      <c r="A9545" s="4" t="s">
        <v>12005</v>
      </c>
      <c r="B9545" s="4" t="s">
        <v>12009</v>
      </c>
      <c r="C9545" s="5" t="str">
        <f>IFERROR(__xludf.DUMMYFUNCTION("GOOGLETRANSLATE(B9545,""en"",""es-ES"")"),"Aparece una pantalla con palabras.")</f>
        <v>Aparece una pantalla con palabras.</v>
      </c>
    </row>
    <row r="9546">
      <c r="A9546" s="4" t="s">
        <v>12005</v>
      </c>
      <c r="B9546" s="4" t="s">
        <v>12010</v>
      </c>
      <c r="C9546" s="5" t="str">
        <f>IFERROR(__xludf.DUMMYFUNCTION("GOOGLETRANSLATE(B9546,""en"",""es-ES"")"),"Luego, se muestra un clip de dos niños que juegan con la mesa de futbolín, uno de los cuales lee una revista mientras juega.")</f>
        <v>Luego, se muestra un clip de dos niños que juegan con la mesa de futbolín, uno de los cuales lee una revista mientras juega.</v>
      </c>
    </row>
    <row r="9547">
      <c r="A9547" s="4" t="s">
        <v>12005</v>
      </c>
      <c r="B9547" s="4" t="s">
        <v>12011</v>
      </c>
      <c r="C9547" s="5" t="str">
        <f>IFERROR(__xludf.DUMMYFUNCTION("GOOGLETRANSLATE(B9547,""en"",""es-ES"")"),"Aparecen varios clips adicionales que muestran a los muchachos jugando al futbolín de diferentes maneras.")</f>
        <v>Aparecen varios clips adicionales que muestran a los muchachos jugando al futbolín de diferentes maneras.</v>
      </c>
    </row>
    <row r="9548">
      <c r="A9548" s="4" t="s">
        <v>12005</v>
      </c>
      <c r="B9548" s="4" t="s">
        <v>12012</v>
      </c>
      <c r="C9548" s="5" t="str">
        <f>IFERROR(__xludf.DUMMYFUNCTION("GOOGLETRANSLATE(B9548,""en"",""es-ES"")"),"El video termina con uno de los muchachos durmiendo mientras jugaba.")</f>
        <v>El video termina con uno de los muchachos durmiendo mientras jugaba.</v>
      </c>
    </row>
    <row r="9549">
      <c r="A9549" s="4" t="s">
        <v>12013</v>
      </c>
      <c r="B9549" s="4" t="s">
        <v>12014</v>
      </c>
      <c r="C9549" s="5" t="str">
        <f>IFERROR(__xludf.DUMMYFUNCTION("GOOGLETRANSLATE(B9549,""en"",""es-ES"")"),"Un grupo de niños posa con los brazos en el aire.")</f>
        <v>Un grupo de niños posa con los brazos en el aire.</v>
      </c>
    </row>
    <row r="9550">
      <c r="A9550" s="4" t="s">
        <v>12013</v>
      </c>
      <c r="B9550" s="4" t="s">
        <v>12015</v>
      </c>
      <c r="C9550" s="5" t="str">
        <f>IFERROR(__xludf.DUMMYFUNCTION("GOOGLETRANSLATE(B9550,""en"",""es-ES"")"),"Otro grupo de niños posa sosteniendo señales de paz.")</f>
        <v>Otro grupo de niños posa sosteniendo señales de paz.</v>
      </c>
    </row>
    <row r="9551">
      <c r="A9551" s="4" t="s">
        <v>12013</v>
      </c>
      <c r="B9551" s="4" t="s">
        <v>12016</v>
      </c>
      <c r="C9551" s="5" t="str">
        <f>IFERROR(__xludf.DUMMYFUNCTION("GOOGLETRANSLATE(B9551,""en"",""es-ES"")"),"Un tercer grupo de niños posa con los brazos alrededor del otro.")</f>
        <v>Un tercer grupo de niños posa con los brazos alrededor del otro.</v>
      </c>
    </row>
    <row r="9552">
      <c r="A9552" s="4" t="s">
        <v>12013</v>
      </c>
      <c r="B9552" s="4" t="s">
        <v>12017</v>
      </c>
      <c r="C9552" s="5" t="str">
        <f>IFERROR(__xludf.DUMMYFUNCTION("GOOGLETRANSLATE(B9552,""en"",""es-ES"")"),"Un cuarto grupo de niños posa con la boca abierta.")</f>
        <v>Un cuarto grupo de niños posa con la boca abierta.</v>
      </c>
    </row>
    <row r="9553">
      <c r="A9553" s="4" t="s">
        <v>12013</v>
      </c>
      <c r="B9553" s="4" t="s">
        <v>12018</v>
      </c>
      <c r="C9553" s="5" t="str">
        <f>IFERROR(__xludf.DUMMYFUNCTION("GOOGLETRANSLATE(B9553,""en"",""es-ES"")"),"Un quinto grupo de niños posa sonriendo.")</f>
        <v>Un quinto grupo de niños posa sonriendo.</v>
      </c>
    </row>
    <row r="9554">
      <c r="A9554" s="4" t="s">
        <v>12013</v>
      </c>
      <c r="B9554" s="4" t="s">
        <v>12019</v>
      </c>
      <c r="C9554" s="5" t="str">
        <f>IFERROR(__xludf.DUMMYFUNCTION("GOOGLETRANSLATE(B9554,""en"",""es-ES"")"),"Un grupo de niños se encuentra en una línea en un gimnasio.")</f>
        <v>Un grupo de niños se encuentra en una línea en un gimnasio.</v>
      </c>
    </row>
    <row r="9555">
      <c r="A9555" s="4" t="s">
        <v>12013</v>
      </c>
      <c r="B9555" s="4" t="s">
        <v>12020</v>
      </c>
      <c r="C9555" s="5" t="str">
        <f>IFERROR(__xludf.DUMMYFUNCTION("GOOGLETRANSLATE(B9555,""en"",""es-ES"")"),"Una niña voltea el gimnasio.")</f>
        <v>Una niña voltea el gimnasio.</v>
      </c>
    </row>
    <row r="9556">
      <c r="A9556" s="4" t="s">
        <v>12013</v>
      </c>
      <c r="B9556" s="4" t="s">
        <v>12021</v>
      </c>
      <c r="C9556" s="5" t="str">
        <f>IFERROR(__xludf.DUMMYFUNCTION("GOOGLETRANSLATE(B9556,""en"",""es-ES"")"),"Un niño rebota en una Bola Dodge.")</f>
        <v>Un niño rebota en una Bola Dodge.</v>
      </c>
    </row>
    <row r="9557">
      <c r="A9557" s="4" t="s">
        <v>12013</v>
      </c>
      <c r="B9557" s="4" t="s">
        <v>12022</v>
      </c>
      <c r="C9557" s="5" t="str">
        <f>IFERROR(__xludf.DUMMYFUNCTION("GOOGLETRANSLATE(B9557,""en"",""es-ES"")"),"Un grupo de niños de azul corre hacia el centro del gimnasio.")</f>
        <v>Un grupo de niños de azul corre hacia el centro del gimnasio.</v>
      </c>
    </row>
    <row r="9558">
      <c r="A9558" s="4" t="s">
        <v>12013</v>
      </c>
      <c r="B9558" s="4" t="s">
        <v>12023</v>
      </c>
      <c r="C9558" s="5" t="str">
        <f>IFERROR(__xludf.DUMMYFUNCTION("GOOGLETRANSLATE(B9558,""en"",""es-ES"")"),"Un niño apunta a una bola de esquiva a un grupo de niños en el lado opuesto del gimnasio y lanza la pelota golpeando a uno de ellos.")</f>
        <v>Un niño apunta a una bola de esquiva a un grupo de niños en el lado opuesto del gimnasio y lanza la pelota golpeando a uno de ellos.</v>
      </c>
    </row>
    <row r="9559">
      <c r="A9559" s="4" t="s">
        <v>12013</v>
      </c>
      <c r="B9559" s="4" t="s">
        <v>12024</v>
      </c>
      <c r="C9559" s="5" t="str">
        <f>IFERROR(__xludf.DUMMYFUNCTION("GOOGLETRANSLATE(B9559,""en"",""es-ES"")"),"Un niño en azul celebra.")</f>
        <v>Un niño en azul celebra.</v>
      </c>
    </row>
    <row r="9560">
      <c r="A9560" s="4" t="s">
        <v>12013</v>
      </c>
      <c r="B9560" s="4" t="s">
        <v>12025</v>
      </c>
      <c r="C9560" s="5" t="str">
        <f>IFERROR(__xludf.DUMMYFUNCTION("GOOGLETRANSLATE(B9560,""en"",""es-ES"")"),"Otro niño mayor de azul lanza una Bola Dodge.")</f>
        <v>Otro niño mayor de azul lanza una Bola Dodge.</v>
      </c>
    </row>
    <row r="9561">
      <c r="A9561" s="4" t="s">
        <v>12013</v>
      </c>
      <c r="B9561" s="4" t="s">
        <v>12026</v>
      </c>
      <c r="C9561" s="5" t="str">
        <f>IFERROR(__xludf.DUMMYFUNCTION("GOOGLETRANSLATE(B9561,""en"",""es-ES"")"),"Un niño corre hacia la línea con dos bolas y lanza una de ellas.")</f>
        <v>Un niño corre hacia la línea con dos bolas y lanza una de ellas.</v>
      </c>
    </row>
    <row r="9562">
      <c r="A9562" s="4" t="s">
        <v>12013</v>
      </c>
      <c r="B9562" s="4" t="s">
        <v>12027</v>
      </c>
      <c r="C9562" s="5" t="str">
        <f>IFERROR(__xludf.DUMMYFUNCTION("GOOGLETRANSLATE(B9562,""en"",""es-ES"")"),"Un niño de azul lanza una pelota mientras un niño detrás de él corre.")</f>
        <v>Un niño de azul lanza una pelota mientras un niño detrás de él corre.</v>
      </c>
    </row>
    <row r="9563">
      <c r="A9563" s="4" t="s">
        <v>12013</v>
      </c>
      <c r="B9563" s="4" t="s">
        <v>12028</v>
      </c>
      <c r="C9563" s="5" t="str">
        <f>IFERROR(__xludf.DUMMYFUNCTION("GOOGLETRANSLATE(B9563,""en"",""es-ES"")"),"Un niño de rosa lanza una pelota.")</f>
        <v>Un niño de rosa lanza una pelota.</v>
      </c>
    </row>
    <row r="9564">
      <c r="A9564" s="4" t="s">
        <v>12013</v>
      </c>
      <c r="B9564" s="4" t="s">
        <v>12029</v>
      </c>
      <c r="C9564" s="5" t="str">
        <f>IFERROR(__xludf.DUMMYFUNCTION("GOOGLETRANSLATE(B9564,""en"",""es-ES"")"),"Un niño en blanco se cae y una pelota vuela sobre su cabeza.")</f>
        <v>Un niño en blanco se cae y una pelota vuela sobre su cabeza.</v>
      </c>
    </row>
    <row r="9565">
      <c r="A9565" s="4" t="s">
        <v>12013</v>
      </c>
      <c r="B9565" s="4" t="s">
        <v>12030</v>
      </c>
      <c r="C9565" s="5" t="str">
        <f>IFERROR(__xludf.DUMMYFUNCTION("GOOGLETRANSLATE(B9565,""en"",""es-ES"")"),"Un niño de rosa y luego una niña de rosa arroja una pelota.")</f>
        <v>Un niño de rosa y luego una niña de rosa arroja una pelota.</v>
      </c>
    </row>
    <row r="9566">
      <c r="A9566" s="4" t="s">
        <v>12013</v>
      </c>
      <c r="B9566" s="4" t="s">
        <v>12031</v>
      </c>
      <c r="C9566" s="5" t="str">
        <f>IFERROR(__xludf.DUMMYFUNCTION("GOOGLETRANSLATE(B9566,""en"",""es-ES"")"),"Varios niños en blanco celebran.")</f>
        <v>Varios niños en blanco celebran.</v>
      </c>
    </row>
    <row r="9567">
      <c r="A9567" s="4" t="s">
        <v>12013</v>
      </c>
      <c r="B9567" s="4" t="s">
        <v>12032</v>
      </c>
      <c r="C9567" s="5" t="str">
        <f>IFERROR(__xludf.DUMMYFUNCTION("GOOGLETRANSLATE(B9567,""en"",""es-ES"")"),"Un grupo de niños corre hacia el centro del gimnasio.")</f>
        <v>Un grupo de niños corre hacia el centro del gimnasio.</v>
      </c>
    </row>
    <row r="9568">
      <c r="A9568" s="4" t="s">
        <v>12013</v>
      </c>
      <c r="B9568" s="4" t="s">
        <v>12033</v>
      </c>
      <c r="C9568" s="5" t="str">
        <f>IFERROR(__xludf.DUMMYFUNCTION("GOOGLETRANSLATE(B9568,""en"",""es-ES"")"),"El equipo blanco juega y un jugador muy joven lanza la pelota.")</f>
        <v>El equipo blanco juega y un jugador muy joven lanza la pelota.</v>
      </c>
    </row>
    <row r="9569">
      <c r="A9569" s="4" t="s">
        <v>12013</v>
      </c>
      <c r="B9569" s="4" t="s">
        <v>12034</v>
      </c>
      <c r="C9569" s="5" t="str">
        <f>IFERROR(__xludf.DUMMYFUNCTION("GOOGLETRANSLATE(B9569,""en"",""es-ES"")"),"Un niño en verde lanza la pelota y el equipo azul corre para devolver varias bolas.")</f>
        <v>Un niño en verde lanza la pelota y el equipo azul corre para devolver varias bolas.</v>
      </c>
    </row>
    <row r="9570">
      <c r="A9570" s="4" t="s">
        <v>12013</v>
      </c>
      <c r="B9570" s="4" t="s">
        <v>12035</v>
      </c>
      <c r="C9570" s="5" t="str">
        <f>IFERROR(__xludf.DUMMYFUNCTION("GOOGLETRANSLATE(B9570,""en"",""es-ES"")"),"Otro niño y niña corren y lanzan una pelota al mismo tiempo.")</f>
        <v>Otro niño y niña corren y lanzan una pelota al mismo tiempo.</v>
      </c>
    </row>
    <row r="9571">
      <c r="A9571" s="4" t="s">
        <v>12013</v>
      </c>
      <c r="B9571" s="4" t="s">
        <v>12036</v>
      </c>
      <c r="C9571" s="5" t="str">
        <f>IFERROR(__xludf.DUMMYFUNCTION("GOOGLETRANSLATE(B9571,""en"",""es-ES"")"),"Un niño de blanco arroja una pelota.")</f>
        <v>Un niño de blanco arroja una pelota.</v>
      </c>
    </row>
    <row r="9572">
      <c r="A9572" s="4" t="s">
        <v>12013</v>
      </c>
      <c r="B9572" s="4" t="s">
        <v>12037</v>
      </c>
      <c r="C9572" s="5" t="str">
        <f>IFERROR(__xludf.DUMMYFUNCTION("GOOGLETRANSLATE(B9572,""en"",""es-ES"")"),"Un grupo de adultos se encuentra en la línea en el piso del gimnasio.")</f>
        <v>Un grupo de adultos se encuentra en la línea en el piso del gimnasio.</v>
      </c>
    </row>
    <row r="9573">
      <c r="A9573" s="4" t="s">
        <v>12013</v>
      </c>
      <c r="B9573" s="4" t="s">
        <v>12038</v>
      </c>
      <c r="C9573" s="5" t="str">
        <f>IFERROR(__xludf.DUMMYFUNCTION("GOOGLETRANSLATE(B9573,""en"",""es-ES"")"),"Los adultos juegan do0dge ball.")</f>
        <v>Los adultos juegan do0dge ball.</v>
      </c>
    </row>
    <row r="9574">
      <c r="A9574" s="4" t="s">
        <v>12013</v>
      </c>
      <c r="B9574" s="4" t="s">
        <v>12039</v>
      </c>
      <c r="C9574" s="5" t="str">
        <f>IFERROR(__xludf.DUMMYFUNCTION("GOOGLETRANSLATE(B9574,""en"",""es-ES"")"),"Un grupo de niños y adultos sostiene los trofeos y las olas.")</f>
        <v>Un grupo de niños y adultos sostiene los trofeos y las olas.</v>
      </c>
    </row>
    <row r="9575">
      <c r="A9575" s="4" t="s">
        <v>12040</v>
      </c>
      <c r="B9575" s="4" t="s">
        <v>12041</v>
      </c>
      <c r="C9575" s="5" t="str">
        <f>IFERROR(__xludf.DUMMYFUNCTION("GOOGLETRANSLATE(B9575,""en"",""es-ES"")"),"Una patineta adolescente por un camino mientras se daba la vuelta y giraba.")</f>
        <v>Una patineta adolescente por un camino mientras se daba la vuelta y giraba.</v>
      </c>
    </row>
    <row r="9576">
      <c r="A9576" s="4" t="s">
        <v>12040</v>
      </c>
      <c r="B9576" s="4" t="s">
        <v>12042</v>
      </c>
      <c r="C9576" s="5" t="str">
        <f>IFERROR(__xludf.DUMMYFUNCTION("GOOGLETRANSLATE(B9576,""en"",""es-ES"")"),"Otra patineta juvenil en la carretera mientras gira.")</f>
        <v>Otra patineta juvenil en la carretera mientras gira.</v>
      </c>
    </row>
    <row r="9577">
      <c r="A9577" s="4" t="s">
        <v>12040</v>
      </c>
      <c r="B9577" s="4" t="s">
        <v>12043</v>
      </c>
      <c r="C9577" s="5" t="str">
        <f>IFERROR(__xludf.DUMMYFUNCTION("GOOGLETRANSLATE(B9577,""en"",""es-ES"")"),"Un niño sostiene una patineta en su mano.")</f>
        <v>Un niño sostiene una patineta en su mano.</v>
      </c>
    </row>
    <row r="9578">
      <c r="A9578" s="4" t="s">
        <v>12040</v>
      </c>
      <c r="B9578" s="4" t="s">
        <v>12044</v>
      </c>
      <c r="C9578" s="5" t="str">
        <f>IFERROR(__xludf.DUMMYFUNCTION("GOOGLETRANSLATE(B9578,""en"",""es-ES"")"),"Un joven patineta hasta una calle concurrida, luego el adolescente continúa skate.")</f>
        <v>Un joven patineta hasta una calle concurrida, luego el adolescente continúa skate.</v>
      </c>
    </row>
    <row r="9579">
      <c r="A9579" s="4" t="s">
        <v>12045</v>
      </c>
      <c r="B9579" s="4" t="s">
        <v>12046</v>
      </c>
      <c r="C9579" s="5" t="str">
        <f>IFERROR(__xludf.DUMMYFUNCTION("GOOGLETRANSLATE(B9579,""en"",""es-ES"")"),"Un hombre se pone el equipo de paintball en un espejo agarra su arma y corre por la nieve.")</f>
        <v>Un hombre se pone el equipo de paintball en un espejo agarra su arma y corre por la nieve.</v>
      </c>
    </row>
    <row r="9580">
      <c r="A9580" s="4" t="s">
        <v>12045</v>
      </c>
      <c r="B9580" s="4" t="s">
        <v>12047</v>
      </c>
      <c r="C9580" s="5" t="str">
        <f>IFERROR(__xludf.DUMMYFUNCTION("GOOGLETRANSLATE(B9580,""en"",""es-ES"")"),"Los hombres se agachan detrás de los árboles, las paredes de madera contrachapada y las cercas en un campo de paintball.")</f>
        <v>Los hombres se agachan detrás de los árboles, las paredes de madera contrachapada y las cercas en un campo de paintball.</v>
      </c>
    </row>
    <row r="9581">
      <c r="A9581" s="4" t="s">
        <v>12045</v>
      </c>
      <c r="B9581" s="4" t="s">
        <v>12048</v>
      </c>
      <c r="C9581" s="5" t="str">
        <f>IFERROR(__xludf.DUMMYFUNCTION("GOOGLETRANSLATE(B9581,""en"",""es-ES"")"),"Los hombres se disparan de un lado a otro.")</f>
        <v>Los hombres se disparan de un lado a otro.</v>
      </c>
    </row>
    <row r="9582">
      <c r="A9582" s="4" t="s">
        <v>12045</v>
      </c>
      <c r="B9582" s="4" t="s">
        <v>12049</v>
      </c>
      <c r="C9582" s="5" t="str">
        <f>IFERROR(__xludf.DUMMYFUNCTION("GOOGLETRANSLATE(B9582,""en"",""es-ES"")"),"Los hombres corren y se agachan en busca de un lugar para esconderse.")</f>
        <v>Los hombres corren y se agachan en busca de un lugar para esconderse.</v>
      </c>
    </row>
    <row r="9583">
      <c r="A9583" s="4" t="s">
        <v>12045</v>
      </c>
      <c r="B9583" s="4" t="s">
        <v>12050</v>
      </c>
      <c r="C9583" s="5" t="str">
        <f>IFERROR(__xludf.DUMMYFUNCTION("GOOGLETRANSLATE(B9583,""en"",""es-ES"")"),"Los hombres se sientan a ambos lados de la pared buscándose y se ponen de pie y se enfrentan.")</f>
        <v>Los hombres se sientan a ambos lados de la pared buscándose y se ponen de pie y se enfrentan.</v>
      </c>
    </row>
    <row r="9584">
      <c r="A9584" s="4" t="s">
        <v>12045</v>
      </c>
      <c r="B9584" s="4" t="s">
        <v>12051</v>
      </c>
      <c r="C9584" s="5" t="str">
        <f>IFERROR(__xludf.DUMMYFUNCTION("GOOGLETRANSLATE(B9584,""en"",""es-ES"")"),"Un hombre habla frente a un letrero del parque de paintball.")</f>
        <v>Un hombre habla frente a un letrero del parque de paintball.</v>
      </c>
    </row>
    <row r="9585">
      <c r="A9585" s="4" t="s">
        <v>12052</v>
      </c>
      <c r="B9585" s="4" t="s">
        <v>12053</v>
      </c>
      <c r="C9585" s="5" t="str">
        <f>IFERROR(__xludf.DUMMYFUNCTION("GOOGLETRANSLATE(B9585,""en"",""es-ES"")"),"Varias bicicletas están en una tienda alineadas.")</f>
        <v>Varias bicicletas están en una tienda alineadas.</v>
      </c>
    </row>
    <row r="9586">
      <c r="A9586" s="4" t="s">
        <v>12052</v>
      </c>
      <c r="B9586" s="4" t="s">
        <v>12054</v>
      </c>
      <c r="C9586" s="5" t="str">
        <f>IFERROR(__xludf.DUMMYFUNCTION("GOOGLETRANSLATE(B9586,""en"",""es-ES"")"),"Vemos personas mirando las bicicletas y una caja grande que contiene una.")</f>
        <v>Vemos personas mirando las bicicletas y una caja grande que contiene una.</v>
      </c>
    </row>
    <row r="9587">
      <c r="A9587" s="4" t="s">
        <v>12052</v>
      </c>
      <c r="B9587" s="4" t="s">
        <v>12055</v>
      </c>
      <c r="C9587" s="5" t="str">
        <f>IFERROR(__xludf.DUMMYFUNCTION("GOOGLETRANSLATE(B9587,""en"",""es-ES"")"),"Un hombre abre la caja y quita la bicicleta, muestra las piezas a la cámara.")</f>
        <v>Un hombre abre la caja y quita la bicicleta, muestra las piezas a la cámara.</v>
      </c>
    </row>
    <row r="9588">
      <c r="A9588" s="4" t="s">
        <v>12056</v>
      </c>
      <c r="B9588" s="4" t="s">
        <v>12057</v>
      </c>
      <c r="C9588" s="5" t="str">
        <f>IFERROR(__xludf.DUMMYFUNCTION("GOOGLETRANSLATE(B9588,""en"",""es-ES"")"),"Ehow y Style están en la pantalla.")</f>
        <v>Ehow y Style están en la pantalla.</v>
      </c>
    </row>
    <row r="9589">
      <c r="A9589" s="4" t="s">
        <v>12056</v>
      </c>
      <c r="B9589" s="4" t="s">
        <v>12058</v>
      </c>
      <c r="C9589" s="5" t="str">
        <f>IFERROR(__xludf.DUMMYFUNCTION("GOOGLETRANSLATE(B9589,""en"",""es-ES"")"),"Una mujer está de pie en una mesa con un zapato y una lata de laca para el cabello.")</f>
        <v>Una mujer está de pie en una mesa con un zapato y una lata de laca para el cabello.</v>
      </c>
    </row>
    <row r="9590">
      <c r="A9590" s="4" t="s">
        <v>12056</v>
      </c>
      <c r="B9590" s="4" t="s">
        <v>12059</v>
      </c>
      <c r="C9590" s="5" t="str">
        <f>IFERROR(__xludf.DUMMYFUNCTION("GOOGLETRANSLATE(B9590,""en"",""es-ES"")"),"La mujer rocía laca para el cabello en una marca de desglose en el zapato y toma una punta de algodón y frota la marca de desgaste.")</f>
        <v>La mujer rocía laca para el cabello en una marca de desglose en el zapato y toma una punta de algodón y frota la marca de desgaste.</v>
      </c>
    </row>
    <row r="9591">
      <c r="A9591" s="4" t="s">
        <v>12056</v>
      </c>
      <c r="B9591" s="4" t="s">
        <v>12060</v>
      </c>
      <c r="C9591" s="5" t="str">
        <f>IFERROR(__xludf.DUMMYFUNCTION("GOOGLETRANSLATE(B9591,""en"",""es-ES"")"),"La Marca de Struff se ha ido y ella habla con la cámara.")</f>
        <v>La Marca de Struff se ha ido y ella habla con la cámara.</v>
      </c>
    </row>
    <row r="9592">
      <c r="A9592" s="4" t="s">
        <v>12056</v>
      </c>
      <c r="B9592" s="4" t="s">
        <v>12061</v>
      </c>
      <c r="C9592" s="5" t="str">
        <f>IFERROR(__xludf.DUMMYFUNCTION("GOOGLETRANSLATE(B9592,""en"",""es-ES"")"),"El video termina con una promoción EHOW.")</f>
        <v>El video termina con una promoción EHOW.</v>
      </c>
    </row>
    <row r="9593">
      <c r="A9593" s="4" t="s">
        <v>12062</v>
      </c>
      <c r="B9593" s="4" t="s">
        <v>12063</v>
      </c>
      <c r="C9593" s="5" t="str">
        <f>IFERROR(__xludf.DUMMYFUNCTION("GOOGLETRANSLATE(B9593,""en"",""es-ES"")"),"Un grupo de hombres está de pie en un campo y un hombre lleva una pelota roja al otro equipo y se expulsa.")</f>
        <v>Un grupo de hombres está de pie en un campo y un hombre lleva una pelota roja al otro equipo y se expulsa.</v>
      </c>
    </row>
    <row r="9594">
      <c r="A9594" s="4" t="s">
        <v>12062</v>
      </c>
      <c r="B9594" s="4" t="s">
        <v>12064</v>
      </c>
      <c r="C9594" s="5" t="str">
        <f>IFERROR(__xludf.DUMMYFUNCTION("GOOGLETRANSLATE(B9594,""en"",""es-ES"")"),"Después, el equipo cambia y continúa jugando de Kickball.")</f>
        <v>Después, el equipo cambia y continúa jugando de Kickball.</v>
      </c>
    </row>
    <row r="9595">
      <c r="A9595" s="4" t="s">
        <v>12062</v>
      </c>
      <c r="B9595" s="4" t="s">
        <v>12065</v>
      </c>
      <c r="C9595" s="5" t="str">
        <f>IFERROR(__xludf.DUMMYFUNCTION("GOOGLETRANSLATE(B9595,""en"",""es-ES"")"),"Ahora se acercan dos equipos más y los capitanes juegan Rock, Paper, Scissor para determinar quién comenzará el juego.")</f>
        <v>Ahora se acercan dos equipos más y los capitanes juegan Rock, Paper, Scissor para determinar quién comenzará el juego.</v>
      </c>
    </row>
    <row r="9596">
      <c r="A9596" s="4" t="s">
        <v>12062</v>
      </c>
      <c r="B9596" s="4" t="s">
        <v>12066</v>
      </c>
      <c r="C9596" s="5" t="str">
        <f>IFERROR(__xludf.DUMMYFUNCTION("GOOGLETRANSLATE(B9596,""en"",""es-ES"")"),"La mujer pierde y los hombres comienzan a jugar pateando la pelota y corriendo hacia las bases.")</f>
        <v>La mujer pierde y los hombres comienzan a jugar pateando la pelota y corriendo hacia las bases.</v>
      </c>
    </row>
    <row r="9597">
      <c r="A9597" s="4" t="s">
        <v>12067</v>
      </c>
      <c r="B9597" s="4" t="s">
        <v>12068</v>
      </c>
      <c r="C9597" s="5" t="str">
        <f>IFERROR(__xludf.DUMMYFUNCTION("GOOGLETRANSLATE(B9597,""en"",""es-ES"")"),"Un hombre camina junto a un niño que está cortando el césped.")</f>
        <v>Un hombre camina junto a un niño que está cortando el césped.</v>
      </c>
    </row>
    <row r="9598">
      <c r="A9598" s="4" t="s">
        <v>12067</v>
      </c>
      <c r="B9598" s="4" t="s">
        <v>12069</v>
      </c>
      <c r="C9598" s="5" t="str">
        <f>IFERROR(__xludf.DUMMYFUNCTION("GOOGLETRANSLATE(B9598,""en"",""es-ES"")"),"Instruye al niño sobre cómo girar el cortacésped y rodear un pequeño árbol.")</f>
        <v>Instruye al niño sobre cómo girar el cortacésped y rodear un pequeño árbol.</v>
      </c>
    </row>
    <row r="9599">
      <c r="A9599" s="4" t="s">
        <v>12067</v>
      </c>
      <c r="B9599" s="4" t="s">
        <v>12070</v>
      </c>
      <c r="C9599" s="5" t="str">
        <f>IFERROR(__xludf.DUMMYFUNCTION("GOOGLETRANSLATE(B9599,""en"",""es-ES"")"),"Continúa caminando y guiando al niño.")</f>
        <v>Continúa caminando y guiando al niño.</v>
      </c>
    </row>
    <row r="9600">
      <c r="A9600" s="4" t="s">
        <v>12071</v>
      </c>
      <c r="B9600" s="4" t="s">
        <v>12072</v>
      </c>
      <c r="C9600" s="5" t="str">
        <f>IFERROR(__xludf.DUMMYFUNCTION("GOOGLETRANSLATE(B9600,""en"",""es-ES"")"),"Una mujer que sostiene una muñeca deshace rizadores del cabello de las muñecas.")</f>
        <v>Una mujer que sostiene una muñeca deshace rizadores del cabello de las muñecas.</v>
      </c>
    </row>
    <row r="9601">
      <c r="A9601" s="4" t="s">
        <v>12071</v>
      </c>
      <c r="B9601" s="4" t="s">
        <v>12073</v>
      </c>
      <c r="C9601" s="5" t="str">
        <f>IFERROR(__xludf.DUMMYFUNCTION("GOOGLETRANSLATE(B9601,""en"",""es-ES"")"),"Los zapatos de la mujer del cabello de las muñecas.")</f>
        <v>Los zapatos de la mujer del cabello de las muñecas.</v>
      </c>
    </row>
    <row r="9602">
      <c r="A9602" s="4" t="s">
        <v>12071</v>
      </c>
      <c r="B9602" s="4" t="s">
        <v>12074</v>
      </c>
      <c r="C9602" s="5" t="str">
        <f>IFERROR(__xludf.DUMMYFUNCTION("GOOGLETRANSLATE(B9602,""en"",""es-ES"")"),"La mujer gira la muñeca para mostrar la parte posterior de la cabeza de las muñecas.")</f>
        <v>La mujer gira la muñeca para mostrar la parte posterior de la cabeza de las muñecas.</v>
      </c>
    </row>
    <row r="9603">
      <c r="A9603" s="4" t="s">
        <v>12071</v>
      </c>
      <c r="B9603" s="4" t="s">
        <v>12075</v>
      </c>
      <c r="C9603" s="5" t="str">
        <f>IFERROR(__xludf.DUMMYFUNCTION("GOOGLETRANSLATE(B9603,""en"",""es-ES"")"),"La mujer continúa mostrando el cabello de las muñecas.")</f>
        <v>La mujer continúa mostrando el cabello de las muñecas.</v>
      </c>
    </row>
    <row r="9604">
      <c r="A9604" s="4" t="s">
        <v>12076</v>
      </c>
      <c r="B9604" s="4" t="s">
        <v>12077</v>
      </c>
      <c r="C9604" s="5" t="str">
        <f>IFERROR(__xludf.DUMMYFUNCTION("GOOGLETRANSLATE(B9604,""en"",""es-ES"")"),"Se ve a una persona poniendo un peso seguido de una mujer levantando una barra sobre su cabeza.")</f>
        <v>Se ve a una persona poniendo un peso seguido de una mujer levantando una barra sobre su cabeza.</v>
      </c>
    </row>
    <row r="9605">
      <c r="A9605" s="4" t="s">
        <v>12076</v>
      </c>
      <c r="B9605" s="4" t="s">
        <v>12078</v>
      </c>
      <c r="C9605" s="5" t="str">
        <f>IFERROR(__xludf.DUMMYFUNCTION("GOOGLETRANSLATE(B9605,""en"",""es-ES"")"),"Se ve a otra persona después de levantar un gran conjunto de pesas sobre sus cabezas.")</f>
        <v>Se ve a otra persona después de levantar un gran conjunto de pesas sobre sus cabezas.</v>
      </c>
    </row>
    <row r="9606">
      <c r="A9606" s="4" t="s">
        <v>12076</v>
      </c>
      <c r="B9606" s="4" t="s">
        <v>12079</v>
      </c>
      <c r="C9606" s="5" t="str">
        <f>IFERROR(__xludf.DUMMYFUNCTION("GOOGLETRANSLATE(B9606,""en"",""es-ES"")"),"Varias personas más se ven levantando pesas pesadas sobre sus cabezas mientras que otras miran a un lado.")</f>
        <v>Varias personas más se ven levantando pesas pesadas sobre sus cabezas mientras que otras miran a un lado.</v>
      </c>
    </row>
    <row r="9607">
      <c r="A9607" s="4" t="s">
        <v>12080</v>
      </c>
      <c r="B9607" s="4" t="s">
        <v>12081</v>
      </c>
      <c r="C9607" s="5" t="str">
        <f>IFERROR(__xludf.DUMMYFUNCTION("GOOGLETRANSLATE(B9607,""en"",""es-ES"")"),"Se ve a un hombre hablando con la cámara mientras sostiene la esponja y una lijadora en cada mano.")</f>
        <v>Se ve a un hombre hablando con la cámara mientras sostiene la esponja y una lijadora en cada mano.</v>
      </c>
    </row>
    <row r="9608">
      <c r="A9608" s="4" t="s">
        <v>12080</v>
      </c>
      <c r="B9608" s="4" t="s">
        <v>12082</v>
      </c>
      <c r="C9608" s="5" t="str">
        <f>IFERROR(__xludf.DUMMYFUNCTION("GOOGLETRANSLATE(B9608,""en"",""es-ES"")"),"El hombre luego rinde la lijadora y la usa a lo largo de un conjunto de esquís.")</f>
        <v>El hombre luego rinde la lijadora y la usa a lo largo de un conjunto de esquís.</v>
      </c>
    </row>
    <row r="9609">
      <c r="A9609" s="4" t="s">
        <v>12080</v>
      </c>
      <c r="B9609" s="4" t="s">
        <v>12083</v>
      </c>
      <c r="C9609" s="5" t="str">
        <f>IFERROR(__xludf.DUMMYFUNCTION("GOOGLETRANSLATE(B9609,""en"",""es-ES"")"),"Lo guía a lo largo del esquí y se detiene para hablar con la cámara y sonreír.")</f>
        <v>Lo guía a lo largo del esquí y se detiene para hablar con la cámara y sonreír.</v>
      </c>
    </row>
    <row r="9610">
      <c r="A9610" s="4" t="s">
        <v>12084</v>
      </c>
      <c r="B9610" s="4" t="s">
        <v>2480</v>
      </c>
      <c r="C9610" s="5" t="str">
        <f>IFERROR(__xludf.DUMMYFUNCTION("GOOGLETRANSLATE(B9610,""en"",""es-ES"")"),"Vemos dos pantallas de título de apertura.")</f>
        <v>Vemos dos pantallas de título de apertura.</v>
      </c>
    </row>
    <row r="9611">
      <c r="A9611" s="4" t="s">
        <v>12084</v>
      </c>
      <c r="B9611" s="4" t="s">
        <v>12085</v>
      </c>
      <c r="C9611" s="5" t="str">
        <f>IFERROR(__xludf.DUMMYFUNCTION("GOOGLETRANSLATE(B9611,""en"",""es-ES"")"),"Una dama se sienta en una bañera y habla mientras juega con un perro.")</f>
        <v>Una dama se sienta en una bañera y habla mientras juega con un perro.</v>
      </c>
    </row>
    <row r="9612">
      <c r="A9612" s="4" t="s">
        <v>12084</v>
      </c>
      <c r="B9612" s="4" t="s">
        <v>12086</v>
      </c>
      <c r="C9612" s="5" t="str">
        <f>IFERROR(__xludf.DUMMYFUNCTION("GOOGLETRANSLATE(B9612,""en"",""es-ES"")"),"La señora pone al perro en el agua y lo lava.")</f>
        <v>La señora pone al perro en el agua y lo lava.</v>
      </c>
    </row>
    <row r="9613">
      <c r="A9613" s="4" t="s">
        <v>12084</v>
      </c>
      <c r="B9613" s="4" t="s">
        <v>12087</v>
      </c>
      <c r="C9613" s="5" t="str">
        <f>IFERROR(__xludf.DUMMYFUNCTION("GOOGLETRANSLATE(B9613,""en"",""es-ES"")"),"La señora agrega más jabón.")</f>
        <v>La señora agrega más jabón.</v>
      </c>
    </row>
    <row r="9614">
      <c r="A9614" s="4" t="s">
        <v>12084</v>
      </c>
      <c r="B9614" s="4" t="s">
        <v>12088</v>
      </c>
      <c r="C9614" s="5" t="str">
        <f>IFERROR(__xludf.DUMMYFUNCTION("GOOGLETRANSLATE(B9614,""en"",""es-ES"")"),"La señora enjuague al perro y lo envuelve en una toalla de color naranja mostaza.")</f>
        <v>La señora enjuague al perro y lo envuelve en una toalla de color naranja mostaza.</v>
      </c>
    </row>
    <row r="9615">
      <c r="A9615" s="4" t="s">
        <v>12084</v>
      </c>
      <c r="B9615" s="4" t="s">
        <v>12089</v>
      </c>
      <c r="C9615" s="5" t="str">
        <f>IFERROR(__xludf.DUMMYFUNCTION("GOOGLETRANSLATE(B9615,""en"",""es-ES"")"),"La señora se sienta y habla mientras el perro se sienta en su regazo.")</f>
        <v>La señora se sienta y habla mientras el perro se sienta en su regazo.</v>
      </c>
    </row>
    <row r="9616">
      <c r="A9616" s="4" t="s">
        <v>12084</v>
      </c>
      <c r="B9616" s="4" t="s">
        <v>12090</v>
      </c>
      <c r="C9616" s="5" t="str">
        <f>IFERROR(__xludf.DUMMYFUNCTION("GOOGLETRANSLATE(B9616,""en"",""es-ES"")"),"Los créditos finales enrollan la pantalla.")</f>
        <v>Los créditos finales enrollan la pantalla.</v>
      </c>
    </row>
    <row r="9617">
      <c r="A9617" s="4" t="s">
        <v>12091</v>
      </c>
      <c r="B9617" s="4" t="s">
        <v>12092</v>
      </c>
      <c r="C9617" s="5" t="str">
        <f>IFERROR(__xludf.DUMMYFUNCTION("GOOGLETRANSLATE(B9617,""en"",""es-ES"")"),"Se muestra un círculo de hierba verde con un rastro de rocas que lo rodean, una pared de ladrillo y algunos árboles.")</f>
        <v>Se muestra un círculo de hierba verde con un rastro de rocas que lo rodean, una pared de ladrillo y algunos árboles.</v>
      </c>
    </row>
    <row r="9618">
      <c r="A9618" s="4" t="s">
        <v>12091</v>
      </c>
      <c r="B9618" s="4" t="s">
        <v>12093</v>
      </c>
      <c r="C9618" s="5" t="str">
        <f>IFERROR(__xludf.DUMMYFUNCTION("GOOGLETRANSLATE(B9618,""en"",""es-ES"")"),"Un hombre luego viene y comienza a cortar la hierba que rodea su perímetro.")</f>
        <v>Un hombre luego viene y comienza a cortar la hierba que rodea su perímetro.</v>
      </c>
    </row>
    <row r="9619">
      <c r="A9619" s="4" t="s">
        <v>12091</v>
      </c>
      <c r="B9619" s="4" t="s">
        <v>12094</v>
      </c>
      <c r="C9619" s="5" t="str">
        <f>IFERROR(__xludf.DUMMYFUNCTION("GOOGLETRANSLATE(B9619,""en"",""es-ES"")"),"Después, toma el cortacésped y comienza a ir verticalmente a través del césped hasta que todo se haya completado.")</f>
        <v>Después, toma el cortacésped y comienza a ir verticalmente a través del césped hasta que todo se haya completado.</v>
      </c>
    </row>
    <row r="9620">
      <c r="A9620" s="4" t="s">
        <v>12095</v>
      </c>
      <c r="B9620" s="4" t="s">
        <v>12096</v>
      </c>
      <c r="C9620" s="5" t="str">
        <f>IFERROR(__xludf.DUMMYFUNCTION("GOOGLETRANSLATE(B9620,""en"",""es-ES"")"),"Dos personas están demostrando Tai Chi.")</f>
        <v>Dos personas están demostrando Tai Chi.</v>
      </c>
    </row>
    <row r="9621">
      <c r="A9621" s="4" t="s">
        <v>12095</v>
      </c>
      <c r="B9621" s="4" t="s">
        <v>12097</v>
      </c>
      <c r="C9621" s="5" t="str">
        <f>IFERROR(__xludf.DUMMYFUNCTION("GOOGLETRANSLATE(B9621,""en"",""es-ES"")"),"Hay un jardín con flores coloridas que se muestran fuera del edificio de la Escuela Tai Chi.")</f>
        <v>Hay un jardín con flores coloridas que se muestran fuera del edificio de la Escuela Tai Chi.</v>
      </c>
    </row>
    <row r="9622">
      <c r="A9622" s="4" t="s">
        <v>12095</v>
      </c>
      <c r="B9622" s="4" t="s">
        <v>12098</v>
      </c>
      <c r="C9622" s="5" t="str">
        <f>IFERROR(__xludf.DUMMYFUNCTION("GOOGLETRANSLATE(B9622,""en"",""es-ES"")"),"Los instructores que usan túnicas azules muestran los movimientos básicos utilizados en Tai Chi.")</f>
        <v>Los instructores que usan túnicas azules muestran los movimientos básicos utilizados en Tai Chi.</v>
      </c>
    </row>
    <row r="9623">
      <c r="A9623" s="4" t="s">
        <v>12095</v>
      </c>
      <c r="B9623" s="4" t="s">
        <v>12099</v>
      </c>
      <c r="C9623" s="5" t="str">
        <f>IFERROR(__xludf.DUMMYFUNCTION("GOOGLETRANSLATE(B9623,""en"",""es-ES"")"),"Están balanceando sus manos sobre sus cabezas de izquierda a derecha.")</f>
        <v>Están balanceando sus manos sobre sus cabezas de izquierda a derecha.</v>
      </c>
    </row>
    <row r="9624">
      <c r="A9624" s="4" t="s">
        <v>12095</v>
      </c>
      <c r="B9624" s="4" t="s">
        <v>12100</v>
      </c>
      <c r="C9624" s="5" t="str">
        <f>IFERROR(__xludf.DUMMYFUNCTION("GOOGLETRANSLATE(B9624,""en"",""es-ES"")"),"Luego, el instructor demuestra la fuerza del brazo al tocar su brazo derecho sobre su brazo izquierdo extendido.")</f>
        <v>Luego, el instructor demuestra la fuerza del brazo al tocar su brazo derecho sobre su brazo izquierdo extendido.</v>
      </c>
    </row>
    <row r="9625">
      <c r="A9625" s="4" t="s">
        <v>12095</v>
      </c>
      <c r="B9625" s="4" t="s">
        <v>12101</v>
      </c>
      <c r="C9625" s="5" t="str">
        <f>IFERROR(__xludf.DUMMYFUNCTION("GOOGLETRANSLATE(B9625,""en"",""es-ES"")"),"Ambos instructores se enfrentan entre sí mientras demuestran movimientos de mano lentos y graduales.")</f>
        <v>Ambos instructores se enfrentan entre sí mientras demuestran movimientos de mano lentos y graduales.</v>
      </c>
    </row>
    <row r="9626">
      <c r="A9626" s="4" t="s">
        <v>12102</v>
      </c>
      <c r="B9626" s="4" t="s">
        <v>12103</v>
      </c>
      <c r="C9626" s="5" t="str">
        <f>IFERROR(__xludf.DUMMYFUNCTION("GOOGLETRANSLATE(B9626,""en"",""es-ES"")"),"Un hombre está disparando un arco y una flecha.")</f>
        <v>Un hombre está disparando un arco y una flecha.</v>
      </c>
    </row>
    <row r="9627">
      <c r="A9627" s="4" t="s">
        <v>12102</v>
      </c>
      <c r="B9627" s="4" t="s">
        <v>12104</v>
      </c>
      <c r="C9627" s="5" t="str">
        <f>IFERROR(__xludf.DUMMYFUNCTION("GOOGLETRANSLATE(B9627,""en"",""es-ES"")"),"Se muestra el tablero de dardos en el que están disparando.")</f>
        <v>Se muestra el tablero de dardos en el que están disparando.</v>
      </c>
    </row>
    <row r="9628">
      <c r="A9628" s="4" t="s">
        <v>12102</v>
      </c>
      <c r="B9628" s="4" t="s">
        <v>12105</v>
      </c>
      <c r="C9628" s="5" t="str">
        <f>IFERROR(__xludf.DUMMYFUNCTION("GOOGLETRANSLATE(B9628,""en"",""es-ES"")"),"La gente celebra y aplaude y aplaude.")</f>
        <v>La gente celebra y aplaude y aplaude.</v>
      </c>
    </row>
    <row r="9629">
      <c r="A9629" s="4" t="s">
        <v>12106</v>
      </c>
      <c r="B9629" s="4" t="s">
        <v>12107</v>
      </c>
      <c r="C9629" s="5" t="str">
        <f>IFERROR(__xludf.DUMMYFUNCTION("GOOGLETRANSLATE(B9629,""en"",""es-ES"")"),"Un hombre está al frente de un fregadero hablando y lave un plato, luego lo pone en el mostrador.")</f>
        <v>Un hombre está al frente de un fregadero hablando y lave un plato, luego lo pone en el mostrador.</v>
      </c>
    </row>
    <row r="9630">
      <c r="A9630" s="4" t="s">
        <v>12106</v>
      </c>
      <c r="B9630" s="4" t="s">
        <v>12108</v>
      </c>
      <c r="C9630" s="5" t="str">
        <f>IFERROR(__xludf.DUMMYFUNCTION("GOOGLETRANSLATE(B9630,""en"",""es-ES"")"),"El hombre puso jabón para platos en un plato y lo frota mientras enjuagaba con agua.")</f>
        <v>El hombre puso jabón para platos en un plato y lo frota mientras enjuagaba con agua.</v>
      </c>
    </row>
    <row r="9631">
      <c r="A9631" s="4" t="s">
        <v>12106</v>
      </c>
      <c r="B9631" s="4" t="s">
        <v>12109</v>
      </c>
      <c r="C9631" s="5" t="str">
        <f>IFERROR(__xludf.DUMMYFUNCTION("GOOGLETRANSLATE(B9631,""en"",""es-ES"")"),"Entonces el hombre muestra sus brazos tatuados, luego continúa lavando los platos.")</f>
        <v>Entonces el hombre muestra sus brazos tatuados, luego continúa lavando los platos.</v>
      </c>
    </row>
    <row r="9632">
      <c r="A9632" s="4" t="s">
        <v>12110</v>
      </c>
      <c r="B9632" s="4" t="s">
        <v>12111</v>
      </c>
      <c r="C9632" s="5" t="str">
        <f>IFERROR(__xludf.DUMMYFUNCTION("GOOGLETRANSLATE(B9632,""en"",""es-ES"")"),"Los dos toros se topan entre sí y golpean las cabezas luchando hasta que se derriban.")</f>
        <v>Los dos toros se topan entre sí y golpean las cabezas luchando hasta que se derriban.</v>
      </c>
    </row>
    <row r="9633">
      <c r="A9633" s="4" t="s">
        <v>12110</v>
      </c>
      <c r="B9633" s="4" t="s">
        <v>12112</v>
      </c>
      <c r="C9633" s="5" t="str">
        <f>IFERROR(__xludf.DUMMYFUNCTION("GOOGLETRANSLATE(B9633,""en"",""es-ES"")"),"Luego, la gente corre hacia ellos y algunas sostienen la cuerda, mientras que uno se verifica con la cabeza sangrienta.")</f>
        <v>Luego, la gente corre hacia ellos y algunas sostienen la cuerda, mientras que uno se verifica con la cabeza sangrienta.</v>
      </c>
    </row>
    <row r="9634">
      <c r="A9634" s="4" t="s">
        <v>12113</v>
      </c>
      <c r="B9634" s="4" t="s">
        <v>5444</v>
      </c>
      <c r="C9634" s="5" t="str">
        <f>IFERROR(__xludf.DUMMYFUNCTION("GOOGLETRANSLATE(B9634,""en"",""es-ES"")"),"Dos hombres están luchando contra una mesa.")</f>
        <v>Dos hombres están luchando contra una mesa.</v>
      </c>
    </row>
    <row r="9635">
      <c r="A9635" s="4" t="s">
        <v>12113</v>
      </c>
      <c r="B9635" s="4" t="s">
        <v>12114</v>
      </c>
      <c r="C9635" s="5" t="str">
        <f>IFERROR(__xludf.DUMMYFUNCTION("GOOGLETRANSLATE(B9635,""en"",""es-ES"")"),"La puerta se abre y otro hombre entra y las luchas contra el brazo.")</f>
        <v>La puerta se abre y otro hombre entra y las luchas contra el brazo.</v>
      </c>
    </row>
    <row r="9636">
      <c r="A9636" s="4" t="s">
        <v>12113</v>
      </c>
      <c r="B9636" s="4" t="s">
        <v>12115</v>
      </c>
      <c r="C9636" s="5" t="str">
        <f>IFERROR(__xludf.DUMMYFUNCTION("GOOGLETRANSLATE(B9636,""en"",""es-ES"")"),"Comienzan a pelear en la habitación.")</f>
        <v>Comienzan a pelear en la habitación.</v>
      </c>
    </row>
    <row r="9637">
      <c r="A9637" s="4" t="s">
        <v>12113</v>
      </c>
      <c r="B9637" s="4" t="s">
        <v>12116</v>
      </c>
      <c r="C9637" s="5" t="str">
        <f>IFERROR(__xludf.DUMMYFUNCTION("GOOGLETRANSLATE(B9637,""en"",""es-ES"")"),"Arman la lucha de nuevo en la mesa.")</f>
        <v>Arman la lucha de nuevo en la mesa.</v>
      </c>
    </row>
    <row r="9638">
      <c r="A9638" s="4" t="s">
        <v>12117</v>
      </c>
      <c r="B9638" s="4" t="s">
        <v>12118</v>
      </c>
      <c r="C9638" s="5" t="str">
        <f>IFERROR(__xludf.DUMMYFUNCTION("GOOGLETRANSLATE(B9638,""en"",""es-ES"")"),"La dama de rosa está bailando en el escenario.")</f>
        <v>La dama de rosa está bailando en el escenario.</v>
      </c>
    </row>
    <row r="9639">
      <c r="A9639" s="4" t="s">
        <v>12117</v>
      </c>
      <c r="B9639" s="4" t="s">
        <v>12119</v>
      </c>
      <c r="C9639" s="5" t="str">
        <f>IFERROR(__xludf.DUMMYFUNCTION("GOOGLETRANSLATE(B9639,""en"",""es-ES"")"),"El hombre está tocando un teclado, mientras el otro hombre toca el tambor.")</f>
        <v>El hombre está tocando un teclado, mientras el otro hombre toca el tambor.</v>
      </c>
    </row>
    <row r="9640">
      <c r="A9640" s="4" t="s">
        <v>12117</v>
      </c>
      <c r="B9640" s="4" t="s">
        <v>12120</v>
      </c>
      <c r="C9640" s="5" t="str">
        <f>IFERROR(__xludf.DUMMYFUNCTION("GOOGLETRANSLATE(B9640,""en"",""es-ES"")"),"La señora se dio la vuelta, girando por el escenario y sacudiendo sus caderas.")</f>
        <v>La señora se dio la vuelta, girando por el escenario y sacudiendo sus caderas.</v>
      </c>
    </row>
    <row r="9641">
      <c r="A9641" s="4" t="s">
        <v>12121</v>
      </c>
      <c r="B9641" s="4" t="s">
        <v>12122</v>
      </c>
      <c r="C9641" s="5" t="str">
        <f>IFERROR(__xludf.DUMMYFUNCTION("GOOGLETRANSLATE(B9641,""en"",""es-ES"")"),"Vemos a un baile en la portada de un libro en una calle.")</f>
        <v>Vemos a un baile en la portada de un libro en una calle.</v>
      </c>
    </row>
    <row r="9642">
      <c r="A9642" s="4" t="s">
        <v>12121</v>
      </c>
      <c r="B9642" s="4" t="s">
        <v>12123</v>
      </c>
      <c r="C9642" s="5" t="str">
        <f>IFERROR(__xludf.DUMMYFUNCTION("GOOGLETRANSLATE(B9642,""en"",""es-ES"")"),"Vemos al hombre sentado en el suelo hablando con una cámara.")</f>
        <v>Vemos al hombre sentado en el suelo hablando con una cámara.</v>
      </c>
    </row>
    <row r="9643">
      <c r="A9643" s="4" t="s">
        <v>12121</v>
      </c>
      <c r="B9643" s="4" t="s">
        <v>12124</v>
      </c>
      <c r="C9643" s="5" t="str">
        <f>IFERROR(__xludf.DUMMYFUNCTION("GOOGLETRANSLATE(B9643,""en"",""es-ES"")"),"Vemos al hombre que ilustra los movimientos de baile de break.")</f>
        <v>Vemos al hombre que ilustra los movimientos de baile de break.</v>
      </c>
    </row>
    <row r="9644">
      <c r="A9644" s="4" t="s">
        <v>12121</v>
      </c>
      <c r="B9644" s="4" t="s">
        <v>12125</v>
      </c>
      <c r="C9644" s="5" t="str">
        <f>IFERROR(__xludf.DUMMYFUNCTION("GOOGLETRANSLATE(B9644,""en"",""es-ES"")"),"El hombre está hablando y sentado quieto.")</f>
        <v>El hombre está hablando y sentado quieto.</v>
      </c>
    </row>
    <row r="9645">
      <c r="A9645" s="4" t="s">
        <v>12121</v>
      </c>
      <c r="B9645" s="4" t="s">
        <v>12126</v>
      </c>
      <c r="C9645" s="5" t="str">
        <f>IFERROR(__xludf.DUMMYFUNCTION("GOOGLETRANSLATE(B9645,""en"",""es-ES"")"),"Vemos al hombre bailar rápido.")</f>
        <v>Vemos al hombre bailar rápido.</v>
      </c>
    </row>
    <row r="9646">
      <c r="A9646" s="4" t="s">
        <v>12121</v>
      </c>
      <c r="B9646" s="4" t="s">
        <v>12127</v>
      </c>
      <c r="C9646" s="5" t="str">
        <f>IFERROR(__xludf.DUMMYFUNCTION("GOOGLETRANSLATE(B9646,""en"",""es-ES"")"),"Vemos al hombre realizar un movimiento de barrido en la pierna.")</f>
        <v>Vemos al hombre realizar un movimiento de barrido en la pierna.</v>
      </c>
    </row>
    <row r="9647">
      <c r="A9647" s="4" t="s">
        <v>12121</v>
      </c>
      <c r="B9647" s="4" t="s">
        <v>12128</v>
      </c>
      <c r="C9647" s="5" t="str">
        <f>IFERROR(__xludf.DUMMYFUNCTION("GOOGLETRANSLATE(B9647,""en"",""es-ES"")"),"Vemos una escena cerrada animada y una página de suscripción.")</f>
        <v>Vemos una escena cerrada animada y una página de suscripción.</v>
      </c>
    </row>
    <row r="9648">
      <c r="A9648" s="4" t="s">
        <v>12129</v>
      </c>
      <c r="B9648" s="4" t="s">
        <v>12130</v>
      </c>
      <c r="C9648" s="5" t="str">
        <f>IFERROR(__xludf.DUMMYFUNCTION("GOOGLETRANSLATE(B9648,""en"",""es-ES"")"),"Se ve a un hombre arrodillado junto a un neumático mientras sostiene varias herramientas.")</f>
        <v>Se ve a un hombre arrodillado junto a un neumático mientras sostiene varias herramientas.</v>
      </c>
    </row>
    <row r="9649">
      <c r="A9649" s="4" t="s">
        <v>12129</v>
      </c>
      <c r="B9649" s="4" t="s">
        <v>12131</v>
      </c>
      <c r="C9649" s="5" t="str">
        <f>IFERROR(__xludf.DUMMYFUNCTION("GOOGLETRANSLATE(B9649,""en"",""es-ES"")"),"El hombre luego se quita un cubo y lo coloca en el neumático.")</f>
        <v>El hombre luego se quita un cubo y lo coloca en el neumático.</v>
      </c>
    </row>
    <row r="9650">
      <c r="A9650" s="4" t="s">
        <v>12129</v>
      </c>
      <c r="B9650" s="4" t="s">
        <v>12132</v>
      </c>
      <c r="C9650" s="5" t="str">
        <f>IFERROR(__xludf.DUMMYFUNCTION("GOOGLETRANSLATE(B9650,""en"",""es-ES"")"),"Se vuelve para hablar con la cámara.")</f>
        <v>Se vuelve para hablar con la cámara.</v>
      </c>
    </row>
    <row r="9651">
      <c r="A9651" s="4" t="s">
        <v>12133</v>
      </c>
      <c r="B9651" s="4" t="s">
        <v>12134</v>
      </c>
      <c r="C9651" s="5" t="str">
        <f>IFERROR(__xludf.DUMMYFUNCTION("GOOGLETRANSLATE(B9651,""en"",""es-ES"")"),"Se muestra una herramienta de enlucido blanco con un mango de madera marrón.")</f>
        <v>Se muestra una herramienta de enlucido blanco con un mango de madera marrón.</v>
      </c>
    </row>
    <row r="9652">
      <c r="A9652" s="4" t="s">
        <v>12133</v>
      </c>
      <c r="B9652" s="4" t="s">
        <v>12135</v>
      </c>
      <c r="C9652" s="5" t="str">
        <f>IFERROR(__xludf.DUMMYFUNCTION("GOOGLETRANSLATE(B9652,""en"",""es-ES"")"),"Luego, una persona lo recoge y comienza a doblarlo mostrando cómo funciona el objeto.")</f>
        <v>Luego, una persona lo recoge y comienza a doblarlo mostrando cómo funciona el objeto.</v>
      </c>
    </row>
    <row r="9653">
      <c r="A9653" s="4" t="s">
        <v>12133</v>
      </c>
      <c r="B9653" s="4" t="s">
        <v>12136</v>
      </c>
      <c r="C9653" s="5" t="str">
        <f>IFERROR(__xludf.DUMMYFUNCTION("GOOGLETRANSLATE(B9653,""en"",""es-ES"")"),"Después, el objeto se demuestra en la esquina de las paredes y luego el yeso se lava en la hierba.")</f>
        <v>Después, el objeto se demuestra en la esquina de las paredes y luego el yeso se lava en la hierba.</v>
      </c>
    </row>
    <row r="9654">
      <c r="A9654" s="4" t="s">
        <v>12137</v>
      </c>
      <c r="B9654" s="4" t="s">
        <v>12138</v>
      </c>
      <c r="C9654" s="5" t="str">
        <f>IFERROR(__xludf.DUMMYFUNCTION("GOOGLETRANSLATE(B9654,""en"",""es-ES"")"),"Un hombre compite en una competencia de hombre fuerte y se encuentra en un tronco cortando con un hacha en la mano.")</f>
        <v>Un hombre compite en una competencia de hombre fuerte y se encuentra en un tronco cortando con un hacha en la mano.</v>
      </c>
    </row>
    <row r="9655">
      <c r="A9655" s="4" t="s">
        <v>12137</v>
      </c>
      <c r="B9655" s="4" t="s">
        <v>12139</v>
      </c>
      <c r="C9655" s="5" t="str">
        <f>IFERROR(__xludf.DUMMYFUNCTION("GOOGLETRANSLATE(B9655,""en"",""es-ES"")"),"El hombre finalmente divide el registro debajo de sus pies.")</f>
        <v>El hombre finalmente divide el registro debajo de sus pies.</v>
      </c>
    </row>
    <row r="9656">
      <c r="A9656" s="4" t="s">
        <v>12137</v>
      </c>
      <c r="B9656" s="4" t="s">
        <v>12140</v>
      </c>
      <c r="C9656" s="5" t="str">
        <f>IFERROR(__xludf.DUMMYFUNCTION("GOOGLETRANSLATE(B9656,""en"",""es-ES"")"),"Un segundo hombre en la competencia en el chaleco recoge y deja caer un gran peso esférico en un neumático repetidamente.")</f>
        <v>Un segundo hombre en la competencia en el chaleco recoge y deja caer un gran peso esférico en un neumático repetidamente.</v>
      </c>
    </row>
    <row r="9657">
      <c r="A9657" s="4" t="s">
        <v>12137</v>
      </c>
      <c r="B9657" s="4" t="s">
        <v>12141</v>
      </c>
      <c r="C9657" s="5" t="str">
        <f>IFERROR(__xludf.DUMMYFUNCTION("GOOGLETRANSLATE(B9657,""en"",""es-ES"")"),"Un hombre en rojo pasa a un registro y recibe un hacha por un árbitro.")</f>
        <v>Un hombre en rojo pasa a un registro y recibe un hacha por un árbitro.</v>
      </c>
    </row>
    <row r="9658">
      <c r="A9658" s="4" t="s">
        <v>12142</v>
      </c>
      <c r="B9658" s="4" t="s">
        <v>12143</v>
      </c>
      <c r="C9658" s="5" t="str">
        <f>IFERROR(__xludf.DUMMYFUNCTION("GOOGLETRANSLATE(B9658,""en"",""es-ES"")"),"Un hombre está hablando dentro de una habitación en una casa.")</f>
        <v>Un hombre está hablando dentro de una habitación en una casa.</v>
      </c>
    </row>
    <row r="9659">
      <c r="A9659" s="4" t="s">
        <v>12142</v>
      </c>
      <c r="B9659" s="4" t="s">
        <v>12144</v>
      </c>
      <c r="C9659" s="5" t="str">
        <f>IFERROR(__xludf.DUMMYFUNCTION("GOOGLETRANSLATE(B9659,""en"",""es-ES"")"),"Él está sosteniendo un palo y violín.")</f>
        <v>Él está sosteniendo un palo y violín.</v>
      </c>
    </row>
    <row r="9660">
      <c r="A9660" s="4" t="s">
        <v>12142</v>
      </c>
      <c r="B9660" s="4" t="s">
        <v>12145</v>
      </c>
      <c r="C9660" s="5" t="str">
        <f>IFERROR(__xludf.DUMMYFUNCTION("GOOGLETRANSLATE(B9660,""en"",""es-ES"")"),"Luego demuestra cómo jugar el violín.")</f>
        <v>Luego demuestra cómo jugar el violín.</v>
      </c>
    </row>
    <row r="9661">
      <c r="A9661" s="4" t="s">
        <v>12146</v>
      </c>
      <c r="B9661" s="4" t="s">
        <v>12147</v>
      </c>
      <c r="C9661" s="5" t="str">
        <f>IFERROR(__xludf.DUMMYFUNCTION("GOOGLETRANSLATE(B9661,""en"",""es-ES"")"),"Dos ciclistas profesionales están en bicicleta en el Peckham BMX Club.")</f>
        <v>Dos ciclistas profesionales están en bicicleta en el Peckham BMX Club.</v>
      </c>
    </row>
    <row r="9662">
      <c r="A9662" s="4" t="s">
        <v>12146</v>
      </c>
      <c r="B9662" s="4" t="s">
        <v>12148</v>
      </c>
      <c r="C9662" s="5" t="str">
        <f>IFERROR(__xludf.DUMMYFUNCTION("GOOGLETRANSLATE(B9662,""en"",""es-ES"")"),"Los ciclistas están pasando por una superficie frenada a toda velocidad.")</f>
        <v>Los ciclistas están pasando por una superficie frenada a toda velocidad.</v>
      </c>
    </row>
    <row r="9663">
      <c r="A9663" s="4" t="s">
        <v>12146</v>
      </c>
      <c r="B9663" s="4" t="s">
        <v>12149</v>
      </c>
      <c r="C9663" s="5" t="str">
        <f>IFERROR(__xludf.DUMMYFUNCTION("GOOGLETRANSLATE(B9663,""en"",""es-ES"")"),"Hay varios otros ciclistas que realizan la misma actividad en otra superficie curva.")</f>
        <v>Hay varios otros ciclistas que realizan la misma actividad en otra superficie curva.</v>
      </c>
    </row>
    <row r="9664">
      <c r="A9664" s="4" t="s">
        <v>12146</v>
      </c>
      <c r="B9664" s="4" t="s">
        <v>12150</v>
      </c>
      <c r="C9664" s="5" t="str">
        <f>IFERROR(__xludf.DUMMYFUNCTION("GOOGLETRANSLATE(B9664,""en"",""es-ES"")"),"Hay cinco ciclistas con cascos que están listos para comenzar una carrera.")</f>
        <v>Hay cinco ciclistas con cascos que están listos para comenzar una carrera.</v>
      </c>
    </row>
    <row r="9665">
      <c r="A9665" s="4" t="s">
        <v>12146</v>
      </c>
      <c r="B9665" s="4" t="s">
        <v>12151</v>
      </c>
      <c r="C9665" s="5" t="str">
        <f>IFERROR(__xludf.DUMMYFUNCTION("GOOGLETRANSLATE(B9665,""en"",""es-ES"")"),"Comienzan a correr a alta velocidad por un camino curvo.")</f>
        <v>Comienzan a correr a alta velocidad por un camino curvo.</v>
      </c>
    </row>
    <row r="9666">
      <c r="A9666" s="4" t="s">
        <v>12146</v>
      </c>
      <c r="B9666" s="4" t="s">
        <v>12152</v>
      </c>
      <c r="C9666" s="5" t="str">
        <f>IFERROR(__xludf.DUMMYFUNCTION("GOOGLETRANSLATE(B9666,""en"",""es-ES"")"),"Dos lotes más de corredores comienzan la misma carrera.")</f>
        <v>Dos lotes más de corredores comienzan la misma carrera.</v>
      </c>
    </row>
    <row r="9667">
      <c r="A9667" s="4" t="s">
        <v>12146</v>
      </c>
      <c r="B9667" s="4" t="s">
        <v>12153</v>
      </c>
      <c r="C9667" s="5" t="str">
        <f>IFERROR(__xludf.DUMMYFUNCTION("GOOGLETRANSLATE(B9667,""en"",""es-ES"")"),"Un solo motociclista está pasando por la carretera curva a muy alta velocidad.")</f>
        <v>Un solo motociclista está pasando por la carretera curva a muy alta velocidad.</v>
      </c>
    </row>
    <row r="9668">
      <c r="A9668" s="4" t="s">
        <v>12154</v>
      </c>
      <c r="B9668" s="4" t="s">
        <v>12155</v>
      </c>
      <c r="C9668" s="5" t="str">
        <f>IFERROR(__xludf.DUMMYFUNCTION("GOOGLETRANSLATE(B9668,""en"",""es-ES"")"),"Una persona realiza un tablero de vigilia con una cuerda de agua de esquí.")</f>
        <v>Una persona realiza un tablero de vigilia con una cuerda de agua de esquí.</v>
      </c>
    </row>
    <row r="9669">
      <c r="A9669" s="4" t="s">
        <v>12154</v>
      </c>
      <c r="B9669" s="4" t="s">
        <v>12156</v>
      </c>
      <c r="C9669" s="5" t="str">
        <f>IFERROR(__xludf.DUMMYFUNCTION("GOOGLETRANSLATE(B9669,""en"",""es-ES"")"),"El hombre salta un obstáculo varias veces y aterriza en el agua.")</f>
        <v>El hombre salta un obstáculo varias veces y aterriza en el agua.</v>
      </c>
    </row>
    <row r="9670">
      <c r="A9670" s="4" t="s">
        <v>12154</v>
      </c>
      <c r="B9670" s="4" t="s">
        <v>12157</v>
      </c>
      <c r="C9670" s="5" t="str">
        <f>IFERROR(__xludf.DUMMYFUNCTION("GOOGLETRANSLATE(B9670,""en"",""es-ES"")"),"Luego, el hombre salta el obstáculo y gira.")</f>
        <v>Luego, el hombre salta el obstáculo y gira.</v>
      </c>
    </row>
    <row r="9671">
      <c r="A9671" s="4" t="s">
        <v>12154</v>
      </c>
      <c r="B9671" s="4" t="s">
        <v>12158</v>
      </c>
      <c r="C9671" s="5" t="str">
        <f>IFERROR(__xludf.DUMMYFUNCTION("GOOGLETRANSLATE(B9671,""en"",""es-ES"")"),"Luego, el hombre se desliza sobre rampas mientras voltea en el aire.")</f>
        <v>Luego, el hombre se desliza sobre rampas mientras voltea en el aire.</v>
      </c>
    </row>
    <row r="9672">
      <c r="A9672" s="4" t="s">
        <v>12159</v>
      </c>
      <c r="B9672" s="4" t="s">
        <v>12160</v>
      </c>
      <c r="C9672" s="5" t="str">
        <f>IFERROR(__xludf.DUMMYFUNCTION("GOOGLETRANSLATE(B9672,""en"",""es-ES"")"),"Un hombre hace ejercicio haciendo estiramientos animados en una puerta mientras sostiene una raqueta de tenis.")</f>
        <v>Un hombre hace ejercicio haciendo estiramientos animados en una puerta mientras sostiene una raqueta de tenis.</v>
      </c>
    </row>
    <row r="9673">
      <c r="A9673" s="4" t="s">
        <v>12159</v>
      </c>
      <c r="B9673" s="4" t="s">
        <v>12161</v>
      </c>
      <c r="C9673" s="5" t="str">
        <f>IFERROR(__xludf.DUMMYFUNCTION("GOOGLETRANSLATE(B9673,""en"",""es-ES"")"),"Una mujer se acerca a él y los dos comienzan a hablar.")</f>
        <v>Una mujer se acerca a él y los dos comienzan a hablar.</v>
      </c>
    </row>
    <row r="9674">
      <c r="A9674" s="4" t="s">
        <v>12159</v>
      </c>
      <c r="B9674" s="4" t="s">
        <v>12162</v>
      </c>
      <c r="C9674" s="5" t="str">
        <f>IFERROR(__xludf.DUMMYFUNCTION("GOOGLETRANSLATE(B9674,""en"",""es-ES"")"),"El hombre y la mujer comienzan a jugar al tenis en una sala de gimnasia cerrada golpeando la pelota de tenis contra una pared con su raqueta de tenis.")</f>
        <v>El hombre y la mujer comienzan a jugar al tenis en una sala de gimnasia cerrada golpeando la pelota de tenis contra una pared con su raqueta de tenis.</v>
      </c>
    </row>
    <row r="9675">
      <c r="A9675" s="4" t="s">
        <v>12159</v>
      </c>
      <c r="B9675" s="4" t="s">
        <v>12163</v>
      </c>
      <c r="C9675" s="5" t="str">
        <f>IFERROR(__xludf.DUMMYFUNCTION("GOOGLETRANSLATE(B9675,""en"",""es-ES"")"),"El hombre se vuelve furioso mientras juega y comienza a pisotear, gritar, hacer gestos y empujar a la mujer al suelo cuando cae mientras juegan el juego.")</f>
        <v>El hombre se vuelve furioso mientras juega y comienza a pisotear, gritar, hacer gestos y empujar a la mujer al suelo cuando cae mientras juegan el juego.</v>
      </c>
    </row>
    <row r="9676">
      <c r="A9676" s="4" t="s">
        <v>12159</v>
      </c>
      <c r="B9676" s="4" t="s">
        <v>12164</v>
      </c>
      <c r="C9676" s="5" t="str">
        <f>IFERROR(__xludf.DUMMYFUNCTION("GOOGLETRANSLATE(B9676,""en"",""es-ES"")"),"Cuando el juego termina, la mujer se va, luciendo molesta y el hombre se ve satisfecho cuando comienza a hacer estiramientos salvajes frente a la puerta y hablando con otra persona.")</f>
        <v>Cuando el juego termina, la mujer se va, luciendo molesta y el hombre se ve satisfecho cuando comienza a hacer estiramientos salvajes frente a la puerta y hablando con otra persona.</v>
      </c>
    </row>
    <row r="9677">
      <c r="A9677" s="4" t="s">
        <v>12165</v>
      </c>
      <c r="B9677" s="4" t="s">
        <v>12166</v>
      </c>
      <c r="C9677" s="5" t="str">
        <f>IFERROR(__xludf.DUMMYFUNCTION("GOOGLETRANSLATE(B9677,""en"",""es-ES"")"),"Una niña está parada encima de un rayo de equilibrio.")</f>
        <v>Una niña está parada encima de un rayo de equilibrio.</v>
      </c>
    </row>
    <row r="9678">
      <c r="A9678" s="4" t="s">
        <v>12165</v>
      </c>
      <c r="B9678" s="4" t="s">
        <v>12167</v>
      </c>
      <c r="C9678" s="5" t="str">
        <f>IFERROR(__xludf.DUMMYFUNCTION("GOOGLETRANSLATE(B9678,""en"",""es-ES"")"),"Ella avanza las volteretas sobre la viga.")</f>
        <v>Ella avanza las volteretas sobre la viga.</v>
      </c>
    </row>
    <row r="9679">
      <c r="A9679" s="4" t="s">
        <v>12165</v>
      </c>
      <c r="B9679" s="4" t="s">
        <v>12168</v>
      </c>
      <c r="C9679" s="5" t="str">
        <f>IFERROR(__xludf.DUMMYFUNCTION("GOOGLETRANSLATE(B9679,""en"",""es-ES"")"),"Ella mira mientras otras chicas hacen lo mismo.")</f>
        <v>Ella mira mientras otras chicas hacen lo mismo.</v>
      </c>
    </row>
    <row r="9680">
      <c r="A9680" s="4" t="s">
        <v>12169</v>
      </c>
      <c r="B9680" s="4" t="s">
        <v>12170</v>
      </c>
      <c r="C9680" s="5" t="str">
        <f>IFERROR(__xludf.DUMMYFUNCTION("GOOGLETRANSLATE(B9680,""en"",""es-ES"")"),"Hay un niño jugando lacrosse en su patio delantero.")</f>
        <v>Hay un niño jugando lacrosse en su patio delantero.</v>
      </c>
    </row>
    <row r="9681">
      <c r="A9681" s="4" t="s">
        <v>12169</v>
      </c>
      <c r="B9681" s="4" t="s">
        <v>12171</v>
      </c>
      <c r="C9681" s="5" t="str">
        <f>IFERROR(__xludf.DUMMYFUNCTION("GOOGLETRANSLATE(B9681,""en"",""es-ES"")"),"Está sosteniendo un palo de lacrosse amarillo.")</f>
        <v>Está sosteniendo un palo de lacrosse amarillo.</v>
      </c>
    </row>
    <row r="9682">
      <c r="A9682" s="4" t="s">
        <v>12169</v>
      </c>
      <c r="B9682" s="4" t="s">
        <v>12172</v>
      </c>
      <c r="C9682" s="5" t="str">
        <f>IFERROR(__xludf.DUMMYFUNCTION("GOOGLETRANSLATE(B9682,""en"",""es-ES"")"),"Está emocionado mientras juega el juego mientras su madre lo anima a jugar.")</f>
        <v>Está emocionado mientras juega el juego mientras su madre lo anima a jugar.</v>
      </c>
    </row>
    <row r="9683">
      <c r="A9683" s="4" t="s">
        <v>12169</v>
      </c>
      <c r="B9683" s="4" t="s">
        <v>12173</v>
      </c>
      <c r="C9683" s="5" t="str">
        <f>IFERROR(__xludf.DUMMYFUNCTION("GOOGLETRANSLATE(B9683,""en"",""es-ES"")"),"Él recoge la bola amarilla y la arroja a su padre.")</f>
        <v>Él recoge la bola amarilla y la arroja a su padre.</v>
      </c>
    </row>
    <row r="9684">
      <c r="A9684" s="4" t="s">
        <v>12169</v>
      </c>
      <c r="B9684" s="4" t="s">
        <v>12174</v>
      </c>
      <c r="C9684" s="5" t="str">
        <f>IFERROR(__xludf.DUMMYFUNCTION("GOOGLETRANSLATE(B9684,""en"",""es-ES"")"),"Cuando su padre le arroja la pelota, la atrapa con el palo de lacrosse.")</f>
        <v>Cuando su padre le arroja la pelota, la atrapa con el palo de lacrosse.</v>
      </c>
    </row>
    <row r="9685">
      <c r="A9685" s="4" t="s">
        <v>12169</v>
      </c>
      <c r="B9685" s="4" t="s">
        <v>12175</v>
      </c>
      <c r="C9685" s="5" t="str">
        <f>IFERROR(__xludf.DUMMYFUNCTION("GOOGLETRANSLATE(B9685,""en"",""es-ES"")"),"Su madre se emociona y le grita.")</f>
        <v>Su madre se emociona y le grita.</v>
      </c>
    </row>
    <row r="9686">
      <c r="A9686" s="4" t="s">
        <v>12176</v>
      </c>
      <c r="B9686" s="4" t="s">
        <v>12177</v>
      </c>
      <c r="C9686" s="5" t="str">
        <f>IFERROR(__xludf.DUMMYFUNCTION("GOOGLETRANSLATE(B9686,""en"",""es-ES"")"),"Una mujer intenta quitarle el café de un compartimento de guante, pero no se moverá.")</f>
        <v>Una mujer intenta quitarle el café de un compartimento de guante, pero no se moverá.</v>
      </c>
    </row>
    <row r="9687">
      <c r="A9687" s="4" t="s">
        <v>12176</v>
      </c>
      <c r="B9687" s="4" t="s">
        <v>12178</v>
      </c>
      <c r="C9687" s="5" t="str">
        <f>IFERROR(__xludf.DUMMYFUNCTION("GOOGLETRANSLATE(B9687,""en"",""es-ES"")"),"Ella se inclina hacia adelante, agitando al camarógrafo mientras trata de tomar una copa.")</f>
        <v>Ella se inclina hacia adelante, agitando al camarógrafo mientras trata de tomar una copa.</v>
      </c>
    </row>
    <row r="9688">
      <c r="A9688" s="4" t="s">
        <v>12176</v>
      </c>
      <c r="B9688" s="4" t="s">
        <v>12179</v>
      </c>
      <c r="C9688" s="5" t="str">
        <f>IFERROR(__xludf.DUMMYFUNCTION("GOOGLETRANSLATE(B9688,""en"",""es-ES"")"),"Ella finalmente puede quitar la taza.")</f>
        <v>Ella finalmente puede quitar la taza.</v>
      </c>
    </row>
    <row r="9689">
      <c r="A9689" s="4" t="s">
        <v>12180</v>
      </c>
      <c r="B9689" s="4" t="s">
        <v>12181</v>
      </c>
      <c r="C9689" s="5" t="str">
        <f>IFERROR(__xludf.DUMMYFUNCTION("GOOGLETRANSLATE(B9689,""en"",""es-ES"")"),"Se ve a un hombre agarrando un disco y rizando a lo largo del hielo frente a los demás.")</f>
        <v>Se ve a un hombre agarrando un disco y rizando a lo largo del hielo frente a los demás.</v>
      </c>
    </row>
    <row r="9690">
      <c r="A9690" s="4" t="s">
        <v>12180</v>
      </c>
      <c r="B9690" s="4" t="s">
        <v>12182</v>
      </c>
      <c r="C9690" s="5" t="str">
        <f>IFERROR(__xludf.DUMMYFUNCTION("GOOGLETRANSLATE(B9690,""en"",""es-ES"")"),"La gente empuja el disco por el hielo y celebra entre sí.")</f>
        <v>La gente empuja el disco por el hielo y celebra entre sí.</v>
      </c>
    </row>
    <row r="9691">
      <c r="A9691" s="4" t="s">
        <v>12180</v>
      </c>
      <c r="B9691" s="4" t="s">
        <v>12183</v>
      </c>
      <c r="C9691" s="5" t="str">
        <f>IFERROR(__xludf.DUMMYFUNCTION("GOOGLETRANSLATE(B9691,""en"",""es-ES"")"),"La gente al margen anima y los hombres se alejan.")</f>
        <v>La gente al margen anima y los hombres se alejan.</v>
      </c>
    </row>
    <row r="9692">
      <c r="A9692" s="4" t="s">
        <v>12184</v>
      </c>
      <c r="B9692" s="4" t="s">
        <v>12185</v>
      </c>
      <c r="C9692" s="5" t="str">
        <f>IFERROR(__xludf.DUMMYFUNCTION("GOOGLETRANSLATE(B9692,""en"",""es-ES"")"),"Un grupo de hombres realiza saltos de corre de estilo libre por toda la ciudad.")</f>
        <v>Un grupo de hombres realiza saltos de corre de estilo libre por toda la ciudad.</v>
      </c>
    </row>
    <row r="9693">
      <c r="A9693" s="4" t="s">
        <v>12184</v>
      </c>
      <c r="B9693" s="4" t="s">
        <v>12186</v>
      </c>
      <c r="C9693" s="5" t="str">
        <f>IFERROR(__xludf.DUMMYFUNCTION("GOOGLETRANSLATE(B9693,""en"",""es-ES"")"),"Los hombres corren juntos en un grupo.")</f>
        <v>Los hombres corren juntos en un grupo.</v>
      </c>
    </row>
    <row r="9694">
      <c r="A9694" s="4" t="s">
        <v>12184</v>
      </c>
      <c r="B9694" s="4" t="s">
        <v>12187</v>
      </c>
      <c r="C9694" s="5" t="str">
        <f>IFERROR(__xludf.DUMMYFUNCTION("GOOGLETRANSLATE(B9694,""en"",""es-ES"")"),"Cada hombre hace un conjunto de saltos múltiples en una línea continua.")</f>
        <v>Cada hombre hace un conjunto de saltos múltiples en una línea continua.</v>
      </c>
    </row>
    <row r="9695">
      <c r="A9695" s="4" t="s">
        <v>12184</v>
      </c>
      <c r="B9695" s="4" t="s">
        <v>12188</v>
      </c>
      <c r="C9695" s="5" t="str">
        <f>IFERROR(__xludf.DUMMYFUNCTION("GOOGLETRANSLATE(B9695,""en"",""es-ES"")"),"La filmación es interrumpida por el personal de construcción.")</f>
        <v>La filmación es interrumpida por el personal de construcción.</v>
      </c>
    </row>
    <row r="9696">
      <c r="A9696" s="4" t="s">
        <v>12189</v>
      </c>
      <c r="B9696" s="4" t="s">
        <v>12190</v>
      </c>
      <c r="C9696" s="5" t="str">
        <f>IFERROR(__xludf.DUMMYFUNCTION("GOOGLETRANSLATE(B9696,""en"",""es-ES"")"),"Se ve a una mujer caminando hacia el marco y asintiendo con la cabeza a la cámara que lo lleva a la boca de la boca y hacia la boca.")</f>
        <v>Se ve a una mujer caminando hacia el marco y asintiendo con la cabeza a la cámara que lo lleva a la boca de la boca y hacia la boca.</v>
      </c>
    </row>
    <row r="9697">
      <c r="A9697" s="4" t="s">
        <v>12189</v>
      </c>
      <c r="B9697" s="4" t="s">
        <v>12191</v>
      </c>
      <c r="C9697" s="5" t="str">
        <f>IFERROR(__xludf.DUMMYFUNCTION("GOOGLETRANSLATE(B9697,""en"",""es-ES"")"),"Ella enjuague el enjuague bucal, gorgita el líquido en su boca, luego lo escupe y sonríe.")</f>
        <v>Ella enjuague el enjuague bucal, gorgita el líquido en su boca, luego lo escupe y sonríe.</v>
      </c>
    </row>
    <row r="9698">
      <c r="A9698" s="4" t="s">
        <v>12192</v>
      </c>
      <c r="B9698" s="4" t="s">
        <v>12193</v>
      </c>
      <c r="C9698" s="5" t="str">
        <f>IFERROR(__xludf.DUMMYFUNCTION("GOOGLETRANSLATE(B9698,""en"",""es-ES"")"),"Un joven se encuentra en la línea de salida de una piscina.")</f>
        <v>Un joven se encuentra en la línea de salida de una piscina.</v>
      </c>
    </row>
    <row r="9699">
      <c r="A9699" s="4" t="s">
        <v>12192</v>
      </c>
      <c r="B9699" s="4" t="s">
        <v>12194</v>
      </c>
      <c r="C9699" s="5" t="str">
        <f>IFERROR(__xludf.DUMMYFUNCTION("GOOGLETRANSLATE(B9699,""en"",""es-ES"")"),"Luego, el joven se mete en el agua y nada al otro lado del tirón.")</f>
        <v>Luego, el joven se mete en el agua y nada al otro lado del tirón.</v>
      </c>
    </row>
    <row r="9700">
      <c r="A9700" s="4" t="s">
        <v>12192</v>
      </c>
      <c r="B9700" s="4" t="s">
        <v>12195</v>
      </c>
      <c r="C9700" s="5" t="str">
        <f>IFERROR(__xludf.DUMMYFUNCTION("GOOGLETRANSLATE(B9700,""en"",""es-ES"")"),"Después, el joven sale de la piscina.")</f>
        <v>Después, el joven sale de la piscina.</v>
      </c>
    </row>
    <row r="9701">
      <c r="A9701" s="4" t="s">
        <v>12196</v>
      </c>
      <c r="B9701" s="4" t="s">
        <v>12197</v>
      </c>
      <c r="C9701" s="5" t="str">
        <f>IFERROR(__xludf.DUMMYFUNCTION("GOOGLETRANSLATE(B9701,""en"",""es-ES"")"),"Dos hombres se están duchando en una ducha exterior.")</f>
        <v>Dos hombres se están duchando en una ducha exterior.</v>
      </c>
    </row>
    <row r="9702">
      <c r="A9702" s="4" t="s">
        <v>12196</v>
      </c>
      <c r="B9702" s="4" t="s">
        <v>12198</v>
      </c>
      <c r="C9702" s="5" t="str">
        <f>IFERROR(__xludf.DUMMYFUNCTION("GOOGLETRANSLATE(B9702,""en"",""es-ES"")"),"La gente juega polo de agua en el agua.")</f>
        <v>La gente juega polo de agua en el agua.</v>
      </c>
    </row>
    <row r="9703">
      <c r="A9703" s="4" t="s">
        <v>12196</v>
      </c>
      <c r="B9703" s="4" t="s">
        <v>12199</v>
      </c>
      <c r="C9703" s="5" t="str">
        <f>IFERROR(__xludf.DUMMYFUNCTION("GOOGLETRANSLATE(B9703,""en"",""es-ES"")"),"Salen del agua y caminan al lado de la piscina.")</f>
        <v>Salen del agua y caminan al lado de la piscina.</v>
      </c>
    </row>
    <row r="9704">
      <c r="A9704" s="4" t="s">
        <v>12200</v>
      </c>
      <c r="B9704" s="4" t="s">
        <v>12201</v>
      </c>
      <c r="C9704" s="5" t="str">
        <f>IFERROR(__xludf.DUMMYFUNCTION("GOOGLETRANSLATE(B9704,""en"",""es-ES"")"),"Un grupo de mujeres se reúne en un gimnasio interior.")</f>
        <v>Un grupo de mujeres se reúne en un gimnasio interior.</v>
      </c>
    </row>
    <row r="9705">
      <c r="A9705" s="4" t="s">
        <v>12200</v>
      </c>
      <c r="B9705" s="4" t="s">
        <v>12202</v>
      </c>
      <c r="C9705" s="5" t="str">
        <f>IFERROR(__xludf.DUMMYFUNCTION("GOOGLETRANSLATE(B9705,""en"",""es-ES"")"),"Están siendo dirigidos por un instructor.")</f>
        <v>Están siendo dirigidos por un instructor.</v>
      </c>
    </row>
    <row r="9706">
      <c r="A9706" s="4" t="s">
        <v>12200</v>
      </c>
      <c r="B9706" s="4" t="s">
        <v>12203</v>
      </c>
      <c r="C9706" s="5" t="str">
        <f>IFERROR(__xludf.DUMMYFUNCTION("GOOGLETRANSLATE(B9706,""en"",""es-ES"")"),"Están haciendo bailes de zumba usando esteperios.")</f>
        <v>Están haciendo bailes de zumba usando esteperios.</v>
      </c>
    </row>
    <row r="9707">
      <c r="A9707" s="4" t="s">
        <v>12204</v>
      </c>
      <c r="B9707" s="4" t="s">
        <v>12205</v>
      </c>
      <c r="C9707" s="5" t="str">
        <f>IFERROR(__xludf.DUMMYFUNCTION("GOOGLETRANSLATE(B9707,""en"",""es-ES"")"),"Una línea de cuchillos y utensilios de corte están en una mesa.")</f>
        <v>Una línea de cuchillos y utensilios de corte están en una mesa.</v>
      </c>
    </row>
    <row r="9708">
      <c r="A9708" s="4" t="s">
        <v>12204</v>
      </c>
      <c r="B9708" s="4" t="s">
        <v>12206</v>
      </c>
      <c r="C9708" s="5" t="str">
        <f>IFERROR(__xludf.DUMMYFUNCTION("GOOGLETRANSLATE(B9708,""en"",""es-ES"")"),"Una mujer está cortando la parte superior de una calabaza y arrastrando las semillas en un tazón.")</f>
        <v>Una mujer está cortando la parte superior de una calabaza y arrastrando las semillas en un tazón.</v>
      </c>
    </row>
    <row r="9709">
      <c r="A9709" s="4" t="s">
        <v>12204</v>
      </c>
      <c r="B9709" s="4" t="s">
        <v>12207</v>
      </c>
      <c r="C9709" s="5" t="str">
        <f>IFERROR(__xludf.DUMMYFUNCTION("GOOGLETRANSLATE(B9709,""en"",""es-ES"")"),"Luego comienza a destripar las semillas de la calabaza.")</f>
        <v>Luego comienza a destripar las semillas de la calabaza.</v>
      </c>
    </row>
    <row r="9710">
      <c r="A9710" s="4" t="s">
        <v>12204</v>
      </c>
      <c r="B9710" s="4" t="s">
        <v>12208</v>
      </c>
      <c r="C9710" s="5" t="str">
        <f>IFERROR(__xludf.DUMMYFUNCTION("GOOGLETRANSLATE(B9710,""en"",""es-ES"")"),"Ella dibuja una cara en el exterior antes de usar un cuchillo para comenzar a tallar la cara de su calabaza.")</f>
        <v>Ella dibuja una cara en el exterior antes de usar un cuchillo para comenzar a tallar la cara de su calabaza.</v>
      </c>
    </row>
    <row r="9711">
      <c r="A9711" s="4" t="s">
        <v>12204</v>
      </c>
      <c r="B9711" s="4" t="s">
        <v>12209</v>
      </c>
      <c r="C9711" s="5" t="str">
        <f>IFERROR(__xludf.DUMMYFUNCTION("GOOGLETRANSLATE(B9711,""en"",""es-ES"")"),"Finalmente coloca la parte superior en su lugar y pone una vela adentro.")</f>
        <v>Finalmente coloca la parte superior en su lugar y pone una vela adentro.</v>
      </c>
    </row>
    <row r="9712">
      <c r="A9712" s="4" t="s">
        <v>12210</v>
      </c>
      <c r="B9712" s="4" t="s">
        <v>12211</v>
      </c>
      <c r="C9712" s="5" t="str">
        <f>IFERROR(__xludf.DUMMYFUNCTION("GOOGLETRANSLATE(B9712,""en"",""es-ES"")"),"Michele Obama y otra mujer están hula afuera en un día soleado.")</f>
        <v>Michele Obama y otra mujer están hula afuera en un día soleado.</v>
      </c>
    </row>
    <row r="9713">
      <c r="A9713" s="4" t="s">
        <v>12210</v>
      </c>
      <c r="B9713" s="4" t="s">
        <v>12212</v>
      </c>
      <c r="C9713" s="5" t="str">
        <f>IFERROR(__xludf.DUMMYFUNCTION("GOOGLETRANSLATE(B9713,""en"",""es-ES"")"),"A medida que la cámara se acerca a un niño y otra mujer a un lado, también se ve hula hooping mientras las personas detrás de pasar.")</f>
        <v>A medida que la cámara se acerca a un niño y otra mujer a un lado, también se ve hula hooping mientras las personas detrás de pasar.</v>
      </c>
    </row>
    <row r="9714">
      <c r="A9714" s="4" t="s">
        <v>12210</v>
      </c>
      <c r="B9714" s="4" t="s">
        <v>12213</v>
      </c>
      <c r="C9714" s="5" t="str">
        <f>IFERROR(__xludf.DUMMYFUNCTION("GOOGLETRANSLATE(B9714,""en"",""es-ES"")"),"Un primer plano de regreso a la cara de Michele Obama, donde parece que está haciendo un entrenamiento bastante, haciendo una sonrisa en su rostro.")</f>
        <v>Un primer plano de regreso a la cara de Michele Obama, donde parece que está haciendo un entrenamiento bastante, haciendo una sonrisa en su rostro.</v>
      </c>
    </row>
    <row r="9715">
      <c r="A9715" s="4" t="s">
        <v>12210</v>
      </c>
      <c r="B9715" s="4" t="s">
        <v>12214</v>
      </c>
      <c r="C9715" s="5" t="str">
        <f>IFERROR(__xludf.DUMMYFUNCTION("GOOGLETRANSLATE(B9715,""en"",""es-ES"")"),"La cámara se reduce solo a las dos caderas de las dos mujeres con los Hula Hoops como al principio y retrocede en su mayoría solo viendo la cara de Michele.")</f>
        <v>La cámara se reduce solo a las dos caderas de las dos mujeres con los Hula Hoops como al principio y retrocede en su mayoría solo viendo la cara de Michele.</v>
      </c>
    </row>
    <row r="9716">
      <c r="A9716" s="4" t="s">
        <v>12210</v>
      </c>
      <c r="B9716" s="4" t="s">
        <v>12215</v>
      </c>
      <c r="C9716" s="5" t="str">
        <f>IFERROR(__xludf.DUMMYFUNCTION("GOOGLETRANSLATE(B9716,""en"",""es-ES"")"),"Michele ahora corre y salta a una jumprope donde no pudo saltar con éxito en la cuerda de salto dos veces, ambas veces se ven avergonzadas.")</f>
        <v>Michele ahora corre y salta a una jumprope donde no pudo saltar con éxito en la cuerda de salto dos veces, ambas veces se ven avergonzadas.</v>
      </c>
    </row>
    <row r="9717">
      <c r="A9717" s="4" t="s">
        <v>12210</v>
      </c>
      <c r="B9717" s="4" t="s">
        <v>12216</v>
      </c>
      <c r="C9717" s="5" t="str">
        <f>IFERROR(__xludf.DUMMYFUNCTION("GOOGLETRANSLATE(B9717,""en"",""es-ES"")"),"La tercera vez que se prepara y corre hacia la cuerda de salto saltando con éxito un par de veces antes de no poder hacerlo.")</f>
        <v>La tercera vez que se prepara y corre hacia la cuerda de salto saltando con éxito un par de veces antes de no poder hacerlo.</v>
      </c>
    </row>
    <row r="9718">
      <c r="A9718" s="4" t="s">
        <v>12210</v>
      </c>
      <c r="B9718" s="4" t="s">
        <v>12217</v>
      </c>
      <c r="C9718" s="5" t="str">
        <f>IFERROR(__xludf.DUMMYFUNCTION("GOOGLETRANSLATE(B9718,""en"",""es-ES"")"),"Ahora Michele está corriendo a través de un curso de pie en el suelo, mientras un joven se arrastra detrás.")</f>
        <v>Ahora Michele está corriendo a través de un curso de pie en el suelo, mientras un joven se arrastra detrás.</v>
      </c>
    </row>
    <row r="9719">
      <c r="A9719" s="4" t="s">
        <v>12210</v>
      </c>
      <c r="B9719" s="4" t="s">
        <v>12218</v>
      </c>
      <c r="C9719" s="5" t="str">
        <f>IFERROR(__xludf.DUMMYFUNCTION("GOOGLETRANSLATE(B9719,""en"",""es-ES"")"),"Ahora va y viene a través de otro obstáculo de palos y corre hacia el bosque, donde se detiene y señala.")</f>
        <v>Ahora va y viene a través de otro obstáculo de palos y corre hacia el bosque, donde se detiene y señala.</v>
      </c>
    </row>
    <row r="9720">
      <c r="A9720" s="4" t="s">
        <v>12210</v>
      </c>
      <c r="B9720" s="4" t="s">
        <v>12219</v>
      </c>
      <c r="C9720" s="5" t="str">
        <f>IFERROR(__xludf.DUMMYFUNCTION("GOOGLETRANSLATE(B9720,""en"",""es-ES"")"),"Ella corre por todo el campo, dando altos cinco a personas al azar en el campo a su llegada.")</f>
        <v>Ella corre por todo el campo, dando altos cinco a personas al azar en el campo a su llegada.</v>
      </c>
    </row>
    <row r="9721">
      <c r="A9721" s="4" t="s">
        <v>12220</v>
      </c>
      <c r="B9721" s="4" t="s">
        <v>12221</v>
      </c>
      <c r="C9721" s="5" t="str">
        <f>IFERROR(__xludf.DUMMYFUNCTION("GOOGLETRANSLATE(B9721,""en"",""es-ES"")"),"Las manos de una persona se ven de cerca resolviendo un cubo Rubix seguido de un hombre que habla con la cámara.")</f>
        <v>Las manos de una persona se ven de cerca resolviendo un cubo Rubix seguido de un hombre que habla con la cámara.</v>
      </c>
    </row>
    <row r="9722">
      <c r="A9722" s="4" t="s">
        <v>12220</v>
      </c>
      <c r="B9722" s="4" t="s">
        <v>12222</v>
      </c>
      <c r="C9722" s="5" t="str">
        <f>IFERROR(__xludf.DUMMYFUNCTION("GOOGLETRANSLATE(B9722,""en"",""es-ES"")"),"Luego, el hombre resuelve una persiana de Rubix Cube doblada mientras un temporizador captura su puntaje.")</f>
        <v>Luego, el hombre resuelve una persiana de Rubix Cube doblada mientras un temporizador captura su puntaje.</v>
      </c>
    </row>
    <row r="9723">
      <c r="A9723" s="4" t="s">
        <v>12220</v>
      </c>
      <c r="B9723" s="4" t="s">
        <v>12223</v>
      </c>
      <c r="C9723" s="5" t="str">
        <f>IFERROR(__xludf.DUMMYFUNCTION("GOOGLETRANSLATE(B9723,""en"",""es-ES"")"),"Termina el cubo y se quita el tocado al final.")</f>
        <v>Termina el cubo y se quita el tocado al final.</v>
      </c>
    </row>
    <row r="9724">
      <c r="A9724" s="4" t="s">
        <v>12224</v>
      </c>
      <c r="B9724" s="4" t="s">
        <v>12225</v>
      </c>
      <c r="C9724" s="5" t="str">
        <f>IFERROR(__xludf.DUMMYFUNCTION("GOOGLETRANSLATE(B9724,""en"",""es-ES"")"),"Snowboarder está en gran campo en nieve blanca.")</f>
        <v>Snowboarder está en gran campo en nieve blanca.</v>
      </c>
    </row>
    <row r="9725">
      <c r="A9725" s="4" t="s">
        <v>12224</v>
      </c>
      <c r="B9725" s="4" t="s">
        <v>12226</v>
      </c>
      <c r="C9725" s="5" t="str">
        <f>IFERROR(__xludf.DUMMYFUNCTION("GOOGLETRANSLATE(B9725,""en"",""es-ES"")"),"Un cubículo en la montaña y deslizarse por la montaña en snowboard.")</f>
        <v>Un cubículo en la montaña y deslizarse por la montaña en snowboard.</v>
      </c>
    </row>
    <row r="9726">
      <c r="A9726" s="4" t="s">
        <v>12224</v>
      </c>
      <c r="B9726" s="4" t="s">
        <v>12227</v>
      </c>
      <c r="C9726" s="5" t="str">
        <f>IFERROR(__xludf.DUMMYFUNCTION("GOOGLETRANSLATE(B9726,""en"",""es-ES"")"),"La gente está en cubículo y se mueve por la montaña en snowboard y pasa por un estacionamiento.")</f>
        <v>La gente está en cubículo y se mueve por la montaña en snowboard y pasa por un estacionamiento.</v>
      </c>
    </row>
    <row r="9727">
      <c r="A9727" s="4" t="s">
        <v>12228</v>
      </c>
      <c r="B9727" s="4" t="s">
        <v>12229</v>
      </c>
      <c r="C9727" s="5" t="str">
        <f>IFERROR(__xludf.DUMMYFUNCTION("GOOGLETRANSLATE(B9727,""en"",""es-ES"")"),"Dos jóvenes se unen y mantienen dinero.")</f>
        <v>Dos jóvenes se unen y mantienen dinero.</v>
      </c>
    </row>
    <row r="9728">
      <c r="A9728" s="4" t="s">
        <v>12228</v>
      </c>
      <c r="B9728" s="4" t="s">
        <v>12230</v>
      </c>
      <c r="C9728" s="5" t="str">
        <f>IFERROR(__xludf.DUMMYFUNCTION("GOOGLETRANSLATE(B9728,""en"",""es-ES"")"),"Los jóvenes hablan con un hombre sin hogar y le dan la mano.")</f>
        <v>Los jóvenes hablan con un hombre sin hogar y le dan la mano.</v>
      </c>
    </row>
    <row r="9729">
      <c r="A9729" s="4" t="s">
        <v>12228</v>
      </c>
      <c r="B9729" s="4" t="s">
        <v>12231</v>
      </c>
      <c r="C9729" s="5" t="str">
        <f>IFERROR(__xludf.DUMMYFUNCTION("GOOGLETRANSLATE(B9729,""en"",""es-ES"")"),"Los hombres hablan con un joven sin hogar sentado afuera de una tienda.")</f>
        <v>Los hombres hablan con un joven sin hogar sentado afuera de una tienda.</v>
      </c>
    </row>
    <row r="9730">
      <c r="A9730" s="4" t="s">
        <v>12228</v>
      </c>
      <c r="B9730" s="4" t="s">
        <v>12232</v>
      </c>
      <c r="C9730" s="5" t="str">
        <f>IFERROR(__xludf.DUMMYFUNCTION("GOOGLETRANSLATE(B9730,""en"",""es-ES"")"),"Todo el grupo camina juntos por una calle.")</f>
        <v>Todo el grupo camina juntos por una calle.</v>
      </c>
    </row>
    <row r="9731">
      <c r="A9731" s="4" t="s">
        <v>12228</v>
      </c>
      <c r="B9731" s="4" t="s">
        <v>12233</v>
      </c>
      <c r="C9731" s="5" t="str">
        <f>IFERROR(__xludf.DUMMYFUNCTION("GOOGLETRANSLATE(B9731,""en"",""es-ES"")"),"Los hombres tienen un concurso de lucha libre de brazos en un patio exterior.")</f>
        <v>Los hombres tienen un concurso de lucha libre de brazos en un patio exterior.</v>
      </c>
    </row>
    <row r="9732">
      <c r="A9732" s="4" t="s">
        <v>12228</v>
      </c>
      <c r="B9732" s="4" t="s">
        <v>12234</v>
      </c>
      <c r="C9732" s="5" t="str">
        <f>IFERROR(__xludf.DUMMYFUNCTION("GOOGLETRANSLATE(B9732,""en"",""es-ES"")"),"El hombre gana y ambos concursantes reciben premios en dinero.")</f>
        <v>El hombre gana y ambos concursantes reciben premios en dinero.</v>
      </c>
    </row>
    <row r="9733">
      <c r="A9733" s="4" t="s">
        <v>12235</v>
      </c>
      <c r="B9733" s="4" t="s">
        <v>12236</v>
      </c>
      <c r="C9733" s="5" t="str">
        <f>IFERROR(__xludf.DUMMYFUNCTION("GOOGLETRANSLATE(B9733,""en"",""es-ES"")"),"Los pies de un bailarín se muestran en un aula, así como en una clase de ballet que ocurre en el fondo.")</f>
        <v>Los pies de un bailarín se muestran en un aula, así como en una clase de ballet que ocurre en el fondo.</v>
      </c>
    </row>
    <row r="9734">
      <c r="A9734" s="4" t="s">
        <v>12235</v>
      </c>
      <c r="B9734" s="4" t="s">
        <v>12237</v>
      </c>
      <c r="C9734" s="5" t="str">
        <f>IFERROR(__xludf.DUMMYFUNCTION("GOOGLETRANSLATE(B9734,""en"",""es-ES"")"),"La maestra instruye a las niñas cómo realizar movimientos de ballet adecuados, como siguen los estudiantes.")</f>
        <v>La maestra instruye a las niñas cómo realizar movimientos de ballet adecuados, como siguen los estudiantes.</v>
      </c>
    </row>
    <row r="9735">
      <c r="A9735" s="4" t="s">
        <v>12235</v>
      </c>
      <c r="B9735" s="4" t="s">
        <v>12238</v>
      </c>
      <c r="C9735" s="5" t="str">
        <f>IFERROR(__xludf.DUMMYFUNCTION("GOOGLETRANSLATE(B9735,""en"",""es-ES"")"),"Las chicas mueven sus brazos en la posición correcta y finalmente giran hacia un lado.")</f>
        <v>Las chicas mueven sus brazos en la posición correcta y finalmente giran hacia un lado.</v>
      </c>
    </row>
    <row r="9736">
      <c r="A9736" s="4" t="s">
        <v>12235</v>
      </c>
      <c r="B9736" s="4" t="s">
        <v>12239</v>
      </c>
      <c r="C9736" s="5" t="str">
        <f>IFERROR(__xludf.DUMMYFUNCTION("GOOGLETRANSLATE(B9736,""en"",""es-ES"")"),"Finalmente, el instructor enseña a las chicas a extender sus piernas y realizar un movimiento adecuado.")</f>
        <v>Finalmente, el instructor enseña a las chicas a extender sus piernas y realizar un movimiento adecuado.</v>
      </c>
    </row>
    <row r="9737">
      <c r="A9737" s="4" t="s">
        <v>12240</v>
      </c>
      <c r="B9737" s="4" t="s">
        <v>12241</v>
      </c>
      <c r="C9737" s="5" t="str">
        <f>IFERROR(__xludf.DUMMYFUNCTION("GOOGLETRANSLATE(B9737,""en"",""es-ES"")"),"Dos hombres están en una superficie acolchada, luchando.")</f>
        <v>Dos hombres están en una superficie acolchada, luchando.</v>
      </c>
    </row>
    <row r="9738">
      <c r="A9738" s="4" t="s">
        <v>12240</v>
      </c>
      <c r="B9738" s="4" t="s">
        <v>12242</v>
      </c>
      <c r="C9738" s="5" t="str">
        <f>IFERROR(__xludf.DUMMYFUNCTION("GOOGLETRANSLATE(B9738,""en"",""es-ES"")"),"Saltan y se patean el uno al otro.")</f>
        <v>Saltan y se patean el uno al otro.</v>
      </c>
    </row>
    <row r="9739">
      <c r="A9739" s="4" t="s">
        <v>12240</v>
      </c>
      <c r="B9739" s="4" t="s">
        <v>12243</v>
      </c>
      <c r="C9739" s="5" t="str">
        <f>IFERROR(__xludf.DUMMYFUNCTION("GOOGLETRANSLATE(B9739,""en"",""es-ES"")"),"Golinan sobre la estera hasta que uno de ellos pasean el otro.")</f>
        <v>Golinan sobre la estera hasta que uno de ellos pasean el otro.</v>
      </c>
    </row>
    <row r="9740">
      <c r="A9740" s="4" t="s">
        <v>12244</v>
      </c>
      <c r="B9740" s="4" t="s">
        <v>12245</v>
      </c>
      <c r="C9740" s="5" t="str">
        <f>IFERROR(__xludf.DUMMYFUNCTION("GOOGLETRANSLATE(B9740,""en"",""es-ES"")"),"Se le muestra a un hombre corriendo los toros frente a una multitud.")</f>
        <v>Se le muestra a un hombre corriendo los toros frente a una multitud.</v>
      </c>
    </row>
    <row r="9741">
      <c r="A9741" s="4" t="s">
        <v>12244</v>
      </c>
      <c r="B9741" s="4" t="s">
        <v>12246</v>
      </c>
      <c r="C9741" s="5" t="str">
        <f>IFERROR(__xludf.DUMMYFUNCTION("GOOGLETRANSLATE(B9741,""en"",""es-ES"")"),"El hombre cae y es atropellado por el toro.")</f>
        <v>El hombre cae y es atropellado por el toro.</v>
      </c>
    </row>
    <row r="9742">
      <c r="A9742" s="4" t="s">
        <v>12244</v>
      </c>
      <c r="B9742" s="4" t="s">
        <v>12247</v>
      </c>
      <c r="C9742" s="5" t="str">
        <f>IFERROR(__xludf.DUMMYFUNCTION("GOOGLETRANSLATE(B9742,""en"",""es-ES"")"),"El hombre es escoltado fuera de la arena.")</f>
        <v>El hombre es escoltado fuera de la arena.</v>
      </c>
    </row>
    <row r="9743">
      <c r="A9743" s="4" t="s">
        <v>12244</v>
      </c>
      <c r="B9743" s="4" t="s">
        <v>12248</v>
      </c>
      <c r="C9743" s="5" t="str">
        <f>IFERROR(__xludf.DUMMYFUNCTION("GOOGLETRANSLATE(B9743,""en"",""es-ES"")"),"El hombre que se cae y es atropellado es reproducido.")</f>
        <v>El hombre que se cae y es atropellado es reproducido.</v>
      </c>
    </row>
    <row r="9744">
      <c r="A9744" s="4" t="s">
        <v>12244</v>
      </c>
      <c r="B9744" s="4" t="s">
        <v>12249</v>
      </c>
      <c r="C9744" s="5" t="str">
        <f>IFERROR(__xludf.DUMMYFUNCTION("GOOGLETRANSLATE(B9744,""en"",""es-ES"")"),"Se muestra a dos personas reaccionando al incidente.")</f>
        <v>Se muestra a dos personas reaccionando al incidente.</v>
      </c>
    </row>
    <row r="9745">
      <c r="A9745" s="4" t="s">
        <v>12244</v>
      </c>
      <c r="B9745" s="4" t="s">
        <v>12250</v>
      </c>
      <c r="C9745" s="5" t="str">
        <f>IFERROR(__xludf.DUMMYFUNCTION("GOOGLETRANSLATE(B9745,""en"",""es-ES"")"),"Se muestran video en cámara lenta y imágenes fijas de la lesión del hombre.")</f>
        <v>Se muestran video en cámara lenta y imágenes fijas de la lesión del hombre.</v>
      </c>
    </row>
    <row r="9746">
      <c r="A9746" s="4" t="s">
        <v>12244</v>
      </c>
      <c r="B9746" s="4" t="s">
        <v>12251</v>
      </c>
      <c r="C9746" s="5" t="str">
        <f>IFERROR(__xludf.DUMMYFUNCTION("GOOGLETRANSLATE(B9746,""en"",""es-ES"")"),"El contenido de video se repite a partir de las dos personas que reaccionan.")</f>
        <v>El contenido de video se repite a partir de las dos personas que reaccionan.</v>
      </c>
    </row>
    <row r="9747">
      <c r="A9747" s="4" t="s">
        <v>12252</v>
      </c>
      <c r="B9747" s="4" t="s">
        <v>12253</v>
      </c>
      <c r="C9747" s="5" t="str">
        <f>IFERROR(__xludf.DUMMYFUNCTION("GOOGLETRANSLATE(B9747,""en"",""es-ES"")"),"Una mujer habla de jugar al billar.")</f>
        <v>Una mujer habla de jugar al billar.</v>
      </c>
    </row>
    <row r="9748">
      <c r="A9748" s="4" t="s">
        <v>12252</v>
      </c>
      <c r="B9748" s="4" t="s">
        <v>12254</v>
      </c>
      <c r="C9748" s="5" t="str">
        <f>IFERROR(__xludf.DUMMYFUNCTION("GOOGLETRANSLATE(B9748,""en"",""es-ES"")"),"Ella explica la forma correcta de pararse y cómo disparar una pelota cuando juega al billar.")</f>
        <v>Ella explica la forma correcta de pararse y cómo disparar una pelota cuando juega al billar.</v>
      </c>
    </row>
    <row r="9749">
      <c r="A9749" s="4" t="s">
        <v>12255</v>
      </c>
      <c r="B9749" s="4" t="s">
        <v>12256</v>
      </c>
      <c r="C9749" s="5" t="str">
        <f>IFERROR(__xludf.DUMMYFUNCTION("GOOGLETRANSLATE(B9749,""en"",""es-ES"")"),"Un chico corre y salta sobre un poste sin tocarlo y aterriza en esteras, ya que algunas personas en el fondo de fondo y otras hacen prácticas allí.")</f>
        <v>Un chico corre y salta sobre un poste sin tocarlo y aterriza en esteras, ya que algunas personas en el fondo de fondo y otras hacen prácticas allí.</v>
      </c>
    </row>
    <row r="9750">
      <c r="A9750" s="4" t="s">
        <v>12255</v>
      </c>
      <c r="B9750" s="4" t="s">
        <v>12257</v>
      </c>
      <c r="C9750" s="5" t="str">
        <f>IFERROR(__xludf.DUMMYFUNCTION("GOOGLETRANSLATE(B9750,""en"",""es-ES"")"),"El tipo parece estar practicando lo alto que puede saltar al saltar sobre el poste muchas veces, cada vez que una persona levanta el poste cada vez más para ver si el tipo puede saltar sobre él.")</f>
        <v>El tipo parece estar practicando lo alto que puede saltar al saltar sobre el poste muchas veces, cada vez que una persona levanta el poste cada vez más para ver si el tipo puede saltar sobre él.</v>
      </c>
    </row>
    <row r="9751">
      <c r="A9751" s="4" t="s">
        <v>12255</v>
      </c>
      <c r="B9751" s="4" t="s">
        <v>12258</v>
      </c>
      <c r="C9751" s="5" t="str">
        <f>IFERROR(__xludf.DUMMYFUNCTION("GOOGLETRANSLATE(B9751,""en"",""es-ES"")"),"Un salto del chico derribó el poste cuando intentó jorobar sobre él.")</f>
        <v>Un salto del chico derribó el poste cuando intentó jorobar sobre él.</v>
      </c>
    </row>
    <row r="9752">
      <c r="A9752" s="4" t="s">
        <v>12255</v>
      </c>
      <c r="B9752" s="4" t="s">
        <v>12259</v>
      </c>
      <c r="C9752" s="5" t="str">
        <f>IFERROR(__xludf.DUMMYFUNCTION("GOOGLETRANSLATE(B9752,""en"",""es-ES"")"),"El tipo derribó el poste seis veces de todos sus saltos.")</f>
        <v>El tipo derribó el poste seis veces de todos sus saltos.</v>
      </c>
    </row>
    <row r="9753">
      <c r="A9753" s="4" t="s">
        <v>12260</v>
      </c>
      <c r="B9753" s="4" t="s">
        <v>12261</v>
      </c>
      <c r="C9753" s="5" t="str">
        <f>IFERROR(__xludf.DUMMYFUNCTION("GOOGLETRANSLATE(B9753,""en"",""es-ES"")"),"Los jugadores están tirando de la cuerda en un tira y afloja.")</f>
        <v>Los jugadores están tirando de la cuerda en un tira y afloja.</v>
      </c>
    </row>
    <row r="9754">
      <c r="A9754" s="4" t="s">
        <v>12260</v>
      </c>
      <c r="B9754" s="4" t="s">
        <v>12262</v>
      </c>
      <c r="C9754" s="5" t="str">
        <f>IFERROR(__xludf.DUMMYFUNCTION("GOOGLETRANSLATE(B9754,""en"",""es-ES"")"),"Un hombre se pone en cuclillas en el suelo y se levanta.")</f>
        <v>Un hombre se pone en cuclillas en el suelo y se levanta.</v>
      </c>
    </row>
    <row r="9755">
      <c r="A9755" s="4" t="s">
        <v>12260</v>
      </c>
      <c r="B9755" s="4" t="s">
        <v>12263</v>
      </c>
      <c r="C9755" s="5" t="str">
        <f>IFERROR(__xludf.DUMMYFUNCTION("GOOGLETRANSLATE(B9755,""en"",""es-ES"")"),"Chicos tirando del lado izquierdo de la cuerda cae al suelo.")</f>
        <v>Chicos tirando del lado izquierdo de la cuerda cae al suelo.</v>
      </c>
    </row>
    <row r="9756">
      <c r="A9756" s="4" t="s">
        <v>12260</v>
      </c>
      <c r="B9756" s="4" t="s">
        <v>12264</v>
      </c>
      <c r="C9756" s="5" t="str">
        <f>IFERROR(__xludf.DUMMYFUNCTION("GOOGLETRANSLATE(B9756,""en"",""es-ES"")"),"Los muchachos soltaron la cuerda, se bajan del césped y se abrazan en celebración.")</f>
        <v>Los muchachos soltaron la cuerda, se bajan del césped y se abrazan en celebración.</v>
      </c>
    </row>
    <row r="9757">
      <c r="A9757" s="4" t="s">
        <v>12265</v>
      </c>
      <c r="B9757" s="4" t="s">
        <v>12266</v>
      </c>
      <c r="C9757" s="5" t="str">
        <f>IFERROR(__xludf.DUMMYFUNCTION("GOOGLETRANSLATE(B9757,""en"",""es-ES"")"),"Hay una mujer vestida con un suéter beige que demuestra cómo envolver los regalos de Navidad.")</f>
        <v>Hay una mujer vestida con un suéter beige que demuestra cómo envolver los regalos de Navidad.</v>
      </c>
    </row>
    <row r="9758">
      <c r="A9758" s="4" t="s">
        <v>12265</v>
      </c>
      <c r="B9758" s="4" t="s">
        <v>12267</v>
      </c>
      <c r="C9758" s="5" t="str">
        <f>IFERROR(__xludf.DUMMYFUNCTION("GOOGLETRANSLATE(B9758,""en"",""es-ES"")"),"Ella comienza con cortar el papel de regalo cuidadosamente para adaptarse al tamaño de la caja.")</f>
        <v>Ella comienza con cortar el papel de regalo cuidadosamente para adaptarse al tamaño de la caja.</v>
      </c>
    </row>
    <row r="9759">
      <c r="A9759" s="4" t="s">
        <v>12265</v>
      </c>
      <c r="B9759" s="4" t="s">
        <v>12268</v>
      </c>
      <c r="C9759" s="5" t="str">
        <f>IFERROR(__xludf.DUMMYFUNCTION("GOOGLETRANSLATE(B9759,""en"",""es-ES"")"),"Ella dobla el papel de manera uniforme para cubrir toda la caja.")</f>
        <v>Ella dobla el papel de manera uniforme para cubrir toda la caja.</v>
      </c>
    </row>
    <row r="9760">
      <c r="A9760" s="4" t="s">
        <v>12265</v>
      </c>
      <c r="B9760" s="4" t="s">
        <v>12269</v>
      </c>
      <c r="C9760" s="5" t="str">
        <f>IFERROR(__xludf.DUMMYFUNCTION("GOOGLETRANSLATE(B9760,""en"",""es-ES"")"),"Luego usa cinta adhesiva para sellar los extremos de forma segura.")</f>
        <v>Luego usa cinta adhesiva para sellar los extremos de forma segura.</v>
      </c>
    </row>
    <row r="9761">
      <c r="A9761" s="4" t="s">
        <v>12265</v>
      </c>
      <c r="B9761" s="4" t="s">
        <v>12270</v>
      </c>
      <c r="C9761" s="5" t="str">
        <f>IFERROR(__xludf.DUMMYFUNCTION("GOOGLETRANSLATE(B9761,""en"",""es-ES"")"),"Toma un poco de cinta decorativa y otros artículos decorativos para cubrir la caja para agregar un toque especial a los regalos.")</f>
        <v>Toma un poco de cinta decorativa y otros artículos decorativos para cubrir la caja para agregar un toque especial a los regalos.</v>
      </c>
    </row>
    <row r="9762">
      <c r="A9762" s="4" t="s">
        <v>12271</v>
      </c>
      <c r="B9762" s="4" t="s">
        <v>12272</v>
      </c>
      <c r="C9762" s="5" t="str">
        <f>IFERROR(__xludf.DUMMYFUNCTION("GOOGLETRANSLATE(B9762,""en"",""es-ES"")"),"Un grupo de jóvenes juegan voleibol en una playa de arena frente al océano.")</f>
        <v>Un grupo de jóvenes juegan voleibol en una playa de arena frente al océano.</v>
      </c>
    </row>
    <row r="9763">
      <c r="A9763" s="4" t="s">
        <v>12271</v>
      </c>
      <c r="B9763" s="4" t="s">
        <v>12273</v>
      </c>
      <c r="C9763" s="5" t="str">
        <f>IFERROR(__xludf.DUMMYFUNCTION("GOOGLETRANSLATE(B9763,""en"",""es-ES"")"),"Un grupo de hombres con troncos de natación y calzoncillos de bikini juegan voleibol en la arena en la playa frente a una alta red de voleos verdes.")</f>
        <v>Un grupo de hombres con troncos de natación y calzoncillos de bikini juegan voleibol en la arena en la playa frente a una alta red de voleos verdes.</v>
      </c>
    </row>
    <row r="9764">
      <c r="A9764" s="4" t="s">
        <v>12271</v>
      </c>
      <c r="B9764" s="4" t="s">
        <v>12274</v>
      </c>
      <c r="C9764" s="5" t="str">
        <f>IFERROR(__xludf.DUMMYFUNCTION("GOOGLETRANSLATE(B9764,""en"",""es-ES"")"),"Los hombres son competitivos mientras juegan con pies y cabeza y pecho para mover la pelota.")</f>
        <v>Los hombres son competitivos mientras juegan con pies y cabeza y pecho para mover la pelota.</v>
      </c>
    </row>
    <row r="9765">
      <c r="A9765" s="4" t="s">
        <v>12271</v>
      </c>
      <c r="B9765" s="4" t="s">
        <v>12275</v>
      </c>
      <c r="C9765" s="5" t="str">
        <f>IFERROR(__xludf.DUMMYFUNCTION("GOOGLETRANSLATE(B9765,""en"",""es-ES"")"),"Un hombre está acostado en la arena y luego se levanta para jugar más voleibol.")</f>
        <v>Un hombre está acostado en la arena y luego se levanta para jugar más voleibol.</v>
      </c>
    </row>
    <row r="9766">
      <c r="A9766" s="4" t="s">
        <v>12276</v>
      </c>
      <c r="B9766" s="4" t="s">
        <v>12277</v>
      </c>
      <c r="C9766" s="5" t="str">
        <f>IFERROR(__xludf.DUMMYFUNCTION("GOOGLETRANSLATE(B9766,""en"",""es-ES"")"),"Se ve a un hombre organizar un segmento de noticias que conduce a un jugador parado en un campo.")</f>
        <v>Se ve a un hombre organizar un segmento de noticias que conduce a un jugador parado en un campo.</v>
      </c>
    </row>
    <row r="9767">
      <c r="A9767" s="4" t="s">
        <v>12276</v>
      </c>
      <c r="B9767" s="4" t="s">
        <v>12278</v>
      </c>
      <c r="C9767" s="5" t="str">
        <f>IFERROR(__xludf.DUMMYFUNCTION("GOOGLETRANSLATE(B9767,""en"",""es-ES"")"),"Una persona golpea una pelota y los compañeros de equipo animan seguido de más personas jugando el juego.")</f>
        <v>Una persona golpea una pelota y los compañeros de equipo animan seguido de más personas jugando el juego.</v>
      </c>
    </row>
    <row r="9768">
      <c r="A9768" s="4" t="s">
        <v>12276</v>
      </c>
      <c r="B9768" s="4" t="s">
        <v>12279</v>
      </c>
      <c r="C9768" s="5" t="str">
        <f>IFERROR(__xludf.DUMMYFUNCTION("GOOGLETRANSLATE(B9768,""en"",""es-ES"")"),"El deporte continúa con personas lanzando pelotas y golpearlas, así como a sus compañeros de equipo que vitorean y el anfitrión termina de hablar.")</f>
        <v>El deporte continúa con personas lanzando pelotas y golpearlas, así como a sus compañeros de equipo que vitorean y el anfitrión termina de hablar.</v>
      </c>
    </row>
    <row r="9769">
      <c r="A9769" s="4" t="s">
        <v>12280</v>
      </c>
      <c r="B9769" s="4" t="s">
        <v>12281</v>
      </c>
      <c r="C9769" s="5" t="str">
        <f>IFERROR(__xludf.DUMMYFUNCTION("GOOGLETRANSLATE(B9769,""en"",""es-ES"")"),"Una mujer se encuentra por una pelota y la pone en su lugar.")</f>
        <v>Una mujer se encuentra por una pelota y la pone en su lugar.</v>
      </c>
    </row>
    <row r="9770">
      <c r="A9770" s="4" t="s">
        <v>12280</v>
      </c>
      <c r="B9770" s="4" t="s">
        <v>12282</v>
      </c>
      <c r="C9770" s="5" t="str">
        <f>IFERROR(__xludf.DUMMYFUNCTION("GOOGLETRANSLATE(B9770,""en"",""es-ES"")"),"Aparece otra mujer y envuelven la pelota en papel de envoltura.")</f>
        <v>Aparece otra mujer y envuelven la pelota en papel de envoltura.</v>
      </c>
    </row>
    <row r="9771">
      <c r="A9771" s="4" t="s">
        <v>12280</v>
      </c>
      <c r="B9771" s="4" t="s">
        <v>12283</v>
      </c>
      <c r="C9771" s="5" t="str">
        <f>IFERROR(__xludf.DUMMYFUNCTION("GOOGLETRANSLATE(B9771,""en"",""es-ES"")"),"Terminan envolviendo y grabando la pelota.")</f>
        <v>Terminan envolviendo y grabando la pelota.</v>
      </c>
    </row>
    <row r="9772">
      <c r="A9772" s="4" t="s">
        <v>12280</v>
      </c>
      <c r="B9772" s="4" t="s">
        <v>12284</v>
      </c>
      <c r="C9772" s="5" t="str">
        <f>IFERROR(__xludf.DUMMYFUNCTION("GOOGLETRANSLATE(B9772,""en"",""es-ES"")"),"Toman la cámara y comienzan a hablar con ella.")</f>
        <v>Toman la cámara y comienzan a hablar con ella.</v>
      </c>
    </row>
    <row r="9773">
      <c r="A9773" s="4" t="s">
        <v>12285</v>
      </c>
      <c r="B9773" s="4" t="s">
        <v>12286</v>
      </c>
      <c r="C9773" s="5" t="str">
        <f>IFERROR(__xludf.DUMMYFUNCTION("GOOGLETRANSLATE(B9773,""en"",""es-ES"")"),"Se ve a una mujer hablando con la cámara mientras las personas usan equipos de ejercicio a su alrededor.")</f>
        <v>Se ve a una mujer hablando con la cámara mientras las personas usan equipos de ejercicio a su alrededor.</v>
      </c>
    </row>
    <row r="9774">
      <c r="A9774" s="4" t="s">
        <v>12285</v>
      </c>
      <c r="B9774" s="4" t="s">
        <v>12287</v>
      </c>
      <c r="C9774" s="5" t="str">
        <f>IFERROR(__xludf.DUMMYFUNCTION("GOOGLETRANSLATE(B9774,""en"",""es-ES"")"),"Se muestran más tomas de personas que usan la máquina y las personas que hablan con la cámara y los primeros planos de la máquina.")</f>
        <v>Se muestran más tomas de personas que usan la máquina y las personas que hablan con la cámara y los primeros planos de la máquina.</v>
      </c>
    </row>
    <row r="9775">
      <c r="A9775" s="4" t="s">
        <v>12288</v>
      </c>
      <c r="B9775" s="4" t="s">
        <v>12289</v>
      </c>
      <c r="C9775" s="5" t="str">
        <f>IFERROR(__xludf.DUMMYFUNCTION("GOOGLETRANSLATE(B9775,""en"",""es-ES"")"),"Un hombre de construcción presenta el video y habla sobre colocar tejas en un techo.")</f>
        <v>Un hombre de construcción presenta el video y habla sobre colocar tejas en un techo.</v>
      </c>
    </row>
    <row r="9776">
      <c r="A9776" s="4" t="s">
        <v>12288</v>
      </c>
      <c r="B9776" s="4" t="s">
        <v>12290</v>
      </c>
      <c r="C9776" s="5" t="str">
        <f>IFERROR(__xludf.DUMMYFUNCTION("GOOGLETRANSLATE(B9776,""en"",""es-ES"")"),"Él coloca algunas tejas y las clava.")</f>
        <v>Él coloca algunas tejas y las clava.</v>
      </c>
    </row>
    <row r="9777">
      <c r="A9777" s="4" t="s">
        <v>12288</v>
      </c>
      <c r="B9777" s="4" t="s">
        <v>12291</v>
      </c>
      <c r="C9777" s="5" t="str">
        <f>IFERROR(__xludf.DUMMYFUNCTION("GOOGLETRANSLATE(B9777,""en"",""es-ES"")"),"Se clava en una pieza de metal que corre a lo largo de la esquina del techo y el edificio para ayudar a mantener las cosas en su lugar.")</f>
        <v>Se clava en una pieza de metal que corre a lo largo de la esquina del techo y el edificio para ayudar a mantener las cosas en su lugar.</v>
      </c>
    </row>
    <row r="9778">
      <c r="A9778" s="4" t="s">
        <v>12288</v>
      </c>
      <c r="B9778" s="4" t="s">
        <v>12292</v>
      </c>
      <c r="C9778" s="5" t="str">
        <f>IFERROR(__xludf.DUMMYFUNCTION("GOOGLETRANSLATE(B9778,""en"",""es-ES"")"),"Repita este proceso antes de cerrar el video.")</f>
        <v>Repita este proceso antes de cerrar el video.</v>
      </c>
    </row>
    <row r="9779">
      <c r="A9779" s="4" t="s">
        <v>12293</v>
      </c>
      <c r="B9779" s="4" t="s">
        <v>12294</v>
      </c>
      <c r="C9779" s="5" t="str">
        <f>IFERROR(__xludf.DUMMYFUNCTION("GOOGLETRANSLATE(B9779,""en"",""es-ES"")"),"Se muestra una foto de una habitación cuando un hombre entra al marco.")</f>
        <v>Se muestra una foto de una habitación cuando un hombre entra al marco.</v>
      </c>
    </row>
    <row r="9780">
      <c r="A9780" s="4" t="s">
        <v>12293</v>
      </c>
      <c r="B9780" s="4" t="s">
        <v>12295</v>
      </c>
      <c r="C9780" s="5" t="str">
        <f>IFERROR(__xludf.DUMMYFUNCTION("GOOGLETRANSLATE(B9780,""en"",""es-ES"")"),"El hombre luego comienza a saltar una y otra vez.")</f>
        <v>El hombre luego comienza a saltar una y otra vez.</v>
      </c>
    </row>
    <row r="9781">
      <c r="A9781" s="4" t="s">
        <v>12293</v>
      </c>
      <c r="B9781" s="4" t="s">
        <v>12296</v>
      </c>
      <c r="C9781" s="5" t="str">
        <f>IFERROR(__xludf.DUMMYFUNCTION("GOOGLETRANSLATE(B9781,""en"",""es-ES"")"),"Continúa saltando la cuerda y termina saliendo del marco.")</f>
        <v>Continúa saltando la cuerda y termina saliendo del marco.</v>
      </c>
    </row>
    <row r="9782">
      <c r="A9782" s="4" t="s">
        <v>12297</v>
      </c>
      <c r="B9782" s="4" t="s">
        <v>12298</v>
      </c>
      <c r="C9782" s="5" t="str">
        <f>IFERROR(__xludf.DUMMYFUNCTION("GOOGLETRANSLATE(B9782,""en"",""es-ES"")"),"Se ve a una mujer hablando con la cámara que conduce a clips de personas que viajan en kayaks y camellos deambulando.")</f>
        <v>Se ve a una mujer hablando con la cámara que conduce a clips de personas que viajan en kayaks y camellos deambulando.</v>
      </c>
    </row>
    <row r="9783">
      <c r="A9783" s="4" t="s">
        <v>12297</v>
      </c>
      <c r="B9783" s="4" t="s">
        <v>12299</v>
      </c>
      <c r="C9783" s="5" t="str">
        <f>IFERROR(__xludf.DUMMYFUNCTION("GOOGLETRANSLATE(B9783,""en"",""es-ES"")"),"Se muestran más clips de personas que viajan alrededor del agua en un kayak.")</f>
        <v>Se muestran más clips de personas que viajan alrededor del agua en un kayak.</v>
      </c>
    </row>
    <row r="9784">
      <c r="A9784" s="4" t="s">
        <v>12297</v>
      </c>
      <c r="B9784" s="4" t="s">
        <v>12300</v>
      </c>
      <c r="C9784" s="5" t="str">
        <f>IFERROR(__xludf.DUMMYFUNCTION("GOOGLETRANSLATE(B9784,""en"",""es-ES"")"),"La persona se remonta a lo largo del agua con otras personas que viajan cerca de él.")</f>
        <v>La persona se remonta a lo largo del agua con otras personas que viajan cerca de él.</v>
      </c>
    </row>
    <row r="9785">
      <c r="A9785" s="4" t="s">
        <v>12301</v>
      </c>
      <c r="B9785" s="4" t="s">
        <v>12302</v>
      </c>
      <c r="C9785" s="5" t="str">
        <f>IFERROR(__xludf.DUMMYFUNCTION("GOOGLETRANSLATE(B9785,""en"",""es-ES"")"),"Un hombre trabajador llevaba una bandeja de café a una mesa con invitado.")</f>
        <v>Un hombre trabajador llevaba una bandeja de café a una mesa con invitado.</v>
      </c>
    </row>
    <row r="9786">
      <c r="A9786" s="4" t="s">
        <v>12301</v>
      </c>
      <c r="B9786" s="4" t="s">
        <v>12303</v>
      </c>
      <c r="C9786" s="5" t="str">
        <f>IFERROR(__xludf.DUMMYFUNCTION("GOOGLETRANSLATE(B9786,""en"",""es-ES"")"),"Otro hombre está hablando con algunos reporteros con el micrófono.")</f>
        <v>Otro hombre está hablando con algunos reporteros con el micrófono.</v>
      </c>
    </row>
    <row r="9787">
      <c r="A9787" s="4" t="s">
        <v>12301</v>
      </c>
      <c r="B9787" s="4" t="s">
        <v>12304</v>
      </c>
      <c r="C9787" s="5" t="str">
        <f>IFERROR(__xludf.DUMMYFUNCTION("GOOGLETRANSLATE(B9787,""en"",""es-ES"")"),"Otro empresario habla con los reporteros sobre el negocio del café.")</f>
        <v>Otro empresario habla con los reporteros sobre el negocio del café.</v>
      </c>
    </row>
    <row r="9788">
      <c r="A9788" s="4" t="s">
        <v>12301</v>
      </c>
      <c r="B9788" s="4" t="s">
        <v>12305</v>
      </c>
      <c r="C9788" s="5" t="str">
        <f>IFERROR(__xludf.DUMMYFUNCTION("GOOGLETRANSLATE(B9788,""en"",""es-ES"")"),"Luego están en la cafetería haciendo café y trabajando.")</f>
        <v>Luego están en la cafetería haciendo café y trabajando.</v>
      </c>
    </row>
    <row r="9789">
      <c r="A9789" s="4" t="s">
        <v>12306</v>
      </c>
      <c r="B9789" s="4" t="s">
        <v>12307</v>
      </c>
      <c r="C9789" s="5" t="str">
        <f>IFERROR(__xludf.DUMMYFUNCTION("GOOGLETRANSLATE(B9789,""en"",""es-ES"")"),"La gente conduce en autos de parachoques y se topan entre sí y se ven obligados a detenerse.")</f>
        <v>La gente conduce en autos de parachoques y se topan entre sí y se ven obligados a detenerse.</v>
      </c>
    </row>
    <row r="9790">
      <c r="A9790" s="4" t="s">
        <v>12306</v>
      </c>
      <c r="B9790" s="4" t="s">
        <v>12308</v>
      </c>
      <c r="C9790" s="5" t="str">
        <f>IFERROR(__xludf.DUMMYFUNCTION("GOOGLETRANSLATE(B9790,""en"",""es-ES"")"),"Los tres autos de parachoques se separan y comienzan a conducir en diferentes direcciones a medida que continúan chocando entre sí.")</f>
        <v>Los tres autos de parachoques se separan y comienzan a conducir en diferentes direcciones a medida que continúan chocando entre sí.</v>
      </c>
    </row>
    <row r="9791">
      <c r="A9791" s="4" t="s">
        <v>12306</v>
      </c>
      <c r="B9791" s="4" t="s">
        <v>12309</v>
      </c>
      <c r="C9791" s="5" t="str">
        <f>IFERROR(__xludf.DUMMYFUNCTION("GOOGLETRANSLATE(B9791,""en"",""es-ES"")"),"Dos chicas en un coche de parachoques se topan con una pared y brevemente tienen dificultades para volver a moverse.")</f>
        <v>Dos chicas en un coche de parachoques se topan con una pared y brevemente tienen dificultades para volver a moverse.</v>
      </c>
    </row>
    <row r="9792">
      <c r="A9792" s="4" t="s">
        <v>12306</v>
      </c>
      <c r="B9792" s="4" t="s">
        <v>12310</v>
      </c>
      <c r="C9792" s="5" t="str">
        <f>IFERROR(__xludf.DUMMYFUNCTION("GOOGLETRANSLATE(B9792,""en"",""es-ES"")"),"La gente conduce constantemente sus autos de parachoques y se topan con las cosas hasta que termina el viaje.")</f>
        <v>La gente conduce constantemente sus autos de parachoques y se topan con las cosas hasta que termina el viaje.</v>
      </c>
    </row>
    <row r="9793">
      <c r="A9793" s="4" t="s">
        <v>12311</v>
      </c>
      <c r="B9793" s="4" t="s">
        <v>12312</v>
      </c>
      <c r="C9793" s="5" t="str">
        <f>IFERROR(__xludf.DUMMYFUNCTION("GOOGLETRANSLATE(B9793,""en"",""es-ES"")"),"Hay un hombre con una camisa negra y un pañuelo verde que demuestra cómo pintar un sofá de microfibra.")</f>
        <v>Hay un hombre con una camisa negra y un pañuelo verde que demuestra cómo pintar un sofá de microfibra.</v>
      </c>
    </row>
    <row r="9794">
      <c r="A9794" s="4" t="s">
        <v>12311</v>
      </c>
      <c r="B9794" s="4" t="s">
        <v>12313</v>
      </c>
      <c r="C9794" s="5" t="str">
        <f>IFERROR(__xludf.DUMMYFUNCTION("GOOGLETRANSLATE(B9794,""en"",""es-ES"")"),"Está usando una lata roja de pintura en aerosol para demostrar cómo pintar un sofá de color crema con pintura roja.")</f>
        <v>Está usando una lata roja de pintura en aerosol para demostrar cómo pintar un sofá de color crema con pintura roja.</v>
      </c>
    </row>
    <row r="9795">
      <c r="A9795" s="4" t="s">
        <v>12311</v>
      </c>
      <c r="B9795" s="4" t="s">
        <v>12314</v>
      </c>
      <c r="C9795" s="5" t="str">
        <f>IFERROR(__xludf.DUMMYFUNCTION("GOOGLETRANSLATE(B9795,""en"",""es-ES"")"),"Continúa rociando pintura en la parte posterior y el brazo descansa del sofá.")</f>
        <v>Continúa rociando pintura en la parte posterior y el brazo descansa del sofá.</v>
      </c>
    </row>
    <row r="9796">
      <c r="A9796" s="4" t="s">
        <v>12311</v>
      </c>
      <c r="B9796" s="4" t="s">
        <v>12315</v>
      </c>
      <c r="C9796" s="5" t="str">
        <f>IFERROR(__xludf.DUMMYFUNCTION("GOOGLETRANSLATE(B9796,""en"",""es-ES"")"),"Luego coloca un sin pintar los cojines del asiento en el sofá.")</f>
        <v>Luego coloca un sin pintar los cojines del asiento en el sofá.</v>
      </c>
    </row>
    <row r="9797">
      <c r="A9797" s="4" t="s">
        <v>12316</v>
      </c>
      <c r="B9797" s="4" t="s">
        <v>12317</v>
      </c>
      <c r="C9797" s="5" t="str">
        <f>IFERROR(__xludf.DUMMYFUNCTION("GOOGLETRANSLATE(B9797,""en"",""es-ES"")"),"Se muestran varias tomas de personas que preparan perros, así como una mujer que habla con la cámara en varios entornos.")</f>
        <v>Se muestran varias tomas de personas que preparan perros, así como una mujer que habla con la cámara en varios entornos.</v>
      </c>
    </row>
    <row r="9798">
      <c r="A9798" s="4" t="s">
        <v>12316</v>
      </c>
      <c r="B9798" s="4" t="s">
        <v>12318</v>
      </c>
      <c r="C9798" s="5" t="str">
        <f>IFERROR(__xludf.DUMMYFUNCTION("GOOGLETRANSLATE(B9798,""en"",""es-ES"")"),"Se ve a los perros siendo fregados, las uñas recortadas y cepillados con peines por varias personas y otra mujer que muestra los collares que tienen en la tienda.")</f>
        <v>Se ve a los perros siendo fregados, las uñas recortadas y cepillados con peines por varias personas y otra mujer que muestra los collares que tienen en la tienda.</v>
      </c>
    </row>
    <row r="9799">
      <c r="A9799" s="4" t="s">
        <v>12316</v>
      </c>
      <c r="B9799" s="4" t="s">
        <v>12319</v>
      </c>
      <c r="C9799" s="5" t="str">
        <f>IFERROR(__xludf.DUMMYFUNCTION("GOOGLETRANSLATE(B9799,""en"",""es-ES"")"),"Se muestran más tomas de la tienda, así como muchos perros preparados.")</f>
        <v>Se muestran más tomas de la tienda, así como muchos perros preparados.</v>
      </c>
    </row>
    <row r="9800">
      <c r="A9800" s="4" t="s">
        <v>12320</v>
      </c>
      <c r="B9800" s="4" t="s">
        <v>12321</v>
      </c>
      <c r="C9800" s="5" t="str">
        <f>IFERROR(__xludf.DUMMYFUNCTION("GOOGLETRANSLATE(B9800,""en"",""es-ES"")"),"Una bicicleta se detiene hasta una parada en un parque.")</f>
        <v>Una bicicleta se detiene hasta una parada en un parque.</v>
      </c>
    </row>
    <row r="9801">
      <c r="A9801" s="4" t="s">
        <v>12320</v>
      </c>
      <c r="B9801" s="4" t="s">
        <v>12322</v>
      </c>
      <c r="C9801" s="5" t="str">
        <f>IFERROR(__xludf.DUMMYFUNCTION("GOOGLETRANSLATE(B9801,""en"",""es-ES"")"),"Un jinete despega de una puerta en la bicicleta de tierra.")</f>
        <v>Un jinete despega de una puerta en la bicicleta de tierra.</v>
      </c>
    </row>
    <row r="9802">
      <c r="A9802" s="4" t="s">
        <v>12320</v>
      </c>
      <c r="B9802" s="4" t="s">
        <v>12323</v>
      </c>
      <c r="C9802" s="5" t="str">
        <f>IFERROR(__xludf.DUMMYFUNCTION("GOOGLETRANSLATE(B9802,""en"",""es-ES"")"),"Toma las curvas y las curvas bruscamente, pasando por las colinas.")</f>
        <v>Toma las curvas y las curvas bruscamente, pasando por las colinas.</v>
      </c>
    </row>
    <row r="9803">
      <c r="A9803" s="4" t="s">
        <v>12324</v>
      </c>
      <c r="B9803" s="4" t="s">
        <v>12325</v>
      </c>
      <c r="C9803" s="5" t="str">
        <f>IFERROR(__xludf.DUMMYFUNCTION("GOOGLETRANSLATE(B9803,""en"",""es-ES"")"),"Un hombre reemplaza un neumático en el borde de su bicicleta usando herramientas.")</f>
        <v>Un hombre reemplaza un neumático en el borde de su bicicleta usando herramientas.</v>
      </c>
    </row>
    <row r="9804">
      <c r="A9804" s="4" t="s">
        <v>12324</v>
      </c>
      <c r="B9804" s="4" t="s">
        <v>12326</v>
      </c>
      <c r="C9804" s="5" t="str">
        <f>IFERROR(__xludf.DUMMYFUNCTION("GOOGLETRANSLATE(B9804,""en"",""es-ES"")"),"El hombre vuelve a colocar la rueda de la bicicleta al marco de la bicicleta.")</f>
        <v>El hombre vuelve a colocar la rueda de la bicicleta al marco de la bicicleta.</v>
      </c>
    </row>
    <row r="9805">
      <c r="A9805" s="4" t="s">
        <v>12324</v>
      </c>
      <c r="B9805" s="4" t="s">
        <v>12327</v>
      </c>
      <c r="C9805" s="5" t="str">
        <f>IFERROR(__xludf.DUMMYFUNCTION("GOOGLETRANSLATE(B9805,""en"",""es-ES"")"),"El sol se pone a medida que el día llega más tarde.")</f>
        <v>El sol se pone a medida que el día llega más tarde.</v>
      </c>
    </row>
    <row r="9806">
      <c r="A9806" s="4" t="s">
        <v>12324</v>
      </c>
      <c r="B9806" s="4" t="s">
        <v>12328</v>
      </c>
      <c r="C9806" s="5" t="str">
        <f>IFERROR(__xludf.DUMMYFUNCTION("GOOGLETRANSLATE(B9806,""en"",""es-ES"")"),"El hombre levanta su bicicleta y se prepara para partir.")</f>
        <v>El hombre levanta su bicicleta y se prepara para partir.</v>
      </c>
    </row>
    <row r="9807">
      <c r="A9807" s="4" t="s">
        <v>12329</v>
      </c>
      <c r="B9807" s="4" t="s">
        <v>12330</v>
      </c>
      <c r="C9807" s="5" t="str">
        <f>IFERROR(__xludf.DUMMYFUNCTION("GOOGLETRANSLATE(B9807,""en"",""es-ES"")"),"Persona con tijeras de tijeras en la hierba.")</f>
        <v>Persona con tijeras de tijeras en la hierba.</v>
      </c>
    </row>
    <row r="9808">
      <c r="A9808" s="4" t="s">
        <v>12329</v>
      </c>
      <c r="B9808" s="4" t="s">
        <v>12331</v>
      </c>
      <c r="C9808" s="5" t="str">
        <f>IFERROR(__xludf.DUMMYFUNCTION("GOOGLETRANSLATE(B9808,""en"",""es-ES"")"),"Vemos la sombra del camarógrafo sobre la persona.")</f>
        <v>Vemos la sombra del camarógrafo sobre la persona.</v>
      </c>
    </row>
    <row r="9809">
      <c r="A9809" s="4" t="s">
        <v>12329</v>
      </c>
      <c r="B9809" s="4" t="s">
        <v>12332</v>
      </c>
      <c r="C9809" s="5" t="str">
        <f>IFERROR(__xludf.DUMMYFUNCTION("GOOGLETRANSLATE(B9809,""en"",""es-ES"")"),"La persona está cortando hierba con tijeras a prueba de niños.")</f>
        <v>La persona está cortando hierba con tijeras a prueba de niños.</v>
      </c>
    </row>
    <row r="9810">
      <c r="A9810" s="4" t="s">
        <v>12333</v>
      </c>
      <c r="B9810" s="4" t="s">
        <v>12334</v>
      </c>
      <c r="C9810" s="5" t="str">
        <f>IFERROR(__xludf.DUMMYFUNCTION("GOOGLETRANSLATE(B9810,""en"",""es-ES"")"),"Los hombres soplan hojas muertas empujando una máquina del soplador de hojas en el suelo o sosteniendo una máquina en la parte posterior.")</f>
        <v>Los hombres soplan hojas muertas empujando una máquina del soplador de hojas en el suelo o sosteniendo una máquina en la parte posterior.</v>
      </c>
    </row>
    <row r="9811">
      <c r="A9811" s="4" t="s">
        <v>12333</v>
      </c>
      <c r="B9811" s="4" t="s">
        <v>12335</v>
      </c>
      <c r="C9811" s="5" t="str">
        <f>IFERROR(__xludf.DUMMYFUNCTION("GOOGLETRANSLATE(B9811,""en"",""es-ES"")"),"Luego, un hombre explica cómo operar una máquina de soplado de hoja mientras los hombres continúan soplando las hojas.")</f>
        <v>Luego, un hombre explica cómo operar una máquina de soplado de hoja mientras los hombres continúan soplando las hojas.</v>
      </c>
    </row>
    <row r="9812">
      <c r="A9812" s="4" t="s">
        <v>12333</v>
      </c>
      <c r="B9812" s="4" t="s">
        <v>12336</v>
      </c>
      <c r="C9812" s="5" t="str">
        <f>IFERROR(__xludf.DUMMYFUNCTION("GOOGLETRANSLATE(B9812,""en"",""es-ES"")"),"Otro hombre explica mientras otros hombres se aspiran y sopla hojas.")</f>
        <v>Otro hombre explica mientras otros hombres se aspiran y sopla hojas.</v>
      </c>
    </row>
    <row r="9813">
      <c r="A9813" s="4" t="s">
        <v>12337</v>
      </c>
      <c r="B9813" s="4" t="s">
        <v>12338</v>
      </c>
      <c r="C9813" s="5" t="str">
        <f>IFERROR(__xludf.DUMMYFUNCTION("GOOGLETRANSLATE(B9813,""en"",""es-ES"")"),"Vemos una imagen y una tarjeta de título.")</f>
        <v>Vemos una imagen y una tarjeta de título.</v>
      </c>
    </row>
    <row r="9814">
      <c r="A9814" s="4" t="s">
        <v>12337</v>
      </c>
      <c r="B9814" s="4" t="s">
        <v>12339</v>
      </c>
      <c r="C9814" s="5" t="str">
        <f>IFERROR(__xludf.DUMMYFUNCTION("GOOGLETRANSLATE(B9814,""en"",""es-ES"")"),"Vemos a un hombre jugando baloncesto.")</f>
        <v>Vemos a un hombre jugando baloncesto.</v>
      </c>
    </row>
    <row r="9815">
      <c r="A9815" s="4" t="s">
        <v>12337</v>
      </c>
      <c r="B9815" s="4" t="s">
        <v>12340</v>
      </c>
      <c r="C9815" s="5" t="str">
        <f>IFERROR(__xludf.DUMMYFUNCTION("GOOGLETRANSLATE(B9815,""en"",""es-ES"")"),"El disparo que hizo se ve en reversa.")</f>
        <v>El disparo que hizo se ve en reversa.</v>
      </c>
    </row>
    <row r="9816">
      <c r="A9816" s="4" t="s">
        <v>12337</v>
      </c>
      <c r="B9816" s="4" t="s">
        <v>12341</v>
      </c>
      <c r="C9816" s="5" t="str">
        <f>IFERROR(__xludf.DUMMYFUNCTION("GOOGLETRANSLATE(B9816,""en"",""es-ES"")"),"Vemos un gimnasio con adolescentes disparando baloncesto.")</f>
        <v>Vemos un gimnasio con adolescentes disparando baloncesto.</v>
      </c>
    </row>
    <row r="9817">
      <c r="A9817" s="4" t="s">
        <v>12337</v>
      </c>
      <c r="B9817" s="4" t="s">
        <v>12342</v>
      </c>
      <c r="C9817" s="5" t="str">
        <f>IFERROR(__xludf.DUMMYFUNCTION("GOOGLETRANSLATE(B9817,""en"",""es-ES"")"),"Vemos una tarjeta de título en negro.")</f>
        <v>Vemos una tarjeta de título en negro.</v>
      </c>
    </row>
    <row r="9818">
      <c r="A9818" s="4" t="s">
        <v>12337</v>
      </c>
      <c r="B9818" s="4" t="s">
        <v>12343</v>
      </c>
      <c r="C9818" s="5" t="str">
        <f>IFERROR(__xludf.DUMMYFUNCTION("GOOGLETRANSLATE(B9818,""en"",""es-ES"")"),"Un hombre está disparando baloncesto en un gimnasio.")</f>
        <v>Un hombre está disparando baloncesto en un gimnasio.</v>
      </c>
    </row>
    <row r="9819">
      <c r="A9819" s="4" t="s">
        <v>12337</v>
      </c>
      <c r="B9819" s="4" t="s">
        <v>12344</v>
      </c>
      <c r="C9819" s="5" t="str">
        <f>IFERROR(__xludf.DUMMYFUNCTION("GOOGLETRANSLATE(B9819,""en"",""es-ES"")"),"Vemos a un hombre sumergir la pelota dos veces.")</f>
        <v>Vemos a un hombre sumergir la pelota dos veces.</v>
      </c>
    </row>
    <row r="9820">
      <c r="A9820" s="4" t="s">
        <v>12337</v>
      </c>
      <c r="B9820" s="4" t="s">
        <v>12345</v>
      </c>
      <c r="C9820" s="5" t="str">
        <f>IFERROR(__xludf.DUMMYFUNCTION("GOOGLETRANSLATE(B9820,""en"",""es-ES"")"),"Vemos la tarjeta de título final en negro.")</f>
        <v>Vemos la tarjeta de título final en negro.</v>
      </c>
    </row>
    <row r="9821">
      <c r="A9821" s="4" t="s">
        <v>12346</v>
      </c>
      <c r="B9821" s="4" t="s">
        <v>12347</v>
      </c>
      <c r="C9821" s="5" t="str">
        <f>IFERROR(__xludf.DUMMYFUNCTION("GOOGLETRANSLATE(B9821,""en"",""es-ES"")"),"Se ven dos personas montando por un camino con un perro.")</f>
        <v>Se ven dos personas montando por un camino con un perro.</v>
      </c>
    </row>
    <row r="9822">
      <c r="A9822" s="4" t="s">
        <v>12346</v>
      </c>
      <c r="B9822" s="4" t="s">
        <v>12348</v>
      </c>
      <c r="C9822" s="5" t="str">
        <f>IFERROR(__xludf.DUMMYFUNCTION("GOOGLETRANSLATE(B9822,""en"",""es-ES"")"),"Una persona está montando una bicicleta y la otra una patineta mientras la cámara sigue cerca.")</f>
        <v>Una persona está montando una bicicleta y la otra una patineta mientras la cámara sigue cerca.</v>
      </c>
    </row>
    <row r="9823">
      <c r="A9823" s="4" t="s">
        <v>12346</v>
      </c>
      <c r="B9823" s="4" t="s">
        <v>12349</v>
      </c>
      <c r="C9823" s="5" t="str">
        <f>IFERROR(__xludf.DUMMYFUNCTION("GOOGLETRANSLATE(B9823,""en"",""es-ES"")"),"Varios otros perros corren y la gente continúa montando por el camino.")</f>
        <v>Varios otros perros corren y la gente continúa montando por el camino.</v>
      </c>
    </row>
    <row r="9824">
      <c r="A9824" s="4" t="s">
        <v>12350</v>
      </c>
      <c r="B9824" s="4" t="s">
        <v>12351</v>
      </c>
      <c r="C9824" s="5" t="str">
        <f>IFERROR(__xludf.DUMMYFUNCTION("GOOGLETRANSLATE(B9824,""en"",""es-ES"")"),"El hombre sostiene un poste con un helado y se lo está dando a un niño pequeño.")</f>
        <v>El hombre sostiene un poste con un helado y se lo está dando a un niño pequeño.</v>
      </c>
    </row>
    <row r="9825">
      <c r="A9825" s="4" t="s">
        <v>12350</v>
      </c>
      <c r="B9825" s="4" t="s">
        <v>12352</v>
      </c>
      <c r="C9825" s="5" t="str">
        <f>IFERROR(__xludf.DUMMYFUNCTION("GOOGLETRANSLATE(B9825,""en"",""es-ES"")"),"La gente está de pie y camina detrás del niño en un parque de diversiones.")</f>
        <v>La gente está de pie y camina detrás del niño en un parque de diversiones.</v>
      </c>
    </row>
    <row r="9826">
      <c r="A9826" s="4" t="s">
        <v>12353</v>
      </c>
      <c r="B9826" s="4" t="s">
        <v>12354</v>
      </c>
      <c r="C9826" s="5" t="str">
        <f>IFERROR(__xludf.DUMMYFUNCTION("GOOGLETRANSLATE(B9826,""en"",""es-ES"")"),"Un hombre surge en aguas ásperas del océano, cabalgando sobre y en contra de olas altas enormes mientras los espectadores en las botas de motor observan y comentan.")</f>
        <v>Un hombre surge en aguas ásperas del océano, cabalgando sobre y en contra de olas altas enormes mientras los espectadores en las botas de motor observan y comentan.</v>
      </c>
    </row>
    <row r="9827">
      <c r="A9827" s="4" t="s">
        <v>12353</v>
      </c>
      <c r="B9827" s="4" t="s">
        <v>12355</v>
      </c>
      <c r="C9827" s="5" t="str">
        <f>IFERROR(__xludf.DUMMYFUNCTION("GOOGLETRANSLATE(B9827,""en"",""es-ES"")"),"El hombre, en traje de neopreno, está de pie y cabalga sobre una tabla de surf amarillo y una tabla de surf roja primero en una ola de calma y luego en una serie de olas grandes y altas.")</f>
        <v>El hombre, en traje de neopreno, está de pie y cabalga sobre una tabla de surf amarillo y una tabla de surf roja primero en una ola de calma y luego en una serie de olas grandes y altas.</v>
      </c>
    </row>
    <row r="9828">
      <c r="A9828" s="4" t="s">
        <v>12353</v>
      </c>
      <c r="B9828" s="4" t="s">
        <v>12356</v>
      </c>
      <c r="C9828" s="5" t="str">
        <f>IFERROR(__xludf.DUMMYFUNCTION("GOOGLETRANSLATE(B9828,""en"",""es-ES"")"),"El hombre monta las ondas ásperas en la tabla de surf con las olas en el momento que cubre todo su cuerpo y tabla de surf.")</f>
        <v>El hombre monta las ondas ásperas en la tabla de surf con las olas en el momento que cubre todo su cuerpo y tabla de surf.</v>
      </c>
    </row>
    <row r="9829">
      <c r="A9829" s="4" t="s">
        <v>12353</v>
      </c>
      <c r="B9829" s="4" t="s">
        <v>12357</v>
      </c>
      <c r="C9829" s="5" t="str">
        <f>IFERROR(__xludf.DUMMYFUNCTION("GOOGLETRANSLATE(B9829,""en"",""es-ES"")"),"El hombre se abraza y da la mano a la gente al completar el episodio de surf áspero y monta una última ola solitaria antes de desvanecerse al negro.")</f>
        <v>El hombre se abraza y da la mano a la gente al completar el episodio de surf áspero y monta una última ola solitaria antes de desvanecerse al negro.</v>
      </c>
    </row>
    <row r="9830">
      <c r="A9830" s="4" t="s">
        <v>12358</v>
      </c>
      <c r="B9830" s="4" t="s">
        <v>12359</v>
      </c>
      <c r="C9830" s="5" t="str">
        <f>IFERROR(__xludf.DUMMYFUNCTION("GOOGLETRANSLATE(B9830,""en"",""es-ES"")"),"Un hombre realiza un lanzamiento de hervidor frente a un estadio al aire libre lleno de espectadores en la audiencia.")</f>
        <v>Un hombre realiza un lanzamiento de hervidor frente a un estadio al aire libre lleno de espectadores en la audiencia.</v>
      </c>
    </row>
    <row r="9831">
      <c r="A9831" s="4" t="s">
        <v>12358</v>
      </c>
      <c r="B9831" s="4" t="s">
        <v>12360</v>
      </c>
      <c r="C9831" s="5" t="str">
        <f>IFERROR(__xludf.DUMMYFUNCTION("GOOGLETRANSLATE(B9831,""en"",""es-ES"")"),"Un hombre en un área de tierra redonda en un campo balancea una pelota alrededor y alrededor mientras está de pie en su lugar.")</f>
        <v>Un hombre en un área de tierra redonda en un campo balancea una pelota alrededor y alrededor mientras está de pie en su lugar.</v>
      </c>
    </row>
    <row r="9832">
      <c r="A9832" s="4" t="s">
        <v>12358</v>
      </c>
      <c r="B9832" s="4" t="s">
        <v>12361</v>
      </c>
      <c r="C9832" s="5" t="str">
        <f>IFERROR(__xludf.DUMMYFUNCTION("GOOGLETRANSLATE(B9832,""en"",""es-ES"")"),"El hombre deja ir la pelota, donde vuela en el aire delante de él.")</f>
        <v>El hombre deja ir la pelota, donde vuela en el aire delante de él.</v>
      </c>
    </row>
    <row r="9833">
      <c r="A9833" s="4" t="s">
        <v>12358</v>
      </c>
      <c r="B9833" s="4" t="s">
        <v>12362</v>
      </c>
      <c r="C9833" s="5" t="str">
        <f>IFERROR(__xludf.DUMMYFUNCTION("GOOGLETRANSLATE(B9833,""en"",""es-ES"")"),"El hombre se detiene y se dobla con las rodillas mientras mira la pelota volar en el aire.")</f>
        <v>El hombre se detiene y se dobla con las rodillas mientras mira la pelota volar en el aire.</v>
      </c>
    </row>
    <row r="9834">
      <c r="A9834" s="4" t="s">
        <v>12363</v>
      </c>
      <c r="B9834" s="4" t="s">
        <v>12364</v>
      </c>
      <c r="C9834" s="5" t="str">
        <f>IFERROR(__xludf.DUMMYFUNCTION("GOOGLETRANSLATE(B9834,""en"",""es-ES"")"),"Un hombre guía un camello con niños que viajan en la parte de atrás a lo largo de una costa de playa.")</f>
        <v>Un hombre guía un camello con niños que viajan en la parte de atrás a lo largo de una costa de playa.</v>
      </c>
    </row>
    <row r="9835">
      <c r="A9835" s="4" t="s">
        <v>12363</v>
      </c>
      <c r="B9835" s="4" t="s">
        <v>12365</v>
      </c>
      <c r="C9835" s="5" t="str">
        <f>IFERROR(__xludf.DUMMYFUNCTION("GOOGLETRANSLATE(B9835,""en"",""es-ES"")"),"Los asistentes a la playa se paran y caminan por la costa con trajes de baño.")</f>
        <v>Los asistentes a la playa se paran y caminan por la costa con trajes de baño.</v>
      </c>
    </row>
    <row r="9836">
      <c r="A9836" s="4" t="s">
        <v>12366</v>
      </c>
      <c r="B9836" s="4" t="s">
        <v>12367</v>
      </c>
      <c r="C9836" s="5" t="str">
        <f>IFERROR(__xludf.DUMMYFUNCTION("GOOGLETRANSLATE(B9836,""en"",""es-ES"")"),"Un adolescente explica cómo voltear y girar una tabla de surf con los pies.")</f>
        <v>Un adolescente explica cómo voltear y girar una tabla de surf con los pies.</v>
      </c>
    </row>
    <row r="9837">
      <c r="A9837" s="4" t="s">
        <v>12366</v>
      </c>
      <c r="B9837" s="4" t="s">
        <v>12368</v>
      </c>
      <c r="C9837" s="5" t="str">
        <f>IFERROR(__xludf.DUMMYFUNCTION("GOOGLETRANSLATE(B9837,""en"",""es-ES"")"),"Luego, el adolescente muestra cómo aumentar las puntas de la tabla de surf.")</f>
        <v>Luego, el adolescente muestra cómo aumentar las puntas de la tabla de surf.</v>
      </c>
    </row>
    <row r="9838">
      <c r="A9838" s="4" t="s">
        <v>12366</v>
      </c>
      <c r="B9838" s="4" t="s">
        <v>12369</v>
      </c>
      <c r="C9838" s="5" t="str">
        <f>IFERROR(__xludf.DUMMYFUNCTION("GOOGLETRANSLATE(B9838,""en"",""es-ES"")"),"Luego, el adolescente se para en la tabla de surf y demuestra cómo girarlo hacia un lado.")</f>
        <v>Luego, el adolescente se para en la tabla de surf y demuestra cómo girarlo hacia un lado.</v>
      </c>
    </row>
    <row r="9839">
      <c r="A9839" s="4" t="s">
        <v>12366</v>
      </c>
      <c r="B9839" s="4" t="s">
        <v>12370</v>
      </c>
      <c r="C9839" s="5" t="str">
        <f>IFERROR(__xludf.DUMMYFUNCTION("GOOGLETRANSLATE(B9839,""en"",""es-ES"")"),"Después, el adolescente pone su mano en zapatos en la tabla de surf y demuestra un giro.")</f>
        <v>Después, el adolescente pone su mano en zapatos en la tabla de surf y demuestra un giro.</v>
      </c>
    </row>
    <row r="9840">
      <c r="A9840" s="4" t="s">
        <v>12366</v>
      </c>
      <c r="B9840" s="4" t="s">
        <v>12371</v>
      </c>
      <c r="C9840" s="5" t="str">
        <f>IFERROR(__xludf.DUMMYFUNCTION("GOOGLETRANSLATE(B9840,""en"",""es-ES"")"),"Luego, el adolescente gira con los pies.")</f>
        <v>Luego, el adolescente gira con los pies.</v>
      </c>
    </row>
    <row r="9841">
      <c r="A9841" s="4" t="s">
        <v>12372</v>
      </c>
      <c r="B9841" s="4" t="s">
        <v>12373</v>
      </c>
      <c r="C9841" s="5" t="str">
        <f>IFERROR(__xludf.DUMMYFUNCTION("GOOGLETRANSLATE(B9841,""en"",""es-ES"")"),"La gente está remando por un cuerpo de agua.")</f>
        <v>La gente está remando por un cuerpo de agua.</v>
      </c>
    </row>
    <row r="9842">
      <c r="A9842" s="4" t="s">
        <v>12372</v>
      </c>
      <c r="B9842" s="4" t="s">
        <v>12374</v>
      </c>
      <c r="C9842" s="5" t="str">
        <f>IFERROR(__xludf.DUMMYFUNCTION("GOOGLETRANSLATE(B9842,""en"",""es-ES"")"),"Un chico enjuague su rostro con agua del cuerpo de agua.")</f>
        <v>Un chico enjuague su rostro con agua del cuerpo de agua.</v>
      </c>
    </row>
    <row r="9843">
      <c r="A9843" s="4" t="s">
        <v>12372</v>
      </c>
      <c r="B9843" s="4" t="s">
        <v>12375</v>
      </c>
      <c r="C9843" s="5" t="str">
        <f>IFERROR(__xludf.DUMMYFUNCTION("GOOGLETRANSLATE(B9843,""en"",""es-ES"")"),"El tipo pasa sus dedos de agua a través de este cabello.")</f>
        <v>El tipo pasa sus dedos de agua a través de este cabello.</v>
      </c>
    </row>
    <row r="9844">
      <c r="A9844" s="4" t="s">
        <v>12372</v>
      </c>
      <c r="B9844" s="4" t="s">
        <v>12376</v>
      </c>
      <c r="C9844" s="5" t="str">
        <f>IFERROR(__xludf.DUMMYFUNCTION("GOOGLETRANSLATE(B9844,""en"",""es-ES"")"),"Un hombre con bigote se inclina, hace su mano y azota su rostro.")</f>
        <v>Un hombre con bigote se inclina, hace su mano y azota su rostro.</v>
      </c>
    </row>
    <row r="9845">
      <c r="A9845" s="4" t="s">
        <v>12377</v>
      </c>
      <c r="B9845" s="4" t="s">
        <v>12378</v>
      </c>
      <c r="C9845" s="5" t="str">
        <f>IFERROR(__xludf.DUMMYFUNCTION("GOOGLETRANSLATE(B9845,""en"",""es-ES"")"),"Un tipo se encuentra en una cancha sosteniendo un palo colorido y toca una piñata.")</f>
        <v>Un tipo se encuentra en una cancha sosteniendo un palo colorido y toca una piñata.</v>
      </c>
    </row>
    <row r="9846">
      <c r="A9846" s="4" t="s">
        <v>12377</v>
      </c>
      <c r="B9846" s="4" t="s">
        <v>12379</v>
      </c>
      <c r="C9846" s="5" t="str">
        <f>IFERROR(__xludf.DUMMYFUNCTION("GOOGLETRANSLATE(B9846,""en"",""es-ES"")"),"Un chico balancea un palo en una piñata.")</f>
        <v>Un chico balancea un palo en una piñata.</v>
      </c>
    </row>
    <row r="9847">
      <c r="A9847" s="4" t="s">
        <v>12377</v>
      </c>
      <c r="B9847" s="4" t="s">
        <v>12380</v>
      </c>
      <c r="C9847" s="5" t="str">
        <f>IFERROR(__xludf.DUMMYFUNCTION("GOOGLETRANSLATE(B9847,""en"",""es-ES"")"),"El tipo se detiene y pone el palo además de él.")</f>
        <v>El tipo se detiene y pone el palo además de él.</v>
      </c>
    </row>
    <row r="9848">
      <c r="A9848" s="4" t="s">
        <v>12381</v>
      </c>
      <c r="B9848" s="4" t="s">
        <v>12382</v>
      </c>
      <c r="C9848" s="5" t="str">
        <f>IFERROR(__xludf.DUMMYFUNCTION("GOOGLETRANSLATE(B9848,""en"",""es-ES"")"),"Un hombre está sentado frente a un pequeño lienzo.")</f>
        <v>Un hombre está sentado frente a un pequeño lienzo.</v>
      </c>
    </row>
    <row r="9849">
      <c r="A9849" s="4" t="s">
        <v>12381</v>
      </c>
      <c r="B9849" s="4" t="s">
        <v>12383</v>
      </c>
      <c r="C9849" s="5" t="str">
        <f>IFERROR(__xludf.DUMMYFUNCTION("GOOGLETRANSLATE(B9849,""en"",""es-ES"")"),"Utiliza un pincel puntiagudo para crear una imagen.")</f>
        <v>Utiliza un pincel puntiagudo para crear una imagen.</v>
      </c>
    </row>
    <row r="9850">
      <c r="A9850" s="4" t="s">
        <v>12381</v>
      </c>
      <c r="B9850" s="4" t="s">
        <v>12384</v>
      </c>
      <c r="C9850" s="5" t="str">
        <f>IFERROR(__xludf.DUMMYFUNCTION("GOOGLETRANSLATE(B9850,""en"",""es-ES"")"),"Luego llena la imagen con pinturas.")</f>
        <v>Luego llena la imagen con pinturas.</v>
      </c>
    </row>
    <row r="9851">
      <c r="A9851" s="4" t="s">
        <v>12385</v>
      </c>
      <c r="B9851" s="4" t="s">
        <v>12386</v>
      </c>
      <c r="C9851" s="5" t="str">
        <f>IFERROR(__xludf.DUMMYFUNCTION("GOOGLETRANSLATE(B9851,""en"",""es-ES"")"),"Un hombre vierte café en una taza.")</f>
        <v>Un hombre vierte café en una taza.</v>
      </c>
    </row>
    <row r="9852">
      <c r="A9852" s="4" t="s">
        <v>12385</v>
      </c>
      <c r="B9852" s="4" t="s">
        <v>12387</v>
      </c>
      <c r="C9852" s="5" t="str">
        <f>IFERROR(__xludf.DUMMYFUNCTION("GOOGLETRANSLATE(B9852,""en"",""es-ES"")"),"El hombre abre una botella de cerveza con el uso de una jarra.")</f>
        <v>El hombre abre una botella de cerveza con el uso de una jarra.</v>
      </c>
    </row>
    <row r="9853">
      <c r="A9853" s="4" t="s">
        <v>12385</v>
      </c>
      <c r="B9853" s="4" t="s">
        <v>12388</v>
      </c>
      <c r="C9853" s="5" t="str">
        <f>IFERROR(__xludf.DUMMYFUNCTION("GOOGLETRANSLATE(B9853,""en"",""es-ES"")"),"El hombre vierte la cerveza en la taza.")</f>
        <v>El hombre vierte la cerveza en la taza.</v>
      </c>
    </row>
    <row r="9854">
      <c r="A9854" s="4" t="s">
        <v>12385</v>
      </c>
      <c r="B9854" s="4" t="s">
        <v>12389</v>
      </c>
      <c r="C9854" s="5" t="str">
        <f>IFERROR(__xludf.DUMMYFUNCTION("GOOGLETRANSLATE(B9854,""en"",""es-ES"")"),"El hombre bebe la bebida.")</f>
        <v>El hombre bebe la bebida.</v>
      </c>
    </row>
    <row r="9855">
      <c r="A9855" s="4" t="s">
        <v>12390</v>
      </c>
      <c r="B9855" s="4" t="s">
        <v>12391</v>
      </c>
      <c r="C9855" s="5" t="str">
        <f>IFERROR(__xludf.DUMMYFUNCTION("GOOGLETRANSLATE(B9855,""en"",""es-ES"")"),"Vemos a un hombre hablando con una cámara y luego sostener una piedra rizada y luego la gente se ríe del hombre.")</f>
        <v>Vemos a un hombre hablando con una cámara y luego sostener una piedra rizada y luego la gente se ríe del hombre.</v>
      </c>
    </row>
    <row r="9856">
      <c r="A9856" s="4" t="s">
        <v>12390</v>
      </c>
      <c r="B9856" s="4" t="s">
        <v>12392</v>
      </c>
      <c r="C9856" s="5" t="str">
        <f>IFERROR(__xludf.DUMMYFUNCTION("GOOGLETRANSLATE(B9856,""en"",""es-ES"")"),"El hombre arroja la piedra rizada mientras la gente barre las escobas frente a la piedra.")</f>
        <v>El hombre arroja la piedra rizada mientras la gente barre las escobas frente a la piedra.</v>
      </c>
    </row>
    <row r="9857">
      <c r="A9857" s="4" t="s">
        <v>12390</v>
      </c>
      <c r="B9857" s="4" t="s">
        <v>12393</v>
      </c>
      <c r="C9857" s="5" t="str">
        <f>IFERROR(__xludf.DUMMYFUNCTION("GOOGLETRANSLATE(B9857,""en"",""es-ES"")"),"Tres damas arrojan la piedra y se deslizan por la pista.")</f>
        <v>Tres damas arrojan la piedra y se deslizan por la pista.</v>
      </c>
    </row>
    <row r="9858">
      <c r="A9858" s="4" t="s">
        <v>12390</v>
      </c>
      <c r="B9858" s="4" t="s">
        <v>12394</v>
      </c>
      <c r="C9858" s="5" t="str">
        <f>IFERROR(__xludf.DUMMYFUNCTION("GOOGLETRANSLATE(B9858,""en"",""es-ES"")"),"Vemos gente festejando una luces parpadeando.")</f>
        <v>Vemos gente festejando una luces parpadeando.</v>
      </c>
    </row>
    <row r="9859">
      <c r="A9859" s="4" t="s">
        <v>12390</v>
      </c>
      <c r="B9859" s="4" t="s">
        <v>12395</v>
      </c>
      <c r="C9859" s="5" t="str">
        <f>IFERROR(__xludf.DUMMYFUNCTION("GOOGLETRANSLATE(B9859,""en"",""es-ES"")"),"Imágenes destellos de personas que vuelven a curarse y un grupo de personas saltan al aire.")</f>
        <v>Imágenes destellos de personas que vuelven a curarse y un grupo de personas saltan al aire.</v>
      </c>
    </row>
    <row r="9860">
      <c r="A9860" s="4" t="s">
        <v>12390</v>
      </c>
      <c r="B9860" s="4" t="s">
        <v>12396</v>
      </c>
      <c r="C9860" s="5" t="str">
        <f>IFERROR(__xludf.DUMMYFUNCTION("GOOGLETRANSLATE(B9860,""en"",""es-ES"")"),"Vemos una pantalla de título para curling.")</f>
        <v>Vemos una pantalla de título para curling.</v>
      </c>
    </row>
    <row r="9861">
      <c r="A9861" s="4" t="s">
        <v>12397</v>
      </c>
      <c r="B9861" s="4" t="s">
        <v>12398</v>
      </c>
      <c r="C9861" s="5" t="str">
        <f>IFERROR(__xludf.DUMMYFUNCTION("GOOGLETRANSLATE(B9861,""en"",""es-ES"")"),"Dos personas están peleando en un escenario para una audiencia.")</f>
        <v>Dos personas están peleando en un escenario para una audiencia.</v>
      </c>
    </row>
    <row r="9862">
      <c r="A9862" s="4" t="s">
        <v>12397</v>
      </c>
      <c r="B9862" s="4" t="s">
        <v>12399</v>
      </c>
      <c r="C9862" s="5" t="str">
        <f>IFERROR(__xludf.DUMMYFUNCTION("GOOGLETRANSLATE(B9862,""en"",""es-ES"")"),"Un chico hace un gesto el resultado de cada partido.")</f>
        <v>Un chico hace un gesto el resultado de cada partido.</v>
      </c>
    </row>
    <row r="9863">
      <c r="A9863" s="4" t="s">
        <v>12397</v>
      </c>
      <c r="B9863" s="4" t="s">
        <v>12400</v>
      </c>
      <c r="C9863" s="5" t="str">
        <f>IFERROR(__xludf.DUMMYFUNCTION("GOOGLETRANSLATE(B9863,""en"",""es-ES"")"),"Los miembros de la audiencia observan.")</f>
        <v>Los miembros de la audiencia observan.</v>
      </c>
    </row>
    <row r="9864">
      <c r="A9864" s="4" t="s">
        <v>12401</v>
      </c>
      <c r="B9864" s="4" t="s">
        <v>12402</v>
      </c>
      <c r="C9864" s="5" t="str">
        <f>IFERROR(__xludf.DUMMYFUNCTION("GOOGLETRANSLATE(B9864,""en"",""es-ES"")"),"Se muestran varias tomas de paisajes y conducen a una persona que rasca a un perro y tira de una cuerda.")</f>
        <v>Se muestran varias tomas de paisajes y conducen a una persona que rasca a un perro y tira de una cuerda.</v>
      </c>
    </row>
    <row r="9865">
      <c r="A9865" s="4" t="s">
        <v>12401</v>
      </c>
      <c r="B9865" s="4" t="s">
        <v>12403</v>
      </c>
      <c r="C9865" s="5" t="str">
        <f>IFERROR(__xludf.DUMMYFUNCTION("GOOGLETRANSLATE(B9865,""en"",""es-ES"")"),"Se muestran más tomas de personas montando un bote, gaviotas volando y personas tocando música.")</f>
        <v>Se muestran más tomas de personas montando un bote, gaviotas volando y personas tocando música.</v>
      </c>
    </row>
    <row r="9866">
      <c r="A9866" s="4" t="s">
        <v>12401</v>
      </c>
      <c r="B9866" s="4" t="s">
        <v>12404</v>
      </c>
      <c r="C9866" s="5" t="str">
        <f>IFERROR(__xludf.DUMMYFUNCTION("GOOGLETRANSLATE(B9866,""en"",""es-ES"")"),"A continuación, una persona se ve dibujando en un mapa y termina con un ancla y imágenes de personas.")</f>
        <v>A continuación, una persona se ve dibujando en un mapa y termina con un ancla y imágenes de personas.</v>
      </c>
    </row>
    <row r="9867">
      <c r="A9867" s="4" t="s">
        <v>12405</v>
      </c>
      <c r="B9867" s="4" t="s">
        <v>12406</v>
      </c>
      <c r="C9867" s="5" t="str">
        <f>IFERROR(__xludf.DUMMYFUNCTION("GOOGLETRANSLATE(B9867,""en"",""es-ES"")"),"Un equipo de jóvenes animadoras está en un gimnasio haciendo lanzamientos y volteos.")</f>
        <v>Un equipo de jóvenes animadoras está en un gimnasio haciendo lanzamientos y volteos.</v>
      </c>
    </row>
    <row r="9868">
      <c r="A9868" s="4" t="s">
        <v>12405</v>
      </c>
      <c r="B9868" s="4" t="s">
        <v>12407</v>
      </c>
      <c r="C9868" s="5" t="str">
        <f>IFERROR(__xludf.DUMMYFUNCTION("GOOGLETRANSLATE(B9868,""en"",""es-ES"")"),"Luego viene el propietario y comienza a hablar a medida que el video pasa por encima de los materiales que cada persona necesitará.")</f>
        <v>Luego viene el propietario y comienza a hablar a medida que el video pasa por encima de los materiales que cada persona necesitará.</v>
      </c>
    </row>
    <row r="9869">
      <c r="A9869" s="4" t="s">
        <v>12405</v>
      </c>
      <c r="B9869" s="4" t="s">
        <v>12408</v>
      </c>
      <c r="C9869" s="5" t="str">
        <f>IFERROR(__xludf.DUMMYFUNCTION("GOOGLETRANSLATE(B9869,""en"",""es-ES"")"),"Después, a tres niñas se muestran paradas en una posición de straddle y comienza a aplaudir y estallar con su mano derecha a un lado y bajar.")</f>
        <v>Después, a tres niñas se muestran paradas en una posición de straddle y comienza a aplaudir y estallar con su mano derecha a un lado y bajar.</v>
      </c>
    </row>
    <row r="9870">
      <c r="A9870" s="4" t="s">
        <v>12405</v>
      </c>
      <c r="B9870" s="4" t="s">
        <v>12409</v>
      </c>
      <c r="C9870" s="5" t="str">
        <f>IFERROR(__xludf.DUMMYFUNCTION("GOOGLETRANSLATE(B9870,""en"",""es-ES"")"),"Las chicas continúan haciendo la alegría y cuando terminan, el dueño se une.")</f>
        <v>Las chicas continúan haciendo la alegría y cuando terminan, el dueño se une.</v>
      </c>
    </row>
    <row r="9871">
      <c r="A9871" s="4" t="s">
        <v>12405</v>
      </c>
      <c r="B9871" s="4" t="s">
        <v>12410</v>
      </c>
      <c r="C9871" s="5" t="str">
        <f>IFERROR(__xludf.DUMMYFUNCTION("GOOGLETRANSLATE(B9871,""en"",""es-ES"")"),"Una vez que el entrenador desaparece, las chicas continúan la alegría y el video termina.")</f>
        <v>Una vez que el entrenador desaparece, las chicas continúan la alegría y el video termina.</v>
      </c>
    </row>
    <row r="9872">
      <c r="A9872" s="4" t="s">
        <v>12411</v>
      </c>
      <c r="B9872" s="4" t="s">
        <v>12412</v>
      </c>
      <c r="C9872" s="5" t="str">
        <f>IFERROR(__xludf.DUMMYFUNCTION("GOOGLETRANSLATE(B9872,""en"",""es-ES"")"),"El video conduce a varias tomas de diferentes personas que viajan alrededor de Windsurf mientras se pasan unos a otros.")</f>
        <v>El video conduce a varias tomas de diferentes personas que viajan alrededor de Windsurf mientras se pasan unos a otros.</v>
      </c>
    </row>
    <row r="9873">
      <c r="A9873" s="4" t="s">
        <v>12411</v>
      </c>
      <c r="B9873" s="4" t="s">
        <v>12413</v>
      </c>
      <c r="C9873" s="5" t="str">
        <f>IFERROR(__xludf.DUMMYFUNCTION("GOOGLETRANSLATE(B9873,""en"",""es-ES"")"),"Se ve a un hombre hablando con la cámara y conduce a una foto de una persona que surge y saluda a la cámara.")</f>
        <v>Se ve a un hombre hablando con la cámara y conduce a una foto de una persona que surge y saluda a la cámara.</v>
      </c>
    </row>
    <row r="9874">
      <c r="A9874" s="4" t="s">
        <v>12411</v>
      </c>
      <c r="B9874" s="4" t="s">
        <v>12414</v>
      </c>
      <c r="C9874" s="5" t="str">
        <f>IFERROR(__xludf.DUMMYFUNCTION("GOOGLETRANSLATE(B9874,""en"",""es-ES"")"),"Se muestran más personas surfeando y saludando a la cámara mientras se mueven alrededor del océano continuamente.")</f>
        <v>Se muestran más personas surfeando y saludando a la cámara mientras se mueven alrededor del océano continuamente.</v>
      </c>
    </row>
    <row r="9875">
      <c r="A9875" s="4" t="s">
        <v>12415</v>
      </c>
      <c r="B9875" s="4" t="s">
        <v>12416</v>
      </c>
      <c r="C9875" s="5" t="str">
        <f>IFERROR(__xludf.DUMMYFUNCTION("GOOGLETRANSLATE(B9875,""en"",""es-ES"")"),"Se ve a dos personas paradas frente a una gran multitud con una vítores y empujando sus brazos hacia atrás y cuarto.")</f>
        <v>Se ve a dos personas paradas frente a una gran multitud con una vítores y empujando sus brazos hacia atrás y cuarto.</v>
      </c>
    </row>
    <row r="9876">
      <c r="A9876" s="4" t="s">
        <v>12415</v>
      </c>
      <c r="B9876" s="4" t="s">
        <v>12417</v>
      </c>
      <c r="C9876" s="5" t="str">
        <f>IFERROR(__xludf.DUMMYFUNCTION("GOOGLETRANSLATE(B9876,""en"",""es-ES"")"),"Los hombres arrojan la pelota hacia atrás y el cuarto y cambian de lugar con otro, terminando con el mismo hombre animando y abrazando a otro.")</f>
        <v>Los hombres arrojan la pelota hacia atrás y el cuarto y cambian de lugar con otro, terminando con el mismo hombre animando y abrazando a otro.</v>
      </c>
    </row>
    <row r="9877">
      <c r="A9877" s="4" t="s">
        <v>12418</v>
      </c>
      <c r="B9877" s="4" t="s">
        <v>12419</v>
      </c>
      <c r="C9877" s="5" t="str">
        <f>IFERROR(__xludf.DUMMYFUNCTION("GOOGLETRANSLATE(B9877,""en"",""es-ES"")"),"Vemos un botón de reproducción en una pantalla.")</f>
        <v>Vemos un botón de reproducción en una pantalla.</v>
      </c>
    </row>
    <row r="9878">
      <c r="A9878" s="4" t="s">
        <v>12418</v>
      </c>
      <c r="B9878" s="4" t="s">
        <v>12420</v>
      </c>
      <c r="C9878" s="5" t="str">
        <f>IFERROR(__xludf.DUMMYFUNCTION("GOOGLETRANSLATE(B9878,""en"",""es-ES"")"),"Vemos a una dama afeitarse las piernas con una maquinilla de afeitar rosa.")</f>
        <v>Vemos a una dama afeitarse las piernas con una maquinilla de afeitar rosa.</v>
      </c>
    </row>
    <row r="9879">
      <c r="A9879" s="4" t="s">
        <v>12418</v>
      </c>
      <c r="B9879" s="4" t="s">
        <v>12421</v>
      </c>
      <c r="C9879" s="5" t="str">
        <f>IFERROR(__xludf.DUMMYFUNCTION("GOOGLETRANSLATE(B9879,""en"",""es-ES"")"),"Luego vemos el botón de reproducción de la pantalla final.")</f>
        <v>Luego vemos el botón de reproducción de la pantalla final.</v>
      </c>
    </row>
    <row r="9880">
      <c r="A9880" s="4" t="s">
        <v>12422</v>
      </c>
      <c r="B9880" s="4" t="s">
        <v>12423</v>
      </c>
      <c r="C9880" s="5" t="str">
        <f>IFERROR(__xludf.DUMMYFUNCTION("GOOGLETRANSLATE(B9880,""en"",""es-ES"")"),"Los títulos en letras en negrita se ven en la página contra imágenes fijas y un fondo oscuro.")</f>
        <v>Los títulos en letras en negrita se ven en la página contra imágenes fijas y un fondo oscuro.</v>
      </c>
    </row>
    <row r="9881">
      <c r="A9881" s="4" t="s">
        <v>12422</v>
      </c>
      <c r="B9881" s="4" t="s">
        <v>12424</v>
      </c>
      <c r="C9881" s="5" t="str">
        <f>IFERROR(__xludf.DUMMYFUNCTION("GOOGLETRANSLATE(B9881,""en"",""es-ES"")"),"Los hombres juegan un juego de croquet en un patio cubierto de hierba.")</f>
        <v>Los hombres juegan un juego de croquet en un patio cubierto de hierba.</v>
      </c>
    </row>
    <row r="9882">
      <c r="A9882" s="4" t="s">
        <v>12422</v>
      </c>
      <c r="B9882" s="4" t="s">
        <v>12425</v>
      </c>
      <c r="C9882" s="5" t="str">
        <f>IFERROR(__xludf.DUMMYFUNCTION("GOOGLETRANSLATE(B9882,""en"",""es-ES"")"),"Los hombres se arrodilla y golpea la pelota de croquet como un disparo de billar.")</f>
        <v>Los hombres se arrodilla y golpea la pelota de croquet como un disparo de billar.</v>
      </c>
    </row>
    <row r="9883">
      <c r="A9883" s="4" t="s">
        <v>12422</v>
      </c>
      <c r="B9883" s="4" t="s">
        <v>12426</v>
      </c>
      <c r="C9883" s="5" t="str">
        <f>IFERROR(__xludf.DUMMYFUNCTION("GOOGLETRANSLATE(B9883,""en"",""es-ES"")"),"El hombre corre sosteniendo su palo celebrando.")</f>
        <v>El hombre corre sosteniendo su palo celebrando.</v>
      </c>
    </row>
    <row r="9884">
      <c r="A9884" s="4" t="s">
        <v>12422</v>
      </c>
      <c r="B9884" s="4" t="s">
        <v>12427</v>
      </c>
      <c r="C9884" s="5" t="str">
        <f>IFERROR(__xludf.DUMMYFUNCTION("GOOGLETRANSLATE(B9884,""en"",""es-ES"")"),"Un hombre salta sobre la hierba sosteniendo su palo sonriendo.")</f>
        <v>Un hombre salta sobre la hierba sosteniendo su palo sonriendo.</v>
      </c>
    </row>
    <row r="9885">
      <c r="A9885" s="4" t="s">
        <v>12428</v>
      </c>
      <c r="B9885" s="4" t="s">
        <v>12429</v>
      </c>
      <c r="C9885" s="5" t="str">
        <f>IFERROR(__xludf.DUMMYFUNCTION("GOOGLETRANSLATE(B9885,""en"",""es-ES"")"),"Se ve a un hombre hablando con la cámara y lo lleva sentado en una piscina.")</f>
        <v>Se ve a un hombre hablando con la cámara y lo lleva sentado en una piscina.</v>
      </c>
    </row>
    <row r="9886">
      <c r="A9886" s="4" t="s">
        <v>12428</v>
      </c>
      <c r="B9886" s="4" t="s">
        <v>12430</v>
      </c>
      <c r="C9886" s="5" t="str">
        <f>IFERROR(__xludf.DUMMYFUNCTION("GOOGLETRANSLATE(B9886,""en"",""es-ES"")"),"El hombre luego comienza a nadar alrededor de la piscina hacia atrás y cuarto con otros.")</f>
        <v>El hombre luego comienza a nadar alrededor de la piscina hacia atrás y cuarto con otros.</v>
      </c>
    </row>
    <row r="9887">
      <c r="A9887" s="4" t="s">
        <v>12428</v>
      </c>
      <c r="B9887" s="4" t="s">
        <v>12431</v>
      </c>
      <c r="C9887" s="5" t="str">
        <f>IFERROR(__xludf.DUMMYFUNCTION("GOOGLETRANSLATE(B9887,""en"",""es-ES"")"),"Se muestran varios disparos de él nadando alrededor de las personas y se mueven en el agua.")</f>
        <v>Se muestran varios disparos de él nadando alrededor de las personas y se mueven en el agua.</v>
      </c>
    </row>
    <row r="9888">
      <c r="A9888" s="4" t="s">
        <v>12432</v>
      </c>
      <c r="B9888" s="4" t="s">
        <v>12433</v>
      </c>
      <c r="C9888" s="5" t="str">
        <f>IFERROR(__xludf.DUMMYFUNCTION("GOOGLETRANSLATE(B9888,""en"",""es-ES"")"),"Dos mujeres están jugando bádminton en un escenario.")</f>
        <v>Dos mujeres están jugando bádminton en un escenario.</v>
      </c>
    </row>
    <row r="9889">
      <c r="A9889" s="4" t="s">
        <v>12432</v>
      </c>
      <c r="B9889" s="4" t="s">
        <v>12434</v>
      </c>
      <c r="C9889" s="5" t="str">
        <f>IFERROR(__xludf.DUMMYFUNCTION("GOOGLETRANSLATE(B9889,""en"",""es-ES"")"),"La gente está jugando el juego del precio es correcto.")</f>
        <v>La gente está jugando el juego del precio es correcto.</v>
      </c>
    </row>
    <row r="9890">
      <c r="A9890" s="4" t="s">
        <v>12432</v>
      </c>
      <c r="B9890" s="4" t="s">
        <v>12435</v>
      </c>
      <c r="C9890" s="5" t="str">
        <f>IFERROR(__xludf.DUMMYFUNCTION("GOOGLETRANSLATE(B9890,""en"",""es-ES"")"),"Una mujer gana y camina en el escenario para darle un abrazo al anfitrión.")</f>
        <v>Una mujer gana y camina en el escenario para darle un abrazo al anfitrión.</v>
      </c>
    </row>
    <row r="9891">
      <c r="A9891" s="4" t="s">
        <v>12436</v>
      </c>
      <c r="B9891" s="4" t="s">
        <v>12437</v>
      </c>
      <c r="C9891" s="5" t="str">
        <f>IFERROR(__xludf.DUMMYFUNCTION("GOOGLETRANSLATE(B9891,""en"",""es-ES"")"),"Dos chicas están paradas en un campo de hierba.")</f>
        <v>Dos chicas están paradas en un campo de hierba.</v>
      </c>
    </row>
    <row r="9892">
      <c r="A9892" s="4" t="s">
        <v>12436</v>
      </c>
      <c r="B9892" s="4" t="s">
        <v>12438</v>
      </c>
      <c r="C9892" s="5" t="str">
        <f>IFERROR(__xludf.DUMMYFUNCTION("GOOGLETRANSLATE(B9892,""en"",""es-ES"")"),"Una de las chicas comienza a hacer movimientos de porristas.")</f>
        <v>Una de las chicas comienza a hacer movimientos de porristas.</v>
      </c>
    </row>
    <row r="9893">
      <c r="A9893" s="4" t="s">
        <v>12436</v>
      </c>
      <c r="B9893" s="4" t="s">
        <v>12439</v>
      </c>
      <c r="C9893" s="5" t="str">
        <f>IFERROR(__xludf.DUMMYFUNCTION("GOOGLETRANSLATE(B9893,""en"",""es-ES"")"),"La otra chica se para junto a ella hablando.")</f>
        <v>La otra chica se para junto a ella hablando.</v>
      </c>
    </row>
    <row r="9894">
      <c r="A9894" s="4" t="s">
        <v>12440</v>
      </c>
      <c r="B9894" s="4" t="s">
        <v>12441</v>
      </c>
      <c r="C9894" s="5" t="str">
        <f>IFERROR(__xludf.DUMMYFUNCTION("GOOGLETRANSLATE(B9894,""en"",""es-ES"")"),"Un hombre está practicando lanzar dardos en su tablero de dardos.")</f>
        <v>Un hombre está practicando lanzar dardos en su tablero de dardos.</v>
      </c>
    </row>
    <row r="9895">
      <c r="A9895" s="4" t="s">
        <v>12440</v>
      </c>
      <c r="B9895" s="4" t="s">
        <v>12442</v>
      </c>
      <c r="C9895" s="5" t="str">
        <f>IFERROR(__xludf.DUMMYFUNCTION("GOOGLETRANSLATE(B9895,""en"",""es-ES"")"),"Los arroja a todos y luego tiene que recuperar para sacarlos todos.")</f>
        <v>Los arroja a todos y luego tiene que recuperar para sacarlos todos.</v>
      </c>
    </row>
    <row r="9896">
      <c r="A9896" s="4" t="s">
        <v>12440</v>
      </c>
      <c r="B9896" s="4" t="s">
        <v>12443</v>
      </c>
      <c r="C9896" s="5" t="str">
        <f>IFERROR(__xludf.DUMMYFUNCTION("GOOGLETRANSLATE(B9896,""en"",""es-ES"")"),"Una vez que los tiene todos, comienza a arrojarlos nuevamente.")</f>
        <v>Una vez que los tiene todos, comienza a arrojarlos nuevamente.</v>
      </c>
    </row>
    <row r="9897">
      <c r="A9897" s="4" t="s">
        <v>12440</v>
      </c>
      <c r="B9897" s="4" t="s">
        <v>12444</v>
      </c>
      <c r="C9897" s="5" t="str">
        <f>IFERROR(__xludf.DUMMYFUNCTION("GOOGLETRANSLATE(B9897,""en"",""es-ES"")"),"Repita este ciclo varias veces una y otra vez.")</f>
        <v>Repita este ciclo varias veces una y otra vez.</v>
      </c>
    </row>
    <row r="9898">
      <c r="A9898" s="4" t="s">
        <v>12445</v>
      </c>
      <c r="B9898" s="4" t="s">
        <v>12446</v>
      </c>
      <c r="C9898" s="5" t="str">
        <f>IFERROR(__xludf.DUMMYFUNCTION("GOOGLETRANSLATE(B9898,""en"",""es-ES"")"),"Un hombre habla en el interior, luego una dama habla en un campo mientras las niñas corre de su lado.")</f>
        <v>Un hombre habla en el interior, luego una dama habla en un campo mientras las niñas corre de su lado.</v>
      </c>
    </row>
    <row r="9899">
      <c r="A9899" s="4" t="s">
        <v>12445</v>
      </c>
      <c r="B9899" s="4" t="s">
        <v>12447</v>
      </c>
      <c r="C9899" s="5" t="str">
        <f>IFERROR(__xludf.DUMMYFUNCTION("GOOGLETRANSLATE(B9899,""en"",""es-ES"")"),"La señora habla con chicas que juegan un juego golpeando una pelota con un palo.")</f>
        <v>La señora habla con chicas que juegan un juego golpeando una pelota con un palo.</v>
      </c>
    </row>
    <row r="9900">
      <c r="A9900" s="4" t="s">
        <v>12445</v>
      </c>
      <c r="B9900" s="4" t="s">
        <v>12448</v>
      </c>
      <c r="C9900" s="5" t="str">
        <f>IFERROR(__xludf.DUMMYFUNCTION("GOOGLETRANSLATE(B9900,""en"",""es-ES"")"),"Las chicas se turnan para hablar, mientras que otros jugadores practican pelotas de disparo a la portería y muestran la ciudad de Baltimore, los jugadores de los cuervos y las carreteras de la ciudad.")</f>
        <v>Las chicas se turnan para hablar, mientras que otros jugadores practican pelotas de disparo a la portería y muestran la ciudad de Baltimore, los jugadores de los cuervos y las carreteras de la ciudad.</v>
      </c>
    </row>
    <row r="9901">
      <c r="A9901" s="4" t="s">
        <v>12449</v>
      </c>
      <c r="B9901" s="4" t="s">
        <v>12450</v>
      </c>
      <c r="C9901" s="5" t="str">
        <f>IFERROR(__xludf.DUMMYFUNCTION("GOOGLETRANSLATE(B9901,""en"",""es-ES"")"),"Un niño está girado y preparado para romper una piñata.")</f>
        <v>Un niño está girado y preparado para romper una piñata.</v>
      </c>
    </row>
    <row r="9902">
      <c r="A9902" s="4" t="s">
        <v>12449</v>
      </c>
      <c r="B9902" s="4" t="s">
        <v>12451</v>
      </c>
      <c r="C9902" s="5" t="str">
        <f>IFERROR(__xludf.DUMMYFUNCTION("GOOGLETRANSLATE(B9902,""en"",""es-ES"")"),"En cambio, golpea a una chica en la cara.")</f>
        <v>En cambio, golpea a una chica en la cara.</v>
      </c>
    </row>
    <row r="9903">
      <c r="A9903" s="4" t="s">
        <v>12452</v>
      </c>
      <c r="B9903" s="4" t="s">
        <v>12453</v>
      </c>
      <c r="C9903" s="5" t="str">
        <f>IFERROR(__xludf.DUMMYFUNCTION("GOOGLETRANSLATE(B9903,""en"",""es-ES"")"),"Un hombre se salta la cuerda en un camino de conducción, luego el hombre salta y salta la cuerda.")</f>
        <v>Un hombre se salta la cuerda en un camino de conducción, luego el hombre salta y salta la cuerda.</v>
      </c>
    </row>
    <row r="9904">
      <c r="A9904" s="4" t="s">
        <v>12452</v>
      </c>
      <c r="B9904" s="4" t="s">
        <v>12454</v>
      </c>
      <c r="C9904" s="5" t="str">
        <f>IFERROR(__xludf.DUMMYFUNCTION("GOOGLETRANSLATE(B9904,""en"",""es-ES"")"),"Después, el hombre sostiene la cuerda en su mano izquierda y salta mientras gira la cuerda.")</f>
        <v>Después, el hombre sostiene la cuerda en su mano izquierda y salta mientras gira la cuerda.</v>
      </c>
    </row>
    <row r="9905">
      <c r="A9905" s="4" t="s">
        <v>12452</v>
      </c>
      <c r="B9905" s="4" t="s">
        <v>12455</v>
      </c>
      <c r="C9905" s="5" t="str">
        <f>IFERROR(__xludf.DUMMYFUNCTION("GOOGLETRANSLATE(B9905,""en"",""es-ES"")"),"Luego, el hombre alternativo saltando la cuerda y voltea la cuerda de lado a lado en la parte delantera.")</f>
        <v>Luego, el hombre alternativo saltando la cuerda y voltea la cuerda de lado a lado en la parte delantera.</v>
      </c>
    </row>
    <row r="9906">
      <c r="A9906" s="4" t="s">
        <v>12452</v>
      </c>
      <c r="B9906" s="4" t="s">
        <v>12456</v>
      </c>
      <c r="C9906" s="5" t="str">
        <f>IFERROR(__xludf.DUMMYFUNCTION("GOOGLETRANSLATE(B9906,""en"",""es-ES"")"),"Además, el hombre salta de la cuerda cruzada y salta el doble de la cuerda.")</f>
        <v>Además, el hombre salta de la cuerda cruzada y salta el doble de la cuerda.</v>
      </c>
    </row>
    <row r="9907">
      <c r="A9907" s="4" t="s">
        <v>12452</v>
      </c>
      <c r="B9907" s="4" t="s">
        <v>12457</v>
      </c>
      <c r="C9907" s="5" t="str">
        <f>IFERROR(__xludf.DUMMYFUNCTION("GOOGLETRANSLATE(B9907,""en"",""es-ES"")"),"Entonces el hombre salta a la cuerda haciendo saltos en cuclillas y salta a las estocadas.")</f>
        <v>Entonces el hombre salta a la cuerda haciendo saltos en cuclillas y salta a las estocadas.</v>
      </c>
    </row>
    <row r="9908">
      <c r="A9908" s="4" t="s">
        <v>12458</v>
      </c>
      <c r="B9908" s="4" t="s">
        <v>12459</v>
      </c>
      <c r="C9908" s="5" t="str">
        <f>IFERROR(__xludf.DUMMYFUNCTION("GOOGLETRANSLATE(B9908,""en"",""es-ES"")"),"Un hombre lleva pantalones cortos de natación en blanco y negro, de pie al borde de una tabla de buceo, rebota algunas veces y luego salta fuera de la vista y al agua.")</f>
        <v>Un hombre lleva pantalones cortos de natación en blanco y negro, de pie al borde de una tabla de buceo, rebota algunas veces y luego salta fuera de la vista y al agua.</v>
      </c>
    </row>
    <row r="9909">
      <c r="A9909" s="4" t="s">
        <v>12458</v>
      </c>
      <c r="B9909" s="4" t="s">
        <v>12460</v>
      </c>
      <c r="C9909" s="5" t="str">
        <f>IFERROR(__xludf.DUMMYFUNCTION("GOOGLETRANSLATE(B9909,""en"",""es-ES"")"),"Un hombre mayor sin camisa con pantalones cortos negros comienza a caminar sobre la misma tabla del hombre que anteriormente saltó pero luego se detiene.")</f>
        <v>Un hombre mayor sin camisa con pantalones cortos negros comienza a caminar sobre la misma tabla del hombre que anteriormente saltó pero luego se detiene.</v>
      </c>
    </row>
    <row r="9910">
      <c r="A9910" s="4" t="s">
        <v>12458</v>
      </c>
      <c r="B9910" s="4" t="s">
        <v>12461</v>
      </c>
      <c r="C9910" s="5" t="str">
        <f>IFERROR(__xludf.DUMMYFUNCTION("GOOGLETRANSLATE(B9910,""en"",""es-ES"")"),"En una tabla más corta, un hombre que usa ropa interior azul de natación camina hacia el borde del tablero salta varias veces, se detiene, se da vuelta y camina hacia atrás.")</f>
        <v>En una tabla más corta, un hombre que usa ropa interior azul de natación camina hacia el borde del tablero salta varias veces, se detiene, se da vuelta y camina hacia atrás.</v>
      </c>
    </row>
    <row r="9911">
      <c r="A9911" s="4" t="s">
        <v>12458</v>
      </c>
      <c r="B9911" s="4" t="s">
        <v>12462</v>
      </c>
      <c r="C9911" s="5" t="str">
        <f>IFERROR(__xludf.DUMMYFUNCTION("GOOGLETRANSLATE(B9911,""en"",""es-ES"")"),"El hombre camina hacia el borde del tablero nuevamente, salta algunas veces, y una vez más se da vuelta y camina de regreso.")</f>
        <v>El hombre camina hacia el borde del tablero nuevamente, salta algunas veces, y una vez más se da vuelta y camina de regreso.</v>
      </c>
    </row>
    <row r="9912">
      <c r="A9912" s="4" t="s">
        <v>12458</v>
      </c>
      <c r="B9912" s="4" t="s">
        <v>12463</v>
      </c>
      <c r="C9912" s="5" t="str">
        <f>IFERROR(__xludf.DUMMYFUNCTION("GOOGLETRANSLATE(B9912,""en"",""es-ES"")"),"El hombre intenta una vez más y camina hacia el borde de la tabla de buceo y finalmente salta y hace algunas volteidades antes de aterrizar en el agua y luego nada al borde de la piscina.")</f>
        <v>El hombre intenta una vez más y camina hacia el borde de la tabla de buceo y finalmente salta y hace algunas volteidades antes de aterrizar en el agua y luego nada al borde de la piscina.</v>
      </c>
    </row>
    <row r="9913">
      <c r="A9913" s="4" t="s">
        <v>12464</v>
      </c>
      <c r="B9913" s="4" t="s">
        <v>12465</v>
      </c>
      <c r="C9913" s="5" t="str">
        <f>IFERROR(__xludf.DUMMYFUNCTION("GOOGLETRANSLATE(B9913,""en"",""es-ES"")"),"La gente está parada en una cancha de tenis.")</f>
        <v>La gente está parada en una cancha de tenis.</v>
      </c>
    </row>
    <row r="9914">
      <c r="A9914" s="4" t="s">
        <v>12464</v>
      </c>
      <c r="B9914" s="4" t="s">
        <v>12466</v>
      </c>
      <c r="C9914" s="5" t="str">
        <f>IFERROR(__xludf.DUMMYFUNCTION("GOOGLETRANSLATE(B9914,""en"",""es-ES"")"),"Están jugando un juego de tenis.")</f>
        <v>Están jugando un juego de tenis.</v>
      </c>
    </row>
    <row r="9915">
      <c r="A9915" s="4" t="s">
        <v>12464</v>
      </c>
      <c r="B9915" s="4" t="s">
        <v>12467</v>
      </c>
      <c r="C9915" s="5" t="str">
        <f>IFERROR(__xludf.DUMMYFUNCTION("GOOGLETRANSLATE(B9915,""en"",""es-ES"")"),"Un hombre con una camisa blanca golpea la pelota de tenis.")</f>
        <v>Un hombre con una camisa blanca golpea la pelota de tenis.</v>
      </c>
    </row>
    <row r="9916">
      <c r="A9916" s="4" t="s">
        <v>12468</v>
      </c>
      <c r="B9916" s="4" t="s">
        <v>12469</v>
      </c>
      <c r="C9916" s="5" t="str">
        <f>IFERROR(__xludf.DUMMYFUNCTION("GOOGLETRANSLATE(B9916,""en"",""es-ES"")"),"Hay muchos adultos en la habitación (ancianos o jóvenes) y todos están viendo a esta chica tocar el clarinete.")</f>
        <v>Hay muchos adultos en la habitación (ancianos o jóvenes) y todos están viendo a esta chica tocar el clarinete.</v>
      </c>
    </row>
    <row r="9917">
      <c r="A9917" s="4" t="s">
        <v>12468</v>
      </c>
      <c r="B9917" s="4" t="s">
        <v>12470</v>
      </c>
      <c r="C9917" s="5" t="str">
        <f>IFERROR(__xludf.DUMMYFUNCTION("GOOGLETRANSLATE(B9917,""en"",""es-ES"")"),"Primero, la niña camina al frente del aula mientras sostiene su clarinete y el hombre que toca el piano se levanta de su asiento para tocar el piano.")</f>
        <v>Primero, la niña camina al frente del aula mientras sostiene su clarinete y el hombre que toca el piano se levanta de su asiento para tocar el piano.</v>
      </c>
    </row>
    <row r="9918">
      <c r="A9918" s="4" t="s">
        <v>12468</v>
      </c>
      <c r="B9918" s="4" t="s">
        <v>12471</v>
      </c>
      <c r="C9918" s="5" t="str">
        <f>IFERROR(__xludf.DUMMYFUNCTION("GOOGLETRANSLATE(B9918,""en"",""es-ES"")"),"Luego comienza a tocar el piano y ella toca el clarinete junto con el piano, cuando ella ha hecho que todos aplauden por ella.")</f>
        <v>Luego comienza a tocar el piano y ella toca el clarinete junto con el piano, cuando ella ha hecho que todos aplauden por ella.</v>
      </c>
    </row>
    <row r="9919">
      <c r="A9919" s="4" t="s">
        <v>12472</v>
      </c>
      <c r="B9919" s="4" t="s">
        <v>12473</v>
      </c>
      <c r="C9919" s="5" t="str">
        <f>IFERROR(__xludf.DUMMYFUNCTION("GOOGLETRANSLATE(B9919,""en"",""es-ES"")"),"Un hombre se prepara para preformar un evento.")</f>
        <v>Un hombre se prepara para preformar un evento.</v>
      </c>
    </row>
    <row r="9920">
      <c r="A9920" s="4" t="s">
        <v>12472</v>
      </c>
      <c r="B9920" s="4" t="s">
        <v>12474</v>
      </c>
      <c r="C9920" s="5" t="str">
        <f>IFERROR(__xludf.DUMMYFUNCTION("GOOGLETRANSLATE(B9920,""en"",""es-ES"")"),"Comienza a comenzar a correr rápido.")</f>
        <v>Comienza a comenzar a correr rápido.</v>
      </c>
    </row>
    <row r="9921">
      <c r="A9921" s="4" t="s">
        <v>12472</v>
      </c>
      <c r="B9921" s="4" t="s">
        <v>12475</v>
      </c>
      <c r="C9921" s="5" t="str">
        <f>IFERROR(__xludf.DUMMYFUNCTION("GOOGLETRANSLATE(B9921,""en"",""es-ES"")"),"Él está corriendo por el carril y él salta 3 veces en la arena.")</f>
        <v>Él está corriendo por el carril y él salta 3 veces en la arena.</v>
      </c>
    </row>
    <row r="9922">
      <c r="A9922" s="4" t="s">
        <v>12472</v>
      </c>
      <c r="B9922" s="4" t="s">
        <v>12476</v>
      </c>
      <c r="C9922" s="5" t="str">
        <f>IFERROR(__xludf.DUMMYFUNCTION("GOOGLETRANSLATE(B9922,""en"",""es-ES"")"),"Se queda fuera del pozo felizmente.")</f>
        <v>Se queda fuera del pozo felizmente.</v>
      </c>
    </row>
    <row r="9923">
      <c r="A9923" s="4" t="s">
        <v>12472</v>
      </c>
      <c r="B9923" s="4" t="s">
        <v>12477</v>
      </c>
      <c r="C9923" s="5" t="str">
        <f>IFERROR(__xludf.DUMMYFUNCTION("GOOGLETRANSLATE(B9923,""en"",""es-ES"")"),"Continúa caminando vitoreando mientras corta a la multitud y a los locutores.")</f>
        <v>Continúa caminando vitoreando mientras corta a la multitud y a los locutores.</v>
      </c>
    </row>
    <row r="9924">
      <c r="A9924" s="4" t="s">
        <v>12472</v>
      </c>
      <c r="B9924" s="4" t="s">
        <v>12478</v>
      </c>
      <c r="C9924" s="5" t="str">
        <f>IFERROR(__xludf.DUMMYFUNCTION("GOOGLETRANSLATE(B9924,""en"",""es-ES"")"),"Él sopla un beso a la multitud.")</f>
        <v>Él sopla un beso a la multitud.</v>
      </c>
    </row>
    <row r="9925">
      <c r="A9925" s="4" t="s">
        <v>12472</v>
      </c>
      <c r="B9925" s="4" t="s">
        <v>12479</v>
      </c>
      <c r="C9925" s="5" t="str">
        <f>IFERROR(__xludf.DUMMYFUNCTION("GOOGLETRANSLATE(B9925,""en"",""es-ES"")"),"Él va y comienza a abrazar a los fanáticos.")</f>
        <v>Él va y comienza a abrazar a los fanáticos.</v>
      </c>
    </row>
    <row r="9926">
      <c r="A9926" s="4" t="s">
        <v>12480</v>
      </c>
      <c r="B9926" s="4" t="s">
        <v>12481</v>
      </c>
      <c r="C9926" s="5" t="str">
        <f>IFERROR(__xludf.DUMMYFUNCTION("GOOGLETRANSLATE(B9926,""en"",""es-ES"")"),"Los autos conducen en una carretera nevada.")</f>
        <v>Los autos conducen en una carretera nevada.</v>
      </c>
    </row>
    <row r="9927">
      <c r="A9927" s="4" t="s">
        <v>12480</v>
      </c>
      <c r="B9927" s="4" t="s">
        <v>12482</v>
      </c>
      <c r="C9927" s="5" t="str">
        <f>IFERROR(__xludf.DUMMYFUNCTION("GOOGLETRANSLATE(B9927,""en"",""es-ES"")"),"Se muestra una señal de una montaña de azúcar y Peolpe practica snowboard.")</f>
        <v>Se muestra una señal de una montaña de azúcar y Peolpe practica snowboard.</v>
      </c>
    </row>
    <row r="9928">
      <c r="A9928" s="4" t="s">
        <v>12480</v>
      </c>
      <c r="B9928" s="4" t="s">
        <v>12483</v>
      </c>
      <c r="C9928" s="5" t="str">
        <f>IFERROR(__xludf.DUMMYFUNCTION("GOOGLETRANSLATE(B9928,""en"",""es-ES"")"),"La gente está haciendo snowboard por una colina nevada.")</f>
        <v>La gente está haciendo snowboard por una colina nevada.</v>
      </c>
    </row>
    <row r="9929">
      <c r="A9929" s="4" t="s">
        <v>12480</v>
      </c>
      <c r="B9929" s="4" t="s">
        <v>12484</v>
      </c>
      <c r="C9929" s="5" t="str">
        <f>IFERROR(__xludf.DUMMYFUNCTION("GOOGLETRANSLATE(B9929,""en"",""es-ES"")"),"Los autos nevados viajan en una colina nevada.")</f>
        <v>Los autos nevados viajan en una colina nevada.</v>
      </c>
    </row>
    <row r="9930">
      <c r="A9930" s="4" t="s">
        <v>12480</v>
      </c>
      <c r="B9930" s="4" t="s">
        <v>12485</v>
      </c>
      <c r="C9930" s="5" t="str">
        <f>IFERROR(__xludf.DUMMYFUNCTION("GOOGLETRANSLATE(B9930,""en"",""es-ES"")"),"Los hombres están snowboard en una colina.")</f>
        <v>Los hombres están snowboard en una colina.</v>
      </c>
    </row>
    <row r="9931">
      <c r="A9931" s="4" t="s">
        <v>12486</v>
      </c>
      <c r="B9931" s="4" t="s">
        <v>12487</v>
      </c>
      <c r="C9931" s="5" t="str">
        <f>IFERROR(__xludf.DUMMYFUNCTION("GOOGLETRANSLATE(B9931,""en"",""es-ES"")"),"Se ve a un niño pequeño sentado en una silla frente a una mesa con un cuerpo grande.")</f>
        <v>Se ve a un niño pequeño sentado en una silla frente a una mesa con un cuerpo grande.</v>
      </c>
    </row>
    <row r="9932">
      <c r="A9932" s="4" t="s">
        <v>12486</v>
      </c>
      <c r="B9932" s="4" t="s">
        <v>12488</v>
      </c>
      <c r="C9932" s="5" t="str">
        <f>IFERROR(__xludf.DUMMYFUNCTION("GOOGLETRANSLATE(B9932,""en"",""es-ES"")"),"Luego se ve a las manos escribiendo una nota y frotando contra la cara mientras el niño se ríe y las manos continúan moviéndose.")</f>
        <v>Luego se ve a las manos escribiendo una nota y frotando contra la cara mientras el niño se ríe y las manos continúan moviéndose.</v>
      </c>
    </row>
    <row r="9933">
      <c r="A9933" s="4" t="s">
        <v>12489</v>
      </c>
      <c r="B9933" s="4" t="s">
        <v>12490</v>
      </c>
      <c r="C9933" s="5" t="str">
        <f>IFERROR(__xludf.DUMMYFUNCTION("GOOGLETRANSLATE(B9933,""en"",""es-ES"")"),"Un hombre empuja un disco frente a un juego de rumbo.")</f>
        <v>Un hombre empuja un disco frente a un juego de rumbo.</v>
      </c>
    </row>
    <row r="9934">
      <c r="A9934" s="4" t="s">
        <v>12489</v>
      </c>
      <c r="B9934" s="4" t="s">
        <v>12491</v>
      </c>
      <c r="C9934" s="5" t="str">
        <f>IFERROR(__xludf.DUMMYFUNCTION("GOOGLETRANSLATE(B9934,""en"",""es-ES"")"),"Otra persona empuja un disco hacia la ruta de la láiga.")</f>
        <v>Otra persona empuja un disco hacia la ruta de la láiga.</v>
      </c>
    </row>
    <row r="9935">
      <c r="A9935" s="4" t="s">
        <v>12489</v>
      </c>
      <c r="B9935" s="4" t="s">
        <v>12492</v>
      </c>
      <c r="C9935" s="5" t="str">
        <f>IFERROR(__xludf.DUMMYFUNCTION("GOOGLETRANSLATE(B9935,""en"",""es-ES"")"),"El primer hombre hace una cara divertida.")</f>
        <v>El primer hombre hace una cara divertida.</v>
      </c>
    </row>
    <row r="9936">
      <c r="A9936" s="4" t="s">
        <v>12493</v>
      </c>
      <c r="B9936" s="4" t="s">
        <v>12494</v>
      </c>
      <c r="C9936" s="5" t="str">
        <f>IFERROR(__xludf.DUMMYFUNCTION("GOOGLETRANSLATE(B9936,""en"",""es-ES"")"),"Un hombre solitario en una habitación con un telón de fondo de pantalla verde realiza un movimiento de baile de break en un parche de pisos de madera, usando su espalda para girar.")</f>
        <v>Un hombre solitario en una habitación con un telón de fondo de pantalla verde realiza un movimiento de baile de break en un parche de pisos de madera, usando su espalda para girar.</v>
      </c>
    </row>
    <row r="9937">
      <c r="A9937" s="4" t="s">
        <v>12493</v>
      </c>
      <c r="B9937" s="4" t="s">
        <v>12495</v>
      </c>
      <c r="C9937" s="5" t="str">
        <f>IFERROR(__xludf.DUMMYFUNCTION("GOOGLETRANSLATE(B9937,""en"",""es-ES"")"),"El hombre deja de bailar y se para frente a la cámara hablando con ella antes de demostrar movimientos básicos de baile de descanso, incluido el uso de las manos y las rodillas para realizar giros desde el piso.")</f>
        <v>El hombre deja de bailar y se para frente a la cámara hablando con ella antes de demostrar movimientos básicos de baile de descanso, incluido el uso de las manos y las rodillas para realizar giros desde el piso.</v>
      </c>
    </row>
    <row r="9938">
      <c r="A9938" s="4" t="s">
        <v>12493</v>
      </c>
      <c r="B9938" s="4" t="s">
        <v>12496</v>
      </c>
      <c r="C9938" s="5" t="str">
        <f>IFERROR(__xludf.DUMMYFUNCTION("GOOGLETRANSLATE(B9938,""en"",""es-ES"")"),"El hombre continúa demostrando los movimientos de baile de descanso y habla con la cámara hasta que da un signo de paz a la cámara y la pantalla se desvanece en un gráfico de marketing.")</f>
        <v>El hombre continúa demostrando los movimientos de baile de descanso y habla con la cámara hasta que da un signo de paz a la cámara y la pantalla se desvanece en un gráfico de marketing.</v>
      </c>
    </row>
    <row r="9939">
      <c r="A9939" s="4" t="s">
        <v>12497</v>
      </c>
      <c r="B9939" s="4" t="s">
        <v>12498</v>
      </c>
      <c r="C9939" s="5" t="str">
        <f>IFERROR(__xludf.DUMMYFUNCTION("GOOGLETRANSLATE(B9939,""en"",""es-ES"")"),"Clips de mujeres y hombres están en el salto con pértiga en interiores, mientras que mucha gente se mueve a su alrededor o simplemente observando, y una pancarta en la parte inferior dice que se encuentra en el ""Centro de la Exposición del Condado de Bel"&amp;"l County County de Texas Elite Bell en 12 28 13"".")</f>
        <v>Clips de mujeres y hombres están en el salto con pértiga en interiores, mientras que mucha gente se mueve a su alrededor o simplemente observando, y una pancarta en la parte inferior dice que se encuentra en el "Centro de la Exposición del Condado de Bell County County de Texas Elite Bell en 12 28 13".</v>
      </c>
    </row>
    <row r="9940">
      <c r="A9940" s="4" t="s">
        <v>12497</v>
      </c>
      <c r="B9940" s="4" t="s">
        <v>12499</v>
      </c>
      <c r="C9940" s="5" t="str">
        <f>IFERROR(__xludf.DUMMYFUNCTION("GOOGLETRANSLATE(B9940,""en"",""es-ES"")"),"Como varios clips de diferentes personas son salto con pértiga, un hombre y una mujer están parados en el interior y hablando con la cámara con las palabras en la parte inferior de la pantalla, dicen que sus nombres son Kaitlin Petrillosa y Jack Chapman C"&amp;"ompetitor &amp; Presidman "".")</f>
        <v>Como varios clips de diferentes personas son salto con pértiga, un hombre y una mujer están parados en el interior y hablando con la cámara con las palabras en la parte inferior de la pantalla, dicen que sus nombres son Kaitlin Petrillosa y Jack Chapman Competitor &amp; Presidman ".</v>
      </c>
    </row>
    <row r="9941">
      <c r="A9941" s="4" t="s">
        <v>12497</v>
      </c>
      <c r="B9941" s="4" t="s">
        <v>12500</v>
      </c>
      <c r="C9941" s="5" t="str">
        <f>IFERROR(__xludf.DUMMYFUNCTION("GOOGLETRANSLATE(B9941,""en"",""es-ES"")"),"La vista difumina y las palabras blancas en la pantalla aparecen en el medio y dicen ""Killeen Daily Herald de Marianne Gish"".")</f>
        <v>La vista difumina y las palabras blancas en la pantalla aparecen en el medio y dicen "Killeen Daily Herald de Marianne Gish".</v>
      </c>
    </row>
    <row r="9942">
      <c r="A9942" s="4" t="s">
        <v>12501</v>
      </c>
      <c r="B9942" s="4" t="s">
        <v>12502</v>
      </c>
      <c r="C9942" s="5" t="str">
        <f>IFERROR(__xludf.DUMMYFUNCTION("GOOGLETRANSLATE(B9942,""en"",""es-ES"")"),"Se ve una cortina, y un bailarín del vientre camina hacia el escenario.")</f>
        <v>Se ve una cortina, y un bailarín del vientre camina hacia el escenario.</v>
      </c>
    </row>
    <row r="9943">
      <c r="A9943" s="4" t="s">
        <v>12501</v>
      </c>
      <c r="B9943" s="4" t="s">
        <v>12503</v>
      </c>
      <c r="C9943" s="5" t="str">
        <f>IFERROR(__xludf.DUMMYFUNCTION("GOOGLETRANSLATE(B9943,""en"",""es-ES"")"),"Ella actúa para la audiencia, sacudiendo sus caderas y chupando su vientre dentro y fuera.")</f>
        <v>Ella actúa para la audiencia, sacudiendo sus caderas y chupando su vientre dentro y fuera.</v>
      </c>
    </row>
    <row r="9944">
      <c r="A9944" s="4" t="s">
        <v>12501</v>
      </c>
      <c r="B9944" s="4" t="s">
        <v>12504</v>
      </c>
      <c r="C9944" s="5" t="str">
        <f>IFERROR(__xludf.DUMMYFUNCTION("GOOGLETRANSLATE(B9944,""en"",""es-ES"")"),"Cuando termina, arroja sus brazos al aire y la pantalla se vuelve negra.")</f>
        <v>Cuando termina, arroja sus brazos al aire y la pantalla se vuelve negra.</v>
      </c>
    </row>
    <row r="9945">
      <c r="A9945" s="4" t="s">
        <v>12505</v>
      </c>
      <c r="B9945" s="4" t="s">
        <v>12506</v>
      </c>
      <c r="C9945" s="5" t="str">
        <f>IFERROR(__xludf.DUMMYFUNCTION("GOOGLETRANSLATE(B9945,""en"",""es-ES"")"),"Se ve a un hombre atlético de pie en un círculo seguido de girar y arrojar un objeto a la distancia.")</f>
        <v>Se ve a un hombre atlético de pie en un círculo seguido de girar y arrojar un objeto a la distancia.</v>
      </c>
    </row>
    <row r="9946">
      <c r="A9946" s="4" t="s">
        <v>12505</v>
      </c>
      <c r="B9946" s="4" t="s">
        <v>12507</v>
      </c>
      <c r="C9946" s="5" t="str">
        <f>IFERROR(__xludf.DUMMYFUNCTION("GOOGLETRANSLATE(B9946,""en"",""es-ES"")"),"Se ve a más personas intensificando el objeto mientras la cámara observa.")</f>
        <v>Se ve a más personas intensificando el objeto mientras la cámara observa.</v>
      </c>
    </row>
    <row r="9947">
      <c r="A9947" s="4" t="s">
        <v>12505</v>
      </c>
      <c r="B9947" s="4" t="s">
        <v>12508</v>
      </c>
      <c r="C9947" s="5" t="str">
        <f>IFERROR(__xludf.DUMMYFUNCTION("GOOGLETRANSLATE(B9947,""en"",""es-ES"")"),"Varias personas miran al margen.")</f>
        <v>Varias personas miran al margen.</v>
      </c>
    </row>
    <row r="9948">
      <c r="A9948" s="4" t="s">
        <v>12509</v>
      </c>
      <c r="B9948" s="4" t="s">
        <v>12510</v>
      </c>
      <c r="C9948" s="5" t="str">
        <f>IFERROR(__xludf.DUMMYFUNCTION("GOOGLETRANSLATE(B9948,""en"",""es-ES"")"),"Se ve a un hombre colocando cinta en un juego de esquís en cada extremo y comienza a frotar cera en el esquí.")</f>
        <v>Se ve a un hombre colocando cinta en un juego de esquís en cada extremo y comienza a frotar cera en el esquí.</v>
      </c>
    </row>
    <row r="9949">
      <c r="A9949" s="4" t="s">
        <v>12509</v>
      </c>
      <c r="B9949" s="4" t="s">
        <v>12511</v>
      </c>
      <c r="C9949" s="5" t="str">
        <f>IFERROR(__xludf.DUMMYFUNCTION("GOOGLETRANSLATE(B9949,""en"",""es-ES"")"),"El hombre luego toma una lijadora y la corre a lo largo del esquí.")</f>
        <v>El hombre luego toma una lijadora y la corre a lo largo del esquí.</v>
      </c>
    </row>
    <row r="9950">
      <c r="A9950" s="4" t="s">
        <v>12509</v>
      </c>
      <c r="B9950" s="4" t="s">
        <v>12512</v>
      </c>
      <c r="C9950" s="5" t="str">
        <f>IFERROR(__xludf.DUMMYFUNCTION("GOOGLETRANSLATE(B9950,""en"",""es-ES"")"),"El hombre luego toma un tablero y lo frota a lo largo del esquí y termina quitándolo.")</f>
        <v>El hombre luego toma un tablero y lo frota a lo largo del esquí y termina quitándolo.</v>
      </c>
    </row>
    <row r="9951">
      <c r="A9951" s="4" t="s">
        <v>12513</v>
      </c>
      <c r="B9951" s="4" t="s">
        <v>12514</v>
      </c>
      <c r="C9951" s="5" t="str">
        <f>IFERROR(__xludf.DUMMYFUNCTION("GOOGLETRANSLATE(B9951,""en"",""es-ES"")"),"Se muestra una gran playa, así como personas de pie en la playa y mirando el cielo.")</f>
        <v>Se muestra una gran playa, así como personas de pie en la playa y mirando el cielo.</v>
      </c>
    </row>
    <row r="9952">
      <c r="A9952" s="4" t="s">
        <v>12513</v>
      </c>
      <c r="B9952" s="4" t="s">
        <v>12515</v>
      </c>
      <c r="C9952" s="5" t="str">
        <f>IFERROR(__xludf.DUMMYFUNCTION("GOOGLETRANSLATE(B9952,""en"",""es-ES"")"),"Se ve a las personas volando cometas en el aire mientras la gente mira a su alrededor y mira.")</f>
        <v>Se ve a las personas volando cometas en el aire mientras la gente mira a su alrededor y mira.</v>
      </c>
    </row>
    <row r="9953">
      <c r="A9953" s="4" t="s">
        <v>12513</v>
      </c>
      <c r="B9953" s="4" t="s">
        <v>12516</v>
      </c>
      <c r="C9953" s="5" t="str">
        <f>IFERROR(__xludf.DUMMYFUNCTION("GOOGLETRANSLATE(B9953,""en"",""es-ES"")"),"Se ve a más personas volando cometas en el aire y algunos las agarran del suelo.")</f>
        <v>Se ve a más personas volando cometas en el aire y algunos las agarran del suelo.</v>
      </c>
    </row>
    <row r="9954">
      <c r="A9954" s="4" t="s">
        <v>12517</v>
      </c>
      <c r="B9954" s="4" t="s">
        <v>12518</v>
      </c>
      <c r="C9954" s="5" t="str">
        <f>IFERROR(__xludf.DUMMYFUNCTION("GOOGLETRANSLATE(B9954,""en"",""es-ES"")"),"Un hombre con un traje negro y con una tabla de surf está hablando con el camarógrafo, a punto de meterse en el agua.")</f>
        <v>Un hombre con un traje negro y con una tabla de surf está hablando con el camarógrafo, a punto de meterse en el agua.</v>
      </c>
    </row>
    <row r="9955">
      <c r="A9955" s="4" t="s">
        <v>12517</v>
      </c>
      <c r="B9955" s="4" t="s">
        <v>12519</v>
      </c>
      <c r="C9955" s="5" t="str">
        <f>IFERROR(__xludf.DUMMYFUNCTION("GOOGLETRANSLATE(B9955,""en"",""es-ES"")"),"La música dramática se reproduce mientras muestra varios clips de surfistas en el agua, montando olas.")</f>
        <v>La música dramática se reproduce mientras muestra varios clips de surfistas en el agua, montando olas.</v>
      </c>
    </row>
    <row r="9956">
      <c r="A9956" s="4" t="s">
        <v>12517</v>
      </c>
      <c r="B9956" s="4" t="s">
        <v>12520</v>
      </c>
      <c r="C9956" s="5" t="str">
        <f>IFERROR(__xludf.DUMMYFUNCTION("GOOGLETRANSLATE(B9956,""en"",""es-ES"")"),"El video termina cuando el hombre con el traje negro negro viene a la orilla después de montar una ola y sonreír.")</f>
        <v>El video termina cuando el hombre con el traje negro negro viene a la orilla después de montar una ola y sonreír.</v>
      </c>
    </row>
    <row r="9957">
      <c r="A9957" s="4" t="s">
        <v>12521</v>
      </c>
      <c r="B9957" s="4" t="s">
        <v>12522</v>
      </c>
      <c r="C9957" s="5" t="str">
        <f>IFERROR(__xludf.DUMMYFUNCTION("GOOGLETRANSLATE(B9957,""en"",""es-ES"")"),"Un hombre entra en el marco y habla con la cámara mientras sostiene una navaja de afeitar y navaja en sus manos.")</f>
        <v>Un hombre entra en el marco y habla con la cámara mientras sostiene una navaja de afeitar y navaja en sus manos.</v>
      </c>
    </row>
    <row r="9958">
      <c r="A9958" s="4" t="s">
        <v>12521</v>
      </c>
      <c r="B9958" s="4" t="s">
        <v>12523</v>
      </c>
      <c r="C9958" s="5" t="str">
        <f>IFERROR(__xludf.DUMMYFUNCTION("GOOGLETRANSLATE(B9958,""en"",""es-ES"")"),"Aparece una escena sobre el video del hombre y se lo ve frotando crema en su rostro y se afeita el cabello.")</f>
        <v>Aparece una escena sobre el video del hombre y se lo ve frotando crema en su rostro y se afeita el cabello.</v>
      </c>
    </row>
    <row r="9959">
      <c r="A9959" s="4" t="s">
        <v>12521</v>
      </c>
      <c r="B9959" s="4" t="s">
        <v>12524</v>
      </c>
      <c r="C9959" s="5" t="str">
        <f>IFERROR(__xludf.DUMMYFUNCTION("GOOGLETRANSLATE(B9959,""en"",""es-ES"")"),"Deja un poco de cabello en la barbilla y se lo ve nuevamente hablando con la cámara y se aleja.")</f>
        <v>Deja un poco de cabello en la barbilla y se lo ve nuevamente hablando con la cámara y se aleja.</v>
      </c>
    </row>
    <row r="9960">
      <c r="A9960" s="4" t="s">
        <v>12525</v>
      </c>
      <c r="B9960" s="4" t="s">
        <v>12526</v>
      </c>
      <c r="C9960" s="5" t="str">
        <f>IFERROR(__xludf.DUMMYFUNCTION("GOOGLETRANSLATE(B9960,""en"",""es-ES"")"),"Varias personas se muestran en un taller que trabaja mientras empuja objetos, maquinaria de conducción, maquinaria de trabajo y etc.")</f>
        <v>Varias personas se muestran en un taller que trabaja mientras empuja objetos, maquinaria de conducción, maquinaria de trabajo y etc.</v>
      </c>
    </row>
    <row r="9961">
      <c r="A9961" s="4" t="s">
        <v>12525</v>
      </c>
      <c r="B9961" s="4" t="s">
        <v>12527</v>
      </c>
      <c r="C9961" s="5" t="str">
        <f>IFERROR(__xludf.DUMMYFUNCTION("GOOGLETRANSLATE(B9961,""en"",""es-ES"")"),"Se muestra a una mujer colocando una larga pieza de metal en una gran maquinaria y las palabras ""Tema de hoy: la soldadura"" aparece en la pantalla seguida de una persona con una máscara y soldadura con una antorcha.")</f>
        <v>Se muestra a una mujer colocando una larga pieza de metal en una gran maquinaria y las palabras "Tema de hoy: la soldadura" aparece en la pantalla seguida de una persona con una máscara y soldadura con una antorcha.</v>
      </c>
    </row>
    <row r="9962">
      <c r="A9962" s="4" t="s">
        <v>12525</v>
      </c>
      <c r="B9962" s="4" t="s">
        <v>12528</v>
      </c>
      <c r="C9962" s="5" t="str">
        <f>IFERROR(__xludf.DUMMYFUNCTION("GOOGLETRANSLATE(B9962,""en"",""es-ES"")"),"Una mujer ahora está de pie en una máquina y está agarrando varios objetos de metal y colocándolos en una máquina que los deja de unir.")</f>
        <v>Una mujer ahora está de pie en una máquina y está agarrando varios objetos de metal y colocándolos en una máquina que los deja de unir.</v>
      </c>
    </row>
    <row r="9963">
      <c r="A9963" s="4" t="s">
        <v>12525</v>
      </c>
      <c r="B9963" s="4" t="s">
        <v>12529</v>
      </c>
      <c r="C9963" s="5" t="str">
        <f>IFERROR(__xludf.DUMMYFUNCTION("GOOGLETRANSLATE(B9963,""en"",""es-ES"")"),"Aparece el outro y es una pantalla blanca con un logotipo rojo y azul, un sitio web e información de hashtag.")</f>
        <v>Aparece el outro y es una pantalla blanca con un logotipo rojo y azul, un sitio web e información de hashtag.</v>
      </c>
    </row>
    <row r="9964">
      <c r="A9964" s="4" t="s">
        <v>12530</v>
      </c>
      <c r="B9964" s="4" t="s">
        <v>12531</v>
      </c>
      <c r="C9964" s="5" t="str">
        <f>IFERROR(__xludf.DUMMYFUNCTION("GOOGLETRANSLATE(B9964,""en"",""es-ES"")"),"Una banda grande está caminando por un desfile y hay mucha gente caminando junto y parada al margen mirando o tomando fotos y videos.")</f>
        <v>Una banda grande está caminando por un desfile y hay mucha gente caminando junto y parada al margen mirando o tomando fotos y videos.</v>
      </c>
    </row>
    <row r="9965">
      <c r="A9965" s="4" t="s">
        <v>12530</v>
      </c>
      <c r="B9965" s="4" t="s">
        <v>12532</v>
      </c>
      <c r="C9965" s="5" t="str">
        <f>IFERROR(__xludf.DUMMYFUNCTION("GOOGLETRANSLATE(B9965,""en"",""es-ES"")"),"La vista cambia a las mujeres que llevan y balancean banderas en un poste y luego vuelven a la banda grande que se detiene y continúa tocando para la multitud.")</f>
        <v>La vista cambia a las mujeres que llevan y balancean banderas en un poste y luego vuelven a la banda grande que se detiene y continúa tocando para la multitud.</v>
      </c>
    </row>
    <row r="9966">
      <c r="A9966" s="4" t="s">
        <v>12530</v>
      </c>
      <c r="B9966" s="4" t="s">
        <v>12533</v>
      </c>
      <c r="C9966" s="5" t="str">
        <f>IFERROR(__xludf.DUMMYFUNCTION("GOOGLETRANSLATE(B9966,""en"",""es-ES"")"),"La banda se reanuda caminar y también la multitud alrededor y detrás de ellos.")</f>
        <v>La banda se reanuda caminar y también la multitud alrededor y detrás de ellos.</v>
      </c>
    </row>
    <row r="9967">
      <c r="A9967" s="4" t="s">
        <v>12534</v>
      </c>
      <c r="B9967" s="4" t="s">
        <v>12535</v>
      </c>
      <c r="C9967" s="5" t="str">
        <f>IFERROR(__xludf.DUMMYFUNCTION("GOOGLETRANSLATE(B9967,""en"",""es-ES"")"),"Un hombre se sienta en una habitación frente a una bandera.")</f>
        <v>Un hombre se sienta en una habitación frente a una bandera.</v>
      </c>
    </row>
    <row r="9968">
      <c r="A9968" s="4" t="s">
        <v>12534</v>
      </c>
      <c r="B9968" s="4" t="s">
        <v>12536</v>
      </c>
      <c r="C9968" s="5" t="str">
        <f>IFERROR(__xludf.DUMMYFUNCTION("GOOGLETRANSLATE(B9968,""en"",""es-ES"")"),"Está tocando un instrumento de viento negro.")</f>
        <v>Está tocando un instrumento de viento negro.</v>
      </c>
    </row>
    <row r="9969">
      <c r="A9969" s="4" t="s">
        <v>12534</v>
      </c>
      <c r="B9969" s="4" t="s">
        <v>12537</v>
      </c>
      <c r="C9969" s="5" t="str">
        <f>IFERROR(__xludf.DUMMYFUNCTION("GOOGLETRANSLATE(B9969,""en"",""es-ES"")"),"Sus dedos se colocan sobre los agujeros.")</f>
        <v>Sus dedos se colocan sobre los agujeros.</v>
      </c>
    </row>
    <row r="9970">
      <c r="A9970" s="4" t="s">
        <v>12534</v>
      </c>
      <c r="B9970" s="4" t="s">
        <v>12538</v>
      </c>
      <c r="C9970" s="5" t="str">
        <f>IFERROR(__xludf.DUMMYFUNCTION("GOOGLETRANSLATE(B9970,""en"",""es-ES"")"),"Lleva gafas de sol mientras juega.")</f>
        <v>Lleva gafas de sol mientras juega.</v>
      </c>
    </row>
    <row r="9971">
      <c r="A9971" s="4" t="s">
        <v>12539</v>
      </c>
      <c r="B9971" s="4" t="s">
        <v>12540</v>
      </c>
      <c r="C9971" s="5" t="str">
        <f>IFERROR(__xludf.DUMMYFUNCTION("GOOGLETRANSLATE(B9971,""en"",""es-ES"")"),"La gente está en las gradas de una arena.")</f>
        <v>La gente está en las gradas de una arena.</v>
      </c>
    </row>
    <row r="9972">
      <c r="A9972" s="4" t="s">
        <v>12539</v>
      </c>
      <c r="B9972" s="4" t="s">
        <v>12541</v>
      </c>
      <c r="C9972" s="5" t="str">
        <f>IFERROR(__xludf.DUMMYFUNCTION("GOOGLETRANSLATE(B9972,""en"",""es-ES"")"),"Un toro saca la droga de la arena por los caballos.")</f>
        <v>Un toro saca la droga de la arena por los caballos.</v>
      </c>
    </row>
    <row r="9973">
      <c r="A9973" s="4" t="s">
        <v>12539</v>
      </c>
      <c r="B9973" s="4" t="s">
        <v>12542</v>
      </c>
      <c r="C9973" s="5" t="str">
        <f>IFERROR(__xludf.DUMMYFUNCTION("GOOGLETRANSLATE(B9973,""en"",""es-ES"")"),"Una mujer está hablando con la cámara.")</f>
        <v>Una mujer está hablando con la cámara.</v>
      </c>
    </row>
    <row r="9974">
      <c r="A9974" s="4" t="s">
        <v>12543</v>
      </c>
      <c r="B9974" s="4" t="s">
        <v>12544</v>
      </c>
      <c r="C9974" s="5" t="str">
        <f>IFERROR(__xludf.DUMMYFUNCTION("GOOGLETRANSLATE(B9974,""en"",""es-ES"")"),"Un grupo de jóvenes asiáticos está en interiores con muchos espectadores en las gradas que contienen señales y los animan.")</f>
        <v>Un grupo de jóvenes asiáticos está en interiores con muchos espectadores en las gradas que contienen señales y los animan.</v>
      </c>
    </row>
    <row r="9975">
      <c r="A9975" s="4" t="s">
        <v>12543</v>
      </c>
      <c r="B9975" s="4" t="s">
        <v>12545</v>
      </c>
      <c r="C9975" s="5" t="str">
        <f>IFERROR(__xludf.DUMMYFUNCTION("GOOGLETRANSLATE(B9975,""en"",""es-ES"")"),"Dos jóvenes asiáticos se ponen de pie con su arco y flechas y cada uno se turnan para dispararle a su objetivo de los toros mientras la multitud los anima después de que se realiza cada disparo, y ocasionalmente se muestran a 3 personas adecuadas haciendo"&amp;" comentarios.")</f>
        <v>Dos jóvenes asiáticos se ponen de pie con su arco y flechas y cada uno se turnan para dispararle a su objetivo de los toros mientras la multitud los anima después de que se realiza cada disparo, y ocasionalmente se muestran a 3 personas adecuadas haciendo comentarios.</v>
      </c>
    </row>
    <row r="9976">
      <c r="A9976" s="4" t="s">
        <v>12543</v>
      </c>
      <c r="B9976" s="4" t="s">
        <v>12546</v>
      </c>
      <c r="C9976" s="5" t="str">
        <f>IFERROR(__xludf.DUMMYFUNCTION("GOOGLETRANSLATE(B9976,""en"",""es-ES"")"),"Cuando los hombres terminan de dispararle al objetivo, uno de ellos levanta el brazo en la victoria, se dan las manos de los demás, se abrazan, se reúnen y saludan a la multitud que vitoreando.")</f>
        <v>Cuando los hombres terminan de dispararle al objetivo, uno de ellos levanta el brazo en la victoria, se dan las manos de los demás, se abrazan, se reúnen y saludan a la multitud que vitoreando.</v>
      </c>
    </row>
    <row r="9977">
      <c r="A9977" s="4" t="s">
        <v>12547</v>
      </c>
      <c r="B9977" s="4" t="s">
        <v>12548</v>
      </c>
      <c r="C9977" s="5" t="str">
        <f>IFERROR(__xludf.DUMMYFUNCTION("GOOGLETRANSLATE(B9977,""en"",""es-ES"")"),"Una mujer está en una habitación con sillas.")</f>
        <v>Una mujer está en una habitación con sillas.</v>
      </c>
    </row>
    <row r="9978">
      <c r="A9978" s="4" t="s">
        <v>12547</v>
      </c>
      <c r="B9978" s="4" t="s">
        <v>12549</v>
      </c>
      <c r="C9978" s="5" t="str">
        <f>IFERROR(__xludf.DUMMYFUNCTION("GOOGLETRANSLATE(B9978,""en"",""es-ES"")"),"Ella está jugando el violín.")</f>
        <v>Ella está jugando el violín.</v>
      </c>
    </row>
    <row r="9979">
      <c r="A9979" s="4" t="s">
        <v>12547</v>
      </c>
      <c r="B9979" s="4" t="s">
        <v>12550</v>
      </c>
      <c r="C9979" s="5" t="str">
        <f>IFERROR(__xludf.DUMMYFUNCTION("GOOGLETRANSLATE(B9979,""en"",""es-ES"")"),"Dos hombres están tocando la batería con ella.")</f>
        <v>Dos hombres están tocando la batería con ella.</v>
      </c>
    </row>
    <row r="9980">
      <c r="A9980" s="4" t="s">
        <v>12547</v>
      </c>
      <c r="B9980" s="4" t="s">
        <v>12551</v>
      </c>
      <c r="C9980" s="5" t="str">
        <f>IFERROR(__xludf.DUMMYFUNCTION("GOOGLETRANSLATE(B9980,""en"",""es-ES"")"),"La cámara se dirige entre ellos.")</f>
        <v>La cámara se dirige entre ellos.</v>
      </c>
    </row>
    <row r="9981">
      <c r="A9981" s="4" t="s">
        <v>12552</v>
      </c>
      <c r="B9981" s="4" t="s">
        <v>12553</v>
      </c>
      <c r="C9981" s="5" t="str">
        <f>IFERROR(__xludf.DUMMYFUNCTION("GOOGLETRANSLATE(B9981,""en"",""es-ES"")"),"Un hombre está lanzando dardos a un tablero de dardos.")</f>
        <v>Un hombre está lanzando dardos a un tablero de dardos.</v>
      </c>
    </row>
    <row r="9982">
      <c r="A9982" s="4" t="s">
        <v>12552</v>
      </c>
      <c r="B9982" s="4" t="s">
        <v>12554</v>
      </c>
      <c r="C9982" s="5" t="str">
        <f>IFERROR(__xludf.DUMMYFUNCTION("GOOGLETRANSLATE(B9982,""en"",""es-ES"")"),"Lanza uno y llega al centro del tablero.")</f>
        <v>Lanza uno y llega al centro del tablero.</v>
      </c>
    </row>
    <row r="9983">
      <c r="A9983" s="4" t="s">
        <v>12552</v>
      </c>
      <c r="B9983" s="4" t="s">
        <v>12555</v>
      </c>
      <c r="C9983" s="5" t="str">
        <f>IFERROR(__xludf.DUMMYFUNCTION("GOOGLETRANSLATE(B9983,""en"",""es-ES"")"),"Él vuelve a lanzar y también llega al centro.")</f>
        <v>Él vuelve a lanzar y también llega al centro.</v>
      </c>
    </row>
    <row r="9984">
      <c r="A9984" s="4" t="s">
        <v>12552</v>
      </c>
      <c r="B9984" s="4" t="s">
        <v>12556</v>
      </c>
      <c r="C9984" s="5" t="str">
        <f>IFERROR(__xludf.DUMMYFUNCTION("GOOGLETRANSLATE(B9984,""en"",""es-ES"")"),"Cada disparo lo hace justo en el centro del tablero.")</f>
        <v>Cada disparo lo hace justo en el centro del tablero.</v>
      </c>
    </row>
    <row r="9985">
      <c r="A9985" s="4" t="s">
        <v>12557</v>
      </c>
      <c r="B9985" s="4" t="s">
        <v>12558</v>
      </c>
      <c r="C9985" s="5" t="str">
        <f>IFERROR(__xludf.DUMMYFUNCTION("GOOGLETRANSLATE(B9985,""en"",""es-ES"")"),"Dos hombres se sientan juntos en una cabina y compiten en un partido de lucha libre.")</f>
        <v>Dos hombres se sientan juntos en una cabina y compiten en un partido de lucha libre.</v>
      </c>
    </row>
    <row r="9986">
      <c r="A9986" s="4" t="s">
        <v>12557</v>
      </c>
      <c r="B9986" s="4" t="s">
        <v>12559</v>
      </c>
      <c r="C9986" s="5" t="str">
        <f>IFERROR(__xludf.DUMMYFUNCTION("GOOGLETRANSLATE(B9986,""en"",""es-ES"")"),"Los amigos se reunieron observando desafíos con los luchadores del brazo después del partido.")</f>
        <v>Los amigos se reunieron observando desafíos con los luchadores del brazo después del partido.</v>
      </c>
    </row>
    <row r="9987">
      <c r="A9987" s="4" t="s">
        <v>12557</v>
      </c>
      <c r="B9987" s="4" t="s">
        <v>12560</v>
      </c>
      <c r="C9987" s="5" t="str">
        <f>IFERROR(__xludf.DUMMYFUNCTION("GOOGLETRANSLATE(B9987,""en"",""es-ES"")"),"Los hombres se dan la mano y hablan después del partido.")</f>
        <v>Los hombres se dan la mano y hablan después del partido.</v>
      </c>
    </row>
    <row r="9988">
      <c r="A9988" s="4" t="s">
        <v>12561</v>
      </c>
      <c r="B9988" s="4" t="s">
        <v>12562</v>
      </c>
      <c r="C9988" s="5" t="str">
        <f>IFERROR(__xludf.DUMMYFUNCTION("GOOGLETRANSLATE(B9988,""en"",""es-ES"")"),"El título y el logotipo aparecen en la pantalla.")</f>
        <v>El título y el logotipo aparecen en la pantalla.</v>
      </c>
    </row>
    <row r="9989">
      <c r="A9989" s="4" t="s">
        <v>12561</v>
      </c>
      <c r="B9989" s="4" t="s">
        <v>12563</v>
      </c>
      <c r="C9989" s="5" t="str">
        <f>IFERROR(__xludf.DUMMYFUNCTION("GOOGLETRANSLATE(B9989,""en"",""es-ES"")"),"Un hombre que sostiene un saxofón juega y habla con la cámara en el medio.")</f>
        <v>Un hombre que sostiene un saxofón juega y habla con la cámara en el medio.</v>
      </c>
    </row>
    <row r="9990">
      <c r="A9990" s="4" t="s">
        <v>12561</v>
      </c>
      <c r="B9990" s="4" t="s">
        <v>12564</v>
      </c>
      <c r="C9990" s="5" t="str">
        <f>IFERROR(__xludf.DUMMYFUNCTION("GOOGLETRANSLATE(B9990,""en"",""es-ES"")"),"Un hombre sostiene el saxofón para mostrar el fondo.")</f>
        <v>Un hombre sostiene el saxofón para mostrar el fondo.</v>
      </c>
    </row>
    <row r="9991">
      <c r="A9991" s="4" t="s">
        <v>12561</v>
      </c>
      <c r="B9991" s="4" t="s">
        <v>12565</v>
      </c>
      <c r="C9991" s="5" t="str">
        <f>IFERROR(__xludf.DUMMYFUNCTION("GOOGLETRANSLATE(B9991,""en"",""es-ES"")"),"El hombre se quita la boquilla de su saxofón y lo reemplaza.")</f>
        <v>El hombre se quita la boquilla de su saxofón y lo reemplaza.</v>
      </c>
    </row>
    <row r="9992">
      <c r="A9992" s="4" t="s">
        <v>12561</v>
      </c>
      <c r="B9992" s="4" t="s">
        <v>12566</v>
      </c>
      <c r="C9992" s="5" t="str">
        <f>IFERROR(__xludf.DUMMYFUNCTION("GOOGLETRANSLATE(B9992,""en"",""es-ES"")"),"Vemos un primer plano del hombre tocando el saxofón, se acerca y vuelve a él.")</f>
        <v>Vemos un primer plano del hombre tocando el saxofón, se acerca y vuelve a él.</v>
      </c>
    </row>
    <row r="9993">
      <c r="A9993" s="4" t="s">
        <v>12561</v>
      </c>
      <c r="B9993" s="4" t="s">
        <v>12567</v>
      </c>
      <c r="C9993" s="5" t="str">
        <f>IFERROR(__xludf.DUMMYFUNCTION("GOOGLETRANSLATE(B9993,""en"",""es-ES"")"),"Vemos un primer plano de la apertura de la bocina.")</f>
        <v>Vemos un primer plano de la apertura de la bocina.</v>
      </c>
    </row>
    <row r="9994">
      <c r="A9994" s="4" t="s">
        <v>12561</v>
      </c>
      <c r="B9994" s="4" t="s">
        <v>12568</v>
      </c>
      <c r="C9994" s="5" t="str">
        <f>IFERROR(__xludf.DUMMYFUNCTION("GOOGLETRANSLATE(B9994,""en"",""es-ES"")"),"La pantalla se vuelve negra y vemos la pantalla final.")</f>
        <v>La pantalla se vuelve negra y vemos la pantalla final.</v>
      </c>
    </row>
    <row r="9995">
      <c r="A9995" s="4" t="s">
        <v>12569</v>
      </c>
      <c r="B9995" s="4" t="s">
        <v>12570</v>
      </c>
      <c r="C9995" s="5" t="str">
        <f>IFERROR(__xludf.DUMMYFUNCTION("GOOGLETRANSLATE(B9995,""en"",""es-ES"")"),"Vemos a dos damas de lucha del brazo.")</f>
        <v>Vemos a dos damas de lucha del brazo.</v>
      </c>
    </row>
    <row r="9996">
      <c r="A9996" s="4" t="s">
        <v>12569</v>
      </c>
      <c r="B9996" s="4" t="s">
        <v>12571</v>
      </c>
      <c r="C9996" s="5" t="str">
        <f>IFERROR(__xludf.DUMMYFUNCTION("GOOGLETRANSLATE(B9996,""en"",""es-ES"")"),"La dama correcta mira la cámara.")</f>
        <v>La dama correcta mira la cámara.</v>
      </c>
    </row>
    <row r="9997">
      <c r="A9997" s="4" t="s">
        <v>12569</v>
      </c>
      <c r="B9997" s="4" t="s">
        <v>12572</v>
      </c>
      <c r="C9997" s="5" t="str">
        <f>IFERROR(__xludf.DUMMYFUNCTION("GOOGLETRANSLATE(B9997,""en"",""es-ES"")"),"La dama correcta gana el partido.")</f>
        <v>La dama correcta gana el partido.</v>
      </c>
    </row>
    <row r="9998">
      <c r="A9998" s="4" t="s">
        <v>12569</v>
      </c>
      <c r="B9998" s="4" t="s">
        <v>12573</v>
      </c>
      <c r="C9998" s="5" t="str">
        <f>IFERROR(__xludf.DUMMYFUNCTION("GOOGLETRANSLATE(B9998,""en"",""es-ES"")"),"La dama izquierda deja caer la cabeza hacia la mesa.")</f>
        <v>La dama izquierda deja caer la cabeza hacia la mesa.</v>
      </c>
    </row>
    <row r="9999">
      <c r="A9999" s="4" t="s">
        <v>12569</v>
      </c>
      <c r="B9999" s="4" t="s">
        <v>12574</v>
      </c>
      <c r="C9999" s="5" t="str">
        <f>IFERROR(__xludf.DUMMYFUNCTION("GOOGLETRANSLATE(B9999,""en"",""es-ES"")"),"La dama correcta arroja sus brazos al aire y habla con la cámara.")</f>
        <v>La dama correcta arroja sus brazos al aire y habla con la cámara.</v>
      </c>
    </row>
    <row r="10000">
      <c r="A10000" s="4" t="s">
        <v>12575</v>
      </c>
      <c r="B10000" s="4" t="s">
        <v>12576</v>
      </c>
      <c r="C10000" s="5" t="str">
        <f>IFERROR(__xludf.DUMMYFUNCTION("GOOGLETRANSLATE(B10000,""en"",""es-ES"")"),"Un hombre corta la madera con un hacha en la nieve.")</f>
        <v>Un hombre corta la madera con un hacha en la nieve.</v>
      </c>
    </row>
    <row r="10001">
      <c r="A10001" s="4" t="s">
        <v>12575</v>
      </c>
      <c r="B10001" s="4" t="s">
        <v>12577</v>
      </c>
      <c r="C10001" s="5" t="str">
        <f>IFERROR(__xludf.DUMMYFUNCTION("GOOGLETRANSLATE(B10001,""en"",""es-ES"")"),"Una persona está detrás del hombre.")</f>
        <v>Una persona está detrás del hombre.</v>
      </c>
    </row>
    <row r="10002">
      <c r="A10002" s="4" t="s">
        <v>12575</v>
      </c>
      <c r="B10002" s="4" t="s">
        <v>12578</v>
      </c>
      <c r="C10002" s="5" t="str">
        <f>IFERROR(__xludf.DUMMYFUNCTION("GOOGLETRANSLATE(B10002,""en"",""es-ES"")"),"Una persona maneja la leña empalmada a un hombre.")</f>
        <v>Una persona maneja la leña empalmada a un hombre.</v>
      </c>
    </row>
    <row r="10003">
      <c r="A10003" s="4" t="s">
        <v>12575</v>
      </c>
      <c r="B10003" s="4" t="s">
        <v>12579</v>
      </c>
      <c r="C10003" s="5" t="str">
        <f>IFERROR(__xludf.DUMMYFUNCTION("GOOGLETRANSLATE(B10003,""en"",""es-ES"")"),"El hombre continúa cortando leña con el hacha.")</f>
        <v>El hombre continúa cortando leña con el hacha.</v>
      </c>
    </row>
    <row r="10004">
      <c r="A10004" s="4" t="s">
        <v>12575</v>
      </c>
      <c r="B10004" s="4" t="s">
        <v>12580</v>
      </c>
      <c r="C10004" s="5" t="str">
        <f>IFERROR(__xludf.DUMMYFUNCTION("GOOGLETRANSLATE(B10004,""en"",""es-ES"")"),"El hacha se apila en un trozo de madera, pero el hombre se lo quita y continúa cortando la leña.")</f>
        <v>El hacha se apila en un trozo de madera, pero el hombre se lo quita y continúa cortando la leña.</v>
      </c>
    </row>
    <row r="10005">
      <c r="A10005" s="4" t="s">
        <v>12581</v>
      </c>
      <c r="B10005" s="4" t="s">
        <v>12582</v>
      </c>
      <c r="C10005" s="5" t="str">
        <f>IFERROR(__xludf.DUMMYFUNCTION("GOOGLETRANSLATE(B10005,""en"",""es-ES"")"),"Una anciana blanca con cabello rubio corto y gafas comienza a hablar en la esquina del gimnasio.")</f>
        <v>Una anciana blanca con cabello rubio corto y gafas comienza a hablar en la esquina del gimnasio.</v>
      </c>
    </row>
    <row r="10006">
      <c r="A10006" s="4" t="s">
        <v>12581</v>
      </c>
      <c r="B10006" s="4" t="s">
        <v>12583</v>
      </c>
      <c r="C10006" s="5" t="str">
        <f>IFERROR(__xludf.DUMMYFUNCTION("GOOGLETRANSLATE(B10006,""en"",""es-ES"")"),"Las niñas pequeñas luego entran en el gimnasio y un entrenador masculino comienza a ayudarlas mientras caminan por la viga del equilibrio.")</f>
        <v>Las niñas pequeñas luego entran en el gimnasio y un entrenador masculino comienza a ayudarlas mientras caminan por la viga del equilibrio.</v>
      </c>
    </row>
    <row r="10007">
      <c r="A10007" s="4" t="s">
        <v>12584</v>
      </c>
      <c r="B10007" s="4" t="s">
        <v>12585</v>
      </c>
      <c r="C10007" s="5" t="str">
        <f>IFERROR(__xludf.DUMMYFUNCTION("GOOGLETRANSLATE(B10007,""en"",""es-ES"")"),"Una mujer asiática que lleva una camisa azul y comienza a hablar y arrojando las manos hacia la cámara.")</f>
        <v>Una mujer asiática que lleva una camisa azul y comienza a hablar y arrojando las manos hacia la cámara.</v>
      </c>
    </row>
    <row r="10008">
      <c r="A10008" s="4" t="s">
        <v>12584</v>
      </c>
      <c r="B10008" s="4" t="s">
        <v>12586</v>
      </c>
      <c r="C10008" s="5" t="str">
        <f>IFERROR(__xludf.DUMMYFUNCTION("GOOGLETRANSLATE(B10008,""en"",""es-ES"")"),"Luego agarra una plancha y continúa planchando un paño amarillo en la tabla de planchar.")</f>
        <v>Luego agarra una plancha y continúa planchando un paño amarillo en la tabla de planchar.</v>
      </c>
    </row>
    <row r="10009">
      <c r="A10009" s="4" t="s">
        <v>12584</v>
      </c>
      <c r="B10009" s="4" t="s">
        <v>12587</v>
      </c>
      <c r="C10009" s="5" t="str">
        <f>IFERROR(__xludf.DUMMYFUNCTION("GOOGLETRANSLATE(B10009,""en"",""es-ES"")"),"Una vez que el frente está terminado, lo agarra y lo voltea para que pueda completar la plancha.")</f>
        <v>Una vez que el frente está terminado, lo agarra y lo voltea para que pueda completar la plancha.</v>
      </c>
    </row>
    <row r="10010">
      <c r="A10010" s="4" t="s">
        <v>12588</v>
      </c>
      <c r="B10010" s="4" t="s">
        <v>12589</v>
      </c>
      <c r="C10010" s="5" t="str">
        <f>IFERROR(__xludf.DUMMYFUNCTION("GOOGLETRANSLATE(B10010,""en"",""es-ES"")"),"La cámara se mueve sobre un campo de hierba rodeada de una pista, con personas haciendo cosas indistintas en el fondo.")</f>
        <v>La cámara se mueve sobre un campo de hierba rodeada de una pista, con personas haciendo cosas indistintas en el fondo.</v>
      </c>
    </row>
    <row r="10011">
      <c r="A10011" s="4" t="s">
        <v>12588</v>
      </c>
      <c r="B10011" s="4" t="s">
        <v>12590</v>
      </c>
      <c r="C10011" s="5" t="str">
        <f>IFERROR(__xludf.DUMMYFUNCTION("GOOGLETRANSLATE(B10011,""en"",""es-ES"")"),"Se muestra a un hombre participando en el lanzamiento de peso.")</f>
        <v>Se muestra a un hombre participando en el lanzamiento de peso.</v>
      </c>
    </row>
    <row r="10012">
      <c r="A10012" s="4" t="s">
        <v>12588</v>
      </c>
      <c r="B10012" s="4" t="s">
        <v>12591</v>
      </c>
      <c r="C10012" s="5" t="str">
        <f>IFERROR(__xludf.DUMMYFUNCTION("GOOGLETRANSLATE(B10012,""en"",""es-ES"")"),"Los jueces miden el lanzamiento del hombre.")</f>
        <v>Los jueces miden el lanzamiento del hombre.</v>
      </c>
    </row>
    <row r="10013">
      <c r="A10013" s="4" t="s">
        <v>12588</v>
      </c>
      <c r="B10013" s="4" t="s">
        <v>12592</v>
      </c>
      <c r="C10013" s="5" t="str">
        <f>IFERROR(__xludf.DUMMYFUNCTION("GOOGLETRANSLATE(B10013,""en"",""es-ES"")"),"Se muestra a la audiencia aplaudiendo cuando el hombre recibe felicitaciones por personas cercanas.")</f>
        <v>Se muestra a la audiencia aplaudiendo cuando el hombre recibe felicitaciones por personas cercanas.</v>
      </c>
    </row>
    <row r="10014">
      <c r="A10014" s="4" t="s">
        <v>12588</v>
      </c>
      <c r="B10014" s="4" t="s">
        <v>12593</v>
      </c>
      <c r="C10014" s="5" t="str">
        <f>IFERROR(__xludf.DUMMYFUNCTION("GOOGLETRANSLATE(B10014,""en"",""es-ES"")"),"Se muestra una repetición del lanzamiento.")</f>
        <v>Se muestra una repetición del lanzamiento.</v>
      </c>
    </row>
    <row r="10015">
      <c r="A10015" s="4" t="s">
        <v>12594</v>
      </c>
      <c r="B10015" s="4" t="s">
        <v>12595</v>
      </c>
      <c r="C10015" s="5" t="str">
        <f>IFERROR(__xludf.DUMMYFUNCTION("GOOGLETRANSLATE(B10015,""en"",""es-ES"")"),"Varias personas están vestidas con tipos de sudaderas enrollando esteras en un gran gimnasio.")</f>
        <v>Varias personas están vestidas con tipos de sudaderas enrollando esteras en un gran gimnasio.</v>
      </c>
    </row>
    <row r="10016">
      <c r="A10016" s="4" t="s">
        <v>12594</v>
      </c>
      <c r="B10016" s="4" t="s">
        <v>12596</v>
      </c>
      <c r="C10016" s="5" t="str">
        <f>IFERROR(__xludf.DUMMYFUNCTION("GOOGLETRANSLATE(B10016,""en"",""es-ES"")"),"Después de que las alfombras se despliegan, otras personas comienzan a caminar por el piso vestidas con uniformes de esgrima.")</f>
        <v>Después de que las alfombras se despliegan, otras personas comienzan a caminar por el piso vestidas con uniformes de esgrima.</v>
      </c>
    </row>
    <row r="10017">
      <c r="A10017" s="4" t="s">
        <v>12594</v>
      </c>
      <c r="B10017" s="4" t="s">
        <v>12597</v>
      </c>
      <c r="C10017" s="5" t="str">
        <f>IFERROR(__xludf.DUMMYFUNCTION("GOOGLETRANSLATE(B10017,""en"",""es-ES"")"),"Los atletas comienzan a caminar y hablar entre ellos mientras una pequeña mascota camina por la colchoneta.")</f>
        <v>Los atletas comienzan a caminar y hablar entre ellos mientras una pequeña mascota camina por la colchoneta.</v>
      </c>
    </row>
    <row r="10018">
      <c r="A10018" s="4" t="s">
        <v>12594</v>
      </c>
      <c r="B10018" s="4" t="s">
        <v>12598</v>
      </c>
      <c r="C10018" s="5" t="str">
        <f>IFERROR(__xludf.DUMMYFUNCTION("GOOGLETRANSLATE(B10018,""en"",""es-ES"")"),"Finalmente, comienza un partido y una vez que ha superado a unos cinco de los individuos posan para una foto.")</f>
        <v>Finalmente, comienza un partido y una vez que ha superado a unos cinco de los individuos posan para una foto.</v>
      </c>
    </row>
    <row r="10019">
      <c r="A10019" s="4" t="s">
        <v>12594</v>
      </c>
      <c r="B10019" s="4" t="s">
        <v>12599</v>
      </c>
      <c r="C10019" s="5" t="str">
        <f>IFERROR(__xludf.DUMMYFUNCTION("GOOGLETRANSLATE(B10019,""en"",""es-ES"")"),"La cámara se acelera y muestra a varios equipos y personas que entran y salen del gimnasio.")</f>
        <v>La cámara se acelera y muestra a varios equipos y personas que entran y salen del gimnasio.</v>
      </c>
    </row>
    <row r="10020">
      <c r="A10020" s="4" t="s">
        <v>12594</v>
      </c>
      <c r="B10020" s="4" t="s">
        <v>12600</v>
      </c>
      <c r="C10020" s="5" t="str">
        <f>IFERROR(__xludf.DUMMYFUNCTION("GOOGLETRANSLATE(B10020,""en"",""es-ES"")"),"A continuación, se muestran partidos de esgrima entre aproximadamente 12 pares de personas y se alinean y se dan un máximo de cinco antes de acurrucarse y hablar con su entrenador.")</f>
        <v>A continuación, se muestran partidos de esgrima entre aproximadamente 12 pares de personas y se alinean y se dan un máximo de cinco antes de acurrucarse y hablar con su entrenador.</v>
      </c>
    </row>
    <row r="10021">
      <c r="A10021" s="4" t="s">
        <v>12601</v>
      </c>
      <c r="B10021" s="4" t="s">
        <v>12602</v>
      </c>
      <c r="C10021" s="5" t="str">
        <f>IFERROR(__xludf.DUMMYFUNCTION("GOOGLETRANSLATE(B10021,""en"",""es-ES"")"),"Aparece una pantalla negra con letras azules que dicen ""Jayne Clarke Field Hockey Clips 2009"".")</f>
        <v>Aparece una pantalla negra con letras azules que dicen "Jayne Clarke Field Hockey Clips 2009".</v>
      </c>
    </row>
    <row r="10022">
      <c r="A10022" s="4" t="s">
        <v>12601</v>
      </c>
      <c r="B10022" s="4" t="s">
        <v>12603</v>
      </c>
      <c r="C10022" s="5" t="str">
        <f>IFERROR(__xludf.DUMMYFUNCTION("GOOGLETRANSLATE(B10022,""en"",""es-ES"")"),"Los clips comienzan a jugar y hay una serie de pequeños clips reunidos de la niña jugando con un equipo, practicando solo y practicando en un curso.")</f>
        <v>Los clips comienzan a jugar y hay una serie de pequeños clips reunidos de la niña jugando con un equipo, practicando solo y practicando en un curso.</v>
      </c>
    </row>
    <row r="10023">
      <c r="A10023" s="4" t="s">
        <v>12601</v>
      </c>
      <c r="B10023" s="4" t="s">
        <v>12604</v>
      </c>
      <c r="C10023" s="5" t="str">
        <f>IFERROR(__xludf.DUMMYFUNCTION("GOOGLETRANSLATE(B10023,""en"",""es-ES"")"),"El video termina con la niña practicando sola en una cancha interior de interior vacía y grande.")</f>
        <v>El video termina con la niña practicando sola en una cancha interior de interior vacía y grande.</v>
      </c>
    </row>
    <row r="10024">
      <c r="A10024" s="4" t="s">
        <v>12605</v>
      </c>
      <c r="B10024" s="4" t="s">
        <v>12606</v>
      </c>
      <c r="C10024" s="5" t="str">
        <f>IFERROR(__xludf.DUMMYFUNCTION("GOOGLETRANSLATE(B10024,""en"",""es-ES"")"),"Vemos a los hombres fuertes lucha contra el brazo.")</f>
        <v>Vemos a los hombres fuertes lucha contra el brazo.</v>
      </c>
    </row>
    <row r="10025">
      <c r="A10025" s="4" t="s">
        <v>12605</v>
      </c>
      <c r="B10025" s="4" t="s">
        <v>12607</v>
      </c>
      <c r="C10025" s="5" t="str">
        <f>IFERROR(__xludf.DUMMYFUNCTION("GOOGLETRANSLATE(B10025,""en"",""es-ES"")"),"Vemos a dos hombres abrazarse después del partido.")</f>
        <v>Vemos a dos hombres abrazarse después del partido.</v>
      </c>
    </row>
    <row r="10026">
      <c r="A10026" s="4" t="s">
        <v>12605</v>
      </c>
      <c r="B10026" s="4" t="s">
        <v>12608</v>
      </c>
      <c r="C10026" s="5" t="str">
        <f>IFERROR(__xludf.DUMMYFUNCTION("GOOGLETRANSLATE(B10026,""en"",""es-ES"")"),"Un anfitrión con un traje blanco narra.")</f>
        <v>Un anfitrión con un traje blanco narra.</v>
      </c>
    </row>
    <row r="10027">
      <c r="A10027" s="4" t="s">
        <v>12605</v>
      </c>
      <c r="B10027" s="4" t="s">
        <v>12609</v>
      </c>
      <c r="C10027" s="5" t="str">
        <f>IFERROR(__xludf.DUMMYFUNCTION("GOOGLETRANSLATE(B10027,""en"",""es-ES"")"),"Vemos a un camarógrafo justo detrás de la mesa.")</f>
        <v>Vemos a un camarógrafo justo detrás de la mesa.</v>
      </c>
    </row>
    <row r="10028">
      <c r="A10028" s="4" t="s">
        <v>12605</v>
      </c>
      <c r="B10028" s="4" t="s">
        <v>9831</v>
      </c>
      <c r="C10028" s="5" t="str">
        <f>IFERROR(__xludf.DUMMYFUNCTION("GOOGLETRANSLATE(B10028,""en"",""es-ES"")"),"Una persona camina frente a la cámara.")</f>
        <v>Una persona camina frente a la cámara.</v>
      </c>
    </row>
    <row r="10029">
      <c r="A10029" s="4" t="s">
        <v>12605</v>
      </c>
      <c r="B10029" s="4" t="s">
        <v>12610</v>
      </c>
      <c r="C10029" s="5" t="str">
        <f>IFERROR(__xludf.DUMMYFUNCTION("GOOGLETRANSLATE(B10029,""en"",""es-ES"")"),"El partido final comienza y termina muy rápido y los hombres se abrazan.")</f>
        <v>El partido final comienza y termina muy rápido y los hombres se abrazan.</v>
      </c>
    </row>
    <row r="10030">
      <c r="A10030" s="4" t="s">
        <v>12605</v>
      </c>
      <c r="B10030" s="4" t="s">
        <v>12611</v>
      </c>
      <c r="C10030" s="5" t="str">
        <f>IFERROR(__xludf.DUMMYFUNCTION("GOOGLETRANSLATE(B10030,""en"",""es-ES"")"),"Vemos un espejismo de imágenes.")</f>
        <v>Vemos un espejismo de imágenes.</v>
      </c>
    </row>
    <row r="10031">
      <c r="A10031" s="4" t="s">
        <v>12612</v>
      </c>
      <c r="B10031" s="4" t="s">
        <v>12613</v>
      </c>
      <c r="C10031" s="5" t="str">
        <f>IFERROR(__xludf.DUMMYFUNCTION("GOOGLETRANSLATE(B10031,""en"",""es-ES"")"),"Se ve a un gran grupo de personas cabalgando por múltiples balsas por un río riguroso mientras remaba continuamente.")</f>
        <v>Se ve a un gran grupo de personas cabalgando por múltiples balsas por un río riguroso mientras remaba continuamente.</v>
      </c>
    </row>
    <row r="10032">
      <c r="A10032" s="4" t="s">
        <v>12612</v>
      </c>
      <c r="B10032" s="4" t="s">
        <v>12614</v>
      </c>
      <c r="C10032" s="5" t="str">
        <f>IFERROR(__xludf.DUMMYFUNCTION("GOOGLETRANSLATE(B10032,""en"",""es-ES"")"),"Se muestran varios disparos de las personas que montan hacia abajo mientras sostienen sus palos en el aire y termina con la gente que se detiene para comer.")</f>
        <v>Se muestran varios disparos de las personas que montan hacia abajo mientras sostienen sus palos en el aire y termina con la gente que se detiene para comer.</v>
      </c>
    </row>
    <row r="10033">
      <c r="A10033" s="4" t="s">
        <v>12615</v>
      </c>
      <c r="B10033" s="4" t="s">
        <v>12616</v>
      </c>
      <c r="C10033" s="5" t="str">
        <f>IFERROR(__xludf.DUMMYFUNCTION("GOOGLETRANSLATE(B10033,""en"",""es-ES"")"),"Un hombre con traje y una mujer con un vestido está parado frente a una audiencia.")</f>
        <v>Un hombre con traje y una mujer con un vestido está parado frente a una audiencia.</v>
      </c>
    </row>
    <row r="10034">
      <c r="A10034" s="4" t="s">
        <v>12615</v>
      </c>
      <c r="B10034" s="4" t="s">
        <v>12617</v>
      </c>
      <c r="C10034" s="5" t="str">
        <f>IFERROR(__xludf.DUMMYFUNCTION("GOOGLETRANSLATE(B10034,""en"",""es-ES"")"),"Comienzan a bailar en el piso.")</f>
        <v>Comienzan a bailar en el piso.</v>
      </c>
    </row>
    <row r="10035">
      <c r="A10035" s="4" t="s">
        <v>12615</v>
      </c>
      <c r="B10035" s="4" t="s">
        <v>12618</v>
      </c>
      <c r="C10035" s="5" t="str">
        <f>IFERROR(__xludf.DUMMYFUNCTION("GOOGLETRANSLATE(B10035,""en"",""es-ES"")"),"Terminan de bailar y la audiencia aplaude.")</f>
        <v>Terminan de bailar y la audiencia aplaude.</v>
      </c>
    </row>
    <row r="10036">
      <c r="A10036" s="4" t="s">
        <v>12619</v>
      </c>
      <c r="B10036" s="4" t="s">
        <v>12620</v>
      </c>
      <c r="C10036" s="5" t="str">
        <f>IFERROR(__xludf.DUMMYFUNCTION("GOOGLETRANSLATE(B10036,""en"",""es-ES"")"),"Una persona se aferra a una motocicleta con cuchillas de rodillos y está cavado por una calle.")</f>
        <v>Una persona se aferra a una motocicleta con cuchillas de rodillos y está cavado por una calle.</v>
      </c>
    </row>
    <row r="10037">
      <c r="A10037" s="4" t="s">
        <v>12619</v>
      </c>
      <c r="B10037" s="4" t="s">
        <v>12621</v>
      </c>
      <c r="C10037" s="5" t="str">
        <f>IFERROR(__xludf.DUMMYFUNCTION("GOOGLETRANSLATE(B10037,""en"",""es-ES"")"),"Un hombre está de pie junto a una fuente de agua.")</f>
        <v>Un hombre está de pie junto a una fuente de agua.</v>
      </c>
    </row>
    <row r="10038">
      <c r="A10038" s="4" t="s">
        <v>12619</v>
      </c>
      <c r="B10038" s="4" t="s">
        <v>12622</v>
      </c>
      <c r="C10038" s="5" t="str">
        <f>IFERROR(__xludf.DUMMYFUNCTION("GOOGLETRANSLATE(B10038,""en"",""es-ES"")"),"La gente está haciendo trucos de patinaje de rodillos.")</f>
        <v>La gente está haciendo trucos de patinaje de rodillos.</v>
      </c>
    </row>
    <row r="10039">
      <c r="A10039" s="4" t="s">
        <v>12623</v>
      </c>
      <c r="B10039" s="4" t="s">
        <v>12624</v>
      </c>
      <c r="C10039" s="5" t="str">
        <f>IFERROR(__xludf.DUMMYFUNCTION("GOOGLETRANSLATE(B10039,""en"",""es-ES"")"),"Un hombre habla con la cámara en una vista de cerca.")</f>
        <v>Un hombre habla con la cámara en una vista de cerca.</v>
      </c>
    </row>
    <row r="10040">
      <c r="A10040" s="4" t="s">
        <v>12623</v>
      </c>
      <c r="B10040" s="4" t="s">
        <v>12625</v>
      </c>
      <c r="C10040" s="5" t="str">
        <f>IFERROR(__xludf.DUMMYFUNCTION("GOOGLETRANSLATE(B10040,""en"",""es-ES"")"),"Se muestran escenas de las actividades diarias del hombre.")</f>
        <v>Se muestran escenas de las actividades diarias del hombre.</v>
      </c>
    </row>
    <row r="10041">
      <c r="A10041" s="4" t="s">
        <v>12623</v>
      </c>
      <c r="B10041" s="4" t="s">
        <v>12626</v>
      </c>
      <c r="C10041" s="5" t="str">
        <f>IFERROR(__xludf.DUMMYFUNCTION("GOOGLETRANSLATE(B10041,""en"",""es-ES"")"),"Se muestran escenas del hombre que recibe servicio en una peluquería, generalmente con otras personas en el fondo.")</f>
        <v>Se muestran escenas del hombre que recibe servicio en una peluquería, generalmente con otras personas en el fondo.</v>
      </c>
    </row>
    <row r="10042">
      <c r="A10042" s="4" t="s">
        <v>12623</v>
      </c>
      <c r="B10042" s="4" t="s">
        <v>12627</v>
      </c>
      <c r="C10042" s="5" t="str">
        <f>IFERROR(__xludf.DUMMYFUNCTION("GOOGLETRANSLATE(B10042,""en"",""es-ES"")"),"Se muestran escenas del hombre que habla con la cámara con varios otros.")</f>
        <v>Se muestran escenas del hombre que habla con la cámara con varios otros.</v>
      </c>
    </row>
    <row r="10043">
      <c r="A10043" s="4" t="s">
        <v>12623</v>
      </c>
      <c r="B10043" s="4" t="s">
        <v>12628</v>
      </c>
      <c r="C10043" s="5" t="str">
        <f>IFERROR(__xludf.DUMMYFUNCTION("GOOGLETRANSLATE(B10043,""en"",""es-ES"")"),"Se muestran más escenas de la peluquería.")</f>
        <v>Se muestran más escenas de la peluquería.</v>
      </c>
    </row>
    <row r="10044">
      <c r="A10044" s="4" t="s">
        <v>12629</v>
      </c>
      <c r="B10044" s="4" t="s">
        <v>12630</v>
      </c>
      <c r="C10044" s="5" t="str">
        <f>IFERROR(__xludf.DUMMYFUNCTION("GOOGLETRANSLATE(B10044,""en"",""es-ES"")"),"Se ven tres hombres montando sobre los caballos y conduce a un toro corriendo y persiguiendo a un hombre en un caballo.")</f>
        <v>Se ven tres hombres montando sobre los caballos y conduce a un toro corriendo y persiguiendo a un hombre en un caballo.</v>
      </c>
    </row>
    <row r="10045">
      <c r="A10045" s="4" t="s">
        <v>12629</v>
      </c>
      <c r="B10045" s="4" t="s">
        <v>12631</v>
      </c>
      <c r="C10045" s="5" t="str">
        <f>IFERROR(__xludf.DUMMYFUNCTION("GOOGLETRANSLATE(B10045,""en"",""es-ES"")"),"El hombre se mueve alrededor del toro y muestra varios disparos más de los jinetes que viajan alrededor del toro.")</f>
        <v>El hombre se mueve alrededor del toro y muestra varios disparos más de los jinetes que viajan alrededor del toro.</v>
      </c>
    </row>
    <row r="10046">
      <c r="A10046" s="4" t="s">
        <v>12629</v>
      </c>
      <c r="B10046" s="4" t="s">
        <v>12632</v>
      </c>
      <c r="C10046" s="5" t="str">
        <f>IFERROR(__xludf.DUMMYFUNCTION("GOOGLETRANSLATE(B10046,""en"",""es-ES"")"),"En un momento, más hombres corren hacia el pozo y el toro se acuesta de lado mientras la audiencia anima y el hombre levanta los brazos.")</f>
        <v>En un momento, más hombres corren hacia el pozo y el toro se acuesta de lado mientras la audiencia anima y el hombre levanta los brazos.</v>
      </c>
    </row>
    <row r="10047">
      <c r="A10047" s="4" t="s">
        <v>12633</v>
      </c>
      <c r="B10047" s="4" t="s">
        <v>12634</v>
      </c>
      <c r="C10047" s="5" t="str">
        <f>IFERROR(__xludf.DUMMYFUNCTION("GOOGLETRANSLATE(B10047,""en"",""es-ES"")"),"Los niños están en un campo, pateando una pelota de un lado a otro.")</f>
        <v>Los niños están en un campo, pateando una pelota de un lado a otro.</v>
      </c>
    </row>
    <row r="10048">
      <c r="A10048" s="4" t="s">
        <v>12633</v>
      </c>
      <c r="B10048" s="4" t="s">
        <v>12635</v>
      </c>
      <c r="C10048" s="5" t="str">
        <f>IFERROR(__xludf.DUMMYFUNCTION("GOOGLETRANSLATE(B10048,""en"",""es-ES"")"),"Una niña corre y patea al niño.")</f>
        <v>Una niña corre y patea al niño.</v>
      </c>
    </row>
    <row r="10049">
      <c r="A10049" s="4" t="s">
        <v>12633</v>
      </c>
      <c r="B10049" s="4" t="s">
        <v>12636</v>
      </c>
      <c r="C10049" s="5" t="str">
        <f>IFERROR(__xludf.DUMMYFUNCTION("GOOGLETRANSLATE(B10049,""en"",""es-ES"")"),"Ella corre por la línea lateral e intenta tomar la pelota mientras otras chicas miran desde la barrera.")</f>
        <v>Ella corre por la línea lateral e intenta tomar la pelota mientras otras chicas miran desde la barrera.</v>
      </c>
    </row>
    <row r="10050">
      <c r="A10050" s="4" t="s">
        <v>12633</v>
      </c>
      <c r="B10050" s="4" t="s">
        <v>12637</v>
      </c>
      <c r="C10050" s="5" t="str">
        <f>IFERROR(__xludf.DUMMYFUNCTION("GOOGLETRANSLATE(B10050,""en"",""es-ES"")"),"Los niños continúan jugando hasta que termina el clip.")</f>
        <v>Los niños continúan jugando hasta que termina el clip.</v>
      </c>
    </row>
    <row r="10051">
      <c r="A10051" s="4" t="s">
        <v>12638</v>
      </c>
      <c r="B10051" s="4" t="s">
        <v>12639</v>
      </c>
      <c r="C10051" s="5" t="str">
        <f>IFERROR(__xludf.DUMMYFUNCTION("GOOGLETRANSLATE(B10051,""en"",""es-ES"")"),"Se muestra varias parejas de hombres y mujeres realizando una rutina de tango frente a un grupo de personas.")</f>
        <v>Se muestra varias parejas de hombres y mujeres realizando una rutina de tango frente a un grupo de personas.</v>
      </c>
    </row>
    <row r="10052">
      <c r="A10052" s="4" t="s">
        <v>12638</v>
      </c>
      <c r="B10052" s="4" t="s">
        <v>12640</v>
      </c>
      <c r="C10052" s="5" t="str">
        <f>IFERROR(__xludf.DUMMYFUNCTION("GOOGLETRANSLATE(B10052,""en"",""es-ES"")"),"Muchas personas miran a los lados y una pareja se ríe y se aleja al final.")</f>
        <v>Muchas personas miran a los lados y una pareja se ríe y se aleja al final.</v>
      </c>
    </row>
    <row r="10053">
      <c r="A10053" s="4" t="s">
        <v>12641</v>
      </c>
      <c r="B10053" s="4" t="s">
        <v>12642</v>
      </c>
      <c r="C10053" s="5" t="str">
        <f>IFERROR(__xludf.DUMMYFUNCTION("GOOGLETRANSLATE(B10053,""en"",""es-ES"")"),"Estos 3 hombres se muestran enrollando al aire libre en el medio de la calle.")</f>
        <v>Estos 3 hombres se muestran enrollando al aire libre en el medio de la calle.</v>
      </c>
    </row>
    <row r="10054">
      <c r="A10054" s="4" t="s">
        <v>12641</v>
      </c>
      <c r="B10054" s="4" t="s">
        <v>12643</v>
      </c>
      <c r="C10054" s="5" t="str">
        <f>IFERROR(__xludf.DUMMYFUNCTION("GOOGLETRANSLATE(B10054,""en"",""es-ES"")"),"Están bailando, yendo en círculos y girando.")</f>
        <v>Están bailando, yendo en círculos y girando.</v>
      </c>
    </row>
    <row r="10055">
      <c r="A10055" s="4" t="s">
        <v>12644</v>
      </c>
      <c r="B10055" s="4" t="s">
        <v>12645</v>
      </c>
      <c r="C10055" s="5" t="str">
        <f>IFERROR(__xludf.DUMMYFUNCTION("GOOGLETRANSLATE(B10055,""en"",""es-ES"")"),"Un grupo de ciclistas está esperando comenzar una carrera, eventualmente todos cayendo cuando se abre la puerta.")</f>
        <v>Un grupo de ciclistas está esperando comenzar una carrera, eventualmente todos cayendo cuando se abre la puerta.</v>
      </c>
    </row>
    <row r="10056">
      <c r="A10056" s="4" t="s">
        <v>12644</v>
      </c>
      <c r="B10056" s="4" t="s">
        <v>12646</v>
      </c>
      <c r="C10056" s="5" t="str">
        <f>IFERROR(__xludf.DUMMYFUNCTION("GOOGLETRANSLATE(B10056,""en"",""es-ES"")"),"Se realiza un tiro de primer plano de una bicicleta mientras un hombre pone su equipo para montar.")</f>
        <v>Se realiza un tiro de primer plano de una bicicleta mientras un hombre pone su equipo para montar.</v>
      </c>
    </row>
    <row r="10057">
      <c r="A10057" s="4" t="s">
        <v>12644</v>
      </c>
      <c r="B10057" s="4" t="s">
        <v>12647</v>
      </c>
      <c r="C10057" s="5" t="str">
        <f>IFERROR(__xludf.DUMMYFUNCTION("GOOGLETRANSLATE(B10057,""en"",""es-ES"")"),"Se muestra a un jinete paseando mientras otro hace varios trucos.")</f>
        <v>Se muestra a un jinete paseando mientras otro hace varios trucos.</v>
      </c>
    </row>
    <row r="10058">
      <c r="A10058" s="4" t="s">
        <v>12644</v>
      </c>
      <c r="B10058" s="4" t="s">
        <v>12648</v>
      </c>
      <c r="C10058" s="5" t="str">
        <f>IFERROR(__xludf.DUMMYFUNCTION("GOOGLETRANSLATE(B10058,""en"",""es-ES"")"),"Se muestran varios ciclistas diferentes viajando hacia arriba y hacia abajo y volando a velocidades récord.")</f>
        <v>Se muestran varios ciclistas diferentes viajando hacia arriba y hacia abajo y volando a velocidades récord.</v>
      </c>
    </row>
    <row r="10059">
      <c r="A10059" s="4" t="s">
        <v>12649</v>
      </c>
      <c r="B10059" s="4" t="s">
        <v>12650</v>
      </c>
      <c r="C10059" s="5" t="str">
        <f>IFERROR(__xludf.DUMMYFUNCTION("GOOGLETRANSLATE(B10059,""en"",""es-ES"")"),"Se muestra a un hombre sosteniendo un voleibol hablando con la cámara y conduce a mostrar varios saltos.")</f>
        <v>Se muestra a un hombre sosteniendo un voleibol hablando con la cámara y conduce a mostrar varios saltos.</v>
      </c>
    </row>
    <row r="10060">
      <c r="A10060" s="4" t="s">
        <v>12649</v>
      </c>
      <c r="B10060" s="4" t="s">
        <v>12651</v>
      </c>
      <c r="C10060" s="5" t="str">
        <f>IFERROR(__xludf.DUMMYFUNCTION("GOOGLETRANSLATE(B10060,""en"",""es-ES"")"),"Continúa hablando con la cámara y moviéndose por el gimnasio golpeando la pelota.")</f>
        <v>Continúa hablando con la cámara y moviéndose por el gimnasio golpeando la pelota.</v>
      </c>
    </row>
    <row r="10061">
      <c r="A10061" s="4" t="s">
        <v>12652</v>
      </c>
      <c r="B10061" s="4" t="s">
        <v>12653</v>
      </c>
      <c r="C10061" s="5" t="str">
        <f>IFERROR(__xludf.DUMMYFUNCTION("GOOGLETRANSLATE(B10061,""en"",""es-ES"")"),"Los hombres en el campo toman sus herramientas.")</f>
        <v>Los hombres en el campo toman sus herramientas.</v>
      </c>
    </row>
    <row r="10062">
      <c r="A10062" s="4" t="s">
        <v>12652</v>
      </c>
      <c r="B10062" s="4" t="s">
        <v>12654</v>
      </c>
      <c r="C10062" s="5" t="str">
        <f>IFERROR(__xludf.DUMMYFUNCTION("GOOGLETRANSLATE(B10062,""en"",""es-ES"")"),"Vemos hombres en un campo cortando hierba alta como otro reloj.")</f>
        <v>Vemos hombres en un campo cortando hierba alta como otro reloj.</v>
      </c>
    </row>
    <row r="10063">
      <c r="A10063" s="4" t="s">
        <v>12652</v>
      </c>
      <c r="B10063" s="4" t="s">
        <v>12655</v>
      </c>
      <c r="C10063" s="5" t="str">
        <f>IFERROR(__xludf.DUMMYFUNCTION("GOOGLETRANSLATE(B10063,""en"",""es-ES"")"),"El hombre izquierdo usa una hoz y toma la delantera sobre el hombre con el Weed Wacker.")</f>
        <v>El hombre izquierdo usa una hoz y toma la delantera sobre el hombre con el Weed Wacker.</v>
      </c>
    </row>
    <row r="10064">
      <c r="A10064" s="4" t="s">
        <v>12652</v>
      </c>
      <c r="B10064" s="4" t="s">
        <v>12656</v>
      </c>
      <c r="C10064" s="5" t="str">
        <f>IFERROR(__xludf.DUMMYFUNCTION("GOOGLETRANSLATE(B10064,""en"",""es-ES"")"),"El hombre con los acabados falciformes.")</f>
        <v>El hombre con los acabados falciformes.</v>
      </c>
    </row>
    <row r="10065">
      <c r="A10065" s="4" t="s">
        <v>12652</v>
      </c>
      <c r="B10065" s="4" t="s">
        <v>12657</v>
      </c>
      <c r="C10065" s="5" t="str">
        <f>IFERROR(__xludf.DUMMYFUNCTION("GOOGLETRANSLATE(B10065,""en"",""es-ES"")"),"La multitud aplaude para el hombre.")</f>
        <v>La multitud aplaude para el hombre.</v>
      </c>
    </row>
    <row r="10066">
      <c r="A10066" s="4" t="s">
        <v>12652</v>
      </c>
      <c r="B10066" s="4" t="s">
        <v>12658</v>
      </c>
      <c r="C10066" s="5" t="str">
        <f>IFERROR(__xludf.DUMMYFUNCTION("GOOGLETRANSLATE(B10066,""en"",""es-ES"")"),"El hombre sin camisa se aleja.")</f>
        <v>El hombre sin camisa se aleja.</v>
      </c>
    </row>
    <row r="10067">
      <c r="A10067" s="4" t="s">
        <v>12652</v>
      </c>
      <c r="B10067" s="4" t="s">
        <v>12659</v>
      </c>
      <c r="C10067" s="5" t="str">
        <f>IFERROR(__xludf.DUMMYFUNCTION("GOOGLETRANSLATE(B10067,""en"",""es-ES"")"),"La cámara se dirige directamente a mostrar al otro hombre trabajando en el césped.")</f>
        <v>La cámara se dirige directamente a mostrar al otro hombre trabajando en el césped.</v>
      </c>
    </row>
    <row r="10068">
      <c r="A10068" s="4" t="s">
        <v>12660</v>
      </c>
      <c r="B10068" s="4" t="s">
        <v>12661</v>
      </c>
      <c r="C10068" s="5" t="str">
        <f>IFERROR(__xludf.DUMMYFUNCTION("GOOGLETRANSLATE(B10068,""en"",""es-ES"")"),"Un niño está parado en una cancha sosteniendo una raqueta en su mano derecha, una pelota se presenta y la golpea muy fuerte.")</f>
        <v>Un niño está parado en una cancha sosteniendo una raqueta en su mano derecha, una pelota se presenta y la golpea muy fuerte.</v>
      </c>
    </row>
    <row r="10069">
      <c r="A10069" s="4" t="s">
        <v>12660</v>
      </c>
      <c r="B10069" s="4" t="s">
        <v>12662</v>
      </c>
      <c r="C10069" s="5" t="str">
        <f>IFERROR(__xludf.DUMMYFUNCTION("GOOGLETRANSLATE(B10069,""en"",""es-ES"")"),"El niño camina hacia la izquierda y un hombre está allí golpeando la pelota y él y el niño van y vienen a turnarse golpeando la pelota muy fuerte contra la pared frente a ellos.")</f>
        <v>El niño camina hacia la izquierda y un hombre está allí golpeando la pelota y él y el niño van y vienen a turnarse golpeando la pelota muy fuerte contra la pared frente a ellos.</v>
      </c>
    </row>
    <row r="10070">
      <c r="A10070" s="4" t="s">
        <v>12660</v>
      </c>
      <c r="B10070" s="4" t="s">
        <v>12663</v>
      </c>
      <c r="C10070" s="5" t="str">
        <f>IFERROR(__xludf.DUMMYFUNCTION("GOOGLETRANSLATE(B10070,""en"",""es-ES"")"),"La pelota rueda en el suelo, el niño lo recoge y la golpea a la pared y una vez más el hombre golpea la pelota y la cámara apunta al suelo.")</f>
        <v>La pelota rueda en el suelo, el niño lo recoge y la golpea a la pared y una vez más el hombre golpea la pelota y la cámara apunta al suelo.</v>
      </c>
    </row>
    <row r="10071">
      <c r="A10071" s="4" t="s">
        <v>12664</v>
      </c>
      <c r="B10071" s="4" t="s">
        <v>12665</v>
      </c>
      <c r="C10071" s="5" t="str">
        <f>IFERROR(__xludf.DUMMYFUNCTION("GOOGLETRANSLATE(B10071,""en"",""es-ES"")"),"Se ve a un chef parado detrás de un mostrador hablando con la cámara.")</f>
        <v>Se ve a un chef parado detrás de un mostrador hablando con la cámara.</v>
      </c>
    </row>
    <row r="10072">
      <c r="A10072" s="4" t="s">
        <v>12664</v>
      </c>
      <c r="B10072" s="4" t="s">
        <v>12666</v>
      </c>
      <c r="C10072" s="5" t="str">
        <f>IFERROR(__xludf.DUMMYFUNCTION("GOOGLETRANSLATE(B10072,""en"",""es-ES"")"),"Luego se ve al hombre sosteniendo varias herramientas y presentándolas a la cámara.")</f>
        <v>Luego se ve al hombre sosteniendo varias herramientas y presentándolas a la cámara.</v>
      </c>
    </row>
    <row r="10073">
      <c r="A10073" s="4" t="s">
        <v>12664</v>
      </c>
      <c r="B10073" s="4" t="s">
        <v>12667</v>
      </c>
      <c r="C10073" s="5" t="str">
        <f>IFERROR(__xludf.DUMMYFUNCTION("GOOGLETRANSLATE(B10073,""en"",""es-ES"")"),"Luego, el hombre usa la herramienta en un tazón de ensalada y la presenta a la cámara.")</f>
        <v>Luego, el hombre usa la herramienta en un tazón de ensalada y la presenta a la cámara.</v>
      </c>
    </row>
    <row r="10074">
      <c r="A10074" s="4" t="s">
        <v>12668</v>
      </c>
      <c r="B10074" s="4" t="s">
        <v>12669</v>
      </c>
      <c r="C10074" s="5" t="str">
        <f>IFERROR(__xludf.DUMMYFUNCTION("GOOGLETRANSLATE(B10074,""en"",""es-ES"")"),"Un hombre está en el bosque, equilibrándose en una cuerda apretada.")</f>
        <v>Un hombre está en el bosque, equilibrándose en una cuerda apretada.</v>
      </c>
    </row>
    <row r="10075">
      <c r="A10075" s="4" t="s">
        <v>12668</v>
      </c>
      <c r="B10075" s="4" t="s">
        <v>12670</v>
      </c>
      <c r="C10075" s="5" t="str">
        <f>IFERROR(__xludf.DUMMYFUNCTION("GOOGLETRANSLATE(B10075,""en"",""es-ES"")"),"Camina de un lado a otro en la cuerda, luego salta.")</f>
        <v>Camina de un lado a otro en la cuerda, luego salta.</v>
      </c>
    </row>
    <row r="10076">
      <c r="A10076" s="4" t="s">
        <v>12671</v>
      </c>
      <c r="B10076" s="4" t="s">
        <v>12672</v>
      </c>
      <c r="C10076" s="5" t="str">
        <f>IFERROR(__xludf.DUMMYFUNCTION("GOOGLETRANSLATE(B10076,""en"",""es-ES"")"),"El video comienza con los detalles de la victoria de un equipo de hockey de campo en el último juego de campeonato.")</f>
        <v>El video comienza con los detalles de la victoria de un equipo de hockey de campo en el último juego de campeonato.</v>
      </c>
    </row>
    <row r="10077">
      <c r="A10077" s="4" t="s">
        <v>12671</v>
      </c>
      <c r="B10077" s="4" t="s">
        <v>12673</v>
      </c>
      <c r="C10077" s="5" t="str">
        <f>IFERROR(__xludf.DUMMYFUNCTION("GOOGLETRANSLATE(B10077,""en"",""es-ES"")"),"El estadio muestra a los dos equipos compitiendo en el hockey sobre el juego.")</f>
        <v>El estadio muestra a los dos equipos compitiendo en el hockey sobre el juego.</v>
      </c>
    </row>
    <row r="10078">
      <c r="A10078" s="4" t="s">
        <v>12671</v>
      </c>
      <c r="B10078" s="4" t="s">
        <v>12674</v>
      </c>
      <c r="C10078" s="5" t="str">
        <f>IFERROR(__xludf.DUMMYFUNCTION("GOOGLETRANSLATE(B10078,""en"",""es-ES"")"),"La multitud está animando en voz alta cuando un equipo se vuelve victorioso.")</f>
        <v>La multitud está animando en voz alta cuando un equipo se vuelve victorioso.</v>
      </c>
    </row>
    <row r="10079">
      <c r="A10079" s="4" t="s">
        <v>12671</v>
      </c>
      <c r="B10079" s="4" t="s">
        <v>12675</v>
      </c>
      <c r="C10079" s="5" t="str">
        <f>IFERROR(__xludf.DUMMYFUNCTION("GOOGLETRANSLATE(B10079,""en"",""es-ES"")"),"Los jugadores saltan el uno al otro con alegría mientras celebran.")</f>
        <v>Los jugadores saltan el uno al otro con alegría mientras celebran.</v>
      </c>
    </row>
    <row r="10080">
      <c r="A10080" s="4" t="s">
        <v>12671</v>
      </c>
      <c r="B10080" s="4" t="s">
        <v>12676</v>
      </c>
      <c r="C10080" s="5" t="str">
        <f>IFERROR(__xludf.DUMMYFUNCTION("GOOGLETRANSLATE(B10080,""en"",""es-ES"")"),"Hay una etapa de cantantes que interpretan música en vivo mientras celebran la victoria del equipo ganador.")</f>
        <v>Hay una etapa de cantantes que interpretan música en vivo mientras celebran la victoria del equipo ganador.</v>
      </c>
    </row>
    <row r="10081">
      <c r="A10081" s="4" t="s">
        <v>12677</v>
      </c>
      <c r="B10081" s="4" t="s">
        <v>12678</v>
      </c>
      <c r="C10081" s="5" t="str">
        <f>IFERROR(__xludf.DUMMYFUNCTION("GOOGLETRANSLATE(B10081,""en"",""es-ES"")"),"Una mujer está haciendo una rutina de baile en un escenario.")</f>
        <v>Una mujer está haciendo una rutina de baile en un escenario.</v>
      </c>
    </row>
    <row r="10082">
      <c r="A10082" s="4" t="s">
        <v>12677</v>
      </c>
      <c r="B10082" s="4" t="s">
        <v>12679</v>
      </c>
      <c r="C10082" s="5" t="str">
        <f>IFERROR(__xludf.DUMMYFUNCTION("GOOGLETRANSLATE(B10082,""en"",""es-ES"")"),"Ella gira y patea las piernas.")</f>
        <v>Ella gira y patea las piernas.</v>
      </c>
    </row>
    <row r="10083">
      <c r="A10083" s="4" t="s">
        <v>12677</v>
      </c>
      <c r="B10083" s="4" t="s">
        <v>12680</v>
      </c>
      <c r="C10083" s="5" t="str">
        <f>IFERROR(__xludf.DUMMYFUNCTION("GOOGLETRANSLATE(B10083,""en"",""es-ES"")"),"Se mueve por todas las etapas y dobla su cuerpo de numerosas maneras.")</f>
        <v>Se mueve por todas las etapas y dobla su cuerpo de numerosas maneras.</v>
      </c>
    </row>
    <row r="10084">
      <c r="A10084" s="4" t="s">
        <v>12677</v>
      </c>
      <c r="B10084" s="4" t="s">
        <v>12681</v>
      </c>
      <c r="C10084" s="5" t="str">
        <f>IFERROR(__xludf.DUMMYFUNCTION("GOOGLETRANSLATE(B10084,""en"",""es-ES"")"),"Ella continúa sacudiendo su cuerpo para que la audiencia lo vea.")</f>
        <v>Ella continúa sacudiendo su cuerpo para que la audiencia lo vea.</v>
      </c>
    </row>
    <row r="10085">
      <c r="A10085" s="4" t="s">
        <v>12677</v>
      </c>
      <c r="B10085" s="4" t="s">
        <v>12682</v>
      </c>
      <c r="C10085" s="5" t="str">
        <f>IFERROR(__xludf.DUMMYFUNCTION("GOOGLETRANSLATE(B10085,""en"",""es-ES"")"),"Ella sacude sus caderas hacia atrás y cuarto mientras se mueve los brazos de varias maneras.")</f>
        <v>Ella sacude sus caderas hacia atrás y cuarto mientras se mueve los brazos de varias maneras.</v>
      </c>
    </row>
    <row r="10086">
      <c r="A10086" s="4" t="s">
        <v>12683</v>
      </c>
      <c r="B10086" s="4" t="s">
        <v>12684</v>
      </c>
      <c r="C10086" s="5" t="str">
        <f>IFERROR(__xludf.DUMMYFUNCTION("GOOGLETRANSLATE(B10086,""en"",""es-ES"")"),"Un hombre camina hacia un tablero de buceo.")</f>
        <v>Un hombre camina hacia un tablero de buceo.</v>
      </c>
    </row>
    <row r="10087">
      <c r="A10087" s="4" t="s">
        <v>12683</v>
      </c>
      <c r="B10087" s="4" t="s">
        <v>12685</v>
      </c>
      <c r="C10087" s="5" t="str">
        <f>IFERROR(__xludf.DUMMYFUNCTION("GOOGLETRANSLATE(B10087,""en"",""es-ES"")"),"Salta al tablero de buceo varias veces y salta a una piscina.")</f>
        <v>Salta al tablero de buceo varias veces y salta a una piscina.</v>
      </c>
    </row>
    <row r="10088">
      <c r="A10088" s="4" t="s">
        <v>12683</v>
      </c>
      <c r="B10088" s="4" t="s">
        <v>12686</v>
      </c>
      <c r="C10088" s="5" t="str">
        <f>IFERROR(__xludf.DUMMYFUNCTION("GOOGLETRANSLATE(B10088,""en"",""es-ES"")"),"El hombre aparece y se pone de pie en la piscina.")</f>
        <v>El hombre aparece y se pone de pie en la piscina.</v>
      </c>
    </row>
    <row r="10089">
      <c r="A10089" s="4" t="s">
        <v>12687</v>
      </c>
      <c r="B10089" s="4" t="s">
        <v>12688</v>
      </c>
      <c r="C10089" s="5" t="str">
        <f>IFERROR(__xludf.DUMMYFUNCTION("GOOGLETRANSLATE(B10089,""en"",""es-ES"")"),"La gente está haciendo flips corriendo y saltando a la pared.")</f>
        <v>La gente está haciendo flips corriendo y saltando a la pared.</v>
      </c>
    </row>
    <row r="10090">
      <c r="A10090" s="4" t="s">
        <v>12687</v>
      </c>
      <c r="B10090" s="4" t="s">
        <v>12689</v>
      </c>
      <c r="C10090" s="5" t="str">
        <f>IFERROR(__xludf.DUMMYFUNCTION("GOOGLETRANSLATE(B10090,""en"",""es-ES"")"),"Los niños hacen volteos en una alfombra azul.")</f>
        <v>Los niños hacen volteos en una alfombra azul.</v>
      </c>
    </row>
    <row r="10091">
      <c r="A10091" s="4" t="s">
        <v>12687</v>
      </c>
      <c r="B10091" s="4" t="s">
        <v>12690</v>
      </c>
      <c r="C10091" s="5" t="str">
        <f>IFERROR(__xludf.DUMMYFUNCTION("GOOGLETRANSLATE(B10091,""en"",""es-ES"")"),"Un niño salta sobre varios otros niños acostados en la colchoneta.")</f>
        <v>Un niño salta sobre varios otros niños acostados en la colchoneta.</v>
      </c>
    </row>
    <row r="10092">
      <c r="A10092" s="4" t="s">
        <v>12687</v>
      </c>
      <c r="B10092" s="4" t="s">
        <v>12691</v>
      </c>
      <c r="C10092" s="5" t="str">
        <f>IFERROR(__xludf.DUMMYFUNCTION("GOOGLETRANSLATE(B10092,""en"",""es-ES"")"),"Dos chicos se rodan entre sí en la colchoneta.")</f>
        <v>Dos chicos se rodan entre sí en la colchoneta.</v>
      </c>
    </row>
    <row r="10093">
      <c r="A10093" s="4" t="s">
        <v>12692</v>
      </c>
      <c r="B10093" s="4" t="s">
        <v>12693</v>
      </c>
      <c r="C10093" s="5" t="str">
        <f>IFERROR(__xludf.DUMMYFUNCTION("GOOGLETRANSLATE(B10093,""en"",""es-ES"")"),"Dos hombres posan en una foto de artes marciales.")</f>
        <v>Dos hombres posan en una foto de artes marciales.</v>
      </c>
    </row>
    <row r="10094">
      <c r="A10094" s="4" t="s">
        <v>12692</v>
      </c>
      <c r="B10094" s="4" t="s">
        <v>12694</v>
      </c>
      <c r="C10094" s="5" t="str">
        <f>IFERROR(__xludf.DUMMYFUNCTION("GOOGLETRANSLATE(B10094,""en"",""es-ES"")"),"Un grupo se reúne dentro de una habitación, que se muestra en varias poses de artes marciales.")</f>
        <v>Un grupo se reúne dentro de una habitación, que se muestra en varias poses de artes marciales.</v>
      </c>
    </row>
    <row r="10095">
      <c r="A10095" s="4" t="s">
        <v>12692</v>
      </c>
      <c r="B10095" s="4" t="s">
        <v>12695</v>
      </c>
      <c r="C10095" s="5" t="str">
        <f>IFERROR(__xludf.DUMMYFUNCTION("GOOGLETRANSLATE(B10095,""en"",""es-ES"")"),"Cambian los movimientos, el texto en la pantalla que muestra lo que están haciendo.")</f>
        <v>Cambian los movimientos, el texto en la pantalla que muestra lo que están haciendo.</v>
      </c>
    </row>
    <row r="10096">
      <c r="A10096" s="4" t="s">
        <v>12692</v>
      </c>
      <c r="B10096" s="4" t="s">
        <v>12696</v>
      </c>
      <c r="C10096" s="5" t="str">
        <f>IFERROR(__xludf.DUMMYFUNCTION("GOOGLETRANSLATE(B10096,""en"",""es-ES"")"),"Termina con un anuncio para la escuela.")</f>
        <v>Termina con un anuncio para la escuela.</v>
      </c>
    </row>
    <row r="10097">
      <c r="A10097" s="4" t="s">
        <v>12697</v>
      </c>
      <c r="B10097" s="4" t="s">
        <v>12698</v>
      </c>
      <c r="C10097" s="5" t="str">
        <f>IFERROR(__xludf.DUMMYFUNCTION("GOOGLETRANSLATE(B10097,""en"",""es-ES"")"),"Se ve a una persona montando una tabla de surf con una cometa en la parte superior a lo largo del agua.")</f>
        <v>Se ve a una persona montando una tabla de surf con una cometa en la parte superior a lo largo del agua.</v>
      </c>
    </row>
    <row r="10098">
      <c r="A10098" s="4" t="s">
        <v>12697</v>
      </c>
      <c r="B10098" s="4" t="s">
        <v>12699</v>
      </c>
      <c r="C10098" s="5" t="str">
        <f>IFERROR(__xludf.DUMMYFUNCTION("GOOGLETRANSLATE(B10098,""en"",""es-ES"")"),"La persona se empuja hacia el aire y vuelve hacia abajo.")</f>
        <v>La persona se empuja hacia el aire y vuelve hacia abajo.</v>
      </c>
    </row>
    <row r="10099">
      <c r="A10099" s="4" t="s">
        <v>12697</v>
      </c>
      <c r="B10099" s="4" t="s">
        <v>12700</v>
      </c>
      <c r="C10099" s="5" t="str">
        <f>IFERROR(__xludf.DUMMYFUNCTION("GOOGLETRANSLATE(B10099,""en"",""es-ES"")"),"Continúa montando por el agua.")</f>
        <v>Continúa montando por el agua.</v>
      </c>
    </row>
    <row r="10100">
      <c r="A10100" s="4" t="s">
        <v>12701</v>
      </c>
      <c r="B10100" s="4" t="s">
        <v>12702</v>
      </c>
      <c r="C10100" s="5" t="str">
        <f>IFERROR(__xludf.DUMMYFUNCTION("GOOGLETRANSLATE(B10100,""en"",""es-ES"")"),"Un hombre está hablando con una cámara sobre su cabello.")</f>
        <v>Un hombre está hablando con una cámara sobre su cabello.</v>
      </c>
    </row>
    <row r="10101">
      <c r="A10101" s="4" t="s">
        <v>12701</v>
      </c>
      <c r="B10101" s="4" t="s">
        <v>12703</v>
      </c>
      <c r="C10101" s="5" t="str">
        <f>IFERROR(__xludf.DUMMYFUNCTION("GOOGLETRANSLATE(B10101,""en"",""es-ES"")"),"Entra otro hombre y comienza a cortar la feria del primer niño.")</f>
        <v>Entra otro hombre y comienza a cortar la feria del primer niño.</v>
      </c>
    </row>
    <row r="10102">
      <c r="A10102" s="4" t="s">
        <v>12701</v>
      </c>
      <c r="B10102" s="4" t="s">
        <v>12704</v>
      </c>
      <c r="C10102" s="5" t="str">
        <f>IFERROR(__xludf.DUMMYFUNCTION("GOOGLETRANSLATE(B10102,""en"",""es-ES"")"),"Se cepilla el cabello y lo corta con un peine fino.")</f>
        <v>Se cepilla el cabello y lo corta con un peine fino.</v>
      </c>
    </row>
    <row r="10103">
      <c r="A10103" s="4" t="s">
        <v>12701</v>
      </c>
      <c r="B10103" s="4" t="s">
        <v>12705</v>
      </c>
      <c r="C10103" s="5" t="str">
        <f>IFERROR(__xludf.DUMMYFUNCTION("GOOGLETRANSLATE(B10103,""en"",""es-ES"")"),"El estilista realiza varios estilos y técnicas en el cabello.")</f>
        <v>El estilista realiza varios estilos y técnicas en el cabello.</v>
      </c>
    </row>
    <row r="10104">
      <c r="A10104" s="4" t="s">
        <v>12701</v>
      </c>
      <c r="B10104" s="4" t="s">
        <v>12706</v>
      </c>
      <c r="C10104" s="5" t="str">
        <f>IFERROR(__xludf.DUMMYFUNCTION("GOOGLETRANSLATE(B10104,""en"",""es-ES"")"),"El estilista pone gel en el cabello y el niño está terminado con su corte.")</f>
        <v>El estilista pone gel en el cabello y el niño está terminado con su corte.</v>
      </c>
    </row>
    <row r="10105">
      <c r="A10105" s="4" t="s">
        <v>12707</v>
      </c>
      <c r="B10105" s="4" t="s">
        <v>12708</v>
      </c>
      <c r="C10105" s="5" t="str">
        <f>IFERROR(__xludf.DUMMYFUNCTION("GOOGLETRANSLATE(B10105,""en"",""es-ES"")"),"Un hombre con un sombrero duro está mirando un edificio.")</f>
        <v>Un hombre con un sombrero duro está mirando un edificio.</v>
      </c>
    </row>
    <row r="10106">
      <c r="A10106" s="4" t="s">
        <v>12707</v>
      </c>
      <c r="B10106" s="4" t="s">
        <v>12709</v>
      </c>
      <c r="C10106" s="5" t="str">
        <f>IFERROR(__xludf.DUMMYFUNCTION("GOOGLETRANSLATE(B10106,""en"",""es-ES"")"),"Un segundo hombre se acerca y sacude la mano del primer hombre.")</f>
        <v>Un segundo hombre se acerca y sacude la mano del primer hombre.</v>
      </c>
    </row>
    <row r="10107">
      <c r="A10107" s="4" t="s">
        <v>12707</v>
      </c>
      <c r="B10107" s="4" t="s">
        <v>12710</v>
      </c>
      <c r="C10107" s="5" t="str">
        <f>IFERROR(__xludf.DUMMYFUNCTION("GOOGLETRANSLATE(B10107,""en"",""es-ES"")"),"Ambos hombres reconocen el edificio y discuten.")</f>
        <v>Ambos hombres reconocen el edificio y discuten.</v>
      </c>
    </row>
    <row r="10108">
      <c r="A10108" s="4" t="s">
        <v>12707</v>
      </c>
      <c r="B10108" s="4" t="s">
        <v>12711</v>
      </c>
      <c r="C10108" s="5" t="str">
        <f>IFERROR(__xludf.DUMMYFUNCTION("GOOGLETRANSLATE(B10108,""en"",""es-ES"")"),"Tres hombres están dividiendo la pared ya que se muestran dos comparaciones.")</f>
        <v>Tres hombres están dividiendo la pared ya que se muestran dos comparaciones.</v>
      </c>
    </row>
    <row r="10109">
      <c r="A10109" s="4" t="s">
        <v>12707</v>
      </c>
      <c r="B10109" s="4" t="s">
        <v>12712</v>
      </c>
      <c r="C10109" s="5" t="str">
        <f>IFERROR(__xludf.DUMMYFUNCTION("GOOGLETRANSLATE(B10109,""en"",""es-ES"")"),"Los dos hombres inspeccionan la pared.")</f>
        <v>Los dos hombres inspeccionan la pared.</v>
      </c>
    </row>
    <row r="10110">
      <c r="A10110" s="4" t="s">
        <v>12707</v>
      </c>
      <c r="B10110" s="4" t="s">
        <v>12713</v>
      </c>
      <c r="C10110" s="5" t="str">
        <f>IFERROR(__xludf.DUMMYFUNCTION("GOOGLETRANSLATE(B10110,""en"",""es-ES"")"),"Otro hombre se acerca y se presenta al otro hombre.")</f>
        <v>Otro hombre se acerca y se presenta al otro hombre.</v>
      </c>
    </row>
    <row r="10111">
      <c r="A10111" s="4" t="s">
        <v>12707</v>
      </c>
      <c r="B10111" s="4" t="s">
        <v>12714</v>
      </c>
      <c r="C10111" s="5" t="str">
        <f>IFERROR(__xludf.DUMMYFUNCTION("GOOGLETRANSLATE(B10111,""en"",""es-ES"")"),"El hombre se aleja mientras los dos primeros continúan hablando.")</f>
        <v>El hombre se aleja mientras los dos primeros continúan hablando.</v>
      </c>
    </row>
    <row r="10112">
      <c r="A10112" s="4" t="s">
        <v>12715</v>
      </c>
      <c r="B10112" s="4" t="s">
        <v>12716</v>
      </c>
      <c r="C10112" s="5" t="str">
        <f>IFERROR(__xludf.DUMMYFUNCTION("GOOGLETRANSLATE(B10112,""en"",""es-ES"")"),"Una persona se para en el frente de un fuego de madera en el bosque.")</f>
        <v>Una persona se para en el frente de un fuego de madera en el bosque.</v>
      </c>
    </row>
    <row r="10113">
      <c r="A10113" s="4" t="s">
        <v>12715</v>
      </c>
      <c r="B10113" s="4" t="s">
        <v>12717</v>
      </c>
      <c r="C10113" s="5" t="str">
        <f>IFERROR(__xludf.DUMMYFUNCTION("GOOGLETRANSLATE(B10113,""en"",""es-ES"")"),"Luego, la persona enciende un partido y lo arroja al fuego de madera, luego se encendió un fuego.")</f>
        <v>Luego, la persona enciende un partido y lo arroja al fuego de madera, luego se encendió un fuego.</v>
      </c>
    </row>
    <row r="10114">
      <c r="A10114" s="4" t="s">
        <v>12718</v>
      </c>
      <c r="B10114" s="4" t="s">
        <v>12719</v>
      </c>
      <c r="C10114" s="5" t="str">
        <f>IFERROR(__xludf.DUMMYFUNCTION("GOOGLETRANSLATE(B10114,""en"",""es-ES"")"),"Se ve a una gran audiencia viendo un juego deportivo y conduce a un lanzamiento de monedas.")</f>
        <v>Se ve a una gran audiencia viendo un juego deportivo y conduce a un lanzamiento de monedas.</v>
      </c>
    </row>
    <row r="10115">
      <c r="A10115" s="4" t="s">
        <v>12718</v>
      </c>
      <c r="B10115" s="4" t="s">
        <v>12720</v>
      </c>
      <c r="C10115" s="5" t="str">
        <f>IFERROR(__xludf.DUMMYFUNCTION("GOOGLETRANSLATE(B10115,""en"",""es-ES"")"),"La audiencia anima más y conduce a personas lanzando una pelota y otros golpeándola.")</f>
        <v>La audiencia anima más y conduce a personas lanzando una pelota y otros golpeándola.</v>
      </c>
    </row>
    <row r="10116">
      <c r="A10116" s="4" t="s">
        <v>12718</v>
      </c>
      <c r="B10116" s="4" t="s">
        <v>12721</v>
      </c>
      <c r="C10116" s="5" t="str">
        <f>IFERROR(__xludf.DUMMYFUNCTION("GOOGLETRANSLATE(B10116,""en"",""es-ES"")"),"Se muestran más tomas del juego que se juega, así como otros que miran a los lados.")</f>
        <v>Se muestran más tomas del juego que se juega, así como otros que miran a los lados.</v>
      </c>
    </row>
    <row r="10117">
      <c r="A10117" s="4" t="s">
        <v>12722</v>
      </c>
      <c r="B10117" s="4" t="s">
        <v>12723</v>
      </c>
      <c r="C10117" s="5" t="str">
        <f>IFERROR(__xludf.DUMMYFUNCTION("GOOGLETRANSLATE(B10117,""en"",""es-ES"")"),"La armónica se mantiene y se muestra.")</f>
        <v>La armónica se mantiene y se muestra.</v>
      </c>
    </row>
    <row r="10118">
      <c r="A10118" s="4" t="s">
        <v>12722</v>
      </c>
      <c r="B10118" s="4" t="s">
        <v>12724</v>
      </c>
      <c r="C10118" s="5" t="str">
        <f>IFERROR(__xludf.DUMMYFUNCTION("GOOGLETRANSLATE(B10118,""en"",""es-ES"")"),"Una persona sostiene una armónica entre sus manos A toca una canción.")</f>
        <v>Una persona sostiene una armónica entre sus manos A toca una canción.</v>
      </c>
    </row>
    <row r="10119">
      <c r="A10119" s="4" t="s">
        <v>12722</v>
      </c>
      <c r="B10119" s="4" t="s">
        <v>12725</v>
      </c>
      <c r="C10119" s="5" t="str">
        <f>IFERROR(__xludf.DUMMYFUNCTION("GOOGLETRANSLATE(B10119,""en"",""es-ES"")"),"La persona termina la canción y sostiene la armónica.")</f>
        <v>La persona termina la canción y sostiene la armónica.</v>
      </c>
    </row>
    <row r="10120">
      <c r="A10120" s="4" t="s">
        <v>12726</v>
      </c>
      <c r="B10120" s="4" t="s">
        <v>12727</v>
      </c>
      <c r="C10120" s="5" t="str">
        <f>IFERROR(__xludf.DUMMYFUNCTION("GOOGLETRANSLATE(B10120,""en"",""es-ES"")"),"Caminando por la calle sosteniendo a un tablero de patín, el niño baja su tabla y comienza a patinar.")</f>
        <v>Caminando por la calle sosteniendo a un tablero de patín, el niño baja su tabla y comienza a patinar.</v>
      </c>
    </row>
    <row r="10121">
      <c r="A10121" s="4" t="s">
        <v>12726</v>
      </c>
      <c r="B10121" s="4" t="s">
        <v>12728</v>
      </c>
      <c r="C10121" s="5" t="str">
        <f>IFERROR(__xludf.DUMMYFUNCTION("GOOGLETRANSLATE(B10121,""en"",""es-ES"")"),"Luego tres amigos se unen a él y patinan por el camino.")</f>
        <v>Luego tres amigos se unen a él y patinan por el camino.</v>
      </c>
    </row>
    <row r="10122">
      <c r="A10122" s="4" t="s">
        <v>12726</v>
      </c>
      <c r="B10122" s="4" t="s">
        <v>12729</v>
      </c>
      <c r="C10122" s="5" t="str">
        <f>IFERROR(__xludf.DUMMYFUNCTION("GOOGLETRANSLATE(B10122,""en"",""es-ES"")"),"Mientras están en el tablero, se inclinan con las manos detrás de sus espaldas para construir un poco más de impulso.")</f>
        <v>Mientras están en el tablero, se inclinan con las manos detrás de sus espaldas para construir un poco más de impulso.</v>
      </c>
    </row>
    <row r="10123">
      <c r="A10123" s="4" t="s">
        <v>12726</v>
      </c>
      <c r="B10123" s="4" t="s">
        <v>12730</v>
      </c>
      <c r="C10123" s="5" t="str">
        <f>IFERROR(__xludf.DUMMYFUNCTION("GOOGLETRANSLATE(B10123,""en"",""es-ES"")"),"Viajan por todas partes de una área a otra disfrutando de su abordaje de tiempo libre.")</f>
        <v>Viajan por todas partes de una área a otra disfrutando de su abordaje de tiempo libre.</v>
      </c>
    </row>
    <row r="10124">
      <c r="A10124" s="4" t="s">
        <v>12731</v>
      </c>
      <c r="B10124" s="4" t="s">
        <v>12732</v>
      </c>
      <c r="C10124" s="5" t="str">
        <f>IFERROR(__xludf.DUMMYFUNCTION("GOOGLETRANSLATE(B10124,""en"",""es-ES"")"),"Se muestra una imagen de un plato de pasta de sardina, junto con una lista de ingredientes.")</f>
        <v>Se muestra una imagen de un plato de pasta de sardina, junto con una lista de ingredientes.</v>
      </c>
    </row>
    <row r="10125">
      <c r="A10125" s="4" t="s">
        <v>12731</v>
      </c>
      <c r="B10125" s="4" t="s">
        <v>12733</v>
      </c>
      <c r="C10125" s="5" t="str">
        <f>IFERROR(__xludf.DUMMYFUNCTION("GOOGLETRANSLATE(B10125,""en"",""es-ES"")"),"El agua está salada y hervida para la pasta, y las verduras se saltean en aceite de oliva.")</f>
        <v>El agua está salada y hervida para la pasta, y las verduras se saltean en aceite de oliva.</v>
      </c>
    </row>
    <row r="10126">
      <c r="A10126" s="4" t="s">
        <v>12731</v>
      </c>
      <c r="B10126" s="4" t="s">
        <v>12734</v>
      </c>
      <c r="C10126" s="5" t="str">
        <f>IFERROR(__xludf.DUMMYFUNCTION("GOOGLETRANSLATE(B10126,""en"",""es-ES"")"),"Se agregan sardinas, luego se mezclan con los fideos de espagueti, creando un plato terminado.")</f>
        <v>Se agregan sardinas, luego se mezclan con los fideos de espagueti, creando un plato terminado.</v>
      </c>
    </row>
    <row r="10127">
      <c r="A10127" s="4" t="s">
        <v>12735</v>
      </c>
      <c r="B10127" s="4" t="s">
        <v>12736</v>
      </c>
      <c r="C10127" s="5" t="str">
        <f>IFERROR(__xludf.DUMMYFUNCTION("GOOGLETRANSLATE(B10127,""en"",""es-ES"")"),"Un reproductor de hockey habla en una entrevista en la televisión.")</f>
        <v>Un reproductor de hockey habla en una entrevista en la televisión.</v>
      </c>
    </row>
    <row r="10128">
      <c r="A10128" s="4" t="s">
        <v>12735</v>
      </c>
      <c r="B10128" s="4" t="s">
        <v>12737</v>
      </c>
      <c r="C10128" s="5" t="str">
        <f>IFERROR(__xludf.DUMMYFUNCTION("GOOGLETRANSLATE(B10128,""en"",""es-ES"")"),"Se muestran varias imágenes de él jugando hockey sobre hielo mientras habla.")</f>
        <v>Se muestran varias imágenes de él jugando hockey sobre hielo mientras habla.</v>
      </c>
    </row>
    <row r="10129">
      <c r="A10129" s="4" t="s">
        <v>12735</v>
      </c>
      <c r="B10129" s="4" t="s">
        <v>12738</v>
      </c>
      <c r="C10129" s="5" t="str">
        <f>IFERROR(__xludf.DUMMYFUNCTION("GOOGLETRANSLATE(B10129,""en"",""es-ES"")"),"Continúa hablando mientras las imágenes aparecen en la pantalla.")</f>
        <v>Continúa hablando mientras las imágenes aparecen en la pantalla.</v>
      </c>
    </row>
    <row r="10130">
      <c r="A10130" s="4" t="s">
        <v>12739</v>
      </c>
      <c r="B10130" s="4" t="s">
        <v>12740</v>
      </c>
      <c r="C10130" s="5" t="str">
        <f>IFERROR(__xludf.DUMMYFUNCTION("GOOGLETRANSLATE(B10130,""en"",""es-ES"")"),"El hombre que usa suéter gris está tocando la guitarra.")</f>
        <v>El hombre que usa suéter gris está tocando la guitarra.</v>
      </c>
    </row>
    <row r="10131">
      <c r="A10131" s="4" t="s">
        <v>12739</v>
      </c>
      <c r="B10131" s="4" t="s">
        <v>12741</v>
      </c>
      <c r="C10131" s="5" t="str">
        <f>IFERROR(__xludf.DUMMYFUNCTION("GOOGLETRANSLATE(B10131,""en"",""es-ES"")"),"El hombre miró la guitarra.")</f>
        <v>El hombre miró la guitarra.</v>
      </c>
    </row>
    <row r="10132">
      <c r="A10132" s="4" t="s">
        <v>12739</v>
      </c>
      <c r="B10132" s="4" t="s">
        <v>12742</v>
      </c>
      <c r="C10132" s="5" t="str">
        <f>IFERROR(__xludf.DUMMYFUNCTION("GOOGLETRANSLATE(B10132,""en"",""es-ES"")"),"El hombre con camisa azul toca su guitarra, luego empuja los hilos.")</f>
        <v>El hombre con camisa azul toca su guitarra, luego empuja los hilos.</v>
      </c>
    </row>
    <row r="10133">
      <c r="A10133" s="4" t="s">
        <v>12743</v>
      </c>
      <c r="B10133" s="4" t="s">
        <v>12744</v>
      </c>
      <c r="C10133" s="5" t="str">
        <f>IFERROR(__xludf.DUMMYFUNCTION("GOOGLETRANSLATE(B10133,""en"",""es-ES"")"),"Dos hombres están sentados en una habitación frente a un brazo robótico.")</f>
        <v>Dos hombres están sentados en una habitación frente a un brazo robótico.</v>
      </c>
    </row>
    <row r="10134">
      <c r="A10134" s="4" t="s">
        <v>12743</v>
      </c>
      <c r="B10134" s="4" t="s">
        <v>12745</v>
      </c>
      <c r="C10134" s="5" t="str">
        <f>IFERROR(__xludf.DUMMYFUNCTION("GOOGLETRANSLATE(B10134,""en"",""es-ES"")"),"Uno de los hombres está usando un controlador para hacer que el brazo recoge una botella.")</f>
        <v>Uno de los hombres está usando un controlador para hacer que el brazo recoge una botella.</v>
      </c>
    </row>
    <row r="10135">
      <c r="A10135" s="4" t="s">
        <v>12743</v>
      </c>
      <c r="B10135" s="4" t="s">
        <v>12746</v>
      </c>
      <c r="C10135" s="5" t="str">
        <f>IFERROR(__xludf.DUMMYFUNCTION("GOOGLETRANSLATE(B10135,""en"",""es-ES"")"),"El brazo lleva la botella a la cara del hombre, para que pueda tomar una copa.")</f>
        <v>El brazo lleva la botella a la cara del hombre, para que pueda tomar una copa.</v>
      </c>
    </row>
    <row r="10136">
      <c r="A10136" s="4" t="s">
        <v>12743</v>
      </c>
      <c r="B10136" s="4" t="s">
        <v>12747</v>
      </c>
      <c r="C10136" s="5" t="str">
        <f>IFERROR(__xludf.DUMMYFUNCTION("GOOGLETRANSLATE(B10136,""en"",""es-ES"")"),"Luego el robot devuelve la botella a la mesa.")</f>
        <v>Luego el robot devuelve la botella a la mesa.</v>
      </c>
    </row>
    <row r="10137">
      <c r="A10137" s="4" t="s">
        <v>12748</v>
      </c>
      <c r="B10137" s="4" t="s">
        <v>12749</v>
      </c>
      <c r="C10137" s="5" t="str">
        <f>IFERROR(__xludf.DUMMYFUNCTION("GOOGLETRANSLATE(B10137,""en"",""es-ES"")"),"Los artistas canta y los bailarines en un escenario de concierto.")</f>
        <v>Los artistas canta y los bailarines en un escenario de concierto.</v>
      </c>
    </row>
    <row r="10138">
      <c r="A10138" s="4" t="s">
        <v>12748</v>
      </c>
      <c r="B10138" s="4" t="s">
        <v>12750</v>
      </c>
      <c r="C10138" s="5" t="str">
        <f>IFERROR(__xludf.DUMMYFUNCTION("GOOGLETRANSLATE(B10138,""en"",""es-ES"")"),"Un artista baja por las escaleras.")</f>
        <v>Un artista baja por las escaleras.</v>
      </c>
    </row>
    <row r="10139">
      <c r="A10139" s="4" t="s">
        <v>12748</v>
      </c>
      <c r="B10139" s="4" t="s">
        <v>12751</v>
      </c>
      <c r="C10139" s="5" t="str">
        <f>IFERROR(__xludf.DUMMYFUNCTION("GOOGLETRANSLATE(B10139,""en"",""es-ES"")"),"Varios artistas representan, hacen gesto y apuntan hacia la audiencia.")</f>
        <v>Varios artistas representan, hacen gesto y apuntan hacia la audiencia.</v>
      </c>
    </row>
    <row r="10140">
      <c r="A10140" s="4" t="s">
        <v>12748</v>
      </c>
      <c r="B10140" s="4" t="s">
        <v>12752</v>
      </c>
      <c r="C10140" s="5" t="str">
        <f>IFERROR(__xludf.DUMMYFUNCTION("GOOGLETRANSLATE(B10140,""en"",""es-ES"")"),"Un intérprete rompe bailes en el escenario.")</f>
        <v>Un intérprete rompe bailes en el escenario.</v>
      </c>
    </row>
    <row r="10141">
      <c r="A10141" s="4" t="s">
        <v>12748</v>
      </c>
      <c r="B10141" s="4" t="s">
        <v>12753</v>
      </c>
      <c r="C10141" s="5" t="str">
        <f>IFERROR(__xludf.DUMMYFUNCTION("GOOGLETRANSLATE(B10141,""en"",""es-ES"")"),"El bailarín de break se acuesta en el piso del escenario.")</f>
        <v>El bailarín de break se acuesta en el piso del escenario.</v>
      </c>
    </row>
    <row r="10142">
      <c r="A10142" s="4" t="s">
        <v>12748</v>
      </c>
      <c r="B10142" s="4" t="s">
        <v>12754</v>
      </c>
      <c r="C10142" s="5" t="str">
        <f>IFERROR(__xludf.DUMMYFUNCTION("GOOGLETRANSLATE(B10142,""en"",""es-ES"")"),"Un artista levanta la mano del bailarín de break en el aire.")</f>
        <v>Un artista levanta la mano del bailarín de break en el aire.</v>
      </c>
    </row>
    <row r="10143">
      <c r="A10143" s="4" t="s">
        <v>12748</v>
      </c>
      <c r="B10143" s="4" t="s">
        <v>12755</v>
      </c>
      <c r="C10143" s="5" t="str">
        <f>IFERROR(__xludf.DUMMYFUNCTION("GOOGLETRANSLATE(B10143,""en"",""es-ES"")"),"El Break Dancer le da a un intérprete cinco.")</f>
        <v>El Break Dancer le da a un intérprete cinco.</v>
      </c>
    </row>
    <row r="10144">
      <c r="A10144" s="4" t="s">
        <v>12748</v>
      </c>
      <c r="B10144" s="4" t="s">
        <v>12756</v>
      </c>
      <c r="C10144" s="5" t="str">
        <f>IFERROR(__xludf.DUMMYFUNCTION("GOOGLETRANSLATE(B10144,""en"",""es-ES"")"),"Un artista y gestos.")</f>
        <v>Un artista y gestos.</v>
      </c>
    </row>
    <row r="10145">
      <c r="A10145" s="4" t="s">
        <v>12757</v>
      </c>
      <c r="B10145" s="4" t="s">
        <v>12758</v>
      </c>
      <c r="C10145" s="5" t="str">
        <f>IFERROR(__xludf.DUMMYFUNCTION("GOOGLETRANSLATE(B10145,""en"",""es-ES"")"),"Un hombre salta de un puente y el bungee salta.")</f>
        <v>Un hombre salta de un puente y el bungee salta.</v>
      </c>
    </row>
    <row r="10146">
      <c r="A10146" s="4" t="s">
        <v>12757</v>
      </c>
      <c r="B10146" s="4" t="s">
        <v>12759</v>
      </c>
      <c r="C10146" s="5" t="str">
        <f>IFERROR(__xludf.DUMMYFUNCTION("GOOGLETRANSLATE(B10146,""en"",""es-ES"")"),"Lo muestra subiendo de nuevo en la repisa.")</f>
        <v>Lo muestra subiendo de nuevo en la repisa.</v>
      </c>
    </row>
    <row r="10147">
      <c r="A10147" s="4" t="s">
        <v>12757</v>
      </c>
      <c r="B10147" s="4" t="s">
        <v>12760</v>
      </c>
      <c r="C10147" s="5" t="str">
        <f>IFERROR(__xludf.DUMMYFUNCTION("GOOGLETRANSLATE(B10147,""en"",""es-ES"")"),"Salta nuevamente del puente.")</f>
        <v>Salta nuevamente del puente.</v>
      </c>
    </row>
    <row r="10148">
      <c r="A10148" s="4" t="s">
        <v>12761</v>
      </c>
      <c r="B10148" s="4" t="s">
        <v>12762</v>
      </c>
      <c r="C10148" s="5" t="str">
        <f>IFERROR(__xludf.DUMMYFUNCTION("GOOGLETRANSLATE(B10148,""en"",""es-ES"")"),"Un hombre con atuendo de chefs está de pie en una cocina.")</f>
        <v>Un hombre con atuendo de chefs está de pie en una cocina.</v>
      </c>
    </row>
    <row r="10149">
      <c r="A10149" s="4" t="s">
        <v>12761</v>
      </c>
      <c r="B10149" s="4" t="s">
        <v>12763</v>
      </c>
      <c r="C10149" s="5" t="str">
        <f>IFERROR(__xludf.DUMMYFUNCTION("GOOGLETRANSLATE(B10149,""en"",""es-ES"")"),"Él voltea algo que está en una sartén.")</f>
        <v>Él voltea algo que está en una sartén.</v>
      </c>
    </row>
    <row r="10150">
      <c r="A10150" s="4" t="s">
        <v>12761</v>
      </c>
      <c r="B10150" s="4" t="s">
        <v>12764</v>
      </c>
      <c r="C10150" s="5" t="str">
        <f>IFERROR(__xludf.DUMMYFUNCTION("GOOGLETRANSLATE(B10150,""en"",""es-ES"")"),"Utiliza una cuchara para revolver lo que hay en la sartén.")</f>
        <v>Utiliza una cuchara para revolver lo que hay en la sartén.</v>
      </c>
    </row>
    <row r="10151">
      <c r="A10151" s="4" t="s">
        <v>12765</v>
      </c>
      <c r="B10151" s="4" t="s">
        <v>12766</v>
      </c>
      <c r="C10151" s="5" t="str">
        <f>IFERROR(__xludf.DUMMYFUNCTION("GOOGLETRANSLATE(B10151,""en"",""es-ES"")"),"Una introducción entra en la pantalla para un video sobre reproducir tenis.")</f>
        <v>Una introducción entra en la pantalla para un video sobre reproducir tenis.</v>
      </c>
    </row>
    <row r="10152">
      <c r="A10152" s="4" t="s">
        <v>12765</v>
      </c>
      <c r="B10152" s="4" t="s">
        <v>12767</v>
      </c>
      <c r="C10152" s="5" t="str">
        <f>IFERROR(__xludf.DUMMYFUNCTION("GOOGLETRANSLATE(B10152,""en"",""es-ES"")"),"Y el hombre viene a hablar sobre las lecciones que enseñará en el video.")</f>
        <v>Y el hombre viene a hablar sobre las lecciones que enseñará en el video.</v>
      </c>
    </row>
    <row r="10153">
      <c r="A10153" s="4" t="s">
        <v>12765</v>
      </c>
      <c r="B10153" s="4" t="s">
        <v>12768</v>
      </c>
      <c r="C10153" s="5" t="str">
        <f>IFERROR(__xludf.DUMMYFUNCTION("GOOGLETRANSLATE(B10153,""en"",""es-ES"")"),"Él balancea la raqueta varias veces para demostrar una buena forma para balancear la raqueta de tenis.")</f>
        <v>Él balancea la raqueta varias veces para demostrar una buena forma para balancear la raqueta de tenis.</v>
      </c>
    </row>
    <row r="10154">
      <c r="A10154" s="4" t="s">
        <v>12765</v>
      </c>
      <c r="B10154" s="4" t="s">
        <v>12769</v>
      </c>
      <c r="C10154" s="5" t="str">
        <f>IFERROR(__xludf.DUMMYFUNCTION("GOOGLETRANSLATE(B10154,""en"",""es-ES"")"),"Otro hombre entra en la pantalla y realiza las varias alas de tenis mientras el otro hombre narra.")</f>
        <v>Otro hombre entra en la pantalla y realiza las varias alas de tenis mientras el otro hombre narra.</v>
      </c>
    </row>
    <row r="10155">
      <c r="A10155" s="4" t="s">
        <v>12765</v>
      </c>
      <c r="B10155" s="4" t="s">
        <v>12770</v>
      </c>
      <c r="C10155" s="5" t="str">
        <f>IFERROR(__xludf.DUMMYFUNCTION("GOOGLETRANSLATE(B10155,""en"",""es-ES"")"),"A medida que finaliza el video, los créditos de cierre se muestran en la pantalla.")</f>
        <v>A medida que finaliza el video, los créditos de cierre se muestran en la pantalla.</v>
      </c>
    </row>
    <row r="10156">
      <c r="A10156" s="4" t="s">
        <v>12771</v>
      </c>
      <c r="B10156" s="4" t="s">
        <v>12772</v>
      </c>
      <c r="C10156" s="5" t="str">
        <f>IFERROR(__xludf.DUMMYFUNCTION("GOOGLETRANSLATE(B10156,""en"",""es-ES"")"),"Se ve a una mujer pateando una pelota en un campo de personas y luego corriendo de regreso al plato.")</f>
        <v>Se ve a una mujer pateando una pelota en un campo de personas y luego corriendo de regreso al plato.</v>
      </c>
    </row>
    <row r="10157">
      <c r="A10157" s="4" t="s">
        <v>12771</v>
      </c>
      <c r="B10157" s="4" t="s">
        <v>12773</v>
      </c>
      <c r="C10157" s="5" t="str">
        <f>IFERROR(__xludf.DUMMYFUNCTION("GOOGLETRANSLATE(B10157,""en"",""es-ES"")"),"Luego patea la pelota nuevamente mientras otros a su alrededor corren y agarran la pelota desde el campo.")</f>
        <v>Luego patea la pelota nuevamente mientras otros a su alrededor corren y agarran la pelota desde el campo.</v>
      </c>
    </row>
    <row r="10158">
      <c r="A10158" s="4" t="s">
        <v>12774</v>
      </c>
      <c r="B10158" s="4" t="s">
        <v>12775</v>
      </c>
      <c r="C10158" s="5" t="str">
        <f>IFERROR(__xludf.DUMMYFUNCTION("GOOGLETRANSLATE(B10158,""en"",""es-ES"")"),"Se muestra un primer plano de una imagen en un teléfono celular.")</f>
        <v>Se muestra un primer plano de una imagen en un teléfono celular.</v>
      </c>
    </row>
    <row r="10159">
      <c r="A10159" s="4" t="s">
        <v>12774</v>
      </c>
      <c r="B10159" s="4" t="s">
        <v>12776</v>
      </c>
      <c r="C10159" s="5" t="str">
        <f>IFERROR(__xludf.DUMMYFUNCTION("GOOGLETRANSLATE(B10159,""en"",""es-ES"")"),"Un gimnasta masculino corre, volteando de un lado a otro por una estera.")</f>
        <v>Un gimnasta masculino corre, volteando de un lado a otro por una estera.</v>
      </c>
    </row>
    <row r="10160">
      <c r="A10160" s="4" t="s">
        <v>12774</v>
      </c>
      <c r="B10160" s="4" t="s">
        <v>12777</v>
      </c>
      <c r="C10160" s="5" t="str">
        <f>IFERROR(__xludf.DUMMYFUNCTION("GOOGLETRANSLATE(B10160,""en"",""es-ES"")"),"Luego se le muestra volteando lejos en el aire antes de pararse ante la multitud que vitoreaba.")</f>
        <v>Luego se le muestra volteando lejos en el aire antes de pararse ante la multitud que vitoreaba.</v>
      </c>
    </row>
    <row r="10161">
      <c r="A10161" s="4" t="s">
        <v>12778</v>
      </c>
      <c r="B10161" s="4" t="s">
        <v>12779</v>
      </c>
      <c r="C10161" s="5" t="str">
        <f>IFERROR(__xludf.DUMMYFUNCTION("GOOGLETRANSLATE(B10161,""en"",""es-ES"")"),"Dos personas luchan en un anillo.")</f>
        <v>Dos personas luchan en un anillo.</v>
      </c>
    </row>
    <row r="10162">
      <c r="A10162" s="4" t="s">
        <v>12778</v>
      </c>
      <c r="B10162" s="4" t="s">
        <v>12780</v>
      </c>
      <c r="C10162" s="5" t="str">
        <f>IFERROR(__xludf.DUMMYFUNCTION("GOOGLETRANSLATE(B10162,""en"",""es-ES"")"),"Un árbitro está parado al costado del anillo mirándolos.")</f>
        <v>Un árbitro está parado al costado del anillo mirándolos.</v>
      </c>
    </row>
    <row r="10163">
      <c r="A10163" s="4" t="s">
        <v>12778</v>
      </c>
      <c r="B10163" s="4" t="s">
        <v>12781</v>
      </c>
      <c r="C10163" s="5" t="str">
        <f>IFERROR(__xludf.DUMMYFUNCTION("GOOGLETRANSLATE(B10163,""en"",""es-ES"")"),"La multitud detrás de ellos está vitoreando.")</f>
        <v>La multitud detrás de ellos está vitoreando.</v>
      </c>
    </row>
    <row r="10164">
      <c r="A10164" s="4" t="s">
        <v>12782</v>
      </c>
      <c r="B10164" s="4" t="s">
        <v>12783</v>
      </c>
      <c r="C10164" s="5" t="str">
        <f>IFERROR(__xludf.DUMMYFUNCTION("GOOGLETRANSLATE(B10164,""en"",""es-ES"")"),"Una gimnasta con atuendo rosa se extiende antes de comenzar la rutina.")</f>
        <v>Una gimnasta con atuendo rosa se extiende antes de comenzar la rutina.</v>
      </c>
    </row>
    <row r="10165">
      <c r="A10165" s="4" t="s">
        <v>12782</v>
      </c>
      <c r="B10165" s="4" t="s">
        <v>12784</v>
      </c>
      <c r="C10165" s="5" t="str">
        <f>IFERROR(__xludf.DUMMYFUNCTION("GOOGLETRANSLATE(B10165,""en"",""es-ES"")"),"Ella salta sobre el rayo de equilibrio y se equilibra.")</f>
        <v>Ella salta sobre el rayo de equilibrio y se equilibra.</v>
      </c>
    </row>
    <row r="10166">
      <c r="A10166" s="4" t="s">
        <v>12782</v>
      </c>
      <c r="B10166" s="4" t="s">
        <v>12785</v>
      </c>
      <c r="C10166" s="5" t="str">
        <f>IFERROR(__xludf.DUMMYFUNCTION("GOOGLETRANSLATE(B10166,""en"",""es-ES"")"),"Ella comienza su rutina de rayos de equilibrio.")</f>
        <v>Ella comienza su rutina de rayos de equilibrio.</v>
      </c>
    </row>
    <row r="10167">
      <c r="A10167" s="4" t="s">
        <v>12782</v>
      </c>
      <c r="B10167" s="4" t="s">
        <v>12786</v>
      </c>
      <c r="C10167" s="5" t="str">
        <f>IFERROR(__xludf.DUMMYFUNCTION("GOOGLETRANSLATE(B10167,""en"",""es-ES"")"),"Ella hace varias flips y saltos mortales.")</f>
        <v>Ella hace varias flips y saltos mortales.</v>
      </c>
    </row>
    <row r="10168">
      <c r="A10168" s="4" t="s">
        <v>12782</v>
      </c>
      <c r="B10168" s="4" t="s">
        <v>12787</v>
      </c>
      <c r="C10168" s="5" t="str">
        <f>IFERROR(__xludf.DUMMYFUNCTION("GOOGLETRANSLATE(B10168,""en"",""es-ES"")"),"Ella se está preparando para desmontar.")</f>
        <v>Ella se está preparando para desmontar.</v>
      </c>
    </row>
    <row r="10169">
      <c r="A10169" s="4" t="s">
        <v>12782</v>
      </c>
      <c r="B10169" s="4" t="s">
        <v>12788</v>
      </c>
      <c r="C10169" s="5" t="str">
        <f>IFERROR(__xludf.DUMMYFUNCTION("GOOGLETRANSLATE(B10169,""en"",""es-ES"")"),"Ella voltea varias veces en el aire durante su desmontaje y aterriza perfectamente.")</f>
        <v>Ella voltea varias veces en el aire durante su desmontaje y aterriza perfectamente.</v>
      </c>
    </row>
    <row r="10170">
      <c r="A10170" s="4" t="s">
        <v>12789</v>
      </c>
      <c r="B10170" s="4" t="s">
        <v>12790</v>
      </c>
      <c r="C10170" s="5" t="str">
        <f>IFERROR(__xludf.DUMMYFUNCTION("GOOGLETRANSLATE(B10170,""en"",""es-ES"")"),"Un hombre se encuentra con una fila de setos.")</f>
        <v>Un hombre se encuentra con una fila de setos.</v>
      </c>
    </row>
    <row r="10171">
      <c r="A10171" s="4" t="s">
        <v>12789</v>
      </c>
      <c r="B10171" s="4" t="s">
        <v>12791</v>
      </c>
      <c r="C10171" s="5" t="str">
        <f>IFERROR(__xludf.DUMMYFUNCTION("GOOGLETRANSLATE(B10171,""en"",""es-ES"")"),"Luego comienza a recortarlos con pures.")</f>
        <v>Luego comienza a recortarlos con pures.</v>
      </c>
    </row>
    <row r="10172">
      <c r="A10172" s="4" t="s">
        <v>12789</v>
      </c>
      <c r="B10172" s="4" t="s">
        <v>12792</v>
      </c>
      <c r="C10172" s="5" t="str">
        <f>IFERROR(__xludf.DUMMYFUNCTION("GOOGLETRANSLATE(B10172,""en"",""es-ES"")"),"Él recorta la parte superior de un arbusto.")</f>
        <v>Él recorta la parte superior de un arbusto.</v>
      </c>
    </row>
    <row r="10173">
      <c r="A10173" s="4" t="s">
        <v>12789</v>
      </c>
      <c r="B10173" s="4" t="s">
        <v>12793</v>
      </c>
      <c r="C10173" s="5" t="str">
        <f>IFERROR(__xludf.DUMMYFUNCTION("GOOGLETRANSLATE(B10173,""en"",""es-ES"")"),"Se muestran varios arbustos arreglados diferentes.")</f>
        <v>Se muestran varios arbustos arreglados diferentes.</v>
      </c>
    </row>
    <row r="10174">
      <c r="A10174" s="4" t="s">
        <v>12794</v>
      </c>
      <c r="B10174" s="4" t="s">
        <v>12795</v>
      </c>
      <c r="C10174" s="5" t="str">
        <f>IFERROR(__xludf.DUMMYFUNCTION("GOOGLETRANSLATE(B10174,""en"",""es-ES"")"),"Un niño chino se sienta en una habitación en el piso con libros y juguetes a su alrededor mientras mira la cámara.")</f>
        <v>Un niño chino se sienta en una habitación en el piso con libros y juguetes a su alrededor mientras mira la cámara.</v>
      </c>
    </row>
    <row r="10175">
      <c r="A10175" s="4" t="s">
        <v>12794</v>
      </c>
      <c r="B10175" s="4" t="s">
        <v>12796</v>
      </c>
      <c r="C10175" s="5" t="str">
        <f>IFERROR(__xludf.DUMMYFUNCTION("GOOGLETRANSLATE(B10175,""en"",""es-ES"")"),"El niño chino luego sale y comienza a jugar en un parque, divirtiéndose solo mientras el camarógrafo lo graba.")</f>
        <v>El niño chino luego sale y comienza a jugar en un parque, divirtiéndose solo mientras el camarógrafo lo graba.</v>
      </c>
    </row>
    <row r="10176">
      <c r="A10176" s="4" t="s">
        <v>12794</v>
      </c>
      <c r="B10176" s="4" t="s">
        <v>12797</v>
      </c>
      <c r="C10176" s="5" t="str">
        <f>IFERROR(__xludf.DUMMYFUNCTION("GOOGLETRANSLATE(B10176,""en"",""es-ES"")"),"El niño pequeño se desliza por el tobogán, sube escalones mientras sonríe y se divierte.")</f>
        <v>El niño pequeño se desliza por el tobogán, sube escalones mientras sonríe y se divierte.</v>
      </c>
    </row>
    <row r="10177">
      <c r="A10177" s="4" t="s">
        <v>12798</v>
      </c>
      <c r="B10177" s="4" t="s">
        <v>12799</v>
      </c>
      <c r="C10177" s="5" t="str">
        <f>IFERROR(__xludf.DUMMYFUNCTION("GOOGLETRANSLATE(B10177,""en"",""es-ES"")"),"Se muestran varias tomas de personas seguidas de varias tomas de niños saltando de la cuerda.")</f>
        <v>Se muestran varias tomas de personas seguidas de varias tomas de niños saltando de la cuerda.</v>
      </c>
    </row>
    <row r="10178">
      <c r="A10178" s="4" t="s">
        <v>12798</v>
      </c>
      <c r="B10178" s="4" t="s">
        <v>12800</v>
      </c>
      <c r="C10178" s="5" t="str">
        <f>IFERROR(__xludf.DUMMYFUNCTION("GOOGLETRANSLATE(B10178,""en"",""es-ES"")"),"Un hombre que luego orientan a varios niños en una cancha y muestra más tomas de los niños que saltan la cuerda.")</f>
        <v>Un hombre que luego orientan a varios niños en una cancha y muestra más tomas de los niños que saltan la cuerda.</v>
      </c>
    </row>
    <row r="10179">
      <c r="A10179" s="4" t="s">
        <v>12798</v>
      </c>
      <c r="B10179" s="4" t="s">
        <v>12801</v>
      </c>
      <c r="C10179" s="5" t="str">
        <f>IFERROR(__xludf.DUMMYFUNCTION("GOOGLETRANSLATE(B10179,""en"",""es-ES"")"),"Luego, el hombre salta a la cuerda mientras más niños realizan trucos con sus cuerdas de salto y termina con el hombre hablando con un jersey más.")</f>
        <v>Luego, el hombre salta a la cuerda mientras más niños realizan trucos con sus cuerdas de salto y termina con el hombre hablando con un jersey más.</v>
      </c>
    </row>
    <row r="10180">
      <c r="A10180" s="4" t="s">
        <v>12802</v>
      </c>
      <c r="B10180" s="4" t="s">
        <v>12803</v>
      </c>
      <c r="C10180" s="5" t="str">
        <f>IFERROR(__xludf.DUMMYFUNCTION("GOOGLETRANSLATE(B10180,""en"",""es-ES"")"),"Los autos se están lavando en un lavado de autos.")</f>
        <v>Los autos se están lavando en un lavado de autos.</v>
      </c>
    </row>
    <row r="10181">
      <c r="A10181" s="4" t="s">
        <v>12802</v>
      </c>
      <c r="B10181" s="4" t="s">
        <v>12804</v>
      </c>
      <c r="C10181" s="5" t="str">
        <f>IFERROR(__xludf.DUMMYFUNCTION("GOOGLETRANSLATE(B10181,""en"",""es-ES"")"),"Un hombre con una camisa roja habla con un hombre con una camisa negra.")</f>
        <v>Un hombre con una camisa roja habla con un hombre con una camisa negra.</v>
      </c>
    </row>
    <row r="10182">
      <c r="A10182" s="4" t="s">
        <v>12802</v>
      </c>
      <c r="B10182" s="4" t="s">
        <v>12805</v>
      </c>
      <c r="C10182" s="5" t="str">
        <f>IFERROR(__xludf.DUMMYFUNCTION("GOOGLETRANSLATE(B10182,""en"",""es-ES"")"),"El auto está pasando por un lavado automático de autos.")</f>
        <v>El auto está pasando por un lavado automático de autos.</v>
      </c>
    </row>
    <row r="10183">
      <c r="A10183" s="4" t="s">
        <v>12802</v>
      </c>
      <c r="B10183" s="4" t="s">
        <v>12806</v>
      </c>
      <c r="C10183" s="5" t="str">
        <f>IFERROR(__xludf.DUMMYFUNCTION("GOOGLETRANSLATE(B10183,""en"",""es-ES"")"),"Alguien ahora está fregando un automóvil para lavarlo.")</f>
        <v>Alguien ahora está fregando un automóvil para lavarlo.</v>
      </c>
    </row>
    <row r="10184">
      <c r="A10184" s="4" t="s">
        <v>12802</v>
      </c>
      <c r="B10184" s="4" t="s">
        <v>12807</v>
      </c>
      <c r="C10184" s="5" t="str">
        <f>IFERROR(__xludf.DUMMYFUNCTION("GOOGLETRANSLATE(B10184,""en"",""es-ES"")"),"Entran en un garaje e inspeccionan los autos.")</f>
        <v>Entran en un garaje e inspeccionan los autos.</v>
      </c>
    </row>
    <row r="10185">
      <c r="A10185" s="4" t="s">
        <v>12808</v>
      </c>
      <c r="B10185" s="4" t="s">
        <v>12809</v>
      </c>
      <c r="C10185" s="5" t="str">
        <f>IFERROR(__xludf.DUMMYFUNCTION("GOOGLETRANSLATE(B10185,""en"",""es-ES"")"),"Cuatro hombres en el estudio están tocando diferentes instrumentos.")</f>
        <v>Cuatro hombres en el estudio están tocando diferentes instrumentos.</v>
      </c>
    </row>
    <row r="10186">
      <c r="A10186" s="4" t="s">
        <v>12808</v>
      </c>
      <c r="B10186" s="4" t="s">
        <v>12810</v>
      </c>
      <c r="C10186" s="5" t="str">
        <f>IFERROR(__xludf.DUMMYFUNCTION("GOOGLETRANSLATE(B10186,""en"",""es-ES"")"),"El hombre con gran guitarra está cantando mientras toca su guitarra.")</f>
        <v>El hombre con gran guitarra está cantando mientras toca su guitarra.</v>
      </c>
    </row>
    <row r="10187">
      <c r="A10187" s="4" t="s">
        <v>12808</v>
      </c>
      <c r="B10187" s="4" t="s">
        <v>12811</v>
      </c>
      <c r="C10187" s="5" t="str">
        <f>IFERROR(__xludf.DUMMYFUNCTION("GOOGLETRANSLATE(B10187,""en"",""es-ES"")"),"El hombre tocando la armónica dejó de tocar y miró al hombre cantando, luego continuó tocando su armónica.")</f>
        <v>El hombre tocando la armónica dejó de tocar y miró al hombre cantando, luego continuó tocando su armónica.</v>
      </c>
    </row>
    <row r="10188">
      <c r="A10188" s="4" t="s">
        <v>12808</v>
      </c>
      <c r="B10188" s="4" t="s">
        <v>12812</v>
      </c>
      <c r="C10188" s="5" t="str">
        <f>IFERROR(__xludf.DUMMYFUNCTION("GOOGLETRANSLATE(B10188,""en"",""es-ES"")"),"Dos hombres detrás de los cuatro hombres están tocando instrumentos.")</f>
        <v>Dos hombres detrás de los cuatro hombres están tocando instrumentos.</v>
      </c>
    </row>
    <row r="10189">
      <c r="A10189" s="4" t="s">
        <v>12808</v>
      </c>
      <c r="B10189" s="4" t="s">
        <v>12813</v>
      </c>
      <c r="C10189" s="5" t="str">
        <f>IFERROR(__xludf.DUMMYFUNCTION("GOOGLETRANSLATE(B10189,""en"",""es-ES"")"),"El hombre con guitarra saca una tela blanca y la agita.")</f>
        <v>El hombre con guitarra saca una tela blanca y la agita.</v>
      </c>
    </row>
    <row r="10190">
      <c r="A10190" s="4" t="s">
        <v>12814</v>
      </c>
      <c r="B10190" s="4" t="s">
        <v>12815</v>
      </c>
      <c r="C10190" s="5" t="str">
        <f>IFERROR(__xludf.DUMMYFUNCTION("GOOGLETRANSLATE(B10190,""en"",""es-ES"")"),"Una niña está de pie en una habitación con un suéter gris, medias negras y zapatos rosados.")</f>
        <v>Una niña está de pie en una habitación con un suéter gris, medias negras y zapatos rosados.</v>
      </c>
    </row>
    <row r="10191">
      <c r="A10191" s="4" t="s">
        <v>12814</v>
      </c>
      <c r="B10191" s="4" t="s">
        <v>12816</v>
      </c>
      <c r="C10191" s="5" t="str">
        <f>IFERROR(__xludf.DUMMYFUNCTION("GOOGLETRANSLATE(B10191,""en"",""es-ES"")"),"En su mano tiene un palo de croquet y está jugando con la pequeña pelota.")</f>
        <v>En su mano tiene un palo de croquet y está jugando con la pequeña pelota.</v>
      </c>
    </row>
    <row r="10192">
      <c r="A10192" s="4" t="s">
        <v>12814</v>
      </c>
      <c r="B10192" s="4" t="s">
        <v>12817</v>
      </c>
      <c r="C10192" s="5" t="str">
        <f>IFERROR(__xludf.DUMMYFUNCTION("GOOGLETRANSLATE(B10192,""en"",""es-ES"")"),"Lo hace durante bastante veces manteniéndolo quieto hasta que finalmente camina con la pelota y terminó el video.")</f>
        <v>Lo hace durante bastante veces manteniéndolo quieto hasta que finalmente camina con la pelota y terminó el video.</v>
      </c>
    </row>
    <row r="10193">
      <c r="A10193" s="4" t="s">
        <v>12818</v>
      </c>
      <c r="B10193" s="4" t="s">
        <v>1251</v>
      </c>
      <c r="C10193" s="5" t="str">
        <f>IFERROR(__xludf.DUMMYFUNCTION("GOOGLETRANSLATE(B10193,""en"",""es-ES"")"),"Se muestran los créditos del clip.")</f>
        <v>Se muestran los créditos del clip.</v>
      </c>
    </row>
    <row r="10194">
      <c r="A10194" s="4" t="s">
        <v>12818</v>
      </c>
      <c r="B10194" s="4" t="s">
        <v>12819</v>
      </c>
      <c r="C10194" s="5" t="str">
        <f>IFERROR(__xludf.DUMMYFUNCTION("GOOGLETRANSLATE(B10194,""en"",""es-ES"")"),"Un chico de pie en un baño habla y gestos.")</f>
        <v>Un chico de pie en un baño habla y gestos.</v>
      </c>
    </row>
    <row r="10195">
      <c r="A10195" s="4" t="s">
        <v>12818</v>
      </c>
      <c r="B10195" s="4" t="s">
        <v>12820</v>
      </c>
      <c r="C10195" s="5" t="str">
        <f>IFERROR(__xludf.DUMMYFUNCTION("GOOGLETRANSLATE(B10195,""en"",""es-ES"")"),"Se muestra una persona afeitándose la barbilla.")</f>
        <v>Se muestra una persona afeitándose la barbilla.</v>
      </c>
    </row>
    <row r="10196">
      <c r="A10196" s="4" t="s">
        <v>12818</v>
      </c>
      <c r="B10196" s="4" t="s">
        <v>12821</v>
      </c>
      <c r="C10196" s="5" t="str">
        <f>IFERROR(__xludf.DUMMYFUNCTION("GOOGLETRANSLATE(B10196,""en"",""es-ES"")"),"Un chico pone crema de un tubo azul en la palma de la mano y se la aplica a la barbilla.")</f>
        <v>Un chico pone crema de un tubo azul en la palma de la mano y se la aplica a la barbilla.</v>
      </c>
    </row>
    <row r="10197">
      <c r="A10197" s="4" t="s">
        <v>12818</v>
      </c>
      <c r="B10197" s="4" t="s">
        <v>12822</v>
      </c>
      <c r="C10197" s="5" t="str">
        <f>IFERROR(__xludf.DUMMYFUNCTION("GOOGLETRANSLATE(B10197,""en"",""es-ES"")"),"Un tipo pone gel de un tubo azul en su palma y se lo aplica a la barbilla.")</f>
        <v>Un tipo pone gel de un tubo azul en su palma y se lo aplica a la barbilla.</v>
      </c>
    </row>
    <row r="10198">
      <c r="A10198" s="4" t="s">
        <v>12818</v>
      </c>
      <c r="B10198" s="4" t="s">
        <v>12823</v>
      </c>
      <c r="C10198" s="5" t="str">
        <f>IFERROR(__xludf.DUMMYFUNCTION("GOOGLETRANSLATE(B10198,""en"",""es-ES"")"),"Un chico se lava la cara.")</f>
        <v>Un chico se lava la cara.</v>
      </c>
    </row>
    <row r="10199">
      <c r="A10199" s="4" t="s">
        <v>12818</v>
      </c>
      <c r="B10199" s="4" t="s">
        <v>573</v>
      </c>
      <c r="C10199" s="5" t="str">
        <f>IFERROR(__xludf.DUMMYFUNCTION("GOOGLETRANSLATE(B10199,""en"",""es-ES"")"),"Se muestran los créditos del video.")</f>
        <v>Se muestran los créditos del video.</v>
      </c>
    </row>
    <row r="10200">
      <c r="A10200" s="4" t="s">
        <v>12824</v>
      </c>
      <c r="B10200" s="4" t="s">
        <v>12825</v>
      </c>
      <c r="C10200" s="5" t="str">
        <f>IFERROR(__xludf.DUMMYFUNCTION("GOOGLETRANSLATE(B10200,""en"",""es-ES"")"),"Una mujer habla con la cámara mientras las chicas jóvenes se paran detrás de ella.")</f>
        <v>Una mujer habla con la cámara mientras las chicas jóvenes se paran detrás de ella.</v>
      </c>
    </row>
    <row r="10201">
      <c r="A10201" s="4" t="s">
        <v>12824</v>
      </c>
      <c r="B10201" s="4" t="s">
        <v>12826</v>
      </c>
      <c r="C10201" s="5" t="str">
        <f>IFERROR(__xludf.DUMMYFUNCTION("GOOGLETRANSLATE(B10201,""en"",""es-ES"")"),"La mujer continúa hablando con la cámara mientras demuestra movimientos de baile individuales, a medida que las jóvenes siguen.")</f>
        <v>La mujer continúa hablando con la cámara mientras demuestra movimientos de baile individuales, a medida que las jóvenes siguen.</v>
      </c>
    </row>
    <row r="10202">
      <c r="A10202" s="4" t="s">
        <v>12824</v>
      </c>
      <c r="B10202" s="4" t="s">
        <v>12827</v>
      </c>
      <c r="C10202" s="5" t="str">
        <f>IFERROR(__xludf.DUMMYFUNCTION("GOOGLETRANSLATE(B10202,""en"",""es-ES"")"),"La mujer lleva a las niñas a practicar toda la secuencia.")</f>
        <v>La mujer lleva a las niñas a practicar toda la secuencia.</v>
      </c>
    </row>
    <row r="10203">
      <c r="A10203" s="4" t="s">
        <v>12824</v>
      </c>
      <c r="B10203" s="4" t="s">
        <v>12828</v>
      </c>
      <c r="C10203" s="5" t="str">
        <f>IFERROR(__xludf.DUMMYFUNCTION("GOOGLETRANSLATE(B10203,""en"",""es-ES"")"),"Las chicas realizan la secuencia por su cuenta.")</f>
        <v>Las chicas realizan la secuencia por su cuenta.</v>
      </c>
    </row>
    <row r="10204">
      <c r="A10204" s="4" t="s">
        <v>12829</v>
      </c>
      <c r="B10204" s="4" t="s">
        <v>12830</v>
      </c>
      <c r="C10204" s="5" t="str">
        <f>IFERROR(__xludf.DUMMYFUNCTION("GOOGLETRANSLATE(B10204,""en"",""es-ES"")"),"Un jugador de un equipo de lectura realiza un tiro gratis en el frente de un gol de fútbol, ​​y los jugadores anotan.")</f>
        <v>Un jugador de un equipo de lectura realiza un tiro gratis en el frente de un gol de fútbol, ​​y los jugadores anotan.</v>
      </c>
    </row>
    <row r="10205">
      <c r="A10205" s="4" t="s">
        <v>12829</v>
      </c>
      <c r="B10205" s="4" t="s">
        <v>12831</v>
      </c>
      <c r="C10205" s="5" t="str">
        <f>IFERROR(__xludf.DUMMYFUNCTION("GOOGLETRANSLATE(B10205,""en"",""es-ES"")"),"Una vez más, un jugador con puntajes de camiseta roja, y los jugadores saltan y se abrazan para celebrar.")</f>
        <v>Una vez más, un jugador con puntajes de camiseta roja, y los jugadores saltan y se abrazan para celebrar.</v>
      </c>
    </row>
    <row r="10206">
      <c r="A10206" s="4" t="s">
        <v>12829</v>
      </c>
      <c r="B10206" s="4" t="s">
        <v>12832</v>
      </c>
      <c r="C10206" s="5" t="str">
        <f>IFERROR(__xludf.DUMMYFUNCTION("GOOGLETRANSLATE(B10206,""en"",""es-ES"")"),"Luego, un jugador con puntajes de camiseta blanca, y los equipos continúan jugando.")</f>
        <v>Luego, un jugador con puntajes de camiseta blanca, y los equipos continúan jugando.</v>
      </c>
    </row>
    <row r="10207">
      <c r="A10207" s="4" t="s">
        <v>12829</v>
      </c>
      <c r="B10207" s="4" t="s">
        <v>12833</v>
      </c>
      <c r="C10207" s="5" t="str">
        <f>IFERROR(__xludf.DUMMYFUNCTION("GOOGLETRANSLATE(B10207,""en"",""es-ES"")"),"El equipo rojo vuelve a puntuar y la gente celebra.")</f>
        <v>El equipo rojo vuelve a puntuar y la gente celebra.</v>
      </c>
    </row>
    <row r="10208">
      <c r="A10208" s="4" t="s">
        <v>12834</v>
      </c>
      <c r="B10208" s="4" t="s">
        <v>12835</v>
      </c>
      <c r="C10208" s="5" t="str">
        <f>IFERROR(__xludf.DUMMYFUNCTION("GOOGLETRANSLATE(B10208,""en"",""es-ES"")"),"La mujer está corriendo para dar un salto de altura y comenzar a caminar y la mujer hace el mismo salto de altura 3 veces.")</f>
        <v>La mujer está corriendo para dar un salto de altura y comenzar a caminar y la mujer hace el mismo salto de altura 3 veces.</v>
      </c>
    </row>
    <row r="10209">
      <c r="A10209" s="4" t="s">
        <v>12834</v>
      </c>
      <c r="B10209" s="4" t="s">
        <v>12836</v>
      </c>
      <c r="C10209" s="5" t="str">
        <f>IFERROR(__xludf.DUMMYFUNCTION("GOOGLETRANSLATE(B10209,""en"",""es-ES"")"),"La mujer suelta el cabello se sienta en el piso y desataba los zapatos.")</f>
        <v>La mujer suelta el cabello se sienta en el piso y desataba los zapatos.</v>
      </c>
    </row>
    <row r="10210">
      <c r="A10210" s="4" t="s">
        <v>12837</v>
      </c>
      <c r="B10210" s="4" t="s">
        <v>12838</v>
      </c>
      <c r="C10210" s="5" t="str">
        <f>IFERROR(__xludf.DUMMYFUNCTION("GOOGLETRANSLATE(B10210,""en"",""es-ES"")"),"La gente se encuentra en una cuerda floja y la cruza en una playa.")</f>
        <v>La gente se encuentra en una cuerda floja y la cruza en una playa.</v>
      </c>
    </row>
    <row r="10211">
      <c r="A10211" s="4" t="s">
        <v>12837</v>
      </c>
      <c r="B10211" s="4" t="s">
        <v>12839</v>
      </c>
      <c r="C10211" s="5" t="str">
        <f>IFERROR(__xludf.DUMMYFUNCTION("GOOGLETRANSLATE(B10211,""en"",""es-ES"")"),"Un hombre se cae en la tierra.")</f>
        <v>Un hombre se cae en la tierra.</v>
      </c>
    </row>
    <row r="10212">
      <c r="A10212" s="4" t="s">
        <v>12837</v>
      </c>
      <c r="B10212" s="4" t="s">
        <v>12840</v>
      </c>
      <c r="C10212" s="5" t="str">
        <f>IFERROR(__xludf.DUMMYFUNCTION("GOOGLETRANSLATE(B10212,""en"",""es-ES"")"),"Un hombre se quita la camisa y la arroja a la arena.")</f>
        <v>Un hombre se quita la camisa y la arroja a la arena.</v>
      </c>
    </row>
    <row r="10213">
      <c r="A10213" s="4" t="s">
        <v>12837</v>
      </c>
      <c r="B10213" s="4" t="s">
        <v>12841</v>
      </c>
      <c r="C10213" s="5" t="str">
        <f>IFERROR(__xludf.DUMMYFUNCTION("GOOGLETRANSLATE(B10213,""en"",""es-ES"")"),"Un hombre continúa haciendo trucos en la cuerda floja.")</f>
        <v>Un hombre continúa haciendo trucos en la cuerda floja.</v>
      </c>
    </row>
    <row r="10214">
      <c r="A10214" s="4" t="s">
        <v>12842</v>
      </c>
      <c r="B10214" s="4" t="s">
        <v>12843</v>
      </c>
      <c r="C10214" s="5" t="str">
        <f>IFERROR(__xludf.DUMMYFUNCTION("GOOGLETRANSLATE(B10214,""en"",""es-ES"")"),"Los personajes de Dragon Ball Z se están gritando uno al otro parado uno frente al otro.")</f>
        <v>Los personajes de Dragon Ball Z se están gritando uno al otro parado uno frente al otro.</v>
      </c>
    </row>
    <row r="10215">
      <c r="A10215" s="4" t="s">
        <v>12842</v>
      </c>
      <c r="B10215" s="4" t="s">
        <v>12844</v>
      </c>
      <c r="C10215" s="5" t="str">
        <f>IFERROR(__xludf.DUMMYFUNCTION("GOOGLETRANSLATE(B10215,""en"",""es-ES"")"),"Comienzan a jugar a las tijeras de papel para ver quién ganará.")</f>
        <v>Comienzan a jugar a las tijeras de papel para ver quién ganará.</v>
      </c>
    </row>
    <row r="10216">
      <c r="A10216" s="4" t="s">
        <v>12842</v>
      </c>
      <c r="B10216" s="4" t="s">
        <v>12845</v>
      </c>
      <c r="C10216" s="5" t="str">
        <f>IFERROR(__xludf.DUMMYFUNCTION("GOOGLETRANSLATE(B10216,""en"",""es-ES"")"),"Tienen observadores de pie muy estresados ​​sobre cómo terminará.")</f>
        <v>Tienen observadores de pie muy estresados ​​sobre cómo terminará.</v>
      </c>
    </row>
    <row r="10217">
      <c r="A10217" s="4" t="s">
        <v>12842</v>
      </c>
      <c r="B10217" s="4" t="s">
        <v>12846</v>
      </c>
      <c r="C10217" s="5" t="str">
        <f>IFERROR(__xludf.DUMMYFUNCTION("GOOGLETRANSLATE(B10217,""en"",""es-ES"")"),"Siguen jugando y uno de los otros personajes comienza a enojarse mucho.")</f>
        <v>Siguen jugando y uno de los otros personajes comienza a enojarse mucho.</v>
      </c>
    </row>
    <row r="10218">
      <c r="A10218" s="4" t="s">
        <v>12847</v>
      </c>
      <c r="B10218" s="4" t="s">
        <v>12848</v>
      </c>
      <c r="C10218" s="5" t="str">
        <f>IFERROR(__xludf.DUMMYFUNCTION("GOOGLETRANSLATE(B10218,""en"",""es-ES"")"),"Dos mujeres están de pie detrás de una mujer joven que está sentada en una silla haciendo el pelo.")</f>
        <v>Dos mujeres están de pie detrás de una mujer joven que está sentada en una silla haciendo el pelo.</v>
      </c>
    </row>
    <row r="10219">
      <c r="A10219" s="4" t="s">
        <v>12847</v>
      </c>
      <c r="B10219" s="4" t="s">
        <v>12849</v>
      </c>
      <c r="C10219" s="5" t="str">
        <f>IFERROR(__xludf.DUMMYFUNCTION("GOOGLETRANSLATE(B10219,""en"",""es-ES"")"),"El video comienza con una página de título que muestra que un video de un costado versátil está a punto de hacerse.")</f>
        <v>El video comienza con una página de título que muestra que un video de un costado versátil está a punto de hacerse.</v>
      </c>
    </row>
    <row r="10220">
      <c r="A10220" s="4" t="s">
        <v>12847</v>
      </c>
      <c r="B10220" s="4" t="s">
        <v>12850</v>
      </c>
      <c r="C10220" s="5" t="str">
        <f>IFERROR(__xludf.DUMMYFUNCTION("GOOGLETRANSLATE(B10220,""en"",""es-ES"")"),"Primera imagen, el patrón de trenza se muestra en la cabeza de los individuos, ya que parte de su cabello queda fuera del perímetro de su cabeza.")</f>
        <v>Primera imagen, el patrón de trenza se muestra en la cabeza de los individuos, ya que parte de su cabello queda fuera del perímetro de su cabeza.</v>
      </c>
    </row>
    <row r="10221">
      <c r="A10221" s="4" t="s">
        <v>12847</v>
      </c>
      <c r="B10221" s="4" t="s">
        <v>12851</v>
      </c>
      <c r="C10221" s="5" t="str">
        <f>IFERROR(__xludf.DUMMYFUNCTION("GOOGLETRANSLATE(B10221,""en"",""es-ES"")"),"Una señora luego agarra el tejido, una aguja y comienza a coser en el cabello.")</f>
        <v>Una señora luego agarra el tejido, una aguja y comienza a coser en el cabello.</v>
      </c>
    </row>
    <row r="10222">
      <c r="A10222" s="4" t="s">
        <v>12847</v>
      </c>
      <c r="B10222" s="4" t="s">
        <v>12852</v>
      </c>
      <c r="C10222" s="5" t="str">
        <f>IFERROR(__xludf.DUMMYFUNCTION("GOOGLETRANSLATE(B10222,""en"",""es-ES"")"),"Una vez que muestra cómo se asegura el coser, se muestra el producto terminado y la niña ahora tiene cabello largo y rizado.")</f>
        <v>Una vez que muestra cómo se asegura el coser, se muestra el producto terminado y la niña ahora tiene cabello largo y rizado.</v>
      </c>
    </row>
    <row r="10223">
      <c r="A10223" s="4" t="s">
        <v>12853</v>
      </c>
      <c r="B10223" s="4" t="s">
        <v>12854</v>
      </c>
      <c r="C10223" s="5" t="str">
        <f>IFERROR(__xludf.DUMMYFUNCTION("GOOGLETRANSLATE(B10223,""en"",""es-ES"")"),"Un hombre está de pie y habla dentro de un gimnasio a la cámara.")</f>
        <v>Un hombre está de pie y habla dentro de un gimnasio a la cámara.</v>
      </c>
    </row>
    <row r="10224">
      <c r="A10224" s="4" t="s">
        <v>12853</v>
      </c>
      <c r="B10224" s="4" t="s">
        <v>12855</v>
      </c>
      <c r="C10224" s="5" t="str">
        <f>IFERROR(__xludf.DUMMYFUNCTION("GOOGLETRANSLATE(B10224,""en"",""es-ES"")"),"Se encuentra en la superficie abierta, bailando de un lado a otro.")</f>
        <v>Se encuentra en la superficie abierta, bailando de un lado a otro.</v>
      </c>
    </row>
    <row r="10225">
      <c r="A10225" s="4" t="s">
        <v>12853</v>
      </c>
      <c r="B10225" s="4" t="s">
        <v>12856</v>
      </c>
      <c r="C10225" s="5" t="str">
        <f>IFERROR(__xludf.DUMMYFUNCTION("GOOGLETRANSLATE(B10225,""en"",""es-ES"")"),"Demuestra varios movimientos a medida que avanza.")</f>
        <v>Demuestra varios movimientos a medida que avanza.</v>
      </c>
    </row>
    <row r="10226">
      <c r="A10226" s="4" t="s">
        <v>12857</v>
      </c>
      <c r="B10226" s="4" t="s">
        <v>12858</v>
      </c>
      <c r="C10226" s="5" t="str">
        <f>IFERROR(__xludf.DUMMYFUNCTION("GOOGLETRANSLATE(B10226,""en"",""es-ES"")"),"Una mujer con traje de bronceado está hablando.")</f>
        <v>Una mujer con traje de bronceado está hablando.</v>
      </c>
    </row>
    <row r="10227">
      <c r="A10227" s="4" t="s">
        <v>12857</v>
      </c>
      <c r="B10227" s="4" t="s">
        <v>12859</v>
      </c>
      <c r="C10227" s="5" t="str">
        <f>IFERROR(__xludf.DUMMYFUNCTION("GOOGLETRANSLATE(B10227,""en"",""es-ES"")"),"Un hombre con una camisa verde está jugando al tenis mientras está sentado en el suelo.")</f>
        <v>Un hombre con una camisa verde está jugando al tenis mientras está sentado en el suelo.</v>
      </c>
    </row>
    <row r="10228">
      <c r="A10228" s="4" t="s">
        <v>12857</v>
      </c>
      <c r="B10228" s="4" t="s">
        <v>12860</v>
      </c>
      <c r="C10228" s="5" t="str">
        <f>IFERROR(__xludf.DUMMYFUNCTION("GOOGLETRANSLATE(B10228,""en"",""es-ES"")"),"La gente camina por una acera.")</f>
        <v>La gente camina por una acera.</v>
      </c>
    </row>
    <row r="10229">
      <c r="A10229" s="4" t="s">
        <v>12857</v>
      </c>
      <c r="B10229" s="4" t="s">
        <v>12861</v>
      </c>
      <c r="C10229" s="5" t="str">
        <f>IFERROR(__xludf.DUMMYFUNCTION("GOOGLETRANSLATE(B10229,""en"",""es-ES"")"),"El hombre de la camisa verde está hablando en un micrófono.")</f>
        <v>El hombre de la camisa verde está hablando en un micrófono.</v>
      </c>
    </row>
    <row r="10230">
      <c r="A10230" s="4" t="s">
        <v>12857</v>
      </c>
      <c r="B10230" s="4" t="s">
        <v>12862</v>
      </c>
      <c r="C10230" s="5" t="str">
        <f>IFERROR(__xludf.DUMMYFUNCTION("GOOGLETRANSLATE(B10230,""en"",""es-ES"")"),"Un hombre con una camisa morada luego habla en el micrófono.")</f>
        <v>Un hombre con una camisa morada luego habla en el micrófono.</v>
      </c>
    </row>
    <row r="10231">
      <c r="A10231" s="4" t="s">
        <v>12857</v>
      </c>
      <c r="B10231" s="4" t="s">
        <v>12863</v>
      </c>
      <c r="C10231" s="5" t="str">
        <f>IFERROR(__xludf.DUMMYFUNCTION("GOOGLETRANSLATE(B10231,""en"",""es-ES"")"),"El hombre con camisa verde continúa jugando al tenis.")</f>
        <v>El hombre con camisa verde continúa jugando al tenis.</v>
      </c>
    </row>
    <row r="10232">
      <c r="A10232" s="4" t="s">
        <v>12864</v>
      </c>
      <c r="B10232" s="4" t="s">
        <v>12865</v>
      </c>
      <c r="C10232" s="5" t="str">
        <f>IFERROR(__xludf.DUMMYFUNCTION("GOOGLETRANSLATE(B10232,""en"",""es-ES"")"),"Una gimnasta con un uniforme rojo y blanco se prepara para montar un caballo de pomo para su ejercicio.")</f>
        <v>Una gimnasta con un uniforme rojo y blanco se prepara para montar un caballo de pomo para su ejercicio.</v>
      </c>
    </row>
    <row r="10233">
      <c r="A10233" s="4" t="s">
        <v>12864</v>
      </c>
      <c r="B10233" s="4" t="s">
        <v>12866</v>
      </c>
      <c r="C10233" s="5" t="str">
        <f>IFERROR(__xludf.DUMMYFUNCTION("GOOGLETRANSLATE(B10233,""en"",""es-ES"")"),"La gimnasta salta al caballo de pomo y comienza con movimientos de tijera.")</f>
        <v>La gimnasta salta al caballo de pomo y comienza con movimientos de tijera.</v>
      </c>
    </row>
    <row r="10234">
      <c r="A10234" s="4" t="s">
        <v>12864</v>
      </c>
      <c r="B10234" s="4" t="s">
        <v>12867</v>
      </c>
      <c r="C10234" s="5" t="str">
        <f>IFERROR(__xludf.DUMMYFUNCTION("GOOGLETRANSLATE(B10234,""en"",""es-ES"")"),"La gimnasta pasa a un ejercicio giratorio mientras está en el caballo de pomo.")</f>
        <v>La gimnasta pasa a un ejercicio giratorio mientras está en el caballo de pomo.</v>
      </c>
    </row>
    <row r="10235">
      <c r="A10235" s="4" t="s">
        <v>12864</v>
      </c>
      <c r="B10235" s="4" t="s">
        <v>12868</v>
      </c>
      <c r="C10235" s="5" t="str">
        <f>IFERROR(__xludf.DUMMYFUNCTION("GOOGLETRANSLATE(B10235,""en"",""es-ES"")"),"La gimnasta se mueve hacia una mano mientras camina con las manos.")</f>
        <v>La gimnasta se mueve hacia una mano mientras camina con las manos.</v>
      </c>
    </row>
    <row r="10236">
      <c r="A10236" s="4" t="s">
        <v>12864</v>
      </c>
      <c r="B10236" s="4" t="s">
        <v>12869</v>
      </c>
      <c r="C10236" s="5" t="str">
        <f>IFERROR(__xludf.DUMMYFUNCTION("GOOGLETRANSLATE(B10236,""en"",""es-ES"")"),"La gimnasta va de la mano a su desmontaje.")</f>
        <v>La gimnasta va de la mano a su desmontaje.</v>
      </c>
    </row>
    <row r="10237">
      <c r="A10237" s="4" t="s">
        <v>12870</v>
      </c>
      <c r="B10237" s="4" t="s">
        <v>12871</v>
      </c>
      <c r="C10237" s="5" t="str">
        <f>IFERROR(__xludf.DUMMYFUNCTION("GOOGLETRANSLATE(B10237,""en"",""es-ES"")"),"Un hombre está en el gimnasio con apretado, se inclina sobre el peso sobre su cabeza y lo deja caer hacia abajo.")</f>
        <v>Un hombre está en el gimnasio con apretado, se inclina sobre el peso sobre su cabeza y lo deja caer hacia abajo.</v>
      </c>
    </row>
    <row r="10238">
      <c r="A10238" s="4" t="s">
        <v>12870</v>
      </c>
      <c r="B10238" s="4" t="s">
        <v>12872</v>
      </c>
      <c r="C10238" s="5" t="str">
        <f>IFERROR(__xludf.DUMMYFUNCTION("GOOGLETRANSLATE(B10238,""en"",""es-ES"")"),"Él regresa y afloja antes de regresar y hacerlo nuevamente agregando más peso.")</f>
        <v>Él regresa y afloja antes de regresar y hacerlo nuevamente agregando más peso.</v>
      </c>
    </row>
    <row r="10239">
      <c r="A10239" s="4" t="s">
        <v>12870</v>
      </c>
      <c r="B10239" s="4" t="s">
        <v>12873</v>
      </c>
      <c r="C10239" s="5" t="str">
        <f>IFERROR(__xludf.DUMMYFUNCTION("GOOGLETRANSLATE(B10239,""en"",""es-ES"")"),"Lo hace varias veces agregando más y más peso al estante.")</f>
        <v>Lo hace varias veces agregando más y más peso al estante.</v>
      </c>
    </row>
    <row r="10240">
      <c r="A10240" s="4" t="s">
        <v>12870</v>
      </c>
      <c r="B10240" s="4" t="s">
        <v>12874</v>
      </c>
      <c r="C10240" s="5" t="str">
        <f>IFERROR(__xludf.DUMMYFUNCTION("GOOGLETRANSLATE(B10240,""en"",""es-ES"")"),"Finalmente levanta 374 libras y lo hace deja.")</f>
        <v>Finalmente levanta 374 libras y lo hace deja.</v>
      </c>
    </row>
    <row r="10241">
      <c r="A10241" s="4" t="s">
        <v>12875</v>
      </c>
      <c r="B10241" s="4" t="s">
        <v>12876</v>
      </c>
      <c r="C10241" s="5" t="str">
        <f>IFERROR(__xludf.DUMMYFUNCTION("GOOGLETRANSLATE(B10241,""en"",""es-ES"")"),"Un hombre patea un frisbee a un perro.")</f>
        <v>Un hombre patea un frisbee a un perro.</v>
      </c>
    </row>
    <row r="10242">
      <c r="A10242" s="4" t="s">
        <v>12875</v>
      </c>
      <c r="B10242" s="4" t="s">
        <v>12877</v>
      </c>
      <c r="C10242" s="5" t="str">
        <f>IFERROR(__xludf.DUMMYFUNCTION("GOOGLETRANSLATE(B10242,""en"",""es-ES"")"),"El perro hace varios trucos mientras atrapa el frisbee.")</f>
        <v>El perro hace varios trucos mientras atrapa el frisbee.</v>
      </c>
    </row>
    <row r="10243">
      <c r="A10243" s="4" t="s">
        <v>12875</v>
      </c>
      <c r="B10243" s="4" t="s">
        <v>12878</v>
      </c>
      <c r="C10243" s="5" t="str">
        <f>IFERROR(__xludf.DUMMYFUNCTION("GOOGLETRANSLATE(B10243,""en"",""es-ES"")"),"El perro salta al hombre para atrapar el juguete.")</f>
        <v>El perro salta al hombre para atrapar el juguete.</v>
      </c>
    </row>
    <row r="10244">
      <c r="A10244" s="4" t="s">
        <v>12875</v>
      </c>
      <c r="B10244" s="4" t="s">
        <v>12879</v>
      </c>
      <c r="C10244" s="5" t="str">
        <f>IFERROR(__xludf.DUMMYFUNCTION("GOOGLETRANSLATE(B10244,""en"",""es-ES"")"),"Varios otros perros también hacen trucos para atrapar el juguete.")</f>
        <v>Varios otros perros también hacen trucos para atrapar el juguete.</v>
      </c>
    </row>
    <row r="10245">
      <c r="A10245" s="4" t="s">
        <v>12875</v>
      </c>
      <c r="B10245" s="4" t="s">
        <v>12880</v>
      </c>
      <c r="C10245" s="5" t="str">
        <f>IFERROR(__xludf.DUMMYFUNCTION("GOOGLETRANSLATE(B10245,""en"",""es-ES"")"),"Un hombre balancea a un perro sobre un juguete.")</f>
        <v>Un hombre balancea a un perro sobre un juguete.</v>
      </c>
    </row>
    <row r="10246">
      <c r="A10246" s="4" t="s">
        <v>12881</v>
      </c>
      <c r="B10246" s="4" t="s">
        <v>1487</v>
      </c>
      <c r="C10246" s="5" t="str">
        <f>IFERROR(__xludf.DUMMYFUNCTION("GOOGLETRANSLATE(B10246,""en"",""es-ES"")"),"Vemos una pantalla de título de apertura.")</f>
        <v>Vemos una pantalla de título de apertura.</v>
      </c>
    </row>
    <row r="10247">
      <c r="A10247" s="4" t="s">
        <v>12881</v>
      </c>
      <c r="B10247" s="4" t="s">
        <v>12882</v>
      </c>
      <c r="C10247" s="5" t="str">
        <f>IFERROR(__xludf.DUMMYFUNCTION("GOOGLETRANSLATE(B10247,""en"",""es-ES"")"),"Vemos pasos para tallar una calabaza.")</f>
        <v>Vemos pasos para tallar una calabaza.</v>
      </c>
    </row>
    <row r="10248">
      <c r="A10248" s="4" t="s">
        <v>12881</v>
      </c>
      <c r="B10248" s="4" t="s">
        <v>12883</v>
      </c>
      <c r="C10248" s="5" t="str">
        <f>IFERROR(__xludf.DUMMYFUNCTION("GOOGLETRANSLATE(B10248,""en"",""es-ES"")"),"Una persona limpia una calabaza.")</f>
        <v>Una persona limpia una calabaza.</v>
      </c>
    </row>
    <row r="10249">
      <c r="A10249" s="4" t="s">
        <v>12881</v>
      </c>
      <c r="B10249" s="4" t="s">
        <v>12884</v>
      </c>
      <c r="C10249" s="5" t="str">
        <f>IFERROR(__xludf.DUMMYFUNCTION("GOOGLETRANSLATE(B10249,""en"",""es-ES"")"),"Vemos a Step y una persona talla la calabaza.")</f>
        <v>Vemos a Step y una persona talla la calabaza.</v>
      </c>
    </row>
    <row r="10250">
      <c r="A10250" s="4" t="s">
        <v>12881</v>
      </c>
      <c r="B10250" s="4" t="s">
        <v>12885</v>
      </c>
      <c r="C10250" s="5" t="str">
        <f>IFERROR(__xludf.DUMMYFUNCTION("GOOGLETRANSLATE(B10250,""en"",""es-ES"")"),"Vemos otro paso y la persona usa bits tallados para hacer orejas para gatos.")</f>
        <v>Vemos otro paso y la persona usa bits tallados para hacer orejas para gatos.</v>
      </c>
    </row>
    <row r="10251">
      <c r="A10251" s="4" t="s">
        <v>12881</v>
      </c>
      <c r="B10251" s="4" t="s">
        <v>777</v>
      </c>
      <c r="C10251" s="5" t="str">
        <f>IFERROR(__xludf.DUMMYFUNCTION("GOOGLETRANSLATE(B10251,""en"",""es-ES"")"),"Vemos la pantalla de título final.")</f>
        <v>Vemos la pantalla de título final.</v>
      </c>
    </row>
    <row r="10252">
      <c r="A10252" s="4" t="s">
        <v>12886</v>
      </c>
      <c r="B10252" s="4" t="s">
        <v>12887</v>
      </c>
      <c r="C10252" s="5" t="str">
        <f>IFERROR(__xludf.DUMMYFUNCTION("GOOGLETRANSLATE(B10252,""en"",""es-ES"")"),"Se ve un primer plano de una licuadora con varios ingredientes en el interior.")</f>
        <v>Se ve un primer plano de una licuadora con varios ingredientes en el interior.</v>
      </c>
    </row>
    <row r="10253">
      <c r="A10253" s="4" t="s">
        <v>12886</v>
      </c>
      <c r="B10253" s="4" t="s">
        <v>12888</v>
      </c>
      <c r="C10253" s="5" t="str">
        <f>IFERROR(__xludf.DUMMYFUNCTION("GOOGLETRANSLATE(B10253,""en"",""es-ES"")"),"La mano de una persona combina la mezcla y aleja su mano de la cámara.")</f>
        <v>La mano de una persona combina la mezcla y aleja su mano de la cámara.</v>
      </c>
    </row>
    <row r="10254">
      <c r="A10254" s="4" t="s">
        <v>12889</v>
      </c>
      <c r="B10254" s="4" t="s">
        <v>12890</v>
      </c>
      <c r="C10254" s="5" t="str">
        <f>IFERROR(__xludf.DUMMYFUNCTION("GOOGLETRANSLATE(B10254,""en"",""es-ES"")"),"Se ve a una mujer con marcas en la lengua y una persona colocando toallas de papel en la lengua.")</f>
        <v>Se ve a una mujer con marcas en la lengua y una persona colocando toallas de papel en la lengua.</v>
      </c>
    </row>
    <row r="10255">
      <c r="A10255" s="4" t="s">
        <v>12889</v>
      </c>
      <c r="B10255" s="4" t="s">
        <v>12891</v>
      </c>
      <c r="C10255" s="5" t="str">
        <f>IFERROR(__xludf.DUMMYFUNCTION("GOOGLETRANSLATE(B10255,""en"",""es-ES"")"),"El hombre luego perfora la lengua de las chicas y mira a la cámara sonriendo.")</f>
        <v>El hombre luego perfora la lengua de las chicas y mira a la cámara sonriendo.</v>
      </c>
    </row>
    <row r="10256">
      <c r="A10256" s="4" t="s">
        <v>12892</v>
      </c>
      <c r="B10256" s="4" t="s">
        <v>12893</v>
      </c>
      <c r="C10256" s="5" t="str">
        <f>IFERROR(__xludf.DUMMYFUNCTION("GOOGLETRANSLATE(B10256,""en"",""es-ES"")"),"Un hombre sin camisa está parado en el porche mientras indica cómo construir un fuego de redneck.")</f>
        <v>Un hombre sin camisa está parado en el porche mientras indica cómo construir un fuego de redneck.</v>
      </c>
    </row>
    <row r="10257">
      <c r="A10257" s="4" t="s">
        <v>12892</v>
      </c>
      <c r="B10257" s="4" t="s">
        <v>12894</v>
      </c>
      <c r="C10257" s="5" t="str">
        <f>IFERROR(__xludf.DUMMYFUNCTION("GOOGLETRANSLATE(B10257,""en"",""es-ES"")"),"Muestra una botella de cerveza y algunas otras latas de alcohol.")</f>
        <v>Muestra una botella de cerveza y algunas otras latas de alcohol.</v>
      </c>
    </row>
    <row r="10258">
      <c r="A10258" s="4" t="s">
        <v>12892</v>
      </c>
      <c r="B10258" s="4" t="s">
        <v>12895</v>
      </c>
      <c r="C10258" s="5" t="str">
        <f>IFERROR(__xludf.DUMMYFUNCTION("GOOGLETRANSLATE(B10258,""en"",""es-ES"")"),"Demuestra una fogata que ha establecido en un pozo.")</f>
        <v>Demuestra una fogata que ha establecido en un pozo.</v>
      </c>
    </row>
    <row r="10259">
      <c r="A10259" s="4" t="s">
        <v>12892</v>
      </c>
      <c r="B10259" s="4" t="s">
        <v>12896</v>
      </c>
      <c r="C10259" s="5" t="str">
        <f>IFERROR(__xludf.DUMMYFUNCTION("GOOGLETRANSLATE(B10259,""en"",""es-ES"")"),"Hay tres hombres parados cerca de la fogata para demostrar el paso tres.")</f>
        <v>Hay tres hombres parados cerca de la fogata para demostrar el paso tres.</v>
      </c>
    </row>
    <row r="10260">
      <c r="A10260" s="4" t="s">
        <v>12892</v>
      </c>
      <c r="B10260" s="4" t="s">
        <v>12897</v>
      </c>
      <c r="C10260" s="5" t="str">
        <f>IFERROR(__xludf.DUMMYFUNCTION("GOOGLETRANSLATE(B10260,""en"",""es-ES"")"),"Uno de los hombres recoge una lata de gasolina y la nuestra en la fogata.")</f>
        <v>Uno de los hombres recoge una lata de gasolina y la nuestra en la fogata.</v>
      </c>
    </row>
    <row r="10261">
      <c r="A10261" s="4" t="s">
        <v>12892</v>
      </c>
      <c r="B10261" s="4" t="s">
        <v>12898</v>
      </c>
      <c r="C10261" s="5" t="str">
        <f>IFERROR(__xludf.DUMMYFUNCTION("GOOGLETRANSLATE(B10261,""en"",""es-ES"")"),"Otro hombre enciende la hoguera para comenzar el fuego.")</f>
        <v>Otro hombre enciende la hoguera para comenzar el fuego.</v>
      </c>
    </row>
    <row r="10262">
      <c r="A10262" s="4" t="s">
        <v>12892</v>
      </c>
      <c r="B10262" s="4" t="s">
        <v>12899</v>
      </c>
      <c r="C10262" s="5" t="str">
        <f>IFERROR(__xludf.DUMMYFUNCTION("GOOGLETRANSLATE(B10262,""en"",""es-ES"")"),"La hoguera continúa ardiendo mientras los fuegos artificiales crepitan en el pozo.")</f>
        <v>La hoguera continúa ardiendo mientras los fuegos artificiales crepitan en el pozo.</v>
      </c>
    </row>
    <row r="10263">
      <c r="A10263" s="4" t="s">
        <v>12892</v>
      </c>
      <c r="B10263" s="4" t="s">
        <v>12900</v>
      </c>
      <c r="C10263" s="5" t="str">
        <f>IFERROR(__xludf.DUMMYFUNCTION("GOOGLETRANSLATE(B10263,""en"",""es-ES"")"),"Uno de los instructores regresa y señala la fogata de redneck.")</f>
        <v>Uno de los instructores regresa y señala la fogata de redneck.</v>
      </c>
    </row>
    <row r="10264">
      <c r="A10264" s="4" t="s">
        <v>12901</v>
      </c>
      <c r="B10264" s="4" t="s">
        <v>12902</v>
      </c>
      <c r="C10264" s="5" t="str">
        <f>IFERROR(__xludf.DUMMYFUNCTION("GOOGLETRANSLATE(B10264,""en"",""es-ES"")"),"La gente está sentada en autos de parachoques azules.")</f>
        <v>La gente está sentada en autos de parachoques azules.</v>
      </c>
    </row>
    <row r="10265">
      <c r="A10265" s="4" t="s">
        <v>12901</v>
      </c>
      <c r="B10265" s="4" t="s">
        <v>12903</v>
      </c>
      <c r="C10265" s="5" t="str">
        <f>IFERROR(__xludf.DUMMYFUNCTION("GOOGLETRANSLATE(B10265,""en"",""es-ES"")"),"Conducen y se topan entre sí.")</f>
        <v>Conducen y se topan entre sí.</v>
      </c>
    </row>
    <row r="10266">
      <c r="A10266" s="4" t="s">
        <v>12901</v>
      </c>
      <c r="B10266" s="4" t="s">
        <v>12904</v>
      </c>
      <c r="C10266" s="5" t="str">
        <f>IFERROR(__xludf.DUMMYFUNCTION("GOOGLETRANSLATE(B10266,""en"",""es-ES"")"),"Un niño pequeño con un sombrero saluda a la cámara.")</f>
        <v>Un niño pequeño con un sombrero saluda a la cámara.</v>
      </c>
    </row>
    <row r="10267">
      <c r="A10267" s="4" t="s">
        <v>12905</v>
      </c>
      <c r="B10267" s="4" t="s">
        <v>12906</v>
      </c>
      <c r="C10267" s="5" t="str">
        <f>IFERROR(__xludf.DUMMYFUNCTION("GOOGLETRANSLATE(B10267,""en"",""es-ES"")"),"Un par de zapatillas sucias Nike se ven en un mostrador.")</f>
        <v>Un par de zapatillas sucias Nike se ven en un mostrador.</v>
      </c>
    </row>
    <row r="10268">
      <c r="A10268" s="4" t="s">
        <v>12905</v>
      </c>
      <c r="B10268" s="4" t="s">
        <v>12907</v>
      </c>
      <c r="C10268" s="5" t="str">
        <f>IFERROR(__xludf.DUMMYFUNCTION("GOOGLETRANSLATE(B10268,""en"",""es-ES"")"),"Un hombre llena un tazón con agua, luego agrega una solución de limpieza.")</f>
        <v>Un hombre llena un tazón con agua, luego agrega una solución de limpieza.</v>
      </c>
    </row>
    <row r="10269">
      <c r="A10269" s="4" t="s">
        <v>12905</v>
      </c>
      <c r="B10269" s="4" t="s">
        <v>12908</v>
      </c>
      <c r="C10269" s="5" t="str">
        <f>IFERROR(__xludf.DUMMYFUNCTION("GOOGLETRANSLATE(B10269,""en"",""es-ES"")"),"Utiliza un cepillo para fregar los zapatos limpios.")</f>
        <v>Utiliza un cepillo para fregar los zapatos limpios.</v>
      </c>
    </row>
    <row r="10270">
      <c r="A10270" s="4" t="s">
        <v>12909</v>
      </c>
      <c r="B10270" s="4" t="s">
        <v>12910</v>
      </c>
      <c r="C10270" s="5" t="str">
        <f>IFERROR(__xludf.DUMMYFUNCTION("GOOGLETRANSLATE(B10270,""en"",""es-ES"")"),"Un hombre está sentado frente a algunos monitores de video y equipos relacionados.")</f>
        <v>Un hombre está sentado frente a algunos monitores de video y equipos relacionados.</v>
      </c>
    </row>
    <row r="10271">
      <c r="A10271" s="4" t="s">
        <v>12909</v>
      </c>
      <c r="B10271" s="4" t="s">
        <v>12911</v>
      </c>
      <c r="C10271" s="5" t="str">
        <f>IFERROR(__xludf.DUMMYFUNCTION("GOOGLETRANSLATE(B10271,""en"",""es-ES"")"),"Nos recuerda que cuando éramos jóvenes no teníamos miedo de intentarlo porque nos gustó.")</f>
        <v>Nos recuerda que cuando éramos jóvenes no teníamos miedo de intentarlo porque nos gustó.</v>
      </c>
    </row>
    <row r="10272">
      <c r="A10272" s="4" t="s">
        <v>12909</v>
      </c>
      <c r="B10272" s="4" t="s">
        <v>12912</v>
      </c>
      <c r="C10272" s="5" t="str">
        <f>IFERROR(__xludf.DUMMYFUNCTION("GOOGLETRANSLATE(B10272,""en"",""es-ES"")"),"Luego vemos a algunos niños jugando fútbol junto con algunos jugadores mayores, obviamente disfrutando.")</f>
        <v>Luego vemos a algunos niños jugando fútbol junto con algunos jugadores mayores, obviamente disfrutando.</v>
      </c>
    </row>
    <row r="10273">
      <c r="A10273" s="4" t="s">
        <v>12909</v>
      </c>
      <c r="B10273" s="4" t="s">
        <v>12913</v>
      </c>
      <c r="C10273" s="5" t="str">
        <f>IFERROR(__xludf.DUMMYFUNCTION("GOOGLETRANSLATE(B10273,""en"",""es-ES"")"),"Vemos al hombre una vez más, que nos aconseja que no crezcamos nunca.")</f>
        <v>Vemos al hombre una vez más, que nos aconseja que no crezcamos nunca.</v>
      </c>
    </row>
    <row r="10274">
      <c r="A10274" s="4" t="s">
        <v>12914</v>
      </c>
      <c r="B10274" s="4" t="s">
        <v>12915</v>
      </c>
      <c r="C10274" s="5" t="str">
        <f>IFERROR(__xludf.DUMMYFUNCTION("GOOGLETRANSLATE(B10274,""en"",""es-ES"")"),"Hay cuatro mujeres bailando con un baile coreografiado con algo de música hip hop en un estudio.")</f>
        <v>Hay cuatro mujeres bailando con un baile coreografiado con algo de música hip hop en un estudio.</v>
      </c>
    </row>
    <row r="10275">
      <c r="A10275" s="4" t="s">
        <v>12914</v>
      </c>
      <c r="B10275" s="4" t="s">
        <v>12916</v>
      </c>
      <c r="C10275" s="5" t="str">
        <f>IFERROR(__xludf.DUMMYFUNCTION("GOOGLETRANSLATE(B10275,""en"",""es-ES"")"),"Siguen un ritmo sincronizado y rítmico para seguir los mismos pasos que el resto de los bailarines.")</f>
        <v>Siguen un ritmo sincronizado y rítmico para seguir los mismos pasos que el resto de los bailarines.</v>
      </c>
    </row>
    <row r="10276">
      <c r="A10276" s="4" t="s">
        <v>12914</v>
      </c>
      <c r="B10276" s="4" t="s">
        <v>12917</v>
      </c>
      <c r="C10276" s="5" t="str">
        <f>IFERROR(__xludf.DUMMYFUNCTION("GOOGLETRANSLATE(B10276,""en"",""es-ES"")"),"Continúan siguiendo los pasos uno tras otro de una manera estructurada donde todos están estrechando las manos y las piernas rítmicamente.")</f>
        <v>Continúan siguiendo los pasos uno tras otro de una manera estructurada donde todos están estrechando las manos y las piernas rítmicamente.</v>
      </c>
    </row>
    <row r="10277">
      <c r="A10277" s="4" t="s">
        <v>12914</v>
      </c>
      <c r="B10277" s="4" t="s">
        <v>12918</v>
      </c>
      <c r="C10277" s="5" t="str">
        <f>IFERROR(__xludf.DUMMYFUNCTION("GOOGLETRANSLATE(B10277,""en"",""es-ES"")"),"Sus movimientos de baile cambian a medida que la música cambia y disminuyen la velocidad o se mueven más rápido según el ritmo de la canción.")</f>
        <v>Sus movimientos de baile cambian a medida que la música cambia y disminuyen la velocidad o se mueven más rápido según el ritmo de la canción.</v>
      </c>
    </row>
    <row r="10278">
      <c r="A10278" s="4" t="s">
        <v>12919</v>
      </c>
      <c r="B10278" s="4" t="s">
        <v>12920</v>
      </c>
      <c r="C10278" s="5" t="str">
        <f>IFERROR(__xludf.DUMMYFUNCTION("GOOGLETRANSLATE(B10278,""en"",""es-ES"")"),"Una foto fija de un hombre atrapado en el aire a punto de atacar un saco de boxeo, una imagen en blanco y negro de una mujer pateando el saco de boxeo, dos hombres de pecho desnudo en una posición de boxeo, una silueta de un hombre pateando a una persona "&amp;"borrosa, dos Hombres en un anillo de boxeo, dos hombres que sostienen un cinturón de campeonato con la mano cubierta con guantes de boxeo.")</f>
        <v>Una foto fija de un hombre atrapado en el aire a punto de atacar un saco de boxeo, una imagen en blanco y negro de una mujer pateando el saco de boxeo, dos hombres de pecho desnudo en una posición de boxeo, una silueta de un hombre pateando a una persona borrosa, dos Hombres en un anillo de boxeo, dos hombres que sostienen un cinturón de campeonato con la mano cubierta con guantes de boxeo.</v>
      </c>
    </row>
    <row r="10279">
      <c r="A10279" s="4" t="s">
        <v>12919</v>
      </c>
      <c r="B10279" s="4" t="s">
        <v>12921</v>
      </c>
      <c r="C10279" s="5" t="str">
        <f>IFERROR(__xludf.DUMMYFUNCTION("GOOGLETRANSLATE(B10279,""en"",""es-ES"")"),"Un hombre con pantalones cortos azules está pateando la almohadilla de patadas usada por el otro hombre con pantalones cortos negros.")</f>
        <v>Un hombre con pantalones cortos azules está pateando la almohadilla de patadas usada por el otro hombre con pantalones cortos negros.</v>
      </c>
    </row>
    <row r="10280">
      <c r="A10280" s="4" t="s">
        <v>12919</v>
      </c>
      <c r="B10280" s="4" t="s">
        <v>12922</v>
      </c>
      <c r="C10280" s="5" t="str">
        <f>IFERROR(__xludf.DUMMYFUNCTION("GOOGLETRANSLATE(B10280,""en"",""es-ES"")"),"Dos hombres que son barcallados se boxean fuera del anillo de boxeo.")</f>
        <v>Dos hombres que son barcallados se boxean fuera del anillo de boxeo.</v>
      </c>
    </row>
    <row r="10281">
      <c r="A10281" s="4" t="s">
        <v>12923</v>
      </c>
      <c r="B10281" s="4" t="s">
        <v>12924</v>
      </c>
      <c r="C10281" s="5" t="str">
        <f>IFERROR(__xludf.DUMMYFUNCTION("GOOGLETRANSLATE(B10281,""en"",""es-ES"")"),"Un hombre entra en un automóvil con un maletín.")</f>
        <v>Un hombre entra en un automóvil con un maletín.</v>
      </c>
    </row>
    <row r="10282">
      <c r="A10282" s="4" t="s">
        <v>12923</v>
      </c>
      <c r="B10282" s="4" t="s">
        <v>12925</v>
      </c>
      <c r="C10282" s="5" t="str">
        <f>IFERROR(__xludf.DUMMYFUNCTION("GOOGLETRANSLATE(B10282,""en"",""es-ES"")"),"Luego, el hombre fuma un cigarrillo en el cargo, y una enfermera le da papeles.")</f>
        <v>Luego, el hombre fuma un cigarrillo en el cargo, y una enfermera le da papeles.</v>
      </c>
    </row>
    <row r="10283">
      <c r="A10283" s="4" t="s">
        <v>12923</v>
      </c>
      <c r="B10283" s="4" t="s">
        <v>12926</v>
      </c>
      <c r="C10283" s="5" t="str">
        <f>IFERROR(__xludf.DUMMYFUNCTION("GOOGLETRANSLATE(B10283,""en"",""es-ES"")"),"Después, una mujer elegante fuma y luego sonríe.")</f>
        <v>Después, una mujer elegante fuma y luego sonríe.</v>
      </c>
    </row>
    <row r="10284">
      <c r="A10284" s="4" t="s">
        <v>12927</v>
      </c>
      <c r="B10284" s="4" t="s">
        <v>12928</v>
      </c>
      <c r="C10284" s="5" t="str">
        <f>IFERROR(__xludf.DUMMYFUNCTION("GOOGLETRANSLATE(B10284,""en"",""es-ES"")"),"La gente balsa por un río pedregoso en barcos inflables.")</f>
        <v>La gente balsa por un río pedregoso en barcos inflables.</v>
      </c>
    </row>
    <row r="10285">
      <c r="A10285" s="4" t="s">
        <v>12927</v>
      </c>
      <c r="B10285" s="4" t="s">
        <v>12929</v>
      </c>
      <c r="C10285" s="5" t="str">
        <f>IFERROR(__xludf.DUMMYFUNCTION("GOOGLETRANSLATE(B10285,""en"",""es-ES"")"),"Dos hombres están en el agua y otros hombres ayudan a meterse en el bote.")</f>
        <v>Dos hombres están en el agua y otros hombres ayudan a meterse en el bote.</v>
      </c>
    </row>
    <row r="10286">
      <c r="A10286" s="4" t="s">
        <v>12927</v>
      </c>
      <c r="B10286" s="4" t="s">
        <v>12930</v>
      </c>
      <c r="C10286" s="5" t="str">
        <f>IFERROR(__xludf.DUMMYFUNCTION("GOOGLETRANSLATE(B10286,""en"",""es-ES"")"),"Los hombres pasan entre las altas montañas.")</f>
        <v>Los hombres pasan entre las altas montañas.</v>
      </c>
    </row>
    <row r="10287">
      <c r="A10287" s="4" t="s">
        <v>12931</v>
      </c>
      <c r="B10287" s="4" t="s">
        <v>12932</v>
      </c>
      <c r="C10287" s="5" t="str">
        <f>IFERROR(__xludf.DUMMYFUNCTION("GOOGLETRANSLATE(B10287,""en"",""es-ES"")"),"Una mujer quita la nieve en la parte superior de un automóvil con un cepillo, también elimina la nieve en las ventanas laterales y la ventana trasera.")</f>
        <v>Una mujer quita la nieve en la parte superior de un automóvil con un cepillo, también elimina la nieve en las ventanas laterales y la ventana trasera.</v>
      </c>
    </row>
    <row r="10288">
      <c r="A10288" s="4" t="s">
        <v>12931</v>
      </c>
      <c r="B10288" s="4" t="s">
        <v>12933</v>
      </c>
      <c r="C10288" s="5" t="str">
        <f>IFERROR(__xludf.DUMMYFUNCTION("GOOGLETRANSLATE(B10288,""en"",""es-ES"")"),"Después, la mujer continúa tomando nieve del capó del automóvil y la ventana delantera que tiene mucha nieve.")</f>
        <v>Después, la mujer continúa tomando nieve del capó del automóvil y la ventana delantera que tiene mucha nieve.</v>
      </c>
    </row>
    <row r="10289">
      <c r="A10289" s="4" t="s">
        <v>12934</v>
      </c>
      <c r="B10289" s="4" t="s">
        <v>12935</v>
      </c>
      <c r="C10289" s="5" t="str">
        <f>IFERROR(__xludf.DUMMYFUNCTION("GOOGLETRANSLATE(B10289,""en"",""es-ES"")"),"Una persona está mezclando bebidas detrás de una barra.")</f>
        <v>Una persona está mezclando bebidas detrás de una barra.</v>
      </c>
    </row>
    <row r="10290">
      <c r="A10290" s="4" t="s">
        <v>12934</v>
      </c>
      <c r="B10290" s="4" t="s">
        <v>12936</v>
      </c>
      <c r="C10290" s="5" t="str">
        <f>IFERROR(__xludf.DUMMYFUNCTION("GOOGLETRANSLATE(B10290,""en"",""es-ES"")"),"Una persona está jugando un juego de shuffleboard.")</f>
        <v>Una persona está jugando un juego de shuffleboard.</v>
      </c>
    </row>
    <row r="10291">
      <c r="A10291" s="4" t="s">
        <v>12934</v>
      </c>
      <c r="B10291" s="4" t="s">
        <v>1599</v>
      </c>
      <c r="C10291" s="5" t="str">
        <f>IFERROR(__xludf.DUMMYFUNCTION("GOOGLETRANSLATE(B10291,""en"",""es-ES"")"),"Las palabras se muestran en la pantalla.")</f>
        <v>Las palabras se muestran en la pantalla.</v>
      </c>
    </row>
    <row r="10292">
      <c r="A10292" s="4" t="s">
        <v>12937</v>
      </c>
      <c r="B10292" s="4" t="s">
        <v>12938</v>
      </c>
      <c r="C10292" s="5" t="str">
        <f>IFERROR(__xludf.DUMMYFUNCTION("GOOGLETRANSLATE(B10292,""en"",""es-ES"")"),"Un equipo está jugando hockey sobre hielo frente a un estadio lleno de gente.")</f>
        <v>Un equipo está jugando hockey sobre hielo frente a un estadio lleno de gente.</v>
      </c>
    </row>
    <row r="10293">
      <c r="A10293" s="4" t="s">
        <v>12937</v>
      </c>
      <c r="B10293" s="4" t="s">
        <v>12939</v>
      </c>
      <c r="C10293" s="5" t="str">
        <f>IFERROR(__xludf.DUMMYFUNCTION("GOOGLETRANSLATE(B10293,""en"",""es-ES"")"),"Se muestra a los jugadores chocando entre sí.")</f>
        <v>Se muestra a los jugadores chocando entre sí.</v>
      </c>
    </row>
    <row r="10294">
      <c r="A10294" s="4" t="s">
        <v>12937</v>
      </c>
      <c r="B10294" s="4" t="s">
        <v>12940</v>
      </c>
      <c r="C10294" s="5" t="str">
        <f>IFERROR(__xludf.DUMMYFUNCTION("GOOGLETRANSLATE(B10294,""en"",""es-ES"")"),"Se muestra una cuenta regresiva de diez mientras vemos bloopers de diferentes eventos deportivos, desde hockey, hasta béisbol, hasta fútbol y baloncesto a medida que la gente cae y comete errores.")</f>
        <v>Se muestra una cuenta regresiva de diez mientras vemos bloopers de diferentes eventos deportivos, desde hockey, hasta béisbol, hasta fútbol y baloncesto a medida que la gente cae y comete errores.</v>
      </c>
    </row>
    <row r="10295">
      <c r="A10295" s="4" t="s">
        <v>12941</v>
      </c>
      <c r="B10295" s="4" t="s">
        <v>12942</v>
      </c>
      <c r="C10295" s="5" t="str">
        <f>IFERROR(__xludf.DUMMYFUNCTION("GOOGLETRANSLATE(B10295,""en"",""es-ES"")"),"Se muestran palabras en la pantalla que leen cómo hacer el sándwich perfecto.")</f>
        <v>Se muestran palabras en la pantalla que leen cómo hacer el sándwich perfecto.</v>
      </c>
    </row>
    <row r="10296">
      <c r="A10296" s="4" t="s">
        <v>12941</v>
      </c>
      <c r="B10296" s="4" t="s">
        <v>12943</v>
      </c>
      <c r="C10296" s="5" t="str">
        <f>IFERROR(__xludf.DUMMYFUNCTION("GOOGLETRANSLATE(B10296,""en"",""es-ES"")"),"Los ingredientes que necesitará son pan, queso, jamón, sub kit de pavo, carne de deli, mayonesa real Kraft, mostaza marrón picante, condimento y un cuchillo.")</f>
        <v>Los ingredientes que necesitará son pan, queso, jamón, sub kit de pavo, carne de deli, mayonesa real Kraft, mostaza marrón picante, condimento y un cuchillo.</v>
      </c>
    </row>
    <row r="10297">
      <c r="A10297" s="4" t="s">
        <v>12941</v>
      </c>
      <c r="B10297" s="4" t="s">
        <v>12944</v>
      </c>
      <c r="C10297" s="5" t="str">
        <f>IFERROR(__xludf.DUMMYFUNCTION("GOOGLETRANSLATE(B10297,""en"",""es-ES"")"),"Extienda la mayonesa en ambas rebanadas de pan y luego póngase mostaza y queso en ambas rebanadas de pan, coloque jamón, luego carne de pavo y agregue otro condimento a su gusto.")</f>
        <v>Extienda la mayonesa en ambas rebanadas de pan y luego póngase mostaza y queso en ambas rebanadas de pan, coloque jamón, luego carne de pavo y agregue otro condimento a su gusto.</v>
      </c>
    </row>
    <row r="10298">
      <c r="A10298" s="4" t="s">
        <v>12945</v>
      </c>
      <c r="B10298" s="4" t="s">
        <v>12946</v>
      </c>
      <c r="C10298" s="5" t="str">
        <f>IFERROR(__xludf.DUMMYFUNCTION("GOOGLETRANSLATE(B10298,""en"",""es-ES"")"),"Se ve a un niño pequeño sosteniendo un palo y balanceándose en una piñata.")</f>
        <v>Se ve a un niño pequeño sosteniendo un palo y balanceándose en una piñata.</v>
      </c>
    </row>
    <row r="10299">
      <c r="A10299" s="4" t="s">
        <v>12945</v>
      </c>
      <c r="B10299" s="4" t="s">
        <v>12947</v>
      </c>
      <c r="C10299" s="5" t="str">
        <f>IFERROR(__xludf.DUMMYFUNCTION("GOOGLETRANSLATE(B10299,""en"",""es-ES"")"),"Se ve a una niña con los ojos vendados a otro mientras un hombre juega con la cámara a un lado.")</f>
        <v>Se ve a una niña con los ojos vendados a otro mientras un hombre juega con la cámara a un lado.</v>
      </c>
    </row>
    <row r="10300">
      <c r="A10300" s="4" t="s">
        <v>12945</v>
      </c>
      <c r="B10300" s="4" t="s">
        <v>12948</v>
      </c>
      <c r="C10300" s="5" t="str">
        <f>IFERROR(__xludf.DUMMYFUNCTION("GOOGLETRANSLATE(B10300,""en"",""es-ES"")"),"El hombre sostiene el palo y gestica a la niña a un lado.")</f>
        <v>El hombre sostiene el palo y gestica a la niña a un lado.</v>
      </c>
    </row>
    <row r="10301">
      <c r="A10301" s="4" t="s">
        <v>12949</v>
      </c>
      <c r="B10301" s="4" t="s">
        <v>12950</v>
      </c>
      <c r="C10301" s="5" t="str">
        <f>IFERROR(__xludf.DUMMYFUNCTION("GOOGLETRANSLATE(B10301,""en"",""es-ES"")"),"Dos hombres que coinciden entre sí están jugando un juego de racket ball.")</f>
        <v>Dos hombres que coinciden entre sí están jugando un juego de racket ball.</v>
      </c>
    </row>
    <row r="10302">
      <c r="A10302" s="4" t="s">
        <v>12949</v>
      </c>
      <c r="B10302" s="4" t="s">
        <v>12951</v>
      </c>
      <c r="C10302" s="5" t="str">
        <f>IFERROR(__xludf.DUMMYFUNCTION("GOOGLETRANSLATE(B10302,""en"",""es-ES"")"),"Están en un área de la corte cerrada en interiores jugando el juego.")</f>
        <v>Están en un área de la corte cerrada en interiores jugando el juego.</v>
      </c>
    </row>
    <row r="10303">
      <c r="A10303" s="4" t="s">
        <v>12949</v>
      </c>
      <c r="B10303" s="4" t="s">
        <v>12952</v>
      </c>
      <c r="C10303" s="5" t="str">
        <f>IFERROR(__xludf.DUMMYFUNCTION("GOOGLETRANSLATE(B10303,""en"",""es-ES"")"),"Se están moviendo por toda la cancha tratando de golpear la pelota.")</f>
        <v>Se están moviendo por toda la cancha tratando de golpear la pelota.</v>
      </c>
    </row>
    <row r="10304">
      <c r="A10304" s="4" t="s">
        <v>12949</v>
      </c>
      <c r="B10304" s="4" t="s">
        <v>12953</v>
      </c>
      <c r="C10304" s="5" t="str">
        <f>IFERROR(__xludf.DUMMYFUNCTION("GOOGLETRANSLATE(B10304,""en"",""es-ES"")"),"El hombre calvo comienza a salir de la cancha sonriendo.")</f>
        <v>El hombre calvo comienza a salir de la cancha sonriendo.</v>
      </c>
    </row>
    <row r="10305">
      <c r="A10305" s="4" t="s">
        <v>12954</v>
      </c>
      <c r="B10305" s="4" t="s">
        <v>12955</v>
      </c>
      <c r="C10305" s="5" t="str">
        <f>IFERROR(__xludf.DUMMYFUNCTION("GOOGLETRANSLATE(B10305,""en"",""es-ES"")"),"Un presentador de noticias femenino está hablando de un clip que se mostrará.")</f>
        <v>Un presentador de noticias femenino está hablando de un clip que se mostrará.</v>
      </c>
    </row>
    <row r="10306">
      <c r="A10306" s="4" t="s">
        <v>12954</v>
      </c>
      <c r="B10306" s="4" t="s">
        <v>12956</v>
      </c>
      <c r="C10306" s="5" t="str">
        <f>IFERROR(__xludf.DUMMYFUNCTION("GOOGLETRANSLATE(B10306,""en"",""es-ES"")"),"Los monos están esquiando detrás de un bote en el agua.")</f>
        <v>Los monos están esquiando detrás de un bote en el agua.</v>
      </c>
    </row>
    <row r="10307">
      <c r="A10307" s="4" t="s">
        <v>12954</v>
      </c>
      <c r="B10307" s="4" t="s">
        <v>12957</v>
      </c>
      <c r="C10307" s="5" t="str">
        <f>IFERROR(__xludf.DUMMYFUNCTION("GOOGLETRANSLATE(B10307,""en"",""es-ES"")"),"Se ve a otro mono conduciendo una lancha rápida tirando de un mono de esquí.")</f>
        <v>Se ve a otro mono conduciendo una lancha rápida tirando de un mono de esquí.</v>
      </c>
    </row>
    <row r="10308">
      <c r="A10308" s="4" t="s">
        <v>12954</v>
      </c>
      <c r="B10308" s="4" t="s">
        <v>12958</v>
      </c>
      <c r="C10308" s="5" t="str">
        <f>IFERROR(__xludf.DUMMYFUNCTION("GOOGLETRANSLATE(B10308,""en"",""es-ES"")"),"Varias personas miran y toman fotos y videos de la orilla.")</f>
        <v>Varias personas miran y toman fotos y videos de la orilla.</v>
      </c>
    </row>
    <row r="10309">
      <c r="A10309" s="4" t="s">
        <v>12954</v>
      </c>
      <c r="B10309" s="4" t="s">
        <v>12959</v>
      </c>
      <c r="C10309" s="5" t="str">
        <f>IFERROR(__xludf.DUMMYFUNCTION("GOOGLETRANSLATE(B10309,""en"",""es-ES"")"),"El mono que conduce la lancha rápida se muestra nuevamente.")</f>
        <v>El mono que conduce la lancha rápida se muestra nuevamente.</v>
      </c>
    </row>
    <row r="10310">
      <c r="A10310" s="4" t="s">
        <v>12954</v>
      </c>
      <c r="B10310" s="4" t="s">
        <v>12960</v>
      </c>
      <c r="C10310" s="5" t="str">
        <f>IFERROR(__xludf.DUMMYFUNCTION("GOOGLETRANSLATE(B10310,""en"",""es-ES"")"),"El mono rodea el volante con el bote en movimiento.")</f>
        <v>El mono rodea el volante con el bote en movimiento.</v>
      </c>
    </row>
    <row r="10311">
      <c r="A10311" s="4" t="s">
        <v>12954</v>
      </c>
      <c r="B10311" s="4" t="s">
        <v>12961</v>
      </c>
      <c r="C10311" s="5" t="str">
        <f>IFERROR(__xludf.DUMMYFUNCTION("GOOGLETRANSLATE(B10311,""en"",""es-ES"")"),"El mono luego conduce el bote a un conjunto de boyas donde tres personas lo esperan.")</f>
        <v>El mono luego conduce el bote a un conjunto de boyas donde tres personas lo esperan.</v>
      </c>
    </row>
    <row r="10312">
      <c r="A10312" s="4" t="s">
        <v>12954</v>
      </c>
      <c r="B10312" s="4" t="s">
        <v>12962</v>
      </c>
      <c r="C10312" s="5" t="str">
        <f>IFERROR(__xludf.DUMMYFUNCTION("GOOGLETRANSLATE(B10312,""en"",""es-ES"")"),"Tres presentadores de noticias discuten los monos.")</f>
        <v>Tres presentadores de noticias discuten los monos.</v>
      </c>
    </row>
    <row r="10313">
      <c r="A10313" s="4" t="s">
        <v>12963</v>
      </c>
      <c r="B10313" s="4" t="s">
        <v>12964</v>
      </c>
      <c r="C10313" s="5" t="str">
        <f>IFERROR(__xludf.DUMMYFUNCTION("GOOGLETRANSLATE(B10313,""en"",""es-ES"")"),"Se ve a un niño agarrando una pelota y caminando hacia adelante hablando con la cámara.")</f>
        <v>Se ve a un niño agarrando una pelota y caminando hacia adelante hablando con la cámara.</v>
      </c>
    </row>
    <row r="10314">
      <c r="A10314" s="4" t="s">
        <v>12963</v>
      </c>
      <c r="B10314" s="4" t="s">
        <v>12965</v>
      </c>
      <c r="C10314" s="5" t="str">
        <f>IFERROR(__xludf.DUMMYFUNCTION("GOOGLETRANSLATE(B10314,""en"",""es-ES"")"),"Luego se lo ve en un tiro sosteniendo un palo y golpeando una pelota.")</f>
        <v>Luego se lo ve en un tiro sosteniendo un palo y golpeando una pelota.</v>
      </c>
    </row>
    <row r="10315">
      <c r="A10315" s="4" t="s">
        <v>12963</v>
      </c>
      <c r="B10315" s="4" t="s">
        <v>12966</v>
      </c>
      <c r="C10315" s="5" t="str">
        <f>IFERROR(__xludf.DUMMYFUNCTION("GOOGLETRANSLATE(B10315,""en"",""es-ES"")"),"Continúa golpeando la pelota en un gol de gol mirando hacia la cámara.")</f>
        <v>Continúa golpeando la pelota en un gol de gol mirando hacia la cámara.</v>
      </c>
    </row>
    <row r="10316">
      <c r="A10316" s="4" t="s">
        <v>12967</v>
      </c>
      <c r="B10316" s="4" t="s">
        <v>12968</v>
      </c>
      <c r="C10316" s="5" t="str">
        <f>IFERROR(__xludf.DUMMYFUNCTION("GOOGLETRANSLATE(B10316,""en"",""es-ES"")"),"Un hombre y una mujer están de pie junto a un piano.")</f>
        <v>Un hombre y una mujer están de pie junto a un piano.</v>
      </c>
    </row>
    <row r="10317">
      <c r="A10317" s="4" t="s">
        <v>12967</v>
      </c>
      <c r="B10317" s="4" t="s">
        <v>12969</v>
      </c>
      <c r="C10317" s="5" t="str">
        <f>IFERROR(__xludf.DUMMYFUNCTION("GOOGLETRANSLATE(B10317,""en"",""es-ES"")"),"El hombre y la mujer tocan el piano juntos.")</f>
        <v>El hombre y la mujer tocan el piano juntos.</v>
      </c>
    </row>
    <row r="10318">
      <c r="A10318" s="4" t="s">
        <v>12967</v>
      </c>
      <c r="B10318" s="4" t="s">
        <v>12970</v>
      </c>
      <c r="C10318" s="5" t="str">
        <f>IFERROR(__xludf.DUMMYFUNCTION("GOOGLETRANSLATE(B10318,""en"",""es-ES"")"),"Cambian de lugar y continúan jugando el piano.")</f>
        <v>Cambian de lugar y continúan jugando el piano.</v>
      </c>
    </row>
    <row r="10319">
      <c r="A10319" s="4" t="s">
        <v>12967</v>
      </c>
      <c r="B10319" s="4" t="s">
        <v>12971</v>
      </c>
      <c r="C10319" s="5" t="str">
        <f>IFERROR(__xludf.DUMMYFUNCTION("GOOGLETRANSLATE(B10319,""en"",""es-ES"")"),"Cambian de lugares nuevamente, rápidamente.")</f>
        <v>Cambian de lugares nuevamente, rápidamente.</v>
      </c>
    </row>
    <row r="10320">
      <c r="A10320" s="4" t="s">
        <v>12967</v>
      </c>
      <c r="B10320" s="4" t="s">
        <v>12972</v>
      </c>
      <c r="C10320" s="5" t="str">
        <f>IFERROR(__xludf.DUMMYFUNCTION("GOOGLETRANSLATE(B10320,""en"",""es-ES"")"),"Lo hacen de nuevo, riéndose juntos.")</f>
        <v>Lo hacen de nuevo, riéndose juntos.</v>
      </c>
    </row>
    <row r="10321">
      <c r="A10321" s="4" t="s">
        <v>12967</v>
      </c>
      <c r="B10321" s="4" t="s">
        <v>12973</v>
      </c>
      <c r="C10321" s="5" t="str">
        <f>IFERROR(__xludf.DUMMYFUNCTION("GOOGLETRANSLATE(B10321,""en"",""es-ES"")"),"Finalmente terminan y se alejan felices.")</f>
        <v>Finalmente terminan y se alejan felices.</v>
      </c>
    </row>
    <row r="10322">
      <c r="A10322" s="4" t="s">
        <v>12974</v>
      </c>
      <c r="B10322" s="4" t="s">
        <v>12975</v>
      </c>
      <c r="C10322" s="5" t="str">
        <f>IFERROR(__xludf.DUMMYFUNCTION("GOOGLETRANSLATE(B10322,""en"",""es-ES"")"),"Una mujer se sienta junto a una ventana tejiendo una pieza blanca.")</f>
        <v>Una mujer se sienta junto a una ventana tejiendo una pieza blanca.</v>
      </c>
    </row>
    <row r="10323">
      <c r="A10323" s="4" t="s">
        <v>12974</v>
      </c>
      <c r="B10323" s="4" t="s">
        <v>12976</v>
      </c>
      <c r="C10323" s="5" t="str">
        <f>IFERROR(__xludf.DUMMYFUNCTION("GOOGLETRANSLATE(B10323,""en"",""es-ES"")"),"La mujer sostiene un libro de patrones con una imagen de la pieza en la que está trabajando.")</f>
        <v>La mujer sostiene un libro de patrones con una imagen de la pieza en la que está trabajando.</v>
      </c>
    </row>
    <row r="10324">
      <c r="A10324" s="4" t="s">
        <v>12974</v>
      </c>
      <c r="B10324" s="4" t="s">
        <v>12977</v>
      </c>
      <c r="C10324" s="5" t="str">
        <f>IFERROR(__xludf.DUMMYFUNCTION("GOOGLETRANSLATE(B10324,""en"",""es-ES"")"),"La mujer continúa su punto de punto.")</f>
        <v>La mujer continúa su punto de punto.</v>
      </c>
    </row>
    <row r="10325">
      <c r="A10325" s="4" t="s">
        <v>12974</v>
      </c>
      <c r="B10325" s="4" t="s">
        <v>12978</v>
      </c>
      <c r="C10325" s="5" t="str">
        <f>IFERROR(__xludf.DUMMYFUNCTION("GOOGLETRANSLATE(B10325,""en"",""es-ES"")"),"La mujer muestra su trabajo hasta ahora y continúa tejiendo.")</f>
        <v>La mujer muestra su trabajo hasta ahora y continúa tejiendo.</v>
      </c>
    </row>
    <row r="10326">
      <c r="A10326" s="4" t="s">
        <v>12979</v>
      </c>
      <c r="B10326" s="4" t="s">
        <v>12980</v>
      </c>
      <c r="C10326" s="5" t="str">
        <f>IFERROR(__xludf.DUMMYFUNCTION("GOOGLETRANSLATE(B10326,""en"",""es-ES"")"),"Un arco grande está acostado sobre una mesa.")</f>
        <v>Un arco grande está acostado sobre una mesa.</v>
      </c>
    </row>
    <row r="10327">
      <c r="A10327" s="4" t="s">
        <v>12979</v>
      </c>
      <c r="B10327" s="4" t="s">
        <v>12981</v>
      </c>
      <c r="C10327" s="5" t="str">
        <f>IFERROR(__xludf.DUMMYFUNCTION("GOOGLETRANSLATE(B10327,""en"",""es-ES"")"),"Se muestran los detalles de primer plano del conjunto de tiro con arco.")</f>
        <v>Se muestran los detalles de primer plano del conjunto de tiro con arco.</v>
      </c>
    </row>
    <row r="10328">
      <c r="A10328" s="4" t="s">
        <v>12979</v>
      </c>
      <c r="B10328" s="4" t="s">
        <v>12982</v>
      </c>
      <c r="C10328" s="5" t="str">
        <f>IFERROR(__xludf.DUMMYFUNCTION("GOOGLETRANSLATE(B10328,""en"",""es-ES"")"),"Se muestra a un hombre tirando hacia atrás y flecha y dejándolo ir.")</f>
        <v>Se muestra a un hombre tirando hacia atrás y flecha y dejándolo ir.</v>
      </c>
    </row>
    <row r="10329">
      <c r="A10329" s="4" t="s">
        <v>12983</v>
      </c>
      <c r="B10329" s="4" t="s">
        <v>12984</v>
      </c>
      <c r="C10329" s="5" t="str">
        <f>IFERROR(__xludf.DUMMYFUNCTION("GOOGLETRANSLATE(B10329,""en"",""es-ES"")"),"Un grupo de personas monta en autos de parachoques en un enorme viaje en automóvil en un parque de diversiones.")</f>
        <v>Un grupo de personas monta en autos de parachoques en un enorme viaje en automóvil en un parque de diversiones.</v>
      </c>
    </row>
    <row r="10330">
      <c r="A10330" s="4" t="s">
        <v>12983</v>
      </c>
      <c r="B10330" s="4" t="s">
        <v>12985</v>
      </c>
      <c r="C10330" s="5" t="str">
        <f>IFERROR(__xludf.DUMMYFUNCTION("GOOGLETRANSLATE(B10330,""en"",""es-ES"")"),"Dos autos de parachoques amarillos están atrapados en el medio de la pista hasta que otro automóvil los golpean.")</f>
        <v>Dos autos de parachoques amarillos están atrapados en el medio de la pista hasta que otro automóvil los golpean.</v>
      </c>
    </row>
    <row r="10331">
      <c r="A10331" s="4" t="s">
        <v>12983</v>
      </c>
      <c r="B10331" s="4" t="s">
        <v>12986</v>
      </c>
      <c r="C10331" s="5" t="str">
        <f>IFERROR(__xludf.DUMMYFUNCTION("GOOGLETRANSLATE(B10331,""en"",""es-ES"")"),"El resto de los conductores de automóviles de parachoques continúan siguiendo el curso.")</f>
        <v>El resto de los conductores de automóviles de parachoques continúan siguiendo el curso.</v>
      </c>
    </row>
    <row r="10332">
      <c r="A10332" s="4" t="s">
        <v>12987</v>
      </c>
      <c r="B10332" s="4" t="s">
        <v>12988</v>
      </c>
      <c r="C10332" s="5" t="str">
        <f>IFERROR(__xludf.DUMMYFUNCTION("GOOGLETRANSLATE(B10332,""en"",""es-ES"")"),"Se muestra la mano de una mujer limpiando una pantalla de vidrio seguida de varios objetos sentados en una mesa.")</f>
        <v>Se muestra la mano de una mujer limpiando una pantalla de vidrio seguida de varios objetos sentados en una mesa.</v>
      </c>
    </row>
    <row r="10333">
      <c r="A10333" s="4" t="s">
        <v>12987</v>
      </c>
      <c r="B10333" s="4" t="s">
        <v>12989</v>
      </c>
      <c r="C10333" s="5" t="str">
        <f>IFERROR(__xludf.DUMMYFUNCTION("GOOGLETRANSLATE(B10333,""en"",""es-ES"")"),"La mujer rocía el vaso y sigue el objeto por el vidrio.")</f>
        <v>La mujer rocía el vaso y sigue el objeto por el vidrio.</v>
      </c>
    </row>
    <row r="10334">
      <c r="A10334" s="4" t="s">
        <v>12987</v>
      </c>
      <c r="B10334" s="4" t="s">
        <v>12990</v>
      </c>
      <c r="C10334" s="5" t="str">
        <f>IFERROR(__xludf.DUMMYFUNCTION("GOOGLETRANSLATE(B10334,""en"",""es-ES"")"),"Ella hace esto varias veces y muestra dónde enchufar y cómo usar la herramienta.")</f>
        <v>Ella hace esto varias veces y muestra dónde enchufar y cómo usar la herramienta.</v>
      </c>
    </row>
    <row r="10335">
      <c r="A10335" s="4" t="s">
        <v>12991</v>
      </c>
      <c r="B10335" s="4" t="s">
        <v>12992</v>
      </c>
      <c r="C10335" s="5" t="str">
        <f>IFERROR(__xludf.DUMMYFUNCTION("GOOGLETRANSLATE(B10335,""en"",""es-ES"")"),"Un hombre está corriendo en una pista con una jabalina.")</f>
        <v>Un hombre está corriendo en una pista con una jabalina.</v>
      </c>
    </row>
    <row r="10336">
      <c r="A10336" s="4" t="s">
        <v>12991</v>
      </c>
      <c r="B10336" s="4" t="s">
        <v>5532</v>
      </c>
      <c r="C10336" s="5" t="str">
        <f>IFERROR(__xludf.DUMMYFUNCTION("GOOGLETRANSLATE(B10336,""en"",""es-ES"")"),"Lo arroja tan fuerte como puede.")</f>
        <v>Lo arroja tan fuerte como puede.</v>
      </c>
    </row>
    <row r="10337">
      <c r="A10337" s="4" t="s">
        <v>12991</v>
      </c>
      <c r="B10337" s="4" t="s">
        <v>12993</v>
      </c>
      <c r="C10337" s="5" t="str">
        <f>IFERROR(__xludf.DUMMYFUNCTION("GOOGLETRANSLATE(B10337,""en"",""es-ES"")"),"Lo vemos volver a lanzar en cámara lenta.")</f>
        <v>Lo vemos volver a lanzar en cámara lenta.</v>
      </c>
    </row>
    <row r="10338">
      <c r="A10338" s="4" t="s">
        <v>12994</v>
      </c>
      <c r="B10338" s="4" t="s">
        <v>12995</v>
      </c>
      <c r="C10338" s="5" t="str">
        <f>IFERROR(__xludf.DUMMYFUNCTION("GOOGLETRANSLATE(B10338,""en"",""es-ES"")"),"Un hombre está sentado en una silla en la playa y se acerca a otro hombre, el primer hombre se levanta y aplica loción al segundo hombre.")</f>
        <v>Un hombre está sentado en una silla en la playa y se acerca a otro hombre, el primer hombre se levanta y aplica loción al segundo hombre.</v>
      </c>
    </row>
    <row r="10339">
      <c r="A10339" s="4" t="s">
        <v>12994</v>
      </c>
      <c r="B10339" s="4" t="s">
        <v>12996</v>
      </c>
      <c r="C10339" s="5" t="str">
        <f>IFERROR(__xludf.DUMMYFUNCTION("GOOGLETRANSLATE(B10339,""en"",""es-ES"")"),"Una mujer y un hombre están sentados en una toalla en la playa y se acerca un hombre.")</f>
        <v>Una mujer y un hombre están sentados en una toalla en la playa y se acerca un hombre.</v>
      </c>
    </row>
    <row r="10340">
      <c r="A10340" s="4" t="s">
        <v>12994</v>
      </c>
      <c r="B10340" s="4" t="s">
        <v>12997</v>
      </c>
      <c r="C10340" s="5" t="str">
        <f>IFERROR(__xludf.DUMMYFUNCTION("GOOGLETRANSLATE(B10340,""en"",""es-ES"")"),"El hombre sentado se levanta y pone loción al hombre que se acercó.")</f>
        <v>El hombre sentado se levanta y pone loción al hombre que se acercó.</v>
      </c>
    </row>
    <row r="10341">
      <c r="A10341" s="4" t="s">
        <v>12994</v>
      </c>
      <c r="B10341" s="4" t="s">
        <v>12998</v>
      </c>
      <c r="C10341" s="5" t="str">
        <f>IFERROR(__xludf.DUMMYFUNCTION("GOOGLETRANSLATE(B10341,""en"",""es-ES"")"),"Cinco chicos están acostados en la playa cuando una mujer se acerca a ellos.")</f>
        <v>Cinco chicos están acostados en la playa cuando una mujer se acerca a ellos.</v>
      </c>
    </row>
    <row r="10342">
      <c r="A10342" s="4" t="s">
        <v>12994</v>
      </c>
      <c r="B10342" s="4" t="s">
        <v>12999</v>
      </c>
      <c r="C10342" s="5" t="str">
        <f>IFERROR(__xludf.DUMMYFUNCTION("GOOGLETRANSLATE(B10342,""en"",""es-ES"")"),"Un hombre se levanta y aplica la loción a las mujeres de regreso.")</f>
        <v>Un hombre se levanta y aplica la loción a las mujeres de regreso.</v>
      </c>
    </row>
    <row r="10343">
      <c r="A10343" s="4" t="s">
        <v>12994</v>
      </c>
      <c r="B10343" s="4" t="s">
        <v>13000</v>
      </c>
      <c r="C10343" s="5" t="str">
        <f>IFERROR(__xludf.DUMMYFUNCTION("GOOGLETRANSLATE(B10343,""en"",""es-ES"")"),"Cinco chicos se tumban en toallas en la playa y un hombre se acerca a ellos.")</f>
        <v>Cinco chicos se tumban en toallas en la playa y un hombre se acerca a ellos.</v>
      </c>
    </row>
    <row r="10344">
      <c r="A10344" s="4" t="s">
        <v>13001</v>
      </c>
      <c r="B10344" s="4" t="s">
        <v>13002</v>
      </c>
      <c r="C10344" s="5" t="str">
        <f>IFERROR(__xludf.DUMMYFUNCTION("GOOGLETRANSLATE(B10344,""en"",""es-ES"")"),"Un grupo de nadadores se sumerge en un cuerpo de agua rodeado de espectadores, grandes rocas, edificios y botes, en una competencia juzgada.")</f>
        <v>Un grupo de nadadores se sumerge en un cuerpo de agua rodeado de espectadores, grandes rocas, edificios y botes, en una competencia juzgada.</v>
      </c>
    </row>
    <row r="10345">
      <c r="A10345" s="4" t="s">
        <v>13001</v>
      </c>
      <c r="B10345" s="4" t="s">
        <v>13003</v>
      </c>
      <c r="C10345" s="5" t="str">
        <f>IFERROR(__xludf.DUMMYFUNCTION("GOOGLETRANSLATE(B10345,""en"",""es-ES"")"),"Los nadadores saltan de un acantilado de metal hecho a hombre envuelto en arte y gráficos publicitarios patrocinados.")</f>
        <v>Los nadadores saltan de un acantilado de metal hecho a hombre envuelto en arte y gráficos publicitarios patrocinados.</v>
      </c>
    </row>
    <row r="10346">
      <c r="A10346" s="4" t="s">
        <v>13001</v>
      </c>
      <c r="B10346" s="4" t="s">
        <v>13004</v>
      </c>
      <c r="C10346" s="5" t="str">
        <f>IFERROR(__xludf.DUMMYFUNCTION("GOOGLETRANSLATE(B10346,""en"",""es-ES"")"),"Un grupo de jueces sostiene las tarjetas de puntaje con números en ellos mientras el automóvil conduce en una calle cercana y los espectadores se sientan uno al lado del otro con una observación de pared elevada.")</f>
        <v>Un grupo de jueces sostiene las tarjetas de puntaje con números en ellos mientras el automóvil conduce en una calle cercana y los espectadores se sientan uno al lado del otro con una observación de pared elevada.</v>
      </c>
    </row>
    <row r="10347">
      <c r="A10347" s="4" t="s">
        <v>13001</v>
      </c>
      <c r="B10347" s="4" t="s">
        <v>13005</v>
      </c>
      <c r="C10347" s="5" t="str">
        <f>IFERROR(__xludf.DUMMYFUNCTION("GOOGLETRANSLATE(B10347,""en"",""es-ES"")"),"Dos nadadores se abrazan mientras un nadador salta hacia arriba y hacia abajo y tres trofeos más.")</f>
        <v>Dos nadadores se abrazan mientras un nadador salta hacia arriba y hacia abajo y tres trofeos más.</v>
      </c>
    </row>
    <row r="10348">
      <c r="A10348" s="4" t="s">
        <v>13006</v>
      </c>
      <c r="B10348" s="4" t="s">
        <v>13007</v>
      </c>
      <c r="C10348" s="5" t="str">
        <f>IFERROR(__xludf.DUMMYFUNCTION("GOOGLETRANSLATE(B10348,""en"",""es-ES"")"),"Se muestra un concierto clásico bien atendido.")</f>
        <v>Se muestra un concierto clásico bien atendido.</v>
      </c>
    </row>
    <row r="10349">
      <c r="A10349" s="4" t="s">
        <v>13006</v>
      </c>
      <c r="B10349" s="4" t="s">
        <v>13008</v>
      </c>
      <c r="C10349" s="5" t="str">
        <f>IFERROR(__xludf.DUMMYFUNCTION("GOOGLETRANSLATE(B10349,""en"",""es-ES"")"),"El compositor habla con la audiencia sobre la música.")</f>
        <v>El compositor habla con la audiencia sobre la música.</v>
      </c>
    </row>
    <row r="10350">
      <c r="A10350" s="4" t="s">
        <v>13006</v>
      </c>
      <c r="B10350" s="4" t="s">
        <v>13009</v>
      </c>
      <c r="C10350" s="5" t="str">
        <f>IFERROR(__xludf.DUMMYFUNCTION("GOOGLETRANSLATE(B10350,""en"",""es-ES"")"),"La multitud aplaude y sonríe.")</f>
        <v>La multitud aplaude y sonríe.</v>
      </c>
    </row>
    <row r="10351">
      <c r="A10351" s="4" t="s">
        <v>13006</v>
      </c>
      <c r="B10351" s="4" t="s">
        <v>13010</v>
      </c>
      <c r="C10351" s="5" t="str">
        <f>IFERROR(__xludf.DUMMYFUNCTION("GOOGLETRANSLATE(B10351,""en"",""es-ES"")"),"El compositor habla sobre la música y la orquesta detrás de él.")</f>
        <v>El compositor habla sobre la música y la orquesta detrás de él.</v>
      </c>
    </row>
    <row r="10352">
      <c r="A10352" s="4" t="s">
        <v>13006</v>
      </c>
      <c r="B10352" s="4" t="s">
        <v>13011</v>
      </c>
      <c r="C10352" s="5" t="str">
        <f>IFERROR(__xludf.DUMMYFUNCTION("GOOGLETRANSLATE(B10352,""en"",""es-ES"")"),"Un miembro sale a tocar el saxofón para un solo mientras la multitud aplaude.")</f>
        <v>Un miembro sale a tocar el saxofón para un solo mientras la multitud aplaude.</v>
      </c>
    </row>
    <row r="10353">
      <c r="A10353" s="4" t="s">
        <v>13006</v>
      </c>
      <c r="B10353" s="4" t="s">
        <v>13012</v>
      </c>
      <c r="C10353" s="5" t="str">
        <f>IFERROR(__xludf.DUMMYFUNCTION("GOOGLETRANSLATE(B10353,""en"",""es-ES"")"),"La orquesta se une gradualmente para obtener una actuación completa.")</f>
        <v>La orquesta se une gradualmente para obtener una actuación completa.</v>
      </c>
    </row>
    <row r="10354">
      <c r="A10354" s="4" t="s">
        <v>13006</v>
      </c>
      <c r="B10354" s="4" t="s">
        <v>13013</v>
      </c>
      <c r="C10354" s="5" t="str">
        <f>IFERROR(__xludf.DUMMYFUNCTION("GOOGLETRANSLATE(B10354,""en"",""es-ES"")"),"La canción se ralentiza y se construye cuando la multitud se une con aplausos.")</f>
        <v>La canción se ralentiza y se construye cuando la multitud se une con aplausos.</v>
      </c>
    </row>
    <row r="10355">
      <c r="A10355" s="4" t="s">
        <v>13006</v>
      </c>
      <c r="B10355" s="4" t="s">
        <v>13014</v>
      </c>
      <c r="C10355" s="5" t="str">
        <f>IFERROR(__xludf.DUMMYFUNCTION("GOOGLETRANSLATE(B10355,""en"",""es-ES"")"),"La canción termina y la multitud aplaude a Thunderamente.")</f>
        <v>La canción termina y la multitud aplaude a Thunderamente.</v>
      </c>
    </row>
    <row r="10356">
      <c r="A10356" s="4" t="s">
        <v>13006</v>
      </c>
      <c r="B10356" s="4" t="s">
        <v>13015</v>
      </c>
      <c r="C10356" s="5" t="str">
        <f>IFERROR(__xludf.DUMMYFUNCTION("GOOGLETRANSLATE(B10356,""en"",""es-ES"")"),"El saxofonista se inclina y regresa a su asiento.")</f>
        <v>El saxofonista se inclina y regresa a su asiento.</v>
      </c>
    </row>
    <row r="10357">
      <c r="A10357" s="4" t="s">
        <v>13016</v>
      </c>
      <c r="B10357" s="4" t="s">
        <v>13017</v>
      </c>
      <c r="C10357" s="5" t="str">
        <f>IFERROR(__xludf.DUMMYFUNCTION("GOOGLETRANSLATE(B10357,""en"",""es-ES"")"),"Una niña que lleva una blusa rosa se sienta en una cama entrecerrando los ojos.")</f>
        <v>Una niña que lleva una blusa rosa se sienta en una cama entrecerrando los ojos.</v>
      </c>
    </row>
    <row r="10358">
      <c r="A10358" s="4" t="s">
        <v>13016</v>
      </c>
      <c r="B10358" s="4" t="s">
        <v>13018</v>
      </c>
      <c r="C10358" s="5" t="str">
        <f>IFERROR(__xludf.DUMMYFUNCTION("GOOGLETRANSLATE(B10358,""en"",""es-ES"")"),"La niña luego se pone lápiz labial púrpura en sus labios.")</f>
        <v>La niña luego se pone lápiz labial púrpura en sus labios.</v>
      </c>
    </row>
    <row r="10359">
      <c r="A10359" s="4" t="s">
        <v>13016</v>
      </c>
      <c r="B10359" s="4" t="s">
        <v>13019</v>
      </c>
      <c r="C10359" s="5" t="str">
        <f>IFERROR(__xludf.DUMMYFUNCTION("GOOGLETRANSLATE(B10359,""en"",""es-ES"")"),"La niña continúa poniéndose el lápiz labial mientras habla con el camarógrafo sobre cómo maquillarse.")</f>
        <v>La niña continúa poniéndose el lápiz labial mientras habla con el camarógrafo sobre cómo maquillarse.</v>
      </c>
    </row>
    <row r="10360">
      <c r="A10360" s="4" t="s">
        <v>13020</v>
      </c>
      <c r="B10360" s="4" t="s">
        <v>13021</v>
      </c>
      <c r="C10360" s="5" t="str">
        <f>IFERROR(__xludf.DUMMYFUNCTION("GOOGLETRANSLATE(B10360,""en"",""es-ES"")"),"Un juego está en progreso frente a una multitud.")</f>
        <v>Un juego está en progreso frente a una multitud.</v>
      </c>
    </row>
    <row r="10361">
      <c r="A10361" s="4" t="s">
        <v>13020</v>
      </c>
      <c r="B10361" s="4" t="s">
        <v>13022</v>
      </c>
      <c r="C10361" s="5" t="str">
        <f>IFERROR(__xludf.DUMMYFUNCTION("GOOGLETRANSLATE(B10361,""en"",""es-ES"")"),"Un hombre gira, lanzando un disco por el aire.")</f>
        <v>Un hombre gira, lanzando un disco por el aire.</v>
      </c>
    </row>
    <row r="10362">
      <c r="A10362" s="4" t="s">
        <v>13020</v>
      </c>
      <c r="B10362" s="4" t="s">
        <v>13023</v>
      </c>
      <c r="C10362" s="5" t="str">
        <f>IFERROR(__xludf.DUMMYFUNCTION("GOOGLETRANSLATE(B10362,""en"",""es-ES"")"),"Él camina por el campo después.")</f>
        <v>Él camina por el campo después.</v>
      </c>
    </row>
    <row r="10363">
      <c r="A10363" s="4" t="s">
        <v>13024</v>
      </c>
      <c r="B10363" s="4" t="s">
        <v>13025</v>
      </c>
      <c r="C10363" s="5" t="str">
        <f>IFERROR(__xludf.DUMMYFUNCTION("GOOGLETRANSLATE(B10363,""en"",""es-ES"")"),"Dos hombres están en una plataforma, esgrima.")</f>
        <v>Dos hombres están en una plataforma, esgrima.</v>
      </c>
    </row>
    <row r="10364">
      <c r="A10364" s="4" t="s">
        <v>13024</v>
      </c>
      <c r="B10364" s="4" t="s">
        <v>13026</v>
      </c>
      <c r="C10364" s="5" t="str">
        <f>IFERROR(__xludf.DUMMYFUNCTION("GOOGLETRANSLATE(B10364,""en"",""es-ES"")"),"Se golpearon el uno al otro con sus espadas.")</f>
        <v>Se golpearon el uno al otro con sus espadas.</v>
      </c>
    </row>
    <row r="10365">
      <c r="A10365" s="4" t="s">
        <v>13024</v>
      </c>
      <c r="B10365" s="4" t="s">
        <v>13027</v>
      </c>
      <c r="C10365" s="5" t="str">
        <f>IFERROR(__xludf.DUMMYFUNCTION("GOOGLETRANSLATE(B10365,""en"",""es-ES"")"),"Una mujer observa mientras se desarrolla de un lado a otro.")</f>
        <v>Una mujer observa mientras se desarrolla de un lado a otro.</v>
      </c>
    </row>
    <row r="10366">
      <c r="A10366" s="4" t="s">
        <v>13028</v>
      </c>
      <c r="B10366" s="4" t="s">
        <v>13029</v>
      </c>
      <c r="C10366" s="5" t="str">
        <f>IFERROR(__xludf.DUMMYFUNCTION("GOOGLETRANSLATE(B10366,""en"",""es-ES"")"),"Un atleta realiza un salto de altura y aterriza en la colchoneta mientras la persona toma notas.")</f>
        <v>Un atleta realiza un salto de altura y aterriza en la colchoneta mientras la persona toma notas.</v>
      </c>
    </row>
    <row r="10367">
      <c r="A10367" s="4" t="s">
        <v>13028</v>
      </c>
      <c r="B10367" s="4" t="s">
        <v>13030</v>
      </c>
      <c r="C10367" s="5" t="str">
        <f>IFERROR(__xludf.DUMMYFUNCTION("GOOGLETRANSLATE(B10367,""en"",""es-ES"")"),"Luego, el atleta realiza un salto de altura con éxito.")</f>
        <v>Luego, el atleta realiza un salto de altura con éxito.</v>
      </c>
    </row>
    <row r="10368">
      <c r="A10368" s="4" t="s">
        <v>13028</v>
      </c>
      <c r="B10368" s="4" t="s">
        <v>13031</v>
      </c>
      <c r="C10368" s="5" t="str">
        <f>IFERROR(__xludf.DUMMYFUNCTION("GOOGLETRANSLATE(B10368,""en"",""es-ES"")"),"Después, el hombre realiza un salto de altura pero deja caer el poste horizontal.")</f>
        <v>Después, el hombre realiza un salto de altura pero deja caer el poste horizontal.</v>
      </c>
    </row>
    <row r="10369">
      <c r="A10369" s="4" t="s">
        <v>13028</v>
      </c>
      <c r="B10369" s="4" t="s">
        <v>13032</v>
      </c>
      <c r="C10369" s="5" t="str">
        <f>IFERROR(__xludf.DUMMYFUNCTION("GOOGLETRANSLATE(B10369,""en"",""es-ES"")"),"El atleta realiza saltos de altura con éxito.")</f>
        <v>El atleta realiza saltos de altura con éxito.</v>
      </c>
    </row>
    <row r="10370">
      <c r="A10370" s="4" t="s">
        <v>13028</v>
      </c>
      <c r="B10370" s="4" t="s">
        <v>13033</v>
      </c>
      <c r="C10370" s="5" t="str">
        <f>IFERROR(__xludf.DUMMYFUNCTION("GOOGLETRANSLATE(B10370,""en"",""es-ES"")"),"El atleta realiza un salto de altura, pero el poste cae.")</f>
        <v>El atleta realiza un salto de altura, pero el poste cae.</v>
      </c>
    </row>
    <row r="10371">
      <c r="A10371" s="4" t="s">
        <v>13034</v>
      </c>
      <c r="B10371" s="4" t="s">
        <v>13035</v>
      </c>
      <c r="C10371" s="5" t="str">
        <f>IFERROR(__xludf.DUMMYFUNCTION("GOOGLETRANSLATE(B10371,""en"",""es-ES"")"),"Un gran bote de pontón navega por un océano y se encuentra en una gran ola que cubre a las personas y al bote en el agua.")</f>
        <v>Un gran bote de pontón navega por un océano y se encuentra en una gran ola que cubre a las personas y al bote en el agua.</v>
      </c>
    </row>
    <row r="10372">
      <c r="A10372" s="4" t="s">
        <v>13034</v>
      </c>
      <c r="B10372" s="4" t="s">
        <v>13036</v>
      </c>
      <c r="C10372" s="5" t="str">
        <f>IFERROR(__xludf.DUMMYFUNCTION("GOOGLETRANSLATE(B10372,""en"",""es-ES"")"),"Las personas en el bote continúan caminando pero el agua los golpea y comienzan a aferrarse a las ruedas para dirigir el bote de regreso en la dirección correcta.")</f>
        <v>Las personas en el bote continúan caminando pero el agua los golpea y comienzan a aferrarse a las ruedas para dirigir el bote de regreso en la dirección correcta.</v>
      </c>
    </row>
    <row r="10373">
      <c r="A10373" s="4" t="s">
        <v>13037</v>
      </c>
      <c r="B10373" s="4" t="s">
        <v>13038</v>
      </c>
      <c r="C10373" s="5" t="str">
        <f>IFERROR(__xludf.DUMMYFUNCTION("GOOGLETRANSLATE(B10373,""en"",""es-ES"")"),"Un hombre sin camisa muy musculoso está a punto de luchar con un hombre con una sudadera con capucha naranja.")</f>
        <v>Un hombre sin camisa muy musculoso está a punto de luchar con un hombre con una sudadera con capucha naranja.</v>
      </c>
    </row>
    <row r="10374">
      <c r="A10374" s="4" t="s">
        <v>13037</v>
      </c>
      <c r="B10374" s="4" t="s">
        <v>13039</v>
      </c>
      <c r="C10374" s="5" t="str">
        <f>IFERROR(__xludf.DUMMYFUNCTION("GOOGLETRANSLATE(B10374,""en"",""es-ES"")"),"Se acerca otro hombre con una sudadera amarilla.")</f>
        <v>Se acerca otro hombre con una sudadera amarilla.</v>
      </c>
    </row>
    <row r="10375">
      <c r="A10375" s="4" t="s">
        <v>13037</v>
      </c>
      <c r="B10375" s="4" t="s">
        <v>13040</v>
      </c>
      <c r="C10375" s="5" t="str">
        <f>IFERROR(__xludf.DUMMYFUNCTION("GOOGLETRANSLATE(B10375,""en"",""es-ES"")"),"Comienzan el partido, el hombre de la sudadera con capucha naranja parece estar luchando.")</f>
        <v>Comienzan el partido, el hombre de la sudadera con capucha naranja parece estar luchando.</v>
      </c>
    </row>
    <row r="10376">
      <c r="A10376" s="4" t="s">
        <v>13037</v>
      </c>
      <c r="B10376" s="4" t="s">
        <v>13041</v>
      </c>
      <c r="C10376" s="5" t="str">
        <f>IFERROR(__xludf.DUMMYFUNCTION("GOOGLETRANSLATE(B10376,""en"",""es-ES"")"),"El hombre sin camisa gana y luego lucha al hombre en el amarillo, gana y todos se paran hablando.")</f>
        <v>El hombre sin camisa gana y luego lucha al hombre en el amarillo, gana y todos se paran hablando.</v>
      </c>
    </row>
    <row r="10377">
      <c r="A10377" s="4" t="s">
        <v>13042</v>
      </c>
      <c r="B10377" s="4" t="s">
        <v>13043</v>
      </c>
      <c r="C10377" s="5" t="str">
        <f>IFERROR(__xludf.DUMMYFUNCTION("GOOGLETRANSLATE(B10377,""en"",""es-ES"")"),"Varias personas están afuera en un gran campo en Segways jugando un juego.")</f>
        <v>Varias personas están afuera en un gran campo en Segways jugando un juego.</v>
      </c>
    </row>
    <row r="10378">
      <c r="A10378" s="4" t="s">
        <v>13042</v>
      </c>
      <c r="B10378" s="4" t="s">
        <v>13044</v>
      </c>
      <c r="C10378" s="5" t="str">
        <f>IFERROR(__xludf.DUMMYFUNCTION("GOOGLETRANSLATE(B10378,""en"",""es-ES"")"),"Continúan moviéndose y golpeando la pelota con una larga raqueta.")</f>
        <v>Continúan moviéndose y golpeando la pelota con una larga raqueta.</v>
      </c>
    </row>
    <row r="10379">
      <c r="A10379" s="4" t="s">
        <v>13042</v>
      </c>
      <c r="B10379" s="4" t="s">
        <v>13045</v>
      </c>
      <c r="C10379" s="5" t="str">
        <f>IFERROR(__xludf.DUMMYFUNCTION("GOOGLETRANSLATE(B10379,""en"",""es-ES"")"),"A medida que avanzan el juego, el árbitro camina en el campo y los observa.")</f>
        <v>A medida que avanzan el juego, el árbitro camina en el campo y los observa.</v>
      </c>
    </row>
    <row r="10380">
      <c r="A10380" s="4" t="s">
        <v>13046</v>
      </c>
      <c r="B10380" s="4" t="s">
        <v>13047</v>
      </c>
      <c r="C10380" s="5" t="str">
        <f>IFERROR(__xludf.DUMMYFUNCTION("GOOGLETRANSLATE(B10380,""en"",""es-ES"")"),"Una persona con cabello largo muestra un cubo de Rubik.")</f>
        <v>Una persona con cabello largo muestra un cubo de Rubik.</v>
      </c>
    </row>
    <row r="10381">
      <c r="A10381" s="4" t="s">
        <v>13046</v>
      </c>
      <c r="B10381" s="4" t="s">
        <v>13048</v>
      </c>
      <c r="C10381" s="5" t="str">
        <f>IFERROR(__xludf.DUMMYFUNCTION("GOOGLETRANSLATE(B10381,""en"",""es-ES"")"),"La persona comienza a resolverlo.")</f>
        <v>La persona comienza a resolverlo.</v>
      </c>
    </row>
    <row r="10382">
      <c r="A10382" s="4" t="s">
        <v>13046</v>
      </c>
      <c r="B10382" s="4" t="s">
        <v>13049</v>
      </c>
      <c r="C10382" s="5" t="str">
        <f>IFERROR(__xludf.DUMMYFUNCTION("GOOGLETRANSLATE(B10382,""en"",""es-ES"")"),"Lo arrojan y está resuelto mágicamente.")</f>
        <v>Lo arrojan y está resuelto mágicamente.</v>
      </c>
    </row>
    <row r="10383">
      <c r="A10383" s="4" t="s">
        <v>13050</v>
      </c>
      <c r="B10383" s="4" t="s">
        <v>13051</v>
      </c>
      <c r="C10383" s="5" t="str">
        <f>IFERROR(__xludf.DUMMYFUNCTION("GOOGLETRANSLATE(B10383,""en"",""es-ES"")"),"Una mujer está bailando afuera en la acera.")</f>
        <v>Una mujer está bailando afuera en la acera.</v>
      </c>
    </row>
    <row r="10384">
      <c r="A10384" s="4" t="s">
        <v>13050</v>
      </c>
      <c r="B10384" s="4" t="s">
        <v>13052</v>
      </c>
      <c r="C10384" s="5" t="str">
        <f>IFERROR(__xludf.DUMMYFUNCTION("GOOGLETRANSLATE(B10384,""en"",""es-ES"")"),"Ella agarra un bastón y comienza a girarlo.")</f>
        <v>Ella agarra un bastón y comienza a girarlo.</v>
      </c>
    </row>
    <row r="10385">
      <c r="A10385" s="4" t="s">
        <v>13050</v>
      </c>
      <c r="B10385" s="4" t="s">
        <v>13053</v>
      </c>
      <c r="C10385" s="5" t="str">
        <f>IFERROR(__xludf.DUMMYFUNCTION("GOOGLETRANSLATE(B10385,""en"",""es-ES"")"),"Ella comienza a hacer malabares con los bastones en el aire.")</f>
        <v>Ella comienza a hacer malabares con los bastones en el aire.</v>
      </c>
    </row>
    <row r="10386">
      <c r="A10386" s="4" t="s">
        <v>13050</v>
      </c>
      <c r="B10386" s="4" t="s">
        <v>13054</v>
      </c>
      <c r="C10386" s="5" t="str">
        <f>IFERROR(__xludf.DUMMYFUNCTION("GOOGLETRANSLATE(B10386,""en"",""es-ES"")"),"Ella hace un volteo de espalda y entra en las divisiones.")</f>
        <v>Ella hace un volteo de espalda y entra en las divisiones.</v>
      </c>
    </row>
    <row r="10387">
      <c r="A10387" s="4" t="s">
        <v>13055</v>
      </c>
      <c r="B10387" s="4" t="s">
        <v>13056</v>
      </c>
      <c r="C10387" s="5" t="str">
        <f>IFERROR(__xludf.DUMMYFUNCTION("GOOGLETRANSLATE(B10387,""en"",""es-ES"")"),"Varios niños se paran frente a una jaula.")</f>
        <v>Varios niños se paran frente a una jaula.</v>
      </c>
    </row>
    <row r="10388">
      <c r="A10388" s="4" t="s">
        <v>13055</v>
      </c>
      <c r="B10388" s="4" t="s">
        <v>13057</v>
      </c>
      <c r="C10388" s="5" t="str">
        <f>IFERROR(__xludf.DUMMYFUNCTION("GOOGLETRANSLATE(B10388,""en"",""es-ES"")"),"Una mujer está adentro con un tigre.")</f>
        <v>Una mujer está adentro con un tigre.</v>
      </c>
    </row>
    <row r="10389">
      <c r="A10389" s="4" t="s">
        <v>13055</v>
      </c>
      <c r="B10389" s="4" t="s">
        <v>13058</v>
      </c>
      <c r="C10389" s="5" t="str">
        <f>IFERROR(__xludf.DUMMYFUNCTION("GOOGLETRANSLATE(B10389,""en"",""es-ES"")"),"Los niños tiran de una cuerda que contra el tigre.")</f>
        <v>Los niños tiran de una cuerda que contra el tigre.</v>
      </c>
    </row>
    <row r="10390">
      <c r="A10390" s="4" t="s">
        <v>13055</v>
      </c>
      <c r="B10390" s="4" t="s">
        <v>13059</v>
      </c>
      <c r="C10390" s="5" t="str">
        <f>IFERROR(__xludf.DUMMYFUNCTION("GOOGLETRANSLATE(B10390,""en"",""es-ES"")"),"Dejaron ir la cuerda al final.")</f>
        <v>Dejaron ir la cuerda al final.</v>
      </c>
    </row>
    <row r="10391">
      <c r="A10391" s="4" t="s">
        <v>13060</v>
      </c>
      <c r="B10391" s="4" t="s">
        <v>13061</v>
      </c>
      <c r="C10391" s="5" t="str">
        <f>IFERROR(__xludf.DUMMYFUNCTION("GOOGLETRANSLATE(B10391,""en"",""es-ES"")"),"Una mujer con traje está hablando con una cámara.")</f>
        <v>Una mujer con traje está hablando con una cámara.</v>
      </c>
    </row>
    <row r="10392">
      <c r="A10392" s="4" t="s">
        <v>13060</v>
      </c>
      <c r="B10392" s="4" t="s">
        <v>13062</v>
      </c>
      <c r="C10392" s="5" t="str">
        <f>IFERROR(__xludf.DUMMYFUNCTION("GOOGLETRANSLATE(B10392,""en"",""es-ES"")"),"Una mujer le está poniendo lentes de contacto en los ojos.")</f>
        <v>Una mujer le está poniendo lentes de contacto en los ojos.</v>
      </c>
    </row>
    <row r="10393">
      <c r="A10393" s="4" t="s">
        <v>13060</v>
      </c>
      <c r="B10393" s="4" t="s">
        <v>13063</v>
      </c>
      <c r="C10393" s="5" t="str">
        <f>IFERROR(__xludf.DUMMYFUNCTION("GOOGLETRANSLATE(B10393,""en"",""es-ES"")"),"Las lentes de contacto se muestran en una mano.")</f>
        <v>Las lentes de contacto se muestran en una mano.</v>
      </c>
    </row>
    <row r="10394">
      <c r="A10394" s="4" t="s">
        <v>13060</v>
      </c>
      <c r="B10394" s="4" t="s">
        <v>13064</v>
      </c>
      <c r="C10394" s="5" t="str">
        <f>IFERROR(__xludf.DUMMYFUNCTION("GOOGLETRANSLATE(B10394,""en"",""es-ES"")"),"La mujer en el traje continúa hablando con la cámara.")</f>
        <v>La mujer en el traje continúa hablando con la cámara.</v>
      </c>
    </row>
    <row r="10395">
      <c r="A10395" s="4" t="s">
        <v>13065</v>
      </c>
      <c r="B10395" s="4" t="s">
        <v>13066</v>
      </c>
      <c r="C10395" s="5" t="str">
        <f>IFERROR(__xludf.DUMMYFUNCTION("GOOGLETRANSLATE(B10395,""en"",""es-ES"")"),"Los chicos están teniendo una pelota de pintura entre ellos.")</f>
        <v>Los chicos están teniendo una pelota de pintura entre ellos.</v>
      </c>
    </row>
    <row r="10396">
      <c r="A10396" s="4" t="s">
        <v>13065</v>
      </c>
      <c r="B10396" s="4" t="s">
        <v>13067</v>
      </c>
      <c r="C10396" s="5" t="str">
        <f>IFERROR(__xludf.DUMMYFUNCTION("GOOGLETRANSLATE(B10396,""en"",""es-ES"")"),"Un chico explica cómo esconderse y protegerse cuando está en el archivo, cómo gatear, dónde colocar el pie y las manos cuando se arrastra.")</f>
        <v>Un chico explica cómo esconderse y protegerse cuando está en el archivo, cómo gatear, dónde colocar el pie y las manos cuando se arrastra.</v>
      </c>
    </row>
    <row r="10397">
      <c r="A10397" s="4" t="s">
        <v>13068</v>
      </c>
      <c r="B10397" s="4" t="s">
        <v>13069</v>
      </c>
      <c r="C10397" s="5" t="str">
        <f>IFERROR(__xludf.DUMMYFUNCTION("GOOGLETRANSLATE(B10397,""en"",""es-ES"")"),"Se muestra un secador de pelo y un anuncio con información sobre la secadora.")</f>
        <v>Se muestra un secador de pelo y un anuncio con información sobre la secadora.</v>
      </c>
    </row>
    <row r="10398">
      <c r="A10398" s="4" t="s">
        <v>13068</v>
      </c>
      <c r="B10398" s="4" t="s">
        <v>13070</v>
      </c>
      <c r="C10398" s="5" t="str">
        <f>IFERROR(__xludf.DUMMYFUNCTION("GOOGLETRANSLATE(B10398,""en"",""es-ES"")"),"Una mujer muestra cómo usar la secadora con diferentes pinceles.")</f>
        <v>Una mujer muestra cómo usar la secadora con diferentes pinceles.</v>
      </c>
    </row>
    <row r="10399">
      <c r="A10399" s="4" t="s">
        <v>13068</v>
      </c>
      <c r="B10399" s="4" t="s">
        <v>13071</v>
      </c>
      <c r="C10399" s="5" t="str">
        <f>IFERROR(__xludf.DUMMYFUNCTION("GOOGLETRANSLATE(B10399,""en"",""es-ES"")"),"La misma mujer muestra cómo usar la secadora con diferentes accesorios para diferentes tipos de cabello.")</f>
        <v>La misma mujer muestra cómo usar la secadora con diferentes accesorios para diferentes tipos de cabello.</v>
      </c>
    </row>
    <row r="10400">
      <c r="A10400" s="4" t="s">
        <v>13068</v>
      </c>
      <c r="B10400" s="4" t="s">
        <v>13072</v>
      </c>
      <c r="C10400" s="5" t="str">
        <f>IFERROR(__xludf.DUMMYFUNCTION("GOOGLETRANSLATE(B10400,""en"",""es-ES"")"),"La secadora y la información publicitaria se muestran nuevamente.")</f>
        <v>La secadora y la información publicitaria se muestran nuevamente.</v>
      </c>
    </row>
    <row r="10401">
      <c r="A10401" s="4" t="s">
        <v>13073</v>
      </c>
      <c r="B10401" s="4" t="s">
        <v>13074</v>
      </c>
      <c r="C10401" s="5" t="str">
        <f>IFERROR(__xludf.DUMMYFUNCTION("GOOGLETRANSLATE(B10401,""en"",""es-ES"")"),"El hombre está en un gran estadio despertando en el campo.")</f>
        <v>El hombre está en un gran estadio despertando en el campo.</v>
      </c>
    </row>
    <row r="10402">
      <c r="A10402" s="4" t="s">
        <v>13073</v>
      </c>
      <c r="B10402" s="4" t="s">
        <v>13075</v>
      </c>
      <c r="C10402" s="5" t="str">
        <f>IFERROR(__xludf.DUMMYFUNCTION("GOOGLETRANSLATE(B10402,""en"",""es-ES"")"),"Los hombres están jugando Criquet en un campo de lado a lado con mucha audiencia sentada en grados.")</f>
        <v>Los hombres están jugando Criquet en un campo de lado a lado con mucha audiencia sentada en grados.</v>
      </c>
    </row>
    <row r="10403">
      <c r="A10403" s="4" t="s">
        <v>13076</v>
      </c>
      <c r="B10403" s="4" t="s">
        <v>13077</v>
      </c>
      <c r="C10403" s="5" t="str">
        <f>IFERROR(__xludf.DUMMYFUNCTION("GOOGLETRANSLATE(B10403,""en"",""es-ES"")"),"Un grupo de barcos de vela navegan juntos a través de agua entrecortada en un día ventoso.")</f>
        <v>Un grupo de barcos de vela navegan juntos a través de agua entrecortada en un día ventoso.</v>
      </c>
    </row>
    <row r="10404">
      <c r="A10404" s="4" t="s">
        <v>13076</v>
      </c>
      <c r="B10404" s="4" t="s">
        <v>13078</v>
      </c>
      <c r="C10404" s="5" t="str">
        <f>IFERROR(__xludf.DUMMYFUNCTION("GOOGLETRANSLATE(B10404,""en"",""es-ES"")"),"Dos hombres tiran del aparejo sentado en el pequeño velero.")</f>
        <v>Dos hombres tiran del aparejo sentado en el pequeño velero.</v>
      </c>
    </row>
    <row r="10405">
      <c r="A10405" s="4" t="s">
        <v>13076</v>
      </c>
      <c r="B10405" s="4" t="s">
        <v>13079</v>
      </c>
      <c r="C10405" s="5" t="str">
        <f>IFERROR(__xludf.DUMMYFUNCTION("GOOGLETRANSLATE(B10405,""en"",""es-ES"")"),"El bote de vela da un giro frente al arco de otro bote solo en parte visto.")</f>
        <v>El bote de vela da un giro frente al arco de otro bote solo en parte visto.</v>
      </c>
    </row>
    <row r="10406">
      <c r="A10406" s="4" t="s">
        <v>13080</v>
      </c>
      <c r="B10406" s="4" t="s">
        <v>13081</v>
      </c>
      <c r="C10406" s="5" t="str">
        <f>IFERROR(__xludf.DUMMYFUNCTION("GOOGLETRANSLATE(B10406,""en"",""es-ES"")"),"Dos hombres en una pelea de escalera en un partido de lucha libre profesional.")</f>
        <v>Dos hombres en una pelea de escalera en un partido de lucha libre profesional.</v>
      </c>
    </row>
    <row r="10407">
      <c r="A10407" s="4" t="s">
        <v>13080</v>
      </c>
      <c r="B10407" s="4" t="s">
        <v>13082</v>
      </c>
      <c r="C10407" s="5" t="str">
        <f>IFERROR(__xludf.DUMMYFUNCTION("GOOGLETRANSLATE(B10407,""en"",""es-ES"")"),"Los hombres salen de la escalera sobre la colchoneta.")</f>
        <v>Los hombres salen de la escalera sobre la colchoneta.</v>
      </c>
    </row>
    <row r="10408">
      <c r="A10408" s="4" t="s">
        <v>13080</v>
      </c>
      <c r="B10408" s="4" t="s">
        <v>13083</v>
      </c>
      <c r="C10408" s="5" t="str">
        <f>IFERROR(__xludf.DUMMYFUNCTION("GOOGLETRANSLATE(B10408,""en"",""es-ES"")"),"El árbitro se rodea cerca.")</f>
        <v>El árbitro se rodea cerca.</v>
      </c>
    </row>
    <row r="10409">
      <c r="A10409" s="4" t="s">
        <v>13080</v>
      </c>
      <c r="B10409" s="4" t="s">
        <v>13084</v>
      </c>
      <c r="C10409" s="5" t="str">
        <f>IFERROR(__xludf.DUMMYFUNCTION("GOOGLETRANSLATE(B10409,""en"",""es-ES"")"),"El hombre de rojo se arrastra hacia el hombre de azul y lo atrae ganando el partido.")</f>
        <v>El hombre de rojo se arrastra hacia el hombre de azul y lo atrae ganando el partido.</v>
      </c>
    </row>
    <row r="10410">
      <c r="A10410" s="4" t="s">
        <v>13080</v>
      </c>
      <c r="B10410" s="4" t="s">
        <v>13085</v>
      </c>
      <c r="C10410" s="5" t="str">
        <f>IFERROR(__xludf.DUMMYFUNCTION("GOOGLETRANSLATE(B10410,""en"",""es-ES"")"),"Vemos una repetición del partido.")</f>
        <v>Vemos una repetición del partido.</v>
      </c>
    </row>
    <row r="10411">
      <c r="A10411" s="4" t="s">
        <v>13086</v>
      </c>
      <c r="B10411" s="4" t="s">
        <v>13087</v>
      </c>
      <c r="C10411" s="5" t="str">
        <f>IFERROR(__xludf.DUMMYFUNCTION("GOOGLETRANSLATE(B10411,""en"",""es-ES"")"),"Este anciano está volando las hojas fuera del camino usando un soplador de hoja.")</f>
        <v>Este anciano está volando las hojas fuera del camino usando un soplador de hoja.</v>
      </c>
    </row>
    <row r="10412">
      <c r="A10412" s="4" t="s">
        <v>13086</v>
      </c>
      <c r="B10412" s="4" t="s">
        <v>13088</v>
      </c>
      <c r="C10412" s="5" t="str">
        <f>IFERROR(__xludf.DUMMYFUNCTION("GOOGLETRANSLATE(B10412,""en"",""es-ES"")"),"Primero, la cámara está dando a los espectadores una vista de cerca solo que muestra la cara del hombre.")</f>
        <v>Primero, la cámara está dando a los espectadores una vista de cerca solo que muestra la cara del hombre.</v>
      </c>
    </row>
    <row r="10413">
      <c r="A10413" s="4" t="s">
        <v>13086</v>
      </c>
      <c r="B10413" s="4" t="s">
        <v>13089</v>
      </c>
      <c r="C10413" s="5" t="str">
        <f>IFERROR(__xludf.DUMMYFUNCTION("GOOGLETRANSLATE(B10413,""en"",""es-ES"")"),"Luego, la cámara se aleja y muestra al hombre que sopla las hojas usando una máquina y cuando ha hecho la mitad de hacer su trabajo, apaga el soplador de la hoja.")</f>
        <v>Luego, la cámara se aleja y muestra al hombre que sopla las hojas usando una máquina y cuando ha hecho la mitad de hacer su trabajo, apaga el soplador de la hoja.</v>
      </c>
    </row>
    <row r="10414">
      <c r="A10414" s="4" t="s">
        <v>13090</v>
      </c>
      <c r="B10414" s="4" t="s">
        <v>13091</v>
      </c>
      <c r="C10414" s="5" t="str">
        <f>IFERROR(__xludf.DUMMYFUNCTION("GOOGLETRANSLATE(B10414,""en"",""es-ES"")"),"Little Kid sostiene una raqueta de tenis roja cerca de su cara, pero luego la pone en el piso y salta sobre la parte superior.")</f>
        <v>Little Kid sostiene una raqueta de tenis roja cerca de su cara, pero luego la pone en el piso y salta sobre la parte superior.</v>
      </c>
    </row>
    <row r="10415">
      <c r="A10415" s="4" t="s">
        <v>13090</v>
      </c>
      <c r="B10415" s="4" t="s">
        <v>13092</v>
      </c>
      <c r="C10415" s="5" t="str">
        <f>IFERROR(__xludf.DUMMYFUNCTION("GOOGLETRANSLATE(B10415,""en"",""es-ES"")"),"Little Kid está de pie en una pequeña habitación jugando en una raya de lomo.")</f>
        <v>Little Kid está de pie en una pequeña habitación jugando en una raya de lomo.</v>
      </c>
    </row>
    <row r="10416">
      <c r="A10416" s="4" t="s">
        <v>13090</v>
      </c>
      <c r="B10416" s="4" t="s">
        <v>13093</v>
      </c>
      <c r="C10416" s="5" t="str">
        <f>IFERROR(__xludf.DUMMYFUNCTION("GOOGLETRANSLATE(B10416,""en"",""es-ES"")"),"La niña está agarrando juguetes del piso.")</f>
        <v>La niña está agarrando juguetes del piso.</v>
      </c>
    </row>
    <row r="10417">
      <c r="A10417" s="4" t="s">
        <v>13094</v>
      </c>
      <c r="B10417" s="4" t="s">
        <v>13095</v>
      </c>
      <c r="C10417" s="5" t="str">
        <f>IFERROR(__xludf.DUMMYFUNCTION("GOOGLETRANSLATE(B10417,""en"",""es-ES"")"),"Un hombre se para en un campo en un juego al aire libre rodeado de gradas con personas en ellos y realiza un lanzamiento de martillo.")</f>
        <v>Un hombre se para en un campo en un juego al aire libre rodeado de gradas con personas en ellos y realiza un lanzamiento de martillo.</v>
      </c>
    </row>
    <row r="10418">
      <c r="A10418" s="4" t="s">
        <v>13094</v>
      </c>
      <c r="B10418" s="4" t="s">
        <v>13096</v>
      </c>
      <c r="C10418" s="5" t="str">
        <f>IFERROR(__xludf.DUMMYFUNCTION("GOOGLETRANSLATE(B10418,""en"",""es-ES"")"),"El hombre gira el martillo muchas veces y luego deja que el martillo vuele al cabello y aterrice en el campo.")</f>
        <v>El hombre gira el martillo muchas veces y luego deja que el martillo vuele al cabello y aterrice en el campo.</v>
      </c>
    </row>
    <row r="10419">
      <c r="A10419" s="4" t="s">
        <v>13094</v>
      </c>
      <c r="B10419" s="4" t="s">
        <v>13097</v>
      </c>
      <c r="C10419" s="5" t="str">
        <f>IFERROR(__xludf.DUMMYFUNCTION("GOOGLETRANSLATE(B10419,""en"",""es-ES"")"),"Aparece un video en cámara lenta del aterrizaje del martillo cuando el hombre se ve contento con la partitura y se seca con una toalla.")</f>
        <v>Aparece un video en cámara lenta del aterrizaje del martillo cuando el hombre se ve contento con la partitura y se seca con una toalla.</v>
      </c>
    </row>
    <row r="10420">
      <c r="A10420" s="4" t="s">
        <v>13098</v>
      </c>
      <c r="B10420" s="4" t="s">
        <v>13099</v>
      </c>
      <c r="C10420" s="5" t="str">
        <f>IFERROR(__xludf.DUMMYFUNCTION("GOOGLETRANSLATE(B10420,""en"",""es-ES"")"),"Las letras se muestran en una pantalla.")</f>
        <v>Las letras se muestran en una pantalla.</v>
      </c>
    </row>
    <row r="10421">
      <c r="A10421" s="4" t="s">
        <v>13098</v>
      </c>
      <c r="B10421" s="4" t="s">
        <v>13100</v>
      </c>
      <c r="C10421" s="5" t="str">
        <f>IFERROR(__xludf.DUMMYFUNCTION("GOOGLETRANSLATE(B10421,""en"",""es-ES"")"),"Se coloca un cubo azul en un fregadero.")</f>
        <v>Se coloca un cubo azul en un fregadero.</v>
      </c>
    </row>
    <row r="10422">
      <c r="A10422" s="4" t="s">
        <v>13098</v>
      </c>
      <c r="B10422" s="4" t="s">
        <v>13101</v>
      </c>
      <c r="C10422" s="5" t="str">
        <f>IFERROR(__xludf.DUMMYFUNCTION("GOOGLETRANSLATE(B10422,""en"",""es-ES"")"),"Un hombre comienza a limpiar los pisos de madera.")</f>
        <v>Un hombre comienza a limpiar los pisos de madera.</v>
      </c>
    </row>
    <row r="10423">
      <c r="A10423" s="4" t="s">
        <v>13098</v>
      </c>
      <c r="B10423" s="4" t="s">
        <v>13102</v>
      </c>
      <c r="C10423" s="5" t="str">
        <f>IFERROR(__xludf.DUMMYFUNCTION("GOOGLETRANSLATE(B10423,""en"",""es-ES"")"),"Él traza la baldosa en el baño.")</f>
        <v>Él traza la baldosa en el baño.</v>
      </c>
    </row>
    <row r="10424">
      <c r="A10424" s="4" t="s">
        <v>13103</v>
      </c>
      <c r="B10424" s="4" t="s">
        <v>13104</v>
      </c>
      <c r="C10424" s="5" t="str">
        <f>IFERROR(__xludf.DUMMYFUNCTION("GOOGLETRANSLATE(B10424,""en"",""es-ES"")"),"Se ve a una persona parada en una playa mirando arena.")</f>
        <v>Se ve a una persona parada en una playa mirando arena.</v>
      </c>
    </row>
    <row r="10425">
      <c r="A10425" s="4" t="s">
        <v>13103</v>
      </c>
      <c r="B10425" s="4" t="s">
        <v>13105</v>
      </c>
      <c r="C10425" s="5" t="str">
        <f>IFERROR(__xludf.DUMMYFUNCTION("GOOGLETRANSLATE(B10425,""en"",""es-ES"")"),"La persona luego comienza a construir un gran castillo de arena frente a ellos.")</f>
        <v>La persona luego comienza a construir un gran castillo de arena frente a ellos.</v>
      </c>
    </row>
    <row r="10426">
      <c r="A10426" s="4" t="s">
        <v>13103</v>
      </c>
      <c r="B10426" s="4" t="s">
        <v>13106</v>
      </c>
      <c r="C10426" s="5" t="str">
        <f>IFERROR(__xludf.DUMMYFUNCTION("GOOGLETRANSLATE(B10426,""en"",""es-ES"")"),"La persona continúa trabajando alrededor de la arena y termina saliendo del marco.")</f>
        <v>La persona continúa trabajando alrededor de la arena y termina saliendo del marco.</v>
      </c>
    </row>
    <row r="10427">
      <c r="A10427" s="4" t="s">
        <v>13107</v>
      </c>
      <c r="B10427" s="4" t="s">
        <v>13108</v>
      </c>
      <c r="C10427" s="5" t="str">
        <f>IFERROR(__xludf.DUMMYFUNCTION("GOOGLETRANSLATE(B10427,""en"",""es-ES"")"),"Un hombre baila y se tira de los pantalones, que se están cayendo, de regreso, mientras barre un piso de café.")</f>
        <v>Un hombre baila y se tira de los pantalones, que se están cayendo, de regreso, mientras barre un piso de café.</v>
      </c>
    </row>
    <row r="10428">
      <c r="A10428" s="4" t="s">
        <v>13107</v>
      </c>
      <c r="B10428" s="4" t="s">
        <v>13109</v>
      </c>
      <c r="C10428" s="5" t="str">
        <f>IFERROR(__xludf.DUMMYFUNCTION("GOOGLETRANSLATE(B10428,""en"",""es-ES"")"),"Un hombre, de espaldas a una cámara elevada, comienza a bailar mientras barre un piso de cafetería.")</f>
        <v>Un hombre, de espaldas a una cámara elevada, comienza a bailar mientras barre un piso de cafetería.</v>
      </c>
    </row>
    <row r="10429">
      <c r="A10429" s="4" t="s">
        <v>13107</v>
      </c>
      <c r="B10429" s="4" t="s">
        <v>13110</v>
      </c>
      <c r="C10429" s="5" t="str">
        <f>IFERROR(__xludf.DUMMYFUNCTION("GOOGLETRANSLATE(B10429,""en"",""es-ES"")"),"El hombre comienza a levantarse los pantalones mientras se muestra en la ropa interior azul del giro del baile, que se ha bajado los pantalones.")</f>
        <v>El hombre comienza a levantarse los pantalones mientras se muestra en la ropa interior azul del giro del baile, que se ha bajado los pantalones.</v>
      </c>
    </row>
    <row r="10430">
      <c r="A10430" s="4" t="s">
        <v>13107</v>
      </c>
      <c r="B10430" s="4" t="s">
        <v>13111</v>
      </c>
      <c r="C10430" s="5" t="str">
        <f>IFERROR(__xludf.DUMMYFUNCTION("GOOGLETRANSLATE(B10430,""en"",""es-ES"")"),"El hombre se gira para mirar la cámara y sonríe mientras se levanta los pantalones.")</f>
        <v>El hombre se gira para mirar la cámara y sonríe mientras se levanta los pantalones.</v>
      </c>
    </row>
    <row r="10431">
      <c r="A10431" s="4" t="s">
        <v>13112</v>
      </c>
      <c r="B10431" s="4" t="s">
        <v>13113</v>
      </c>
      <c r="C10431" s="5" t="str">
        <f>IFERROR(__xludf.DUMMYFUNCTION("GOOGLETRANSLATE(B10431,""en"",""es-ES"")"),"Se ve a un joven parado frente a la cámara y comienza a girar en círculos.")</f>
        <v>Se ve a un joven parado frente a la cámara y comienza a girar en círculos.</v>
      </c>
    </row>
    <row r="10432">
      <c r="A10432" s="4" t="s">
        <v>13112</v>
      </c>
      <c r="B10432" s="4" t="s">
        <v>13114</v>
      </c>
      <c r="C10432" s="5" t="str">
        <f>IFERROR(__xludf.DUMMYFUNCTION("GOOGLETRANSLATE(B10432,""en"",""es-ES"")"),"Continúa girando y luego hace varias patadas y golpes mientras también tira dardos.")</f>
        <v>Continúa girando y luego hace varias patadas y golpes mientras también tira dardos.</v>
      </c>
    </row>
    <row r="10433">
      <c r="A10433" s="4" t="s">
        <v>13115</v>
      </c>
      <c r="B10433" s="4" t="s">
        <v>13116</v>
      </c>
      <c r="C10433" s="5" t="str">
        <f>IFERROR(__xludf.DUMMYFUNCTION("GOOGLETRANSLATE(B10433,""en"",""es-ES"")"),"Un hacha descansa en un árbol caído.")</f>
        <v>Un hacha descansa en un árbol caído.</v>
      </c>
    </row>
    <row r="10434">
      <c r="A10434" s="4" t="s">
        <v>13115</v>
      </c>
      <c r="B10434" s="4" t="s">
        <v>13117</v>
      </c>
      <c r="C10434" s="5" t="str">
        <f>IFERROR(__xludf.DUMMYFUNCTION("GOOGLETRANSLATE(B10434,""en"",""es-ES"")"),"Un hombre levanta el hacha y corta el tronco del árbol.")</f>
        <v>Un hombre levanta el hacha y corta el tronco del árbol.</v>
      </c>
    </row>
    <row r="10435">
      <c r="A10435" s="4" t="s">
        <v>13115</v>
      </c>
      <c r="B10435" s="4" t="s">
        <v>13118</v>
      </c>
      <c r="C10435" s="5" t="str">
        <f>IFERROR(__xludf.DUMMYFUNCTION("GOOGLETRANSLATE(B10435,""en"",""es-ES"")"),"Continúa cortando hasta que el tronco está a la mitad, luego se aleja.")</f>
        <v>Continúa cortando hasta que el tronco está a la mitad, luego se aleja.</v>
      </c>
    </row>
    <row r="10436">
      <c r="A10436" s="4" t="s">
        <v>13119</v>
      </c>
      <c r="B10436" s="4" t="s">
        <v>13120</v>
      </c>
      <c r="C10436" s="5" t="str">
        <f>IFERROR(__xludf.DUMMYFUNCTION("GOOGLETRANSLATE(B10436,""en"",""es-ES"")"),"Un joven sonriente desliza por una diapositiva roja que tiene una red en cada lado y un nombre de marca, sitio web, correo electrónico y teléfono aparecen en la pantalla cuando llega a la parte inferior.")</f>
        <v>Un joven sonriente desliza por una diapositiva roja que tiene una red en cada lado y un nombre de marca, sitio web, correo electrónico y teléfono aparecen en la pantalla cuando llega a la parte inferior.</v>
      </c>
    </row>
    <row r="10437">
      <c r="A10437" s="4" t="s">
        <v>13119</v>
      </c>
      <c r="B10437" s="4" t="s">
        <v>13121</v>
      </c>
      <c r="C10437" s="5" t="str">
        <f>IFERROR(__xludf.DUMMYFUNCTION("GOOGLETRANSLATE(B10437,""en"",""es-ES"")"),"Luego, otros dos niños detrás de él que son niñas se deslizan hacia abajo.")</f>
        <v>Luego, otros dos niños detrás de él que son niñas se deslizan hacia abajo.</v>
      </c>
    </row>
    <row r="10438">
      <c r="A10438" s="4" t="s">
        <v>13119</v>
      </c>
      <c r="B10438" s="4" t="s">
        <v>13122</v>
      </c>
      <c r="C10438" s="5" t="str">
        <f>IFERROR(__xludf.DUMMYFUNCTION("GOOGLETRANSLATE(B10438,""en"",""es-ES"")"),"Justo cuando las chicas están llegando al fondo de la diapositiva, se levanta y deja el tobogán y las chicas siguen justo detrás de él.")</f>
        <v>Justo cuando las chicas están llegando al fondo de la diapositiva, se levanta y deja el tobogán y las chicas siguen justo detrás de él.</v>
      </c>
    </row>
    <row r="10439">
      <c r="A10439" s="4" t="s">
        <v>13123</v>
      </c>
      <c r="B10439" s="4" t="s">
        <v>13124</v>
      </c>
      <c r="C10439" s="5" t="str">
        <f>IFERROR(__xludf.DUMMYFUNCTION("GOOGLETRANSLATE(B10439,""en"",""es-ES"")"),"Vemos la tarjeta de título en negro.")</f>
        <v>Vemos la tarjeta de título en negro.</v>
      </c>
    </row>
    <row r="10440">
      <c r="A10440" s="4" t="s">
        <v>13123</v>
      </c>
      <c r="B10440" s="4" t="s">
        <v>13125</v>
      </c>
      <c r="C10440" s="5" t="str">
        <f>IFERROR(__xludf.DUMMYFUNCTION("GOOGLETRANSLATE(B10440,""en"",""es-ES"")"),"Vemos a una dama que montaba lentamente en una máquina elíptica y tira de las manijas.")</f>
        <v>Vemos a una dama que montaba lentamente en una máquina elíptica y tira de las manijas.</v>
      </c>
    </row>
    <row r="10441">
      <c r="A10441" s="4" t="s">
        <v>13123</v>
      </c>
      <c r="B10441" s="4" t="s">
        <v>13126</v>
      </c>
      <c r="C10441" s="5" t="str">
        <f>IFERROR(__xludf.DUMMYFUNCTION("GOOGLETRANSLATE(B10441,""en"",""es-ES"")"),"Cambiamos a la dama que monta sin sostener los mangos.")</f>
        <v>Cambiamos a la dama que monta sin sostener los mangos.</v>
      </c>
    </row>
    <row r="10442">
      <c r="A10442" s="4" t="s">
        <v>13123</v>
      </c>
      <c r="B10442" s="4" t="s">
        <v>13127</v>
      </c>
      <c r="C10442" s="5" t="str">
        <f>IFERROR(__xludf.DUMMYFUNCTION("GOOGLETRANSLATE(B10442,""en"",""es-ES"")"),"Luego vemos la bicicleta en el modo de paso de la escalera y usando las manijas.")</f>
        <v>Luego vemos la bicicleta en el modo de paso de la escalera y usando las manijas.</v>
      </c>
    </row>
    <row r="10443">
      <c r="A10443" s="4" t="s">
        <v>13123</v>
      </c>
      <c r="B10443" s="4" t="s">
        <v>13128</v>
      </c>
      <c r="C10443" s="5" t="str">
        <f>IFERROR(__xludf.DUMMYFUNCTION("GOOGLETRANSLATE(B10443,""en"",""es-ES"")"),"Luego la vemos usando la bicicleta en el modo de paso de escaleras sin las manijas.")</f>
        <v>Luego la vemos usando la bicicleta en el modo de paso de escaleras sin las manijas.</v>
      </c>
    </row>
    <row r="10444">
      <c r="A10444" s="4" t="s">
        <v>13129</v>
      </c>
      <c r="B10444" s="4" t="s">
        <v>13130</v>
      </c>
      <c r="C10444" s="5" t="str">
        <f>IFERROR(__xludf.DUMMYFUNCTION("GOOGLETRANSLATE(B10444,""en"",""es-ES"")"),"La gente está pintando una cerca de madera en un patio.")</f>
        <v>La gente está pintando una cerca de madera en un patio.</v>
      </c>
    </row>
    <row r="10445">
      <c r="A10445" s="4" t="s">
        <v>13129</v>
      </c>
      <c r="B10445" s="4" t="s">
        <v>13131</v>
      </c>
      <c r="C10445" s="5" t="str">
        <f>IFERROR(__xludf.DUMMYFUNCTION("GOOGLETRANSLATE(B10445,""en"",""es-ES"")"),"Un perro camina detrás de ellos.")</f>
        <v>Un perro camina detrás de ellos.</v>
      </c>
    </row>
    <row r="10446">
      <c r="A10446" s="4" t="s">
        <v>13129</v>
      </c>
      <c r="B10446" s="4" t="s">
        <v>13132</v>
      </c>
      <c r="C10446" s="5" t="str">
        <f>IFERROR(__xludf.DUMMYFUNCTION("GOOGLETRANSLATE(B10446,""en"",""es-ES"")"),"Continúan pintando la cerca.")</f>
        <v>Continúan pintando la cerca.</v>
      </c>
    </row>
    <row r="10447">
      <c r="A10447" s="4" t="s">
        <v>13133</v>
      </c>
      <c r="B10447" s="4" t="s">
        <v>13134</v>
      </c>
      <c r="C10447" s="5" t="str">
        <f>IFERROR(__xludf.DUMMYFUNCTION("GOOGLETRANSLATE(B10447,""en"",""es-ES"")"),"La mujer está de pie en una pequeña habitación haciendo trucos con un bastón.")</f>
        <v>La mujer está de pie en una pequeña habitación haciendo trucos con un bastón.</v>
      </c>
    </row>
    <row r="10448">
      <c r="A10448" s="4" t="s">
        <v>13133</v>
      </c>
      <c r="B10448" s="4" t="s">
        <v>13135</v>
      </c>
      <c r="C10448" s="5" t="str">
        <f>IFERROR(__xludf.DUMMYFUNCTION("GOOGLETRANSLATE(B10448,""en"",""es-ES"")"),"Los hombres corren de un lado de la mujer.")</f>
        <v>Los hombres corren de un lado de la mujer.</v>
      </c>
    </row>
    <row r="10449">
      <c r="A10449" s="4" t="s">
        <v>13133</v>
      </c>
      <c r="B10449" s="4" t="s">
        <v>13136</v>
      </c>
      <c r="C10449" s="5" t="str">
        <f>IFERROR(__xludf.DUMMYFUNCTION("GOOGLETRANSLATE(B10449,""en"",""es-ES"")"),"Las mujeres entran en una habitación.")</f>
        <v>Las mujeres entran en una habitación.</v>
      </c>
    </row>
    <row r="10450">
      <c r="A10450" s="4" t="s">
        <v>13137</v>
      </c>
      <c r="B10450" s="4" t="s">
        <v>13138</v>
      </c>
      <c r="C10450" s="5" t="str">
        <f>IFERROR(__xludf.DUMMYFUNCTION("GOOGLETRANSLATE(B10450,""en"",""es-ES"")"),"Los créditos de título se muestran en la pantalla.")</f>
        <v>Los créditos de título se muestran en la pantalla.</v>
      </c>
    </row>
    <row r="10451">
      <c r="A10451" s="4" t="s">
        <v>13137</v>
      </c>
      <c r="B10451" s="4" t="s">
        <v>13139</v>
      </c>
      <c r="C10451" s="5" t="str">
        <f>IFERROR(__xludf.DUMMYFUNCTION("GOOGLETRANSLATE(B10451,""en"",""es-ES"")"),"Una mujer habla con la cámara en un gimnasio.")</f>
        <v>Una mujer habla con la cámara en un gimnasio.</v>
      </c>
    </row>
    <row r="10452">
      <c r="A10452" s="4" t="s">
        <v>13137</v>
      </c>
      <c r="B10452" s="4" t="s">
        <v>13140</v>
      </c>
      <c r="C10452" s="5" t="str">
        <f>IFERROR(__xludf.DUMMYFUNCTION("GOOGLETRANSLATE(B10452,""en"",""es-ES"")"),"La mujer demuestra un ejercicio de elevación.")</f>
        <v>La mujer demuestra un ejercicio de elevación.</v>
      </c>
    </row>
    <row r="10453">
      <c r="A10453" s="4" t="s">
        <v>13137</v>
      </c>
      <c r="B10453" s="4" t="s">
        <v>13141</v>
      </c>
      <c r="C10453" s="5" t="str">
        <f>IFERROR(__xludf.DUMMYFUNCTION("GOOGLETRANSLATE(B10453,""en"",""es-ES"")"),"La mujer vuelve a la cámara y vuelve a hablar.")</f>
        <v>La mujer vuelve a la cámara y vuelve a hablar.</v>
      </c>
    </row>
    <row r="10454">
      <c r="A10454" s="4" t="s">
        <v>13137</v>
      </c>
      <c r="B10454" s="4" t="s">
        <v>13142</v>
      </c>
      <c r="C10454" s="5" t="str">
        <f>IFERROR(__xludf.DUMMYFUNCTION("GOOGLETRANSLATE(B10454,""en"",""es-ES"")"),"Los créditos finales rodan en la pantalla.")</f>
        <v>Los créditos finales rodan en la pantalla.</v>
      </c>
    </row>
    <row r="10455">
      <c r="A10455" s="4" t="s">
        <v>13143</v>
      </c>
      <c r="B10455" s="4" t="s">
        <v>13144</v>
      </c>
      <c r="C10455" s="5" t="str">
        <f>IFERROR(__xludf.DUMMYFUNCTION("GOOGLETRANSLATE(B10455,""en"",""es-ES"")"),"Un hombre arroja una carretilla de mantillo en el césped.")</f>
        <v>Un hombre arroja una carretilla de mantillo en el césped.</v>
      </c>
    </row>
    <row r="10456">
      <c r="A10456" s="4" t="s">
        <v>13143</v>
      </c>
      <c r="B10456" s="4" t="s">
        <v>13145</v>
      </c>
      <c r="C10456" s="5" t="str">
        <f>IFERROR(__xludf.DUMMYFUNCTION("GOOGLETRANSLATE(B10456,""en"",""es-ES"")"),"Lo rastrilla sobre el suelo.")</f>
        <v>Lo rastrilla sobre el suelo.</v>
      </c>
    </row>
    <row r="10457">
      <c r="A10457" s="4" t="s">
        <v>13143</v>
      </c>
      <c r="B10457" s="4" t="s">
        <v>13146</v>
      </c>
      <c r="C10457" s="5" t="str">
        <f>IFERROR(__xludf.DUMMYFUNCTION("GOOGLETRANSLATE(B10457,""en"",""es-ES"")"),"Trae otra carretilla llena de mantillo y la arrastra sobre el césped.")</f>
        <v>Trae otra carretilla llena de mantillo y la arrastra sobre el césped.</v>
      </c>
    </row>
    <row r="10458">
      <c r="A10458" s="4" t="s">
        <v>13147</v>
      </c>
      <c r="B10458" s="4" t="s">
        <v>13148</v>
      </c>
      <c r="C10458" s="5" t="str">
        <f>IFERROR(__xludf.DUMMYFUNCTION("GOOGLETRANSLATE(B10458,""en"",""es-ES"")"),"Se ve a un gran grupo de personas de pie en una multitud gritando y jugando un juego de voleibol.")</f>
        <v>Se ve a un gran grupo de personas de pie en una multitud gritando y jugando un juego de voleibol.</v>
      </c>
    </row>
    <row r="10459">
      <c r="A10459" s="4" t="s">
        <v>13147</v>
      </c>
      <c r="B10459" s="4" t="s">
        <v>13149</v>
      </c>
      <c r="C10459" s="5" t="str">
        <f>IFERROR(__xludf.DUMMYFUNCTION("GOOGLETRANSLATE(B10459,""en"",""es-ES"")"),"El grupo de chicas continúa jugando mientras las personas animan a los costados y a las animadoras.")</f>
        <v>El grupo de chicas continúa jugando mientras las personas animan a los costados y a las animadoras.</v>
      </c>
    </row>
    <row r="10460">
      <c r="A10460" s="4" t="s">
        <v>13150</v>
      </c>
      <c r="B10460" s="4" t="s">
        <v>13151</v>
      </c>
      <c r="C10460" s="5" t="str">
        <f>IFERROR(__xludf.DUMMYFUNCTION("GOOGLETRANSLATE(B10460,""en"",""es-ES"")"),"Vemos un guión asiático en la pantalla del título.")</f>
        <v>Vemos un guión asiático en la pantalla del título.</v>
      </c>
    </row>
    <row r="10461">
      <c r="A10461" s="4" t="s">
        <v>13150</v>
      </c>
      <c r="B10461" s="4" t="s">
        <v>13152</v>
      </c>
      <c r="C10461" s="5" t="str">
        <f>IFERROR(__xludf.DUMMYFUNCTION("GOOGLETRANSLATE(B10461,""en"",""es-ES"")"),"Vemos comida en una mesa y una dama recogiendo una papa.")</f>
        <v>Vemos comida en una mesa y una dama recogiendo una papa.</v>
      </c>
    </row>
    <row r="10462">
      <c r="A10462" s="4" t="s">
        <v>13150</v>
      </c>
      <c r="B10462" s="4" t="s">
        <v>13153</v>
      </c>
      <c r="C10462" s="5" t="str">
        <f>IFERROR(__xludf.DUMMYFUNCTION("GOOGLETRANSLATE(B10462,""en"",""es-ES"")"),"La papa se corta y luego se deja caer en una olla.")</f>
        <v>La papa se corta y luego se deja caer en una olla.</v>
      </c>
    </row>
    <row r="10463">
      <c r="A10463" s="4" t="s">
        <v>13150</v>
      </c>
      <c r="B10463" s="4" t="s">
        <v>13154</v>
      </c>
      <c r="C10463" s="5" t="str">
        <f>IFERROR(__xludf.DUMMYFUNCTION("GOOGLETRANSLATE(B10463,""en"",""es-ES"")"),"Se transfiere al agua fría y la piel se desliza cuando se tira.")</f>
        <v>Se transfiere al agua fría y la piel se desliza cuando se tira.</v>
      </c>
    </row>
    <row r="10464">
      <c r="A10464" s="4" t="s">
        <v>13150</v>
      </c>
      <c r="B10464" s="4" t="s">
        <v>13155</v>
      </c>
      <c r="C10464" s="5" t="str">
        <f>IFERROR(__xludf.DUMMYFUNCTION("GOOGLETRANSLATE(B10464,""en"",""es-ES"")"),"Vemos una ilustración roja en una papa y una papa se puré.")</f>
        <v>Vemos una ilustración roja en una papa y una papa se puré.</v>
      </c>
    </row>
    <row r="10465">
      <c r="A10465" s="4" t="s">
        <v>13150</v>
      </c>
      <c r="B10465" s="4" t="s">
        <v>13156</v>
      </c>
      <c r="C10465" s="5" t="str">
        <f>IFERROR(__xludf.DUMMYFUNCTION("GOOGLETRANSLATE(B10465,""en"",""es-ES"")"),"Dos papas más se pelan fácilmente, otra papa se hierve y se deja caer en agua fría.")</f>
        <v>Dos papas más se pelan fácilmente, otra papa se hierve y se deja caer en agua fría.</v>
      </c>
    </row>
    <row r="10466">
      <c r="A10466" s="4" t="s">
        <v>13157</v>
      </c>
      <c r="B10466" s="4" t="s">
        <v>13158</v>
      </c>
      <c r="C10466" s="5" t="str">
        <f>IFERROR(__xludf.DUMMYFUNCTION("GOOGLETRANSLATE(B10466,""en"",""es-ES"")"),"Se muestran varios clips de personas deambulando por las áreas, mirando a la cámara y patinando cuesta abajo.")</f>
        <v>Se muestran varios clips de personas deambulando por las áreas, mirando a la cámara y patinando cuesta abajo.</v>
      </c>
    </row>
    <row r="10467">
      <c r="A10467" s="4" t="s">
        <v>13157</v>
      </c>
      <c r="B10467" s="4" t="s">
        <v>13159</v>
      </c>
      <c r="C10467" s="5" t="str">
        <f>IFERROR(__xludf.DUMMYFUNCTION("GOOGLETRANSLATE(B10467,""en"",""es-ES"")"),"Se muestra a varias personas más que el patinaje posee diversas áreas, así como natación, juntas rodantes y surfeando en el agua.")</f>
        <v>Se muestra a varias personas más que el patinaje posee diversas áreas, así como natación, juntas rodantes y surfeando en el agua.</v>
      </c>
    </row>
    <row r="10468">
      <c r="A10468" s="4" t="s">
        <v>13157</v>
      </c>
      <c r="B10468" s="4" t="s">
        <v>13160</v>
      </c>
      <c r="C10468" s="5" t="str">
        <f>IFERROR(__xludf.DUMMYFUNCTION("GOOGLETRANSLATE(B10468,""en"",""es-ES"")"),"Los hombres realizan trucos, se desnudan, nadan bajo el agua, abren una sandía, así como otras actividades que conducen al skate.")</f>
        <v>Los hombres realizan trucos, se desnudan, nadan bajo el agua, abren una sandía, así como otras actividades que conducen al skate.</v>
      </c>
    </row>
    <row r="10469">
      <c r="A10469" s="4" t="s">
        <v>13161</v>
      </c>
      <c r="B10469" s="4" t="s">
        <v>13162</v>
      </c>
      <c r="C10469" s="5" t="str">
        <f>IFERROR(__xludf.DUMMYFUNCTION("GOOGLETRANSLATE(B10469,""en"",""es-ES"")"),"Una multitud de personas está en un estadio mirando una pelea de toros.")</f>
        <v>Una multitud de personas está en un estadio mirando una pelea de toros.</v>
      </c>
    </row>
    <row r="10470">
      <c r="A10470" s="4" t="s">
        <v>13161</v>
      </c>
      <c r="B10470" s="4" t="s">
        <v>13163</v>
      </c>
      <c r="C10470" s="5" t="str">
        <f>IFERROR(__xludf.DUMMYFUNCTION("GOOGLETRANSLATE(B10470,""en"",""es-ES"")"),"Un pequeño hombre está parado frente al toro con una tela roja y burlándose del toro.")</f>
        <v>Un pequeño hombre está parado frente al toro con una tela roja y burlándose del toro.</v>
      </c>
    </row>
    <row r="10471">
      <c r="A10471" s="4" t="s">
        <v>13161</v>
      </c>
      <c r="B10471" s="4" t="s">
        <v>13164</v>
      </c>
      <c r="C10471" s="5" t="str">
        <f>IFERROR(__xludf.DUMMYFUNCTION("GOOGLETRANSLATE(B10471,""en"",""es-ES"")"),"Una vez que el toro se mueve, tres hombres más salen con telas rosadas y comienzan a burlarse de los toros y los golpea con los cuernos.")</f>
        <v>Una vez que el toro se mueve, tres hombres más salen con telas rosadas y comienzan a burlarse de los toros y los golpea con los cuernos.</v>
      </c>
    </row>
    <row r="10472">
      <c r="A10472" s="4" t="s">
        <v>13161</v>
      </c>
      <c r="B10472" s="4" t="s">
        <v>13165</v>
      </c>
      <c r="C10472" s="5" t="str">
        <f>IFERROR(__xludf.DUMMYFUNCTION("GOOGLETRANSLATE(B10472,""en"",""es-ES"")"),"Los hombres finalmente dejan al toro solo y él se acuesta de lado y comienzan a darle algo en la boca.")</f>
        <v>Los hombres finalmente dejan al toro solo y él se acuesta de lado y comienzan a darle algo en la boca.</v>
      </c>
    </row>
    <row r="10473">
      <c r="A10473" s="4" t="s">
        <v>13161</v>
      </c>
      <c r="B10473" s="4" t="s">
        <v>13166</v>
      </c>
      <c r="C10473" s="5" t="str">
        <f>IFERROR(__xludf.DUMMYFUNCTION("GOOGLETRANSLATE(B10473,""en"",""es-ES"")"),"Una vez acostado, otro hombre viene y envuelve algo alrededor de su boca para asegurarlo mientras otro juego de hombres sale guiando caballos.")</f>
        <v>Una vez acostado, otro hombre viene y envuelve algo alrededor de su boca para asegurarlo mientras otro juego de hombres sale guiando caballos.</v>
      </c>
    </row>
    <row r="10474">
      <c r="A10474" s="4" t="s">
        <v>13167</v>
      </c>
      <c r="B10474" s="4" t="s">
        <v>13168</v>
      </c>
      <c r="C10474" s="5" t="str">
        <f>IFERROR(__xludf.DUMMYFUNCTION("GOOGLETRANSLATE(B10474,""en"",""es-ES"")"),"Dos hombres chocan en un partido de práctica de karate dentro de un estudio de gimnasia.")</f>
        <v>Dos hombres chocan en un partido de práctica de karate dentro de un estudio de gimnasia.</v>
      </c>
    </row>
    <row r="10475">
      <c r="A10475" s="4" t="s">
        <v>13167</v>
      </c>
      <c r="B10475" s="4" t="s">
        <v>13169</v>
      </c>
      <c r="C10475" s="5" t="str">
        <f>IFERROR(__xludf.DUMMYFUNCTION("GOOGLETRANSLATE(B10475,""en"",""es-ES"")"),"El instructor tropieza con el estudiante después de atrapar los golpes.")</f>
        <v>El instructor tropieza con el estudiante después de atrapar los golpes.</v>
      </c>
    </row>
    <row r="10476">
      <c r="A10476" s="4" t="s">
        <v>13167</v>
      </c>
      <c r="B10476" s="4" t="s">
        <v>13170</v>
      </c>
      <c r="C10476" s="5" t="str">
        <f>IFERROR(__xludf.DUMMYFUNCTION("GOOGLETRANSLATE(B10476,""en"",""es-ES"")"),"El instructor hace una patada deslizante al estudiante.")</f>
        <v>El instructor hace una patada deslizante al estudiante.</v>
      </c>
    </row>
    <row r="10477">
      <c r="A10477" s="4" t="s">
        <v>13167</v>
      </c>
      <c r="B10477" s="4" t="s">
        <v>13171</v>
      </c>
      <c r="C10477" s="5" t="str">
        <f>IFERROR(__xludf.DUMMYFUNCTION("GOOGLETRANSLATE(B10477,""en"",""es-ES"")"),"El instructor atrapa las patadas del estudiante.")</f>
        <v>El instructor atrapa las patadas del estudiante.</v>
      </c>
    </row>
    <row r="10478">
      <c r="A10478" s="4" t="s">
        <v>13172</v>
      </c>
      <c r="B10478" s="4" t="s">
        <v>13173</v>
      </c>
      <c r="C10478" s="5" t="str">
        <f>IFERROR(__xludf.DUMMYFUNCTION("GOOGLETRANSLATE(B10478,""en"",""es-ES"")"),"Un hombre sin camisa con un machete sale al patio delantero.")</f>
        <v>Un hombre sin camisa con un machete sale al patio delantero.</v>
      </c>
    </row>
    <row r="10479">
      <c r="A10479" s="4" t="s">
        <v>13172</v>
      </c>
      <c r="B10479" s="4" t="s">
        <v>13174</v>
      </c>
      <c r="C10479" s="5" t="str">
        <f>IFERROR(__xludf.DUMMYFUNCTION("GOOGLETRANSLATE(B10479,""en"",""es-ES"")"),"Comienza a golpear la hierba repetidamente una y otra vez cortando la hierba.")</f>
        <v>Comienza a golpear la hierba repetidamente una y otra vez cortando la hierba.</v>
      </c>
    </row>
    <row r="10480">
      <c r="A10480" s="4" t="s">
        <v>13172</v>
      </c>
      <c r="B10480" s="4" t="s">
        <v>13175</v>
      </c>
      <c r="C10480" s="5" t="str">
        <f>IFERROR(__xludf.DUMMYFUNCTION("GOOGLETRANSLATE(B10480,""en"",""es-ES"")"),"En lugar de usar una cortadora de césped, está cortando la hierba con un machete.")</f>
        <v>En lugar de usar una cortadora de césped, está cortando la hierba con un machete.</v>
      </c>
    </row>
    <row r="10481">
      <c r="A10481" s="4" t="s">
        <v>13172</v>
      </c>
      <c r="B10481" s="4" t="s">
        <v>13176</v>
      </c>
      <c r="C10481" s="5" t="str">
        <f>IFERROR(__xludf.DUMMYFUNCTION("GOOGLETRANSLATE(B10481,""en"",""es-ES"")"),"Se deja de pie y camina hacia un parche y luego comienza a usar el machete hacia él también.")</f>
        <v>Se deja de pie y camina hacia un parche y luego comienza a usar el machete hacia él también.</v>
      </c>
    </row>
    <row r="10482">
      <c r="A10482" s="4" t="s">
        <v>13177</v>
      </c>
      <c r="B10482" s="4" t="s">
        <v>13178</v>
      </c>
      <c r="C10482" s="5" t="str">
        <f>IFERROR(__xludf.DUMMYFUNCTION("GOOGLETRANSLATE(B10482,""en"",""es-ES"")"),"Las dos personas toman tiros con sus discos por el tablero.")</f>
        <v>Las dos personas toman tiros con sus discos por el tablero.</v>
      </c>
    </row>
    <row r="10483">
      <c r="A10483" s="4" t="s">
        <v>13177</v>
      </c>
      <c r="B10483" s="4" t="s">
        <v>13179</v>
      </c>
      <c r="C10483" s="5" t="str">
        <f>IFERROR(__xludf.DUMMYFUNCTION("GOOGLETRANSLATE(B10483,""en"",""es-ES"")"),"La persona cambia el puntaje en el tablero publicado en un poste.")</f>
        <v>La persona cambia el puntaje en el tablero publicado en un poste.</v>
      </c>
    </row>
    <row r="10484">
      <c r="A10484" s="4" t="s">
        <v>13177</v>
      </c>
      <c r="B10484" s="4" t="s">
        <v>13180</v>
      </c>
      <c r="C10484" s="5" t="str">
        <f>IFERROR(__xludf.DUMMYFUNCTION("GOOGLETRANSLATE(B10484,""en"",""es-ES"")"),"Un jugador camina por el tablero para recuperar los discos.")</f>
        <v>Un jugador camina por el tablero para recuperar los discos.</v>
      </c>
    </row>
    <row r="10485">
      <c r="A10485" s="4" t="s">
        <v>13177</v>
      </c>
      <c r="B10485" s="4" t="s">
        <v>13181</v>
      </c>
      <c r="C10485" s="5" t="str">
        <f>IFERROR(__xludf.DUMMYFUNCTION("GOOGLETRANSLATE(B10485,""en"",""es-ES"")"),"Dos personas juegan un juego pausado de shuffle en una cancha al aire libre.")</f>
        <v>Dos personas juegan un juego pausado de shuffle en una cancha al aire libre.</v>
      </c>
    </row>
    <row r="10486">
      <c r="A10486" s="4" t="s">
        <v>13182</v>
      </c>
      <c r="B10486" s="4" t="s">
        <v>13183</v>
      </c>
      <c r="C10486" s="5" t="str">
        <f>IFERROR(__xludf.DUMMYFUNCTION("GOOGLETRANSLATE(B10486,""en"",""es-ES"")"),"Se muestra un escenario vacío con cuatro luces cuando una multitud de personas está esperando que suceda algo.")</f>
        <v>Se muestra un escenario vacío con cuatro luces cuando una multitud de personas está esperando que suceda algo.</v>
      </c>
    </row>
    <row r="10487">
      <c r="A10487" s="4" t="s">
        <v>13182</v>
      </c>
      <c r="B10487" s="4" t="s">
        <v>13184</v>
      </c>
      <c r="C10487" s="5" t="str">
        <f>IFERROR(__xludf.DUMMYFUNCTION("GOOGLETRANSLATE(B10487,""en"",""es-ES"")"),"Una dama con una capa y una falda naranja y amarilla sale de un lado y comienza a bailar.")</f>
        <v>Una dama con una capa y una falda naranja y amarilla sale de un lado y comienza a bailar.</v>
      </c>
    </row>
    <row r="10488">
      <c r="A10488" s="4" t="s">
        <v>13182</v>
      </c>
      <c r="B10488" s="4" t="s">
        <v>13185</v>
      </c>
      <c r="C10488" s="5" t="str">
        <f>IFERROR(__xludf.DUMMYFUNCTION("GOOGLETRANSLATE(B10488,""en"",""es-ES"")"),"Luego, la mujer deja caer la capa y comienza a caminar hacia la multitud moviendo su pecho y sonriendo a la gente.")</f>
        <v>Luego, la mujer deja caer la capa y comienza a caminar hacia la multitud moviendo su pecho y sonriendo a la gente.</v>
      </c>
    </row>
    <row r="10489">
      <c r="A10489" s="4" t="s">
        <v>13186</v>
      </c>
      <c r="B10489" s="4" t="s">
        <v>13187</v>
      </c>
      <c r="C10489" s="5" t="str">
        <f>IFERROR(__xludf.DUMMYFUNCTION("GOOGLETRANSLATE(B10489,""en"",""es-ES"")"),"Vemos gente jugando paintball en un campo de fútbol.")</f>
        <v>Vemos gente jugando paintball en un campo de fútbol.</v>
      </c>
    </row>
    <row r="10490">
      <c r="A10490" s="4" t="s">
        <v>13186</v>
      </c>
      <c r="B10490" s="4" t="s">
        <v>13188</v>
      </c>
      <c r="C10490" s="5" t="str">
        <f>IFERROR(__xludf.DUMMYFUNCTION("GOOGLETRANSLATE(B10490,""en"",""es-ES"")"),"La gente despega y sale al campo.")</f>
        <v>La gente despega y sale al campo.</v>
      </c>
    </row>
    <row r="10491">
      <c r="A10491" s="4" t="s">
        <v>13186</v>
      </c>
      <c r="B10491" s="4" t="s">
        <v>13189</v>
      </c>
      <c r="C10491" s="5" t="str">
        <f>IFERROR(__xludf.DUMMYFUNCTION("GOOGLETRANSLATE(B10491,""en"",""es-ES"")"),"El hombre se arrastra en el suelo.")</f>
        <v>El hombre se arrastra en el suelo.</v>
      </c>
    </row>
    <row r="10492">
      <c r="A10492" s="4" t="s">
        <v>13186</v>
      </c>
      <c r="B10492" s="4" t="s">
        <v>13190</v>
      </c>
      <c r="C10492" s="5" t="str">
        <f>IFERROR(__xludf.DUMMYFUNCTION("GOOGLETRANSLATE(B10492,""en"",""es-ES"")"),"Llena su arma con bolas de naranja.")</f>
        <v>Llena su arma con bolas de naranja.</v>
      </c>
    </row>
    <row r="10493">
      <c r="A10493" s="4" t="s">
        <v>13186</v>
      </c>
      <c r="B10493" s="4" t="s">
        <v>13191</v>
      </c>
      <c r="C10493" s="5" t="str">
        <f>IFERROR(__xludf.DUMMYFUNCTION("GOOGLETRANSLATE(B10493,""en"",""es-ES"")"),"Una persona se acerca a la bolsa cerca del hombre.")</f>
        <v>Una persona se acerca a la bolsa cerca del hombre.</v>
      </c>
    </row>
    <row r="10494">
      <c r="A10494" s="4" t="s">
        <v>13186</v>
      </c>
      <c r="B10494" s="4" t="s">
        <v>13192</v>
      </c>
      <c r="C10494" s="5" t="str">
        <f>IFERROR(__xludf.DUMMYFUNCTION("GOOGLETRANSLATE(B10494,""en"",""es-ES"")"),"El hombre recarga su arma con bolas azules.")</f>
        <v>El hombre recarga su arma con bolas azules.</v>
      </c>
    </row>
    <row r="10495">
      <c r="A10495" s="4" t="s">
        <v>13186</v>
      </c>
      <c r="B10495" s="4" t="s">
        <v>13193</v>
      </c>
      <c r="C10495" s="5" t="str">
        <f>IFERROR(__xludf.DUMMYFUNCTION("GOOGLETRANSLATE(B10495,""en"",""es-ES"")"),"Vemos a un hombre detrás de una cerca y el hombre está caminando.")</f>
        <v>Vemos a un hombre detrás de una cerca y el hombre está caminando.</v>
      </c>
    </row>
    <row r="10496">
      <c r="A10496" s="4" t="s">
        <v>13194</v>
      </c>
      <c r="B10496" s="4" t="s">
        <v>13195</v>
      </c>
      <c r="C10496" s="5" t="str">
        <f>IFERROR(__xludf.DUMMYFUNCTION("GOOGLETRANSLATE(B10496,""en"",""es-ES"")"),"Se ve a un hombre sentado en la parte trasera de un automóvil que depilaba por una tabla de surf y otro hombre que habla con la cámara.")</f>
        <v>Se ve a un hombre sentado en la parte trasera de un automóvil que depilaba por una tabla de surf y otro hombre que habla con la cámara.</v>
      </c>
    </row>
    <row r="10497">
      <c r="A10497" s="4" t="s">
        <v>13194</v>
      </c>
      <c r="B10497" s="4" t="s">
        <v>13196</v>
      </c>
      <c r="C10497" s="5" t="str">
        <f>IFERROR(__xludf.DUMMYFUNCTION("GOOGLETRANSLATE(B10497,""en"",""es-ES"")"),"Se muestran las tomas de cámara lenta de un hombre de surf y el hombre continúa hablando.")</f>
        <v>Se muestran las tomas de cámara lenta de un hombre de surf y el hombre continúa hablando.</v>
      </c>
    </row>
    <row r="10498">
      <c r="A10498" s="4" t="s">
        <v>13197</v>
      </c>
      <c r="B10498" s="4" t="s">
        <v>13198</v>
      </c>
      <c r="C10498" s="5" t="str">
        <f>IFERROR(__xludf.DUMMYFUNCTION("GOOGLETRANSLATE(B10498,""en"",""es-ES"")"),"La gente viaja en veleros desde la vista de un gran transatlántico.")</f>
        <v>La gente viaja en veleros desde la vista de un gran transatlántico.</v>
      </c>
    </row>
    <row r="10499">
      <c r="A10499" s="4" t="s">
        <v>13197</v>
      </c>
      <c r="B10499" s="4" t="s">
        <v>13199</v>
      </c>
      <c r="C10499" s="5" t="str">
        <f>IFERROR(__xludf.DUMMYFUNCTION("GOOGLETRANSLATE(B10499,""en"",""es-ES"")"),"Una mujer se apoya contra el borde, observando los botes.")</f>
        <v>Una mujer se apoya contra el borde, observando los botes.</v>
      </c>
    </row>
    <row r="10500">
      <c r="A10500" s="4" t="s">
        <v>13200</v>
      </c>
      <c r="B10500" s="4" t="s">
        <v>13201</v>
      </c>
      <c r="C10500" s="5" t="str">
        <f>IFERROR(__xludf.DUMMYFUNCTION("GOOGLETRANSLATE(B10500,""en"",""es-ES"")"),"Un hombre está filmando dentro del apartamento de AM mirando a alrededor de varias cosas diferentes.")</f>
        <v>Un hombre está filmando dentro del apartamento de AM mirando a alrededor de varias cosas diferentes.</v>
      </c>
    </row>
    <row r="10501">
      <c r="A10501" s="4" t="s">
        <v>13200</v>
      </c>
      <c r="B10501" s="4" t="s">
        <v>13202</v>
      </c>
      <c r="C10501" s="5" t="str">
        <f>IFERROR(__xludf.DUMMYFUNCTION("GOOGLETRANSLATE(B10501,""en"",""es-ES"")"),"Un niño pequeño entra en la escena y sale rápidamente de la vista de la cámara.")</f>
        <v>Un niño pequeño entra en la escena y sale rápidamente de la vista de la cámara.</v>
      </c>
    </row>
    <row r="10502">
      <c r="A10502" s="4" t="s">
        <v>13200</v>
      </c>
      <c r="B10502" s="4" t="s">
        <v>13203</v>
      </c>
      <c r="C10502" s="5" t="str">
        <f>IFERROR(__xludf.DUMMYFUNCTION("GOOGLETRANSLATE(B10502,""en"",""es-ES"")"),"El niño entra en la cámara nuevamente haciendo que el karate se mueve con un palo.")</f>
        <v>El niño entra en la cámara nuevamente haciendo que el karate se mueve con un palo.</v>
      </c>
    </row>
    <row r="10503">
      <c r="A10503" s="4" t="s">
        <v>13200</v>
      </c>
      <c r="B10503" s="4" t="s">
        <v>13204</v>
      </c>
      <c r="C10503" s="5" t="str">
        <f>IFERROR(__xludf.DUMMYFUNCTION("GOOGLETRANSLATE(B10503,""en"",""es-ES"")"),"El hombre tiene un primer plano del niño mientras habla con el niño en otro idioma.")</f>
        <v>El hombre tiene un primer plano del niño mientras habla con el niño en otro idioma.</v>
      </c>
    </row>
    <row r="10504">
      <c r="A10504" s="4" t="s">
        <v>13200</v>
      </c>
      <c r="B10504" s="4" t="s">
        <v>13205</v>
      </c>
      <c r="C10504" s="5" t="str">
        <f>IFERROR(__xludf.DUMMYFUNCTION("GOOGLETRANSLATE(B10504,""en"",""es-ES"")"),"El niño hace un arco y el video termina.")</f>
        <v>El niño hace un arco y el video termina.</v>
      </c>
    </row>
    <row r="10505">
      <c r="A10505" s="4" t="s">
        <v>13206</v>
      </c>
      <c r="B10505" s="4" t="s">
        <v>13207</v>
      </c>
      <c r="C10505" s="5" t="str">
        <f>IFERROR(__xludf.DUMMYFUNCTION("GOOGLETRANSLATE(B10505,""en"",""es-ES"")"),"Un atleta con un uniforme blanco y azul se prepara para competir en una competencia de triple salto en un torneo de atletismo.")</f>
        <v>Un atleta con un uniforme blanco y azul se prepara para competir en una competencia de triple salto en un torneo de atletismo.</v>
      </c>
    </row>
    <row r="10506">
      <c r="A10506" s="4" t="s">
        <v>13206</v>
      </c>
      <c r="B10506" s="4" t="s">
        <v>13208</v>
      </c>
      <c r="C10506" s="5" t="str">
        <f>IFERROR(__xludf.DUMMYFUNCTION("GOOGLETRANSLATE(B10506,""en"",""es-ES"")"),"El competidor comienza gradualmente corriendo lentamente y luego recogiendo velocidad a un sprint y aterrizando un pie en la línea de marcador blanco y dos lúpulos más en cada pie y luego salta sobre el curso de arena.")</f>
        <v>El competidor comienza gradualmente corriendo lentamente y luego recogiendo velocidad a un sprint y aterrizando un pie en la línea de marcador blanco y dos lúpulos más en cada pie y luego salta sobre el curso de arena.</v>
      </c>
    </row>
    <row r="10507">
      <c r="A10507" s="4" t="s">
        <v>13206</v>
      </c>
      <c r="B10507" s="4" t="s">
        <v>13209</v>
      </c>
      <c r="C10507" s="5" t="str">
        <f>IFERROR(__xludf.DUMMYFUNCTION("GOOGLETRANSLATE(B10507,""en"",""es-ES"")"),"El competidor se salta y sale de la pista y va a los puestos de espectadores y celebra su salto.")</f>
        <v>El competidor se salta y sale de la pista y va a los puestos de espectadores y celebra su salto.</v>
      </c>
    </row>
    <row r="10508">
      <c r="A10508" s="4" t="s">
        <v>13206</v>
      </c>
      <c r="B10508" s="4" t="s">
        <v>13210</v>
      </c>
      <c r="C10508" s="5" t="str">
        <f>IFERROR(__xludf.DUMMYFUNCTION("GOOGLETRANSLATE(B10508,""en"",""es-ES"")"),"Un primer plano de la posición del pie de la competencia que aterriza en la línea del marcador blanco se muestra en un primer plano y el salto se muestra en cámara lenta y a una velocidad regular varias veces.")</f>
        <v>Un primer plano de la posición del pie de la competencia que aterriza en la línea del marcador blanco se muestra en un primer plano y el salto se muestra en cámara lenta y a una velocidad regular varias veces.</v>
      </c>
    </row>
    <row r="10509">
      <c r="A10509" s="4" t="s">
        <v>13211</v>
      </c>
      <c r="B10509" s="4" t="s">
        <v>13212</v>
      </c>
      <c r="C10509" s="5" t="str">
        <f>IFERROR(__xludf.DUMMYFUNCTION("GOOGLETRANSLATE(B10509,""en"",""es-ES"")"),"La cámara se mueve alrededor de un gran grupo de personas que juegan un partido de fútbol en un campo con muchas personas mirando a los lados.")</f>
        <v>La cámara se mueve alrededor de un gran grupo de personas que juegan un partido de fútbol en un campo con muchas personas mirando a los lados.</v>
      </c>
    </row>
    <row r="10510">
      <c r="A10510" s="4" t="s">
        <v>13211</v>
      </c>
      <c r="B10510" s="4" t="s">
        <v>13213</v>
      </c>
      <c r="C10510" s="5" t="str">
        <f>IFERROR(__xludf.DUMMYFUNCTION("GOOGLETRANSLATE(B10510,""en"",""es-ES"")"),"Los jugadores caminan un poco por el campo y conducen a ellos jugando el juego.")</f>
        <v>Los jugadores caminan un poco por el campo y conducen a ellos jugando el juego.</v>
      </c>
    </row>
    <row r="10511">
      <c r="A10511" s="4" t="s">
        <v>13211</v>
      </c>
      <c r="B10511" s="4" t="s">
        <v>13214</v>
      </c>
      <c r="C10511" s="5" t="str">
        <f>IFERROR(__xludf.DUMMYFUNCTION("GOOGLETRANSLATE(B10511,""en"",""es-ES"")"),"La mano de una persona cubre la cámara y se mueve por toda la zona.")</f>
        <v>La mano de una persona cubre la cámara y se mueve por toda la zona.</v>
      </c>
    </row>
    <row r="10512">
      <c r="A10512" s="4" t="s">
        <v>13215</v>
      </c>
      <c r="B10512" s="4" t="s">
        <v>13216</v>
      </c>
      <c r="C10512" s="5" t="str">
        <f>IFERROR(__xludf.DUMMYFUNCTION("GOOGLETRANSLATE(B10512,""en"",""es-ES"")"),"Una mujer mira a través de una gran pila de ropa y comienza a tirar al camarógrafo.")</f>
        <v>Una mujer mira a través de una gran pila de ropa y comienza a tirar al camarógrafo.</v>
      </c>
    </row>
    <row r="10513">
      <c r="A10513" s="4" t="s">
        <v>13215</v>
      </c>
      <c r="B10513" s="4" t="s">
        <v>13217</v>
      </c>
      <c r="C10513" s="5" t="str">
        <f>IFERROR(__xludf.DUMMYFUNCTION("GOOGLETRANSLATE(B10513,""en"",""es-ES"")"),"Ella mide su dirección mientras habla e hierva algo de ropa sobre la mesa.")</f>
        <v>Ella mide su dirección mientras habla e hierva algo de ropa sobre la mesa.</v>
      </c>
    </row>
    <row r="10514">
      <c r="A10514" s="4" t="s">
        <v>13218</v>
      </c>
      <c r="B10514" s="4" t="s">
        <v>13219</v>
      </c>
      <c r="C10514" s="5" t="str">
        <f>IFERROR(__xludf.DUMMYFUNCTION("GOOGLETRANSLATE(B10514,""en"",""es-ES"")"),"Se ve a una persona volteando su cuello hacia un lado y una persona que usa guantes que sostienen una aguja.")</f>
        <v>Se ve a una persona volteando su cuello hacia un lado y una persona que usa guantes que sostienen una aguja.</v>
      </c>
    </row>
    <row r="10515">
      <c r="A10515" s="4" t="s">
        <v>13218</v>
      </c>
      <c r="B10515" s="4" t="s">
        <v>13220</v>
      </c>
      <c r="C10515" s="5" t="str">
        <f>IFERROR(__xludf.DUMMYFUNCTION("GOOGLETRANSLATE(B10515,""en"",""es-ES"")"),"La persona luego perfora la oreja de la niña sentada.")</f>
        <v>La persona luego perfora la oreja de la niña sentada.</v>
      </c>
    </row>
    <row r="10516">
      <c r="A10516" s="4" t="s">
        <v>13218</v>
      </c>
      <c r="B10516" s="4" t="s">
        <v>13221</v>
      </c>
      <c r="C10516" s="5" t="str">
        <f>IFERROR(__xludf.DUMMYFUNCTION("GOOGLETRANSLATE(B10516,""en"",""es-ES"")"),"Él pone un arete a través de la perforación y se asegura de que esté en su lugar.")</f>
        <v>Él pone un arete a través de la perforación y se asegura de que esté en su lugar.</v>
      </c>
    </row>
    <row r="10517">
      <c r="A10517" s="4" t="s">
        <v>13222</v>
      </c>
      <c r="B10517" s="4" t="s">
        <v>13223</v>
      </c>
      <c r="C10517" s="5" t="str">
        <f>IFERROR(__xludf.DUMMYFUNCTION("GOOGLETRANSLATE(B10517,""en"",""es-ES"")"),"Hay varias personas vestidas con chalecos de seguridad y cascos que navegan en una lancha rápida para ir tubos de tubería.")</f>
        <v>Hay varias personas vestidas con chalecos de seguridad y cascos que navegan en una lancha rápida para ir tubos de tubería.</v>
      </c>
    </row>
    <row r="10518">
      <c r="A10518" s="4" t="s">
        <v>13222</v>
      </c>
      <c r="B10518" s="4" t="s">
        <v>13224</v>
      </c>
      <c r="C10518" s="5" t="str">
        <f>IFERROR(__xludf.DUMMYFUNCTION("GOOGLETRANSLATE(B10518,""en"",""es-ES"")"),"Viajan por el lago y llegan a un lugar donde se bajan del bote y saltan al agua con sus tubos.")</f>
        <v>Viajan por el lago y llegan a un lugar donde se bajan del bote y saltan al agua con sus tubos.</v>
      </c>
    </row>
    <row r="10519">
      <c r="A10519" s="4" t="s">
        <v>13222</v>
      </c>
      <c r="B10519" s="4" t="s">
        <v>13225</v>
      </c>
      <c r="C10519" s="5" t="str">
        <f>IFERROR(__xludf.DUMMYFUNCTION("GOOGLETRANSLATE(B10519,""en"",""es-ES"")"),"Se suben a los tubos amarillos y flotan a lo largo del agua.")</f>
        <v>Se suben a los tubos amarillos y flotan a lo largo del agua.</v>
      </c>
    </row>
    <row r="10520">
      <c r="A10520" s="4" t="s">
        <v>13226</v>
      </c>
      <c r="B10520" s="4" t="s">
        <v>13227</v>
      </c>
      <c r="C10520" s="5" t="str">
        <f>IFERROR(__xludf.DUMMYFUNCTION("GOOGLETRANSLATE(B10520,""en"",""es-ES"")"),"Vemos a un hombre hablando en una tienda de bicicletas.")</f>
        <v>Vemos a un hombre hablando en una tienda de bicicletas.</v>
      </c>
    </row>
    <row r="10521">
      <c r="A10521" s="4" t="s">
        <v>13226</v>
      </c>
      <c r="B10521" s="4" t="s">
        <v>13228</v>
      </c>
      <c r="C10521" s="5" t="str">
        <f>IFERROR(__xludf.DUMMYFUNCTION("GOOGLETRANSLATE(B10521,""en"",""es-ES"")"),"El hombre toca las barras de mango de una bicicleta y luego agarra un cable de una mesa.")</f>
        <v>El hombre toca las barras de mango de una bicicleta y luego agarra un cable de una mesa.</v>
      </c>
    </row>
    <row r="10522">
      <c r="A10522" s="4" t="s">
        <v>13226</v>
      </c>
      <c r="B10522" s="4" t="s">
        <v>13229</v>
      </c>
      <c r="C10522" s="5" t="str">
        <f>IFERROR(__xludf.DUMMYFUNCTION("GOOGLETRANSLATE(B10522,""en"",""es-ES"")"),"El hombre corre el cable a través del sistema de frenos de bicicletas.")</f>
        <v>El hombre corre el cable a través del sistema de frenos de bicicletas.</v>
      </c>
    </row>
    <row r="10523">
      <c r="A10523" s="4" t="s">
        <v>13226</v>
      </c>
      <c r="B10523" s="4" t="s">
        <v>13230</v>
      </c>
      <c r="C10523" s="5" t="str">
        <f>IFERROR(__xludf.DUMMYFUNCTION("GOOGLETRANSLATE(B10523,""en"",""es-ES"")"),"El hombre agrega una vaina de plástico negra sobre el cable y la une al aparato ortopédico.")</f>
        <v>El hombre agrega una vaina de plástico negra sobre el cable y la une al aparato ortopédico.</v>
      </c>
    </row>
    <row r="10524">
      <c r="A10524" s="4" t="s">
        <v>13231</v>
      </c>
      <c r="B10524" s="4" t="s">
        <v>13232</v>
      </c>
      <c r="C10524" s="5" t="str">
        <f>IFERROR(__xludf.DUMMYFUNCTION("GOOGLETRANSLATE(B10524,""en"",""es-ES"")"),"El equipo de uniforme blanco y rojo bailó en la cancha.")</f>
        <v>El equipo de uniforme blanco y rojo bailó en la cancha.</v>
      </c>
    </row>
    <row r="10525">
      <c r="A10525" s="4" t="s">
        <v>13231</v>
      </c>
      <c r="B10525" s="4" t="s">
        <v>13233</v>
      </c>
      <c r="C10525" s="5" t="str">
        <f>IFERROR(__xludf.DUMMYFUNCTION("GOOGLETRANSLATE(B10525,""en"",""es-ES"")"),"El equipo individualmente hace una cuerda de salto, bailaba en el suelo.")</f>
        <v>El equipo individualmente hace una cuerda de salto, bailaba en el suelo.</v>
      </c>
    </row>
    <row r="10526">
      <c r="A10526" s="4" t="s">
        <v>13231</v>
      </c>
      <c r="B10526" s="4" t="s">
        <v>13234</v>
      </c>
      <c r="C10526" s="5" t="str">
        <f>IFERROR(__xludf.DUMMYFUNCTION("GOOGLETRANSLATE(B10526,""en"",""es-ES"")"),"El equipo hace cuerdas saltando donde dos hembras sostienen el final de la cuerda de salto, girándolas cuando el otro miembro del equipo saltó dentro de la cuerda y bailó.")</f>
        <v>El equipo hace cuerdas saltando donde dos hembras sostienen el final de la cuerda de salto, girándolas cuando el otro miembro del equipo saltó dentro de la cuerda y bailó.</v>
      </c>
    </row>
    <row r="10527">
      <c r="A10527" s="4" t="s">
        <v>13235</v>
      </c>
      <c r="B10527" s="4" t="s">
        <v>13236</v>
      </c>
      <c r="C10527" s="5" t="str">
        <f>IFERROR(__xludf.DUMMYFUNCTION("GOOGLETRANSLATE(B10527,""en"",""es-ES"")"),"Una persona está ensamblando un vacío en la alfombra.")</f>
        <v>Una persona está ensamblando un vacío en la alfombra.</v>
      </c>
    </row>
    <row r="10528">
      <c r="A10528" s="4" t="s">
        <v>13235</v>
      </c>
      <c r="B10528" s="4" t="s">
        <v>13237</v>
      </c>
      <c r="C10528" s="5" t="str">
        <f>IFERROR(__xludf.DUMMYFUNCTION("GOOGLETRANSLATE(B10528,""en"",""es-ES"")"),"Conectan el vacío.")</f>
        <v>Conectan el vacío.</v>
      </c>
    </row>
    <row r="10529">
      <c r="A10529" s="4" t="s">
        <v>13235</v>
      </c>
      <c r="B10529" s="4" t="s">
        <v>13238</v>
      </c>
      <c r="C10529" s="5" t="str">
        <f>IFERROR(__xludf.DUMMYFUNCTION("GOOGLETRANSLATE(B10529,""en"",""es-ES"")"),"Encienden la aspiradora y comienzan a aspirar el piso.")</f>
        <v>Encienden la aspiradora y comienzan a aspirar el piso.</v>
      </c>
    </row>
    <row r="10530">
      <c r="A10530" s="4" t="s">
        <v>13235</v>
      </c>
      <c r="B10530" s="4" t="s">
        <v>13239</v>
      </c>
      <c r="C10530" s="5" t="str">
        <f>IFERROR(__xludf.DUMMYFUNCTION("GOOGLETRANSLATE(B10530,""en"",""es-ES"")"),"Quitan la manguera de accesorio y aspiran las tablas de base y las escaleras.")</f>
        <v>Quitan la manguera de accesorio y aspiran las tablas de base y las escaleras.</v>
      </c>
    </row>
    <row r="10531">
      <c r="A10531" s="4" t="s">
        <v>13235</v>
      </c>
      <c r="B10531" s="4" t="s">
        <v>13240</v>
      </c>
      <c r="C10531" s="5" t="str">
        <f>IFERROR(__xludf.DUMMYFUNCTION("GOOGLETRANSLATE(B10531,""en"",""es-ES"")"),"Sacan el filtro y lo vacían.")</f>
        <v>Sacan el filtro y lo vacían.</v>
      </c>
    </row>
    <row r="10532">
      <c r="A10532" s="4" t="s">
        <v>13235</v>
      </c>
      <c r="B10532" s="4" t="s">
        <v>13241</v>
      </c>
      <c r="C10532" s="5" t="str">
        <f>IFERROR(__xludf.DUMMYFUNCTION("GOOGLETRANSLATE(B10532,""en"",""es-ES"")"),"Desenchufan el vacío y lo ponen en el armario.")</f>
        <v>Desenchufan el vacío y lo ponen en el armario.</v>
      </c>
    </row>
    <row r="10533">
      <c r="A10533" s="4" t="s">
        <v>13242</v>
      </c>
      <c r="B10533" s="4" t="s">
        <v>13243</v>
      </c>
      <c r="C10533" s="5" t="str">
        <f>IFERROR(__xludf.DUMMYFUNCTION("GOOGLETRANSLATE(B10533,""en"",""es-ES"")"),"Un niño pequeño juega en una escalera en una tienda.")</f>
        <v>Un niño pequeño juega en una escalera en una tienda.</v>
      </c>
    </row>
    <row r="10534">
      <c r="A10534" s="4" t="s">
        <v>13242</v>
      </c>
      <c r="B10534" s="4" t="s">
        <v>13244</v>
      </c>
      <c r="C10534" s="5" t="str">
        <f>IFERROR(__xludf.DUMMYFUNCTION("GOOGLETRANSLATE(B10534,""en"",""es-ES"")"),"Retrocedemos y vemos las piernas de los niños.")</f>
        <v>Retrocedemos y vemos las piernas de los niños.</v>
      </c>
    </row>
    <row r="10535">
      <c r="A10535" s="4" t="s">
        <v>13242</v>
      </c>
      <c r="B10535" s="4" t="s">
        <v>13245</v>
      </c>
      <c r="C10535" s="5" t="str">
        <f>IFERROR(__xludf.DUMMYFUNCTION("GOOGLETRANSLATE(B10535,""en"",""es-ES"")"),"La cámara se acerca al niño nuevamente.")</f>
        <v>La cámara se acerca al niño nuevamente.</v>
      </c>
    </row>
    <row r="10536">
      <c r="A10536" s="4" t="s">
        <v>13246</v>
      </c>
      <c r="B10536" s="4" t="s">
        <v>13247</v>
      </c>
      <c r="C10536" s="5" t="str">
        <f>IFERROR(__xludf.DUMMYFUNCTION("GOOGLETRANSLATE(B10536,""en"",""es-ES"")"),"Una niña en un pañal usa un pequeño vacío.")</f>
        <v>Una niña en un pañal usa un pequeño vacío.</v>
      </c>
    </row>
    <row r="10537">
      <c r="A10537" s="4" t="s">
        <v>13246</v>
      </c>
      <c r="B10537" s="4" t="s">
        <v>13248</v>
      </c>
      <c r="C10537" s="5" t="str">
        <f>IFERROR(__xludf.DUMMYFUNCTION("GOOGLETRANSLATE(B10537,""en"",""es-ES"")"),"Ella aspira a la suciedad de debajo de una silla en una sala de estar.")</f>
        <v>Ella aspira a la suciedad de debajo de una silla en una sala de estar.</v>
      </c>
    </row>
    <row r="10538">
      <c r="A10538" s="4" t="s">
        <v>13246</v>
      </c>
      <c r="B10538" s="4" t="s">
        <v>13249</v>
      </c>
      <c r="C10538" s="5" t="str">
        <f>IFERROR(__xludf.DUMMYFUNCTION("GOOGLETRANSLATE(B10538,""en"",""es-ES"")"),"Ella usa el cepillo para absorber la tierra en el piso.")</f>
        <v>Ella usa el cepillo para absorber la tierra en el piso.</v>
      </c>
    </row>
    <row r="10539">
      <c r="A10539" s="4" t="s">
        <v>13250</v>
      </c>
      <c r="B10539" s="4" t="s">
        <v>13251</v>
      </c>
      <c r="C10539" s="5" t="str">
        <f>IFERROR(__xludf.DUMMYFUNCTION("GOOGLETRANSLATE(B10539,""en"",""es-ES"")"),"Un niño gira alrededor de un gimnasio con una raqueta de tenis y empuja una pelota a otro niño.")</f>
        <v>Un niño gira alrededor de un gimnasio con una raqueta de tenis y empuja una pelota a otro niño.</v>
      </c>
    </row>
    <row r="10540">
      <c r="A10540" s="4" t="s">
        <v>13250</v>
      </c>
      <c r="B10540" s="4" t="s">
        <v>13252</v>
      </c>
      <c r="C10540" s="5" t="str">
        <f>IFERROR(__xludf.DUMMYFUNCTION("GOOGLETRANSLATE(B10540,""en"",""es-ES"")"),"Los chicos corren de regreso y cuarta bolas de rebote contra una pared con las manos y una raqueta de tenis.")</f>
        <v>Los chicos corren de regreso y cuarta bolas de rebote contra una pared con las manos y una raqueta de tenis.</v>
      </c>
    </row>
    <row r="10541">
      <c r="A10541" s="4" t="s">
        <v>13250</v>
      </c>
      <c r="B10541" s="4" t="s">
        <v>13253</v>
      </c>
      <c r="C10541" s="5" t="str">
        <f>IFERROR(__xludf.DUMMYFUNCTION("GOOGLETRANSLATE(B10541,""en"",""es-ES"")"),"Se deslizan por el piso empujando la pelota y continúan golpeando la pelota y cuarto por el gimnasio.")</f>
        <v>Se deslizan por el piso empujando la pelota y continúan golpeando la pelota y cuarto por el gimnasio.</v>
      </c>
    </row>
    <row r="10542">
      <c r="A10542" s="4" t="s">
        <v>13254</v>
      </c>
      <c r="B10542" s="4" t="s">
        <v>13255</v>
      </c>
      <c r="C10542" s="5" t="str">
        <f>IFERROR(__xludf.DUMMYFUNCTION("GOOGLETRANSLATE(B10542,""en"",""es-ES"")"),"Se ve a un hombre en varios disparos mirando a lo lejos seguido de otros que viajan en tablas.")</f>
        <v>Se ve a un hombre en varios disparos mirando a lo lejos seguido de otros que viajan en tablas.</v>
      </c>
    </row>
    <row r="10543">
      <c r="A10543" s="4" t="s">
        <v>13254</v>
      </c>
      <c r="B10543" s="4" t="s">
        <v>13256</v>
      </c>
      <c r="C10543" s="5" t="str">
        <f>IFERROR(__xludf.DUMMYFUNCTION("GOOGLETRANSLATE(B10543,""en"",""es-ES"")"),"Los hombres se preparan a los lados mientras hablan con la cámara y viajan en el agua.")</f>
        <v>Los hombres se preparan a los lados mientras hablan con la cámara y viajan en el agua.</v>
      </c>
    </row>
    <row r="10544">
      <c r="A10544" s="4" t="s">
        <v>13254</v>
      </c>
      <c r="B10544" s="4" t="s">
        <v>13257</v>
      </c>
      <c r="C10544" s="5" t="str">
        <f>IFERROR(__xludf.DUMMYFUNCTION("GOOGLETRANSLATE(B10544,""en"",""es-ES"")"),"La gente continúa viajando mientras otros miran a un lado.")</f>
        <v>La gente continúa viajando mientras otros miran a un lado.</v>
      </c>
    </row>
    <row r="10545">
      <c r="A10545" s="4" t="s">
        <v>13258</v>
      </c>
      <c r="B10545" s="4" t="s">
        <v>13259</v>
      </c>
      <c r="C10545" s="5" t="str">
        <f>IFERROR(__xludf.DUMMYFUNCTION("GOOGLETRANSLATE(B10545,""en"",""es-ES"")"),"Una persona usa un cepillo para fregar un zapato sobre un fregadero.")</f>
        <v>Una persona usa un cepillo para fregar un zapato sobre un fregadero.</v>
      </c>
    </row>
    <row r="10546">
      <c r="A10546" s="4" t="s">
        <v>13258</v>
      </c>
      <c r="B10546" s="4" t="s">
        <v>13260</v>
      </c>
      <c r="C10546" s="5" t="str">
        <f>IFERROR(__xludf.DUMMYFUNCTION("GOOGLETRANSLATE(B10546,""en"",""es-ES"")"),"Limpian el zapato con una toalla blanca.")</f>
        <v>Limpian el zapato con una toalla blanca.</v>
      </c>
    </row>
    <row r="10547">
      <c r="A10547" s="4" t="s">
        <v>13258</v>
      </c>
      <c r="B10547" s="4" t="s">
        <v>13261</v>
      </c>
      <c r="C10547" s="5" t="str">
        <f>IFERROR(__xludf.DUMMYFUNCTION("GOOGLETRANSLATE(B10547,""en"",""es-ES"")"),"Levanta el zapato para mostrar la cámara.")</f>
        <v>Levanta el zapato para mostrar la cámara.</v>
      </c>
    </row>
    <row r="10548">
      <c r="A10548" s="4" t="s">
        <v>13262</v>
      </c>
      <c r="B10548" s="4" t="s">
        <v>13263</v>
      </c>
      <c r="C10548" s="5" t="str">
        <f>IFERROR(__xludf.DUMMYFUNCTION("GOOGLETRANSLATE(B10548,""en"",""es-ES"")"),"Vemos una imagen de una gimnasta masculina a mitad del swing.")</f>
        <v>Vemos una imagen de una gimnasta masculina a mitad del swing.</v>
      </c>
    </row>
    <row r="10549">
      <c r="A10549" s="4" t="s">
        <v>13262</v>
      </c>
      <c r="B10549" s="4" t="s">
        <v>13264</v>
      </c>
      <c r="C10549" s="5" t="str">
        <f>IFERROR(__xludf.DUMMYFUNCTION("GOOGLETRANSLATE(B10549,""en"",""es-ES"")"),"Vemos una tarjeta de título con una familia.")</f>
        <v>Vemos una tarjeta de título con una familia.</v>
      </c>
    </row>
    <row r="10550">
      <c r="A10550" s="4" t="s">
        <v>13262</v>
      </c>
      <c r="B10550" s="4" t="s">
        <v>13265</v>
      </c>
      <c r="C10550" s="5" t="str">
        <f>IFERROR(__xludf.DUMMYFUNCTION("GOOGLETRANSLATE(B10550,""en"",""es-ES"")"),"Un hombre se balancea en un caballo de pomo.")</f>
        <v>Un hombre se balancea en un caballo de pomo.</v>
      </c>
    </row>
    <row r="10551">
      <c r="A10551" s="4" t="s">
        <v>13262</v>
      </c>
      <c r="B10551" s="4" t="s">
        <v>13266</v>
      </c>
      <c r="C10551" s="5" t="str">
        <f>IFERROR(__xludf.DUMMYFUNCTION("GOOGLETRANSLATE(B10551,""en"",""es-ES"")"),"Un hombre de plan azul balancea sus piernas de un lado a otro.")</f>
        <v>Un hombre de plan azul balancea sus piernas de un lado a otro.</v>
      </c>
    </row>
    <row r="10552">
      <c r="A10552" s="4" t="s">
        <v>13262</v>
      </c>
      <c r="B10552" s="4" t="s">
        <v>13267</v>
      </c>
      <c r="C10552" s="5" t="str">
        <f>IFERROR(__xludf.DUMMYFUNCTION("GOOGLETRANSLATE(B10552,""en"",""es-ES"")"),"El hombre con pantalones cortos rojos está girando salvajemente.")</f>
        <v>El hombre con pantalones cortos rojos está girando salvajemente.</v>
      </c>
    </row>
    <row r="10553">
      <c r="A10553" s="4" t="s">
        <v>13262</v>
      </c>
      <c r="B10553" s="4" t="s">
        <v>13268</v>
      </c>
      <c r="C10553" s="5" t="str">
        <f>IFERROR(__xludf.DUMMYFUNCTION("GOOGLETRANSLATE(B10553,""en"",""es-ES"")"),"Luego gira en un dispositivo redondo.")</f>
        <v>Luego gira en un dispositivo redondo.</v>
      </c>
    </row>
    <row r="10554">
      <c r="A10554" s="4" t="s">
        <v>13269</v>
      </c>
      <c r="B10554" s="4" t="s">
        <v>13270</v>
      </c>
      <c r="C10554" s="5" t="str">
        <f>IFERROR(__xludf.DUMMYFUNCTION("GOOGLETRANSLATE(B10554,""en"",""es-ES"")"),"Una mujer está sentada, cepillándose el cabello de la espalda a la cámara.")</f>
        <v>Una mujer está sentada, cepillándose el cabello de la espalda a la cámara.</v>
      </c>
    </row>
    <row r="10555">
      <c r="A10555" s="4" t="s">
        <v>13269</v>
      </c>
      <c r="B10555" s="4" t="s">
        <v>13271</v>
      </c>
      <c r="C10555" s="5" t="str">
        <f>IFERROR(__xludf.DUMMYFUNCTION("GOOGLETRANSLATE(B10555,""en"",""es-ES"")"),"Ella continúa cepillando con largos golpes.")</f>
        <v>Ella continúa cepillando con largos golpes.</v>
      </c>
    </row>
    <row r="10556">
      <c r="A10556" s="4" t="s">
        <v>13269</v>
      </c>
      <c r="B10556" s="4" t="s">
        <v>13272</v>
      </c>
      <c r="C10556" s="5" t="str">
        <f>IFERROR(__xludf.DUMMYFUNCTION("GOOGLETRANSLATE(B10556,""en"",""es-ES"")"),"Ella apoya la cabeza hacia un lado, continuando cepillando.")</f>
        <v>Ella apoya la cabeza hacia un lado, continuando cepillando.</v>
      </c>
    </row>
    <row r="10557">
      <c r="A10557" s="4" t="s">
        <v>13273</v>
      </c>
      <c r="B10557" s="4" t="s">
        <v>13274</v>
      </c>
      <c r="C10557" s="5" t="str">
        <f>IFERROR(__xludf.DUMMYFUNCTION("GOOGLETRANSLATE(B10557,""en"",""es-ES"")"),"Se muestran varios disparos de grandes grupos de personas que corren alrededor de un campo.")</f>
        <v>Se muestran varios disparos de grandes grupos de personas que corren alrededor de un campo.</v>
      </c>
    </row>
    <row r="10558">
      <c r="A10558" s="4" t="s">
        <v>13273</v>
      </c>
      <c r="B10558" s="4" t="s">
        <v>13275</v>
      </c>
      <c r="C10558" s="5" t="str">
        <f>IFERROR(__xludf.DUMMYFUNCTION("GOOGLETRANSLATE(B10558,""en"",""es-ES"")"),"Se ve a los miembros de la audiencia animando mientras la gente juega fútbol al lado.")</f>
        <v>Se ve a los miembros de la audiencia animando mientras la gente juega fútbol al lado.</v>
      </c>
    </row>
    <row r="10559">
      <c r="A10559" s="4" t="s">
        <v>13273</v>
      </c>
      <c r="B10559" s="4" t="s">
        <v>13276</v>
      </c>
      <c r="C10559" s="5" t="str">
        <f>IFERROR(__xludf.DUMMYFUNCTION("GOOGLETRANSLATE(B10559,""en"",""es-ES"")"),"La gente continúa jugando arriba y abajo del campo mientras otros los miran jugar.")</f>
        <v>La gente continúa jugando arriba y abajo del campo mientras otros los miran jugar.</v>
      </c>
    </row>
    <row r="10560">
      <c r="A10560" s="4" t="s">
        <v>13277</v>
      </c>
      <c r="B10560" s="4" t="s">
        <v>13278</v>
      </c>
      <c r="C10560" s="5" t="str">
        <f>IFERROR(__xludf.DUMMYFUNCTION("GOOGLETRANSLATE(B10560,""en"",""es-ES"")"),"Una niña con una sudadera con capucha naranja y una niña que lleva una blusa negra ingresa a una casa y entra a la cocina.")</f>
        <v>Una niña con una sudadera con capucha naranja y una niña que lleva una blusa negra ingresa a una casa y entra a la cocina.</v>
      </c>
    </row>
    <row r="10561">
      <c r="A10561" s="4" t="s">
        <v>13277</v>
      </c>
      <c r="B10561" s="4" t="s">
        <v>13279</v>
      </c>
      <c r="C10561" s="5" t="str">
        <f>IFERROR(__xludf.DUMMYFUNCTION("GOOGLETRANSLATE(B10561,""en"",""es-ES"")"),"Las chicas se están preparando para hornear galletas.")</f>
        <v>Las chicas se están preparando para hornear galletas.</v>
      </c>
    </row>
    <row r="10562">
      <c r="A10562" s="4" t="s">
        <v>13277</v>
      </c>
      <c r="B10562" s="4" t="s">
        <v>13280</v>
      </c>
      <c r="C10562" s="5" t="str">
        <f>IFERROR(__xludf.DUMMYFUNCTION("GOOGLETRANSLATE(B10562,""en"",""es-ES"")"),"El teléfono celular suena y ambas chicas se emocionan.")</f>
        <v>El teléfono celular suena y ambas chicas se emocionan.</v>
      </c>
    </row>
    <row r="10563">
      <c r="A10563" s="4" t="s">
        <v>13277</v>
      </c>
      <c r="B10563" s="4" t="s">
        <v>13281</v>
      </c>
      <c r="C10563" s="5" t="str">
        <f>IFERROR(__xludf.DUMMYFUNCTION("GOOGLETRANSLATE(B10563,""en"",""es-ES"")"),"Alguien está en la puerta principal y la chica de la sudadera con capucha naranja corre por la casa para ir a la puerta.")</f>
        <v>Alguien está en la puerta principal y la chica de la sudadera con capucha naranja corre por la casa para ir a la puerta.</v>
      </c>
    </row>
    <row r="10564">
      <c r="A10564" s="4" t="s">
        <v>13277</v>
      </c>
      <c r="B10564" s="4" t="s">
        <v>13282</v>
      </c>
      <c r="C10564" s="5" t="str">
        <f>IFERROR(__xludf.DUMMYFUNCTION("GOOGLETRANSLATE(B10564,""en"",""es-ES"")"),"La niña de la blusa negra está en la puerta disfrazada de hombre.")</f>
        <v>La niña de la blusa negra está en la puerta disfrazada de hombre.</v>
      </c>
    </row>
    <row r="10565">
      <c r="A10565" s="4" t="s">
        <v>13277</v>
      </c>
      <c r="B10565" s="4" t="s">
        <v>13283</v>
      </c>
      <c r="C10565" s="5" t="str">
        <f>IFERROR(__xludf.DUMMYFUNCTION("GOOGLETRANSLATE(B10565,""en"",""es-ES"")"),"La niña de la sudadera con sudadera naranja aprieta una barra de mantequilla y cae al suelo y golpea la puerta.")</f>
        <v>La niña de la sudadera con sudadera naranja aprieta una barra de mantequilla y cae al suelo y golpea la puerta.</v>
      </c>
    </row>
    <row r="10566">
      <c r="A10566" s="4" t="s">
        <v>13277</v>
      </c>
      <c r="B10566" s="4" t="s">
        <v>13284</v>
      </c>
      <c r="C10566" s="5" t="str">
        <f>IFERROR(__xludf.DUMMYFUNCTION("GOOGLETRANSLATE(B10566,""en"",""es-ES"")"),"La niña de la blusa negra se vuelve y se aleja.")</f>
        <v>La niña de la blusa negra se vuelve y se aleja.</v>
      </c>
    </row>
    <row r="10567">
      <c r="A10567" s="4" t="s">
        <v>13285</v>
      </c>
      <c r="B10567" s="4" t="s">
        <v>13286</v>
      </c>
      <c r="C10567" s="5" t="str">
        <f>IFERROR(__xludf.DUMMYFUNCTION("GOOGLETRANSLATE(B10567,""en"",""es-ES"")"),"Un hombre blanco está en el escenario con largos temores que arrojan el letrero de la pieza a la audiencia.")</f>
        <v>Un hombre blanco está en el escenario con largos temores que arrojan el letrero de la pieza a la audiencia.</v>
      </c>
    </row>
    <row r="10568">
      <c r="A10568" s="4" t="s">
        <v>13285</v>
      </c>
      <c r="B10568" s="4" t="s">
        <v>13287</v>
      </c>
      <c r="C10568" s="5" t="str">
        <f>IFERROR(__xludf.DUMMYFUNCTION("GOOGLETRANSLATE(B10568,""en"",""es-ES"")"),"Después de su interacción, el hombre comienza a tocar las tuberías del viento en su espalda mientras camina de un lado a otro por el escenario.")</f>
        <v>Después de su interacción, el hombre comienza a tocar las tuberías del viento en su espalda mientras camina de un lado a otro por el escenario.</v>
      </c>
    </row>
    <row r="10569">
      <c r="A10569" s="4" t="s">
        <v>13285</v>
      </c>
      <c r="B10569" s="4" t="s">
        <v>13288</v>
      </c>
      <c r="C10569" s="5" t="str">
        <f>IFERROR(__xludf.DUMMYFUNCTION("GOOGLETRANSLATE(B10569,""en"",""es-ES"")"),"Se muestra la multitud y la cámara vuelve al escenario y se encienden varias luces cuando el guitarrista comienza a tocar.")</f>
        <v>Se muestra la multitud y la cámara vuelve al escenario y se encienden varias luces cuando el guitarrista comienza a tocar.</v>
      </c>
    </row>
    <row r="10570">
      <c r="A10570" s="4" t="s">
        <v>13289</v>
      </c>
      <c r="B10570" s="4" t="s">
        <v>13290</v>
      </c>
      <c r="C10570" s="5" t="str">
        <f>IFERROR(__xludf.DUMMYFUNCTION("GOOGLETRANSLATE(B10570,""en"",""es-ES"")"),"Una niña sonríe y habla con la cámara.")</f>
        <v>Una niña sonríe y habla con la cámara.</v>
      </c>
    </row>
    <row r="10571">
      <c r="A10571" s="4" t="s">
        <v>13289</v>
      </c>
      <c r="B10571" s="4" t="s">
        <v>13291</v>
      </c>
      <c r="C10571" s="5" t="str">
        <f>IFERROR(__xludf.DUMMYFUNCTION("GOOGLETRANSLATE(B10571,""en"",""es-ES"")"),"A ella y a otros niños se les muestra lavando las manos en los sumideros.")</f>
        <v>A ella y a otros niños se les muestra lavando las manos en los sumideros.</v>
      </c>
    </row>
    <row r="10572">
      <c r="A10572" s="4" t="s">
        <v>13289</v>
      </c>
      <c r="B10572" s="4" t="s">
        <v>13292</v>
      </c>
      <c r="C10572" s="5" t="str">
        <f>IFERROR(__xludf.DUMMYFUNCTION("GOOGLETRANSLATE(B10572,""en"",""es-ES"")"),"Hablan de cantar la canción de cumpleaños o contar para saber cuánto tiempo deben lavarse las manos.")</f>
        <v>Hablan de cantar la canción de cumpleaños o contar para saber cuánto tiempo deben lavarse las manos.</v>
      </c>
    </row>
    <row r="10573">
      <c r="A10573" s="4" t="s">
        <v>13293</v>
      </c>
      <c r="B10573" s="4" t="s">
        <v>13294</v>
      </c>
      <c r="C10573" s="5" t="str">
        <f>IFERROR(__xludf.DUMMYFUNCTION("GOOGLETRANSLATE(B10573,""en"",""es-ES"")"),"Vemos a un hombre con una pelota que se está preparando para lanzar disparos.")</f>
        <v>Vemos a un hombre con una pelota que se está preparando para lanzar disparos.</v>
      </c>
    </row>
    <row r="10574">
      <c r="A10574" s="4" t="s">
        <v>13293</v>
      </c>
      <c r="B10574" s="4" t="s">
        <v>13295</v>
      </c>
      <c r="C10574" s="5" t="str">
        <f>IFERROR(__xludf.DUMMYFUNCTION("GOOGLETRANSLATE(B10574,""en"",""es-ES"")"),"El hombre levanta su brazo.")</f>
        <v>El hombre levanta su brazo.</v>
      </c>
    </row>
    <row r="10575">
      <c r="A10575" s="4" t="s">
        <v>13293</v>
      </c>
      <c r="B10575" s="4" t="s">
        <v>13296</v>
      </c>
      <c r="C10575" s="5" t="str">
        <f>IFERROR(__xludf.DUMMYFUNCTION("GOOGLETRANSLATE(B10575,""en"",""es-ES"")"),"El hombre gira y lanza la pelota.")</f>
        <v>El hombre gira y lanza la pelota.</v>
      </c>
    </row>
    <row r="10576">
      <c r="A10576" s="4" t="s">
        <v>13293</v>
      </c>
      <c r="B10576" s="4" t="s">
        <v>13297</v>
      </c>
      <c r="C10576" s="5" t="str">
        <f>IFERROR(__xludf.DUMMYFUNCTION("GOOGLETRANSLATE(B10576,""en"",""es-ES"")"),"Vemos hombres en la distancia a distancia.")</f>
        <v>Vemos hombres en la distancia a distancia.</v>
      </c>
    </row>
    <row r="10577">
      <c r="A10577" s="4" t="s">
        <v>13293</v>
      </c>
      <c r="B10577" s="4" t="s">
        <v>13298</v>
      </c>
      <c r="C10577" s="5" t="str">
        <f>IFERROR(__xludf.DUMMYFUNCTION("GOOGLETRANSLATE(B10577,""en"",""es-ES"")"),"Vemos al lanzador agarrar su chaqueta y alejarnos.")</f>
        <v>Vemos al lanzador agarrar su chaqueta y alejarnos.</v>
      </c>
    </row>
    <row r="10578">
      <c r="A10578" s="4" t="s">
        <v>13299</v>
      </c>
      <c r="B10578" s="4" t="s">
        <v>13300</v>
      </c>
      <c r="C10578" s="5" t="str">
        <f>IFERROR(__xludf.DUMMYFUNCTION("GOOGLETRANSLATE(B10578,""en"",""es-ES"")"),"Vemos un tractor y una pantalla de título.")</f>
        <v>Vemos un tractor y una pantalla de título.</v>
      </c>
    </row>
    <row r="10579">
      <c r="A10579" s="4" t="s">
        <v>13299</v>
      </c>
      <c r="B10579" s="4" t="s">
        <v>13301</v>
      </c>
      <c r="C10579" s="5" t="str">
        <f>IFERROR(__xludf.DUMMYFUNCTION("GOOGLETRANSLATE(B10579,""en"",""es-ES"")"),"Vemos un tractor que sopla hojas.")</f>
        <v>Vemos un tractor que sopla hojas.</v>
      </c>
    </row>
    <row r="10580">
      <c r="A10580" s="4" t="s">
        <v>13299</v>
      </c>
      <c r="B10580" s="4" t="s">
        <v>13302</v>
      </c>
      <c r="C10580" s="5" t="str">
        <f>IFERROR(__xludf.DUMMYFUNCTION("GOOGLETRANSLATE(B10580,""en"",""es-ES"")"),"Vemos el tractor de cerca.")</f>
        <v>Vemos el tractor de cerca.</v>
      </c>
    </row>
    <row r="10581">
      <c r="A10581" s="4" t="s">
        <v>13299</v>
      </c>
      <c r="B10581" s="4" t="s">
        <v>2892</v>
      </c>
      <c r="C10581" s="5" t="str">
        <f>IFERROR(__xludf.DUMMYFUNCTION("GOOGLETRANSLATE(B10581,""en"",""es-ES"")"),"Vemos la pantalla de título de cierre.")</f>
        <v>Vemos la pantalla de título de cierre.</v>
      </c>
    </row>
    <row r="10582">
      <c r="A10582" s="4" t="s">
        <v>13299</v>
      </c>
      <c r="B10582" s="4" t="s">
        <v>13303</v>
      </c>
      <c r="C10582" s="5" t="str">
        <f>IFERROR(__xludf.DUMMYFUNCTION("GOOGLETRANSLATE(B10582,""en"",""es-ES"")"),"Luego vemos flores en los árboles.")</f>
        <v>Luego vemos flores en los árboles.</v>
      </c>
    </row>
    <row r="10583">
      <c r="A10583" s="4" t="s">
        <v>13304</v>
      </c>
      <c r="B10583" s="4" t="s">
        <v>13305</v>
      </c>
      <c r="C10583" s="5" t="str">
        <f>IFERROR(__xludf.DUMMYFUNCTION("GOOGLETRANSLATE(B10583,""en"",""es-ES"")"),"Se ve a un hombre hablando con la cámara que conduce a varios clips de personas que despiertan.")</f>
        <v>Se ve a un hombre hablando con la cámara que conduce a varios clips de personas que despiertan.</v>
      </c>
    </row>
    <row r="10584">
      <c r="A10584" s="4" t="s">
        <v>13304</v>
      </c>
      <c r="B10584" s="4" t="s">
        <v>13306</v>
      </c>
      <c r="C10584" s="5" t="str">
        <f>IFERROR(__xludf.DUMMYFUNCTION("GOOGLETRANSLATE(B10584,""en"",""es-ES"")"),"Luego, el hombre habla con una mujer y ayuda a demostrar cómo montar adecuadamente el tablero de vigilia.")</f>
        <v>Luego, el hombre habla con una mujer y ayuda a demostrar cómo montar adecuadamente el tablero de vigilia.</v>
      </c>
    </row>
    <row r="10585">
      <c r="A10585" s="4" t="s">
        <v>13304</v>
      </c>
      <c r="B10585" s="4" t="s">
        <v>13307</v>
      </c>
      <c r="C10585" s="5" t="str">
        <f>IFERROR(__xludf.DUMMYFUNCTION("GOOGLETRANSLATE(B10585,""en"",""es-ES"")"),"Luego, el bote despega y ayuda a la niña a recorrer mientras cae la primera vez y luego viaja con éxito.")</f>
        <v>Luego, el bote despega y ayuda a la niña a recorrer mientras cae la primera vez y luego viaja con éxito.</v>
      </c>
    </row>
    <row r="10586">
      <c r="A10586" s="4" t="s">
        <v>13308</v>
      </c>
      <c r="B10586" s="4" t="s">
        <v>13309</v>
      </c>
      <c r="C10586" s="5" t="str">
        <f>IFERROR(__xludf.DUMMYFUNCTION("GOOGLETRANSLATE(B10586,""en"",""es-ES"")"),"Un anciano con anteojos está parado frente a las baldosas modelo que hablan con la cámara.")</f>
        <v>Un anciano con anteojos está parado frente a las baldosas modelo que hablan con la cámara.</v>
      </c>
    </row>
    <row r="10587">
      <c r="A10587" s="4" t="s">
        <v>13308</v>
      </c>
      <c r="B10587" s="4" t="s">
        <v>13310</v>
      </c>
      <c r="C10587" s="5" t="str">
        <f>IFERROR(__xludf.DUMMYFUNCTION("GOOGLETRANSLATE(B10587,""en"",""es-ES"")"),"Un grupo de hombres de negro comenzó a quitar la primera mitad de la alfombra en la sala de estar, luego la reemplazó con una alfombra más ligera y más nueva.")</f>
        <v>Un grupo de hombres de negro comenzó a quitar la primera mitad de la alfombra en la sala de estar, luego la reemplazó con una alfombra más ligera y más nueva.</v>
      </c>
    </row>
    <row r="10588">
      <c r="A10588" s="4" t="s">
        <v>13308</v>
      </c>
      <c r="B10588" s="4" t="s">
        <v>13311</v>
      </c>
      <c r="C10588" s="5" t="str">
        <f>IFERROR(__xludf.DUMMYFUNCTION("GOOGLETRANSLATE(B10588,""en"",""es-ES"")"),"El grupo de hombres con camisas negras movió el sofá de la pared al otro lado y retiró la otra mitad de la alfombra, exponiendo el piso verde.")</f>
        <v>El grupo de hombres con camisas negras movió el sofá de la pared al otro lado y retiró la otra mitad de la alfombra, exponiendo el piso verde.</v>
      </c>
    </row>
    <row r="10589">
      <c r="A10589" s="4" t="s">
        <v>13308</v>
      </c>
      <c r="B10589" s="4" t="s">
        <v>13312</v>
      </c>
      <c r="C10589" s="5" t="str">
        <f>IFERROR(__xludf.DUMMYFUNCTION("GOOGLETRANSLATE(B10589,""en"",""es-ES"")"),"El grupo de hombres puso la alfombra en el piso, la miden, la cortó y la pegaron.")</f>
        <v>El grupo de hombres puso la alfombra en el piso, la miden, la cortó y la pegaron.</v>
      </c>
    </row>
    <row r="10590">
      <c r="A10590" s="4" t="s">
        <v>13308</v>
      </c>
      <c r="B10590" s="4" t="s">
        <v>13313</v>
      </c>
      <c r="C10590" s="5" t="str">
        <f>IFERROR(__xludf.DUMMYFUNCTION("GOOGLETRANSLATE(B10590,""en"",""es-ES"")"),"Cuando la alfombra nueva está instalada correctamente, los hombres aspiran la alfombra mientras la señora caminaba en la sala de estar.")</f>
        <v>Cuando la alfombra nueva está instalada correctamente, los hombres aspiran la alfombra mientras la señora caminaba en la sala de estar.</v>
      </c>
    </row>
    <row r="10591">
      <c r="A10591" s="4" t="s">
        <v>13308</v>
      </c>
      <c r="B10591" s="4" t="s">
        <v>13314</v>
      </c>
      <c r="C10591" s="5" t="str">
        <f>IFERROR(__xludf.DUMMYFUNCTION("GOOGLETRANSLATE(B10591,""en"",""es-ES"")"),"Los hombres y el anciano y la mujer retiraron el televisor de la pared e instalaron un mueble de televisión de madera, mientras que los otros hombres y la señora arreglaron el sofá y le pusieron las almohadas.")</f>
        <v>Los hombres y el anciano y la mujer retiraron el televisor de la pared e instalaron un mueble de televisión de madera, mientras que los otros hombres y la señora arreglaron el sofá y le pusieron las almohadas.</v>
      </c>
    </row>
    <row r="10592">
      <c r="A10592" s="4" t="s">
        <v>13315</v>
      </c>
      <c r="B10592" s="4" t="s">
        <v>13316</v>
      </c>
      <c r="C10592" s="5" t="str">
        <f>IFERROR(__xludf.DUMMYFUNCTION("GOOGLETRANSLATE(B10592,""en"",""es-ES"")"),"Un grupo de ocho personas son rafting blanco en aguas algo tranquilas mientras las dos personas en la parte posterior los reman por el agua.")</f>
        <v>Un grupo de ocho personas son rafting blanco en aguas algo tranquilas mientras las dos personas en la parte posterior los reman por el agua.</v>
      </c>
    </row>
    <row r="10593">
      <c r="A10593" s="4" t="s">
        <v>13315</v>
      </c>
      <c r="B10593" s="4" t="s">
        <v>13317</v>
      </c>
      <c r="C10593" s="5" t="str">
        <f>IFERROR(__xludf.DUMMYFUNCTION("GOOGLETRANSLATE(B10593,""en"",""es-ES"")"),"Las dos personas en la parte de atrás continúan remando y la cámara se acerca, pero el agua está demasiado tranquila para que obtengan la experiencia completa y no está sucediendo nada.")</f>
        <v>Las dos personas en la parte de atrás continúan remando y la cámara se acerca, pero el agua está demasiado tranquila para que obtengan la experiencia completa y no está sucediendo nada.</v>
      </c>
    </row>
    <row r="10594">
      <c r="A10594" s="4" t="s">
        <v>13315</v>
      </c>
      <c r="B10594" s="4" t="s">
        <v>13318</v>
      </c>
      <c r="C10594" s="5" t="str">
        <f>IFERROR(__xludf.DUMMYFUNCTION("GOOGLETRANSLATE(B10594,""en"",""es-ES"")"),"Por último, aparecen una pantalla azul y palabras blancas.")</f>
        <v>Por último, aparecen una pantalla azul y palabras blancas.</v>
      </c>
    </row>
    <row r="10595">
      <c r="A10595" s="4" t="s">
        <v>13319</v>
      </c>
      <c r="B10595" s="4" t="s">
        <v>13320</v>
      </c>
      <c r="C10595" s="5" t="str">
        <f>IFERROR(__xludf.DUMMYFUNCTION("GOOGLETRANSLATE(B10595,""en"",""es-ES"")"),"Dos autos están estacionados al costado de la carretera a medida que pasa el tren.")</f>
        <v>Dos autos están estacionados al costado de la carretera a medida que pasa el tren.</v>
      </c>
    </row>
    <row r="10596">
      <c r="A10596" s="4" t="s">
        <v>13319</v>
      </c>
      <c r="B10596" s="4" t="s">
        <v>13321</v>
      </c>
      <c r="C10596" s="5" t="str">
        <f>IFERROR(__xludf.DUMMYFUNCTION("GOOGLETRANSLATE(B10596,""en"",""es-ES"")"),"De repente, el ángulo cambia y un niño comienza a patinar cuesta abajo y en toda la ciudad.")</f>
        <v>De repente, el ángulo cambia y un niño comienza a patinar cuesta abajo y en toda la ciudad.</v>
      </c>
    </row>
    <row r="10597">
      <c r="A10597" s="4" t="s">
        <v>13322</v>
      </c>
      <c r="B10597" s="4" t="s">
        <v>13323</v>
      </c>
      <c r="C10597" s="5" t="str">
        <f>IFERROR(__xludf.DUMMYFUNCTION("GOOGLETRANSLATE(B10597,""en"",""es-ES"")"),"Un hombre se sienta sobre una mesa con acordeones.")</f>
        <v>Un hombre se sienta sobre una mesa con acordeones.</v>
      </c>
    </row>
    <row r="10598">
      <c r="A10598" s="4" t="s">
        <v>13322</v>
      </c>
      <c r="B10598" s="4" t="s">
        <v>13324</v>
      </c>
      <c r="C10598" s="5" t="str">
        <f>IFERROR(__xludf.DUMMYFUNCTION("GOOGLETRANSLATE(B10598,""en"",""es-ES"")"),"Entonces el hombre sostiene un acordeón mientras toca los botones y habla.")</f>
        <v>Entonces el hombre sostiene un acordeón mientras toca los botones y habla.</v>
      </c>
    </row>
    <row r="10599">
      <c r="A10599" s="4" t="s">
        <v>13325</v>
      </c>
      <c r="B10599" s="4" t="s">
        <v>13326</v>
      </c>
      <c r="C10599" s="5" t="str">
        <f>IFERROR(__xludf.DUMMYFUNCTION("GOOGLETRANSLATE(B10599,""en"",""es-ES"")"),"Una mujer toca el piano en una habitación decorada con velas.")</f>
        <v>Una mujer toca el piano en una habitación decorada con velas.</v>
      </c>
    </row>
    <row r="10600">
      <c r="A10600" s="4" t="s">
        <v>13325</v>
      </c>
      <c r="B10600" s="4" t="s">
        <v>13327</v>
      </c>
      <c r="C10600" s="5" t="str">
        <f>IFERROR(__xludf.DUMMYFUNCTION("GOOGLETRANSLATE(B10600,""en"",""es-ES"")"),"Katty Perry camina con un hombre en la calle, toca el piano, luego habla con el hombre.")</f>
        <v>Katty Perry camina con un hombre en la calle, toca el piano, luego habla con el hombre.</v>
      </c>
    </row>
    <row r="10601">
      <c r="A10601" s="4" t="s">
        <v>13328</v>
      </c>
      <c r="B10601" s="4" t="s">
        <v>13329</v>
      </c>
      <c r="C10601" s="5" t="str">
        <f>IFERROR(__xludf.DUMMYFUNCTION("GOOGLETRANSLATE(B10601,""en"",""es-ES"")"),"Un hombre está siendo tirado de un esquí acuático mientras flota en el agua casualmente.")</f>
        <v>Un hombre está siendo tirado de un esquí acuático mientras flota en el agua casualmente.</v>
      </c>
    </row>
    <row r="10602">
      <c r="A10602" s="4" t="s">
        <v>13328</v>
      </c>
      <c r="B10602" s="4" t="s">
        <v>13330</v>
      </c>
      <c r="C10602" s="5" t="str">
        <f>IFERROR(__xludf.DUMMYFUNCTION("GOOGLETRANSLATE(B10602,""en"",""es-ES"")"),"Él monta el esquí acuático y se rasga a través del agua a velocidades rápidas.")</f>
        <v>Él monta el esquí acuático y se rasga a través del agua a velocidades rápidas.</v>
      </c>
    </row>
    <row r="10603">
      <c r="A10603" s="4" t="s">
        <v>13328</v>
      </c>
      <c r="B10603" s="4" t="s">
        <v>13331</v>
      </c>
      <c r="C10603" s="5" t="str">
        <f>IFERROR(__xludf.DUMMYFUNCTION("GOOGLETRANSLATE(B10603,""en"",""es-ES"")"),"Se muestran dos hombres sentados en el bote, antes de cortar el turbulento esquí acuático.")</f>
        <v>Se muestran dos hombres sentados en el bote, antes de cortar el turbulento esquí acuático.</v>
      </c>
    </row>
    <row r="10604">
      <c r="A10604" s="4" t="s">
        <v>13332</v>
      </c>
      <c r="B10604" s="4" t="s">
        <v>13333</v>
      </c>
      <c r="C10604" s="5" t="str">
        <f>IFERROR(__xludf.DUMMYFUNCTION("GOOGLETRANSLATE(B10604,""en"",""es-ES"")"),"El hombre con camisa azul con gorra está golpeando la gruesa cuerda.")</f>
        <v>El hombre con camisa azul con gorra está golpeando la gruesa cuerda.</v>
      </c>
    </row>
    <row r="10605">
      <c r="A10605" s="4" t="s">
        <v>13332</v>
      </c>
      <c r="B10605" s="4" t="s">
        <v>13334</v>
      </c>
      <c r="C10605" s="5" t="str">
        <f>IFERROR(__xludf.DUMMYFUNCTION("GOOGLETRANSLATE(B10605,""en"",""es-ES"")"),"El hombre sube a la cuerda y la multitud aplaudió.")</f>
        <v>El hombre sube a la cuerda y la multitud aplaudió.</v>
      </c>
    </row>
    <row r="10606">
      <c r="A10606" s="4" t="s">
        <v>13332</v>
      </c>
      <c r="B10606" s="4" t="s">
        <v>13335</v>
      </c>
      <c r="C10606" s="5" t="str">
        <f>IFERROR(__xludf.DUMMYFUNCTION("GOOGLETRANSLATE(B10606,""en"",""es-ES"")"),"El hombre de camisa azul comenzó a rebotar en la cuerda haciendo algunos trucos como sentarse en la cuerda, rebotando en el pecho, la volante y caminando sobre la cuerda.")</f>
        <v>El hombre de camisa azul comenzó a rebotar en la cuerda haciendo algunos trucos como sentarse en la cuerda, rebotando en el pecho, la volante y caminando sobre la cuerda.</v>
      </c>
    </row>
    <row r="10607">
      <c r="A10607" s="4" t="s">
        <v>13336</v>
      </c>
      <c r="B10607" s="4" t="s">
        <v>13337</v>
      </c>
      <c r="C10607" s="5" t="str">
        <f>IFERROR(__xludf.DUMMYFUNCTION("GOOGLETRANSLATE(B10607,""en"",""es-ES"")"),"Una niña está haciendo gimnasia en una alfombra azul.")</f>
        <v>Una niña está haciendo gimnasia en una alfombra azul.</v>
      </c>
    </row>
    <row r="10608">
      <c r="A10608" s="4" t="s">
        <v>13336</v>
      </c>
      <c r="B10608" s="4" t="s">
        <v>13338</v>
      </c>
      <c r="C10608" s="5" t="str">
        <f>IFERROR(__xludf.DUMMYFUNCTION("GOOGLETRANSLATE(B10608,""en"",""es-ES"")"),"Ella hace varios volteos en un trampolín.")</f>
        <v>Ella hace varios volteos en un trampolín.</v>
      </c>
    </row>
    <row r="10609">
      <c r="A10609" s="4" t="s">
        <v>13336</v>
      </c>
      <c r="B10609" s="4" t="s">
        <v>13339</v>
      </c>
      <c r="C10609" s="5" t="str">
        <f>IFERROR(__xludf.DUMMYFUNCTION("GOOGLETRANSLATE(B10609,""en"",""es-ES"")"),"Ella hace un volteo en una pila de piezas de espuma.")</f>
        <v>Ella hace un volteo en una pila de piezas de espuma.</v>
      </c>
    </row>
    <row r="10610">
      <c r="A10610" s="4" t="s">
        <v>13340</v>
      </c>
      <c r="B10610" s="4" t="s">
        <v>13341</v>
      </c>
      <c r="C10610" s="5" t="str">
        <f>IFERROR(__xludf.DUMMYFUNCTION("GOOGLETRANSLATE(B10610,""en"",""es-ES"")"),"Los hombres salen por un aplauso del escenario y altos cinco.")</f>
        <v>Los hombres salen por un aplauso del escenario y altos cinco.</v>
      </c>
    </row>
    <row r="10611">
      <c r="A10611" s="4" t="s">
        <v>13340</v>
      </c>
      <c r="B10611" s="4" t="s">
        <v>13342</v>
      </c>
      <c r="C10611" s="5" t="str">
        <f>IFERROR(__xludf.DUMMYFUNCTION("GOOGLETRANSLATE(B10611,""en"",""es-ES"")"),"Los hombres realizan una rutina de animadoras.")</f>
        <v>Los hombres realizan una rutina de animadoras.</v>
      </c>
    </row>
    <row r="10612">
      <c r="A10612" s="4" t="s">
        <v>13340</v>
      </c>
      <c r="B10612" s="4" t="s">
        <v>13343</v>
      </c>
      <c r="C10612" s="5" t="str">
        <f>IFERROR(__xludf.DUMMYFUNCTION("GOOGLETRANSLATE(B10612,""en"",""es-ES"")"),"Sostienen a cinco hombres en el aire y los voltean y voltean a cuatro hombres en grupos.")</f>
        <v>Sostienen a cinco hombres en el aire y los voltean y voltean a cuatro hombres en grupos.</v>
      </c>
    </row>
    <row r="10613">
      <c r="A10613" s="4" t="s">
        <v>13340</v>
      </c>
      <c r="B10613" s="4" t="s">
        <v>13344</v>
      </c>
      <c r="C10613" s="5" t="str">
        <f>IFERROR(__xludf.DUMMYFUNCTION("GOOGLETRANSLATE(B10613,""en"",""es-ES"")"),"Un hombre se levanta alto y balancea a dos hombres en sus brazos al otro lado, luego cinco hombres hacen una forma de estrella.")</f>
        <v>Un hombre se levanta alto y balancea a dos hombres en sus brazos al otro lado, luego cinco hombres hacen una forma de estrella.</v>
      </c>
    </row>
    <row r="10614">
      <c r="A10614" s="4" t="s">
        <v>13340</v>
      </c>
      <c r="B10614" s="4" t="s">
        <v>13345</v>
      </c>
      <c r="C10614" s="5" t="str">
        <f>IFERROR(__xludf.DUMMYFUNCTION("GOOGLETRANSLATE(B10614,""en"",""es-ES"")"),"Los hombres se arrodillan y bailan y posan para el final.")</f>
        <v>Los hombres se arrodillan y bailan y posan para el final.</v>
      </c>
    </row>
    <row r="10615">
      <c r="A10615" s="4" t="s">
        <v>13340</v>
      </c>
      <c r="B10615" s="4" t="s">
        <v>13346</v>
      </c>
      <c r="C10615" s="5" t="str">
        <f>IFERROR(__xludf.DUMMYFUNCTION("GOOGLETRANSLATE(B10615,""en"",""es-ES"")"),"Los hombres saltan y animan cuando salen del escenario.")</f>
        <v>Los hombres saltan y animan cuando salen del escenario.</v>
      </c>
    </row>
    <row r="10616">
      <c r="A10616" s="4" t="s">
        <v>13340</v>
      </c>
      <c r="B10616" s="4" t="s">
        <v>13347</v>
      </c>
      <c r="C10616" s="5" t="str">
        <f>IFERROR(__xludf.DUMMYFUNCTION("GOOGLETRANSLATE(B10616,""en"",""es-ES"")"),"Una persona en la primera fila se encuentra frente a la cámara.")</f>
        <v>Una persona en la primera fila se encuentra frente a la cámara.</v>
      </c>
    </row>
    <row r="10617">
      <c r="A10617" s="4" t="s">
        <v>13348</v>
      </c>
      <c r="B10617" s="4" t="s">
        <v>13349</v>
      </c>
      <c r="C10617" s="5" t="str">
        <f>IFERROR(__xludf.DUMMYFUNCTION("GOOGLETRANSLATE(B10617,""en"",""es-ES"")"),"Se ve a un hombre arrodillado de un techo mientras sostiene un trozo de madera.")</f>
        <v>Se ve a un hombre arrodillado de un techo mientras sostiene un trozo de madera.</v>
      </c>
    </row>
    <row r="10618">
      <c r="A10618" s="4" t="s">
        <v>13348</v>
      </c>
      <c r="B10618" s="4" t="s">
        <v>13350</v>
      </c>
      <c r="C10618" s="5" t="str">
        <f>IFERROR(__xludf.DUMMYFUNCTION("GOOGLETRANSLATE(B10618,""en"",""es-ES"")"),"Comienza a golpear el trozo de madera mientras la cámara se acelera.")</f>
        <v>Comienza a golpear el trozo de madera mientras la cámara se acelera.</v>
      </c>
    </row>
    <row r="10619">
      <c r="A10619" s="4" t="s">
        <v>13348</v>
      </c>
      <c r="B10619" s="4" t="s">
        <v>13351</v>
      </c>
      <c r="C10619" s="5" t="str">
        <f>IFERROR(__xludf.DUMMYFUNCTION("GOOGLETRANSLATE(B10619,""en"",""es-ES"")"),"Continúa golpeando y mira hacia atrás a la cámara.")</f>
        <v>Continúa golpeando y mira hacia atrás a la cámara.</v>
      </c>
    </row>
    <row r="10620">
      <c r="A10620" s="4" t="s">
        <v>13352</v>
      </c>
      <c r="B10620" s="4" t="s">
        <v>13353</v>
      </c>
      <c r="C10620" s="5" t="str">
        <f>IFERROR(__xludf.DUMMYFUNCTION("GOOGLETRANSLATE(B10620,""en"",""es-ES"")"),"Se ve a un hombre mirando a la cámara y chasqueando los dedos.")</f>
        <v>Se ve a un hombre mirando a la cámara y chasqueando los dedos.</v>
      </c>
    </row>
    <row r="10621">
      <c r="A10621" s="4" t="s">
        <v>13352</v>
      </c>
      <c r="B10621" s="4" t="s">
        <v>13354</v>
      </c>
      <c r="C10621" s="5" t="str">
        <f>IFERROR(__xludf.DUMMYFUNCTION("GOOGLETRANSLATE(B10621,""en"",""es-ES"")"),"Esto lleva a un hombre tocando un instrumento mientras la cámara observa.")</f>
        <v>Esto lleva a un hombre tocando un instrumento mientras la cámara observa.</v>
      </c>
    </row>
    <row r="10622">
      <c r="A10622" s="4" t="s">
        <v>13352</v>
      </c>
      <c r="B10622" s="4" t="s">
        <v>13355</v>
      </c>
      <c r="C10622" s="5" t="str">
        <f>IFERROR(__xludf.DUMMYFUNCTION("GOOGLETRANSLATE(B10622,""en"",""es-ES"")"),"El hombre continúa jugando moviendo las manos arriba y abajo y mirando hacia la cámara.")</f>
        <v>El hombre continúa jugando moviendo las manos arriba y abajo y mirando hacia la cámara.</v>
      </c>
    </row>
    <row r="10623">
      <c r="A10623" s="4" t="s">
        <v>13356</v>
      </c>
      <c r="B10623" s="4" t="s">
        <v>13357</v>
      </c>
      <c r="C10623" s="5" t="str">
        <f>IFERROR(__xludf.DUMMYFUNCTION("GOOGLETRANSLATE(B10623,""en"",""es-ES"")"),"Un grupo de personas está afuera en la playa jugando a la pelota de arena.")</f>
        <v>Un grupo de personas está afuera en la playa jugando a la pelota de arena.</v>
      </c>
    </row>
    <row r="10624">
      <c r="A10624" s="4" t="s">
        <v>13356</v>
      </c>
      <c r="B10624" s="4" t="s">
        <v>13358</v>
      </c>
      <c r="C10624" s="5" t="str">
        <f>IFERROR(__xludf.DUMMYFUNCTION("GOOGLETRANSLATE(B10624,""en"",""es-ES"")"),"La pelota cae y un niño gordo con camisas amarillas toma la pelota e intenta servirla.")</f>
        <v>La pelota cae y un niño gordo con camisas amarillas toma la pelota e intenta servirla.</v>
      </c>
    </row>
    <row r="10625">
      <c r="A10625" s="4" t="s">
        <v>13356</v>
      </c>
      <c r="B10625" s="4" t="s">
        <v>13359</v>
      </c>
      <c r="C10625" s="5" t="str">
        <f>IFERROR(__xludf.DUMMYFUNCTION("GOOGLETRANSLATE(B10625,""en"",""es-ES"")"),"Sin embargo, la pelota no llega a la red, regresa y va a buscarla.")</f>
        <v>Sin embargo, la pelota no llega a la red, regresa y va a buscarla.</v>
      </c>
    </row>
    <row r="10626">
      <c r="A10626" s="4" t="s">
        <v>13360</v>
      </c>
      <c r="B10626" s="4" t="s">
        <v>13361</v>
      </c>
      <c r="C10626" s="5" t="str">
        <f>IFERROR(__xludf.DUMMYFUNCTION("GOOGLETRANSLATE(B10626,""en"",""es-ES"")"),"Un hombre está hablando y tocando la batería en una pantalla dividida.")</f>
        <v>Un hombre está hablando y tocando la batería en una pantalla dividida.</v>
      </c>
    </row>
    <row r="10627">
      <c r="A10627" s="4" t="s">
        <v>13360</v>
      </c>
      <c r="B10627" s="4" t="s">
        <v>13362</v>
      </c>
      <c r="C10627" s="5" t="str">
        <f>IFERROR(__xludf.DUMMYFUNCTION("GOOGLETRANSLATE(B10627,""en"",""es-ES"")"),"Mientras explica el proceso, usa sus manos para vencer una melodía.")</f>
        <v>Mientras explica el proceso, usa sus manos para vencer una melodía.</v>
      </c>
    </row>
    <row r="10628">
      <c r="A10628" s="4" t="s">
        <v>13360</v>
      </c>
      <c r="B10628" s="4" t="s">
        <v>13363</v>
      </c>
      <c r="C10628" s="5" t="str">
        <f>IFERROR(__xludf.DUMMYFUNCTION("GOOGLETRANSLATE(B10628,""en"",""es-ES"")"),"Continúa hablando y tocando hasta que cambia exclusivamente a él tocando la batería.")</f>
        <v>Continúa hablando y tocando hasta que cambia exclusivamente a él tocando la batería.</v>
      </c>
    </row>
    <row r="10629">
      <c r="A10629" s="4" t="s">
        <v>13364</v>
      </c>
      <c r="B10629" s="4" t="s">
        <v>13365</v>
      </c>
      <c r="C10629" s="5" t="str">
        <f>IFERROR(__xludf.DUMMYFUNCTION("GOOGLETRANSLATE(B10629,""en"",""es-ES"")"),"La gente está sentada en las máquinas.")</f>
        <v>La gente está sentada en las máquinas.</v>
      </c>
    </row>
    <row r="10630">
      <c r="A10630" s="4" t="s">
        <v>13364</v>
      </c>
      <c r="B10630" s="4" t="s">
        <v>13366</v>
      </c>
      <c r="C10630" s="5" t="str">
        <f>IFERROR(__xludf.DUMMYFUNCTION("GOOGLETRANSLATE(B10630,""en"",""es-ES"")"),"Comienzan a sacar una cuerda para hacer ejercicio.")</f>
        <v>Comienzan a sacar una cuerda para hacer ejercicio.</v>
      </c>
    </row>
    <row r="10631">
      <c r="A10631" s="4" t="s">
        <v>13364</v>
      </c>
      <c r="B10631" s="4" t="s">
        <v>13367</v>
      </c>
      <c r="C10631" s="5" t="str">
        <f>IFERROR(__xludf.DUMMYFUNCTION("GOOGLETRANSLATE(B10631,""en"",""es-ES"")"),"Una mujer está de pie junto a una máquina de ejercicios.")</f>
        <v>Una mujer está de pie junto a una máquina de ejercicios.</v>
      </c>
    </row>
    <row r="10632">
      <c r="A10632" s="4" t="s">
        <v>13368</v>
      </c>
      <c r="B10632" s="4" t="s">
        <v>13369</v>
      </c>
      <c r="C10632" s="5" t="str">
        <f>IFERROR(__xludf.DUMMYFUNCTION("GOOGLETRANSLATE(B10632,""en"",""es-ES"")"),"Varias personas hacen ejercicio en una habitación.")</f>
        <v>Varias personas hacen ejercicio en una habitación.</v>
      </c>
    </row>
    <row r="10633">
      <c r="A10633" s="4" t="s">
        <v>13368</v>
      </c>
      <c r="B10633" s="4" t="s">
        <v>13370</v>
      </c>
      <c r="C10633" s="5" t="str">
        <f>IFERROR(__xludf.DUMMYFUNCTION("GOOGLETRANSLATE(B10633,""en"",""es-ES"")"),"El paso dentro y fuera de una plataforma en ritmo.")</f>
        <v>El paso dentro y fuera de una plataforma en ritmo.</v>
      </c>
    </row>
    <row r="10634">
      <c r="A10634" s="4" t="s">
        <v>13368</v>
      </c>
      <c r="B10634" s="4" t="s">
        <v>13371</v>
      </c>
      <c r="C10634" s="5" t="str">
        <f>IFERROR(__xludf.DUMMYFUNCTION("GOOGLETRANSLATE(B10634,""en"",""es-ES"")"),"Son muy bailando intensamente.")</f>
        <v>Son muy bailando intensamente.</v>
      </c>
    </row>
    <row r="10635">
      <c r="A10635" s="4" t="s">
        <v>13368</v>
      </c>
      <c r="B10635" s="4" t="s">
        <v>13372</v>
      </c>
      <c r="C10635" s="5" t="str">
        <f>IFERROR(__xludf.DUMMYFUNCTION("GOOGLETRANSLATE(B10635,""en"",""es-ES"")"),"Algunos de ellos giran en círculos.")</f>
        <v>Algunos de ellos giran en círculos.</v>
      </c>
    </row>
    <row r="10636">
      <c r="A10636" s="4" t="s">
        <v>13373</v>
      </c>
      <c r="B10636" s="4" t="s">
        <v>13374</v>
      </c>
      <c r="C10636" s="5" t="str">
        <f>IFERROR(__xludf.DUMMYFUNCTION("GOOGLETRANSLATE(B10636,""en"",""es-ES"")"),"Hay dos hombres de lucha sobre el codo en una mesa.")</f>
        <v>Hay dos hombres de lucha sobre el codo en una mesa.</v>
      </c>
    </row>
    <row r="10637">
      <c r="A10637" s="4" t="s">
        <v>13373</v>
      </c>
      <c r="B10637" s="4" t="s">
        <v>13375</v>
      </c>
      <c r="C10637" s="5" t="str">
        <f>IFERROR(__xludf.DUMMYFUNCTION("GOOGLETRANSLATE(B10637,""en"",""es-ES"")"),"Hay varias personas que los miran luchando.")</f>
        <v>Hay varias personas que los miran luchando.</v>
      </c>
    </row>
    <row r="10638">
      <c r="A10638" s="4" t="s">
        <v>13373</v>
      </c>
      <c r="B10638" s="4" t="s">
        <v>13376</v>
      </c>
      <c r="C10638" s="5" t="str">
        <f>IFERROR(__xludf.DUMMYFUNCTION("GOOGLETRANSLATE(B10638,""en"",""es-ES"")"),"En otra escena, hay dos hombres más de lucha contra el codo.")</f>
        <v>En otra escena, hay dos hombres más de lucha contra el codo.</v>
      </c>
    </row>
    <row r="10639">
      <c r="A10639" s="4" t="s">
        <v>13373</v>
      </c>
      <c r="B10639" s="4" t="s">
        <v>13377</v>
      </c>
      <c r="C10639" s="5" t="str">
        <f>IFERROR(__xludf.DUMMYFUNCTION("GOOGLETRANSLATE(B10639,""en"",""es-ES"")"),"Hay una serie de eventos de lucha libre de codos que se muestran en el video donde un hombre es más contundente que el otro y termina ganando el juego de lucha libre.")</f>
        <v>Hay una serie de eventos de lucha libre de codos que se muestran en el video donde un hombre es más contundente que el otro y termina ganando el juego de lucha libre.</v>
      </c>
    </row>
    <row r="10640">
      <c r="A10640" s="4" t="s">
        <v>13373</v>
      </c>
      <c r="B10640" s="4" t="s">
        <v>13378</v>
      </c>
      <c r="C10640" s="5" t="str">
        <f>IFERROR(__xludf.DUMMYFUNCTION("GOOGLETRANSLATE(B10640,""en"",""es-ES"")"),"Hay algunas escenas dramatizadas en las que la gente está luchando contra el codo y reaccionando al juego.")</f>
        <v>Hay algunas escenas dramatizadas en las que la gente está luchando contra el codo y reaccionando al juego.</v>
      </c>
    </row>
    <row r="10641">
      <c r="A10641" s="4" t="s">
        <v>13373</v>
      </c>
      <c r="B10641" s="4" t="s">
        <v>13379</v>
      </c>
      <c r="C10641" s="5" t="str">
        <f>IFERROR(__xludf.DUMMYFUNCTION("GOOGLETRANSLATE(B10641,""en"",""es-ES"")"),"También hay algunos árbitros vistos actuando como moderadores en el partido de lucha libre.")</f>
        <v>También hay algunos árbitros vistos actuando como moderadores en el partido de lucha libre.</v>
      </c>
    </row>
    <row r="10642">
      <c r="A10642" s="4" t="s">
        <v>13380</v>
      </c>
      <c r="B10642" s="4" t="s">
        <v>13381</v>
      </c>
      <c r="C10642" s="5" t="str">
        <f>IFERROR(__xludf.DUMMYFUNCTION("GOOGLETRANSLATE(B10642,""en"",""es-ES"")"),"Una mujer morena está sentada en una habitación y se levanta el brazo izquierdo y mira su axila.")</f>
        <v>Una mujer morena está sentada en una habitación y se levanta el brazo izquierdo y mira su axila.</v>
      </c>
    </row>
    <row r="10643">
      <c r="A10643" s="4" t="s">
        <v>13380</v>
      </c>
      <c r="B10643" s="4" t="s">
        <v>13382</v>
      </c>
      <c r="C10643" s="5" t="str">
        <f>IFERROR(__xludf.DUMMYFUNCTION("GOOGLETRANSLATE(B10643,""en"",""es-ES"")"),"La mujer baja el brazo y habla en la cámara y un gato negro sube a muebles detrás de ella mientras todavía habla.")</f>
        <v>La mujer baja el brazo y habla en la cámara y un gato negro sube a muebles detrás de ella mientras todavía habla.</v>
      </c>
    </row>
    <row r="10644">
      <c r="A10644" s="4" t="s">
        <v>13380</v>
      </c>
      <c r="B10644" s="4" t="s">
        <v>13383</v>
      </c>
      <c r="C10644" s="5" t="str">
        <f>IFERROR(__xludf.DUMMYFUNCTION("GOOGLETRANSLATE(B10644,""en"",""es-ES"")"),"La mujer ahora está parada en su ducha completamente vestida y está aplicando mucha crema de afeitar a su pierna derecha que está apoyada en una pared.")</f>
        <v>La mujer ahora está parada en su ducha completamente vestida y está aplicando mucha crema de afeitar a su pierna derecha que está apoyada en una pared.</v>
      </c>
    </row>
    <row r="10645">
      <c r="A10645" s="4" t="s">
        <v>13380</v>
      </c>
      <c r="B10645" s="4" t="s">
        <v>13384</v>
      </c>
      <c r="C10645" s="5" t="str">
        <f>IFERROR(__xludf.DUMMYFUNCTION("GOOGLETRANSLATE(B10645,""en"",""es-ES"")"),"La mujer ahora está de pie en posición vertical y tiene mucha crema de afeitar en su axila izquierda y cae, luego está de pie con crema de afeitar sobre ella y luego aplaude las manos.")</f>
        <v>La mujer ahora está de pie en posición vertical y tiene mucha crema de afeitar en su axila izquierda y cae, luego está de pie con crema de afeitar sobre ella y luego aplaude las manos.</v>
      </c>
    </row>
    <row r="10646">
      <c r="A10646" s="4" t="s">
        <v>13380</v>
      </c>
      <c r="B10646" s="4" t="s">
        <v>13385</v>
      </c>
      <c r="C10646" s="5" t="str">
        <f>IFERROR(__xludf.DUMMYFUNCTION("GOOGLETRANSLATE(B10646,""en"",""es-ES"")"),"La mujer está de vuelta en la habitación hablando, luego aparece en la ducha con una navaja de afeitar y afeitarse las piernas.")</f>
        <v>La mujer está de vuelta en la habitación hablando, luego aparece en la ducha con una navaja de afeitar y afeitarse las piernas.</v>
      </c>
    </row>
    <row r="10647">
      <c r="A10647" s="4" t="s">
        <v>13380</v>
      </c>
      <c r="B10647" s="4" t="s">
        <v>13386</v>
      </c>
      <c r="C10647" s="5" t="str">
        <f>IFERROR(__xludf.DUMMYFUNCTION("GOOGLETRANSLATE(B10647,""en"",""es-ES"")"),"La mujer vuelve a hablar en la habitación y su gato negro se acerca a ella y la mujer continúa hablando y termina con un clip de ella saliendo cuidadosamente de la bañera.")</f>
        <v>La mujer vuelve a hablar en la habitación y su gato negro se acerca a ella y la mujer continúa hablando y termina con un clip de ella saliendo cuidadosamente de la bañera.</v>
      </c>
    </row>
    <row r="10648">
      <c r="A10648" s="4" t="s">
        <v>13387</v>
      </c>
      <c r="B10648" s="4" t="s">
        <v>13388</v>
      </c>
      <c r="C10648" s="5" t="str">
        <f>IFERROR(__xludf.DUMMYFUNCTION("GOOGLETRANSLATE(B10648,""en"",""es-ES"")"),"Una niña con una camisa roja y pantalones cortos blancos está parado en su baño en el fregadero con un cepillo de dientes en la mano.")</f>
        <v>Una niña con una camisa roja y pantalones cortos blancos está parado en su baño en el fregadero con un cepillo de dientes en la mano.</v>
      </c>
    </row>
    <row r="10649">
      <c r="A10649" s="4" t="s">
        <v>13387</v>
      </c>
      <c r="B10649" s="4" t="s">
        <v>13389</v>
      </c>
      <c r="C10649" s="5" t="str">
        <f>IFERROR(__xludf.DUMMYFUNCTION("GOOGLETRANSLATE(B10649,""en"",""es-ES"")"),"Toma un poco de pasta de dientes y la pone en su cepillo y comienza a cepillarse.")</f>
        <v>Toma un poco de pasta de dientes y la pone en su cepillo y comienza a cepillarse.</v>
      </c>
    </row>
    <row r="10650">
      <c r="A10650" s="4" t="s">
        <v>13387</v>
      </c>
      <c r="B10650" s="4" t="s">
        <v>13390</v>
      </c>
      <c r="C10650" s="5" t="str">
        <f>IFERROR(__xludf.DUMMYFUNCTION("GOOGLETRANSLATE(B10650,""en"",""es-ES"")"),"Ella comienza a bailar mientras se cepilla los dientes y mueve su cuerpo también.")</f>
        <v>Ella comienza a bailar mientras se cepilla los dientes y mueve su cuerpo también.</v>
      </c>
    </row>
    <row r="10651">
      <c r="A10651" s="4" t="s">
        <v>13387</v>
      </c>
      <c r="B10651" s="4" t="s">
        <v>13391</v>
      </c>
      <c r="C10651" s="5" t="str">
        <f>IFERROR(__xludf.DUMMYFUNCTION("GOOGLETRANSLATE(B10651,""en"",""es-ES"")"),"Ella continúa cepillando y baila más rápido y se ríe.")</f>
        <v>Ella continúa cepillando y baila más rápido y se ríe.</v>
      </c>
    </row>
    <row r="10652">
      <c r="A10652" s="4" t="s">
        <v>13387</v>
      </c>
      <c r="B10652" s="4" t="s">
        <v>13392</v>
      </c>
      <c r="C10652" s="5" t="str">
        <f>IFERROR(__xludf.DUMMYFUNCTION("GOOGLETRANSLATE(B10652,""en"",""es-ES"")"),"Luego se da cuenta de que su boca está llena de espuma de pasta de dientes y que está saliendo, la escupe en el fregadero.")</f>
        <v>Luego se da cuenta de que su boca está llena de espuma de pasta de dientes y que está saliendo, la escupe en el fregadero.</v>
      </c>
    </row>
    <row r="10653">
      <c r="A10653" s="4" t="s">
        <v>13393</v>
      </c>
      <c r="B10653" s="4" t="s">
        <v>13394</v>
      </c>
      <c r="C10653" s="5" t="str">
        <f>IFERROR(__xludf.DUMMYFUNCTION("GOOGLETRANSLATE(B10653,""en"",""es-ES"")"),"Una mujer joven con cabello rojo y negro se muestra usando un secador de pelo.")</f>
        <v>Una mujer joven con cabello rojo y negro se muestra usando un secador de pelo.</v>
      </c>
    </row>
    <row r="10654">
      <c r="A10654" s="4" t="s">
        <v>13393</v>
      </c>
      <c r="B10654" s="4" t="s">
        <v>13395</v>
      </c>
      <c r="C10654" s="5" t="str">
        <f>IFERROR(__xludf.DUMMYFUNCTION("GOOGLETRANSLATE(B10654,""en"",""es-ES"")"),"Ella usa un cepillo redondo grande para cepillarse el cabello en línea recta mientras se seca.")</f>
        <v>Ella usa un cepillo redondo grande para cepillarse el cabello en línea recta mientras se seca.</v>
      </c>
    </row>
    <row r="10655">
      <c r="A10655" s="4" t="s">
        <v>13393</v>
      </c>
      <c r="B10655" s="4" t="s">
        <v>13396</v>
      </c>
      <c r="C10655" s="5" t="str">
        <f>IFERROR(__xludf.DUMMYFUNCTION("GOOGLETRANSLATE(B10655,""en"",""es-ES"")"),"Cuando termina, rasca su mano por su cabello y la cepilla en su lugar.")</f>
        <v>Cuando termina, rasca su mano por su cabello y la cepilla en su lugar.</v>
      </c>
    </row>
    <row r="10656">
      <c r="A10656" s="4" t="s">
        <v>13397</v>
      </c>
      <c r="B10656" s="4" t="s">
        <v>13398</v>
      </c>
      <c r="C10656" s="5" t="str">
        <f>IFERROR(__xludf.DUMMYFUNCTION("GOOGLETRANSLATE(B10656,""en"",""es-ES"")"),"Las fotos de caballos se muestran seguidas por el logotipo de la ""vida ecuestre"".")</f>
        <v>Las fotos de caballos se muestran seguidas por el logotipo de la "vida ecuestre".</v>
      </c>
    </row>
    <row r="10657">
      <c r="A10657" s="4" t="s">
        <v>13397</v>
      </c>
      <c r="B10657" s="4" t="s">
        <v>13399</v>
      </c>
      <c r="C10657" s="5" t="str">
        <f>IFERROR(__xludf.DUMMYFUNCTION("GOOGLETRANSLATE(B10657,""en"",""es-ES"")"),"Una mujer se encuentra afuera con un caballo marrón y se pone un casco.")</f>
        <v>Una mujer se encuentra afuera con un caballo marrón y se pone un casco.</v>
      </c>
    </row>
    <row r="10658">
      <c r="A10658" s="4" t="s">
        <v>13397</v>
      </c>
      <c r="B10658" s="4" t="s">
        <v>13400</v>
      </c>
      <c r="C10658" s="5" t="str">
        <f>IFERROR(__xludf.DUMMYFUNCTION("GOOGLETRANSLATE(B10658,""en"",""es-ES"")"),"La mujer habla con la cámara y monta el caballo.")</f>
        <v>La mujer habla con la cámara y monta el caballo.</v>
      </c>
    </row>
    <row r="10659">
      <c r="A10659" s="4" t="s">
        <v>13397</v>
      </c>
      <c r="B10659" s="4" t="s">
        <v>13401</v>
      </c>
      <c r="C10659" s="5" t="str">
        <f>IFERROR(__xludf.DUMMYFUNCTION("GOOGLETRANSLATE(B10659,""en"",""es-ES"")"),"Ella continúa hablando con la cámara y luego camina al caballo en círculo.")</f>
        <v>Ella continúa hablando con la cámara y luego camina al caballo en círculo.</v>
      </c>
    </row>
    <row r="10660">
      <c r="A10660" s="4" t="s">
        <v>13402</v>
      </c>
      <c r="B10660" s="4" t="s">
        <v>13403</v>
      </c>
      <c r="C10660" s="5" t="str">
        <f>IFERROR(__xludf.DUMMYFUNCTION("GOOGLETRANSLATE(B10660,""en"",""es-ES"")"),"Se ve a una persona montando una bicicleta por un largo camino seguido de un gran camello en la distancia.")</f>
        <v>Se ve a una persona montando una bicicleta por un largo camino seguido de un gran camello en la distancia.</v>
      </c>
    </row>
    <row r="10661">
      <c r="A10661" s="4" t="s">
        <v>13402</v>
      </c>
      <c r="B10661" s="4" t="s">
        <v>13404</v>
      </c>
      <c r="C10661" s="5" t="str">
        <f>IFERROR(__xludf.DUMMYFUNCTION("GOOGLETRANSLATE(B10661,""en"",""es-ES"")"),"El animal se acerca mientras la cámara se acerca a las tres personas que montan en la parte superior del camello y pasan por más camellos.")</f>
        <v>El animal se acerca mientras la cámara se acerca a las tres personas que montan en la parte superior del camello y pasan por más camellos.</v>
      </c>
    </row>
    <row r="10662">
      <c r="A10662" s="4" t="s">
        <v>13405</v>
      </c>
      <c r="B10662" s="4" t="s">
        <v>13406</v>
      </c>
      <c r="C10662" s="5" t="str">
        <f>IFERROR(__xludf.DUMMYFUNCTION("GOOGLETRANSLATE(B10662,""en"",""es-ES"")"),"Se ve a una mujer hablando con la cámara que conduce a un hombre que habla con un grupo.")</f>
        <v>Se ve a una mujer hablando con la cámara que conduce a un hombre que habla con un grupo.</v>
      </c>
    </row>
    <row r="10663">
      <c r="A10663" s="4" t="s">
        <v>13405</v>
      </c>
      <c r="B10663" s="4" t="s">
        <v>13407</v>
      </c>
      <c r="C10663" s="5" t="str">
        <f>IFERROR(__xludf.DUMMYFUNCTION("GOOGLETRANSLATE(B10663,""en"",""es-ES"")"),"Otro hombre habla con la cámara mientras el demostrador apunta a una bicicleta y se quita una rueda.")</f>
        <v>Otro hombre habla con la cámara mientras el demostrador apunta a una bicicleta y se quita una rueda.</v>
      </c>
    </row>
    <row r="10664">
      <c r="A10664" s="4" t="s">
        <v>13405</v>
      </c>
      <c r="B10664" s="4" t="s">
        <v>13408</v>
      </c>
      <c r="C10664" s="5" t="str">
        <f>IFERROR(__xludf.DUMMYFUNCTION("GOOGLETRANSLATE(B10664,""en"",""es-ES"")"),"Más personas hablan con la cámara mientras el hombre demuestra cómo poner aire en una llanta y desarmarlo.")</f>
        <v>Más personas hablan con la cámara mientras el hombre demuestra cómo poner aire en una llanta y desarmarlo.</v>
      </c>
    </row>
    <row r="10665">
      <c r="A10665" s="4" t="s">
        <v>13409</v>
      </c>
      <c r="B10665" s="4" t="s">
        <v>13410</v>
      </c>
      <c r="C10665" s="5" t="str">
        <f>IFERROR(__xludf.DUMMYFUNCTION("GOOGLETRANSLATE(B10665,""en"",""es-ES"")"),"Una mujer con una camisa rosa está de pie afuera.")</f>
        <v>Una mujer con una camisa rosa está de pie afuera.</v>
      </c>
    </row>
    <row r="10666">
      <c r="A10666" s="4" t="s">
        <v>13409</v>
      </c>
      <c r="B10666" s="4" t="s">
        <v>13411</v>
      </c>
      <c r="C10666" s="5" t="str">
        <f>IFERROR(__xludf.DUMMYFUNCTION("GOOGLETRANSLATE(B10666,""en"",""es-ES"")"),"Un perro marrón está jugando con un frisbee.")</f>
        <v>Un perro marrón está jugando con un frisbee.</v>
      </c>
    </row>
    <row r="10667">
      <c r="A10667" s="4" t="s">
        <v>13409</v>
      </c>
      <c r="B10667" s="4" t="s">
        <v>13412</v>
      </c>
      <c r="C10667" s="5" t="str">
        <f>IFERROR(__xludf.DUMMYFUNCTION("GOOGLETRANSLATE(B10667,""en"",""es-ES"")"),"El perro está de pie sobre la espalda de la mujer.")</f>
        <v>El perro está de pie sobre la espalda de la mujer.</v>
      </c>
    </row>
    <row r="10668">
      <c r="A10668" s="4" t="s">
        <v>13413</v>
      </c>
      <c r="B10668" s="4" t="s">
        <v>13414</v>
      </c>
      <c r="C10668" s="5" t="str">
        <f>IFERROR(__xludf.DUMMYFUNCTION("GOOGLETRANSLATE(B10668,""en"",""es-ES"")"),"El estadio se muestra con mucha gente en la audiencia sentada en stands viendo un juego de criquet.")</f>
        <v>El estadio se muestra con mucha gente en la audiencia sentada en stands viendo un juego de criquet.</v>
      </c>
    </row>
    <row r="10669">
      <c r="A10669" s="4" t="s">
        <v>13413</v>
      </c>
      <c r="B10669" s="4" t="s">
        <v>13415</v>
      </c>
      <c r="C10669" s="5" t="str">
        <f>IFERROR(__xludf.DUMMYFUNCTION("GOOGLETRANSLATE(B10669,""en"",""es-ES"")"),"Los hombres están siendo entrevistados en el campo.")</f>
        <v>Los hombres están siendo entrevistados en el campo.</v>
      </c>
    </row>
    <row r="10670">
      <c r="A10670" s="4" t="s">
        <v>13416</v>
      </c>
      <c r="B10670" s="4" t="s">
        <v>13417</v>
      </c>
      <c r="C10670" s="5" t="str">
        <f>IFERROR(__xludf.DUMMYFUNCTION("GOOGLETRANSLATE(B10670,""en"",""es-ES"")"),"Un hombre está parado en una máquina de juguete antes de mirar hacia arriba y correr, saltando sobre un mostrador.")</f>
        <v>Un hombre está parado en una máquina de juguete antes de mirar hacia arriba y correr, saltando sobre un mostrador.</v>
      </c>
    </row>
    <row r="10671">
      <c r="A10671" s="4" t="s">
        <v>13416</v>
      </c>
      <c r="B10671" s="4" t="s">
        <v>13418</v>
      </c>
      <c r="C10671" s="5" t="str">
        <f>IFERROR(__xludf.DUMMYFUNCTION("GOOGLETRANSLATE(B10671,""en"",""es-ES"")"),"Él agarra una pelota de bolos y comienza a bolos.")</f>
        <v>Él agarra una pelota de bolos y comienza a bolos.</v>
      </c>
    </row>
    <row r="10672">
      <c r="A10672" s="4" t="s">
        <v>13416</v>
      </c>
      <c r="B10672" s="4" t="s">
        <v>13419</v>
      </c>
      <c r="C10672" s="5" t="str">
        <f>IFERROR(__xludf.DUMMYFUNCTION("GOOGLETRANSLATE(B10672,""en"",""es-ES"")"),"Los hombres realizan volteretas y se deslizan a medida que se lanzan, a veces rodando las bolas uno debajo del otro.")</f>
        <v>Los hombres realizan volteretas y se deslizan a medida que se lanzan, a veces rodando las bolas uno debajo del otro.</v>
      </c>
    </row>
    <row r="10673">
      <c r="A10673" s="4" t="s">
        <v>13416</v>
      </c>
      <c r="B10673" s="4" t="s">
        <v>13420</v>
      </c>
      <c r="C10673" s="5" t="str">
        <f>IFERROR(__xludf.DUMMYFUNCTION("GOOGLETRANSLATE(B10673,""en"",""es-ES"")"),"Uno tiene los ojos vendados antes de hacer una huelga, luego la otra se encuentra en el equipo.")</f>
        <v>Uno tiene los ojos vendados antes de hacer una huelga, luego la otra se encuentra en el equipo.</v>
      </c>
    </row>
    <row r="10674">
      <c r="A10674" s="4" t="s">
        <v>13421</v>
      </c>
      <c r="B10674" s="4" t="s">
        <v>13422</v>
      </c>
      <c r="C10674" s="5" t="str">
        <f>IFERROR(__xludf.DUMMYFUNCTION("GOOGLETRANSLATE(B10674,""en"",""es-ES"")"),"Los hombres en estos palos de Pogo de aspecto robótico están jugando baloncesto dentro de una cancha.")</f>
        <v>Los hombres en estos palos de Pogo de aspecto robótico están jugando baloncesto dentro de una cancha.</v>
      </c>
    </row>
    <row r="10675">
      <c r="A10675" s="4" t="s">
        <v>13421</v>
      </c>
      <c r="B10675" s="4" t="s">
        <v>13423</v>
      </c>
      <c r="C10675" s="5" t="str">
        <f>IFERROR(__xludf.DUMMYFUNCTION("GOOGLETRANSLATE(B10675,""en"",""es-ES"")"),"Están caminando sobre los palitos de Pogo y saltando un poco también.")</f>
        <v>Están caminando sobre los palitos de Pogo y saltando un poco también.</v>
      </c>
    </row>
    <row r="10676">
      <c r="A10676" s="4" t="s">
        <v>13421</v>
      </c>
      <c r="B10676" s="4" t="s">
        <v>13424</v>
      </c>
      <c r="C10676" s="5" t="str">
        <f>IFERROR(__xludf.DUMMYFUNCTION("GOOGLETRANSLATE(B10676,""en"",""es-ES"")"),"Intentan poner la pelota en el aro y continúan rebotando por la cancha.")</f>
        <v>Intentan poner la pelota en el aro y continúan rebotando por la cancha.</v>
      </c>
    </row>
    <row r="10677">
      <c r="A10677" s="4" t="s">
        <v>13421</v>
      </c>
      <c r="B10677" s="4" t="s">
        <v>13425</v>
      </c>
      <c r="C10677" s="5" t="str">
        <f>IFERROR(__xludf.DUMMYFUNCTION("GOOGLETRANSLATE(B10677,""en"",""es-ES"")"),"Un hombre en verde hace un volteo en el aire y dispara la pelota al aro.")</f>
        <v>Un hombre en verde hace un volteo en el aire y dispara la pelota al aro.</v>
      </c>
    </row>
    <row r="10678">
      <c r="A10678" s="4" t="s">
        <v>13426</v>
      </c>
      <c r="B10678" s="4" t="s">
        <v>13427</v>
      </c>
      <c r="C10678" s="5" t="str">
        <f>IFERROR(__xludf.DUMMYFUNCTION("GOOGLETRANSLATE(B10678,""en"",""es-ES"")"),"Se ve a un perro parado en una bañera encadenada en una bañera y una mujer camina hacia el marco y agarra al perro.")</f>
        <v>Se ve a un perro parado en una bañera encadenada en una bañera y una mujer camina hacia el marco y agarra al perro.</v>
      </c>
    </row>
    <row r="10679">
      <c r="A10679" s="4" t="s">
        <v>13426</v>
      </c>
      <c r="B10679" s="4" t="s">
        <v>13428</v>
      </c>
      <c r="C10679" s="5" t="str">
        <f>IFERROR(__xludf.DUMMYFUNCTION("GOOGLETRANSLATE(B10679,""en"",""es-ES"")"),"Levanta una botella y la rocía alrededor del perro, frotándola en su pelaje mientras habla con la cámara.")</f>
        <v>Levanta una botella y la rocía alrededor del perro, frotándola en su pelaje mientras habla con la cámara.</v>
      </c>
    </row>
    <row r="10680">
      <c r="A10680" s="4" t="s">
        <v>13426</v>
      </c>
      <c r="B10680" s="4" t="s">
        <v>13429</v>
      </c>
      <c r="C10680" s="5" t="str">
        <f>IFERROR(__xludf.DUMMYFUNCTION("GOOGLETRANSLATE(B10680,""en"",""es-ES"")"),"Luego toma una manguera y rocía al perro con agua y termina mirando hacia atrás a la cámara.")</f>
        <v>Luego toma una manguera y rocía al perro con agua y termina mirando hacia atrás a la cámara.</v>
      </c>
    </row>
    <row r="10681">
      <c r="A10681" s="4" t="s">
        <v>13430</v>
      </c>
      <c r="B10681" s="4" t="s">
        <v>13431</v>
      </c>
      <c r="C10681" s="5" t="str">
        <f>IFERROR(__xludf.DUMMYFUNCTION("GOOGLETRANSLATE(B10681,""en"",""es-ES"")"),"Tres adolescentes llevan sus patinetas por un sendero de parque pavimentado.")</f>
        <v>Tres adolescentes llevan sus patinetas por un sendero de parque pavimentado.</v>
      </c>
    </row>
    <row r="10682">
      <c r="A10682" s="4" t="s">
        <v>13430</v>
      </c>
      <c r="B10682" s="4" t="s">
        <v>13432</v>
      </c>
      <c r="C10682" s="5" t="str">
        <f>IFERROR(__xludf.DUMMYFUNCTION("GOOGLETRANSLATE(B10682,""en"",""es-ES"")"),"Una cámara montada en la patineta captura escenas de los patinadores jóvenes que navegan en diferentes direcciones y realizan diferentes trucos.")</f>
        <v>Una cámara montada en la patineta captura escenas de los patinadores jóvenes que navegan en diferentes direcciones y realizan diferentes trucos.</v>
      </c>
    </row>
    <row r="10683">
      <c r="A10683" s="4" t="s">
        <v>13430</v>
      </c>
      <c r="B10683" s="4" t="s">
        <v>13433</v>
      </c>
      <c r="C10683" s="5" t="str">
        <f>IFERROR(__xludf.DUMMYFUNCTION("GOOGLETRANSLATE(B10683,""en"",""es-ES"")"),"Un patinador en una sudadera con capucha verde en un sendero de tierra estrecho bordeado de árboles.")</f>
        <v>Un patinador en una sudadera con capucha verde en un sendero de tierra estrecho bordeado de árboles.</v>
      </c>
    </row>
    <row r="10684">
      <c r="A10684" s="4" t="s">
        <v>13434</v>
      </c>
      <c r="B10684" s="4" t="s">
        <v>13435</v>
      </c>
      <c r="C10684" s="5" t="str">
        <f>IFERROR(__xludf.DUMMYFUNCTION("GOOGLETRANSLATE(B10684,""en"",""es-ES"")"),"Se muestra un mapa meteorológico por un segundo, luego dos mujeres mujeres sentadas en un escritorio.")</f>
        <v>Se muestra un mapa meteorológico por un segundo, luego dos mujeres mujeres sentadas en un escritorio.</v>
      </c>
    </row>
    <row r="10685">
      <c r="A10685" s="4" t="s">
        <v>13434</v>
      </c>
      <c r="B10685" s="4" t="s">
        <v>13436</v>
      </c>
      <c r="C10685" s="5" t="str">
        <f>IFERROR(__xludf.DUMMYFUNCTION("GOOGLETRANSLATE(B10685,""en"",""es-ES"")"),"Se muestra a varias personas calentándose para una carrera.")</f>
        <v>Se muestra a varias personas calentándose para una carrera.</v>
      </c>
    </row>
    <row r="10686">
      <c r="A10686" s="4" t="s">
        <v>13434</v>
      </c>
      <c r="B10686" s="4" t="s">
        <v>13437</v>
      </c>
      <c r="C10686" s="5" t="str">
        <f>IFERROR(__xludf.DUMMYFUNCTION("GOOGLETRANSLATE(B10686,""en"",""es-ES"")"),"Se dispara una pistola y comienza la carrera.")</f>
        <v>Se dispara una pistola y comienza la carrera.</v>
      </c>
    </row>
    <row r="10687">
      <c r="A10687" s="4" t="s">
        <v>13434</v>
      </c>
      <c r="B10687" s="4" t="s">
        <v>13438</v>
      </c>
      <c r="C10687" s="5" t="str">
        <f>IFERROR(__xludf.DUMMYFUNCTION("GOOGLETRANSLATE(B10687,""en"",""es-ES"")"),"Volvemos a las mujeres en la sala de noticias, hablando.")</f>
        <v>Volvemos a las mujeres en la sala de noticias, hablando.</v>
      </c>
    </row>
    <row r="10688">
      <c r="A10688" s="4" t="s">
        <v>13439</v>
      </c>
      <c r="B10688" s="4" t="s">
        <v>13440</v>
      </c>
      <c r="C10688" s="5" t="str">
        <f>IFERROR(__xludf.DUMMYFUNCTION("GOOGLETRANSLATE(B10688,""en"",""es-ES"")"),"Una mujer que usa clases baila frente a la cámara.")</f>
        <v>Una mujer que usa clases baila frente a la cámara.</v>
      </c>
    </row>
    <row r="10689">
      <c r="A10689" s="4" t="s">
        <v>13439</v>
      </c>
      <c r="B10689" s="4" t="s">
        <v>13441</v>
      </c>
      <c r="C10689" s="5" t="str">
        <f>IFERROR(__xludf.DUMMYFUNCTION("GOOGLETRANSLATE(B10689,""en"",""es-ES"")"),"La mujer se da vuelta mientras levanta un brazo.")</f>
        <v>La mujer se da vuelta mientras levanta un brazo.</v>
      </c>
    </row>
    <row r="10690">
      <c r="A10690" s="4" t="s">
        <v>13439</v>
      </c>
      <c r="B10690" s="4" t="s">
        <v>13442</v>
      </c>
      <c r="C10690" s="5" t="str">
        <f>IFERROR(__xludf.DUMMYFUNCTION("GOOGLETRANSLATE(B10690,""en"",""es-ES"")"),"La mujer se da vuelta de nuevo.")</f>
        <v>La mujer se da vuelta de nuevo.</v>
      </c>
    </row>
    <row r="10691">
      <c r="A10691" s="4" t="s">
        <v>13443</v>
      </c>
      <c r="B10691" s="4" t="s">
        <v>1487</v>
      </c>
      <c r="C10691" s="5" t="str">
        <f>IFERROR(__xludf.DUMMYFUNCTION("GOOGLETRANSLATE(B10691,""en"",""es-ES"")"),"Vemos una pantalla de título de apertura.")</f>
        <v>Vemos una pantalla de título de apertura.</v>
      </c>
    </row>
    <row r="10692">
      <c r="A10692" s="4" t="s">
        <v>13443</v>
      </c>
      <c r="B10692" s="4" t="s">
        <v>13444</v>
      </c>
      <c r="C10692" s="5" t="str">
        <f>IFERROR(__xludf.DUMMYFUNCTION("GOOGLETRANSLATE(B10692,""en"",""es-ES"")"),"Vemos a un chef en una barra de tortilla que hace múltiples tortillas al mismo tiempo.")</f>
        <v>Vemos a un chef en una barra de tortilla que hace múltiples tortillas al mismo tiempo.</v>
      </c>
    </row>
    <row r="10693">
      <c r="A10693" s="4" t="s">
        <v>13443</v>
      </c>
      <c r="B10693" s="4" t="s">
        <v>13445</v>
      </c>
      <c r="C10693" s="5" t="str">
        <f>IFERROR(__xludf.DUMMYFUNCTION("GOOGLETRANSLATE(B10693,""en"",""es-ES"")"),"Vemos al hombre verter más huevo en las sartenes.")</f>
        <v>Vemos al hombre verter más huevo en las sartenes.</v>
      </c>
    </row>
    <row r="10694">
      <c r="A10694" s="4" t="s">
        <v>13443</v>
      </c>
      <c r="B10694" s="4" t="s">
        <v>13446</v>
      </c>
      <c r="C10694" s="5" t="str">
        <f>IFERROR(__xludf.DUMMYFUNCTION("GOOGLETRANSLATE(B10694,""en"",""es-ES"")"),"El hombre rocía condimentos en las tortillas.")</f>
        <v>El hombre rocía condimentos en las tortillas.</v>
      </c>
    </row>
    <row r="10695">
      <c r="A10695" s="4" t="s">
        <v>13443</v>
      </c>
      <c r="B10695" s="4" t="s">
        <v>13447</v>
      </c>
      <c r="C10695" s="5" t="str">
        <f>IFERROR(__xludf.DUMMYFUNCTION("GOOGLETRANSLATE(B10695,""en"",""es-ES"")"),"El hombre vierte las tortillas en las placas.")</f>
        <v>El hombre vierte las tortillas en las placas.</v>
      </c>
    </row>
    <row r="10696">
      <c r="A10696" s="4" t="s">
        <v>13443</v>
      </c>
      <c r="B10696" s="4" t="s">
        <v>4452</v>
      </c>
      <c r="C10696" s="5" t="str">
        <f>IFERROR(__xludf.DUMMYFUNCTION("GOOGLETRANSLATE(B10696,""en"",""es-ES"")"),"Luego vemos la pantalla final.")</f>
        <v>Luego vemos la pantalla final.</v>
      </c>
    </row>
    <row r="10697">
      <c r="A10697" s="4" t="s">
        <v>13443</v>
      </c>
      <c r="B10697" s="4" t="s">
        <v>13448</v>
      </c>
      <c r="C10697" s="5" t="str">
        <f>IFERROR(__xludf.DUMMYFUNCTION("GOOGLETRANSLATE(B10697,""en"",""es-ES"")"),"Vemos fotos del chef.")</f>
        <v>Vemos fotos del chef.</v>
      </c>
    </row>
    <row r="10698">
      <c r="A10698" s="4" t="s">
        <v>13449</v>
      </c>
      <c r="B10698" s="4" t="s">
        <v>13450</v>
      </c>
      <c r="C10698" s="5" t="str">
        <f>IFERROR(__xludf.DUMMYFUNCTION("GOOGLETRANSLATE(B10698,""en"",""es-ES"")"),"Un individuo se encuentra detrás de un área anotada.")</f>
        <v>Un individuo se encuentra detrás de un área anotada.</v>
      </c>
    </row>
    <row r="10699">
      <c r="A10699" s="4" t="s">
        <v>13449</v>
      </c>
      <c r="B10699" s="4" t="s">
        <v>13451</v>
      </c>
      <c r="C10699" s="5" t="str">
        <f>IFERROR(__xludf.DUMMYFUNCTION("GOOGLETRANSLATE(B10699,""en"",""es-ES"")"),"El individuo comienza a balancearse para un lanzamiento de martillo.")</f>
        <v>El individuo comienza a balancearse para un lanzamiento de martillo.</v>
      </c>
    </row>
    <row r="10700">
      <c r="A10700" s="4" t="s">
        <v>13449</v>
      </c>
      <c r="B10700" s="4" t="s">
        <v>13452</v>
      </c>
      <c r="C10700" s="5" t="str">
        <f>IFERROR(__xludf.DUMMYFUNCTION("GOOGLETRANSLATE(B10700,""en"",""es-ES"")"),"El individuo libera el peso.")</f>
        <v>El individuo libera el peso.</v>
      </c>
    </row>
    <row r="10701">
      <c r="A10701" s="4" t="s">
        <v>13453</v>
      </c>
      <c r="B10701" s="4" t="s">
        <v>13454</v>
      </c>
      <c r="C10701" s="5" t="str">
        <f>IFERROR(__xludf.DUMMYFUNCTION("GOOGLETRANSLATE(B10701,""en"",""es-ES"")"),"Un hombre está bailando en una habitación.")</f>
        <v>Un hombre está bailando en una habitación.</v>
      </c>
    </row>
    <row r="10702">
      <c r="A10702" s="4" t="s">
        <v>13453</v>
      </c>
      <c r="B10702" s="4" t="s">
        <v>13455</v>
      </c>
      <c r="C10702" s="5" t="str">
        <f>IFERROR(__xludf.DUMMYFUNCTION("GOOGLETRANSLATE(B10702,""en"",""es-ES"")"),"Él sube y baja sobre un pequeño taburete negro de paso.")</f>
        <v>Él sube y baja sobre un pequeño taburete negro de paso.</v>
      </c>
    </row>
    <row r="10703">
      <c r="A10703" s="4" t="s">
        <v>13453</v>
      </c>
      <c r="B10703" s="4" t="s">
        <v>13456</v>
      </c>
      <c r="C10703" s="5" t="str">
        <f>IFERROR(__xludf.DUMMYFUNCTION("GOOGLETRANSLATE(B10703,""en"",""es-ES"")"),"Luego baila con una mujer en la habitación.")</f>
        <v>Luego baila con una mujer en la habitación.</v>
      </c>
    </row>
    <row r="10704">
      <c r="A10704" s="4" t="s">
        <v>13457</v>
      </c>
      <c r="B10704" s="4" t="s">
        <v>13458</v>
      </c>
      <c r="C10704" s="5" t="str">
        <f>IFERROR(__xludf.DUMMYFUNCTION("GOOGLETRANSLATE(B10704,""en"",""es-ES"")"),"El hombre está de pie en una pista de carreras lista para hacer gimnasia en paralelos en el medio de un estadio.")</f>
        <v>El hombre está de pie en una pista de carreras lista para hacer gimnasia en paralelos en el medio de un estadio.</v>
      </c>
    </row>
    <row r="10705">
      <c r="A10705" s="4" t="s">
        <v>13457</v>
      </c>
      <c r="B10705" s="4" t="s">
        <v>13459</v>
      </c>
      <c r="C10705" s="5" t="str">
        <f>IFERROR(__xludf.DUMMYFUNCTION("GOOGLETRANSLATE(B10705,""en"",""es-ES"")"),"Mucha gente está sentada o caminando sobre puestos.")</f>
        <v>Mucha gente está sentada o caminando sobre puestos.</v>
      </c>
    </row>
    <row r="10706">
      <c r="A10706" s="4" t="s">
        <v>13457</v>
      </c>
      <c r="B10706" s="4" t="s">
        <v>13460</v>
      </c>
      <c r="C10706" s="5" t="str">
        <f>IFERROR(__xludf.DUMMYFUNCTION("GOOGLETRANSLATE(B10706,""en"",""es-ES"")"),"El hombre aterriza en el piso, saluda y la gente aplaude.")</f>
        <v>El hombre aterriza en el piso, saluda y la gente aplaude.</v>
      </c>
    </row>
    <row r="10707">
      <c r="A10707" s="4" t="s">
        <v>13461</v>
      </c>
      <c r="B10707" s="4" t="s">
        <v>13462</v>
      </c>
      <c r="C10707" s="5" t="str">
        <f>IFERROR(__xludf.DUMMYFUNCTION("GOOGLETRANSLATE(B10707,""en"",""es-ES"")"),"Un auto de carrera verde entra en una parada en boxes.")</f>
        <v>Un auto de carrera verde entra en una parada en boxes.</v>
      </c>
    </row>
    <row r="10708">
      <c r="A10708" s="4" t="s">
        <v>13461</v>
      </c>
      <c r="B10708" s="4" t="s">
        <v>13463</v>
      </c>
      <c r="C10708" s="5" t="str">
        <f>IFERROR(__xludf.DUMMYFUNCTION("GOOGLETRANSLATE(B10708,""en"",""es-ES"")"),"El hombre con el gato levanta el auto.")</f>
        <v>El hombre con el gato levanta el auto.</v>
      </c>
    </row>
    <row r="10709">
      <c r="A10709" s="4" t="s">
        <v>13461</v>
      </c>
      <c r="B10709" s="4" t="s">
        <v>13464</v>
      </c>
      <c r="C10709" s="5" t="str">
        <f>IFERROR(__xludf.DUMMYFUNCTION("GOOGLETRANSLATE(B10709,""en"",""es-ES"")"),"El equipo de boxes comienza a trabajar en el automóvil cambiando los neumáticos delanteros y traseros del automóvil.")</f>
        <v>El equipo de boxes comienza a trabajar en el automóvil cambiando los neumáticos delanteros y traseros del automóvil.</v>
      </c>
    </row>
    <row r="10710">
      <c r="A10710" s="4" t="s">
        <v>13461</v>
      </c>
      <c r="B10710" s="4" t="s">
        <v>13465</v>
      </c>
      <c r="C10710" s="5" t="str">
        <f>IFERROR(__xludf.DUMMYFUNCTION("GOOGLETRANSLATE(B10710,""en"",""es-ES"")"),"El Jack Man luego saca el gato cuando un hombre con una camisa rosa se encuentra frente a la cámara.")</f>
        <v>El Jack Man luego saca el gato cuando un hombre con una camisa rosa se encuentra frente a la cámara.</v>
      </c>
    </row>
    <row r="10711">
      <c r="A10711" s="4" t="s">
        <v>13466</v>
      </c>
      <c r="B10711" s="4" t="s">
        <v>13467</v>
      </c>
      <c r="C10711" s="5" t="str">
        <f>IFERROR(__xludf.DUMMYFUNCTION("GOOGLETRANSLATE(B10711,""en"",""es-ES"")"),"Se ve a un hombre arrodillado en una imagen seguido de dos hombres que se inclinan entre sí.")</f>
        <v>Se ve a un hombre arrodillado en una imagen seguido de dos hombres que se inclinan entre sí.</v>
      </c>
    </row>
    <row r="10712">
      <c r="A10712" s="4" t="s">
        <v>13466</v>
      </c>
      <c r="B10712" s="4" t="s">
        <v>13468</v>
      </c>
      <c r="C10712" s="5" t="str">
        <f>IFERROR(__xludf.DUMMYFUNCTION("GOOGLETRANSLATE(B10712,""en"",""es-ES"")"),"Comienzan a luchar y un hombre empuja al otro hacia abajo y su clip se muestra nuevamente.")</f>
        <v>Comienzan a luchar y un hombre empuja al otro hacia abajo y su clip se muestra nuevamente.</v>
      </c>
    </row>
    <row r="10713">
      <c r="A10713" s="4" t="s">
        <v>13469</v>
      </c>
      <c r="B10713" s="4" t="s">
        <v>13470</v>
      </c>
      <c r="C10713" s="5" t="str">
        <f>IFERROR(__xludf.DUMMYFUNCTION("GOOGLETRANSLATE(B10713,""en"",""es-ES"")"),"Un hombre y una mujer están en una habitación con varios objetivos detrás de ellos hablando.")</f>
        <v>Un hombre y una mujer están en una habitación con varios objetivos detrás de ellos hablando.</v>
      </c>
    </row>
    <row r="10714">
      <c r="A10714" s="4" t="s">
        <v>13469</v>
      </c>
      <c r="B10714" s="4" t="s">
        <v>13471</v>
      </c>
      <c r="C10714" s="5" t="str">
        <f>IFERROR(__xludf.DUMMYFUNCTION("GOOGLETRANSLATE(B10714,""en"",""es-ES"")"),"Luego se muestra a la señora en otra habitación que demuestra que la técnica adecuada es eficiente en el tiro con arco.")</f>
        <v>Luego se muestra a la señora en otra habitación que demuestra que la técnica adecuada es eficiente en el tiro con arco.</v>
      </c>
    </row>
    <row r="10715">
      <c r="A10715" s="4" t="s">
        <v>13469</v>
      </c>
      <c r="B10715" s="4" t="s">
        <v>13472</v>
      </c>
      <c r="C10715" s="5" t="str">
        <f>IFERROR(__xludf.DUMMYFUNCTION("GOOGLETRANSLATE(B10715,""en"",""es-ES"")"),"Continúan dos patrones y luego la niña regresa y se muestra con arcos a la espalda antes de dispararle a un objetivo en la pared.")</f>
        <v>Continúan dos patrones y luego la niña regresa y se muestra con arcos a la espalda antes de dispararle a un objetivo en la pared.</v>
      </c>
    </row>
    <row r="10716">
      <c r="A10716" s="4" t="s">
        <v>13473</v>
      </c>
      <c r="B10716" s="4" t="s">
        <v>13474</v>
      </c>
      <c r="C10716" s="5" t="str">
        <f>IFERROR(__xludf.DUMMYFUNCTION("GOOGLETRANSLATE(B10716,""en"",""es-ES"")"),"Un grupo de hombres está tocando instrumentos fuera de un edificio.")</f>
        <v>Un grupo de hombres está tocando instrumentos fuera de un edificio.</v>
      </c>
    </row>
    <row r="10717">
      <c r="A10717" s="4" t="s">
        <v>13473</v>
      </c>
      <c r="B10717" s="4" t="s">
        <v>13475</v>
      </c>
      <c r="C10717" s="5" t="str">
        <f>IFERROR(__xludf.DUMMYFUNCTION("GOOGLETRANSLATE(B10717,""en"",""es-ES"")"),"Dos hombres se agachan uno frente al otro mientras juegan.")</f>
        <v>Dos hombres se agachan uno frente al otro mientras juegan.</v>
      </c>
    </row>
    <row r="10718">
      <c r="A10718" s="4" t="s">
        <v>13473</v>
      </c>
      <c r="B10718" s="4" t="s">
        <v>13476</v>
      </c>
      <c r="C10718" s="5" t="str">
        <f>IFERROR(__xludf.DUMMYFUNCTION("GOOGLETRANSLATE(B10718,""en"",""es-ES"")"),"Los hombres saltan y comienzan a hacer artes marciales se mueven entre sí, simulando patadas y volteos.")</f>
        <v>Los hombres saltan y comienzan a hacer artes marciales se mueven entre sí, simulando patadas y volteos.</v>
      </c>
    </row>
    <row r="10719">
      <c r="A10719" s="4" t="s">
        <v>13477</v>
      </c>
      <c r="B10719" s="4" t="s">
        <v>13478</v>
      </c>
      <c r="C10719" s="5" t="str">
        <f>IFERROR(__xludf.DUMMYFUNCTION("GOOGLETRANSLATE(B10719,""en"",""es-ES"")"),"Un hombre se sienta en el frente de un tazón, luego una mujer muestra masa de galletas en tazones, luego revisa un libro de cocina.")</f>
        <v>Un hombre se sienta en el frente de un tazón, luego una mujer muestra masa de galletas en tazones, luego revisa un libro de cocina.</v>
      </c>
    </row>
    <row r="10720">
      <c r="A10720" s="4" t="s">
        <v>13477</v>
      </c>
      <c r="B10720" s="4" t="s">
        <v>13479</v>
      </c>
      <c r="C10720" s="5" t="str">
        <f>IFERROR(__xludf.DUMMYFUNCTION("GOOGLETRANSLATE(B10720,""en"",""es-ES"")"),"Luego, la mujer hace bolas de masa y pone una bandeja para hornear, también un adolescente hace bolas de masa y pone en una bandeja para hornear.")</f>
        <v>Luego, la mujer hace bolas de masa y pone una bandeja para hornear, también un adolescente hace bolas de masa y pone en una bandeja para hornear.</v>
      </c>
    </row>
    <row r="10721">
      <c r="A10721" s="4" t="s">
        <v>13477</v>
      </c>
      <c r="B10721" s="4" t="s">
        <v>13480</v>
      </c>
      <c r="C10721" s="5" t="str">
        <f>IFERROR(__xludf.DUMMYFUNCTION("GOOGLETRANSLATE(B10721,""en"",""es-ES"")"),"Después, el hombre puso las galletas en el horno.")</f>
        <v>Después, el hombre puso las galletas en el horno.</v>
      </c>
    </row>
    <row r="10722">
      <c r="A10722" s="4" t="s">
        <v>13481</v>
      </c>
      <c r="B10722" s="4" t="s">
        <v>13482</v>
      </c>
      <c r="C10722" s="5" t="str">
        <f>IFERROR(__xludf.DUMMYFUNCTION("GOOGLETRANSLATE(B10722,""en"",""es-ES"")"),"Se ve a un gran grupo de personas corriendo a lo largo de un campo y los lleva a jugar un juego de hockey sobre césped.")</f>
        <v>Se ve a un gran grupo de personas corriendo a lo largo de un campo y los lleva a jugar un juego de hockey sobre césped.</v>
      </c>
    </row>
    <row r="10723">
      <c r="A10723" s="4" t="s">
        <v>13481</v>
      </c>
      <c r="B10723" s="4" t="s">
        <v>13483</v>
      </c>
      <c r="C10723" s="5" t="str">
        <f>IFERROR(__xludf.DUMMYFUNCTION("GOOGLETRANSLATE(B10723,""en"",""es-ES"")"),"El juego continúa con flechas que apuntan a varios jugadores, así como a tiros de personas que se caen.")</f>
        <v>El juego continúa con flechas que apuntan a varios jugadores, así como a tiros de personas que se caen.</v>
      </c>
    </row>
    <row r="10724">
      <c r="A10724" s="4" t="s">
        <v>13484</v>
      </c>
      <c r="B10724" s="4" t="s">
        <v>13485</v>
      </c>
      <c r="C10724" s="5" t="str">
        <f>IFERROR(__xludf.DUMMYFUNCTION("GOOGLETRANSLATE(B10724,""en"",""es-ES"")"),"Un hombre sostiene el mango de una herramienta de limpieza.")</f>
        <v>Un hombre sostiene el mango de una herramienta de limpieza.</v>
      </c>
    </row>
    <row r="10725">
      <c r="A10725" s="4" t="s">
        <v>13484</v>
      </c>
      <c r="B10725" s="4" t="s">
        <v>13486</v>
      </c>
      <c r="C10725" s="5" t="str">
        <f>IFERROR(__xludf.DUMMYFUNCTION("GOOGLETRANSLATE(B10725,""en"",""es-ES"")"),"El hombre limpia el piso de la cocina.")</f>
        <v>El hombre limpia el piso de la cocina.</v>
      </c>
    </row>
    <row r="10726">
      <c r="A10726" s="4" t="s">
        <v>13484</v>
      </c>
      <c r="B10726" s="4" t="s">
        <v>13487</v>
      </c>
      <c r="C10726" s="5" t="str">
        <f>IFERROR(__xludf.DUMMYFUNCTION("GOOGLETRANSLATE(B10726,""en"",""es-ES"")"),"Una dama discute con el hombre.")</f>
        <v>Una dama discute con el hombre.</v>
      </c>
    </row>
    <row r="10727">
      <c r="A10727" s="4" t="s">
        <v>13484</v>
      </c>
      <c r="B10727" s="4" t="s">
        <v>13488</v>
      </c>
      <c r="C10727" s="5" t="str">
        <f>IFERROR(__xludf.DUMMYFUNCTION("GOOGLETRANSLATE(B10727,""en"",""es-ES"")"),"El hombre saca el trapeador del cubo rojo y mueve el cubo a un lado.")</f>
        <v>El hombre saca el trapeador del cubo rojo y mueve el cubo a un lado.</v>
      </c>
    </row>
    <row r="10728">
      <c r="A10728" s="4" t="s">
        <v>13484</v>
      </c>
      <c r="B10728" s="4" t="s">
        <v>13489</v>
      </c>
      <c r="C10728" s="5" t="str">
        <f>IFERROR(__xludf.DUMMYFUNCTION("GOOGLETRANSLATE(B10728,""en"",""es-ES"")"),"La señora se para junto a un hombre.")</f>
        <v>La señora se para junto a un hombre.</v>
      </c>
    </row>
    <row r="10729">
      <c r="A10729" s="4" t="s">
        <v>13484</v>
      </c>
      <c r="B10729" s="4" t="s">
        <v>13490</v>
      </c>
      <c r="C10729" s="5" t="str">
        <f>IFERROR(__xludf.DUMMYFUNCTION("GOOGLETRANSLATE(B10729,""en"",""es-ES"")"),"La dama hace un gesto con las manos.")</f>
        <v>La dama hace un gesto con las manos.</v>
      </c>
    </row>
    <row r="10730">
      <c r="A10730" s="4" t="s">
        <v>13484</v>
      </c>
      <c r="B10730" s="4" t="s">
        <v>13491</v>
      </c>
      <c r="C10730" s="5" t="str">
        <f>IFERROR(__xludf.DUMMYFUNCTION("GOOGLETRANSLATE(B10730,""en"",""es-ES"")"),"El hombre le entrega a la trapeadora a la dama y vacía el cubo rojo en el fregadero.")</f>
        <v>El hombre le entrega a la trapeadora a la dama y vacía el cubo rojo en el fregadero.</v>
      </c>
    </row>
    <row r="10731">
      <c r="A10731" s="4" t="s">
        <v>13484</v>
      </c>
      <c r="B10731" s="4" t="s">
        <v>13492</v>
      </c>
      <c r="C10731" s="5" t="str">
        <f>IFERROR(__xludf.DUMMYFUNCTION("GOOGLETRANSLATE(B10731,""en"",""es-ES"")"),"El macho agarra el alcohol, mientras que la dama se mueve.")</f>
        <v>El macho agarra el alcohol, mientras que la dama se mueve.</v>
      </c>
    </row>
    <row r="10732">
      <c r="A10732" s="4" t="s">
        <v>13484</v>
      </c>
      <c r="B10732" s="4" t="s">
        <v>13493</v>
      </c>
      <c r="C10732" s="5" t="str">
        <f>IFERROR(__xludf.DUMMYFUNCTION("GOOGLETRANSLATE(B10732,""en"",""es-ES"")"),"El hombre entrega el cubo y trapeador al macho.")</f>
        <v>El hombre entrega el cubo y trapeador al macho.</v>
      </c>
    </row>
    <row r="10733">
      <c r="A10733" s="4" t="s">
        <v>13484</v>
      </c>
      <c r="B10733" s="4" t="s">
        <v>13494</v>
      </c>
      <c r="C10733" s="5" t="str">
        <f>IFERROR(__xludf.DUMMYFUNCTION("GOOGLETRANSLATE(B10733,""en"",""es-ES"")"),"El hombre saluda y saluda.")</f>
        <v>El hombre saluda y saluda.</v>
      </c>
    </row>
    <row r="10734">
      <c r="A10734" s="4" t="s">
        <v>13484</v>
      </c>
      <c r="B10734" s="4" t="s">
        <v>13495</v>
      </c>
      <c r="C10734" s="5" t="str">
        <f>IFERROR(__xludf.DUMMYFUNCTION("GOOGLETRANSLATE(B10734,""en"",""es-ES"")"),"La dama se ríe en voz alta.")</f>
        <v>La dama se ríe en voz alta.</v>
      </c>
    </row>
    <row r="10735">
      <c r="A10735" s="4" t="s">
        <v>13484</v>
      </c>
      <c r="B10735" s="4" t="s">
        <v>13496</v>
      </c>
      <c r="C10735" s="5" t="str">
        <f>IFERROR(__xludf.DUMMYFUNCTION("GOOGLETRANSLATE(B10735,""en"",""es-ES"")"),"El hombre se lava la mano.")</f>
        <v>El hombre se lava la mano.</v>
      </c>
    </row>
    <row r="10736">
      <c r="A10736" s="4" t="s">
        <v>13497</v>
      </c>
      <c r="B10736" s="4" t="s">
        <v>13498</v>
      </c>
      <c r="C10736" s="5" t="str">
        <f>IFERROR(__xludf.DUMMYFUNCTION("GOOGLETRANSLATE(B10736,""en"",""es-ES"")"),"Se muestra una barra de equipo de ejercicio en una sala de estar.")</f>
        <v>Se muestra una barra de equipo de ejercicio en una sala de estar.</v>
      </c>
    </row>
    <row r="10737">
      <c r="A10737" s="4" t="s">
        <v>13497</v>
      </c>
      <c r="B10737" s="4" t="s">
        <v>13499</v>
      </c>
      <c r="C10737" s="5" t="str">
        <f>IFERROR(__xludf.DUMMYFUNCTION("GOOGLETRANSLATE(B10737,""en"",""es-ES"")"),"Se muestran los diferentes detalles del equipo.")</f>
        <v>Se muestran los diferentes detalles del equipo.</v>
      </c>
    </row>
    <row r="10738">
      <c r="A10738" s="4" t="s">
        <v>13497</v>
      </c>
      <c r="B10738" s="4" t="s">
        <v>13500</v>
      </c>
      <c r="C10738" s="5" t="str">
        <f>IFERROR(__xludf.DUMMYFUNCTION("GOOGLETRANSLATE(B10738,""en"",""es-ES"")"),"El hombre se aferra a la barra de la máquina mientras habla de ella.")</f>
        <v>El hombre se aferra a la barra de la máquina mientras habla de ella.</v>
      </c>
    </row>
    <row r="10739">
      <c r="A10739" s="4" t="s">
        <v>13501</v>
      </c>
      <c r="B10739" s="4" t="s">
        <v>13502</v>
      </c>
      <c r="C10739" s="5" t="str">
        <f>IFERROR(__xludf.DUMMYFUNCTION("GOOGLETRANSLATE(B10739,""en"",""es-ES"")"),"Un primer plano de un equipo de ejercicio se muestra seguido por un hombre que camina hacia el marco y comienza a usar la máquina.")</f>
        <v>Un primer plano de un equipo de ejercicio se muestra seguido por un hombre que camina hacia el marco y comienza a usar la máquina.</v>
      </c>
    </row>
    <row r="10740">
      <c r="A10740" s="4" t="s">
        <v>13501</v>
      </c>
      <c r="B10740" s="4" t="s">
        <v>13503</v>
      </c>
      <c r="C10740" s="5" t="str">
        <f>IFERROR(__xludf.DUMMYFUNCTION("GOOGLETRANSLATE(B10740,""en"",""es-ES"")"),"El hombre se mueve hacia atrás y el cuarto en la máquina mientras la cámara continúa capturando sus movimientos.")</f>
        <v>El hombre se mueve hacia atrás y el cuarto en la máquina mientras la cámara continúa capturando sus movimientos.</v>
      </c>
    </row>
    <row r="10741">
      <c r="A10741" s="4" t="s">
        <v>13504</v>
      </c>
      <c r="B10741" s="4" t="s">
        <v>13505</v>
      </c>
      <c r="C10741" s="5" t="str">
        <f>IFERROR(__xludf.DUMMYFUNCTION("GOOGLETRANSLATE(B10741,""en"",""es-ES"")"),"Se ve a una mujer sentada frente a la cámara y comienza a poner una lente de contacto en los ojos.")</f>
        <v>Se ve a una mujer sentada frente a la cámara y comienza a poner una lente de contacto en los ojos.</v>
      </c>
    </row>
    <row r="10742">
      <c r="A10742" s="4" t="s">
        <v>13504</v>
      </c>
      <c r="B10742" s="4" t="s">
        <v>13506</v>
      </c>
      <c r="C10742" s="5" t="str">
        <f>IFERROR(__xludf.DUMMYFUNCTION("GOOGLETRANSLATE(B10742,""en"",""es-ES"")"),"La mujer sigue intentando poner la lente en su ojo mientras mira a su alrededor intentando nuevamente.")</f>
        <v>La mujer sigue intentando poner la lente en su ojo mientras mira a su alrededor intentando nuevamente.</v>
      </c>
    </row>
    <row r="10743">
      <c r="A10743" s="4" t="s">
        <v>13504</v>
      </c>
      <c r="B10743" s="4" t="s">
        <v>13507</v>
      </c>
      <c r="C10743" s="5" t="str">
        <f>IFERROR(__xludf.DUMMYFUNCTION("GOOGLETRANSLATE(B10743,""en"",""es-ES"")"),"Ella tiene éxito la última vez y se lo ve animando a la cámara.")</f>
        <v>Ella tiene éxito la última vez y se lo ve animando a la cámara.</v>
      </c>
    </row>
    <row r="10744">
      <c r="A10744" s="4" t="s">
        <v>13508</v>
      </c>
      <c r="B10744" s="4" t="s">
        <v>13509</v>
      </c>
      <c r="C10744" s="5" t="str">
        <f>IFERROR(__xludf.DUMMYFUNCTION("GOOGLETRANSLATE(B10744,""en"",""es-ES"")"),"Se ve un gran lago con un hombre sentado en un tubo, así como a otros que miran alrededor del área.")</f>
        <v>Se ve un gran lago con un hombre sentado en un tubo, así como a otros que miran alrededor del área.</v>
      </c>
    </row>
    <row r="10745">
      <c r="A10745" s="4" t="s">
        <v>13508</v>
      </c>
      <c r="B10745" s="4" t="s">
        <v>13510</v>
      </c>
      <c r="C10745" s="5" t="str">
        <f>IFERROR(__xludf.DUMMYFUNCTION("GOOGLETRANSLATE(B10745,""en"",""es-ES"")"),"Los hombres se estrellan con uno golpeando un tronco y conduce al tubo que se mueve y la persona sentada.")</f>
        <v>Los hombres se estrellan con uno golpeando un tronco y conduce al tubo que se mueve y la persona sentada.</v>
      </c>
    </row>
    <row r="10746">
      <c r="A10746" s="4" t="s">
        <v>13511</v>
      </c>
      <c r="B10746" s="4" t="s">
        <v>13512</v>
      </c>
      <c r="C10746" s="5" t="str">
        <f>IFERROR(__xludf.DUMMYFUNCTION("GOOGLETRANSLATE(B10746,""en"",""es-ES"")"),"Se muestra una animación de introducción con el título de video.")</f>
        <v>Se muestra una animación de introducción con el título de video.</v>
      </c>
    </row>
    <row r="10747">
      <c r="A10747" s="4" t="s">
        <v>13511</v>
      </c>
      <c r="B10747" s="4" t="s">
        <v>13513</v>
      </c>
      <c r="C10747" s="5" t="str">
        <f>IFERROR(__xludf.DUMMYFUNCTION("GOOGLETRANSLATE(B10747,""en"",""es-ES"")"),"Una entrenadora femenina en sudaderas da instrucciones a un grupo de estudiantes en un gimnasio para una actividad física al actuar la rutina.")</f>
        <v>Una entrenadora femenina en sudaderas da instrucciones a un grupo de estudiantes en un gimnasio para una actividad física al actuar la rutina.</v>
      </c>
    </row>
    <row r="10748">
      <c r="A10748" s="4" t="s">
        <v>13511</v>
      </c>
      <c r="B10748" s="4" t="s">
        <v>13514</v>
      </c>
      <c r="C10748" s="5" t="str">
        <f>IFERROR(__xludf.DUMMYFUNCTION("GOOGLETRANSLATE(B10748,""en"",""es-ES"")"),"Los estudiantes imitan los movimientos de los instructores.")</f>
        <v>Los estudiantes imitan los movimientos de los instructores.</v>
      </c>
    </row>
    <row r="10749">
      <c r="A10749" s="4" t="s">
        <v>13511</v>
      </c>
      <c r="B10749" s="4" t="s">
        <v>13515</v>
      </c>
      <c r="C10749" s="5" t="str">
        <f>IFERROR(__xludf.DUMMYFUNCTION("GOOGLETRANSLATE(B10749,""en"",""es-ES"")"),"El entrenador apunta a diferentes áreas del gimnasio y grupos individuales de estudiantes.")</f>
        <v>El entrenador apunta a diferentes áreas del gimnasio y grupos individuales de estudiantes.</v>
      </c>
    </row>
    <row r="10750">
      <c r="A10750" s="4" t="s">
        <v>13511</v>
      </c>
      <c r="B10750" s="4" t="s">
        <v>13516</v>
      </c>
      <c r="C10750" s="5" t="str">
        <f>IFERROR(__xludf.DUMMYFUNCTION("GOOGLETRANSLATE(B10750,""en"",""es-ES"")"),"Un estudiante en pantalones cortos negros atraviesa el gimnasio.")</f>
        <v>Un estudiante en pantalones cortos negros atraviesa el gimnasio.</v>
      </c>
    </row>
    <row r="10751">
      <c r="A10751" s="4" t="s">
        <v>13511</v>
      </c>
      <c r="B10751" s="4" t="s">
        <v>13517</v>
      </c>
      <c r="C10751" s="5" t="str">
        <f>IFERROR(__xludf.DUMMYFUNCTION("GOOGLETRANSLATE(B10751,""en"",""es-ES"")"),"Un grupo de estudiantes toca Rock Paper Sissor.")</f>
        <v>Un grupo de estudiantes toca Rock Paper Sissor.</v>
      </c>
    </row>
    <row r="10752">
      <c r="A10752" s="4" t="s">
        <v>13511</v>
      </c>
      <c r="B10752" s="4" t="s">
        <v>13518</v>
      </c>
      <c r="C10752" s="5" t="str">
        <f>IFERROR(__xludf.DUMMYFUNCTION("GOOGLETRANSLATE(B10752,""en"",""es-ES"")"),"Los estudiantes corren por el perímetro del gimnasio a diferentes estaciones.")</f>
        <v>Los estudiantes corren por el perímetro del gimnasio a diferentes estaciones.</v>
      </c>
    </row>
    <row r="10753">
      <c r="A10753" s="4" t="s">
        <v>13511</v>
      </c>
      <c r="B10753" s="4" t="s">
        <v>13519</v>
      </c>
      <c r="C10753" s="5" t="str">
        <f>IFERROR(__xludf.DUMMYFUNCTION("GOOGLETRANSLATE(B10753,""en"",""es-ES"")"),"Un estudiante que lleva un sombrero se sienta en el banco y se ve enfermo.")</f>
        <v>Un estudiante que lleva un sombrero se sienta en el banco y se ve enfermo.</v>
      </c>
    </row>
    <row r="10754">
      <c r="A10754" s="4" t="s">
        <v>13511</v>
      </c>
      <c r="B10754" s="4" t="s">
        <v>13520</v>
      </c>
      <c r="C10754" s="5" t="str">
        <f>IFERROR(__xludf.DUMMYFUNCTION("GOOGLETRANSLATE(B10754,""en"",""es-ES"")"),"Una página animada muestra créditos para el video.")</f>
        <v>Una página animada muestra créditos para el video.</v>
      </c>
    </row>
    <row r="10755">
      <c r="A10755" s="4" t="s">
        <v>13521</v>
      </c>
      <c r="B10755" s="4" t="s">
        <v>13522</v>
      </c>
      <c r="C10755" s="5" t="str">
        <f>IFERROR(__xludf.DUMMYFUNCTION("GOOGLETRANSLATE(B10755,""en"",""es-ES"")"),"Una niña compite al gimnasia de bóveda frente a los jueces mientras los espectadores observan de las gradas.")</f>
        <v>Una niña compite al gimnasia de bóveda frente a los jueces mientras los espectadores observan de las gradas.</v>
      </c>
    </row>
    <row r="10756">
      <c r="A10756" s="4" t="s">
        <v>13521</v>
      </c>
      <c r="B10756" s="4" t="s">
        <v>13523</v>
      </c>
      <c r="C10756" s="5" t="str">
        <f>IFERROR(__xludf.DUMMYFUNCTION("GOOGLETRANSLATE(B10756,""en"",""es-ES"")"),"La gimnasta se acerca a sus entrenadores para hablar y luego se van.")</f>
        <v>La gimnasta se acerca a sus entrenadores para hablar y luego se van.</v>
      </c>
    </row>
    <row r="10757">
      <c r="A10757" s="4" t="s">
        <v>13521</v>
      </c>
      <c r="B10757" s="4" t="s">
        <v>13524</v>
      </c>
      <c r="C10757" s="5" t="str">
        <f>IFERROR(__xludf.DUMMYFUNCTION("GOOGLETRANSLATE(B10757,""en"",""es-ES"")"),"Después, el flashback del rendimiento de la gimnasta es el espectáculo.")</f>
        <v>Después, el flashback del rendimiento de la gimnasta es el espectáculo.</v>
      </c>
    </row>
    <row r="10758">
      <c r="A10758" s="4" t="s">
        <v>13525</v>
      </c>
      <c r="B10758" s="4" t="s">
        <v>13526</v>
      </c>
      <c r="C10758" s="5" t="str">
        <f>IFERROR(__xludf.DUMMYFUNCTION("GOOGLETRANSLATE(B10758,""en"",""es-ES"")"),"Se ve a un gran grupo de personas que se mueven alrededor de una habitación realizando una rutina de ejercicios.")</f>
        <v>Se ve a un gran grupo de personas que se mueven alrededor de una habitación realizando una rutina de ejercicios.</v>
      </c>
    </row>
    <row r="10759">
      <c r="A10759" s="4" t="s">
        <v>13525</v>
      </c>
      <c r="B10759" s="4" t="s">
        <v>13527</v>
      </c>
      <c r="C10759" s="5" t="str">
        <f>IFERROR(__xludf.DUMMYFUNCTION("GOOGLETRANSLATE(B10759,""en"",""es-ES"")"),"La gente se mueve hacia arriba y hacia abajo sobre las vigas mientras se mueve los brazos y una mujer que conduce al frente.")</f>
        <v>La gente se mueve hacia arriba y hacia abajo sobre las vigas mientras se mueve los brazos y una mujer que conduce al frente.</v>
      </c>
    </row>
    <row r="10760">
      <c r="A10760" s="4" t="s">
        <v>13525</v>
      </c>
      <c r="B10760" s="4" t="s">
        <v>13528</v>
      </c>
      <c r="C10760" s="5" t="str">
        <f>IFERROR(__xludf.DUMMYFUNCTION("GOOGLETRANSLATE(B10760,""en"",""es-ES"")"),"El grupo continúa bailando entre sí y termina sosteniendo una pose.")</f>
        <v>El grupo continúa bailando entre sí y termina sosteniendo una pose.</v>
      </c>
    </row>
    <row r="10761">
      <c r="A10761" s="4" t="s">
        <v>13529</v>
      </c>
      <c r="B10761" s="4" t="s">
        <v>13530</v>
      </c>
      <c r="C10761" s="5" t="str">
        <f>IFERROR(__xludf.DUMMYFUNCTION("GOOGLETRANSLATE(B10761,""en"",""es-ES"")"),"Un bebé con un sombrero está sentado en una silla.")</f>
        <v>Un bebé con un sombrero está sentado en una silla.</v>
      </c>
    </row>
    <row r="10762">
      <c r="A10762" s="4" t="s">
        <v>13529</v>
      </c>
      <c r="B10762" s="4" t="s">
        <v>13531</v>
      </c>
      <c r="C10762" s="5" t="str">
        <f>IFERROR(__xludf.DUMMYFUNCTION("GOOGLETRANSLATE(B10762,""en"",""es-ES"")"),"Un hombre sostiene al bebé jugando con una pelota.")</f>
        <v>Un hombre sostiene al bebé jugando con una pelota.</v>
      </c>
    </row>
    <row r="10763">
      <c r="A10763" s="4" t="s">
        <v>13529</v>
      </c>
      <c r="B10763" s="4" t="s">
        <v>13532</v>
      </c>
      <c r="C10763" s="5" t="str">
        <f>IFERROR(__xludf.DUMMYFUNCTION("GOOGLETRANSLATE(B10763,""en"",""es-ES"")"),"Un bebé está durmiendo en un sofá.")</f>
        <v>Un bebé está durmiendo en un sofá.</v>
      </c>
    </row>
    <row r="10764">
      <c r="A10764" s="4" t="s">
        <v>13533</v>
      </c>
      <c r="B10764" s="4" t="s">
        <v>13534</v>
      </c>
      <c r="C10764" s="5" t="str">
        <f>IFERROR(__xludf.DUMMYFUNCTION("GOOGLETRANSLATE(B10764,""en"",""es-ES"")"),"Vemos las pantallas de título para el video.")</f>
        <v>Vemos las pantallas de título para el video.</v>
      </c>
    </row>
    <row r="10765">
      <c r="A10765" s="4" t="s">
        <v>13533</v>
      </c>
      <c r="B10765" s="4" t="s">
        <v>13535</v>
      </c>
      <c r="C10765" s="5" t="str">
        <f>IFERROR(__xludf.DUMMYFUNCTION("GOOGLETRANSLATE(B10765,""en"",""es-ES"")"),"Vemos a una persona esquiar.")</f>
        <v>Vemos a una persona esquiar.</v>
      </c>
    </row>
    <row r="10766">
      <c r="A10766" s="4" t="s">
        <v>13533</v>
      </c>
      <c r="B10766" s="4" t="s">
        <v>13536</v>
      </c>
      <c r="C10766" s="5" t="str">
        <f>IFERROR(__xludf.DUMMYFUNCTION("GOOGLETRANSLATE(B10766,""en"",""es-ES"")"),"Cambiamos a un taller y una lista de herramientas.")</f>
        <v>Cambiamos a un taller y una lista de herramientas.</v>
      </c>
    </row>
    <row r="10767">
      <c r="A10767" s="4" t="s">
        <v>13533</v>
      </c>
      <c r="B10767" s="4" t="s">
        <v>13537</v>
      </c>
      <c r="C10767" s="5" t="str">
        <f>IFERROR(__xludf.DUMMYFUNCTION("GOOGLETRANSLATE(B10767,""en"",""es-ES"")"),"Vemos que un hombre agrega una banda en un esquí y el esquí se sienta en un artilugio.")</f>
        <v>Vemos que un hombre agrega una banda en un esquí y el esquí se sienta en un artilugio.</v>
      </c>
    </row>
    <row r="10768">
      <c r="A10768" s="4" t="s">
        <v>13533</v>
      </c>
      <c r="B10768" s="4" t="s">
        <v>13538</v>
      </c>
      <c r="C10768" s="5" t="str">
        <f>IFERROR(__xludf.DUMMYFUNCTION("GOOGLETRANSLATE(B10768,""en"",""es-ES"")"),"Un hombre cepilla y frota el esquí.")</f>
        <v>Un hombre cepilla y frota el esquí.</v>
      </c>
    </row>
    <row r="10769">
      <c r="A10769" s="4" t="s">
        <v>13533</v>
      </c>
      <c r="B10769" s="4" t="s">
        <v>13539</v>
      </c>
      <c r="C10769" s="5" t="str">
        <f>IFERROR(__xludf.DUMMYFUNCTION("GOOGLETRANSLATE(B10769,""en"",""es-ES"")"),"Vemos cera colorida y un hombre haciendo una esfera.")</f>
        <v>Vemos cera colorida y un hombre haciendo una esfera.</v>
      </c>
    </row>
    <row r="10770">
      <c r="A10770" s="4" t="s">
        <v>13533</v>
      </c>
      <c r="B10770" s="4" t="s">
        <v>13540</v>
      </c>
      <c r="C10770" s="5" t="str">
        <f>IFERROR(__xludf.DUMMYFUNCTION("GOOGLETRANSLATE(B10770,""en"",""es-ES"")"),"El hombre vierte cera y obtenemos instrucciones antes de moler la cera en el esquí.")</f>
        <v>El hombre vierte cera y obtenemos instrucciones antes de moler la cera en el esquí.</v>
      </c>
    </row>
    <row r="10771">
      <c r="A10771" s="4" t="s">
        <v>13533</v>
      </c>
      <c r="B10771" s="4" t="s">
        <v>13541</v>
      </c>
      <c r="C10771" s="5" t="str">
        <f>IFERROR(__xludf.DUMMYFUNCTION("GOOGLETRANSLATE(B10771,""en"",""es-ES"")"),"El hombre raspa la cera y cepilla el esquí.")</f>
        <v>El hombre raspa la cera y cepilla el esquí.</v>
      </c>
    </row>
    <row r="10772">
      <c r="A10772" s="4" t="s">
        <v>13533</v>
      </c>
      <c r="B10772" s="4" t="s">
        <v>13542</v>
      </c>
      <c r="C10772" s="5" t="str">
        <f>IFERROR(__xludf.DUMMYFUNCTION("GOOGLETRANSLATE(B10772,""en"",""es-ES"")"),"Obtenemos un hecho de esquí y se muestra la tarjeta final del video.")</f>
        <v>Obtenemos un hecho de esquí y se muestra la tarjeta final del video.</v>
      </c>
    </row>
    <row r="10773">
      <c r="A10773" s="4" t="s">
        <v>13543</v>
      </c>
      <c r="B10773" s="4" t="s">
        <v>13544</v>
      </c>
      <c r="C10773" s="5" t="str">
        <f>IFERROR(__xludf.DUMMYFUNCTION("GOOGLETRANSLATE(B10773,""en"",""es-ES"")"),"Se ve a una persona arrojando un frisbee a la distancia y un perro persiguiendo después.")</f>
        <v>Se ve a una persona arrojando un frisbee a la distancia y un perro persiguiendo después.</v>
      </c>
    </row>
    <row r="10774">
      <c r="A10774" s="4" t="s">
        <v>13543</v>
      </c>
      <c r="B10774" s="4" t="s">
        <v>13545</v>
      </c>
      <c r="C10774" s="5" t="str">
        <f>IFERROR(__xludf.DUMMYFUNCTION("GOOGLETRANSLATE(B10774,""en"",""es-ES"")"),"Se muestran varios disparos de perros corriendo tras Frisbees después de que su dueño los lanza.")</f>
        <v>Se muestran varios disparos de perros corriendo tras Frisbees después de que su dueño los lanza.</v>
      </c>
    </row>
    <row r="10775">
      <c r="A10775" s="4" t="s">
        <v>13543</v>
      </c>
      <c r="B10775" s="4" t="s">
        <v>13546</v>
      </c>
      <c r="C10775" s="5" t="str">
        <f>IFERROR(__xludf.DUMMYFUNCTION("GOOGLETRANSLATE(B10775,""en"",""es-ES"")"),"Se ve más perros persiguiendo a los Frisbees mientras el propietario observa desde atrás.")</f>
        <v>Se ve más perros persiguiendo a los Frisbees mientras el propietario observa desde atrás.</v>
      </c>
    </row>
    <row r="10776">
      <c r="A10776" s="4" t="s">
        <v>13547</v>
      </c>
      <c r="B10776" s="4" t="s">
        <v>13548</v>
      </c>
      <c r="C10776" s="5" t="str">
        <f>IFERROR(__xludf.DUMMYFUNCTION("GOOGLETRANSLATE(B10776,""en"",""es-ES"")"),"Un grupo de entrenadores, gimnastas y padres se paran y se sientan alrededor de un gimnasio mientras algunas de las gimnastas actúan o practican.")</f>
        <v>Un grupo de entrenadores, gimnastas y padres se paran y se sientan alrededor de un gimnasio mientras algunas de las gimnastas actúan o practican.</v>
      </c>
    </row>
    <row r="10777">
      <c r="A10777" s="4" t="s">
        <v>13547</v>
      </c>
      <c r="B10777" s="4" t="s">
        <v>13549</v>
      </c>
      <c r="C10777" s="5" t="str">
        <f>IFERROR(__xludf.DUMMYFUNCTION("GOOGLETRANSLATE(B10777,""en"",""es-ES"")"),"Una niña en púrpura hace una rutina de vigas de equilibrio.")</f>
        <v>Una niña en púrpura hace una rutina de vigas de equilibrio.</v>
      </c>
    </row>
    <row r="10778">
      <c r="A10778" s="4" t="s">
        <v>13547</v>
      </c>
      <c r="B10778" s="4" t="s">
        <v>13550</v>
      </c>
      <c r="C10778" s="5" t="str">
        <f>IFERROR(__xludf.DUMMYFUNCTION("GOOGLETRANSLATE(B10778,""en"",""es-ES"")"),"Una niña en el fondo hace una rutina de piso.")</f>
        <v>Una niña en el fondo hace una rutina de piso.</v>
      </c>
    </row>
    <row r="10779">
      <c r="A10779" s="4" t="s">
        <v>13547</v>
      </c>
      <c r="B10779" s="4" t="s">
        <v>13551</v>
      </c>
      <c r="C10779" s="5" t="str">
        <f>IFERROR(__xludf.DUMMYFUNCTION("GOOGLETRANSLATE(B10779,""en"",""es-ES"")"),"Cuando la rutina del piso termina, la multitud aplaude y varias gimnastas jóvenes se levantan y caminan.")</f>
        <v>Cuando la rutina del piso termina, la multitud aplaude y varias gimnastas jóvenes se levantan y caminan.</v>
      </c>
    </row>
    <row r="10780">
      <c r="A10780" s="4" t="s">
        <v>13547</v>
      </c>
      <c r="B10780" s="4" t="s">
        <v>13552</v>
      </c>
      <c r="C10780" s="5" t="str">
        <f>IFERROR(__xludf.DUMMYFUNCTION("GOOGLETRANSLATE(B10780,""en"",""es-ES"")"),"Una mujer sostiene un letrero que dice 965.")</f>
        <v>Una mujer sostiene un letrero que dice 965.</v>
      </c>
    </row>
    <row r="10781">
      <c r="A10781" s="4" t="s">
        <v>13547</v>
      </c>
      <c r="B10781" s="4" t="s">
        <v>13553</v>
      </c>
      <c r="C10781" s="5" t="str">
        <f>IFERROR(__xludf.DUMMYFUNCTION("GOOGLETRANSLATE(B10781,""en"",""es-ES"")"),"La chica en el rayo de equilibrio termina su rutina y se acerca y abraza a una mujer en púrpura.")</f>
        <v>La chica en el rayo de equilibrio termina su rutina y se acerca y abraza a una mujer en púrpura.</v>
      </c>
    </row>
    <row r="10782">
      <c r="A10782" s="4" t="s">
        <v>13554</v>
      </c>
      <c r="B10782" s="4" t="s">
        <v>13555</v>
      </c>
      <c r="C10782" s="5" t="str">
        <f>IFERROR(__xludf.DUMMYFUNCTION("GOOGLETRANSLATE(B10782,""en"",""es-ES"")"),"Un hombre salta a las barras y comienza a balancearse sobre ellos.")</f>
        <v>Un hombre salta a las barras y comienza a balancearse sobre ellos.</v>
      </c>
    </row>
    <row r="10783">
      <c r="A10783" s="4" t="s">
        <v>13554</v>
      </c>
      <c r="B10783" s="4" t="s">
        <v>13556</v>
      </c>
      <c r="C10783" s="5" t="str">
        <f>IFERROR(__xludf.DUMMYFUNCTION("GOOGLETRANSLATE(B10783,""en"",""es-ES"")"),"Él los saca y aterriza en una colchoneta.")</f>
        <v>Él los saca y aterriza en una colchoneta.</v>
      </c>
    </row>
    <row r="10784">
      <c r="A10784" s="4" t="s">
        <v>13557</v>
      </c>
      <c r="B10784" s="4" t="s">
        <v>13558</v>
      </c>
      <c r="C10784" s="5" t="str">
        <f>IFERROR(__xludf.DUMMYFUNCTION("GOOGLETRANSLATE(B10784,""en"",""es-ES"")"),"Un procesional médico pone un dispositivo y una aguja en la cara de alguien.")</f>
        <v>Un procesional médico pone un dispositivo y una aguja en la cara de alguien.</v>
      </c>
    </row>
    <row r="10785">
      <c r="A10785" s="4" t="s">
        <v>13557</v>
      </c>
      <c r="B10785" s="4" t="s">
        <v>13559</v>
      </c>
      <c r="C10785" s="5" t="str">
        <f>IFERROR(__xludf.DUMMYFUNCTION("GOOGLETRANSLATE(B10785,""en"",""es-ES"")"),"En realidad es una perforación.")</f>
        <v>En realidad es una perforación.</v>
      </c>
    </row>
    <row r="10786">
      <c r="A10786" s="4" t="s">
        <v>13557</v>
      </c>
      <c r="B10786" s="4" t="s">
        <v>13560</v>
      </c>
      <c r="C10786" s="5" t="str">
        <f>IFERROR(__xludf.DUMMYFUNCTION("GOOGLETRANSLATE(B10786,""en"",""es-ES"")"),"Él lo limpia y luego ella se levanta.")</f>
        <v>Él lo limpia y luego ella se levanta.</v>
      </c>
    </row>
    <row r="10787">
      <c r="A10787" s="4" t="s">
        <v>13561</v>
      </c>
      <c r="B10787" s="4" t="s">
        <v>13562</v>
      </c>
      <c r="C10787" s="5" t="str">
        <f>IFERROR(__xludf.DUMMYFUNCTION("GOOGLETRANSLATE(B10787,""en"",""es-ES"")"),"Un grupo de fotógrafos toma fotos como levantador de pesas aparece en el escenario y prepara sus manos.")</f>
        <v>Un grupo de fotógrafos toma fotos como levantador de pesas aparece en el escenario y prepara sus manos.</v>
      </c>
    </row>
    <row r="10788">
      <c r="A10788" s="4" t="s">
        <v>13561</v>
      </c>
      <c r="B10788" s="4" t="s">
        <v>13563</v>
      </c>
      <c r="C10788" s="5" t="str">
        <f>IFERROR(__xludf.DUMMYFUNCTION("GOOGLETRANSLATE(B10788,""en"",""es-ES"")"),"Levanta una barra de rodillas, luego se detiene en su pecho.")</f>
        <v>Levanta una barra de rodillas, luego se detiene en su pecho.</v>
      </c>
    </row>
    <row r="10789">
      <c r="A10789" s="4" t="s">
        <v>13561</v>
      </c>
      <c r="B10789" s="4" t="s">
        <v>13564</v>
      </c>
      <c r="C10789" s="5" t="str">
        <f>IFERROR(__xludf.DUMMYFUNCTION("GOOGLETRANSLATE(B10789,""en"",""es-ES"")"),"Levanta la barra sobre su cabeza antes de volver al suelo.")</f>
        <v>Levanta la barra sobre su cabeza antes de volver al suelo.</v>
      </c>
    </row>
    <row r="10790">
      <c r="A10790" s="4" t="s">
        <v>13565</v>
      </c>
      <c r="B10790" s="4" t="s">
        <v>13566</v>
      </c>
      <c r="C10790" s="5" t="str">
        <f>IFERROR(__xludf.DUMMYFUNCTION("GOOGLETRANSLATE(B10790,""en"",""es-ES"")"),"Un plato con bebidas de limonada se encuentra en una encimera.")</f>
        <v>Un plato con bebidas de limonada se encuentra en una encimera.</v>
      </c>
    </row>
    <row r="10791">
      <c r="A10791" s="4" t="s">
        <v>13565</v>
      </c>
      <c r="B10791" s="4" t="s">
        <v>13567</v>
      </c>
      <c r="C10791" s="5" t="str">
        <f>IFERROR(__xludf.DUMMYFUNCTION("GOOGLETRANSLATE(B10791,""en"",""es-ES"")"),"Una mujer aprieta un limón.")</f>
        <v>Una mujer aprieta un limón.</v>
      </c>
    </row>
    <row r="10792">
      <c r="A10792" s="4" t="s">
        <v>13565</v>
      </c>
      <c r="B10792" s="4" t="s">
        <v>13568</v>
      </c>
      <c r="C10792" s="5" t="str">
        <f>IFERROR(__xludf.DUMMYFUNCTION("GOOGLETRANSLATE(B10792,""en"",""es-ES"")"),"Ella agrega azúcar a una gran jarra.")</f>
        <v>Ella agrega azúcar a una gran jarra.</v>
      </c>
    </row>
    <row r="10793">
      <c r="A10793" s="4" t="s">
        <v>13565</v>
      </c>
      <c r="B10793" s="4" t="s">
        <v>13569</v>
      </c>
      <c r="C10793" s="5" t="str">
        <f>IFERROR(__xludf.DUMMYFUNCTION("GOOGLETRANSLATE(B10793,""en"",""es-ES"")"),"Ella agita el azúcar con una cuchara de madera grande.")</f>
        <v>Ella agita el azúcar con una cuchara de madera grande.</v>
      </c>
    </row>
    <row r="10794">
      <c r="A10794" s="4" t="s">
        <v>13565</v>
      </c>
      <c r="B10794" s="4" t="s">
        <v>13570</v>
      </c>
      <c r="C10794" s="5" t="str">
        <f>IFERROR(__xludf.DUMMYFUNCTION("GOOGLETRANSLATE(B10794,""en"",""es-ES"")"),"Ella procede a agregar agua a la jarra para diluir.")</f>
        <v>Ella procede a agregar agua a la jarra para diluir.</v>
      </c>
    </row>
    <row r="10795">
      <c r="A10795" s="4" t="s">
        <v>13565</v>
      </c>
      <c r="B10795" s="4" t="s">
        <v>13571</v>
      </c>
      <c r="C10795" s="5" t="str">
        <f>IFERROR(__xludf.DUMMYFUNCTION("GOOGLETRANSLATE(B10795,""en"",""es-ES"")"),"Luego, agrega más azúcar al lanzador.")</f>
        <v>Luego, agrega más azúcar al lanzador.</v>
      </c>
    </row>
    <row r="10796">
      <c r="A10796" s="4" t="s">
        <v>13565</v>
      </c>
      <c r="B10796" s="4" t="s">
        <v>13572</v>
      </c>
      <c r="C10796" s="5" t="str">
        <f>IFERROR(__xludf.DUMMYFUNCTION("GOOGLETRANSLATE(B10796,""en"",""es-ES"")"),"Ella vierte la limonada terminada en una taza.")</f>
        <v>Ella vierte la limonada terminada en una taza.</v>
      </c>
    </row>
    <row r="10797">
      <c r="A10797" s="4" t="s">
        <v>13565</v>
      </c>
      <c r="B10797" s="4" t="s">
        <v>13573</v>
      </c>
      <c r="C10797" s="5" t="str">
        <f>IFERROR(__xludf.DUMMYFUNCTION("GOOGLETRANSLATE(B10797,""en"",""es-ES"")"),"Los pasos de hacer limonada se presentan una vez más.")</f>
        <v>Los pasos de hacer limonada se presentan una vez más.</v>
      </c>
    </row>
    <row r="10798">
      <c r="A10798" s="4" t="s">
        <v>13574</v>
      </c>
      <c r="B10798" s="4" t="s">
        <v>13575</v>
      </c>
      <c r="C10798" s="5" t="str">
        <f>IFERROR(__xludf.DUMMYFUNCTION("GOOGLETRANSLATE(B10798,""en"",""es-ES"")"),"Un grupo de personas que sostienen patinetas se encuentran en la línea de inicio, luego las personas patinan por la carretera.")</f>
        <v>Un grupo de personas que sostienen patinetas se encuentran en la línea de inicio, luego las personas patinan por la carretera.</v>
      </c>
    </row>
    <row r="10799">
      <c r="A10799" s="4" t="s">
        <v>13574</v>
      </c>
      <c r="B10799" s="4" t="s">
        <v>13576</v>
      </c>
      <c r="C10799" s="5" t="str">
        <f>IFERROR(__xludf.DUMMYFUNCTION("GOOGLETRANSLATE(B10799,""en"",""es-ES"")"),"Entran en un autobús escolar, luego, patinan en la carretera.")</f>
        <v>Entran en un autobús escolar, luego, patinan en la carretera.</v>
      </c>
    </row>
    <row r="10800">
      <c r="A10800" s="4" t="s">
        <v>13574</v>
      </c>
      <c r="B10800" s="4" t="s">
        <v>13577</v>
      </c>
      <c r="C10800" s="5" t="str">
        <f>IFERROR(__xludf.DUMMYFUNCTION("GOOGLETRANSLATE(B10800,""en"",""es-ES"")"),"Un niño cae en el suelo y otras personas continúan skate.")</f>
        <v>Un niño cae en el suelo y otras personas continúan skate.</v>
      </c>
    </row>
    <row r="10801">
      <c r="A10801" s="4" t="s">
        <v>13574</v>
      </c>
      <c r="B10801" s="4" t="s">
        <v>13578</v>
      </c>
      <c r="C10801" s="5" t="str">
        <f>IFERROR(__xludf.DUMMYFUNCTION("GOOGLETRANSLATE(B10801,""en"",""es-ES"")"),"Dos, la gente cae en el camino.")</f>
        <v>Dos, la gente cae en el camino.</v>
      </c>
    </row>
    <row r="10802">
      <c r="A10802" s="4" t="s">
        <v>13574</v>
      </c>
      <c r="B10802" s="4" t="s">
        <v>13579</v>
      </c>
      <c r="C10802" s="5" t="str">
        <f>IFERROR(__xludf.DUMMYFUNCTION("GOOGLETRANSLATE(B10802,""en"",""es-ES"")"),"Después, un hombre da el comienzo a las personas que patinan en la carretera hasta llegar a la línea de meta para recibir sus trofeos.")</f>
        <v>Después, un hombre da el comienzo a las personas que patinan en la carretera hasta llegar a la línea de meta para recibir sus trofeos.</v>
      </c>
    </row>
    <row r="10803">
      <c r="A10803" s="4" t="s">
        <v>13574</v>
      </c>
      <c r="B10803" s="4" t="s">
        <v>13580</v>
      </c>
      <c r="C10803" s="5" t="str">
        <f>IFERROR(__xludf.DUMMYFUNCTION("GOOGLETRANSLATE(B10803,""en"",""es-ES"")"),"Una persona que salta sobre una rampa.")</f>
        <v>Una persona que salta sobre una rampa.</v>
      </c>
    </row>
    <row r="10804">
      <c r="A10804" s="4" t="s">
        <v>13581</v>
      </c>
      <c r="B10804" s="4" t="s">
        <v>13582</v>
      </c>
      <c r="C10804" s="5" t="str">
        <f>IFERROR(__xludf.DUMMYFUNCTION("GOOGLETRANSLATE(B10804,""en"",""es-ES"")"),"Una mujer sonríe antes de trinear por una colina en un intertube.")</f>
        <v>Una mujer sonríe antes de trinear por una colina en un intertube.</v>
      </c>
    </row>
    <row r="10805">
      <c r="A10805" s="4" t="s">
        <v>13581</v>
      </c>
      <c r="B10805" s="4" t="s">
        <v>13583</v>
      </c>
      <c r="C10805" s="5" t="str">
        <f>IFERROR(__xludf.DUMMYFUNCTION("GOOGLETRANSLATE(B10805,""en"",""es-ES"")"),"Ella se ríe y saluda a la cámara en la colina.")</f>
        <v>Ella se ríe y saluda a la cámara en la colina.</v>
      </c>
    </row>
    <row r="10806">
      <c r="A10806" s="4" t="s">
        <v>13581</v>
      </c>
      <c r="B10806" s="4" t="s">
        <v>13584</v>
      </c>
      <c r="C10806" s="5" t="str">
        <f>IFERROR(__xludf.DUMMYFUNCTION("GOOGLETRANSLATE(B10806,""en"",""es-ES"")"),"Luego se muestra a varias personas en trineo juntos antes de detenerse en una pendiente nevada.")</f>
        <v>Luego se muestra a varias personas en trineo juntos antes de detenerse en una pendiente nevada.</v>
      </c>
    </row>
    <row r="10807">
      <c r="A10807" s="4" t="s">
        <v>13585</v>
      </c>
      <c r="B10807" s="4" t="s">
        <v>13586</v>
      </c>
      <c r="C10807" s="5" t="str">
        <f>IFERROR(__xludf.DUMMYFUNCTION("GOOGLETRANSLATE(B10807,""en"",""es-ES"")"),"Se muestra a un gran grupo de personas nadando en una piscina jugando waterpolo.")</f>
        <v>Se muestra a un gran grupo de personas nadando en una piscina jugando waterpolo.</v>
      </c>
    </row>
    <row r="10808">
      <c r="A10808" s="4" t="s">
        <v>13585</v>
      </c>
      <c r="B10808" s="4" t="s">
        <v>13587</v>
      </c>
      <c r="C10808" s="5" t="str">
        <f>IFERROR(__xludf.DUMMYFUNCTION("GOOGLETRANSLATE(B10808,""en"",""es-ES"")"),"El partido continúa con personas que pasan la pelota por la piscina mientras muchos se sientan a lo largo de la berda y observan.")</f>
        <v>El partido continúa con personas que pasan la pelota por la piscina mientras muchos se sientan a lo largo de la berda y observan.</v>
      </c>
    </row>
    <row r="10809">
      <c r="A10809" s="4" t="s">
        <v>13588</v>
      </c>
      <c r="B10809" s="4" t="s">
        <v>13589</v>
      </c>
      <c r="C10809" s="5" t="str">
        <f>IFERROR(__xludf.DUMMYFUNCTION("GOOGLETRANSLATE(B10809,""en"",""es-ES"")"),"Un hombre en una cancha de baloncesto al aire libre explica cómo hacer simulacros con ambos brazos, sobre la mano, bajo mano, la colocación de la mano derecha e izquierda con dos pasos.")</f>
        <v>Un hombre en una cancha de baloncesto al aire libre explica cómo hacer simulacros con ambos brazos, sobre la mano, bajo mano, la colocación de la mano derecha e izquierda con dos pasos.</v>
      </c>
    </row>
    <row r="10810">
      <c r="A10810" s="4" t="s">
        <v>13588</v>
      </c>
      <c r="B10810" s="4" t="s">
        <v>13590</v>
      </c>
      <c r="C10810" s="5" t="str">
        <f>IFERROR(__xludf.DUMMYFUNCTION("GOOGLETRANSLATE(B10810,""en"",""es-ES"")"),"Luego va a las marcas hash en la cancha y muestra varias variaciones de una bandeja a partir de varias distancias y cómo hacer los ejercicios para la práctica.")</f>
        <v>Luego va a las marcas hash en la cancha y muestra varias variaciones de una bandeja a partir de varias distancias y cómo hacer los ejercicios para la práctica.</v>
      </c>
    </row>
    <row r="10811">
      <c r="A10811" s="4" t="s">
        <v>13588</v>
      </c>
      <c r="B10811" s="4" t="s">
        <v>13591</v>
      </c>
      <c r="C10811" s="5" t="str">
        <f>IFERROR(__xludf.DUMMYFUNCTION("GOOGLETRANSLATE(B10811,""en"",""es-ES"")"),"Luego regresa a la cámara y explica lo que hizo.")</f>
        <v>Luego regresa a la cámara y explica lo que hizo.</v>
      </c>
    </row>
    <row r="10812">
      <c r="A10812" s="4" t="s">
        <v>13592</v>
      </c>
      <c r="B10812" s="4" t="s">
        <v>13593</v>
      </c>
      <c r="C10812" s="5" t="str">
        <f>IFERROR(__xludf.DUMMYFUNCTION("GOOGLETRANSLATE(B10812,""en"",""es-ES"")"),"Un hombre toca el acordeón en un escenario frente a un puesto de música mientras usa una chaqueta de traje rojo.")</f>
        <v>Un hombre toca el acordeón en un escenario frente a un puesto de música mientras usa una chaqueta de traje rojo.</v>
      </c>
    </row>
    <row r="10813">
      <c r="A10813" s="4" t="s">
        <v>13592</v>
      </c>
      <c r="B10813" s="4" t="s">
        <v>13594</v>
      </c>
      <c r="C10813" s="5" t="str">
        <f>IFERROR(__xludf.DUMMYFUNCTION("GOOGLETRANSLATE(B10813,""en"",""es-ES"")"),"Un hombre se sienta en una silla en un escenario y toca el acordeón frente a una música.")</f>
        <v>Un hombre se sienta en una silla en un escenario y toca el acordeón frente a una música.</v>
      </c>
    </row>
    <row r="10814">
      <c r="A10814" s="4" t="s">
        <v>13592</v>
      </c>
      <c r="B10814" s="4" t="s">
        <v>13595</v>
      </c>
      <c r="C10814" s="5" t="str">
        <f>IFERROR(__xludf.DUMMYFUNCTION("GOOGLETRANSLATE(B10814,""en"",""es-ES"")"),"El hombre corre los dedos arriba y abajo de las llaves y abre el acordeón y se cerra con manos libres antes de terminar la actuación y frotar su cabello con la mano.")</f>
        <v>El hombre corre los dedos arriba y abajo de las llaves y abre el acordeón y se cerra con manos libres antes de terminar la actuación y frotar su cabello con la mano.</v>
      </c>
    </row>
    <row r="10815">
      <c r="A10815" s="4" t="s">
        <v>13596</v>
      </c>
      <c r="B10815" s="4" t="s">
        <v>13597</v>
      </c>
      <c r="C10815" s="5" t="str">
        <f>IFERROR(__xludf.DUMMYFUNCTION("GOOGLETRANSLATE(B10815,""en"",""es-ES"")"),"Un hombre salta a bares paralelos y hace una rutina de gimnasia.")</f>
        <v>Un hombre salta a bares paralelos y hace una rutina de gimnasia.</v>
      </c>
    </row>
    <row r="10816">
      <c r="A10816" s="4" t="s">
        <v>13596</v>
      </c>
      <c r="B10816" s="4" t="s">
        <v>13598</v>
      </c>
      <c r="C10816" s="5" t="str">
        <f>IFERROR(__xludf.DUMMYFUNCTION("GOOGLETRANSLATE(B10816,""en"",""es-ES"")"),"El público lo está mirando en las gradas.")</f>
        <v>El público lo está mirando en las gradas.</v>
      </c>
    </row>
    <row r="10817">
      <c r="A10817" s="4" t="s">
        <v>13596</v>
      </c>
      <c r="B10817" s="4" t="s">
        <v>13599</v>
      </c>
      <c r="C10817" s="5" t="str">
        <f>IFERROR(__xludf.DUMMYFUNCTION("GOOGLETRANSLATE(B10817,""en"",""es-ES"")"),"Salta y aterriza en la colchoneta con las manos levantadas.")</f>
        <v>Salta y aterriza en la colchoneta con las manos levantadas.</v>
      </c>
    </row>
    <row r="10818">
      <c r="A10818" s="4" t="s">
        <v>13600</v>
      </c>
      <c r="B10818" s="4" t="s">
        <v>13601</v>
      </c>
      <c r="C10818" s="5" t="str">
        <f>IFERROR(__xludf.DUMMYFUNCTION("GOOGLETRANSLATE(B10818,""en"",""es-ES"")"),"Se ve a una gimnasta parada y agita un brazo en el aire.")</f>
        <v>Se ve a una gimnasta parada y agita un brazo en el aire.</v>
      </c>
    </row>
    <row r="10819">
      <c r="A10819" s="4" t="s">
        <v>13600</v>
      </c>
      <c r="B10819" s="4" t="s">
        <v>13602</v>
      </c>
      <c r="C10819" s="5" t="str">
        <f>IFERROR(__xludf.DUMMYFUNCTION("GOOGLETRANSLATE(B10819,""en"",""es-ES"")"),"Ella salta a un conjunto de barras desiguales y realiza una rutina de gimnasia que consiste en volteos y trucos.")</f>
        <v>Ella salta a un conjunto de barras desiguales y realiza una rutina de gimnasia que consiste en volteos y trucos.</v>
      </c>
    </row>
    <row r="10820">
      <c r="A10820" s="4" t="s">
        <v>13600</v>
      </c>
      <c r="B10820" s="4" t="s">
        <v>13603</v>
      </c>
      <c r="C10820" s="5" t="str">
        <f>IFERROR(__xludf.DUMMYFUNCTION("GOOGLETRANSLATE(B10820,""en"",""es-ES"")"),"Ella salta de las barras al final y agita los brazos en el aire mientras su entrenador aplaude por ella.")</f>
        <v>Ella salta de las barras al final y agita los brazos en el aire mientras su entrenador aplaude por ella.</v>
      </c>
    </row>
    <row r="10821">
      <c r="A10821" s="4" t="s">
        <v>13604</v>
      </c>
      <c r="B10821" s="4" t="s">
        <v>13605</v>
      </c>
      <c r="C10821" s="5" t="str">
        <f>IFERROR(__xludf.DUMMYFUNCTION("GOOGLETRANSLATE(B10821,""en"",""es-ES"")"),"Los chicos están jugando hockey en una arena de hielo.")</f>
        <v>Los chicos están jugando hockey en una arena de hielo.</v>
      </c>
    </row>
    <row r="10822">
      <c r="A10822" s="4" t="s">
        <v>13604</v>
      </c>
      <c r="B10822" s="4" t="s">
        <v>13606</v>
      </c>
      <c r="C10822" s="5" t="str">
        <f>IFERROR(__xludf.DUMMYFUNCTION("GOOGLETRANSLATE(B10822,""en"",""es-ES"")"),"Algunos jugadores están diseñados.")</f>
        <v>Algunos jugadores están diseñados.</v>
      </c>
    </row>
    <row r="10823">
      <c r="A10823" s="4" t="s">
        <v>13604</v>
      </c>
      <c r="B10823" s="4" t="s">
        <v>13607</v>
      </c>
      <c r="C10823" s="5" t="str">
        <f>IFERROR(__xludf.DUMMYFUNCTION("GOOGLETRANSLATE(B10823,""en"",""es-ES"")"),"Un montón de jugadores se tumbó en un atleta caído.")</f>
        <v>Un montón de jugadores se tumbó en un atleta caído.</v>
      </c>
    </row>
    <row r="10824">
      <c r="A10824" s="4" t="s">
        <v>13604</v>
      </c>
      <c r="B10824" s="4" t="s">
        <v>13608</v>
      </c>
      <c r="C10824" s="5" t="str">
        <f>IFERROR(__xludf.DUMMYFUNCTION("GOOGLETRANSLATE(B10824,""en"",""es-ES"")"),"Un jugador es golpeado al hielo y su casco también.")</f>
        <v>Un jugador es golpeado al hielo y su casco también.</v>
      </c>
    </row>
    <row r="10825">
      <c r="A10825" s="4" t="s">
        <v>13604</v>
      </c>
      <c r="B10825" s="4" t="s">
        <v>13609</v>
      </c>
      <c r="C10825" s="5" t="str">
        <f>IFERROR(__xludf.DUMMYFUNCTION("GOOGLETRANSLATE(B10825,""en"",""es-ES"")"),"Un tipo tiene una lesión en la cabeza y está sangrando en el hielo después de que cae.")</f>
        <v>Un tipo tiene una lesión en la cabeza y está sangrando en el hielo después de que cae.</v>
      </c>
    </row>
    <row r="10826">
      <c r="A10826" s="4" t="s">
        <v>13610</v>
      </c>
      <c r="B10826" s="4" t="s">
        <v>13611</v>
      </c>
      <c r="C10826" s="5" t="str">
        <f>IFERROR(__xludf.DUMMYFUNCTION("GOOGLETRANSLATE(B10826,""en"",""es-ES"")"),"Se ve a una gimnasta inclinarse sobre un largo bar con una persona parada a su lado en el suelo.")</f>
        <v>Se ve a una gimnasta inclinarse sobre un largo bar con una persona parada a su lado en el suelo.</v>
      </c>
    </row>
    <row r="10827">
      <c r="A10827" s="4" t="s">
        <v>13610</v>
      </c>
      <c r="B10827" s="4" t="s">
        <v>13612</v>
      </c>
      <c r="C10827" s="5" t="str">
        <f>IFERROR(__xludf.DUMMYFUNCTION("GOOGLETRANSLATE(B10827,""en"",""es-ES"")"),"La niña luego salta sobre la viga.")</f>
        <v>La niña luego salta sobre la viga.</v>
      </c>
    </row>
    <row r="10828">
      <c r="A10828" s="4" t="s">
        <v>13610</v>
      </c>
      <c r="B10828" s="4" t="s">
        <v>13613</v>
      </c>
      <c r="C10828" s="5" t="str">
        <f>IFERROR(__xludf.DUMMYFUNCTION("GOOGLETRANSLATE(B10828,""en"",""es-ES"")"),"Finalmente, la niña comienza a balancearse.")</f>
        <v>Finalmente, la niña comienza a balancearse.</v>
      </c>
    </row>
    <row r="10829">
      <c r="A10829" s="4" t="s">
        <v>13614</v>
      </c>
      <c r="B10829" s="4" t="s">
        <v>13615</v>
      </c>
      <c r="C10829" s="5" t="str">
        <f>IFERROR(__xludf.DUMMYFUNCTION("GOOGLETRANSLATE(B10829,""en"",""es-ES"")"),"Un grupo se encuentra en una estación de tren.")</f>
        <v>Un grupo se encuentra en una estación de tren.</v>
      </c>
    </row>
    <row r="10830">
      <c r="A10830" s="4" t="s">
        <v>13614</v>
      </c>
      <c r="B10830" s="4" t="s">
        <v>13616</v>
      </c>
      <c r="C10830" s="5" t="str">
        <f>IFERROR(__xludf.DUMMYFUNCTION("GOOGLETRANSLATE(B10830,""en"",""es-ES"")"),"Un hombre pega la nieve desde la acera.")</f>
        <v>Un hombre pega la nieve desde la acera.</v>
      </c>
    </row>
    <row r="10831">
      <c r="A10831" s="4" t="s">
        <v>13614</v>
      </c>
      <c r="B10831" s="4" t="s">
        <v>13617</v>
      </c>
      <c r="C10831" s="5" t="str">
        <f>IFERROR(__xludf.DUMMYFUNCTION("GOOGLETRANSLATE(B10831,""en"",""es-ES"")"),"Un hombre en una silla de ruedas baja por una acera en un frío día de invierno.")</f>
        <v>Un hombre en una silla de ruedas baja por una acera en un frío día de invierno.</v>
      </c>
    </row>
    <row r="10832">
      <c r="A10832" s="4" t="s">
        <v>13614</v>
      </c>
      <c r="B10832" s="4" t="s">
        <v>13618</v>
      </c>
      <c r="C10832" s="5" t="str">
        <f>IFERROR(__xludf.DUMMYFUNCTION("GOOGLETRANSLATE(B10832,""en"",""es-ES"")"),"Una mujer con chaqueta de nieve saca la nieve de una acera.")</f>
        <v>Una mujer con chaqueta de nieve saca la nieve de una acera.</v>
      </c>
    </row>
    <row r="10833">
      <c r="A10833" s="4" t="s">
        <v>13614</v>
      </c>
      <c r="B10833" s="4" t="s">
        <v>13619</v>
      </c>
      <c r="C10833" s="5" t="str">
        <f>IFERROR(__xludf.DUMMYFUNCTION("GOOGLETRANSLATE(B10833,""en"",""es-ES"")"),"Un hombre rompe el hielo con una pala.")</f>
        <v>Un hombre rompe el hielo con una pala.</v>
      </c>
    </row>
    <row r="10834">
      <c r="A10834" s="4" t="s">
        <v>13614</v>
      </c>
      <c r="B10834" s="4" t="s">
        <v>13620</v>
      </c>
      <c r="C10834" s="5" t="str">
        <f>IFERROR(__xludf.DUMMYFUNCTION("GOOGLETRANSLATE(B10834,""en"",""es-ES"")"),"Un hombre saca la nieve de una acera hacia una maceta forrada de árboles.")</f>
        <v>Un hombre saca la nieve de una acera hacia una maceta forrada de árboles.</v>
      </c>
    </row>
    <row r="10835">
      <c r="A10835" s="4" t="s">
        <v>13621</v>
      </c>
      <c r="B10835" s="4" t="s">
        <v>13622</v>
      </c>
      <c r="C10835" s="5" t="str">
        <f>IFERROR(__xludf.DUMMYFUNCTION("GOOGLETRANSLATE(B10835,""en"",""es-ES"")"),"Se ven dos personas sosteniendo raquetas de tenis y golpeando una pelota en una habitación pequeña.")</f>
        <v>Se ven dos personas sosteniendo raquetas de tenis y golpeando una pelota en una habitación pequeña.</v>
      </c>
    </row>
    <row r="10836">
      <c r="A10836" s="4" t="s">
        <v>13621</v>
      </c>
      <c r="B10836" s="4" t="s">
        <v>13623</v>
      </c>
      <c r="C10836" s="5" t="str">
        <f>IFERROR(__xludf.DUMMYFUNCTION("GOOGLETRANSLATE(B10836,""en"",""es-ES"")"),"Los hombres continúan golpeando la pelota hacia atrás y cuarta entre sí y corren alrededor del golpe de la pelota.")</f>
        <v>Los hombres continúan golpeando la pelota hacia atrás y cuarta entre sí y corren alrededor del golpe de la pelota.</v>
      </c>
    </row>
    <row r="10837">
      <c r="A10837" s="4" t="s">
        <v>13624</v>
      </c>
      <c r="B10837" s="4" t="s">
        <v>13625</v>
      </c>
      <c r="C10837" s="5" t="str">
        <f>IFERROR(__xludf.DUMMYFUNCTION("GOOGLETRANSLATE(B10837,""en"",""es-ES"")"),"Un chico se para en los campos y enciende un trozo de papel.")</f>
        <v>Un chico se para en los campos y enciende un trozo de papel.</v>
      </c>
    </row>
    <row r="10838">
      <c r="A10838" s="4" t="s">
        <v>13624</v>
      </c>
      <c r="B10838" s="4" t="s">
        <v>13626</v>
      </c>
      <c r="C10838" s="5" t="str">
        <f>IFERROR(__xludf.DUMMYFUNCTION("GOOGLETRANSLATE(B10838,""en"",""es-ES"")"),"Un chico arroja el trozo de papel hacia la madera de pila y luego corre.")</f>
        <v>Un chico arroja el trozo de papel hacia la madera de pila y luego corre.</v>
      </c>
    </row>
    <row r="10839">
      <c r="A10839" s="4" t="s">
        <v>13624</v>
      </c>
      <c r="B10839" s="4" t="s">
        <v>13627</v>
      </c>
      <c r="C10839" s="5" t="str">
        <f>IFERROR(__xludf.DUMMYFUNCTION("GOOGLETRANSLATE(B10839,""en"",""es-ES"")"),"La madera se incendia.")</f>
        <v>La madera se incendia.</v>
      </c>
    </row>
    <row r="10840">
      <c r="A10840" s="4" t="s">
        <v>13624</v>
      </c>
      <c r="B10840" s="4" t="s">
        <v>13628</v>
      </c>
      <c r="C10840" s="5" t="str">
        <f>IFERROR(__xludf.DUMMYFUNCTION("GOOGLETRANSLATE(B10840,""en"",""es-ES"")"),"El chico camina hacia un hombre.")</f>
        <v>El chico camina hacia un hombre.</v>
      </c>
    </row>
    <row r="10841">
      <c r="A10841" s="4" t="s">
        <v>13629</v>
      </c>
      <c r="B10841" s="4" t="s">
        <v>13630</v>
      </c>
      <c r="C10841" s="5" t="str">
        <f>IFERROR(__xludf.DUMMYFUNCTION("GOOGLETRANSLATE(B10841,""en"",""es-ES"")"),"Una cámara se mueve alrededor de un gimnasio interior y conduce a clips de personas con volumen de postes sobre una barra.")</f>
        <v>Una cámara se mueve alrededor de un gimnasio interior y conduce a clips de personas con volumen de postes sobre una barra.</v>
      </c>
    </row>
    <row r="10842">
      <c r="A10842" s="4" t="s">
        <v>13629</v>
      </c>
      <c r="B10842" s="4" t="s">
        <v>13631</v>
      </c>
      <c r="C10842" s="5" t="str">
        <f>IFERROR(__xludf.DUMMYFUNCTION("GOOGLETRANSLATE(B10842,""en"",""es-ES"")"),"Varias personas se muestran corriendo con un poste sobre una viga y sobre una estera una tras otra.")</f>
        <v>Varias personas se muestran corriendo con un poste sobre una viga y sobre una estera una tras otra.</v>
      </c>
    </row>
    <row r="10843">
      <c r="A10843" s="4" t="s">
        <v>13629</v>
      </c>
      <c r="B10843" s="4" t="s">
        <v>13632</v>
      </c>
      <c r="C10843" s="5" t="str">
        <f>IFERROR(__xludf.DUMMYFUNCTION("GOOGLETRANSLATE(B10843,""en"",""es-ES"")"),"Más personas toman sus turnos mientras otros caminan por el gimnasio y las miran a los lados.")</f>
        <v>Más personas toman sus turnos mientras otros caminan por el gimnasio y las miran a los lados.</v>
      </c>
    </row>
    <row r="10844">
      <c r="A10844" s="4" t="s">
        <v>13633</v>
      </c>
      <c r="B10844" s="4" t="s">
        <v>13634</v>
      </c>
      <c r="C10844" s="5" t="str">
        <f>IFERROR(__xludf.DUMMYFUNCTION("GOOGLETRANSLATE(B10844,""en"",""es-ES"")"),"La palabra Brenmar está en el centro de la pantalla y luego cambia a la palabra uniiqu3 y hoola aro.")</f>
        <v>La palabra Brenmar está en el centro de la pantalla y luego cambia a la palabra uniiqu3 y hoola aro.</v>
      </c>
    </row>
    <row r="10845">
      <c r="A10845" s="4" t="s">
        <v>13633</v>
      </c>
      <c r="B10845" s="4" t="s">
        <v>13635</v>
      </c>
      <c r="C10845" s="5" t="str">
        <f>IFERROR(__xludf.DUMMYFUNCTION("GOOGLETRANSLATE(B10845,""en"",""es-ES"")"),"Tres mujeres con todos los negros están de pie sosteniendo un Hoola Hoope blanco en sus manos.")</f>
        <v>Tres mujeres con todos los negros están de pie sosteniendo un Hoola Hoope blanco en sus manos.</v>
      </c>
    </row>
    <row r="10846">
      <c r="A10846" s="4" t="s">
        <v>13633</v>
      </c>
      <c r="B10846" s="4" t="s">
        <v>13636</v>
      </c>
      <c r="C10846" s="5" t="str">
        <f>IFERROR(__xludf.DUMMYFUNCTION("GOOGLETRANSLATE(B10846,""en"",""es-ES"")"),"Un hombre se está inclinando en el piso con Hoola Hoops.")</f>
        <v>Un hombre se está inclinando en el piso con Hoola Hoops.</v>
      </c>
    </row>
    <row r="10847">
      <c r="A10847" s="4" t="s">
        <v>13633</v>
      </c>
      <c r="B10847" s="4" t="s">
        <v>13637</v>
      </c>
      <c r="C10847" s="5" t="str">
        <f>IFERROR(__xludf.DUMMYFUNCTION("GOOGLETRANSLATE(B10847,""en"",""es-ES"")"),"Mujer con pantalones negros y camisa blanca comienza a bailar con un aro hoola arond en su cuello.")</f>
        <v>Mujer con pantalones negros y camisa blanca comienza a bailar con un aro hoola arond en su cuello.</v>
      </c>
    </row>
    <row r="10848">
      <c r="A10848" s="4" t="s">
        <v>13633</v>
      </c>
      <c r="B10848" s="4" t="s">
        <v>13638</v>
      </c>
      <c r="C10848" s="5" t="str">
        <f>IFERROR(__xludf.DUMMYFUNCTION("GOOGLETRANSLATE(B10848,""en"",""es-ES"")"),"La segunda mujer con cabello amarillo comienza a bailar a dos personas y aparece un conjunto de mujeres bailando haciendo trucos con un aro hoola mientras el hombre los mira, la mujer con chaqueta verde está cantando la canción.")</f>
        <v>La segunda mujer con cabello amarillo comienza a bailar a dos personas y aparece un conjunto de mujeres bailando haciendo trucos con un aro hoola mientras el hombre los mira, la mujer con chaqueta verde está cantando la canción.</v>
      </c>
    </row>
    <row r="10849">
      <c r="A10849" s="4" t="s">
        <v>13633</v>
      </c>
      <c r="B10849" s="4" t="s">
        <v>13639</v>
      </c>
      <c r="C10849" s="5" t="str">
        <f>IFERROR(__xludf.DUMMYFUNCTION("GOOGLETRANSLATE(B10849,""en"",""es-ES"")"),"Las mujeres aparecen en una habitación oscura con aros de hoola brillantes bailando y haciendo trucos, la mujer con cabello amarillo sigue bailando sola.")</f>
        <v>Las mujeres aparecen en una habitación oscura con aros de hoola brillantes bailando y haciendo trucos, la mujer con cabello amarillo sigue bailando sola.</v>
      </c>
    </row>
    <row r="10850">
      <c r="A10850" s="4" t="s">
        <v>13640</v>
      </c>
      <c r="B10850" s="4" t="s">
        <v>13641</v>
      </c>
      <c r="C10850" s="5" t="str">
        <f>IFERROR(__xludf.DUMMYFUNCTION("GOOGLETRANSLATE(B10850,""en"",""es-ES"")"),"El hombre con camisa negra está arrodillada y alcanzó su pierna trasera.")</f>
        <v>El hombre con camisa negra está arrodillada y alcanzó su pierna trasera.</v>
      </c>
    </row>
    <row r="10851">
      <c r="A10851" s="4" t="s">
        <v>13640</v>
      </c>
      <c r="B10851" s="4" t="s">
        <v>13642</v>
      </c>
      <c r="C10851" s="5" t="str">
        <f>IFERROR(__xludf.DUMMYFUNCTION("GOOGLETRANSLATE(B10851,""en"",""es-ES"")"),"El hombre se movió ligeramente hacia adelante.")</f>
        <v>El hombre se movió ligeramente hacia adelante.</v>
      </c>
    </row>
    <row r="10852">
      <c r="A10852" s="4" t="s">
        <v>13640</v>
      </c>
      <c r="B10852" s="4" t="s">
        <v>13643</v>
      </c>
      <c r="C10852" s="5" t="str">
        <f>IFERROR(__xludf.DUMMYFUNCTION("GOOGLETRANSLATE(B10852,""en"",""es-ES"")"),"El hombre se detuvo mientras sostiene el tobillo.")</f>
        <v>El hombre se detuvo mientras sostiene el tobillo.</v>
      </c>
    </row>
    <row r="10853">
      <c r="A10853" s="4" t="s">
        <v>13644</v>
      </c>
      <c r="B10853" s="4" t="s">
        <v>13645</v>
      </c>
      <c r="C10853" s="5" t="str">
        <f>IFERROR(__xludf.DUMMYFUNCTION("GOOGLETRANSLATE(B10853,""en"",""es-ES"")"),"Este hombre está esquiando por el agua y lo hace sentado y de pie, excepto que se sostiene en las barras de mango hacia atrás.")</f>
        <v>Este hombre está esquiando por el agua y lo hace sentado y de pie, excepto que se sostiene en las barras de mango hacia atrás.</v>
      </c>
    </row>
    <row r="10854">
      <c r="A10854" s="4" t="s">
        <v>13644</v>
      </c>
      <c r="B10854" s="4" t="s">
        <v>13646</v>
      </c>
      <c r="C10854" s="5" t="str">
        <f>IFERROR(__xludf.DUMMYFUNCTION("GOOGLETRANSLATE(B10854,""en"",""es-ES"")"),"Mientras está esquiando, intenta a su alrededor para mantenerse hacia adelante como lo normal, pero va volando cuando intenta darse la vuelta.")</f>
        <v>Mientras está esquiando, intenta a su alrededor para mantenerse hacia adelante como lo normal, pero va volando cuando intenta darse la vuelta.</v>
      </c>
    </row>
    <row r="10855">
      <c r="A10855" s="4" t="s">
        <v>13647</v>
      </c>
      <c r="B10855" s="4" t="s">
        <v>13648</v>
      </c>
      <c r="C10855" s="5" t="str">
        <f>IFERROR(__xludf.DUMMYFUNCTION("GOOGLETRANSLATE(B10855,""en"",""es-ES"")"),"Una persona está sacando la nieve de su acera.")</f>
        <v>Una persona está sacando la nieve de su acera.</v>
      </c>
    </row>
    <row r="10856">
      <c r="A10856" s="4" t="s">
        <v>13647</v>
      </c>
      <c r="B10856" s="4" t="s">
        <v>13649</v>
      </c>
      <c r="C10856" s="5" t="str">
        <f>IFERROR(__xludf.DUMMYFUNCTION("GOOGLETRANSLATE(B10856,""en"",""es-ES"")"),"Un perro está saltando en la nieve que está lanzando.")</f>
        <v>Un perro está saltando en la nieve que está lanzando.</v>
      </c>
    </row>
    <row r="10857">
      <c r="A10857" s="4" t="s">
        <v>13647</v>
      </c>
      <c r="B10857" s="4" t="s">
        <v>13650</v>
      </c>
      <c r="C10857" s="5" t="str">
        <f>IFERROR(__xludf.DUMMYFUNCTION("GOOGLETRANSLATE(B10857,""en"",""es-ES"")"),"Las palabras entran en la pantalla.")</f>
        <v>Las palabras entran en la pantalla.</v>
      </c>
    </row>
    <row r="10858">
      <c r="A10858" s="4" t="s">
        <v>13651</v>
      </c>
      <c r="B10858" s="4" t="s">
        <v>13652</v>
      </c>
      <c r="C10858" s="5" t="str">
        <f>IFERROR(__xludf.DUMMYFUNCTION("GOOGLETRANSLATE(B10858,""en"",""es-ES"")"),"Se ve a un hombre actuando loco hacia una cámara mientras está sentado en una mesa de póker con otro hombre.")</f>
        <v>Se ve a un hombre actuando loco hacia una cámara mientras está sentado en una mesa de póker con otro hombre.</v>
      </c>
    </row>
    <row r="10859">
      <c r="A10859" s="4" t="s">
        <v>13651</v>
      </c>
      <c r="B10859" s="4" t="s">
        <v>13653</v>
      </c>
      <c r="C10859" s="5" t="str">
        <f>IFERROR(__xludf.DUMMYFUNCTION("GOOGLETRANSLATE(B10859,""en"",""es-ES"")"),"Los hombres pegan la lengua en la cámara y la cámara se mueve sobre otra mesa con la gente jugando.")</f>
        <v>Los hombres pegan la lengua en la cámara y la cámara se mueve sobre otra mesa con la gente jugando.</v>
      </c>
    </row>
    <row r="10860">
      <c r="A10860" s="4" t="s">
        <v>13651</v>
      </c>
      <c r="B10860" s="4" t="s">
        <v>13654</v>
      </c>
      <c r="C10860" s="5" t="str">
        <f>IFERROR(__xludf.DUMMYFUNCTION("GOOGLETRANSLATE(B10860,""en"",""es-ES"")"),"Al final se enfrenta a la cámara hacia sí mismo.")</f>
        <v>Al final se enfrenta a la cámara hacia sí mismo.</v>
      </c>
    </row>
    <row r="10861">
      <c r="A10861" s="4" t="s">
        <v>13655</v>
      </c>
      <c r="B10861" s="4" t="s">
        <v>13656</v>
      </c>
      <c r="C10861" s="5" t="str">
        <f>IFERROR(__xludf.DUMMYFUNCTION("GOOGLETRANSLATE(B10861,""en"",""es-ES"")"),"Un adolescente sostiene un violín y luego juega en frente de otros adolescentes que hablan y se ríen.")</f>
        <v>Un adolescente sostiene un violín y luego juega en frente de otros adolescentes que hablan y se ríen.</v>
      </c>
    </row>
    <row r="10862">
      <c r="A10862" s="4" t="s">
        <v>13655</v>
      </c>
      <c r="B10862" s="4" t="s">
        <v>13657</v>
      </c>
      <c r="C10862" s="5" t="str">
        <f>IFERROR(__xludf.DUMMYFUNCTION("GOOGLETRANSLATE(B10862,""en"",""es-ES"")"),"Los adolescentes hablan y hacen comentarios y una mujer se ríe.")</f>
        <v>Los adolescentes hablan y hacen comentarios y una mujer se ríe.</v>
      </c>
    </row>
    <row r="10863">
      <c r="A10863" s="4" t="s">
        <v>13655</v>
      </c>
      <c r="B10863" s="4" t="s">
        <v>13658</v>
      </c>
      <c r="C10863" s="5" t="str">
        <f>IFERROR(__xludf.DUMMYFUNCTION("GOOGLETRANSLATE(B10863,""en"",""es-ES"")"),"Entonces la gente en la habitación aplaude.")</f>
        <v>Entonces la gente en la habitación aplaude.</v>
      </c>
    </row>
    <row r="10864">
      <c r="A10864" s="4" t="s">
        <v>13659</v>
      </c>
      <c r="B10864" s="4" t="s">
        <v>13660</v>
      </c>
      <c r="C10864" s="5" t="str">
        <f>IFERROR(__xludf.DUMMYFUNCTION("GOOGLETRANSLATE(B10864,""en"",""es-ES"")"),"Dos mujeres de pie en la cocina, una niña lleva un top negro y la otra lleva un top beige.")</f>
        <v>Dos mujeres de pie en la cocina, una niña lleva un top negro y la otra lleva un top beige.</v>
      </c>
    </row>
    <row r="10865">
      <c r="A10865" s="4" t="s">
        <v>13659</v>
      </c>
      <c r="B10865" s="4" t="s">
        <v>13661</v>
      </c>
      <c r="C10865" s="5" t="str">
        <f>IFERROR(__xludf.DUMMYFUNCTION("GOOGLETRANSLATE(B10865,""en"",""es-ES"")"),"La mujer en beige mostró un sándwich en el mostrador de la cocina, luego comenzó a orinar el pepino verde con un pelador, luego comenzar a cortar el pepino.")</f>
        <v>La mujer en beige mostró un sándwich en el mostrador de la cocina, luego comenzó a orinar el pepino verde con un pelador, luego comenzar a cortar el pepino.</v>
      </c>
    </row>
    <row r="10866">
      <c r="A10866" s="4" t="s">
        <v>13659</v>
      </c>
      <c r="B10866" s="4" t="s">
        <v>13662</v>
      </c>
      <c r="C10866" s="5" t="str">
        <f>IFERROR(__xludf.DUMMYFUNCTION("GOOGLETRANSLATE(B10866,""en"",""es-ES"")"),"Luego extendió la mantequilla sobre el pan, colocó el pepino en rodajas sobre el pan, espolvorea un poco de sal, corta los bordes del pan y luego lo cortó en triángulo, luego se colocó sobre el plato blanco, luego ambas mujeres comieron el sándwich.")</f>
        <v>Luego extendió la mantequilla sobre el pan, colocó el pepino en rodajas sobre el pan, espolvorea un poco de sal, corta los bordes del pan y luego lo cortó en triángulo, luego se colocó sobre el plato blanco, luego ambas mujeres comieron el sándwich.</v>
      </c>
    </row>
    <row r="10867">
      <c r="A10867" s="4" t="s">
        <v>13663</v>
      </c>
      <c r="B10867" s="4" t="s">
        <v>13664</v>
      </c>
      <c r="C10867" s="5" t="str">
        <f>IFERROR(__xludf.DUMMYFUNCTION("GOOGLETRANSLATE(B10867,""en"",""es-ES"")"),"Se ve a un niño pequeño caminando hacia adelante con un palo en la mano y empujando un disco por una pista.")</f>
        <v>Se ve a un niño pequeño caminando hacia adelante con un palo en la mano y empujando un disco por una pista.</v>
      </c>
    </row>
    <row r="10868">
      <c r="A10868" s="4" t="s">
        <v>13663</v>
      </c>
      <c r="B10868" s="4" t="s">
        <v>13665</v>
      </c>
      <c r="C10868" s="5" t="str">
        <f>IFERROR(__xludf.DUMMYFUNCTION("GOOGLETRANSLATE(B10868,""en"",""es-ES"")"),"Él regresa mientras otro niño golpea el disco y varias personas miran al margen.")</f>
        <v>Él regresa mientras otro niño golpea el disco y varias personas miran al margen.</v>
      </c>
    </row>
    <row r="10869">
      <c r="A10869" s="4" t="s">
        <v>13663</v>
      </c>
      <c r="B10869" s="4" t="s">
        <v>13666</v>
      </c>
      <c r="C10869" s="5" t="str">
        <f>IFERROR(__xludf.DUMMYFUNCTION("GOOGLETRANSLATE(B10869,""en"",""es-ES"")"),"El joven continúa caminando de regreso y cuarto.")</f>
        <v>El joven continúa caminando de regreso y cuarto.</v>
      </c>
    </row>
    <row r="10870">
      <c r="A10870" s="4" t="s">
        <v>13667</v>
      </c>
      <c r="B10870" s="4" t="s">
        <v>13668</v>
      </c>
      <c r="C10870" s="5" t="str">
        <f>IFERROR(__xludf.DUMMYFUNCTION("GOOGLETRANSLATE(B10870,""en"",""es-ES"")"),"Se ve a un hombre hablando con la cámara seguido de varios ingredientes colocados y cortando verduras.")</f>
        <v>Se ve a un hombre hablando con la cámara seguido de varios ingredientes colocados y cortando verduras.</v>
      </c>
    </row>
    <row r="10871">
      <c r="A10871" s="4" t="s">
        <v>13667</v>
      </c>
      <c r="B10871" s="4" t="s">
        <v>13669</v>
      </c>
      <c r="C10871" s="5" t="str">
        <f>IFERROR(__xludf.DUMMYFUNCTION("GOOGLETRANSLATE(B10871,""en"",""es-ES"")"),"El hombre continúa cortando y mezcla los ingredientes en un tazón.")</f>
        <v>El hombre continúa cortando y mezcla los ingredientes en un tazón.</v>
      </c>
    </row>
    <row r="10872">
      <c r="A10872" s="4" t="s">
        <v>13667</v>
      </c>
      <c r="B10872" s="4" t="s">
        <v>13670</v>
      </c>
      <c r="C10872" s="5" t="str">
        <f>IFERROR(__xludf.DUMMYFUNCTION("GOOGLETRANSLATE(B10872,""en"",""es-ES"")"),"Vierte líquido en el tazón y termina presentándolo en un plato.")</f>
        <v>Vierte líquido en el tazón y termina presentándolo en un plato.</v>
      </c>
    </row>
    <row r="10873">
      <c r="A10873" s="4" t="s">
        <v>13671</v>
      </c>
      <c r="B10873" s="4" t="s">
        <v>13672</v>
      </c>
      <c r="C10873" s="5" t="str">
        <f>IFERROR(__xludf.DUMMYFUNCTION("GOOGLETRANSLATE(B10873,""en"",""es-ES"")"),"Se muestra un video del Swan Lake Ballet.")</f>
        <v>Se muestra un video del Swan Lake Ballet.</v>
      </c>
    </row>
    <row r="10874">
      <c r="A10874" s="4" t="s">
        <v>13671</v>
      </c>
      <c r="B10874" s="4" t="s">
        <v>13673</v>
      </c>
      <c r="C10874" s="5" t="str">
        <f>IFERROR(__xludf.DUMMYFUNCTION("GOOGLETRANSLATE(B10874,""en"",""es-ES"")"),"Realizan el acto y entrevistan a algunos del elenco.")</f>
        <v>Realizan el acto y entrevistan a algunos del elenco.</v>
      </c>
    </row>
    <row r="10875">
      <c r="A10875" s="4" t="s">
        <v>13674</v>
      </c>
      <c r="B10875" s="4" t="s">
        <v>13675</v>
      </c>
      <c r="C10875" s="5" t="str">
        <f>IFERROR(__xludf.DUMMYFUNCTION("GOOGLETRANSLATE(B10875,""en"",""es-ES"")"),"El video conduce a varias tomas de perros caminando y conduce a una mujer acariciando un pelaje de perros.")</f>
        <v>El video conduce a varias tomas de perros caminando y conduce a una mujer acariciando un pelaje de perros.</v>
      </c>
    </row>
    <row r="10876">
      <c r="A10876" s="4" t="s">
        <v>13674</v>
      </c>
      <c r="B10876" s="4" t="s">
        <v>13676</v>
      </c>
      <c r="C10876" s="5" t="str">
        <f>IFERROR(__xludf.DUMMYFUNCTION("GOOGLETRANSLATE(B10876,""en"",""es-ES"")"),"La mujer continúa cepillando y muestra clips del perro corriendo a lo largo de un parque.")</f>
        <v>La mujer continúa cepillando y muestra clips del perro corriendo a lo largo de un parque.</v>
      </c>
    </row>
    <row r="10877">
      <c r="A10877" s="4" t="s">
        <v>13677</v>
      </c>
      <c r="B10877" s="4" t="s">
        <v>13678</v>
      </c>
      <c r="C10877" s="5" t="str">
        <f>IFERROR(__xludf.DUMMYFUNCTION("GOOGLETRANSLATE(B10877,""en"",""es-ES"")"),"Dos hombres adultos en cascos les enseñan a los niños pequeños cómo jugar hockey sobre hielo.")</f>
        <v>Dos hombres adultos en cascos les enseñan a los niños pequeños cómo jugar hockey sobre hielo.</v>
      </c>
    </row>
    <row r="10878">
      <c r="A10878" s="4" t="s">
        <v>13677</v>
      </c>
      <c r="B10878" s="4" t="s">
        <v>13679</v>
      </c>
      <c r="C10878" s="5" t="str">
        <f>IFERROR(__xludf.DUMMYFUNCTION("GOOGLETRANSLATE(B10878,""en"",""es-ES"")"),"Los muchachos se reúnen en un círculo, golpeando sus palos en el suelo.")</f>
        <v>Los muchachos se reúnen en un círculo, golpeando sus palos en el suelo.</v>
      </c>
    </row>
    <row r="10879">
      <c r="A10879" s="4" t="s">
        <v>13677</v>
      </c>
      <c r="B10879" s="4" t="s">
        <v>13680</v>
      </c>
      <c r="C10879" s="5" t="str">
        <f>IFERROR(__xludf.DUMMYFUNCTION("GOOGLETRANSLATE(B10879,""en"",""es-ES"")"),"Luego animan y patinan.")</f>
        <v>Luego animan y patinan.</v>
      </c>
    </row>
    <row r="10880">
      <c r="A10880" s="4" t="s">
        <v>13681</v>
      </c>
      <c r="B10880" s="4" t="s">
        <v>13682</v>
      </c>
      <c r="C10880" s="5" t="str">
        <f>IFERROR(__xludf.DUMMYFUNCTION("GOOGLETRANSLATE(B10880,""en"",""es-ES"")"),"Una mujer con un vestido blanco comienza una cortadora de césped.")</f>
        <v>Una mujer con un vestido blanco comienza una cortadora de césped.</v>
      </c>
    </row>
    <row r="10881">
      <c r="A10881" s="4" t="s">
        <v>13681</v>
      </c>
      <c r="B10881" s="4" t="s">
        <v>13683</v>
      </c>
      <c r="C10881" s="5" t="str">
        <f>IFERROR(__xludf.DUMMYFUNCTION("GOOGLETRANSLATE(B10881,""en"",""es-ES"")"),"Ella comienza a cortar el césped.")</f>
        <v>Ella comienza a cortar el césped.</v>
      </c>
    </row>
    <row r="10882">
      <c r="A10882" s="4" t="s">
        <v>13681</v>
      </c>
      <c r="B10882" s="4" t="s">
        <v>13684</v>
      </c>
      <c r="C10882" s="5" t="str">
        <f>IFERROR(__xludf.DUMMYFUNCTION("GOOGLETRANSLATE(B10882,""en"",""es-ES"")"),"Ella se da la vuelta y regresa al otro lado.")</f>
        <v>Ella se da la vuelta y regresa al otro lado.</v>
      </c>
    </row>
    <row r="10883">
      <c r="A10883" s="4" t="s">
        <v>13685</v>
      </c>
      <c r="B10883" s="4" t="s">
        <v>13686</v>
      </c>
      <c r="C10883" s="5" t="str">
        <f>IFERROR(__xludf.DUMMYFUNCTION("GOOGLETRANSLATE(B10883,""en"",""es-ES"")"),"Se ve a un hombre parado en un campo y comienza a balancear un objeto alrededor y alrededor.")</f>
        <v>Se ve a un hombre parado en un campo y comienza a balancear un objeto alrededor y alrededor.</v>
      </c>
    </row>
    <row r="10884">
      <c r="A10884" s="4" t="s">
        <v>13685</v>
      </c>
      <c r="B10884" s="4" t="s">
        <v>13687</v>
      </c>
      <c r="C10884" s="5" t="str">
        <f>IFERROR(__xludf.DUMMYFUNCTION("GOOGLETRANSLATE(B10884,""en"",""es-ES"")"),"Continúa balanceándose y termina parado en el campo.")</f>
        <v>Continúa balanceándose y termina parado en el campo.</v>
      </c>
    </row>
    <row r="10885">
      <c r="A10885" s="4" t="s">
        <v>13688</v>
      </c>
      <c r="B10885" s="4" t="s">
        <v>13689</v>
      </c>
      <c r="C10885" s="5" t="str">
        <f>IFERROR(__xludf.DUMMYFUNCTION("GOOGLETRANSLATE(B10885,""en"",""es-ES"")"),"Un letrero dice que el superfresco es fácil en la pantalla.")</f>
        <v>Un letrero dice que el superfresco es fácil en la pantalla.</v>
      </c>
    </row>
    <row r="10886">
      <c r="A10886" s="4" t="s">
        <v>13688</v>
      </c>
      <c r="B10886" s="4" t="s">
        <v>13690</v>
      </c>
      <c r="C10886" s="5" t="str">
        <f>IFERROR(__xludf.DUMMYFUNCTION("GOOGLETRANSLATE(B10886,""en"",""es-ES"")"),"Se muestra a un hombre pintando una pared con pintura gris.")</f>
        <v>Se muestra a un hombre pintando una pared con pintura gris.</v>
      </c>
    </row>
    <row r="10887">
      <c r="A10887" s="4" t="s">
        <v>13688</v>
      </c>
      <c r="B10887" s="4" t="s">
        <v>13691</v>
      </c>
      <c r="C10887" s="5" t="str">
        <f>IFERROR(__xludf.DUMMYFUNCTION("GOOGLETRANSLATE(B10887,""en"",""es-ES"")"),"Él usa barridos amplios para cubrir completamente la pared.")</f>
        <v>Él usa barridos amplios para cubrir completamente la pared.</v>
      </c>
    </row>
    <row r="10888">
      <c r="A10888" s="4" t="s">
        <v>13692</v>
      </c>
      <c r="B10888" s="4" t="s">
        <v>13693</v>
      </c>
      <c r="C10888" s="5" t="str">
        <f>IFERROR(__xludf.DUMMYFUNCTION("GOOGLETRANSLATE(B10888,""en"",""es-ES"")"),"Se ven varias vistas desde el interior de un estadio.")</f>
        <v>Se ven varias vistas desde el interior de un estadio.</v>
      </c>
    </row>
    <row r="10889">
      <c r="A10889" s="4" t="s">
        <v>13692</v>
      </c>
      <c r="B10889" s="4" t="s">
        <v>13694</v>
      </c>
      <c r="C10889" s="5" t="str">
        <f>IFERROR(__xludf.DUMMYFUNCTION("GOOGLETRANSLATE(B10889,""en"",""es-ES"")"),"Un grupo de equipos caminan al campo, vitoreando.")</f>
        <v>Un grupo de equipos caminan al campo, vitoreando.</v>
      </c>
    </row>
    <row r="10890">
      <c r="A10890" s="4" t="s">
        <v>13692</v>
      </c>
      <c r="B10890" s="4" t="s">
        <v>13695</v>
      </c>
      <c r="C10890" s="5" t="str">
        <f>IFERROR(__xludf.DUMMYFUNCTION("GOOGLETRANSLATE(B10890,""en"",""es-ES"")"),"La multitud anima a medida que los equipos hacen goles durante el juego.")</f>
        <v>La multitud anima a medida que los equipos hacen goles durante el juego.</v>
      </c>
    </row>
    <row r="10891">
      <c r="A10891" s="4" t="s">
        <v>13696</v>
      </c>
      <c r="B10891" s="4" t="s">
        <v>13697</v>
      </c>
      <c r="C10891" s="5" t="str">
        <f>IFERROR(__xludf.DUMMYFUNCTION("GOOGLETRANSLATE(B10891,""en"",""es-ES"")"),"Un hombre con atuendo de surf se presenta con su nombre y tamaño de su tablero.")</f>
        <v>Un hombre con atuendo de surf se presenta con su nombre y tamaño de su tablero.</v>
      </c>
    </row>
    <row r="10892">
      <c r="A10892" s="4" t="s">
        <v>13696</v>
      </c>
      <c r="B10892" s="4" t="s">
        <v>13698</v>
      </c>
      <c r="C10892" s="5" t="str">
        <f>IFERROR(__xludf.DUMMYFUNCTION("GOOGLETRANSLATE(B10892,""en"",""es-ES"")"),"El video pasa a la playa y el hombre comienza a surfear.")</f>
        <v>El video pasa a la playa y el hombre comienza a surfear.</v>
      </c>
    </row>
    <row r="10893">
      <c r="A10893" s="4" t="s">
        <v>13696</v>
      </c>
      <c r="B10893" s="4" t="s">
        <v>13699</v>
      </c>
      <c r="C10893" s="5" t="str">
        <f>IFERROR(__xludf.DUMMYFUNCTION("GOOGLETRANSLATE(B10893,""en"",""es-ES"")"),"Atrapa olas pero se limpia temprano en la mayoría de ellas.")</f>
        <v>Atrapa olas pero se limpia temprano en la mayoría de ellas.</v>
      </c>
    </row>
    <row r="10894">
      <c r="A10894" s="4" t="s">
        <v>13696</v>
      </c>
      <c r="B10894" s="4" t="s">
        <v>13700</v>
      </c>
      <c r="C10894" s="5" t="str">
        <f>IFERROR(__xludf.DUMMYFUNCTION("GOOGLETRANSLATE(B10894,""en"",""es-ES"")"),"Un pájaro parece bacombar en el océano.")</f>
        <v>Un pájaro parece bacombar en el océano.</v>
      </c>
    </row>
    <row r="10895">
      <c r="A10895" s="4" t="s">
        <v>13696</v>
      </c>
      <c r="B10895" s="4" t="s">
        <v>13701</v>
      </c>
      <c r="C10895" s="5" t="str">
        <f>IFERROR(__xludf.DUMMYFUNCTION("GOOGLETRANSLATE(B10895,""en"",""es-ES"")"),"Aparecen otros surfistas.")</f>
        <v>Aparecen otros surfistas.</v>
      </c>
    </row>
    <row r="10896">
      <c r="A10896" s="4" t="s">
        <v>13702</v>
      </c>
      <c r="B10896" s="4" t="s">
        <v>13703</v>
      </c>
      <c r="C10896" s="5" t="str">
        <f>IFERROR(__xludf.DUMMYFUNCTION("GOOGLETRANSLATE(B10896,""en"",""es-ES"")"),"Una mujer entra a la cocina y gira las perillas en el horno.")</f>
        <v>Una mujer entra a la cocina y gira las perillas en el horno.</v>
      </c>
    </row>
    <row r="10897">
      <c r="A10897" s="4" t="s">
        <v>13702</v>
      </c>
      <c r="B10897" s="4" t="s">
        <v>13704</v>
      </c>
      <c r="C10897" s="5" t="str">
        <f>IFERROR(__xludf.DUMMYFUNCTION("GOOGLETRANSLATE(B10897,""en"",""es-ES"")"),"Luego se coloca una licuadora en el mostrador y la palanca se baja seguida de una bolsa de té en una taza.")</f>
        <v>Luego se coloca una licuadora en el mostrador y la palanca se baja seguida de una bolsa de té en una taza.</v>
      </c>
    </row>
    <row r="10898">
      <c r="A10898" s="4" t="s">
        <v>13702</v>
      </c>
      <c r="B10898" s="4" t="s">
        <v>13705</v>
      </c>
      <c r="C10898" s="5" t="str">
        <f>IFERROR(__xludf.DUMMYFUNCTION("GOOGLETRANSLATE(B10898,""en"",""es-ES"")"),"La señora luego se mueve a un mostrador y agrega un trozo de papel para hornear sobre dos grandes bastidores.")</f>
        <v>La señora luego se mueve a un mostrador y agrega un trozo de papel para hornear sobre dos grandes bastidores.</v>
      </c>
    </row>
    <row r="10899">
      <c r="A10899" s="4" t="s">
        <v>13702</v>
      </c>
      <c r="B10899" s="4" t="s">
        <v>13706</v>
      </c>
      <c r="C10899" s="5" t="str">
        <f>IFERROR(__xludf.DUMMYFUNCTION("GOOGLETRANSLATE(B10899,""en"",""es-ES"")"),"Luego agarra el agua hirviendo caliente y la vierte en la taza.")</f>
        <v>Luego agarra el agua hirviendo caliente y la vierte en la taza.</v>
      </c>
    </row>
    <row r="10900">
      <c r="A10900" s="4" t="s">
        <v>13702</v>
      </c>
      <c r="B10900" s="4" t="s">
        <v>13707</v>
      </c>
      <c r="C10900" s="5" t="str">
        <f>IFERROR(__xludf.DUMMYFUNCTION("GOOGLETRANSLATE(B10900,""en"",""es-ES"")"),"Ella regresa al mostrador y comienza a colocar rollos de masa de galletas en las rejillas.")</f>
        <v>Ella regresa al mostrador y comienza a colocar rollos de masa de galletas en las rejillas.</v>
      </c>
    </row>
    <row r="10901">
      <c r="A10901" s="4" t="s">
        <v>13702</v>
      </c>
      <c r="B10901" s="4" t="s">
        <v>13708</v>
      </c>
      <c r="C10901" s="5" t="str">
        <f>IFERROR(__xludf.DUMMYFUNCTION("GOOGLETRANSLATE(B10901,""en"",""es-ES"")"),"Finalmente es hora de que las galletas se pongan en el horno y ella coloca el temporizador en su teléfono para que no las queme.")</f>
        <v>Finalmente es hora de que las galletas se pongan en el horno y ella coloca el temporizador en su teléfono para que no las queme.</v>
      </c>
    </row>
    <row r="10902">
      <c r="A10902" s="4" t="s">
        <v>13702</v>
      </c>
      <c r="B10902" s="4" t="s">
        <v>13709</v>
      </c>
      <c r="C10902" s="5" t="str">
        <f>IFERROR(__xludf.DUMMYFUNCTION("GOOGLETRANSLATE(B10902,""en"",""es-ES"")"),"Después de que pase el tiempo, los saca del horno agrega uno en un plato y lo lleva a una niña por el pasillo.")</f>
        <v>Después de que pase el tiempo, los saca del horno agrega uno en un plato y lo lleva a una niña por el pasillo.</v>
      </c>
    </row>
    <row r="10903">
      <c r="A10903" s="4" t="s">
        <v>13710</v>
      </c>
      <c r="B10903" s="4" t="s">
        <v>13711</v>
      </c>
      <c r="C10903" s="5" t="str">
        <f>IFERROR(__xludf.DUMMYFUNCTION("GOOGLETRANSLATE(B10903,""en"",""es-ES"")"),"Un hombre habla con la cámara.")</f>
        <v>Un hombre habla con la cámara.</v>
      </c>
    </row>
    <row r="10904">
      <c r="A10904" s="4" t="s">
        <v>13710</v>
      </c>
      <c r="B10904" s="4" t="s">
        <v>13712</v>
      </c>
      <c r="C10904" s="5" t="str">
        <f>IFERROR(__xludf.DUMMYFUNCTION("GOOGLETRANSLATE(B10904,""en"",""es-ES"")"),"Él rueda una gran caja en la habitación y procede a abrir una caja donde se encuentra una bicicleta adentro.")</f>
        <v>Él rueda una gran caja en la habitación y procede a abrir una caja donde se encuentra una bicicleta adentro.</v>
      </c>
    </row>
    <row r="10905">
      <c r="A10905" s="4" t="s">
        <v>13710</v>
      </c>
      <c r="B10905" s="4" t="s">
        <v>13713</v>
      </c>
      <c r="C10905" s="5" t="str">
        <f>IFERROR(__xludf.DUMMYFUNCTION("GOOGLETRANSLATE(B10905,""en"",""es-ES"")"),"Desde el interior de la caja, saca una pequeña caja llena de herramientas para el uso de ensamblar la bicicleta.")</f>
        <v>Desde el interior de la caja, saca una pequeña caja llena de herramientas para el uso de ensamblar la bicicleta.</v>
      </c>
    </row>
    <row r="10906">
      <c r="A10906" s="4" t="s">
        <v>13710</v>
      </c>
      <c r="B10906" s="4" t="s">
        <v>13714</v>
      </c>
      <c r="C10906" s="5" t="str">
        <f>IFERROR(__xludf.DUMMYFUNCTION("GOOGLETRANSLATE(B10906,""en"",""es-ES"")"),"Se lo ha visto hablando con la cámara nuevamente.")</f>
        <v>Se lo ha visto hablando con la cámara nuevamente.</v>
      </c>
    </row>
    <row r="10907">
      <c r="A10907" s="4" t="s">
        <v>13710</v>
      </c>
      <c r="B10907" s="4" t="s">
        <v>13715</v>
      </c>
      <c r="C10907" s="5" t="str">
        <f>IFERROR(__xludf.DUMMYFUNCTION("GOOGLETRANSLATE(B10907,""en"",""es-ES"")"),"Elimina todas las cajas sentadas alrededor de la bicicleta y ensambla la bicicleta.")</f>
        <v>Elimina todas las cajas sentadas alrededor de la bicicleta y ensambla la bicicleta.</v>
      </c>
    </row>
    <row r="10908">
      <c r="A10908" s="4" t="s">
        <v>13710</v>
      </c>
      <c r="B10908" s="4" t="s">
        <v>13716</v>
      </c>
      <c r="C10908" s="5" t="str">
        <f>IFERROR(__xludf.DUMMYFUNCTION("GOOGLETRANSLATE(B10908,""en"",""es-ES"")"),"De nuevo, él habla con la cámara.")</f>
        <v>De nuevo, él habla con la cámara.</v>
      </c>
    </row>
    <row r="10909">
      <c r="A10909" s="4" t="s">
        <v>13710</v>
      </c>
      <c r="B10909" s="4" t="s">
        <v>13717</v>
      </c>
      <c r="C10909" s="5" t="str">
        <f>IFERROR(__xludf.DUMMYFUNCTION("GOOGLETRANSLATE(B10909,""en"",""es-ES"")"),"Elimina dos pedales de las bolsas y une ambos pedales en la bicicleta.")</f>
        <v>Elimina dos pedales de las bolsas y une ambos pedales en la bicicleta.</v>
      </c>
    </row>
    <row r="10910">
      <c r="A10910" s="4" t="s">
        <v>13710</v>
      </c>
      <c r="B10910" s="4" t="s">
        <v>13718</v>
      </c>
      <c r="C10910" s="5" t="str">
        <f>IFERROR(__xludf.DUMMYFUNCTION("GOOGLETRANSLATE(B10910,""en"",""es-ES"")"),"Él toma la bicicleta para dar un paseo.")</f>
        <v>Él toma la bicicleta para dar un paseo.</v>
      </c>
    </row>
    <row r="10911">
      <c r="A10911" s="4" t="s">
        <v>13710</v>
      </c>
      <c r="B10911" s="4" t="s">
        <v>13719</v>
      </c>
      <c r="C10911" s="5" t="str">
        <f>IFERROR(__xludf.DUMMYFUNCTION("GOOGLETRANSLATE(B10911,""en"",""es-ES"")"),"Brevemente, habla con la cámara.")</f>
        <v>Brevemente, habla con la cámara.</v>
      </c>
    </row>
    <row r="10912">
      <c r="A10912" s="4" t="s">
        <v>13720</v>
      </c>
      <c r="B10912" s="4" t="s">
        <v>13721</v>
      </c>
      <c r="C10912" s="5" t="str">
        <f>IFERROR(__xludf.DUMMYFUNCTION("GOOGLETRANSLATE(B10912,""en"",""es-ES"")"),"Vemos a dos personas jugando al foosball.")</f>
        <v>Vemos a dos personas jugando al foosball.</v>
      </c>
    </row>
    <row r="10913">
      <c r="A10913" s="4" t="s">
        <v>13720</v>
      </c>
      <c r="B10913" s="4" t="s">
        <v>13722</v>
      </c>
      <c r="C10913" s="5" t="str">
        <f>IFERROR(__xludf.DUMMYFUNCTION("GOOGLETRANSLATE(B10913,""en"",""es-ES"")"),"Un hombre con una camisa negra sale de la habitación y gira antes de irse.")</f>
        <v>Un hombre con una camisa negra sale de la habitación y gira antes de irse.</v>
      </c>
    </row>
    <row r="10914">
      <c r="A10914" s="4" t="s">
        <v>13720</v>
      </c>
      <c r="B10914" s="4" t="s">
        <v>13723</v>
      </c>
      <c r="C10914" s="5" t="str">
        <f>IFERROR(__xludf.DUMMYFUNCTION("GOOGLETRANSLATE(B10914,""en"",""es-ES"")"),"Un hombre pone su rostro frente a la cámara.")</f>
        <v>Un hombre pone su rostro frente a la cámara.</v>
      </c>
    </row>
    <row r="10915">
      <c r="A10915" s="4" t="s">
        <v>13724</v>
      </c>
      <c r="B10915" s="4" t="s">
        <v>13725</v>
      </c>
      <c r="C10915" s="5" t="str">
        <f>IFERROR(__xludf.DUMMYFUNCTION("GOOGLETRANSLATE(B10915,""en"",""es-ES"")"),"Un hombre está mostrando a un niño tratando de resolver un cubo de Rubix.")</f>
        <v>Un hombre está mostrando a un niño tratando de resolver un cubo de Rubix.</v>
      </c>
    </row>
    <row r="10916">
      <c r="A10916" s="4" t="s">
        <v>13724</v>
      </c>
      <c r="B10916" s="4" t="s">
        <v>13726</v>
      </c>
      <c r="C10916" s="5" t="str">
        <f>IFERROR(__xludf.DUMMYFUNCTION("GOOGLETRANSLATE(B10916,""en"",""es-ES"")"),"Un temporizador va a cronometrar el niño y otras personas a su alrededor también lo están intentando.")</f>
        <v>Un temporizador va a cronometrar el niño y otras personas a su alrededor también lo están intentando.</v>
      </c>
    </row>
    <row r="10917">
      <c r="A10917" s="4" t="s">
        <v>13724</v>
      </c>
      <c r="B10917" s="4" t="s">
        <v>13727</v>
      </c>
      <c r="C10917" s="5" t="str">
        <f>IFERROR(__xludf.DUMMYFUNCTION("GOOGLETRANSLATE(B10917,""en"",""es-ES"")"),"En los miradores van de una mesa a otra a otra.")</f>
        <v>En los miradores van de una mesa a otra a otra.</v>
      </c>
    </row>
    <row r="10918">
      <c r="A10918" s="4" t="s">
        <v>13724</v>
      </c>
      <c r="B10918" s="4" t="s">
        <v>13728</v>
      </c>
      <c r="C10918" s="5" t="str">
        <f>IFERROR(__xludf.DUMMYFUNCTION("GOOGLETRANSLATE(B10918,""en"",""es-ES"")"),"Un niño agarra un bolígrafo y el hombre resuelve el rompecabezas.")</f>
        <v>Un niño agarra un bolígrafo y el hombre resuelve el rompecabezas.</v>
      </c>
    </row>
    <row r="10919">
      <c r="A10919" s="4" t="s">
        <v>13729</v>
      </c>
      <c r="B10919" s="4" t="s">
        <v>13730</v>
      </c>
      <c r="C10919" s="5" t="str">
        <f>IFERROR(__xludf.DUMMYFUNCTION("GOOGLETRANSLATE(B10919,""en"",""es-ES"")"),"Un hombre de uniforme blanco está parado en el mostrador de la cocina.")</f>
        <v>Un hombre de uniforme blanco está parado en el mostrador de la cocina.</v>
      </c>
    </row>
    <row r="10920">
      <c r="A10920" s="4" t="s">
        <v>13729</v>
      </c>
      <c r="B10920" s="4" t="s">
        <v>13731</v>
      </c>
      <c r="C10920" s="5" t="str">
        <f>IFERROR(__xludf.DUMMYFUNCTION("GOOGLETRANSLATE(B10920,""en"",""es-ES"")"),"El hombre saca un cuchillo y un afilador, tocó el borde del cuchillo.")</f>
        <v>El hombre saca un cuchillo y un afilador, tocó el borde del cuchillo.</v>
      </c>
    </row>
    <row r="10921">
      <c r="A10921" s="4" t="s">
        <v>13729</v>
      </c>
      <c r="B10921" s="4" t="s">
        <v>13732</v>
      </c>
      <c r="C10921" s="5" t="str">
        <f>IFERROR(__xludf.DUMMYFUNCTION("GOOGLETRANSLATE(B10921,""en"",""es-ES"")"),"El hombre sostiene el afilador de cuchillo de metal y afecta lentamente el cuchillo de lado a lado.")</f>
        <v>El hombre sostiene el afilador de cuchillo de metal y afecta lentamente el cuchillo de lado a lado.</v>
      </c>
    </row>
    <row r="10922">
      <c r="A10922" s="4" t="s">
        <v>13729</v>
      </c>
      <c r="B10922" s="4" t="s">
        <v>13733</v>
      </c>
      <c r="C10922" s="5" t="str">
        <f>IFERROR(__xludf.DUMMYFUNCTION("GOOGLETRANSLATE(B10922,""en"",""es-ES"")"),"El hombre usa diferentes tipos de herramientas para afilar el cuchillo, como la máquina y la piedra de agua.")</f>
        <v>El hombre usa diferentes tipos de herramientas para afilar el cuchillo, como la máquina y la piedra de agua.</v>
      </c>
    </row>
    <row r="10923">
      <c r="A10923" s="4" t="s">
        <v>13734</v>
      </c>
      <c r="B10923" s="4" t="s">
        <v>13735</v>
      </c>
      <c r="C10923" s="5" t="str">
        <f>IFERROR(__xludf.DUMMYFUNCTION("GOOGLETRANSLATE(B10923,""en"",""es-ES"")"),"Un hombre deja caer una raqueta de tenis con pelota y luego golpea la pelota.")</f>
        <v>Un hombre deja caer una raqueta de tenis con pelota y luego golpea la pelota.</v>
      </c>
    </row>
    <row r="10924">
      <c r="A10924" s="4" t="s">
        <v>13734</v>
      </c>
      <c r="B10924" s="4" t="s">
        <v>13736</v>
      </c>
      <c r="C10924" s="5" t="str">
        <f>IFERROR(__xludf.DUMMYFUNCTION("GOOGLETRANSLATE(B10924,""en"",""es-ES"")"),"Otra persona hace el mismo truco y luego muestra que es de Serbia.")</f>
        <v>Otra persona hace el mismo truco y luego muestra que es de Serbia.</v>
      </c>
    </row>
    <row r="10925">
      <c r="A10925" s="4" t="s">
        <v>13737</v>
      </c>
      <c r="B10925" s="4" t="s">
        <v>13738</v>
      </c>
      <c r="C10925" s="5" t="str">
        <f>IFERROR(__xludf.DUMMYFUNCTION("GOOGLETRANSLATE(B10925,""en"",""es-ES"")"),"Un hombre está jugando con un perro en la hierba.")</f>
        <v>Un hombre está jugando con un perro en la hierba.</v>
      </c>
    </row>
    <row r="10926">
      <c r="A10926" s="4" t="s">
        <v>13737</v>
      </c>
      <c r="B10926" s="4" t="s">
        <v>13739</v>
      </c>
      <c r="C10926" s="5" t="str">
        <f>IFERROR(__xludf.DUMMYFUNCTION("GOOGLETRANSLATE(B10926,""en"",""es-ES"")"),"Luego voltea y arroja un frisbee.")</f>
        <v>Luego voltea y arroja un frisbee.</v>
      </c>
    </row>
    <row r="10927">
      <c r="A10927" s="4" t="s">
        <v>13737</v>
      </c>
      <c r="B10927" s="4" t="s">
        <v>13740</v>
      </c>
      <c r="C10927" s="5" t="str">
        <f>IFERROR(__xludf.DUMMYFUNCTION("GOOGLETRANSLATE(B10927,""en"",""es-ES"")"),"El perro corre de lado a lado y lo persigue.")</f>
        <v>El perro corre de lado a lado y lo persigue.</v>
      </c>
    </row>
    <row r="10928">
      <c r="A10928" s="4" t="s">
        <v>13737</v>
      </c>
      <c r="B10928" s="4" t="s">
        <v>13741</v>
      </c>
      <c r="C10928" s="5" t="str">
        <f>IFERROR(__xludf.DUMMYFUNCTION("GOOGLETRANSLATE(B10928,""en"",""es-ES"")"),"Agarra otros dos frisbees y los arroja mientras el perro salta.")</f>
        <v>Agarra otros dos frisbees y los arroja mientras el perro salta.</v>
      </c>
    </row>
    <row r="10929">
      <c r="A10929" s="4" t="s">
        <v>13737</v>
      </c>
      <c r="B10929" s="4" t="s">
        <v>13742</v>
      </c>
      <c r="C10929" s="5" t="str">
        <f>IFERROR(__xludf.DUMMYFUNCTION("GOOGLETRANSLATE(B10929,""en"",""es-ES"")"),"Lanza el Frisbee un poco más mientras el perro corre.")</f>
        <v>Lanza el Frisbee un poco más mientras el perro corre.</v>
      </c>
    </row>
    <row r="10930">
      <c r="A10930" s="4" t="s">
        <v>13737</v>
      </c>
      <c r="B10930" s="4" t="s">
        <v>13743</v>
      </c>
      <c r="C10930" s="5" t="str">
        <f>IFERROR(__xludf.DUMMYFUNCTION("GOOGLETRANSLATE(B10930,""en"",""es-ES"")"),"El perro continúa saltando de lado a lado y corriendo en todas las direcciones a medida que se arrojan.")</f>
        <v>El perro continúa saltando de lado a lado y corriendo en todas las direcciones a medida que se arrojan.</v>
      </c>
    </row>
    <row r="10931">
      <c r="A10931" s="4" t="s">
        <v>13744</v>
      </c>
      <c r="B10931" s="4" t="s">
        <v>13745</v>
      </c>
      <c r="C10931" s="5" t="str">
        <f>IFERROR(__xludf.DUMMYFUNCTION("GOOGLETRANSLATE(B10931,""en"",""es-ES"")"),"Un hombre y una mujer beben un líquido azul y enjuagan la boca.")</f>
        <v>Un hombre y una mujer beben un líquido azul y enjuagan la boca.</v>
      </c>
    </row>
    <row r="10932">
      <c r="A10932" s="4" t="s">
        <v>13744</v>
      </c>
      <c r="B10932" s="4" t="s">
        <v>13746</v>
      </c>
      <c r="C10932" s="5" t="str">
        <f>IFERROR(__xludf.DUMMYFUNCTION("GOOGLETRANSLATE(B10932,""en"",""es-ES"")"),"Luego, la mujer se dobla y tira el líquido mientras el hombre continúa enjuagando su boca.")</f>
        <v>Luego, la mujer se dobla y tira el líquido mientras el hombre continúa enjuagando su boca.</v>
      </c>
    </row>
    <row r="10933">
      <c r="A10933" s="4" t="s">
        <v>13747</v>
      </c>
      <c r="B10933" s="4" t="s">
        <v>13748</v>
      </c>
      <c r="C10933" s="5" t="str">
        <f>IFERROR(__xludf.DUMMYFUNCTION("GOOGLETRANSLATE(B10933,""en"",""es-ES"")"),"Se muestra a una mujer hablando con la cámara y lo lleva a comenzar a pintar una imagen.")</f>
        <v>Se muestra a una mujer hablando con la cámara y lo lleva a comenzar a pintar una imagen.</v>
      </c>
    </row>
    <row r="10934">
      <c r="A10934" s="4" t="s">
        <v>13747</v>
      </c>
      <c r="B10934" s="4" t="s">
        <v>13749</v>
      </c>
      <c r="C10934" s="5" t="str">
        <f>IFERROR(__xludf.DUMMYFUNCTION("GOOGLETRANSLATE(B10934,""en"",""es-ES"")"),"Ella mueve su cepillo hacia atrás y el cuarto en el lienzo y poniendo varios colores y giras por los lados.")</f>
        <v>Ella mueve su cepillo hacia atrás y el cuarto en el lienzo y poniendo varios colores y giras por los lados.</v>
      </c>
    </row>
    <row r="10935">
      <c r="A10935" s="4" t="s">
        <v>13750</v>
      </c>
      <c r="B10935" s="4" t="s">
        <v>13751</v>
      </c>
      <c r="C10935" s="5" t="str">
        <f>IFERROR(__xludf.DUMMYFUNCTION("GOOGLETRANSLATE(B10935,""en"",""es-ES"")"),"Se ve a una persona parada en una cancha de tenis que rebota en una pelota.")</f>
        <v>Se ve a una persona parada en una cancha de tenis que rebota en una pelota.</v>
      </c>
    </row>
    <row r="10936">
      <c r="A10936" s="4" t="s">
        <v>13750</v>
      </c>
      <c r="B10936" s="4" t="s">
        <v>13752</v>
      </c>
      <c r="C10936" s="5" t="str">
        <f>IFERROR(__xludf.DUMMYFUNCTION("GOOGLETRANSLATE(B10936,""en"",""es-ES"")"),"Se ve a otro hombre parado listo al otro lado frente a una gran audiencia.")</f>
        <v>Se ve a otro hombre parado listo al otro lado frente a una gran audiencia.</v>
      </c>
    </row>
    <row r="10937">
      <c r="A10937" s="4" t="s">
        <v>13750</v>
      </c>
      <c r="B10937" s="4" t="s">
        <v>13753</v>
      </c>
      <c r="C10937" s="5" t="str">
        <f>IFERROR(__xludf.DUMMYFUNCTION("GOOGLETRANSLATE(B10937,""en"",""es-ES"")"),"El hombre luego golpea la pelota sobre la red y rebota en el otro lado.")</f>
        <v>El hombre luego golpea la pelota sobre la red y rebota en el otro lado.</v>
      </c>
    </row>
    <row r="10938">
      <c r="A10938" s="4" t="s">
        <v>13754</v>
      </c>
      <c r="B10938" s="4" t="s">
        <v>13755</v>
      </c>
      <c r="C10938" s="5" t="str">
        <f>IFERROR(__xludf.DUMMYFUNCTION("GOOGLETRANSLATE(B10938,""en"",""es-ES"")"),"Se ve a una niña sentada en una silla con otra persona que se limpia la cara y le entrega un espejo para mirar.")</f>
        <v>Se ve a una niña sentada en una silla con otra persona que se limpia la cara y le entrega un espejo para mirar.</v>
      </c>
    </row>
    <row r="10939">
      <c r="A10939" s="4" t="s">
        <v>13754</v>
      </c>
      <c r="B10939" s="4" t="s">
        <v>13756</v>
      </c>
      <c r="C10939" s="5" t="str">
        <f>IFERROR(__xludf.DUMMYFUNCTION("GOOGLETRANSLATE(B10939,""en"",""es-ES"")"),"Luego perfora las mejillas de la niña y la cámara se acerca a la cara de la niña cuando termine.")</f>
        <v>Luego perfora las mejillas de la niña y la cámara se acerca a la cara de la niña cuando termine.</v>
      </c>
    </row>
    <row r="10940">
      <c r="A10940" s="4" t="s">
        <v>13757</v>
      </c>
      <c r="B10940" s="4" t="s">
        <v>13758</v>
      </c>
      <c r="C10940" s="5" t="str">
        <f>IFERROR(__xludf.DUMMYFUNCTION("GOOGLETRANSLATE(B10940,""en"",""es-ES"")"),"Se ve a una mujer hablando con la cámara mientras está de pie en una ducha y sosteniendo varios objetos.")</f>
        <v>Se ve a una mujer hablando con la cámara mientras está de pie en una ducha y sosteniendo varios objetos.</v>
      </c>
    </row>
    <row r="10941">
      <c r="A10941" s="4" t="s">
        <v>13757</v>
      </c>
      <c r="B10941" s="4" t="s">
        <v>13759</v>
      </c>
      <c r="C10941" s="5" t="str">
        <f>IFERROR(__xludf.DUMMYFUNCTION("GOOGLETRANSLATE(B10941,""en"",""es-ES"")"),"La mujer luego frota lociones por todas las piernas y comienza a afeitarse las piernas y terminando hablando con la cámara.")</f>
        <v>La mujer luego frota lociones por todas las piernas y comienza a afeitarse las piernas y terminando hablando con la cámara.</v>
      </c>
    </row>
    <row r="10942">
      <c r="A10942" s="4" t="s">
        <v>13760</v>
      </c>
      <c r="B10942" s="4" t="s">
        <v>13761</v>
      </c>
      <c r="C10942" s="5" t="str">
        <f>IFERROR(__xludf.DUMMYFUNCTION("GOOGLETRANSLATE(B10942,""en"",""es-ES"")"),"Se ve a un hombre hablando con la cámara sosteniendo un baloncesto.")</f>
        <v>Se ve a un hombre hablando con la cámara sosteniendo un baloncesto.</v>
      </c>
    </row>
    <row r="10943">
      <c r="A10943" s="4" t="s">
        <v>13760</v>
      </c>
      <c r="B10943" s="4" t="s">
        <v>13762</v>
      </c>
      <c r="C10943" s="5" t="str">
        <f>IFERROR(__xludf.DUMMYFUNCTION("GOOGLETRANSLATE(B10943,""en"",""es-ES"")"),"El hombre luego comienza a tirar la pelota en el aro varias veces.")</f>
        <v>El hombre luego comienza a tirar la pelota en el aro varias veces.</v>
      </c>
    </row>
    <row r="10944">
      <c r="A10944" s="4" t="s">
        <v>13760</v>
      </c>
      <c r="B10944" s="4" t="s">
        <v>13763</v>
      </c>
      <c r="C10944" s="5" t="str">
        <f>IFERROR(__xludf.DUMMYFUNCTION("GOOGLETRANSLATE(B10944,""en"",""es-ES"")"),"Vuelve a la cámara y continúa hablando mientras se mueve las manos.")</f>
        <v>Vuelve a la cámara y continúa hablando mientras se mueve las manos.</v>
      </c>
    </row>
    <row r="10945">
      <c r="A10945" s="4" t="s">
        <v>13764</v>
      </c>
      <c r="B10945" s="4" t="s">
        <v>13765</v>
      </c>
      <c r="C10945" s="5" t="str">
        <f>IFERROR(__xludf.DUMMYFUNCTION("GOOGLETRANSLATE(B10945,""en"",""es-ES"")"),"Se ve a una mujer joven hablando con la cámara y la pasa con su cabello frente a su rostro.")</f>
        <v>Se ve a una mujer joven hablando con la cámara y la pasa con su cabello frente a su rostro.</v>
      </c>
    </row>
    <row r="10946">
      <c r="A10946" s="4" t="s">
        <v>13764</v>
      </c>
      <c r="B10946" s="4" t="s">
        <v>13766</v>
      </c>
      <c r="C10946" s="5" t="str">
        <f>IFERROR(__xludf.DUMMYFUNCTION("GOOGLETRANSLATE(B10946,""en"",""es-ES"")"),"Lentamente cepilla y separa su cabello y le devuelve el cabello al final.")</f>
        <v>Lentamente cepilla y separa su cabello y le devuelve el cabello al final.</v>
      </c>
    </row>
    <row r="10947">
      <c r="A10947" s="4" t="s">
        <v>13767</v>
      </c>
      <c r="B10947" s="4" t="s">
        <v>13768</v>
      </c>
      <c r="C10947" s="5" t="str">
        <f>IFERROR(__xludf.DUMMYFUNCTION("GOOGLETRANSLATE(B10947,""en"",""es-ES"")"),"Un pequeño grupo de chicas se ve acurrucada y comienza a moverse por el campo.")</f>
        <v>Un pequeño grupo de chicas se ve acurrucada y comienza a moverse por el campo.</v>
      </c>
    </row>
    <row r="10948">
      <c r="A10948" s="4" t="s">
        <v>13767</v>
      </c>
      <c r="B10948" s="4" t="s">
        <v>13769</v>
      </c>
      <c r="C10948" s="5" t="str">
        <f>IFERROR(__xludf.DUMMYFUNCTION("GOOGLETRANSLATE(B10948,""en"",""es-ES"")"),"Se ve a más mujeres corriendo por el gran hockey de campo de campo.")</f>
        <v>Se ve a más mujeres corriendo por el gran hockey de campo de campo.</v>
      </c>
    </row>
    <row r="10949">
      <c r="A10949" s="4" t="s">
        <v>13767</v>
      </c>
      <c r="B10949" s="4" t="s">
        <v>13770</v>
      </c>
      <c r="C10949" s="5" t="str">
        <f>IFERROR(__xludf.DUMMYFUNCTION("GOOGLETRANSLATE(B10949,""en"",""es-ES"")"),"Las chicas continúan jugando entre sí y terminan por Galing.")</f>
        <v>Las chicas continúan jugando entre sí y terminan por Galing.</v>
      </c>
    </row>
    <row r="10950">
      <c r="A10950" s="4" t="s">
        <v>13771</v>
      </c>
      <c r="B10950" s="4" t="s">
        <v>13772</v>
      </c>
      <c r="C10950" s="5" t="str">
        <f>IFERROR(__xludf.DUMMYFUNCTION("GOOGLETRANSLATE(B10950,""en"",""es-ES"")"),"Se muestra un primer plano de un niño pequeño que se mueve sobre un columpio y personas de pie a su alrededor para empujar.")</f>
        <v>Se muestra un primer plano de un niño pequeño que se mueve sobre un columpio y personas de pie a su alrededor para empujar.</v>
      </c>
    </row>
    <row r="10951">
      <c r="A10951" s="4" t="s">
        <v>13771</v>
      </c>
      <c r="B10951" s="4" t="s">
        <v>13773</v>
      </c>
      <c r="C10951" s="5" t="str">
        <f>IFERROR(__xludf.DUMMYFUNCTION("GOOGLETRANSLATE(B10951,""en"",""es-ES"")"),"La cámara continúa siguiendo al niño alrededor del patio mientras la madre yacía en la hierba y luego la hija se balancea.")</f>
        <v>La cámara continúa siguiendo al niño alrededor del patio mientras la madre yacía en la hierba y luego la hija se balancea.</v>
      </c>
    </row>
    <row r="10952">
      <c r="A10952" s="4" t="s">
        <v>13771</v>
      </c>
      <c r="B10952" s="4" t="s">
        <v>13774</v>
      </c>
      <c r="C10952" s="5" t="str">
        <f>IFERROR(__xludf.DUMMYFUNCTION("GOOGLETRANSLATE(B10952,""en"",""es-ES"")"),"Los padres juegan más con los niños, les besan y el padre se va con la hija.")</f>
        <v>Los padres juegan más con los niños, les besan y el padre se va con la hija.</v>
      </c>
    </row>
    <row r="10953">
      <c r="A10953" s="4" t="s">
        <v>13775</v>
      </c>
      <c r="B10953" s="4" t="s">
        <v>13776</v>
      </c>
      <c r="C10953" s="5" t="str">
        <f>IFERROR(__xludf.DUMMYFUNCTION("GOOGLETRANSLATE(B10953,""en"",""es-ES"")"),"Un artista callejero está sentado en una jaula y tamborilando en cubos y sartenes con tambores.")</f>
        <v>Un artista callejero está sentado en una jaula y tamborilando en cubos y sartenes con tambores.</v>
      </c>
    </row>
    <row r="10954">
      <c r="A10954" s="4" t="s">
        <v>13775</v>
      </c>
      <c r="B10954" s="4" t="s">
        <v>13777</v>
      </c>
      <c r="C10954" s="5" t="str">
        <f>IFERROR(__xludf.DUMMYFUNCTION("GOOGLETRANSLATE(B10954,""en"",""es-ES"")"),"Se rompe los cubos y con frustración, lo apuñala con el palo.")</f>
        <v>Se rompe los cubos y con frustración, lo apuñala con el palo.</v>
      </c>
    </row>
    <row r="10955">
      <c r="A10955" s="4" t="s">
        <v>13775</v>
      </c>
      <c r="B10955" s="4" t="s">
        <v>13778</v>
      </c>
      <c r="C10955" s="5" t="str">
        <f>IFERROR(__xludf.DUMMYFUNCTION("GOOGLETRANSLATE(B10955,""en"",""es-ES"")"),"Él reemplaza el cubo y comienza en su ritmo cuando una multitud se reúne.")</f>
        <v>Él reemplaza el cubo y comienza en su ritmo cuando una multitud se reúne.</v>
      </c>
    </row>
    <row r="10956">
      <c r="A10956" s="4" t="s">
        <v>13775</v>
      </c>
      <c r="B10956" s="4" t="s">
        <v>13779</v>
      </c>
      <c r="C10956" s="5" t="str">
        <f>IFERROR(__xludf.DUMMYFUNCTION("GOOGLETRANSLATE(B10956,""en"",""es-ES"")"),"Reorganiza los cubos una vez más y continúa tambores.")</f>
        <v>Reorganiza los cubos una vez más y continúa tambores.</v>
      </c>
    </row>
    <row r="10957">
      <c r="A10957" s="4" t="s">
        <v>13780</v>
      </c>
      <c r="B10957" s="4" t="s">
        <v>13781</v>
      </c>
      <c r="C10957" s="5" t="str">
        <f>IFERROR(__xludf.DUMMYFUNCTION("GOOGLETRANSLATE(B10957,""en"",""es-ES"")"),"Se ve a una gran multitud sentada frente a una piscina seguida de varias tomas de dos personas que se sumergen en una piscina.")</f>
        <v>Se ve a una gran multitud sentada frente a una piscina seguida de varias tomas de dos personas que se sumergen en una piscina.</v>
      </c>
    </row>
    <row r="10958">
      <c r="A10958" s="4" t="s">
        <v>13780</v>
      </c>
      <c r="B10958" s="4" t="s">
        <v>13782</v>
      </c>
      <c r="C10958" s="5" t="str">
        <f>IFERROR(__xludf.DUMMYFUNCTION("GOOGLETRANSLATE(B10958,""en"",""es-ES"")"),"Se muestran más tomas de buzos que realizan acrobacias impresionantes en la piscina y termina con ellos alejándose y se muestra su puntaje.")</f>
        <v>Se muestran más tomas de buzos que realizan acrobacias impresionantes en la piscina y termina con ellos alejándose y se muestra su puntaje.</v>
      </c>
    </row>
    <row r="10959">
      <c r="A10959" s="4" t="s">
        <v>13780</v>
      </c>
      <c r="B10959" s="4" t="s">
        <v>13783</v>
      </c>
      <c r="C10959" s="5" t="str">
        <f>IFERROR(__xludf.DUMMYFUNCTION("GOOGLETRANSLATE(B10959,""en"",""es-ES"")"),"Un hombre habla a lo lejos y los buzos se unen para obtener sus medallas.")</f>
        <v>Un hombre habla a lo lejos y los buzos se unen para obtener sus medallas.</v>
      </c>
    </row>
    <row r="10960">
      <c r="A10960" s="4" t="s">
        <v>13784</v>
      </c>
      <c r="B10960" s="4" t="s">
        <v>13785</v>
      </c>
      <c r="C10960" s="5" t="str">
        <f>IFERROR(__xludf.DUMMYFUNCTION("GOOGLETRANSLATE(B10960,""en"",""es-ES"")"),"Aparece una pantalla con una montaña nevada con pinos y una superposición en la pantalla de un logotipo y palabras que dicen ""consejos eficientes de depilación con cera caliente reduce el tiempo, costo y desorden"".")</f>
        <v>Aparece una pantalla con una montaña nevada con pinos y una superposición en la pantalla de un logotipo y palabras que dicen "consejos eficientes de depilación con cera caliente reduce el tiempo, costo y desorden".</v>
      </c>
    </row>
    <row r="10961">
      <c r="A10961" s="4" t="s">
        <v>13784</v>
      </c>
      <c r="B10961" s="4" t="s">
        <v>13786</v>
      </c>
      <c r="C10961" s="5" t="str">
        <f>IFERROR(__xludf.DUMMYFUNCTION("GOOGLETRANSLATE(B10961,""en"",""es-ES"")"),"Un par de esquís están en un taller y un hombre está trabajando en ellos que incluía rondas frotando cera en los esquís, planchando los esquís, raspando esquís mientras las palabras en la parte inferior aparecen durante todo el proceso a medida que explic"&amp;"a lo que se está haciendo.")</f>
        <v>Un par de esquís están en un taller y un hombre está trabajando en ellos que incluía rondas frotando cera en los esquís, planchando los esquís, raspando esquís mientras las palabras en la parte inferior aparecen durante todo el proceso a medida que explica lo que se está haciendo.</v>
      </c>
    </row>
    <row r="10962">
      <c r="A10962" s="4" t="s">
        <v>13784</v>
      </c>
      <c r="B10962" s="4" t="s">
        <v>13787</v>
      </c>
      <c r="C10962" s="5" t="str">
        <f>IFERROR(__xludf.DUMMYFUNCTION("GOOGLETRANSLATE(B10962,""en"",""es-ES"")"),"El hombre ahora está agudizando los bordes de un archivo y luego comienza a raspar los esquís, luego termina planchándolo con ropa diferente entre el hierro y los esquís.")</f>
        <v>El hombre ahora está agudizando los bordes de un archivo y luego comienza a raspar los esquís, luego termina planchándolo con ropa diferente entre el hierro y los esquís.</v>
      </c>
    </row>
    <row r="10963">
      <c r="A10963" s="4" t="s">
        <v>13784</v>
      </c>
      <c r="B10963" s="4" t="s">
        <v>13788</v>
      </c>
      <c r="C10963" s="5" t="str">
        <f>IFERROR(__xludf.DUMMYFUNCTION("GOOGLETRANSLATE(B10963,""en"",""es-ES"")"),"Aparece la pantalla de outro y es la imagen exacta como la introducción, pero las palabras ahora dicen ""Consulte nuestro raspado y cepillado de video"" y también incluye el logotipo de la compañía.")</f>
        <v>Aparece la pantalla de outro y es la imagen exacta como la introducción, pero las palabras ahora dicen "Consulte nuestro raspado y cepillado de video" y también incluye el logotipo de la compañía.</v>
      </c>
    </row>
    <row r="10964">
      <c r="A10964" s="4" t="s">
        <v>13789</v>
      </c>
      <c r="B10964" s="4" t="s">
        <v>13790</v>
      </c>
      <c r="C10964" s="5" t="str">
        <f>IFERROR(__xludf.DUMMYFUNCTION("GOOGLETRANSLATE(B10964,""en"",""es-ES"")"),"Se ve a una mujer hablando con la cámara mientras agarra varias bolsas y las pone.")</f>
        <v>Se ve a una mujer hablando con la cámara mientras agarra varias bolsas y las pone.</v>
      </c>
    </row>
    <row r="10965">
      <c r="A10965" s="4" t="s">
        <v>13789</v>
      </c>
      <c r="B10965" s="4" t="s">
        <v>13791</v>
      </c>
      <c r="C10965" s="5" t="str">
        <f>IFERROR(__xludf.DUMMYFUNCTION("GOOGLETRANSLATE(B10965,""en"",""es-ES"")"),"Ella pone y se opone en una bolsa mientras señala una caja junto a ella.")</f>
        <v>Ella pone y se opone en una bolsa mientras señala una caja junto a ella.</v>
      </c>
    </row>
    <row r="10966">
      <c r="A10966" s="4" t="s">
        <v>13789</v>
      </c>
      <c r="B10966" s="4" t="s">
        <v>13792</v>
      </c>
      <c r="C10966" s="5" t="str">
        <f>IFERROR(__xludf.DUMMYFUNCTION("GOOGLETRANSLATE(B10966,""en"",""es-ES"")"),"Ella se mete en la bolsa y termina atando un arco en la parte superior.")</f>
        <v>Ella se mete en la bolsa y termina atando un arco en la parte superior.</v>
      </c>
    </row>
    <row r="10967">
      <c r="A10967" s="4" t="s">
        <v>13793</v>
      </c>
      <c r="B10967" s="4" t="s">
        <v>13794</v>
      </c>
      <c r="C10967" s="5" t="str">
        <f>IFERROR(__xludf.DUMMYFUNCTION("GOOGLETRANSLATE(B10967,""en"",""es-ES"")"),"Un hombre toca la armónica en el frente de un micrófono, luego termina y dice adiós.")</f>
        <v>Un hombre toca la armónica en el frente de un micrófono, luego termina y dice adiós.</v>
      </c>
    </row>
    <row r="10968">
      <c r="A10968" s="4" t="s">
        <v>13793</v>
      </c>
      <c r="B10968" s="4" t="s">
        <v>13795</v>
      </c>
      <c r="C10968" s="5" t="str">
        <f>IFERROR(__xludf.DUMMYFUNCTION("GOOGLETRANSLATE(B10968,""en"",""es-ES"")"),"Luego, una niña pisa el escenario y habla con el micrófono.")</f>
        <v>Luego, una niña pisa el escenario y habla con el micrófono.</v>
      </c>
    </row>
    <row r="10969">
      <c r="A10969" s="4" t="s">
        <v>13796</v>
      </c>
      <c r="B10969" s="4" t="s">
        <v>13797</v>
      </c>
      <c r="C10969" s="5" t="str">
        <f>IFERROR(__xludf.DUMMYFUNCTION("GOOGLETRANSLATE(B10969,""en"",""es-ES"")"),"Hay cuatro niños de diferentes edades jugando Bate Ball en su patio trasero.")</f>
        <v>Hay cuatro niños de diferentes edades jugando Bate Ball en su patio trasero.</v>
      </c>
    </row>
    <row r="10970">
      <c r="A10970" s="4" t="s">
        <v>13796</v>
      </c>
      <c r="B10970" s="4" t="s">
        <v>13798</v>
      </c>
      <c r="C10970" s="5" t="str">
        <f>IFERROR(__xludf.DUMMYFUNCTION("GOOGLETRANSLATE(B10970,""en"",""es-ES"")"),"La niña de rosa patea la pelota a su hermano con la camisa naranja mientras los niños pequeños corren y juegan.")</f>
        <v>La niña de rosa patea la pelota a su hermano con la camisa naranja mientras los niños pequeños corren y juegan.</v>
      </c>
    </row>
    <row r="10971">
      <c r="A10971" s="4" t="s">
        <v>13796</v>
      </c>
      <c r="B10971" s="4" t="s">
        <v>13799</v>
      </c>
      <c r="C10971" s="5" t="str">
        <f>IFERROR(__xludf.DUMMYFUNCTION("GOOGLETRANSLATE(B10971,""en"",""es-ES"")"),"Hay un bebé sentado en el suelo en un gorila que los mira jugar.")</f>
        <v>Hay un bebé sentado en el suelo en un gorila que los mira jugar.</v>
      </c>
    </row>
    <row r="10972">
      <c r="A10972" s="4" t="s">
        <v>13800</v>
      </c>
      <c r="B10972" s="4" t="s">
        <v>13801</v>
      </c>
      <c r="C10972" s="5" t="str">
        <f>IFERROR(__xludf.DUMMYFUNCTION("GOOGLETRANSLATE(B10972,""en"",""es-ES"")"),"Un hombre habla con la cámara mientras rastrilla intermitentemente las hojas.")</f>
        <v>Un hombre habla con la cámara mientras rastrilla intermitentemente las hojas.</v>
      </c>
    </row>
    <row r="10973">
      <c r="A10973" s="4" t="s">
        <v>13800</v>
      </c>
      <c r="B10973" s="4" t="s">
        <v>13802</v>
      </c>
      <c r="C10973" s="5" t="str">
        <f>IFERROR(__xludf.DUMMYFUNCTION("GOOGLETRANSLATE(B10973,""en"",""es-ES"")"),"Se muestra un primer plano de una pila de hojas.")</f>
        <v>Se muestra un primer plano de una pila de hojas.</v>
      </c>
    </row>
    <row r="10974">
      <c r="A10974" s="4" t="s">
        <v>13803</v>
      </c>
      <c r="B10974" s="4" t="s">
        <v>13804</v>
      </c>
      <c r="C10974" s="5" t="str">
        <f>IFERROR(__xludf.DUMMYFUNCTION("GOOGLETRANSLATE(B10974,""en"",""es-ES"")"),"Una dama está hablando con la cámara, luego se ríe y mira hacia abajo y la cámara se enfoca en otro lugar.")</f>
        <v>Una dama está hablando con la cámara, luego se ríe y mira hacia abajo y la cámara se enfoca en otro lugar.</v>
      </c>
    </row>
    <row r="10975">
      <c r="A10975" s="4" t="s">
        <v>13803</v>
      </c>
      <c r="B10975" s="4" t="s">
        <v>13805</v>
      </c>
      <c r="C10975" s="5" t="str">
        <f>IFERROR(__xludf.DUMMYFUNCTION("GOOGLETRANSLATE(B10975,""en"",""es-ES"")"),"La cámara ha vuelto a la dama y un hombre ahora se está cortando el cabello cuando su boca está abierta con incredulidad y el hombre se ríe mientras se corta el cabello en un movimiento rápido alrededor de su cabeza.")</f>
        <v>La cámara ha vuelto a la dama y un hombre ahora se está cortando el cabello cuando su boca está abierta con incredulidad y el hombre se ríe mientras se corta el cabello en un movimiento rápido alrededor de su cabeza.</v>
      </c>
    </row>
    <row r="10976">
      <c r="A10976" s="4" t="s">
        <v>13803</v>
      </c>
      <c r="B10976" s="4" t="s">
        <v>13806</v>
      </c>
      <c r="C10976" s="5" t="str">
        <f>IFERROR(__xludf.DUMMYFUNCTION("GOOGLETRANSLATE(B10976,""en"",""es-ES"")"),"La señora está tan en estado de shock y deja caer el cabello de su regazo y mira hacia el suelo en todo el cabello, toca su cabello, se levanta para mirar en el espejo, grita, gritos, comienza a enloquecer, se sienta hacia abajo y se levanta de nuevo mira"&amp;"r en el espejo.")</f>
        <v>La señora está tan en estado de shock y deja caer el cabello de su regazo y mira hacia el suelo en todo el cabello, toca su cabello, se levanta para mirar en el espejo, grita, gritos, comienza a enloquecer, se sienta hacia abajo y se levanta de nuevo mirar en el espejo.</v>
      </c>
    </row>
    <row r="10977">
      <c r="A10977" s="4" t="s">
        <v>13803</v>
      </c>
      <c r="B10977" s="4" t="s">
        <v>13807</v>
      </c>
      <c r="C10977" s="5" t="str">
        <f>IFERROR(__xludf.DUMMYFUNCTION("GOOGLETRANSLATE(B10977,""en"",""es-ES"")"),"La señora se ve en el espejo y está sonriendo, pero se nota que no está feliz.")</f>
        <v>La señora se ve en el espejo y está sonriendo, pero se nota que no está feliz.</v>
      </c>
    </row>
    <row r="10978">
      <c r="A10978" s="4" t="s">
        <v>13808</v>
      </c>
      <c r="B10978" s="4" t="s">
        <v>13809</v>
      </c>
      <c r="C10978" s="5" t="str">
        <f>IFERROR(__xludf.DUMMYFUNCTION("GOOGLETRANSLATE(B10978,""en"",""es-ES"")"),"Se ve a un niño sonriendo y riendo a la cámara y comenzando a tocar el piano.")</f>
        <v>Se ve a un niño sonriendo y riendo a la cámara y comenzando a tocar el piano.</v>
      </c>
    </row>
    <row r="10979">
      <c r="A10979" s="4" t="s">
        <v>13808</v>
      </c>
      <c r="B10979" s="4" t="s">
        <v>13810</v>
      </c>
      <c r="C10979" s="5" t="str">
        <f>IFERROR(__xludf.DUMMYFUNCTION("GOOGLETRANSLATE(B10979,""en"",""es-ES"")"),"El niño juega furiosamente en el piano a un ritmo rápido y lo lleva a usar una camisa diferente y todavía juega.")</f>
        <v>El niño juega furiosamente en el piano a un ritmo rápido y lo lleva a usar una camisa diferente y todavía juega.</v>
      </c>
    </row>
    <row r="10980">
      <c r="A10980" s="4" t="s">
        <v>13808</v>
      </c>
      <c r="B10980" s="4" t="s">
        <v>13811</v>
      </c>
      <c r="C10980" s="5" t="str">
        <f>IFERROR(__xludf.DUMMYFUNCTION("GOOGLETRANSLATE(B10980,""en"",""es-ES"")"),"Termina colocando su cuerpo sobre el piano y luego sonriendo en la cámara.")</f>
        <v>Termina colocando su cuerpo sobre el piano y luego sonriendo en la cámara.</v>
      </c>
    </row>
    <row r="10981">
      <c r="A10981" s="4" t="s">
        <v>13812</v>
      </c>
      <c r="B10981" s="4" t="s">
        <v>13813</v>
      </c>
      <c r="C10981" s="5" t="str">
        <f>IFERROR(__xludf.DUMMYFUNCTION("GOOGLETRANSLATE(B10981,""en"",""es-ES"")"),"Un hombre pone una botella de coca cola en un paquete de heno.")</f>
        <v>Un hombre pone una botella de coca cola en un paquete de heno.</v>
      </c>
    </row>
    <row r="10982">
      <c r="A10982" s="4" t="s">
        <v>13812</v>
      </c>
      <c r="B10982" s="4" t="s">
        <v>13814</v>
      </c>
      <c r="C10982" s="5" t="str">
        <f>IFERROR(__xludf.DUMMYFUNCTION("GOOGLETRANSLATE(B10982,""en"",""es-ES"")"),"El hombre tira una flecha desde un arco.")</f>
        <v>El hombre tira una flecha desde un arco.</v>
      </c>
    </row>
    <row r="10983">
      <c r="A10983" s="4" t="s">
        <v>13812</v>
      </c>
      <c r="B10983" s="4" t="s">
        <v>13815</v>
      </c>
      <c r="C10983" s="5" t="str">
        <f>IFERROR(__xludf.DUMMYFUNCTION("GOOGLETRANSLATE(B10983,""en"",""es-ES"")"),"La flecha une la botella.")</f>
        <v>La flecha une la botella.</v>
      </c>
    </row>
    <row r="10984">
      <c r="A10984" s="4" t="s">
        <v>13816</v>
      </c>
      <c r="B10984" s="4" t="s">
        <v>13817</v>
      </c>
      <c r="C10984" s="5" t="str">
        <f>IFERROR(__xludf.DUMMYFUNCTION("GOOGLETRANSLATE(B10984,""en"",""es-ES"")"),"Alguien está colocando una ventilación en el techo de una casa.")</f>
        <v>Alguien está colocando una ventilación en el techo de una casa.</v>
      </c>
    </row>
    <row r="10985">
      <c r="A10985" s="4" t="s">
        <v>13816</v>
      </c>
      <c r="B10985" s="4" t="s">
        <v>13818</v>
      </c>
      <c r="C10985" s="5" t="str">
        <f>IFERROR(__xludf.DUMMYFUNCTION("GOOGLETRANSLATE(B10985,""en"",""es-ES"")"),"Sellan la ventilación con pegamento.")</f>
        <v>Sellan la ventilación con pegamento.</v>
      </c>
    </row>
    <row r="10986">
      <c r="A10986" s="4" t="s">
        <v>13819</v>
      </c>
      <c r="B10986" s="4" t="s">
        <v>13820</v>
      </c>
      <c r="C10986" s="5" t="str">
        <f>IFERROR(__xludf.DUMMYFUNCTION("GOOGLETRANSLATE(B10986,""en"",""es-ES"")"),"Dos niños están parados detrás de una mesa.")</f>
        <v>Dos niños están parados detrás de una mesa.</v>
      </c>
    </row>
    <row r="10987">
      <c r="A10987" s="4" t="s">
        <v>13819</v>
      </c>
      <c r="B10987" s="4" t="s">
        <v>13821</v>
      </c>
      <c r="C10987" s="5" t="str">
        <f>IFERROR(__xludf.DUMMYFUNCTION("GOOGLETRANSLATE(B10987,""en"",""es-ES"")"),"Tienen un vaso y un limón en la mesa.")</f>
        <v>Tienen un vaso y un limón en la mesa.</v>
      </c>
    </row>
    <row r="10988">
      <c r="A10988" s="4" t="s">
        <v>13819</v>
      </c>
      <c r="B10988" s="4" t="s">
        <v>13822</v>
      </c>
      <c r="C10988" s="5" t="str">
        <f>IFERROR(__xludf.DUMMYFUNCTION("GOOGLETRANSLATE(B10988,""en"",""es-ES"")"),"Lo vierten en una jarra de agua y hacen una copa.")</f>
        <v>Lo vierten en una jarra de agua y hacen una copa.</v>
      </c>
    </row>
    <row r="10989">
      <c r="A10989" s="4" t="s">
        <v>13819</v>
      </c>
      <c r="B10989" s="4" t="s">
        <v>13823</v>
      </c>
      <c r="C10989" s="5" t="str">
        <f>IFERROR(__xludf.DUMMYFUNCTION("GOOGLETRANSLATE(B10989,""en"",""es-ES"")"),"Vieren la bebida en dos vasos.")</f>
        <v>Vieren la bebida en dos vasos.</v>
      </c>
    </row>
    <row r="10990">
      <c r="A10990" s="4" t="s">
        <v>13819</v>
      </c>
      <c r="B10990" s="4" t="s">
        <v>13824</v>
      </c>
      <c r="C10990" s="5" t="str">
        <f>IFERROR(__xludf.DUMMYFUNCTION("GOOGLETRANSLATE(B10990,""en"",""es-ES"")"),"Ambos toman una copa de la pajita.")</f>
        <v>Ambos toman una copa de la pajita.</v>
      </c>
    </row>
    <row r="10991">
      <c r="A10991" s="4" t="s">
        <v>13825</v>
      </c>
      <c r="B10991" s="4" t="s">
        <v>13826</v>
      </c>
      <c r="C10991" s="5" t="str">
        <f>IFERROR(__xludf.DUMMYFUNCTION("GOOGLETRANSLATE(B10991,""en"",""es-ES"")"),"Los niños juegan al fútbol interior mientras patean la pelota y la pasan a los compañeros de juego, luego el árbitro entran al centro y da instrucciones.")</f>
        <v>Los niños juegan al fútbol interior mientras patean la pelota y la pasan a los compañeros de juego, luego el árbitro entran al centro y da instrucciones.</v>
      </c>
    </row>
    <row r="10992">
      <c r="A10992" s="4" t="s">
        <v>13825</v>
      </c>
      <c r="B10992" s="4" t="s">
        <v>13827</v>
      </c>
      <c r="C10992" s="5" t="str">
        <f>IFERROR(__xludf.DUMMYFUNCTION("GOOGLETRANSLATE(B10992,""en"",""es-ES"")"),"Luego, el árbitro pone la pelota en el área de gol y un niño patea la pelota, pero el portero detiene el balón.")</f>
        <v>Luego, el árbitro pone la pelota en el área de gol y un niño patea la pelota, pero el portero detiene el balón.</v>
      </c>
    </row>
    <row r="10993">
      <c r="A10993" s="4" t="s">
        <v>13825</v>
      </c>
      <c r="B10993" s="4" t="s">
        <v>13828</v>
      </c>
      <c r="C10993" s="5" t="str">
        <f>IFERROR(__xludf.DUMMYFUNCTION("GOOGLETRANSLATE(B10993,""en"",""es-ES"")"),"Los muchachos juegan disparando el balón al portero, detiene el balón.")</f>
        <v>Los muchachos juegan disparando el balón al portero, detiene el balón.</v>
      </c>
    </row>
    <row r="10994">
      <c r="A10994" s="4" t="s">
        <v>13825</v>
      </c>
      <c r="B10994" s="4" t="s">
        <v>13829</v>
      </c>
      <c r="C10994" s="5" t="str">
        <f>IFERROR(__xludf.DUMMYFUNCTION("GOOGLETRANSLATE(B10994,""en"",""es-ES"")"),"Después, un jugador anota y los equipos continúan jugando.")</f>
        <v>Después, un jugador anota y los equipos continúan jugando.</v>
      </c>
    </row>
    <row r="10995">
      <c r="A10995" s="4" t="s">
        <v>13830</v>
      </c>
      <c r="B10995" s="4" t="s">
        <v>13831</v>
      </c>
      <c r="C10995" s="5" t="str">
        <f>IFERROR(__xludf.DUMMYFUNCTION("GOOGLETRANSLATE(B10995,""en"",""es-ES"")"),"Se muestran varias tomas de paisajes que conducen a un hombre y una mujer que habla con la cámara.")</f>
        <v>Se muestran varias tomas de paisajes que conducen a un hombre y una mujer que habla con la cámara.</v>
      </c>
    </row>
    <row r="10996">
      <c r="A10996" s="4" t="s">
        <v>13830</v>
      </c>
      <c r="B10996" s="4" t="s">
        <v>13832</v>
      </c>
      <c r="C10996" s="5" t="str">
        <f>IFERROR(__xludf.DUMMYFUNCTION("GOOGLETRANSLATE(B10996,""en"",""es-ES"")"),"La pareja camina hacia un pozo arenoso y una bandeja alrededor de un grupo de jugadores.")</f>
        <v>La pareja camina hacia un pozo arenoso y una bandeja alrededor de un grupo de jugadores.</v>
      </c>
    </row>
    <row r="10997">
      <c r="A10997" s="4" t="s">
        <v>13830</v>
      </c>
      <c r="B10997" s="4" t="s">
        <v>13833</v>
      </c>
      <c r="C10997" s="5" t="str">
        <f>IFERROR(__xludf.DUMMYFUNCTION("GOOGLETRANSLATE(B10997,""en"",""es-ES"")"),"Se ve a más personas hablando con la cámara que muestra tomas de ellos jugando voleibol y terminando con la pareja.")</f>
        <v>Se ve a más personas hablando con la cámara que muestra tomas de ellos jugando voleibol y terminando con la pareja.</v>
      </c>
    </row>
    <row r="10998">
      <c r="A10998" s="4" t="s">
        <v>13834</v>
      </c>
      <c r="B10998" s="4" t="s">
        <v>13835</v>
      </c>
      <c r="C10998" s="5" t="str">
        <f>IFERROR(__xludf.DUMMYFUNCTION("GOOGLETRANSLATE(B10998,""en"",""es-ES"")"),"Un sacerdote anciano está sentado en su silla en el interior en un gran edificio y 3 hombres diferentes dan baile en el suelo frente a él cuando las personas a su alrededor comienzan a aplaudir y las luces se apagan de todos los destellos.")</f>
        <v>Un sacerdote anciano está sentado en su silla en el interior en un gran edificio y 3 hombres diferentes dan baile en el suelo frente a él cuando las personas a su alrededor comienzan a aplaudir y las luces se apagan de todos los destellos.</v>
      </c>
    </row>
    <row r="10999">
      <c r="A10999" s="4" t="s">
        <v>13834</v>
      </c>
      <c r="B10999" s="4" t="s">
        <v>13836</v>
      </c>
      <c r="C10999" s="5" t="str">
        <f>IFERROR(__xludf.DUMMYFUNCTION("GOOGLETRANSLATE(B10999,""en"",""es-ES"")"),"Cuando los hombres terminan de bailar, se paran juntos frente a la gente y al sacerdote, y se inclinan al sacerdote y al pueblo.")</f>
        <v>Cuando los hombres terminan de bailar, se paran juntos frente a la gente y al sacerdote, y se inclinan al sacerdote y al pueblo.</v>
      </c>
    </row>
    <row r="11000">
      <c r="A11000" s="4" t="s">
        <v>13834</v>
      </c>
      <c r="B11000" s="4" t="s">
        <v>13837</v>
      </c>
      <c r="C11000" s="5" t="str">
        <f>IFERROR(__xludf.DUMMYFUNCTION("GOOGLETRANSLATE(B11000,""en"",""es-ES"")"),"Luego, los hombres caminan hacia el sacerdote y cada uno besa su mano y las palabras blancas aparecen en la pantalla y dicen ""Bilder: Reuters Redigering: Malin Lagerlof"".")</f>
        <v>Luego, los hombres caminan hacia el sacerdote y cada uno besa su mano y las palabras blancas aparecen en la pantalla y dicen "Bilder: Reuters Redigering: Malin Lagerlof".</v>
      </c>
    </row>
    <row r="11001">
      <c r="A11001" s="4" t="s">
        <v>13838</v>
      </c>
      <c r="B11001" s="4" t="s">
        <v>13839</v>
      </c>
      <c r="C11001" s="5" t="str">
        <f>IFERROR(__xludf.DUMMYFUNCTION("GOOGLETRANSLATE(B11001,""en"",""es-ES"")"),"Una introducción EHOW entra en la pantalla con música de fondo.")</f>
        <v>Una introducción EHOW entra en la pantalla con música de fondo.</v>
      </c>
    </row>
    <row r="11002">
      <c r="A11002" s="4" t="s">
        <v>13838</v>
      </c>
      <c r="B11002" s="4" t="s">
        <v>13840</v>
      </c>
      <c r="C11002" s="5" t="str">
        <f>IFERROR(__xludf.DUMMYFUNCTION("GOOGLETRANSLATE(B11002,""en"",""es-ES"")"),"I Man aparece en la pantalla que narra el video sobre cómo afeitarse.")</f>
        <v>I Man aparece en la pantalla que narra el video sobre cómo afeitarse.</v>
      </c>
    </row>
    <row r="11003">
      <c r="A11003" s="4" t="s">
        <v>13838</v>
      </c>
      <c r="B11003" s="4" t="s">
        <v>13841</v>
      </c>
      <c r="C11003" s="5" t="str">
        <f>IFERROR(__xludf.DUMMYFUNCTION("GOOGLETRANSLATE(B11003,""en"",""es-ES"")"),"Se muestra a un hombre que le hidratan la piel y la crema de afeitar en su rostro.")</f>
        <v>Se muestra a un hombre que le hidratan la piel y la crema de afeitar en su rostro.</v>
      </c>
    </row>
    <row r="11004">
      <c r="A11004" s="4" t="s">
        <v>13838</v>
      </c>
      <c r="B11004" s="4" t="s">
        <v>13842</v>
      </c>
      <c r="C11004" s="5" t="str">
        <f>IFERROR(__xludf.DUMMYFUNCTION("GOOGLETRANSLATE(B11004,""en"",""es-ES"")"),"El video termina con los créditos de cierre de EHOW.")</f>
        <v>El video termina con los créditos de cierre de EHOW.</v>
      </c>
    </row>
    <row r="11005">
      <c r="A11005" s="4" t="s">
        <v>13843</v>
      </c>
      <c r="B11005" s="4" t="s">
        <v>13844</v>
      </c>
      <c r="C11005" s="5" t="str">
        <f>IFERROR(__xludf.DUMMYFUNCTION("GOOGLETRANSLATE(B11005,""en"",""es-ES"")"),"Un hombre tiene algunas herramientas y está bombeando su automóvil para que pueda quitarse el neumático.")</f>
        <v>Un hombre tiene algunas herramientas y está bombeando su automóvil para que pueda quitarse el neumático.</v>
      </c>
    </row>
    <row r="11006">
      <c r="A11006" s="4" t="s">
        <v>13843</v>
      </c>
      <c r="B11006" s="4" t="s">
        <v>13845</v>
      </c>
      <c r="C11006" s="5" t="str">
        <f>IFERROR(__xludf.DUMMYFUNCTION("GOOGLETRANSLATE(B11006,""en"",""es-ES"")"),"Utiliza la herramienta para quitar todas las nueces una por una.")</f>
        <v>Utiliza la herramienta para quitar todas las nueces una por una.</v>
      </c>
    </row>
    <row r="11007">
      <c r="A11007" s="4" t="s">
        <v>13843</v>
      </c>
      <c r="B11007" s="4" t="s">
        <v>13846</v>
      </c>
      <c r="C11007" s="5" t="str">
        <f>IFERROR(__xludf.DUMMYFUNCTION("GOOGLETRANSLATE(B11007,""en"",""es-ES"")"),"Luego agarra el neumático y se la mueve y se pone otro neumático.")</f>
        <v>Luego agarra el neumático y se la mueve y se pone otro neumático.</v>
      </c>
    </row>
    <row r="11008">
      <c r="A11008" s="4" t="s">
        <v>13843</v>
      </c>
      <c r="B11008" s="4" t="s">
        <v>13847</v>
      </c>
      <c r="C11008" s="5" t="str">
        <f>IFERROR(__xludf.DUMMYFUNCTION("GOOGLETRANSLATE(B11008,""en"",""es-ES"")"),"Hace todo lo que hizo antes, pero lo contrario, poniendo las nueces en su lugar para apretar el neumático, luego levanta el auto hacia abajo.")</f>
        <v>Hace todo lo que hizo antes, pero lo contrario, poniendo las nueces en su lugar para apretar el neumático, luego levanta el auto hacia abajo.</v>
      </c>
    </row>
    <row r="11009">
      <c r="A11009" s="4" t="s">
        <v>13848</v>
      </c>
      <c r="B11009" s="4" t="s">
        <v>13849</v>
      </c>
      <c r="C11009" s="5" t="str">
        <f>IFERROR(__xludf.DUMMYFUNCTION("GOOGLETRANSLATE(B11009,""en"",""es-ES"")"),"Una patineta adolescente en una carretera, luego camina con un amigo sosteniendo su patineta, luego el patineta.")</f>
        <v>Una patineta adolescente en una carretera, luego camina con un amigo sosteniendo su patineta, luego el patineta.</v>
      </c>
    </row>
    <row r="11010">
      <c r="A11010" s="4" t="s">
        <v>13848</v>
      </c>
      <c r="B11010" s="4" t="s">
        <v>13850</v>
      </c>
      <c r="C11010" s="5" t="str">
        <f>IFERROR(__xludf.DUMMYFUNCTION("GOOGLETRANSLATE(B11010,""en"",""es-ES"")"),"Un automóvil entra en la calle donde la patineta adolescente.")</f>
        <v>Un automóvil entra en la calle donde la patineta adolescente.</v>
      </c>
    </row>
    <row r="11011">
      <c r="A11011" s="4" t="s">
        <v>13848</v>
      </c>
      <c r="B11011" s="4" t="s">
        <v>13851</v>
      </c>
      <c r="C11011" s="5" t="str">
        <f>IFERROR(__xludf.DUMMYFUNCTION("GOOGLETRANSLATE(B11011,""en"",""es-ES"")"),"Un joven con una patineta de camiseta rosa en la calle.")</f>
        <v>Un joven con una patineta de camiseta rosa en la calle.</v>
      </c>
    </row>
    <row r="11012">
      <c r="A11012" s="4" t="s">
        <v>13848</v>
      </c>
      <c r="B11012" s="4" t="s">
        <v>13852</v>
      </c>
      <c r="C11012" s="5" t="str">
        <f>IFERROR(__xludf.DUMMYFUNCTION("GOOGLETRANSLATE(B11012,""en"",""es-ES"")"),"El adolescente camina sosteniendo su patineta.")</f>
        <v>El adolescente camina sosteniendo su patineta.</v>
      </c>
    </row>
    <row r="11013">
      <c r="A11013" s="4" t="s">
        <v>13848</v>
      </c>
      <c r="B11013" s="4" t="s">
        <v>13853</v>
      </c>
      <c r="C11013" s="5" t="str">
        <f>IFERROR(__xludf.DUMMYFUNCTION("GOOGLETRANSLATE(B11013,""en"",""es-ES"")"),"Patinete de los adolescentes en la calle haciendo trucos y giro.")</f>
        <v>Patinete de los adolescentes en la calle haciendo trucos y giro.</v>
      </c>
    </row>
    <row r="11014">
      <c r="A11014" s="4" t="s">
        <v>13848</v>
      </c>
      <c r="B11014" s="4" t="s">
        <v>13854</v>
      </c>
      <c r="C11014" s="5" t="str">
        <f>IFERROR(__xludf.DUMMYFUNCTION("GOOGLETRANSLATE(B11014,""en"",""es-ES"")"),"Después, dos adolescentes caminan por la calle, y luego el patineta.")</f>
        <v>Después, dos adolescentes caminan por la calle, y luego el patineta.</v>
      </c>
    </row>
    <row r="11015">
      <c r="A11015" s="4" t="s">
        <v>13855</v>
      </c>
      <c r="B11015" s="4" t="s">
        <v>13856</v>
      </c>
      <c r="C11015" s="5" t="str">
        <f>IFERROR(__xludf.DUMMYFUNCTION("GOOGLETRANSLATE(B11015,""en"",""es-ES"")"),"Un hombre está parado en un escenario por la noche con muchas luces de escenario, una banda detrás de él y una multitud frente a él y está tocando una pipa de bolsa.")</f>
        <v>Un hombre está parado en un escenario por la noche con muchas luces de escenario, una banda detrás de él y una multitud frente a él y está tocando una pipa de bolsa.</v>
      </c>
    </row>
    <row r="11016">
      <c r="A11016" s="4" t="s">
        <v>13855</v>
      </c>
      <c r="B11016" s="4" t="s">
        <v>13857</v>
      </c>
      <c r="C11016" s="5" t="str">
        <f>IFERROR(__xludf.DUMMYFUNCTION("GOOGLETRANSLATE(B11016,""en"",""es-ES"")"),"Otro hombre entra en el escenario tocando la guitarra y las luces van parpadeando.")</f>
        <v>Otro hombre entra en el escenario tocando la guitarra y las luces van parpadeando.</v>
      </c>
    </row>
    <row r="11017">
      <c r="A11017" s="4" t="s">
        <v>13855</v>
      </c>
      <c r="B11017" s="4" t="s">
        <v>13858</v>
      </c>
      <c r="C11017" s="5" t="str">
        <f>IFERROR(__xludf.DUMMYFUNCTION("GOOGLETRANSLATE(B11017,""en"",""es-ES"")"),"Cuando el hombre ha terminado de tocar la gaita, otro hombre corre en el escenario para agarrarlo de él, y el hombre que estaba tocando la gaita tiene algo de beber, luego agarra un micrófono y comienza a cantar y agitar su brazo derecho en el aire.")</f>
        <v>Cuando el hombre ha terminado de tocar la gaita, otro hombre corre en el escenario para agarrarlo de él, y el hombre que estaba tocando la gaita tiene algo de beber, luego agarra un micrófono y comienza a cantar y agitar su brazo derecho en el aire.</v>
      </c>
    </row>
    <row r="11018">
      <c r="A11018" s="4" t="s">
        <v>13859</v>
      </c>
      <c r="B11018" s="4" t="s">
        <v>13860</v>
      </c>
      <c r="C11018" s="5" t="str">
        <f>IFERROR(__xludf.DUMMYFUNCTION("GOOGLETRANSLATE(B11018,""en"",""es-ES"")"),"Dos hombres afuera en el bosque mientras un hombre que usaba una gorra de punto en una cuerda ataba dos árboles, mientras que un hombre con barba negra apoya al hombre con la gorra de punto.")</f>
        <v>Dos hombres afuera en el bosque mientras un hombre que usaba una gorra de punto en una cuerda ataba dos árboles, mientras que un hombre con barba negra apoya al hombre con la gorra de punto.</v>
      </c>
    </row>
    <row r="11019">
      <c r="A11019" s="4" t="s">
        <v>13859</v>
      </c>
      <c r="B11019" s="4" t="s">
        <v>13861</v>
      </c>
      <c r="C11019" s="5" t="str">
        <f>IFERROR(__xludf.DUMMYFUNCTION("GOOGLETRANSLATE(B11019,""en"",""es-ES"")"),"El hombre con la barba libera al hombre en la cuerda y se aleja.")</f>
        <v>El hombre con la barba libera al hombre en la cuerda y se aleja.</v>
      </c>
    </row>
    <row r="11020">
      <c r="A11020" s="4" t="s">
        <v>13859</v>
      </c>
      <c r="B11020" s="4" t="s">
        <v>13862</v>
      </c>
      <c r="C11020" s="5" t="str">
        <f>IFERROR(__xludf.DUMMYFUNCTION("GOOGLETRANSLATE(B11020,""en"",""es-ES"")"),"Un hombre con una sudadera con capucha verde en la cuerda mientras el hombre en la barba apoya al hombre en la cuerda.")</f>
        <v>Un hombre con una sudadera con capucha verde en la cuerda mientras el hombre en la barba apoya al hombre en la cuerda.</v>
      </c>
    </row>
    <row r="11021">
      <c r="A11021" s="4" t="s">
        <v>13859</v>
      </c>
      <c r="B11021" s="4" t="s">
        <v>13863</v>
      </c>
      <c r="C11021" s="5" t="str">
        <f>IFERROR(__xludf.DUMMYFUNCTION("GOOGLETRANSLATE(B11021,""en"",""es-ES"")"),"Un hombre con una camisa gris empuja a un hombre con una camisa negra y realiza un salto mortal de espalda y aterriza firmemente en el suelo cubierto de la hoja.")</f>
        <v>Un hombre con una camisa gris empuja a un hombre con una camisa negra y realiza un salto mortal de espalda y aterriza firmemente en el suelo cubierto de la hoja.</v>
      </c>
    </row>
    <row r="11022">
      <c r="A11022" s="4" t="s">
        <v>13864</v>
      </c>
      <c r="B11022" s="4" t="s">
        <v>13865</v>
      </c>
      <c r="C11022" s="5" t="str">
        <f>IFERROR(__xludf.DUMMYFUNCTION("GOOGLETRANSLATE(B11022,""en"",""es-ES"")"),"Aparece una pantalla de introducción blanca con efectos especiales y mucha coloración que incluyen palabras, números y logotipos.")</f>
        <v>Aparece una pantalla de introducción blanca con efectos especiales y mucha coloración que incluyen palabras, números y logotipos.</v>
      </c>
    </row>
    <row r="11023">
      <c r="A11023" s="4" t="s">
        <v>13864</v>
      </c>
      <c r="B11023" s="4" t="s">
        <v>13866</v>
      </c>
      <c r="C11023" s="5" t="str">
        <f>IFERROR(__xludf.DUMMYFUNCTION("GOOGLETRANSLATE(B11023,""en"",""es-ES"")"),"Luego, los hombres se muestran en una habitación oscura llena de personas mientras se ponen camisas, se da la mano con otros, posan y luego comienzan un juego de Foosball mientras las imágenes de su bandera aparecen brevemente en la pantalla y muchas pers"&amp;"onas a su alrededor miran Como diferentes hombres se unen entre sí.")</f>
        <v>Luego, los hombres se muestran en una habitación oscura llena de personas mientras se ponen camisas, se da la mano con otros, posan y luego comienzan un juego de Foosball mientras las imágenes de su bandera aparecen brevemente en la pantalla y muchas personas a su alrededor miran Como diferentes hombres se unen entre sí.</v>
      </c>
    </row>
    <row r="11024">
      <c r="A11024" s="4" t="s">
        <v>13864</v>
      </c>
      <c r="B11024" s="4" t="s">
        <v>13867</v>
      </c>
      <c r="C11024" s="5" t="str">
        <f>IFERROR(__xludf.DUMMYFUNCTION("GOOGLETRANSLATE(B11024,""en"",""es-ES"")"),"Cuando terminan de interpretar a un hombre y una mujer está de pie y hablando con un micrófono mientras un hombre entrega una caja a otro hombre y salen del escenario.")</f>
        <v>Cuando terminan de interpretar a un hombre y una mujer está de pie y hablando con un micrófono mientras un hombre entrega una caja a otro hombre y salen del escenario.</v>
      </c>
    </row>
    <row r="11025">
      <c r="A11025" s="4" t="s">
        <v>13864</v>
      </c>
      <c r="B11025" s="4" t="s">
        <v>13868</v>
      </c>
      <c r="C11025" s="5" t="str">
        <f>IFERROR(__xludf.DUMMYFUNCTION("GOOGLETRANSLATE(B11025,""en"",""es-ES"")"),"La misma pantalla blanca desde el principio aparece con efectos especiales y lotes de palabras de color y luego se desvanece al negro.")</f>
        <v>La misma pantalla blanca desde el principio aparece con efectos especiales y lotes de palabras de color y luego se desvanece al negro.</v>
      </c>
    </row>
    <row r="11026">
      <c r="A11026" s="4" t="s">
        <v>13869</v>
      </c>
      <c r="B11026" s="4" t="s">
        <v>69</v>
      </c>
      <c r="C11026" s="5" t="str">
        <f>IFERROR(__xludf.DUMMYFUNCTION("GOOGLETRANSLATE(B11026,""en"",""es-ES"")"),"La gente juega lacrosse en un campo de hierba.")</f>
        <v>La gente juega lacrosse en un campo de hierba.</v>
      </c>
    </row>
    <row r="11027">
      <c r="A11027" s="4" t="s">
        <v>13869</v>
      </c>
      <c r="B11027" s="4" t="s">
        <v>13870</v>
      </c>
      <c r="C11027" s="5" t="str">
        <f>IFERROR(__xludf.DUMMYFUNCTION("GOOGLETRANSLATE(B11027,""en"",""es-ES"")"),"Un hombre con una camisa blanca está hablando con la cámara.")</f>
        <v>Un hombre con una camisa blanca está hablando con la cámara.</v>
      </c>
    </row>
    <row r="11028">
      <c r="A11028" s="4" t="s">
        <v>13869</v>
      </c>
      <c r="B11028" s="4" t="s">
        <v>13871</v>
      </c>
      <c r="C11028" s="5" t="str">
        <f>IFERROR(__xludf.DUMMYFUNCTION("GOOGLETRANSLATE(B11028,""en"",""es-ES"")"),"Una niña luego habla con la cámara.")</f>
        <v>Una niña luego habla con la cámara.</v>
      </c>
    </row>
    <row r="11029">
      <c r="A11029" s="4" t="s">
        <v>13869</v>
      </c>
      <c r="B11029" s="4" t="s">
        <v>13872</v>
      </c>
      <c r="C11029" s="5" t="str">
        <f>IFERROR(__xludf.DUMMYFUNCTION("GOOGLETRANSLATE(B11029,""en"",""es-ES"")"),"Las botellas de agua rosadas están en una caja.")</f>
        <v>Las botellas de agua rosadas están en una caja.</v>
      </c>
    </row>
    <row r="11030">
      <c r="A11030" s="4" t="s">
        <v>13869</v>
      </c>
      <c r="B11030" s="4" t="s">
        <v>13873</v>
      </c>
      <c r="C11030" s="5" t="str">
        <f>IFERROR(__xludf.DUMMYFUNCTION("GOOGLETRANSLATE(B11030,""en"",""es-ES"")"),"Caminan al campo y comienzan a jugar.")</f>
        <v>Caminan al campo y comienzan a jugar.</v>
      </c>
    </row>
    <row r="11031">
      <c r="A11031" s="4" t="s">
        <v>13874</v>
      </c>
      <c r="B11031" s="4" t="s">
        <v>13875</v>
      </c>
      <c r="C11031" s="5" t="str">
        <f>IFERROR(__xludf.DUMMYFUNCTION("GOOGLETRANSLATE(B11031,""en"",""es-ES"")"),"Un juego generado por computadora de un hombre, comienza a girar.")</f>
        <v>Un juego generado por computadora de un hombre, comienza a girar.</v>
      </c>
    </row>
    <row r="11032">
      <c r="A11032" s="4" t="s">
        <v>13874</v>
      </c>
      <c r="B11032" s="4" t="s">
        <v>13876</v>
      </c>
      <c r="C11032" s="5" t="str">
        <f>IFERROR(__xludf.DUMMYFUNCTION("GOOGLETRANSLATE(B11032,""en"",""es-ES"")"),"Se da la vuelta rápidamente y deja ir al Frisbee y los árbitros corren hacia arriba para Mark donde aterriza.")</f>
        <v>Se da la vuelta rápidamente y deja ir al Frisbee y los árbitros corren hacia arriba para Mark donde aterriza.</v>
      </c>
    </row>
    <row r="11033">
      <c r="A11033" s="4" t="s">
        <v>13874</v>
      </c>
      <c r="B11033" s="4" t="s">
        <v>13877</v>
      </c>
      <c r="C11033" s="5" t="str">
        <f>IFERROR(__xludf.DUMMYFUNCTION("GOOGLETRANSLATE(B11033,""en"",""es-ES"")"),"El hombre comienza a hacerlo de nuevo, gira y vuelve a lanzar.")</f>
        <v>El hombre comienza a hacerlo de nuevo, gira y vuelve a lanzar.</v>
      </c>
    </row>
    <row r="11034">
      <c r="A11034" s="4" t="s">
        <v>13874</v>
      </c>
      <c r="B11034" s="4" t="s">
        <v>13878</v>
      </c>
      <c r="C11034" s="5" t="str">
        <f>IFERROR(__xludf.DUMMYFUNCTION("GOOGLETRANSLATE(B11034,""en"",""es-ES"")"),"El puntaje aparece en la pantalla antes de que gire y vuelva a lanzar y luego anima con la emoción.")</f>
        <v>El puntaje aparece en la pantalla antes de que gire y vuelva a lanzar y luego anima con la emoción.</v>
      </c>
    </row>
    <row r="11035">
      <c r="A11035" s="4" t="s">
        <v>13879</v>
      </c>
      <c r="B11035" s="4" t="s">
        <v>13880</v>
      </c>
      <c r="C11035" s="5" t="str">
        <f>IFERROR(__xludf.DUMMYFUNCTION("GOOGLETRANSLATE(B11035,""en"",""es-ES"")"),"Algunos llevan un estuche de instrumentos caminando afuera, pusieron el caso en el suelo y sacan un violín.")</f>
        <v>Algunos llevan un estuche de instrumentos caminando afuera, pusieron el caso en el suelo y sacan un violín.</v>
      </c>
    </row>
    <row r="11036">
      <c r="A11036" s="4" t="s">
        <v>13879</v>
      </c>
      <c r="B11036" s="4" t="s">
        <v>13881</v>
      </c>
      <c r="C11036" s="5" t="str">
        <f>IFERROR(__xludf.DUMMYFUNCTION("GOOGLETRANSLATE(B11036,""en"",""es-ES"")"),"La mujer juega el violín a donde quiera que vaya y baila mientras juega también.")</f>
        <v>La mujer juega el violín a donde quiera que vaya y baila mientras juega también.</v>
      </c>
    </row>
    <row r="11037">
      <c r="A11037" s="4" t="s">
        <v>13879</v>
      </c>
      <c r="B11037" s="4" t="s">
        <v>13882</v>
      </c>
      <c r="C11037" s="5" t="str">
        <f>IFERROR(__xludf.DUMMYFUNCTION("GOOGLETRANSLATE(B11037,""en"",""es-ES"")"),"Ella hace algunos movimientos de su cuerpo haciendo que su espalda se dobla casi tocando el suelo mientras todavía se atasca en el violín.")</f>
        <v>Ella hace algunos movimientos de su cuerpo haciendo que su espalda se dobla casi tocando el suelo mientras todavía se atasca en el violín.</v>
      </c>
    </row>
    <row r="11038">
      <c r="A11038" s="4" t="s">
        <v>13879</v>
      </c>
      <c r="B11038" s="4" t="s">
        <v>13883</v>
      </c>
      <c r="C11038" s="5" t="str">
        <f>IFERROR(__xludf.DUMMYFUNCTION("GOOGLETRANSLATE(B11038,""en"",""es-ES"")"),"Ella es muy intensa al respecto, juega y juega y cuando termina se aleja casualmente.")</f>
        <v>Ella es muy intensa al respecto, juega y juega y cuando termina se aleja casualmente.</v>
      </c>
    </row>
    <row r="11039">
      <c r="A11039" s="4" t="s">
        <v>13884</v>
      </c>
      <c r="B11039" s="4" t="s">
        <v>13885</v>
      </c>
      <c r="C11039" s="5" t="str">
        <f>IFERROR(__xludf.DUMMYFUNCTION("GOOGLETRANSLATE(B11039,""en"",""es-ES"")"),"Una mujer juega flauta sentada sobre un piano mientras se mueve los pies.")</f>
        <v>Una mujer juega flauta sentada sobre un piano mientras se mueve los pies.</v>
      </c>
    </row>
    <row r="11040">
      <c r="A11040" s="4" t="s">
        <v>13884</v>
      </c>
      <c r="B11040" s="4" t="s">
        <v>13886</v>
      </c>
      <c r="C11040" s="5" t="str">
        <f>IFERROR(__xludf.DUMMYFUNCTION("GOOGLETRANSLATE(B11040,""en"",""es-ES"")"),"La mujer termina de jugar a la reverencia y sonríe.")</f>
        <v>La mujer termina de jugar a la reverencia y sonríe.</v>
      </c>
    </row>
    <row r="11041">
      <c r="A11041" s="4" t="s">
        <v>13887</v>
      </c>
      <c r="B11041" s="4" t="s">
        <v>13888</v>
      </c>
      <c r="C11041" s="5" t="str">
        <f>IFERROR(__xludf.DUMMYFUNCTION("GOOGLETRANSLATE(B11041,""en"",""es-ES"")"),"Se ve a una mujer hablando con la cámara y derramando líquidos en una caja.")</f>
        <v>Se ve a una mujer hablando con la cámara y derramando líquidos en una caja.</v>
      </c>
    </row>
    <row r="11042">
      <c r="A11042" s="4" t="s">
        <v>13887</v>
      </c>
      <c r="B11042" s="4" t="s">
        <v>13889</v>
      </c>
      <c r="C11042" s="5" t="str">
        <f>IFERROR(__xludf.DUMMYFUNCTION("GOOGLETRANSLATE(B11042,""en"",""es-ES"")"),"Luego tira de los contactos a la caja y luego coloca uno en cada ojo.")</f>
        <v>Luego tira de los contactos a la caja y luego coloca uno en cada ojo.</v>
      </c>
    </row>
    <row r="11043">
      <c r="A11043" s="4" t="s">
        <v>13887</v>
      </c>
      <c r="B11043" s="4" t="s">
        <v>13890</v>
      </c>
      <c r="C11043" s="5" t="str">
        <f>IFERROR(__xludf.DUMMYFUNCTION("GOOGLETRANSLATE(B11043,""en"",""es-ES"")"),"Ella sostiene el caso al final seguido de ella volviendo a poner los contactos en el caso.")</f>
        <v>Ella sostiene el caso al final seguido de ella volviendo a poner los contactos en el caso.</v>
      </c>
    </row>
    <row r="11044">
      <c r="A11044" s="4" t="s">
        <v>13891</v>
      </c>
      <c r="B11044" s="4" t="s">
        <v>13892</v>
      </c>
      <c r="C11044" s="5" t="str">
        <f>IFERROR(__xludf.DUMMYFUNCTION("GOOGLETRANSLATE(B11044,""en"",""es-ES"")"),"La gente balsa por un río rocoso.")</f>
        <v>La gente balsa por un río rocoso.</v>
      </c>
    </row>
    <row r="11045">
      <c r="A11045" s="4" t="s">
        <v>13891</v>
      </c>
      <c r="B11045" s="4" t="s">
        <v>13893</v>
      </c>
      <c r="C11045" s="5" t="str">
        <f>IFERROR(__xludf.DUMMYFUNCTION("GOOGLETRANSLATE(B11045,""en"",""es-ES"")"),"De repente, el bote se da vuelta y todos los hombres caen en el agua.")</f>
        <v>De repente, el bote se da vuelta y todos los hombres caen en el agua.</v>
      </c>
    </row>
    <row r="11046">
      <c r="A11046" s="4" t="s">
        <v>13891</v>
      </c>
      <c r="B11046" s="4" t="s">
        <v>13894</v>
      </c>
      <c r="C11046" s="5" t="str">
        <f>IFERROR(__xludf.DUMMYFUNCTION("GOOGLETRANSLATE(B11046,""en"",""es-ES"")"),"Luego, la gente llega a la orilla, mientras un hombre sube una roca.")</f>
        <v>Luego, la gente llega a la orilla, mientras un hombre sube una roca.</v>
      </c>
    </row>
    <row r="11047">
      <c r="A11047" s="4" t="s">
        <v>13891</v>
      </c>
      <c r="B11047" s="4" t="s">
        <v>13895</v>
      </c>
      <c r="C11047" s="5" t="str">
        <f>IFERROR(__xludf.DUMMYFUNCTION("GOOGLETRANSLATE(B11047,""en"",""es-ES"")"),"Después, las personas en un bote rescatan a un hombre en el agua y recuperan el bote.")</f>
        <v>Después, las personas en un bote rescatan a un hombre en el agua y recuperan el bote.</v>
      </c>
    </row>
    <row r="11048">
      <c r="A11048" s="4" t="s">
        <v>13891</v>
      </c>
      <c r="B11048" s="4" t="s">
        <v>13896</v>
      </c>
      <c r="C11048" s="5" t="str">
        <f>IFERROR(__xludf.DUMMYFUNCTION("GOOGLETRANSLATE(B11048,""en"",""es-ES"")"),"Dos hombres se paran en la orilla al lado de una escalera.")</f>
        <v>Dos hombres se paran en la orilla al lado de una escalera.</v>
      </c>
    </row>
    <row r="11049">
      <c r="A11049" s="4" t="s">
        <v>13891</v>
      </c>
      <c r="B11049" s="4" t="s">
        <v>13897</v>
      </c>
      <c r="C11049" s="5" t="str">
        <f>IFERROR(__xludf.DUMMYFUNCTION("GOOGLETRANSLATE(B11049,""en"",""es-ES"")"),"Las vigas todavía están en el agua esperando.")</f>
        <v>Las vigas todavía están en el agua esperando.</v>
      </c>
    </row>
    <row r="11050">
      <c r="A11050" s="4" t="s">
        <v>13898</v>
      </c>
      <c r="B11050" s="4" t="s">
        <v>13899</v>
      </c>
      <c r="C11050" s="5" t="str">
        <f>IFERROR(__xludf.DUMMYFUNCTION("GOOGLETRANSLATE(B11050,""en"",""es-ES"")"),"La gente juega con cerveza pong mientras otras personas miran.")</f>
        <v>La gente juega con cerveza pong mientras otras personas miran.</v>
      </c>
    </row>
    <row r="11051">
      <c r="A11051" s="4" t="s">
        <v>13898</v>
      </c>
      <c r="B11051" s="4" t="s">
        <v>13900</v>
      </c>
      <c r="C11051" s="5" t="str">
        <f>IFERROR(__xludf.DUMMYFUNCTION("GOOGLETRANSLATE(B11051,""en"",""es-ES"")"),"La gente se vuelve feliz cuando la pelota entra en una taza.")</f>
        <v>La gente se vuelve feliz cuando la pelota entra en una taza.</v>
      </c>
    </row>
    <row r="11052">
      <c r="A11052" s="4" t="s">
        <v>13898</v>
      </c>
      <c r="B11052" s="4" t="s">
        <v>13901</v>
      </c>
      <c r="C11052" s="5" t="str">
        <f>IFERROR(__xludf.DUMMYFUNCTION("GOOGLETRANSLATE(B11052,""en"",""es-ES"")"),"Luego, un hombre arroja una pelota dentro de una taza, y una persona bebe el líquido en la taza.")</f>
        <v>Luego, un hombre arroja una pelota dentro de una taza, y una persona bebe el líquido en la taza.</v>
      </c>
    </row>
    <row r="11053">
      <c r="A11053" s="4" t="s">
        <v>13898</v>
      </c>
      <c r="B11053" s="4" t="s">
        <v>13902</v>
      </c>
      <c r="C11053" s="5" t="str">
        <f>IFERROR(__xludf.DUMMYFUNCTION("GOOGLETRANSLATE(B11053,""en"",""es-ES"")"),"Un hombre arroja una pelota dentro de una taza y la gente felicita y abraza al hombre.")</f>
        <v>Un hombre arroja una pelota dentro de una taza y la gente felicita y abraza al hombre.</v>
      </c>
    </row>
    <row r="11054">
      <c r="A11054" s="4" t="s">
        <v>13903</v>
      </c>
      <c r="B11054" s="4" t="s">
        <v>13904</v>
      </c>
      <c r="C11054" s="5" t="str">
        <f>IFERROR(__xludf.DUMMYFUNCTION("GOOGLETRANSLATE(B11054,""en"",""es-ES"")"),"Se ve a una persona hablando con la cámara y entra en una tienda de tatuajes, seguida de una persona que se tatuó un artista.")</f>
        <v>Se ve a una persona hablando con la cámara y entra en una tienda de tatuajes, seguida de una persona que se tatuó un artista.</v>
      </c>
    </row>
    <row r="11055">
      <c r="A11055" s="4" t="s">
        <v>13903</v>
      </c>
      <c r="B11055" s="4" t="s">
        <v>13905</v>
      </c>
      <c r="C11055" s="5" t="str">
        <f>IFERROR(__xludf.DUMMYFUNCTION("GOOGLETRANSLATE(B11055,""en"",""es-ES"")"),"El hombre continúa hablando con la cámara mientras otro se está tatuando en el fondo y continúa hablando con la cámara.")</f>
        <v>El hombre continúa hablando con la cámara mientras otro se está tatuando en el fondo y continúa hablando con la cámara.</v>
      </c>
    </row>
    <row r="11056">
      <c r="A11056" s="4" t="s">
        <v>13906</v>
      </c>
      <c r="B11056" s="4" t="s">
        <v>13907</v>
      </c>
      <c r="C11056" s="5" t="str">
        <f>IFERROR(__xludf.DUMMYFUNCTION("GOOGLETRANSLATE(B11056,""en"",""es-ES"")"),"Vemos una tarjeta de título azul.")</f>
        <v>Vemos una tarjeta de título azul.</v>
      </c>
    </row>
    <row r="11057">
      <c r="A11057" s="4" t="s">
        <v>13906</v>
      </c>
      <c r="B11057" s="4" t="s">
        <v>13908</v>
      </c>
      <c r="C11057" s="5" t="str">
        <f>IFERROR(__xludf.DUMMYFUNCTION("GOOGLETRANSLATE(B11057,""en"",""es-ES"")"),"Un hombre y una mujer comienzan a bailar en un salón de baile.")</f>
        <v>Un hombre y una mujer comienzan a bailar en un salón de baile.</v>
      </c>
    </row>
    <row r="11058">
      <c r="A11058" s="4" t="s">
        <v>13906</v>
      </c>
      <c r="B11058" s="4" t="s">
        <v>13909</v>
      </c>
      <c r="C11058" s="5" t="str">
        <f>IFERROR(__xludf.DUMMYFUNCTION("GOOGLETRANSLATE(B11058,""en"",""es-ES"")"),"Se detienen y la dama se barre la pierna.")</f>
        <v>Se detienen y la dama se barre la pierna.</v>
      </c>
    </row>
    <row r="11059">
      <c r="A11059" s="4" t="s">
        <v>13906</v>
      </c>
      <c r="B11059" s="4" t="s">
        <v>13910</v>
      </c>
      <c r="C11059" s="5" t="str">
        <f>IFERROR(__xludf.DUMMYFUNCTION("GOOGLETRANSLATE(B11059,""en"",""es-ES"")"),"El hombre sumerge a la dama.")</f>
        <v>El hombre sumerge a la dama.</v>
      </c>
    </row>
    <row r="11060">
      <c r="A11060" s="4" t="s">
        <v>13906</v>
      </c>
      <c r="B11060" s="4" t="s">
        <v>13911</v>
      </c>
      <c r="C11060" s="5" t="str">
        <f>IFERROR(__xludf.DUMMYFUNCTION("GOOGLETRANSLATE(B11060,""en"",""es-ES"")"),"La señora se desliza hacia el suelo.")</f>
        <v>La señora se desliza hacia el suelo.</v>
      </c>
    </row>
    <row r="11061">
      <c r="A11061" s="4" t="s">
        <v>13906</v>
      </c>
      <c r="B11061" s="4" t="s">
        <v>13912</v>
      </c>
      <c r="C11061" s="5" t="str">
        <f>IFERROR(__xludf.DUMMYFUNCTION("GOOGLETRANSLATE(B11061,""en"",""es-ES"")"),"La dama hace las divisiones.")</f>
        <v>La dama hace las divisiones.</v>
      </c>
    </row>
    <row r="11062">
      <c r="A11062" s="4" t="s">
        <v>13906</v>
      </c>
      <c r="B11062" s="4" t="s">
        <v>13913</v>
      </c>
      <c r="C11062" s="5" t="str">
        <f>IFERROR(__xludf.DUMMYFUNCTION("GOOGLETRANSLATE(B11062,""en"",""es-ES"")"),"El hombre levanta a la dama en el aire.")</f>
        <v>El hombre levanta a la dama en el aire.</v>
      </c>
    </row>
    <row r="11063">
      <c r="A11063" s="4" t="s">
        <v>13906</v>
      </c>
      <c r="B11063" s="4" t="s">
        <v>13914</v>
      </c>
      <c r="C11063" s="5" t="str">
        <f>IFERROR(__xludf.DUMMYFUNCTION("GOOGLETRANSLATE(B11063,""en"",""es-ES"")"),"Cambiamos y vemos personas bailando en diferentes lugares.")</f>
        <v>Cambiamos y vemos personas bailando en diferentes lugares.</v>
      </c>
    </row>
    <row r="11064">
      <c r="A11064" s="4" t="s">
        <v>13906</v>
      </c>
      <c r="B11064" s="4" t="s">
        <v>13915</v>
      </c>
      <c r="C11064" s="5" t="str">
        <f>IFERROR(__xludf.DUMMYFUNCTION("GOOGLETRANSLATE(B11064,""en"",""es-ES"")"),"Vemos la pantalla de finalización azul.")</f>
        <v>Vemos la pantalla de finalización azul.</v>
      </c>
    </row>
    <row r="11065">
      <c r="A11065" s="4" t="s">
        <v>13916</v>
      </c>
      <c r="B11065" s="4" t="s">
        <v>13917</v>
      </c>
      <c r="C11065" s="5" t="str">
        <f>IFERROR(__xludf.DUMMYFUNCTION("GOOGLETRANSLATE(B11065,""en"",""es-ES"")"),"Se ve a un hombre bailando en un club nocturno con dos mujeres a su alrededor.")</f>
        <v>Se ve a un hombre bailando en un club nocturno con dos mujeres a su alrededor.</v>
      </c>
    </row>
    <row r="11066">
      <c r="A11066" s="4" t="s">
        <v>13916</v>
      </c>
      <c r="B11066" s="4" t="s">
        <v>13918</v>
      </c>
      <c r="C11066" s="5" t="str">
        <f>IFERROR(__xludf.DUMMYFUNCTION("GOOGLETRANSLATE(B11066,""en"",""es-ES"")"),"Los tres continúan bailando entre ellos mientras otros bailan a un lado.")</f>
        <v>Los tres continúan bailando entre ellos mientras otros bailan a un lado.</v>
      </c>
    </row>
    <row r="11067">
      <c r="A11067" s="4" t="s">
        <v>13916</v>
      </c>
      <c r="B11067" s="4" t="s">
        <v>13919</v>
      </c>
      <c r="C11067" s="5" t="str">
        <f>IFERROR(__xludf.DUMMYFUNCTION("GOOGLETRANSLATE(B11067,""en"",""es-ES"")"),"La gente baila entre sí mientras la cámara captura sus movimientos.")</f>
        <v>La gente baila entre sí mientras la cámara captura sus movimientos.</v>
      </c>
    </row>
    <row r="11068">
      <c r="A11068" s="4" t="s">
        <v>13920</v>
      </c>
      <c r="B11068" s="4" t="s">
        <v>13921</v>
      </c>
      <c r="C11068" s="5" t="str">
        <f>IFERROR(__xludf.DUMMYFUNCTION("GOOGLETRANSLATE(B11068,""en"",""es-ES"")"),"Una persona pinta uñas a una mujer con esmalte de uñas morado.")</f>
        <v>Una persona pinta uñas a una mujer con esmalte de uñas morado.</v>
      </c>
    </row>
    <row r="11069">
      <c r="A11069" s="4" t="s">
        <v>13920</v>
      </c>
      <c r="B11069" s="4" t="s">
        <v>13922</v>
      </c>
      <c r="C11069" s="5" t="str">
        <f>IFERROR(__xludf.DUMMYFUNCTION("GOOGLETRANSLATE(B11069,""en"",""es-ES"")"),"Una mujer está mirando hacia abajo.")</f>
        <v>Una mujer está mirando hacia abajo.</v>
      </c>
    </row>
    <row r="11070">
      <c r="A11070" s="4" t="s">
        <v>13923</v>
      </c>
      <c r="B11070" s="4" t="s">
        <v>13924</v>
      </c>
      <c r="C11070" s="5" t="str">
        <f>IFERROR(__xludf.DUMMYFUNCTION("GOOGLETRANSLATE(B11070,""en"",""es-ES"")"),"Se ve a una mujer sentada en una silla hablando y saludando a la cámara y mira a un espejo que la muestra a ella y al camarógrafo.")</f>
        <v>Se ve a una mujer sentada en una silla hablando y saludando a la cámara y mira a un espejo que la muestra a ella y al camarógrafo.</v>
      </c>
    </row>
    <row r="11071">
      <c r="A11071" s="4" t="s">
        <v>13923</v>
      </c>
      <c r="B11071" s="4" t="s">
        <v>13925</v>
      </c>
      <c r="C11071" s="5" t="str">
        <f>IFERROR(__xludf.DUMMYFUNCTION("GOOGLETRANSLATE(B11071,""en"",""es-ES"")"),"Un artista del tatuaje luego entra en el marco y comienza a tatuar un símbolo en el cuello de la niña.")</f>
        <v>Un artista del tatuaje luego entra en el marco y comienza a tatuar un símbolo en el cuello de la niña.</v>
      </c>
    </row>
    <row r="11072">
      <c r="A11072" s="4" t="s">
        <v>13923</v>
      </c>
      <c r="B11072" s="4" t="s">
        <v>13926</v>
      </c>
      <c r="C11072" s="5" t="str">
        <f>IFERROR(__xludf.DUMMYFUNCTION("GOOGLETRANSLATE(B11072,""en"",""es-ES"")"),"Al final se muestran fotos del tatuaje de la niña.")</f>
        <v>Al final se muestran fotos del tatuaje de la niña.</v>
      </c>
    </row>
    <row r="11073">
      <c r="A11073" s="4" t="s">
        <v>13927</v>
      </c>
      <c r="B11073" s="4" t="s">
        <v>13928</v>
      </c>
      <c r="C11073" s="5" t="str">
        <f>IFERROR(__xludf.DUMMYFUNCTION("GOOGLETRANSLATE(B11073,""en"",""es-ES"")"),"Una introducción conduce a un pequeño grupo de niños pequeños parados en un escenario que sostiene instrumentos.")</f>
        <v>Una introducción conduce a un pequeño grupo de niños pequeños parados en un escenario que sostiene instrumentos.</v>
      </c>
    </row>
    <row r="11074">
      <c r="A11074" s="4" t="s">
        <v>13927</v>
      </c>
      <c r="B11074" s="4" t="s">
        <v>13929</v>
      </c>
      <c r="C11074" s="5" t="str">
        <f>IFERROR(__xludf.DUMMYFUNCTION("GOOGLETRANSLATE(B11074,""en"",""es-ES"")"),"Comienzan a tocar los instrumentos mientras la cámara se acerca a cada uno de ellos tocando.")</f>
        <v>Comienzan a tocar los instrumentos mientras la cámara se acerca a cada uno de ellos tocando.</v>
      </c>
    </row>
    <row r="11075">
      <c r="A11075" s="4" t="s">
        <v>13930</v>
      </c>
      <c r="B11075" s="4" t="s">
        <v>13931</v>
      </c>
      <c r="C11075" s="5" t="str">
        <f>IFERROR(__xludf.DUMMYFUNCTION("GOOGLETRANSLATE(B11075,""en"",""es-ES"")"),"Una mujer que lleva un sombrero de Santa está hablando.")</f>
        <v>Una mujer que lleva un sombrero de Santa está hablando.</v>
      </c>
    </row>
    <row r="11076">
      <c r="A11076" s="4" t="s">
        <v>13930</v>
      </c>
      <c r="B11076" s="4" t="s">
        <v>13932</v>
      </c>
      <c r="C11076" s="5" t="str">
        <f>IFERROR(__xludf.DUMMYFUNCTION("GOOGLETRANSLATE(B11076,""en"",""es-ES"")"),"Ella pone luces de Navidad en el árbol.")</f>
        <v>Ella pone luces de Navidad en el árbol.</v>
      </c>
    </row>
    <row r="11077">
      <c r="A11077" s="4" t="s">
        <v>13930</v>
      </c>
      <c r="B11077" s="4" t="s">
        <v>13933</v>
      </c>
      <c r="C11077" s="5" t="str">
        <f>IFERROR(__xludf.DUMMYFUNCTION("GOOGLETRANSLATE(B11077,""en"",""es-ES"")"),"Ella pone cinta alrededor del árbol.")</f>
        <v>Ella pone cinta alrededor del árbol.</v>
      </c>
    </row>
    <row r="11078">
      <c r="A11078" s="4" t="s">
        <v>13930</v>
      </c>
      <c r="B11078" s="4" t="s">
        <v>13934</v>
      </c>
      <c r="C11078" s="5" t="str">
        <f>IFERROR(__xludf.DUMMYFUNCTION("GOOGLETRANSLATE(B11078,""en"",""es-ES"")"),"Ella ataca las decoraciones alrededor del árbol.")</f>
        <v>Ella ataca las decoraciones alrededor del árbol.</v>
      </c>
    </row>
    <row r="11079">
      <c r="A11079" s="4" t="s">
        <v>13930</v>
      </c>
      <c r="B11079" s="4" t="s">
        <v>13935</v>
      </c>
      <c r="C11079" s="5" t="str">
        <f>IFERROR(__xludf.DUMMYFUNCTION("GOOGLETRANSLATE(B11079,""en"",""es-ES"")"),"Ella pone bombillas en el árbol de Navidad.")</f>
        <v>Ella pone bombillas en el árbol de Navidad.</v>
      </c>
    </row>
    <row r="11080">
      <c r="A11080" s="4" t="s">
        <v>13930</v>
      </c>
      <c r="B11080" s="4" t="s">
        <v>13936</v>
      </c>
      <c r="C11080" s="5" t="str">
        <f>IFERROR(__xludf.DUMMYFUNCTION("GOOGLETRANSLATE(B11080,""en"",""es-ES"")"),"Ella pone pequeños animales de peluche en el árbol.")</f>
        <v>Ella pone pequeños animales de peluche en el árbol.</v>
      </c>
    </row>
    <row r="11081">
      <c r="A11081" s="4" t="s">
        <v>13930</v>
      </c>
      <c r="B11081" s="4" t="s">
        <v>13937</v>
      </c>
      <c r="C11081" s="5" t="str">
        <f>IFERROR(__xludf.DUMMYFUNCTION("GOOGLETRANSLATE(B11081,""en"",""es-ES"")"),"Ella pone bastones de caramelo en el árbol.")</f>
        <v>Ella pone bastones de caramelo en el árbol.</v>
      </c>
    </row>
    <row r="11082">
      <c r="A11082" s="4" t="s">
        <v>13930</v>
      </c>
      <c r="B11082" s="4" t="s">
        <v>13938</v>
      </c>
      <c r="C11082" s="5" t="str">
        <f>IFERROR(__xludf.DUMMYFUNCTION("GOOGLETRANSLATE(B11082,""en"",""es-ES"")"),"Ella pone una estrella en el árbol.")</f>
        <v>Ella pone una estrella en el árbol.</v>
      </c>
    </row>
    <row r="11083">
      <c r="A11083" s="4" t="s">
        <v>13930</v>
      </c>
      <c r="B11083" s="4" t="s">
        <v>13939</v>
      </c>
      <c r="C11083" s="5" t="str">
        <f>IFERROR(__xludf.DUMMYFUNCTION("GOOGLETRANSLATE(B11083,""en"",""es-ES"")"),"La estrella se cae del árbol.")</f>
        <v>La estrella se cae del árbol.</v>
      </c>
    </row>
    <row r="11084">
      <c r="A11084" s="4" t="s">
        <v>13930</v>
      </c>
      <c r="B11084" s="4" t="s">
        <v>13940</v>
      </c>
      <c r="C11084" s="5" t="str">
        <f>IFERROR(__xludf.DUMMYFUNCTION("GOOGLETRANSLATE(B11084,""en"",""es-ES"")"),"Ella pone algodón debajo del árbol.")</f>
        <v>Ella pone algodón debajo del árbol.</v>
      </c>
    </row>
    <row r="11085">
      <c r="A11085" s="4" t="s">
        <v>13941</v>
      </c>
      <c r="B11085" s="4" t="s">
        <v>13942</v>
      </c>
      <c r="C11085" s="5" t="str">
        <f>IFERROR(__xludf.DUMMYFUNCTION("GOOGLETRANSLATE(B11085,""en"",""es-ES"")"),"Una niña en una habitación habla con una cámara y muestra su peinado.")</f>
        <v>Una niña en una habitación habla con una cámara y muestra su peinado.</v>
      </c>
    </row>
    <row r="11086">
      <c r="A11086" s="4" t="s">
        <v>13941</v>
      </c>
      <c r="B11086" s="4" t="s">
        <v>13943</v>
      </c>
      <c r="C11086" s="5" t="str">
        <f>IFERROR(__xludf.DUMMYFUNCTION("GOOGLETRANSLATE(B11086,""en"",""es-ES"")"),"Luego regresa antes de que se trenzara y lo saca, seccionándolo.")</f>
        <v>Luego regresa antes de que se trenzara y lo saca, seccionándolo.</v>
      </c>
    </row>
    <row r="11087">
      <c r="A11087" s="4" t="s">
        <v>13941</v>
      </c>
      <c r="B11087" s="4" t="s">
        <v>13944</v>
      </c>
      <c r="C11087" s="5" t="str">
        <f>IFERROR(__xludf.DUMMYFUNCTION("GOOGLETRANSLATE(B11087,""en"",""es-ES"")"),"Luego toma dos secciones y las entrelaza, y toma más longitudes de cabello mientras baja por la trenza.")</f>
        <v>Luego toma dos secciones y las entrelaza, y toma más longitudes de cabello mientras baja por la trenza.</v>
      </c>
    </row>
    <row r="11088">
      <c r="A11088" s="4" t="s">
        <v>13941</v>
      </c>
      <c r="B11088" s="4" t="s">
        <v>13945</v>
      </c>
      <c r="C11088" s="5" t="str">
        <f>IFERROR(__xludf.DUMMYFUNCTION("GOOGLETRANSLATE(B11088,""en"",""es-ES"")"),"Luego mete la trenza a un lado y agarra longitudes de cabello para asegurarlo a un lado e incorpora longitudes desde la parte posterior de su cabello.")</f>
        <v>Luego mete la trenza a un lado y agarra longitudes de cabello para asegurarlo a un lado e incorpora longitudes desde la parte posterior de su cabello.</v>
      </c>
    </row>
    <row r="11089">
      <c r="A11089" s="4" t="s">
        <v>13941</v>
      </c>
      <c r="B11089" s="4" t="s">
        <v>13946</v>
      </c>
      <c r="C11089" s="5" t="str">
        <f>IFERROR(__xludf.DUMMYFUNCTION("GOOGLETRANSLATE(B11089,""en"",""es-ES"")"),"Su cabello se trenza con éxito y muestra el aspecto terminado.")</f>
        <v>Su cabello se trenza con éxito y muestra el aspecto terminado.</v>
      </c>
    </row>
    <row r="11090">
      <c r="A11090" s="4" t="s">
        <v>13947</v>
      </c>
      <c r="B11090" s="4" t="s">
        <v>13948</v>
      </c>
      <c r="C11090" s="5" t="str">
        <f>IFERROR(__xludf.DUMMYFUNCTION("GOOGLETRANSLATE(B11090,""en"",""es-ES"")"),"Un hombre en equipo de esgrima comienza a hablar sobre el equipo de esgrima que se prepara para hablar sobre sus experiencias de esgrima.")</f>
        <v>Un hombre en equipo de esgrima comienza a hablar sobre el equipo de esgrima que se prepara para hablar sobre sus experiencias de esgrima.</v>
      </c>
    </row>
    <row r="11091">
      <c r="A11091" s="4" t="s">
        <v>13947</v>
      </c>
      <c r="B11091" s="4" t="s">
        <v>13949</v>
      </c>
      <c r="C11091" s="5" t="str">
        <f>IFERROR(__xludf.DUMMYFUNCTION("GOOGLETRANSLATE(B11091,""en"",""es-ES"")"),"Se viste con su equipo y va al estudio para practicar.")</f>
        <v>Se viste con su equipo y va al estudio para practicar.</v>
      </c>
    </row>
    <row r="11092">
      <c r="A11092" s="4" t="s">
        <v>13947</v>
      </c>
      <c r="B11092" s="4" t="s">
        <v>13950</v>
      </c>
      <c r="C11092" s="5" t="str">
        <f>IFERROR(__xludf.DUMMYFUNCTION("GOOGLETRANSLATE(B11092,""en"",""es-ES"")"),"Él y otro hombre practican entre sí mientras se ejecuta un temporizador.")</f>
        <v>Él y otro hombre practican entre sí mientras se ejecuta un temporizador.</v>
      </c>
    </row>
    <row r="11093">
      <c r="A11093" s="4" t="s">
        <v>13947</v>
      </c>
      <c r="B11093" s="4" t="s">
        <v>13951</v>
      </c>
      <c r="C11093" s="5" t="str">
        <f>IFERROR(__xludf.DUMMYFUNCTION("GOOGLETRANSLATE(B11093,""en"",""es-ES"")"),"Hay una cierta postura y la forma en que mueves los pies cuando te encuentras que ayuda a moverte hacia y desde el Opponet.")</f>
        <v>Hay una cierta postura y la forma en que mueves los pies cuando te encuentras que ayuda a moverte hacia y desde el Opponet.</v>
      </c>
    </row>
    <row r="11094">
      <c r="A11094" s="4" t="s">
        <v>13952</v>
      </c>
      <c r="B11094" s="4" t="s">
        <v>13953</v>
      </c>
      <c r="C11094" s="5" t="str">
        <f>IFERROR(__xludf.DUMMYFUNCTION("GOOGLETRANSLATE(B11094,""en"",""es-ES"")"),"Una cámara se mueve alrededor de un cielo que muestra cometas en el aire.")</f>
        <v>Una cámara se mueve alrededor de un cielo que muestra cometas en el aire.</v>
      </c>
    </row>
    <row r="11095">
      <c r="A11095" s="4" t="s">
        <v>13952</v>
      </c>
      <c r="B11095" s="4" t="s">
        <v>13954</v>
      </c>
      <c r="C11095" s="5" t="str">
        <f>IFERROR(__xludf.DUMMYFUNCTION("GOOGLETRANSLATE(B11095,""en"",""es-ES"")"),"Luego se ve a una persona montando un tablero de cometas en el agua.")</f>
        <v>Luego se ve a una persona montando un tablero de cometas en el agua.</v>
      </c>
    </row>
    <row r="11096">
      <c r="A11096" s="4" t="s">
        <v>13952</v>
      </c>
      <c r="B11096" s="4" t="s">
        <v>13955</v>
      </c>
      <c r="C11096" s="5" t="str">
        <f>IFERROR(__xludf.DUMMYFUNCTION("GOOGLETRANSLATE(B11096,""en"",""es-ES"")"),"La persona continúa viajando mientras la cámara observa.")</f>
        <v>La persona continúa viajando mientras la cámara observa.</v>
      </c>
    </row>
    <row r="11097">
      <c r="A11097" s="4" t="s">
        <v>13956</v>
      </c>
      <c r="B11097" s="4" t="s">
        <v>13957</v>
      </c>
      <c r="C11097" s="5" t="str">
        <f>IFERROR(__xludf.DUMMYFUNCTION("GOOGLETRANSLATE(B11097,""en"",""es-ES"")"),"Se ve a una niña de pie ante un juego de barras de mono y sonriendo mientras habla con la cámara.")</f>
        <v>Se ve a una niña de pie ante un juego de barras de mono y sonriendo mientras habla con la cámara.</v>
      </c>
    </row>
    <row r="11098">
      <c r="A11098" s="4" t="s">
        <v>13956</v>
      </c>
      <c r="B11098" s="4" t="s">
        <v>13958</v>
      </c>
      <c r="C11098" s="5" t="str">
        <f>IFERROR(__xludf.DUMMYFUNCTION("GOOGLETRANSLATE(B11098,""en"",""es-ES"")"),"Luego se lleva a lo largo del conjunto de barras de mono y se mueve hacia atrás y el cuarto en el juego de juegos.")</f>
        <v>Luego se lleva a lo largo del conjunto de barras de mono y se mueve hacia atrás y el cuarto en el juego de juegos.</v>
      </c>
    </row>
    <row r="11099">
      <c r="A11099" s="4" t="s">
        <v>13956</v>
      </c>
      <c r="B11099" s="4" t="s">
        <v>13959</v>
      </c>
      <c r="C11099" s="5" t="str">
        <f>IFERROR(__xludf.DUMMYFUNCTION("GOOGLETRANSLATE(B11099,""en"",""es-ES"")"),"Ella regresa al comienzo y baja la escalera finalmente mirando la cámara.")</f>
        <v>Ella regresa al comienzo y baja la escalera finalmente mirando la cámara.</v>
      </c>
    </row>
    <row r="11100">
      <c r="A11100" s="4" t="s">
        <v>13960</v>
      </c>
      <c r="B11100" s="4" t="s">
        <v>13961</v>
      </c>
      <c r="C11100" s="5" t="str">
        <f>IFERROR(__xludf.DUMMYFUNCTION("GOOGLETRANSLATE(B11100,""en"",""es-ES"")"),"Una mujer habla en el frente de las persianas.")</f>
        <v>Una mujer habla en el frente de las persianas.</v>
      </c>
    </row>
    <row r="11101">
      <c r="A11101" s="4" t="s">
        <v>13960</v>
      </c>
      <c r="B11101" s="4" t="s">
        <v>13962</v>
      </c>
      <c r="C11101" s="5" t="str">
        <f>IFERROR(__xludf.DUMMYFUNCTION("GOOGLETRANSLATE(B11101,""en"",""es-ES"")"),"Luego, la mujer juega cuatro tam-tams, principalmente toca el tam-tam en el frente de ella.")</f>
        <v>Luego, la mujer juega cuatro tam-tams, principalmente toca el tam-tam en el frente de ella.</v>
      </c>
    </row>
    <row r="11102">
      <c r="A11102" s="4" t="s">
        <v>13960</v>
      </c>
      <c r="B11102" s="4" t="s">
        <v>13963</v>
      </c>
      <c r="C11102" s="5" t="str">
        <f>IFERROR(__xludf.DUMMYFUNCTION("GOOGLETRANSLATE(B11102,""en"",""es-ES"")"),"Entonces, la mujer deja de jugar y sonreír.")</f>
        <v>Entonces, la mujer deja de jugar y sonreír.</v>
      </c>
    </row>
    <row r="11103">
      <c r="A11103" s="4" t="s">
        <v>13964</v>
      </c>
      <c r="B11103" s="4" t="s">
        <v>13965</v>
      </c>
      <c r="C11103" s="5" t="str">
        <f>IFERROR(__xludf.DUMMYFUNCTION("GOOGLETRANSLATE(B11103,""en"",""es-ES"")"),"Un hombre y dos mujeres están haciendo un baile aeróbico dentro de un edificio.")</f>
        <v>Un hombre y dos mujeres están haciendo un baile aeróbico dentro de un edificio.</v>
      </c>
    </row>
    <row r="11104">
      <c r="A11104" s="4" t="s">
        <v>13964</v>
      </c>
      <c r="B11104" s="4" t="s">
        <v>13966</v>
      </c>
      <c r="C11104" s="5" t="str">
        <f>IFERROR(__xludf.DUMMYFUNCTION("GOOGLETRANSLATE(B11104,""en"",""es-ES"")"),"Realizan varios movimientos, acelerando con el tiempo.")</f>
        <v>Realizan varios movimientos, acelerando con el tiempo.</v>
      </c>
    </row>
    <row r="11105">
      <c r="A11105" s="4" t="s">
        <v>13964</v>
      </c>
      <c r="B11105" s="4" t="s">
        <v>13967</v>
      </c>
      <c r="C11105" s="5" t="str">
        <f>IFERROR(__xludf.DUMMYFUNCTION("GOOGLETRANSLATE(B11105,""en"",""es-ES"")"),"Se detienen, aplaudiendo y limpiando el cabello de sus caras cuando terminan.")</f>
        <v>Se detienen, aplaudiendo y limpiando el cabello de sus caras cuando terminan.</v>
      </c>
    </row>
    <row r="11106">
      <c r="A11106" s="4" t="s">
        <v>13968</v>
      </c>
      <c r="B11106" s="4" t="s">
        <v>13969</v>
      </c>
      <c r="C11106" s="5" t="str">
        <f>IFERROR(__xludf.DUMMYFUNCTION("GOOGLETRANSLATE(B11106,""en"",""es-ES"")"),"Un hombre camina en un campo.")</f>
        <v>Un hombre camina en un campo.</v>
      </c>
    </row>
    <row r="11107">
      <c r="A11107" s="4" t="s">
        <v>13968</v>
      </c>
      <c r="B11107" s="4" t="s">
        <v>13970</v>
      </c>
      <c r="C11107" s="5" t="str">
        <f>IFERROR(__xludf.DUMMYFUNCTION("GOOGLETRANSLATE(B11107,""en"",""es-ES"")"),"Vemos su espalda y vemos sangre y un arnés en su piel y otros dos hombres que tiene el arnés de la piel.")</f>
        <v>Vemos su espalda y vemos sangre y un arnés en su piel y otros dos hombres que tiene el arnés de la piel.</v>
      </c>
    </row>
    <row r="11108">
      <c r="A11108" s="4" t="s">
        <v>13968</v>
      </c>
      <c r="B11108" s="4" t="s">
        <v>13971</v>
      </c>
      <c r="C11108" s="5" t="str">
        <f>IFERROR(__xludf.DUMMYFUNCTION("GOOGLETRANSLATE(B11108,""en"",""es-ES"")"),"Vemos a los hombres trepando y parado sobre una grúa en lo alto del cielo.")</f>
        <v>Vemos a los hombres trepando y parado sobre una grúa en lo alto del cielo.</v>
      </c>
    </row>
    <row r="11109">
      <c r="A11109" s="4" t="s">
        <v>13968</v>
      </c>
      <c r="B11109" s="4" t="s">
        <v>13972</v>
      </c>
      <c r="C11109" s="5" t="str">
        <f>IFERROR(__xludf.DUMMYFUNCTION("GOOGLETRANSLATE(B11109,""en"",""es-ES"")"),"Los hombres con el arnés de la piel saltan de una grúa muy por encima de un bosque.")</f>
        <v>Los hombres con el arnés de la piel saltan de una grúa muy por encima de un bosque.</v>
      </c>
    </row>
    <row r="11110">
      <c r="A11110" s="4" t="s">
        <v>13968</v>
      </c>
      <c r="B11110" s="4" t="s">
        <v>13973</v>
      </c>
      <c r="C11110" s="5" t="str">
        <f>IFERROR(__xludf.DUMMYFUNCTION("GOOGLETRANSLATE(B11110,""en"",""es-ES"")"),"Vemos el suelo de abajo.")</f>
        <v>Vemos el suelo de abajo.</v>
      </c>
    </row>
    <row r="11111">
      <c r="A11111" s="4" t="s">
        <v>13974</v>
      </c>
      <c r="B11111" s="4" t="s">
        <v>13975</v>
      </c>
      <c r="C11111" s="5" t="str">
        <f>IFERROR(__xludf.DUMMYFUNCTION("GOOGLETRANSLATE(B11111,""en"",""es-ES"")"),"Se muestra una caricatura de un arco y conduce a un hombre que coloca tomates en un plato.")</f>
        <v>Se muestra una caricatura de un arco y conduce a un hombre que coloca tomates en un plato.</v>
      </c>
    </row>
    <row r="11112">
      <c r="A11112" s="4" t="s">
        <v>13974</v>
      </c>
      <c r="B11112" s="4" t="s">
        <v>13976</v>
      </c>
      <c r="C11112" s="5" t="str">
        <f>IFERROR(__xludf.DUMMYFUNCTION("GOOGLETRANSLATE(B11112,""en"",""es-ES"")"),"Él pone cebollas y otros ingredientes en un plato y corta varios ingredientes más.")</f>
        <v>Él pone cebollas y otros ingredientes en un plato y corta varios ingredientes más.</v>
      </c>
    </row>
    <row r="11113">
      <c r="A11113" s="4" t="s">
        <v>13974</v>
      </c>
      <c r="B11113" s="4" t="s">
        <v>13977</v>
      </c>
      <c r="C11113" s="5" t="str">
        <f>IFERROR(__xludf.DUMMYFUNCTION("GOOGLETRANSLATE(B11113,""en"",""es-ES"")"),"Coloca los ingredientes finales en el tazón mientras habla con la cámara y sale con la comida que hizo.")</f>
        <v>Coloca los ingredientes finales en el tazón mientras habla con la cámara y sale con la comida que hizo.</v>
      </c>
    </row>
    <row r="11114">
      <c r="A11114" s="4" t="s">
        <v>13978</v>
      </c>
      <c r="B11114" s="4" t="s">
        <v>13979</v>
      </c>
      <c r="C11114" s="5" t="str">
        <f>IFERROR(__xludf.DUMMYFUNCTION("GOOGLETRANSLATE(B11114,""en"",""es-ES"")"),"Dos niños varones están afuera en un camino de entrada hablando entre ellos.")</f>
        <v>Dos niños varones están afuera en un camino de entrada hablando entre ellos.</v>
      </c>
    </row>
    <row r="11115">
      <c r="A11115" s="4" t="s">
        <v>13978</v>
      </c>
      <c r="B11115" s="4" t="s">
        <v>13980</v>
      </c>
      <c r="C11115" s="5" t="str">
        <f>IFERROR(__xludf.DUMMYFUNCTION("GOOGLETRANSLATE(B11115,""en"",""es-ES"")"),"Una vez que hayan terminado su conversación, comienzan a patinar por el camino hacia un parque abierto.")</f>
        <v>Una vez que hayan terminado su conversación, comienzan a patinar por el camino hacia un parque abierto.</v>
      </c>
    </row>
    <row r="11116">
      <c r="A11116" s="4" t="s">
        <v>13978</v>
      </c>
      <c r="B11116" s="4" t="s">
        <v>13981</v>
      </c>
      <c r="C11116" s="5" t="str">
        <f>IFERROR(__xludf.DUMMYFUNCTION("GOOGLETRANSLATE(B11116,""en"",""es-ES"")"),"Los dos muchachos llegan a su parada de destino y hablan, luego uno despega y el otro niño lo sigue y siguen rodando.")</f>
        <v>Los dos muchachos llegan a su parada de destino y hablan, luego uno despega y el otro niño lo sigue y siguen rodando.</v>
      </c>
    </row>
    <row r="11117">
      <c r="A11117" s="4" t="s">
        <v>13982</v>
      </c>
      <c r="B11117" s="4" t="s">
        <v>13983</v>
      </c>
      <c r="C11117" s="5" t="str">
        <f>IFERROR(__xludf.DUMMYFUNCTION("GOOGLETRANSLATE(B11117,""en"",""es-ES"")"),"Una serie de mujeres se muestran en el primer plano de sus caras.")</f>
        <v>Una serie de mujeres se muestran en el primer plano de sus caras.</v>
      </c>
    </row>
    <row r="11118">
      <c r="A11118" s="4" t="s">
        <v>13982</v>
      </c>
      <c r="B11118" s="4" t="s">
        <v>13984</v>
      </c>
      <c r="C11118" s="5" t="str">
        <f>IFERROR(__xludf.DUMMYFUNCTION("GOOGLETRANSLATE(B11118,""en"",""es-ES"")"),"Un estilista está parado junto a una niña sentada en su silla.")</f>
        <v>Un estilista está parado junto a una niña sentada en su silla.</v>
      </c>
    </row>
    <row r="11119">
      <c r="A11119" s="4" t="s">
        <v>13982</v>
      </c>
      <c r="B11119" s="4" t="s">
        <v>13985</v>
      </c>
      <c r="C11119" s="5" t="str">
        <f>IFERROR(__xludf.DUMMYFUNCTION("GOOGLETRANSLATE(B11119,""en"",""es-ES"")"),"Da instrucciones sobre cómo peinar su cabello.")</f>
        <v>Da instrucciones sobre cómo peinar su cabello.</v>
      </c>
    </row>
    <row r="11120">
      <c r="A11120" s="4" t="s">
        <v>13982</v>
      </c>
      <c r="B11120" s="4" t="s">
        <v>13986</v>
      </c>
      <c r="C11120" s="5" t="str">
        <f>IFERROR(__xludf.DUMMYFUNCTION("GOOGLETRANSLATE(B11120,""en"",""es-ES"")"),"Él usa una secadora para soplar su cabello, luego lo clipa.")</f>
        <v>Él usa una secadora para soplar su cabello, luego lo clipa.</v>
      </c>
    </row>
    <row r="11121">
      <c r="A11121" s="4" t="s">
        <v>13987</v>
      </c>
      <c r="B11121" s="4" t="s">
        <v>13988</v>
      </c>
      <c r="C11121" s="5" t="str">
        <f>IFERROR(__xludf.DUMMYFUNCTION("GOOGLETRANSLATE(B11121,""en"",""es-ES"")"),"Se ve a un hombre caminando hacia el marco doblándose para agarrar un conjunto de pesas y comienza a levantarse hacia arriba.")</f>
        <v>Se ve a un hombre caminando hacia el marco doblándose para agarrar un conjunto de pesas y comienza a levantarse hacia arriba.</v>
      </c>
    </row>
    <row r="11122">
      <c r="A11122" s="4" t="s">
        <v>13987</v>
      </c>
      <c r="B11122" s="4" t="s">
        <v>13989</v>
      </c>
      <c r="C11122" s="5" t="str">
        <f>IFERROR(__xludf.DUMMYFUNCTION("GOOGLETRANSLATE(B11122,""en"",""es-ES"")"),"Luego levanta el peso sobre su hombro varias veces mientras salta para darse un impulso.")</f>
        <v>Luego levanta el peso sobre su hombro varias veces mientras salta para darse un impulso.</v>
      </c>
    </row>
    <row r="11123">
      <c r="A11123" s="4" t="s">
        <v>13990</v>
      </c>
      <c r="B11123" s="4" t="s">
        <v>13991</v>
      </c>
      <c r="C11123" s="5" t="str">
        <f>IFERROR(__xludf.DUMMYFUNCTION("GOOGLETRANSLATE(B11123,""en"",""es-ES"")"),"Un hombre talla una calabaza y un trozo de hielo, luego el hombre sostiene una calabaza tallada y la pone en un banco.")</f>
        <v>Un hombre talla una calabaza y un trozo de hielo, luego el hombre sostiene una calabaza tallada y la pone en un banco.</v>
      </c>
    </row>
    <row r="11124">
      <c r="A11124" s="4" t="s">
        <v>13990</v>
      </c>
      <c r="B11124" s="4" t="s">
        <v>13992</v>
      </c>
      <c r="C11124" s="5" t="str">
        <f>IFERROR(__xludf.DUMMYFUNCTION("GOOGLETRANSLATE(B11124,""en"",""es-ES"")"),"Un joven toma fotos de esculturas artísticas de hielo, mientras que una persona escala un trozo de hielo en la calle.")</f>
        <v>Un joven toma fotos de esculturas artísticas de hielo, mientras que una persona escala un trozo de hielo en la calle.</v>
      </c>
    </row>
    <row r="11125">
      <c r="A11125" s="4" t="s">
        <v>13990</v>
      </c>
      <c r="B11125" s="4" t="s">
        <v>13993</v>
      </c>
      <c r="C11125" s="5" t="str">
        <f>IFERROR(__xludf.DUMMYFUNCTION("GOOGLETRANSLATE(B11125,""en"",""es-ES"")"),"El hombre muestra cómo tallar una calabaza usando herramientas de talla para hacer caras.")</f>
        <v>El hombre muestra cómo tallar una calabaza usando herramientas de talla para hacer caras.</v>
      </c>
    </row>
    <row r="11126">
      <c r="A11126" s="4" t="s">
        <v>13990</v>
      </c>
      <c r="B11126" s="4" t="s">
        <v>13994</v>
      </c>
      <c r="C11126" s="5" t="str">
        <f>IFERROR(__xludf.DUMMYFUNCTION("GOOGLETRANSLATE(B11126,""en"",""es-ES"")"),"Las calabazas talladas con caras aterradoras y esculturas de hielo se muestran en una habitación.")</f>
        <v>Las calabazas talladas con caras aterradoras y esculturas de hielo se muestran en una habitación.</v>
      </c>
    </row>
    <row r="11127">
      <c r="A11127" s="4" t="s">
        <v>13995</v>
      </c>
      <c r="B11127" s="4" t="s">
        <v>1251</v>
      </c>
      <c r="C11127" s="5" t="str">
        <f>IFERROR(__xludf.DUMMYFUNCTION("GOOGLETRANSLATE(B11127,""en"",""es-ES"")"),"Se muestran los créditos del clip.")</f>
        <v>Se muestran los créditos del clip.</v>
      </c>
    </row>
    <row r="11128">
      <c r="A11128" s="4" t="s">
        <v>13995</v>
      </c>
      <c r="B11128" s="4" t="s">
        <v>13996</v>
      </c>
      <c r="C11128" s="5" t="str">
        <f>IFERROR(__xludf.DUMMYFUNCTION("GOOGLETRANSLATE(B11128,""en"",""es-ES"")"),"La gente está girando en bicicletas de ejercicio.")</f>
        <v>La gente está girando en bicicletas de ejercicio.</v>
      </c>
    </row>
    <row r="11129">
      <c r="A11129" s="4" t="s">
        <v>13995</v>
      </c>
      <c r="B11129" s="4" t="s">
        <v>573</v>
      </c>
      <c r="C11129" s="5" t="str">
        <f>IFERROR(__xludf.DUMMYFUNCTION("GOOGLETRANSLATE(B11129,""en"",""es-ES"")"),"Se muestran los créditos del video.")</f>
        <v>Se muestran los créditos del video.</v>
      </c>
    </row>
    <row r="11130">
      <c r="A11130" s="4" t="s">
        <v>13997</v>
      </c>
      <c r="B11130" s="4" t="s">
        <v>13998</v>
      </c>
      <c r="C11130" s="5" t="str">
        <f>IFERROR(__xludf.DUMMYFUNCTION("GOOGLETRANSLATE(B11130,""en"",""es-ES"")"),"Un individuo que usa la cara arrastra un dispositivo de tipo de tubo interno a lo largo de la nieve, rodeada de otras personas que hacen lo mismo.")</f>
        <v>Un individuo que usa la cara arrastra un dispositivo de tipo de tubo interno a lo largo de la nieve, rodeada de otras personas que hacen lo mismo.</v>
      </c>
    </row>
    <row r="11131">
      <c r="A11131" s="4" t="s">
        <v>13997</v>
      </c>
      <c r="B11131" s="4" t="s">
        <v>13999</v>
      </c>
      <c r="C11131" s="5" t="str">
        <f>IFERROR(__xludf.DUMMYFUNCTION("GOOGLETRANSLATE(B11131,""en"",""es-ES"")"),"El individuo camina hacia otro individuo con una chaqueta roja.")</f>
        <v>El individuo camina hacia otro individuo con una chaqueta roja.</v>
      </c>
    </row>
    <row r="11132">
      <c r="A11132" s="4" t="s">
        <v>13997</v>
      </c>
      <c r="B11132" s="4" t="s">
        <v>14000</v>
      </c>
      <c r="C11132" s="5" t="str">
        <f>IFERROR(__xludf.DUMMYFUNCTION("GOOGLETRANSLATE(B11132,""en"",""es-ES"")"),"El individuo entrega la rienda para el dispositivo a la persona en la chaqueta roja y se sienta en el dispositivo.")</f>
        <v>El individuo entrega la rienda para el dispositivo a la persona en la chaqueta roja y se sienta en el dispositivo.</v>
      </c>
    </row>
    <row r="11133">
      <c r="A11133" s="4" t="s">
        <v>13997</v>
      </c>
      <c r="B11133" s="4" t="s">
        <v>14001</v>
      </c>
      <c r="C11133" s="5" t="str">
        <f>IFERROR(__xludf.DUMMYFUNCTION("GOOGLETRANSLATE(B11133,""en"",""es-ES"")"),"La persona en la chaqueta roja tira del dispositivo cuesta abajo y el primer individuo monta por la pendiente.")</f>
        <v>La persona en la chaqueta roja tira del dispositivo cuesta abajo y el primer individuo monta por la pendiente.</v>
      </c>
    </row>
    <row r="11134">
      <c r="A11134" s="4" t="s">
        <v>13997</v>
      </c>
      <c r="B11134" s="4" t="s">
        <v>14002</v>
      </c>
      <c r="C11134" s="5" t="str">
        <f>IFERROR(__xludf.DUMMYFUNCTION("GOOGLETRANSLATE(B11134,""en"",""es-ES"")"),"El primer individuo desmonta y reanuda tirando del dispositivo.")</f>
        <v>El primer individuo desmonta y reanuda tirando del dispositivo.</v>
      </c>
    </row>
    <row r="11135">
      <c r="A11135" s="4" t="s">
        <v>13997</v>
      </c>
      <c r="B11135" s="4" t="s">
        <v>14003</v>
      </c>
      <c r="C11135" s="5" t="str">
        <f>IFERROR(__xludf.DUMMYFUNCTION("GOOGLETRANSLATE(B11135,""en"",""es-ES"")"),"El individuo tira del dispositivo a lo largo de algún tipo de pasarela cubierta con un piso en movimiento.")</f>
        <v>El individuo tira del dispositivo a lo largo de algún tipo de pasarela cubierta con un piso en movimiento.</v>
      </c>
    </row>
    <row r="11136">
      <c r="A11136" s="4" t="s">
        <v>14004</v>
      </c>
      <c r="B11136" s="4" t="s">
        <v>14005</v>
      </c>
      <c r="C11136" s="5" t="str">
        <f>IFERROR(__xludf.DUMMYFUNCTION("GOOGLETRANSLATE(B11136,""en"",""es-ES"")"),"Se muestra un campo de dos equipos luchando por una pelota de lacrosse en medio de un gran campo verde.")</f>
        <v>Se muestra un campo de dos equipos luchando por una pelota de lacrosse en medio de un gran campo verde.</v>
      </c>
    </row>
    <row r="11137">
      <c r="A11137" s="4" t="s">
        <v>14004</v>
      </c>
      <c r="B11137" s="4" t="s">
        <v>14006</v>
      </c>
      <c r="C11137" s="5" t="str">
        <f>IFERROR(__xludf.DUMMYFUNCTION("GOOGLETRANSLATE(B11137,""en"",""es-ES"")"),"Luego se levantan y continúan jugando en el campo grande.")</f>
        <v>Luego se levantan y continúan jugando en el campo grande.</v>
      </c>
    </row>
    <row r="11138">
      <c r="A11138" s="4" t="s">
        <v>14004</v>
      </c>
      <c r="B11138" s="4" t="s">
        <v>14007</v>
      </c>
      <c r="C11138" s="5" t="str">
        <f>IFERROR(__xludf.DUMMYFUNCTION("GOOGLETRANSLATE(B11138,""en"",""es-ES"")"),"Poco después, una pequeña pelea comienza en el medio de la piscina y un hombre con una nariz de uniforme negro comienza a sangrar y el juego está detenido y se muestran repeticiones.")</f>
        <v>Poco después, una pequeña pelea comienza en el medio de la piscina y un hombre con una nariz de uniforme negro comienza a sangrar y el juego está detenido y se muestran repeticiones.</v>
      </c>
    </row>
    <row r="11139">
      <c r="A11139" s="4" t="s">
        <v>14008</v>
      </c>
      <c r="B11139" s="4" t="s">
        <v>14009</v>
      </c>
      <c r="C11139" s="5" t="str">
        <f>IFERROR(__xludf.DUMMYFUNCTION("GOOGLETRANSLATE(B11139,""en"",""es-ES"")"),"Aparece un anuncio para los servicios de llamadas de Beckon.")</f>
        <v>Aparece un anuncio para los servicios de llamadas de Beckon.</v>
      </c>
    </row>
    <row r="11140">
      <c r="A11140" s="4" t="s">
        <v>14008</v>
      </c>
      <c r="B11140" s="4" t="s">
        <v>14010</v>
      </c>
      <c r="C11140" s="5" t="str">
        <f>IFERROR(__xludf.DUMMYFUNCTION("GOOGLETRANSLATE(B11140,""en"",""es-ES"")"),"Un hombre está parado en un patio trasero hablando.")</f>
        <v>Un hombre está parado en un patio trasero hablando.</v>
      </c>
    </row>
    <row r="11141">
      <c r="A11141" s="4" t="s">
        <v>14008</v>
      </c>
      <c r="B11141" s="4" t="s">
        <v>14011</v>
      </c>
      <c r="C11141" s="5" t="str">
        <f>IFERROR(__xludf.DUMMYFUNCTION("GOOGLETRANSLATE(B11141,""en"",""es-ES"")"),"Recoge varias pantallas de ventanas mientras habla de ellas.")</f>
        <v>Recoge varias pantallas de ventanas mientras habla de ellas.</v>
      </c>
    </row>
    <row r="11142">
      <c r="A11142" s="4" t="s">
        <v>14008</v>
      </c>
      <c r="B11142" s="4" t="s">
        <v>14012</v>
      </c>
      <c r="C11142" s="5" t="str">
        <f>IFERROR(__xludf.DUMMYFUNCTION("GOOGLETRANSLATE(B11142,""en"",""es-ES"")"),"Los agrega a la pila y se aleja.")</f>
        <v>Los agrega a la pila y se aleja.</v>
      </c>
    </row>
    <row r="11143">
      <c r="A11143" s="4" t="s">
        <v>14013</v>
      </c>
      <c r="B11143" s="4" t="s">
        <v>14014</v>
      </c>
      <c r="C11143" s="5" t="str">
        <f>IFERROR(__xludf.DUMMYFUNCTION("GOOGLETRANSLATE(B11143,""en"",""es-ES"")"),"Una banda de marcha está lista en una calle mientras una audiencia mira.")</f>
        <v>Una banda de marcha está lista en una calle mientras una audiencia mira.</v>
      </c>
    </row>
    <row r="11144">
      <c r="A11144" s="4" t="s">
        <v>14013</v>
      </c>
      <c r="B11144" s="4" t="s">
        <v>14015</v>
      </c>
      <c r="C11144" s="5" t="str">
        <f>IFERROR(__xludf.DUMMYFUNCTION("GOOGLETRANSLATE(B11144,""en"",""es-ES"")"),"El director conduce a la banda.")</f>
        <v>El director conduce a la banda.</v>
      </c>
    </row>
    <row r="11145">
      <c r="A11145" s="4" t="s">
        <v>14013</v>
      </c>
      <c r="B11145" s="4" t="s">
        <v>14016</v>
      </c>
      <c r="C11145" s="5" t="str">
        <f>IFERROR(__xludf.DUMMYFUNCTION("GOOGLETRANSLATE(B11145,""en"",""es-ES"")"),"La banda toca en la calle mientras la audiencia mira.")</f>
        <v>La banda toca en la calle mientras la audiencia mira.</v>
      </c>
    </row>
    <row r="11146">
      <c r="A11146" s="4" t="s">
        <v>14017</v>
      </c>
      <c r="B11146" s="4" t="s">
        <v>14018</v>
      </c>
      <c r="C11146" s="5" t="str">
        <f>IFERROR(__xludf.DUMMYFUNCTION("GOOGLETRANSLATE(B11146,""en"",""es-ES"")"),"Se ve a un joven hablando con la cámara y comienza a sostener un cigarrillo.")</f>
        <v>Se ve a un joven hablando con la cámara y comienza a sostener un cigarrillo.</v>
      </c>
    </row>
    <row r="11147">
      <c r="A11147" s="4" t="s">
        <v>14017</v>
      </c>
      <c r="B11147" s="4" t="s">
        <v>14019</v>
      </c>
      <c r="C11147" s="5" t="str">
        <f>IFERROR(__xludf.DUMMYFUNCTION("GOOGLETRANSLATE(B11147,""en"",""es-ES"")"),"El hombre toma una bocanada del cigarrillo mientras sigue hablando con la cámara.")</f>
        <v>El hombre toma una bocanada del cigarrillo mientras sigue hablando con la cámara.</v>
      </c>
    </row>
    <row r="11148">
      <c r="A11148" s="4" t="s">
        <v>14017</v>
      </c>
      <c r="B11148" s="4" t="s">
        <v>14020</v>
      </c>
      <c r="C11148" s="5" t="str">
        <f>IFERROR(__xludf.DUMMYFUNCTION("GOOGLETRANSLATE(B11148,""en"",""es-ES"")"),"El hombre continúa fumando mientras mira y habla con la cámara.")</f>
        <v>El hombre continúa fumando mientras mira y habla con la cámara.</v>
      </c>
    </row>
    <row r="11149">
      <c r="A11149" s="4" t="s">
        <v>14021</v>
      </c>
      <c r="B11149" s="4" t="s">
        <v>14022</v>
      </c>
      <c r="C11149" s="5" t="str">
        <f>IFERROR(__xludf.DUMMYFUNCTION("GOOGLETRANSLATE(B11149,""en"",""es-ES"")"),"Una pantalla de título conduce a dos mujeres que suben y bajan en un bloque.")</f>
        <v>Una pantalla de título conduce a dos mujeres que suben y bajan en un bloque.</v>
      </c>
    </row>
    <row r="11150">
      <c r="A11150" s="4" t="s">
        <v>14021</v>
      </c>
      <c r="B11150" s="4" t="s">
        <v>14023</v>
      </c>
      <c r="C11150" s="5" t="str">
        <f>IFERROR(__xludf.DUMMYFUNCTION("GOOGLETRANSLATE(B11150,""en"",""es-ES"")"),"Realizan varios ejercicios diferentes en la viga y se mueven juntos en un movimiento sincronizado.")</f>
        <v>Realizan varios ejercicios diferentes en la viga y se mueven juntos en un movimiento sincronizado.</v>
      </c>
    </row>
    <row r="11151">
      <c r="A11151" s="4" t="s">
        <v>14021</v>
      </c>
      <c r="B11151" s="4" t="s">
        <v>14024</v>
      </c>
      <c r="C11151" s="5" t="str">
        <f>IFERROR(__xludf.DUMMYFUNCTION("GOOGLETRANSLATE(B11151,""en"",""es-ES"")"),"Las chicas giran y vuelven y esperan que vuelvan a subir y luego sobre la viga.")</f>
        <v>Las chicas giran y vuelven y esperan que vuelvan a subir y luego sobre la viga.</v>
      </c>
    </row>
    <row r="11152">
      <c r="A11152" s="4" t="s">
        <v>14025</v>
      </c>
      <c r="B11152" s="4" t="s">
        <v>14026</v>
      </c>
      <c r="C11152" s="5" t="str">
        <f>IFERROR(__xludf.DUMMYFUNCTION("GOOGLETRANSLATE(B11152,""en"",""es-ES"")"),"Dos equipos están en un campo con árbitros.")</f>
        <v>Dos equipos están en un campo con árbitros.</v>
      </c>
    </row>
    <row r="11153">
      <c r="A11153" s="4" t="s">
        <v>14025</v>
      </c>
      <c r="B11153" s="4" t="s">
        <v>14027</v>
      </c>
      <c r="C11153" s="5" t="str">
        <f>IFERROR(__xludf.DUMMYFUNCTION("GOOGLETRANSLATE(B11153,""en"",""es-ES"")"),"Están involucrados en un juego de lacrosse.")</f>
        <v>Están involucrados en un juego de lacrosse.</v>
      </c>
    </row>
    <row r="11154">
      <c r="A11154" s="4" t="s">
        <v>14025</v>
      </c>
      <c r="B11154" s="4" t="s">
        <v>14028</v>
      </c>
      <c r="C11154" s="5" t="str">
        <f>IFERROR(__xludf.DUMMYFUNCTION("GOOGLETRANSLATE(B11154,""en"",""es-ES"")"),"Corren por el campo, tratando de mantener la pelota fuera del gol del oponente.")</f>
        <v>Corren por el campo, tratando de mantener la pelota fuera del gol del oponente.</v>
      </c>
    </row>
    <row r="11155">
      <c r="A11155" s="4" t="s">
        <v>14029</v>
      </c>
      <c r="B11155" s="4" t="s">
        <v>14030</v>
      </c>
      <c r="C11155" s="5" t="str">
        <f>IFERROR(__xludf.DUMMYFUNCTION("GOOGLETRANSLATE(B11155,""en"",""es-ES"")"),"Se ve a un hombre mayor de pie ante dos discos, mientras que otra persona los empuja a lo largo del hielo.")</f>
        <v>Se ve a un hombre mayor de pie ante dos discos, mientras que otra persona los empuja a lo largo del hielo.</v>
      </c>
    </row>
    <row r="11156">
      <c r="A11156" s="4" t="s">
        <v>14029</v>
      </c>
      <c r="B11156" s="4" t="s">
        <v>14031</v>
      </c>
      <c r="C11156" s="5" t="str">
        <f>IFERROR(__xludf.DUMMYFUNCTION("GOOGLETRANSLATE(B11156,""en"",""es-ES"")"),"El hombre se dobla varias veces y luego se desliza por el hielo con los discos.")</f>
        <v>El hombre se dobla varias veces y luego se desliza por el hielo con los discos.</v>
      </c>
    </row>
    <row r="11157">
      <c r="A11157" s="4" t="s">
        <v>14032</v>
      </c>
      <c r="B11157" s="4" t="s">
        <v>14033</v>
      </c>
      <c r="C11157" s="5" t="str">
        <f>IFERROR(__xludf.DUMMYFUNCTION("GOOGLETRANSLATE(B11157,""en"",""es-ES"")"),"Una introducción conduce a un hombre arrojando dardos a un tablero.")</f>
        <v>Una introducción conduce a un hombre arrojando dardos a un tablero.</v>
      </c>
    </row>
    <row r="11158">
      <c r="A11158" s="4" t="s">
        <v>14032</v>
      </c>
      <c r="B11158" s="4" t="s">
        <v>14034</v>
      </c>
      <c r="C11158" s="5" t="str">
        <f>IFERROR(__xludf.DUMMYFUNCTION("GOOGLETRANSLATE(B11158,""en"",""es-ES"")"),"Mira de cerca a la distancia y continúa lanzando dardos.")</f>
        <v>Mira de cerca a la distancia y continúa lanzando dardos.</v>
      </c>
    </row>
    <row r="11159">
      <c r="A11159" s="4" t="s">
        <v>14032</v>
      </c>
      <c r="B11159" s="4" t="s">
        <v>14035</v>
      </c>
      <c r="C11159" s="5" t="str">
        <f>IFERROR(__xludf.DUMMYFUNCTION("GOOGLETRANSLATE(B11159,""en"",""es-ES"")"),"La cámara muestra el tablero al final y el hombre lo arroja.")</f>
        <v>La cámara muestra el tablero al final y el hombre lo arroja.</v>
      </c>
    </row>
    <row r="11160">
      <c r="A11160" s="4" t="s">
        <v>14036</v>
      </c>
      <c r="B11160" s="4" t="s">
        <v>14037</v>
      </c>
      <c r="C11160" s="5" t="str">
        <f>IFERROR(__xludf.DUMMYFUNCTION("GOOGLETRANSLATE(B11160,""en"",""es-ES"")"),"Una mujer se sienta en una cortadora de césped en la distancia.")</f>
        <v>Una mujer se sienta en una cortadora de césped en la distancia.</v>
      </c>
    </row>
    <row r="11161">
      <c r="A11161" s="4" t="s">
        <v>14036</v>
      </c>
      <c r="B11161" s="4" t="s">
        <v>14038</v>
      </c>
      <c r="C11161" s="5" t="str">
        <f>IFERROR(__xludf.DUMMYFUNCTION("GOOGLETRANSLATE(B11161,""en"",""es-ES"")"),"La mujer conduce la cortadora de césped hacia la cámara.")</f>
        <v>La mujer conduce la cortadora de césped hacia la cámara.</v>
      </c>
    </row>
    <row r="11162">
      <c r="A11162" s="4" t="s">
        <v>14036</v>
      </c>
      <c r="B11162" s="4" t="s">
        <v>14039</v>
      </c>
      <c r="C11162" s="5" t="str">
        <f>IFERROR(__xludf.DUMMYFUNCTION("GOOGLETRANSLATE(B11162,""en"",""es-ES"")"),"La mujer comienza a girar el cortacésped en una esquina de la cerca.")</f>
        <v>La mujer comienza a girar el cortacésped en una esquina de la cerca.</v>
      </c>
    </row>
    <row r="11163">
      <c r="A11163" s="4" t="s">
        <v>14040</v>
      </c>
      <c r="B11163" s="4" t="s">
        <v>4366</v>
      </c>
      <c r="C11163" s="5" t="str">
        <f>IFERROR(__xludf.DUMMYFUNCTION("GOOGLETRANSLATE(B11163,""en"",""es-ES"")"),"Se muestran los créditos del clip.")</f>
        <v>Se muestran los créditos del clip.</v>
      </c>
    </row>
    <row r="11164">
      <c r="A11164" s="4" t="s">
        <v>14040</v>
      </c>
      <c r="B11164" s="4" t="s">
        <v>14041</v>
      </c>
      <c r="C11164" s="5" t="str">
        <f>IFERROR(__xludf.DUMMYFUNCTION("GOOGLETRANSLATE(B11164,""en"",""es-ES"")"),"Una persona repara el acero con un equipo de soldadura.")</f>
        <v>Una persona repara el acero con un equipo de soldadura.</v>
      </c>
    </row>
    <row r="11165">
      <c r="A11165" s="4" t="s">
        <v>14040</v>
      </c>
      <c r="B11165" s="4" t="s">
        <v>14042</v>
      </c>
      <c r="C11165" s="5" t="str">
        <f>IFERROR(__xludf.DUMMYFUNCTION("GOOGLETRANSLATE(B11165,""en"",""es-ES"")"),"Una persona usa un martillo y un equipo plano para eliminar los desechos.")</f>
        <v>Una persona usa un martillo y un equipo plano para eliminar los desechos.</v>
      </c>
    </row>
    <row r="11166">
      <c r="A11166" s="4" t="s">
        <v>14040</v>
      </c>
      <c r="B11166" s="4" t="s">
        <v>14043</v>
      </c>
      <c r="C11166" s="5" t="str">
        <f>IFERROR(__xludf.DUMMYFUNCTION("GOOGLETRANSLATE(B11166,""en"",""es-ES"")"),"Una persona usa un equipo plano para eliminar los restos de acero derretido.")</f>
        <v>Una persona usa un equipo plano para eliminar los restos de acero derretido.</v>
      </c>
    </row>
    <row r="11167">
      <c r="A11167" s="4" t="s">
        <v>14040</v>
      </c>
      <c r="B11167" s="4" t="s">
        <v>14044</v>
      </c>
      <c r="C11167" s="5" t="str">
        <f>IFERROR(__xludf.DUMMYFUNCTION("GOOGLETRANSLATE(B11167,""en"",""es-ES"")"),"La persona coloca a dos acero en forma de mancuerna en la apertura que está soldando.")</f>
        <v>La persona coloca a dos acero en forma de mancuerna en la apertura que está soldando.</v>
      </c>
    </row>
    <row r="11168">
      <c r="A11168" s="4" t="s">
        <v>14040</v>
      </c>
      <c r="B11168" s="4" t="s">
        <v>14045</v>
      </c>
      <c r="C11168" s="5" t="str">
        <f>IFERROR(__xludf.DUMMYFUNCTION("GOOGLETRANSLATE(B11168,""en"",""es-ES"")"),"Una persona usa un equipo plano para limpiar la abertura soldada.")</f>
        <v>Una persona usa un equipo plano para limpiar la abertura soldada.</v>
      </c>
    </row>
    <row r="11169">
      <c r="A11169" s="4" t="s">
        <v>14040</v>
      </c>
      <c r="B11169" s="4" t="s">
        <v>14046</v>
      </c>
      <c r="C11169" s="5" t="str">
        <f>IFERROR(__xludf.DUMMYFUNCTION("GOOGLETRANSLATE(B11169,""en"",""es-ES"")"),"Una persona usa un equipo plano para mover los aceros en forma de mancuerna y luego los elimina con la mano.")</f>
        <v>Una persona usa un equipo plano para mover los aceros en forma de mancuerna y luego los elimina con la mano.</v>
      </c>
    </row>
    <row r="11170">
      <c r="A11170" s="4" t="s">
        <v>14040</v>
      </c>
      <c r="B11170" s="4" t="s">
        <v>14047</v>
      </c>
      <c r="C11170" s="5" t="str">
        <f>IFERROR(__xludf.DUMMYFUNCTION("GOOGLETRANSLATE(B11170,""en"",""es-ES"")"),"Se muestran los créditos del video.")</f>
        <v>Se muestran los créditos del video.</v>
      </c>
    </row>
    <row r="11171">
      <c r="A11171" s="4" t="s">
        <v>14048</v>
      </c>
      <c r="B11171" s="4" t="s">
        <v>14049</v>
      </c>
      <c r="C11171" s="5" t="str">
        <f>IFERROR(__xludf.DUMMYFUNCTION("GOOGLETRANSLATE(B11171,""en"",""es-ES"")"),"Una mujer les entrega una barra roja y hace varios pull de brazos.")</f>
        <v>Una mujer les entrega una barra roja y hace varios pull de brazos.</v>
      </c>
    </row>
    <row r="11172">
      <c r="A11172" s="4" t="s">
        <v>14048</v>
      </c>
      <c r="B11172" s="4" t="s">
        <v>14050</v>
      </c>
      <c r="C11172" s="5" t="str">
        <f>IFERROR(__xludf.DUMMYFUNCTION("GOOGLETRANSLATE(B11172,""en"",""es-ES"")"),"Luego desacelera sus piernas y salta con las manos a su lado.")</f>
        <v>Luego desacelera sus piernas y salta con las manos a su lado.</v>
      </c>
    </row>
    <row r="11173">
      <c r="A11173" s="4" t="s">
        <v>14048</v>
      </c>
      <c r="B11173" s="4" t="s">
        <v>14051</v>
      </c>
      <c r="C11173" s="5" t="str">
        <f>IFERROR(__xludf.DUMMYFUNCTION("GOOGLETRANSLATE(B11173,""en"",""es-ES"")"),"Un logotipo de Lifness Fitness luego parpadea en la pantalla.")</f>
        <v>Un logotipo de Lifness Fitness luego parpadea en la pantalla.</v>
      </c>
    </row>
    <row r="11174">
      <c r="A11174" s="4" t="s">
        <v>14052</v>
      </c>
      <c r="B11174" s="4" t="s">
        <v>14053</v>
      </c>
      <c r="C11174" s="5" t="str">
        <f>IFERROR(__xludf.DUMMYFUNCTION("GOOGLETRANSLATE(B11174,""en"",""es-ES"")"),"Se ve a una persona hojas de golpe alrededor de un patio con un soplador de hojas sentado en su espalda.")</f>
        <v>Se ve a una persona hojas de golpe alrededor de un patio con un soplador de hojas sentado en su espalda.</v>
      </c>
    </row>
    <row r="11175">
      <c r="A11175" s="4" t="s">
        <v>14052</v>
      </c>
      <c r="B11175" s="4" t="s">
        <v>14054</v>
      </c>
      <c r="C11175" s="5" t="str">
        <f>IFERROR(__xludf.DUMMYFUNCTION("GOOGLETRANSLATE(B11175,""en"",""es-ES"")"),"La cámara lo sigue mientras el hombre se mueve por el patio soplando hojas por toda la zona.")</f>
        <v>La cámara lo sigue mientras el hombre se mueve por el patio soplando hojas por toda la zona.</v>
      </c>
    </row>
    <row r="11176">
      <c r="A11176" s="4" t="s">
        <v>14055</v>
      </c>
      <c r="B11176" s="4" t="s">
        <v>14056</v>
      </c>
      <c r="C11176" s="5" t="str">
        <f>IFERROR(__xludf.DUMMYFUNCTION("GOOGLETRANSLATE(B11176,""en"",""es-ES"")"),"Un hombre está sentado en una bicicleta para hacer ejercicio.")</f>
        <v>Un hombre está sentado en una bicicleta para hacer ejercicio.</v>
      </c>
    </row>
    <row r="11177">
      <c r="A11177" s="4" t="s">
        <v>14055</v>
      </c>
      <c r="B11177" s="4" t="s">
        <v>14057</v>
      </c>
      <c r="C11177" s="5" t="str">
        <f>IFERROR(__xludf.DUMMYFUNCTION("GOOGLETRANSLATE(B11177,""en"",""es-ES"")"),"Un hombre está de pie junto a él hablando.")</f>
        <v>Un hombre está de pie junto a él hablando.</v>
      </c>
    </row>
    <row r="11178">
      <c r="A11178" s="4" t="s">
        <v>14055</v>
      </c>
      <c r="B11178" s="4" t="s">
        <v>14058</v>
      </c>
      <c r="C11178" s="5" t="str">
        <f>IFERROR(__xludf.DUMMYFUNCTION("GOOGLETRANSLATE(B11178,""en"",""es-ES"")"),"Un logotipo en blanco y negro entra en la pantalla.")</f>
        <v>Un logotipo en blanco y negro entra en la pantalla.</v>
      </c>
    </row>
    <row r="11179">
      <c r="A11179" s="4" t="s">
        <v>14059</v>
      </c>
      <c r="B11179" s="4" t="s">
        <v>14060</v>
      </c>
      <c r="C11179" s="5" t="str">
        <f>IFERROR(__xludf.DUMMYFUNCTION("GOOGLETRANSLATE(B11179,""en"",""es-ES"")"),"La gimnasta Micah Ross monta la viga de equilibrio antes de una audiencia famosa mientras la multitud anima y grita su nombre.")</f>
        <v>La gimnasta Micah Ross monta la viga de equilibrio antes de una audiencia famosa mientras la multitud anima y grita su nombre.</v>
      </c>
    </row>
    <row r="11180">
      <c r="A11180" s="4" t="s">
        <v>14059</v>
      </c>
      <c r="B11180" s="4" t="s">
        <v>14061</v>
      </c>
      <c r="C11180" s="5" t="str">
        <f>IFERROR(__xludf.DUMMYFUNCTION("GOOGLETRANSLATE(B11180,""en"",""es-ES"")"),"Su rutina comienza con un flip, dividido y un SummerSault.")</f>
        <v>Su rutina comienza con un flip, dividido y un SummerSault.</v>
      </c>
    </row>
    <row r="11181">
      <c r="A11181" s="4" t="s">
        <v>14059</v>
      </c>
      <c r="B11181" s="4" t="s">
        <v>14062</v>
      </c>
      <c r="C11181" s="5" t="str">
        <f>IFERROR(__xludf.DUMMYFUNCTION("GOOGLETRANSLATE(B11181,""en"",""es-ES"")"),"Luego realiza dos volteretas hacia atrás y una pirueta.")</f>
        <v>Luego realiza dos volteretas hacia atrás y una pirueta.</v>
      </c>
    </row>
    <row r="11182">
      <c r="A11182" s="4" t="s">
        <v>14059</v>
      </c>
      <c r="B11182" s="4" t="s">
        <v>14063</v>
      </c>
      <c r="C11182" s="5" t="str">
        <f>IFERROR(__xludf.DUMMYFUNCTION("GOOGLETRANSLATE(B11182,""en"",""es-ES"")"),"Un volteo delantero y salto sigue junto con un volteo lateral.")</f>
        <v>Un volteo delantero y salto sigue junto con un volteo lateral.</v>
      </c>
    </row>
    <row r="11183">
      <c r="A11183" s="4" t="s">
        <v>14059</v>
      </c>
      <c r="B11183" s="4" t="s">
        <v>14064</v>
      </c>
      <c r="C11183" s="5" t="str">
        <f>IFERROR(__xludf.DUMMYFUNCTION("GOOGLETRANSLATE(B11183,""en"",""es-ES"")"),"Después de tambalearse brevemente en el bar, Micah recupera la compostura y realiza un delantero Summersault.")</f>
        <v>Después de tambalearse brevemente en el bar, Micah recupera la compostura y realiza un delantero Summersault.</v>
      </c>
    </row>
    <row r="11184">
      <c r="A11184" s="4" t="s">
        <v>14059</v>
      </c>
      <c r="B11184" s="4" t="s">
        <v>14065</v>
      </c>
      <c r="C11184" s="5" t="str">
        <f>IFERROR(__xludf.DUMMYFUNCTION("GOOGLETRANSLATE(B11184,""en"",""es-ES"")"),"Ross desmonta con éxito con un doble volteo a los aplausos de la audiencia.")</f>
        <v>Ross desmonta con éxito con un doble volteo a los aplausos de la audiencia.</v>
      </c>
    </row>
    <row r="11185">
      <c r="A11185" s="4" t="s">
        <v>14066</v>
      </c>
      <c r="B11185" s="4" t="s">
        <v>14067</v>
      </c>
      <c r="C11185" s="5" t="str">
        <f>IFERROR(__xludf.DUMMYFUNCTION("GOOGLETRANSLATE(B11185,""en"",""es-ES"")"),"Un baterista está tocando, luego se rompió el palo.")</f>
        <v>Un baterista está tocando, luego se rompió el palo.</v>
      </c>
    </row>
    <row r="11186">
      <c r="A11186" s="4" t="s">
        <v>14066</v>
      </c>
      <c r="B11186" s="4" t="s">
        <v>14068</v>
      </c>
      <c r="C11186" s="5" t="str">
        <f>IFERROR(__xludf.DUMMYFUNCTION("GOOGLETRANSLATE(B11186,""en"",""es-ES"")"),"Un niño con camisa azul golpeó el tambor, pero el gran tambor sigue moviéndose, luego cayó.")</f>
        <v>Un niño con camisa azul golpeó el tambor, pero el gran tambor sigue moviéndose, luego cayó.</v>
      </c>
    </row>
    <row r="11187">
      <c r="A11187" s="4" t="s">
        <v>14066</v>
      </c>
      <c r="B11187" s="4" t="s">
        <v>14069</v>
      </c>
      <c r="C11187" s="5" t="str">
        <f>IFERROR(__xludf.DUMMYFUNCTION("GOOGLETRANSLATE(B11187,""en"",""es-ES"")"),"Un niño con auriculares está tocando y el palo se atascó en el instrumento.")</f>
        <v>Un niño con auriculares está tocando y el palo se atascó en el instrumento.</v>
      </c>
    </row>
    <row r="11188">
      <c r="A11188" s="4" t="s">
        <v>14066</v>
      </c>
      <c r="B11188" s="4" t="s">
        <v>14070</v>
      </c>
      <c r="C11188" s="5" t="str">
        <f>IFERROR(__xludf.DUMMYFUNCTION("GOOGLETRANSLATE(B11188,""en"",""es-ES"")"),"La banda está tocando, mientras el hombre está cantando, el baterista se cayó de la silla.")</f>
        <v>La banda está tocando, mientras el hombre está cantando, el baterista se cayó de la silla.</v>
      </c>
    </row>
    <row r="11189">
      <c r="A11189" s="4" t="s">
        <v>14066</v>
      </c>
      <c r="B11189" s="4" t="s">
        <v>14071</v>
      </c>
      <c r="C11189" s="5" t="str">
        <f>IFERROR(__xludf.DUMMYFUNCTION("GOOGLETRANSLATE(B11189,""en"",""es-ES"")"),"La banda de marcha toca su batería, luego uno de los bateristas cayó al suelo, una persona vino a ayudarlo.")</f>
        <v>La banda de marcha toca su batería, luego uno de los bateristas cayó al suelo, una persona vino a ayudarlo.</v>
      </c>
    </row>
    <row r="11190">
      <c r="A11190" s="4" t="s">
        <v>14066</v>
      </c>
      <c r="B11190" s="4" t="s">
        <v>14072</v>
      </c>
      <c r="C11190" s="5" t="str">
        <f>IFERROR(__xludf.DUMMYFUNCTION("GOOGLETRANSLATE(B11190,""en"",""es-ES"")"),"Un baterista en el escenario cayó del escenario.")</f>
        <v>Un baterista en el escenario cayó del escenario.</v>
      </c>
    </row>
    <row r="11191">
      <c r="A11191" s="4" t="s">
        <v>14073</v>
      </c>
      <c r="B11191" s="4" t="s">
        <v>14074</v>
      </c>
      <c r="C11191" s="5" t="str">
        <f>IFERROR(__xludf.DUMMYFUNCTION("GOOGLETRANSLATE(B11191,""en"",""es-ES"")"),"Un chico y una dama interactúan.")</f>
        <v>Un chico y una dama interactúan.</v>
      </c>
    </row>
    <row r="11192">
      <c r="A11192" s="4" t="s">
        <v>14073</v>
      </c>
      <c r="B11192" s="4" t="s">
        <v>14075</v>
      </c>
      <c r="C11192" s="5" t="str">
        <f>IFERROR(__xludf.DUMMYFUNCTION("GOOGLETRANSLATE(B11192,""en"",""es-ES"")"),"La señora sostiene papeles y libros.")</f>
        <v>La señora sostiene papeles y libros.</v>
      </c>
    </row>
    <row r="11193">
      <c r="A11193" s="4" t="s">
        <v>14073</v>
      </c>
      <c r="B11193" s="4" t="s">
        <v>14076</v>
      </c>
      <c r="C11193" s="5" t="str">
        <f>IFERROR(__xludf.DUMMYFUNCTION("GOOGLETRANSLATE(B11193,""en"",""es-ES"")"),"El chico aplaude y vítores.")</f>
        <v>El chico aplaude y vítores.</v>
      </c>
    </row>
    <row r="11194">
      <c r="A11194" s="4" t="s">
        <v>14073</v>
      </c>
      <c r="B11194" s="4" t="s">
        <v>14077</v>
      </c>
      <c r="C11194" s="5" t="str">
        <f>IFERROR(__xludf.DUMMYFUNCTION("GOOGLETRANSLATE(B11194,""en"",""es-ES"")"),"La señora toca una flauta mientras mira las notas en los papeles.")</f>
        <v>La señora toca una flauta mientras mira las notas en los papeles.</v>
      </c>
    </row>
    <row r="11195">
      <c r="A11195" s="4" t="s">
        <v>14073</v>
      </c>
      <c r="B11195" s="4" t="s">
        <v>14078</v>
      </c>
      <c r="C11195" s="5" t="str">
        <f>IFERROR(__xludf.DUMMYFUNCTION("GOOGLETRANSLATE(B11195,""en"",""es-ES"")"),"La señora deja de tocar la flauta y la presenta.")</f>
        <v>La señora deja de tocar la flauta y la presenta.</v>
      </c>
    </row>
    <row r="11196">
      <c r="A11196" s="4" t="s">
        <v>14073</v>
      </c>
      <c r="B11196" s="4" t="s">
        <v>14079</v>
      </c>
      <c r="C11196" s="5" t="str">
        <f>IFERROR(__xludf.DUMMYFUNCTION("GOOGLETRANSLATE(B11196,""en"",""es-ES"")"),"El tipo toca una armónica.")</f>
        <v>El tipo toca una armónica.</v>
      </c>
    </row>
    <row r="11197">
      <c r="A11197" s="4" t="s">
        <v>14073</v>
      </c>
      <c r="B11197" s="4" t="s">
        <v>14080</v>
      </c>
      <c r="C11197" s="5" t="str">
        <f>IFERROR(__xludf.DUMMYFUNCTION("GOOGLETRANSLATE(B11197,""en"",""es-ES"")"),"El chico se ve enojado y la señora se disculpa.")</f>
        <v>El chico se ve enojado y la señora se disculpa.</v>
      </c>
    </row>
    <row r="11198">
      <c r="A11198" s="4" t="s">
        <v>14073</v>
      </c>
      <c r="B11198" s="4" t="s">
        <v>14081</v>
      </c>
      <c r="C11198" s="5" t="str">
        <f>IFERROR(__xludf.DUMMYFUNCTION("GOOGLETRANSLATE(B11198,""en"",""es-ES"")"),"El tipo baja la cabeza.")</f>
        <v>El tipo baja la cabeza.</v>
      </c>
    </row>
    <row r="11199">
      <c r="A11199" s="4" t="s">
        <v>14073</v>
      </c>
      <c r="B11199" s="4" t="s">
        <v>14082</v>
      </c>
      <c r="C11199" s="5" t="str">
        <f>IFERROR(__xludf.DUMMYFUNCTION("GOOGLETRANSLATE(B11199,""en"",""es-ES"")"),"El chico y la dama dan adiós.")</f>
        <v>El chico y la dama dan adiós.</v>
      </c>
    </row>
    <row r="11200">
      <c r="A11200" s="4" t="s">
        <v>14073</v>
      </c>
      <c r="B11200" s="4" t="s">
        <v>14083</v>
      </c>
      <c r="C11200" s="5" t="str">
        <f>IFERROR(__xludf.DUMMYFUNCTION("GOOGLETRANSLATE(B11200,""en"",""es-ES"")"),"El chico toma la flauta de la dama y finge golpearla en su barbilla.")</f>
        <v>El chico toma la flauta de la dama y finge golpearla en su barbilla.</v>
      </c>
    </row>
    <row r="11201">
      <c r="A11201" s="4" t="s">
        <v>14084</v>
      </c>
      <c r="B11201" s="4" t="s">
        <v>14085</v>
      </c>
      <c r="C11201" s="5" t="str">
        <f>IFERROR(__xludf.DUMMYFUNCTION("GOOGLETRANSLATE(B11201,""en"",""es-ES"")"),"Una mujer está parada a la luz del sol, posando y modelando para la cámara.")</f>
        <v>Una mujer está parada a la luz del sol, posando y modelando para la cámara.</v>
      </c>
    </row>
    <row r="11202">
      <c r="A11202" s="4" t="s">
        <v>14084</v>
      </c>
      <c r="B11202" s="4" t="s">
        <v>14086</v>
      </c>
      <c r="C11202" s="5" t="str">
        <f>IFERROR(__xludf.DUMMYFUNCTION("GOOGLETRANSLATE(B11202,""en"",""es-ES"")"),"Ella muestra su cabello natural, luego demuestra cómo diseñarlo usando un soplo.")</f>
        <v>Ella muestra su cabello natural, luego demuestra cómo diseñarlo usando un soplo.</v>
      </c>
    </row>
    <row r="11203">
      <c r="A11203" s="4" t="s">
        <v>14087</v>
      </c>
      <c r="B11203" s="4" t="s">
        <v>14088</v>
      </c>
      <c r="C11203" s="5" t="str">
        <f>IFERROR(__xludf.DUMMYFUNCTION("GOOGLETRANSLATE(B11203,""en"",""es-ES"")"),"Se ve a un hombre parado con los brazos en alto y luego comienza una rutina de gimnastas.")</f>
        <v>Se ve a un hombre parado con los brazos en alto y luego comienza una rutina de gimnastas.</v>
      </c>
    </row>
    <row r="11204">
      <c r="A11204" s="4" t="s">
        <v>14087</v>
      </c>
      <c r="B11204" s="4" t="s">
        <v>14089</v>
      </c>
      <c r="C11204" s="5" t="str">
        <f>IFERROR(__xludf.DUMMYFUNCTION("GOOGLETRANSLATE(B11204,""en"",""es-ES"")"),"El hombre continúa balanceándose sobre las barras desiguales y saltando para terminar.")</f>
        <v>El hombre continúa balanceándose sobre las barras desiguales y saltando para terminar.</v>
      </c>
    </row>
    <row r="11205">
      <c r="A11205" s="4" t="s">
        <v>14087</v>
      </c>
      <c r="B11205" s="4" t="s">
        <v>14090</v>
      </c>
      <c r="C11205" s="5" t="str">
        <f>IFERROR(__xludf.DUMMYFUNCTION("GOOGLETRANSLATE(B11205,""en"",""es-ES"")"),"El hombre se aleja mientras se muestra su puntaje y su rutina se muestra nuevamente en cámara lenta.")</f>
        <v>El hombre se aleja mientras se muestra su puntaje y su rutina se muestra nuevamente en cámara lenta.</v>
      </c>
    </row>
    <row r="11206">
      <c r="A11206" s="4" t="s">
        <v>14091</v>
      </c>
      <c r="B11206" s="4" t="s">
        <v>14092</v>
      </c>
      <c r="C11206" s="5" t="str">
        <f>IFERROR(__xludf.DUMMYFUNCTION("GOOGLETRANSLATE(B11206,""en"",""es-ES"")"),"Un hombre habla en frente una cerca de un patio trasero.")</f>
        <v>Un hombre habla en frente una cerca de un patio trasero.</v>
      </c>
    </row>
    <row r="11207">
      <c r="A11207" s="4" t="s">
        <v>14091</v>
      </c>
      <c r="B11207" s="4" t="s">
        <v>14093</v>
      </c>
      <c r="C11207" s="5" t="str">
        <f>IFERROR(__xludf.DUMMYFUNCTION("GOOGLETRANSLATE(B11207,""en"",""es-ES"")"),"Luego, el hombre habla a una persona en un taller de pintura, y la persona le muestra herramientas en un escaparate.")</f>
        <v>Luego, el hombre habla a una persona en un taller de pintura, y la persona le muestra herramientas en un escaparate.</v>
      </c>
    </row>
    <row r="11208">
      <c r="A11208" s="4" t="s">
        <v>14091</v>
      </c>
      <c r="B11208" s="4" t="s">
        <v>14094</v>
      </c>
      <c r="C11208" s="5" t="str">
        <f>IFERROR(__xludf.DUMMYFUNCTION("GOOGLETRANSLATE(B11208,""en"",""es-ES"")"),"Después, el hombre muestra los botones de la máquina de pintura en el patio trasero.")</f>
        <v>Después, el hombre muestra los botones de la máquina de pintura en el patio trasero.</v>
      </c>
    </row>
    <row r="11209">
      <c r="A11209" s="4" t="s">
        <v>14091</v>
      </c>
      <c r="B11209" s="4" t="s">
        <v>14095</v>
      </c>
      <c r="C11209" s="5" t="str">
        <f>IFERROR(__xludf.DUMMYFUNCTION("GOOGLETRANSLATE(B11209,""en"",""es-ES"")"),"Después, el hombre pone cinta azul en el costado de la cerca y cubre un riel.")</f>
        <v>Después, el hombre pone cinta azul en el costado de la cerca y cubre un riel.</v>
      </c>
    </row>
    <row r="11210">
      <c r="A11210" s="4" t="s">
        <v>14091</v>
      </c>
      <c r="B11210" s="4" t="s">
        <v>14096</v>
      </c>
      <c r="C11210" s="5" t="str">
        <f>IFERROR(__xludf.DUMMYFUNCTION("GOOGLETRANSLATE(B11210,""en"",""es-ES"")"),"Luego, el hombre pinta la cerca con la manguera de la máquina mientras usa una máscara.")</f>
        <v>Luego, el hombre pinta la cerca con la manguera de la máquina mientras usa una máscara.</v>
      </c>
    </row>
    <row r="11211">
      <c r="A11211" s="4" t="s">
        <v>14091</v>
      </c>
      <c r="B11211" s="4" t="s">
        <v>14097</v>
      </c>
      <c r="C11211" s="5" t="str">
        <f>IFERROR(__xludf.DUMMYFUNCTION("GOOGLETRANSLATE(B11211,""en"",""es-ES"")"),"El hombre continúa explicando en el frente la máquina y los cubos de pintura.")</f>
        <v>El hombre continúa explicando en el frente la máquina y los cubos de pintura.</v>
      </c>
    </row>
    <row r="11212">
      <c r="A11212" s="4" t="s">
        <v>14098</v>
      </c>
      <c r="B11212" s="4" t="s">
        <v>14099</v>
      </c>
      <c r="C11212" s="5" t="str">
        <f>IFERROR(__xludf.DUMMYFUNCTION("GOOGLETRANSLATE(B11212,""en"",""es-ES"")"),"Un grupo de niños está en un salón de clases, como poner parado en un círculo.")</f>
        <v>Un grupo de niños está en un salón de clases, como poner parado en un círculo.</v>
      </c>
    </row>
    <row r="11213">
      <c r="A11213" s="4" t="s">
        <v>14098</v>
      </c>
      <c r="B11213" s="4" t="s">
        <v>14100</v>
      </c>
      <c r="C11213" s="5" t="str">
        <f>IFERROR(__xludf.DUMMYFUNCTION("GOOGLETRANSLATE(B11213,""en"",""es-ES"")"),"En el medio del círculo, una mujer está golpeando una piñata envuelta en papel de pared azul.")</f>
        <v>En el medio del círculo, una mujer está golpeando una piñata envuelta en papel de pared azul.</v>
      </c>
    </row>
    <row r="11214">
      <c r="A11214" s="4" t="s">
        <v>14101</v>
      </c>
      <c r="B11214" s="4" t="s">
        <v>14102</v>
      </c>
      <c r="C11214" s="5" t="str">
        <f>IFERROR(__xludf.DUMMYFUNCTION("GOOGLETRANSLATE(B11214,""en"",""es-ES"")"),"Little Kid está saltando sobre hojas secas.")</f>
        <v>Little Kid está saltando sobre hojas secas.</v>
      </c>
    </row>
    <row r="11215">
      <c r="A11215" s="4" t="s">
        <v>14101</v>
      </c>
      <c r="B11215" s="4" t="s">
        <v>14103</v>
      </c>
      <c r="C11215" s="5" t="str">
        <f>IFERROR(__xludf.DUMMYFUNCTION("GOOGLETRANSLATE(B11215,""en"",""es-ES"")"),"La mujer está rastrillando las hojas secas en un patio.")</f>
        <v>La mujer está rastrillando las hojas secas en un patio.</v>
      </c>
    </row>
    <row r="11216">
      <c r="A11216" s="4" t="s">
        <v>14101</v>
      </c>
      <c r="B11216" s="4" t="s">
        <v>14104</v>
      </c>
      <c r="C11216" s="5" t="str">
        <f>IFERROR(__xludf.DUMMYFUNCTION("GOOGLETRANSLATE(B11216,""en"",""es-ES"")"),"El niño se arrodilla y agarra una hoja seca para ponerla en el contenedor de basura.")</f>
        <v>El niño se arrodilla y agarra una hoja seca para ponerla en el contenedor de basura.</v>
      </c>
    </row>
    <row r="11217">
      <c r="A11217" s="4" t="s">
        <v>14105</v>
      </c>
      <c r="B11217" s="4" t="s">
        <v>14106</v>
      </c>
      <c r="C11217" s="5" t="str">
        <f>IFERROR(__xludf.DUMMYFUNCTION("GOOGLETRANSLATE(B11217,""en"",""es-ES"")"),"Una niña se balancea a través de los bares de mono en un terreno de juego.")</f>
        <v>Una niña se balancea a través de los bares de mono en un terreno de juego.</v>
      </c>
    </row>
    <row r="11218">
      <c r="A11218" s="4" t="s">
        <v>14105</v>
      </c>
      <c r="B11218" s="4" t="s">
        <v>14107</v>
      </c>
      <c r="C11218" s="5" t="str">
        <f>IFERROR(__xludf.DUMMYFUNCTION("GOOGLETRANSLATE(B11218,""en"",""es-ES"")"),"Ella atraviesa cada bar antes de saltar al suelo.")</f>
        <v>Ella atraviesa cada bar antes de saltar al suelo.</v>
      </c>
    </row>
    <row r="11219">
      <c r="A11219" s="4" t="s">
        <v>14105</v>
      </c>
      <c r="B11219" s="4" t="s">
        <v>14108</v>
      </c>
      <c r="C11219" s="5" t="str">
        <f>IFERROR(__xludf.DUMMYFUNCTION("GOOGLETRANSLATE(B11219,""en"",""es-ES"")"),"Ella vuelve al principio y vuelve a colocar los bares.")</f>
        <v>Ella vuelve al principio y vuelve a colocar los bares.</v>
      </c>
    </row>
    <row r="11220">
      <c r="A11220" s="4" t="s">
        <v>14109</v>
      </c>
      <c r="B11220" s="4" t="s">
        <v>14110</v>
      </c>
      <c r="C11220" s="5" t="str">
        <f>IFERROR(__xludf.DUMMYFUNCTION("GOOGLETRANSLATE(B11220,""en"",""es-ES"")"),"Un joven está hablando con la cámara afuera mientras saca las hojaldres de una narguile.")</f>
        <v>Un joven está hablando con la cámara afuera mientras saca las hojaldres de una narguile.</v>
      </c>
    </row>
    <row r="11221">
      <c r="A11221" s="4" t="s">
        <v>14109</v>
      </c>
      <c r="B11221" s="4" t="s">
        <v>14111</v>
      </c>
      <c r="C11221" s="5" t="str">
        <f>IFERROR(__xludf.DUMMYFUNCTION("GOOGLETRANSLATE(B11221,""en"",""es-ES"")"),"Ajusta la pipa y saca un golpe de una bebida energética.")</f>
        <v>Ajusta la pipa y saca un golpe de una bebida energética.</v>
      </c>
    </row>
    <row r="11222">
      <c r="A11222" s="4" t="s">
        <v>14109</v>
      </c>
      <c r="B11222" s="4" t="s">
        <v>14112</v>
      </c>
      <c r="C11222" s="5" t="str">
        <f>IFERROR(__xludf.DUMMYFUNCTION("GOOGLETRANSLATE(B11222,""en"",""es-ES"")"),"Mueve la cámara para mostrar a otro hombre y continúa fumando la narguile al lado del otro hombre.")</f>
        <v>Mueve la cámara para mostrar a otro hombre y continúa fumando la narguile al lado del otro hombre.</v>
      </c>
    </row>
    <row r="11223">
      <c r="A11223" s="4" t="s">
        <v>14109</v>
      </c>
      <c r="B11223" s="4" t="s">
        <v>14113</v>
      </c>
      <c r="C11223" s="5" t="str">
        <f>IFERROR(__xludf.DUMMYFUNCTION("GOOGLETRANSLATE(B11223,""en"",""es-ES"")"),"Ambos miran a la cámara mientras fuman y el niño aún continúa bebiendo la bebida energética.")</f>
        <v>Ambos miran a la cámara mientras fuman y el niño aún continúa bebiendo la bebida energética.</v>
      </c>
    </row>
    <row r="11224">
      <c r="A11224" s="4" t="s">
        <v>14114</v>
      </c>
      <c r="B11224" s="4" t="s">
        <v>14115</v>
      </c>
      <c r="C11224" s="5" t="str">
        <f>IFERROR(__xludf.DUMMYFUNCTION("GOOGLETRANSLATE(B11224,""en"",""es-ES"")"),"Mucha gente está sentada en los puestos en un buey.")</f>
        <v>Mucha gente está sentada en los puestos en un buey.</v>
      </c>
    </row>
    <row r="11225">
      <c r="A11225" s="4" t="s">
        <v>14114</v>
      </c>
      <c r="B11225" s="4" t="s">
        <v>14116</v>
      </c>
      <c r="C11225" s="5" t="str">
        <f>IFERROR(__xludf.DUMMYFUNCTION("GOOGLETRANSLATE(B11225,""en"",""es-ES"")"),"Los bullfighters están sosteniendo la tela roja que corre hacia un toro.")</f>
        <v>Los bullfighters están sosteniendo la tela roja que corre hacia un toro.</v>
      </c>
    </row>
    <row r="11226">
      <c r="A11226" s="4" t="s">
        <v>14117</v>
      </c>
      <c r="B11226" s="4" t="s">
        <v>14118</v>
      </c>
      <c r="C11226" s="5" t="str">
        <f>IFERROR(__xludf.DUMMYFUNCTION("GOOGLETRANSLATE(B11226,""en"",""es-ES"")"),"Varios premios se muestran sobre un lugar de fuego y luego se mueven hacia la pared de la izquierda.")</f>
        <v>Varios premios se muestran sobre un lugar de fuego y luego se mueven hacia la pared de la izquierda.</v>
      </c>
    </row>
    <row r="11227">
      <c r="A11227" s="4" t="s">
        <v>14117</v>
      </c>
      <c r="B11227" s="4" t="s">
        <v>14119</v>
      </c>
      <c r="C11227" s="5" t="str">
        <f>IFERROR(__xludf.DUMMYFUNCTION("GOOGLETRANSLATE(B11227,""en"",""es-ES"")"),"Se muestra una mesa de comida y la persona que graba toma una galleta y sale de la habitación.")</f>
        <v>Se muestra una mesa de comida y la persona que graba toma una galleta y sale de la habitación.</v>
      </c>
    </row>
    <row r="11228">
      <c r="A11228" s="4" t="s">
        <v>14117</v>
      </c>
      <c r="B11228" s="4" t="s">
        <v>14120</v>
      </c>
      <c r="C11228" s="5" t="str">
        <f>IFERROR(__xludf.DUMMYFUNCTION("GOOGLETRANSLATE(B11228,""en"",""es-ES"")"),"La siguiente habitación en la que entra, hay varias personas paradas jugando a Beer Pong y procede a caminar por la casa.")</f>
        <v>La siguiente habitación en la que entra, hay varias personas paradas jugando a Beer Pong y procede a caminar por la casa.</v>
      </c>
    </row>
    <row r="11229">
      <c r="A11229" s="4" t="s">
        <v>14121</v>
      </c>
      <c r="B11229" s="4" t="s">
        <v>14122</v>
      </c>
      <c r="C11229" s="5" t="str">
        <f>IFERROR(__xludf.DUMMYFUNCTION("GOOGLETRANSLATE(B11229,""en"",""es-ES"")"),"Una mujer se muestra en Wal-Mart, riendo y eligiendo aretes de un estante.")</f>
        <v>Una mujer se muestra en Wal-Mart, riendo y eligiendo aretes de un estante.</v>
      </c>
    </row>
    <row r="11230">
      <c r="A11230" s="4" t="s">
        <v>14121</v>
      </c>
      <c r="B11230" s="4" t="s">
        <v>14123</v>
      </c>
      <c r="C11230" s="5" t="str">
        <f>IFERROR(__xludf.DUMMYFUNCTION("GOOGLETRANSLATE(B11230,""en"",""es-ES"")"),"Se sienta en una silla y un empleado dispara un arete en su lóbulo con una pistola penetrante.")</f>
        <v>Se sienta en una silla y un empleado dispara un arete en su lóbulo con una pistola penetrante.</v>
      </c>
    </row>
    <row r="11231">
      <c r="A11231" s="4" t="s">
        <v>14121</v>
      </c>
      <c r="B11231" s="4" t="s">
        <v>14124</v>
      </c>
      <c r="C11231" s="5" t="str">
        <f>IFERROR(__xludf.DUMMYFUNCTION("GOOGLETRANSLATE(B11231,""en"",""es-ES"")"),"Ella se encoge de dolor cuando entra en su oído.")</f>
        <v>Ella se encoge de dolor cuando entra en su oído.</v>
      </c>
    </row>
    <row r="11232">
      <c r="A11232" s="4" t="s">
        <v>14125</v>
      </c>
      <c r="B11232" s="4" t="s">
        <v>14126</v>
      </c>
      <c r="C11232" s="5" t="str">
        <f>IFERROR(__xludf.DUMMYFUNCTION("GOOGLETRANSLATE(B11232,""en"",""es-ES"")"),"Vemos tres pantallas de introducción separadas.")</f>
        <v>Vemos tres pantallas de introducción separadas.</v>
      </c>
    </row>
    <row r="11233">
      <c r="A11233" s="4" t="s">
        <v>14125</v>
      </c>
      <c r="B11233" s="4" t="s">
        <v>14127</v>
      </c>
      <c r="C11233" s="5" t="str">
        <f>IFERROR(__xludf.DUMMYFUNCTION("GOOGLETRANSLATE(B11233,""en"",""es-ES"")"),"Vemos a un hombre haciendo tomas en hockey con pantallas de título en el medio.")</f>
        <v>Vemos a un hombre haciendo tomas en hockey con pantallas de título en el medio.</v>
      </c>
    </row>
    <row r="11234">
      <c r="A11234" s="4" t="s">
        <v>14125</v>
      </c>
      <c r="B11234" s="4" t="s">
        <v>14128</v>
      </c>
      <c r="C11234" s="5" t="str">
        <f>IFERROR(__xludf.DUMMYFUNCTION("GOOGLETRANSLATE(B11234,""en"",""es-ES"")"),"Un hombre dispara un tiro al hockey y lo hace y vemos un resumen de cámara lenta.")</f>
        <v>Un hombre dispara un tiro al hockey y lo hace y vemos un resumen de cámara lenta.</v>
      </c>
    </row>
    <row r="11235">
      <c r="A11235" s="4" t="s">
        <v>14125</v>
      </c>
      <c r="B11235" s="4" t="s">
        <v>14129</v>
      </c>
      <c r="C11235" s="5" t="str">
        <f>IFERROR(__xludf.DUMMYFUNCTION("GOOGLETRANSLATE(B11235,""en"",""es-ES"")"),"El hombre toma otra oportunidad y lo hace y también vemos un resumen de eso.")</f>
        <v>El hombre toma otra oportunidad y lo hace y también vemos un resumen de eso.</v>
      </c>
    </row>
    <row r="11236">
      <c r="A11236" s="4" t="s">
        <v>14125</v>
      </c>
      <c r="B11236" s="4" t="s">
        <v>14130</v>
      </c>
      <c r="C11236" s="5" t="str">
        <f>IFERROR(__xludf.DUMMYFUNCTION("GOOGLETRANSLATE(B11236,""en"",""es-ES"")"),"Vemos el disparo desde arriba y un resumen.")</f>
        <v>Vemos el disparo desde arriba y un resumen.</v>
      </c>
    </row>
    <row r="11237">
      <c r="A11237" s="4" t="s">
        <v>14131</v>
      </c>
      <c r="B11237" s="4" t="s">
        <v>14132</v>
      </c>
      <c r="C11237" s="5" t="str">
        <f>IFERROR(__xludf.DUMMYFUNCTION("GOOGLETRANSLATE(B11237,""en"",""es-ES"")"),"Un chico está operando un prensador eléctrico.")</f>
        <v>Un chico está operando un prensador eléctrico.</v>
      </c>
    </row>
    <row r="11238">
      <c r="A11238" s="4" t="s">
        <v>14131</v>
      </c>
      <c r="B11238" s="4" t="s">
        <v>14133</v>
      </c>
      <c r="C11238" s="5" t="str">
        <f>IFERROR(__xludf.DUMMYFUNCTION("GOOGLETRANSLATE(B11238,""en"",""es-ES"")"),"Un hombre está azotando con una alfombra oscura.")</f>
        <v>Un hombre está azotando con una alfombra oscura.</v>
      </c>
    </row>
    <row r="11239">
      <c r="A11239" s="4" t="s">
        <v>14131</v>
      </c>
      <c r="B11239" s="4" t="s">
        <v>14134</v>
      </c>
      <c r="C11239" s="5" t="str">
        <f>IFERROR(__xludf.DUMMYFUNCTION("GOOGLETRANSLATE(B11239,""en"",""es-ES"")"),"El tipo está haciendo un gesto en el trabajo de la máquina.")</f>
        <v>El tipo está haciendo un gesto en el trabajo de la máquina.</v>
      </c>
    </row>
    <row r="11240">
      <c r="A11240" s="4" t="s">
        <v>14135</v>
      </c>
      <c r="B11240" s="4" t="s">
        <v>14136</v>
      </c>
      <c r="C11240" s="5" t="str">
        <f>IFERROR(__xludf.DUMMYFUNCTION("GOOGLETRANSLATE(B11240,""en"",""es-ES"")"),"Un grupo de niños juega agua con una bola amarilla en una piscina al aire libre rodeada de una cerca y árboles altos y follaje.")</f>
        <v>Un grupo de niños juega agua con una bola amarilla en una piscina al aire libre rodeada de una cerca y árboles altos y follaje.</v>
      </c>
    </row>
    <row r="11241">
      <c r="A11241" s="4" t="s">
        <v>14135</v>
      </c>
      <c r="B11241" s="4" t="s">
        <v>14137</v>
      </c>
      <c r="C11241" s="5" t="str">
        <f>IFERROR(__xludf.DUMMYFUNCTION("GOOGLETRANSLATE(B11241,""en"",""es-ES"")"),"Un grupo de niños juega atrapado en una piscina al aire libre con una bola amarilla, lanzándose la pelota entre sí y luego arrojando la pelota fuera de la piscina a una fiesta invisible.")</f>
        <v>Un grupo de niños juega atrapado en una piscina al aire libre con una bola amarilla, lanzándose la pelota entre sí y luego arrojando la pelota fuera de la piscina a una fiesta invisible.</v>
      </c>
    </row>
    <row r="11242">
      <c r="A11242" s="4" t="s">
        <v>14135</v>
      </c>
      <c r="B11242" s="4" t="s">
        <v>14138</v>
      </c>
      <c r="C11242" s="5" t="str">
        <f>IFERROR(__xludf.DUMMYFUNCTION("GOOGLETRANSLATE(B11242,""en"",""es-ES"")"),"La pelota se vuelve a arrojar a la piscina y los muchachos proceden a arrojarlo nuevamente.")</f>
        <v>La pelota se vuelve a arrojar a la piscina y los muchachos proceden a arrojarlo nuevamente.</v>
      </c>
    </row>
    <row r="11243">
      <c r="A11243" s="4" t="s">
        <v>14139</v>
      </c>
      <c r="B11243" s="4" t="s">
        <v>14140</v>
      </c>
      <c r="C11243" s="5" t="str">
        <f>IFERROR(__xludf.DUMMYFUNCTION("GOOGLETRANSLATE(B11243,""en"",""es-ES"")"),"Aparecen una introducción llena de efectos especiales de diferentes pantallas que se unen y el resultado final es una señal cuadrada que dice ""Getitsweet Get It Sweet 2014"" y el color es blanco, rosa, rosa oscuro y marrón con el efecto de goteo de choco"&amp;"late desde La parte superior del letrero.")</f>
        <v>Aparecen una introducción llena de efectos especiales de diferentes pantallas que se unen y el resultado final es una señal cuadrada que dice "Getitsweet Get It Sweet 2014" y el color es blanco, rosa, rosa oscuro y marrón con el efecto de goteo de chocolate desde La parte superior del letrero.</v>
      </c>
    </row>
    <row r="11244">
      <c r="A11244" s="4" t="s">
        <v>14139</v>
      </c>
      <c r="B11244" s="4" t="s">
        <v>14141</v>
      </c>
      <c r="C11244" s="5" t="str">
        <f>IFERROR(__xludf.DUMMYFUNCTION("GOOGLETRANSLATE(B11244,""en"",""es-ES"")"),"Aparece un lote de galletas de rollo de canela en una bandeja y aparece una lista rápida de los ingredientes junto con los ingredientes reales en diferentes tazones.")</f>
        <v>Aparece un lote de galletas de rollo de canela en una bandeja y aparece una lista rápida de los ingredientes junto con los ingredientes reales en diferentes tazones.</v>
      </c>
    </row>
    <row r="11245">
      <c r="A11245" s="4" t="s">
        <v>14139</v>
      </c>
      <c r="B11245" s="4" t="s">
        <v>14142</v>
      </c>
      <c r="C11245" s="5" t="str">
        <f>IFERROR(__xludf.DUMMYFUNCTION("GOOGLETRANSLATE(B11245,""en"",""es-ES"")"),"Los ingredientes ahora se muestran que se verían en un tazón transparente grande que se mezcla con una batidora de manos, y las instrucciones ocasionalmente aparecen en la pantalla.")</f>
        <v>Los ingredientes ahora se muestran que se verían en un tazón transparente grande que se mezcla con una batidora de manos, y las instrucciones ocasionalmente aparecen en la pantalla.</v>
      </c>
    </row>
    <row r="11246">
      <c r="A11246" s="4" t="s">
        <v>14139</v>
      </c>
      <c r="B11246" s="4" t="s">
        <v>14143</v>
      </c>
      <c r="C11246" s="5" t="str">
        <f>IFERROR(__xludf.DUMMYFUNCTION("GOOGLETRANSLATE(B11246,""en"",""es-ES"")"),"Cuando los ingredientes se mezclan completamente, la persona la aplana entre el plástico, lo enfría, luego lo coloca en una tabla de cortar para extenderlo, luego agrega azúcar y canela a la superficie plana.")</f>
        <v>Cuando los ingredientes se mezclan completamente, la persona la aplana entre el plástico, lo enfría, luego lo coloca en una tabla de cortar para extenderlo, luego agrega azúcar y canela a la superficie plana.</v>
      </c>
    </row>
    <row r="11247">
      <c r="A11247" s="4" t="s">
        <v>14139</v>
      </c>
      <c r="B11247" s="4" t="s">
        <v>14144</v>
      </c>
      <c r="C11247" s="5" t="str">
        <f>IFERROR(__xludf.DUMMYFUNCTION("GOOGLETRANSLATE(B11247,""en"",""es-ES"")"),"La persona luego la enrolla y lo pone en un trozo de envoltura de saran que está al lado de la tabla de cortar y luego envuelve el saran alrededor, lo enrolla un poco donde las instrucciones dicen que se enfríe durante 30 minutos.")</f>
        <v>La persona luego la enrolla y lo pone en un trozo de envoltura de saran que está al lado de la tabla de cortar y luego envuelve el saran alrededor, lo enrolla un poco donde las instrucciones dicen que se enfríe durante 30 minutos.</v>
      </c>
    </row>
    <row r="11248">
      <c r="A11248" s="4" t="s">
        <v>14139</v>
      </c>
      <c r="B11248" s="4" t="s">
        <v>14145</v>
      </c>
      <c r="C11248" s="5" t="str">
        <f>IFERROR(__xludf.DUMMYFUNCTION("GOOGLETRANSLATE(B11248,""en"",""es-ES"")"),"Una vez terminado de enfriar, se retira, se corta en la tabla de cortar, se coloca en una hoja de cocción y luego se cocina.")</f>
        <v>Una vez terminado de enfriar, se retira, se corta en la tabla de cortar, se coloca en una hoja de cocción y luego se cocina.</v>
      </c>
    </row>
    <row r="11249">
      <c r="A11249" s="4" t="s">
        <v>14139</v>
      </c>
      <c r="B11249" s="4" t="s">
        <v>14146</v>
      </c>
      <c r="C11249" s="5" t="str">
        <f>IFERROR(__xludf.DUMMYFUNCTION("GOOGLETRANSLATE(B11249,""en"",""es-ES"")"),"Los productos cocidos se muestran en platos blancos con una taza de café y la persona lo recoge y lo muerde.")</f>
        <v>Los productos cocidos se muestran en platos blancos con una taza de café y la persona lo recoge y lo muerde.</v>
      </c>
    </row>
    <row r="11250">
      <c r="A11250" s="4" t="s">
        <v>14139</v>
      </c>
      <c r="B11250" s="4" t="s">
        <v>14147</v>
      </c>
      <c r="C11250" s="5" t="str">
        <f>IFERROR(__xludf.DUMMYFUNCTION("GOOGLETRANSLATE(B11250,""en"",""es-ES"")"),"La última pantalla es una promoción de YouTube del canal de la persona que tiene 2 pequeños videos en los que puede hacer clic, y la redacción lo alienta a suscribirse.")</f>
        <v>La última pantalla es una promoción de YouTube del canal de la persona que tiene 2 pequeños videos en los que puede hacer clic, y la redacción lo alienta a suscribirse.</v>
      </c>
    </row>
    <row r="11251">
      <c r="A11251" s="4" t="s">
        <v>14148</v>
      </c>
      <c r="B11251" s="4" t="s">
        <v>14149</v>
      </c>
      <c r="C11251" s="5" t="str">
        <f>IFERROR(__xludf.DUMMYFUNCTION("GOOGLETRANSLATE(B11251,""en"",""es-ES"")"),"La gente está en una pequeña habitación bailando haciendo una coreografía.")</f>
        <v>La gente está en una pequeña habitación bailando haciendo una coreografía.</v>
      </c>
    </row>
    <row r="11252">
      <c r="A11252" s="4" t="s">
        <v>14148</v>
      </c>
      <c r="B11252" s="4" t="s">
        <v>14150</v>
      </c>
      <c r="C11252" s="5" t="str">
        <f>IFERROR(__xludf.DUMMYFUNCTION("GOOGLETRANSLATE(B11252,""en"",""es-ES"")"),"El hombre deja de bailar y sigue haciendo la coreografía.")</f>
        <v>El hombre deja de bailar y sigue haciendo la coreografía.</v>
      </c>
    </row>
    <row r="11253">
      <c r="A11253" s="4" t="s">
        <v>14148</v>
      </c>
      <c r="B11253" s="4" t="s">
        <v>14151</v>
      </c>
      <c r="C11253" s="5" t="str">
        <f>IFERROR(__xludf.DUMMYFUNCTION("GOOGLETRANSLATE(B11253,""en"",""es-ES"")"),"Hombre con pantalones cortos rojos y camisa gris liderando la coreografía frente a las personas en la habitación.")</f>
        <v>Hombre con pantalones cortos rojos y camisa gris liderando la coreografía frente a las personas en la habitación.</v>
      </c>
    </row>
    <row r="11254">
      <c r="A11254" s="4" t="s">
        <v>14152</v>
      </c>
      <c r="B11254" s="4" t="s">
        <v>14153</v>
      </c>
      <c r="C11254" s="5" t="str">
        <f>IFERROR(__xludf.DUMMYFUNCTION("GOOGLETRANSLATE(B11254,""en"",""es-ES"")"),"Una ventana en un automóvil está tirada hacia abajo y un hombre sin camisa camina hacia los.")</f>
        <v>Una ventana en un automóvil está tirada hacia abajo y un hombre sin camisa camina hacia los.</v>
      </c>
    </row>
    <row r="11255">
      <c r="A11255" s="4" t="s">
        <v>14152</v>
      </c>
      <c r="B11255" s="4" t="s">
        <v>14154</v>
      </c>
      <c r="C11255" s="5" t="str">
        <f>IFERROR(__xludf.DUMMYFUNCTION("GOOGLETRANSLATE(B11255,""en"",""es-ES"")"),"Vemos hombres sin camisa con pequeños autos de ropa interior ajustada.")</f>
        <v>Vemos hombres sin camisa con pequeños autos de ropa interior ajustada.</v>
      </c>
    </row>
    <row r="11256">
      <c r="A11256" s="4" t="s">
        <v>14152</v>
      </c>
      <c r="B11256" s="4" t="s">
        <v>14155</v>
      </c>
      <c r="C11256" s="5" t="str">
        <f>IFERROR(__xludf.DUMMYFUNCTION("GOOGLETRANSLATE(B11256,""en"",""es-ES"")"),"Los hombres entran en el estacionamiento en una línea con ropa interior solo.")</f>
        <v>Los hombres entran en el estacionamiento en una línea con ropa interior solo.</v>
      </c>
    </row>
    <row r="11257">
      <c r="A11257" s="4" t="s">
        <v>14152</v>
      </c>
      <c r="B11257" s="4" t="s">
        <v>14156</v>
      </c>
      <c r="C11257" s="5" t="str">
        <f>IFERROR(__xludf.DUMMYFUNCTION("GOOGLETRANSLATE(B11257,""en"",""es-ES"")"),"Un hombre sacude su cabello mojado.")</f>
        <v>Un hombre sacude su cabello mojado.</v>
      </c>
    </row>
    <row r="11258">
      <c r="A11258" s="4" t="s">
        <v>14152</v>
      </c>
      <c r="B11258" s="4" t="s">
        <v>14157</v>
      </c>
      <c r="C11258" s="5" t="str">
        <f>IFERROR(__xludf.DUMMYFUNCTION("GOOGLETRANSLATE(B11258,""en"",""es-ES"")"),"Un hombre lava el trasero de otro hombre.")</f>
        <v>Un hombre lava el trasero de otro hombre.</v>
      </c>
    </row>
    <row r="11259">
      <c r="A11259" s="4" t="s">
        <v>14152</v>
      </c>
      <c r="B11259" s="4" t="s">
        <v>14158</v>
      </c>
      <c r="C11259" s="5" t="str">
        <f>IFERROR(__xludf.DUMMYFUNCTION("GOOGLETRANSLATE(B11259,""en"",""es-ES"")"),"Un hombre limpia el agua y mira la cámara.")</f>
        <v>Un hombre limpia el agua y mira la cámara.</v>
      </c>
    </row>
    <row r="11260">
      <c r="A11260" s="4" t="s">
        <v>14152</v>
      </c>
      <c r="B11260" s="4" t="s">
        <v>14159</v>
      </c>
      <c r="C11260" s="5" t="str">
        <f>IFERROR(__xludf.DUMMYFUNCTION("GOOGLETRANSLATE(B11260,""en"",""es-ES"")"),"Los hombres hacen bailes en una línea y escenas de lavar el auto.")</f>
        <v>Los hombres hacen bailes en una línea y escenas de lavar el auto.</v>
      </c>
    </row>
    <row r="11261">
      <c r="A11261" s="4" t="s">
        <v>14152</v>
      </c>
      <c r="B11261" s="4" t="s">
        <v>777</v>
      </c>
      <c r="C11261" s="5" t="str">
        <f>IFERROR(__xludf.DUMMYFUNCTION("GOOGLETRANSLATE(B11261,""en"",""es-ES"")"),"Vemos la pantalla de título final.")</f>
        <v>Vemos la pantalla de título final.</v>
      </c>
    </row>
    <row r="11262">
      <c r="A11262" s="4" t="s">
        <v>14160</v>
      </c>
      <c r="B11262" s="4" t="s">
        <v>14161</v>
      </c>
      <c r="C11262" s="5" t="str">
        <f>IFERROR(__xludf.DUMMYFUNCTION("GOOGLETRANSLATE(B11262,""en"",""es-ES"")"),"Dos luchadores de sumo se encuentran en una arena.")</f>
        <v>Dos luchadores de sumo se encuentran en una arena.</v>
      </c>
    </row>
    <row r="11263">
      <c r="A11263" s="4" t="s">
        <v>14160</v>
      </c>
      <c r="B11263" s="4" t="s">
        <v>14162</v>
      </c>
      <c r="C11263" s="5" t="str">
        <f>IFERROR(__xludf.DUMMYFUNCTION("GOOGLETRANSLATE(B11263,""en"",""es-ES"")"),"Uno noquea al otro.")</f>
        <v>Uno noquea al otro.</v>
      </c>
    </row>
    <row r="11264">
      <c r="A11264" s="4" t="s">
        <v>14160</v>
      </c>
      <c r="B11264" s="4" t="s">
        <v>14163</v>
      </c>
      <c r="C11264" s="5" t="str">
        <f>IFERROR(__xludf.DUMMYFUNCTION("GOOGLETRANSLATE(B11264,""en"",""es-ES"")"),"El ganador se mantiene alto en la arena.")</f>
        <v>El ganador se mantiene alto en la arena.</v>
      </c>
    </row>
    <row r="11265">
      <c r="A11265" s="4" t="s">
        <v>14160</v>
      </c>
      <c r="B11265" s="4" t="s">
        <v>14164</v>
      </c>
      <c r="C11265" s="5" t="str">
        <f>IFERROR(__xludf.DUMMYFUNCTION("GOOGLETRANSLATE(B11265,""en"",""es-ES"")"),"La multitud mira al ganador.")</f>
        <v>La multitud mira al ganador.</v>
      </c>
    </row>
    <row r="11266">
      <c r="A11266" s="4" t="s">
        <v>14165</v>
      </c>
      <c r="B11266" s="4" t="s">
        <v>14166</v>
      </c>
      <c r="C11266" s="5" t="str">
        <f>IFERROR(__xludf.DUMMYFUNCTION("GOOGLETRANSLATE(B11266,""en"",""es-ES"")"),"El video muestra a un hombre con gafas y auriculares, con un sombrero marrón y una camisa haciendo un tutorial sobre cómo tocar una flauta de PVC.")</f>
        <v>El video muestra a un hombre con gafas y auriculares, con un sombrero marrón y una camisa haciendo un tutorial sobre cómo tocar una flauta de PVC.</v>
      </c>
    </row>
    <row r="11267">
      <c r="A11267" s="4" t="s">
        <v>14165</v>
      </c>
      <c r="B11267" s="4" t="s">
        <v>14167</v>
      </c>
      <c r="C11267" s="5" t="str">
        <f>IFERROR(__xludf.DUMMYFUNCTION("GOOGLETRANSLATE(B11267,""en"",""es-ES"")"),"Toma la flauta en sus manos y comienza a jugar moviendo los dedos a lo largo de los agujeros mientras sopla a la flauta.")</f>
        <v>Toma la flauta en sus manos y comienza a jugar moviendo los dedos a lo largo de los agujeros mientras sopla a la flauta.</v>
      </c>
    </row>
    <row r="11268">
      <c r="A11268" s="4" t="s">
        <v>14165</v>
      </c>
      <c r="B11268" s="4" t="s">
        <v>14168</v>
      </c>
      <c r="C11268" s="5" t="str">
        <f>IFERROR(__xludf.DUMMYFUNCTION("GOOGLETRANSLATE(B11268,""en"",""es-ES"")"),"Continúa tocando la flauta hasta que termina la melodía.")</f>
        <v>Continúa tocando la flauta hasta que termina la melodía.</v>
      </c>
    </row>
    <row r="11269">
      <c r="A11269" s="4" t="s">
        <v>14169</v>
      </c>
      <c r="B11269" s="4" t="s">
        <v>14170</v>
      </c>
      <c r="C11269" s="5" t="str">
        <f>IFERROR(__xludf.DUMMYFUNCTION("GOOGLETRANSLATE(B11269,""en"",""es-ES"")"),"Un hombre juega muchos juegos de shuffleboard en una habitación ocupada por otras personas y muchos otros tableros de confusión.")</f>
        <v>Un hombre juega muchos juegos de shuffleboard en una habitación ocupada por otras personas y muchos otros tableros de confusión.</v>
      </c>
    </row>
    <row r="11270">
      <c r="A11270" s="4" t="s">
        <v>14169</v>
      </c>
      <c r="B11270" s="4" t="s">
        <v>14171</v>
      </c>
      <c r="C11270" s="5" t="str">
        <f>IFERROR(__xludf.DUMMYFUNCTION("GOOGLETRANSLATE(B11270,""en"",""es-ES"")"),"Un hombre con una camisa y gafas con cuello toca un salpicón con discos de metal y un largo listón de madera frente a un marcador iluminado en una habitación.")</f>
        <v>Un hombre con una camisa y gafas con cuello toca un salpicón con discos de metal y un largo listón de madera frente a un marcador iluminado en una habitación.</v>
      </c>
    </row>
    <row r="11271">
      <c r="A11271" s="4" t="s">
        <v>14169</v>
      </c>
      <c r="B11271" s="4" t="s">
        <v>14172</v>
      </c>
      <c r="C11271" s="5" t="str">
        <f>IFERROR(__xludf.DUMMYFUNCTION("GOOGLETRANSLATE(B11271,""en"",""es-ES"")"),"El hombre pone toallas de papel sobre sus ojos y debajo de sus gafas para absorber el sudor de la intensidad del juego de shuffleboard.")</f>
        <v>El hombre pone toallas de papel sobre sus ojos y debajo de sus gafas para absorber el sudor de la intensidad del juego de shuffleboard.</v>
      </c>
    </row>
    <row r="11272">
      <c r="A11272" s="4" t="s">
        <v>14169</v>
      </c>
      <c r="B11272" s="4" t="s">
        <v>14173</v>
      </c>
      <c r="C11272" s="5" t="str">
        <f>IFERROR(__xludf.DUMMYFUNCTION("GOOGLETRANSLATE(B11272,""en"",""es-ES"")"),"El hombre continúa jugando ShuffleBoard con algunos espectadores en una habitación con una toma visual final de todos menos uno de los discos fuera del ShuffleBoard.")</f>
        <v>El hombre continúa jugando ShuffleBoard con algunos espectadores en una habitación con una toma visual final de todos menos uno de los discos fuera del ShuffleBoard.</v>
      </c>
    </row>
    <row r="11273">
      <c r="A11273" s="4" t="s">
        <v>14174</v>
      </c>
      <c r="B11273" s="4" t="s">
        <v>14175</v>
      </c>
      <c r="C11273" s="5" t="str">
        <f>IFERROR(__xludf.DUMMYFUNCTION("GOOGLETRANSLATE(B11273,""en"",""es-ES"")"),"Una mujer que lleva equipo de buceo está debajo del agua.")</f>
        <v>Una mujer que lleva equipo de buceo está debajo del agua.</v>
      </c>
    </row>
    <row r="11274">
      <c r="A11274" s="4" t="s">
        <v>14174</v>
      </c>
      <c r="B11274" s="4" t="s">
        <v>14176</v>
      </c>
      <c r="C11274" s="5" t="str">
        <f>IFERROR(__xludf.DUMMYFUNCTION("GOOGLETRANSLATE(B11274,""en"",""es-ES"")"),"Explora el fondo del océano, mirando los peces y la vida silvestre mientras un hombre nada detrás de ella.")</f>
        <v>Explora el fondo del océano, mirando los peces y la vida silvestre mientras un hombre nada detrás de ella.</v>
      </c>
    </row>
    <row r="11275">
      <c r="A11275" s="4" t="s">
        <v>14174</v>
      </c>
      <c r="B11275" s="4" t="s">
        <v>14177</v>
      </c>
      <c r="C11275" s="5" t="str">
        <f>IFERROR(__xludf.DUMMYFUNCTION("GOOGLETRANSLATE(B11275,""en"",""es-ES"")"),"Dan señales OK a la persona con la cámara.")</f>
        <v>Dan señales OK a la persona con la cámara.</v>
      </c>
    </row>
    <row r="11276">
      <c r="A11276" s="4" t="s">
        <v>14178</v>
      </c>
      <c r="B11276" s="4" t="s">
        <v>14179</v>
      </c>
      <c r="C11276" s="5" t="str">
        <f>IFERROR(__xludf.DUMMYFUNCTION("GOOGLETRANSLATE(B11276,""en"",""es-ES"")"),"Se muestra a una mujer atlética saltando en cámara lenta sobre un poste, seguida de varias mujeres más que intentan el mismo salto.")</f>
        <v>Se muestra a una mujer atlética saltando en cámara lenta sobre un poste, seguida de varias mujeres más que intentan el mismo salto.</v>
      </c>
    </row>
    <row r="11277">
      <c r="A11277" s="4" t="s">
        <v>14178</v>
      </c>
      <c r="B11277" s="4" t="s">
        <v>14180</v>
      </c>
      <c r="C11277" s="5" t="str">
        <f>IFERROR(__xludf.DUMMYFUNCTION("GOOGLETRANSLATE(B11277,""en"",""es-ES"")"),"Varias mujeres más siguen atrás realizando el salto mientras la cámara las captura en cámara lenta.")</f>
        <v>Varias mujeres más siguen atrás realizando el salto mientras la cámara las captura en cámara lenta.</v>
      </c>
    </row>
    <row r="11278">
      <c r="A11278" s="4" t="s">
        <v>14181</v>
      </c>
      <c r="B11278" s="4" t="s">
        <v>14182</v>
      </c>
      <c r="C11278" s="5" t="str">
        <f>IFERROR(__xludf.DUMMYFUNCTION("GOOGLETRANSLATE(B11278,""en"",""es-ES"")"),"La gente se muestra lentamente trotando en este maratón.")</f>
        <v>La gente se muestra lentamente trotando en este maratón.</v>
      </c>
    </row>
    <row r="11279">
      <c r="A11279" s="4" t="s">
        <v>14181</v>
      </c>
      <c r="B11279" s="4" t="s">
        <v>14183</v>
      </c>
      <c r="C11279" s="5" t="str">
        <f>IFERROR(__xludf.DUMMYFUNCTION("GOOGLETRANSLATE(B11279,""en"",""es-ES"")"),"Solo hay un hombre que hace malabares con bolas blancas en sus manos mientras trota hacia atrás por todo el asunto.")</f>
        <v>Solo hay un hombre que hace malabares con bolas blancas en sus manos mientras trota hacia atrás por todo el asunto.</v>
      </c>
    </row>
    <row r="11280">
      <c r="A11280" s="4" t="s">
        <v>14181</v>
      </c>
      <c r="B11280" s="4" t="s">
        <v>14184</v>
      </c>
      <c r="C11280" s="5" t="str">
        <f>IFERROR(__xludf.DUMMYFUNCTION("GOOGLETRANSLATE(B11280,""en"",""es-ES"")"),"Al final, el número de personas disminuye y solo hay una persona corriendo y el hombre que hace malabares con pelotas.")</f>
        <v>Al final, el número de personas disminuye y solo hay una persona corriendo y el hombre que hace malabares con pelotas.</v>
      </c>
    </row>
    <row r="11281">
      <c r="A11281" s="4" t="s">
        <v>14185</v>
      </c>
      <c r="B11281" s="4" t="s">
        <v>14186</v>
      </c>
      <c r="C11281" s="5" t="str">
        <f>IFERROR(__xludf.DUMMYFUNCTION("GOOGLETRANSLATE(B11281,""en"",""es-ES"")"),"Un hombre está afuera tratando de sacar la nieve de su parabrisas.")</f>
        <v>Un hombre está afuera tratando de sacar la nieve de su parabrisas.</v>
      </c>
    </row>
    <row r="11282">
      <c r="A11282" s="4" t="s">
        <v>14185</v>
      </c>
      <c r="B11282" s="4" t="s">
        <v>14187</v>
      </c>
      <c r="C11282" s="5" t="str">
        <f>IFERROR(__xludf.DUMMYFUNCTION("GOOGLETRANSLATE(B11282,""en"",""es-ES"")"),"El hombre luego entra y comienza a hablar.")</f>
        <v>El hombre luego entra y comienza a hablar.</v>
      </c>
    </row>
    <row r="11283">
      <c r="A11283" s="4" t="s">
        <v>14185</v>
      </c>
      <c r="B11283" s="4" t="s">
        <v>14188</v>
      </c>
      <c r="C11283" s="5" t="str">
        <f>IFERROR(__xludf.DUMMYFUNCTION("GOOGLETRANSLATE(B11283,""en"",""es-ES"")"),"Una vez terminado, sale de su garaje y prueba el producto de la pantalla ICES.")</f>
        <v>Una vez terminado, sale de su garaje y prueba el producto de la pantalla ICES.</v>
      </c>
    </row>
    <row r="11284">
      <c r="A11284" s="4" t="s">
        <v>14189</v>
      </c>
      <c r="B11284" s="4" t="s">
        <v>14190</v>
      </c>
      <c r="C11284" s="5" t="str">
        <f>IFERROR(__xludf.DUMMYFUNCTION("GOOGLETRANSLATE(B11284,""en"",""es-ES"")"),"La gente está parada en un campo mirando las cometas en el cielo.")</f>
        <v>La gente está parada en un campo mirando las cometas en el cielo.</v>
      </c>
    </row>
    <row r="11285">
      <c r="A11285" s="4" t="s">
        <v>14189</v>
      </c>
      <c r="B11285" s="4" t="s">
        <v>14191</v>
      </c>
      <c r="C11285" s="5" t="str">
        <f>IFERROR(__xludf.DUMMYFUNCTION("GOOGLETRANSLATE(B11285,""en"",""es-ES"")"),"Una cometa se muestra en el cielo por un árbol.")</f>
        <v>Una cometa se muestra en el cielo por un árbol.</v>
      </c>
    </row>
    <row r="11286">
      <c r="A11286" s="4" t="s">
        <v>14189</v>
      </c>
      <c r="B11286" s="4" t="s">
        <v>14192</v>
      </c>
      <c r="C11286" s="5" t="str">
        <f>IFERROR(__xludf.DUMMYFUNCTION("GOOGLETRANSLATE(B11286,""en"",""es-ES"")"),"Un niño persigue después de la cometa y atrapa.")</f>
        <v>Un niño persigue después de la cometa y atrapa.</v>
      </c>
    </row>
    <row r="11287">
      <c r="A11287" s="4" t="s">
        <v>14193</v>
      </c>
      <c r="B11287" s="4" t="s">
        <v>14194</v>
      </c>
      <c r="C11287" s="5" t="str">
        <f>IFERROR(__xludf.DUMMYFUNCTION("GOOGLETRANSLATE(B11287,""en"",""es-ES"")"),"Varias imágenes muestran que las personas traen canoas de un camión y las cargan en el agua.")</f>
        <v>Varias imágenes muestran que las personas traen canoas de un camión y las cargan en el agua.</v>
      </c>
    </row>
    <row r="11288">
      <c r="A11288" s="4" t="s">
        <v>14193</v>
      </c>
      <c r="B11288" s="4" t="s">
        <v>14195</v>
      </c>
      <c r="C11288" s="5" t="str">
        <f>IFERROR(__xludf.DUMMYFUNCTION("GOOGLETRANSLATE(B11288,""en"",""es-ES"")"),"Luego se ve a la gente pescar y viajar por el río que se muestra en varias fotos.")</f>
        <v>Luego se ve a la gente pescar y viajar por el río que se muestra en varias fotos.</v>
      </c>
    </row>
    <row r="11289">
      <c r="A11289" s="4" t="s">
        <v>14196</v>
      </c>
      <c r="B11289" s="4" t="s">
        <v>14197</v>
      </c>
      <c r="C11289" s="5" t="str">
        <f>IFERROR(__xludf.DUMMYFUNCTION("GOOGLETRANSLATE(B11289,""en"",""es-ES"")"),"El hombre descalzo sirve la pelota pero se lo perdió.")</f>
        <v>El hombre descalzo sirve la pelota pero se lo perdió.</v>
      </c>
    </row>
    <row r="11290">
      <c r="A11290" s="4" t="s">
        <v>14196</v>
      </c>
      <c r="B11290" s="4" t="s">
        <v>14198</v>
      </c>
      <c r="C11290" s="5" t="str">
        <f>IFERROR(__xludf.DUMMYFUNCTION("GOOGLETRANSLATE(B11290,""en"",""es-ES"")"),"El hombre sirvió la pelota y golpeó la pared, pero rebotó tan bajo que el hombre no puede golpearla.")</f>
        <v>El hombre sirvió la pelota y golpeó la pared, pero rebotó tan bajo que el hombre no puede golpearla.</v>
      </c>
    </row>
    <row r="11291">
      <c r="A11291" s="4" t="s">
        <v>14196</v>
      </c>
      <c r="B11291" s="4" t="s">
        <v>14199</v>
      </c>
      <c r="C11291" s="5" t="str">
        <f>IFERROR(__xludf.DUMMYFUNCTION("GOOGLETRANSLATE(B11291,""en"",""es-ES"")"),"El hombre persigue después de que la pelota lo pusea y golpeó, luego un hombre sin camisa se le acercó y le enseñó cómo servir la pelota.")</f>
        <v>El hombre persigue después de que la pelota lo pusea y golpeó, luego un hombre sin camisa se le acercó y le enseñó cómo servir la pelota.</v>
      </c>
    </row>
    <row r="11292">
      <c r="A11292" s="4" t="s">
        <v>14200</v>
      </c>
      <c r="B11292" s="4" t="s">
        <v>14201</v>
      </c>
      <c r="C11292" s="5" t="str">
        <f>IFERROR(__xludf.DUMMYFUNCTION("GOOGLETRANSLATE(B11292,""en"",""es-ES"")"),"Una mujer está sonriendo a la cámara.")</f>
        <v>Una mujer está sonriendo a la cámara.</v>
      </c>
    </row>
    <row r="11293">
      <c r="A11293" s="4" t="s">
        <v>14200</v>
      </c>
      <c r="B11293" s="4" t="s">
        <v>14202</v>
      </c>
      <c r="C11293" s="5" t="str">
        <f>IFERROR(__xludf.DUMMYFUNCTION("GOOGLETRANSLATE(B11293,""en"",""es-ES"")"),"La mujer toma una plancha y comienza a planchar una camisa blanca en pequeños patrones circulares.")</f>
        <v>La mujer toma una plancha y comienza a planchar una camisa blanca en pequeños patrones circulares.</v>
      </c>
    </row>
    <row r="11294">
      <c r="A11294" s="4" t="s">
        <v>14200</v>
      </c>
      <c r="B11294" s="4" t="s">
        <v>14203</v>
      </c>
      <c r="C11294" s="5" t="str">
        <f>IFERROR(__xludf.DUMMYFUNCTION("GOOGLETRANSLATE(B11294,""en"",""es-ES"")"),"La mujer usa ambas manos para empujar el hierro.")</f>
        <v>La mujer usa ambas manos para empujar el hierro.</v>
      </c>
    </row>
    <row r="11295">
      <c r="A11295" s="4" t="s">
        <v>14200</v>
      </c>
      <c r="B11295" s="4" t="s">
        <v>14204</v>
      </c>
      <c r="C11295" s="5" t="str">
        <f>IFERROR(__xludf.DUMMYFUNCTION("GOOGLETRANSLATE(B11295,""en"",""es-ES"")"),"Ella reanuda planchar con una mano en el mismo lugar.")</f>
        <v>Ella reanuda planchar con una mano en el mismo lugar.</v>
      </c>
    </row>
    <row r="11296">
      <c r="A11296" s="4" t="s">
        <v>14200</v>
      </c>
      <c r="B11296" s="4" t="s">
        <v>14205</v>
      </c>
      <c r="C11296" s="5" t="str">
        <f>IFERROR(__xludf.DUMMYFUNCTION("GOOGLETRANSLATE(B11296,""en"",""es-ES"")"),"La mujer inspecciona la estrella en la camisa.")</f>
        <v>La mujer inspecciona la estrella en la camisa.</v>
      </c>
    </row>
    <row r="11297">
      <c r="A11297" s="4" t="s">
        <v>14200</v>
      </c>
      <c r="B11297" s="4" t="s">
        <v>14206</v>
      </c>
      <c r="C11297" s="5" t="str">
        <f>IFERROR(__xludf.DUMMYFUNCTION("GOOGLETRANSLATE(B11297,""en"",""es-ES"")"),"La mujer luego se reanuda al planchar el patrón.")</f>
        <v>La mujer luego se reanuda al planchar el patrón.</v>
      </c>
    </row>
    <row r="11298">
      <c r="A11298" s="4" t="s">
        <v>14200</v>
      </c>
      <c r="B11298" s="4" t="s">
        <v>14207</v>
      </c>
      <c r="C11298" s="5" t="str">
        <f>IFERROR(__xludf.DUMMYFUNCTION("GOOGLETRANSLATE(B11298,""en"",""es-ES"")"),"La mujer despega el papel del patrón y luego reanuda planchar.")</f>
        <v>La mujer despega el papel del patrón y luego reanuda planchar.</v>
      </c>
    </row>
    <row r="11299">
      <c r="A11299" s="4" t="s">
        <v>14200</v>
      </c>
      <c r="B11299" s="4" t="s">
        <v>14208</v>
      </c>
      <c r="C11299" s="5" t="str">
        <f>IFERROR(__xludf.DUMMYFUNCTION("GOOGLETRANSLATE(B11299,""en"",""es-ES"")"),"La mujer levanta la camisa después de que termine.")</f>
        <v>La mujer levanta la camisa después de que termine.</v>
      </c>
    </row>
    <row r="11300">
      <c r="A11300" s="4" t="s">
        <v>14209</v>
      </c>
      <c r="B11300" s="4" t="s">
        <v>14210</v>
      </c>
      <c r="C11300" s="5" t="str">
        <f>IFERROR(__xludf.DUMMYFUNCTION("GOOGLETRANSLATE(B11300,""en"",""es-ES"")"),"Un niño habla con una cámara mientras sostiene un palo de lacrosse y golpea bolas en una red.")</f>
        <v>Un niño habla con una cámara mientras sostiene un palo de lacrosse y golpea bolas en una red.</v>
      </c>
    </row>
    <row r="11301">
      <c r="A11301" s="4" t="s">
        <v>14209</v>
      </c>
      <c r="B11301" s="4" t="s">
        <v>14211</v>
      </c>
      <c r="C11301" s="5" t="str">
        <f>IFERROR(__xludf.DUMMYFUNCTION("GOOGLETRANSLATE(B11301,""en"",""es-ES"")"),"El niño arroja varias bolas a la red una y otra vez golpeando directamente a la red.")</f>
        <v>El niño arroja varias bolas a la red una y otra vez golpeando directamente a la red.</v>
      </c>
    </row>
    <row r="11302">
      <c r="A11302" s="4" t="s">
        <v>14212</v>
      </c>
      <c r="B11302" s="4" t="s">
        <v>14213</v>
      </c>
      <c r="C11302" s="5" t="str">
        <f>IFERROR(__xludf.DUMMYFUNCTION("GOOGLETRANSLATE(B11302,""en"",""es-ES"")"),"Un hombre está sentado en un sofá, bebiendo una cerveza de una botella.")</f>
        <v>Un hombre está sentado en un sofá, bebiendo una cerveza de una botella.</v>
      </c>
    </row>
    <row r="11303">
      <c r="A11303" s="4" t="s">
        <v>14212</v>
      </c>
      <c r="B11303" s="4" t="s">
        <v>14214</v>
      </c>
      <c r="C11303" s="5" t="str">
        <f>IFERROR(__xludf.DUMMYFUNCTION("GOOGLETRANSLATE(B11303,""en"",""es-ES"")"),"Él deja caer la botella de su boca, sonriendo.")</f>
        <v>Él deja caer la botella de su boca, sonriendo.</v>
      </c>
    </row>
    <row r="11304">
      <c r="A11304" s="4" t="s">
        <v>14215</v>
      </c>
      <c r="B11304" s="4" t="s">
        <v>14216</v>
      </c>
      <c r="C11304" s="5" t="str">
        <f>IFERROR(__xludf.DUMMYFUNCTION("GOOGLETRANSLATE(B11304,""en"",""es-ES"")"),"La gente está parada en un círculo.")</f>
        <v>La gente está parada en un círculo.</v>
      </c>
    </row>
    <row r="11305">
      <c r="A11305" s="4" t="s">
        <v>14215</v>
      </c>
      <c r="B11305" s="4" t="s">
        <v>14217</v>
      </c>
      <c r="C11305" s="5" t="str">
        <f>IFERROR(__xludf.DUMMYFUNCTION("GOOGLETRANSLATE(B11305,""en"",""es-ES"")"),"Dos personas comienzan a pelear en el círculo.")</f>
        <v>Dos personas comienzan a pelear en el círculo.</v>
      </c>
    </row>
    <row r="11306">
      <c r="A11306" s="4" t="s">
        <v>14215</v>
      </c>
      <c r="B11306" s="4" t="s">
        <v>14218</v>
      </c>
      <c r="C11306" s="5" t="str">
        <f>IFERROR(__xludf.DUMMYFUNCTION("GOOGLETRANSLATE(B11306,""en"",""es-ES"")"),"Un hombre está haciendo volteos afuera en la hierba.")</f>
        <v>Un hombre está haciendo volteos afuera en la hierba.</v>
      </c>
    </row>
    <row r="11307">
      <c r="A11307" s="4" t="s">
        <v>14215</v>
      </c>
      <c r="B11307" s="4" t="s">
        <v>14219</v>
      </c>
      <c r="C11307" s="5" t="str">
        <f>IFERROR(__xludf.DUMMYFUNCTION("GOOGLETRANSLATE(B11307,""en"",""es-ES"")"),"Continúan volando dentro del círculo.")</f>
        <v>Continúan volando dentro del círculo.</v>
      </c>
    </row>
    <row r="11308">
      <c r="A11308" s="4" t="s">
        <v>14215</v>
      </c>
      <c r="B11308" s="4" t="s">
        <v>14220</v>
      </c>
      <c r="C11308" s="5" t="str">
        <f>IFERROR(__xludf.DUMMYFUNCTION("GOOGLETRANSLATE(B11308,""en"",""es-ES"")"),"Un hombre está parado afuera hablando frente a una calle.")</f>
        <v>Un hombre está parado afuera hablando frente a una calle.</v>
      </c>
    </row>
    <row r="11309">
      <c r="A11309" s="4" t="s">
        <v>14215</v>
      </c>
      <c r="B11309" s="4" t="s">
        <v>14221</v>
      </c>
      <c r="C11309" s="5" t="str">
        <f>IFERROR(__xludf.DUMMYFUNCTION("GOOGLETRANSLATE(B11309,""en"",""es-ES"")"),"Un hombre hace varios volteos en la hierba.")</f>
        <v>Un hombre hace varios volteos en la hierba.</v>
      </c>
    </row>
    <row r="11310">
      <c r="A11310" s="4" t="s">
        <v>14222</v>
      </c>
      <c r="B11310" s="4" t="s">
        <v>14223</v>
      </c>
      <c r="C11310" s="5" t="str">
        <f>IFERROR(__xludf.DUMMYFUNCTION("GOOGLETRANSLATE(B11310,""en"",""es-ES"")"),"Una mujer se para hablar con la cámara, con un perro frente a ella.")</f>
        <v>Una mujer se para hablar con la cámara, con un perro frente a ella.</v>
      </c>
    </row>
    <row r="11311">
      <c r="A11311" s="4" t="s">
        <v>14222</v>
      </c>
      <c r="B11311" s="4" t="s">
        <v>14224</v>
      </c>
      <c r="C11311" s="5" t="str">
        <f>IFERROR(__xludf.DUMMYFUNCTION("GOOGLETRANSLATE(B11311,""en"",""es-ES"")"),"La mujer sostiene la pierna delantera del perro mientras habla.")</f>
        <v>La mujer sostiene la pierna delantera del perro mientras habla.</v>
      </c>
    </row>
    <row r="11312">
      <c r="A11312" s="4" t="s">
        <v>14222</v>
      </c>
      <c r="B11312" s="4" t="s">
        <v>14225</v>
      </c>
      <c r="C11312" s="5" t="str">
        <f>IFERROR(__xludf.DUMMYFUNCTION("GOOGLETRANSLATE(B11312,""en"",""es-ES"")"),"La mujer cepilla al perro con un cepillo azul.")</f>
        <v>La mujer cepilla al perro con un cepillo azul.</v>
      </c>
    </row>
    <row r="11313">
      <c r="A11313" s="4" t="s">
        <v>14226</v>
      </c>
      <c r="B11313" s="4" t="s">
        <v>14227</v>
      </c>
      <c r="C11313" s="5" t="str">
        <f>IFERROR(__xludf.DUMMYFUNCTION("GOOGLETRANSLATE(B11313,""en"",""es-ES"")"),"Aparece un anuncio para el empaque principal.")</f>
        <v>Aparece un anuncio para el empaque principal.</v>
      </c>
    </row>
    <row r="11314">
      <c r="A11314" s="4" t="s">
        <v>14226</v>
      </c>
      <c r="B11314" s="4" t="s">
        <v>14228</v>
      </c>
      <c r="C11314" s="5" t="str">
        <f>IFERROR(__xludf.DUMMYFUNCTION("GOOGLETRANSLATE(B11314,""en"",""es-ES"")"),"Una mujer está parada en una oficina frente a una canasta llena de pequeños regalos.")</f>
        <v>Una mujer está parada en una oficina frente a una canasta llena de pequeños regalos.</v>
      </c>
    </row>
    <row r="11315">
      <c r="A11315" s="4" t="s">
        <v>14226</v>
      </c>
      <c r="B11315" s="4" t="s">
        <v>14229</v>
      </c>
      <c r="C11315" s="5" t="str">
        <f>IFERROR(__xludf.DUMMYFUNCTION("GOOGLETRANSLATE(B11315,""en"",""es-ES"")"),"Ella muestra cómo usó celofán y un secador de pelo para encoger los regalos en la canasta y mantener la segura y presentable.")</f>
        <v>Ella muestra cómo usó celofán y un secador de pelo para encoger los regalos en la canasta y mantener la segura y presentable.</v>
      </c>
    </row>
    <row r="11316">
      <c r="A11316" s="4" t="s">
        <v>14230</v>
      </c>
      <c r="B11316" s="4" t="s">
        <v>14231</v>
      </c>
      <c r="C11316" s="5" t="str">
        <f>IFERROR(__xludf.DUMMYFUNCTION("GOOGLETRANSLATE(B11316,""en"",""es-ES"")"),"Una persona monta un tablero de estela detrás de un bote a través del agua entrecortada.")</f>
        <v>Una persona monta un tablero de estela detrás de un bote a través del agua entrecortada.</v>
      </c>
    </row>
    <row r="11317">
      <c r="A11317" s="4" t="s">
        <v>14230</v>
      </c>
      <c r="B11317" s="4" t="s">
        <v>14232</v>
      </c>
      <c r="C11317" s="5" t="str">
        <f>IFERROR(__xludf.DUMMYFUNCTION("GOOGLETRANSLATE(B11317,""en"",""es-ES"")"),"El huésped de Wake salta a raíz del bote y se voltea.")</f>
        <v>El huésped de Wake salta a raíz del bote y se voltea.</v>
      </c>
    </row>
    <row r="11318">
      <c r="A11318" s="4" t="s">
        <v>14230</v>
      </c>
      <c r="B11318" s="4" t="s">
        <v>14233</v>
      </c>
      <c r="C11318" s="5" t="str">
        <f>IFERROR(__xludf.DUMMYFUNCTION("GOOGLETRANSLATE(B11318,""en"",""es-ES"")"),"El huésped de Wake realiza un salto final y cae al agua.")</f>
        <v>El huésped de Wake realiza un salto final y cae al agua.</v>
      </c>
    </row>
    <row r="11319">
      <c r="A11319" s="4" t="s">
        <v>14234</v>
      </c>
      <c r="B11319" s="4" t="s">
        <v>14235</v>
      </c>
      <c r="C11319" s="5" t="str">
        <f>IFERROR(__xludf.DUMMYFUNCTION("GOOGLETRANSLATE(B11319,""en"",""es-ES"")"),"Se ve un primer plano de una chimenea con la cámara que se mueve alrededor del frente.")</f>
        <v>Se ve un primer plano de una chimenea con la cámara que se mueve alrededor del frente.</v>
      </c>
    </row>
    <row r="11320">
      <c r="A11320" s="4" t="s">
        <v>14234</v>
      </c>
      <c r="B11320" s="4" t="s">
        <v>14236</v>
      </c>
      <c r="C11320" s="5" t="str">
        <f>IFERROR(__xludf.DUMMYFUNCTION("GOOGLETRANSLATE(B11320,""en"",""es-ES"")"),"La cámara se acerca al pozo y muestra a un hombre arrodillado en el frente.")</f>
        <v>La cámara se acerca al pozo y muestra a un hombre arrodillado en el frente.</v>
      </c>
    </row>
    <row r="11321">
      <c r="A11321" s="4" t="s">
        <v>14234</v>
      </c>
      <c r="B11321" s="4" t="s">
        <v>14237</v>
      </c>
      <c r="C11321" s="5" t="str">
        <f>IFERROR(__xludf.DUMMYFUNCTION("GOOGLETRANSLATE(B11321,""en"",""es-ES"")"),"El hombre pone yeso en la parte delantera y comienza a colocar manchas sobre el yeso.")</f>
        <v>El hombre pone yeso en la parte delantera y comienza a colocar manchas sobre el yeso.</v>
      </c>
    </row>
    <row r="11322">
      <c r="A11322" s="4" t="s">
        <v>14238</v>
      </c>
      <c r="B11322" s="4" t="s">
        <v>14239</v>
      </c>
      <c r="C11322" s="5" t="str">
        <f>IFERROR(__xludf.DUMMYFUNCTION("GOOGLETRANSLATE(B11322,""en"",""es-ES"")"),"El video se mete en varias tomas de personas que realizan partidos de lucha de brazos y gritan después.")</f>
        <v>El video se mete en varias tomas de personas que realizan partidos de lucha de brazos y gritan después.</v>
      </c>
    </row>
    <row r="11323">
      <c r="A11323" s="4" t="s">
        <v>14238</v>
      </c>
      <c r="B11323" s="4" t="s">
        <v>14240</v>
      </c>
      <c r="C11323" s="5" t="str">
        <f>IFERROR(__xludf.DUMMYFUNCTION("GOOGLETRANSLATE(B11323,""en"",""es-ES"")"),"Muchas personas son vistas jugando entre sí y gritando a la multitud después de su actuación.")</f>
        <v>Muchas personas son vistas jugando entre sí y gritando a la multitud después de su actuación.</v>
      </c>
    </row>
    <row r="11324">
      <c r="A11324" s="4" t="s">
        <v>14241</v>
      </c>
      <c r="B11324" s="4" t="s">
        <v>14242</v>
      </c>
      <c r="C11324" s="5" t="str">
        <f>IFERROR(__xludf.DUMMYFUNCTION("GOOGLETRANSLATE(B11324,""en"",""es-ES"")"),"Un hombre y una mujer están sentados detrás de una mesa.")</f>
        <v>Un hombre y una mujer están sentados detrás de una mesa.</v>
      </c>
    </row>
    <row r="11325">
      <c r="A11325" s="4" t="s">
        <v>14241</v>
      </c>
      <c r="B11325" s="4" t="s">
        <v>14243</v>
      </c>
      <c r="C11325" s="5" t="str">
        <f>IFERROR(__xludf.DUMMYFUNCTION("GOOGLETRANSLATE(B11325,""en"",""es-ES"")"),"Los jugadores están jugando fútbol en la tierra, afuera.")</f>
        <v>Los jugadores están jugando fútbol en la tierra, afuera.</v>
      </c>
    </row>
    <row r="11326">
      <c r="A11326" s="4" t="s">
        <v>14241</v>
      </c>
      <c r="B11326" s="4" t="s">
        <v>14244</v>
      </c>
      <c r="C11326" s="5" t="str">
        <f>IFERROR(__xludf.DUMMYFUNCTION("GOOGLETRANSLATE(B11326,""en"",""es-ES"")"),"Los fanáticos y los jugadores animan o celebran.")</f>
        <v>Los fanáticos y los jugadores animan o celebran.</v>
      </c>
    </row>
    <row r="11327">
      <c r="A11327" s="4" t="s">
        <v>14245</v>
      </c>
      <c r="B11327" s="4" t="s">
        <v>14246</v>
      </c>
      <c r="C11327" s="5" t="str">
        <f>IFERROR(__xludf.DUMMYFUNCTION("GOOGLETRANSLATE(B11327,""en"",""es-ES"")"),"Se ve a una persona caminando hacia adelante y saltando hacia arriba y hacia abajo y buceando en una piscina.")</f>
        <v>Se ve a una persona caminando hacia adelante y saltando hacia arriba y hacia abajo y buceando en una piscina.</v>
      </c>
    </row>
    <row r="11328">
      <c r="A11328" s="4" t="s">
        <v>14245</v>
      </c>
      <c r="B11328" s="4" t="s">
        <v>14247</v>
      </c>
      <c r="C11328" s="5" t="str">
        <f>IFERROR(__xludf.DUMMYFUNCTION("GOOGLETRANSLATE(B11328,""en"",""es-ES"")"),"La misma persona se muestra varias veces más realizando varias inmersiones de una tabla alta, mientras que la cámara lo captura desde varios ángulos.")</f>
        <v>La misma persona se muestra varias veces más realizando varias inmersiones de una tabla alta, mientras que la cámara lo captura desde varios ángulos.</v>
      </c>
    </row>
    <row r="11329">
      <c r="A11329" s="4" t="s">
        <v>14248</v>
      </c>
      <c r="B11329" s="4" t="s">
        <v>14249</v>
      </c>
      <c r="C11329" s="5" t="str">
        <f>IFERROR(__xludf.DUMMYFUNCTION("GOOGLETRANSLATE(B11329,""en"",""es-ES"")"),"Un video tutorial se reproduce con una mujer que habla en segundo plano sobre cómo cepillarse los dientes.")</f>
        <v>Un video tutorial se reproduce con una mujer que habla en segundo plano sobre cómo cepillarse los dientes.</v>
      </c>
    </row>
    <row r="11330">
      <c r="A11330" s="4" t="s">
        <v>14248</v>
      </c>
      <c r="B11330" s="4" t="s">
        <v>14250</v>
      </c>
      <c r="C11330" s="5" t="str">
        <f>IFERROR(__xludf.DUMMYFUNCTION("GOOGLETRANSLATE(B11330,""en"",""es-ES"")"),"Ella enumera las herramientas que necesita y pasos para cepillar.")</f>
        <v>Ella enumera las herramientas que necesita y pasos para cepillar.</v>
      </c>
    </row>
    <row r="11331">
      <c r="A11331" s="4" t="s">
        <v>14248</v>
      </c>
      <c r="B11331" s="4" t="s">
        <v>14251</v>
      </c>
      <c r="C11331" s="5" t="str">
        <f>IFERROR(__xludf.DUMMYFUNCTION("GOOGLETRANSLATE(B11331,""en"",""es-ES"")"),"Un hombre abre una botella y le pone la pasta de dientes.")</f>
        <v>Un hombre abre una botella y le pone la pasta de dientes.</v>
      </c>
    </row>
    <row r="11332">
      <c r="A11332" s="4" t="s">
        <v>14248</v>
      </c>
      <c r="B11332" s="4" t="s">
        <v>14252</v>
      </c>
      <c r="C11332" s="5" t="str">
        <f>IFERROR(__xludf.DUMMYFUNCTION("GOOGLETRANSLATE(B11332,""en"",""es-ES"")"),"Comienza a cepillarse los dientes siguiendo las instrucciones de la mujer.")</f>
        <v>Comienza a cepillarse los dientes siguiendo las instrucciones de la mujer.</v>
      </c>
    </row>
    <row r="11333">
      <c r="A11333" s="4" t="s">
        <v>14248</v>
      </c>
      <c r="B11333" s="4" t="s">
        <v>14253</v>
      </c>
      <c r="C11333" s="5" t="str">
        <f>IFERROR(__xludf.DUMMYFUNCTION("GOOGLETRANSLATE(B11333,""en"",""es-ES"")"),"El hombre enjuague su boca con agua y sonríe con la voz de la mujer.")</f>
        <v>El hombre enjuague su boca con agua y sonríe con la voz de la mujer.</v>
      </c>
    </row>
    <row r="11334">
      <c r="A11334" s="4" t="s">
        <v>14254</v>
      </c>
      <c r="B11334" s="4" t="s">
        <v>14255</v>
      </c>
      <c r="C11334" s="5" t="str">
        <f>IFERROR(__xludf.DUMMYFUNCTION("GOOGLETRANSLATE(B11334,""en"",""es-ES"")"),"Un hombre habla en una habitación azul y luego rocía un coche de juguete y finge lavarlo.")</f>
        <v>Un hombre habla en una habitación azul y luego rocía un coche de juguete y finge lavarlo.</v>
      </c>
    </row>
    <row r="11335">
      <c r="A11335" s="4" t="s">
        <v>14254</v>
      </c>
      <c r="B11335" s="4" t="s">
        <v>14256</v>
      </c>
      <c r="C11335" s="5" t="str">
        <f>IFERROR(__xludf.DUMMYFUNCTION("GOOGLETRANSLATE(B11335,""en"",""es-ES"")"),"Vemos una pantalla de título y personas con trajes de lavado como una broma.")</f>
        <v>Vemos una pantalla de título y personas con trajes de lavado como una broma.</v>
      </c>
    </row>
    <row r="11336">
      <c r="A11336" s="4" t="s">
        <v>14254</v>
      </c>
      <c r="B11336" s="4" t="s">
        <v>14257</v>
      </c>
      <c r="C11336" s="5" t="str">
        <f>IFERROR(__xludf.DUMMYFUNCTION("GOOGLETRANSLATE(B11336,""en"",""es-ES"")"),"Un hombre y un niño pequeño con mangueras de alta potencia de lavar autos seguidos de animadoras.")</f>
        <v>Un hombre y un niño pequeño con mangueras de alta potencia de lavar autos seguidos de animadoras.</v>
      </c>
    </row>
    <row r="11337">
      <c r="A11337" s="4" t="s">
        <v>14254</v>
      </c>
      <c r="B11337" s="4" t="s">
        <v>14258</v>
      </c>
      <c r="C11337" s="5" t="str">
        <f>IFERROR(__xludf.DUMMYFUNCTION("GOOGLETRANSLATE(B11337,""en"",""es-ES"")"),"Vemos una camioneta negra con gente saliendo y un hombre con un sombrero de copa toca el auto.")</f>
        <v>Vemos una camioneta negra con gente saliendo y un hombre con un sombrero de copa toca el auto.</v>
      </c>
    </row>
    <row r="11338">
      <c r="A11338" s="4" t="s">
        <v>14254</v>
      </c>
      <c r="B11338" s="4" t="s">
        <v>14259</v>
      </c>
      <c r="C11338" s="5" t="str">
        <f>IFERROR(__xludf.DUMMYFUNCTION("GOOGLETRANSLATE(B11338,""en"",""es-ES"")"),"La gente se mete en la camioneta negra y se aleja de los propietarios de autos en la calle.")</f>
        <v>La gente se mete en la camioneta negra y se aleja de los propietarios de autos en la calle.</v>
      </c>
    </row>
    <row r="11339">
      <c r="A11339" s="4" t="s">
        <v>14254</v>
      </c>
      <c r="B11339" s="4" t="s">
        <v>14260</v>
      </c>
      <c r="C11339" s="5" t="str">
        <f>IFERROR(__xludf.DUMMYFUNCTION("GOOGLETRANSLATE(B11339,""en"",""es-ES"")"),"Luego vemos la escena final.")</f>
        <v>Luego vemos la escena final.</v>
      </c>
    </row>
    <row r="11340">
      <c r="A11340" s="4" t="s">
        <v>14261</v>
      </c>
      <c r="B11340" s="4" t="s">
        <v>14262</v>
      </c>
      <c r="C11340" s="5" t="str">
        <f>IFERROR(__xludf.DUMMYFUNCTION("GOOGLETRANSLATE(B11340,""en"",""es-ES"")"),"Un hombre está fumando una pipa y soplando anillos de humo.")</f>
        <v>Un hombre está fumando una pipa y soplando anillos de humo.</v>
      </c>
    </row>
    <row r="11341">
      <c r="A11341" s="4" t="s">
        <v>14261</v>
      </c>
      <c r="B11341" s="4" t="s">
        <v>14263</v>
      </c>
      <c r="C11341" s="5" t="str">
        <f>IFERROR(__xludf.DUMMYFUNCTION("GOOGLETRANSLATE(B11341,""en"",""es-ES"")"),"El hombre usa blasfemias y voltea la cámara.")</f>
        <v>El hombre usa blasfemias y voltea la cámara.</v>
      </c>
    </row>
    <row r="11342">
      <c r="A11342" s="4" t="s">
        <v>14261</v>
      </c>
      <c r="B11342" s="4" t="s">
        <v>14264</v>
      </c>
      <c r="C11342" s="5" t="str">
        <f>IFERROR(__xludf.DUMMYFUNCTION("GOOGLETRANSLATE(B11342,""en"",""es-ES"")"),"Otro hombre está de pie mirándolo.")</f>
        <v>Otro hombre está de pie mirándolo.</v>
      </c>
    </row>
    <row r="11343">
      <c r="A11343" s="4" t="s">
        <v>14265</v>
      </c>
      <c r="B11343" s="4" t="s">
        <v>14266</v>
      </c>
      <c r="C11343" s="5" t="str">
        <f>IFERROR(__xludf.DUMMYFUNCTION("GOOGLETRANSLATE(B11343,""en"",""es-ES"")"),"Se ve a una persona caminando hacia el marco en una habitación oscura y camina por un largo set de escaleras.")</f>
        <v>Se ve a una persona caminando hacia el marco en una habitación oscura y camina por un largo set de escaleras.</v>
      </c>
    </row>
    <row r="11344">
      <c r="A11344" s="4" t="s">
        <v>14265</v>
      </c>
      <c r="B11344" s="4" t="s">
        <v>14267</v>
      </c>
      <c r="C11344" s="5" t="str">
        <f>IFERROR(__xludf.DUMMYFUNCTION("GOOGLETRANSLATE(B11344,""en"",""es-ES"")"),"Se ve a un hombre en la esquina retrocediendo y cuarto en equipos de ejercicio.")</f>
        <v>Se ve a un hombre en la esquina retrocediendo y cuarto en equipos de ejercicio.</v>
      </c>
    </row>
    <row r="11345">
      <c r="A11345" s="4" t="s">
        <v>14265</v>
      </c>
      <c r="B11345" s="4" t="s">
        <v>14268</v>
      </c>
      <c r="C11345" s="5" t="str">
        <f>IFERROR(__xludf.DUMMYFUNCTION("GOOGLETRANSLATE(B11345,""en"",""es-ES"")"),"Una mujer luego habla con el hombre mientras continúa remando y mostrando un primer plano de la máquina.")</f>
        <v>Una mujer luego habla con el hombre mientras continúa remando y mostrando un primer plano de la máquina.</v>
      </c>
    </row>
    <row r="11346">
      <c r="A11346" s="4" t="s">
        <v>14269</v>
      </c>
      <c r="B11346" s="4" t="s">
        <v>14270</v>
      </c>
      <c r="C11346" s="5" t="str">
        <f>IFERROR(__xludf.DUMMYFUNCTION("GOOGLETRANSLATE(B11346,""en"",""es-ES"")"),"Un hombre se acerca con un trapeador y un cubo.")</f>
        <v>Un hombre se acerca con un trapeador y un cubo.</v>
      </c>
    </row>
    <row r="11347">
      <c r="A11347" s="4" t="s">
        <v>14269</v>
      </c>
      <c r="B11347" s="4" t="s">
        <v>14271</v>
      </c>
      <c r="C11347" s="5" t="str">
        <f>IFERROR(__xludf.DUMMYFUNCTION("GOOGLETRANSLATE(B11347,""en"",""es-ES"")"),"Los saca del balde y comienza a trapear el piso.")</f>
        <v>Los saca del balde y comienza a trapear el piso.</v>
      </c>
    </row>
    <row r="11348">
      <c r="A11348" s="4" t="s">
        <v>14269</v>
      </c>
      <c r="B11348" s="4" t="s">
        <v>14272</v>
      </c>
      <c r="C11348" s="5" t="str">
        <f>IFERROR(__xludf.DUMMYFUNCTION("GOOGLETRANSLATE(B11348,""en"",""es-ES"")"),"Después de un momento, ella comienza a fingir que él está bailando con el trapeador.")</f>
        <v>Después de un momento, ella comienza a fingir que él está bailando con el trapeador.</v>
      </c>
    </row>
    <row r="11349">
      <c r="A11349" s="4" t="s">
        <v>14273</v>
      </c>
      <c r="B11349" s="4" t="s">
        <v>14274</v>
      </c>
      <c r="C11349" s="5" t="str">
        <f>IFERROR(__xludf.DUMMYFUNCTION("GOOGLETRANSLATE(B11349,""en"",""es-ES"")"),"Un hombre con una camisa azul está jugando baloncesto en una cancha.")</f>
        <v>Un hombre con una camisa azul está jugando baloncesto en una cancha.</v>
      </c>
    </row>
    <row r="11350">
      <c r="A11350" s="4" t="s">
        <v>14273</v>
      </c>
      <c r="B11350" s="4" t="s">
        <v>14275</v>
      </c>
      <c r="C11350" s="5" t="str">
        <f>IFERROR(__xludf.DUMMYFUNCTION("GOOGLETRANSLATE(B11350,""en"",""es-ES"")"),"Él dispara al aro y lo pierde.")</f>
        <v>Él dispara al aro y lo pierde.</v>
      </c>
    </row>
    <row r="11351">
      <c r="A11351" s="4" t="s">
        <v>14273</v>
      </c>
      <c r="B11351" s="4" t="s">
        <v>14276</v>
      </c>
      <c r="C11351" s="5" t="str">
        <f>IFERROR(__xludf.DUMMYFUNCTION("GOOGLETRANSLATE(B11351,""en"",""es-ES"")"),"Una persona con una camisa blanca está parada detrás de ellos en una cancha de tenis.")</f>
        <v>Una persona con una camisa blanca está parada detrás de ellos en una cancha de tenis.</v>
      </c>
    </row>
    <row r="11352">
      <c r="A11352" s="4" t="s">
        <v>14277</v>
      </c>
      <c r="B11352" s="4" t="s">
        <v>14278</v>
      </c>
      <c r="C11352" s="5" t="str">
        <f>IFERROR(__xludf.DUMMYFUNCTION("GOOGLETRANSLATE(B11352,""en"",""es-ES"")"),"Un niño intenta romper una piñata en su fiesta de cumpleaños dentro de un garaje.")</f>
        <v>Un niño intenta romper una piñata en su fiesta de cumpleaños dentro de un garaje.</v>
      </c>
    </row>
    <row r="11353">
      <c r="A11353" s="4" t="s">
        <v>14277</v>
      </c>
      <c r="B11353" s="4" t="s">
        <v>14279</v>
      </c>
      <c r="C11353" s="5" t="str">
        <f>IFERROR(__xludf.DUMMYFUNCTION("GOOGLETRANSLATE(B11353,""en"",""es-ES"")"),"Otro niño casi entra al rango del palo del niño, pero es salvado por un adulto.")</f>
        <v>Otro niño casi entra al rango del palo del niño, pero es salvado por un adulto.</v>
      </c>
    </row>
    <row r="11354">
      <c r="A11354" s="4" t="s">
        <v>14277</v>
      </c>
      <c r="B11354" s="4" t="s">
        <v>14280</v>
      </c>
      <c r="C11354" s="5" t="str">
        <f>IFERROR(__xludf.DUMMYFUNCTION("GOOGLETRANSLATE(B11354,""en"",""es-ES"")"),"El niño continúa atacando la piñata antes de tomar un descanso y entregar el palo a otro niño.")</f>
        <v>El niño continúa atacando la piñata antes de tomar un descanso y entregar el palo a otro niño.</v>
      </c>
    </row>
    <row r="11355">
      <c r="A11355" s="4" t="s">
        <v>14281</v>
      </c>
      <c r="B11355" s="4" t="s">
        <v>14282</v>
      </c>
      <c r="C11355" s="5" t="str">
        <f>IFERROR(__xludf.DUMMYFUNCTION("GOOGLETRANSLATE(B11355,""en"",""es-ES"")"),"Una mujer morena está sentada en un baño de burbujas con una pierna afeitándola con una maquinilla de afeitar rosa.")</f>
        <v>Una mujer morena está sentada en un baño de burbujas con una pierna afeitándola con una maquinilla de afeitar rosa.</v>
      </c>
    </row>
    <row r="11356">
      <c r="A11356" s="4" t="s">
        <v>14281</v>
      </c>
      <c r="B11356" s="4" t="s">
        <v>14283</v>
      </c>
      <c r="C11356" s="5" t="str">
        <f>IFERROR(__xludf.DUMMYFUNCTION("GOOGLETRANSLATE(B11356,""en"",""es-ES"")"),"La mujer sube un golpe de la afeitar y comienza de nuevo.")</f>
        <v>La mujer sube un golpe de la afeitar y comienza de nuevo.</v>
      </c>
    </row>
    <row r="11357">
      <c r="A11357" s="4" t="s">
        <v>14281</v>
      </c>
      <c r="B11357" s="4" t="s">
        <v>14284</v>
      </c>
      <c r="C11357" s="5" t="str">
        <f>IFERROR(__xludf.DUMMYFUNCTION("GOOGLETRANSLATE(B11357,""en"",""es-ES"")"),"Ella repite este proceso afeitándose la pierna y comenzando nuevamente varias veces alrededor de su pierna.")</f>
        <v>Ella repite este proceso afeitándose la pierna y comenzando nuevamente varias veces alrededor de su pierna.</v>
      </c>
    </row>
    <row r="11358">
      <c r="A11358" s="4" t="s">
        <v>14285</v>
      </c>
      <c r="B11358" s="4" t="s">
        <v>14286</v>
      </c>
      <c r="C11358" s="5" t="str">
        <f>IFERROR(__xludf.DUMMYFUNCTION("GOOGLETRANSLATE(B11358,""en"",""es-ES"")"),"En una habitación azul, dos hombres están utilizando herramientas y arreglando la alfombra.")</f>
        <v>En una habitación azul, dos hombres están utilizando herramientas y arreglando la alfombra.</v>
      </c>
    </row>
    <row r="11359">
      <c r="A11359" s="4" t="s">
        <v>14285</v>
      </c>
      <c r="B11359" s="4" t="s">
        <v>14287</v>
      </c>
      <c r="C11359" s="5" t="str">
        <f>IFERROR(__xludf.DUMMYFUNCTION("GOOGLETRANSLATE(B11359,""en"",""es-ES"")"),"Parece que simplemente ponen una alfombra nueva y ahora se aseguran de que se mantenga presionada correctamente.")</f>
        <v>Parece que simplemente ponen una alfombra nueva y ahora se aseguran de que se mantenga presionada correctamente.</v>
      </c>
    </row>
    <row r="11360">
      <c r="A11360" s="4" t="s">
        <v>14285</v>
      </c>
      <c r="B11360" s="4" t="s">
        <v>14288</v>
      </c>
      <c r="C11360" s="5" t="str">
        <f>IFERROR(__xludf.DUMMYFUNCTION("GOOGLETRANSLATE(B11360,""en"",""es-ES"")"),"Usan una pistola de clavos de algún tipo para clavar los extremos de la esquina.")</f>
        <v>Usan una pistola de clavos de algún tipo para clavar los extremos de la esquina.</v>
      </c>
    </row>
    <row r="11361">
      <c r="A11361" s="4" t="s">
        <v>14285</v>
      </c>
      <c r="B11361" s="4" t="s">
        <v>14289</v>
      </c>
      <c r="C11361" s="5" t="str">
        <f>IFERROR(__xludf.DUMMYFUNCTION("GOOGLETRANSLATE(B11361,""en"",""es-ES"")"),"Uno de los hombres camina revisando para ver si se pierde algo.")</f>
        <v>Uno de los hombres camina revisando para ver si se pierde algo.</v>
      </c>
    </row>
    <row r="11362">
      <c r="A11362" s="4" t="s">
        <v>14290</v>
      </c>
      <c r="B11362" s="4" t="s">
        <v>14291</v>
      </c>
      <c r="C11362" s="5" t="str">
        <f>IFERROR(__xludf.DUMMYFUNCTION("GOOGLETRANSLATE(B11362,""en"",""es-ES"")"),"Vemos un claro en el bosque.")</f>
        <v>Vemos un claro en el bosque.</v>
      </c>
    </row>
    <row r="11363">
      <c r="A11363" s="4" t="s">
        <v>14290</v>
      </c>
      <c r="B11363" s="4" t="s">
        <v>14292</v>
      </c>
      <c r="C11363" s="5" t="str">
        <f>IFERROR(__xludf.DUMMYFUNCTION("GOOGLETRANSLATE(B11363,""en"",""es-ES"")"),"Nos acercamos a un dólar caminando por el bosque.")</f>
        <v>Nos acercamos a un dólar caminando por el bosque.</v>
      </c>
    </row>
    <row r="11364">
      <c r="A11364" s="4" t="s">
        <v>14290</v>
      </c>
      <c r="B11364" s="4" t="s">
        <v>14293</v>
      </c>
      <c r="C11364" s="5" t="str">
        <f>IFERROR(__xludf.DUMMYFUNCTION("GOOGLETRANSLATE(B11364,""en"",""es-ES"")"),"El dinero se detiene y se ve a la izquierda, luego a la derecha.")</f>
        <v>El dinero se detiene y se ve a la izquierda, luego a la derecha.</v>
      </c>
    </row>
    <row r="11365">
      <c r="A11365" s="4" t="s">
        <v>14290</v>
      </c>
      <c r="B11365" s="4" t="s">
        <v>14294</v>
      </c>
      <c r="C11365" s="5" t="str">
        <f>IFERROR(__xludf.DUMMYFUNCTION("GOOGLETRANSLATE(B11365,""en"",""es-ES"")"),"El dinero está bebiendo de un charco que la carrera se sorprendió.")</f>
        <v>El dinero está bebiendo de un charco que la carrera se sorprendió.</v>
      </c>
    </row>
    <row r="11366">
      <c r="A11366" s="4" t="s">
        <v>14290</v>
      </c>
      <c r="B11366" s="4" t="s">
        <v>14295</v>
      </c>
      <c r="C11366" s="5" t="str">
        <f>IFERROR(__xludf.DUMMYFUNCTION("GOOGLETRANSLATE(B11366,""en"",""es-ES"")"),"El dólar se encuentra en el claro.")</f>
        <v>El dólar se encuentra en el claro.</v>
      </c>
    </row>
    <row r="11367">
      <c r="A11367" s="4" t="s">
        <v>14290</v>
      </c>
      <c r="B11367" s="4" t="s">
        <v>14296</v>
      </c>
      <c r="C11367" s="5" t="str">
        <f>IFERROR(__xludf.DUMMYFUNCTION("GOOGLETRANSLATE(B11367,""en"",""es-ES"")"),"Un hombre está trabajando con un arco mientras otro filma al animal.")</f>
        <v>Un hombre está trabajando con un arco mientras otro filma al animal.</v>
      </c>
    </row>
    <row r="11368">
      <c r="A11368" s="4" t="s">
        <v>14290</v>
      </c>
      <c r="B11368" s="4" t="s">
        <v>14297</v>
      </c>
      <c r="C11368" s="5" t="str">
        <f>IFERROR(__xludf.DUMMYFUNCTION("GOOGLETRANSLATE(B11368,""en"",""es-ES"")"),"El cazador dispara al animal con un arco y muere lentamente.")</f>
        <v>El cazador dispara al animal con un arco y muere lentamente.</v>
      </c>
    </row>
    <row r="11369">
      <c r="A11369" s="4" t="s">
        <v>14290</v>
      </c>
      <c r="B11369" s="4" t="s">
        <v>14298</v>
      </c>
      <c r="C11369" s="5" t="str">
        <f>IFERROR(__xludf.DUMMYFUNCTION("GOOGLETRANSLATE(B11369,""en"",""es-ES"")"),"El cazador es fotografiado con el animal muerto.")</f>
        <v>El cazador es fotografiado con el animal muerto.</v>
      </c>
    </row>
    <row r="11370">
      <c r="A11370" s="4" t="s">
        <v>14299</v>
      </c>
      <c r="B11370" s="4" t="s">
        <v>14300</v>
      </c>
      <c r="C11370" s="5" t="str">
        <f>IFERROR(__xludf.DUMMYFUNCTION("GOOGLETRANSLATE(B11370,""en"",""es-ES"")"),"Se muestran varias tomas de un casino, así como personas que hacen pases y caminan por el interior.")</f>
        <v>Se muestran varias tomas de un casino, así como personas que hacen pases y caminan por el interior.</v>
      </c>
    </row>
    <row r="11371">
      <c r="A11371" s="4" t="s">
        <v>14299</v>
      </c>
      <c r="B11371" s="4" t="s">
        <v>14301</v>
      </c>
      <c r="C11371" s="5" t="str">
        <f>IFERROR(__xludf.DUMMYFUNCTION("GOOGLETRANSLATE(B11371,""en"",""es-ES"")"),"La cámara se mueve alrededor de varias mesas de juegos que se juegan, así como máquinas tragamonedas y personas que juegan entre sí.")</f>
        <v>La cámara se mueve alrededor de varias mesas de juegos que se juegan, así como máquinas tragamonedas y personas que juegan entre sí.</v>
      </c>
    </row>
    <row r="11372">
      <c r="A11372" s="4" t="s">
        <v>14302</v>
      </c>
      <c r="B11372" s="4" t="s">
        <v>14303</v>
      </c>
      <c r="C11372" s="5" t="str">
        <f>IFERROR(__xludf.DUMMYFUNCTION("GOOGLETRANSLATE(B11372,""en"",""es-ES"")"),"Una niña con cabello trenzado le pregunta a un trabajador en un centro ecuestre algunas preguntas.")</f>
        <v>Una niña con cabello trenzado le pregunta a un trabajador en un centro ecuestre algunas preguntas.</v>
      </c>
    </row>
    <row r="11373">
      <c r="A11373" s="4" t="s">
        <v>14302</v>
      </c>
      <c r="B11373" s="4" t="s">
        <v>14304</v>
      </c>
      <c r="C11373" s="5" t="str">
        <f>IFERROR(__xludf.DUMMYFUNCTION("GOOGLETRANSLATE(B11373,""en"",""es-ES"")"),"La mujer responde y habla sobre el cuidado de los caballos.")</f>
        <v>La mujer responde y habla sobre el cuidado de los caballos.</v>
      </c>
    </row>
    <row r="11374">
      <c r="A11374" s="4" t="s">
        <v>14302</v>
      </c>
      <c r="B11374" s="4" t="s">
        <v>14305</v>
      </c>
      <c r="C11374" s="5" t="str">
        <f>IFERROR(__xludf.DUMMYFUNCTION("GOOGLETRANSLATE(B11374,""en"",""es-ES"")"),"La niña cepilla la melena del caballo.")</f>
        <v>La niña cepilla la melena del caballo.</v>
      </c>
    </row>
    <row r="11375">
      <c r="A11375" s="4" t="s">
        <v>14302</v>
      </c>
      <c r="B11375" s="4" t="s">
        <v>14306</v>
      </c>
      <c r="C11375" s="5" t="str">
        <f>IFERROR(__xludf.DUMMYFUNCTION("GOOGLETRANSLATE(B11375,""en"",""es-ES"")"),"Los dos continúan pasando por el cuidado de los caballos.")</f>
        <v>Los dos continúan pasando por el cuidado de los caballos.</v>
      </c>
    </row>
    <row r="11376">
      <c r="A11376" s="4" t="s">
        <v>14302</v>
      </c>
      <c r="B11376" s="4" t="s">
        <v>14307</v>
      </c>
      <c r="C11376" s="5" t="str">
        <f>IFERROR(__xludf.DUMMYFUNCTION("GOOGLETRANSLATE(B11376,""en"",""es-ES"")"),"La niña y la mujer trabajan en técnicas de cepillado.")</f>
        <v>La niña y la mujer trabajan en técnicas de cepillado.</v>
      </c>
    </row>
    <row r="11377">
      <c r="A11377" s="4" t="s">
        <v>14302</v>
      </c>
      <c r="B11377" s="4" t="s">
        <v>14308</v>
      </c>
      <c r="C11377" s="5" t="str">
        <f>IFERROR(__xludf.DUMMYFUNCTION("GOOGLETRANSLATE(B11377,""en"",""es-ES"")"),"La mujer cepilla la cola de los caballos es mucho cuidado mientras la niña mira.")</f>
        <v>La mujer cepilla la cola de los caballos es mucho cuidado mientras la niña mira.</v>
      </c>
    </row>
    <row r="11378">
      <c r="A11378" s="4" t="s">
        <v>14309</v>
      </c>
      <c r="B11378" s="4" t="s">
        <v>14310</v>
      </c>
      <c r="C11378" s="5" t="str">
        <f>IFERROR(__xludf.DUMMYFUNCTION("GOOGLETRANSLATE(B11378,""en"",""es-ES"")"),"Una mujer se para ver a un chef que quita las hojas de un trozo de lechuga.")</f>
        <v>Una mujer se para ver a un chef que quita las hojas de un trozo de lechuga.</v>
      </c>
    </row>
    <row r="11379">
      <c r="A11379" s="4" t="s">
        <v>14309</v>
      </c>
      <c r="B11379" s="4" t="s">
        <v>14311</v>
      </c>
      <c r="C11379" s="5" t="str">
        <f>IFERROR(__xludf.DUMMYFUNCTION("GOOGLETRANSLATE(B11379,""en"",""es-ES"")"),"El chef le muestra a la mujer cómo cortar algunas partes de la lechuga.")</f>
        <v>El chef le muestra a la mujer cómo cortar algunas partes de la lechuga.</v>
      </c>
    </row>
    <row r="11380">
      <c r="A11380" s="4" t="s">
        <v>14309</v>
      </c>
      <c r="B11380" s="4" t="s">
        <v>14312</v>
      </c>
      <c r="C11380" s="5" t="str">
        <f>IFERROR(__xludf.DUMMYFUNCTION("GOOGLETRANSLATE(B11380,""en"",""es-ES"")"),"El chef y la mujer tienen una larga conversación sobre la lechuga.")</f>
        <v>El chef y la mujer tienen una larga conversación sobre la lechuga.</v>
      </c>
    </row>
    <row r="11381">
      <c r="A11381" s="4" t="s">
        <v>14313</v>
      </c>
      <c r="B11381" s="4" t="s">
        <v>14314</v>
      </c>
      <c r="C11381" s="5" t="str">
        <f>IFERROR(__xludf.DUMMYFUNCTION("GOOGLETRANSLATE(B11381,""en"",""es-ES"")"),"Una mujer está sentada en una máquina de remo.")</f>
        <v>Una mujer está sentada en una máquina de remo.</v>
      </c>
    </row>
    <row r="11382">
      <c r="A11382" s="4" t="s">
        <v>14313</v>
      </c>
      <c r="B11382" s="4" t="s">
        <v>14315</v>
      </c>
      <c r="C11382" s="5" t="str">
        <f>IFERROR(__xludf.DUMMYFUNCTION("GOOGLETRANSLATE(B11382,""en"",""es-ES"")"),"La mujer coloca sus pies en las correas de la máquina de remo.")</f>
        <v>La mujer coloca sus pies en las correas de la máquina de remo.</v>
      </c>
    </row>
    <row r="11383">
      <c r="A11383" s="4" t="s">
        <v>14313</v>
      </c>
      <c r="B11383" s="4" t="s">
        <v>14316</v>
      </c>
      <c r="C11383" s="5" t="str">
        <f>IFERROR(__xludf.DUMMYFUNCTION("GOOGLETRANSLATE(B11383,""en"",""es-ES"")"),"La mujer se aferra a los cables y filas de remo.")</f>
        <v>La mujer se aferra a los cables y filas de remo.</v>
      </c>
    </row>
    <row r="11384">
      <c r="A11384" s="4" t="s">
        <v>14313</v>
      </c>
      <c r="B11384" s="4" t="s">
        <v>14317</v>
      </c>
      <c r="C11384" s="5" t="str">
        <f>IFERROR(__xludf.DUMMYFUNCTION("GOOGLETRANSLATE(B11384,""en"",""es-ES"")"),"La mujer se detiene y demuestra el área del motor de la máquina.")</f>
        <v>La mujer se detiene y demuestra el área del motor de la máquina.</v>
      </c>
    </row>
    <row r="11385">
      <c r="A11385" s="4" t="s">
        <v>14313</v>
      </c>
      <c r="B11385" s="4" t="s">
        <v>14318</v>
      </c>
      <c r="C11385" s="5" t="str">
        <f>IFERROR(__xludf.DUMMYFUNCTION("GOOGLETRANSLATE(B11385,""en"",""es-ES"")"),"De vuelta sentada en la máquina de remo, ella fila una vez más y coloca los cables hacia abajo.")</f>
        <v>De vuelta sentada en la máquina de remo, ella fila una vez más y coloca los cables hacia abajo.</v>
      </c>
    </row>
    <row r="11386">
      <c r="A11386" s="4" t="s">
        <v>14313</v>
      </c>
      <c r="B11386" s="4" t="s">
        <v>14319</v>
      </c>
      <c r="C11386" s="5" t="str">
        <f>IFERROR(__xludf.DUMMYFUNCTION("GOOGLETRANSLATE(B11386,""en"",""es-ES"")"),"La mujer se quita los pies de las correas.")</f>
        <v>La mujer se quita los pies de las correas.</v>
      </c>
    </row>
    <row r="11387">
      <c r="A11387" s="4" t="s">
        <v>14320</v>
      </c>
      <c r="B11387" s="4" t="s">
        <v>14321</v>
      </c>
      <c r="C11387" s="5" t="str">
        <f>IFERROR(__xludf.DUMMYFUNCTION("GOOGLETRANSLATE(B11387,""en"",""es-ES"")"),"Se ve a un hombre acostado en el piso y comienza a demostrar cómo realizar movimientos de baile adecuadamente, así como la forma incorrecta de realizarlos.")</f>
        <v>Se ve a un hombre acostado en el piso y comienza a demostrar cómo realizar movimientos de baile adecuadamente, así como la forma incorrecta de realizarlos.</v>
      </c>
    </row>
    <row r="11388">
      <c r="A11388" s="4" t="s">
        <v>14320</v>
      </c>
      <c r="B11388" s="4" t="s">
        <v>14322</v>
      </c>
      <c r="C11388" s="5" t="str">
        <f>IFERROR(__xludf.DUMMYFUNCTION("GOOGLETRANSLATE(B11388,""en"",""es-ES"")"),"El hombre continúa moviéndose por todo el piso y conduce a varios clips de personas que realizan el movimiento.")</f>
        <v>El hombre continúa moviéndose por todo el piso y conduce a varios clips de personas que realizan el movimiento.</v>
      </c>
    </row>
    <row r="11389">
      <c r="A11389" s="4" t="s">
        <v>14323</v>
      </c>
      <c r="B11389" s="4" t="s">
        <v>14324</v>
      </c>
      <c r="C11389" s="5" t="str">
        <f>IFERROR(__xludf.DUMMYFUNCTION("GOOGLETRANSLATE(B11389,""en"",""es-ES"")"),"Un hombre limpia la nieve con una pala autocontrolada que tiene una caña para impulsar la pala.")</f>
        <v>Un hombre limpia la nieve con una pala autocontrolada que tiene una caña para impulsar la pala.</v>
      </c>
    </row>
    <row r="11390">
      <c r="A11390" s="4" t="s">
        <v>14323</v>
      </c>
      <c r="B11390" s="4" t="s">
        <v>14325</v>
      </c>
      <c r="C11390" s="5" t="str">
        <f>IFERROR(__xludf.DUMMYFUNCTION("GOOGLETRANSLATE(B11390,""en"",""es-ES"")"),"El hombre pone la pala en la nieve y levanta y arroja nieve.")</f>
        <v>El hombre pone la pala en la nieve y levanta y arroja nieve.</v>
      </c>
    </row>
    <row r="11391">
      <c r="A11391" s="4" t="s">
        <v>14323</v>
      </c>
      <c r="B11391" s="4" t="s">
        <v>14326</v>
      </c>
      <c r="C11391" s="5" t="str">
        <f>IFERROR(__xludf.DUMMYFUNCTION("GOOGLETRANSLATE(B11391,""en"",""es-ES"")"),"La pala del hombre endureció la nieve endurecida del suelo sin esfuerzo.")</f>
        <v>La pala del hombre endureció la nieve endurecida del suelo sin esfuerzo.</v>
      </c>
    </row>
    <row r="11392">
      <c r="A11392" s="4" t="s">
        <v>14323</v>
      </c>
      <c r="B11392" s="4" t="s">
        <v>14327</v>
      </c>
      <c r="C11392" s="5" t="str">
        <f>IFERROR(__xludf.DUMMYFUNCTION("GOOGLETRANSLATE(B11392,""en"",""es-ES"")"),"La persona muestra la pala que tiene detrás de un levantador de pesas.")</f>
        <v>La persona muestra la pala que tiene detrás de un levantador de pesas.</v>
      </c>
    </row>
    <row r="11393">
      <c r="A11393" s="4" t="s">
        <v>14328</v>
      </c>
      <c r="B11393" s="4" t="s">
        <v>14329</v>
      </c>
      <c r="C11393" s="5" t="str">
        <f>IFERROR(__xludf.DUMMYFUNCTION("GOOGLETRANSLATE(B11393,""en"",""es-ES"")"),"Se muestran varios disparos de personas que caminan en una playa y conducen a muchas personas surfeando en el agua.")</f>
        <v>Se muestran varios disparos de personas que caminan en una playa y conducen a muchas personas surfeando en el agua.</v>
      </c>
    </row>
    <row r="11394">
      <c r="A11394" s="4" t="s">
        <v>14328</v>
      </c>
      <c r="B11394" s="4" t="s">
        <v>14330</v>
      </c>
      <c r="C11394" s="5" t="str">
        <f>IFERROR(__xludf.DUMMYFUNCTION("GOOGLETRANSLATE(B11394,""en"",""es-ES"")"),"Se muestran docenas de personas en varios clips que viajan a lo largo de las olas en el agua, así como a las personas sentadas en el agua desde atrás.")</f>
        <v>Se muestran docenas de personas en varios clips que viajan a lo largo de las olas en el agua, así como a las personas sentadas en el agua desde atrás.</v>
      </c>
    </row>
    <row r="11395">
      <c r="A11395" s="4" t="s">
        <v>14331</v>
      </c>
      <c r="B11395" s="4" t="s">
        <v>14332</v>
      </c>
      <c r="C11395" s="5" t="str">
        <f>IFERROR(__xludf.DUMMYFUNCTION("GOOGLETRANSLATE(B11395,""en"",""es-ES"")"),"Una mujer se levanta y comienza a saltar cuerda.")</f>
        <v>Una mujer se levanta y comienza a saltar cuerda.</v>
      </c>
    </row>
    <row r="11396">
      <c r="A11396" s="4" t="s">
        <v>14331</v>
      </c>
      <c r="B11396" s="4" t="s">
        <v>14333</v>
      </c>
      <c r="C11396" s="5" t="str">
        <f>IFERROR(__xludf.DUMMYFUNCTION("GOOGLETRANSLATE(B11396,""en"",""es-ES"")"),"El resto de las mujeres se ponen de pie y se unen a su cuerda de salto.")</f>
        <v>El resto de las mujeres se ponen de pie y se unen a su cuerda de salto.</v>
      </c>
    </row>
    <row r="11397">
      <c r="A11397" s="4" t="s">
        <v>14331</v>
      </c>
      <c r="B11397" s="4" t="s">
        <v>14334</v>
      </c>
      <c r="C11397" s="5" t="str">
        <f>IFERROR(__xludf.DUMMYFUNCTION("GOOGLETRANSLATE(B11397,""en"",""es-ES"")"),"Hacen un soporte de mano en el suelo frente a ellos.")</f>
        <v>Hacen un soporte de mano en el suelo frente a ellos.</v>
      </c>
    </row>
    <row r="11398">
      <c r="A11398" s="4" t="s">
        <v>14335</v>
      </c>
      <c r="B11398" s="4" t="s">
        <v>14336</v>
      </c>
      <c r="C11398" s="5" t="str">
        <f>IFERROR(__xludf.DUMMYFUNCTION("GOOGLETRANSLATE(B11398,""en"",""es-ES"")"),"Un niño pequeño cruza un poco de equipo de carto de arena alrededor de su cintura.")</f>
        <v>Un niño pequeño cruza un poco de equipo de carto de arena alrededor de su cintura.</v>
      </c>
    </row>
    <row r="11399">
      <c r="A11399" s="4" t="s">
        <v>14335</v>
      </c>
      <c r="B11399" s="4" t="s">
        <v>14337</v>
      </c>
      <c r="C11399" s="5" t="str">
        <f>IFERROR(__xludf.DUMMYFUNCTION("GOOGLETRANSLATE(B11399,""en"",""es-ES"")"),"Mientras está en un campo escolar, ella lanza un palo.")</f>
        <v>Mientras está en un campo escolar, ella lanza un palo.</v>
      </c>
    </row>
    <row r="11400">
      <c r="A11400" s="4" t="s">
        <v>14335</v>
      </c>
      <c r="B11400" s="4" t="s">
        <v>14338</v>
      </c>
      <c r="C11400" s="5" t="str">
        <f>IFERROR(__xludf.DUMMYFUNCTION("GOOGLETRANSLATE(B11400,""en"",""es-ES"")"),"De vuelta en la arena, continúa caminando con el equipo unido a su cintura.")</f>
        <v>De vuelta en la arena, continúa caminando con el equipo unido a su cintura.</v>
      </c>
    </row>
    <row r="11401">
      <c r="A11401" s="4" t="s">
        <v>14335</v>
      </c>
      <c r="B11401" s="4" t="s">
        <v>14339</v>
      </c>
      <c r="C11401" s="5" t="str">
        <f>IFERROR(__xludf.DUMMYFUNCTION("GOOGLETRANSLATE(B11401,""en"",""es-ES"")"),"Ella arroja un guijarro a la playa.")</f>
        <v>Ella arroja un guijarro a la playa.</v>
      </c>
    </row>
    <row r="11402">
      <c r="A11402" s="4" t="s">
        <v>14335</v>
      </c>
      <c r="B11402" s="4" t="s">
        <v>14340</v>
      </c>
      <c r="C11402" s="5" t="str">
        <f>IFERROR(__xludf.DUMMYFUNCTION("GOOGLETRANSLATE(B11402,""en"",""es-ES"")"),"En una pista de la escuela, ella lanza un palo.")</f>
        <v>En una pista de la escuela, ella lanza un palo.</v>
      </c>
    </row>
    <row r="11403">
      <c r="A11403" s="4" t="s">
        <v>14335</v>
      </c>
      <c r="B11403" s="4" t="s">
        <v>14341</v>
      </c>
      <c r="C11403" s="5" t="str">
        <f>IFERROR(__xludf.DUMMYFUNCTION("GOOGLETRANSLATE(B11403,""en"",""es-ES"")"),"Ella arroja otro palo en un campo cubierto de hierba, donde miran sus entrenadores.")</f>
        <v>Ella arroja otro palo en un campo cubierto de hierba, donde miran sus entrenadores.</v>
      </c>
    </row>
    <row r="11404">
      <c r="A11404" s="4" t="s">
        <v>14335</v>
      </c>
      <c r="B11404" s="4" t="s">
        <v>14342</v>
      </c>
      <c r="C11404" s="5" t="str">
        <f>IFERROR(__xludf.DUMMYFUNCTION("GOOGLETRANSLATE(B11404,""en"",""es-ES"")"),"Un hombre le da una medalla.")</f>
        <v>Un hombre le da una medalla.</v>
      </c>
    </row>
    <row r="11405">
      <c r="A11405" s="4" t="s">
        <v>14335</v>
      </c>
      <c r="B11405" s="4" t="s">
        <v>14343</v>
      </c>
      <c r="C11405" s="5" t="str">
        <f>IFERROR(__xludf.DUMMYFUNCTION("GOOGLETRANSLATE(B11405,""en"",""es-ES"")"),"En un campo cubierto de hierba, ella tira un palo.")</f>
        <v>En un campo cubierto de hierba, ella tira un palo.</v>
      </c>
    </row>
    <row r="11406">
      <c r="A11406" s="4" t="s">
        <v>14344</v>
      </c>
      <c r="B11406" s="4" t="s">
        <v>14345</v>
      </c>
      <c r="C11406" s="5" t="str">
        <f>IFERROR(__xludf.DUMMYFUNCTION("GOOGLETRANSLATE(B11406,""en"",""es-ES"")"),"Se muestra una imagen de un hombre y luego dibujos de vértebras humanas.")</f>
        <v>Se muestra una imagen de un hombre y luego dibujos de vértebras humanas.</v>
      </c>
    </row>
    <row r="11407">
      <c r="A11407" s="4" t="s">
        <v>14344</v>
      </c>
      <c r="B11407" s="4" t="s">
        <v>14346</v>
      </c>
      <c r="C11407" s="5" t="str">
        <f>IFERROR(__xludf.DUMMYFUNCTION("GOOGLETRANSLATE(B11407,""en"",""es-ES"")"),"El hombre en gris está parado en una habitación y comenzó a rotar las manos hacia adelante y hacia atrás.")</f>
        <v>El hombre en gris está parado en una habitación y comenzó a rotar las manos hacia adelante y hacia atrás.</v>
      </c>
    </row>
    <row r="11408">
      <c r="A11408" s="4" t="s">
        <v>14344</v>
      </c>
      <c r="B11408" s="4" t="s">
        <v>14347</v>
      </c>
      <c r="C11408" s="5" t="str">
        <f>IFERROR(__xludf.DUMMYFUNCTION("GOOGLETRANSLATE(B11408,""en"",""es-ES"")"),"El hombre se está balanceando de lado a lado y mover los brazos frente a él.")</f>
        <v>El hombre se está balanceando de lado a lado y mover los brazos frente a él.</v>
      </c>
    </row>
    <row r="11409">
      <c r="A11409" s="4" t="s">
        <v>14348</v>
      </c>
      <c r="B11409" s="4" t="s">
        <v>14349</v>
      </c>
      <c r="C11409" s="5" t="str">
        <f>IFERROR(__xludf.DUMMYFUNCTION("GOOGLETRANSLATE(B11409,""en"",""es-ES"")"),"Un hombre está parado frente a un gato que sigue caminando sobre su papel de envoltura.")</f>
        <v>Un hombre está parado frente a un gato que sigue caminando sobre su papel de envoltura.</v>
      </c>
    </row>
    <row r="11410">
      <c r="A11410" s="4" t="s">
        <v>14348</v>
      </c>
      <c r="B11410" s="4" t="s">
        <v>14350</v>
      </c>
      <c r="C11410" s="5" t="str">
        <f>IFERROR(__xludf.DUMMYFUNCTION("GOOGLETRANSLATE(B11410,""en"",""es-ES"")"),"El hombre empuja al gato sobre el papel y lo dobla alrededor del gato.")</f>
        <v>El hombre empuja al gato sobre el papel y lo dobla alrededor del gato.</v>
      </c>
    </row>
    <row r="11411">
      <c r="A11411" s="4" t="s">
        <v>14348</v>
      </c>
      <c r="B11411" s="4" t="s">
        <v>14351</v>
      </c>
      <c r="C11411" s="5" t="str">
        <f>IFERROR(__xludf.DUMMYFUNCTION("GOOGLETRANSLATE(B11411,""en"",""es-ES"")"),"Luego graba el papel sobre el gato, dejando solo la cabeza sobresaliendo.")</f>
        <v>Luego graba el papel sobre el gato, dejando solo la cabeza sobresaliendo.</v>
      </c>
    </row>
    <row r="11412">
      <c r="A11412" s="4" t="s">
        <v>14348</v>
      </c>
      <c r="B11412" s="4" t="s">
        <v>14352</v>
      </c>
      <c r="C11412" s="5" t="str">
        <f>IFERROR(__xludf.DUMMYFUNCTION("GOOGLETRANSLATE(B11412,""en"",""es-ES"")"),"Luego coloca un arco en la cabeza del gato.")</f>
        <v>Luego coloca un arco en la cabeza del gato.</v>
      </c>
    </row>
    <row r="11413">
      <c r="A11413" s="4" t="s">
        <v>14353</v>
      </c>
      <c r="B11413" s="4" t="s">
        <v>14354</v>
      </c>
      <c r="C11413" s="5" t="str">
        <f>IFERROR(__xludf.DUMMYFUNCTION("GOOGLETRANSLATE(B11413,""en"",""es-ES"")"),"Una madre intenta cepillar los dientes de un bebé.")</f>
        <v>Una madre intenta cepillar los dientes de un bebé.</v>
      </c>
    </row>
    <row r="11414">
      <c r="A11414" s="4" t="s">
        <v>14353</v>
      </c>
      <c r="B11414" s="4" t="s">
        <v>14355</v>
      </c>
      <c r="C11414" s="5" t="str">
        <f>IFERROR(__xludf.DUMMYFUNCTION("GOOGLETRANSLATE(B11414,""en"",""es-ES"")"),"El bebé toma el cepillo de dientes y se intenta a sí misma.")</f>
        <v>El bebé toma el cepillo de dientes y se intenta a sí misma.</v>
      </c>
    </row>
    <row r="11415">
      <c r="A11415" s="4" t="s">
        <v>14353</v>
      </c>
      <c r="B11415" s="4" t="s">
        <v>14356</v>
      </c>
      <c r="C11415" s="5" t="str">
        <f>IFERROR(__xludf.DUMMYFUNCTION("GOOGLETRANSLATE(B11415,""en"",""es-ES"")"),"El bebé escupe parte de esta pasta de dientes pero sigue intentándolo.")</f>
        <v>El bebé escupe parte de esta pasta de dientes pero sigue intentándolo.</v>
      </c>
    </row>
    <row r="11416">
      <c r="A11416" s="4" t="s">
        <v>14357</v>
      </c>
      <c r="B11416" s="4" t="s">
        <v>14358</v>
      </c>
      <c r="C11416" s="5" t="str">
        <f>IFERROR(__xludf.DUMMYFUNCTION("GOOGLETRANSLATE(B11416,""en"",""es-ES"")"),"Una cuerda de salto negra y amarilla se encuentra en el piso, mientras que tres personas están en el fondo.")</f>
        <v>Una cuerda de salto negra y amarilla se encuentra en el piso, mientras que tres personas están en el fondo.</v>
      </c>
    </row>
    <row r="11417">
      <c r="A11417" s="4" t="s">
        <v>14357</v>
      </c>
      <c r="B11417" s="4" t="s">
        <v>14359</v>
      </c>
      <c r="C11417" s="5" t="str">
        <f>IFERROR(__xludf.DUMMYFUNCTION("GOOGLETRANSLATE(B11417,""en"",""es-ES"")"),"El título, ""Jump Rope Steffisburg"", aparece en la pantalla, mientras que varias personas con camisas verdes corren detrás.")</f>
        <v>El título, "Jump Rope Steffisburg", aparece en la pantalla, mientras que varias personas con camisas verdes corren detrás.</v>
      </c>
    </row>
    <row r="11418">
      <c r="A11418" s="4" t="s">
        <v>14357</v>
      </c>
      <c r="B11418" s="4" t="s">
        <v>14360</v>
      </c>
      <c r="C11418" s="5" t="str">
        <f>IFERROR(__xludf.DUMMYFUNCTION("GOOGLETRANSLATE(B11418,""en"",""es-ES"")"),"Dos mujeres jóvenes realizan un salto mortal.")</f>
        <v>Dos mujeres jóvenes realizan un salto mortal.</v>
      </c>
    </row>
    <row r="11419">
      <c r="A11419" s="4" t="s">
        <v>14357</v>
      </c>
      <c r="B11419" s="4" t="s">
        <v>14361</v>
      </c>
      <c r="C11419" s="5" t="str">
        <f>IFERROR(__xludf.DUMMYFUNCTION("GOOGLETRANSLATE(B11419,""en"",""es-ES"")"),"Un gran grupo de personas con camisas verdes realizan varias acrobacias de cuerda de salto en un gran gimnasio.")</f>
        <v>Un gran grupo de personas con camisas verdes realizan varias acrobacias de cuerda de salto en un gran gimnasio.</v>
      </c>
    </row>
    <row r="11420">
      <c r="A11420" s="4" t="s">
        <v>14357</v>
      </c>
      <c r="B11420" s="4" t="s">
        <v>14362</v>
      </c>
      <c r="C11420" s="5" t="str">
        <f>IFERROR(__xludf.DUMMYFUNCTION("GOOGLETRANSLATE(B11420,""en"",""es-ES"")"),"Alguien recoge una cuerda de salto amarilla y negra del piso y se va con ella.")</f>
        <v>Alguien recoge una cuerda de salto amarilla y negra del piso y se va con ella.</v>
      </c>
    </row>
    <row r="11421">
      <c r="A11421" s="4" t="s">
        <v>14363</v>
      </c>
      <c r="B11421" s="4" t="s">
        <v>14364</v>
      </c>
      <c r="C11421" s="5" t="str">
        <f>IFERROR(__xludf.DUMMYFUNCTION("GOOGLETRANSLATE(B11421,""en"",""es-ES"")"),"Una pantalla negra anuncia el video.")</f>
        <v>Una pantalla negra anuncia el video.</v>
      </c>
    </row>
    <row r="11422">
      <c r="A11422" s="4" t="s">
        <v>14363</v>
      </c>
      <c r="B11422" s="4" t="s">
        <v>14365</v>
      </c>
      <c r="C11422" s="5" t="str">
        <f>IFERROR(__xludf.DUMMYFUNCTION("GOOGLETRANSLATE(B11422,""en"",""es-ES"")"),"Se muestra a un hombre acostado mientras alguien se afeita la barba.")</f>
        <v>Se muestra a un hombre acostado mientras alguien se afeita la barba.</v>
      </c>
    </row>
    <row r="11423">
      <c r="A11423" s="4" t="s">
        <v>14363</v>
      </c>
      <c r="B11423" s="4" t="s">
        <v>14366</v>
      </c>
      <c r="C11423" s="5" t="str">
        <f>IFERROR(__xludf.DUMMYFUNCTION("GOOGLETRANSLATE(B11423,""en"",""es-ES"")"),"La cuchilla se muestra muy cerca de la piel mientras el hombre lo afeita con cuidado, enjuagando entre raspaduras.")</f>
        <v>La cuchilla se muestra muy cerca de la piel mientras el hombre lo afeita con cuidado, enjuagando entre raspaduras.</v>
      </c>
    </row>
    <row r="11424">
      <c r="A11424" s="4" t="s">
        <v>14363</v>
      </c>
      <c r="B11424" s="4" t="s">
        <v>14367</v>
      </c>
      <c r="C11424" s="5" t="str">
        <f>IFERROR(__xludf.DUMMYFUNCTION("GOOGLETRANSLATE(B11424,""en"",""es-ES"")"),"La pantalla se desvanece hasta que el hombre termina el afeitado.")</f>
        <v>La pantalla se desvanece hasta que el hombre termina el afeitado.</v>
      </c>
    </row>
    <row r="11425">
      <c r="A11425" s="4" t="s">
        <v>14368</v>
      </c>
      <c r="B11425" s="4" t="s">
        <v>14369</v>
      </c>
      <c r="C11425" s="5" t="str">
        <f>IFERROR(__xludf.DUMMYFUNCTION("GOOGLETRANSLATE(B11425,""en"",""es-ES"")"),"Dos machos juegan al tenis de mesa en una habitación pequeña.")</f>
        <v>Dos machos juegan al tenis de mesa en una habitación pequeña.</v>
      </c>
    </row>
    <row r="11426">
      <c r="A11426" s="4" t="s">
        <v>14368</v>
      </c>
      <c r="B11426" s="4" t="s">
        <v>14370</v>
      </c>
      <c r="C11426" s="5" t="str">
        <f>IFERROR(__xludf.DUMMYFUNCTION("GOOGLETRANSLATE(B11426,""en"",""es-ES"")"),"Otro hombre camina en el fondo.")</f>
        <v>Otro hombre camina en el fondo.</v>
      </c>
    </row>
    <row r="11427">
      <c r="A11427" s="4" t="s">
        <v>14371</v>
      </c>
      <c r="B11427" s="4" t="s">
        <v>14372</v>
      </c>
      <c r="C11427" s="5" t="str">
        <f>IFERROR(__xludf.DUMMYFUNCTION("GOOGLETRANSLATE(B11427,""en"",""es-ES"")"),"Un grupo de mujeres está parado como una de ellas está en un camello.")</f>
        <v>Un grupo de mujeres está parado como una de ellas está en un camello.</v>
      </c>
    </row>
    <row r="11428">
      <c r="A11428" s="4" t="s">
        <v>14371</v>
      </c>
      <c r="B11428" s="4" t="s">
        <v>14373</v>
      </c>
      <c r="C11428" s="5" t="str">
        <f>IFERROR(__xludf.DUMMYFUNCTION("GOOGLETRANSLATE(B11428,""en"",""es-ES"")"),"El camello levanta y los entrenadores y otros amigos miran.")</f>
        <v>El camello levanta y los entrenadores y otros amigos miran.</v>
      </c>
    </row>
    <row r="11429">
      <c r="A11429" s="4" t="s">
        <v>14371</v>
      </c>
      <c r="B11429" s="4" t="s">
        <v>14374</v>
      </c>
      <c r="C11429" s="5" t="str">
        <f>IFERROR(__xludf.DUMMYFUNCTION("GOOGLETRANSLATE(B11429,""en"",""es-ES"")"),"Parecen estar pasando un buen rato mientras la cámara se retira para mostrarlos a todos.")</f>
        <v>Parecen estar pasando un buen rato mientras la cámara se retira para mostrarlos a todos.</v>
      </c>
    </row>
    <row r="11430">
      <c r="A11430" s="4" t="s">
        <v>14371</v>
      </c>
      <c r="B11430" s="4" t="s">
        <v>14375</v>
      </c>
      <c r="C11430" s="5" t="str">
        <f>IFERROR(__xludf.DUMMYFUNCTION("GOOGLETRANSLATE(B11430,""en"",""es-ES"")"),"Avanzan con el camello muy lentamente y la dama que lo monta ola.")</f>
        <v>Avanzan con el camello muy lentamente y la dama que lo monta ola.</v>
      </c>
    </row>
    <row r="11431">
      <c r="A11431" s="4" t="s">
        <v>14371</v>
      </c>
      <c r="B11431" s="4" t="s">
        <v>14376</v>
      </c>
      <c r="C11431" s="5" t="str">
        <f>IFERROR(__xludf.DUMMYFUNCTION("GOOGLETRANSLATE(B11431,""en"",""es-ES"")"),"El video luego corta, mostrando que el camello se detiene antes de caer al suelo para dejar a la mujer.")</f>
        <v>El video luego corta, mostrando que el camello se detiene antes de caer al suelo para dejar a la mujer.</v>
      </c>
    </row>
    <row r="11432">
      <c r="A11432" s="4" t="s">
        <v>14371</v>
      </c>
      <c r="B11432" s="4" t="s">
        <v>14377</v>
      </c>
      <c r="C11432" s="5" t="str">
        <f>IFERROR(__xludf.DUMMYFUNCTION("GOOGLETRANSLATE(B11432,""en"",""es-ES"")"),"Ella lo recorre y el video termina.")</f>
        <v>Ella lo recorre y el video termina.</v>
      </c>
    </row>
    <row r="11433">
      <c r="A11433" s="4" t="s">
        <v>14378</v>
      </c>
      <c r="B11433" s="4" t="s">
        <v>14379</v>
      </c>
      <c r="C11433" s="5" t="str">
        <f>IFERROR(__xludf.DUMMYFUNCTION("GOOGLETRANSLATE(B11433,""en"",""es-ES"")"),"Los chicos están de pie cerca de un puesto.")</f>
        <v>Los chicos están de pie cerca de un puesto.</v>
      </c>
    </row>
    <row r="11434">
      <c r="A11434" s="4" t="s">
        <v>14378</v>
      </c>
      <c r="B11434" s="4" t="s">
        <v>14380</v>
      </c>
      <c r="C11434" s="5" t="str">
        <f>IFERROR(__xludf.DUMMYFUNCTION("GOOGLETRANSLATE(B11434,""en"",""es-ES"")"),"Un chico a caballo persigue un ganado.")</f>
        <v>Un chico a caballo persigue un ganado.</v>
      </c>
    </row>
    <row r="11435">
      <c r="A11435" s="4" t="s">
        <v>14378</v>
      </c>
      <c r="B11435" s="4" t="s">
        <v>14381</v>
      </c>
      <c r="C11435" s="5" t="str">
        <f>IFERROR(__xludf.DUMMYFUNCTION("GOOGLETRANSLATE(B11435,""en"",""es-ES"")"),"El tipo ataca al ganado y se levanta de su caballo para atar las piernas del ganado.")</f>
        <v>El tipo ataca al ganado y se levanta de su caballo para atar las piernas del ganado.</v>
      </c>
    </row>
    <row r="11436">
      <c r="A11436" s="4" t="s">
        <v>14378</v>
      </c>
      <c r="B11436" s="4" t="s">
        <v>14382</v>
      </c>
      <c r="C11436" s="5" t="str">
        <f>IFERROR(__xludf.DUMMYFUNCTION("GOOGLETRANSLATE(B11436,""en"",""es-ES"")"),"Dos hombres retiran la cuerda alrededor del cuello y las piernas del ganado.")</f>
        <v>Dos hombres retiran la cuerda alrededor del cuello y las piernas del ganado.</v>
      </c>
    </row>
    <row r="11437">
      <c r="A11437" s="4" t="s">
        <v>14378</v>
      </c>
      <c r="B11437" s="4" t="s">
        <v>14383</v>
      </c>
      <c r="C11437" s="5" t="str">
        <f>IFERROR(__xludf.DUMMYFUNCTION("GOOGLETRANSLATE(B11437,""en"",""es-ES"")"),"El ganado se eleva y huye.")</f>
        <v>El ganado se eleva y huye.</v>
      </c>
    </row>
    <row r="11438">
      <c r="A11438" s="4" t="s">
        <v>14384</v>
      </c>
      <c r="B11438" s="4" t="s">
        <v>14385</v>
      </c>
      <c r="C11438" s="5" t="str">
        <f>IFERROR(__xludf.DUMMYFUNCTION("GOOGLETRANSLATE(B11438,""en"",""es-ES"")"),"Se ve a una persona haciendo marcas en un papel usando una herramienta y un lápiz.")</f>
        <v>Se ve a una persona haciendo marcas en un papel usando una herramienta y un lápiz.</v>
      </c>
    </row>
    <row r="11439">
      <c r="A11439" s="4" t="s">
        <v>14384</v>
      </c>
      <c r="B11439" s="4" t="s">
        <v>14386</v>
      </c>
      <c r="C11439" s="5" t="str">
        <f>IFERROR(__xludf.DUMMYFUNCTION("GOOGLETRANSLATE(B11439,""en"",""es-ES"")"),"Luego atornilla las herramientas en lugar de los agujeros y las bandejas de la cámara por el área terminada.")</f>
        <v>Luego atornilla las herramientas en lugar de los agujeros y las bandejas de la cámara por el área terminada.</v>
      </c>
    </row>
    <row r="11440">
      <c r="A11440" s="4" t="s">
        <v>14384</v>
      </c>
      <c r="B11440" s="4" t="s">
        <v>14387</v>
      </c>
      <c r="C11440" s="5" t="str">
        <f>IFERROR(__xludf.DUMMYFUNCTION("GOOGLETRANSLATE(B11440,""en"",""es-ES"")"),"Luego limpia el área, mide más área y luego roda el papel sobre una herramienta.")</f>
        <v>Luego limpia el área, mide más área y luego roda el papel sobre una herramienta.</v>
      </c>
    </row>
    <row r="11441">
      <c r="A11441" s="4" t="s">
        <v>14384</v>
      </c>
      <c r="B11441" s="4" t="s">
        <v>14388</v>
      </c>
      <c r="C11441" s="5" t="str">
        <f>IFERROR(__xludf.DUMMYFUNCTION("GOOGLETRANSLATE(B11441,""en"",""es-ES"")"),"Finalmente toma un objeto afilado y lo ejecuta todo el papel.")</f>
        <v>Finalmente toma un objeto afilado y lo ejecuta todo el papel.</v>
      </c>
    </row>
    <row r="11442">
      <c r="A11442" s="4" t="s">
        <v>14389</v>
      </c>
      <c r="B11442" s="4" t="s">
        <v>14390</v>
      </c>
      <c r="C11442" s="5" t="str">
        <f>IFERROR(__xludf.DUMMYFUNCTION("GOOGLETRANSLATE(B11442,""en"",""es-ES"")"),"Una persona en un cubo de Rubik.")</f>
        <v>Una persona en un cubo de Rubik.</v>
      </c>
    </row>
    <row r="11443">
      <c r="A11443" s="4" t="s">
        <v>14389</v>
      </c>
      <c r="B11443" s="4" t="s">
        <v>14391</v>
      </c>
      <c r="C11443" s="5" t="str">
        <f>IFERROR(__xludf.DUMMYFUNCTION("GOOGLETRANSLATE(B11443,""en"",""es-ES"")"),"La persona comienza a resolver el cubo de Rubik.")</f>
        <v>La persona comienza a resolver el cubo de Rubik.</v>
      </c>
    </row>
    <row r="11444">
      <c r="A11444" s="4" t="s">
        <v>14389</v>
      </c>
      <c r="B11444" s="4" t="s">
        <v>14392</v>
      </c>
      <c r="C11444" s="5" t="str">
        <f>IFERROR(__xludf.DUMMYFUNCTION("GOOGLETRANSLATE(B11444,""en"",""es-ES"")"),"La persona coloca el cubo de Rubik resuelto en el escritorio y hace clic apresuradamente en algo.")</f>
        <v>La persona coloca el cubo de Rubik resuelto en el escritorio y hace clic apresuradamente en algo.</v>
      </c>
    </row>
    <row r="11445">
      <c r="A11445" s="4" t="s">
        <v>14389</v>
      </c>
      <c r="B11445" s="4" t="s">
        <v>14393</v>
      </c>
      <c r="C11445" s="5" t="str">
        <f>IFERROR(__xludf.DUMMYFUNCTION("GOOGLETRANSLATE(B11445,""en"",""es-ES"")"),"La persona muestra la pantalla de su computadora.")</f>
        <v>La persona muestra la pantalla de su computadora.</v>
      </c>
    </row>
    <row r="11446">
      <c r="A11446" s="4" t="s">
        <v>14389</v>
      </c>
      <c r="B11446" s="4" t="s">
        <v>14394</v>
      </c>
      <c r="C11446" s="5" t="str">
        <f>IFERROR(__xludf.DUMMYFUNCTION("GOOGLETRANSLATE(B11446,""en"",""es-ES"")"),"La persona recoge el cubo de Rubik y muestra cada cara del cubo resuelto de Rubik.")</f>
        <v>La persona recoge el cubo de Rubik y muestra cada cara del cubo resuelto de Rubik.</v>
      </c>
    </row>
    <row r="11447">
      <c r="A11447" s="4" t="s">
        <v>14395</v>
      </c>
      <c r="B11447" s="4" t="s">
        <v>14396</v>
      </c>
      <c r="C11447" s="5" t="str">
        <f>IFERROR(__xludf.DUMMYFUNCTION("GOOGLETRANSLATE(B11447,""en"",""es-ES"")"),"El niño está de pie debajo del árbol con la venda para golpear la piñata, pero se lo perdió.")</f>
        <v>El niño está de pie debajo del árbol con la venda para golpear la piñata, pero se lo perdió.</v>
      </c>
    </row>
    <row r="11448">
      <c r="A11448" s="4" t="s">
        <v>14395</v>
      </c>
      <c r="B11448" s="4" t="s">
        <v>14397</v>
      </c>
      <c r="C11448" s="5" t="str">
        <f>IFERROR(__xludf.DUMMYFUNCTION("GOOGLETRANSLATE(B11448,""en"",""es-ES"")"),"Un hombre se le acercó y lo ayudó, el niño golpeó la piñata una vez.")</f>
        <v>Un hombre se le acercó y lo ayudó, el niño golpeó la piñata una vez.</v>
      </c>
    </row>
    <row r="11449">
      <c r="A11449" s="4" t="s">
        <v>14395</v>
      </c>
      <c r="B11449" s="4" t="s">
        <v>14398</v>
      </c>
      <c r="C11449" s="5" t="str">
        <f>IFERROR(__xludf.DUMMYFUNCTION("GOOGLETRANSLATE(B11449,""en"",""es-ES"")"),"El hombre gira a la niña y luego dejó caminar un poco y la niña golpeó la piñata.")</f>
        <v>El hombre gira a la niña y luego dejó caminar un poco y la niña golpeó la piñata.</v>
      </c>
    </row>
    <row r="11450">
      <c r="A11450" s="4" t="s">
        <v>14395</v>
      </c>
      <c r="B11450" s="4" t="s">
        <v>14399</v>
      </c>
      <c r="C11450" s="5" t="str">
        <f>IFERROR(__xludf.DUMMYFUNCTION("GOOGLETRANSLATE(B11450,""en"",""es-ES"")"),"Un joven golpeó el anuncio de piñata que los niños están alineados para tomar su turno para golpear la piñata.")</f>
        <v>Un joven golpeó el anuncio de piñata que los niños están alineados para tomar su turno para golpear la piñata.</v>
      </c>
    </row>
    <row r="11451">
      <c r="A11451" s="4" t="s">
        <v>14400</v>
      </c>
      <c r="B11451" s="4" t="s">
        <v>14401</v>
      </c>
      <c r="C11451" s="5" t="str">
        <f>IFERROR(__xludf.DUMMYFUNCTION("GOOGLETRANSLATE(B11451,""en"",""es-ES"")"),"Un luchador en Maroon Brief está provocando al hombre negro.")</f>
        <v>Un luchador en Maroon Brief está provocando al hombre negro.</v>
      </c>
    </row>
    <row r="11452">
      <c r="A11452" s="4" t="s">
        <v>14400</v>
      </c>
      <c r="B11452" s="4" t="s">
        <v>14402</v>
      </c>
      <c r="C11452" s="5" t="str">
        <f>IFERROR(__xludf.DUMMYFUNCTION("GOOGLETRANSLATE(B11452,""en"",""es-ES"")"),"El hombre negro atacó al otro luchador pero fue derribado.")</f>
        <v>El hombre negro atacó al otro luchador pero fue derribado.</v>
      </c>
    </row>
    <row r="11453">
      <c r="A11453" s="4" t="s">
        <v>14400</v>
      </c>
      <c r="B11453" s="4" t="s">
        <v>14403</v>
      </c>
      <c r="C11453" s="5" t="str">
        <f>IFERROR(__xludf.DUMMYFUNCTION("GOOGLETRANSLATE(B11453,""en"",""es-ES"")"),"El luchador con breve marrón llevó al hombre negro y lo golpeó en el suelo.")</f>
        <v>El luchador con breve marrón llevó al hombre negro y lo golpeó en el suelo.</v>
      </c>
    </row>
    <row r="11454">
      <c r="A11454" s="4" t="s">
        <v>14404</v>
      </c>
      <c r="B11454" s="4" t="s">
        <v>14405</v>
      </c>
      <c r="C11454" s="5" t="str">
        <f>IFERROR(__xludf.DUMMYFUNCTION("GOOGLETRANSLATE(B11454,""en"",""es-ES"")"),"Hay un hombre sentado con el logotipo de los Juegos Olímpicos detrás de él, hablando de deportes.")</f>
        <v>Hay un hombre sentado con el logotipo de los Juegos Olímpicos detrás de él, hablando de deportes.</v>
      </c>
    </row>
    <row r="11455">
      <c r="A11455" s="4" t="s">
        <v>14404</v>
      </c>
      <c r="B11455" s="4" t="s">
        <v>14406</v>
      </c>
      <c r="C11455" s="5" t="str">
        <f>IFERROR(__xludf.DUMMYFUNCTION("GOOGLETRANSLATE(B11455,""en"",""es-ES"")"),"Se muestra una fotografía grupal de muchas personas de diferentes grupos de edad.")</f>
        <v>Se muestra una fotografía grupal de muchas personas de diferentes grupos de edad.</v>
      </c>
    </row>
    <row r="11456">
      <c r="A11456" s="4" t="s">
        <v>14404</v>
      </c>
      <c r="B11456" s="4" t="s">
        <v>14407</v>
      </c>
      <c r="C11456" s="5" t="str">
        <f>IFERROR(__xludf.DUMMYFUNCTION("GOOGLETRANSLATE(B11456,""en"",""es-ES"")"),"Hay algunas personas jugando a Beach Volley Ball en la arena en un día soleado con varias personas mirándolas.")</f>
        <v>Hay algunas personas jugando a Beach Volley Ball en la arena en un día soleado con varias personas mirándolas.</v>
      </c>
    </row>
    <row r="11457">
      <c r="A11457" s="4" t="s">
        <v>14404</v>
      </c>
      <c r="B11457" s="4" t="s">
        <v>14408</v>
      </c>
      <c r="C11457" s="5" t="str">
        <f>IFERROR(__xludf.DUMMYFUNCTION("GOOGLETRANSLATE(B11457,""en"",""es-ES"")"),"Uno de los jugadores golpea el balón a su oponente al golpearlo con su puño.")</f>
        <v>Uno de los jugadores golpea el balón a su oponente al golpearlo con su puño.</v>
      </c>
    </row>
    <row r="11458">
      <c r="A11458" s="4" t="s">
        <v>14404</v>
      </c>
      <c r="B11458" s="4" t="s">
        <v>14409</v>
      </c>
      <c r="C11458" s="5" t="str">
        <f>IFERROR(__xludf.DUMMYFUNCTION("GOOGLETRANSLATE(B11458,""en"",""es-ES"")"),"Otro jugador devuelve la pelota pateándola por la red.")</f>
        <v>Otro jugador devuelve la pelota pateándola por la red.</v>
      </c>
    </row>
    <row r="11459">
      <c r="A11459" s="4" t="s">
        <v>14404</v>
      </c>
      <c r="B11459" s="4" t="s">
        <v>14410</v>
      </c>
      <c r="C11459" s="5" t="str">
        <f>IFERROR(__xludf.DUMMYFUNCTION("GOOGLETRANSLATE(B11459,""en"",""es-ES"")"),"Los jugadores continúan jugando el juego golpeando la pelota en la red.")</f>
        <v>Los jugadores continúan jugando el juego golpeando la pelota en la red.</v>
      </c>
    </row>
    <row r="11460">
      <c r="A11460" s="4" t="s">
        <v>14411</v>
      </c>
      <c r="B11460" s="4" t="s">
        <v>14412</v>
      </c>
      <c r="C11460" s="5" t="str">
        <f>IFERROR(__xludf.DUMMYFUNCTION("GOOGLETRANSLATE(B11460,""en"",""es-ES"")"),"Un campo abierto está cubierto de nieve y, de repente, aparece un oso grande en una mesa y luego se coloca en una caja.")</f>
        <v>Un campo abierto está cubierto de nieve y, de repente, aparece un oso grande en una mesa y luego se coloca en una caja.</v>
      </c>
    </row>
    <row r="11461">
      <c r="A11461" s="4" t="s">
        <v>14411</v>
      </c>
      <c r="B11461" s="4" t="s">
        <v>14413</v>
      </c>
      <c r="C11461" s="5" t="str">
        <f>IFERROR(__xludf.DUMMYFUNCTION("GOOGLETRANSLATE(B11461,""en"",""es-ES"")"),"Martha Stewart luego comienza a grabar la caja.")</f>
        <v>Martha Stewart luego comienza a grabar la caja.</v>
      </c>
    </row>
    <row r="11462">
      <c r="A11462" s="4" t="s">
        <v>14411</v>
      </c>
      <c r="B11462" s="4" t="s">
        <v>14414</v>
      </c>
      <c r="C11462" s="5" t="str">
        <f>IFERROR(__xludf.DUMMYFUNCTION("GOOGLETRANSLATE(B11462,""en"",""es-ES"")"),"La caja se coloca en la parte superior del mostrador y el papel de envoltura se coloca en ambos extremos a aproximadamente seis pulgadas por la caja.")</f>
        <v>La caja se coloca en la parte superior del mostrador y el papel de envoltura se coloca en ambos extremos a aproximadamente seis pulgadas por la caja.</v>
      </c>
    </row>
    <row r="11463">
      <c r="A11463" s="4" t="s">
        <v>14411</v>
      </c>
      <c r="B11463" s="4" t="s">
        <v>14415</v>
      </c>
      <c r="C11463" s="5" t="str">
        <f>IFERROR(__xludf.DUMMYFUNCTION("GOOGLETRANSLATE(B11463,""en"",""es-ES"")"),"Luego se saca más papel de envoltura y se envuelve alrededor de la caja ahora cubierta en el centro.")</f>
        <v>Luego se saca más papel de envoltura y se envuelve alrededor de la caja ahora cubierta en el centro.</v>
      </c>
    </row>
    <row r="11464">
      <c r="A11464" s="4" t="s">
        <v>14411</v>
      </c>
      <c r="B11464" s="4" t="s">
        <v>14416</v>
      </c>
      <c r="C11464" s="5" t="str">
        <f>IFERROR(__xludf.DUMMYFUNCTION("GOOGLETRANSLATE(B11464,""en"",""es-ES"")"),"Después de ser grabado, se colocan varios arcos de brillo rojos en la parte superior del papel de envoltura.")</f>
        <v>Después de ser grabado, se colocan varios arcos de brillo rojos en la parte superior del papel de envoltura.</v>
      </c>
    </row>
    <row r="11465">
      <c r="A11465" s="4" t="s">
        <v>14411</v>
      </c>
      <c r="B11465" s="4" t="s">
        <v>14417</v>
      </c>
      <c r="C11465" s="5" t="str">
        <f>IFERROR(__xludf.DUMMYFUNCTION("GOOGLETRANSLATE(B11465,""en"",""es-ES"")"),"En el mostrador, aparece varias filas más de papel de rap y tubos.")</f>
        <v>En el mostrador, aparece varias filas más de papel de rap y tubos.</v>
      </c>
    </row>
    <row r="11466">
      <c r="A11466" s="4" t="s">
        <v>14411</v>
      </c>
      <c r="B11466" s="4" t="s">
        <v>14418</v>
      </c>
      <c r="C11466" s="5" t="str">
        <f>IFERROR(__xludf.DUMMYFUNCTION("GOOGLETRANSLATE(B11466,""en"",""es-ES"")"),"Los calcetines se colocan en un tubo y se cubren en el papel de envoltura plateado.")</f>
        <v>Los calcetines se colocan en un tubo y se cubren en el papel de envoltura plateado.</v>
      </c>
    </row>
    <row r="11467">
      <c r="A11467" s="4" t="s">
        <v>14411</v>
      </c>
      <c r="B11467" s="4" t="s">
        <v>14419</v>
      </c>
      <c r="C11467" s="5" t="str">
        <f>IFERROR(__xludf.DUMMYFUNCTION("GOOGLETRANSLATE(B11467,""en"",""es-ES"")"),"Luego, la mujer toma un objeto en forma de circular y lo traza con un lápiz y hace pelares en el medio.")</f>
        <v>Luego, la mujer toma un objeto en forma de circular y lo traza con un lápiz y hace pelares en el medio.</v>
      </c>
    </row>
    <row r="11468">
      <c r="A11468" s="4" t="s">
        <v>14411</v>
      </c>
      <c r="B11468" s="4" t="s">
        <v>14420</v>
      </c>
      <c r="C11468" s="5" t="str">
        <f>IFERROR(__xludf.DUMMYFUNCTION("GOOGLETRANSLATE(B11468,""en"",""es-ES"")"),"Después de que se cortan, se colocan en el extremo de los tubos y se apilan para dar la ilusión de madera de fuego.")</f>
        <v>Después de que se cortan, se colocan en el extremo de los tubos y se apilan para dar la ilusión de madera de fuego.</v>
      </c>
    </row>
    <row r="11469">
      <c r="A11469" s="4" t="s">
        <v>14421</v>
      </c>
      <c r="B11469" s="4" t="s">
        <v>14422</v>
      </c>
      <c r="C11469" s="5" t="str">
        <f>IFERROR(__xludf.DUMMYFUNCTION("GOOGLETRANSLATE(B11469,""en"",""es-ES"")"),"Un grupo de niños se está lanzando bolas en una habitación hinchable donde los pisos son plataformas de rebote inflables.")</f>
        <v>Un grupo de niños se está lanzando bolas en una habitación hinchable donde los pisos son plataformas de rebote inflables.</v>
      </c>
    </row>
    <row r="11470">
      <c r="A11470" s="4" t="s">
        <v>14421</v>
      </c>
      <c r="B11470" s="4" t="s">
        <v>14423</v>
      </c>
      <c r="C11470" s="5" t="str">
        <f>IFERROR(__xludf.DUMMYFUNCTION("GOOGLETRANSLATE(B11470,""en"",""es-ES"")"),"Los niños en el lado derecho de la habitación arrojan bolas a los niños en el lado izquierdo de la habitación cuando las bolas vuelan sobre su lado de la colchoneta en un esfuerzo por golpearlas.")</f>
        <v>Los niños en el lado derecho de la habitación arrojan bolas a los niños en el lado izquierdo de la habitación cuando las bolas vuelan sobre su lado de la colchoneta en un esfuerzo por golpearlas.</v>
      </c>
    </row>
    <row r="11471">
      <c r="A11471" s="4" t="s">
        <v>14421</v>
      </c>
      <c r="B11471" s="4" t="s">
        <v>14424</v>
      </c>
      <c r="C11471" s="5" t="str">
        <f>IFERROR(__xludf.DUMMYFUNCTION("GOOGLETRANSLATE(B11471,""en"",""es-ES"")"),"Los niños arrojan y esquivan con un niño con una camiseta azul retirándose en la esquina derecha de la sala de rebote para tratar de evitar una pelota que le arroja desde el otro lado.")</f>
        <v>Los niños arrojan y esquivan con un niño con una camiseta azul retirándose en la esquina derecha de la sala de rebote para tratar de evitar una pelota que le arroja desde el otro lado.</v>
      </c>
    </row>
    <row r="11472">
      <c r="A11472" s="4" t="s">
        <v>14425</v>
      </c>
      <c r="B11472" s="4" t="s">
        <v>14426</v>
      </c>
      <c r="C11472" s="5" t="str">
        <f>IFERROR(__xludf.DUMMYFUNCTION("GOOGLETRANSLATE(B11472,""en"",""es-ES"")"),"Se ve a un niño pequeño trapando un piso con un trapeador y se mueve alrededor de todas las áreas de la habitación.")</f>
        <v>Se ve a un niño pequeño trapando un piso con un trapeador y se mueve alrededor de todas las áreas de la habitación.</v>
      </c>
    </row>
    <row r="11473">
      <c r="A11473" s="4" t="s">
        <v>14425</v>
      </c>
      <c r="B11473" s="4" t="s">
        <v>14427</v>
      </c>
      <c r="C11473" s="5" t="str">
        <f>IFERROR(__xludf.DUMMYFUNCTION("GOOGLETRANSLATE(B11473,""en"",""es-ES"")"),"Se detiene para jugar un poco con el trapeador y empuja una caja de nuevo debajo de un soporte.")</f>
        <v>Se detiene para jugar un poco con el trapeador y empuja una caja de nuevo debajo de un soporte.</v>
      </c>
    </row>
    <row r="11474">
      <c r="A11474" s="4" t="s">
        <v>14428</v>
      </c>
      <c r="B11474" s="4" t="s">
        <v>14429</v>
      </c>
      <c r="C11474" s="5" t="str">
        <f>IFERROR(__xludf.DUMMYFUNCTION("GOOGLETRANSLATE(B11474,""en"",""es-ES"")"),"Una mujer con una camisa negra está bailando en una habitación.")</f>
        <v>Una mujer con una camisa negra está bailando en una habitación.</v>
      </c>
    </row>
    <row r="11475">
      <c r="A11475" s="4" t="s">
        <v>14428</v>
      </c>
      <c r="B11475" s="4" t="s">
        <v>14430</v>
      </c>
      <c r="C11475" s="5" t="str">
        <f>IFERROR(__xludf.DUMMYFUNCTION("GOOGLETRANSLATE(B11475,""en"",""es-ES"")"),"Un pequeño perro en el piso al lado de sus relojes.")</f>
        <v>Un pequeño perro en el piso al lado de sus relojes.</v>
      </c>
    </row>
    <row r="11476">
      <c r="A11476" s="4" t="s">
        <v>14428</v>
      </c>
      <c r="B11476" s="4" t="s">
        <v>14431</v>
      </c>
      <c r="C11476" s="5" t="str">
        <f>IFERROR(__xludf.DUMMYFUNCTION("GOOGLETRANSLATE(B11476,""en"",""es-ES"")"),"Ella aplaude sus manos al final.")</f>
        <v>Ella aplaude sus manos al final.</v>
      </c>
    </row>
    <row r="11477">
      <c r="A11477" s="4" t="s">
        <v>14432</v>
      </c>
      <c r="B11477" s="4" t="s">
        <v>14433</v>
      </c>
      <c r="C11477" s="5" t="str">
        <f>IFERROR(__xludf.DUMMYFUNCTION("GOOGLETRANSLATE(B11477,""en"",""es-ES"")"),"Un grupo de personas va a una bolera y falla hilarantemente.")</f>
        <v>Un grupo de personas va a una bolera y falla hilarantemente.</v>
      </c>
    </row>
    <row r="11478">
      <c r="A11478" s="4" t="s">
        <v>14432</v>
      </c>
      <c r="B11478" s="4" t="s">
        <v>14434</v>
      </c>
      <c r="C11478" s="5" t="str">
        <f>IFERROR(__xludf.DUMMYFUNCTION("GOOGLETRANSLATE(B11478,""en"",""es-ES"")"),"Una mujer habla con los alfileres y descubre cómo se configuran y reemplazan los alfileres.")</f>
        <v>Una mujer habla con los alfileres y descubre cómo se configuran y reemplazan los alfileres.</v>
      </c>
    </row>
    <row r="11479">
      <c r="A11479" s="4" t="s">
        <v>14435</v>
      </c>
      <c r="B11479" s="4" t="s">
        <v>14436</v>
      </c>
      <c r="C11479" s="5" t="str">
        <f>IFERROR(__xludf.DUMMYFUNCTION("GOOGLETRANSLATE(B11479,""en"",""es-ES"")"),"Se ve a un pequeño grupo de personas sentados alrededor de una mesa hablando entre sí mientras usa una cachimba y una pluma de vapor al mismo tiempo.")</f>
        <v>Se ve a un pequeño grupo de personas sentados alrededor de una mesa hablando entre sí mientras usa una cachimba y una pluma de vapor al mismo tiempo.</v>
      </c>
    </row>
    <row r="11480">
      <c r="A11480" s="4" t="s">
        <v>14435</v>
      </c>
      <c r="B11480" s="4" t="s">
        <v>14437</v>
      </c>
      <c r="C11480" s="5" t="str">
        <f>IFERROR(__xludf.DUMMYFUNCTION("GOOGLETRANSLATE(B11480,""en"",""es-ES"")"),"Los hombres continúan fumando y mirando la cámara cuando uno comienza a mostrar su cuerpo y panorámbricos por la habitación.")</f>
        <v>Los hombres continúan fumando y mirando la cámara cuando uno comienza a mostrar su cuerpo y panorámbricos por la habitación.</v>
      </c>
    </row>
    <row r="11481">
      <c r="A11481" s="4" t="s">
        <v>14438</v>
      </c>
      <c r="B11481" s="4" t="s">
        <v>14439</v>
      </c>
      <c r="C11481" s="5" t="str">
        <f>IFERROR(__xludf.DUMMYFUNCTION("GOOGLETRANSLATE(B11481,""en"",""es-ES"")"),"Un tutorial sobre cómo envolver un regalo, primero pone el papel de envoltura suficiente y coloca el regalo encima para asegurarse de que sea un tamaño decente.")</f>
        <v>Un tutorial sobre cómo envolver un regalo, primero pone el papel de envoltura suficiente y coloca el regalo encima para asegurarse de que sea un tamaño decente.</v>
      </c>
    </row>
    <row r="11482">
      <c r="A11482" s="4" t="s">
        <v>14438</v>
      </c>
      <c r="B11482" s="4" t="s">
        <v>14440</v>
      </c>
      <c r="C11482" s="5" t="str">
        <f>IFERROR(__xludf.DUMMYFUNCTION("GOOGLETRANSLATE(B11482,""en"",""es-ES"")"),"Luego, dobla una de las esquinas del papel de envoltura en triángulos y lo presiona repetidamente.")</f>
        <v>Luego, dobla una de las esquinas del papel de envoltura en triángulos y lo presiona repetidamente.</v>
      </c>
    </row>
    <row r="11483">
      <c r="A11483" s="4" t="s">
        <v>14438</v>
      </c>
      <c r="B11483" s="4" t="s">
        <v>14441</v>
      </c>
      <c r="C11483" s="5" t="str">
        <f>IFERROR(__xludf.DUMMYFUNCTION("GOOGLETRANSLATE(B11483,""en"",""es-ES"")"),"Luego cortarías los bordes y cinta adhesiva en el exterior del envoltorio para que se pegue.")</f>
        <v>Luego cortarías los bordes y cinta adhesiva en el exterior del envoltorio para que se pegue.</v>
      </c>
    </row>
    <row r="11484">
      <c r="A11484" s="4" t="s">
        <v>14438</v>
      </c>
      <c r="B11484" s="4" t="s">
        <v>14442</v>
      </c>
      <c r="C11484" s="5" t="str">
        <f>IFERROR(__xludf.DUMMYFUNCTION("GOOGLETRANSLATE(B11484,""en"",""es-ES"")"),"Finalmente, pones el regalo dentro del papel y doblas el papel alrededor de él y cinta adhesiva y tendrás un regalo bastante envuelto.")</f>
        <v>Finalmente, pones el regalo dentro del papel y doblas el papel alrededor de él y cinta adhesiva y tendrás un regalo bastante envuelto.</v>
      </c>
    </row>
    <row r="11485">
      <c r="A11485" s="4" t="s">
        <v>14443</v>
      </c>
      <c r="B11485" s="4" t="s">
        <v>14444</v>
      </c>
      <c r="C11485" s="5" t="str">
        <f>IFERROR(__xludf.DUMMYFUNCTION("GOOGLETRANSLATE(B11485,""en"",""es-ES"")"),"Varias imágenes de hombres se muestran al comienzo del video seguido de varias líneas de texto que se muestran.")</f>
        <v>Varias imágenes de hombres se muestran al comienzo del video seguido de varias líneas de texto que se muestran.</v>
      </c>
    </row>
    <row r="11486">
      <c r="A11486" s="4" t="s">
        <v>14443</v>
      </c>
      <c r="B11486" s="4" t="s">
        <v>14445</v>
      </c>
      <c r="C11486" s="5" t="str">
        <f>IFERROR(__xludf.DUMMYFUNCTION("GOOGLETRANSLATE(B11486,""en"",""es-ES"")"),"Luego se ve a los hombres pateando bolas de fútbol en un gol mientras salvan a algunos y los bloqueos del portero.")</f>
        <v>Luego se ve a los hombres pateando bolas de fútbol en un gol mientras salvan a algunos y los bloqueos del portero.</v>
      </c>
    </row>
    <row r="11487">
      <c r="A11487" s="4" t="s">
        <v>14446</v>
      </c>
      <c r="B11487" s="4" t="s">
        <v>14447</v>
      </c>
      <c r="C11487" s="5" t="str">
        <f>IFERROR(__xludf.DUMMYFUNCTION("GOOGLETRANSLATE(B11487,""en"",""es-ES"")"),"Se ve a un hombre tocando un violín mientras la cámara se mueve a su alrededor moviendo los brazos hacia arriba y hacia abajo.")</f>
        <v>Se ve a un hombre tocando un violín mientras la cámara se mueve a su alrededor moviendo los brazos hacia arriba y hacia abajo.</v>
      </c>
    </row>
    <row r="11488">
      <c r="A11488" s="4" t="s">
        <v>14446</v>
      </c>
      <c r="B11488" s="4" t="s">
        <v>14448</v>
      </c>
      <c r="C11488" s="5" t="str">
        <f>IFERROR(__xludf.DUMMYFUNCTION("GOOGLETRANSLATE(B11488,""en"",""es-ES"")"),"El hombre continúa jugando mientras otros juegan detrás de él y el violinista tocando y mirando a la audiencia.")</f>
        <v>El hombre continúa jugando mientras otros juegan detrás de él y el violinista tocando y mirando a la audiencia.</v>
      </c>
    </row>
    <row r="11489">
      <c r="A11489" s="4" t="s">
        <v>14449</v>
      </c>
      <c r="B11489" s="4" t="s">
        <v>14450</v>
      </c>
      <c r="C11489" s="5" t="str">
        <f>IFERROR(__xludf.DUMMYFUNCTION("GOOGLETRANSLATE(B11489,""en"",""es-ES"")"),"Se ve a un grupo de personas jugando un juego de fútbol en un campo interior mientras un grupo de personas mira a los lados.")</f>
        <v>Se ve a un grupo de personas jugando un juego de fútbol en un campo interior mientras un grupo de personas mira a los lados.</v>
      </c>
    </row>
    <row r="11490">
      <c r="A11490" s="4" t="s">
        <v>14449</v>
      </c>
      <c r="B11490" s="4" t="s">
        <v>14451</v>
      </c>
      <c r="C11490" s="5" t="str">
        <f>IFERROR(__xludf.DUMMYFUNCTION("GOOGLETRANSLATE(B11490,""en"",""es-ES"")"),"La gente que se muestra peleando en las gradas y los jugadores caminan mirando la pelea y los paramédicos se llevan a un hombre.")</f>
        <v>La gente que se muestra peleando en las gradas y los jugadores caminan mirando la pelea y los paramédicos se llevan a un hombre.</v>
      </c>
    </row>
    <row r="11491">
      <c r="A11491" s="4" t="s">
        <v>14452</v>
      </c>
      <c r="B11491" s="4" t="s">
        <v>14453</v>
      </c>
      <c r="C11491" s="5" t="str">
        <f>IFERROR(__xludf.DUMMYFUNCTION("GOOGLETRANSLATE(B11491,""en"",""es-ES"")"),"Una pantalla con texto da detalles de un evento.")</f>
        <v>Una pantalla con texto da detalles de un evento.</v>
      </c>
    </row>
    <row r="11492">
      <c r="A11492" s="4" t="s">
        <v>14452</v>
      </c>
      <c r="B11492" s="4" t="s">
        <v>14454</v>
      </c>
      <c r="C11492" s="5" t="str">
        <f>IFERROR(__xludf.DUMMYFUNCTION("GOOGLETRANSLATE(B11492,""en"",""es-ES"")"),"Las caras de los niños se ven de cerca en una intensa expresión facial.")</f>
        <v>Las caras de los niños se ven de cerca en una intensa expresión facial.</v>
      </c>
    </row>
    <row r="11493">
      <c r="A11493" s="4" t="s">
        <v>14452</v>
      </c>
      <c r="B11493" s="4" t="s">
        <v>14455</v>
      </c>
      <c r="C11493" s="5" t="str">
        <f>IFERROR(__xludf.DUMMYFUNCTION("GOOGLETRANSLATE(B11493,""en"",""es-ES"")"),"Dos niños juegan un intenso juego de fútbol de mesa.")</f>
        <v>Dos niños juegan un intenso juego de fútbol de mesa.</v>
      </c>
    </row>
    <row r="11494">
      <c r="A11494" s="4" t="s">
        <v>14452</v>
      </c>
      <c r="B11494" s="4" t="s">
        <v>14456</v>
      </c>
      <c r="C11494" s="5" t="str">
        <f>IFERROR(__xludf.DUMMYFUNCTION("GOOGLETRANSLATE(B11494,""en"",""es-ES"")"),"El niño gana el juego y el otro lo golpea con un juego de tenis de mango de mesa.")</f>
        <v>El niño gana el juego y el otro lo golpea con un juego de tenis de mango de mesa.</v>
      </c>
    </row>
    <row r="11495">
      <c r="A11495" s="4" t="s">
        <v>14457</v>
      </c>
      <c r="B11495" s="4" t="s">
        <v>14458</v>
      </c>
      <c r="C11495" s="5" t="str">
        <f>IFERROR(__xludf.DUMMYFUNCTION("GOOGLETRANSLATE(B11495,""en"",""es-ES"")"),"Un hombre está en su patio delantero yendo y viniendo cortando su césped.")</f>
        <v>Un hombre está en su patio delantero yendo y viniendo cortando su césped.</v>
      </c>
    </row>
    <row r="11496">
      <c r="A11496" s="4" t="s">
        <v>14457</v>
      </c>
      <c r="B11496" s="4" t="s">
        <v>14459</v>
      </c>
      <c r="C11496" s="5" t="str">
        <f>IFERROR(__xludf.DUMMYFUNCTION("GOOGLETRANSLATE(B11496,""en"",""es-ES"")"),"El video luego lo muestra cortando el césped en una ubicación diferente a la primera ubicación.")</f>
        <v>El video luego lo muestra cortando el césped en una ubicación diferente a la primera ubicación.</v>
      </c>
    </row>
    <row r="11497">
      <c r="A11497" s="4" t="s">
        <v>14460</v>
      </c>
      <c r="B11497" s="4" t="s">
        <v>14461</v>
      </c>
      <c r="C11497" s="5" t="str">
        <f>IFERROR(__xludf.DUMMYFUNCTION("GOOGLETRANSLATE(B11497,""en"",""es-ES"")"),"Se ve a un hombre hablando con la cámara mientras está de pie detrás de un conjunto de pesas y apuntando a su cuerpo.")</f>
        <v>Se ve a un hombre hablando con la cámara mientras está de pie detrás de un conjunto de pesas y apuntando a su cuerpo.</v>
      </c>
    </row>
    <row r="11498">
      <c r="A11498" s="4" t="s">
        <v>14460</v>
      </c>
      <c r="B11498" s="4" t="s">
        <v>14462</v>
      </c>
      <c r="C11498" s="5" t="str">
        <f>IFERROR(__xludf.DUMMYFUNCTION("GOOGLETRANSLATE(B11498,""en"",""es-ES"")"),"El hombre luego se dobla y agarra la barra mientras todavía habla con la cámara.")</f>
        <v>El hombre luego se dobla y agarra la barra mientras todavía habla con la cámara.</v>
      </c>
    </row>
    <row r="11499">
      <c r="A11499" s="4" t="s">
        <v>14460</v>
      </c>
      <c r="B11499" s="4" t="s">
        <v>14463</v>
      </c>
      <c r="C11499" s="5" t="str">
        <f>IFERROR(__xludf.DUMMYFUNCTION("GOOGLETRANSLATE(B11499,""en"",""es-ES"")"),"El hombre levanta la barra y luego vuelve a bajar mientras sigue hablando con la cámara.")</f>
        <v>El hombre levanta la barra y luego vuelve a bajar mientras sigue hablando con la cámara.</v>
      </c>
    </row>
    <row r="11500">
      <c r="A11500" s="4" t="s">
        <v>14464</v>
      </c>
      <c r="B11500" s="4" t="s">
        <v>14465</v>
      </c>
      <c r="C11500" s="5" t="str">
        <f>IFERROR(__xludf.DUMMYFUNCTION("GOOGLETRANSLATE(B11500,""en"",""es-ES"")"),"Un hombre con un esmoquin blanco es llevado a una piñata por una mujer con un vestido de novia.")</f>
        <v>Un hombre con un esmoquin blanco es llevado a una piñata por una mujer con un vestido de novia.</v>
      </c>
    </row>
    <row r="11501">
      <c r="A11501" s="4" t="s">
        <v>14464</v>
      </c>
      <c r="B11501" s="4" t="s">
        <v>14466</v>
      </c>
      <c r="C11501" s="5" t="str">
        <f>IFERROR(__xludf.DUMMYFUNCTION("GOOGLETRANSLATE(B11501,""en"",""es-ES"")"),"Golpea la piñata que sigue moviéndose hacia arriba y hacia abajo.")</f>
        <v>Golpea la piñata que sigue moviéndose hacia arriba y hacia abajo.</v>
      </c>
    </row>
    <row r="11502">
      <c r="A11502" s="4" t="s">
        <v>14467</v>
      </c>
      <c r="B11502" s="4" t="s">
        <v>14468</v>
      </c>
      <c r="C11502" s="5" t="str">
        <f>IFERROR(__xludf.DUMMYFUNCTION("GOOGLETRANSLATE(B11502,""en"",""es-ES"")"),"Un hombre está trabajando dentro de una tienda.")</f>
        <v>Un hombre está trabajando dentro de una tienda.</v>
      </c>
    </row>
    <row r="11503">
      <c r="A11503" s="4" t="s">
        <v>14467</v>
      </c>
      <c r="B11503" s="4" t="s">
        <v>14469</v>
      </c>
      <c r="C11503" s="5" t="str">
        <f>IFERROR(__xludf.DUMMYFUNCTION("GOOGLETRANSLATE(B11503,""en"",""es-ES"")"),"Él rueda un neumático hacia un equipo.")</f>
        <v>Él rueda un neumático hacia un equipo.</v>
      </c>
    </row>
    <row r="11504">
      <c r="A11504" s="4" t="s">
        <v>14467</v>
      </c>
      <c r="B11504" s="4" t="s">
        <v>14470</v>
      </c>
      <c r="C11504" s="5" t="str">
        <f>IFERROR(__xludf.DUMMYFUNCTION("GOOGLETRANSLATE(B11504,""en"",""es-ES"")"),"Muestra cómo montar el neumático en el equipo.")</f>
        <v>Muestra cómo montar el neumático en el equipo.</v>
      </c>
    </row>
    <row r="11505">
      <c r="A11505" s="4" t="s">
        <v>14471</v>
      </c>
      <c r="B11505" s="4" t="s">
        <v>14472</v>
      </c>
      <c r="C11505" s="5" t="str">
        <f>IFERROR(__xludf.DUMMYFUNCTION("GOOGLETRANSLATE(B11505,""en"",""es-ES"")"),"Una mujer está hablando dentro de una oficina.")</f>
        <v>Una mujer está hablando dentro de una oficina.</v>
      </c>
    </row>
    <row r="11506">
      <c r="A11506" s="4" t="s">
        <v>14471</v>
      </c>
      <c r="B11506" s="4" t="s">
        <v>14473</v>
      </c>
      <c r="C11506" s="5" t="str">
        <f>IFERROR(__xludf.DUMMYFUNCTION("GOOGLETRANSLATE(B11506,""en"",""es-ES"")"),"Se le muestra dando un tratamiento facial a una mujer mayor.")</f>
        <v>Se le muestra dando un tratamiento facial a una mujer mayor.</v>
      </c>
    </row>
    <row r="11507">
      <c r="A11507" s="4" t="s">
        <v>14471</v>
      </c>
      <c r="B11507" s="4" t="s">
        <v>14474</v>
      </c>
      <c r="C11507" s="5" t="str">
        <f>IFERROR(__xludf.DUMMYFUNCTION("GOOGLETRANSLATE(B11507,""en"",""es-ES"")"),"Se limpia el rostro con sustancias y lociones.")</f>
        <v>Se limpia el rostro con sustancias y lociones.</v>
      </c>
    </row>
    <row r="11508">
      <c r="A11508" s="4" t="s">
        <v>14475</v>
      </c>
      <c r="B11508" s="4" t="s">
        <v>14476</v>
      </c>
      <c r="C11508" s="5" t="str">
        <f>IFERROR(__xludf.DUMMYFUNCTION("GOOGLETRANSLATE(B11508,""en"",""es-ES"")"),"Una mujer con un vestido negro está tocando una pipa de bolsa en el escenario.")</f>
        <v>Una mujer con un vestido negro está tocando una pipa de bolsa en el escenario.</v>
      </c>
    </row>
    <row r="11509">
      <c r="A11509" s="4" t="s">
        <v>14475</v>
      </c>
      <c r="B11509" s="4" t="s">
        <v>14477</v>
      </c>
      <c r="C11509" s="5" t="str">
        <f>IFERROR(__xludf.DUMMYFUNCTION("GOOGLETRANSLATE(B11509,""en"",""es-ES"")"),"La palabra ""ilbo"" está en una fuente roja y se desplaza hacia abajo en el lado izquierdo de la pantalla.")</f>
        <v>La palabra "ilbo" está en una fuente roja y se desplaza hacia abajo en el lado izquierdo de la pantalla.</v>
      </c>
    </row>
    <row r="11510">
      <c r="A11510" s="4" t="s">
        <v>14475</v>
      </c>
      <c r="B11510" s="4" t="s">
        <v>14478</v>
      </c>
      <c r="C11510" s="5" t="str">
        <f>IFERROR(__xludf.DUMMYFUNCTION("GOOGLETRANSLATE(B11510,""en"",""es-ES"")"),"La cámara se acerca a los dedos de la mujer.")</f>
        <v>La cámara se acerca a los dedos de la mujer.</v>
      </c>
    </row>
    <row r="11511">
      <c r="A11511" s="4" t="s">
        <v>14475</v>
      </c>
      <c r="B11511" s="4" t="s">
        <v>14479</v>
      </c>
      <c r="C11511" s="5" t="str">
        <f>IFERROR(__xludf.DUMMYFUNCTION("GOOGLETRANSLATE(B11511,""en"",""es-ES"")"),"La cámara cambia a alguien que toca un piano.")</f>
        <v>La cámara cambia a alguien que toca un piano.</v>
      </c>
    </row>
    <row r="11512">
      <c r="A11512" s="4" t="s">
        <v>14475</v>
      </c>
      <c r="B11512" s="4" t="s">
        <v>14480</v>
      </c>
      <c r="C11512" s="5" t="str">
        <f>IFERROR(__xludf.DUMMYFUNCTION("GOOGLETRANSLATE(B11512,""en"",""es-ES"")"),"Una banda también está tocando instrumentos musicales en el fondo.")</f>
        <v>Una banda también está tocando instrumentos musicales en el fondo.</v>
      </c>
    </row>
    <row r="11513">
      <c r="A11513" s="4" t="s">
        <v>14475</v>
      </c>
      <c r="B11513" s="4" t="s">
        <v>14481</v>
      </c>
      <c r="C11513" s="5" t="str">
        <f>IFERROR(__xludf.DUMMYFUNCTION("GOOGLETRANSLATE(B11513,""en"",""es-ES"")"),"La cámara se acerca a la cara de la mujer tocando la tubería de la bolsa.")</f>
        <v>La cámara se acerca a la cara de la mujer tocando la tubería de la bolsa.</v>
      </c>
    </row>
    <row r="11514">
      <c r="A11514" s="4" t="s">
        <v>14475</v>
      </c>
      <c r="B11514" s="4" t="s">
        <v>14482</v>
      </c>
      <c r="C11514" s="5" t="str">
        <f>IFERROR(__xludf.DUMMYFUNCTION("GOOGLETRANSLATE(B11514,""en"",""es-ES"")"),"La mujer termina de tocar y el aplauso de la audiencia.")</f>
        <v>La mujer termina de tocar y el aplauso de la audiencia.</v>
      </c>
    </row>
    <row r="11515">
      <c r="A11515" s="4" t="s">
        <v>14483</v>
      </c>
      <c r="B11515" s="4" t="s">
        <v>14484</v>
      </c>
      <c r="C11515" s="5" t="str">
        <f>IFERROR(__xludf.DUMMYFUNCTION("GOOGLETRANSLATE(B11515,""en"",""es-ES"")"),"Un niño se sienta en su habitación detrás de una gran batería.")</f>
        <v>Un niño se sienta en su habitación detrás de una gran batería.</v>
      </c>
    </row>
    <row r="11516">
      <c r="A11516" s="4" t="s">
        <v>14483</v>
      </c>
      <c r="B11516" s="4" t="s">
        <v>14485</v>
      </c>
      <c r="C11516" s="5" t="str">
        <f>IFERROR(__xludf.DUMMYFUNCTION("GOOGLETRANSLATE(B11516,""en"",""es-ES"")"),"Toca la batería y los platillos suavemente.")</f>
        <v>Toca la batería y los platillos suavemente.</v>
      </c>
    </row>
    <row r="11517">
      <c r="A11517" s="4" t="s">
        <v>14483</v>
      </c>
      <c r="B11517" s="4" t="s">
        <v>14486</v>
      </c>
      <c r="C11517" s="5" t="str">
        <f>IFERROR(__xludf.DUMMYFUNCTION("GOOGLETRANSLATE(B11517,""en"",""es-ES"")"),"Acelera su tempo y fuerza a medida que genera confianza.")</f>
        <v>Acelera su tempo y fuerza a medida que genera confianza.</v>
      </c>
    </row>
    <row r="11518">
      <c r="A11518" s="4" t="s">
        <v>14487</v>
      </c>
      <c r="B11518" s="4" t="s">
        <v>14488</v>
      </c>
      <c r="C11518" s="5" t="str">
        <f>IFERROR(__xludf.DUMMYFUNCTION("GOOGLETRANSLATE(B11518,""en"",""es-ES"")"),"Un chico está parado en una playa volando una cometa.")</f>
        <v>Un chico está parado en una playa volando una cometa.</v>
      </c>
    </row>
    <row r="11519">
      <c r="A11519" s="4" t="s">
        <v>14487</v>
      </c>
      <c r="B11519" s="4" t="s">
        <v>14489</v>
      </c>
      <c r="C11519" s="5" t="str">
        <f>IFERROR(__xludf.DUMMYFUNCTION("GOOGLETRANSLATE(B11519,""en"",""es-ES"")"),"El tipo mira continuamente hacia la posición de la cometa.")</f>
        <v>El tipo mira continuamente hacia la posición de la cometa.</v>
      </c>
    </row>
    <row r="11520">
      <c r="A11520" s="4" t="s">
        <v>14487</v>
      </c>
      <c r="B11520" s="4" t="s">
        <v>14490</v>
      </c>
      <c r="C11520" s="5" t="str">
        <f>IFERROR(__xludf.DUMMYFUNCTION("GOOGLETRANSLATE(B11520,""en"",""es-ES"")"),"Un hombre se acerca al chico.")</f>
        <v>Un hombre se acerca al chico.</v>
      </c>
    </row>
    <row r="11521">
      <c r="A11521" s="4" t="s">
        <v>14491</v>
      </c>
      <c r="B11521" s="4" t="s">
        <v>14492</v>
      </c>
      <c r="C11521" s="5" t="str">
        <f>IFERROR(__xludf.DUMMYFUNCTION("GOOGLETRANSLATE(B11521,""en"",""es-ES"")"),"Un hombre lleva equipo de protección.")</f>
        <v>Un hombre lleva equipo de protección.</v>
      </c>
    </row>
    <row r="11522">
      <c r="A11522" s="4" t="s">
        <v>14491</v>
      </c>
      <c r="B11522" s="4" t="s">
        <v>14493</v>
      </c>
      <c r="C11522" s="5" t="str">
        <f>IFERROR(__xludf.DUMMYFUNCTION("GOOGLETRANSLATE(B11522,""en"",""es-ES"")"),"Está usando un soldador y crea una luz brillante mientras trabaja en el metal.")</f>
        <v>Está usando un soldador y crea una luz brillante mientras trabaja en el metal.</v>
      </c>
    </row>
    <row r="11523">
      <c r="A11523" s="4" t="s">
        <v>14491</v>
      </c>
      <c r="B11523" s="4" t="s">
        <v>14494</v>
      </c>
      <c r="C11523" s="5" t="str">
        <f>IFERROR(__xludf.DUMMYFUNCTION("GOOGLETRANSLATE(B11523,""en"",""es-ES"")"),"Cuando termina, se detiene y mira la cámara, mostrando la soldadura completa.")</f>
        <v>Cuando termina, se detiene y mira la cámara, mostrando la soldadura completa.</v>
      </c>
    </row>
    <row r="11524">
      <c r="A11524" s="4" t="s">
        <v>14495</v>
      </c>
      <c r="B11524" s="4" t="s">
        <v>14496</v>
      </c>
      <c r="C11524" s="5" t="str">
        <f>IFERROR(__xludf.DUMMYFUNCTION("GOOGLETRANSLATE(B11524,""en"",""es-ES"")"),"Se muestra un gran campo deportivo al aire libre.")</f>
        <v>Se muestra un gran campo deportivo al aire libre.</v>
      </c>
    </row>
    <row r="11525">
      <c r="A11525" s="4" t="s">
        <v>14495</v>
      </c>
      <c r="B11525" s="4" t="s">
        <v>14497</v>
      </c>
      <c r="C11525" s="5" t="str">
        <f>IFERROR(__xludf.DUMMYFUNCTION("GOOGLETRANSLATE(B11525,""en"",""es-ES"")"),"Un hombre corre y hace una exitosa salto con pértiga.")</f>
        <v>Un hombre corre y hace una exitosa salto con pértiga.</v>
      </c>
    </row>
    <row r="11526">
      <c r="A11526" s="4" t="s">
        <v>14495</v>
      </c>
      <c r="B11526" s="4" t="s">
        <v>14498</v>
      </c>
      <c r="C11526" s="5" t="str">
        <f>IFERROR(__xludf.DUMMYFUNCTION("GOOGLETRANSLATE(B11526,""en"",""es-ES"")"),"Se levanta de la almohadilla y levanta el poste.")</f>
        <v>Se levanta de la almohadilla y levanta el poste.</v>
      </c>
    </row>
    <row r="11527">
      <c r="A11527" s="4" t="s">
        <v>14499</v>
      </c>
      <c r="B11527" s="4" t="s">
        <v>14500</v>
      </c>
      <c r="C11527" s="5" t="str">
        <f>IFERROR(__xludf.DUMMYFUNCTION("GOOGLETRANSLATE(B11527,""en"",""es-ES"")"),"Una cámara se mueve alrededor de un parque, así como un lago y un hombre que habla con la cámara.")</f>
        <v>Una cámara se mueve alrededor de un parque, así como un lago y un hombre que habla con la cámara.</v>
      </c>
    </row>
    <row r="11528">
      <c r="A11528" s="4" t="s">
        <v>14499</v>
      </c>
      <c r="B11528" s="4" t="s">
        <v>14501</v>
      </c>
      <c r="C11528" s="5" t="str">
        <f>IFERROR(__xludf.DUMMYFUNCTION("GOOGLETRANSLATE(B11528,""en"",""es-ES"")"),"La cámara se mueve alrededor de una canoa llena de objetos y conduce al hombre que se acaricia y habla con la cámara.")</f>
        <v>La cámara se mueve alrededor de una canoa llena de objetos y conduce al hombre que se acaricia y habla con la cámara.</v>
      </c>
    </row>
    <row r="11529">
      <c r="A11529" s="4" t="s">
        <v>14499</v>
      </c>
      <c r="B11529" s="4" t="s">
        <v>14502</v>
      </c>
      <c r="C11529" s="5" t="str">
        <f>IFERROR(__xludf.DUMMYFUNCTION("GOOGLETRANSLATE(B11529,""en"",""es-ES"")"),"Se muestran más disparos de animales cercanos, así como de un hombre y una mujer que hablan con la cámara.")</f>
        <v>Se muestran más disparos de animales cercanos, así como de un hombre y una mujer que hablan con la cámara.</v>
      </c>
    </row>
    <row r="11530">
      <c r="A11530" s="4" t="s">
        <v>14503</v>
      </c>
      <c r="B11530" s="4" t="s">
        <v>14504</v>
      </c>
      <c r="C11530" s="5" t="str">
        <f>IFERROR(__xludf.DUMMYFUNCTION("GOOGLETRANSLATE(B11530,""en"",""es-ES"")"),"La gente está jugando voleibol en una playa.")</f>
        <v>La gente está jugando voleibol en una playa.</v>
      </c>
    </row>
    <row r="11531">
      <c r="A11531" s="4" t="s">
        <v>14503</v>
      </c>
      <c r="B11531" s="4" t="s">
        <v>14505</v>
      </c>
      <c r="C11531" s="5" t="str">
        <f>IFERROR(__xludf.DUMMYFUNCTION("GOOGLETRANSLATE(B11531,""en"",""es-ES"")"),"Una niña cae sobre la arena.")</f>
        <v>Una niña cae sobre la arena.</v>
      </c>
    </row>
    <row r="11532">
      <c r="A11532" s="4" t="s">
        <v>14503</v>
      </c>
      <c r="B11532" s="4" t="s">
        <v>14506</v>
      </c>
      <c r="C11532" s="5" t="str">
        <f>IFERROR(__xludf.DUMMYFUNCTION("GOOGLETRANSLATE(B11532,""en"",""es-ES"")"),"Una niña levanta las manos en el aire.")</f>
        <v>Una niña levanta las manos en el aire.</v>
      </c>
    </row>
    <row r="11533">
      <c r="A11533" s="4" t="s">
        <v>14507</v>
      </c>
      <c r="B11533" s="4" t="s">
        <v>14508</v>
      </c>
      <c r="C11533" s="5" t="str">
        <f>IFERROR(__xludf.DUMMYFUNCTION("GOOGLETRANSLATE(B11533,""en"",""es-ES"")"),"Aparece una pantalla blanca con texto negro que viene dos veces en la pantalla y luego se desplaza fuera de la pantalla mientras se desvanece.")</f>
        <v>Aparece una pantalla blanca con texto negro que viene dos veces en la pantalla y luego se desplaza fuera de la pantalla mientras se desvanece.</v>
      </c>
    </row>
    <row r="11534">
      <c r="A11534" s="4" t="s">
        <v>14507</v>
      </c>
      <c r="B11534" s="4" t="s">
        <v>14509</v>
      </c>
      <c r="C11534" s="5" t="str">
        <f>IFERROR(__xludf.DUMMYFUNCTION("GOOGLETRANSLATE(B11534,""en"",""es-ES"")"),"Tres niños en chalecos salvavidas y dos adultos supervisores están en una balsa esperando para hacer rafting.")</f>
        <v>Tres niños en chalecos salvavidas y dos adultos supervisores están en una balsa esperando para hacer rafting.</v>
      </c>
    </row>
    <row r="11535">
      <c r="A11535" s="4" t="s">
        <v>14507</v>
      </c>
      <c r="B11535" s="4" t="s">
        <v>14510</v>
      </c>
      <c r="C11535" s="5" t="str">
        <f>IFERROR(__xludf.DUMMYFUNCTION("GOOGLETRANSLATE(B11535,""en"",""es-ES"")"),"El grupo ralentiza por un río con todos sus golpes y salpicaduras de agua.")</f>
        <v>El grupo ralentiza por un río con todos sus golpes y salpicaduras de agua.</v>
      </c>
    </row>
    <row r="11536">
      <c r="A11536" s="4" t="s">
        <v>14507</v>
      </c>
      <c r="B11536" s="4" t="s">
        <v>14511</v>
      </c>
      <c r="C11536" s="5" t="str">
        <f>IFERROR(__xludf.DUMMYFUNCTION("GOOGLETRANSLATE(B11536,""en"",""es-ES"")"),"Hay un texto amarillo que viene en la pantalla que muestra las ubicaciones en las que están.")</f>
        <v>Hay un texto amarillo que viene en la pantalla que muestra las ubicaciones en las que están.</v>
      </c>
    </row>
    <row r="11537">
      <c r="A11537" s="4" t="s">
        <v>14507</v>
      </c>
      <c r="B11537" s="4" t="s">
        <v>14512</v>
      </c>
      <c r="C11537" s="5" t="str">
        <f>IFERROR(__xludf.DUMMYFUNCTION("GOOGLETRANSLATE(B11537,""en"",""es-ES"")"),"Los niños están en el destino cuando una niña se acerca a la cámara y lo saluda.")</f>
        <v>Los niños están en el destino cuando una niña se acerca a la cámara y lo saluda.</v>
      </c>
    </row>
    <row r="11538">
      <c r="A11538" s="4" t="s">
        <v>14507</v>
      </c>
      <c r="B11538" s="4" t="s">
        <v>14513</v>
      </c>
      <c r="C11538" s="5" t="str">
        <f>IFERROR(__xludf.DUMMYFUNCTION("GOOGLETRANSLATE(B11538,""en"",""es-ES"")"),"Aparece una pantalla blanca y aparecen dos palabras una de amarillo en la parte superior del Sceeen y otra en azul en la parte inferior de la pantalla y ambas se mueven fuera de la pantalla.")</f>
        <v>Aparece una pantalla blanca y aparecen dos palabras una de amarillo en la parte superior del Sceeen y otra en azul en la parte inferior de la pantalla y ambas se mueven fuera de la pantalla.</v>
      </c>
    </row>
    <row r="11539">
      <c r="A11539" s="4" t="s">
        <v>14514</v>
      </c>
      <c r="B11539" s="4" t="s">
        <v>14515</v>
      </c>
      <c r="C11539" s="5" t="str">
        <f>IFERROR(__xludf.DUMMYFUNCTION("GOOGLETRANSLATE(B11539,""en"",""es-ES"")"),"Una mujer está en el escenario hablando con una niña mientras sostiene un micrófono.")</f>
        <v>Una mujer está en el escenario hablando con una niña mientras sostiene un micrófono.</v>
      </c>
    </row>
    <row r="11540">
      <c r="A11540" s="4" t="s">
        <v>14514</v>
      </c>
      <c r="B11540" s="4" t="s">
        <v>14516</v>
      </c>
      <c r="C11540" s="5" t="str">
        <f>IFERROR(__xludf.DUMMYFUNCTION("GOOGLETRANSLATE(B11540,""en"",""es-ES"")"),"La niña habla en el micrófono, luego realiza una pieza de ballet.")</f>
        <v>La niña habla en el micrófono, luego realiza una pieza de ballet.</v>
      </c>
    </row>
    <row r="11541">
      <c r="A11541" s="4" t="s">
        <v>14514</v>
      </c>
      <c r="B11541" s="4" t="s">
        <v>14517</v>
      </c>
      <c r="C11541" s="5" t="str">
        <f>IFERROR(__xludf.DUMMYFUNCTION("GOOGLETRANSLATE(B11541,""en"",""es-ES"")"),"Ella baila por el escenario para la audiencia.")</f>
        <v>Ella baila por el escenario para la audiencia.</v>
      </c>
    </row>
    <row r="11542">
      <c r="A11542" s="4" t="s">
        <v>14514</v>
      </c>
      <c r="B11542" s="4" t="s">
        <v>14518</v>
      </c>
      <c r="C11542" s="5" t="str">
        <f>IFERROR(__xludf.DUMMYFUNCTION("GOOGLETRANSLATE(B11542,""en"",""es-ES"")"),"Ella cae sobre una rodilla mientras completa su actuación.")</f>
        <v>Ella cae sobre una rodilla mientras completa su actuación.</v>
      </c>
    </row>
    <row r="11543">
      <c r="A11543" s="4" t="s">
        <v>14519</v>
      </c>
      <c r="B11543" s="4" t="s">
        <v>14520</v>
      </c>
      <c r="C11543" s="5" t="str">
        <f>IFERROR(__xludf.DUMMYFUNCTION("GOOGLETRANSLATE(B11543,""en"",""es-ES"")"),"Una persona agita un gran tazón de limonada.")</f>
        <v>Una persona agita un gran tazón de limonada.</v>
      </c>
    </row>
    <row r="11544">
      <c r="A11544" s="4" t="s">
        <v>14519</v>
      </c>
      <c r="B11544" s="4" t="s">
        <v>14521</v>
      </c>
      <c r="C11544" s="5" t="str">
        <f>IFERROR(__xludf.DUMMYFUNCTION("GOOGLETRANSLATE(B11544,""en"",""es-ES"")"),"Una mujer está cortando una papa.")</f>
        <v>Una mujer está cortando una papa.</v>
      </c>
    </row>
    <row r="11545">
      <c r="A11545" s="4" t="s">
        <v>14519</v>
      </c>
      <c r="B11545" s="4" t="s">
        <v>14522</v>
      </c>
      <c r="C11545" s="5" t="str">
        <f>IFERROR(__xludf.DUMMYFUNCTION("GOOGLETRANSLATE(B11545,""en"",""es-ES"")"),"Agrega la papa a una gran cantidad de agua.")</f>
        <v>Agrega la papa a una gran cantidad de agua.</v>
      </c>
    </row>
    <row r="11546">
      <c r="A11546" s="4" t="s">
        <v>14519</v>
      </c>
      <c r="B11546" s="4" t="s">
        <v>14523</v>
      </c>
      <c r="C11546" s="5" t="str">
        <f>IFERROR(__xludf.DUMMYFUNCTION("GOOGLETRANSLATE(B11546,""en"",""es-ES"")"),"Agrega limones, lechuga y pepinos al tazón.")</f>
        <v>Agrega limones, lechuga y pepinos al tazón.</v>
      </c>
    </row>
    <row r="11547">
      <c r="A11547" s="4" t="s">
        <v>14519</v>
      </c>
      <c r="B11547" s="4" t="s">
        <v>14524</v>
      </c>
      <c r="C11547" s="5" t="str">
        <f>IFERROR(__xludf.DUMMYFUNCTION("GOOGLETRANSLATE(B11547,""en"",""es-ES"")"),"Ella lo mezcla todo en un tazón.")</f>
        <v>Ella lo mezcla todo en un tazón.</v>
      </c>
    </row>
    <row r="11548">
      <c r="A11548" s="4" t="s">
        <v>14525</v>
      </c>
      <c r="B11548" s="4" t="s">
        <v>14526</v>
      </c>
      <c r="C11548" s="5" t="str">
        <f>IFERROR(__xludf.DUMMYFUNCTION("GOOGLETRANSLATE(B11548,""en"",""es-ES"")"),"Vemos a un hombre instruyendo a otro hombre en disparar a Arrow.")</f>
        <v>Vemos a un hombre instruyendo a otro hombre en disparar a Arrow.</v>
      </c>
    </row>
    <row r="11549">
      <c r="A11549" s="4" t="s">
        <v>14525</v>
      </c>
      <c r="B11549" s="4" t="s">
        <v>14527</v>
      </c>
      <c r="C11549" s="5" t="str">
        <f>IFERROR(__xludf.DUMMYFUNCTION("GOOGLETRANSLATE(B11549,""en"",""es-ES"")"),"La primera flecha del hombre falla.")</f>
        <v>La primera flecha del hombre falla.</v>
      </c>
    </row>
    <row r="11550">
      <c r="A11550" s="4" t="s">
        <v>14525</v>
      </c>
      <c r="B11550" s="4" t="s">
        <v>14528</v>
      </c>
      <c r="C11550" s="5" t="str">
        <f>IFERROR(__xludf.DUMMYFUNCTION("GOOGLETRANSLATE(B11550,""en"",""es-ES"")"),"El hombre carga otra flecha.")</f>
        <v>El hombre carga otra flecha.</v>
      </c>
    </row>
    <row r="11551">
      <c r="A11551" s="4" t="s">
        <v>14525</v>
      </c>
      <c r="B11551" s="4" t="s">
        <v>14529</v>
      </c>
      <c r="C11551" s="5" t="str">
        <f>IFERROR(__xludf.DUMMYFUNCTION("GOOGLETRANSLATE(B11551,""en"",""es-ES"")"),"Vemos los objetivos frente a un telón de fondo.")</f>
        <v>Vemos los objetivos frente a un telón de fondo.</v>
      </c>
    </row>
    <row r="11552">
      <c r="A11552" s="4" t="s">
        <v>14525</v>
      </c>
      <c r="B11552" s="4" t="s">
        <v>14530</v>
      </c>
      <c r="C11552" s="5" t="str">
        <f>IFERROR(__xludf.DUMMYFUNCTION("GOOGLETRANSLATE(B11552,""en"",""es-ES"")"),"El hombre golpea el telón de fondo y se derrumba.")</f>
        <v>El hombre golpea el telón de fondo y se derrumba.</v>
      </c>
    </row>
    <row r="11553">
      <c r="A11553" s="4" t="s">
        <v>14525</v>
      </c>
      <c r="B11553" s="4" t="s">
        <v>14531</v>
      </c>
      <c r="C11553" s="5" t="str">
        <f>IFERROR(__xludf.DUMMYFUNCTION("GOOGLETRANSLATE(B11553,""en"",""es-ES"")"),"Toda la gente se mantiene riendo.")</f>
        <v>Toda la gente se mantiene riendo.</v>
      </c>
    </row>
    <row r="11554">
      <c r="A11554" s="4" t="s">
        <v>14525</v>
      </c>
      <c r="B11554" s="4" t="s">
        <v>14532</v>
      </c>
      <c r="C11554" s="5" t="str">
        <f>IFERROR(__xludf.DUMMYFUNCTION("GOOGLETRANSLATE(B11554,""en"",""es-ES"")"),"El instructor se acerca a los objetivos.")</f>
        <v>El instructor se acerca a los objetivos.</v>
      </c>
    </row>
    <row r="11555">
      <c r="A11555" s="4" t="s">
        <v>14533</v>
      </c>
      <c r="B11555" s="4" t="s">
        <v>14534</v>
      </c>
      <c r="C11555" s="5" t="str">
        <f>IFERROR(__xludf.DUMMYFUNCTION("GOOGLETRANSLATE(B11555,""en"",""es-ES"")"),"Se muestra un penacho de humo sobre un par de esquís.")</f>
        <v>Se muestra un penacho de humo sobre un par de esquís.</v>
      </c>
    </row>
    <row r="11556">
      <c r="A11556" s="4" t="s">
        <v>14533</v>
      </c>
      <c r="B11556" s="4" t="s">
        <v>14535</v>
      </c>
      <c r="C11556" s="5" t="str">
        <f>IFERROR(__xludf.DUMMYFUNCTION("GOOGLETRANSLATE(B11556,""en"",""es-ES"")"),"Un hombre está tallando diseños, quemándolos en la madera.")</f>
        <v>Un hombre está tallando diseños, quemándolos en la madera.</v>
      </c>
    </row>
    <row r="11557">
      <c r="A11557" s="4" t="s">
        <v>14533</v>
      </c>
      <c r="B11557" s="4" t="s">
        <v>14536</v>
      </c>
      <c r="C11557" s="5" t="str">
        <f>IFERROR(__xludf.DUMMYFUNCTION("GOOGLETRANSLATE(B11557,""en"",""es-ES"")"),"Luego raspa una plancha a través de las tablas, configurando la imagen.")</f>
        <v>Luego raspa una plancha a través de las tablas, configurando la imagen.</v>
      </c>
    </row>
    <row r="11558">
      <c r="A11558" s="4" t="s">
        <v>14537</v>
      </c>
      <c r="B11558" s="4" t="s">
        <v>14538</v>
      </c>
      <c r="C11558" s="5" t="str">
        <f>IFERROR(__xludf.DUMMYFUNCTION("GOOGLETRANSLATE(B11558,""en"",""es-ES"")"),"Se ve a un hombre hablando en un micrófono que pasa a un primer plano de una mesa de cerveza pong, así como a las personas que juegan.")</f>
        <v>Se ve a un hombre hablando en un micrófono que pasa a un primer plano de una mesa de cerveza pong, así como a las personas que juegan.</v>
      </c>
    </row>
    <row r="11559">
      <c r="A11559" s="4" t="s">
        <v>14537</v>
      </c>
      <c r="B11559" s="4" t="s">
        <v>14539</v>
      </c>
      <c r="C11559" s="5" t="str">
        <f>IFERROR(__xludf.DUMMYFUNCTION("GOOGLETRANSLATE(B11559,""en"",""es-ES"")"),"Se vierten tomas de cerveza, gente tocando rock, papel, tijeras, reparación de dinero y pantallas de computadora para música.")</f>
        <v>Se vierten tomas de cerveza, gente tocando rock, papel, tijeras, reparación de dinero y pantallas de computadora para música.</v>
      </c>
    </row>
    <row r="11560">
      <c r="A11560" s="4" t="s">
        <v>14537</v>
      </c>
      <c r="B11560" s="4" t="s">
        <v>14540</v>
      </c>
      <c r="C11560" s="5" t="str">
        <f>IFERROR(__xludf.DUMMYFUNCTION("GOOGLETRANSLATE(B11560,""en"",""es-ES"")"),"Se muestra a más personas jugando cerveza pong mientras se entrevistan en la cámara y caminan por una habitación.")</f>
        <v>Se muestra a más personas jugando cerveza pong mientras se entrevistan en la cámara y caminan por una habitación.</v>
      </c>
    </row>
    <row r="11561">
      <c r="A11561" s="4" t="s">
        <v>14537</v>
      </c>
      <c r="B11561" s="4" t="s">
        <v>14541</v>
      </c>
      <c r="C11561" s="5" t="str">
        <f>IFERROR(__xludf.DUMMYFUNCTION("GOOGLETRANSLATE(B11561,""en"",""es-ES"")"),"Se muestran varias tomas más de personas bailando, jugando pong, luchando y hablando entre ellos.")</f>
        <v>Se muestran varias tomas más de personas bailando, jugando pong, luchando y hablando entre ellos.</v>
      </c>
    </row>
    <row r="11562">
      <c r="A11562" s="4" t="s">
        <v>14542</v>
      </c>
      <c r="B11562" s="4" t="s">
        <v>14543</v>
      </c>
      <c r="C11562" s="5" t="str">
        <f>IFERROR(__xludf.DUMMYFUNCTION("GOOGLETRANSLATE(B11562,""en"",""es-ES"")"),"Se ve a dos personas hablando con la cámara y conduce a varios clips de personas que juegan voleibol entre sí.")</f>
        <v>Se ve a dos personas hablando con la cámara y conduce a varios clips de personas que juegan voleibol entre sí.</v>
      </c>
    </row>
    <row r="11563">
      <c r="A11563" s="4" t="s">
        <v>14542</v>
      </c>
      <c r="B11563" s="4" t="s">
        <v>14544</v>
      </c>
      <c r="C11563" s="5" t="str">
        <f>IFERROR(__xludf.DUMMYFUNCTION("GOOGLETRANSLATE(B11563,""en"",""es-ES"")"),"La gente continúa practicando el deporte, mientras que otros hablan con la cámara, así como miran a los lados y se dan cuenta entre sí.")</f>
        <v>La gente continúa practicando el deporte, mientras que otros hablan con la cámara, así como miran a los lados y se dan cuenta entre sí.</v>
      </c>
    </row>
    <row r="11564">
      <c r="A11564" s="4" t="s">
        <v>14545</v>
      </c>
      <c r="B11564" s="4" t="s">
        <v>14546</v>
      </c>
      <c r="C11564" s="5" t="str">
        <f>IFERROR(__xludf.DUMMYFUNCTION("GOOGLETRANSLATE(B11564,""en"",""es-ES"")"),"Un hombre camina por un campo desnudo mientras una mujer camina a su lado.")</f>
        <v>Un hombre camina por un campo desnudo mientras una mujer camina a su lado.</v>
      </c>
    </row>
    <row r="11565">
      <c r="A11565" s="4" t="s">
        <v>14545</v>
      </c>
      <c r="B11565" s="4" t="s">
        <v>14547</v>
      </c>
      <c r="C11565" s="5" t="str">
        <f>IFERROR(__xludf.DUMMYFUNCTION("GOOGLETRANSLATE(B11565,""en"",""es-ES"")"),"Él camina de regreso y cuarto preparándose para saltar y finalmente salta sobre un poste.")</f>
        <v>Él camina de regreso y cuarto preparándose para saltar y finalmente salta sobre un poste.</v>
      </c>
    </row>
    <row r="11566">
      <c r="A11566" s="4" t="s">
        <v>14545</v>
      </c>
      <c r="B11566" s="4" t="s">
        <v>14548</v>
      </c>
      <c r="C11566" s="5" t="str">
        <f>IFERROR(__xludf.DUMMYFUNCTION("GOOGLETRANSLATE(B11566,""en"",""es-ES"")"),"Una niña aplaude para él y el mismo movimiento se muestra nuevamente en cámara lenta.")</f>
        <v>Una niña aplaude para él y el mismo movimiento se muestra nuevamente en cámara lenta.</v>
      </c>
    </row>
    <row r="11567">
      <c r="A11567" s="4" t="s">
        <v>14549</v>
      </c>
      <c r="B11567" s="4" t="s">
        <v>14550</v>
      </c>
      <c r="C11567" s="5" t="str">
        <f>IFERROR(__xludf.DUMMYFUNCTION("GOOGLETRANSLATE(B11567,""en"",""es-ES"")"),"Un video muestra cómo limpiar la nieve de un automóvil.")</f>
        <v>Un video muestra cómo limpiar la nieve de un automóvil.</v>
      </c>
    </row>
    <row r="11568">
      <c r="A11568" s="4" t="s">
        <v>14549</v>
      </c>
      <c r="B11568" s="4" t="s">
        <v>14551</v>
      </c>
      <c r="C11568" s="5" t="str">
        <f>IFERROR(__xludf.DUMMYFUNCTION("GOOGLETRANSLATE(B11568,""en"",""es-ES"")"),"Una persona dobla un paño azul, envolviéndolo alrededor de un cepillo de nieve cuidadosamente.")</f>
        <v>Una persona dobla un paño azul, envolviéndolo alrededor de un cepillo de nieve cuidadosamente.</v>
      </c>
    </row>
    <row r="11569">
      <c r="A11569" s="4" t="s">
        <v>14549</v>
      </c>
      <c r="B11569" s="4" t="s">
        <v>14552</v>
      </c>
      <c r="C11569" s="5" t="str">
        <f>IFERROR(__xludf.DUMMYFUNCTION("GOOGLETRANSLATE(B11569,""en"",""es-ES"")"),"Luego usa el cepillo para limpiar suavemente la nieve de un vehículo.")</f>
        <v>Luego usa el cepillo para limpiar suavemente la nieve de un vehículo.</v>
      </c>
    </row>
    <row r="11570">
      <c r="A11570" s="4" t="s">
        <v>14549</v>
      </c>
      <c r="B11570" s="4" t="s">
        <v>14553</v>
      </c>
      <c r="C11570" s="5" t="str">
        <f>IFERROR(__xludf.DUMMYFUNCTION("GOOGLETRANSLATE(B11570,""en"",""es-ES"")"),"El video termina con un anuncio para una tienda de automóviles.")</f>
        <v>El video termina con un anuncio para una tienda de automóviles.</v>
      </c>
    </row>
    <row r="11571">
      <c r="A11571" s="4" t="s">
        <v>14554</v>
      </c>
      <c r="B11571" s="4" t="s">
        <v>14555</v>
      </c>
      <c r="C11571" s="5" t="str">
        <f>IFERROR(__xludf.DUMMYFUNCTION("GOOGLETRANSLATE(B11571,""en"",""es-ES"")"),"Una mujer embarazada prepara una calabaza para la decoración y la talla.")</f>
        <v>Una mujer embarazada prepara una calabaza para la decoración y la talla.</v>
      </c>
    </row>
    <row r="11572">
      <c r="A11572" s="4" t="s">
        <v>14554</v>
      </c>
      <c r="B11572" s="4" t="s">
        <v>14556</v>
      </c>
      <c r="C11572" s="5" t="str">
        <f>IFERROR(__xludf.DUMMYFUNCTION("GOOGLETRANSLATE(B11572,""en"",""es-ES"")"),"La dama coloca papel de cera sobre la calabaza y empuja agujeros sobre el dibujo de papel de cera.")</f>
        <v>La dama coloca papel de cera sobre la calabaza y empuja agujeros sobre el dibujo de papel de cera.</v>
      </c>
    </row>
    <row r="11573">
      <c r="A11573" s="4" t="s">
        <v>14554</v>
      </c>
      <c r="B11573" s="4" t="s">
        <v>14557</v>
      </c>
      <c r="C11573" s="5" t="str">
        <f>IFERROR(__xludf.DUMMYFUNCTION("GOOGLETRANSLATE(B11573,""en"",""es-ES"")"),"La señora quita el papel de cera y procede a cortar los trazados de los agujeros de la boca y los ojos que se rastreó con los agujeros perforados del papel de cera.")</f>
        <v>La señora quita el papel de cera y procede a cortar los trazados de los agujeros de la boca y los ojos que se rastreó con los agujeros perforados del papel de cera.</v>
      </c>
    </row>
    <row r="11574">
      <c r="A11574" s="4" t="s">
        <v>14554</v>
      </c>
      <c r="B11574" s="4" t="s">
        <v>14558</v>
      </c>
      <c r="C11574" s="5" t="str">
        <f>IFERROR(__xludf.DUMMYFUNCTION("GOOGLETRANSLATE(B11574,""en"",""es-ES"")"),"Se muestran las calabazas talladas completadas.")</f>
        <v>Se muestran las calabazas talladas completadas.</v>
      </c>
    </row>
    <row r="11575">
      <c r="A11575" s="4" t="s">
        <v>14559</v>
      </c>
      <c r="B11575" s="4" t="s">
        <v>14560</v>
      </c>
      <c r="C11575" s="5" t="str">
        <f>IFERROR(__xludf.DUMMYFUNCTION("GOOGLETRANSLATE(B11575,""en"",""es-ES"")"),"Varios buceadores se ven nadando alrededor del océano mientras los tiburones se mueven a su alrededor.")</f>
        <v>Varios buceadores se ven nadando alrededor del océano mientras los tiburones se mueven a su alrededor.</v>
      </c>
    </row>
    <row r="11576">
      <c r="A11576" s="4" t="s">
        <v>14559</v>
      </c>
      <c r="B11576" s="4" t="s">
        <v>14561</v>
      </c>
      <c r="C11576" s="5" t="str">
        <f>IFERROR(__xludf.DUMMYFUNCTION("GOOGLETRANSLATE(B11576,""en"",""es-ES"")"),"La cámara sigue continuamente a los tiburones alrededor del agua y los buceadores interactúan entre sí mientras se mueven.")</f>
        <v>La cámara sigue continuamente a los tiburones alrededor del agua y los buceadores interactúan entre sí mientras se mueven.</v>
      </c>
    </row>
    <row r="11577">
      <c r="A11577" s="4" t="s">
        <v>14562</v>
      </c>
      <c r="B11577" s="4" t="s">
        <v>14563</v>
      </c>
      <c r="C11577" s="5" t="str">
        <f>IFERROR(__xludf.DUMMYFUNCTION("GOOGLETRANSLATE(B11577,""en"",""es-ES"")"),"Aparece una pantalla azul y en el lado izquierdo una botella transparente se vierte líquido en una copa de martini transparente y las palabras blancas aparecen en el lado izquierdo de la pantalla que dicen ""Las chicas mezclando bebidas dot com notre dame"&amp;" pick-yo-up con stacey"".")</f>
        <v>Aparece una pantalla azul y en el lado izquierdo una botella transparente se vierte líquido en una copa de martini transparente y las palabras blancas aparecen en el lado izquierdo de la pantalla que dicen "Las chicas mezclando bebidas dot com notre dame pick-yo-up con stacey".</v>
      </c>
    </row>
    <row r="11578">
      <c r="A11578" s="4" t="s">
        <v>14562</v>
      </c>
      <c r="B11578" s="4" t="s">
        <v>14564</v>
      </c>
      <c r="C11578" s="5" t="str">
        <f>IFERROR(__xludf.DUMMYFUNCTION("GOOGLETRANSLATE(B11578,""en"",""es-ES"")"),"Una mujer morena que lleva todo el negro está parado en un bar hablando, recoge un vaso claro que bebe, pone hielo y toca todos los ingredientes que usará mientras habla de ellos.")</f>
        <v>Una mujer morena que lleva todo el negro está parado en un bar hablando, recoge un vaso claro que bebe, pone hielo y toca todos los ingredientes que usará mientras habla de ellos.</v>
      </c>
    </row>
    <row r="11579">
      <c r="A11579" s="4" t="s">
        <v>14562</v>
      </c>
      <c r="B11579" s="4" t="s">
        <v>14565</v>
      </c>
      <c r="C11579" s="5" t="str">
        <f>IFERROR(__xludf.DUMMYFUNCTION("GOOGLETRANSLATE(B11579,""en"",""es-ES"")"),"Luego, la mujer comienza a medir cada alcohol en un vaso de chupito, los vierte en la taza, arroja líquido de una botella transparente en la taza, vierte un poco de refresco de una lata en la taza, vierte jugo de una caja en la taza, luego Agrega una paji"&amp;"ta a la taza y empuja la taza al frente del mostrador.")</f>
        <v>Luego, la mujer comienza a medir cada alcohol en un vaso de chupito, los vierte en la taza, arroja líquido de una botella transparente en la taza, vierte un poco de refresco de una lata en la taza, vierte jugo de una caja en la taza, luego Agrega una pajita a la taza y empuja la taza al frente del mostrador.</v>
      </c>
    </row>
    <row r="11580">
      <c r="A11580" s="4" t="s">
        <v>14562</v>
      </c>
      <c r="B11580" s="4" t="s">
        <v>14566</v>
      </c>
      <c r="C11580" s="5" t="str">
        <f>IFERROR(__xludf.DUMMYFUNCTION("GOOGLETRANSLATE(B11580,""en"",""es-ES"")"),"A lo largo de todo el tiempo, está haciendo la bebida que el sitio web aparece de vez en cuando en la parte inferior de la pantalla, luego la pantalla de outro aparece con un fondo diagonal rojo de dos tonos de rayas gruesas y el sitio web en el medio lee"&amp;" www dot girlsmakingdrinks com com .")</f>
        <v>A lo largo de todo el tiempo, está haciendo la bebida que el sitio web aparece de vez en cuando en la parte inferior de la pantalla, luego la pantalla de outro aparece con un fondo diagonal rojo de dos tonos de rayas gruesas y el sitio web en el medio lee www dot girlsmakingdrinks com com .</v>
      </c>
    </row>
    <row r="11581">
      <c r="A11581" s="4" t="s">
        <v>14567</v>
      </c>
      <c r="B11581" s="4" t="s">
        <v>14568</v>
      </c>
      <c r="C11581" s="5" t="str">
        <f>IFERROR(__xludf.DUMMYFUNCTION("GOOGLETRANSLATE(B11581,""en"",""es-ES"")"),"Una mujer está de pie detrás de un mostrador afilando un cuchillo.")</f>
        <v>Una mujer está de pie detrás de un mostrador afilando un cuchillo.</v>
      </c>
    </row>
    <row r="11582">
      <c r="A11582" s="4" t="s">
        <v>14567</v>
      </c>
      <c r="B11582" s="4" t="s">
        <v>14569</v>
      </c>
      <c r="C11582" s="5" t="str">
        <f>IFERROR(__xludf.DUMMYFUNCTION("GOOGLETRANSLATE(B11582,""en"",""es-ES"")"),"Ella vierte agua sobre el afilador de cuchillos y continúa afilando el cuchillo.")</f>
        <v>Ella vierte agua sobre el afilador de cuchillos y continúa afilando el cuchillo.</v>
      </c>
    </row>
    <row r="11583">
      <c r="A11583" s="4" t="s">
        <v>14567</v>
      </c>
      <c r="B11583" s="4" t="s">
        <v>14570</v>
      </c>
      <c r="C11583" s="5" t="str">
        <f>IFERROR(__xludf.DUMMYFUNCTION("GOOGLETRANSLATE(B11583,""en"",""es-ES"")"),"Ella recoge un afilador de cuchillos y agudiza el cuchillo.")</f>
        <v>Ella recoge un afilador de cuchillos y agudiza el cuchillo.</v>
      </c>
    </row>
    <row r="11584">
      <c r="A11584" s="4" t="s">
        <v>14571</v>
      </c>
      <c r="B11584" s="4" t="s">
        <v>14572</v>
      </c>
      <c r="C11584" s="5" t="str">
        <f>IFERROR(__xludf.DUMMYFUNCTION("GOOGLETRANSLATE(B11584,""en"",""es-ES"")"),"Los hombres aparecen en un campo con toros y las palabras ""Bullfight Laos"" aparecen en la pantalla.")</f>
        <v>Los hombres aparecen en un campo con toros y las palabras "Bullfight Laos" aparecen en la pantalla.</v>
      </c>
    </row>
    <row r="11585">
      <c r="A11585" s="4" t="s">
        <v>14571</v>
      </c>
      <c r="B11585" s="4" t="s">
        <v>14573</v>
      </c>
      <c r="C11585" s="5" t="str">
        <f>IFERROR(__xludf.DUMMYFUNCTION("GOOGLETRANSLATE(B11585,""en"",""es-ES"")"),"Los hombres se reúnen alrededor del campo donde están dos toros.")</f>
        <v>Los hombres se reúnen alrededor del campo donde están dos toros.</v>
      </c>
    </row>
    <row r="11586">
      <c r="A11586" s="4" t="s">
        <v>14571</v>
      </c>
      <c r="B11586" s="4" t="s">
        <v>14574</v>
      </c>
      <c r="C11586" s="5" t="str">
        <f>IFERROR(__xludf.DUMMYFUNCTION("GOOGLETRANSLATE(B11586,""en"",""es-ES"")"),"Se alienta a los toros a pelear con sus cuernos mientras la gente mira.")</f>
        <v>Se alienta a los toros a pelear con sus cuernos mientras la gente mira.</v>
      </c>
    </row>
    <row r="11587">
      <c r="A11587" s="4" t="s">
        <v>14575</v>
      </c>
      <c r="B11587" s="4" t="s">
        <v>14576</v>
      </c>
      <c r="C11587" s="5" t="str">
        <f>IFERROR(__xludf.DUMMYFUNCTION("GOOGLETRANSLATE(B11587,""en"",""es-ES"")"),"Un bebé pequeño golpea un bongo en una habitación.")</f>
        <v>Un bebé pequeño golpea un bongo en una habitación.</v>
      </c>
    </row>
    <row r="11588">
      <c r="A11588" s="4" t="s">
        <v>14575</v>
      </c>
      <c r="B11588" s="4" t="s">
        <v>14577</v>
      </c>
      <c r="C11588" s="5" t="str">
        <f>IFERROR(__xludf.DUMMYFUNCTION("GOOGLETRANSLATE(B11588,""en"",""es-ES"")"),"El bebé se detiene y le quita algo de la mano.")</f>
        <v>El bebé se detiene y le quita algo de la mano.</v>
      </c>
    </row>
    <row r="11589">
      <c r="A11589" s="4" t="s">
        <v>14575</v>
      </c>
      <c r="B11589" s="4" t="s">
        <v>14578</v>
      </c>
      <c r="C11589" s="5" t="str">
        <f>IFERROR(__xludf.DUMMYFUNCTION("GOOGLETRANSLATE(B11589,""en"",""es-ES"")"),"El bebé vuelve a tocar el tambor.")</f>
        <v>El bebé vuelve a tocar el tambor.</v>
      </c>
    </row>
    <row r="11590">
      <c r="A11590" s="4" t="s">
        <v>14579</v>
      </c>
      <c r="B11590" s="4" t="s">
        <v>14580</v>
      </c>
      <c r="C11590" s="5" t="str">
        <f>IFERROR(__xludf.DUMMYFUNCTION("GOOGLETRANSLATE(B11590,""en"",""es-ES"")"),"Vemos el exterior de un restaurante con una nieve como un gráfico en la parte inferior.")</f>
        <v>Vemos el exterior de un restaurante con una nieve como un gráfico en la parte inferior.</v>
      </c>
    </row>
    <row r="11591">
      <c r="A11591" s="4" t="s">
        <v>14579</v>
      </c>
      <c r="B11591" s="4" t="s">
        <v>14581</v>
      </c>
      <c r="C11591" s="5" t="str">
        <f>IFERROR(__xludf.DUMMYFUNCTION("GOOGLETRANSLATE(B11591,""en"",""es-ES"")"),"Vemos hombres dentro de la barra y un hombre hablando en un micrófono.")</f>
        <v>Vemos hombres dentro de la barra y un hombre hablando en un micrófono.</v>
      </c>
    </row>
    <row r="11592">
      <c r="A11592" s="4" t="s">
        <v>14579</v>
      </c>
      <c r="B11592" s="4" t="s">
        <v>14582</v>
      </c>
      <c r="C11592" s="5" t="str">
        <f>IFERROR(__xludf.DUMMYFUNCTION("GOOGLETRANSLATE(B11592,""en"",""es-ES"")"),"Luego vemos a las damas jugando a Beer Pong contra un equipo de hombres.")</f>
        <v>Luego vemos a las damas jugando a Beer Pong contra un equipo de hombres.</v>
      </c>
    </row>
    <row r="11593">
      <c r="A11593" s="4" t="s">
        <v>14579</v>
      </c>
      <c r="B11593" s="4" t="s">
        <v>14583</v>
      </c>
      <c r="C11593" s="5" t="str">
        <f>IFERROR(__xludf.DUMMYFUNCTION("GOOGLETRANSLATE(B11593,""en"",""es-ES"")"),"Dos equipos de hombres juegan a Beer Pong juntos mientras un hombre se encuentra detrás de ellos sosteniendo una cámara en el aire.")</f>
        <v>Dos equipos de hombres juegan a Beer Pong juntos mientras un hombre se encuentra detrás de ellos sosteniendo una cámara en el aire.</v>
      </c>
    </row>
    <row r="11594">
      <c r="A11594" s="4" t="s">
        <v>14579</v>
      </c>
      <c r="B11594" s="4" t="s">
        <v>14584</v>
      </c>
      <c r="C11594" s="5" t="str">
        <f>IFERROR(__xludf.DUMMYFUNCTION("GOOGLETRANSLATE(B11594,""en"",""es-ES"")"),"Cambiamos y vemos a otros equipos en la sala jugando y vemos a dos damas hablando.")</f>
        <v>Cambiamos y vemos a otros equipos en la sala jugando y vemos a dos damas hablando.</v>
      </c>
    </row>
    <row r="11595">
      <c r="A11595" s="4" t="s">
        <v>14579</v>
      </c>
      <c r="B11595" s="4" t="s">
        <v>14585</v>
      </c>
      <c r="C11595" s="5" t="str">
        <f>IFERROR(__xludf.DUMMYFUNCTION("GOOGLETRANSLATE(B11595,""en"",""es-ES"")"),"Luego vemos a una dama arrojar una pelota por una mesa.")</f>
        <v>Luego vemos a una dama arrojar una pelota por una mesa.</v>
      </c>
    </row>
    <row r="11596">
      <c r="A11596" s="4" t="s">
        <v>14579</v>
      </c>
      <c r="B11596" s="4" t="s">
        <v>3608</v>
      </c>
      <c r="C11596" s="5" t="str">
        <f>IFERROR(__xludf.DUMMYFUNCTION("GOOGLETRANSLATE(B11596,""en"",""es-ES"")"),"Vemos la pantalla final.")</f>
        <v>Vemos la pantalla final.</v>
      </c>
    </row>
    <row r="11597">
      <c r="A11597" s="4" t="s">
        <v>14586</v>
      </c>
      <c r="B11597" s="4" t="s">
        <v>14587</v>
      </c>
      <c r="C11597" s="5" t="str">
        <f>IFERROR(__xludf.DUMMYFUNCTION("GOOGLETRANSLATE(B11597,""en"",""es-ES"")"),"Se muestra un dibujo de un tribunal en la pantalla.")</f>
        <v>Se muestra un dibujo de un tribunal en la pantalla.</v>
      </c>
    </row>
    <row r="11598">
      <c r="A11598" s="4" t="s">
        <v>14586</v>
      </c>
      <c r="B11598" s="4" t="s">
        <v>14588</v>
      </c>
      <c r="C11598" s="5" t="str">
        <f>IFERROR(__xludf.DUMMYFUNCTION("GOOGLETRANSLATE(B11598,""en"",""es-ES"")"),"Vemos un juego de fútbol en progreso en un campo al aire libre.")</f>
        <v>Vemos un juego de fútbol en progreso en un campo al aire libre.</v>
      </c>
    </row>
    <row r="11599">
      <c r="A11599" s="4" t="s">
        <v>14586</v>
      </c>
      <c r="B11599" s="4" t="s">
        <v>14589</v>
      </c>
      <c r="C11599" s="5" t="str">
        <f>IFERROR(__xludf.DUMMYFUNCTION("GOOGLETRANSLATE(B11599,""en"",""es-ES"")"),"Los hombres están pateando la pelota unos de otros.")</f>
        <v>Los hombres están pateando la pelota unos de otros.</v>
      </c>
    </row>
    <row r="11600">
      <c r="A11600" s="4" t="s">
        <v>14586</v>
      </c>
      <c r="B11600" s="4" t="s">
        <v>14590</v>
      </c>
      <c r="C11600" s="5" t="str">
        <f>IFERROR(__xludf.DUMMYFUNCTION("GOOGLETRANSLATE(B11600,""en"",""es-ES"")"),"Intentan llevar la pelota a los goles opuestos.")</f>
        <v>Intentan llevar la pelota a los goles opuestos.</v>
      </c>
    </row>
    <row r="11601">
      <c r="A11601" s="4" t="s">
        <v>14591</v>
      </c>
      <c r="B11601" s="4" t="s">
        <v>14592</v>
      </c>
      <c r="C11601" s="5" t="str">
        <f>IFERROR(__xludf.DUMMYFUNCTION("GOOGLETRANSLATE(B11601,""en"",""es-ES"")"),"Dos luchadores se encuentran en una mesa dentro de un anillo de lucha libre.")</f>
        <v>Dos luchadores se encuentran en una mesa dentro de un anillo de lucha libre.</v>
      </c>
    </row>
    <row r="11602">
      <c r="A11602" s="4" t="s">
        <v>14591</v>
      </c>
      <c r="B11602" s="4" t="s">
        <v>14593</v>
      </c>
      <c r="C11602" s="5" t="str">
        <f>IFERROR(__xludf.DUMMYFUNCTION("GOOGLETRANSLATE(B11602,""en"",""es-ES"")"),"Se sientan en la mesa y sostienen las manos del otro, preparados para luchar contra el brazo.")</f>
        <v>Se sientan en la mesa y sostienen las manos del otro, preparados para luchar contra el brazo.</v>
      </c>
    </row>
    <row r="11603">
      <c r="A11603" s="4" t="s">
        <v>14591</v>
      </c>
      <c r="B11603" s="4" t="s">
        <v>14594</v>
      </c>
      <c r="C11603" s="5" t="str">
        <f>IFERROR(__xludf.DUMMYFUNCTION("GOOGLETRANSLATE(B11603,""en"",""es-ES"")"),"Los hombres se esfuerzan por golpearse, empujando con fuerza a cada lado.")</f>
        <v>Los hombres se esfuerzan por golpearse, empujando con fuerza a cada lado.</v>
      </c>
    </row>
    <row r="11604">
      <c r="A11604" s="4" t="s">
        <v>14591</v>
      </c>
      <c r="B11604" s="4" t="s">
        <v>14595</v>
      </c>
      <c r="C11604" s="5" t="str">
        <f>IFERROR(__xludf.DUMMYFUNCTION("GOOGLETRANSLATE(B11604,""en"",""es-ES"")"),"Uno gana, luego se levantan y comienzan a pelear dentro del ring.")</f>
        <v>Uno gana, luego se levantan y comienzan a pelear dentro del ring.</v>
      </c>
    </row>
    <row r="11605">
      <c r="A11605" s="4" t="s">
        <v>14591</v>
      </c>
      <c r="B11605" s="4" t="s">
        <v>14596</v>
      </c>
      <c r="C11605" s="5" t="str">
        <f>IFERROR(__xludf.DUMMYFUNCTION("GOOGLETRANSLATE(B11605,""en"",""es-ES"")"),"Uno es expulsado del ring, dejando al gigante como el vencedor.")</f>
        <v>Uno es expulsado del ring, dejando al gigante como el vencedor.</v>
      </c>
    </row>
    <row r="11606">
      <c r="A11606" s="4" t="s">
        <v>14597</v>
      </c>
      <c r="B11606" s="4" t="s">
        <v>14598</v>
      </c>
      <c r="C11606" s="5" t="str">
        <f>IFERROR(__xludf.DUMMYFUNCTION("GOOGLETRANSLATE(B11606,""en"",""es-ES"")"),"Un perro corre por un lago.")</f>
        <v>Un perro corre por un lago.</v>
      </c>
    </row>
    <row r="11607">
      <c r="A11607" s="4" t="s">
        <v>14597</v>
      </c>
      <c r="B11607" s="4" t="s">
        <v>14599</v>
      </c>
      <c r="C11607" s="5" t="str">
        <f>IFERROR(__xludf.DUMMYFUNCTION("GOOGLETRANSLATE(B11607,""en"",""es-ES"")"),"Un hombre se despierta detrás de un bote.")</f>
        <v>Un hombre se despierta detrás de un bote.</v>
      </c>
    </row>
    <row r="11608">
      <c r="A11608" s="4" t="s">
        <v>14597</v>
      </c>
      <c r="B11608" s="4" t="s">
        <v>14600</v>
      </c>
      <c r="C11608" s="5" t="str">
        <f>IFERROR(__xludf.DUMMYFUNCTION("GOOGLETRANSLATE(B11608,""en"",""es-ES"")"),"Una persona está sentada en el agua.")</f>
        <v>Una persona está sentada en el agua.</v>
      </c>
    </row>
    <row r="11609">
      <c r="A11609" s="4" t="s">
        <v>14601</v>
      </c>
      <c r="B11609" s="4" t="s">
        <v>14602</v>
      </c>
      <c r="C11609" s="5" t="str">
        <f>IFERROR(__xludf.DUMMYFUNCTION("GOOGLETRANSLATE(B11609,""en"",""es-ES"")"),"Un hombre monta una lancha de agua en el océano.")</f>
        <v>Un hombre monta una lancha de agua en el océano.</v>
      </c>
    </row>
    <row r="11610">
      <c r="A11610" s="4" t="s">
        <v>14601</v>
      </c>
      <c r="B11610" s="4" t="s">
        <v>14603</v>
      </c>
      <c r="C11610" s="5" t="str">
        <f>IFERROR(__xludf.DUMMYFUNCTION("GOOGLETRANSLATE(B11610,""en"",""es-ES"")"),"A su lado aparece un hombre en una tabla de surf.")</f>
        <v>A su lado aparece un hombre en una tabla de surf.</v>
      </c>
    </row>
    <row r="11611">
      <c r="A11611" s="4" t="s">
        <v>14601</v>
      </c>
      <c r="B11611" s="4" t="s">
        <v>14604</v>
      </c>
      <c r="C11611" s="5" t="str">
        <f>IFERROR(__xludf.DUMMYFUNCTION("GOOGLETRANSLATE(B11611,""en"",""es-ES"")"),"El hombre en la tabla de surf se acelera, dejándolo a su paso.")</f>
        <v>El hombre en la tabla de surf se acelera, dejándolo a su paso.</v>
      </c>
    </row>
    <row r="11612">
      <c r="A11612" s="4" t="s">
        <v>14605</v>
      </c>
      <c r="B11612" s="4" t="s">
        <v>14606</v>
      </c>
      <c r="C11612" s="5" t="str">
        <f>IFERROR(__xludf.DUMMYFUNCTION("GOOGLETRANSLATE(B11612,""en"",""es-ES"")"),"Se ve a un pequeño grupo de personas jugando entre sí en un gran gimnasio.")</f>
        <v>Se ve a un pequeño grupo de personas jugando entre sí en un gran gimnasio.</v>
      </c>
    </row>
    <row r="11613">
      <c r="A11613" s="4" t="s">
        <v>14605</v>
      </c>
      <c r="B11613" s="4" t="s">
        <v>14607</v>
      </c>
      <c r="C11613" s="5" t="str">
        <f>IFERROR(__xludf.DUMMYFUNCTION("GOOGLETRANSLATE(B11613,""en"",""es-ES"")"),"Muchas personas miran al margen y la gente se hace una mitad de la mitad de la mitad y la cuarta.")</f>
        <v>Muchas personas miran al margen y la gente se hace una mitad de la mitad de la mitad y la cuarta.</v>
      </c>
    </row>
    <row r="11614">
      <c r="A11614" s="4" t="s">
        <v>14608</v>
      </c>
      <c r="B11614" s="4" t="s">
        <v>14609</v>
      </c>
      <c r="C11614" s="5" t="str">
        <f>IFERROR(__xludf.DUMMYFUNCTION("GOOGLETRANSLATE(B11614,""en"",""es-ES"")"),"Un hombre con un velocímetro negro está parado en un tablero de buceo con la mano hacia abajo de los costados.")</f>
        <v>Un hombre con un velocímetro negro está parado en un tablero de buceo con la mano hacia abajo de los costados.</v>
      </c>
    </row>
    <row r="11615">
      <c r="A11615" s="4" t="s">
        <v>14608</v>
      </c>
      <c r="B11615" s="4" t="s">
        <v>14610</v>
      </c>
      <c r="C11615" s="5" t="str">
        <f>IFERROR(__xludf.DUMMYFUNCTION("GOOGLETRANSLATE(B11615,""en"",""es-ES"")"),"Luego comienza a correr y hace dos lúpulos para llegar al final del tablero.")</f>
        <v>Luego comienza a correr y hace dos lúpulos para llegar al final del tablero.</v>
      </c>
    </row>
    <row r="11616">
      <c r="A11616" s="4" t="s">
        <v>14608</v>
      </c>
      <c r="B11616" s="4" t="s">
        <v>14611</v>
      </c>
      <c r="C11616" s="5" t="str">
        <f>IFERROR(__xludf.DUMMYFUNCTION("GOOGLETRANSLATE(B11616,""en"",""es-ES"")"),"Finalmente, él está al final de la tabla de buceo y gira en el agua mientras la multitud al lado observa.")</f>
        <v>Finalmente, él está al final de la tabla de buceo y gira en el agua mientras la multitud al lado observa.</v>
      </c>
    </row>
    <row r="11617">
      <c r="A11617" s="4" t="s">
        <v>14612</v>
      </c>
      <c r="B11617" s="4" t="s">
        <v>14613</v>
      </c>
      <c r="C11617" s="5" t="str">
        <f>IFERROR(__xludf.DUMMYFUNCTION("GOOGLETRANSLATE(B11617,""en"",""es-ES"")"),"Se ve a un gran grupo de personas corriendo por un campo jugando un juego de lacrosse.")</f>
        <v>Se ve a un gran grupo de personas corriendo por un campo jugando un juego de lacrosse.</v>
      </c>
    </row>
    <row r="11618">
      <c r="A11618" s="4" t="s">
        <v>14612</v>
      </c>
      <c r="B11618" s="4" t="s">
        <v>14614</v>
      </c>
      <c r="C11618" s="5" t="str">
        <f>IFERROR(__xludf.DUMMYFUNCTION("GOOGLETRANSLATE(B11618,""en"",""es-ES"")"),"La gente golpeó la pelota a lo largo del campo mientras un árbitro los observa a un lado.")</f>
        <v>La gente golpeó la pelota a lo largo del campo mientras un árbitro los observa a un lado.</v>
      </c>
    </row>
    <row r="11619">
      <c r="A11619" s="4" t="s">
        <v>14612</v>
      </c>
      <c r="B11619" s="4" t="s">
        <v>14615</v>
      </c>
      <c r="C11619" s="5" t="str">
        <f>IFERROR(__xludf.DUMMYFUNCTION("GOOGLETRANSLATE(B11619,""en"",""es-ES"")"),"El grupo continúa jugando juntos mientras la cámara retrocede y cuarto.")</f>
        <v>El grupo continúa jugando juntos mientras la cámara retrocede y cuarto.</v>
      </c>
    </row>
    <row r="11620">
      <c r="A11620" s="4" t="s">
        <v>14616</v>
      </c>
      <c r="B11620" s="4" t="s">
        <v>14617</v>
      </c>
      <c r="C11620" s="5" t="str">
        <f>IFERROR(__xludf.DUMMYFUNCTION("GOOGLETRANSLATE(B11620,""en"",""es-ES"")"),"Se ve una gran cometa volando sobre una playa con gente deambulando por los lados.")</f>
        <v>Se ve una gran cometa volando sobre una playa con gente deambulando por los lados.</v>
      </c>
    </row>
    <row r="11621">
      <c r="A11621" s="4" t="s">
        <v>14616</v>
      </c>
      <c r="B11621" s="4" t="s">
        <v>14618</v>
      </c>
      <c r="C11621" s="5" t="str">
        <f>IFERROR(__xludf.DUMMYFUNCTION("GOOGLETRANSLATE(B11621,""en"",""es-ES"")"),"Se ve a un hombre volando la gran cometa mientras que otros lo miran a un lado.")</f>
        <v>Se ve a un hombre volando la gran cometa mientras que otros lo miran a un lado.</v>
      </c>
    </row>
    <row r="11622">
      <c r="A11622" s="4" t="s">
        <v>14616</v>
      </c>
      <c r="B11622" s="4" t="s">
        <v>14619</v>
      </c>
      <c r="C11622" s="5" t="str">
        <f>IFERROR(__xludf.DUMMYFUNCTION("GOOGLETRANSLATE(B11622,""en"",""es-ES"")"),"Se muestra otra cometa volando junto a la suya y conduce a un espectáculo del océano.")</f>
        <v>Se muestra otra cometa volando junto a la suya y conduce a un espectáculo del océano.</v>
      </c>
    </row>
    <row r="11623">
      <c r="A11623" s="4" t="s">
        <v>14620</v>
      </c>
      <c r="B11623" s="4" t="s">
        <v>14621</v>
      </c>
      <c r="C11623" s="5" t="str">
        <f>IFERROR(__xludf.DUMMYFUNCTION("GOOGLETRANSLATE(B11623,""en"",""es-ES"")"),"Se ve a un niño estirándose en círculo mientras se quita la camisa y mira a lo lejos.")</f>
        <v>Se ve a un niño estirándose en círculo mientras se quita la camisa y mira a lo lejos.</v>
      </c>
    </row>
    <row r="11624">
      <c r="A11624" s="4" t="s">
        <v>14620</v>
      </c>
      <c r="B11624" s="4" t="s">
        <v>14622</v>
      </c>
      <c r="C11624" s="5" t="str">
        <f>IFERROR(__xludf.DUMMYFUNCTION("GOOGLETRANSLATE(B11624,""en"",""es-ES"")"),"El niño luego comienza a interpretar varias artes marciales frente a una gran multitud.")</f>
        <v>El niño luego comienza a interpretar varias artes marciales frente a una gran multitud.</v>
      </c>
    </row>
    <row r="11625">
      <c r="A11625" s="4" t="s">
        <v>14620</v>
      </c>
      <c r="B11625" s="4" t="s">
        <v>14623</v>
      </c>
      <c r="C11625" s="5" t="str">
        <f>IFERROR(__xludf.DUMMYFUNCTION("GOOGLETRANSLATE(B11625,""en"",""es-ES"")"),"El niño continúa pateando y girando mientras termina para inclinarse ante la cámara.")</f>
        <v>El niño continúa pateando y girando mientras termina para inclinarse ante la cámara.</v>
      </c>
    </row>
    <row r="11626">
      <c r="A11626" s="4" t="s">
        <v>14624</v>
      </c>
      <c r="B11626" s="4" t="s">
        <v>14625</v>
      </c>
      <c r="C11626" s="5" t="str">
        <f>IFERROR(__xludf.DUMMYFUNCTION("GOOGLETRANSLATE(B11626,""en"",""es-ES"")"),"Un comercial de automóviles comienza con numerosas personas que lavan un vehículo, ya que pasa por un lavado de autos profesional.")</f>
        <v>Un comercial de automóviles comienza con numerosas personas que lavan un vehículo, ya que pasa por un lavado de autos profesional.</v>
      </c>
    </row>
    <row r="11627">
      <c r="A11627" s="4" t="s">
        <v>14624</v>
      </c>
      <c r="B11627" s="4" t="s">
        <v>14626</v>
      </c>
      <c r="C11627" s="5" t="str">
        <f>IFERROR(__xludf.DUMMYFUNCTION("GOOGLETRANSLATE(B11627,""en"",""es-ES"")"),"La gente se encuentra en un grupo, agitando sus trapos en el aire en la cámara, como si se despidiera.")</f>
        <v>La gente se encuentra en un grupo, agitando sus trapos en el aire en la cámara, como si se despidiera.</v>
      </c>
    </row>
    <row r="11628">
      <c r="A11628" s="4" t="s">
        <v>14624</v>
      </c>
      <c r="B11628" s="4" t="s">
        <v>14627</v>
      </c>
      <c r="C11628" s="5" t="str">
        <f>IFERROR(__xludf.DUMMYFUNCTION("GOOGLETRANSLATE(B11628,""en"",""es-ES"")"),"Luego se corta a una pantalla final que anuncia el nombre del servicio.")</f>
        <v>Luego se corta a una pantalla final que anuncia el nombre del servicio.</v>
      </c>
    </row>
    <row r="11629">
      <c r="A11629" s="4" t="s">
        <v>14628</v>
      </c>
      <c r="B11629" s="4" t="s">
        <v>14629</v>
      </c>
      <c r="C11629" s="5" t="str">
        <f>IFERROR(__xludf.DUMMYFUNCTION("GOOGLETRANSLATE(B11629,""en"",""es-ES"")"),"Un oficial de policía está montando un caballo por la calle muy lentamente.")</f>
        <v>Un oficial de policía está montando un caballo por la calle muy lentamente.</v>
      </c>
    </row>
    <row r="11630">
      <c r="A11630" s="4" t="s">
        <v>14628</v>
      </c>
      <c r="B11630" s="4" t="s">
        <v>14630</v>
      </c>
      <c r="C11630" s="5" t="str">
        <f>IFERROR(__xludf.DUMMYFUNCTION("GOOGLETRANSLATE(B11630,""en"",""es-ES"")"),"Muchos espectadores están pasando, los autos están pasando y avanzando casualmente.")</f>
        <v>Muchos espectadores están pasando, los autos están pasando y avanzando casualmente.</v>
      </c>
    </row>
    <row r="11631">
      <c r="A11631" s="4" t="s">
        <v>14628</v>
      </c>
      <c r="B11631" s="4" t="s">
        <v>14631</v>
      </c>
      <c r="C11631" s="5" t="str">
        <f>IFERROR(__xludf.DUMMYFUNCTION("GOOGLETRANSLATE(B11631,""en"",""es-ES"")"),"Es solo un día normal que conduce por la calle protegiendo por servicio, asegurándose de que no se cometan crímenes.")</f>
        <v>Es solo un día normal que conduce por la calle protegiendo por servicio, asegurándose de que no se cometan crímenes.</v>
      </c>
    </row>
    <row r="11632">
      <c r="A11632" s="4" t="s">
        <v>14628</v>
      </c>
      <c r="B11632" s="4" t="s">
        <v>14632</v>
      </c>
      <c r="C11632" s="5" t="str">
        <f>IFERROR(__xludf.DUMMYFUNCTION("GOOGLETRANSLATE(B11632,""en"",""es-ES"")"),"Se monta con una de sus manos en su arma y el otro dirigiendo al caballo.")</f>
        <v>Se monta con una de sus manos en su arma y el otro dirigiendo al caballo.</v>
      </c>
    </row>
    <row r="11633">
      <c r="A11633" s="4" t="s">
        <v>14633</v>
      </c>
      <c r="B11633" s="4" t="s">
        <v>14634</v>
      </c>
      <c r="C11633" s="5" t="str">
        <f>IFERROR(__xludf.DUMMYFUNCTION("GOOGLETRANSLATE(B11633,""en"",""es-ES"")"),"Vemos una pantalla de apertura verde.")</f>
        <v>Vemos una pantalla de apertura verde.</v>
      </c>
    </row>
    <row r="11634">
      <c r="A11634" s="4" t="s">
        <v>14633</v>
      </c>
      <c r="B11634" s="4" t="s">
        <v>14635</v>
      </c>
      <c r="C11634" s="5" t="str">
        <f>IFERROR(__xludf.DUMMYFUNCTION("GOOGLETRANSLATE(B11634,""en"",""es-ES"")"),"Vemos un cabello de mujer en un primer plano.")</f>
        <v>Vemos un cabello de mujer en un primer plano.</v>
      </c>
    </row>
    <row r="11635">
      <c r="A11635" s="4" t="s">
        <v>14633</v>
      </c>
      <c r="B11635" s="4" t="s">
        <v>14636</v>
      </c>
      <c r="C11635" s="5" t="str">
        <f>IFERROR(__xludf.DUMMYFUNCTION("GOOGLETRANSLATE(B11635,""en"",""es-ES"")"),"Una señora habla mientras está sentada en un sofá.")</f>
        <v>Una señora habla mientras está sentada en un sofá.</v>
      </c>
    </row>
    <row r="11636">
      <c r="A11636" s="4" t="s">
        <v>14633</v>
      </c>
      <c r="B11636" s="4" t="s">
        <v>14637</v>
      </c>
      <c r="C11636" s="5" t="str">
        <f>IFERROR(__xludf.DUMMYFUNCTION("GOOGLETRANSLATE(B11636,""en"",""es-ES"")"),"Vemos a una dama poniendo un rodillo en su cabello.")</f>
        <v>Vemos a una dama poniendo un rodillo en su cabello.</v>
      </c>
    </row>
    <row r="11637">
      <c r="A11637" s="4" t="s">
        <v>14633</v>
      </c>
      <c r="B11637" s="4" t="s">
        <v>14638</v>
      </c>
      <c r="C11637" s="5" t="str">
        <f>IFERROR(__xludf.DUMMYFUNCTION("GOOGLETRANSLATE(B11637,""en"",""es-ES"")"),"Luego vemos el producto terminado.")</f>
        <v>Luego vemos el producto terminado.</v>
      </c>
    </row>
    <row r="11638">
      <c r="A11638" s="4" t="s">
        <v>14639</v>
      </c>
      <c r="B11638" s="4" t="s">
        <v>14640</v>
      </c>
      <c r="C11638" s="5" t="str">
        <f>IFERROR(__xludf.DUMMYFUNCTION("GOOGLETRANSLATE(B11638,""en"",""es-ES"")"),"Un hombre enciende una cámara.")</f>
        <v>Un hombre enciende una cámara.</v>
      </c>
    </row>
    <row r="11639">
      <c r="A11639" s="4" t="s">
        <v>14639</v>
      </c>
      <c r="B11639" s="4" t="s">
        <v>14641</v>
      </c>
      <c r="C11639" s="5" t="str">
        <f>IFERROR(__xludf.DUMMYFUNCTION("GOOGLETRANSLATE(B11639,""en"",""es-ES"")"),"Un hombre con una camisa negra está en cuclillas en un sofá y fumar narguile.")</f>
        <v>Un hombre con una camisa negra está en cuclillas en un sofá y fumar narguile.</v>
      </c>
    </row>
    <row r="11640">
      <c r="A11640" s="4" t="s">
        <v>14639</v>
      </c>
      <c r="B11640" s="4" t="s">
        <v>14642</v>
      </c>
      <c r="C11640" s="5" t="str">
        <f>IFERROR(__xludf.DUMMYFUNCTION("GOOGLETRANSLATE(B11640,""en"",""es-ES"")"),"El hombre intenta soplar anillos de humo.")</f>
        <v>El hombre intenta soplar anillos de humo.</v>
      </c>
    </row>
    <row r="11641">
      <c r="A11641" s="4" t="s">
        <v>14639</v>
      </c>
      <c r="B11641" s="4" t="s">
        <v>14643</v>
      </c>
      <c r="C11641" s="5" t="str">
        <f>IFERROR(__xludf.DUMMYFUNCTION("GOOGLETRANSLATE(B11641,""en"",""es-ES"")"),"El hombre sopla humo directamente en la cámara.")</f>
        <v>El hombre sopla humo directamente en la cámara.</v>
      </c>
    </row>
    <row r="11642">
      <c r="A11642" s="4" t="s">
        <v>14639</v>
      </c>
      <c r="B11642" s="4" t="s">
        <v>14644</v>
      </c>
      <c r="C11642" s="5" t="str">
        <f>IFERROR(__xludf.DUMMYFUNCTION("GOOGLETRANSLATE(B11642,""en"",""es-ES"")"),"El hombre nuevamente procede a soplar humo directamente en la cámara.")</f>
        <v>El hombre nuevamente procede a soplar humo directamente en la cámara.</v>
      </c>
    </row>
    <row r="11643">
      <c r="A11643" s="4" t="s">
        <v>14639</v>
      </c>
      <c r="B11643" s="4" t="s">
        <v>14645</v>
      </c>
      <c r="C11643" s="5" t="str">
        <f>IFERROR(__xludf.DUMMYFUNCTION("GOOGLETRANSLATE(B11643,""en"",""es-ES"")"),"El hombre alcanza para apagar la cámara.")</f>
        <v>El hombre alcanza para apagar la cámara.</v>
      </c>
    </row>
    <row r="11644">
      <c r="A11644" s="4" t="s">
        <v>14646</v>
      </c>
      <c r="B11644" s="4" t="s">
        <v>14647</v>
      </c>
      <c r="C11644" s="5" t="str">
        <f>IFERROR(__xludf.DUMMYFUNCTION("GOOGLETRANSLATE(B11644,""en"",""es-ES"")"),"La cámara se acerca para mostrar la rueda delantera derecha del automóvil.")</f>
        <v>La cámara se acerca para mostrar la rueda delantera derecha del automóvil.</v>
      </c>
    </row>
    <row r="11645">
      <c r="A11645" s="4" t="s">
        <v>14646</v>
      </c>
      <c r="B11645" s="4" t="s">
        <v>14648</v>
      </c>
      <c r="C11645" s="5" t="str">
        <f>IFERROR(__xludf.DUMMYFUNCTION("GOOGLETRANSLATE(B11645,""en"",""es-ES"")"),"La cámara se acerca para mostrar al hombre rociando el automóvil con jabón.")</f>
        <v>La cámara se acerca para mostrar al hombre rociando el automóvil con jabón.</v>
      </c>
    </row>
    <row r="11646">
      <c r="A11646" s="4" t="s">
        <v>14646</v>
      </c>
      <c r="B11646" s="4" t="s">
        <v>14649</v>
      </c>
      <c r="C11646" s="5" t="str">
        <f>IFERROR(__xludf.DUMMYFUNCTION("GOOGLETRANSLATE(B11646,""en"",""es-ES"")"),"La cámara se acerca nuevamente para mostrar el jabón corriendo por la parte posterior del automóvil, luego la cámara se mueve para mostrar el lado izquierdo del automóvil.")</f>
        <v>La cámara se acerca nuevamente para mostrar el jabón corriendo por la parte posterior del automóvil, luego la cámara se mueve para mostrar el lado izquierdo del automóvil.</v>
      </c>
    </row>
    <row r="11647">
      <c r="A11647" s="4" t="s">
        <v>14646</v>
      </c>
      <c r="B11647" s="4" t="s">
        <v>14650</v>
      </c>
      <c r="C11647" s="5" t="str">
        <f>IFERROR(__xludf.DUMMYFUNCTION("GOOGLETRANSLATE(B11647,""en"",""es-ES"")"),"Luego, dos hombres rocían agua en el automóvil para lavar el jabón.")</f>
        <v>Luego, dos hombres rocían agua en el automóvil para lavar el jabón.</v>
      </c>
    </row>
    <row r="11648">
      <c r="A11648" s="4" t="s">
        <v>14651</v>
      </c>
      <c r="B11648" s="4" t="s">
        <v>14652</v>
      </c>
      <c r="C11648" s="5" t="str">
        <f>IFERROR(__xludf.DUMMYFUNCTION("GOOGLETRANSLATE(B11648,""en"",""es-ES"")"),"Una mujer camina hasta el centro de la habitación.")</f>
        <v>Una mujer camina hasta el centro de la habitación.</v>
      </c>
    </row>
    <row r="11649">
      <c r="A11649" s="4" t="s">
        <v>14651</v>
      </c>
      <c r="B11649" s="4" t="s">
        <v>14653</v>
      </c>
      <c r="C11649" s="5" t="str">
        <f>IFERROR(__xludf.DUMMYFUNCTION("GOOGLETRANSLATE(B11649,""en"",""es-ES"")"),"Ella realiza movimientos de baile del vientre.")</f>
        <v>Ella realiza movimientos de baile del vientre.</v>
      </c>
    </row>
    <row r="11650">
      <c r="A11650" s="4" t="s">
        <v>14651</v>
      </c>
      <c r="B11650" s="4" t="s">
        <v>14654</v>
      </c>
      <c r="C11650" s="5" t="str">
        <f>IFERROR(__xludf.DUMMYFUNCTION("GOOGLETRANSLATE(B11650,""en"",""es-ES"")"),"Ella extiende sus dedos y termina su baile.")</f>
        <v>Ella extiende sus dedos y termina su baile.</v>
      </c>
    </row>
    <row r="11651">
      <c r="A11651" s="4" t="s">
        <v>14655</v>
      </c>
      <c r="B11651" s="4" t="s">
        <v>14656</v>
      </c>
      <c r="C11651" s="5" t="str">
        <f>IFERROR(__xludf.DUMMYFUNCTION("GOOGLETRANSLATE(B11651,""en"",""es-ES"")"),"Una mujer gira a una persona con los ojos vendados que sostiene un palo en la parte delantera de una piñata.")</f>
        <v>Una mujer gira a una persona con los ojos vendados que sostiene un palo en la parte delantera de una piñata.</v>
      </c>
    </row>
    <row r="11652">
      <c r="A11652" s="4" t="s">
        <v>14655</v>
      </c>
      <c r="B11652" s="4" t="s">
        <v>14657</v>
      </c>
      <c r="C11652" s="5" t="str">
        <f>IFERROR(__xludf.DUMMYFUNCTION("GOOGLETRANSLATE(B11652,""en"",""es-ES"")"),"Luego, la persona golpea a la fuerte, mientras la piñata se mueve.")</f>
        <v>Luego, la persona golpea a la fuerte, mientras la piñata se mueve.</v>
      </c>
    </row>
    <row r="11653">
      <c r="A11653" s="4" t="s">
        <v>14655</v>
      </c>
      <c r="B11653" s="4" t="s">
        <v>14658</v>
      </c>
      <c r="C11653" s="5" t="str">
        <f>IFERROR(__xludf.DUMMYFUNCTION("GOOGLETRANSLATE(B11653,""en"",""es-ES"")"),"La persona se ríe y la mujer se acerca a ella.")</f>
        <v>La persona se ríe y la mujer se acerca a ella.</v>
      </c>
    </row>
    <row r="11654">
      <c r="A11654" s="4" t="s">
        <v>14659</v>
      </c>
      <c r="B11654" s="4" t="s">
        <v>14660</v>
      </c>
      <c r="C11654" s="5" t="str">
        <f>IFERROR(__xludf.DUMMYFUNCTION("GOOGLETRANSLATE(B11654,""en"",""es-ES"")"),"Se muestra una introducción para un video sobre cómo limpiar los picos de carrera.")</f>
        <v>Se muestra una introducción para un video sobre cómo limpiar los picos de carrera.</v>
      </c>
    </row>
    <row r="11655">
      <c r="A11655" s="4" t="s">
        <v>14659</v>
      </c>
      <c r="B11655" s="4" t="s">
        <v>14661</v>
      </c>
      <c r="C11655" s="5" t="str">
        <f>IFERROR(__xludf.DUMMYFUNCTION("GOOGLETRANSLATE(B11655,""en"",""es-ES"")"),"Un chico explica que limpiará los picos mientras muestra la suciedad en las picos.")</f>
        <v>Un chico explica que limpiará los picos mientras muestra la suciedad en las picos.</v>
      </c>
    </row>
    <row r="11656">
      <c r="A11656" s="4" t="s">
        <v>14659</v>
      </c>
      <c r="B11656" s="4" t="s">
        <v>14662</v>
      </c>
      <c r="C11656" s="5" t="str">
        <f>IFERROR(__xludf.DUMMYFUNCTION("GOOGLETRANSLATE(B11656,""en"",""es-ES"")"),"Comienza cepilando el barro de las espigas en un fregadero.")</f>
        <v>Comienza cepilando el barro de las espigas en un fregadero.</v>
      </c>
    </row>
    <row r="11657">
      <c r="A11657" s="4" t="s">
        <v>14659</v>
      </c>
      <c r="B11657" s="4" t="s">
        <v>14663</v>
      </c>
      <c r="C11657" s="5" t="str">
        <f>IFERROR(__xludf.DUMMYFUNCTION("GOOGLETRANSLATE(B11657,""en"",""es-ES"")"),"Pone una pequeña cantidad de agua en el fregadero y continúa fregando.")</f>
        <v>Pone una pequeña cantidad de agua en el fregadero y continúa fregando.</v>
      </c>
    </row>
    <row r="11658">
      <c r="A11658" s="4" t="s">
        <v>14659</v>
      </c>
      <c r="B11658" s="4" t="s">
        <v>14664</v>
      </c>
      <c r="C11658" s="5" t="str">
        <f>IFERROR(__xludf.DUMMYFUNCTION("GOOGLETRANSLATE(B11658,""en"",""es-ES"")"),"Los saca del fregadero y pone algún periódico dentro de los espectáculos para ayudarlos a secarse.")</f>
        <v>Los saca del fregadero y pone algún periódico dentro de los espectáculos para ayudarlos a secarse.</v>
      </c>
    </row>
    <row r="11659">
      <c r="A11659" s="4" t="s">
        <v>14665</v>
      </c>
      <c r="B11659" s="4" t="s">
        <v>14666</v>
      </c>
      <c r="C11659" s="5" t="str">
        <f>IFERROR(__xludf.DUMMYFUNCTION("GOOGLETRANSLATE(B11659,""en"",""es-ES"")"),"Un individuo usa una manguera aspiradora para jugar con un perro.")</f>
        <v>Un individuo usa una manguera aspiradora para jugar con un perro.</v>
      </c>
    </row>
    <row r="11660">
      <c r="A11660" s="4" t="s">
        <v>14665</v>
      </c>
      <c r="B11660" s="4" t="s">
        <v>14667</v>
      </c>
      <c r="C11660" s="5" t="str">
        <f>IFERROR(__xludf.DUMMYFUNCTION("GOOGLETRANSLATE(B11660,""en"",""es-ES"")"),"La cámara cambia a una vista más lateral del perro.")</f>
        <v>La cámara cambia a una vista más lateral del perro.</v>
      </c>
    </row>
    <row r="11661">
      <c r="A11661" s="4" t="s">
        <v>14665</v>
      </c>
      <c r="B11661" s="4" t="s">
        <v>14668</v>
      </c>
      <c r="C11661" s="5" t="str">
        <f>IFERROR(__xludf.DUMMYFUNCTION("GOOGLETRANSLATE(B11661,""en"",""es-ES"")"),"La cámara cambia a una vista más arriba del perro.")</f>
        <v>La cámara cambia a una vista más arriba del perro.</v>
      </c>
    </row>
    <row r="11662">
      <c r="A11662" s="4" t="s">
        <v>14669</v>
      </c>
      <c r="B11662" s="4" t="s">
        <v>14670</v>
      </c>
      <c r="C11662" s="5" t="str">
        <f>IFERROR(__xludf.DUMMYFUNCTION("GOOGLETRANSLATE(B11662,""en"",""es-ES"")"),"Un hombre sumerge una esponja en un balde.")</f>
        <v>Un hombre sumerge una esponja en un balde.</v>
      </c>
    </row>
    <row r="11663">
      <c r="A11663" s="4" t="s">
        <v>14669</v>
      </c>
      <c r="B11663" s="4" t="s">
        <v>14671</v>
      </c>
      <c r="C11663" s="5" t="str">
        <f>IFERROR(__xludf.DUMMYFUNCTION("GOOGLETRANSLATE(B11663,""en"",""es-ES"")"),"Utiliza la esponja para limpiar el barro negro sobre un niño.")</f>
        <v>Utiliza la esponja para limpiar el barro negro sobre un niño.</v>
      </c>
    </row>
    <row r="11664">
      <c r="A11664" s="4" t="s">
        <v>14669</v>
      </c>
      <c r="B11664" s="4" t="s">
        <v>14672</v>
      </c>
      <c r="C11664" s="5" t="str">
        <f>IFERROR(__xludf.DUMMYFUNCTION("GOOGLETRANSLATE(B11664,""en"",""es-ES"")"),"Otras personas cubren personas en pintura.")</f>
        <v>Otras personas cubren personas en pintura.</v>
      </c>
    </row>
    <row r="11665">
      <c r="A11665" s="4" t="s">
        <v>14669</v>
      </c>
      <c r="B11665" s="4" t="s">
        <v>14673</v>
      </c>
      <c r="C11665" s="5" t="str">
        <f>IFERROR(__xludf.DUMMYFUNCTION("GOOGLETRANSLATE(B11665,""en"",""es-ES"")"),"Se están preparando para la ejecución de los toros en España.")</f>
        <v>Se están preparando para la ejecución de los toros en España.</v>
      </c>
    </row>
    <row r="11666">
      <c r="A11666" s="4" t="s">
        <v>14674</v>
      </c>
      <c r="B11666" s="4" t="s">
        <v>14675</v>
      </c>
      <c r="C11666" s="5" t="str">
        <f>IFERROR(__xludf.DUMMYFUNCTION("GOOGLETRANSLATE(B11666,""en"",""es-ES"")"),"Vemos una pantalla de título en blanco.")</f>
        <v>Vemos una pantalla de título en blanco.</v>
      </c>
    </row>
    <row r="11667">
      <c r="A11667" s="4" t="s">
        <v>14674</v>
      </c>
      <c r="B11667" s="4" t="s">
        <v>14676</v>
      </c>
      <c r="C11667" s="5" t="str">
        <f>IFERROR(__xludf.DUMMYFUNCTION("GOOGLETRANSLATE(B11667,""en"",""es-ES"")"),"Una señora tiene un pastel al revés que pone en la bandeja.")</f>
        <v>Una señora tiene un pastel al revés que pone en la bandeja.</v>
      </c>
    </row>
    <row r="11668">
      <c r="A11668" s="4" t="s">
        <v>14674</v>
      </c>
      <c r="B11668" s="4" t="s">
        <v>14677</v>
      </c>
      <c r="C11668" s="5" t="str">
        <f>IFERROR(__xludf.DUMMYFUNCTION("GOOGLETRANSLATE(B11668,""en"",""es-ES"")"),"La dama corta partes del pastel y la vuelve a voltear.")</f>
        <v>La dama corta partes del pastel y la vuelve a voltear.</v>
      </c>
    </row>
    <row r="11669">
      <c r="A11669" s="4" t="s">
        <v>14674</v>
      </c>
      <c r="B11669" s="4" t="s">
        <v>14678</v>
      </c>
      <c r="C11669" s="5" t="str">
        <f>IFERROR(__xludf.DUMMYFUNCTION("GOOGLETRANSLATE(B11669,""en"",""es-ES"")"),"La señora corta los bordes del pastel.")</f>
        <v>La señora corta los bordes del pastel.</v>
      </c>
    </row>
    <row r="11670">
      <c r="A11670" s="4" t="s">
        <v>14674</v>
      </c>
      <c r="B11670" s="4" t="s">
        <v>14679</v>
      </c>
      <c r="C11670" s="5" t="str">
        <f>IFERROR(__xludf.DUMMYFUNCTION("GOOGLETRANSLATE(B11670,""en"",""es-ES"")"),"La señora se mueve todo y lo trae de vuelta.")</f>
        <v>La señora se mueve todo y lo trae de vuelta.</v>
      </c>
    </row>
    <row r="11671">
      <c r="A11671" s="4" t="s">
        <v>14674</v>
      </c>
      <c r="B11671" s="4" t="s">
        <v>1380</v>
      </c>
      <c r="C11671" s="5" t="str">
        <f>IFERROR(__xludf.DUMMYFUNCTION("GOOGLETRANSLATE(B11671,""en"",""es-ES"")"),"Luego vemos los créditos finales.")</f>
        <v>Luego vemos los créditos finales.</v>
      </c>
    </row>
    <row r="11672">
      <c r="A11672" s="4" t="s">
        <v>14680</v>
      </c>
      <c r="B11672" s="4" t="s">
        <v>14681</v>
      </c>
      <c r="C11672" s="5" t="str">
        <f>IFERROR(__xludf.DUMMYFUNCTION("GOOGLETRANSLATE(B11672,""en"",""es-ES"")"),"Se ve a un hombre caminando junto a un seto en un área pública con un perro a su lado.")</f>
        <v>Se ve a un hombre caminando junto a un seto en un área pública con un perro a su lado.</v>
      </c>
    </row>
    <row r="11673">
      <c r="A11673" s="4" t="s">
        <v>14680</v>
      </c>
      <c r="B11673" s="4" t="s">
        <v>14682</v>
      </c>
      <c r="C11673" s="5" t="str">
        <f>IFERROR(__xludf.DUMMYFUNCTION("GOOGLETRANSLATE(B11673,""en"",""es-ES"")"),"Se ve al perro caminando sobre sus dos piernas y salta al final.")</f>
        <v>Se ve al perro caminando sobre sus dos piernas y salta al final.</v>
      </c>
    </row>
    <row r="11674">
      <c r="A11674" s="4" t="s">
        <v>14683</v>
      </c>
      <c r="B11674" s="4" t="s">
        <v>14684</v>
      </c>
      <c r="C11674" s="5" t="str">
        <f>IFERROR(__xludf.DUMMYFUNCTION("GOOGLETRANSLATE(B11674,""en"",""es-ES"")"),"Alguien está dibujando cinta y la corta.")</f>
        <v>Alguien está dibujando cinta y la corta.</v>
      </c>
    </row>
    <row r="11675">
      <c r="A11675" s="4" t="s">
        <v>14683</v>
      </c>
      <c r="B11675" s="4" t="s">
        <v>14685</v>
      </c>
      <c r="C11675" s="5" t="str">
        <f>IFERROR(__xludf.DUMMYFUNCTION("GOOGLETRANSLATE(B11675,""en"",""es-ES"")"),"Sumentan un pincel de pintura en pintura y lo pintan en una esponja.")</f>
        <v>Sumentan un pincel de pintura en pintura y lo pintan en una esponja.</v>
      </c>
    </row>
    <row r="11676">
      <c r="A11676" s="4" t="s">
        <v>14683</v>
      </c>
      <c r="B11676" s="4" t="s">
        <v>14686</v>
      </c>
      <c r="C11676" s="5" t="str">
        <f>IFERROR(__xludf.DUMMYFUNCTION("GOOGLETRANSLATE(B11676,""en"",""es-ES"")"),"Lo pusieron en la uña y se pusieron una capa superior.")</f>
        <v>Lo pusieron en la uña y se pusieron una capa superior.</v>
      </c>
    </row>
    <row r="11677">
      <c r="A11677" s="4" t="s">
        <v>14683</v>
      </c>
      <c r="B11677" s="4" t="s">
        <v>14687</v>
      </c>
      <c r="C11677" s="5" t="str">
        <f>IFERROR(__xludf.DUMMYFUNCTION("GOOGLETRANSLATE(B11677,""en"",""es-ES"")"),"Pusieron brillo sobre el corazón en la uña.")</f>
        <v>Pusieron brillo sobre el corazón en la uña.</v>
      </c>
    </row>
    <row r="11678">
      <c r="A11678" s="4" t="s">
        <v>14688</v>
      </c>
      <c r="B11678" s="4" t="s">
        <v>14689</v>
      </c>
      <c r="C11678" s="5" t="str">
        <f>IFERROR(__xludf.DUMMYFUNCTION("GOOGLETRANSLATE(B11678,""en"",""es-ES"")"),"Una niña tiene varias personas que sostienen el ojo mientras otro trata de poner una lente de contacto.")</f>
        <v>Una niña tiene varias personas que sostienen el ojo mientras otro trata de poner una lente de contacto.</v>
      </c>
    </row>
    <row r="11679">
      <c r="A11679" s="4" t="s">
        <v>14688</v>
      </c>
      <c r="B11679" s="4" t="s">
        <v>14690</v>
      </c>
      <c r="C11679" s="5" t="str">
        <f>IFERROR(__xludf.DUMMYFUNCTION("GOOGLETRANSLATE(B11679,""en"",""es-ES"")"),"Al principio no pueden meter la lente en el ojo y probar una y otra vez.")</f>
        <v>Al principio no pueden meter la lente en el ojo y probar una y otra vez.</v>
      </c>
    </row>
    <row r="11680">
      <c r="A11680" s="4" t="s">
        <v>14688</v>
      </c>
      <c r="B11680" s="4" t="s">
        <v>14691</v>
      </c>
      <c r="C11680" s="5" t="str">
        <f>IFERROR(__xludf.DUMMYFUNCTION("GOOGLETRANSLATE(B11680,""en"",""es-ES"")"),"Eventualmente logran meter la lente, pero la niña se pone de pie cuando se ríe.")</f>
        <v>Eventualmente logran meter la lente, pero la niña se pone de pie cuando se ríe.</v>
      </c>
    </row>
    <row r="11681">
      <c r="A11681" s="4" t="s">
        <v>14692</v>
      </c>
      <c r="B11681" s="4" t="s">
        <v>14693</v>
      </c>
      <c r="C11681" s="5" t="str">
        <f>IFERROR(__xludf.DUMMYFUNCTION("GOOGLETRANSLATE(B11681,""en"",""es-ES"")"),"La gente monta a caballo en una arena interior.")</f>
        <v>La gente monta a caballo en una arena interior.</v>
      </c>
    </row>
    <row r="11682">
      <c r="A11682" s="4" t="s">
        <v>14692</v>
      </c>
      <c r="B11682" s="4" t="s">
        <v>14694</v>
      </c>
      <c r="C11682" s="5" t="str">
        <f>IFERROR(__xludf.DUMMYFUNCTION("GOOGLETRANSLATE(B11682,""en"",""es-ES"")"),"La gente está sentada afuera de la arena mirándolos.")</f>
        <v>La gente está sentada afuera de la arena mirándolos.</v>
      </c>
    </row>
    <row r="11683">
      <c r="A11683" s="4" t="s">
        <v>14692</v>
      </c>
      <c r="B11683" s="4" t="s">
        <v>14695</v>
      </c>
      <c r="C11683" s="5" t="str">
        <f>IFERROR(__xludf.DUMMYFUNCTION("GOOGLETRANSLATE(B11683,""en"",""es-ES"")"),"Detienen los caballos y la niña se da vuelta.")</f>
        <v>Detienen los caballos y la niña se da vuelta.</v>
      </c>
    </row>
    <row r="11684">
      <c r="A11684" s="4" t="s">
        <v>14696</v>
      </c>
      <c r="B11684" s="4" t="s">
        <v>14697</v>
      </c>
      <c r="C11684" s="5" t="str">
        <f>IFERROR(__xludf.DUMMYFUNCTION("GOOGLETRANSLATE(B11684,""en"",""es-ES"")"),"Un hombre y una mujer están sentados en Hooters el restaurante, la mujer es empleada y el tipo es un cliente habitual.")</f>
        <v>Un hombre y una mujer están sentados en Hooters el restaurante, la mujer es empleada y el tipo es un cliente habitual.</v>
      </c>
    </row>
    <row r="11685">
      <c r="A11685" s="4" t="s">
        <v>14696</v>
      </c>
      <c r="B11685" s="4" t="s">
        <v>14698</v>
      </c>
      <c r="C11685" s="5" t="str">
        <f>IFERROR(__xludf.DUMMYFUNCTION("GOOGLETRANSLATE(B11685,""en"",""es-ES"")"),"Él toma una cerveza y luego besa a las chicas.")</f>
        <v>Él toma una cerveza y luego besa a las chicas.</v>
      </c>
    </row>
    <row r="11686">
      <c r="A11686" s="4" t="s">
        <v>14696</v>
      </c>
      <c r="B11686" s="4" t="s">
        <v>14699</v>
      </c>
      <c r="C11686" s="5" t="str">
        <f>IFERROR(__xludf.DUMMYFUNCTION("GOOGLETRANSLATE(B11686,""en"",""es-ES"")"),"Intenta tres veces más y tiene éxito, pero la tercera chica fue por accidente y ella golpea al chico y se enoja mucho.")</f>
        <v>Intenta tres veces más y tiene éxito, pero la tercera chica fue por accidente y ella golpea al chico y se enoja mucho.</v>
      </c>
    </row>
    <row r="11687">
      <c r="A11687" s="4" t="s">
        <v>14696</v>
      </c>
      <c r="B11687" s="4" t="s">
        <v>14700</v>
      </c>
      <c r="C11687" s="5" t="str">
        <f>IFERROR(__xludf.DUMMYFUNCTION("GOOGLETRANSLATE(B11687,""en"",""es-ES"")"),"El hombre lo hace de nuevo y más chicas en el restaurante comienzan a besarlo.")</f>
        <v>El hombre lo hace de nuevo y más chicas en el restaurante comienzan a besarlo.</v>
      </c>
    </row>
    <row r="11688">
      <c r="A11688" s="4" t="s">
        <v>14701</v>
      </c>
      <c r="B11688" s="4" t="s">
        <v>14702</v>
      </c>
      <c r="C11688" s="5" t="str">
        <f>IFERROR(__xludf.DUMMYFUNCTION("GOOGLETRANSLATE(B11688,""en"",""es-ES"")"),"Hay un hombre en la piscina jugando waterpolo.")</f>
        <v>Hay un hombre en la piscina jugando waterpolo.</v>
      </c>
    </row>
    <row r="11689">
      <c r="A11689" s="4" t="s">
        <v>14701</v>
      </c>
      <c r="B11689" s="4" t="s">
        <v>14703</v>
      </c>
      <c r="C11689" s="5" t="str">
        <f>IFERROR(__xludf.DUMMYFUNCTION("GOOGLETRANSLATE(B11689,""en"",""es-ES"")"),"Está en la piscina jugando al agua con una bola amarilla y otras dos personas.")</f>
        <v>Está en la piscina jugando al agua con una bola amarilla y otras dos personas.</v>
      </c>
    </row>
    <row r="11690">
      <c r="A11690" s="4" t="s">
        <v>14701</v>
      </c>
      <c r="B11690" s="4" t="s">
        <v>14704</v>
      </c>
      <c r="C11690" s="5" t="str">
        <f>IFERROR(__xludf.DUMMYFUNCTION("GOOGLETRANSLATE(B11690,""en"",""es-ES"")"),"Lanza la pelota y la gente sentada junto a la piscina y lo mira jugar a la alegría en voz alta.")</f>
        <v>Lanza la pelota y la gente sentada junto a la piscina y lo mira jugar a la alegría en voz alta.</v>
      </c>
    </row>
    <row r="11691">
      <c r="A11691" s="4" t="s">
        <v>14705</v>
      </c>
      <c r="B11691" s="4" t="s">
        <v>14706</v>
      </c>
      <c r="C11691" s="5" t="str">
        <f>IFERROR(__xludf.DUMMYFUNCTION("GOOGLETRANSLATE(B11691,""en"",""es-ES"")"),"Se ven dos hombres con guantes de boxeo y golpeando y pateando unos a otros.")</f>
        <v>Se ven dos hombres con guantes de boxeo y golpeando y pateando unos a otros.</v>
      </c>
    </row>
    <row r="11692">
      <c r="A11692" s="4" t="s">
        <v>14705</v>
      </c>
      <c r="B11692" s="4" t="s">
        <v>14707</v>
      </c>
      <c r="C11692" s="5" t="str">
        <f>IFERROR(__xludf.DUMMYFUNCTION("GOOGLETRANSLATE(B11692,""en"",""es-ES"")"),"Los hombres continúan regresando y cuarto entre sí y aparece un texto al final del video.")</f>
        <v>Los hombres continúan regresando y cuarto entre sí y aparece un texto al final del video.</v>
      </c>
    </row>
    <row r="11693">
      <c r="A11693" s="4" t="s">
        <v>14708</v>
      </c>
      <c r="B11693" s="4" t="s">
        <v>14709</v>
      </c>
      <c r="C11693" s="5" t="str">
        <f>IFERROR(__xludf.DUMMYFUNCTION("GOOGLETRANSLATE(B11693,""en"",""es-ES"")"),"Un niño se encuentra con el tiro y patea una pelota de fútbol.")</f>
        <v>Un niño se encuentra con el tiro y patea una pelota de fútbol.</v>
      </c>
    </row>
    <row r="11694">
      <c r="A11694" s="4" t="s">
        <v>14708</v>
      </c>
      <c r="B11694" s="4" t="s">
        <v>14710</v>
      </c>
      <c r="C11694" s="5" t="str">
        <f>IFERROR(__xludf.DUMMYFUNCTION("GOOGLETRANSLATE(B11694,""en"",""es-ES"")"),"La pelota loba hacia una multitud en un parque.")</f>
        <v>La pelota loba hacia una multitud en un parque.</v>
      </c>
    </row>
    <row r="11695">
      <c r="A11695" s="4" t="s">
        <v>14708</v>
      </c>
      <c r="B11695" s="4" t="s">
        <v>14711</v>
      </c>
      <c r="C11695" s="5" t="str">
        <f>IFERROR(__xludf.DUMMYFUNCTION("GOOGLETRANSLATE(B11695,""en"",""es-ES"")"),"Pocos otros chicos intentan atrapar la pelota en movimiento.")</f>
        <v>Pocos otros chicos intentan atrapar la pelota en movimiento.</v>
      </c>
    </row>
    <row r="11696">
      <c r="A11696" s="4" t="s">
        <v>14708</v>
      </c>
      <c r="B11696" s="4" t="s">
        <v>14712</v>
      </c>
      <c r="C11696" s="5" t="str">
        <f>IFERROR(__xludf.DUMMYFUNCTION("GOOGLETRANSLATE(B11696,""en"",""es-ES"")"),"Un niño finalmente patea la pelota hacia la cámara.")</f>
        <v>Un niño finalmente patea la pelota hacia la cámara.</v>
      </c>
    </row>
    <row r="11697">
      <c r="A11697" s="4" t="s">
        <v>14708</v>
      </c>
      <c r="B11697" s="4" t="s">
        <v>14713</v>
      </c>
      <c r="C11697" s="5" t="str">
        <f>IFERROR(__xludf.DUMMYFUNCTION("GOOGLETRANSLATE(B11697,""en"",""es-ES"")"),"Una niña llega desde el costado y le devuelve la pelota hacia la multitud de niños y los niños continúan este ciclo de patadas.")</f>
        <v>Una niña llega desde el costado y le devuelve la pelota hacia la multitud de niños y los niños continúan este ciclo de patadas.</v>
      </c>
    </row>
    <row r="11698">
      <c r="A11698" s="4" t="s">
        <v>14714</v>
      </c>
      <c r="B11698" s="4" t="s">
        <v>14715</v>
      </c>
      <c r="C11698" s="5" t="str">
        <f>IFERROR(__xludf.DUMMYFUNCTION("GOOGLETRANSLATE(B11698,""en"",""es-ES"")"),"Un hombre y una mujer se muestran sentados en una mesa con un cigarrillo en la boca y sus brazos cruzados el uno al otro.")</f>
        <v>Un hombre y una mujer se muestran sentados en una mesa con un cigarrillo en la boca y sus brazos cruzados el uno al otro.</v>
      </c>
    </row>
    <row r="11699">
      <c r="A11699" s="4" t="s">
        <v>14714</v>
      </c>
      <c r="B11699" s="4" t="s">
        <v>14716</v>
      </c>
      <c r="C11699" s="5" t="str">
        <f>IFERROR(__xludf.DUMMYFUNCTION("GOOGLETRANSLATE(B11699,""en"",""es-ES"")"),"Comienzan las luchas contra el brazo y la niña con el cigarrillo golpea al hombre.")</f>
        <v>Comienzan las luchas contra el brazo y la niña con el cigarrillo golpea al hombre.</v>
      </c>
    </row>
    <row r="11700">
      <c r="A11700" s="4" t="s">
        <v>14717</v>
      </c>
      <c r="B11700" s="4" t="s">
        <v>14718</v>
      </c>
      <c r="C11700" s="5" t="str">
        <f>IFERROR(__xludf.DUMMYFUNCTION("GOOGLETRANSLATE(B11700,""en"",""es-ES"")"),"Se ve a una persona moviendo por un juego de escaleras y deteniendo varios elementos de medición.")</f>
        <v>Se ve a una persona moviendo por un juego de escaleras y deteniendo varios elementos de medición.</v>
      </c>
    </row>
    <row r="11701">
      <c r="A11701" s="4" t="s">
        <v>14717</v>
      </c>
      <c r="B11701" s="4" t="s">
        <v>14719</v>
      </c>
      <c r="C11701" s="5" t="str">
        <f>IFERROR(__xludf.DUMMYFUNCTION("GOOGLETRANSLATE(B11701,""en"",""es-ES"")"),"El hombre se arrodilla y comienza a poner alfombras en el piso y en las escaleras.")</f>
        <v>El hombre se arrodilla y comienza a poner alfombras en el piso y en las escaleras.</v>
      </c>
    </row>
    <row r="11702">
      <c r="A11702" s="4" t="s">
        <v>14717</v>
      </c>
      <c r="B11702" s="4" t="s">
        <v>14720</v>
      </c>
      <c r="C11702" s="5" t="str">
        <f>IFERROR(__xludf.DUMMYFUNCTION("GOOGLETRANSLATE(B11702,""en"",""es-ES"")"),"El hombre termina de poner la alfombra hacia abajo y la cámara se acerca a su trabajo.")</f>
        <v>El hombre termina de poner la alfombra hacia abajo y la cámara se acerca a su trabajo.</v>
      </c>
    </row>
    <row r="11703">
      <c r="A11703" s="4" t="s">
        <v>14721</v>
      </c>
      <c r="B11703" s="4" t="s">
        <v>14722</v>
      </c>
      <c r="C11703" s="5" t="str">
        <f>IFERROR(__xludf.DUMMYFUNCTION("GOOGLETRANSLATE(B11703,""en"",""es-ES"")"),"Un hombre sentado mira un portapapeles.")</f>
        <v>Un hombre sentado mira un portapapeles.</v>
      </c>
    </row>
    <row r="11704">
      <c r="A11704" s="4" t="s">
        <v>14721</v>
      </c>
      <c r="B11704" s="4" t="s">
        <v>14723</v>
      </c>
      <c r="C11704" s="5" t="str">
        <f>IFERROR(__xludf.DUMMYFUNCTION("GOOGLETRANSLATE(B11704,""en"",""es-ES"")"),"El hombre comienza a fumar desde una tubería grande.")</f>
        <v>El hombre comienza a fumar desde una tubería grande.</v>
      </c>
    </row>
    <row r="11705">
      <c r="A11705" s="4" t="s">
        <v>14721</v>
      </c>
      <c r="B11705" s="4" t="s">
        <v>14724</v>
      </c>
      <c r="C11705" s="5" t="str">
        <f>IFERROR(__xludf.DUMMYFUNCTION("GOOGLETRANSLATE(B11705,""en"",""es-ES"")"),"La cámara se desplaza para mostrar los diversos elementos sobre la mesa delante de él.")</f>
        <v>La cámara se desplaza para mostrar los diversos elementos sobre la mesa delante de él.</v>
      </c>
    </row>
    <row r="11706">
      <c r="A11706" s="4" t="s">
        <v>14721</v>
      </c>
      <c r="B11706" s="4" t="s">
        <v>14725</v>
      </c>
      <c r="C11706" s="5" t="str">
        <f>IFERROR(__xludf.DUMMYFUNCTION("GOOGLETRANSLATE(B11706,""en"",""es-ES"")"),"La cámara se dirige al hombre.")</f>
        <v>La cámara se dirige al hombre.</v>
      </c>
    </row>
    <row r="11707">
      <c r="A11707" s="4" t="s">
        <v>14726</v>
      </c>
      <c r="B11707" s="4" t="s">
        <v>14727</v>
      </c>
      <c r="C11707" s="5" t="str">
        <f>IFERROR(__xludf.DUMMYFUNCTION("GOOGLETRANSLATE(B11707,""en"",""es-ES"")"),"La gente navega en un bote en un río, y un hombre saca una cadena de una persona que se prepara para realizar esquí acuático.")</f>
        <v>La gente navega en un bote en un río, y un hombre saca una cadena de una persona que se prepara para realizar esquí acuático.</v>
      </c>
    </row>
    <row r="11708">
      <c r="A11708" s="4" t="s">
        <v>14726</v>
      </c>
      <c r="B11708" s="4" t="s">
        <v>14728</v>
      </c>
      <c r="C11708" s="5" t="str">
        <f>IFERROR(__xludf.DUMMYFUNCTION("GOOGLETRANSLATE(B11708,""en"",""es-ES"")"),"Luego, la persona es esquiar detrás del bote mientras la gente mira.")</f>
        <v>Luego, la persona es esquiar detrás del bote mientras la gente mira.</v>
      </c>
    </row>
    <row r="11709">
      <c r="A11709" s="4" t="s">
        <v>14726</v>
      </c>
      <c r="B11709" s="4" t="s">
        <v>14729</v>
      </c>
      <c r="C11709" s="5" t="str">
        <f>IFERROR(__xludf.DUMMYFUNCTION("GOOGLETRANSLATE(B11709,""en"",""es-ES"")"),"La persona cae en el agua, pero se para nuevamente y continúa haciendo esquí acuático.")</f>
        <v>La persona cae en el agua, pero se para nuevamente y continúa haciendo esquí acuático.</v>
      </c>
    </row>
    <row r="11710">
      <c r="A11710" s="4" t="s">
        <v>14726</v>
      </c>
      <c r="B11710" s="4" t="s">
        <v>14730</v>
      </c>
      <c r="C11710" s="5" t="str">
        <f>IFERROR(__xludf.DUMMYFUNCTION("GOOGLETRANSLATE(B11710,""en"",""es-ES"")"),"Un bote aparece en el río detrás de la persona, mientras que la persona es esquí de agua.")</f>
        <v>Un bote aparece en el río detrás de la persona, mientras que la persona es esquí de agua.</v>
      </c>
    </row>
    <row r="11711">
      <c r="A11711" s="4" t="s">
        <v>14726</v>
      </c>
      <c r="B11711" s="4" t="s">
        <v>14731</v>
      </c>
      <c r="C11711" s="5" t="str">
        <f>IFERROR(__xludf.DUMMYFUNCTION("GOOGLETRANSLATE(B11711,""en"",""es-ES"")"),"La persona vuelve a caer en el agua, las personas en el bote se ríen y un hombre hace pulgares.")</f>
        <v>La persona vuelve a caer en el agua, las personas en el bote se ríen y un hombre hace pulgares.</v>
      </c>
    </row>
    <row r="11712">
      <c r="A11712" s="4" t="s">
        <v>14732</v>
      </c>
      <c r="B11712" s="4" t="s">
        <v>14733</v>
      </c>
      <c r="C11712" s="5" t="str">
        <f>IFERROR(__xludf.DUMMYFUNCTION("GOOGLETRANSLATE(B11712,""en"",""es-ES"")"),"Una chica con una cuerda de salto está en pantalones cortos atléticos y una camiseta, sosteniendo una cuerda de salto.")</f>
        <v>Una chica con una cuerda de salto está en pantalones cortos atléticos y una camiseta, sosteniendo una cuerda de salto.</v>
      </c>
    </row>
    <row r="11713">
      <c r="A11713" s="4" t="s">
        <v>14732</v>
      </c>
      <c r="B11713" s="4" t="s">
        <v>14734</v>
      </c>
      <c r="C11713" s="5" t="str">
        <f>IFERROR(__xludf.DUMMYFUNCTION("GOOGLETRANSLATE(B11713,""en"",""es-ES"")"),"Ella comienza a preformar acrobacias complicadas, como soportes de mano, volteos y las divisiones mientras salta la cuerda.")</f>
        <v>Ella comienza a preformar acrobacias complicadas, como soportes de mano, volteos y las divisiones mientras salta la cuerda.</v>
      </c>
    </row>
    <row r="11714">
      <c r="A11714" s="4" t="s">
        <v>14732</v>
      </c>
      <c r="B11714" s="4" t="s">
        <v>14735</v>
      </c>
      <c r="C11714" s="5" t="str">
        <f>IFERROR(__xludf.DUMMYFUNCTION("GOOGLETRANSLATE(B11714,""en"",""es-ES"")"),"Ella tiene un breve accidente mientras deja caer la cuerda de salto y luego la recoge para reanudar su actuación.")</f>
        <v>Ella tiene un breve accidente mientras deja caer la cuerda de salto y luego la recoge para reanudar su actuación.</v>
      </c>
    </row>
    <row r="11715">
      <c r="A11715" s="4" t="s">
        <v>14732</v>
      </c>
      <c r="B11715" s="4" t="s">
        <v>14736</v>
      </c>
      <c r="C11715" s="5" t="str">
        <f>IFERROR(__xludf.DUMMYFUNCTION("GOOGLETRANSLATE(B11715,""en"",""es-ES"")"),"Muchas personas están sentadas al margen, algunas miran como una audiencia, algunas son jueces, algunas están filmando el evento.")</f>
        <v>Muchas personas están sentadas al margen, algunas miran como una audiencia, algunas son jueces, algunas están filmando el evento.</v>
      </c>
    </row>
    <row r="11716">
      <c r="A11716" s="4" t="s">
        <v>14737</v>
      </c>
      <c r="B11716" s="4" t="s">
        <v>14738</v>
      </c>
      <c r="C11716" s="5" t="str">
        <f>IFERROR(__xludf.DUMMYFUNCTION("GOOGLETRANSLATE(B11716,""en"",""es-ES"")"),"Una cámara se mueve alrededor de un gran patio para mostrar a dos personas moviendo una barra de madera.")</f>
        <v>Una cámara se mueve alrededor de un gran patio para mostrar a dos personas moviendo una barra de madera.</v>
      </c>
    </row>
    <row r="11717">
      <c r="A11717" s="4" t="s">
        <v>14737</v>
      </c>
      <c r="B11717" s="4" t="s">
        <v>14739</v>
      </c>
      <c r="C11717" s="5" t="str">
        <f>IFERROR(__xludf.DUMMYFUNCTION("GOOGLETRANSLATE(B11717,""en"",""es-ES"")"),"Un hombre luego pisa la barra y comienza a usar una herramienta para cortar setos.")</f>
        <v>Un hombre luego pisa la barra y comienza a usar una herramienta para cortar setos.</v>
      </c>
    </row>
    <row r="11718">
      <c r="A11718" s="4" t="s">
        <v>14737</v>
      </c>
      <c r="B11718" s="4" t="s">
        <v>14740</v>
      </c>
      <c r="C11718" s="5" t="str">
        <f>IFERROR(__xludf.DUMMYFUNCTION("GOOGLETRANSLATE(B11718,""en"",""es-ES"")"),"El hombre mira hacia atrás a la cámara y los hombres mueven la barra.")</f>
        <v>El hombre mira hacia atrás a la cámara y los hombres mueven la barra.</v>
      </c>
    </row>
    <row r="11719">
      <c r="A11719" s="4" t="s">
        <v>14741</v>
      </c>
      <c r="B11719" s="4" t="s">
        <v>14742</v>
      </c>
      <c r="C11719" s="5" t="str">
        <f>IFERROR(__xludf.DUMMYFUNCTION("GOOGLETRANSLATE(B11719,""en"",""es-ES"")"),"Vemos a un chico en un gimnasio sosteniendo una cuerda de salto.")</f>
        <v>Vemos a un chico en un gimnasio sosteniendo una cuerda de salto.</v>
      </c>
    </row>
    <row r="11720">
      <c r="A11720" s="4" t="s">
        <v>14741</v>
      </c>
      <c r="B11720" s="4" t="s">
        <v>14743</v>
      </c>
      <c r="C11720" s="5" t="str">
        <f>IFERROR(__xludf.DUMMYFUNCTION("GOOGLETRANSLATE(B11720,""en"",""es-ES"")"),"El tipo hace una rutina de cuerda de salto.")</f>
        <v>El tipo hace una rutina de cuerda de salto.</v>
      </c>
    </row>
    <row r="11721">
      <c r="A11721" s="4" t="s">
        <v>14741</v>
      </c>
      <c r="B11721" s="4" t="s">
        <v>14744</v>
      </c>
      <c r="C11721" s="5" t="str">
        <f>IFERROR(__xludf.DUMMYFUNCTION("GOOGLETRANSLATE(B11721,""en"",""es-ES"")"),"El chico hace un volteo con la cuerda.")</f>
        <v>El chico hace un volteo con la cuerda.</v>
      </c>
    </row>
    <row r="11722">
      <c r="A11722" s="4" t="s">
        <v>14741</v>
      </c>
      <c r="B11722" s="4" t="s">
        <v>14745</v>
      </c>
      <c r="C11722" s="5" t="str">
        <f>IFERROR(__xludf.DUMMYFUNCTION("GOOGLETRANSLATE(B11722,""en"",""es-ES"")"),"El chico hace dos flexiones.")</f>
        <v>El chico hace dos flexiones.</v>
      </c>
    </row>
    <row r="11723">
      <c r="A11723" s="4" t="s">
        <v>14741</v>
      </c>
      <c r="B11723" s="4" t="s">
        <v>14746</v>
      </c>
      <c r="C11723" s="5" t="str">
        <f>IFERROR(__xludf.DUMMYFUNCTION("GOOGLETRANSLATE(B11723,""en"",""es-ES"")"),"La pierna de los chicos queda atrapada en la cuerda.")</f>
        <v>La pierna de los chicos queda atrapada en la cuerda.</v>
      </c>
    </row>
    <row r="11724">
      <c r="A11724" s="4" t="s">
        <v>14741</v>
      </c>
      <c r="B11724" s="4" t="s">
        <v>14747</v>
      </c>
      <c r="C11724" s="5" t="str">
        <f>IFERROR(__xludf.DUMMYFUNCTION("GOOGLETRANSLATE(B11724,""en"",""es-ES"")"),"El chico salta alto y la cuerda se enreda nuevamente.")</f>
        <v>El chico salta alto y la cuerda se enreda nuevamente.</v>
      </c>
    </row>
    <row r="11725">
      <c r="A11725" s="4" t="s">
        <v>14741</v>
      </c>
      <c r="B11725" s="4" t="s">
        <v>14748</v>
      </c>
      <c r="C11725" s="5" t="str">
        <f>IFERROR(__xludf.DUMMYFUNCTION("GOOGLETRANSLATE(B11725,""en"",""es-ES"")"),"El chico termina y se acuesta en el suelo.")</f>
        <v>El chico termina y se acuesta en el suelo.</v>
      </c>
    </row>
    <row r="11726">
      <c r="A11726" s="4" t="s">
        <v>14741</v>
      </c>
      <c r="B11726" s="4" t="s">
        <v>14749</v>
      </c>
      <c r="C11726" s="5" t="str">
        <f>IFERROR(__xludf.DUMMYFUNCTION("GOOGLETRANSLATE(B11726,""en"",""es-ES"")"),"El chico se levanta y se aleja.")</f>
        <v>El chico se levanta y se aleja.</v>
      </c>
    </row>
    <row r="11727">
      <c r="A11727" s="4" t="s">
        <v>14750</v>
      </c>
      <c r="B11727" s="4" t="s">
        <v>14751</v>
      </c>
      <c r="C11727" s="5" t="str">
        <f>IFERROR(__xludf.DUMMYFUNCTION("GOOGLETRANSLATE(B11727,""en"",""es-ES"")"),"Una mujer está posando en un tablero de buceo.")</f>
        <v>Una mujer está posando en un tablero de buceo.</v>
      </c>
    </row>
    <row r="11728">
      <c r="A11728" s="4" t="s">
        <v>14750</v>
      </c>
      <c r="B11728" s="4" t="s">
        <v>14752</v>
      </c>
      <c r="C11728" s="5" t="str">
        <f>IFERROR(__xludf.DUMMYFUNCTION("GOOGLETRANSLATE(B11728,""en"",""es-ES"")"),"Ella brota hacia atrás en el agua frente a un grupo de observación.")</f>
        <v>Ella brota hacia atrás en el agua frente a un grupo de observación.</v>
      </c>
    </row>
    <row r="11729">
      <c r="A11729" s="4" t="s">
        <v>14753</v>
      </c>
      <c r="B11729" s="4" t="s">
        <v>14754</v>
      </c>
      <c r="C11729" s="5" t="str">
        <f>IFERROR(__xludf.DUMMYFUNCTION("GOOGLETRANSLATE(B11729,""en"",""es-ES"")"),"Vemos un par de baile en una pista de baile en un club.")</f>
        <v>Vemos un par de baile en una pista de baile en un club.</v>
      </c>
    </row>
    <row r="11730">
      <c r="A11730" s="4" t="s">
        <v>14753</v>
      </c>
      <c r="B11730" s="4" t="s">
        <v>14755</v>
      </c>
      <c r="C11730" s="5" t="str">
        <f>IFERROR(__xludf.DUMMYFUNCTION("GOOGLETRANSLATE(B11730,""en"",""es-ES"")"),"Vemos que un hombre mira a la cámara y abre su boca mientras un grupo de personas pasa.")</f>
        <v>Vemos que un hombre mira a la cámara y abre su boca mientras un grupo de personas pasa.</v>
      </c>
    </row>
    <row r="11731">
      <c r="A11731" s="4" t="s">
        <v>14753</v>
      </c>
      <c r="B11731" s="4" t="s">
        <v>14756</v>
      </c>
      <c r="C11731" s="5" t="str">
        <f>IFERROR(__xludf.DUMMYFUNCTION("GOOGLETRANSLATE(B11731,""en"",""es-ES"")"),"Un hombre con una camisa negra pasa junto a la cámara y se mantiene por un momento.")</f>
        <v>Un hombre con una camisa negra pasa junto a la cámara y se mantiene por un momento.</v>
      </c>
    </row>
    <row r="11732">
      <c r="A11732" s="4" t="s">
        <v>14753</v>
      </c>
      <c r="B11732" s="4" t="s">
        <v>14757</v>
      </c>
      <c r="C11732" s="5" t="str">
        <f>IFERROR(__xludf.DUMMYFUNCTION("GOOGLETRANSLATE(B11732,""en"",""es-ES"")"),"La Lady Shimmy y se inclina hacia el suelo y retrocede.")</f>
        <v>La Lady Shimmy y se inclina hacia el suelo y retrocede.</v>
      </c>
    </row>
    <row r="11733">
      <c r="A11733" s="4" t="s">
        <v>14753</v>
      </c>
      <c r="B11733" s="4" t="s">
        <v>14758</v>
      </c>
      <c r="C11733" s="5" t="str">
        <f>IFERROR(__xludf.DUMMYFUNCTION("GOOGLETRANSLATE(B11733,""en"",""es-ES"")"),"El hombre sumerge a la mujer y la sonrisa a la cámara.")</f>
        <v>El hombre sumerge a la mujer y la sonrisa a la cámara.</v>
      </c>
    </row>
    <row r="11734">
      <c r="A11734" s="4" t="s">
        <v>14759</v>
      </c>
      <c r="B11734" s="4" t="s">
        <v>14760</v>
      </c>
      <c r="C11734" s="5" t="str">
        <f>IFERROR(__xludf.DUMMYFUNCTION("GOOGLETRANSLATE(B11734,""en"",""es-ES"")"),"Se ve a un pequeño grupo de personas corriendo por una arena al aire libre y jugando paintball entre sí.")</f>
        <v>Se ve a un pequeño grupo de personas corriendo por una arena al aire libre y jugando paintball entre sí.</v>
      </c>
    </row>
    <row r="11735">
      <c r="A11735" s="4" t="s">
        <v>14759</v>
      </c>
      <c r="B11735" s="4" t="s">
        <v>14761</v>
      </c>
      <c r="C11735" s="5" t="str">
        <f>IFERROR(__xludf.DUMMYFUNCTION("GOOGLETRANSLATE(B11735,""en"",""es-ES"")"),"Un hombre corre hacia adelante y una gran nube de humo gira y un hombre agita los brazos en el aire, mientras que otro ayuda.")</f>
        <v>Un hombre corre hacia adelante y una gran nube de humo gira y un hombre agita los brazos en el aire, mientras que otro ayuda.</v>
      </c>
    </row>
    <row r="11736">
      <c r="A11736" s="4" t="s">
        <v>14762</v>
      </c>
      <c r="B11736" s="4" t="s">
        <v>14763</v>
      </c>
      <c r="C11736" s="5" t="str">
        <f>IFERROR(__xludf.DUMMYFUNCTION("GOOGLETRANSLATE(B11736,""en"",""es-ES"")"),"La gente está sentada en sillas tocando la batería.")</f>
        <v>La gente está sentada en sillas tocando la batería.</v>
      </c>
    </row>
    <row r="11737">
      <c r="A11737" s="4" t="s">
        <v>14762</v>
      </c>
      <c r="B11737" s="4" t="s">
        <v>14764</v>
      </c>
      <c r="C11737" s="5" t="str">
        <f>IFERROR(__xludf.DUMMYFUNCTION("GOOGLETRANSLATE(B11737,""en"",""es-ES"")"),"La gente pasa por la acera.")</f>
        <v>La gente pasa por la acera.</v>
      </c>
    </row>
    <row r="11738">
      <c r="A11738" s="4" t="s">
        <v>14762</v>
      </c>
      <c r="B11738" s="4" t="s">
        <v>14765</v>
      </c>
      <c r="C11738" s="5" t="str">
        <f>IFERROR(__xludf.DUMMYFUNCTION("GOOGLETRANSLATE(B11738,""en"",""es-ES"")"),"Una persona que empuja un cochecito camina detrás de ellos.")</f>
        <v>Una persona que empuja un cochecito camina detrás de ellos.</v>
      </c>
    </row>
    <row r="11739">
      <c r="A11739" s="4" t="s">
        <v>14766</v>
      </c>
      <c r="B11739" s="4" t="s">
        <v>14767</v>
      </c>
      <c r="C11739" s="5" t="str">
        <f>IFERROR(__xludf.DUMMYFUNCTION("GOOGLETRANSLATE(B11739,""en"",""es-ES"")"),"Un gato está parado sobre una mesa que se acaricia.")</f>
        <v>Un gato está parado sobre una mesa que se acaricia.</v>
      </c>
    </row>
    <row r="11740">
      <c r="A11740" s="4" t="s">
        <v>14766</v>
      </c>
      <c r="B11740" s="4" t="s">
        <v>14768</v>
      </c>
      <c r="C11740" s="5" t="str">
        <f>IFERROR(__xludf.DUMMYFUNCTION("GOOGLETRANSLATE(B11740,""en"",""es-ES"")"),"Una persona toma la pata de los gatos y comienza a cortar sus uñas.")</f>
        <v>Una persona toma la pata de los gatos y comienza a cortar sus uñas.</v>
      </c>
    </row>
    <row r="11741">
      <c r="A11741" s="4" t="s">
        <v>14766</v>
      </c>
      <c r="B11741" s="4" t="s">
        <v>14769</v>
      </c>
      <c r="C11741" s="5" t="str">
        <f>IFERROR(__xludf.DUMMYFUNCTION("GOOGLETRANSLATE(B11741,""en"",""es-ES"")"),"La persona recoge al gato para que se le cubra las patas traseras.")</f>
        <v>La persona recoge al gato para que se le cubra las patas traseras.</v>
      </c>
    </row>
    <row r="11742">
      <c r="A11742" s="4" t="s">
        <v>14766</v>
      </c>
      <c r="B11742" s="4" t="s">
        <v>14770</v>
      </c>
      <c r="C11742" s="5" t="str">
        <f>IFERROR(__xludf.DUMMYFUNCTION("GOOGLETRANSLATE(B11742,""en"",""es-ES"")"),"La persona recorre al gato después de cortar sus uñas.")</f>
        <v>La persona recorre al gato después de cortar sus uñas.</v>
      </c>
    </row>
    <row r="11743">
      <c r="A11743" s="4" t="s">
        <v>14771</v>
      </c>
      <c r="B11743" s="4" t="s">
        <v>14772</v>
      </c>
      <c r="C11743" s="5" t="str">
        <f>IFERROR(__xludf.DUMMYFUNCTION("GOOGLETRANSLATE(B11743,""en"",""es-ES"")"),"Se ve a una mujer mirando la cámara y luego llorando y abrazando a un grupo de personas.")</f>
        <v>Se ve a una mujer mirando la cámara y luego llorando y abrazando a un grupo de personas.</v>
      </c>
    </row>
    <row r="11744">
      <c r="A11744" s="4" t="s">
        <v>14771</v>
      </c>
      <c r="B11744" s="4" t="s">
        <v>14773</v>
      </c>
      <c r="C11744" s="5" t="str">
        <f>IFERROR(__xludf.DUMMYFUNCTION("GOOGLETRANSLATE(B11744,""en"",""es-ES"")"),"Se muestran tomas de personas que juegan un tablero Shuffle Board y la mujer que habla con la cámara.")</f>
        <v>Se muestran tomas de personas que juegan un tablero Shuffle Board y la mujer que habla con la cámara.</v>
      </c>
    </row>
    <row r="11745">
      <c r="A11745" s="4" t="s">
        <v>14771</v>
      </c>
      <c r="B11745" s="4" t="s">
        <v>14774</v>
      </c>
      <c r="C11745" s="5" t="str">
        <f>IFERROR(__xludf.DUMMYFUNCTION("GOOGLETRANSLATE(B11745,""en"",""es-ES"")"),"Se muestran más tomas de celebración y todos los compañeros de equipo se abrazan.")</f>
        <v>Se muestran más tomas de celebración y todos los compañeros de equipo se abrazan.</v>
      </c>
    </row>
    <row r="11746">
      <c r="A11746" s="4" t="s">
        <v>14775</v>
      </c>
      <c r="B11746" s="4" t="s">
        <v>14776</v>
      </c>
      <c r="C11746" s="5" t="str">
        <f>IFERROR(__xludf.DUMMYFUNCTION("GOOGLETRANSLATE(B11746,""en"",""es-ES"")"),"Un niño está parado en la hierba que balanceaba un bate en una piñata.")</f>
        <v>Un niño está parado en la hierba que balanceaba un bate en una piñata.</v>
      </c>
    </row>
    <row r="11747">
      <c r="A11747" s="4" t="s">
        <v>14775</v>
      </c>
      <c r="B11747" s="4" t="s">
        <v>14777</v>
      </c>
      <c r="C11747" s="5" t="str">
        <f>IFERROR(__xludf.DUMMYFUNCTION("GOOGLETRANSLATE(B11747,""en"",""es-ES"")"),"La gente está mirando al niño.")</f>
        <v>La gente está mirando al niño.</v>
      </c>
    </row>
    <row r="11748">
      <c r="A11748" s="4" t="s">
        <v>14775</v>
      </c>
      <c r="B11748" s="4" t="s">
        <v>14778</v>
      </c>
      <c r="C11748" s="5" t="str">
        <f>IFERROR(__xludf.DUMMYFUNCTION("GOOGLETRANSLATE(B11748,""en"",""es-ES"")"),"Una chica con traje de baño azul toma el bate y comienza a balancearse en la piñata.")</f>
        <v>Una chica con traje de baño azul toma el bate y comienza a balancearse en la piñata.</v>
      </c>
    </row>
    <row r="11749">
      <c r="A11749" s="4" t="s">
        <v>14779</v>
      </c>
      <c r="B11749" s="4" t="s">
        <v>14780</v>
      </c>
      <c r="C11749" s="5" t="str">
        <f>IFERROR(__xludf.DUMMYFUNCTION("GOOGLETRANSLATE(B11749,""en"",""es-ES"")"),"Vemos una GoPro y la tarjeta de título.")</f>
        <v>Vemos una GoPro y la tarjeta de título.</v>
      </c>
    </row>
    <row r="11750">
      <c r="A11750" s="4" t="s">
        <v>14779</v>
      </c>
      <c r="B11750" s="4" t="s">
        <v>14781</v>
      </c>
      <c r="C11750" s="5" t="str">
        <f>IFERROR(__xludf.DUMMYFUNCTION("GOOGLETRANSLATE(B11750,""en"",""es-ES"")"),"Vemos el agua y un bote lleno de personas que montan en el agua y nos ponen trajes húmedos y entran al agua.")</f>
        <v>Vemos el agua y un bote lleno de personas que montan en el agua y nos ponen trajes húmedos y entran al agua.</v>
      </c>
    </row>
    <row r="11751">
      <c r="A11751" s="4" t="s">
        <v>14779</v>
      </c>
      <c r="B11751" s="4" t="s">
        <v>14782</v>
      </c>
      <c r="C11751" s="5" t="str">
        <f>IFERROR(__xludf.DUMMYFUNCTION("GOOGLETRANSLATE(B11751,""en"",""es-ES"")"),"Vemos a la gente bajo el agua nadando.")</f>
        <v>Vemos a la gente bajo el agua nadando.</v>
      </c>
    </row>
    <row r="11752">
      <c r="A11752" s="4" t="s">
        <v>14779</v>
      </c>
      <c r="B11752" s="4" t="s">
        <v>14783</v>
      </c>
      <c r="C11752" s="5" t="str">
        <f>IFERROR(__xludf.DUMMYFUNCTION("GOOGLETRANSLATE(B11752,""en"",""es-ES"")"),"Una persona está nadando en una grieta.")</f>
        <v>Una persona está nadando en una grieta.</v>
      </c>
    </row>
    <row r="11753">
      <c r="A11753" s="4" t="s">
        <v>14779</v>
      </c>
      <c r="B11753" s="4" t="s">
        <v>14784</v>
      </c>
      <c r="C11753" s="5" t="str">
        <f>IFERROR(__xludf.DUMMYFUNCTION("GOOGLETRANSLATE(B11753,""en"",""es-ES"")"),"Vemos un animal en una roca.")</f>
        <v>Vemos un animal en una roca.</v>
      </c>
    </row>
    <row r="11754">
      <c r="A11754" s="4" t="s">
        <v>14779</v>
      </c>
      <c r="B11754" s="4" t="s">
        <v>14785</v>
      </c>
      <c r="C11754" s="5" t="str">
        <f>IFERROR(__xludf.DUMMYFUNCTION("GOOGLETRANSLATE(B11754,""en"",""es-ES"")"),"Vemos parte de un barco.")</f>
        <v>Vemos parte de un barco.</v>
      </c>
    </row>
    <row r="11755">
      <c r="A11755" s="4" t="s">
        <v>14779</v>
      </c>
      <c r="B11755" s="4" t="s">
        <v>14786</v>
      </c>
      <c r="C11755" s="5" t="str">
        <f>IFERROR(__xludf.DUMMYFUNCTION("GOOGLETRANSLATE(B11755,""en"",""es-ES"")"),"Se nos muestra varias vida marina.")</f>
        <v>Se nos muestra varias vida marina.</v>
      </c>
    </row>
    <row r="11756">
      <c r="A11756" s="4" t="s">
        <v>14779</v>
      </c>
      <c r="B11756" s="4" t="s">
        <v>14787</v>
      </c>
      <c r="C11756" s="5" t="str">
        <f>IFERROR(__xludf.DUMMYFUNCTION("GOOGLETRANSLATE(B11756,""en"",""es-ES"")"),"Vemos a la gente cerca del barco.")</f>
        <v>Vemos a la gente cerca del barco.</v>
      </c>
    </row>
    <row r="11757">
      <c r="A11757" s="4" t="s">
        <v>14779</v>
      </c>
      <c r="B11757" s="4" t="s">
        <v>14788</v>
      </c>
      <c r="C11757" s="5" t="str">
        <f>IFERROR(__xludf.DUMMYFUNCTION("GOOGLETRANSLATE(B11757,""en"",""es-ES"")"),"La gente sostiene una gran brea de mar.")</f>
        <v>La gente sostiene una gran brea de mar.</v>
      </c>
    </row>
    <row r="11758">
      <c r="A11758" s="4" t="s">
        <v>14779</v>
      </c>
      <c r="B11758" s="4" t="s">
        <v>14789</v>
      </c>
      <c r="C11758" s="5" t="str">
        <f>IFERROR(__xludf.DUMMYFUNCTION("GOOGLETRANSLATE(B11758,""en"",""es-ES"")"),"Vemos una gran tortuga submarina en el suelo.")</f>
        <v>Vemos una gran tortuga submarina en el suelo.</v>
      </c>
    </row>
    <row r="11759">
      <c r="A11759" s="4" t="s">
        <v>14779</v>
      </c>
      <c r="B11759" s="4" t="s">
        <v>14790</v>
      </c>
      <c r="C11759" s="5" t="str">
        <f>IFERROR(__xludf.DUMMYFUNCTION("GOOGLETRANSLATE(B11759,""en"",""es-ES"")"),"Burbuja flota hacia la superficie y el video termina.")</f>
        <v>Burbuja flota hacia la superficie y el video termina.</v>
      </c>
    </row>
    <row r="11760">
      <c r="A11760" s="4" t="s">
        <v>14791</v>
      </c>
      <c r="B11760" s="4" t="s">
        <v>14792</v>
      </c>
      <c r="C11760" s="5" t="str">
        <f>IFERROR(__xludf.DUMMYFUNCTION("GOOGLETRANSLATE(B11760,""en"",""es-ES"")"),"Aparece una pantalla de introducción negra con palabras blancas y señala la ubicación, la gente y el pastel que van a hacer.")</f>
        <v>Aparece una pantalla de introducción negra con palabras blancas y señala la ubicación, la gente y el pastel que van a hacer.</v>
      </c>
    </row>
    <row r="11761">
      <c r="A11761" s="4" t="s">
        <v>14791</v>
      </c>
      <c r="B11761" s="4" t="s">
        <v>14793</v>
      </c>
      <c r="C11761" s="5" t="str">
        <f>IFERROR(__xludf.DUMMYFUNCTION("GOOGLETRANSLATE(B11761,""en"",""es-ES"")"),"Un hombre y una mujer que usan delantales rojos aparecen en una cocina con una batidora de ayuda de cocina blanca frente a ellos y una pancarta en la pantalla que muestra todos los ingredientes.")</f>
        <v>Un hombre y una mujer que usan delantales rojos aparecen en una cocina con una batidora de ayuda de cocina blanca frente a ellos y una pancarta en la pantalla que muestra todos los ingredientes.</v>
      </c>
    </row>
    <row r="11762">
      <c r="A11762" s="4" t="s">
        <v>14791</v>
      </c>
      <c r="B11762" s="4" t="s">
        <v>14794</v>
      </c>
      <c r="C11762" s="5" t="str">
        <f>IFERROR(__xludf.DUMMYFUNCTION("GOOGLETRANSLATE(B11762,""en"",""es-ES"")"),"La vista luego cambia a una foto desde arriba para mostrar lo que está haciendo el hombre, y el banner en la pantalla todavía muestra los ingredientes que se están utilizando.")</f>
        <v>La vista luego cambia a una foto desde arriba para mostrar lo que está haciendo el hombre, y el banner en la pantalla todavía muestra los ingredientes que se están utilizando.</v>
      </c>
    </row>
    <row r="11763">
      <c r="A11763" s="4" t="s">
        <v>14791</v>
      </c>
      <c r="B11763" s="4" t="s">
        <v>14795</v>
      </c>
      <c r="C11763" s="5" t="str">
        <f>IFERROR(__xludf.DUMMYFUNCTION("GOOGLETRANSLATE(B11763,""en"",""es-ES"")"),"La vista cambia de frente a un ángulo superior, ya que el hombre está mezclando los ingredientes.")</f>
        <v>La vista cambia de frente a un ángulo superior, ya que el hombre está mezclando los ingredientes.</v>
      </c>
    </row>
    <row r="11764">
      <c r="A11764" s="4" t="s">
        <v>14791</v>
      </c>
      <c r="B11764" s="4" t="s">
        <v>14796</v>
      </c>
      <c r="C11764" s="5" t="str">
        <f>IFERROR(__xludf.DUMMYFUNCTION("GOOGLETRANSLATE(B11764,""en"",""es-ES"")"),"La vista luego cambia de nuevo a una vista frontal y el hombre mueve la ayuda de la cocina hacia un lado y agarra del mostrador detrás de ellos, un pastel horneado y un plato con una rebanada de pastel.")</f>
        <v>La vista luego cambia de nuevo a una vista frontal y el hombre mueve la ayuda de la cocina hacia un lado y agarra del mostrador detrás de ellos, un pastel horneado y un plato con una rebanada de pastel.</v>
      </c>
    </row>
    <row r="11765">
      <c r="A11765" s="4" t="s">
        <v>14791</v>
      </c>
      <c r="B11765" s="4" t="s">
        <v>14797</v>
      </c>
      <c r="C11765" s="5" t="str">
        <f>IFERROR(__xludf.DUMMYFUNCTION("GOOGLETRANSLATE(B11765,""en"",""es-ES"")"),"El outro incluye una foto del hombre y la mujer de pie juntos, sus nombres, el nombre del pastel que hicieron, su dirección y la estación de noticias que la emitió.")</f>
        <v>El outro incluye una foto del hombre y la mujer de pie juntos, sus nombres, el nombre del pastel que hicieron, su dirección y la estación de noticias que la emitió.</v>
      </c>
    </row>
    <row r="11766">
      <c r="A11766" s="4" t="s">
        <v>14791</v>
      </c>
      <c r="B11766" s="4" t="s">
        <v>14798</v>
      </c>
      <c r="C11766" s="5" t="str">
        <f>IFERROR(__xludf.DUMMYFUNCTION("GOOGLETRANSLATE(B11766,""en"",""es-ES"")"),"Los créditos comienzan a desplazarse de abajo hacia arriba en una pantalla negra con letras blancas.")</f>
        <v>Los créditos comienzan a desplazarse de abajo hacia arriba en una pantalla negra con letras blancas.</v>
      </c>
    </row>
    <row r="11767">
      <c r="A11767" s="4" t="s">
        <v>14799</v>
      </c>
      <c r="B11767" s="4" t="s">
        <v>14800</v>
      </c>
      <c r="C11767" s="5" t="str">
        <f>IFERROR(__xludf.DUMMYFUNCTION("GOOGLETRANSLATE(B11767,""en"",""es-ES"")"),"Un grupo de hombres está jugando fútbol.")</f>
        <v>Un grupo de hombres está jugando fútbol.</v>
      </c>
    </row>
    <row r="11768">
      <c r="A11768" s="4" t="s">
        <v>14799</v>
      </c>
      <c r="B11768" s="4" t="s">
        <v>14801</v>
      </c>
      <c r="C11768" s="5" t="str">
        <f>IFERROR(__xludf.DUMMYFUNCTION("GOOGLETRANSLATE(B11768,""en"",""es-ES"")"),"Un jugador patea la pelota en la meta antes de ir por el gol opuesto.")</f>
        <v>Un jugador patea la pelota en la meta antes de ir por el gol opuesto.</v>
      </c>
    </row>
    <row r="11769">
      <c r="A11769" s="4" t="s">
        <v>14799</v>
      </c>
      <c r="B11769" s="4" t="s">
        <v>14802</v>
      </c>
      <c r="C11769" s="5" t="str">
        <f>IFERROR(__xludf.DUMMYFUNCTION("GOOGLETRANSLATE(B11769,""en"",""es-ES"")"),"Continúan luchando por el balón por un período prolongado.")</f>
        <v>Continúan luchando por el balón por un período prolongado.</v>
      </c>
    </row>
    <row r="11770">
      <c r="A11770" s="4" t="s">
        <v>14803</v>
      </c>
      <c r="B11770" s="4" t="s">
        <v>14804</v>
      </c>
      <c r="C11770" s="5" t="str">
        <f>IFERROR(__xludf.DUMMYFUNCTION("GOOGLETRANSLATE(B11770,""en"",""es-ES"")"),"Una dama con camisa de rayas blancas está de pie junto a un niño, está parado en el mostrador, cortan el costado del pan, se colocan sobre él, enrollan el pan en plástico, cortan el costado del pan, ponen carne. En el pan, trituró el queso, enrolle el pan"&amp;" en el plástico.")</f>
        <v>Una dama con camisa de rayas blancas está de pie junto a un niño, está parado en el mostrador, cortan el costado del pan, se colocan sobre él, enrollan el pan en plástico, cortan el costado del pan, ponen carne. En el pan, trituró el queso, enrolle el pan en el plástico.</v>
      </c>
    </row>
    <row r="11771">
      <c r="A11771" s="4" t="s">
        <v>14803</v>
      </c>
      <c r="B11771" s="4" t="s">
        <v>14805</v>
      </c>
      <c r="C11771" s="5" t="str">
        <f>IFERROR(__xludf.DUMMYFUNCTION("GOOGLETRANSLATE(B11771,""en"",""es-ES"")"),"La mujer cortó el plástico con pan y luego lo colocó en un plato rectángulo.")</f>
        <v>La mujer cortó el plástico con pan y luego lo colocó en un plato rectángulo.</v>
      </c>
    </row>
    <row r="11772">
      <c r="A11772" s="4" t="s">
        <v>14806</v>
      </c>
      <c r="B11772" s="4" t="s">
        <v>14807</v>
      </c>
      <c r="C11772" s="5" t="str">
        <f>IFERROR(__xludf.DUMMYFUNCTION("GOOGLETRANSLATE(B11772,""en"",""es-ES"")"),"Una mujer está sentada en una silla tocando un acordeón.")</f>
        <v>Una mujer está sentada en una silla tocando un acordeón.</v>
      </c>
    </row>
    <row r="11773">
      <c r="A11773" s="4" t="s">
        <v>14806</v>
      </c>
      <c r="B11773" s="4" t="s">
        <v>14808</v>
      </c>
      <c r="C11773" s="5" t="str">
        <f>IFERROR(__xludf.DUMMYFUNCTION("GOOGLETRANSLATE(B11773,""en"",""es-ES"")"),"Ella deja de jugar y baja el brazo.")</f>
        <v>Ella deja de jugar y baja el brazo.</v>
      </c>
    </row>
    <row r="11774">
      <c r="A11774" s="4" t="s">
        <v>14806</v>
      </c>
      <c r="B11774" s="4" t="s">
        <v>14809</v>
      </c>
      <c r="C11774" s="5" t="str">
        <f>IFERROR(__xludf.DUMMYFUNCTION("GOOGLETRANSLATE(B11774,""en"",""es-ES"")"),"Las palabras parpadean en la pantalla.")</f>
        <v>Las palabras parpadean en la pantalla.</v>
      </c>
    </row>
    <row r="11775">
      <c r="A11775" s="4" t="s">
        <v>14810</v>
      </c>
      <c r="B11775" s="4" t="s">
        <v>14811</v>
      </c>
      <c r="C11775" s="5" t="str">
        <f>IFERROR(__xludf.DUMMYFUNCTION("GOOGLETRANSLATE(B11775,""en"",""es-ES"")"),"Una persona afeita las patas traseras de un hombre que usa una rasuradora mientras está acostado boca abajo.")</f>
        <v>Una persona afeita las patas traseras de un hombre que usa una rasuradora mientras está acostado boca abajo.</v>
      </c>
    </row>
    <row r="11776">
      <c r="A11776" s="4" t="s">
        <v>14810</v>
      </c>
      <c r="B11776" s="4" t="s">
        <v>14812</v>
      </c>
      <c r="C11776" s="5" t="str">
        <f>IFERROR(__xludf.DUMMYFUNCTION("GOOGLETRANSLATE(B11776,""en"",""es-ES"")"),"Entonces el hombre se pone boca arriba y la persona comienza a afeitarse las piernas.")</f>
        <v>Entonces el hombre se pone boca arriba y la persona comienza a afeitarse las piernas.</v>
      </c>
    </row>
    <row r="11777">
      <c r="A11777" s="4" t="s">
        <v>14810</v>
      </c>
      <c r="B11777" s="4" t="s">
        <v>14813</v>
      </c>
      <c r="C11777" s="5" t="str">
        <f>IFERROR(__xludf.DUMMYFUNCTION("GOOGLETRANSLATE(B11777,""en"",""es-ES"")"),"Después, la persona usa una máquina en las piernas, y luego una imagen muestra las piernas antes y después del afeitado.")</f>
        <v>Después, la persona usa una máquina en las piernas, y luego una imagen muestra las piernas antes y después del afeitado.</v>
      </c>
    </row>
    <row r="11778">
      <c r="A11778" s="4" t="s">
        <v>14814</v>
      </c>
      <c r="B11778" s="4" t="s">
        <v>14815</v>
      </c>
      <c r="C11778" s="5" t="str">
        <f>IFERROR(__xludf.DUMMYFUNCTION("GOOGLETRANSLATE(B11778,""en"",""es-ES"")"),"Una mujer detrás de una cerca observa a un grupo de jugadores en un campo.")</f>
        <v>Una mujer detrás de una cerca observa a un grupo de jugadores en un campo.</v>
      </c>
    </row>
    <row r="11779">
      <c r="A11779" s="4" t="s">
        <v>14814</v>
      </c>
      <c r="B11779" s="4" t="s">
        <v>14816</v>
      </c>
      <c r="C11779" s="5" t="str">
        <f>IFERROR(__xludf.DUMMYFUNCTION("GOOGLETRANSLATE(B11779,""en"",""es-ES"")"),"Una anciana pase detrás de la mujer.")</f>
        <v>Una anciana pase detrás de la mujer.</v>
      </c>
    </row>
    <row r="11780">
      <c r="A11780" s="4" t="s">
        <v>14814</v>
      </c>
      <c r="B11780" s="4" t="s">
        <v>14817</v>
      </c>
      <c r="C11780" s="5" t="str">
        <f>IFERROR(__xludf.DUMMYFUNCTION("GOOGLETRANSLATE(B11780,""en"",""es-ES"")"),"La gente juega lanzando en un campo.")</f>
        <v>La gente juega lanzando en un campo.</v>
      </c>
    </row>
    <row r="11781">
      <c r="A11781" s="4" t="s">
        <v>14818</v>
      </c>
      <c r="B11781" s="4" t="s">
        <v>14819</v>
      </c>
      <c r="C11781" s="5" t="str">
        <f>IFERROR(__xludf.DUMMYFUNCTION("GOOGLETRANSLATE(B11781,""en"",""es-ES"")"),"Un hombre pone un neumático sobre una máquina y gira la rima.")</f>
        <v>Un hombre pone un neumático sobre una máquina y gira la rima.</v>
      </c>
    </row>
    <row r="11782">
      <c r="A11782" s="4" t="s">
        <v>14818</v>
      </c>
      <c r="B11782" s="4" t="s">
        <v>14820</v>
      </c>
      <c r="C11782" s="5" t="str">
        <f>IFERROR(__xludf.DUMMYFUNCTION("GOOGLETRANSLATE(B11782,""en"",""es-ES"")"),"Luego, el hombre usa una herramienta para perder el momento, luego la máquina elimina el neumático de goma.")</f>
        <v>Luego, el hombre usa una herramienta para perder el momento, luego la máquina elimina el neumático de goma.</v>
      </c>
    </row>
    <row r="11783">
      <c r="A11783" s="4" t="s">
        <v>14818</v>
      </c>
      <c r="B11783" s="4" t="s">
        <v>14821</v>
      </c>
      <c r="C11783" s="5" t="str">
        <f>IFERROR(__xludf.DUMMYFUNCTION("GOOGLETRANSLATE(B11783,""en"",""es-ES"")"),"Después, el hombre toma pegamento y cepilla el neumático, y luego, usando la máquina, coloca el neumático de goma en el borde.")</f>
        <v>Después, el hombre toma pegamento y cepilla el neumático, y luego, usando la máquina, coloca el neumático de goma en el borde.</v>
      </c>
    </row>
    <row r="11784">
      <c r="A11784" s="4" t="s">
        <v>14822</v>
      </c>
      <c r="B11784" s="4" t="s">
        <v>14823</v>
      </c>
      <c r="C11784" s="5" t="str">
        <f>IFERROR(__xludf.DUMMYFUNCTION("GOOGLETRANSLATE(B11784,""en"",""es-ES"")"),"Varias personas están al aire libre, una de las cuales es montar y realizar trucos en una patineta.")</f>
        <v>Varias personas están al aire libre, una de las cuales es montar y realizar trucos en una patineta.</v>
      </c>
    </row>
    <row r="11785">
      <c r="A11785" s="4" t="s">
        <v>14822</v>
      </c>
      <c r="B11785" s="4" t="s">
        <v>14824</v>
      </c>
      <c r="C11785" s="5" t="str">
        <f>IFERROR(__xludf.DUMMYFUNCTION("GOOGLETRANSLATE(B11785,""en"",""es-ES"")"),"El hombre entra en un grupo de personas antes que otro hombre, luego se muestra a otro cuesta abajo en la calle montando sus patinetas.")</f>
        <v>El hombre entra en un grupo de personas antes que otro hombre, luego se muestra a otro cuesta abajo en la calle montando sus patinetas.</v>
      </c>
    </row>
    <row r="11786">
      <c r="A11786" s="4" t="s">
        <v>14822</v>
      </c>
      <c r="B11786" s="4" t="s">
        <v>14825</v>
      </c>
      <c r="C11786" s="5" t="str">
        <f>IFERROR(__xludf.DUMMYFUNCTION("GOOGLETRANSLATE(B11786,""en"",""es-ES"")"),"Realizan varios trucos y volteos a medida que avanzan.")</f>
        <v>Realizan varios trucos y volteos a medida que avanzan.</v>
      </c>
    </row>
    <row r="11787">
      <c r="A11787" s="4" t="s">
        <v>14822</v>
      </c>
      <c r="B11787" s="4" t="s">
        <v>14826</v>
      </c>
      <c r="C11787" s="5" t="str">
        <f>IFERROR(__xludf.DUMMYFUNCTION("GOOGLETRANSLATE(B11787,""en"",""es-ES"")"),"La gente aplaude cuando se anuncia el ganador.")</f>
        <v>La gente aplaude cuando se anuncia el ganador.</v>
      </c>
    </row>
    <row r="11788">
      <c r="A11788" s="4" t="s">
        <v>14827</v>
      </c>
      <c r="B11788" s="4" t="s">
        <v>14828</v>
      </c>
      <c r="C11788" s="5" t="str">
        <f>IFERROR(__xludf.DUMMYFUNCTION("GOOGLETRANSLATE(B11788,""en"",""es-ES"")"),"Los hombres están levantando pesas pesadas sobre su cabeza varias veces.")</f>
        <v>Los hombres están levantando pesas pesadas sobre su cabeza varias veces.</v>
      </c>
    </row>
    <row r="11789">
      <c r="A11789" s="4" t="s">
        <v>14827</v>
      </c>
      <c r="B11789" s="4" t="s">
        <v>14829</v>
      </c>
      <c r="C11789" s="5" t="str">
        <f>IFERROR(__xludf.DUMMYFUNCTION("GOOGLETRANSLATE(B11789,""en"",""es-ES"")"),"Un hombre con una camisa azul está mirando a uno de los hombres.")</f>
        <v>Un hombre con una camisa azul está mirando a uno de los hombres.</v>
      </c>
    </row>
    <row r="11790">
      <c r="A11790" s="4" t="s">
        <v>14827</v>
      </c>
      <c r="B11790" s="4" t="s">
        <v>14830</v>
      </c>
      <c r="C11790" s="5" t="str">
        <f>IFERROR(__xludf.DUMMYFUNCTION("GOOGLETRANSLATE(B11790,""en"",""es-ES"")"),"Un hombre con una camisa gris está imitando a la persona que levanta el peso.")</f>
        <v>Un hombre con una camisa gris está imitando a la persona que levanta el peso.</v>
      </c>
    </row>
    <row r="11791">
      <c r="A11791" s="4" t="s">
        <v>14831</v>
      </c>
      <c r="B11791" s="4" t="s">
        <v>14832</v>
      </c>
      <c r="C11791" s="5" t="str">
        <f>IFERROR(__xludf.DUMMYFUNCTION("GOOGLETRANSLATE(B11791,""en"",""es-ES"")"),"Se ve a un gran grupo de niños practicando simulacros de baloncesto en una cancha y pasar la pelota rápidamente entre sí.")</f>
        <v>Se ve a un gran grupo de niños practicando simulacros de baloncesto en una cancha y pasar la pelota rápidamente entre sí.</v>
      </c>
    </row>
    <row r="11792">
      <c r="A11792" s="4" t="s">
        <v>14831</v>
      </c>
      <c r="B11792" s="4" t="s">
        <v>14833</v>
      </c>
      <c r="C11792" s="5" t="str">
        <f>IFERROR(__xludf.DUMMYFUNCTION("GOOGLETRANSLATE(B11792,""en"",""es-ES"")"),"Varios muchachos hacen cestas mientras se hablan y el entrenador se muda y habla con los niños.")</f>
        <v>Varios muchachos hacen cestas mientras se hablan y el entrenador se muda y habla con los niños.</v>
      </c>
    </row>
    <row r="11793">
      <c r="A11793" s="4" t="s">
        <v>14831</v>
      </c>
      <c r="B11793" s="4" t="s">
        <v>14834</v>
      </c>
      <c r="C11793" s="5" t="str">
        <f>IFERROR(__xludf.DUMMYFUNCTION("GOOGLETRANSLATE(B11793,""en"",""es-ES"")"),"Se aleja y se muestran más ejercicios con los niños.")</f>
        <v>Se aleja y se muestran más ejercicios con los niños.</v>
      </c>
    </row>
    <row r="11794">
      <c r="A11794" s="4" t="s">
        <v>14835</v>
      </c>
      <c r="B11794" s="4" t="s">
        <v>14836</v>
      </c>
      <c r="C11794" s="5" t="str">
        <f>IFERROR(__xludf.DUMMYFUNCTION("GOOGLETRANSLATE(B11794,""en"",""es-ES"")"),"Se muestran varios primeros planos de plantas con un hombre que camina hacia el marco y hablando con la cámara.")</f>
        <v>Se muestran varios primeros planos de plantas con un hombre que camina hacia el marco y hablando con la cámara.</v>
      </c>
    </row>
    <row r="11795">
      <c r="A11795" s="4" t="s">
        <v>14835</v>
      </c>
      <c r="B11795" s="4" t="s">
        <v>14837</v>
      </c>
      <c r="C11795" s="5" t="str">
        <f>IFERROR(__xludf.DUMMYFUNCTION("GOOGLETRANSLATE(B11795,""en"",""es-ES"")"),"El hombre continúa hablando mientras señala la cámara y comienza a colocar mantillo para poner en todas las plantas.")</f>
        <v>El hombre continúa hablando mientras señala la cámara y comienza a colocar mantillo para poner en todas las plantas.</v>
      </c>
    </row>
    <row r="11796">
      <c r="A11796" s="4" t="s">
        <v>14835</v>
      </c>
      <c r="B11796" s="4" t="s">
        <v>14838</v>
      </c>
      <c r="C11796" s="5" t="str">
        <f>IFERROR(__xludf.DUMMYFUNCTION("GOOGLETRANSLATE(B11796,""en"",""es-ES"")"),"El hombre continúa empujando la tierra y termina regando todas las plantas.")</f>
        <v>El hombre continúa empujando la tierra y termina regando todas las plantas.</v>
      </c>
    </row>
    <row r="11797">
      <c r="A11797" s="4" t="s">
        <v>14839</v>
      </c>
      <c r="B11797" s="4" t="s">
        <v>14840</v>
      </c>
      <c r="C11797" s="5" t="str">
        <f>IFERROR(__xludf.DUMMYFUNCTION("GOOGLETRANSLATE(B11797,""en"",""es-ES"")"),"La introducción es una pantalla blanca, el sitio web en la parte superior izquierda, las palabras ""Howcast Original"" aparecen y luego otro conjunto de palabras que describen la lección aparecen y dice ""Lecciones de violín para principiantes de vibrato"&amp;""".")</f>
        <v>La introducción es una pantalla blanca, el sitio web en la parte superior izquierda, las palabras "Howcast Original" aparecen y luego otro conjunto de palabras que describen la lección aparecen y dice "Lecciones de violín para principiantes de vibrato".</v>
      </c>
    </row>
    <row r="11798">
      <c r="A11798" s="4" t="s">
        <v>14839</v>
      </c>
      <c r="B11798" s="4" t="s">
        <v>14841</v>
      </c>
      <c r="C11798" s="5" t="str">
        <f>IFERROR(__xludf.DUMMYFUNCTION("GOOGLETRANSLATE(B11798,""en"",""es-ES"")"),"Una mujer llamada Julie Artzt Becker está sosteniendo su violín está sentada y hablando frente a una pantalla azul.")</f>
        <v>Una mujer llamada Julie Artzt Becker está sosteniendo su violín está sentada y hablando frente a una pantalla azul.</v>
      </c>
    </row>
    <row r="11799">
      <c r="A11799" s="4" t="s">
        <v>14839</v>
      </c>
      <c r="B11799" s="4" t="s">
        <v>14842</v>
      </c>
      <c r="C11799" s="5" t="str">
        <f>IFERROR(__xludf.DUMMYFUNCTION("GOOGLETRANSLATE(B11799,""en"",""es-ES"")"),"La mujer le pone el violín a la barbilla y continúa hablando.")</f>
        <v>La mujer le pone el violín a la barbilla y continúa hablando.</v>
      </c>
    </row>
    <row r="11800">
      <c r="A11800" s="4" t="s">
        <v>14839</v>
      </c>
      <c r="B11800" s="4" t="s">
        <v>14843</v>
      </c>
      <c r="C11800" s="5" t="str">
        <f>IFERROR(__xludf.DUMMYFUNCTION("GOOGLETRANSLATE(B11800,""en"",""es-ES"")"),"La mujer luego pone sus dedos en las cuerdas y con su otra mano toca y señala sus dedos en las cuerdas, además de llevar el arco a sus cuerdas de vez en cuando.")</f>
        <v>La mujer luego pone sus dedos en las cuerdas y con su otra mano toca y señala sus dedos en las cuerdas, además de llevar el arco a sus cuerdas de vez en cuando.</v>
      </c>
    </row>
    <row r="11801">
      <c r="A11801" s="4" t="s">
        <v>14839</v>
      </c>
      <c r="B11801" s="4" t="s">
        <v>14844</v>
      </c>
      <c r="C11801" s="5" t="str">
        <f>IFERROR(__xludf.DUMMYFUNCTION("GOOGLETRANSLATE(B11801,""en"",""es-ES"")"),"La mujer habla durante todo el video mientras demuestra sus movimientos o apuntando hacia los movimientos de sus dedos.")</f>
        <v>La mujer habla durante todo el video mientras demuestra sus movimientos o apuntando hacia los movimientos de sus dedos.</v>
      </c>
    </row>
    <row r="11802">
      <c r="A11802" s="4" t="s">
        <v>14839</v>
      </c>
      <c r="B11802" s="4" t="s">
        <v>14845</v>
      </c>
      <c r="C11802" s="5" t="str">
        <f>IFERROR(__xludf.DUMMYFUNCTION("GOOGLETRANSLATE(B11802,""en"",""es-ES"")"),"Finalmente, la mujer deja de hablar y termina con una sonrisa y las palabras ""Howcast Original"" aparecen en la pantalla blanca.")</f>
        <v>Finalmente, la mujer deja de hablar y termina con una sonrisa y las palabras "Howcast Original" aparecen en la pantalla blanca.</v>
      </c>
    </row>
    <row r="11803">
      <c r="A11803" s="4" t="s">
        <v>14846</v>
      </c>
      <c r="B11803" s="4" t="s">
        <v>14847</v>
      </c>
      <c r="C11803" s="5" t="str">
        <f>IFERROR(__xludf.DUMMYFUNCTION("GOOGLETRANSLATE(B11803,""en"",""es-ES"")"),"Dos hombres luchan en una forma de arte asiático afuera.")</f>
        <v>Dos hombres luchan en una forma de arte asiático afuera.</v>
      </c>
    </row>
    <row r="11804">
      <c r="A11804" s="4" t="s">
        <v>14846</v>
      </c>
      <c r="B11804" s="4" t="s">
        <v>14848</v>
      </c>
      <c r="C11804" s="5" t="str">
        <f>IFERROR(__xludf.DUMMYFUNCTION("GOOGLETRANSLATE(B11804,""en"",""es-ES"")"),"Están tomando columpios y golpes, así como patadas entre sí.")</f>
        <v>Están tomando columpios y golpes, así como patadas entre sí.</v>
      </c>
    </row>
    <row r="11805">
      <c r="A11805" s="4" t="s">
        <v>14849</v>
      </c>
      <c r="B11805" s="4" t="s">
        <v>14850</v>
      </c>
      <c r="C11805" s="5" t="str">
        <f>IFERROR(__xludf.DUMMYFUNCTION("GOOGLETRANSLATE(B11805,""en"",""es-ES"")"),"Un hombre está de pie dentro de una cocina frente a una pequeña mesa.")</f>
        <v>Un hombre está de pie dentro de una cocina frente a una pequeña mesa.</v>
      </c>
    </row>
    <row r="11806">
      <c r="A11806" s="4" t="s">
        <v>14849</v>
      </c>
      <c r="B11806" s="4" t="s">
        <v>14851</v>
      </c>
      <c r="C11806" s="5" t="str">
        <f>IFERROR(__xludf.DUMMYFUNCTION("GOOGLETRANSLATE(B11806,""en"",""es-ES"")"),"Él muestra y habla sobre el aceite de oliva y el jugo de limón.")</f>
        <v>Él muestra y habla sobre el aceite de oliva y el jugo de limón.</v>
      </c>
    </row>
    <row r="11807">
      <c r="A11807" s="4" t="s">
        <v>14849</v>
      </c>
      <c r="B11807" s="4" t="s">
        <v>14852</v>
      </c>
      <c r="C11807" s="5" t="str">
        <f>IFERROR(__xludf.DUMMYFUNCTION("GOOGLETRANSLATE(B11807,""en"",""es-ES"")"),"Utiliza los artículos para limpiar y pulir la mesa de rasguños.")</f>
        <v>Utiliza los artículos para limpiar y pulir la mesa de rasguños.</v>
      </c>
    </row>
    <row r="11808">
      <c r="A11808" s="4" t="s">
        <v>14853</v>
      </c>
      <c r="B11808" s="4" t="s">
        <v>14854</v>
      </c>
      <c r="C11808" s="5" t="str">
        <f>IFERROR(__xludf.DUMMYFUNCTION("GOOGLETRANSLATE(B11808,""en"",""es-ES"")"),"Una introducción conduce a una mujer con un cepillo para empujar el cabello de un perro grande.")</f>
        <v>Una introducción conduce a una mujer con un cepillo para empujar el cabello de un perro grande.</v>
      </c>
    </row>
    <row r="11809">
      <c r="A11809" s="4" t="s">
        <v>14853</v>
      </c>
      <c r="B11809" s="4" t="s">
        <v>14855</v>
      </c>
      <c r="C11809" s="5" t="str">
        <f>IFERROR(__xludf.DUMMYFUNCTION("GOOGLETRANSLATE(B11809,""en"",""es-ES"")"),"Ella continúa cepillando a varios otros perros y dándoles mascotas antes de sentarse y acariciarlos.")</f>
        <v>Ella continúa cepillando a varios otros perros y dándoles mascotas antes de sentarse y acariciarlos.</v>
      </c>
    </row>
    <row r="11810">
      <c r="A11810" s="4" t="s">
        <v>14856</v>
      </c>
      <c r="B11810" s="4" t="s">
        <v>14857</v>
      </c>
      <c r="C11810" s="5" t="str">
        <f>IFERROR(__xludf.DUMMYFUNCTION("GOOGLETRANSLATE(B11810,""en"",""es-ES"")"),"Un hombre con gafas habla con la cámara.")</f>
        <v>Un hombre con gafas habla con la cámara.</v>
      </c>
    </row>
    <row r="11811">
      <c r="A11811" s="4" t="s">
        <v>14856</v>
      </c>
      <c r="B11811" s="4" t="s">
        <v>14858</v>
      </c>
      <c r="C11811" s="5" t="str">
        <f>IFERROR(__xludf.DUMMYFUNCTION("GOOGLETRANSLATE(B11811,""en"",""es-ES"")"),"Demuestra una llave alrededor de su cuello y señala su trompeta.")</f>
        <v>Demuestra una llave alrededor de su cuello y señala su trompeta.</v>
      </c>
    </row>
    <row r="11812">
      <c r="A11812" s="4" t="s">
        <v>14856</v>
      </c>
      <c r="B11812" s="4" t="s">
        <v>14859</v>
      </c>
      <c r="C11812" s="5" t="str">
        <f>IFERROR(__xludf.DUMMYFUNCTION("GOOGLETRANSLATE(B11812,""en"",""es-ES"")"),"Adjunta la clave a la trompeta y continúa hablando y demostrando características importantes de la trompeta.")</f>
        <v>Adjunta la clave a la trompeta y continúa hablando y demostrando características importantes de la trompeta.</v>
      </c>
    </row>
    <row r="11813">
      <c r="A11813" s="4" t="s">
        <v>14860</v>
      </c>
      <c r="B11813" s="4" t="s">
        <v>14861</v>
      </c>
      <c r="C11813" s="5" t="str">
        <f>IFERROR(__xludf.DUMMYFUNCTION("GOOGLETRANSLATE(B11813,""en"",""es-ES"")"),"Se ve a dos personas arreglando un automóvil y cambiando los neumáticos de un vehículo.")</f>
        <v>Se ve a dos personas arreglando un automóvil y cambiando los neumáticos de un vehículo.</v>
      </c>
    </row>
    <row r="11814">
      <c r="A11814" s="4" t="s">
        <v>14860</v>
      </c>
      <c r="B11814" s="4" t="s">
        <v>14862</v>
      </c>
      <c r="C11814" s="5" t="str">
        <f>IFERROR(__xludf.DUMMYFUNCTION("GOOGLETRANSLATE(B11814,""en"",""es-ES"")"),"Otro hombre entra al marco y a varios otros registrando el incidente.")</f>
        <v>Otro hombre entra al marco y a varios otros registrando el incidente.</v>
      </c>
    </row>
    <row r="11815">
      <c r="A11815" s="4" t="s">
        <v>14860</v>
      </c>
      <c r="B11815" s="4" t="s">
        <v>14863</v>
      </c>
      <c r="C11815" s="5" t="str">
        <f>IFERROR(__xludf.DUMMYFUNCTION("GOOGLETRANSLATE(B11815,""en"",""es-ES"")"),"Una persona se sube al auto y se aleja con todos los que observan.")</f>
        <v>Una persona se sube al auto y se aleja con todos los que observan.</v>
      </c>
    </row>
    <row r="11816">
      <c r="A11816" s="4" t="s">
        <v>14864</v>
      </c>
      <c r="B11816" s="4" t="s">
        <v>14865</v>
      </c>
      <c r="C11816" s="5" t="str">
        <f>IFERROR(__xludf.DUMMYFUNCTION("GOOGLETRANSLATE(B11816,""en"",""es-ES"")"),"Una persona sostiene un soplador de hoja roja.")</f>
        <v>Una persona sostiene un soplador de hoja roja.</v>
      </c>
    </row>
    <row r="11817">
      <c r="A11817" s="4" t="s">
        <v>14864</v>
      </c>
      <c r="B11817" s="4" t="s">
        <v>14866</v>
      </c>
      <c r="C11817" s="5" t="str">
        <f>IFERROR(__xludf.DUMMYFUNCTION("GOOGLETRANSLATE(B11817,""en"",""es-ES"")"),"Comienzan a soplar las hojas en el patio.")</f>
        <v>Comienzan a soplar las hojas en el patio.</v>
      </c>
    </row>
    <row r="11818">
      <c r="A11818" s="4" t="s">
        <v>14864</v>
      </c>
      <c r="B11818" s="4" t="s">
        <v>14867</v>
      </c>
      <c r="C11818" s="5" t="str">
        <f>IFERROR(__xludf.DUMMYFUNCTION("GOOGLETRANSLATE(B11818,""en"",""es-ES"")"),"Muestran el soplador de la hoja nuevamente.")</f>
        <v>Muestran el soplador de la hoja nuevamente.</v>
      </c>
    </row>
    <row r="11819">
      <c r="A11819" s="4" t="s">
        <v>14868</v>
      </c>
      <c r="B11819" s="4" t="s">
        <v>14869</v>
      </c>
      <c r="C11819" s="5" t="str">
        <f>IFERROR(__xludf.DUMMYFUNCTION("GOOGLETRANSLATE(B11819,""en"",""es-ES"")"),"Se ve a un hombre mayor y una mujer joven girando alrededor de un palo mientras la niña tiene los ojos vendados y la gente sentada alrededor de su reloj.")</f>
        <v>Se ve a un hombre mayor y una mujer joven girando alrededor de un palo mientras la niña tiene los ojos vendados y la gente sentada alrededor de su reloj.</v>
      </c>
    </row>
    <row r="11820">
      <c r="A11820" s="4" t="s">
        <v>14868</v>
      </c>
      <c r="B11820" s="4" t="s">
        <v>14870</v>
      </c>
      <c r="C11820" s="5" t="str">
        <f>IFERROR(__xludf.DUMMYFUNCTION("GOOGLETRANSLATE(B11820,""en"",""es-ES"")"),"Luego, la niña balancea el palo alrededor del aire apuntando a la piñata y golpear el objeto varias veces.")</f>
        <v>Luego, la niña balancea el palo alrededor del aire apuntando a la piñata y golpear el objeto varias veces.</v>
      </c>
    </row>
    <row r="11821">
      <c r="A11821" s="4" t="s">
        <v>14868</v>
      </c>
      <c r="B11821" s="4" t="s">
        <v>14871</v>
      </c>
      <c r="C11821" s="5" t="str">
        <f>IFERROR(__xludf.DUMMYFUNCTION("GOOGLETRANSLATE(B11821,""en"",""es-ES"")"),"Ella continúa girando alrededor del aire hasta el final cuando finalmente lo golpea.")</f>
        <v>Ella continúa girando alrededor del aire hasta el final cuando finalmente lo golpea.</v>
      </c>
    </row>
    <row r="11822">
      <c r="A11822" s="4" t="s">
        <v>14872</v>
      </c>
      <c r="B11822" s="4" t="s">
        <v>14873</v>
      </c>
      <c r="C11822" s="5" t="str">
        <f>IFERROR(__xludf.DUMMYFUNCTION("GOOGLETRANSLATE(B11822,""en"",""es-ES"")"),"Algunas personas están esquiando por una montaña y siguiéndose.")</f>
        <v>Algunas personas están esquiando por una montaña y siguiéndose.</v>
      </c>
    </row>
    <row r="11823">
      <c r="A11823" s="4" t="s">
        <v>14872</v>
      </c>
      <c r="B11823" s="4" t="s">
        <v>14874</v>
      </c>
      <c r="C11823" s="5" t="str">
        <f>IFERROR(__xludf.DUMMYFUNCTION("GOOGLETRANSLATE(B11823,""en"",""es-ES"")"),"Terminan yendo más rápido y más rápido hasta que terminan.")</f>
        <v>Terminan yendo más rápido y más rápido hasta que terminan.</v>
      </c>
    </row>
    <row r="11824">
      <c r="A11824" s="4" t="s">
        <v>14875</v>
      </c>
      <c r="B11824" s="4" t="s">
        <v>14876</v>
      </c>
      <c r="C11824" s="5" t="str">
        <f>IFERROR(__xludf.DUMMYFUNCTION("GOOGLETRANSLATE(B11824,""en"",""es-ES"")"),"Muchos hombres están parados al aire libre en un campo de tierra y hay dos equipos de pie a lo largo de una cuerda, mientras que mucha gente los observa.")</f>
        <v>Muchos hombres están parados al aire libre en un campo de tierra y hay dos equipos de pie a lo largo de una cuerda, mientras que mucha gente los observa.</v>
      </c>
    </row>
    <row r="11825">
      <c r="A11825" s="4" t="s">
        <v>14875</v>
      </c>
      <c r="B11825" s="4" t="s">
        <v>14877</v>
      </c>
      <c r="C11825" s="5" t="str">
        <f>IFERROR(__xludf.DUMMYFUNCTION("GOOGLETRANSLATE(B11825,""en"",""es-ES"")"),"Los hombres con camisas amarillas y azules recogen la cuerda y están en posición de jugar a Tug O War.")</f>
        <v>Los hombres con camisas amarillas y azules recogen la cuerda y están en posición de jugar a Tug O War.</v>
      </c>
    </row>
    <row r="11826">
      <c r="A11826" s="4" t="s">
        <v>14875</v>
      </c>
      <c r="B11826" s="4" t="s">
        <v>14878</v>
      </c>
      <c r="C11826" s="5" t="str">
        <f>IFERROR(__xludf.DUMMYFUNCTION("GOOGLETRANSLATE(B11826,""en"",""es-ES"")"),"De repente, los hombres comienzan a tirar de la cuerda mientras otros hombres les están instruyendo y los espectadores están animando.")</f>
        <v>De repente, los hombres comienzan a tirar de la cuerda mientras otros hombres les están instruyendo y los espectadores están animando.</v>
      </c>
    </row>
    <row r="11827">
      <c r="A11827" s="4" t="s">
        <v>14875</v>
      </c>
      <c r="B11827" s="4" t="s">
        <v>14879</v>
      </c>
      <c r="C11827" s="5" t="str">
        <f>IFERROR(__xludf.DUMMYFUNCTION("GOOGLETRANSLATE(B11827,""en"",""es-ES"")"),"Los hombres de las camisas amarillas y azules tiran fácilmente de la cuerda y han ganado mientras las personas a su alrededor animan.")</f>
        <v>Los hombres de las camisas amarillas y azules tiran fácilmente de la cuerda y han ganado mientras las personas a su alrededor animan.</v>
      </c>
    </row>
    <row r="11828">
      <c r="A11828" s="4" t="s">
        <v>14880</v>
      </c>
      <c r="B11828" s="4" t="s">
        <v>14881</v>
      </c>
      <c r="C11828" s="5" t="str">
        <f>IFERROR(__xludf.DUMMYFUNCTION("GOOGLETRANSLATE(B11828,""en"",""es-ES"")"),"Los cigarrillos se colocan sobre una mesa.")</f>
        <v>Los cigarrillos se colocan sobre una mesa.</v>
      </c>
    </row>
    <row r="11829">
      <c r="A11829" s="4" t="s">
        <v>14880</v>
      </c>
      <c r="B11829" s="4" t="s">
        <v>14882</v>
      </c>
      <c r="C11829" s="5" t="str">
        <f>IFERROR(__xludf.DUMMYFUNCTION("GOOGLETRANSLATE(B11829,""en"",""es-ES"")"),"Alguien baraja cartas sobre la mesa.")</f>
        <v>Alguien baraja cartas sobre la mesa.</v>
      </c>
    </row>
    <row r="11830">
      <c r="A11830" s="4" t="s">
        <v>14880</v>
      </c>
      <c r="B11830" s="4" t="s">
        <v>14883</v>
      </c>
      <c r="C11830" s="5" t="str">
        <f>IFERROR(__xludf.DUMMYFUNCTION("GOOGLETRANSLATE(B11830,""en"",""es-ES"")"),"Un hombre empuja una escoba detrás de ellos.")</f>
        <v>Un hombre empuja una escoba detrás de ellos.</v>
      </c>
    </row>
    <row r="11831">
      <c r="A11831" s="4" t="s">
        <v>14880</v>
      </c>
      <c r="B11831" s="4" t="s">
        <v>14884</v>
      </c>
      <c r="C11831" s="5" t="str">
        <f>IFERROR(__xludf.DUMMYFUNCTION("GOOGLETRANSLATE(B11831,""en"",""es-ES"")"),"Continúan jugando a las cartas en la mesa.")</f>
        <v>Continúan jugando a las cartas en la mesa.</v>
      </c>
    </row>
    <row r="11832">
      <c r="A11832" s="4" t="s">
        <v>14885</v>
      </c>
      <c r="B11832" s="4" t="s">
        <v>14886</v>
      </c>
      <c r="C11832" s="5" t="str">
        <f>IFERROR(__xludf.DUMMYFUNCTION("GOOGLETRANSLATE(B11832,""en"",""es-ES"")"),"Un video conduce a varios clips de un hombre que realiza trucos con un perro.")</f>
        <v>Un video conduce a varios clips de un hombre que realiza trucos con un perro.</v>
      </c>
    </row>
    <row r="11833">
      <c r="A11833" s="4" t="s">
        <v>14885</v>
      </c>
      <c r="B11833" s="4" t="s">
        <v>14887</v>
      </c>
      <c r="C11833" s="5" t="str">
        <f>IFERROR(__xludf.DUMMYFUNCTION("GOOGLETRANSLATE(B11833,""en"",""es-ES"")"),"El hombre continúa realizando trucos con el perro mientras la cámara lo captura desde varios ángulos, así como otros haciendo trucos con sus perros.")</f>
        <v>El hombre continúa realizando trucos con el perro mientras la cámara lo captura desde varios ángulos, así como otros haciendo trucos con sus perros.</v>
      </c>
    </row>
    <row r="11834">
      <c r="A11834" s="4" t="s">
        <v>14888</v>
      </c>
      <c r="B11834" s="4" t="s">
        <v>14889</v>
      </c>
      <c r="C11834" s="5" t="str">
        <f>IFERROR(__xludf.DUMMYFUNCTION("GOOGLETRANSLATE(B11834,""en"",""es-ES"")"),"Una niña entra a un baño y comienza a hablar con la cámara.")</f>
        <v>Una niña entra a un baño y comienza a hablar con la cámara.</v>
      </c>
    </row>
    <row r="11835">
      <c r="A11835" s="4" t="s">
        <v>14888</v>
      </c>
      <c r="B11835" s="4" t="s">
        <v>14890</v>
      </c>
      <c r="C11835" s="5" t="str">
        <f>IFERROR(__xludf.DUMMYFUNCTION("GOOGLETRANSLATE(B11835,""en"",""es-ES"")"),"El baño se transforma en una fábrica.")</f>
        <v>El baño se transforma en una fábrica.</v>
      </c>
    </row>
    <row r="11836">
      <c r="A11836" s="4" t="s">
        <v>14888</v>
      </c>
      <c r="B11836" s="4" t="s">
        <v>14891</v>
      </c>
      <c r="C11836" s="5" t="str">
        <f>IFERROR(__xludf.DUMMYFUNCTION("GOOGLETRANSLATE(B11836,""en"",""es-ES"")"),"La niña recoge un cepillo de dientes y continúa hablando.")</f>
        <v>La niña recoge un cepillo de dientes y continúa hablando.</v>
      </c>
    </row>
    <row r="11837">
      <c r="A11837" s="4" t="s">
        <v>14888</v>
      </c>
      <c r="B11837" s="4" t="s">
        <v>14892</v>
      </c>
      <c r="C11837" s="5" t="str">
        <f>IFERROR(__xludf.DUMMYFUNCTION("GOOGLETRANSLATE(B11837,""en"",""es-ES"")"),"La pasta de dientes se aplica a un cepillo de dientes.")</f>
        <v>La pasta de dientes se aplica a un cepillo de dientes.</v>
      </c>
    </row>
    <row r="11838">
      <c r="A11838" s="4" t="s">
        <v>14888</v>
      </c>
      <c r="B11838" s="4" t="s">
        <v>14893</v>
      </c>
      <c r="C11838" s="5" t="str">
        <f>IFERROR(__xludf.DUMMYFUNCTION("GOOGLETRANSLATE(B11838,""en"",""es-ES"")"),"La niña se cepilla los dientes y la fábrica vuelve a un baño.")</f>
        <v>La niña se cepilla los dientes y la fábrica vuelve a un baño.</v>
      </c>
    </row>
    <row r="11839">
      <c r="A11839" s="4" t="s">
        <v>14894</v>
      </c>
      <c r="B11839" s="4" t="s">
        <v>14895</v>
      </c>
      <c r="C11839" s="5" t="str">
        <f>IFERROR(__xludf.DUMMYFUNCTION("GOOGLETRANSLATE(B11839,""en"",""es-ES"")"),"Un hombre está hablando en un micrófono.")</f>
        <v>Un hombre está hablando en un micrófono.</v>
      </c>
    </row>
    <row r="11840">
      <c r="A11840" s="4" t="s">
        <v>14894</v>
      </c>
      <c r="B11840" s="4" t="s">
        <v>14896</v>
      </c>
      <c r="C11840" s="5" t="str">
        <f>IFERROR(__xludf.DUMMYFUNCTION("GOOGLETRANSLATE(B11840,""en"",""es-ES"")"),"Un hombre que lleva una capa negra se afeita la barba.")</f>
        <v>Un hombre que lleva una capa negra se afeita la barba.</v>
      </c>
    </row>
    <row r="11841">
      <c r="A11841" s="4" t="s">
        <v>14894</v>
      </c>
      <c r="B11841" s="4" t="s">
        <v>14897</v>
      </c>
      <c r="C11841" s="5" t="str">
        <f>IFERROR(__xludf.DUMMYFUNCTION("GOOGLETRANSLATE(B11841,""en"",""es-ES"")"),"Una persona pone una toalla blanca sobre la cara del hombre.")</f>
        <v>Una persona pone una toalla blanca sobre la cara del hombre.</v>
      </c>
    </row>
    <row r="11842">
      <c r="A11842" s="4" t="s">
        <v>14894</v>
      </c>
      <c r="B11842" s="4" t="s">
        <v>14898</v>
      </c>
      <c r="C11842" s="5" t="str">
        <f>IFERROR(__xludf.DUMMYFUNCTION("GOOGLETRANSLATE(B11842,""en"",""es-ES"")"),"Pone la crema de afeitar en la cara del hombre.")</f>
        <v>Pone la crema de afeitar en la cara del hombre.</v>
      </c>
    </row>
    <row r="11843">
      <c r="A11843" s="4" t="s">
        <v>14894</v>
      </c>
      <c r="B11843" s="4" t="s">
        <v>14899</v>
      </c>
      <c r="C11843" s="5" t="str">
        <f>IFERROR(__xludf.DUMMYFUNCTION("GOOGLETRANSLATE(B11843,""en"",""es-ES"")"),"Luego pone una toalla sobre la cara del hombre nuevamente.")</f>
        <v>Luego pone una toalla sobre la cara del hombre nuevamente.</v>
      </c>
    </row>
    <row r="11844">
      <c r="A11844" s="4" t="s">
        <v>14894</v>
      </c>
      <c r="B11844" s="4" t="s">
        <v>14900</v>
      </c>
      <c r="C11844" s="5" t="str">
        <f>IFERROR(__xludf.DUMMYFUNCTION("GOOGLETRANSLATE(B11844,""en"",""es-ES"")"),"Luego afeita la barba del hombre con una maquinilla de afeitar.")</f>
        <v>Luego afeita la barba del hombre con una maquinilla de afeitar.</v>
      </c>
    </row>
    <row r="11845">
      <c r="A11845" s="4" t="s">
        <v>14894</v>
      </c>
      <c r="B11845" s="4" t="s">
        <v>14901</v>
      </c>
      <c r="C11845" s="5" t="str">
        <f>IFERROR(__xludf.DUMMYFUNCTION("GOOGLETRANSLATE(B11845,""en"",""es-ES"")"),"El hombre pone una toalla en la cara del otro hombre nuevamente.")</f>
        <v>El hombre pone una toalla en la cara del otro hombre nuevamente.</v>
      </c>
    </row>
    <row r="11846">
      <c r="A11846" s="4" t="s">
        <v>14894</v>
      </c>
      <c r="B11846" s="4" t="s">
        <v>14902</v>
      </c>
      <c r="C11846" s="5" t="str">
        <f>IFERROR(__xludf.DUMMYFUNCTION("GOOGLETRANSLATE(B11846,""en"",""es-ES"")"),"Quita la capa y se levanta.")</f>
        <v>Quita la capa y se levanta.</v>
      </c>
    </row>
    <row r="11847">
      <c r="A11847" s="4" t="s">
        <v>14903</v>
      </c>
      <c r="B11847" s="4" t="s">
        <v>14904</v>
      </c>
      <c r="C11847" s="5" t="str">
        <f>IFERROR(__xludf.DUMMYFUNCTION("GOOGLETRANSLATE(B11847,""en"",""es-ES"")"),"Un par de bailes en el piso de un salón de baile con gente sentada en mesas cercanas.")</f>
        <v>Un par de bailes en el piso de un salón de baile con gente sentada en mesas cercanas.</v>
      </c>
    </row>
    <row r="11848">
      <c r="A11848" s="4" t="s">
        <v>14903</v>
      </c>
      <c r="B11848" s="4" t="s">
        <v>14905</v>
      </c>
      <c r="C11848" s="5" t="str">
        <f>IFERROR(__xludf.DUMMYFUNCTION("GOOGLETRANSLATE(B11848,""en"",""es-ES"")"),"La gente cercana toma fotos de la pareja.")</f>
        <v>La gente cercana toma fotos de la pareja.</v>
      </c>
    </row>
    <row r="11849">
      <c r="A11849" s="4" t="s">
        <v>14903</v>
      </c>
      <c r="B11849" s="4" t="s">
        <v>14906</v>
      </c>
      <c r="C11849" s="5" t="str">
        <f>IFERROR(__xludf.DUMMYFUNCTION("GOOGLETRANSLATE(B11849,""en"",""es-ES"")"),"La pareja termina y sale de la pista de baile.")</f>
        <v>La pareja termina y sale de la pista de baile.</v>
      </c>
    </row>
    <row r="11850">
      <c r="A11850" s="4" t="s">
        <v>14907</v>
      </c>
      <c r="B11850" s="4" t="s">
        <v>14908</v>
      </c>
      <c r="C11850" s="5" t="str">
        <f>IFERROR(__xludf.DUMMYFUNCTION("GOOGLETRANSLATE(B11850,""en"",""es-ES"")"),"Una niña muestra su cabello largo hasta la cintura.")</f>
        <v>Una niña muestra su cabello largo hasta la cintura.</v>
      </c>
    </row>
    <row r="11851">
      <c r="A11851" s="4" t="s">
        <v>14907</v>
      </c>
      <c r="B11851" s="4" t="s">
        <v>14909</v>
      </c>
      <c r="C11851" s="5" t="str">
        <f>IFERROR(__xludf.DUMMYFUNCTION("GOOGLETRANSLATE(B11851,""en"",""es-ES"")"),"Luego, un peluquero se corta el cabello de la joven.")</f>
        <v>Luego, un peluquero se corta el cabello de la joven.</v>
      </c>
    </row>
    <row r="11852">
      <c r="A11852" s="4" t="s">
        <v>14907</v>
      </c>
      <c r="B11852" s="4" t="s">
        <v>14910</v>
      </c>
      <c r="C11852" s="5" t="str">
        <f>IFERROR(__xludf.DUMMYFUNCTION("GOOGLETRANSLATE(B11852,""en"",""es-ES"")"),"Después, la niña muestra su cabello corto y largo y dos trenzas.")</f>
        <v>Después, la niña muestra su cabello corto y largo y dos trenzas.</v>
      </c>
    </row>
    <row r="11853">
      <c r="A11853" s="4" t="s">
        <v>14911</v>
      </c>
      <c r="B11853" s="4" t="s">
        <v>14912</v>
      </c>
      <c r="C11853" s="5" t="str">
        <f>IFERROR(__xludf.DUMMYFUNCTION("GOOGLETRANSLATE(B11853,""en"",""es-ES"")"),"Hay una persona vestida con un traje de pista azul que demuestra cómo usar una máquina de remo.")</f>
        <v>Hay una persona vestida con un traje de pista azul que demuestra cómo usar una máquina de remo.</v>
      </c>
    </row>
    <row r="11854">
      <c r="A11854" s="4" t="s">
        <v>14911</v>
      </c>
      <c r="B11854" s="4" t="s">
        <v>14913</v>
      </c>
      <c r="C11854" s="5" t="str">
        <f>IFERROR(__xludf.DUMMYFUNCTION("GOOGLETRANSLATE(B11854,""en"",""es-ES"")"),"Se sienta en la barra de la máquina y asegura sus pies en el reposapiés.")</f>
        <v>Se sienta en la barra de la máquina y asegura sus pies en el reposapiés.</v>
      </c>
    </row>
    <row r="11855">
      <c r="A11855" s="4" t="s">
        <v>14911</v>
      </c>
      <c r="B11855" s="4" t="s">
        <v>14914</v>
      </c>
      <c r="C11855" s="5" t="str">
        <f>IFERROR(__xludf.DUMMYFUNCTION("GOOGLETRANSLATE(B11855,""en"",""es-ES"")"),"Luego comienza tirando de la cuerda hacia su pecho mientras enderezaba sus piernas.")</f>
        <v>Luego comienza tirando de la cuerda hacia su pecho mientras enderezaba sus piernas.</v>
      </c>
    </row>
    <row r="11856">
      <c r="A11856" s="4" t="s">
        <v>14911</v>
      </c>
      <c r="B11856" s="4" t="s">
        <v>14915</v>
      </c>
      <c r="C11856" s="5" t="str">
        <f>IFERROR(__xludf.DUMMYFUNCTION("GOOGLETRANSLATE(B11856,""en"",""es-ES"")"),"Luego continúa usando la máquina en movimiento de ida y vuelta.")</f>
        <v>Luego continúa usando la máquina en movimiento de ida y vuelta.</v>
      </c>
    </row>
    <row r="11857">
      <c r="A11857" s="4" t="s">
        <v>14911</v>
      </c>
      <c r="B11857" s="4" t="s">
        <v>14916</v>
      </c>
      <c r="C11857" s="5" t="str">
        <f>IFERROR(__xludf.DUMMYFUNCTION("GOOGLETRANSLATE(B11857,""en"",""es-ES"")"),"Luego se detiene liberando la cuerda y inclinándose hacia atrás.")</f>
        <v>Luego se detiene liberando la cuerda y inclinándose hacia atrás.</v>
      </c>
    </row>
    <row r="11858">
      <c r="A11858" s="4" t="s">
        <v>14917</v>
      </c>
      <c r="B11858" s="4" t="s">
        <v>14918</v>
      </c>
      <c r="C11858" s="5" t="str">
        <f>IFERROR(__xludf.DUMMYFUNCTION("GOOGLETRANSLATE(B11858,""en"",""es-ES"")"),"Se muestra un primer plano de una zapatilla de deporte, seguido de una persona que enciende un grifo y deja que el agua corriera sobre el zapato.")</f>
        <v>Se muestra un primer plano de una zapatilla de deporte, seguido de una persona que enciende un grifo y deja que el agua corriera sobre el zapato.</v>
      </c>
    </row>
    <row r="11859">
      <c r="A11859" s="4" t="s">
        <v>14917</v>
      </c>
      <c r="B11859" s="4" t="s">
        <v>14919</v>
      </c>
      <c r="C11859" s="5" t="str">
        <f>IFERROR(__xludf.DUMMYFUNCTION("GOOGLETRANSLATE(B11859,""en"",""es-ES"")"),"La persona luego toma esmalte de exhibición y comienza a fregar el zapato con un cepillo de dientes mientras lo pasa bajo el agua.")</f>
        <v>La persona luego toma esmalte de exhibición y comienza a fregar el zapato con un cepillo de dientes mientras lo pasa bajo el agua.</v>
      </c>
    </row>
    <row r="11860">
      <c r="A11860" s="4" t="s">
        <v>14917</v>
      </c>
      <c r="B11860" s="4" t="s">
        <v>14920</v>
      </c>
      <c r="C11860" s="5" t="str">
        <f>IFERROR(__xludf.DUMMYFUNCTION("GOOGLETRANSLATE(B11860,""en"",""es-ES"")"),"La persona apaga el agua y presenta el zapato en el fregadero.")</f>
        <v>La persona apaga el agua y presenta el zapato en el fregadero.</v>
      </c>
    </row>
    <row r="11861">
      <c r="A11861" s="4" t="s">
        <v>14921</v>
      </c>
      <c r="B11861" s="4" t="s">
        <v>14922</v>
      </c>
      <c r="C11861" s="5" t="str">
        <f>IFERROR(__xludf.DUMMYFUNCTION("GOOGLETRANSLATE(B11861,""en"",""es-ES"")"),"Una mujer salta a dos bares y hace una rutina de gimnasia.")</f>
        <v>Una mujer salta a dos bares y hace una rutina de gimnasia.</v>
      </c>
    </row>
    <row r="11862">
      <c r="A11862" s="4" t="s">
        <v>14921</v>
      </c>
      <c r="B11862" s="4" t="s">
        <v>14923</v>
      </c>
      <c r="C11862" s="5" t="str">
        <f>IFERROR(__xludf.DUMMYFUNCTION("GOOGLETRANSLATE(B11862,""en"",""es-ES"")"),"La audiencia la está mirando actuar.")</f>
        <v>La audiencia la está mirando actuar.</v>
      </c>
    </row>
    <row r="11863">
      <c r="A11863" s="4" t="s">
        <v>14921</v>
      </c>
      <c r="B11863" s="4" t="s">
        <v>14924</v>
      </c>
      <c r="C11863" s="5" t="str">
        <f>IFERROR(__xludf.DUMMYFUNCTION("GOOGLETRANSLATE(B11863,""en"",""es-ES"")"),"Ella salta de las barras y aterriza en la colchoneta con las manos en el aire.")</f>
        <v>Ella salta de las barras y aterriza en la colchoneta con las manos en el aire.</v>
      </c>
    </row>
    <row r="11864">
      <c r="A11864" s="4" t="s">
        <v>14921</v>
      </c>
      <c r="B11864" s="4" t="s">
        <v>14925</v>
      </c>
      <c r="C11864" s="5" t="str">
        <f>IFERROR(__xludf.DUMMYFUNCTION("GOOGLETRANSLATE(B11864,""en"",""es-ES"")"),"Se muestra una repetición de su actuación.")</f>
        <v>Se muestra una repetición de su actuación.</v>
      </c>
    </row>
    <row r="11865">
      <c r="A11865" s="4" t="s">
        <v>14921</v>
      </c>
      <c r="B11865" s="4" t="s">
        <v>14926</v>
      </c>
      <c r="C11865" s="5" t="str">
        <f>IFERROR(__xludf.DUMMYFUNCTION("GOOGLETRANSLATE(B11865,""en"",""es-ES"")"),"Las palabras se muestran en la pantalla.")</f>
        <v>Las palabras se muestran en la pantalla.</v>
      </c>
    </row>
    <row r="11866">
      <c r="A11866" s="4" t="s">
        <v>14927</v>
      </c>
      <c r="B11866" s="4" t="s">
        <v>14928</v>
      </c>
      <c r="C11866" s="5" t="str">
        <f>IFERROR(__xludf.DUMMYFUNCTION("GOOGLETRANSLATE(B11866,""en"",""es-ES"")"),"Dos hombres juegan calabaza en una habitación.")</f>
        <v>Dos hombres juegan calabaza en una habitación.</v>
      </c>
    </row>
    <row r="11867">
      <c r="A11867" s="4" t="s">
        <v>14927</v>
      </c>
      <c r="B11867" s="4" t="s">
        <v>14929</v>
      </c>
      <c r="C11867" s="5" t="str">
        <f>IFERROR(__xludf.DUMMYFUNCTION("GOOGLETRANSLATE(B11867,""en"",""es-ES"")"),"Un jugador va a buscar la pelota y lanzarla a su compañero.")</f>
        <v>Un jugador va a buscar la pelota y lanzarla a su compañero.</v>
      </c>
    </row>
    <row r="11868">
      <c r="A11868" s="4" t="s">
        <v>14927</v>
      </c>
      <c r="B11868" s="4" t="s">
        <v>14930</v>
      </c>
      <c r="C11868" s="5" t="str">
        <f>IFERROR(__xludf.DUMMYFUNCTION("GOOGLETRANSLATE(B11868,""en"",""es-ES"")"),"Luego, los dos hombres continúan jugando squash.")</f>
        <v>Luego, los dos hombres continúan jugando squash.</v>
      </c>
    </row>
    <row r="11869">
      <c r="A11869" s="4" t="s">
        <v>14927</v>
      </c>
      <c r="B11869" s="4" t="s">
        <v>14931</v>
      </c>
      <c r="C11869" s="5" t="str">
        <f>IFERROR(__xludf.DUMMYFUNCTION("GOOGLETRANSLATE(B11869,""en"",""es-ES"")"),"Un hombre recoge una pelota del piso y continúa la calabaza.")</f>
        <v>Un hombre recoge una pelota del piso y continúa la calabaza.</v>
      </c>
    </row>
    <row r="11870">
      <c r="A11870" s="4" t="s">
        <v>14932</v>
      </c>
      <c r="B11870" s="4" t="s">
        <v>14933</v>
      </c>
      <c r="C11870" s="5" t="str">
        <f>IFERROR(__xludf.DUMMYFUNCTION("GOOGLETRANSLATE(B11870,""en"",""es-ES"")"),"Dos juegos de personas están en el medio del kayak de bosques, en vibrantes agua blanca rodeada de grandes rocas.")</f>
        <v>Dos juegos de personas están en el medio del kayak de bosques, en vibrantes agua blanca rodeada de grandes rocas.</v>
      </c>
    </row>
    <row r="11871">
      <c r="A11871" s="4" t="s">
        <v>14932</v>
      </c>
      <c r="B11871" s="4" t="s">
        <v>14934</v>
      </c>
      <c r="C11871" s="5" t="str">
        <f>IFERROR(__xludf.DUMMYFUNCTION("GOOGLETRANSLATE(B11871,""en"",""es-ES"")"),"Comienzan a moverse a su izquierda y caen sobre la primera colina de grandes rocas y se encuentran en la esquina y comienzan a hablar.")</f>
        <v>Comienzan a moverse a su izquierda y caen sobre la primera colina de grandes rocas y se encuentran en la esquina y comienzan a hablar.</v>
      </c>
    </row>
    <row r="11872">
      <c r="A11872" s="4" t="s">
        <v>14932</v>
      </c>
      <c r="B11872" s="4" t="s">
        <v>14935</v>
      </c>
      <c r="C11872" s="5" t="str">
        <f>IFERROR(__xludf.DUMMYFUNCTION("GOOGLETRANSLATE(B11872,""en"",""es-ES"")"),"La segunda persona comienza a kayak y baja ferozmente por la siguiente colina empinada de rocas y espera.")</f>
        <v>La segunda persona comienza a kayak y baja ferozmente por la siguiente colina empinada de rocas y espera.</v>
      </c>
    </row>
    <row r="11873">
      <c r="A11873" s="4" t="s">
        <v>14932</v>
      </c>
      <c r="B11873" s="4" t="s">
        <v>14936</v>
      </c>
      <c r="C11873" s="5" t="str">
        <f>IFERROR(__xludf.DUMMYFUNCTION("GOOGLETRANSLATE(B11873,""en"",""es-ES"")"),"Poco después, el hombre de la chaqueta azul hace lo mismo y los viene detrás de ellos.")</f>
        <v>Poco después, el hombre de la chaqueta azul hace lo mismo y los viene detrás de ellos.</v>
      </c>
    </row>
    <row r="11874">
      <c r="A11874" s="4" t="s">
        <v>14932</v>
      </c>
      <c r="B11874" s="4" t="s">
        <v>14937</v>
      </c>
      <c r="C11874" s="5" t="str">
        <f>IFERROR(__xludf.DUMMYFUNCTION("GOOGLETRANSLATE(B11874,""en"",""es-ES"")"),"Por último, toman dos fotos con el bosque a medida que cae cerca de un letrero marrón con palabras blancas que leen grandes caídas.")</f>
        <v>Por último, toman dos fotos con el bosque a medida que cae cerca de un letrero marrón con palabras blancas que leen grandes caídas.</v>
      </c>
    </row>
    <row r="11875">
      <c r="A11875" s="4" t="s">
        <v>14938</v>
      </c>
      <c r="B11875" s="4" t="s">
        <v>14939</v>
      </c>
      <c r="C11875" s="5" t="str">
        <f>IFERROR(__xludf.DUMMYFUNCTION("GOOGLETRANSLATE(B11875,""en"",""es-ES"")"),"La persona está apretando los limones en el exprimidor.")</f>
        <v>La persona está apretando los limones en el exprimidor.</v>
      </c>
    </row>
    <row r="11876">
      <c r="A11876" s="4" t="s">
        <v>14938</v>
      </c>
      <c r="B11876" s="4" t="s">
        <v>14940</v>
      </c>
      <c r="C11876" s="5" t="str">
        <f>IFERROR(__xludf.DUMMYFUNCTION("GOOGLETRANSLATE(B11876,""en"",""es-ES"")"),"La persona vierte el limón en la botella de spray blanca y agregó agua.")</f>
        <v>La persona vierte el limón en la botella de spray blanca y agregó agua.</v>
      </c>
    </row>
    <row r="11877">
      <c r="A11877" s="4" t="s">
        <v>14938</v>
      </c>
      <c r="B11877" s="4" t="s">
        <v>14941</v>
      </c>
      <c r="C11877" s="5" t="str">
        <f>IFERROR(__xludf.DUMMYFUNCTION("GOOGLETRANSLATE(B11877,""en"",""es-ES"")"),"La persona rocía el jugo de limón en una proa y frota el tazón con una esponja.")</f>
        <v>La persona rocía el jugo de limón en una proa y frota el tazón con una esponja.</v>
      </c>
    </row>
    <row r="11878">
      <c r="A11878" s="4" t="s">
        <v>14942</v>
      </c>
      <c r="B11878" s="4" t="s">
        <v>14943</v>
      </c>
      <c r="C11878" s="5" t="str">
        <f>IFERROR(__xludf.DUMMYFUNCTION("GOOGLETRANSLATE(B11878,""en"",""es-ES"")"),"Un deportista lanza una jabalina en un estadio.")</f>
        <v>Un deportista lanza una jabalina en un estadio.</v>
      </c>
    </row>
    <row r="11879">
      <c r="A11879" s="4" t="s">
        <v>14942</v>
      </c>
      <c r="B11879" s="4" t="s">
        <v>14944</v>
      </c>
      <c r="C11879" s="5" t="str">
        <f>IFERROR(__xludf.DUMMYFUNCTION("GOOGLETRANSLATE(B11879,""en"",""es-ES"")"),"La jabalina vuela en el aire y aterriza en la pista verde, luego un hombre corre hacia ella.")</f>
        <v>La jabalina vuela en el aire y aterriza en la pista verde, luego un hombre corre hacia ella.</v>
      </c>
    </row>
    <row r="11880">
      <c r="A11880" s="4" t="s">
        <v>14942</v>
      </c>
      <c r="B11880" s="4" t="s">
        <v>14945</v>
      </c>
      <c r="C11880" s="5" t="str">
        <f>IFERROR(__xludf.DUMMYFUNCTION("GOOGLETRANSLATE(B11880,""en"",""es-ES"")"),"El deportista camina levantando las manos y aplaude las manos.")</f>
        <v>El deportista camina levantando las manos y aplaude las manos.</v>
      </c>
    </row>
    <row r="11881">
      <c r="A11881" s="4" t="s">
        <v>14942</v>
      </c>
      <c r="B11881" s="4" t="s">
        <v>14946</v>
      </c>
      <c r="C11881" s="5" t="str">
        <f>IFERROR(__xludf.DUMMYFUNCTION("GOOGLETRANSLATE(B11881,""en"",""es-ES"")"),"Una película de camarógrafo el atleta.")</f>
        <v>Una película de camarógrafo el atleta.</v>
      </c>
    </row>
    <row r="11882">
      <c r="A11882" s="4" t="s">
        <v>14942</v>
      </c>
      <c r="B11882" s="4" t="s">
        <v>14947</v>
      </c>
      <c r="C11882" s="5" t="str">
        <f>IFERROR(__xludf.DUMMYFUNCTION("GOOGLETRANSLATE(B11882,""en"",""es-ES"")"),"La gimnasta lanzó una jabalina en el estadio.")</f>
        <v>La gimnasta lanzó una jabalina en el estadio.</v>
      </c>
    </row>
    <row r="11883">
      <c r="A11883" s="4" t="s">
        <v>14948</v>
      </c>
      <c r="B11883" s="4" t="s">
        <v>14949</v>
      </c>
      <c r="C11883" s="5" t="str">
        <f>IFERROR(__xludf.DUMMYFUNCTION("GOOGLETRANSLATE(B11883,""en"",""es-ES"")"),"Se muestran varias imágenes de personas brillando zapatos para otros en varios lugares usando trapos y cepillos en sus zapatos.")</f>
        <v>Se muestran varias imágenes de personas brillando zapatos para otros en varios lugares usando trapos y cepillos en sus zapatos.</v>
      </c>
    </row>
    <row r="11884">
      <c r="A11884" s="4" t="s">
        <v>14948</v>
      </c>
      <c r="B11884" s="4" t="s">
        <v>14950</v>
      </c>
      <c r="C11884" s="5" t="str">
        <f>IFERROR(__xludf.DUMMYFUNCTION("GOOGLETRANSLATE(B11884,""en"",""es-ES"")"),"El video continúa con muchas más imágenes mostradas de personas brillantes y un hombre de pie con un delantal al final.")</f>
        <v>El video continúa con muchas más imágenes mostradas de personas brillantes y un hombre de pie con un delantal al final.</v>
      </c>
    </row>
    <row r="11885">
      <c r="A11885" s="4" t="s">
        <v>14951</v>
      </c>
      <c r="B11885" s="4" t="s">
        <v>14952</v>
      </c>
      <c r="C11885" s="5" t="str">
        <f>IFERROR(__xludf.DUMMYFUNCTION("GOOGLETRANSLATE(B11885,""en"",""es-ES"")"),"Una puerta con letreros rojos la está cubriendo.")</f>
        <v>Una puerta con letreros rojos la está cubriendo.</v>
      </c>
    </row>
    <row r="11886">
      <c r="A11886" s="4" t="s">
        <v>14951</v>
      </c>
      <c r="B11886" s="4" t="s">
        <v>14953</v>
      </c>
      <c r="C11886" s="5" t="str">
        <f>IFERROR(__xludf.DUMMYFUNCTION("GOOGLETRANSLATE(B11886,""en"",""es-ES"")"),"Un bombero corre afuera con un tablero.")</f>
        <v>Un bombero corre afuera con un tablero.</v>
      </c>
    </row>
    <row r="11887">
      <c r="A11887" s="4" t="s">
        <v>14951</v>
      </c>
      <c r="B11887" s="4" t="s">
        <v>14954</v>
      </c>
      <c r="C11887" s="5" t="str">
        <f>IFERROR(__xludf.DUMMYFUNCTION("GOOGLETRANSLATE(B11887,""en"",""es-ES"")"),"Se desliza por la carretera detrás de un automóvil, gira las vueltas y cayendo varias veces.")</f>
        <v>Se desliza por la carretera detrás de un automóvil, gira las vueltas y cayendo varias veces.</v>
      </c>
    </row>
    <row r="11888">
      <c r="A11888" s="4" t="s">
        <v>14955</v>
      </c>
      <c r="B11888" s="4" t="s">
        <v>14956</v>
      </c>
      <c r="C11888" s="5" t="str">
        <f>IFERROR(__xludf.DUMMYFUNCTION("GOOGLETRANSLATE(B11888,""en"",""es-ES"")"),"Una niña con una blusa morada se sienta en un poste de la cerca mientras cepilla un caballo que está atado a la cerca.")</f>
        <v>Una niña con una blusa morada se sienta en un poste de la cerca mientras cepilla un caballo que está atado a la cerca.</v>
      </c>
    </row>
    <row r="11889">
      <c r="A11889" s="4" t="s">
        <v>14955</v>
      </c>
      <c r="B11889" s="4" t="s">
        <v>14957</v>
      </c>
      <c r="C11889" s="5" t="str">
        <f>IFERROR(__xludf.DUMMYFUNCTION("GOOGLETRANSLATE(B11889,""en"",""es-ES"")"),"La niña se para en el poste de la cerca mientras se extiende para cepillarse la melena de los caballos.")</f>
        <v>La niña se para en el poste de la cerca mientras se extiende para cepillarse la melena de los caballos.</v>
      </c>
    </row>
    <row r="11890">
      <c r="A11890" s="4" t="s">
        <v>14955</v>
      </c>
      <c r="B11890" s="4" t="s">
        <v>14958</v>
      </c>
      <c r="C11890" s="5" t="str">
        <f>IFERROR(__xludf.DUMMYFUNCTION("GOOGLETRANSLATE(B11890,""en"",""es-ES"")"),"La niña continúa parada en el poste de la cerca se inclina sobre los caballos hacia atrás y cepilla la parte posterior del caballo mientras sonríe a la cámara.")</f>
        <v>La niña continúa parada en el poste de la cerca se inclina sobre los caballos hacia atrás y cepilla la parte posterior del caballo mientras sonríe a la cámara.</v>
      </c>
    </row>
    <row r="11891">
      <c r="A11891" s="4" t="s">
        <v>14955</v>
      </c>
      <c r="B11891" s="4" t="s">
        <v>14959</v>
      </c>
      <c r="C11891" s="5" t="str">
        <f>IFERROR(__xludf.DUMMYFUNCTION("GOOGLETRANSLATE(B11891,""en"",""es-ES"")"),"La niña se monta en los caballos hacia atrás mientras continúa cepillando el cuello y la melena de los caballos.")</f>
        <v>La niña se monta en los caballos hacia atrás mientras continúa cepillando el cuello y la melena de los caballos.</v>
      </c>
    </row>
    <row r="11892">
      <c r="A11892" s="4" t="s">
        <v>14955</v>
      </c>
      <c r="B11892" s="4" t="s">
        <v>14960</v>
      </c>
      <c r="C11892" s="5" t="str">
        <f>IFERROR(__xludf.DUMMYFUNCTION("GOOGLETRANSLATE(B11892,""en"",""es-ES"")"),"La niña de la blusa púrpura desmonta el caballo y se para en el post de la cerca cepilla el cuarto trasero de los caballos.")</f>
        <v>La niña de la blusa púrpura desmonta el caballo y se para en el post de la cerca cepilla el cuarto trasero de los caballos.</v>
      </c>
    </row>
    <row r="11893">
      <c r="A11893" s="4" t="s">
        <v>14961</v>
      </c>
      <c r="B11893" s="4" t="s">
        <v>14962</v>
      </c>
      <c r="C11893" s="5" t="str">
        <f>IFERROR(__xludf.DUMMYFUNCTION("GOOGLETRANSLATE(B11893,""en"",""es-ES"")"),"Varias imágenes de ingredientes se muestran con texto en la pantalla y conducen a una mujer lavando y pelando limones.")</f>
        <v>Varias imágenes de ingredientes se muestran con texto en la pantalla y conducen a una mujer lavando y pelando limones.</v>
      </c>
    </row>
    <row r="11894">
      <c r="A11894" s="4" t="s">
        <v>14961</v>
      </c>
      <c r="B11894" s="4" t="s">
        <v>14963</v>
      </c>
      <c r="C11894" s="5" t="str">
        <f>IFERROR(__xludf.DUMMYFUNCTION("GOOGLETRANSLATE(B11894,""en"",""es-ES"")"),"Ella rueda los limones en una mesa y los corta en mitades.")</f>
        <v>Ella rueda los limones en una mesa y los corta en mitades.</v>
      </c>
    </row>
    <row r="11895">
      <c r="A11895" s="4" t="s">
        <v>14961</v>
      </c>
      <c r="B11895" s="4" t="s">
        <v>14964</v>
      </c>
      <c r="C11895" s="5" t="str">
        <f>IFERROR(__xludf.DUMMYFUNCTION("GOOGLETRANSLATE(B11895,""en"",""es-ES"")"),"Luego juega el limón y vierte la mezcla en una olla grande con azúcar.")</f>
        <v>Luego juega el limón y vierte la mezcla en una olla grande con azúcar.</v>
      </c>
    </row>
    <row r="11896">
      <c r="A11896" s="4" t="s">
        <v>14961</v>
      </c>
      <c r="B11896" s="4" t="s">
        <v>14965</v>
      </c>
      <c r="C11896" s="5" t="str">
        <f>IFERROR(__xludf.DUMMYFUNCTION("GOOGLETRANSLATE(B11896,""en"",""es-ES"")"),"Ella hierve la olla y vierte el resultado final en varias gafas, disfrutando de un sorbo al final.")</f>
        <v>Ella hierve la olla y vierte el resultado final en varias gafas, disfrutando de un sorbo al final.</v>
      </c>
    </row>
    <row r="11897">
      <c r="A11897" s="4" t="s">
        <v>14966</v>
      </c>
      <c r="B11897" s="4" t="s">
        <v>14967</v>
      </c>
      <c r="C11897" s="5" t="str">
        <f>IFERROR(__xludf.DUMMYFUNCTION("GOOGLETRANSLATE(B11897,""en"",""es-ES"")"),"Se muestra un cepillo de cerdas de jabalí, luego un DVD de video de cómo afeitarse.")</f>
        <v>Se muestra un cepillo de cerdas de jabalí, luego un DVD de video de cómo afeitarse.</v>
      </c>
    </row>
    <row r="11898">
      <c r="A11898" s="4" t="s">
        <v>14966</v>
      </c>
      <c r="B11898" s="4" t="s">
        <v>14968</v>
      </c>
      <c r="C11898" s="5" t="str">
        <f>IFERROR(__xludf.DUMMYFUNCTION("GOOGLETRANSLATE(B11898,""en"",""es-ES"")"),"Un hombre está acostado, espuma en su rostro mientras un barbero se afeita la barba.")</f>
        <v>Un hombre está acostado, espuma en su rostro mientras un barbero se afeita la barba.</v>
      </c>
    </row>
    <row r="11899">
      <c r="A11899" s="4" t="s">
        <v>14966</v>
      </c>
      <c r="B11899" s="4" t="s">
        <v>14969</v>
      </c>
      <c r="C11899" s="5" t="str">
        <f>IFERROR(__xludf.DUMMYFUNCTION("GOOGLETRANSLATE(B11899,""en"",""es-ES"")"),"El hombre luego se toca la cabeza y la afeita con una afeitadora recta también.")</f>
        <v>El hombre luego se toca la cabeza y la afeita con una afeitadora recta también.</v>
      </c>
    </row>
    <row r="11900">
      <c r="A11900" s="4" t="s">
        <v>14966</v>
      </c>
      <c r="B11900" s="4" t="s">
        <v>14970</v>
      </c>
      <c r="C11900" s="5" t="str">
        <f>IFERROR(__xludf.DUMMYFUNCTION("GOOGLETRANSLATE(B11900,""en"",""es-ES"")"),"Una imagen del DVD se muestra nuevamente.")</f>
        <v>Una imagen del DVD se muestra nuevamente.</v>
      </c>
    </row>
    <row r="11901">
      <c r="A11901" s="4" t="s">
        <v>14971</v>
      </c>
      <c r="B11901" s="4" t="s">
        <v>14972</v>
      </c>
      <c r="C11901" s="5" t="str">
        <f>IFERROR(__xludf.DUMMYFUNCTION("GOOGLETRANSLATE(B11901,""en"",""es-ES"")"),"Un hombre y un perro están parados en un campo rodeado de un grupo de personas.")</f>
        <v>Un hombre y un perro están parados en un campo rodeado de un grupo de personas.</v>
      </c>
    </row>
    <row r="11902">
      <c r="A11902" s="4" t="s">
        <v>14971</v>
      </c>
      <c r="B11902" s="4" t="s">
        <v>14973</v>
      </c>
      <c r="C11902" s="5" t="str">
        <f>IFERROR(__xludf.DUMMYFUNCTION("GOOGLETRANSLATE(B11902,""en"",""es-ES"")"),"El perro continúa y luego se ve al hombre saliendo del campo.")</f>
        <v>El perro continúa y luego se ve al hombre saliendo del campo.</v>
      </c>
    </row>
    <row r="11903">
      <c r="A11903" s="4" t="s">
        <v>14971</v>
      </c>
      <c r="B11903" s="4" t="s">
        <v>14974</v>
      </c>
      <c r="C11903" s="5" t="str">
        <f>IFERROR(__xludf.DUMMYFUNCTION("GOOGLETRANSLATE(B11903,""en"",""es-ES"")"),"Sin embargo, una dama permanece y ella y su perro comienzan a hacer frisbee y trucos en el Purina Dog Challenge.")</f>
        <v>Sin embargo, una dama permanece y ella y su perro comienzan a hacer frisbee y trucos en el Purina Dog Challenge.</v>
      </c>
    </row>
    <row r="11904">
      <c r="A11904" s="4" t="s">
        <v>14975</v>
      </c>
      <c r="B11904" s="4" t="s">
        <v>14976</v>
      </c>
      <c r="C11904" s="5" t="str">
        <f>IFERROR(__xludf.DUMMYFUNCTION("GOOGLETRANSLATE(B11904,""en"",""es-ES"")"),"Un hombre esquí en el frente de un glaciar.")</f>
        <v>Un hombre esquí en el frente de un glaciar.</v>
      </c>
    </row>
    <row r="11905">
      <c r="A11905" s="4" t="s">
        <v>14975</v>
      </c>
      <c r="B11905" s="4" t="s">
        <v>14977</v>
      </c>
      <c r="C11905" s="5" t="str">
        <f>IFERROR(__xludf.DUMMYFUNCTION("GOOGLETRANSLATE(B11905,""en"",""es-ES"")"),"El hombre observa un sello y una ballena en el agua fría.")</f>
        <v>El hombre observa un sello y una ballena en el agua fría.</v>
      </c>
    </row>
    <row r="11906">
      <c r="A11906" s="4" t="s">
        <v>14975</v>
      </c>
      <c r="B11906" s="4" t="s">
        <v>14978</v>
      </c>
      <c r="C11906" s="5" t="str">
        <f>IFERROR(__xludf.DUMMYFUNCTION("GOOGLETRANSLATE(B11906,""en"",""es-ES"")"),"El hombre de agua esquía en el agua sosteniendo una cuerda tirada por un bote.")</f>
        <v>El hombre de agua esquía en el agua sosteniendo una cuerda tirada por un bote.</v>
      </c>
    </row>
    <row r="11907">
      <c r="A11907" s="4" t="s">
        <v>14975</v>
      </c>
      <c r="B11907" s="4" t="s">
        <v>14979</v>
      </c>
      <c r="C11907" s="5" t="str">
        <f>IFERROR(__xludf.DUMMYFUNCTION("GOOGLETRANSLATE(B11907,""en"",""es-ES"")"),"El hombre se dobla para pasar un glaciar, luego pasa sobre un iceberg.")</f>
        <v>El hombre se dobla para pasar un glaciar, luego pasa sobre un iceberg.</v>
      </c>
    </row>
    <row r="11908">
      <c r="A11908" s="4" t="s">
        <v>14975</v>
      </c>
      <c r="B11908" s="4" t="s">
        <v>14980</v>
      </c>
      <c r="C11908" s="5" t="str">
        <f>IFERROR(__xludf.DUMMYFUNCTION("GOOGLETRANSLATE(B11908,""en"",""es-ES"")"),"Una ballena nadando en el océano.")</f>
        <v>Una ballena nadando en el océano.</v>
      </c>
    </row>
    <row r="11909">
      <c r="A11909" s="4" t="s">
        <v>14975</v>
      </c>
      <c r="B11909" s="4" t="s">
        <v>14981</v>
      </c>
      <c r="C11909" s="5" t="str">
        <f>IFERROR(__xludf.DUMMYFUNCTION("GOOGLETRANSLATE(B11909,""en"",""es-ES"")"),"Después, el hombre pasa sobre un iceberg y gira, luego se hunde sobre un gran iceberg.")</f>
        <v>Después, el hombre pasa sobre un iceberg y gira, luego se hunde sobre un gran iceberg.</v>
      </c>
    </row>
    <row r="11910">
      <c r="A11910" s="4" t="s">
        <v>14975</v>
      </c>
      <c r="B11910" s="4" t="s">
        <v>14982</v>
      </c>
      <c r="C11910" s="5" t="str">
        <f>IFERROR(__xludf.DUMMYFUNCTION("GOOGLETRANSLATE(B11910,""en"",""es-ES"")"),"El hombre se desliza de un iceberg y cae en el agua, y la gente se puede ver un iceberg caídas.")</f>
        <v>El hombre se desliza de un iceberg y cae en el agua, y la gente se puede ver un iceberg caídas.</v>
      </c>
    </row>
    <row r="11911">
      <c r="A11911" s="4" t="s">
        <v>14983</v>
      </c>
      <c r="B11911" s="4" t="s">
        <v>14984</v>
      </c>
      <c r="C11911" s="5" t="str">
        <f>IFERROR(__xludf.DUMMYFUNCTION("GOOGLETRANSLATE(B11911,""en"",""es-ES"")"),"Un snowboarder da un tutorial sobre cómo dar un salto.")</f>
        <v>Un snowboarder da un tutorial sobre cómo dar un salto.</v>
      </c>
    </row>
    <row r="11912">
      <c r="A11912" s="4" t="s">
        <v>14983</v>
      </c>
      <c r="B11912" s="4" t="s">
        <v>14985</v>
      </c>
      <c r="C11912" s="5" t="str">
        <f>IFERROR(__xludf.DUMMYFUNCTION("GOOGLETRANSLATE(B11912,""en"",""es-ES"")"),"Algunas técnicas se muestran en cuatro partes.")</f>
        <v>Algunas técnicas se muestran en cuatro partes.</v>
      </c>
    </row>
    <row r="11913">
      <c r="A11913" s="4" t="s">
        <v>14986</v>
      </c>
      <c r="B11913" s="4" t="s">
        <v>14987</v>
      </c>
      <c r="C11913" s="5" t="str">
        <f>IFERROR(__xludf.DUMMYFUNCTION("GOOGLETRANSLATE(B11913,""en"",""es-ES"")"),"La introducción entra en la pantalla que presenta un video sobre Ho para escalar rocas.")</f>
        <v>La introducción entra en la pantalla que presenta un video sobre Ho para escalar rocas.</v>
      </c>
    </row>
    <row r="11914">
      <c r="A11914" s="4" t="s">
        <v>14986</v>
      </c>
      <c r="B11914" s="4" t="s">
        <v>14988</v>
      </c>
      <c r="C11914" s="5" t="str">
        <f>IFERROR(__xludf.DUMMYFUNCTION("GOOGLETRANSLATE(B11914,""en"",""es-ES"")"),"Un hombre aparece en la pantalla colgando de un arnés para dar algunas instrucciones.")</f>
        <v>Un hombre aparece en la pantalla colgando de un arnés para dar algunas instrucciones.</v>
      </c>
    </row>
    <row r="11915">
      <c r="A11915" s="4" t="s">
        <v>14986</v>
      </c>
      <c r="B11915" s="4" t="s">
        <v>14989</v>
      </c>
      <c r="C11915" s="5" t="str">
        <f>IFERROR(__xludf.DUMMYFUNCTION("GOOGLETRANSLATE(B11915,""en"",""es-ES"")"),"El video le corta trepando por la pared mientras continúa su narración.")</f>
        <v>El video le corta trepando por la pared mientras continúa su narración.</v>
      </c>
    </row>
    <row r="11916">
      <c r="A11916" s="4" t="s">
        <v>14986</v>
      </c>
      <c r="B11916" s="4" t="s">
        <v>14990</v>
      </c>
      <c r="C11916" s="5" t="str">
        <f>IFERROR(__xludf.DUMMYFUNCTION("GOOGLETRANSLATE(B11916,""en"",""es-ES"")"),"El video corta a otra persona con una camisa verde que recibe ayuda para tratar de escalar la pared.")</f>
        <v>El video corta a otra persona con una camisa verde que recibe ayuda para tratar de escalar la pared.</v>
      </c>
    </row>
    <row r="11917">
      <c r="A11917" s="4" t="s">
        <v>14986</v>
      </c>
      <c r="B11917" s="4" t="s">
        <v>14991</v>
      </c>
      <c r="C11917" s="5" t="str">
        <f>IFERROR(__xludf.DUMMYFUNCTION("GOOGLETRANSLATE(B11917,""en"",""es-ES"")"),"El video muestra una pantalla dividida con dos vistas de un hombre que sube la pared.")</f>
        <v>El video muestra una pantalla dividida con dos vistas de un hombre que sube la pared.</v>
      </c>
    </row>
    <row r="11918">
      <c r="A11918" s="4" t="s">
        <v>14986</v>
      </c>
      <c r="B11918" s="4" t="s">
        <v>14992</v>
      </c>
      <c r="C11918" s="5" t="str">
        <f>IFERROR(__xludf.DUMMYFUNCTION("GOOGLETRANSLATE(B11918,""en"",""es-ES"")"),"Luego, se muestra a una mujer tratando de escalar la pared.")</f>
        <v>Luego, se muestra a una mujer tratando de escalar la pared.</v>
      </c>
    </row>
    <row r="11919">
      <c r="A11919" s="4" t="s">
        <v>14986</v>
      </c>
      <c r="B11919" s="4" t="s">
        <v>14993</v>
      </c>
      <c r="C11919" s="5" t="str">
        <f>IFERROR(__xludf.DUMMYFUNCTION("GOOGLETRANSLATE(B11919,""en"",""es-ES"")"),"Se muestra una advertencia en la pantalla al final del video.")</f>
        <v>Se muestra una advertencia en la pantalla al final del video.</v>
      </c>
    </row>
    <row r="11920">
      <c r="A11920" s="4" t="s">
        <v>14994</v>
      </c>
      <c r="B11920" s="4" t="s">
        <v>14995</v>
      </c>
      <c r="C11920" s="5" t="str">
        <f>IFERROR(__xludf.DUMMYFUNCTION("GOOGLETRANSLATE(B11920,""en"",""es-ES"")"),"Vemos los créditos iniciales en una pantalla negra.")</f>
        <v>Vemos los créditos iniciales en una pantalla negra.</v>
      </c>
    </row>
    <row r="11921">
      <c r="A11921" s="4" t="s">
        <v>14994</v>
      </c>
      <c r="B11921" s="4" t="s">
        <v>14996</v>
      </c>
      <c r="C11921" s="5" t="str">
        <f>IFERROR(__xludf.DUMMYFUNCTION("GOOGLETRANSLATE(B11921,""en"",""es-ES"")"),"Luego vemos a un hombre entrenando a un hombre en un garaje y hablando con la cámara.")</f>
        <v>Luego vemos a un hombre entrenando a un hombre en un garaje y hablando con la cámara.</v>
      </c>
    </row>
    <row r="11922">
      <c r="A11922" s="4" t="s">
        <v>14994</v>
      </c>
      <c r="B11922" s="4" t="s">
        <v>14997</v>
      </c>
      <c r="C11922" s="5" t="str">
        <f>IFERROR(__xludf.DUMMYFUNCTION("GOOGLETRANSLATE(B11922,""en"",""es-ES"")"),"El hombre en gris se pone de rodilla en la alfombra azul.")</f>
        <v>El hombre en gris se pone de rodilla en la alfombra azul.</v>
      </c>
    </row>
    <row r="11923">
      <c r="A11923" s="4" t="s">
        <v>14994</v>
      </c>
      <c r="B11923" s="4" t="s">
        <v>14998</v>
      </c>
      <c r="C11923" s="5" t="str">
        <f>IFERROR(__xludf.DUMMYFUNCTION("GOOGLETRANSLATE(B11923,""en"",""es-ES"")"),"El hombre se para y se pone de rodillas.")</f>
        <v>El hombre se para y se pone de rodillas.</v>
      </c>
    </row>
    <row r="11924">
      <c r="A11924" s="4" t="s">
        <v>14994</v>
      </c>
      <c r="B11924" s="4" t="s">
        <v>14999</v>
      </c>
      <c r="C11924" s="5" t="str">
        <f>IFERROR(__xludf.DUMMYFUNCTION("GOOGLETRANSLATE(B11924,""en"",""es-ES"")"),"El hombre arrodillado se pone de pie de nuevo.")</f>
        <v>El hombre arrodillado se pone de pie de nuevo.</v>
      </c>
    </row>
    <row r="11925">
      <c r="A11925" s="4" t="s">
        <v>14994</v>
      </c>
      <c r="B11925" s="4" t="s">
        <v>15000</v>
      </c>
      <c r="C11925" s="5" t="str">
        <f>IFERROR(__xludf.DUMMYFUNCTION("GOOGLETRANSLATE(B11925,""en"",""es-ES"")"),"Vemos una pantalla de título y vemos al hombre arrodillado sosteniendo una máquina que él baja hacia abajo y hacia afuera.")</f>
        <v>Vemos una pantalla de título y vemos al hombre arrodillado sosteniendo una máquina que él baja hacia abajo y hacia afuera.</v>
      </c>
    </row>
    <row r="11926">
      <c r="A11926" s="4" t="s">
        <v>14994</v>
      </c>
      <c r="B11926" s="4" t="s">
        <v>15001</v>
      </c>
      <c r="C11926" s="5" t="str">
        <f>IFERROR(__xludf.DUMMYFUNCTION("GOOGLETRANSLATE(B11926,""en"",""es-ES"")"),"Libera el cable, los créditos en la ejecución del video.")</f>
        <v>Libera el cable, los créditos en la ejecución del video.</v>
      </c>
    </row>
    <row r="11927">
      <c r="A11927" s="4" t="s">
        <v>15002</v>
      </c>
      <c r="B11927" s="4" t="s">
        <v>15003</v>
      </c>
      <c r="C11927" s="5" t="str">
        <f>IFERROR(__xludf.DUMMYFUNCTION("GOOGLETRANSLATE(B11927,""en"",""es-ES"")"),"Los niños de Litle están parados frente a una Ouse hablando con la cámara y haciendo limonada.")</f>
        <v>Los niños de Litle están parados frente a una Ouse hablando con la cámara y haciendo limonada.</v>
      </c>
    </row>
    <row r="11928">
      <c r="A11928" s="4" t="s">
        <v>15002</v>
      </c>
      <c r="B11928" s="4" t="s">
        <v>15004</v>
      </c>
      <c r="C11928" s="5" t="str">
        <f>IFERROR(__xludf.DUMMYFUNCTION("GOOGLETRANSLATE(B11928,""en"",""es-ES"")"),"El niño abre una olla y agarra el azúcar y vertió una taza de agua, jugo de limón y la mezcla con una cuchara.")</f>
        <v>El niño abre una olla y agarra el azúcar y vertió una taza de agua, jugo de limón y la mezcla con una cuchara.</v>
      </c>
    </row>
    <row r="11929">
      <c r="A11929" s="4" t="s">
        <v>15005</v>
      </c>
      <c r="B11929" s="4" t="s">
        <v>15006</v>
      </c>
      <c r="C11929" s="5" t="str">
        <f>IFERROR(__xludf.DUMMYFUNCTION("GOOGLETRANSLATE(B11929,""en"",""es-ES"")"),"Se ve a un hombre de pie listo con un juego de gaitas y comienza a tocarlos para la cámara.")</f>
        <v>Se ve a un hombre de pie listo con un juego de gaitas y comienza a tocarlos para la cámara.</v>
      </c>
    </row>
    <row r="11930">
      <c r="A11930" s="4" t="s">
        <v>15005</v>
      </c>
      <c r="B11930" s="4" t="s">
        <v>15007</v>
      </c>
      <c r="C11930" s="5" t="str">
        <f>IFERROR(__xludf.DUMMYFUNCTION("GOOGLETRANSLATE(B11930,""en"",""es-ES"")"),"El hombre continúa jugando y luego se detiene para mirar la cámara.")</f>
        <v>El hombre continúa jugando y luego se detiene para mirar la cámara.</v>
      </c>
    </row>
    <row r="11931">
      <c r="A11931" s="4" t="s">
        <v>15008</v>
      </c>
      <c r="B11931" s="4" t="s">
        <v>15009</v>
      </c>
      <c r="C11931" s="5" t="str">
        <f>IFERROR(__xludf.DUMMYFUNCTION("GOOGLETRANSLATE(B11931,""en"",""es-ES"")"),"Una pantalla blanca con formas azules y blancas y palabras negras parpadean en la pantalla.")</f>
        <v>Una pantalla blanca con formas azules y blancas y palabras negras parpadean en la pantalla.</v>
      </c>
    </row>
    <row r="11932">
      <c r="A11932" s="4" t="s">
        <v>15008</v>
      </c>
      <c r="B11932" s="4" t="s">
        <v>15010</v>
      </c>
      <c r="C11932" s="5" t="str">
        <f>IFERROR(__xludf.DUMMYFUNCTION("GOOGLETRANSLATE(B11932,""en"",""es-ES"")"),"Un hombre negro sonriente está en una cocina residencial y lleva un sombrero de Santa y vierte ingredientes en un tazón grande.")</f>
        <v>Un hombre negro sonriente está en una cocina residencial y lleva un sombrero de Santa y vierte ingredientes en un tazón grande.</v>
      </c>
    </row>
    <row r="11933">
      <c r="A11933" s="4" t="s">
        <v>15008</v>
      </c>
      <c r="B11933" s="4" t="s">
        <v>15011</v>
      </c>
      <c r="C11933" s="5" t="str">
        <f>IFERROR(__xludf.DUMMYFUNCTION("GOOGLETRANSLATE(B11933,""en"",""es-ES"")"),"Una mano empuja un tazón transparente lleno de higos oscuros y un tablero de corte aparece inmediatamente después y las instrucciones en la pantalla dicen que cortan los tallos de 1 lb de higos y los cuartos.")</f>
        <v>Una mano empuja un tazón transparente lleno de higos oscuros y un tablero de corte aparece inmediatamente después y las instrucciones en la pantalla dicen que cortan los tallos de 1 lb de higos y los cuartos.</v>
      </c>
    </row>
    <row r="11934">
      <c r="A11934" s="4" t="s">
        <v>15008</v>
      </c>
      <c r="B11934" s="4" t="s">
        <v>15012</v>
      </c>
      <c r="C11934" s="5" t="str">
        <f>IFERROR(__xludf.DUMMYFUNCTION("GOOGLETRANSLATE(B11934,""en"",""es-ES"")"),"Mientras que se muestra la lista de ingredientes que incluyen: higos de 1 lb, pasas de 1 lb, cerezas de 1 lb, grosellas de 1 lb, ciruelas de 1 lb, vino de puerto y amargos de Angostura; Todos son vertidos en un cubo blanco.")</f>
        <v>Mientras que se muestra la lista de ingredientes que incluyen: higos de 1 lb, pasas de 1 lb, cerezas de 1 lb, grosellas de 1 lb, ciruelas de 1 lb, vino de puerto y amargos de Angostura; Todos son vertidos en un cubo blanco.</v>
      </c>
    </row>
    <row r="11935">
      <c r="A11935" s="4" t="s">
        <v>15008</v>
      </c>
      <c r="B11935" s="4" t="s">
        <v>15013</v>
      </c>
      <c r="C11935" s="5" t="str">
        <f>IFERROR(__xludf.DUMMYFUNCTION("GOOGLETRANSLATE(B11935,""en"",""es-ES"")"),"La agitación comienza de inmediato y las instrucciones en la pantalla dicen que lo empape durante al menos dos semanas hasta hasta 30 días.")</f>
        <v>La agitación comienza de inmediato y las instrucciones en la pantalla dicen que lo empape durante al menos dos semanas hasta hasta 30 días.</v>
      </c>
    </row>
    <row r="11936">
      <c r="A11936" s="4" t="s">
        <v>15008</v>
      </c>
      <c r="B11936" s="4" t="s">
        <v>15014</v>
      </c>
      <c r="C11936" s="5" t="str">
        <f>IFERROR(__xludf.DUMMYFUNCTION("GOOGLETRANSLATE(B11936,""en"",""es-ES"")"),"30 días después, el contenido se agita y se coloca en un procesador de alimentos y se convierte en una pasta.")</f>
        <v>30 días después, el contenido se agita y se coloca en un procesador de alimentos y se convierte en una pasta.</v>
      </c>
    </row>
    <row r="11937">
      <c r="A11937" s="4" t="s">
        <v>15008</v>
      </c>
      <c r="B11937" s="4" t="s">
        <v>15015</v>
      </c>
      <c r="C11937" s="5" t="str">
        <f>IFERROR(__xludf.DUMMYFUNCTION("GOOGLETRANSLATE(B11937,""en"",""es-ES"")"),"El hombre engrasa un molde para pastel redondo de 10x3 y lo cubre con papel pergamino.")</f>
        <v>El hombre engrasa un molde para pastel redondo de 10x3 y lo cubre con papel pergamino.</v>
      </c>
    </row>
    <row r="11938">
      <c r="A11938" s="4" t="s">
        <v>15008</v>
      </c>
      <c r="B11938" s="4" t="s">
        <v>15016</v>
      </c>
      <c r="C11938" s="5" t="str">
        <f>IFERROR(__xludf.DUMMYFUNCTION("GOOGLETRANSLATE(B11938,""en"",""es-ES"")"),"Una lista y tazones de más ingredientes se preparan y se verían en una olla de metal grande y se agitan vigorosamente.")</f>
        <v>Una lista y tazones de más ingredientes se preparan y se verían en una olla de metal grande y se agitan vigorosamente.</v>
      </c>
    </row>
    <row r="11939">
      <c r="A11939" s="4" t="s">
        <v>15008</v>
      </c>
      <c r="B11939" s="4" t="s">
        <v>15017</v>
      </c>
      <c r="C11939" s="5" t="str">
        <f>IFERROR(__xludf.DUMMYFUNCTION("GOOGLETRANSLATE(B11939,""en"",""es-ES"")"),"Aparece una gran bandeja de metal rectangular con instrucciones que dicen que llenan con una sartén de agua caliente.")</f>
        <v>Aparece una gran bandeja de metal rectangular con instrucciones que dicen que llenan con una sartén de agua caliente.</v>
      </c>
    </row>
    <row r="11940">
      <c r="A11940" s="4" t="s">
        <v>15008</v>
      </c>
      <c r="B11940" s="4" t="s">
        <v>15018</v>
      </c>
      <c r="C11940" s="5" t="str">
        <f>IFERROR(__xludf.DUMMYFUNCTION("GOOGLETRANSLATE(B11940,""en"",""es-ES"")"),"Aparece el molde para pastel circular que se engrasó anterior, y el contenido revuelto se vierte en él y se colocan en la sartén de agua caliente donde todos se colocan en el horno.")</f>
        <v>Aparece el molde para pastel circular que se engrasó anterior, y el contenido revuelto se vierte en él y se colocan en la sartén de agua caliente donde todos se colocan en el horno.</v>
      </c>
    </row>
    <row r="11941">
      <c r="A11941" s="4" t="s">
        <v>15008</v>
      </c>
      <c r="B11941" s="4" t="s">
        <v>15019</v>
      </c>
      <c r="C11941" s="5" t="str">
        <f>IFERROR(__xludf.DUMMYFUNCTION("GOOGLETRANSLATE(B11941,""en"",""es-ES"")"),"Cuando termine, hornear y enfriar, el pastel se coloca en un plato donde está glaseado, corta y se coloca una rebanada en otro plato.")</f>
        <v>Cuando termine, hornear y enfriar, el pastel se coloca en un plato donde está glaseado, corta y se coloca una rebanada en otro plato.</v>
      </c>
    </row>
    <row r="11942">
      <c r="A11942" s="4" t="s">
        <v>15020</v>
      </c>
      <c r="B11942" s="4" t="s">
        <v>15021</v>
      </c>
      <c r="C11942" s="5" t="str">
        <f>IFERROR(__xludf.DUMMYFUNCTION("GOOGLETRANSLATE(B11942,""en"",""es-ES"")"),"Un hombre con los ojos vendados se balancea en una piñata con un bate, mientras que otros miran desde los asientos cercanos.")</f>
        <v>Un hombre con los ojos vendados se balancea en una piñata con un bate, mientras que otros miran desde los asientos cercanos.</v>
      </c>
    </row>
    <row r="11943">
      <c r="A11943" s="4" t="s">
        <v>15020</v>
      </c>
      <c r="B11943" s="4" t="s">
        <v>15022</v>
      </c>
      <c r="C11943" s="5" t="str">
        <f>IFERROR(__xludf.DUMMYFUNCTION("GOOGLETRANSLATE(B11943,""en"",""es-ES"")"),"El hombre logra romper la piñata.")</f>
        <v>El hombre logra romper la piñata.</v>
      </c>
    </row>
    <row r="11944">
      <c r="A11944" s="4" t="s">
        <v>15020</v>
      </c>
      <c r="B11944" s="4" t="s">
        <v>15023</v>
      </c>
      <c r="C11944" s="5" t="str">
        <f>IFERROR(__xludf.DUMMYFUNCTION("GOOGLETRANSLATE(B11944,""en"",""es-ES"")"),"El hombre se quita los ojos vendados a medida que algunos de los otros se acercan a él.")</f>
        <v>El hombre se quita los ojos vendados a medida que algunos de los otros se acercan a él.</v>
      </c>
    </row>
    <row r="11945">
      <c r="A11945" s="4" t="s">
        <v>15024</v>
      </c>
      <c r="B11945" s="4" t="s">
        <v>15025</v>
      </c>
      <c r="C11945" s="5" t="str">
        <f>IFERROR(__xludf.DUMMYFUNCTION("GOOGLETRANSLATE(B11945,""en"",""es-ES"")"),"Dos hombres ingresan a una cancha de squash para competir en un juego de squash.")</f>
        <v>Dos hombres ingresan a una cancha de squash para competir en un juego de squash.</v>
      </c>
    </row>
    <row r="11946">
      <c r="A11946" s="4" t="s">
        <v>15024</v>
      </c>
      <c r="B11946" s="4" t="s">
        <v>15026</v>
      </c>
      <c r="C11946" s="5" t="str">
        <f>IFERROR(__xludf.DUMMYFUNCTION("GOOGLETRANSLATE(B11946,""en"",""es-ES"")"),"Un hombre lleva una camisa blanca y el otro hombre lleva una camisa oscura.")</f>
        <v>Un hombre lleva una camisa blanca y el otro hombre lleva una camisa oscura.</v>
      </c>
    </row>
    <row r="11947">
      <c r="A11947" s="4" t="s">
        <v>15024</v>
      </c>
      <c r="B11947" s="4" t="s">
        <v>15027</v>
      </c>
      <c r="C11947" s="5" t="str">
        <f>IFERROR(__xludf.DUMMYFUNCTION("GOOGLETRANSLATE(B11947,""en"",""es-ES"")"),"Los hombres comienzan a jugar mientras el juego progresa a cada hombre que sirve de la caja de servicio.")</f>
        <v>Los hombres comienzan a jugar mientras el juego progresa a cada hombre que sirve de la caja de servicio.</v>
      </c>
    </row>
    <row r="11948">
      <c r="A11948" s="4" t="s">
        <v>15024</v>
      </c>
      <c r="B11948" s="4" t="s">
        <v>15028</v>
      </c>
      <c r="C11948" s="5" t="str">
        <f>IFERROR(__xludf.DUMMYFUNCTION("GOOGLETRANSLATE(B11948,""en"",""es-ES"")"),"El juego termina con un batido de mano y una ola para la multitud.")</f>
        <v>El juego termina con un batido de mano y una ola para la multitud.</v>
      </c>
    </row>
    <row r="11949">
      <c r="A11949" s="4" t="s">
        <v>15024</v>
      </c>
      <c r="B11949" s="4" t="s">
        <v>15029</v>
      </c>
      <c r="C11949" s="5" t="str">
        <f>IFERROR(__xludf.DUMMYFUNCTION("GOOGLETRANSLATE(B11949,""en"",""es-ES"")"),"Una niña en una blusa rosa entra en la cancha de squash cuando otro hombre entra en la cancha.")</f>
        <v>Una niña en una blusa rosa entra en la cancha de squash cuando otro hombre entra en la cancha.</v>
      </c>
    </row>
    <row r="11950">
      <c r="A11950" s="4" t="s">
        <v>15030</v>
      </c>
      <c r="B11950" s="4" t="s">
        <v>15031</v>
      </c>
      <c r="C11950" s="5" t="str">
        <f>IFERROR(__xludf.DUMMYFUNCTION("GOOGLETRANSLATE(B11950,""en"",""es-ES"")"),"Varias fotos conducen a clips de personas que viajan por un río en canoas y kayaks.")</f>
        <v>Varias fotos conducen a clips de personas que viajan por un río en canoas y kayaks.</v>
      </c>
    </row>
    <row r="11951">
      <c r="A11951" s="4" t="s">
        <v>15030</v>
      </c>
      <c r="B11951" s="4" t="s">
        <v>15032</v>
      </c>
      <c r="C11951" s="5" t="str">
        <f>IFERROR(__xludf.DUMMYFUNCTION("GOOGLETRANSLATE(B11951,""en"",""es-ES"")"),"Se muestra a varias personas que viajan a lo largo de los ríos ásperos mientras reman a sí mismos.")</f>
        <v>Se muestra a varias personas que viajan a lo largo de los ríos ásperos mientras reman a sí mismos.</v>
      </c>
    </row>
    <row r="11952">
      <c r="A11952" s="4" t="s">
        <v>15030</v>
      </c>
      <c r="B11952" s="4" t="s">
        <v>15033</v>
      </c>
      <c r="C11952" s="5" t="str">
        <f>IFERROR(__xludf.DUMMYFUNCTION("GOOGLETRANSLATE(B11952,""en"",""es-ES"")"),"La gente continúa empujándose por el agua mientras la cámara sigue sus movimientos.")</f>
        <v>La gente continúa empujándose por el agua mientras la cámara sigue sus movimientos.</v>
      </c>
    </row>
    <row r="11953">
      <c r="A11953" s="4" t="s">
        <v>15034</v>
      </c>
      <c r="B11953" s="4" t="s">
        <v>15035</v>
      </c>
      <c r="C11953" s="5" t="str">
        <f>IFERROR(__xludf.DUMMYFUNCTION("GOOGLETRANSLATE(B11953,""en"",""es-ES"")"),"Las mujeres se sientan afuera en pequeñas sillas y lavan la ropa en las bañeras de plástico.")</f>
        <v>Las mujeres se sientan afuera en pequeñas sillas y lavan la ropa en las bañeras de plástico.</v>
      </c>
    </row>
    <row r="11954">
      <c r="A11954" s="4" t="s">
        <v>15034</v>
      </c>
      <c r="B11954" s="4" t="s">
        <v>15036</v>
      </c>
      <c r="C11954" s="5" t="str">
        <f>IFERROR(__xludf.DUMMYFUNCTION("GOOGLETRANSLATE(B11954,""en"",""es-ES"")"),"La Lady frota una prenda en una tabla de madera.")</f>
        <v>La Lady frota una prenda en una tabla de madera.</v>
      </c>
    </row>
    <row r="11955">
      <c r="A11955" s="4" t="s">
        <v>15034</v>
      </c>
      <c r="B11955" s="4" t="s">
        <v>15037</v>
      </c>
      <c r="C11955" s="5" t="str">
        <f>IFERROR(__xludf.DUMMYFUNCTION("GOOGLETRANSLATE(B11955,""en"",""es-ES"")"),"La dama anima el agua de una prenda y luego la arroja a un lado cuando termina de lavarla.")</f>
        <v>La dama anima el agua de una prenda y luego la arroja a un lado cuando termina de lavarla.</v>
      </c>
    </row>
    <row r="11956">
      <c r="A11956" s="4" t="s">
        <v>15038</v>
      </c>
      <c r="B11956" s="4" t="s">
        <v>15039</v>
      </c>
      <c r="C11956" s="5" t="str">
        <f>IFERROR(__xludf.DUMMYFUNCTION("GOOGLETRANSLATE(B11956,""en"",""es-ES"")"),"Un niño está patinando en un estacionamiento.")</f>
        <v>Un niño está patinando en un estacionamiento.</v>
      </c>
    </row>
    <row r="11957">
      <c r="A11957" s="4" t="s">
        <v>15038</v>
      </c>
      <c r="B11957" s="4" t="s">
        <v>15040</v>
      </c>
      <c r="C11957" s="5" t="str">
        <f>IFERROR(__xludf.DUMMYFUNCTION("GOOGLETRANSLATE(B11957,""en"",""es-ES"")"),"Hace varios movimientos, bailando y hablando.")</f>
        <v>Hace varios movimientos, bailando y hablando.</v>
      </c>
    </row>
    <row r="11958">
      <c r="A11958" s="4" t="s">
        <v>15038</v>
      </c>
      <c r="B11958" s="4" t="s">
        <v>15041</v>
      </c>
      <c r="C11958" s="5" t="str">
        <f>IFERROR(__xludf.DUMMYFUNCTION("GOOGLETRANSLATE(B11958,""en"",""es-ES"")"),"El niño patina alrededor del estacionamiento en patines en línea.")</f>
        <v>El niño patina alrededor del estacionamiento en patines en línea.</v>
      </c>
    </row>
    <row r="11959">
      <c r="A11959" s="4" t="s">
        <v>15042</v>
      </c>
      <c r="B11959" s="4" t="s">
        <v>15043</v>
      </c>
      <c r="C11959" s="5" t="str">
        <f>IFERROR(__xludf.DUMMYFUNCTION("GOOGLETRANSLATE(B11959,""en"",""es-ES"")"),"Se ve a un gran grupo de personas caminando en un escenario con un hombre que habla con la multitud y conduce al grupo bailando entre sí.")</f>
        <v>Se ve a un gran grupo de personas caminando en un escenario con un hombre que habla con la multitud y conduce al grupo bailando entre sí.</v>
      </c>
    </row>
    <row r="11960">
      <c r="A11960" s="4" t="s">
        <v>15042</v>
      </c>
      <c r="B11960" s="4" t="s">
        <v>15044</v>
      </c>
      <c r="C11960" s="5" t="str">
        <f>IFERROR(__xludf.DUMMYFUNCTION("GOOGLETRANSLATE(B11960,""en"",""es-ES"")"),"La gente continúa bailando juntos mientras la cámara los captura desde varios ángulos.")</f>
        <v>La gente continúa bailando juntos mientras la cámara los captura desde varios ángulos.</v>
      </c>
    </row>
    <row r="11961">
      <c r="A11961" s="4" t="s">
        <v>15045</v>
      </c>
      <c r="B11961" s="4" t="s">
        <v>15046</v>
      </c>
      <c r="C11961" s="5" t="str">
        <f>IFERROR(__xludf.DUMMYFUNCTION("GOOGLETRANSLATE(B11961,""en"",""es-ES"")"),"La cámara se centra en un hombre que pilota un velero en un entorno de puerto.")</f>
        <v>La cámara se centra en un hombre que pilota un velero en un entorno de puerto.</v>
      </c>
    </row>
    <row r="11962">
      <c r="A11962" s="4" t="s">
        <v>15045</v>
      </c>
      <c r="B11962" s="4" t="s">
        <v>15047</v>
      </c>
      <c r="C11962" s="5" t="str">
        <f>IFERROR(__xludf.DUMMYFUNCTION("GOOGLETRANSLATE(B11962,""en"",""es-ES"")"),"La vela del bote se sumerge en el agua.")</f>
        <v>La vela del bote se sumerge en el agua.</v>
      </c>
    </row>
    <row r="11963">
      <c r="A11963" s="4" t="s">
        <v>15045</v>
      </c>
      <c r="B11963" s="4" t="s">
        <v>15048</v>
      </c>
      <c r="C11963" s="5" t="str">
        <f>IFERROR(__xludf.DUMMYFUNCTION("GOOGLETRANSLATE(B11963,""en"",""es-ES"")"),"El hombre derechos en el velero y continúa.")</f>
        <v>El hombre derechos en el velero y continúa.</v>
      </c>
    </row>
    <row r="11964">
      <c r="A11964" s="4" t="s">
        <v>15049</v>
      </c>
      <c r="B11964" s="4" t="s">
        <v>15050</v>
      </c>
      <c r="C11964" s="5" t="str">
        <f>IFERROR(__xludf.DUMMYFUNCTION("GOOGLETRANSLATE(B11964,""en"",""es-ES"")"),"Un hombre está practicando en el interior, está haciendo intervalos de salto mientras corre.")</f>
        <v>Un hombre está practicando en el interior, está haciendo intervalos de salto mientras corre.</v>
      </c>
    </row>
    <row r="11965">
      <c r="A11965" s="4" t="s">
        <v>15049</v>
      </c>
      <c r="B11965" s="4" t="s">
        <v>15051</v>
      </c>
      <c r="C11965" s="5" t="str">
        <f>IFERROR(__xludf.DUMMYFUNCTION("GOOGLETRANSLATE(B11965,""en"",""es-ES"")"),"Una vez que aterriza en la arena, regresa para comenzar de nuevo.")</f>
        <v>Una vez que aterriza en la arena, regresa para comenzar de nuevo.</v>
      </c>
    </row>
    <row r="11966">
      <c r="A11966" s="4" t="s">
        <v>15049</v>
      </c>
      <c r="B11966" s="4" t="s">
        <v>15052</v>
      </c>
      <c r="C11966" s="5" t="str">
        <f>IFERROR(__xludf.DUMMYFUNCTION("GOOGLETRANSLATE(B11966,""en"",""es-ES"")"),"Hace esto una y otra vez cada vez que comienza más atrás.")</f>
        <v>Hace esto una y otra vez cada vez que comienza más atrás.</v>
      </c>
    </row>
    <row r="11967">
      <c r="A11967" s="4" t="s">
        <v>15049</v>
      </c>
      <c r="B11967" s="4" t="s">
        <v>15053</v>
      </c>
      <c r="C11967" s="5" t="str">
        <f>IFERROR(__xludf.DUMMYFUNCTION("GOOGLETRANSLATE(B11967,""en"",""es-ES"")"),"Entonces la práctica ha terminado y está hecha.")</f>
        <v>Entonces la práctica ha terminado y está hecha.</v>
      </c>
    </row>
    <row r="11968">
      <c r="A11968" s="4" t="s">
        <v>15054</v>
      </c>
      <c r="B11968" s="4" t="s">
        <v>15055</v>
      </c>
      <c r="C11968" s="5" t="str">
        <f>IFERROR(__xludf.DUMMYFUNCTION("GOOGLETRANSLATE(B11968,""en"",""es-ES"")"),"Una camioneta conduce por un camino rural y se tira al costado de la carretera con una llanta pinchada.")</f>
        <v>Una camioneta conduce por un camino rural y se tira al costado de la carretera con una llanta pinchada.</v>
      </c>
    </row>
    <row r="11969">
      <c r="A11969" s="4" t="s">
        <v>15054</v>
      </c>
      <c r="B11969" s="4" t="s">
        <v>15056</v>
      </c>
      <c r="C11969" s="5" t="str">
        <f>IFERROR(__xludf.DUMMYFUNCTION("GOOGLETRANSLATE(B11969,""en"",""es-ES"")"),"El conductor cae con un gato de mano y está frustrado.")</f>
        <v>El conductor cae con un gato de mano y está frustrado.</v>
      </c>
    </row>
    <row r="11970">
      <c r="A11970" s="4" t="s">
        <v>15054</v>
      </c>
      <c r="B11970" s="4" t="s">
        <v>15057</v>
      </c>
      <c r="C11970" s="5" t="str">
        <f>IFERROR(__xludf.DUMMYFUNCTION("GOOGLETRANSLATE(B11970,""en"",""es-ES"")"),"Luego, el conductor usa un gato eléctrico para levantar la rueda del automóvil.")</f>
        <v>Luego, el conductor usa un gato eléctrico para levantar la rueda del automóvil.</v>
      </c>
    </row>
    <row r="11971">
      <c r="A11971" s="4" t="s">
        <v>15054</v>
      </c>
      <c r="B11971" s="4" t="s">
        <v>15058</v>
      </c>
      <c r="C11971" s="5" t="str">
        <f>IFERROR(__xludf.DUMMYFUNCTION("GOOGLETRANSLATE(B11971,""en"",""es-ES"")"),"La mujer conecta un taladro de mano eléctrico y lo usa para quitar las tuercas.")</f>
        <v>La mujer conecta un taladro de mano eléctrico y lo usa para quitar las tuercas.</v>
      </c>
    </row>
    <row r="11972">
      <c r="A11972" s="4" t="s">
        <v>15054</v>
      </c>
      <c r="B11972" s="4" t="s">
        <v>15059</v>
      </c>
      <c r="C11972" s="5" t="str">
        <f>IFERROR(__xludf.DUMMYFUNCTION("GOOGLETRANSLATE(B11972,""en"",""es-ES"")"),"La mujer pone un neumático nuevo en el automóvil y lo ataca en su lugar.")</f>
        <v>La mujer pone un neumático nuevo en el automóvil y lo ataca en su lugar.</v>
      </c>
    </row>
    <row r="11973">
      <c r="A11973" s="4" t="s">
        <v>15054</v>
      </c>
      <c r="B11973" s="4" t="s">
        <v>15060</v>
      </c>
      <c r="C11973" s="5" t="str">
        <f>IFERROR(__xludf.DUMMYFUNCTION("GOOGLETRANSLATE(B11973,""en"",""es-ES"")"),"La mujer baja la rueda del auto del gato.")</f>
        <v>La mujer baja la rueda del auto del gato.</v>
      </c>
    </row>
    <row r="11974">
      <c r="A11974" s="4" t="s">
        <v>15054</v>
      </c>
      <c r="B11974" s="4" t="s">
        <v>15061</v>
      </c>
      <c r="C11974" s="5" t="str">
        <f>IFERROR(__xludf.DUMMYFUNCTION("GOOGLETRANSLATE(B11974,""en"",""es-ES"")"),"Un hombre apunta a las diferentes herramientas en una caja de herramientas.")</f>
        <v>Un hombre apunta a las diferentes herramientas en una caja de herramientas.</v>
      </c>
    </row>
    <row r="11975">
      <c r="A11975" s="4" t="s">
        <v>15054</v>
      </c>
      <c r="B11975" s="4" t="s">
        <v>15062</v>
      </c>
      <c r="C11975" s="5" t="str">
        <f>IFERROR(__xludf.DUMMYFUNCTION("GOOGLETRANSLATE(B11975,""en"",""es-ES"")"),"El hombre engancha un cargador hasta la batería del automóvil.")</f>
        <v>El hombre engancha un cargador hasta la batería del automóvil.</v>
      </c>
    </row>
    <row r="11976">
      <c r="A11976" s="4" t="s">
        <v>15063</v>
      </c>
      <c r="B11976" s="4" t="s">
        <v>15064</v>
      </c>
      <c r="C11976" s="5" t="str">
        <f>IFERROR(__xludf.DUMMYFUNCTION("GOOGLETRANSLATE(B11976,""en"",""es-ES"")"),"Un hombre se arrodilla sobre una pelota y sostiene una caña.")</f>
        <v>Un hombre se arrodilla sobre una pelota y sostiene una caña.</v>
      </c>
    </row>
    <row r="11977">
      <c r="A11977" s="4" t="s">
        <v>15063</v>
      </c>
      <c r="B11977" s="4" t="s">
        <v>15065</v>
      </c>
      <c r="C11977" s="5" t="str">
        <f>IFERROR(__xludf.DUMMYFUNCTION("GOOGLETRANSLATE(B11977,""en"",""es-ES"")"),"El hombre empuja su cuerpo hacia adelante empujando la barra.")</f>
        <v>El hombre empuja su cuerpo hacia adelante empujando la barra.</v>
      </c>
    </row>
    <row r="11978">
      <c r="A11978" s="4" t="s">
        <v>15063</v>
      </c>
      <c r="B11978" s="4" t="s">
        <v>15066</v>
      </c>
      <c r="C11978" s="5" t="str">
        <f>IFERROR(__xludf.DUMMYFUNCTION("GOOGLETRANSLATE(B11978,""en"",""es-ES"")"),"Luego, el hombre lleva su cuerpo a una posición recta, luego nuevamente trae su cuerpo hacia adelante.")</f>
        <v>Luego, el hombre lleva su cuerpo a una posición recta, luego nuevamente trae su cuerpo hacia adelante.</v>
      </c>
    </row>
    <row r="11979">
      <c r="A11979" s="4" t="s">
        <v>15067</v>
      </c>
      <c r="B11979" s="4" t="s">
        <v>15068</v>
      </c>
      <c r="C11979" s="5" t="str">
        <f>IFERROR(__xludf.DUMMYFUNCTION("GOOGLETRANSLATE(B11979,""en"",""es-ES"")"),"Una mujer está limpiando el piso de azulejos blancos con un trapeador.")</f>
        <v>Una mujer está limpiando el piso de azulejos blancos con un trapeador.</v>
      </c>
    </row>
    <row r="11980">
      <c r="A11980" s="4" t="s">
        <v>15067</v>
      </c>
      <c r="B11980" s="4" t="s">
        <v>15069</v>
      </c>
      <c r="C11980" s="5" t="str">
        <f>IFERROR(__xludf.DUMMYFUNCTION("GOOGLETRANSLATE(B11980,""en"",""es-ES"")"),"La mujer puso el trapeador en un cubo verde y lo puso en un colador para exprimir el exceso de agua, luego empujó el mango del mapa del piso mientras exprimía el agua y comenzó a trapear el piso, y debajo de las sillas, lado de la Sofá, el líquido en el p"&amp;"iso.")</f>
        <v>La mujer puso el trapeador en un cubo verde y lo puso en un colador para exprimir el exceso de agua, luego empujó el mango del mapa del piso mientras exprimía el agua y comenzó a trapear el piso, y debajo de las sillas, lado de la Sofá, el líquido en el piso.</v>
      </c>
    </row>
    <row r="11981">
      <c r="A11981" s="4" t="s">
        <v>15070</v>
      </c>
      <c r="B11981" s="4" t="s">
        <v>15071</v>
      </c>
      <c r="C11981" s="5" t="str">
        <f>IFERROR(__xludf.DUMMYFUNCTION("GOOGLETRANSLATE(B11981,""en"",""es-ES"")"),"Una mujer negra hace una rutina en la viga de equilibrio.")</f>
        <v>Una mujer negra hace una rutina en la viga de equilibrio.</v>
      </c>
    </row>
    <row r="11982">
      <c r="A11982" s="4" t="s">
        <v>15070</v>
      </c>
      <c r="B11982" s="4" t="s">
        <v>15072</v>
      </c>
      <c r="C11982" s="5" t="str">
        <f>IFERROR(__xludf.DUMMYFUNCTION("GOOGLETRANSLATE(B11982,""en"",""es-ES"")"),"Ella gira, salta, gira y voltea.")</f>
        <v>Ella gira, salta, gira y voltea.</v>
      </c>
    </row>
    <row r="11983">
      <c r="A11983" s="4" t="s">
        <v>15070</v>
      </c>
      <c r="B11983" s="4" t="s">
        <v>15073</v>
      </c>
      <c r="C11983" s="5" t="str">
        <f>IFERROR(__xludf.DUMMYFUNCTION("GOOGLETRANSLATE(B11983,""en"",""es-ES"")"),"Ella se cae, termina su rutina, y ellos desmonta a una audiencia aplaudida.")</f>
        <v>Ella se cae, termina su rutina, y ellos desmonta a una audiencia aplaudida.</v>
      </c>
    </row>
    <row r="11984">
      <c r="A11984" s="4" t="s">
        <v>15074</v>
      </c>
      <c r="B11984" s="4" t="s">
        <v>15075</v>
      </c>
      <c r="C11984" s="5" t="str">
        <f>IFERROR(__xludf.DUMMYFUNCTION("GOOGLETRANSLATE(B11984,""en"",""es-ES"")"),"La gente en un bote se adapta en equipo de buceo y luego salta al agua.")</f>
        <v>La gente en un bote se adapta en equipo de buceo y luego salta al agua.</v>
      </c>
    </row>
    <row r="11985">
      <c r="A11985" s="4" t="s">
        <v>15074</v>
      </c>
      <c r="B11985" s="4" t="s">
        <v>15076</v>
      </c>
      <c r="C11985" s="5" t="str">
        <f>IFERROR(__xludf.DUMMYFUNCTION("GOOGLETRANSLATE(B11985,""en"",""es-ES"")"),"Los buceadores nadan por un área de cueva.")</f>
        <v>Los buceadores nadan por un área de cueva.</v>
      </c>
    </row>
    <row r="11986">
      <c r="A11986" s="4" t="s">
        <v>15074</v>
      </c>
      <c r="B11986" s="4" t="s">
        <v>15077</v>
      </c>
      <c r="C11986" s="5" t="str">
        <f>IFERROR(__xludf.DUMMYFUNCTION("GOOGLETRANSLATE(B11986,""en"",""es-ES"")"),"Se ve una playa tropical.")</f>
        <v>Se ve una playa tropical.</v>
      </c>
    </row>
    <row r="11987">
      <c r="A11987" s="4" t="s">
        <v>15074</v>
      </c>
      <c r="B11987" s="4" t="s">
        <v>15078</v>
      </c>
      <c r="C11987" s="5" t="str">
        <f>IFERROR(__xludf.DUMMYFUNCTION("GOOGLETRANSLATE(B11987,""en"",""es-ES"")"),"Las tortugas marinas pastan y nadan en el océano.")</f>
        <v>Las tortugas marinas pastan y nadan en el océano.</v>
      </c>
    </row>
    <row r="11988">
      <c r="A11988" s="4" t="s">
        <v>15074</v>
      </c>
      <c r="B11988" s="4" t="s">
        <v>15079</v>
      </c>
      <c r="C11988" s="5" t="str">
        <f>IFERROR(__xludf.DUMMYFUNCTION("GOOGLETRANSLATE(B11988,""en"",""es-ES"")"),"Se ven varios peces nadando a través del arrecife.")</f>
        <v>Se ven varios peces nadando a través del arrecife.</v>
      </c>
    </row>
    <row r="11989">
      <c r="A11989" s="4" t="s">
        <v>15074</v>
      </c>
      <c r="B11989" s="4" t="s">
        <v>15080</v>
      </c>
      <c r="C11989" s="5" t="str">
        <f>IFERROR(__xludf.DUMMYFUNCTION("GOOGLETRANSLATE(B11989,""en"",""es-ES"")"),"Una manta de manteca nadada en el océano sobre un arrecife.")</f>
        <v>Una manta de manteca nadada en el océano sobre un arrecife.</v>
      </c>
    </row>
    <row r="11990">
      <c r="A11990" s="4" t="s">
        <v>15081</v>
      </c>
      <c r="B11990" s="4" t="s">
        <v>15082</v>
      </c>
      <c r="C11990" s="5" t="str">
        <f>IFERROR(__xludf.DUMMYFUNCTION("GOOGLETRANSLATE(B11990,""en"",""es-ES"")"),"Se muestra una sala de tatuajes desde el exterior y luego por dentro.")</f>
        <v>Se muestra una sala de tatuajes desde el exterior y luego por dentro.</v>
      </c>
    </row>
    <row r="11991">
      <c r="A11991" s="4" t="s">
        <v>15081</v>
      </c>
      <c r="B11991" s="4" t="s">
        <v>15083</v>
      </c>
      <c r="C11991" s="5" t="str">
        <f>IFERROR(__xludf.DUMMYFUNCTION("GOOGLETRANSLATE(B11991,""en"",""es-ES"")"),"Se muestra una variedad de opciones de tatuajes en una pared.")</f>
        <v>Se muestra una variedad de opciones de tatuajes en una pared.</v>
      </c>
    </row>
    <row r="11992">
      <c r="A11992" s="4" t="s">
        <v>15081</v>
      </c>
      <c r="B11992" s="4" t="s">
        <v>15084</v>
      </c>
      <c r="C11992" s="5" t="str">
        <f>IFERROR(__xludf.DUMMYFUNCTION("GOOGLETRANSLATE(B11992,""en"",""es-ES"")"),"Se muestra a un artista dibujando y colorantes en tatuajes en una hoja de papel.")</f>
        <v>Se muestra a un artista dibujando y colorantes en tatuajes en una hoja de papel.</v>
      </c>
    </row>
    <row r="11993">
      <c r="A11993" s="4" t="s">
        <v>15085</v>
      </c>
      <c r="B11993" s="4" t="s">
        <v>15086</v>
      </c>
      <c r="C11993" s="5" t="str">
        <f>IFERROR(__xludf.DUMMYFUNCTION("GOOGLETRANSLATE(B11993,""en"",""es-ES"")"),"Un grupo de personas se reúne en una colina nevada.")</f>
        <v>Un grupo de personas se reúne en una colina nevada.</v>
      </c>
    </row>
    <row r="11994">
      <c r="A11994" s="4" t="s">
        <v>15085</v>
      </c>
      <c r="B11994" s="4" t="s">
        <v>15087</v>
      </c>
      <c r="C11994" s="5" t="str">
        <f>IFERROR(__xludf.DUMMYFUNCTION("GOOGLETRANSLATE(B11994,""en"",""es-ES"")"),"Están caminando con intertubes.")</f>
        <v>Están caminando con intertubes.</v>
      </c>
    </row>
    <row r="11995">
      <c r="A11995" s="4" t="s">
        <v>15085</v>
      </c>
      <c r="B11995" s="4" t="s">
        <v>15088</v>
      </c>
      <c r="C11995" s="5" t="str">
        <f>IFERROR(__xludf.DUMMYFUNCTION("GOOGLETRANSLATE(B11995,""en"",""es-ES"")"),"Manean a los intertubos por la ladera nevada.")</f>
        <v>Manean a los intertubos por la ladera nevada.</v>
      </c>
    </row>
    <row r="11996">
      <c r="A11996" s="4" t="s">
        <v>15089</v>
      </c>
      <c r="B11996" s="4" t="s">
        <v>15090</v>
      </c>
      <c r="C11996" s="5" t="str">
        <f>IFERROR(__xludf.DUMMYFUNCTION("GOOGLETRANSLATE(B11996,""en"",""es-ES"")"),"Se ve a una joven bailarina con un tutú de pie en un ballet Barr realizando varios movimientos de ballet y moviéndose al suelo.")</f>
        <v>Se ve a una joven bailarina con un tutú de pie en un ballet Barr realizando varios movimientos de ballet y moviéndose al suelo.</v>
      </c>
    </row>
    <row r="11997">
      <c r="A11997" s="4" t="s">
        <v>15089</v>
      </c>
      <c r="B11997" s="4" t="s">
        <v>15091</v>
      </c>
      <c r="C11997" s="5" t="str">
        <f>IFERROR(__xludf.DUMMYFUNCTION("GOOGLETRANSLATE(B11997,""en"",""es-ES"")"),"Ella continúa moviéndose por el suelo bailando y la lleva a sostener una navaja de afeitar y poner loción en sus piernas.")</f>
        <v>Ella continúa moviéndose por el suelo bailando y la lleva a sostener una navaja de afeitar y poner loción en sus piernas.</v>
      </c>
    </row>
    <row r="11998">
      <c r="A11998" s="4" t="s">
        <v>15089</v>
      </c>
      <c r="B11998" s="4" t="s">
        <v>15092</v>
      </c>
      <c r="C11998" s="5" t="str">
        <f>IFERROR(__xludf.DUMMYFUNCTION("GOOGLETRANSLATE(B11998,""en"",""es-ES"")"),"Se afeita las piernas mientras se mueve las piernas y continúa bailando con la navaja de afeitar a la vista.")</f>
        <v>Se afeita las piernas mientras se mueve las piernas y continúa bailando con la navaja de afeitar a la vista.</v>
      </c>
    </row>
    <row r="11999">
      <c r="A11999" s="4" t="s">
        <v>15093</v>
      </c>
      <c r="B11999" s="4" t="s">
        <v>15094</v>
      </c>
      <c r="C11999" s="5" t="str">
        <f>IFERROR(__xludf.DUMMYFUNCTION("GOOGLETRANSLATE(B11999,""en"",""es-ES"")"),"Un hombre arroja una pelota a una taza.")</f>
        <v>Un hombre arroja una pelota a una taza.</v>
      </c>
    </row>
    <row r="12000">
      <c r="A12000" s="4" t="s">
        <v>15093</v>
      </c>
      <c r="B12000" s="4" t="s">
        <v>15095</v>
      </c>
      <c r="C12000" s="5" t="str">
        <f>IFERROR(__xludf.DUMMYFUNCTION("GOOGLETRANSLATE(B12000,""en"",""es-ES"")"),"Otro hombre arroja una pelota a una taza.")</f>
        <v>Otro hombre arroja una pelota a una taza.</v>
      </c>
    </row>
    <row r="12001">
      <c r="A12001" s="4" t="s">
        <v>15093</v>
      </c>
      <c r="B12001" s="4" t="s">
        <v>15096</v>
      </c>
      <c r="C12001" s="5" t="str">
        <f>IFERROR(__xludf.DUMMYFUNCTION("GOOGLETRANSLATE(B12001,""en"",""es-ES"")"),"Los dos hombres recogen una taza y la beben.")</f>
        <v>Los dos hombres recogen una taza y la beben.</v>
      </c>
    </row>
    <row r="12002">
      <c r="A12002" s="4" t="s">
        <v>15097</v>
      </c>
      <c r="B12002" s="4" t="s">
        <v>15098</v>
      </c>
      <c r="C12002" s="5" t="str">
        <f>IFERROR(__xludf.DUMMYFUNCTION("GOOGLETRANSLATE(B12002,""en"",""es-ES"")"),"Un hombre está parado frente a los cables y se pone un casco de soldadura.")</f>
        <v>Un hombre está parado frente a los cables y se pone un casco de soldadura.</v>
      </c>
    </row>
    <row r="12003">
      <c r="A12003" s="4" t="s">
        <v>15097</v>
      </c>
      <c r="B12003" s="4" t="s">
        <v>15099</v>
      </c>
      <c r="C12003" s="5" t="str">
        <f>IFERROR(__xludf.DUMMYFUNCTION("GOOGLETRANSLATE(B12003,""en"",""es-ES"")"),"Comienza a soldar la esquina de la habitación.")</f>
        <v>Comienza a soldar la esquina de la habitación.</v>
      </c>
    </row>
    <row r="12004">
      <c r="A12004" s="4" t="s">
        <v>15097</v>
      </c>
      <c r="B12004" s="4" t="s">
        <v>15100</v>
      </c>
      <c r="C12004" s="5" t="str">
        <f>IFERROR(__xludf.DUMMYFUNCTION("GOOGLETRANSLATE(B12004,""en"",""es-ES"")"),"El hombre arena la esquina donde estaba soldando.")</f>
        <v>El hombre arena la esquina donde estaba soldando.</v>
      </c>
    </row>
    <row r="12005">
      <c r="A12005" s="4" t="s">
        <v>15097</v>
      </c>
      <c r="B12005" s="4" t="s">
        <v>15101</v>
      </c>
      <c r="C12005" s="5" t="str">
        <f>IFERROR(__xludf.DUMMYFUNCTION("GOOGLETRANSLATE(B12005,""en"",""es-ES"")"),"Continúa soldando en la misma esquina.")</f>
        <v>Continúa soldando en la misma esquina.</v>
      </c>
    </row>
    <row r="12006">
      <c r="A12006" s="4" t="s">
        <v>15097</v>
      </c>
      <c r="B12006" s="4" t="s">
        <v>15102</v>
      </c>
      <c r="C12006" s="5" t="str">
        <f>IFERROR(__xludf.DUMMYFUNCTION("GOOGLETRANSLATE(B12006,""en"",""es-ES"")"),"El hombre empuja su casco hacia arriba y reemplaza los cables y arena la misma área nuevamente.")</f>
        <v>El hombre empuja su casco hacia arriba y reemplaza los cables y arena la misma área nuevamente.</v>
      </c>
    </row>
    <row r="12007">
      <c r="A12007" s="4" t="s">
        <v>15097</v>
      </c>
      <c r="B12007" s="4" t="s">
        <v>15103</v>
      </c>
      <c r="C12007" s="5" t="str">
        <f>IFERROR(__xludf.DUMMYFUNCTION("GOOGLETRANSLATE(B12007,""en"",""es-ES"")"),"Él coloca sus guantes y muestra la soldadura que terminó.")</f>
        <v>Él coloca sus guantes y muestra la soldadura que terminó.</v>
      </c>
    </row>
    <row r="12008">
      <c r="A12008" s="4" t="s">
        <v>15104</v>
      </c>
      <c r="B12008" s="4" t="s">
        <v>15105</v>
      </c>
      <c r="C12008" s="5" t="str">
        <f>IFERROR(__xludf.DUMMYFUNCTION("GOOGLETRANSLATE(B12008,""en"",""es-ES"")"),"Un hombre se para afuera sosteniendo una botella de pantalla solar y hablando.")</f>
        <v>Un hombre se para afuera sosteniendo una botella de pantalla solar y hablando.</v>
      </c>
    </row>
    <row r="12009">
      <c r="A12009" s="4" t="s">
        <v>15104</v>
      </c>
      <c r="B12009" s="4" t="s">
        <v>15106</v>
      </c>
      <c r="C12009" s="5" t="str">
        <f>IFERROR(__xludf.DUMMYFUNCTION("GOOGLETRANSLATE(B12009,""en"",""es-ES"")"),"Rocía la pantalla solar en su brazo y la frota.")</f>
        <v>Rocía la pantalla solar en su brazo y la frota.</v>
      </c>
    </row>
    <row r="12010">
      <c r="A12010" s="4" t="s">
        <v>15107</v>
      </c>
      <c r="B12010" s="4" t="s">
        <v>15108</v>
      </c>
      <c r="C12010" s="5" t="str">
        <f>IFERROR(__xludf.DUMMYFUNCTION("GOOGLETRANSLATE(B12010,""en"",""es-ES"")"),"Un hombre que lleva una camisa azul arroja una pelota de bolos por una bolera.")</f>
        <v>Un hombre que lleva una camisa azul arroja una pelota de bolos por una bolera.</v>
      </c>
    </row>
    <row r="12011">
      <c r="A12011" s="4" t="s">
        <v>15107</v>
      </c>
      <c r="B12011" s="4" t="s">
        <v>15109</v>
      </c>
      <c r="C12011" s="5" t="str">
        <f>IFERROR(__xludf.DUMMYFUNCTION("GOOGLETRANSLATE(B12011,""en"",""es-ES"")"),"La pelota golpea ambos alfileres y rebota en el callejón contiguo que también golpea el alfiler.")</f>
        <v>La pelota golpea ambos alfileres y rebota en el callejón contiguo que también golpea el alfiler.</v>
      </c>
    </row>
    <row r="12012">
      <c r="A12012" s="4" t="s">
        <v>15107</v>
      </c>
      <c r="B12012" s="4" t="s">
        <v>15110</v>
      </c>
      <c r="C12012" s="5" t="str">
        <f>IFERROR(__xludf.DUMMYFUNCTION("GOOGLETRANSLATE(B12012,""en"",""es-ES"")"),"Un hombre sentado con una camisa roja sacude la cabeza.")</f>
        <v>Un hombre sentado con una camisa roja sacude la cabeza.</v>
      </c>
    </row>
    <row r="12013">
      <c r="A12013" s="4" t="s">
        <v>15107</v>
      </c>
      <c r="B12013" s="4" t="s">
        <v>15111</v>
      </c>
      <c r="C12013" s="5" t="str">
        <f>IFERROR(__xludf.DUMMYFUNCTION("GOOGLETRANSLATE(B12013,""en"",""es-ES"")"),"El hombre con la camisa azul regresa.")</f>
        <v>El hombre con la camisa azul regresa.</v>
      </c>
    </row>
    <row r="12014">
      <c r="A12014" s="4" t="s">
        <v>15112</v>
      </c>
      <c r="B12014" s="4" t="s">
        <v>15113</v>
      </c>
      <c r="C12014" s="5" t="str">
        <f>IFERROR(__xludf.DUMMYFUNCTION("GOOGLETRANSLATE(B12014,""en"",""es-ES"")"),"Una introducción entra en la pantalla para un video sobre el rizo de los deportes de invierno.")</f>
        <v>Una introducción entra en la pantalla para un video sobre el rizo de los deportes de invierno.</v>
      </c>
    </row>
    <row r="12015">
      <c r="A12015" s="4" t="s">
        <v>15112</v>
      </c>
      <c r="B12015" s="4" t="s">
        <v>15114</v>
      </c>
      <c r="C12015" s="5" t="str">
        <f>IFERROR(__xludf.DUMMYFUNCTION("GOOGLETRANSLATE(B12015,""en"",""es-ES"")"),"Los rizadores se muestran mientras toman diferentes disparos y barren el hielo.")</f>
        <v>Los rizadores se muestran mientras toman diferentes disparos y barren el hielo.</v>
      </c>
    </row>
    <row r="12016">
      <c r="A12016" s="4" t="s">
        <v>15112</v>
      </c>
      <c r="B12016" s="4" t="s">
        <v>15115</v>
      </c>
      <c r="C12016" s="5" t="str">
        <f>IFERROR(__xludf.DUMMYFUNCTION("GOOGLETRANSLATE(B12016,""en"",""es-ES"")"),"El video termina con los créditos de cierre y los gráficos.")</f>
        <v>El video termina con los créditos de cierre y los gráficos.</v>
      </c>
    </row>
    <row r="12017">
      <c r="A12017" s="4" t="s">
        <v>15116</v>
      </c>
      <c r="B12017" s="4" t="s">
        <v>15117</v>
      </c>
      <c r="C12017" s="5" t="str">
        <f>IFERROR(__xludf.DUMMYFUNCTION("GOOGLETRANSLATE(B12017,""en"",""es-ES"")"),"Un hombre raspa la nieve del costado de un automóvil.")</f>
        <v>Un hombre raspa la nieve del costado de un automóvil.</v>
      </c>
    </row>
    <row r="12018">
      <c r="A12018" s="4" t="s">
        <v>15116</v>
      </c>
      <c r="B12018" s="4" t="s">
        <v>15118</v>
      </c>
      <c r="C12018" s="5" t="str">
        <f>IFERROR(__xludf.DUMMYFUNCTION("GOOGLETRANSLATE(B12018,""en"",""es-ES"")"),"Luego raspa la nieve del capó.")</f>
        <v>Luego raspa la nieve del capó.</v>
      </c>
    </row>
    <row r="12019">
      <c r="A12019" s="4" t="s">
        <v>15116</v>
      </c>
      <c r="B12019" s="4" t="s">
        <v>15119</v>
      </c>
      <c r="C12019" s="5" t="str">
        <f>IFERROR(__xludf.DUMMYFUNCTION("GOOGLETRANSLATE(B12019,""en"",""es-ES"")"),"Luego se mueve hacia el otro lado para eliminar más nieve.")</f>
        <v>Luego se mueve hacia el otro lado para eliminar más nieve.</v>
      </c>
    </row>
    <row r="12020">
      <c r="A12020" s="4" t="s">
        <v>15116</v>
      </c>
      <c r="B12020" s="4" t="s">
        <v>15120</v>
      </c>
      <c r="C12020" s="5" t="str">
        <f>IFERROR(__xludf.DUMMYFUNCTION("GOOGLETRANSLATE(B12020,""en"",""es-ES"")"),"Finalmente termina de despejar el auto.")</f>
        <v>Finalmente termina de despejar el auto.</v>
      </c>
    </row>
    <row r="12021">
      <c r="A12021" s="4" t="s">
        <v>15121</v>
      </c>
      <c r="B12021" s="4" t="s">
        <v>15122</v>
      </c>
      <c r="C12021" s="5" t="str">
        <f>IFERROR(__xludf.DUMMYFUNCTION("GOOGLETRANSLATE(B12021,""en"",""es-ES"")"),"Un pequeño bebé está sentado en su silla alta sumergiendo un tenedor en un vaso de leche de chocolate sostenida por un adulto.")</f>
        <v>Un pequeño bebé está sentado en su silla alta sumergiendo un tenedor en un vaso de leche de chocolate sostenida por un adulto.</v>
      </c>
    </row>
    <row r="12022">
      <c r="A12022" s="4" t="s">
        <v>15121</v>
      </c>
      <c r="B12022" s="4" t="s">
        <v>15123</v>
      </c>
      <c r="C12022" s="5" t="str">
        <f>IFERROR(__xludf.DUMMYFUNCTION("GOOGLETRANSLATE(B12022,""en"",""es-ES"")"),"El adulto da varios turnos sumergiendo el tenedor en la taza y lamiéndolo.")</f>
        <v>El adulto da varios turnos sumergiendo el tenedor en la taza y lamiéndolo.</v>
      </c>
    </row>
    <row r="12023">
      <c r="A12023" s="4" t="s">
        <v>15121</v>
      </c>
      <c r="B12023" s="4" t="s">
        <v>15124</v>
      </c>
      <c r="C12023" s="5" t="str">
        <f>IFERROR(__xludf.DUMMYFUNCTION("GOOGLETRANSLATE(B12023,""en"",""es-ES"")"),"Luego hace una pausa por un minuto y comienza a jugar con el tenedor.")</f>
        <v>Luego hace una pausa por un minuto y comienza a jugar con el tenedor.</v>
      </c>
    </row>
    <row r="12024">
      <c r="A12024" s="4" t="s">
        <v>15125</v>
      </c>
      <c r="B12024" s="4" t="s">
        <v>15126</v>
      </c>
      <c r="C12024" s="5" t="str">
        <f>IFERROR(__xludf.DUMMYFUNCTION("GOOGLETRANSLATE(B12024,""en"",""es-ES"")"),"Se muestra un árbol de Navidad seguido por varias personas que se mueven en movimiento rápido colgando un juego de luces.")</f>
        <v>Se muestra un árbol de Navidad seguido por varias personas que se mueven en movimiento rápido colgando un juego de luces.</v>
      </c>
    </row>
    <row r="12025">
      <c r="A12025" s="4" t="s">
        <v>15125</v>
      </c>
      <c r="B12025" s="4" t="s">
        <v>15127</v>
      </c>
      <c r="C12025" s="5" t="str">
        <f>IFERROR(__xludf.DUMMYFUNCTION("GOOGLETRANSLATE(B12025,""en"",""es-ES"")"),"La gente se mueve por toda la casa arriba y abajo de la escalera y termina apagando las luces para ver.")</f>
        <v>La gente se mueve por toda la casa arriba y abajo de la escalera y termina apagando las luces para ver.</v>
      </c>
    </row>
    <row r="12026">
      <c r="A12026" s="4" t="s">
        <v>15128</v>
      </c>
      <c r="B12026" s="4" t="s">
        <v>15129</v>
      </c>
      <c r="C12026" s="5" t="str">
        <f>IFERROR(__xludf.DUMMYFUNCTION("GOOGLETRANSLATE(B12026,""en"",""es-ES"")"),"Se muestra un video de juego muy lento de un hombre muy fuerte mientras recoge una barra que tiene muchas pesas pesadas, y se pone en cuclillas un poco con él en su pecho.")</f>
        <v>Se muestra un video de juego muy lento de un hombre muy fuerte mientras recoge una barra que tiene muchas pesas pesadas, y se pone en cuclillas un poco con él en su pecho.</v>
      </c>
    </row>
    <row r="12027">
      <c r="A12027" s="4" t="s">
        <v>15128</v>
      </c>
      <c r="B12027" s="4" t="s">
        <v>15130</v>
      </c>
      <c r="C12027" s="5" t="str">
        <f>IFERROR(__xludf.DUMMYFUNCTION("GOOGLETRANSLATE(B12027,""en"",""es-ES"")"),"El hombre se levanta y sostiene la barra en su pecho.")</f>
        <v>El hombre se levanta y sostiene la barra en su pecho.</v>
      </c>
    </row>
    <row r="12028">
      <c r="A12028" s="4" t="s">
        <v>15128</v>
      </c>
      <c r="B12028" s="4" t="s">
        <v>15131</v>
      </c>
      <c r="C12028" s="5" t="str">
        <f>IFERROR(__xludf.DUMMYFUNCTION("GOOGLETRANSLATE(B12028,""en"",""es-ES"")"),"Luego, el hombre intenta sostener la barra sobre su cabeza mientras se pone en cuclillas, pero él termina dejando caer la barra y luego mira sus manos como si le fallaran.")</f>
        <v>Luego, el hombre intenta sostener la barra sobre su cabeza mientras se pone en cuclillas, pero él termina dejando caer la barra y luego mira sus manos como si le fallaran.</v>
      </c>
    </row>
    <row r="12029">
      <c r="A12029" s="4" t="s">
        <v>15132</v>
      </c>
      <c r="B12029" s="4" t="s">
        <v>15133</v>
      </c>
      <c r="C12029" s="5" t="str">
        <f>IFERROR(__xludf.DUMMYFUNCTION("GOOGLETRANSLATE(B12029,""en"",""es-ES"")"),"Aparece una introducción de tema de bolos de efecto especial y el texto en el medio decía ""All Star Celebrity Bowling de Chris Hardwick"".")</f>
        <v>Aparece una introducción de tema de bolos de efecto especial y el texto en el medio decía "All Star Celebrity Bowling de Chris Hardwick".</v>
      </c>
    </row>
    <row r="12030">
      <c r="A12030" s="4" t="s">
        <v>15132</v>
      </c>
      <c r="B12030" s="4" t="s">
        <v>15134</v>
      </c>
      <c r="C12030" s="5" t="str">
        <f>IFERROR(__xludf.DUMMYFUNCTION("GOOGLETRANSLATE(B12030,""en"",""es-ES"")"),"Hay cuatro hombres posando en una bolera, todos usan camisas amarillas y el texto del nombre de su equipo dice ""Nerdist"".")</f>
        <v>Hay cuatro hombres posando en una bolera, todos usan camisas amarillas y el texto del nombre de su equipo dice "Nerdist".</v>
      </c>
    </row>
    <row r="12031">
      <c r="A12031" s="4" t="s">
        <v>15132</v>
      </c>
      <c r="B12031" s="4" t="s">
        <v>15135</v>
      </c>
      <c r="C12031" s="5" t="str">
        <f>IFERROR(__xludf.DUMMYFUNCTION("GOOGLETRANSLATE(B12031,""en"",""es-ES"")"),"A continuación aparece un grupo de 4 personas y hay 3 hombres y 1 mujer y el nombre del equipo, el texto del nombre de ""Superstars de la WWE"".")</f>
        <v>A continuación aparece un grupo de 4 personas y hay 3 hombres y 1 mujer y el nombre del equipo, el texto del nombre de "Superstars de la WWE".</v>
      </c>
    </row>
    <row r="12032">
      <c r="A12032" s="4" t="s">
        <v>15132</v>
      </c>
      <c r="B12032" s="4" t="s">
        <v>15136</v>
      </c>
      <c r="C12032" s="5" t="str">
        <f>IFERROR(__xludf.DUMMYFUNCTION("GOOGLETRANSLATE(B12032,""en"",""es-ES"")"),"Los clips comienzan a jugar e incluye a varias personas bolos, hablando, demostrando bolos, dar entrevistas, pasar el rato, reír, jugar, afeitarse el vello facial, hacer flexiones, comer, alimentarse unos a otros y etc.")</f>
        <v>Los clips comienzan a jugar e incluye a varias personas bolos, hablando, demostrando bolos, dar entrevistas, pasar el rato, reír, jugar, afeitarse el vello facial, hacer flexiones, comer, alimentarse unos a otros y etc.</v>
      </c>
    </row>
    <row r="12033">
      <c r="A12033" s="4" t="s">
        <v>15132</v>
      </c>
      <c r="B12033" s="4" t="s">
        <v>15137</v>
      </c>
      <c r="C12033" s="5" t="str">
        <f>IFERROR(__xludf.DUMMYFUNCTION("GOOGLETRANSLATE(B12033,""en"",""es-ES"")"),"¡Aparecen grandes palabras amarillas en la pantalla y Say's ""Team Nerdist gana!"" Y todo el equipo se levanta y celebra.")</f>
        <v>¡Aparecen grandes palabras amarillas en la pantalla y Say's "Team Nerdist gana!" Y todo el equipo se levanta y celebra.</v>
      </c>
    </row>
    <row r="12034">
      <c r="A12034" s="4" t="s">
        <v>15132</v>
      </c>
      <c r="B12034" s="4" t="s">
        <v>15138</v>
      </c>
      <c r="C12034" s="5" t="str">
        <f>IFERROR(__xludf.DUMMYFUNCTION("GOOGLETRANSLATE(B12034,""en"",""es-ES"")"),"Un miembro del equipo nerdista habla felizmente en la cámara, y luego un miembro infeliz de otro equipo habla infelizmente con la cámara.")</f>
        <v>Un miembro del equipo nerdista habla felizmente en la cámara, y luego un miembro infeliz de otro equipo habla infelizmente con la cámara.</v>
      </c>
    </row>
    <row r="12035">
      <c r="A12035" s="4" t="s">
        <v>15139</v>
      </c>
      <c r="B12035" s="4" t="s">
        <v>15140</v>
      </c>
      <c r="C12035" s="5" t="str">
        <f>IFERROR(__xludf.DUMMYFUNCTION("GOOGLETRANSLATE(B12035,""en"",""es-ES"")"),"Vemos una tarjeta de título en una pantalla negra.")</f>
        <v>Vemos una tarjeta de título en una pantalla negra.</v>
      </c>
    </row>
    <row r="12036">
      <c r="A12036" s="4" t="s">
        <v>15139</v>
      </c>
      <c r="B12036" s="4" t="s">
        <v>15141</v>
      </c>
      <c r="C12036" s="5" t="str">
        <f>IFERROR(__xludf.DUMMYFUNCTION("GOOGLETRANSLATE(B12036,""en"",""es-ES"")"),"Cambia a los trucos de realización del skateboard.")</f>
        <v>Cambia a los trucos de realización del skateboard.</v>
      </c>
    </row>
    <row r="12037">
      <c r="A12037" s="4" t="s">
        <v>15139</v>
      </c>
      <c r="B12037" s="4" t="s">
        <v>15142</v>
      </c>
      <c r="C12037" s="5" t="str">
        <f>IFERROR(__xludf.DUMMYFUNCTION("GOOGLETRANSLATE(B12037,""en"",""es-ES"")"),"Vemos a un fotógrafo tomando fotos.")</f>
        <v>Vemos a un fotógrafo tomando fotos.</v>
      </c>
    </row>
    <row r="12038">
      <c r="A12038" s="4" t="s">
        <v>15139</v>
      </c>
      <c r="B12038" s="4" t="s">
        <v>15143</v>
      </c>
      <c r="C12038" s="5" t="str">
        <f>IFERROR(__xludf.DUMMYFUNCTION("GOOGLETRANSLATE(B12038,""en"",""es-ES"")"),"Un hombre salta una hidrantes de fuego.")</f>
        <v>Un hombre salta una hidrantes de fuego.</v>
      </c>
    </row>
    <row r="12039">
      <c r="A12039" s="4" t="s">
        <v>15139</v>
      </c>
      <c r="B12039" s="4" t="s">
        <v>15144</v>
      </c>
      <c r="C12039" s="5" t="str">
        <f>IFERROR(__xludf.DUMMYFUNCTION("GOOGLETRANSLATE(B12039,""en"",""es-ES"")"),"Vemos a un hombre saltar sobre las escaleras de cerca.")</f>
        <v>Vemos a un hombre saltar sobre las escaleras de cerca.</v>
      </c>
    </row>
    <row r="12040">
      <c r="A12040" s="4" t="s">
        <v>15139</v>
      </c>
      <c r="B12040" s="4" t="s">
        <v>15145</v>
      </c>
      <c r="C12040" s="5" t="str">
        <f>IFERROR(__xludf.DUMMYFUNCTION("GOOGLETRANSLATE(B12040,""en"",""es-ES"")"),"Un hombre monta con muchas cámaras parpadeando.")</f>
        <v>Un hombre monta con muchas cámaras parpadeando.</v>
      </c>
    </row>
    <row r="12041">
      <c r="A12041" s="4" t="s">
        <v>15139</v>
      </c>
      <c r="B12041" s="4" t="s">
        <v>15146</v>
      </c>
      <c r="C12041" s="5" t="str">
        <f>IFERROR(__xludf.DUMMYFUNCTION("GOOGLETRANSLATE(B12041,""en"",""es-ES"")"),"La cámara se ralentiza y la escena termina.")</f>
        <v>La cámara se ralentiza y la escena termina.</v>
      </c>
    </row>
    <row r="12042">
      <c r="A12042" s="4" t="s">
        <v>15139</v>
      </c>
      <c r="B12042" s="4" t="s">
        <v>15147</v>
      </c>
      <c r="C12042" s="5" t="str">
        <f>IFERROR(__xludf.DUMMYFUNCTION("GOOGLETRANSLATE(B12042,""en"",""es-ES"")"),"Vemos una pantalla y créditos negros.")</f>
        <v>Vemos una pantalla y créditos negros.</v>
      </c>
    </row>
    <row r="12043">
      <c r="A12043" s="4" t="s">
        <v>15148</v>
      </c>
      <c r="B12043" s="4" t="s">
        <v>15149</v>
      </c>
      <c r="C12043" s="5" t="str">
        <f>IFERROR(__xludf.DUMMYFUNCTION("GOOGLETRANSLATE(B12043,""en"",""es-ES"")"),"Un joven bombea arriba y abajo arrodillándose sobre ambas piernas.")</f>
        <v>Un joven bombea arriba y abajo arrodillándose sobre ambas piernas.</v>
      </c>
    </row>
    <row r="12044">
      <c r="A12044" s="4" t="s">
        <v>15148</v>
      </c>
      <c r="B12044" s="4" t="s">
        <v>15150</v>
      </c>
      <c r="C12044" s="5" t="str">
        <f>IFERROR(__xludf.DUMMYFUNCTION("GOOGLETRANSLATE(B12044,""en"",""es-ES"")"),"El estudiante salta desde la posición de arrodillado y aterriza encima de una pila de estera y luego aterriza en el suelo.")</f>
        <v>El estudiante salta desde la posición de arrodillado y aterriza encima de una pila de estera y luego aterriza en el suelo.</v>
      </c>
    </row>
    <row r="12045">
      <c r="A12045" s="4" t="s">
        <v>15151</v>
      </c>
      <c r="B12045" s="4" t="s">
        <v>15152</v>
      </c>
      <c r="C12045" s="5" t="str">
        <f>IFERROR(__xludf.DUMMYFUNCTION("GOOGLETRANSLATE(B12045,""en"",""es-ES"")"),"La gente y los perros caminan por un sendero.")</f>
        <v>La gente y los perros caminan por un sendero.</v>
      </c>
    </row>
    <row r="12046">
      <c r="A12046" s="4" t="s">
        <v>15151</v>
      </c>
      <c r="B12046" s="4" t="s">
        <v>15153</v>
      </c>
      <c r="C12046" s="5" t="str">
        <f>IFERROR(__xludf.DUMMYFUNCTION("GOOGLETRANSLATE(B12046,""en"",""es-ES"")"),"Se muestran flores rosadas en un arbusto.")</f>
        <v>Se muestran flores rosadas en un arbusto.</v>
      </c>
    </row>
    <row r="12047">
      <c r="A12047" s="4" t="s">
        <v>15151</v>
      </c>
      <c r="B12047" s="4" t="s">
        <v>15154</v>
      </c>
      <c r="C12047" s="5" t="str">
        <f>IFERROR(__xludf.DUMMYFUNCTION("GOOGLETRANSLATE(B12047,""en"",""es-ES"")"),"La gente está paseando perros con correas por una calle.")</f>
        <v>La gente está paseando perros con correas por una calle.</v>
      </c>
    </row>
    <row r="12048">
      <c r="A12048" s="4" t="s">
        <v>15155</v>
      </c>
      <c r="B12048" s="4" t="s">
        <v>15156</v>
      </c>
      <c r="C12048" s="5" t="str">
        <f>IFERROR(__xludf.DUMMYFUNCTION("GOOGLETRANSLATE(B12048,""en"",""es-ES"")"),"Un toro está en un anillo, mirando a los toro en el exterior.")</f>
        <v>Un toro está en un anillo, mirando a los toro en el exterior.</v>
      </c>
    </row>
    <row r="12049">
      <c r="A12049" s="4" t="s">
        <v>15155</v>
      </c>
      <c r="B12049" s="4" t="s">
        <v>15157</v>
      </c>
      <c r="C12049" s="5" t="str">
        <f>IFERROR(__xludf.DUMMYFUNCTION("GOOGLETRANSLATE(B12049,""en"",""es-ES"")"),"Un grupo de luchadores caminan detrás de él.")</f>
        <v>Un grupo de luchadores caminan detrás de él.</v>
      </c>
    </row>
    <row r="12050">
      <c r="A12050" s="4" t="s">
        <v>15155</v>
      </c>
      <c r="B12050" s="4" t="s">
        <v>15158</v>
      </c>
      <c r="C12050" s="5" t="str">
        <f>IFERROR(__xludf.DUMMYFUNCTION("GOOGLETRANSLATE(B12050,""en"",""es-ES"")"),"Comienzan a pelear con el toro, a veces tirando de su cola y agitando la capa frente a él para hacerle cargar.")</f>
        <v>Comienzan a pelear con el toro, a veces tirando de su cola y agitando la capa frente a él para hacerle cargar.</v>
      </c>
    </row>
    <row r="12051">
      <c r="A12051" s="4" t="s">
        <v>15159</v>
      </c>
      <c r="B12051" s="4" t="s">
        <v>15160</v>
      </c>
      <c r="C12051" s="5" t="str">
        <f>IFERROR(__xludf.DUMMYFUNCTION("GOOGLETRANSLATE(B12051,""en"",""es-ES"")"),"Se ve a un hombre hablando con la cámara mientras sostiene una raqueta de tenis y comienza a golpear la pelota contra la pared.")</f>
        <v>Se ve a un hombre hablando con la cámara mientras sostiene una raqueta de tenis y comienza a golpear la pelota contra la pared.</v>
      </c>
    </row>
    <row r="12052">
      <c r="A12052" s="4" t="s">
        <v>15159</v>
      </c>
      <c r="B12052" s="4" t="s">
        <v>15161</v>
      </c>
      <c r="C12052" s="5" t="str">
        <f>IFERROR(__xludf.DUMMYFUNCTION("GOOGLETRANSLATE(B12052,""en"",""es-ES"")"),"Continúa hablando con la cámara y hace la transición a él golpeando la pelota.")</f>
        <v>Continúa hablando con la cámara y hace la transición a él golpeando la pelota.</v>
      </c>
    </row>
    <row r="12053">
      <c r="A12053" s="4" t="s">
        <v>15162</v>
      </c>
      <c r="B12053" s="4" t="s">
        <v>15163</v>
      </c>
      <c r="C12053" s="5" t="str">
        <f>IFERROR(__xludf.DUMMYFUNCTION("GOOGLETRANSLATE(B12053,""en"",""es-ES"")"),"Un hombre con una camisa de sudor gris está de pie en una parada de autobús.")</f>
        <v>Un hombre con una camisa de sudor gris está de pie en una parada de autobús.</v>
      </c>
    </row>
    <row r="12054">
      <c r="A12054" s="4" t="s">
        <v>15162</v>
      </c>
      <c r="B12054" s="4" t="s">
        <v>15164</v>
      </c>
      <c r="C12054" s="5" t="str">
        <f>IFERROR(__xludf.DUMMYFUNCTION("GOOGLETRANSLATE(B12054,""en"",""es-ES"")"),"Comienza a rodar en rollero por una calle y haciendo trucos.")</f>
        <v>Comienza a rodar en rollero por una calle y haciendo trucos.</v>
      </c>
    </row>
    <row r="12055">
      <c r="A12055" s="4" t="s">
        <v>15162</v>
      </c>
      <c r="B12055" s="4" t="s">
        <v>15165</v>
      </c>
      <c r="C12055" s="5" t="str">
        <f>IFERROR(__xludf.DUMMYFUNCTION("GOOGLETRANSLATE(B12055,""en"",""es-ES"")"),"El hombre está patinando hacia atrás.")</f>
        <v>El hombre está patinando hacia atrás.</v>
      </c>
    </row>
    <row r="12056">
      <c r="A12056" s="4" t="s">
        <v>15166</v>
      </c>
      <c r="B12056" s="4" t="s">
        <v>15167</v>
      </c>
      <c r="C12056" s="5" t="str">
        <f>IFERROR(__xludf.DUMMYFUNCTION("GOOGLETRANSLATE(B12056,""en"",""es-ES"")"),"Un hombre con pantalones negros está parado sobre un techo y clavando una larga teja en el techo.")</f>
        <v>Un hombre con pantalones negros está parado sobre un techo y clavando una larga teja en el techo.</v>
      </c>
    </row>
    <row r="12057">
      <c r="A12057" s="4" t="s">
        <v>15166</v>
      </c>
      <c r="B12057" s="4" t="s">
        <v>15168</v>
      </c>
      <c r="C12057" s="5" t="str">
        <f>IFERROR(__xludf.DUMMYFUNCTION("GOOGLETRANSLATE(B12057,""en"",""es-ES"")"),"Un hombre con pantalones cortos azules aparece a la derecha y también está clavando tejas largas en el techo.")</f>
        <v>Un hombre con pantalones cortos azules aparece a la derecha y también está clavando tejas largas en el techo.</v>
      </c>
    </row>
    <row r="12058">
      <c r="A12058" s="4" t="s">
        <v>15166</v>
      </c>
      <c r="B12058" s="4" t="s">
        <v>15169</v>
      </c>
      <c r="C12058" s="5" t="str">
        <f>IFERROR(__xludf.DUMMYFUNCTION("GOOGLETRANSLATE(B12058,""en"",""es-ES"")"),"El zoom entra en los pantalones negros largos y está clavando tejas en el perímetro exterior del techo.")</f>
        <v>El zoom entra en los pantalones negros largos y está clavando tejas en el perímetro exterior del techo.</v>
      </c>
    </row>
    <row r="12059">
      <c r="A12059" s="4" t="s">
        <v>15170</v>
      </c>
      <c r="B12059" s="4" t="s">
        <v>15171</v>
      </c>
      <c r="C12059" s="5" t="str">
        <f>IFERROR(__xludf.DUMMYFUNCTION("GOOGLETRANSLATE(B12059,""en"",""es-ES"")"),"Se ve a una mujer tocando una flauta mientras un hombre habla en un micrófono y dos personas tocan el piano detrás de ella.")</f>
        <v>Se ve a una mujer tocando una flauta mientras un hombre habla en un micrófono y dos personas tocan el piano detrás de ella.</v>
      </c>
    </row>
    <row r="12060">
      <c r="A12060" s="4" t="s">
        <v>15170</v>
      </c>
      <c r="B12060" s="4" t="s">
        <v>15172</v>
      </c>
      <c r="C12060" s="5" t="str">
        <f>IFERROR(__xludf.DUMMYFUNCTION("GOOGLETRANSLATE(B12060,""en"",""es-ES"")"),"La mujer hace una pausa para hablar con el hombre y el hombre le quita la flauta y juega.")</f>
        <v>La mujer hace una pausa para hablar con el hombre y el hombre le quita la flauta y juega.</v>
      </c>
    </row>
    <row r="12061">
      <c r="A12061" s="4" t="s">
        <v>15170</v>
      </c>
      <c r="B12061" s="4" t="s">
        <v>15173</v>
      </c>
      <c r="C12061" s="5" t="str">
        <f>IFERROR(__xludf.DUMMYFUNCTION("GOOGLETRANSLATE(B12061,""en"",""es-ES"")"),"El hombre le entrega la flauta para jugar y termina hablando con ella.")</f>
        <v>El hombre le entrega la flauta para jugar y termina hablando con ella.</v>
      </c>
    </row>
    <row r="12062">
      <c r="A12062" s="4" t="s">
        <v>15174</v>
      </c>
      <c r="B12062" s="4" t="s">
        <v>15175</v>
      </c>
      <c r="C12062" s="5" t="str">
        <f>IFERROR(__xludf.DUMMYFUNCTION("GOOGLETRANSLATE(B12062,""en"",""es-ES"")"),"Se ve a un hombre atlético corriendo por una pista hacia un pozo.")</f>
        <v>Se ve a un hombre atlético corriendo por una pista hacia un pozo.</v>
      </c>
    </row>
    <row r="12063">
      <c r="A12063" s="4" t="s">
        <v>15174</v>
      </c>
      <c r="B12063" s="4" t="s">
        <v>15176</v>
      </c>
      <c r="C12063" s="5" t="str">
        <f>IFERROR(__xludf.DUMMYFUNCTION("GOOGLETRANSLATE(B12063,""en"",""es-ES"")"),"Varias personas más se ven corriendo por la pista hacia un pozo.")</f>
        <v>Varias personas más se ven corriendo por la pista hacia un pozo.</v>
      </c>
    </row>
    <row r="12064">
      <c r="A12064" s="4" t="s">
        <v>15174</v>
      </c>
      <c r="B12064" s="4" t="s">
        <v>15177</v>
      </c>
      <c r="C12064" s="5" t="str">
        <f>IFERROR(__xludf.DUMMYFUNCTION("GOOGLETRANSLATE(B12064,""en"",""es-ES"")"),"Una tras otra más gente salta.")</f>
        <v>Una tras otra más gente salta.</v>
      </c>
    </row>
    <row r="12065">
      <c r="A12065" s="4" t="s">
        <v>15178</v>
      </c>
      <c r="B12065" s="4" t="s">
        <v>15179</v>
      </c>
      <c r="C12065" s="5" t="str">
        <f>IFERROR(__xludf.DUMMYFUNCTION("GOOGLETRANSLATE(B12065,""en"",""es-ES"")"),"Un ancla de noticias en la bata blanca está hablando frente a la cámara.")</f>
        <v>Un ancla de noticias en la bata blanca está hablando frente a la cámara.</v>
      </c>
    </row>
    <row r="12066">
      <c r="A12066" s="4" t="s">
        <v>15178</v>
      </c>
      <c r="B12066" s="4" t="s">
        <v>15180</v>
      </c>
      <c r="C12066" s="5" t="str">
        <f>IFERROR(__xludf.DUMMYFUNCTION("GOOGLETRANSLATE(B12066,""en"",""es-ES"")"),"El jugador pateó la pelota y golpeó la meta.")</f>
        <v>El jugador pateó la pelota y golpeó la meta.</v>
      </c>
    </row>
    <row r="12067">
      <c r="A12067" s="4" t="s">
        <v>15178</v>
      </c>
      <c r="B12067" s="4" t="s">
        <v>15181</v>
      </c>
      <c r="C12067" s="5" t="str">
        <f>IFERROR(__xludf.DUMMYFUNCTION("GOOGLETRANSLATE(B12067,""en"",""es-ES"")"),"Dos jugadores en la cancha comenzaron a discutir y se empujaron y lucharon, uno de los jugadores arrojó la pelota a la otra persona, los jugadores comenzaron a perseguir y se empujaron, luego el equipo de uniformes azules se alejó.")</f>
        <v>Dos jugadores en la cancha comenzaron a discutir y se empujaron y lucharon, uno de los jugadores arrojó la pelota a la otra persona, los jugadores comenzaron a perseguir y se empujaron, luego el equipo de uniformes azules se alejó.</v>
      </c>
    </row>
    <row r="12068">
      <c r="A12068" s="4" t="s">
        <v>15178</v>
      </c>
      <c r="B12068" s="4" t="s">
        <v>15182</v>
      </c>
      <c r="C12068" s="5" t="str">
        <f>IFERROR(__xludf.DUMMYFUNCTION("GOOGLETRANSLATE(B12068,""en"",""es-ES"")"),"El equipo de uniformes blancos se quedó en la cancha y vitoreó.")</f>
        <v>El equipo de uniformes blancos se quedó en la cancha y vitoreó.</v>
      </c>
    </row>
    <row r="12069">
      <c r="A12069" s="4" t="s">
        <v>15183</v>
      </c>
      <c r="B12069" s="4" t="s">
        <v>15184</v>
      </c>
      <c r="C12069" s="5" t="str">
        <f>IFERROR(__xludf.DUMMYFUNCTION("GOOGLETRANSLATE(B12069,""en"",""es-ES"")"),"Se muestra una introducción de una mujer tejiendo con las manos, mientras que varias imágenes de gatos se muestran en el fondo.")</f>
        <v>Se muestra una introducción de una mujer tejiendo con las manos, mientras que varias imágenes de gatos se muestran en el fondo.</v>
      </c>
    </row>
    <row r="12070">
      <c r="A12070" s="4" t="s">
        <v>15183</v>
      </c>
      <c r="B12070" s="4" t="s">
        <v>15185</v>
      </c>
      <c r="C12070" s="5" t="str">
        <f>IFERROR(__xludf.DUMMYFUNCTION("GOOGLETRANSLATE(B12070,""en"",""es-ES"")"),"El texto sobre cómo tejer aparece mientras sus manos continúan moviéndose para demostrar cómo tejer correctamente.")</f>
        <v>El texto sobre cómo tejer aparece mientras sus manos continúan moviéndose para demostrar cómo tejer correctamente.</v>
      </c>
    </row>
    <row r="12071">
      <c r="A12071" s="4" t="s">
        <v>15186</v>
      </c>
      <c r="B12071" s="4" t="s">
        <v>15187</v>
      </c>
      <c r="C12071" s="5" t="str">
        <f>IFERROR(__xludf.DUMMYFUNCTION("GOOGLETRANSLATE(B12071,""en"",""es-ES"")"),"Una mujer habla y se acuesta en el suelo, luego dobla las piernas y levanta las dos.")</f>
        <v>Una mujer habla y se acuesta en el suelo, luego dobla las piernas y levanta las dos.</v>
      </c>
    </row>
    <row r="12072">
      <c r="A12072" s="4" t="s">
        <v>15186</v>
      </c>
      <c r="B12072" s="4" t="s">
        <v>15188</v>
      </c>
      <c r="C12072" s="5" t="str">
        <f>IFERROR(__xludf.DUMMYFUNCTION("GOOGLETRANSLATE(B12072,""en"",""es-ES"")"),"Luego, la mujer levanta las dos piernas rectas.")</f>
        <v>Luego, la mujer levanta las dos piernas rectas.</v>
      </c>
    </row>
    <row r="12073">
      <c r="A12073" s="4" t="s">
        <v>15186</v>
      </c>
      <c r="B12073" s="4" t="s">
        <v>15189</v>
      </c>
      <c r="C12073" s="5" t="str">
        <f>IFERROR(__xludf.DUMMYFUNCTION("GOOGLETRANSLATE(B12073,""en"",""es-ES"")"),"Después, la mujer levanta solo una pierna y el otro descanso de la pierna se dobla en el piso.")</f>
        <v>Después, la mujer levanta solo una pierna y el otro descanso de la pierna se dobla en el piso.</v>
      </c>
    </row>
    <row r="12074">
      <c r="A12074" s="4" t="s">
        <v>15190</v>
      </c>
      <c r="B12074" s="4" t="s">
        <v>15191</v>
      </c>
      <c r="C12074" s="5" t="str">
        <f>IFERROR(__xludf.DUMMYFUNCTION("GOOGLETRANSLATE(B12074,""en"",""es-ES"")"),"El niño se sienta en el kayak azul que sostiene las paletas.")</f>
        <v>El niño se sienta en el kayak azul que sostiene las paletas.</v>
      </c>
    </row>
    <row r="12075">
      <c r="A12075" s="4" t="s">
        <v>15190</v>
      </c>
      <c r="B12075" s="4" t="s">
        <v>15192</v>
      </c>
      <c r="C12075" s="5" t="str">
        <f>IFERROR(__xludf.DUMMYFUNCTION("GOOGLETRANSLATE(B12075,""en"",""es-ES"")"),"Entonces se muestra a alguien más remando en el agua y hay personas paradas en la orilla.")</f>
        <v>Entonces se muestra a alguien más remando en el agua y hay personas paradas en la orilla.</v>
      </c>
    </row>
    <row r="12076">
      <c r="A12076" s="4" t="s">
        <v>15190</v>
      </c>
      <c r="B12076" s="4" t="s">
        <v>15193</v>
      </c>
      <c r="C12076" s="5" t="str">
        <f>IFERROR(__xludf.DUMMYFUNCTION("GOOGLETRANSLATE(B12076,""en"",""es-ES"")"),"La cámara se da vuelta varias veces para mostrar los árboles y el cielo.")</f>
        <v>La cámara se da vuelta varias veces para mostrar los árboles y el cielo.</v>
      </c>
    </row>
    <row r="12077">
      <c r="A12077" s="4" t="s">
        <v>15194</v>
      </c>
      <c r="B12077" s="4" t="s">
        <v>15195</v>
      </c>
      <c r="C12077" s="5" t="str">
        <f>IFERROR(__xludf.DUMMYFUNCTION("GOOGLETRANSLATE(B12077,""en"",""es-ES"")"),"Una mujer de noticias femenina está hablando con la cámara en una sala de noticias.")</f>
        <v>Una mujer de noticias femenina está hablando con la cámara en una sala de noticias.</v>
      </c>
    </row>
    <row r="12078">
      <c r="A12078" s="4" t="s">
        <v>15194</v>
      </c>
      <c r="B12078" s="4" t="s">
        <v>15196</v>
      </c>
      <c r="C12078" s="5" t="str">
        <f>IFERROR(__xludf.DUMMYFUNCTION("GOOGLETRANSLATE(B12078,""en"",""es-ES"")"),"Otra mujer muestra una serie de suministros de limpieza.")</f>
        <v>Otra mujer muestra una serie de suministros de limpieza.</v>
      </c>
    </row>
    <row r="12079">
      <c r="A12079" s="4" t="s">
        <v>15194</v>
      </c>
      <c r="B12079" s="4" t="s">
        <v>15197</v>
      </c>
      <c r="C12079" s="5" t="str">
        <f>IFERROR(__xludf.DUMMYFUNCTION("GOOGLETRANSLATE(B12079,""en"",""es-ES"")"),"Ella instruye sobre cómo usarlos, pero no mezclar ciertos elementos.")</f>
        <v>Ella instruye sobre cómo usarlos, pero no mezclar ciertos elementos.</v>
      </c>
    </row>
    <row r="12080">
      <c r="A12080" s="4" t="s">
        <v>15194</v>
      </c>
      <c r="B12080" s="4" t="s">
        <v>15198</v>
      </c>
      <c r="C12080" s="5" t="str">
        <f>IFERROR(__xludf.DUMMYFUNCTION("GOOGLETRANSLATE(B12080,""en"",""es-ES"")"),"Ella vierte los líquidos en tazas y se convierte en una botella de pulverización para limpiar una cocina.")</f>
        <v>Ella vierte los líquidos en tazas y se convierte en una botella de pulverización para limpiar una cocina.</v>
      </c>
    </row>
    <row r="12081">
      <c r="A12081" s="4" t="s">
        <v>15199</v>
      </c>
      <c r="B12081" s="4" t="s">
        <v>15200</v>
      </c>
      <c r="C12081" s="5" t="str">
        <f>IFERROR(__xludf.DUMMYFUNCTION("GOOGLETRANSLATE(B12081,""en"",""es-ES"")"),"Un hombre está de pie en un mostrador con un cuchillo Smith.")</f>
        <v>Un hombre está de pie en un mostrador con un cuchillo Smith.</v>
      </c>
    </row>
    <row r="12082">
      <c r="A12082" s="4" t="s">
        <v>15199</v>
      </c>
      <c r="B12082" s="4" t="s">
        <v>15201</v>
      </c>
      <c r="C12082" s="5" t="str">
        <f>IFERROR(__xludf.DUMMYFUNCTION("GOOGLETRANSLATE(B12082,""en"",""es-ES"")"),"Demuestra cómo afilar el cuchillo.")</f>
        <v>Demuestra cómo afilar el cuchillo.</v>
      </c>
    </row>
    <row r="12083">
      <c r="A12083" s="4" t="s">
        <v>15199</v>
      </c>
      <c r="B12083" s="4" t="s">
        <v>15202</v>
      </c>
      <c r="C12083" s="5" t="str">
        <f>IFERROR(__xludf.DUMMYFUNCTION("GOOGLETRANSLATE(B12083,""en"",""es-ES"")"),"Vierte aceite en la herramienta de afilado y pasa el cuchillo sobre él.")</f>
        <v>Vierte aceite en la herramienta de afilado y pasa el cuchillo sobre él.</v>
      </c>
    </row>
    <row r="12084">
      <c r="A12084" s="4" t="s">
        <v>15199</v>
      </c>
      <c r="B12084" s="4" t="s">
        <v>15203</v>
      </c>
      <c r="C12084" s="5" t="str">
        <f>IFERROR(__xludf.DUMMYFUNCTION("GOOGLETRANSLATE(B12084,""en"",""es-ES"")"),"Limpia la herramienta y la guarda.")</f>
        <v>Limpia la herramienta y la guarda.</v>
      </c>
    </row>
    <row r="12085">
      <c r="A12085" s="4" t="s">
        <v>15204</v>
      </c>
      <c r="B12085" s="4" t="s">
        <v>15205</v>
      </c>
      <c r="C12085" s="5" t="str">
        <f>IFERROR(__xludf.DUMMYFUNCTION("GOOGLETRANSLATE(B12085,""en"",""es-ES"")"),"Una mujer de rojo está de pie junto a una mesa que explica algunas cosas.")</f>
        <v>Una mujer de rojo está de pie junto a una mesa que explica algunas cosas.</v>
      </c>
    </row>
    <row r="12086">
      <c r="A12086" s="4" t="s">
        <v>15204</v>
      </c>
      <c r="B12086" s="4" t="s">
        <v>15206</v>
      </c>
      <c r="C12086" s="5" t="str">
        <f>IFERROR(__xludf.DUMMYFUNCTION("GOOGLETRANSLATE(B12086,""en"",""es-ES"")"),"Ella pone su mano en el árbol de Navidad y habla un poco más al respecto.")</f>
        <v>Ella pone su mano en el árbol de Navidad y habla un poco más al respecto.</v>
      </c>
    </row>
    <row r="12087">
      <c r="A12087" s="4" t="s">
        <v>15204</v>
      </c>
      <c r="B12087" s="4" t="s">
        <v>15207</v>
      </c>
      <c r="C12087" s="5" t="str">
        <f>IFERROR(__xludf.DUMMYFUNCTION("GOOGLETRANSLATE(B12087,""en"",""es-ES"")"),"Ella agarra un poco de cinta roja y comienza a atarse a un arco.")</f>
        <v>Ella agarra un poco de cinta roja y comienza a atarse a un arco.</v>
      </c>
    </row>
    <row r="12088">
      <c r="A12088" s="4" t="s">
        <v>15204</v>
      </c>
      <c r="B12088" s="4" t="s">
        <v>15208</v>
      </c>
      <c r="C12088" s="5" t="str">
        <f>IFERROR(__xludf.DUMMYFUNCTION("GOOGLETRANSLATE(B12088,""en"",""es-ES"")"),"Luego va a colocarlo en el árbol de Navidad y continúa hablando de ello.")</f>
        <v>Luego va a colocarlo en el árbol de Navidad y continúa hablando de ello.</v>
      </c>
    </row>
    <row r="12089">
      <c r="A12089" s="4" t="s">
        <v>15209</v>
      </c>
      <c r="B12089" s="4" t="s">
        <v>15210</v>
      </c>
      <c r="C12089" s="5" t="str">
        <f>IFERROR(__xludf.DUMMYFUNCTION("GOOGLETRANSLATE(B12089,""en"",""es-ES"")"),"Las herramientas de peinado se muestran en primer plano.")</f>
        <v>Las herramientas de peinado se muestran en primer plano.</v>
      </c>
    </row>
    <row r="12090">
      <c r="A12090" s="4" t="s">
        <v>15209</v>
      </c>
      <c r="B12090" s="4" t="s">
        <v>15211</v>
      </c>
      <c r="C12090" s="5" t="str">
        <f>IFERROR(__xludf.DUMMYFUNCTION("GOOGLETRANSLATE(B12090,""en"",""es-ES"")"),"Una mujer camina por una calle y hacia un salón.")</f>
        <v>Una mujer camina por una calle y hacia un salón.</v>
      </c>
    </row>
    <row r="12091">
      <c r="A12091" s="4" t="s">
        <v>15209</v>
      </c>
      <c r="B12091" s="4" t="s">
        <v>15212</v>
      </c>
      <c r="C12091" s="5" t="str">
        <f>IFERROR(__xludf.DUMMYFUNCTION("GOOGLETRANSLATE(B12091,""en"",""es-ES"")"),"La mujer interactúa con un hombre en el salón.")</f>
        <v>La mujer interactúa con un hombre en el salón.</v>
      </c>
    </row>
    <row r="12092">
      <c r="A12092" s="4" t="s">
        <v>15209</v>
      </c>
      <c r="B12092" s="4" t="s">
        <v>15213</v>
      </c>
      <c r="C12092" s="5" t="str">
        <f>IFERROR(__xludf.DUMMYFUNCTION("GOOGLETRANSLATE(B12092,""en"",""es-ES"")"),"El hombre y la mujer miran fotos de peinados juntos.")</f>
        <v>El hombre y la mujer miran fotos de peinados juntos.</v>
      </c>
    </row>
    <row r="12093">
      <c r="A12093" s="4" t="s">
        <v>15209</v>
      </c>
      <c r="B12093" s="4" t="s">
        <v>15214</v>
      </c>
      <c r="C12093" s="5" t="str">
        <f>IFERROR(__xludf.DUMMYFUNCTION("GOOGLETRANSLATE(B12093,""en"",""es-ES"")"),"Se muestran escenas de la mujer con el cabello cortado y el estilo.")</f>
        <v>Se muestran escenas de la mujer con el cabello cortado y el estilo.</v>
      </c>
    </row>
    <row r="12094">
      <c r="A12094" s="4" t="s">
        <v>15209</v>
      </c>
      <c r="B12094" s="4" t="s">
        <v>15215</v>
      </c>
      <c r="C12094" s="5" t="str">
        <f>IFERROR(__xludf.DUMMYFUNCTION("GOOGLETRANSLATE(B12094,""en"",""es-ES"")"),"El hombre y la mujer interactúan mientras examinan su nuevo estilo.")</f>
        <v>El hombre y la mujer interactúan mientras examinan su nuevo estilo.</v>
      </c>
    </row>
    <row r="12095">
      <c r="A12095" s="4" t="s">
        <v>15209</v>
      </c>
      <c r="B12095" s="4" t="s">
        <v>15216</v>
      </c>
      <c r="C12095" s="5" t="str">
        <f>IFERROR(__xludf.DUMMYFUNCTION("GOOGLETRANSLATE(B12095,""en"",""es-ES"")"),"Se muestra un primer plano de cabello en el piso.")</f>
        <v>Se muestra un primer plano de cabello en el piso.</v>
      </c>
    </row>
    <row r="12096">
      <c r="A12096" s="4" t="s">
        <v>15217</v>
      </c>
      <c r="B12096" s="4" t="s">
        <v>15218</v>
      </c>
      <c r="C12096" s="5" t="str">
        <f>IFERROR(__xludf.DUMMYFUNCTION("GOOGLETRANSLATE(B12096,""en"",""es-ES"")"),"Un hombre y una mujer están hablando con una cámara y la niña demuestra cómo realizar una discusión adecuada.")</f>
        <v>Un hombre y una mujer están hablando con una cámara y la niña demuestra cómo realizar una discusión adecuada.</v>
      </c>
    </row>
    <row r="12097">
      <c r="A12097" s="4" t="s">
        <v>15217</v>
      </c>
      <c r="B12097" s="4" t="s">
        <v>15219</v>
      </c>
      <c r="C12097" s="5" t="str">
        <f>IFERROR(__xludf.DUMMYFUNCTION("GOOGLETRANSLATE(B12097,""en"",""es-ES"")"),"En segundo lugar, muestra la postura adecuada de tirar el artículo y lanza la discusión cómo al aire.")</f>
        <v>En segundo lugar, muestra la postura adecuada de tirar el artículo y lanza la discusión cómo al aire.</v>
      </c>
    </row>
    <row r="12098">
      <c r="A12098" s="4" t="s">
        <v>15217</v>
      </c>
      <c r="B12098" s="4" t="s">
        <v>15220</v>
      </c>
      <c r="C12098" s="5" t="str">
        <f>IFERROR(__xludf.DUMMYFUNCTION("GOOGLETRANSLATE(B12098,""en"",""es-ES"")"),"Ella demuestra doblarse y girar con el disco y hace un lanzamiento completo.")</f>
        <v>Ella demuestra doblarse y girar con el disco y hace un lanzamiento completo.</v>
      </c>
    </row>
    <row r="12099">
      <c r="A12099" s="4" t="s">
        <v>15217</v>
      </c>
      <c r="B12099" s="4" t="s">
        <v>15221</v>
      </c>
      <c r="C12099" s="5" t="str">
        <f>IFERROR(__xludf.DUMMYFUNCTION("GOOGLETRANSLATE(B12099,""en"",""es-ES"")"),"Luego, el hombre intenta lanzar cómo lo hizo la mujer e intenta lanzar más y mejorar.")</f>
        <v>Luego, el hombre intenta lanzar cómo lo hizo la mujer e intenta lanzar más y mejorar.</v>
      </c>
    </row>
    <row r="12100">
      <c r="A12100" s="4" t="s">
        <v>15222</v>
      </c>
      <c r="B12100" s="4" t="s">
        <v>15223</v>
      </c>
      <c r="C12100" s="5" t="str">
        <f>IFERROR(__xludf.DUMMYFUNCTION("GOOGLETRANSLATE(B12100,""en"",""es-ES"")"),"La gente está sentada en autos de parachoques chocando entre sí.")</f>
        <v>La gente está sentada en autos de parachoques chocando entre sí.</v>
      </c>
    </row>
    <row r="12101">
      <c r="A12101" s="4" t="s">
        <v>15222</v>
      </c>
      <c r="B12101" s="4" t="s">
        <v>15224</v>
      </c>
      <c r="C12101" s="5" t="str">
        <f>IFERROR(__xludf.DUMMYFUNCTION("GOOGLETRANSLATE(B12101,""en"",""es-ES"")"),"Se detienen y salen de los autos.")</f>
        <v>Se detienen y salen de los autos.</v>
      </c>
    </row>
    <row r="12102">
      <c r="A12102" s="4" t="s">
        <v>15222</v>
      </c>
      <c r="B12102" s="4" t="s">
        <v>15225</v>
      </c>
      <c r="C12102" s="5" t="str">
        <f>IFERROR(__xludf.DUMMYFUNCTION("GOOGLETRANSLATE(B12102,""en"",""es-ES"")"),"Un niño con una camisa blanca sale con un niño con una camisa azul.")</f>
        <v>Un niño con una camisa blanca sale con un niño con una camisa azul.</v>
      </c>
    </row>
    <row r="12103">
      <c r="A12103" s="4" t="s">
        <v>15226</v>
      </c>
      <c r="B12103" s="4" t="s">
        <v>15227</v>
      </c>
      <c r="C12103" s="5" t="str">
        <f>IFERROR(__xludf.DUMMYFUNCTION("GOOGLETRANSLATE(B12103,""en"",""es-ES"")"),"Se ve a una mujer sentada en un equipo de ejercicio con los brazos y las piernas atadas.")</f>
        <v>Se ve a una mujer sentada en un equipo de ejercicio con los brazos y las piernas atadas.</v>
      </c>
    </row>
    <row r="12104">
      <c r="A12104" s="4" t="s">
        <v>15226</v>
      </c>
      <c r="B12104" s="4" t="s">
        <v>15228</v>
      </c>
      <c r="C12104" s="5" t="str">
        <f>IFERROR(__xludf.DUMMYFUNCTION("GOOGLETRANSLATE(B12104,""en"",""es-ES"")"),"Se ve a la mujer mudándose hacia atrás y cuarto en la máquina mientras mira hacia adelante.")</f>
        <v>Se ve a la mujer mudándose hacia atrás y cuarto en la máquina mientras mira hacia adelante.</v>
      </c>
    </row>
    <row r="12105">
      <c r="A12105" s="4" t="s">
        <v>15226</v>
      </c>
      <c r="B12105" s="4" t="s">
        <v>15229</v>
      </c>
      <c r="C12105" s="5" t="str">
        <f>IFERROR(__xludf.DUMMYFUNCTION("GOOGLETRANSLATE(B12105,""en"",""es-ES"")"),"La mujer continúa moviéndose en la máquina mientras la cámara observa sus movimientos.")</f>
        <v>La mujer continúa moviéndose en la máquina mientras la cámara observa sus movimientos.</v>
      </c>
    </row>
    <row r="12106">
      <c r="A12106" s="4" t="s">
        <v>15230</v>
      </c>
      <c r="B12106" s="4" t="s">
        <v>1487</v>
      </c>
      <c r="C12106" s="5" t="str">
        <f>IFERROR(__xludf.DUMMYFUNCTION("GOOGLETRANSLATE(B12106,""en"",""es-ES"")"),"Vemos una pantalla de título de apertura.")</f>
        <v>Vemos una pantalla de título de apertura.</v>
      </c>
    </row>
    <row r="12107">
      <c r="A12107" s="4" t="s">
        <v>15230</v>
      </c>
      <c r="B12107" s="4" t="s">
        <v>15231</v>
      </c>
      <c r="C12107" s="5" t="str">
        <f>IFERROR(__xludf.DUMMYFUNCTION("GOOGLETRANSLATE(B12107,""en"",""es-ES"")"),"Una señora muestra sus uñas.")</f>
        <v>Una señora muestra sus uñas.</v>
      </c>
    </row>
    <row r="12108">
      <c r="A12108" s="4" t="s">
        <v>15230</v>
      </c>
      <c r="B12108" s="4" t="s">
        <v>15232</v>
      </c>
      <c r="C12108" s="5" t="str">
        <f>IFERROR(__xludf.DUMMYFUNCTION("GOOGLETRANSLATE(B12108,""en"",""es-ES"")"),"La señora pone gotas de pintura blanca en las uñas de sus dedos.")</f>
        <v>La señora pone gotas de pintura blanca en las uñas de sus dedos.</v>
      </c>
    </row>
    <row r="12109">
      <c r="A12109" s="4" t="s">
        <v>15230</v>
      </c>
      <c r="B12109" s="4" t="s">
        <v>15233</v>
      </c>
      <c r="C12109" s="5" t="str">
        <f>IFERROR(__xludf.DUMMYFUNCTION("GOOGLETRANSLATE(B12109,""en"",""es-ES"")"),"La señora usa un palillo de dientes y lo arrastra a través de la pintura blanca.")</f>
        <v>La señora usa un palillo de dientes y lo arrastra a través de la pintura blanca.</v>
      </c>
    </row>
    <row r="12110">
      <c r="A12110" s="4" t="s">
        <v>15230</v>
      </c>
      <c r="B12110" s="4" t="s">
        <v>15234</v>
      </c>
      <c r="C12110" s="5" t="str">
        <f>IFERROR(__xludf.DUMMYFUNCTION("GOOGLETRANSLATE(B12110,""en"",""es-ES"")"),"Ella hace otra uña con el mismo proceso.")</f>
        <v>Ella hace otra uña con el mismo proceso.</v>
      </c>
    </row>
    <row r="12111">
      <c r="A12111" s="4" t="s">
        <v>15230</v>
      </c>
      <c r="B12111" s="4" t="s">
        <v>15235</v>
      </c>
      <c r="C12111" s="5" t="str">
        <f>IFERROR(__xludf.DUMMYFUNCTION("GOOGLETRANSLATE(B12111,""en"",""es-ES"")"),"La señora nos muestra los diseños de flores en sus uñas.")</f>
        <v>La señora nos muestra los diseños de flores en sus uñas.</v>
      </c>
    </row>
    <row r="12112">
      <c r="A12112" s="4" t="s">
        <v>15236</v>
      </c>
      <c r="B12112" s="4" t="s">
        <v>15237</v>
      </c>
      <c r="C12112" s="5" t="str">
        <f>IFERROR(__xludf.DUMMYFUNCTION("GOOGLETRANSLATE(B12112,""en"",""es-ES"")"),"Las bandas de música están posicionadas en el campo.")</f>
        <v>Las bandas de música están posicionadas en el campo.</v>
      </c>
    </row>
    <row r="12113">
      <c r="A12113" s="4" t="s">
        <v>15236</v>
      </c>
      <c r="B12113" s="4" t="s">
        <v>15238</v>
      </c>
      <c r="C12113" s="5" t="str">
        <f>IFERROR(__xludf.DUMMYFUNCTION("GOOGLETRANSLATE(B12113,""en"",""es-ES"")"),"Entonces la banda comenzó a tocar sus instrumentos.")</f>
        <v>Entonces la banda comenzó a tocar sus instrumentos.</v>
      </c>
    </row>
    <row r="12114">
      <c r="A12114" s="4" t="s">
        <v>15236</v>
      </c>
      <c r="B12114" s="4" t="s">
        <v>15239</v>
      </c>
      <c r="C12114" s="5" t="str">
        <f>IFERROR(__xludf.DUMMYFUNCTION("GOOGLETRANSLATE(B12114,""en"",""es-ES"")"),"Las damas con banderas movieron sus banderas hacia arriba y hacia abajo y las rotarán mientras la banda toca.")</f>
        <v>Las damas con banderas movieron sus banderas hacia arriba y hacia abajo y las rotarán mientras la banda toca.</v>
      </c>
    </row>
    <row r="12115">
      <c r="A12115" s="4" t="s">
        <v>15240</v>
      </c>
      <c r="B12115" s="4" t="s">
        <v>15241</v>
      </c>
      <c r="C12115" s="5" t="str">
        <f>IFERROR(__xludf.DUMMYFUNCTION("GOOGLETRANSLATE(B12115,""en"",""es-ES"")"),"Se ve a un hombre parado afuera sosteniendo una cuerda y atándola alrededor de una corteza de árbol.")</f>
        <v>Se ve a un hombre parado afuera sosteniendo una cuerda y atándola alrededor de una corteza de árbol.</v>
      </c>
    </row>
    <row r="12116">
      <c r="A12116" s="4" t="s">
        <v>15240</v>
      </c>
      <c r="B12116" s="4" t="s">
        <v>15242</v>
      </c>
      <c r="C12116" s="5" t="str">
        <f>IFERROR(__xludf.DUMMYFUNCTION("GOOGLETRANSLATE(B12116,""en"",""es-ES"")"),"Luego se produce el registro en el suelo y lo divide en dos.")</f>
        <v>Luego se produce el registro en el suelo y lo divide en dos.</v>
      </c>
    </row>
    <row r="12117">
      <c r="A12117" s="4" t="s">
        <v>15243</v>
      </c>
      <c r="B12117" s="4" t="s">
        <v>15244</v>
      </c>
      <c r="C12117" s="5" t="str">
        <f>IFERROR(__xludf.DUMMYFUNCTION("GOOGLETRANSLATE(B12117,""en"",""es-ES"")"),"Se muestra que un hombre apunta a una llanta de bicicleta y corta un trozo de alambre con alicates.")</f>
        <v>Se muestra que un hombre apunta a una llanta de bicicleta y corta un trozo de alambre con alicates.</v>
      </c>
    </row>
    <row r="12118">
      <c r="A12118" s="4" t="s">
        <v>15243</v>
      </c>
      <c r="B12118" s="4" t="s">
        <v>15245</v>
      </c>
      <c r="C12118" s="5" t="str">
        <f>IFERROR(__xludf.DUMMYFUNCTION("GOOGLETRANSLATE(B12118,""en"",""es-ES"")"),"Luego se mueve hacia las barras y girando la rueda seguido de un palo presionando contra el neumático.")</f>
        <v>Luego se mueve hacia las barras y girando la rueda seguido de un palo presionando contra el neumático.</v>
      </c>
    </row>
    <row r="12119">
      <c r="A12119" s="4" t="s">
        <v>15243</v>
      </c>
      <c r="B12119" s="4" t="s">
        <v>15246</v>
      </c>
      <c r="C12119" s="5" t="str">
        <f>IFERROR(__xludf.DUMMYFUNCTION("GOOGLETRANSLATE(B12119,""en"",""es-ES"")"),"Empuja un tubo hacia el neumático y ajusta los cables con un dispositivo.")</f>
        <v>Empuja un tubo hacia el neumático y ajusta los cables con un dispositivo.</v>
      </c>
    </row>
    <row r="12120">
      <c r="A12120" s="4" t="s">
        <v>15243</v>
      </c>
      <c r="B12120" s="4" t="s">
        <v>15247</v>
      </c>
      <c r="C12120" s="5" t="str">
        <f>IFERROR(__xludf.DUMMYFUNCTION("GOOGLETRANSLATE(B12120,""en"",""es-ES"")"),"Él prueba la rueda a fondo y asegura que la bicicleta esté lista para funcionar.")</f>
        <v>Él prueba la rueda a fondo y asegura que la bicicleta esté lista para funcionar.</v>
      </c>
    </row>
    <row r="12121">
      <c r="A12121" s="4" t="s">
        <v>15248</v>
      </c>
      <c r="B12121" s="4" t="s">
        <v>15249</v>
      </c>
      <c r="C12121" s="5" t="str">
        <f>IFERROR(__xludf.DUMMYFUNCTION("GOOGLETRANSLATE(B12121,""en"",""es-ES"")"),"Una mujer está hablando con una cámara.")</f>
        <v>Una mujer está hablando con una cámara.</v>
      </c>
    </row>
    <row r="12122">
      <c r="A12122" s="4" t="s">
        <v>15248</v>
      </c>
      <c r="B12122" s="4" t="s">
        <v>15250</v>
      </c>
      <c r="C12122" s="5" t="str">
        <f>IFERROR(__xludf.DUMMYFUNCTION("GOOGLETRANSLATE(B12122,""en"",""es-ES"")"),"Ella toma una flauta y comienza a jugar.")</f>
        <v>Ella toma una flauta y comienza a jugar.</v>
      </c>
    </row>
    <row r="12123">
      <c r="A12123" s="4" t="s">
        <v>15248</v>
      </c>
      <c r="B12123" s="4" t="s">
        <v>15251</v>
      </c>
      <c r="C12123" s="5" t="str">
        <f>IFERROR(__xludf.DUMMYFUNCTION("GOOGLETRANSLATE(B12123,""en"",""es-ES"")"),"Ella pone el chimenea en su regazo y continúa hablando.")</f>
        <v>Ella pone el chimenea en su regazo y continúa hablando.</v>
      </c>
    </row>
    <row r="12124">
      <c r="A12124" s="4" t="s">
        <v>15248</v>
      </c>
      <c r="B12124" s="4" t="s">
        <v>15252</v>
      </c>
      <c r="C12124" s="5" t="str">
        <f>IFERROR(__xludf.DUMMYFUNCTION("GOOGLETRANSLATE(B12124,""en"",""es-ES"")"),"Ella vuelve a colocar la flauta en la boca y continúa jugando.")</f>
        <v>Ella vuelve a colocar la flauta en la boca y continúa jugando.</v>
      </c>
    </row>
    <row r="12125">
      <c r="A12125" s="4" t="s">
        <v>15248</v>
      </c>
      <c r="B12125" s="4" t="s">
        <v>15253</v>
      </c>
      <c r="C12125" s="5" t="str">
        <f>IFERROR(__xludf.DUMMYFUNCTION("GOOGLETRANSLATE(B12125,""en"",""es-ES"")"),"Ella vuelve a bajar la flauta y asiente con la cabeza.")</f>
        <v>Ella vuelve a bajar la flauta y asiente con la cabeza.</v>
      </c>
    </row>
    <row r="12126">
      <c r="A12126" s="4" t="s">
        <v>15248</v>
      </c>
      <c r="B12126" s="4" t="s">
        <v>15254</v>
      </c>
      <c r="C12126" s="5" t="str">
        <f>IFERROR(__xludf.DUMMYFUNCTION("GOOGLETRANSLATE(B12126,""en"",""es-ES"")"),"Ella vuelve a poner la flauta en sus labios y juega.")</f>
        <v>Ella vuelve a poner la flauta en sus labios y juega.</v>
      </c>
    </row>
    <row r="12127">
      <c r="A12127" s="4" t="s">
        <v>15255</v>
      </c>
      <c r="B12127" s="4" t="s">
        <v>15256</v>
      </c>
      <c r="C12127" s="5" t="str">
        <f>IFERROR(__xludf.DUMMYFUNCTION("GOOGLETRANSLATE(B12127,""en"",""es-ES"")"),"Una persona está esquiando por agua detrás de un bote.")</f>
        <v>Una persona está esquiando por agua detrás de un bote.</v>
      </c>
    </row>
    <row r="12128">
      <c r="A12128" s="4" t="s">
        <v>15255</v>
      </c>
      <c r="B12128" s="4" t="s">
        <v>15257</v>
      </c>
      <c r="C12128" s="5" t="str">
        <f>IFERROR(__xludf.DUMMYFUNCTION("GOOGLETRANSLATE(B12128,""en"",""es-ES"")"),"Se ve otro bote en el agua detrás de ellos.")</f>
        <v>Se ve otro bote en el agua detrás de ellos.</v>
      </c>
    </row>
    <row r="12129">
      <c r="A12129" s="4" t="s">
        <v>15255</v>
      </c>
      <c r="B12129" s="4" t="s">
        <v>15258</v>
      </c>
      <c r="C12129" s="5" t="str">
        <f>IFERROR(__xludf.DUMMYFUNCTION("GOOGLETRANSLATE(B12129,""en"",""es-ES"")"),"Van por los conos amarillos en el agua.")</f>
        <v>Van por los conos amarillos en el agua.</v>
      </c>
    </row>
    <row r="12130">
      <c r="A12130" s="4" t="s">
        <v>15259</v>
      </c>
      <c r="B12130" s="4" t="s">
        <v>15260</v>
      </c>
      <c r="C12130" s="5" t="str">
        <f>IFERROR(__xludf.DUMMYFUNCTION("GOOGLETRANSLATE(B12130,""en"",""es-ES"")"),"Se ve a un hombre caminando por un campo seguido de varias personas corriendo y cuarto.")</f>
        <v>Se ve a un hombre caminando por un campo seguido de varias personas corriendo y cuarto.</v>
      </c>
    </row>
    <row r="12131">
      <c r="A12131" s="4" t="s">
        <v>15259</v>
      </c>
      <c r="B12131" s="4" t="s">
        <v>15261</v>
      </c>
      <c r="C12131" s="5" t="str">
        <f>IFERROR(__xludf.DUMMYFUNCTION("GOOGLETRANSLATE(B12131,""en"",""es-ES"")"),"Los hombres arrojan la pelota alrededor del patio y continúan corriendo por la hierba.")</f>
        <v>Los hombres arrojan la pelota alrededor del patio y continúan corriendo por la hierba.</v>
      </c>
    </row>
    <row r="12132">
      <c r="A12132" s="4" t="s">
        <v>15262</v>
      </c>
      <c r="B12132" s="4" t="s">
        <v>15263</v>
      </c>
      <c r="C12132" s="5" t="str">
        <f>IFERROR(__xludf.DUMMYFUNCTION("GOOGLETRANSLATE(B12132,""en"",""es-ES"")"),"Dos pares de hombres se están preparando para boxear.")</f>
        <v>Dos pares de hombres se están preparando para boxear.</v>
      </c>
    </row>
    <row r="12133">
      <c r="A12133" s="4" t="s">
        <v>15262</v>
      </c>
      <c r="B12133" s="4" t="s">
        <v>15264</v>
      </c>
      <c r="C12133" s="5" t="str">
        <f>IFERROR(__xludf.DUMMYFUNCTION("GOOGLETRANSLATE(B12133,""en"",""es-ES"")"),"Ambos pares de hombres son vistos en el boxeo.")</f>
        <v>Ambos pares de hombres son vistos en el boxeo.</v>
      </c>
    </row>
    <row r="12134">
      <c r="A12134" s="4" t="s">
        <v>15262</v>
      </c>
      <c r="B12134" s="4" t="s">
        <v>15265</v>
      </c>
      <c r="C12134" s="5" t="str">
        <f>IFERROR(__xludf.DUMMYFUNCTION("GOOGLETRANSLATE(B12134,""en"",""es-ES"")"),"Se ve a otro par de hombres hablando y haciendo un gesto sobre el boxeo en la distancia.")</f>
        <v>Se ve a otro par de hombres hablando y haciendo un gesto sobre el boxeo en la distancia.</v>
      </c>
    </row>
    <row r="12135">
      <c r="A12135" s="4" t="s">
        <v>15262</v>
      </c>
      <c r="B12135" s="4" t="s">
        <v>15266</v>
      </c>
      <c r="C12135" s="5" t="str">
        <f>IFERROR(__xludf.DUMMYFUNCTION("GOOGLETRANSLATE(B12135,""en"",""es-ES"")"),"El par principal de boxeadores toma un breve descanso.")</f>
        <v>El par principal de boxeadores toma un breve descanso.</v>
      </c>
    </row>
    <row r="12136">
      <c r="A12136" s="4" t="s">
        <v>15262</v>
      </c>
      <c r="B12136" s="4" t="s">
        <v>15267</v>
      </c>
      <c r="C12136" s="5" t="str">
        <f>IFERROR(__xludf.DUMMYFUNCTION("GOOGLETRANSLATE(B12136,""en"",""es-ES"")"),"Todos los grupos detienen el boxeo y comienzan a hablar.")</f>
        <v>Todos los grupos detienen el boxeo y comienzan a hablar.</v>
      </c>
    </row>
    <row r="12137">
      <c r="A12137" s="4" t="s">
        <v>15262</v>
      </c>
      <c r="B12137" s="4" t="s">
        <v>15268</v>
      </c>
      <c r="C12137" s="5" t="str">
        <f>IFERROR(__xludf.DUMMYFUNCTION("GOOGLETRANSLATE(B12137,""en"",""es-ES"")"),"Uno de los hombres comienza a colgar en una cuerda y balancearse hacia adelante y hacia atrás.")</f>
        <v>Uno de los hombres comienza a colgar en una cuerda y balancearse hacia adelante y hacia atrás.</v>
      </c>
    </row>
    <row r="12138">
      <c r="A12138" s="4" t="s">
        <v>15269</v>
      </c>
      <c r="B12138" s="4" t="s">
        <v>15270</v>
      </c>
      <c r="C12138" s="5" t="str">
        <f>IFERROR(__xludf.DUMMYFUNCTION("GOOGLETRANSLATE(B12138,""en"",""es-ES"")"),"Una mujer vestida con una camiseta sin mangas negra y medias negras está haciendo abdominales estomacales en una estera.")</f>
        <v>Una mujer vestida con una camiseta sin mangas negra y medias negras está haciendo abdominales estomacales en una estera.</v>
      </c>
    </row>
    <row r="12139">
      <c r="A12139" s="4" t="s">
        <v>15269</v>
      </c>
      <c r="B12139" s="4" t="s">
        <v>15271</v>
      </c>
      <c r="C12139" s="5" t="str">
        <f>IFERROR(__xludf.DUMMYFUNCTION("GOOGLETRANSLATE(B12139,""en"",""es-ES"")"),"Ella está haciendo ejercicio en un piso de madera en el gimnasio.")</f>
        <v>Ella está haciendo ejercicio en un piso de madera en el gimnasio.</v>
      </c>
    </row>
    <row r="12140">
      <c r="A12140" s="4" t="s">
        <v>15269</v>
      </c>
      <c r="B12140" s="4" t="s">
        <v>15272</v>
      </c>
      <c r="C12140" s="5" t="str">
        <f>IFERROR(__xludf.DUMMYFUNCTION("GOOGLETRANSLATE(B12140,""en"",""es-ES"")"),"Ella continúa haciendo los abdominales del estómago.")</f>
        <v>Ella continúa haciendo los abdominales del estómago.</v>
      </c>
    </row>
    <row r="12141">
      <c r="A12141" s="4" t="s">
        <v>15273</v>
      </c>
      <c r="B12141" s="4" t="s">
        <v>15274</v>
      </c>
      <c r="C12141" s="5" t="str">
        <f>IFERROR(__xludf.DUMMYFUNCTION("GOOGLETRANSLATE(B12141,""en"",""es-ES"")"),"Una introducción conduce a un primer plano de una mesa de fooseball y se rastrea alrededor de varias especificaciones de la mesa.")</f>
        <v>Una introducción conduce a un primer plano de una mesa de fooseball y se rastrea alrededor de varias especificaciones de la mesa.</v>
      </c>
    </row>
    <row r="12142">
      <c r="A12142" s="4" t="s">
        <v>15273</v>
      </c>
      <c r="B12142" s="4" t="s">
        <v>15275</v>
      </c>
      <c r="C12142" s="5" t="str">
        <f>IFERROR(__xludf.DUMMYFUNCTION("GOOGLETRANSLATE(B12142,""en"",""es-ES"")"),"Se ven dos personas jugando entre sí mientras la cámara muestra la mesa en varios puntos y los chicos se figuran unos a otros.")</f>
        <v>Se ven dos personas jugando entre sí mientras la cámara muestra la mesa en varios puntos y los chicos se figuran unos a otros.</v>
      </c>
    </row>
    <row r="12143">
      <c r="A12143" s="4" t="s">
        <v>15276</v>
      </c>
      <c r="B12143" s="4" t="s">
        <v>15277</v>
      </c>
      <c r="C12143" s="5" t="str">
        <f>IFERROR(__xludf.DUMMYFUNCTION("GOOGLETRANSLATE(B12143,""en"",""es-ES"")"),"Varias imágenes de personas que pintan utilizando varias herramientas en paredes duras.")</f>
        <v>Varias imágenes de personas que pintan utilizando varias herramientas en paredes duras.</v>
      </c>
    </row>
    <row r="12144">
      <c r="A12144" s="4" t="s">
        <v>15276</v>
      </c>
      <c r="B12144" s="4" t="s">
        <v>15278</v>
      </c>
      <c r="C12144" s="5" t="str">
        <f>IFERROR(__xludf.DUMMYFUNCTION("GOOGLETRANSLATE(B12144,""en"",""es-ES"")"),"Se muestran más imágenes de personas enyesadas con varias imágenes de texto que se muestran dentro.")</f>
        <v>Se muestran más imágenes de personas enyesadas con varias imágenes de texto que se muestran dentro.</v>
      </c>
    </row>
    <row r="12145">
      <c r="A12145" s="4" t="s">
        <v>15279</v>
      </c>
      <c r="B12145" s="4" t="s">
        <v>15280</v>
      </c>
      <c r="C12145" s="5" t="str">
        <f>IFERROR(__xludf.DUMMYFUNCTION("GOOGLETRANSLATE(B12145,""en"",""es-ES"")"),"Un hombre está reuniendo una bicicleta en una mesa.")</f>
        <v>Un hombre está reuniendo una bicicleta en una mesa.</v>
      </c>
    </row>
    <row r="12146">
      <c r="A12146" s="4" t="s">
        <v>15279</v>
      </c>
      <c r="B12146" s="4" t="s">
        <v>15281</v>
      </c>
      <c r="C12146" s="5" t="str">
        <f>IFERROR(__xludf.DUMMYFUNCTION("GOOGLETRANSLATE(B12146,""en"",""es-ES"")"),"Está poniendo ruedas de entrenamiento en la rueda trasera de la bicicleta.")</f>
        <v>Está poniendo ruedas de entrenamiento en la rueda trasera de la bicicleta.</v>
      </c>
    </row>
    <row r="12147">
      <c r="A12147" s="4" t="s">
        <v>15279</v>
      </c>
      <c r="B12147" s="4" t="s">
        <v>15282</v>
      </c>
      <c r="C12147" s="5" t="str">
        <f>IFERROR(__xludf.DUMMYFUNCTION("GOOGLETRANSLATE(B12147,""en"",""es-ES"")"),"Pone el neumático delantero en la bicicleta.")</f>
        <v>Pone el neumático delantero en la bicicleta.</v>
      </c>
    </row>
    <row r="12148">
      <c r="A12148" s="4" t="s">
        <v>15279</v>
      </c>
      <c r="B12148" s="4" t="s">
        <v>15283</v>
      </c>
      <c r="C12148" s="5" t="str">
        <f>IFERROR(__xludf.DUMMYFUNCTION("GOOGLETRANSLATE(B12148,""en"",""es-ES"")"),"Él pone el manillar en la bicicleta.")</f>
        <v>Él pone el manillar en la bicicleta.</v>
      </c>
    </row>
    <row r="12149">
      <c r="A12149" s="4" t="s">
        <v>15279</v>
      </c>
      <c r="B12149" s="4" t="s">
        <v>15284</v>
      </c>
      <c r="C12149" s="5" t="str">
        <f>IFERROR(__xludf.DUMMYFUNCTION("GOOGLETRANSLATE(B12149,""en"",""es-ES"")"),"Él pone los pedales en la bicicleta.")</f>
        <v>Él pone los pedales en la bicicleta.</v>
      </c>
    </row>
    <row r="12150">
      <c r="A12150" s="4" t="s">
        <v>15279</v>
      </c>
      <c r="B12150" s="4" t="s">
        <v>15285</v>
      </c>
      <c r="C12150" s="5" t="str">
        <f>IFERROR(__xludf.DUMMYFUNCTION("GOOGLETRANSLATE(B12150,""en"",""es-ES"")"),"Él pone el asiento en la bicicleta.")</f>
        <v>Él pone el asiento en la bicicleta.</v>
      </c>
    </row>
    <row r="12151">
      <c r="A12151" s="4" t="s">
        <v>15286</v>
      </c>
      <c r="B12151" s="4" t="s">
        <v>15287</v>
      </c>
      <c r="C12151" s="5" t="str">
        <f>IFERROR(__xludf.DUMMYFUNCTION("GOOGLETRANSLATE(B12151,""en"",""es-ES"")"),"Un hombre balancea un bate de béisbol.")</f>
        <v>Un hombre balancea un bate de béisbol.</v>
      </c>
    </row>
    <row r="12152">
      <c r="A12152" s="4" t="s">
        <v>15286</v>
      </c>
      <c r="B12152" s="4" t="s">
        <v>15288</v>
      </c>
      <c r="C12152" s="5" t="str">
        <f>IFERROR(__xludf.DUMMYFUNCTION("GOOGLETRANSLATE(B12152,""en"",""es-ES"")"),"Golpea una pelota y va a un techo.")</f>
        <v>Golpea una pelota y va a un techo.</v>
      </c>
    </row>
    <row r="12153">
      <c r="A12153" s="4" t="s">
        <v>15286</v>
      </c>
      <c r="B12153" s="4" t="s">
        <v>15289</v>
      </c>
      <c r="C12153" s="5" t="str">
        <f>IFERROR(__xludf.DUMMYFUNCTION("GOOGLETRANSLATE(B12153,""en"",""es-ES"")"),"Un hombre está corriendo y lanzando una pelota.")</f>
        <v>Un hombre está corriendo y lanzando una pelota.</v>
      </c>
    </row>
    <row r="12154">
      <c r="A12154" s="4" t="s">
        <v>15290</v>
      </c>
      <c r="B12154" s="4" t="s">
        <v>15291</v>
      </c>
      <c r="C12154" s="5" t="str">
        <f>IFERROR(__xludf.DUMMYFUNCTION("GOOGLETRANSLATE(B12154,""en"",""es-ES"")"),"Una mujer está vertiendo tomas de alcohol en un vaso de hielo.")</f>
        <v>Una mujer está vertiendo tomas de alcohol en un vaso de hielo.</v>
      </c>
    </row>
    <row r="12155">
      <c r="A12155" s="4" t="s">
        <v>15290</v>
      </c>
      <c r="B12155" s="4" t="s">
        <v>15292</v>
      </c>
      <c r="C12155" s="5" t="str">
        <f>IFERROR(__xludf.DUMMYFUNCTION("GOOGLETRANSLATE(B12155,""en"",""es-ES"")"),"Ella sacude el vaso y lo deja.")</f>
        <v>Ella sacude el vaso y lo deja.</v>
      </c>
    </row>
    <row r="12156">
      <c r="A12156" s="4" t="s">
        <v>15290</v>
      </c>
      <c r="B12156" s="4" t="s">
        <v>15293</v>
      </c>
      <c r="C12156" s="5" t="str">
        <f>IFERROR(__xludf.DUMMYFUNCTION("GOOGLETRANSLATE(B12156,""en"",""es-ES"")"),"Luego lo vierte en otro vaso y pega una pajita.")</f>
        <v>Luego lo vierte en otro vaso y pega una pajita.</v>
      </c>
    </row>
    <row r="12157">
      <c r="A12157" s="4" t="s">
        <v>15290</v>
      </c>
      <c r="B12157" s="4" t="s">
        <v>15294</v>
      </c>
      <c r="C12157" s="5" t="str">
        <f>IFERROR(__xludf.DUMMYFUNCTION("GOOGLETRANSLATE(B12157,""en"",""es-ES"")"),"Ella sostiene la bebida mientras habla.")</f>
        <v>Ella sostiene la bebida mientras habla.</v>
      </c>
    </row>
    <row r="12158">
      <c r="A12158" s="4" t="s">
        <v>15295</v>
      </c>
      <c r="B12158" s="4" t="s">
        <v>15296</v>
      </c>
      <c r="C12158" s="5" t="str">
        <f>IFERROR(__xludf.DUMMYFUNCTION("GOOGLETRANSLATE(B12158,""en"",""es-ES"")"),"Dos grupos de hombres con uniformes, uno con camisas oscuras y otra con camisas blancas, juegan en una cancha de voleibol interior.")</f>
        <v>Dos grupos de hombres con uniformes, uno con camisas oscuras y otra con camisas blancas, juegan en una cancha de voleibol interior.</v>
      </c>
    </row>
    <row r="12159">
      <c r="A12159" s="4" t="s">
        <v>15295</v>
      </c>
      <c r="B12159" s="4" t="s">
        <v>15297</v>
      </c>
      <c r="C12159" s="5" t="str">
        <f>IFERROR(__xludf.DUMMYFUNCTION("GOOGLETRANSLATE(B12159,""en"",""es-ES"")"),"El hombre en la camiseta más oscura que lleva el número 17 se sumerge en el suelo para salvar la pelota.")</f>
        <v>El hombre en la camiseta más oscura que lleva el número 17 se sumerge en el suelo para salvar la pelota.</v>
      </c>
    </row>
    <row r="12160">
      <c r="A12160" s="4" t="s">
        <v>15295</v>
      </c>
      <c r="B12160" s="4" t="s">
        <v>15298</v>
      </c>
      <c r="C12160" s="5" t="str">
        <f>IFERROR(__xludf.DUMMYFUNCTION("GOOGLETRANSLATE(B12160,""en"",""es-ES"")"),"Un miembro del equipo que lleva una camisa oscura golpea la pelota, pero sale de los límites y el equipo con las camisas más claras animan mientras el tipo que disparó la pelota de los límites se inclina con decepción.")</f>
        <v>Un miembro del equipo que lleva una camisa oscura golpea la pelota, pero sale de los límites y el equipo con las camisas más claras animan mientras el tipo que disparó la pelota de los límites se inclina con decepción.</v>
      </c>
    </row>
    <row r="12161">
      <c r="A12161" s="4" t="s">
        <v>15299</v>
      </c>
      <c r="B12161" s="4" t="s">
        <v>15300</v>
      </c>
      <c r="C12161" s="5" t="str">
        <f>IFERROR(__xludf.DUMMYFUNCTION("GOOGLETRANSLATE(B12161,""en"",""es-ES"")"),"Dos aspiradoras una más alta y una es más corta es el espectáculo.")</f>
        <v>Dos aspiradoras una más alta y una es más corta es el espectáculo.</v>
      </c>
    </row>
    <row r="12162">
      <c r="A12162" s="4" t="s">
        <v>15299</v>
      </c>
      <c r="B12162" s="4" t="s">
        <v>15301</v>
      </c>
      <c r="C12162" s="5" t="str">
        <f>IFERROR(__xludf.DUMMYFUNCTION("GOOGLETRANSLATE(B12162,""en"",""es-ES"")"),"El vacío se usa en la alfombra, el piso de madera, en la esquina, debajo de la mesa y en el costado de la basura y luego en la alfombra.")</f>
        <v>El vacío se usa en la alfombra, el piso de madera, en la esquina, debajo de la mesa y en el costado de la basura y luego en la alfombra.</v>
      </c>
    </row>
    <row r="12163">
      <c r="A12163" s="4" t="s">
        <v>15299</v>
      </c>
      <c r="B12163" s="4" t="s">
        <v>15302</v>
      </c>
      <c r="C12163" s="5" t="str">
        <f>IFERROR(__xludf.DUMMYFUNCTION("GOOGLETRANSLATE(B12163,""en"",""es-ES"")"),"Una mano saca un tubo, usó el tubo para aspirar las escaleras y la esquina del techo, luego una mano sacó el tubo y tiró el polvo del tubo transparente.")</f>
        <v>Una mano saca un tubo, usó el tubo para aspirar las escaleras y la esquina del techo, luego una mano sacó el tubo y tiró el polvo del tubo transparente.</v>
      </c>
    </row>
    <row r="12164">
      <c r="A12164" s="4" t="s">
        <v>15299</v>
      </c>
      <c r="B12164" s="4" t="s">
        <v>15303</v>
      </c>
      <c r="C12164" s="5" t="str">
        <f>IFERROR(__xludf.DUMMYFUNCTION("GOOGLETRANSLATE(B12164,""en"",""es-ES"")"),"Una mujer lleva la aspiradora y la pone en el almacenamiento.")</f>
        <v>Una mujer lleva la aspiradora y la pone en el almacenamiento.</v>
      </c>
    </row>
    <row r="12165">
      <c r="A12165" s="4" t="s">
        <v>15299</v>
      </c>
      <c r="B12165" s="4" t="s">
        <v>15304</v>
      </c>
      <c r="C12165" s="5" t="str">
        <f>IFERROR(__xludf.DUMMYFUNCTION("GOOGLETRANSLATE(B12165,""en"",""es-ES"")"),"Una mujer camina en la fábrica, luego una persona está dibujando el vacío en una sábana blanca.")</f>
        <v>Una mujer camina en la fábrica, luego una persona está dibujando el vacío en una sábana blanca.</v>
      </c>
    </row>
    <row r="12166">
      <c r="A12166" s="4" t="s">
        <v>15305</v>
      </c>
      <c r="B12166" s="4" t="s">
        <v>15306</v>
      </c>
      <c r="C12166" s="5" t="str">
        <f>IFERROR(__xludf.DUMMYFUNCTION("GOOGLETRANSLATE(B12166,""en"",""es-ES"")"),"Una persona deja un papel marrón.")</f>
        <v>Una persona deja un papel marrón.</v>
      </c>
    </row>
    <row r="12167">
      <c r="A12167" s="4" t="s">
        <v>15305</v>
      </c>
      <c r="B12167" s="4" t="s">
        <v>15307</v>
      </c>
      <c r="C12167" s="5" t="str">
        <f>IFERROR(__xludf.DUMMYFUNCTION("GOOGLETRANSLATE(B12167,""en"",""es-ES"")"),"La persona voltea el hierro y continúa planchando.")</f>
        <v>La persona voltea el hierro y continúa planchando.</v>
      </c>
    </row>
    <row r="12168">
      <c r="A12168" s="4" t="s">
        <v>15305</v>
      </c>
      <c r="B12168" s="4" t="s">
        <v>15308</v>
      </c>
      <c r="C12168" s="5" t="str">
        <f>IFERROR(__xludf.DUMMYFUNCTION("GOOGLETRANSLATE(B12168,""en"",""es-ES"")"),"Las pelares el papel planchado y lo dejan hacia abajo.")</f>
        <v>Las pelares el papel planchado y lo dejan hacia abajo.</v>
      </c>
    </row>
    <row r="12169">
      <c r="A12169" s="4" t="s">
        <v>15305</v>
      </c>
      <c r="B12169" s="4" t="s">
        <v>15309</v>
      </c>
      <c r="C12169" s="5" t="str">
        <f>IFERROR(__xludf.DUMMYFUNCTION("GOOGLETRANSLATE(B12169,""en"",""es-ES"")"),"La persona deja el hierro en un nuevo papel marrón.")</f>
        <v>La persona deja el hierro en un nuevo papel marrón.</v>
      </c>
    </row>
    <row r="12170">
      <c r="A12170" s="4" t="s">
        <v>15310</v>
      </c>
      <c r="B12170" s="4" t="s">
        <v>15311</v>
      </c>
      <c r="C12170" s="5" t="str">
        <f>IFERROR(__xludf.DUMMYFUNCTION("GOOGLETRANSLATE(B12170,""en"",""es-ES"")"),"Una multitud observa a varios corredores en una carrera que pasa corriendo.")</f>
        <v>Una multitud observa a varios corredores en una carrera que pasa corriendo.</v>
      </c>
    </row>
    <row r="12171">
      <c r="A12171" s="4" t="s">
        <v>15310</v>
      </c>
      <c r="B12171" s="4" t="s">
        <v>15312</v>
      </c>
      <c r="C12171" s="5" t="str">
        <f>IFERROR(__xludf.DUMMYFUNCTION("GOOGLETRANSLATE(B12171,""en"",""es-ES"")"),"Todos siguen corriendo, llegando al final de la carrera.")</f>
        <v>Todos siguen corriendo, llegando al final de la carrera.</v>
      </c>
    </row>
    <row r="12172">
      <c r="A12172" s="4" t="s">
        <v>15313</v>
      </c>
      <c r="B12172" s="4" t="s">
        <v>15314</v>
      </c>
      <c r="C12172" s="5" t="str">
        <f>IFERROR(__xludf.DUMMYFUNCTION("GOOGLETRANSLATE(B12172,""en"",""es-ES"")"),"Un gato está en el regazo de una mujer en el baño.")</f>
        <v>Un gato está en el regazo de una mujer en el baño.</v>
      </c>
    </row>
    <row r="12173">
      <c r="A12173" s="4" t="s">
        <v>15313</v>
      </c>
      <c r="B12173" s="4" t="s">
        <v>15315</v>
      </c>
      <c r="C12173" s="5" t="str">
        <f>IFERROR(__xludf.DUMMYFUNCTION("GOOGLETRANSLATE(B12173,""en"",""es-ES"")"),"Ella tira de una toalla sobre la cabeza del gato.")</f>
        <v>Ella tira de una toalla sobre la cabeza del gato.</v>
      </c>
    </row>
    <row r="12174">
      <c r="A12174" s="4" t="s">
        <v>15313</v>
      </c>
      <c r="B12174" s="4" t="s">
        <v>15316</v>
      </c>
      <c r="C12174" s="5" t="str">
        <f>IFERROR(__xludf.DUMMYFUNCTION("GOOGLETRANSLATE(B12174,""en"",""es-ES"")"),"Luego intenta suavemente sujetar sus garras una a la vez.")</f>
        <v>Luego intenta suavemente sujetar sus garras una a la vez.</v>
      </c>
    </row>
    <row r="12175">
      <c r="A12175" s="4" t="s">
        <v>15317</v>
      </c>
      <c r="B12175" s="4" t="s">
        <v>15318</v>
      </c>
      <c r="C12175" s="5" t="str">
        <f>IFERROR(__xludf.DUMMYFUNCTION("GOOGLETRANSLATE(B12175,""en"",""es-ES"")"),"Una mujer está fregando una silla blanca con una esponja amarilla.")</f>
        <v>Una mujer está fregando una silla blanca con una esponja amarilla.</v>
      </c>
    </row>
    <row r="12176">
      <c r="A12176" s="4" t="s">
        <v>15317</v>
      </c>
      <c r="B12176" s="4" t="s">
        <v>15319</v>
      </c>
      <c r="C12176" s="5" t="str">
        <f>IFERROR(__xludf.DUMMYFUNCTION("GOOGLETRANSLATE(B12176,""en"",""es-ES"")"),"Ahora está vertiendo algo en un trapo y lavando una mesa blanca.")</f>
        <v>Ahora está vertiendo algo en un trapo y lavando una mesa blanca.</v>
      </c>
    </row>
    <row r="12177">
      <c r="A12177" s="4" t="s">
        <v>15317</v>
      </c>
      <c r="B12177" s="4" t="s">
        <v>15320</v>
      </c>
      <c r="C12177" s="5" t="str">
        <f>IFERROR(__xludf.DUMMYFUNCTION("GOOGLETRANSLATE(B12177,""en"",""es-ES"")"),"Ella está pintando la silla y la mesa que acaba de lavar.")</f>
        <v>Ella está pintando la silla y la mesa que acaba de lavar.</v>
      </c>
    </row>
    <row r="12178">
      <c r="A12178" s="4" t="s">
        <v>15317</v>
      </c>
      <c r="B12178" s="4" t="s">
        <v>15321</v>
      </c>
      <c r="C12178" s="5" t="str">
        <f>IFERROR(__xludf.DUMMYFUNCTION("GOOGLETRANSLATE(B12178,""en"",""es-ES"")"),"Se muestran los muebles terminados.")</f>
        <v>Se muestran los muebles terminados.</v>
      </c>
    </row>
    <row r="12179">
      <c r="A12179" s="4" t="s">
        <v>15322</v>
      </c>
      <c r="B12179" s="4" t="s">
        <v>15323</v>
      </c>
      <c r="C12179" s="5" t="str">
        <f>IFERROR(__xludf.DUMMYFUNCTION("GOOGLETRANSLATE(B12179,""en"",""es-ES"")"),"Un niño pequeño está sentado tocando en una batería.")</f>
        <v>Un niño pequeño está sentado tocando en una batería.</v>
      </c>
    </row>
    <row r="12180">
      <c r="A12180" s="4" t="s">
        <v>15322</v>
      </c>
      <c r="B12180" s="4" t="s">
        <v>15324</v>
      </c>
      <c r="C12180" s="5" t="str">
        <f>IFERROR(__xludf.DUMMYFUNCTION("GOOGLETRANSLATE(B12180,""en"",""es-ES"")"),"Usando su pie para la base y la batería en la trampa como una natural.")</f>
        <v>Usando su pie para la base y la batería en la trampa como una natural.</v>
      </c>
    </row>
    <row r="12181">
      <c r="A12181" s="4" t="s">
        <v>15322</v>
      </c>
      <c r="B12181" s="4" t="s">
        <v>15325</v>
      </c>
      <c r="C12181" s="5" t="str">
        <f>IFERROR(__xludf.DUMMYFUNCTION("GOOGLETRANSLATE(B12181,""en"",""es-ES"")"),"Una mujer está en un piano jugando junto con el niño.")</f>
        <v>Una mujer está en un piano jugando junto con el niño.</v>
      </c>
    </row>
    <row r="12182">
      <c r="A12182" s="4" t="s">
        <v>15322</v>
      </c>
      <c r="B12182" s="4" t="s">
        <v>15326</v>
      </c>
      <c r="C12182" s="5" t="str">
        <f>IFERROR(__xludf.DUMMYFUNCTION("GOOGLETRANSLATE(B12182,""en"",""es-ES"")"),"Tienen una pequeña audiencia sentada y viéndolos actuar.")</f>
        <v>Tienen una pequeña audiencia sentada y viéndolos actuar.</v>
      </c>
    </row>
    <row r="12183">
      <c r="A12183" s="4" t="s">
        <v>15327</v>
      </c>
      <c r="B12183" s="4" t="s">
        <v>15328</v>
      </c>
      <c r="C12183" s="5" t="str">
        <f>IFERROR(__xludf.DUMMYFUNCTION("GOOGLETRANSLATE(B12183,""en"",""es-ES"")"),"Un hombre vestido con un uniforme azul está luchando contra un hombre vestido con un uniforme rojo.")</f>
        <v>Un hombre vestido con un uniforme azul está luchando contra un hombre vestido con un uniforme rojo.</v>
      </c>
    </row>
    <row r="12184">
      <c r="A12184" s="4" t="s">
        <v>15327</v>
      </c>
      <c r="B12184" s="4" t="s">
        <v>15329</v>
      </c>
      <c r="C12184" s="5" t="str">
        <f>IFERROR(__xludf.DUMMYFUNCTION("GOOGLETRANSLATE(B12184,""en"",""es-ES"")"),"El hombre en rojo, lo recoge y lo deja caer en el combate de lucha libre.")</f>
        <v>El hombre en rojo, lo recoge y lo deja caer en el combate de lucha libre.</v>
      </c>
    </row>
    <row r="12185">
      <c r="A12185" s="4" t="s">
        <v>15327</v>
      </c>
      <c r="B12185" s="4" t="s">
        <v>15330</v>
      </c>
      <c r="C12185" s="5" t="str">
        <f>IFERROR(__xludf.DUMMYFUNCTION("GOOGLETRANSLATE(B12185,""en"",""es-ES"")"),"Después, el árbitro cae y golpea el tapete que cuenta hasta el final del partido.")</f>
        <v>Después, el árbitro cae y golpea el tapete que cuenta hasta el final del partido.</v>
      </c>
    </row>
    <row r="12186">
      <c r="A12186" s="4" t="s">
        <v>15331</v>
      </c>
      <c r="B12186" s="4" t="s">
        <v>15332</v>
      </c>
      <c r="C12186" s="5" t="str">
        <f>IFERROR(__xludf.DUMMYFUNCTION("GOOGLETRANSLATE(B12186,""en"",""es-ES"")"),"Una mujer joven habla mientras sonríe.")</f>
        <v>Una mujer joven habla mientras sonríe.</v>
      </c>
    </row>
    <row r="12187">
      <c r="A12187" s="4" t="s">
        <v>15331</v>
      </c>
      <c r="B12187" s="4" t="s">
        <v>15333</v>
      </c>
      <c r="C12187" s="5" t="str">
        <f>IFERROR(__xludf.DUMMYFUNCTION("GOOGLETRANSLATE(B12187,""en"",""es-ES"")"),"Ella aprieta el costado de su ojo derecho y empuja una lente de contacto.")</f>
        <v>Ella aprieta el costado de su ojo derecho y empuja una lente de contacto.</v>
      </c>
    </row>
    <row r="12188">
      <c r="A12188" s="4" t="s">
        <v>15331</v>
      </c>
      <c r="B12188" s="4" t="s">
        <v>15334</v>
      </c>
      <c r="C12188" s="5" t="str">
        <f>IFERROR(__xludf.DUMMYFUNCTION("GOOGLETRANSLATE(B12188,""en"",""es-ES"")"),"Se mueve hacia su ojo izquierdo y saca una lente de contacto.")</f>
        <v>Se mueve hacia su ojo izquierdo y saca una lente de contacto.</v>
      </c>
    </row>
    <row r="12189">
      <c r="A12189" s="4" t="s">
        <v>15335</v>
      </c>
      <c r="B12189" s="4" t="s">
        <v>15336</v>
      </c>
      <c r="C12189" s="5" t="str">
        <f>IFERROR(__xludf.DUMMYFUNCTION("GOOGLETRANSLATE(B12189,""en"",""es-ES"")"),"Un grupo de jugadoras caminan hacia una cancha detrás de su entrenador.")</f>
        <v>Un grupo de jugadoras caminan hacia una cancha detrás de su entrenador.</v>
      </c>
    </row>
    <row r="12190">
      <c r="A12190" s="4" t="s">
        <v>15335</v>
      </c>
      <c r="B12190" s="4" t="s">
        <v>15337</v>
      </c>
      <c r="C12190" s="5" t="str">
        <f>IFERROR(__xludf.DUMMYFUNCTION("GOOGLETRANSLATE(B12190,""en"",""es-ES"")"),"Se involucran en un juego de lacrosse, luchando por el balón con sus murciélagos.")</f>
        <v>Se involucran en un juego de lacrosse, luchando por el balón con sus murciélagos.</v>
      </c>
    </row>
    <row r="12191">
      <c r="A12191" s="4" t="s">
        <v>15335</v>
      </c>
      <c r="B12191" s="4" t="s">
        <v>15338</v>
      </c>
      <c r="C12191" s="5" t="str">
        <f>IFERROR(__xludf.DUMMYFUNCTION("GOOGLETRANSLATE(B12191,""en"",""es-ES"")"),"Las chicas celebran su victoria con flores y abrazos.")</f>
        <v>Las chicas celebran su victoria con flores y abrazos.</v>
      </c>
    </row>
    <row r="12192">
      <c r="A12192" s="4" t="s">
        <v>15339</v>
      </c>
      <c r="B12192" s="4" t="s">
        <v>15340</v>
      </c>
      <c r="C12192" s="5" t="str">
        <f>IFERROR(__xludf.DUMMYFUNCTION("GOOGLETRANSLATE(B12192,""en"",""es-ES"")"),"Se ve a una gimnasta parada con los brazos afuera y salta sobre un tablero.")</f>
        <v>Se ve a una gimnasta parada con los brazos afuera y salta sobre un tablero.</v>
      </c>
    </row>
    <row r="12193">
      <c r="A12193" s="4" t="s">
        <v>15339</v>
      </c>
      <c r="B12193" s="4" t="s">
        <v>15341</v>
      </c>
      <c r="C12193" s="5" t="str">
        <f>IFERROR(__xludf.DUMMYFUNCTION("GOOGLETRANSLATE(B12193,""en"",""es-ES"")"),"Luego comienza a girar a sí mismo mientras los jueces miran a los lados.")</f>
        <v>Luego comienza a girar a sí mismo mientras los jueces miran a los lados.</v>
      </c>
    </row>
    <row r="12194">
      <c r="A12194" s="4" t="s">
        <v>15339</v>
      </c>
      <c r="B12194" s="4" t="s">
        <v>15342</v>
      </c>
      <c r="C12194" s="5" t="str">
        <f>IFERROR(__xludf.DUMMYFUNCTION("GOOGLETRANSLATE(B12194,""en"",""es-ES"")"),"Continúa su rutina y salta con los brazos hacia arriba.")</f>
        <v>Continúa su rutina y salta con los brazos hacia arriba.</v>
      </c>
    </row>
    <row r="12195">
      <c r="A12195" s="4" t="s">
        <v>15343</v>
      </c>
      <c r="B12195" s="4" t="s">
        <v>15344</v>
      </c>
      <c r="C12195" s="5" t="str">
        <f>IFERROR(__xludf.DUMMYFUNCTION("GOOGLETRANSLATE(B12195,""en"",""es-ES"")"),"Un nuevo segmento conduce a los clips de una mujer que habla con la cámara y sostiene un arco y una flecha.")</f>
        <v>Un nuevo segmento conduce a los clips de una mujer que habla con la cámara y sostiene un arco y una flecha.</v>
      </c>
    </row>
    <row r="12196">
      <c r="A12196" s="4" t="s">
        <v>15343</v>
      </c>
      <c r="B12196" s="4" t="s">
        <v>15345</v>
      </c>
      <c r="C12196" s="5" t="str">
        <f>IFERROR(__xludf.DUMMYFUNCTION("GOOGLETRANSLATE(B12196,""en"",""es-ES"")"),"La niña dispara el arco mientras todavía habla con la cámara y dobla el arco.")</f>
        <v>La niña dispara el arco mientras todavía habla con la cámara y dobla el arco.</v>
      </c>
    </row>
    <row r="12197">
      <c r="A12197" s="4" t="s">
        <v>15343</v>
      </c>
      <c r="B12197" s="4" t="s">
        <v>15346</v>
      </c>
      <c r="C12197" s="5" t="str">
        <f>IFERROR(__xludf.DUMMYFUNCTION("GOOGLETRANSLATE(B12197,""en"",""es-ES"")"),"Ella continúa hablando mientras usa sus manos y muestra imágenes en la cámara.")</f>
        <v>Ella continúa hablando mientras usa sus manos y muestra imágenes en la cámara.</v>
      </c>
    </row>
    <row r="12198">
      <c r="A12198" s="4" t="s">
        <v>15347</v>
      </c>
      <c r="B12198" s="4" t="s">
        <v>15348</v>
      </c>
      <c r="C12198" s="5" t="str">
        <f>IFERROR(__xludf.DUMMYFUNCTION("GOOGLETRANSLATE(B12198,""en"",""es-ES"")"),"Una niña baila mientras se sienta en una cabina.")</f>
        <v>Una niña baila mientras se sienta en una cabina.</v>
      </c>
    </row>
    <row r="12199">
      <c r="A12199" s="4" t="s">
        <v>15347</v>
      </c>
      <c r="B12199" s="4" t="s">
        <v>15349</v>
      </c>
      <c r="C12199" s="5" t="str">
        <f>IFERROR(__xludf.DUMMYFUNCTION("GOOGLETRANSLATE(B12199,""en"",""es-ES"")"),"La niña mezcla ingredientes en una olla.")</f>
        <v>La niña mezcla ingredientes en una olla.</v>
      </c>
    </row>
    <row r="12200">
      <c r="A12200" s="4" t="s">
        <v>15347</v>
      </c>
      <c r="B12200" s="4" t="s">
        <v>15350</v>
      </c>
      <c r="C12200" s="5" t="str">
        <f>IFERROR(__xludf.DUMMYFUNCTION("GOOGLETRANSLATE(B12200,""en"",""es-ES"")"),"La niña agrega ingredientes secos a la olla.")</f>
        <v>La niña agrega ingredientes secos a la olla.</v>
      </c>
    </row>
    <row r="12201">
      <c r="A12201" s="4" t="s">
        <v>15347</v>
      </c>
      <c r="B12201" s="4" t="s">
        <v>15351</v>
      </c>
      <c r="C12201" s="5" t="str">
        <f>IFERROR(__xludf.DUMMYFUNCTION("GOOGLETRANSLATE(B12201,""en"",""es-ES"")"),"La niña agrega tomate y huevos de un plato a la olla.")</f>
        <v>La niña agrega tomate y huevos de un plato a la olla.</v>
      </c>
    </row>
    <row r="12202">
      <c r="A12202" s="4" t="s">
        <v>15347</v>
      </c>
      <c r="B12202" s="4" t="s">
        <v>15352</v>
      </c>
      <c r="C12202" s="5" t="str">
        <f>IFERROR(__xludf.DUMMYFUNCTION("GOOGLETRANSLATE(B12202,""en"",""es-ES"")"),"Las chicas se despiden y se recostan en la cabina.")</f>
        <v>Las chicas se despiden y se recostan en la cabina.</v>
      </c>
    </row>
    <row r="12203">
      <c r="A12203" s="4" t="s">
        <v>15353</v>
      </c>
      <c r="B12203" s="4" t="s">
        <v>15354</v>
      </c>
      <c r="C12203" s="5" t="str">
        <f>IFERROR(__xludf.DUMMYFUNCTION("GOOGLETRANSLATE(B12203,""en"",""es-ES"")"),"Hay un caballo marrón atado fuera de un club de polo.")</f>
        <v>Hay un caballo marrón atado fuera de un club de polo.</v>
      </c>
    </row>
    <row r="12204">
      <c r="A12204" s="4" t="s">
        <v>15353</v>
      </c>
      <c r="B12204" s="4" t="s">
        <v>15355</v>
      </c>
      <c r="C12204" s="5" t="str">
        <f>IFERROR(__xludf.DUMMYFUNCTION("GOOGLETRANSLATE(B12204,""en"",""es-ES"")"),"Hay varios jinetes jugando polo en el campo en un evento.")</f>
        <v>Hay varios jinetes jugando polo en el campo en un evento.</v>
      </c>
    </row>
    <row r="12205">
      <c r="A12205" s="4" t="s">
        <v>15353</v>
      </c>
      <c r="B12205" s="4" t="s">
        <v>15356</v>
      </c>
      <c r="C12205" s="5" t="str">
        <f>IFERROR(__xludf.DUMMYFUNCTION("GOOGLETRANSLATE(B12205,""en"",""es-ES"")"),"También hay varios espectadores de pie y mirando el evento.")</f>
        <v>También hay varios espectadores de pie y mirando el evento.</v>
      </c>
    </row>
    <row r="12206">
      <c r="A12206" s="4" t="s">
        <v>15353</v>
      </c>
      <c r="B12206" s="4" t="s">
        <v>15357</v>
      </c>
      <c r="C12206" s="5" t="str">
        <f>IFERROR(__xludf.DUMMYFUNCTION("GOOGLETRANSLATE(B12206,""en"",""es-ES"")"),"Uno de los jugadores de polo está trotando el caballo a través del campo.")</f>
        <v>Uno de los jugadores de polo está trotando el caballo a través del campo.</v>
      </c>
    </row>
    <row r="12207">
      <c r="A12207" s="4" t="s">
        <v>15353</v>
      </c>
      <c r="B12207" s="4" t="s">
        <v>15358</v>
      </c>
      <c r="C12207" s="5" t="str">
        <f>IFERROR(__xludf.DUMMYFUNCTION("GOOGLETRANSLATE(B12207,""en"",""es-ES"")"),"Otro juego de polo tiene lugar donde están mirando varios espectadores.")</f>
        <v>Otro juego de polo tiene lugar donde están mirando varios espectadores.</v>
      </c>
    </row>
    <row r="12208">
      <c r="A12208" s="4" t="s">
        <v>15353</v>
      </c>
      <c r="B12208" s="4" t="s">
        <v>15359</v>
      </c>
      <c r="C12208" s="5" t="str">
        <f>IFERROR(__xludf.DUMMYFUNCTION("GOOGLETRANSLATE(B12208,""en"",""es-ES"")"),"Después de que termina el evento, el juez entrega los ganadores a los ganadores.")</f>
        <v>Después de que termina el evento, el juez entrega los ganadores a los ganadores.</v>
      </c>
    </row>
    <row r="12209">
      <c r="A12209" s="4" t="s">
        <v>15353</v>
      </c>
      <c r="B12209" s="4" t="s">
        <v>15360</v>
      </c>
      <c r="C12209" s="5" t="str">
        <f>IFERROR(__xludf.DUMMYFUNCTION("GOOGLETRANSLATE(B12209,""en"",""es-ES"")"),"Hay una bandera británica que vuela en lo alto del campo.")</f>
        <v>Hay una bandera británica que vuela en lo alto del campo.</v>
      </c>
    </row>
    <row r="12210">
      <c r="A12210" s="4" t="s">
        <v>15361</v>
      </c>
      <c r="B12210" s="4" t="s">
        <v>15362</v>
      </c>
      <c r="C12210" s="5" t="str">
        <f>IFERROR(__xludf.DUMMYFUNCTION("GOOGLETRANSLATE(B12210,""en"",""es-ES"")"),"Un bailarín del vientre camina hacia el escenario detrás de las cortinas.")</f>
        <v>Un bailarín del vientre camina hacia el escenario detrás de las cortinas.</v>
      </c>
    </row>
    <row r="12211">
      <c r="A12211" s="4" t="s">
        <v>15361</v>
      </c>
      <c r="B12211" s="4" t="s">
        <v>15363</v>
      </c>
      <c r="C12211" s="5" t="str">
        <f>IFERROR(__xludf.DUMMYFUNCTION("GOOGLETRANSLATE(B12211,""en"",""es-ES"")"),"La bailarina del vientre baila en el escenario sacudiendo sus caderas y su cuerpo.")</f>
        <v>La bailarina del vientre baila en el escenario sacudiendo sus caderas y su cuerpo.</v>
      </c>
    </row>
    <row r="12212">
      <c r="A12212" s="4" t="s">
        <v>15361</v>
      </c>
      <c r="B12212" s="4" t="s">
        <v>15364</v>
      </c>
      <c r="C12212" s="5" t="str">
        <f>IFERROR(__xludf.DUMMYFUNCTION("GOOGLETRANSLATE(B12212,""en"",""es-ES"")"),"El bailarín del vientre gira en círculos durante la actuación.")</f>
        <v>El bailarín del vientre gira en círculos durante la actuación.</v>
      </c>
    </row>
    <row r="12213">
      <c r="A12213" s="4" t="s">
        <v>15361</v>
      </c>
      <c r="B12213" s="4" t="s">
        <v>15365</v>
      </c>
      <c r="C12213" s="5" t="str">
        <f>IFERROR(__xludf.DUMMYFUNCTION("GOOGLETRANSLATE(B12213,""en"",""es-ES"")"),"Los bailarines se vuelven de espaldas a la audiencia y baila.")</f>
        <v>Los bailarines se vuelven de espaldas a la audiencia y baila.</v>
      </c>
    </row>
    <row r="12214">
      <c r="A12214" s="4" t="s">
        <v>15361</v>
      </c>
      <c r="B12214" s="4" t="s">
        <v>15366</v>
      </c>
      <c r="C12214" s="5" t="str">
        <f>IFERROR(__xludf.DUMMYFUNCTION("GOOGLETRANSLATE(B12214,""en"",""es-ES"")"),"El bailarín se inclina al final de la actuación.")</f>
        <v>El bailarín se inclina al final de la actuación.</v>
      </c>
    </row>
    <row r="12215">
      <c r="A12215" s="4" t="s">
        <v>15367</v>
      </c>
      <c r="B12215" s="4" t="s">
        <v>15368</v>
      </c>
      <c r="C12215" s="5" t="str">
        <f>IFERROR(__xludf.DUMMYFUNCTION("GOOGLETRANSLATE(B12215,""en"",""es-ES"")"),"Dos niños están en un coche de litle mirando a un niño pequeño sosteniendo un poste golpeando un rayo McQueen piñata.")</f>
        <v>Dos niños están en un coche de litle mirando a un niño pequeño sosteniendo un poste golpeando un rayo McQueen piñata.</v>
      </c>
    </row>
    <row r="12216">
      <c r="A12216" s="4" t="s">
        <v>15367</v>
      </c>
      <c r="B12216" s="4" t="s">
        <v>15369</v>
      </c>
      <c r="C12216" s="5" t="str">
        <f>IFERROR(__xludf.DUMMYFUNCTION("GOOGLETRANSLATE(B12216,""en"",""es-ES"")"),"La gente se reúne alrededor del niño pequeño.")</f>
        <v>La gente se reúne alrededor del niño pequeño.</v>
      </c>
    </row>
    <row r="12217">
      <c r="A12217" s="4" t="s">
        <v>15370</v>
      </c>
      <c r="B12217" s="4" t="s">
        <v>15371</v>
      </c>
      <c r="C12217" s="5" t="str">
        <f>IFERROR(__xludf.DUMMYFUNCTION("GOOGLETRANSLATE(B12217,""en"",""es-ES"")"),"Hay dos personas que hablan sobre zancos utilizados por hombres de acrobacias.")</f>
        <v>Hay dos personas que hablan sobre zancos utilizados por hombres de acrobacias.</v>
      </c>
    </row>
    <row r="12218">
      <c r="A12218" s="4" t="s">
        <v>15370</v>
      </c>
      <c r="B12218" s="4" t="s">
        <v>15372</v>
      </c>
      <c r="C12218" s="5" t="str">
        <f>IFERROR(__xludf.DUMMYFUNCTION("GOOGLETRANSLATE(B12218,""en"",""es-ES"")"),"Están de pie en una calle cerca de varios clubes y restaurantes.")</f>
        <v>Están de pie en una calle cerca de varios clubes y restaurantes.</v>
      </c>
    </row>
    <row r="12219">
      <c r="A12219" s="4" t="s">
        <v>15370</v>
      </c>
      <c r="B12219" s="4" t="s">
        <v>15373</v>
      </c>
      <c r="C12219" s="5" t="str">
        <f>IFERROR(__xludf.DUMMYFUNCTION("GOOGLETRANSLATE(B12219,""en"",""es-ES"")"),"Uno de los hombres está demostrando cómo se usan los zancos en acrobacias.")</f>
        <v>Uno de los hombres está demostrando cómo se usan los zancos en acrobacias.</v>
      </c>
    </row>
    <row r="12220">
      <c r="A12220" s="4" t="s">
        <v>15370</v>
      </c>
      <c r="B12220" s="4" t="s">
        <v>15374</v>
      </c>
      <c r="C12220" s="5" t="str">
        <f>IFERROR(__xludf.DUMMYFUNCTION("GOOGLETRANSLATE(B12220,""en"",""es-ES"")"),"Henry, el chico vestido con la camisa blanca, muestra cuán alto puede saltar con los zancos y realizar acrobacias.")</f>
        <v>Henry, el chico vestido con la camisa blanca, muestra cuán alto puede saltar con los zancos y realizar acrobacias.</v>
      </c>
    </row>
    <row r="12221">
      <c r="A12221" s="4" t="s">
        <v>15370</v>
      </c>
      <c r="B12221" s="4" t="s">
        <v>15375</v>
      </c>
      <c r="C12221" s="5" t="str">
        <f>IFERROR(__xludf.DUMMYFUNCTION("GOOGLETRANSLATE(B12221,""en"",""es-ES"")"),"Muestra numerosos trucos sobre cómo salta alto y sobre bancos y mesas.")</f>
        <v>Muestra numerosos trucos sobre cómo salta alto y sobre bancos y mesas.</v>
      </c>
    </row>
    <row r="12222">
      <c r="A12222" s="4" t="s">
        <v>15370</v>
      </c>
      <c r="B12222" s="4" t="s">
        <v>15376</v>
      </c>
      <c r="C12222" s="5" t="str">
        <f>IFERROR(__xludf.DUMMYFUNCTION("GOOGLETRANSLATE(B12222,""en"",""es-ES"")"),"Él muestra cómo usa las habilidades de salto Power Riser en las calles y en el parque.")</f>
        <v>Él muestra cómo usa las habilidades de salto Power Riser en las calles y en el parque.</v>
      </c>
    </row>
    <row r="12223">
      <c r="A12223" s="4" t="s">
        <v>15377</v>
      </c>
      <c r="B12223" s="4" t="s">
        <v>15378</v>
      </c>
      <c r="C12223" s="5" t="str">
        <f>IFERROR(__xludf.DUMMYFUNCTION("GOOGLETRANSLATE(B12223,""en"",""es-ES"")"),"Se ve a una mujer realizando una rutina de baile del vientre en un escenario con flores que cuelgan en el fondo.")</f>
        <v>Se ve a una mujer realizando una rutina de baile del vientre en un escenario con flores que cuelgan en el fondo.</v>
      </c>
    </row>
    <row r="12224">
      <c r="A12224" s="4" t="s">
        <v>15377</v>
      </c>
      <c r="B12224" s="4" t="s">
        <v>15379</v>
      </c>
      <c r="C12224" s="5" t="str">
        <f>IFERROR(__xludf.DUMMYFUNCTION("GOOGLETRANSLATE(B12224,""en"",""es-ES"")"),"Ella continúa realizando su rutina y termina girando y posando.")</f>
        <v>Ella continúa realizando su rutina y termina girando y posando.</v>
      </c>
    </row>
    <row r="12225">
      <c r="A12225" s="4" t="s">
        <v>15380</v>
      </c>
      <c r="B12225" s="4" t="s">
        <v>15381</v>
      </c>
      <c r="C12225" s="5" t="str">
        <f>IFERROR(__xludf.DUMMYFUNCTION("GOOGLETRANSLATE(B12225,""en"",""es-ES"")"),"Se ve a un gran grupo de personas de pie y sonriendo el uno al otro.")</f>
        <v>Se ve a un gran grupo de personas de pie y sonriendo el uno al otro.</v>
      </c>
    </row>
    <row r="12226">
      <c r="A12226" s="4" t="s">
        <v>15380</v>
      </c>
      <c r="B12226" s="4" t="s">
        <v>15382</v>
      </c>
      <c r="C12226" s="5" t="str">
        <f>IFERROR(__xludf.DUMMYFUNCTION("GOOGLETRANSLATE(B12226,""en"",""es-ES"")"),"Comienzan a tocar un juego de batería mientras se ve a otro hombre tocando el piano.")</f>
        <v>Comienzan a tocar un juego de batería mientras se ve a otro hombre tocando el piano.</v>
      </c>
    </row>
    <row r="12227">
      <c r="A12227" s="4" t="s">
        <v>15380</v>
      </c>
      <c r="B12227" s="4" t="s">
        <v>15383</v>
      </c>
      <c r="C12227" s="5" t="str">
        <f>IFERROR(__xludf.DUMMYFUNCTION("GOOGLETRANSLATE(B12227,""en"",""es-ES"")"),"Se ve más personas en los lados bailando con la música.")</f>
        <v>Se ve más personas en los lados bailando con la música.</v>
      </c>
    </row>
    <row r="12228">
      <c r="A12228" s="4" t="s">
        <v>15384</v>
      </c>
      <c r="B12228" s="4" t="s">
        <v>15385</v>
      </c>
      <c r="C12228" s="5" t="str">
        <f>IFERROR(__xludf.DUMMYFUNCTION("GOOGLETRANSLATE(B12228,""en"",""es-ES"")"),"Una mujer con camisa blanca está de pie junto a un fregadero de metal, saca dos placas blancas, contenedor de plata, filtro, cucharas, y lo colocó sobre el recipiente de metal al lado del fregadero.")</f>
        <v>Una mujer con camisa blanca está de pie junto a un fregadero de metal, saca dos placas blancas, contenedor de plata, filtro, cucharas, y lo colocó sobre el recipiente de metal al lado del fregadero.</v>
      </c>
    </row>
    <row r="12229">
      <c r="A12229" s="4" t="s">
        <v>15384</v>
      </c>
      <c r="B12229" s="4" t="s">
        <v>15386</v>
      </c>
      <c r="C12229" s="5" t="str">
        <f>IFERROR(__xludf.DUMMYFUNCTION("GOOGLETRANSLATE(B12229,""en"",""es-ES"")"),"Luego toma una sartén en el fregadero, pone agua, coloca jabón líquido en una esponja, frota en las placas, tapa, contenedor, cucharas.")</f>
        <v>Luego toma una sartén en el fregadero, pone agua, coloca jabón líquido en una esponja, frota en las placas, tapa, contenedor, cucharas.</v>
      </c>
    </row>
    <row r="12230">
      <c r="A12230" s="4" t="s">
        <v>15384</v>
      </c>
      <c r="B12230" s="4" t="s">
        <v>15387</v>
      </c>
      <c r="C12230" s="5" t="str">
        <f>IFERROR(__xludf.DUMMYFUNCTION("GOOGLETRANSLATE(B12230,""en"",""es-ES"")"),"Se limpió el mostrador con la mano, luego colocó una canasta verde, enjuagó las placas, la tapa, el contenedor, la sartén y las puso en la canasta.")</f>
        <v>Se limpió el mostrador con la mano, luego colocó una canasta verde, enjuagó las placas, la tapa, el contenedor, la sartén y las puso en la canasta.</v>
      </c>
    </row>
    <row r="12231">
      <c r="A12231" s="4" t="s">
        <v>15388</v>
      </c>
      <c r="B12231" s="4" t="s">
        <v>15389</v>
      </c>
      <c r="C12231" s="5" t="str">
        <f>IFERROR(__xludf.DUMMYFUNCTION("GOOGLETRANSLATE(B12231,""en"",""es-ES"")"),"Una mujer con una camisa azul se encuentra junto a un caballo marrón.")</f>
        <v>Una mujer con una camisa azul se encuentra junto a un caballo marrón.</v>
      </c>
    </row>
    <row r="12232">
      <c r="A12232" s="4" t="s">
        <v>15388</v>
      </c>
      <c r="B12232" s="4" t="s">
        <v>15390</v>
      </c>
      <c r="C12232" s="5" t="str">
        <f>IFERROR(__xludf.DUMMYFUNCTION("GOOGLETRANSLATE(B12232,""en"",""es-ES"")"),"Ella se aferra a la plomo rojo de los caballos.")</f>
        <v>Ella se aferra a la plomo rojo de los caballos.</v>
      </c>
    </row>
    <row r="12233">
      <c r="A12233" s="4" t="s">
        <v>15388</v>
      </c>
      <c r="B12233" s="4" t="s">
        <v>15391</v>
      </c>
      <c r="C12233" s="5" t="str">
        <f>IFERROR(__xludf.DUMMYFUNCTION("GOOGLETRANSLATE(B12233,""en"",""es-ES"")"),"Ella está cepillando el costado del caballo.")</f>
        <v>Ella está cepillando el costado del caballo.</v>
      </c>
    </row>
    <row r="12234">
      <c r="A12234" s="4" t="s">
        <v>15388</v>
      </c>
      <c r="B12234" s="4" t="s">
        <v>15392</v>
      </c>
      <c r="C12234" s="5" t="str">
        <f>IFERROR(__xludf.DUMMYFUNCTION("GOOGLETRANSLATE(B12234,""en"",""es-ES"")"),"Se aleja del caballo y se dobla.")</f>
        <v>Se aleja del caballo y se dobla.</v>
      </c>
    </row>
    <row r="12235">
      <c r="A12235" s="4" t="s">
        <v>15388</v>
      </c>
      <c r="B12235" s="4" t="s">
        <v>15393</v>
      </c>
      <c r="C12235" s="5" t="str">
        <f>IFERROR(__xludf.DUMMYFUNCTION("GOOGLETRANSLATE(B12235,""en"",""es-ES"")"),"Ella recoge un cepillo más grande y comienza a cepillarse el caballo nuevamente.")</f>
        <v>Ella recoge un cepillo más grande y comienza a cepillarse el caballo nuevamente.</v>
      </c>
    </row>
    <row r="12236">
      <c r="A12236" s="4" t="s">
        <v>15388</v>
      </c>
      <c r="B12236" s="4" t="s">
        <v>15394</v>
      </c>
      <c r="C12236" s="5" t="str">
        <f>IFERROR(__xludf.DUMMYFUNCTION("GOOGLETRANSLATE(B12236,""en"",""es-ES"")"),"Ella está cepillando la cara y el cuello de los caballos.")</f>
        <v>Ella está cepillando la cara y el cuello de los caballos.</v>
      </c>
    </row>
    <row r="12237">
      <c r="A12237" s="4" t="s">
        <v>15388</v>
      </c>
      <c r="B12237" s="4" t="s">
        <v>15395</v>
      </c>
      <c r="C12237" s="5" t="str">
        <f>IFERROR(__xludf.DUMMYFUNCTION("GOOGLETRANSLATE(B12237,""en"",""es-ES"")"),"Ella está cepillando la pierna delantera de los caballos en un movimiento hacia abajo.")</f>
        <v>Ella está cepillando la pierna delantera de los caballos en un movimiento hacia abajo.</v>
      </c>
    </row>
    <row r="12238">
      <c r="A12238" s="4" t="s">
        <v>15396</v>
      </c>
      <c r="B12238" s="4" t="s">
        <v>15397</v>
      </c>
      <c r="C12238" s="5" t="str">
        <f>IFERROR(__xludf.DUMMYFUNCTION("GOOGLETRANSLATE(B12238,""en"",""es-ES"")"),"Un salón de tatuajes ha mostrado un ciclo de motor azul metálico.")</f>
        <v>Un salón de tatuajes ha mostrado un ciclo de motor azul metálico.</v>
      </c>
    </row>
    <row r="12239">
      <c r="A12239" s="4" t="s">
        <v>15396</v>
      </c>
      <c r="B12239" s="4" t="s">
        <v>15398</v>
      </c>
      <c r="C12239" s="5" t="str">
        <f>IFERROR(__xludf.DUMMYFUNCTION("GOOGLETRANSLATE(B12239,""en"",""es-ES"")"),"Hay una persona sentada en el mostrador del salón.")</f>
        <v>Hay una persona sentada en el mostrador del salón.</v>
      </c>
    </row>
    <row r="12240">
      <c r="A12240" s="4" t="s">
        <v>15396</v>
      </c>
      <c r="B12240" s="4" t="s">
        <v>15399</v>
      </c>
      <c r="C12240" s="5" t="str">
        <f>IFERROR(__xludf.DUMMYFUNCTION("GOOGLETRANSLATE(B12240,""en"",""es-ES"")"),"Un cliente entra y le da una foto de un niño al artista del tatuaje.")</f>
        <v>Un cliente entra y le da una foto de un niño al artista del tatuaje.</v>
      </c>
    </row>
    <row r="12241">
      <c r="A12241" s="4" t="s">
        <v>15396</v>
      </c>
      <c r="B12241" s="4" t="s">
        <v>15400</v>
      </c>
      <c r="C12241" s="5" t="str">
        <f>IFERROR(__xludf.DUMMYFUNCTION("GOOGLETRANSLATE(B12241,""en"",""es-ES"")"),"El artista del tatuaje rastrea la imagen del niño en un papel.")</f>
        <v>El artista del tatuaje rastrea la imagen del niño en un papel.</v>
      </c>
    </row>
    <row r="12242">
      <c r="A12242" s="4" t="s">
        <v>15396</v>
      </c>
      <c r="B12242" s="4" t="s">
        <v>15401</v>
      </c>
      <c r="C12242" s="5" t="str">
        <f>IFERROR(__xludf.DUMMYFUNCTION("GOOGLETRANSLATE(B12242,""en"",""es-ES"")"),"Luego limpia los brazos del cliente con alcohol.")</f>
        <v>Luego limpia los brazos del cliente con alcohol.</v>
      </c>
    </row>
    <row r="12243">
      <c r="A12243" s="4" t="s">
        <v>15396</v>
      </c>
      <c r="B12243" s="4" t="s">
        <v>15402</v>
      </c>
      <c r="C12243" s="5" t="str">
        <f>IFERROR(__xludf.DUMMYFUNCTION("GOOGLETRANSLATE(B12243,""en"",""es-ES"")"),"El artista usa un par de guantes de látex y comienza a tatuar el brazo del cliente.")</f>
        <v>El artista usa un par de guantes de látex y comienza a tatuar el brazo del cliente.</v>
      </c>
    </row>
    <row r="12244">
      <c r="A12244" s="4" t="s">
        <v>15396</v>
      </c>
      <c r="B12244" s="4" t="s">
        <v>15403</v>
      </c>
      <c r="C12244" s="5" t="str">
        <f>IFERROR(__xludf.DUMMYFUNCTION("GOOGLETRANSLATE(B12244,""en"",""es-ES"")"),"Él replica la imagen rastreada desde la imagen en el brazo del cliente junto con algunos diseños adicionales.")</f>
        <v>Él replica la imagen rastreada desde la imagen en el brazo del cliente junto con algunos diseños adicionales.</v>
      </c>
    </row>
    <row r="12245">
      <c r="A12245" s="4" t="s">
        <v>15396</v>
      </c>
      <c r="B12245" s="4" t="s">
        <v>15404</v>
      </c>
      <c r="C12245" s="5" t="str">
        <f>IFERROR(__xludf.DUMMYFUNCTION("GOOGLETRANSLATE(B12245,""en"",""es-ES"")"),"Luego toma una foto del brazo tatuado del cliente en un teléfono celular.")</f>
        <v>Luego toma una foto del brazo tatuado del cliente en un teléfono celular.</v>
      </c>
    </row>
    <row r="12246">
      <c r="A12246" s="4" t="s">
        <v>15405</v>
      </c>
      <c r="B12246" s="4" t="s">
        <v>15406</v>
      </c>
      <c r="C12246" s="5" t="str">
        <f>IFERROR(__xludf.DUMMYFUNCTION("GOOGLETRANSLATE(B12246,""en"",""es-ES"")"),"Se ve a un gran grupo de personas nadando alrededor de una piscina jugando un juego mientras el video se detiene para mostrar a los jugadores.")</f>
        <v>Se ve a un gran grupo de personas nadando alrededor de una piscina jugando un juego mientras el video se detiene para mostrar a los jugadores.</v>
      </c>
    </row>
    <row r="12247">
      <c r="A12247" s="4" t="s">
        <v>15405</v>
      </c>
      <c r="B12247" s="4" t="s">
        <v>15407</v>
      </c>
      <c r="C12247" s="5" t="str">
        <f>IFERROR(__xludf.DUMMYFUNCTION("GOOGLETRANSLATE(B12247,""en"",""es-ES"")"),"La cámara continúa transmitiendo alrededor de los jugadores que nadan alrededor de la piscina lanzando una pelota y otros reaccionando al margen.")</f>
        <v>La cámara continúa transmitiendo alrededor de los jugadores que nadan alrededor de la piscina lanzando una pelota y otros reaccionando al margen.</v>
      </c>
    </row>
    <row r="12248">
      <c r="A12248" s="4" t="s">
        <v>15408</v>
      </c>
      <c r="B12248" s="4" t="s">
        <v>15409</v>
      </c>
      <c r="C12248" s="5" t="str">
        <f>IFERROR(__xludf.DUMMYFUNCTION("GOOGLETRANSLATE(B12248,""en"",""es-ES"")"),"Una persona salta en el océano y vemos que se tiran de una línea.")</f>
        <v>Una persona salta en el océano y vemos que se tiran de una línea.</v>
      </c>
    </row>
    <row r="12249">
      <c r="A12249" s="4" t="s">
        <v>15408</v>
      </c>
      <c r="B12249" s="4" t="s">
        <v>15410</v>
      </c>
      <c r="C12249" s="5" t="str">
        <f>IFERROR(__xludf.DUMMYFUNCTION("GOOGLETRANSLATE(B12249,""en"",""es-ES"")"),"Vemos a los buzos bajo el agua y vemos a Sealife y personas en botes.")</f>
        <v>Vemos a los buzos bajo el agua y vemos a Sealife y personas en botes.</v>
      </c>
    </row>
    <row r="12250">
      <c r="A12250" s="4" t="s">
        <v>15408</v>
      </c>
      <c r="B12250" s="4" t="s">
        <v>15411</v>
      </c>
      <c r="C12250" s="5" t="str">
        <f>IFERROR(__xludf.DUMMYFUNCTION("GOOGLETRANSLATE(B12250,""en"",""es-ES"")"),"Una persona con una cámara en su cabeza salta del bote al agua.")</f>
        <v>Una persona con una cámara en su cabeza salta del bote al agua.</v>
      </c>
    </row>
    <row r="12251">
      <c r="A12251" s="4" t="s">
        <v>15408</v>
      </c>
      <c r="B12251" s="4" t="s">
        <v>15412</v>
      </c>
      <c r="C12251" s="5" t="str">
        <f>IFERROR(__xludf.DUMMYFUNCTION("GOOGLETRANSLATE(B12251,""en"",""es-ES"")"),"Dos hombres saludan y vemos la vida de las focas que incluye un delfín nadando al lado del bote.")</f>
        <v>Dos hombres saludan y vemos la vida de las focas que incluye un delfín nadando al lado del bote.</v>
      </c>
    </row>
    <row r="12252">
      <c r="A12252" s="4" t="s">
        <v>15408</v>
      </c>
      <c r="B12252" s="4" t="s">
        <v>15413</v>
      </c>
      <c r="C12252" s="5" t="str">
        <f>IFERROR(__xludf.DUMMYFUNCTION("GOOGLETRANSLATE(B12252,""en"",""es-ES"")"),"Una señora finge vencer a un hombre golpeándolo en la cabeza mientras estaba bajo el agua.")</f>
        <v>Una señora finge vencer a un hombre golpeándolo en la cabeza mientras estaba bajo el agua.</v>
      </c>
    </row>
    <row r="12253">
      <c r="A12253" s="4" t="s">
        <v>15408</v>
      </c>
      <c r="B12253" s="4" t="s">
        <v>777</v>
      </c>
      <c r="C12253" s="5" t="str">
        <f>IFERROR(__xludf.DUMMYFUNCTION("GOOGLETRANSLATE(B12253,""en"",""es-ES"")"),"Vemos la pantalla de título final.")</f>
        <v>Vemos la pantalla de título final.</v>
      </c>
    </row>
    <row r="12254">
      <c r="A12254" s="4" t="s">
        <v>15414</v>
      </c>
      <c r="B12254" s="4" t="s">
        <v>15415</v>
      </c>
      <c r="C12254" s="5" t="str">
        <f>IFERROR(__xludf.DUMMYFUNCTION("GOOGLETRANSLATE(B12254,""en"",""es-ES"")"),"Una mujer con una camisa rosa corre una pista y salta a la arena.")</f>
        <v>Una mujer con una camisa rosa corre una pista y salta a la arena.</v>
      </c>
    </row>
    <row r="12255">
      <c r="A12255" s="4" t="s">
        <v>15414</v>
      </c>
      <c r="B12255" s="4" t="s">
        <v>15416</v>
      </c>
      <c r="C12255" s="5" t="str">
        <f>IFERROR(__xludf.DUMMYFUNCTION("GOOGLETRANSLATE(B12255,""en"",""es-ES"")"),"Una repetición de su salto se muestra varias veces.")</f>
        <v>Una repetición de su salto se muestra varias veces.</v>
      </c>
    </row>
    <row r="12256">
      <c r="A12256" s="4" t="s">
        <v>15414</v>
      </c>
      <c r="B12256" s="4" t="s">
        <v>15417</v>
      </c>
      <c r="C12256" s="5" t="str">
        <f>IFERROR(__xludf.DUMMYFUNCTION("GOOGLETRANSLATE(B12256,""en"",""es-ES"")"),"Ella se aleja a la hierba.")</f>
        <v>Ella se aleja a la hierba.</v>
      </c>
    </row>
    <row r="12257">
      <c r="A12257" s="4" t="s">
        <v>15418</v>
      </c>
      <c r="B12257" s="4" t="s">
        <v>15419</v>
      </c>
      <c r="C12257" s="5" t="str">
        <f>IFERROR(__xludf.DUMMYFUNCTION("GOOGLETRANSLATE(B12257,""en"",""es-ES"")"),"Se ven dos Boy Scouts de pie y hablando con un gran grupo de personas e intentando iluminar un partido.")</f>
        <v>Se ven dos Boy Scouts de pie y hablando con un gran grupo de personas e intentando iluminar un partido.</v>
      </c>
    </row>
    <row r="12258">
      <c r="A12258" s="4" t="s">
        <v>15418</v>
      </c>
      <c r="B12258" s="4" t="s">
        <v>15420</v>
      </c>
      <c r="C12258" s="5" t="str">
        <f>IFERROR(__xludf.DUMMYFUNCTION("GOOGLETRANSLATE(B12258,""en"",""es-ES"")"),"Uno se toca las manos y crea una llama con oxígeno y pone la llama en un pozo.")</f>
        <v>Uno se toca las manos y crea una llama con oxígeno y pone la llama en un pozo.</v>
      </c>
    </row>
    <row r="12259">
      <c r="A12259" s="4" t="s">
        <v>15421</v>
      </c>
      <c r="B12259" s="4" t="s">
        <v>15422</v>
      </c>
      <c r="C12259" s="5" t="str">
        <f>IFERROR(__xludf.DUMMYFUNCTION("GOOGLETRANSLATE(B12259,""en"",""es-ES"")"),"Una mujer en una playa habla con la cámara.")</f>
        <v>Una mujer en una playa habla con la cámara.</v>
      </c>
    </row>
    <row r="12260">
      <c r="A12260" s="4" t="s">
        <v>15421</v>
      </c>
      <c r="B12260" s="4" t="s">
        <v>15423</v>
      </c>
      <c r="C12260" s="5" t="str">
        <f>IFERROR(__xludf.DUMMYFUNCTION("GOOGLETRANSLATE(B12260,""en"",""es-ES"")"),"La cámara se dirige de un lado a otro para mostrar la actividad de otros beach a la mujer.")</f>
        <v>La cámara se dirige de un lado a otro para mostrar la actividad de otros beach a la mujer.</v>
      </c>
    </row>
    <row r="12261">
      <c r="A12261" s="4" t="s">
        <v>15421</v>
      </c>
      <c r="B12261" s="4" t="s">
        <v>15424</v>
      </c>
      <c r="C12261" s="5" t="str">
        <f>IFERROR(__xludf.DUMMYFUNCTION("GOOGLETRANSLATE(B12261,""en"",""es-ES"")"),"La mujer arroja un cubo de arena en la playa.")</f>
        <v>La mujer arroja un cubo de arena en la playa.</v>
      </c>
    </row>
    <row r="12262">
      <c r="A12262" s="4" t="s">
        <v>15421</v>
      </c>
      <c r="B12262" s="4" t="s">
        <v>15425</v>
      </c>
      <c r="C12262" s="5" t="str">
        <f>IFERROR(__xludf.DUMMYFUNCTION("GOOGLETRANSLATE(B12262,""en"",""es-ES"")"),"La mujer combina arena y agua en un balde.")</f>
        <v>La mujer combina arena y agua en un balde.</v>
      </c>
    </row>
    <row r="12263">
      <c r="A12263" s="4" t="s">
        <v>15421</v>
      </c>
      <c r="B12263" s="4" t="s">
        <v>15426</v>
      </c>
      <c r="C12263" s="5" t="str">
        <f>IFERROR(__xludf.DUMMYFUNCTION("GOOGLETRANSLATE(B12263,""en"",""es-ES"")"),"La mujer arroja la mezcla en la playa.")</f>
        <v>La mujer arroja la mezcla en la playa.</v>
      </c>
    </row>
    <row r="12264">
      <c r="A12264" s="4" t="s">
        <v>15427</v>
      </c>
      <c r="B12264" s="4" t="s">
        <v>15428</v>
      </c>
      <c r="C12264" s="5" t="str">
        <f>IFERROR(__xludf.DUMMYFUNCTION("GOOGLETRANSLATE(B12264,""en"",""es-ES"")"),"Se ve a una mujer hablando con la cámara mientras está de pie frente a una bicicleta de ejercicios.")</f>
        <v>Se ve a una mujer hablando con la cámara mientras está de pie frente a una bicicleta de ejercicios.</v>
      </c>
    </row>
    <row r="12265">
      <c r="A12265" s="4" t="s">
        <v>15427</v>
      </c>
      <c r="B12265" s="4" t="s">
        <v>15429</v>
      </c>
      <c r="C12265" s="5" t="str">
        <f>IFERROR(__xludf.DUMMYFUNCTION("GOOGLETRANSLATE(B12265,""en"",""es-ES"")"),"La mujer continúa hablando y comienza a subir a la bicicleta.")</f>
        <v>La mujer continúa hablando y comienza a subir a la bicicleta.</v>
      </c>
    </row>
    <row r="12266">
      <c r="A12266" s="4" t="s">
        <v>15427</v>
      </c>
      <c r="B12266" s="4" t="s">
        <v>15430</v>
      </c>
      <c r="C12266" s="5" t="str">
        <f>IFERROR(__xludf.DUMMYFUNCTION("GOOGLETRANSLATE(B12266,""en"",""es-ES"")"),"Ella se gira en la bicicleta mientras está sentada y de pie y la cámara panorámica alrededor de la niña.")</f>
        <v>Ella se gira en la bicicleta mientras está sentada y de pie y la cámara panorámica alrededor de la niña.</v>
      </c>
    </row>
    <row r="12267">
      <c r="A12267" s="4" t="s">
        <v>15431</v>
      </c>
      <c r="B12267" s="4" t="s">
        <v>15432</v>
      </c>
      <c r="C12267" s="5" t="str">
        <f>IFERROR(__xludf.DUMMYFUNCTION("GOOGLETRANSLATE(B12267,""en"",""es-ES"")"),"Se ven dos personas corriendo dentro de una habitación cerrada interior y golpeando una pelota de tenis con raquetas.")</f>
        <v>Se ven dos personas corriendo dentro de una habitación cerrada interior y golpeando una pelota de tenis con raquetas.</v>
      </c>
    </row>
    <row r="12268">
      <c r="A12268" s="4" t="s">
        <v>15431</v>
      </c>
      <c r="B12268" s="4" t="s">
        <v>15433</v>
      </c>
      <c r="C12268" s="5" t="str">
        <f>IFERROR(__xludf.DUMMYFUNCTION("GOOGLETRANSLATE(B12268,""en"",""es-ES"")"),"Los hombres continúan corriendo golpeando la pelota de la pared.")</f>
        <v>Los hombres continúan corriendo golpeando la pelota de la pared.</v>
      </c>
    </row>
    <row r="12269">
      <c r="A12269" s="4" t="s">
        <v>15434</v>
      </c>
      <c r="B12269" s="4" t="s">
        <v>15435</v>
      </c>
      <c r="C12269" s="5" t="str">
        <f>IFERROR(__xludf.DUMMYFUNCTION("GOOGLETRANSLATE(B12269,""en"",""es-ES"")"),"Una mujer gorda y una mujer delgada hablan cara a cara en un salón de belleza.")</f>
        <v>Una mujer gorda y una mujer delgada hablan cara a cara en un salón de belleza.</v>
      </c>
    </row>
    <row r="12270">
      <c r="A12270" s="4" t="s">
        <v>15434</v>
      </c>
      <c r="B12270" s="4" t="s">
        <v>15436</v>
      </c>
      <c r="C12270" s="5" t="str">
        <f>IFERROR(__xludf.DUMMYFUNCTION("GOOGLETRANSLATE(B12270,""en"",""es-ES"")"),"La mujer gorda habla y la mujer delgada se lava y le pone crema a la cara.")</f>
        <v>La mujer gorda habla y la mujer delgada se lava y le pone crema a la cara.</v>
      </c>
    </row>
    <row r="12271">
      <c r="A12271" s="4" t="s">
        <v>15434</v>
      </c>
      <c r="B12271" s="4" t="s">
        <v>15437</v>
      </c>
      <c r="C12271" s="5" t="str">
        <f>IFERROR(__xludf.DUMMYFUNCTION("GOOGLETRANSLATE(B12271,""en"",""es-ES"")"),"Luego, la mujer gorda pasa un dispositivo sobre la cara de la mujer delgada.")</f>
        <v>Luego, la mujer gorda pasa un dispositivo sobre la cara de la mujer delgada.</v>
      </c>
    </row>
    <row r="12272">
      <c r="A12272" s="4" t="s">
        <v>15438</v>
      </c>
      <c r="B12272" s="4" t="s">
        <v>15439</v>
      </c>
      <c r="C12272" s="5" t="str">
        <f>IFERROR(__xludf.DUMMYFUNCTION("GOOGLETRANSLATE(B12272,""en"",""es-ES"")"),"Se ve a un gran grupo de personas de pie en un gimnasio con dos personas al frente.")</f>
        <v>Se ve a un gran grupo de personas de pie en un gimnasio con dos personas al frente.</v>
      </c>
    </row>
    <row r="12273">
      <c r="A12273" s="4" t="s">
        <v>15438</v>
      </c>
      <c r="B12273" s="4" t="s">
        <v>15440</v>
      </c>
      <c r="C12273" s="5" t="str">
        <f>IFERROR(__xludf.DUMMYFUNCTION("GOOGLETRANSLATE(B12273,""en"",""es-ES"")"),"Luego, el grupo comienza a bailar entre sí y conduce a otro gran grupo de personas.")</f>
        <v>Luego, el grupo comienza a bailar entre sí y conduce a otro gran grupo de personas.</v>
      </c>
    </row>
    <row r="12274">
      <c r="A12274" s="4" t="s">
        <v>15438</v>
      </c>
      <c r="B12274" s="4" t="s">
        <v>15441</v>
      </c>
      <c r="C12274" s="5" t="str">
        <f>IFERROR(__xludf.DUMMYFUNCTION("GOOGLETRANSLATE(B12274,""en"",""es-ES"")"),"Se ve a las personas hablando con la cámara y los lleva al final.")</f>
        <v>Se ve a las personas hablando con la cámara y los lleva al final.</v>
      </c>
    </row>
    <row r="12275">
      <c r="A12275" s="4" t="s">
        <v>15442</v>
      </c>
      <c r="B12275" s="4" t="s">
        <v>15443</v>
      </c>
      <c r="C12275" s="5" t="str">
        <f>IFERROR(__xludf.DUMMYFUNCTION("GOOGLETRANSLATE(B12275,""en"",""es-ES"")"),"Un hombre habla con la cámara que sigue una pantalla de introducción para patinar.")</f>
        <v>Un hombre habla con la cámara que sigue una pantalla de introducción para patinar.</v>
      </c>
    </row>
    <row r="12276">
      <c r="A12276" s="4" t="s">
        <v>15442</v>
      </c>
      <c r="B12276" s="4" t="s">
        <v>15444</v>
      </c>
      <c r="C12276" s="5" t="str">
        <f>IFERROR(__xludf.DUMMYFUNCTION("GOOGLETRANSLATE(B12276,""en"",""es-ES"")"),"Continúa hablando con la cámara y realizando varios trucos en su tablero en toda el área.")</f>
        <v>Continúa hablando con la cámara y realizando varios trucos en su tablero en toda el área.</v>
      </c>
    </row>
    <row r="12277">
      <c r="A12277" s="4" t="s">
        <v>15445</v>
      </c>
      <c r="B12277" s="4" t="s">
        <v>15446</v>
      </c>
      <c r="C12277" s="5" t="str">
        <f>IFERROR(__xludf.DUMMYFUNCTION("GOOGLETRANSLATE(B12277,""en"",""es-ES"")"),"Este hombre se muestra tocando un tambor al comienzo del video y dice algunas palabras.")</f>
        <v>Este hombre se muestra tocando un tambor al comienzo del video y dice algunas palabras.</v>
      </c>
    </row>
    <row r="12278">
      <c r="A12278" s="4" t="s">
        <v>15445</v>
      </c>
      <c r="B12278" s="4" t="s">
        <v>15447</v>
      </c>
      <c r="C12278" s="5" t="str">
        <f>IFERROR(__xludf.DUMMYFUNCTION("GOOGLETRANSLATE(B12278,""en"",""es-ES"")"),"Luego, un hombre se sienta a su lado y comienza a tocar su guitarra y el otro hombre se une lentamente para comenzar a tocar la batería.")</f>
        <v>Luego, un hombre se sienta a su lado y comienza a tocar su guitarra y el otro hombre se une lentamente para comenzar a tocar la batería.</v>
      </c>
    </row>
    <row r="12279">
      <c r="A12279" s="4" t="s">
        <v>15445</v>
      </c>
      <c r="B12279" s="4" t="s">
        <v>15448</v>
      </c>
      <c r="C12279" s="5" t="str">
        <f>IFERROR(__xludf.DUMMYFUNCTION("GOOGLETRANSLATE(B12279,""en"",""es-ES"")"),"El hombre que está sentado al lado del hombre tocando la batería no solo toca la guitarra, sino que también está cantando.")</f>
        <v>El hombre que está sentado al lado del hombre tocando la batería no solo toca la guitarra, sino que también está cantando.</v>
      </c>
    </row>
    <row r="12280">
      <c r="A12280" s="4" t="s">
        <v>15449</v>
      </c>
      <c r="B12280" s="4" t="s">
        <v>15450</v>
      </c>
      <c r="C12280" s="5" t="str">
        <f>IFERROR(__xludf.DUMMYFUNCTION("GOOGLETRANSLATE(B12280,""en"",""es-ES"")"),"Vemos a un hombre caminando sobre el hielo.")</f>
        <v>Vemos a un hombre caminando sobre el hielo.</v>
      </c>
    </row>
    <row r="12281">
      <c r="A12281" s="4" t="s">
        <v>15449</v>
      </c>
      <c r="B12281" s="4" t="s">
        <v>15451</v>
      </c>
      <c r="C12281" s="5" t="str">
        <f>IFERROR(__xludf.DUMMYFUNCTION("GOOGLETRANSLATE(B12281,""en"",""es-ES"")"),"Se mueve un palo y saca una línea de pesca de un agujero.")</f>
        <v>Se mueve un palo y saca una línea de pesca de un agujero.</v>
      </c>
    </row>
    <row r="12282">
      <c r="A12282" s="4" t="s">
        <v>15449</v>
      </c>
      <c r="B12282" s="4" t="s">
        <v>15452</v>
      </c>
      <c r="C12282" s="5" t="str">
        <f>IFERROR(__xludf.DUMMYFUNCTION("GOOGLETRANSLATE(B12282,""en"",""es-ES"")"),"El hombre saca un pez del agujero.")</f>
        <v>El hombre saca un pez del agujero.</v>
      </c>
    </row>
    <row r="12283">
      <c r="A12283" s="4" t="s">
        <v>15449</v>
      </c>
      <c r="B12283" s="4" t="s">
        <v>15453</v>
      </c>
      <c r="C12283" s="5" t="str">
        <f>IFERROR(__xludf.DUMMYFUNCTION("GOOGLETRANSLATE(B12283,""en"",""es-ES"")"),"Él recoge el pez y nos muestra el pez.")</f>
        <v>Él recoge el pez y nos muestra el pez.</v>
      </c>
    </row>
    <row r="12284">
      <c r="A12284" s="4" t="s">
        <v>15449</v>
      </c>
      <c r="B12284" s="4" t="s">
        <v>15454</v>
      </c>
      <c r="C12284" s="5" t="str">
        <f>IFERROR(__xludf.DUMMYFUNCTION("GOOGLETRANSLATE(B12284,""en"",""es-ES"")"),"El hombre luego arroja el pez nuevamente al agujero.")</f>
        <v>El hombre luego arroja el pez nuevamente al agujero.</v>
      </c>
    </row>
    <row r="12285">
      <c r="A12285" s="4" t="s">
        <v>15455</v>
      </c>
      <c r="B12285" s="4" t="s">
        <v>15456</v>
      </c>
      <c r="C12285" s="5" t="str">
        <f>IFERROR(__xludf.DUMMYFUNCTION("GOOGLETRANSLATE(B12285,""en"",""es-ES"")"),"Una mujer en hombre con ropa negra se mantiene juntas y discuten una rutina.")</f>
        <v>Una mujer en hombre con ropa negra se mantiene juntas y discuten una rutina.</v>
      </c>
    </row>
    <row r="12286">
      <c r="A12286" s="4" t="s">
        <v>15455</v>
      </c>
      <c r="B12286" s="4" t="s">
        <v>15457</v>
      </c>
      <c r="C12286" s="5" t="str">
        <f>IFERROR(__xludf.DUMMYFUNCTION("GOOGLETRANSLATE(B12286,""en"",""es-ES"")"),"La mujer comienza a bailar y va en círculo varias veces mientras el hombre mira.")</f>
        <v>La mujer comienza a bailar y va en círculo varias veces mientras el hombre mira.</v>
      </c>
    </row>
    <row r="12287">
      <c r="A12287" s="4" t="s">
        <v>15455</v>
      </c>
      <c r="B12287" s="4" t="s">
        <v>15458</v>
      </c>
      <c r="C12287" s="5" t="str">
        <f>IFERROR(__xludf.DUMMYFUNCTION("GOOGLETRANSLATE(B12287,""en"",""es-ES"")"),"La mujer continúa discutiendo la rutina y luego se toma de la mano con su pareja y comienzan a bailar juntos.")</f>
        <v>La mujer continúa discutiendo la rutina y luego se toma de la mano con su pareja y comienzan a bailar juntos.</v>
      </c>
    </row>
    <row r="12288">
      <c r="A12288" s="4" t="s">
        <v>15459</v>
      </c>
      <c r="B12288" s="4" t="s">
        <v>15460</v>
      </c>
      <c r="C12288" s="5" t="str">
        <f>IFERROR(__xludf.DUMMYFUNCTION("GOOGLETRANSLATE(B12288,""en"",""es-ES"")"),"Una mujer está hablando de cómo hacer una ensalada.")</f>
        <v>Una mujer está hablando de cómo hacer una ensalada.</v>
      </c>
    </row>
    <row r="12289">
      <c r="A12289" s="4" t="s">
        <v>15459</v>
      </c>
      <c r="B12289" s="4" t="s">
        <v>15461</v>
      </c>
      <c r="C12289" s="5" t="str">
        <f>IFERROR(__xludf.DUMMYFUNCTION("GOOGLETRANSLATE(B12289,""en"",""es-ES"")"),"Ella rompe la lechuga en partes más pequeñas.")</f>
        <v>Ella rompe la lechuga en partes más pequeñas.</v>
      </c>
    </row>
    <row r="12290">
      <c r="A12290" s="4" t="s">
        <v>15462</v>
      </c>
      <c r="B12290" s="4" t="s">
        <v>15463</v>
      </c>
      <c r="C12290" s="5" t="str">
        <f>IFERROR(__xludf.DUMMYFUNCTION("GOOGLETRANSLATE(B12290,""en"",""es-ES"")"),"Se ve a un hombre y un niño pequeño empujando una cortadora de césped a través del patio mientras el niño sonríe a la cámara.")</f>
        <v>Se ve a un hombre y un niño pequeño empujando una cortadora de césped a través del patio mientras el niño sonríe a la cámara.</v>
      </c>
    </row>
    <row r="12291">
      <c r="A12291" s="4" t="s">
        <v>15462</v>
      </c>
      <c r="B12291" s="4" t="s">
        <v>15464</v>
      </c>
      <c r="C12291" s="5" t="str">
        <f>IFERROR(__xludf.DUMMYFUNCTION("GOOGLETRANSLATE(B12291,""en"",""es-ES"")"),"El hombre y el niño continúan empujando la cortadora de césped a lo largo del patio mientras se detienen para mirar la cámara.")</f>
        <v>El hombre y el niño continúan empujando la cortadora de césped a lo largo del patio mientras se detienen para mirar la cámara.</v>
      </c>
    </row>
    <row r="12292">
      <c r="A12292" s="4" t="s">
        <v>15465</v>
      </c>
      <c r="B12292" s="4" t="s">
        <v>15466</v>
      </c>
      <c r="C12292" s="5" t="str">
        <f>IFERROR(__xludf.DUMMYFUNCTION("GOOGLETRANSLATE(B12292,""en"",""es-ES"")"),"Todos los ingredientes que necesitas para hacer pastel de mantequilla están en el mostrador, alguien apunta a cada ingrediente y comienza a agarrarlos.")</f>
        <v>Todos los ingredientes que necesitas para hacer pastel de mantequilla están en el mostrador, alguien apunta a cada ingrediente y comienza a agarrarlos.</v>
      </c>
    </row>
    <row r="12293">
      <c r="A12293" s="4" t="s">
        <v>15465</v>
      </c>
      <c r="B12293" s="4" t="s">
        <v>15467</v>
      </c>
      <c r="C12293" s="5" t="str">
        <f>IFERROR(__xludf.DUMMYFUNCTION("GOOGLETRANSLATE(B12293,""en"",""es-ES"")"),"Usan una batidora para mezclar algunos de los ingredientes.")</f>
        <v>Usan una batidora para mezclar algunos de los ingredientes.</v>
      </c>
    </row>
    <row r="12294">
      <c r="A12294" s="4" t="s">
        <v>15465</v>
      </c>
      <c r="B12294" s="4" t="s">
        <v>15468</v>
      </c>
      <c r="C12294" s="5" t="str">
        <f>IFERROR(__xludf.DUMMYFUNCTION("GOOGLETRANSLATE(B12294,""en"",""es-ES"")"),"Agregan los huevos en uno por uno mientras la batidora todavía se mezcla y luego lo apagan y agregan un poco más.")</f>
        <v>Agregan los huevos en uno por uno mientras la batidora todavía se mezcla y luego lo apagan y agregan un poco más.</v>
      </c>
    </row>
    <row r="12295">
      <c r="A12295" s="4" t="s">
        <v>15465</v>
      </c>
      <c r="B12295" s="4" t="s">
        <v>15469</v>
      </c>
      <c r="C12295" s="5" t="str">
        <f>IFERROR(__xludf.DUMMYFUNCTION("GOOGLETRANSLATE(B12295,""en"",""es-ES"")"),"Usan una sartén y ponen un fondo y sacan la mezcla antes de finalmente prepararse para ponerla en el horno para hornear.")</f>
        <v>Usan una sartén y ponen un fondo y sacan la mezcla antes de finalmente prepararse para ponerla en el horno para hornear.</v>
      </c>
    </row>
    <row r="12296">
      <c r="A12296" s="4" t="s">
        <v>15470</v>
      </c>
      <c r="B12296" s="4" t="s">
        <v>15471</v>
      </c>
      <c r="C12296" s="5" t="str">
        <f>IFERROR(__xludf.DUMMYFUNCTION("GOOGLETRANSLATE(B12296,""en"",""es-ES"")"),"Se ve un primer plano de una grieta.")</f>
        <v>Se ve un primer plano de una grieta.</v>
      </c>
    </row>
    <row r="12297">
      <c r="A12297" s="4" t="s">
        <v>15470</v>
      </c>
      <c r="B12297" s="4" t="s">
        <v>15472</v>
      </c>
      <c r="C12297" s="5" t="str">
        <f>IFERROR(__xludf.DUMMYFUNCTION("GOOGLETRANSLATE(B12297,""en"",""es-ES"")"),"Una mujer está afuera, paleando la nieve.")</f>
        <v>Una mujer está afuera, paleando la nieve.</v>
      </c>
    </row>
    <row r="12298">
      <c r="A12298" s="4" t="s">
        <v>15470</v>
      </c>
      <c r="B12298" s="4" t="s">
        <v>15473</v>
      </c>
      <c r="C12298" s="5" t="str">
        <f>IFERROR(__xludf.DUMMYFUNCTION("GOOGLETRANSLATE(B12298,""en"",""es-ES"")"),"Un perro mueve su cola mientras trata de ayudar.")</f>
        <v>Un perro mueve su cola mientras trata de ayudar.</v>
      </c>
    </row>
    <row r="12299">
      <c r="A12299" s="4" t="s">
        <v>15474</v>
      </c>
      <c r="B12299" s="4" t="s">
        <v>15475</v>
      </c>
      <c r="C12299" s="5" t="str">
        <f>IFERROR(__xludf.DUMMYFUNCTION("GOOGLETRANSLATE(B12299,""en"",""es-ES"")"),"Un grupo de hombres está afuera en un gran campo en caballos jugando un juego de polo.")</f>
        <v>Un grupo de hombres está afuera en un gran campo en caballos jugando un juego de polo.</v>
      </c>
    </row>
    <row r="12300">
      <c r="A12300" s="4" t="s">
        <v>15474</v>
      </c>
      <c r="B12300" s="4" t="s">
        <v>15476</v>
      </c>
      <c r="C12300" s="5" t="str">
        <f>IFERROR(__xludf.DUMMYFUNCTION("GOOGLETRANSLATE(B12300,""en"",""es-ES"")"),"El jugador número tres lleva la pelota hasta el final del campo y luego lo siguen otras cuatro personas.")</f>
        <v>El jugador número tres lleva la pelota hasta el final del campo y luego lo siguen otras cuatro personas.</v>
      </c>
    </row>
    <row r="12301">
      <c r="A12301" s="4" t="s">
        <v>15474</v>
      </c>
      <c r="B12301" s="4" t="s">
        <v>15477</v>
      </c>
      <c r="C12301" s="5" t="str">
        <f>IFERROR(__xludf.DUMMYFUNCTION("GOOGLETRANSLATE(B12301,""en"",""es-ES"")"),"Una vez que salen del final del campo, todos comienzan a trotar de regreso al medio por el árbitro en un caballo.")</f>
        <v>Una vez que salen del final del campo, todos comienzan a trotar de regreso al medio por el árbitro en un caballo.</v>
      </c>
    </row>
    <row r="12302">
      <c r="A12302" s="4" t="s">
        <v>15478</v>
      </c>
      <c r="B12302" s="4" t="s">
        <v>15479</v>
      </c>
      <c r="C12302" s="5" t="str">
        <f>IFERROR(__xludf.DUMMYFUNCTION("GOOGLETRANSLATE(B12302,""en"",""es-ES"")"),"Se muestran varios disparos de letreros y paisajes y conducen a una persona que ataba una cuerda.")</f>
        <v>Se muestran varios disparos de letreros y paisajes y conducen a una persona que ataba una cuerda.</v>
      </c>
    </row>
    <row r="12303">
      <c r="A12303" s="4" t="s">
        <v>15478</v>
      </c>
      <c r="B12303" s="4" t="s">
        <v>15480</v>
      </c>
      <c r="C12303" s="5" t="str">
        <f>IFERROR(__xludf.DUMMYFUNCTION("GOOGLETRANSLATE(B12303,""en"",""es-ES"")"),"Varias personas son vistas deambulando y sonriendo a la cámara, así como subiendo una roca.")</f>
        <v>Varias personas son vistas deambulando y sonriendo a la cámara, así como subiendo una roca.</v>
      </c>
    </row>
    <row r="12304">
      <c r="A12304" s="4" t="s">
        <v>15478</v>
      </c>
      <c r="B12304" s="4" t="s">
        <v>15481</v>
      </c>
      <c r="C12304" s="5" t="str">
        <f>IFERROR(__xludf.DUMMYFUNCTION("GOOGLETRANSLATE(B12304,""en"",""es-ES"")"),"Se ve a más personas subiendo por la roca y a un hombre escalando.")</f>
        <v>Se ve a más personas subiendo por la roca y a un hombre escalando.</v>
      </c>
    </row>
    <row r="12305">
      <c r="A12305" s="4" t="s">
        <v>15482</v>
      </c>
      <c r="B12305" s="4" t="s">
        <v>15483</v>
      </c>
      <c r="C12305" s="5" t="str">
        <f>IFERROR(__xludf.DUMMYFUNCTION("GOOGLETRANSLATE(B12305,""en"",""es-ES"")"),"Las dos personas sostienen las manos para comenzar un partido de lucha libre.")</f>
        <v>Las dos personas sostienen las manos para comenzar un partido de lucha libre.</v>
      </c>
    </row>
    <row r="12306">
      <c r="A12306" s="4" t="s">
        <v>15482</v>
      </c>
      <c r="B12306" s="4" t="s">
        <v>15484</v>
      </c>
      <c r="C12306" s="5" t="str">
        <f>IFERROR(__xludf.DUMMYFUNCTION("GOOGLETRANSLATE(B12306,""en"",""es-ES"")"),"Las mujeres compiten en un partido de lucha libre de brazos sentados en una mesa.")</f>
        <v>Las mujeres compiten en un partido de lucha libre de brazos sentados en una mesa.</v>
      </c>
    </row>
    <row r="12307">
      <c r="A12307" s="4" t="s">
        <v>15482</v>
      </c>
      <c r="B12307" s="4" t="s">
        <v>15485</v>
      </c>
      <c r="C12307" s="5" t="str">
        <f>IFERROR(__xludf.DUMMYFUNCTION("GOOGLETRANSLATE(B12307,""en"",""es-ES"")"),"Las mujeres cambian de manos y el brazo lucha con las manos izquierdas.")</f>
        <v>Las mujeres cambian de manos y el brazo lucha con las manos izquierdas.</v>
      </c>
    </row>
    <row r="12308">
      <c r="A12308" s="4" t="s">
        <v>15482</v>
      </c>
      <c r="B12308" s="4" t="s">
        <v>15486</v>
      </c>
      <c r="C12308" s="5" t="str">
        <f>IFERROR(__xludf.DUMMYFUNCTION("GOOGLETRANSLATE(B12308,""en"",""es-ES"")"),"Las mujeres tienen una revancha con sus manos dominantes.")</f>
        <v>Las mujeres tienen una revancha con sus manos dominantes.</v>
      </c>
    </row>
    <row r="12309">
      <c r="A12309" s="4" t="s">
        <v>15482</v>
      </c>
      <c r="B12309" s="4" t="s">
        <v>15487</v>
      </c>
      <c r="C12309" s="5" t="str">
        <f>IFERROR(__xludf.DUMMYFUNCTION("GOOGLETRANSLATE(B12309,""en"",""es-ES"")"),"Los dos atletas flexionan sus brazos.")</f>
        <v>Los dos atletas flexionan sus brazos.</v>
      </c>
    </row>
    <row r="12310">
      <c r="A12310" s="4" t="s">
        <v>15488</v>
      </c>
      <c r="B12310" s="4" t="s">
        <v>15489</v>
      </c>
      <c r="C12310" s="5" t="str">
        <f>IFERROR(__xludf.DUMMYFUNCTION("GOOGLETRANSLATE(B12310,""en"",""es-ES"")"),"Hay un buzo que lleva troncos de natación amarillos que se buceo desde una tabla de buceo en una piscina interior.")</f>
        <v>Hay un buzo que lleva troncos de natación amarillos que se buceo desde una tabla de buceo en una piscina interior.</v>
      </c>
    </row>
    <row r="12311">
      <c r="A12311" s="4" t="s">
        <v>15488</v>
      </c>
      <c r="B12311" s="4" t="s">
        <v>15490</v>
      </c>
      <c r="C12311" s="5" t="str">
        <f>IFERROR(__xludf.DUMMYFUNCTION("GOOGLETRANSLATE(B12311,""en"",""es-ES"")"),"Salta del tablero de buceo varias veces mientras otras personas están nadando en la piscina.")</f>
        <v>Salta del tablero de buceo varias veces mientras otras personas están nadando en la piscina.</v>
      </c>
    </row>
    <row r="12312">
      <c r="A12312" s="4" t="s">
        <v>15488</v>
      </c>
      <c r="B12312" s="4" t="s">
        <v>15491</v>
      </c>
      <c r="C12312" s="5" t="str">
        <f>IFERROR(__xludf.DUMMYFUNCTION("GOOGLETRANSLATE(B12312,""en"",""es-ES"")"),"Él hace los movimientos de buceo hacia atrás y hacia adelante mientras otro joven lo ve bucear directamente en la piscina.")</f>
        <v>Él hace los movimientos de buceo hacia atrás y hacia adelante mientras otro joven lo ve bucear directamente en la piscina.</v>
      </c>
    </row>
    <row r="12313">
      <c r="A12313" s="4" t="s">
        <v>15488</v>
      </c>
      <c r="B12313" s="4" t="s">
        <v>15492</v>
      </c>
      <c r="C12313" s="5" t="str">
        <f>IFERROR(__xludf.DUMMYFUNCTION("GOOGLETRANSLATE(B12313,""en"",""es-ES"")"),"Entonces otro joven se zambulle del mismo tablero de buceo.")</f>
        <v>Entonces otro joven se zambulle del mismo tablero de buceo.</v>
      </c>
    </row>
    <row r="12314">
      <c r="A12314" s="4" t="s">
        <v>15488</v>
      </c>
      <c r="B12314" s="4" t="s">
        <v>15493</v>
      </c>
      <c r="C12314" s="5" t="str">
        <f>IFERROR(__xludf.DUMMYFUNCTION("GOOGLETRANSLATE(B12314,""en"",""es-ES"")"),"Ambos hacen el movimiento de buceo hacia adelante.")</f>
        <v>Ambos hacen el movimiento de buceo hacia adelante.</v>
      </c>
    </row>
    <row r="12315">
      <c r="A12315" s="4" t="s">
        <v>15488</v>
      </c>
      <c r="B12315" s="4" t="s">
        <v>15494</v>
      </c>
      <c r="C12315" s="5" t="str">
        <f>IFERROR(__xludf.DUMMYFUNCTION("GOOGLETRANSLATE(B12315,""en"",""es-ES"")"),"Otro buzo sube mucho más y se sumerge en la piscina.")</f>
        <v>Otro buzo sube mucho más y se sumerge en la piscina.</v>
      </c>
    </row>
    <row r="12316">
      <c r="A12316" s="4" t="s">
        <v>15495</v>
      </c>
      <c r="B12316" s="4" t="s">
        <v>15496</v>
      </c>
      <c r="C12316" s="5" t="str">
        <f>IFERROR(__xludf.DUMMYFUNCTION("GOOGLETRANSLATE(B12316,""en"",""es-ES"")"),"Se ve a una niña sentada frente a una cámara y presenta varios objetos de uñas a la cámara.")</f>
        <v>Se ve a una niña sentada frente a una cámara y presenta varios objetos de uñas a la cámara.</v>
      </c>
    </row>
    <row r="12317">
      <c r="A12317" s="4" t="s">
        <v>15495</v>
      </c>
      <c r="B12317" s="4" t="s">
        <v>15497</v>
      </c>
      <c r="C12317" s="5" t="str">
        <f>IFERROR(__xludf.DUMMYFUNCTION("GOOGLETRANSLATE(B12317,""en"",""es-ES"")"),"Luego comienza a pintar todas sus uñas a fondo y termina el video con varias fotos de ella y sus uñas.")</f>
        <v>Luego comienza a pintar todas sus uñas a fondo y termina el video con varias fotos de ella y sus uñas.</v>
      </c>
    </row>
    <row r="12318">
      <c r="A12318" s="4" t="s">
        <v>15498</v>
      </c>
      <c r="B12318" s="4" t="s">
        <v>15499</v>
      </c>
      <c r="C12318" s="5" t="str">
        <f>IFERROR(__xludf.DUMMYFUNCTION("GOOGLETRANSLATE(B12318,""en"",""es-ES"")"),"Un niño pequeño con una camisa amarilla sostiene un palo amarillo con volantes.")</f>
        <v>Un niño pequeño con una camisa amarilla sostiene un palo amarillo con volantes.</v>
      </c>
    </row>
    <row r="12319">
      <c r="A12319" s="4" t="s">
        <v>15498</v>
      </c>
      <c r="B12319" s="4" t="s">
        <v>15500</v>
      </c>
      <c r="C12319" s="5" t="str">
        <f>IFERROR(__xludf.DUMMYFUNCTION("GOOGLETRANSLATE(B12319,""en"",""es-ES"")"),"Intenta golpear la piñata de Batman, perdió y luego lo golpeó, rodea la piñata para golpearla.")</f>
        <v>Intenta golpear la piñata de Batman, perdió y luego lo golpeó, rodea la piñata para golpearla.</v>
      </c>
    </row>
    <row r="12320">
      <c r="A12320" s="4" t="s">
        <v>15501</v>
      </c>
      <c r="B12320" s="4" t="s">
        <v>15502</v>
      </c>
      <c r="C12320" s="5" t="str">
        <f>IFERROR(__xludf.DUMMYFUNCTION("GOOGLETRANSLATE(B12320,""en"",""es-ES"")"),"Una persona está empujando un arado de nieve a través de la nieve.")</f>
        <v>Una persona está empujando un arado de nieve a través de la nieve.</v>
      </c>
    </row>
    <row r="12321">
      <c r="A12321" s="4" t="s">
        <v>15501</v>
      </c>
      <c r="B12321" s="4" t="s">
        <v>15503</v>
      </c>
      <c r="C12321" s="5" t="str">
        <f>IFERROR(__xludf.DUMMYFUNCTION("GOOGLETRANSLATE(B12321,""en"",""es-ES"")"),"Están limpiando un camino por una acera.")</f>
        <v>Están limpiando un camino por una acera.</v>
      </c>
    </row>
    <row r="12322">
      <c r="A12322" s="4" t="s">
        <v>15501</v>
      </c>
      <c r="B12322" s="4" t="s">
        <v>15504</v>
      </c>
      <c r="C12322" s="5" t="str">
        <f>IFERROR(__xludf.DUMMYFUNCTION("GOOGLETRANSLATE(B12322,""en"",""es-ES"")"),"Un coche blanco se zambulle en la calle.")</f>
        <v>Un coche blanco se zambulle en la calle.</v>
      </c>
    </row>
    <row r="12323">
      <c r="A12323" s="4" t="s">
        <v>15505</v>
      </c>
      <c r="B12323" s="4" t="s">
        <v>15506</v>
      </c>
      <c r="C12323" s="5" t="str">
        <f>IFERROR(__xludf.DUMMYFUNCTION("GOOGLETRANSLATE(B12323,""en"",""es-ES"")"),"Se ve a un pequeño grupo de personas tirando de mantillo en un contenedor cuando se ve a otro rastrillando el árbol.")</f>
        <v>Se ve a un pequeño grupo de personas tirando de mantillo en un contenedor cuando se ve a otro rastrillando el árbol.</v>
      </c>
    </row>
    <row r="12324">
      <c r="A12324" s="4" t="s">
        <v>15505</v>
      </c>
      <c r="B12324" s="4" t="s">
        <v>15507</v>
      </c>
      <c r="C12324" s="5" t="str">
        <f>IFERROR(__xludf.DUMMYFUNCTION("GOOGLETRANSLATE(B12324,""en"",""es-ES"")"),"Continúan saliendo del mantillo mientras miden el área y conducen a una cortando la hierba alrededor del árbol.")</f>
        <v>Continúan saliendo del mantillo mientras miden el área y conducen a una cortando la hierba alrededor del árbol.</v>
      </c>
    </row>
    <row r="12325">
      <c r="A12325" s="4" t="s">
        <v>15505</v>
      </c>
      <c r="B12325" s="4" t="s">
        <v>15508</v>
      </c>
      <c r="C12325" s="5" t="str">
        <f>IFERROR(__xludf.DUMMYFUNCTION("GOOGLETRANSLATE(B12325,""en"",""es-ES"")"),"Presentan más suciedad de manera uniforme mientras algunos agarran bolsas detrás de ellas.")</f>
        <v>Presentan más suciedad de manera uniforme mientras algunos agarran bolsas detrás de ellas.</v>
      </c>
    </row>
    <row r="12326">
      <c r="A12326" s="4" t="s">
        <v>15509</v>
      </c>
      <c r="B12326" s="4" t="s">
        <v>15510</v>
      </c>
      <c r="C12326" s="5" t="str">
        <f>IFERROR(__xludf.DUMMYFUNCTION("GOOGLETRANSLATE(B12326,""en"",""es-ES"")"),"Una persona tiene una taza de café en una piscina de koi.")</f>
        <v>Una persona tiene una taza de café en una piscina de koi.</v>
      </c>
    </row>
    <row r="12327">
      <c r="A12327" s="4" t="s">
        <v>15509</v>
      </c>
      <c r="B12327" s="4" t="s">
        <v>15511</v>
      </c>
      <c r="C12327" s="5" t="str">
        <f>IFERROR(__xludf.DUMMYFUNCTION("GOOGLETRANSLATE(B12327,""en"",""es-ES"")"),"El Koi nade hacia la taza de café.")</f>
        <v>El Koi nade hacia la taza de café.</v>
      </c>
    </row>
    <row r="12328">
      <c r="A12328" s="4" t="s">
        <v>15512</v>
      </c>
      <c r="B12328" s="4" t="s">
        <v>15513</v>
      </c>
      <c r="C12328" s="5" t="str">
        <f>IFERROR(__xludf.DUMMYFUNCTION("GOOGLETRANSLATE(B12328,""en"",""es-ES"")"),"Una mujer está en una cancha jugando con un palo.")</f>
        <v>Una mujer está en una cancha jugando con un palo.</v>
      </c>
    </row>
    <row r="12329">
      <c r="A12329" s="4" t="s">
        <v>15512</v>
      </c>
      <c r="B12329" s="4" t="s">
        <v>15514</v>
      </c>
      <c r="C12329" s="5" t="str">
        <f>IFERROR(__xludf.DUMMYFUNCTION("GOOGLETRANSLATE(B12329,""en"",""es-ES"")"),"Ella golpea una pelota en la cancha.")</f>
        <v>Ella golpea una pelota en la cancha.</v>
      </c>
    </row>
    <row r="12330">
      <c r="A12330" s="4" t="s">
        <v>15512</v>
      </c>
      <c r="B12330" s="4" t="s">
        <v>15515</v>
      </c>
      <c r="C12330" s="5" t="str">
        <f>IFERROR(__xludf.DUMMYFUNCTION("GOOGLETRANSLATE(B12330,""en"",""es-ES"")"),"Ella demuestra cómo balancearse y golpear la pelota.")</f>
        <v>Ella demuestra cómo balancearse y golpear la pelota.</v>
      </c>
    </row>
    <row r="12331">
      <c r="A12331" s="4" t="s">
        <v>15516</v>
      </c>
      <c r="B12331" s="4" t="s">
        <v>15517</v>
      </c>
      <c r="C12331" s="5" t="str">
        <f>IFERROR(__xludf.DUMMYFUNCTION("GOOGLETRANSLATE(B12331,""en"",""es-ES"")"),"Un hombre corre hasta una viga y salta sobre ella varias veces.")</f>
        <v>Un hombre corre hasta una viga y salta sobre ella varias veces.</v>
      </c>
    </row>
    <row r="12332">
      <c r="A12332" s="4" t="s">
        <v>15516</v>
      </c>
      <c r="B12332" s="4" t="s">
        <v>15518</v>
      </c>
      <c r="C12332" s="5" t="str">
        <f>IFERROR(__xludf.DUMMYFUNCTION("GOOGLETRANSLATE(B12332,""en"",""es-ES"")"),"Hace al menos seis intentos.")</f>
        <v>Hace al menos seis intentos.</v>
      </c>
    </row>
    <row r="12333">
      <c r="A12333" s="4" t="s">
        <v>15519</v>
      </c>
      <c r="B12333" s="4" t="s">
        <v>15520</v>
      </c>
      <c r="C12333" s="5" t="str">
        <f>IFERROR(__xludf.DUMMYFUNCTION("GOOGLETRANSLATE(B12333,""en"",""es-ES"")"),"Las mujeres en leotardos bailan juntas en una línea.")</f>
        <v>Las mujeres en leotardos bailan juntas en una línea.</v>
      </c>
    </row>
    <row r="12334">
      <c r="A12334" s="4" t="s">
        <v>15519</v>
      </c>
      <c r="B12334" s="4" t="s">
        <v>15521</v>
      </c>
      <c r="C12334" s="5" t="str">
        <f>IFERROR(__xludf.DUMMYFUNCTION("GOOGLETRANSLATE(B12334,""en"",""es-ES"")"),"Las mujeres saltan a la piscina.")</f>
        <v>Las mujeres saltan a la piscina.</v>
      </c>
    </row>
    <row r="12335">
      <c r="A12335" s="4" t="s">
        <v>15519</v>
      </c>
      <c r="B12335" s="4" t="s">
        <v>15522</v>
      </c>
      <c r="C12335" s="5" t="str">
        <f>IFERROR(__xludf.DUMMYFUNCTION("GOOGLETRANSLATE(B12335,""en"",""es-ES"")"),"Las mujeres sincronizan el baile en la piscina.")</f>
        <v>Las mujeres sincronizan el baile en la piscina.</v>
      </c>
    </row>
    <row r="12336">
      <c r="A12336" s="4" t="s">
        <v>15519</v>
      </c>
      <c r="B12336" s="4" t="s">
        <v>15523</v>
      </c>
      <c r="C12336" s="5" t="str">
        <f>IFERROR(__xludf.DUMMYFUNCTION("GOOGLETRANSLATE(B12336,""en"",""es-ES"")"),"Los locutores hablan con la cámara.")</f>
        <v>Los locutores hablan con la cámara.</v>
      </c>
    </row>
    <row r="12337">
      <c r="A12337" s="4" t="s">
        <v>15519</v>
      </c>
      <c r="B12337" s="4" t="s">
        <v>15524</v>
      </c>
      <c r="C12337" s="5" t="str">
        <f>IFERROR(__xludf.DUMMYFUNCTION("GOOGLETRANSLATE(B12337,""en"",""es-ES"")"),"Hombres al lado de la charla de la piscina.")</f>
        <v>Hombres al lado de la charla de la piscina.</v>
      </c>
    </row>
    <row r="12338">
      <c r="A12338" s="4" t="s">
        <v>15519</v>
      </c>
      <c r="B12338" s="4" t="s">
        <v>15525</v>
      </c>
      <c r="C12338" s="5" t="str">
        <f>IFERROR(__xludf.DUMMYFUNCTION("GOOGLETRANSLATE(B12338,""en"",""es-ES"")"),"El hombre en amarillo habla con la cámara.")</f>
        <v>El hombre en amarillo habla con la cámara.</v>
      </c>
    </row>
    <row r="12339">
      <c r="A12339" s="4" t="s">
        <v>15519</v>
      </c>
      <c r="B12339" s="4" t="s">
        <v>15526</v>
      </c>
      <c r="C12339" s="5" t="str">
        <f>IFERROR(__xludf.DUMMYFUNCTION("GOOGLETRANSLATE(B12339,""en"",""es-ES"")"),"El hombre en el leotardo rosa salta de la piscina.")</f>
        <v>El hombre en el leotardo rosa salta de la piscina.</v>
      </c>
    </row>
    <row r="12340">
      <c r="A12340" s="4" t="s">
        <v>15527</v>
      </c>
      <c r="B12340" s="4" t="s">
        <v>15528</v>
      </c>
      <c r="C12340" s="5" t="str">
        <f>IFERROR(__xludf.DUMMYFUNCTION("GOOGLETRANSLATE(B12340,""en"",""es-ES"")"),"Un niño se para en un campo con un lanzamiento de peso en la mano.")</f>
        <v>Un niño se para en un campo con un lanzamiento de peso en la mano.</v>
      </c>
    </row>
    <row r="12341">
      <c r="A12341" s="4" t="s">
        <v>15527</v>
      </c>
      <c r="B12341" s="4" t="s">
        <v>15529</v>
      </c>
      <c r="C12341" s="5" t="str">
        <f>IFERROR(__xludf.DUMMYFUNCTION("GOOGLETRANSLATE(B12341,""en"",""es-ES"")"),"El niño comienza a girar.")</f>
        <v>El niño comienza a girar.</v>
      </c>
    </row>
    <row r="12342">
      <c r="A12342" s="4" t="s">
        <v>15527</v>
      </c>
      <c r="B12342" s="4" t="s">
        <v>15530</v>
      </c>
      <c r="C12342" s="5" t="str">
        <f>IFERROR(__xludf.DUMMYFUNCTION("GOOGLETRANSLATE(B12342,""en"",""es-ES"")"),"El niño lanza el lanzamiento de peso.")</f>
        <v>El niño lanza el lanzamiento de peso.</v>
      </c>
    </row>
    <row r="12343">
      <c r="A12343" s="4" t="s">
        <v>15527</v>
      </c>
      <c r="B12343" s="4" t="s">
        <v>15531</v>
      </c>
      <c r="C12343" s="5" t="str">
        <f>IFERROR(__xludf.DUMMYFUNCTION("GOOGLETRANSLATE(B12343,""en"",""es-ES"")"),"Los giran y lanza otro lanzamiento de bala.")</f>
        <v>Los giran y lanza otro lanzamiento de bala.</v>
      </c>
    </row>
    <row r="12344">
      <c r="A12344" s="4" t="s">
        <v>15532</v>
      </c>
      <c r="B12344" s="4" t="s">
        <v>15533</v>
      </c>
      <c r="C12344" s="5" t="str">
        <f>IFERROR(__xludf.DUMMYFUNCTION("GOOGLETRANSLATE(B12344,""en"",""es-ES"")"),"Una compañía de renovación de muebles anuncia sus servicios mostrando varias casas y herramientas en las que han trabajado y usado y qué tipo de trabajo hacen.")</f>
        <v>Una compañía de renovación de muebles anuncia sus servicios mostrando varias casas y herramientas en las que han trabajado y usado y qué tipo de trabajo hacen.</v>
      </c>
    </row>
    <row r="12345">
      <c r="A12345" s="4" t="s">
        <v>15532</v>
      </c>
      <c r="B12345" s="4" t="s">
        <v>15534</v>
      </c>
      <c r="C12345" s="5" t="str">
        <f>IFERROR(__xludf.DUMMYFUNCTION("GOOGLETRANSLATE(B12345,""en"",""es-ES"")"),"Un hombre en un delantal cuidadosamente pone una sustancia de color en un plato.")</f>
        <v>Un hombre en un delantal cuidadosamente pone una sustancia de color en un plato.</v>
      </c>
    </row>
    <row r="12346">
      <c r="A12346" s="4" t="s">
        <v>15532</v>
      </c>
      <c r="B12346" s="4" t="s">
        <v>15535</v>
      </c>
      <c r="C12346" s="5" t="str">
        <f>IFERROR(__xludf.DUMMYFUNCTION("GOOGLETRANSLATE(B12346,""en"",""es-ES"")"),"El hombre mezcla dos de las diferentes sustancias de color con un pincel.")</f>
        <v>El hombre mezcla dos de las diferentes sustancias de color con un pincel.</v>
      </c>
    </row>
    <row r="12347">
      <c r="A12347" s="4" t="s">
        <v>15532</v>
      </c>
      <c r="B12347" s="4" t="s">
        <v>15536</v>
      </c>
      <c r="C12347" s="5" t="str">
        <f>IFERROR(__xludf.DUMMYFUNCTION("GOOGLETRANSLATE(B12347,""en"",""es-ES"")"),"El hombre toca cuidadosamente el pincel de pintura en una vieja mesa para colorear porciones de la mesa que han sido dañadas.")</f>
        <v>El hombre toca cuidadosamente el pincel de pintura en una vieja mesa para colorear porciones de la mesa que han sido dañadas.</v>
      </c>
    </row>
    <row r="12348">
      <c r="A12348" s="4" t="s">
        <v>15532</v>
      </c>
      <c r="B12348" s="4" t="s">
        <v>15537</v>
      </c>
      <c r="C12348" s="5" t="str">
        <f>IFERROR(__xludf.DUMMYFUNCTION("GOOGLETRANSLATE(B12348,""en"",""es-ES"")"),"Un hombre diferente en un delantal y una mascarilla arena una mesa vieja.")</f>
        <v>Un hombre diferente en un delantal y una mascarilla arena una mesa vieja.</v>
      </c>
    </row>
    <row r="12349">
      <c r="A12349" s="4" t="s">
        <v>15532</v>
      </c>
      <c r="B12349" s="4" t="s">
        <v>15538</v>
      </c>
      <c r="C12349" s="5" t="str">
        <f>IFERROR(__xludf.DUMMYFUNCTION("GOOGLETRANSLATE(B12349,""en"",""es-ES"")"),"El hombre luego pone pulido en un trapo y pule la mesa.")</f>
        <v>El hombre luego pone pulido en un trapo y pule la mesa.</v>
      </c>
    </row>
    <row r="12350">
      <c r="A12350" s="4" t="s">
        <v>15532</v>
      </c>
      <c r="B12350" s="4" t="s">
        <v>15539</v>
      </c>
      <c r="C12350" s="5" t="str">
        <f>IFERROR(__xludf.DUMMYFUNCTION("GOOGLETRANSLATE(B12350,""en"",""es-ES"")"),"El hombre pule una mesa vieja diferente.")</f>
        <v>El hombre pule una mesa vieja diferente.</v>
      </c>
    </row>
    <row r="12351">
      <c r="A12351" s="4" t="s">
        <v>15532</v>
      </c>
      <c r="B12351" s="4" t="s">
        <v>15540</v>
      </c>
      <c r="C12351" s="5" t="str">
        <f>IFERROR(__xludf.DUMMYFUNCTION("GOOGLETRANSLATE(B12351,""en"",""es-ES"")"),"Se muestra la información sobre cómo llegar a la empresa de restauración.")</f>
        <v>Se muestra la información sobre cómo llegar a la empresa de restauración.</v>
      </c>
    </row>
    <row r="12352">
      <c r="A12352" s="4" t="s">
        <v>15541</v>
      </c>
      <c r="B12352" s="4" t="s">
        <v>15542</v>
      </c>
      <c r="C12352" s="5" t="str">
        <f>IFERROR(__xludf.DUMMYFUNCTION("GOOGLETRANSLATE(B12352,""en"",""es-ES"")"),"Se ve a una mujer parada junto a una niña sentada cepillándose el cabello.")</f>
        <v>Se ve a una mujer parada junto a una niña sentada cepillándose el cabello.</v>
      </c>
    </row>
    <row r="12353">
      <c r="A12353" s="4" t="s">
        <v>15541</v>
      </c>
      <c r="B12353" s="4" t="s">
        <v>15543</v>
      </c>
      <c r="C12353" s="5" t="str">
        <f>IFERROR(__xludf.DUMMYFUNCTION("GOOGLETRANSLATE(B12353,""en"",""es-ES"")"),"Un niño mira a un lado mientras la mujer continúa cepillando el cabello.")</f>
        <v>Un niño mira a un lado mientras la mujer continúa cepillando el cabello.</v>
      </c>
    </row>
    <row r="12354">
      <c r="A12354" s="4" t="s">
        <v>15541</v>
      </c>
      <c r="B12354" s="4" t="s">
        <v>15544</v>
      </c>
      <c r="C12354" s="5" t="str">
        <f>IFERROR(__xludf.DUMMYFUNCTION("GOOGLETRANSLATE(B12354,""en"",""es-ES"")"),"La mujer habla con la niña mientras pasa el cepillo por todo el cabello.")</f>
        <v>La mujer habla con la niña mientras pasa el cepillo por todo el cabello.</v>
      </c>
    </row>
    <row r="12355">
      <c r="A12355" s="4" t="s">
        <v>15545</v>
      </c>
      <c r="B12355" s="4" t="s">
        <v>15546</v>
      </c>
      <c r="C12355" s="5" t="str">
        <f>IFERROR(__xludf.DUMMYFUNCTION("GOOGLETRANSLATE(B12355,""en"",""es-ES"")"),"Un hombre vestido con un traje negro y una mujer vestida con un vestido negro bailan juntos con la música latina.")</f>
        <v>Un hombre vestido con un traje negro y una mujer vestida con un vestido negro bailan juntos con la música latina.</v>
      </c>
    </row>
    <row r="12356">
      <c r="A12356" s="4" t="s">
        <v>15545</v>
      </c>
      <c r="B12356" s="4" t="s">
        <v>15547</v>
      </c>
      <c r="C12356" s="5" t="str">
        <f>IFERROR(__xludf.DUMMYFUNCTION("GOOGLETRANSLATE(B12356,""en"",""es-ES"")"),"Están haciendo una combinación de baile de sala de pelota y vals.")</f>
        <v>Están haciendo una combinación de baile de sala de pelota y vals.</v>
      </c>
    </row>
    <row r="12357">
      <c r="A12357" s="4" t="s">
        <v>15545</v>
      </c>
      <c r="B12357" s="4" t="s">
        <v>15548</v>
      </c>
      <c r="C12357" s="5" t="str">
        <f>IFERROR(__xludf.DUMMYFUNCTION("GOOGLETRANSLATE(B12357,""en"",""es-ES"")"),"Están bailando en la acera de una ciudad donde hay varios espectadores que observan y los miran bailar.")</f>
        <v>Están bailando en la acera de una ciudad donde hay varios espectadores que observan y los miran bailar.</v>
      </c>
    </row>
    <row r="12358">
      <c r="A12358" s="4" t="s">
        <v>15545</v>
      </c>
      <c r="B12358" s="4" t="s">
        <v>15549</v>
      </c>
      <c r="C12358" s="5" t="str">
        <f>IFERROR(__xludf.DUMMYFUNCTION("GOOGLETRANSLATE(B12358,""en"",""es-ES"")"),"Continúan bailando de la mano con la música.")</f>
        <v>Continúan bailando de la mano con la música.</v>
      </c>
    </row>
    <row r="12359">
      <c r="A12359" s="4" t="s">
        <v>15545</v>
      </c>
      <c r="B12359" s="4" t="s">
        <v>15550</v>
      </c>
      <c r="C12359" s="5" t="str">
        <f>IFERROR(__xludf.DUMMYFUNCTION("GOOGLETRANSLATE(B12359,""en"",""es-ES"")"),"Un grupo de personas de pie a la derecha comienza a aplaudirlas.")</f>
        <v>Un grupo de personas de pie a la derecha comienza a aplaudirlas.</v>
      </c>
    </row>
    <row r="12360">
      <c r="A12360" s="4" t="s">
        <v>15545</v>
      </c>
      <c r="B12360" s="4" t="s">
        <v>15551</v>
      </c>
      <c r="C12360" s="5" t="str">
        <f>IFERROR(__xludf.DUMMYFUNCTION("GOOGLETRANSLATE(B12360,""en"",""es-ES"")"),"La pareja continúa girando y girando mientras suena la música y más personas en la multitud aplauden.")</f>
        <v>La pareja continúa girando y girando mientras suena la música y más personas en la multitud aplauden.</v>
      </c>
    </row>
    <row r="12361">
      <c r="A12361" s="4" t="s">
        <v>15545</v>
      </c>
      <c r="B12361" s="4" t="s">
        <v>15552</v>
      </c>
      <c r="C12361" s="5" t="str">
        <f>IFERROR(__xludf.DUMMYFUNCTION("GOOGLETRANSLATE(B12361,""en"",""es-ES"")"),"La señora finalmente salta a los brazos del hombre cuando la música llega a su fin.")</f>
        <v>La señora finalmente salta a los brazos del hombre cuando la música llega a su fin.</v>
      </c>
    </row>
    <row r="12362">
      <c r="A12362" s="4" t="s">
        <v>15545</v>
      </c>
      <c r="B12362" s="4" t="s">
        <v>15553</v>
      </c>
      <c r="C12362" s="5" t="str">
        <f>IFERROR(__xludf.DUMMYFUNCTION("GOOGLETRANSLATE(B12362,""en"",""es-ES"")"),"La multitud aplaude y aplaude en voz alta a la pareja.")</f>
        <v>La multitud aplaude y aplaude en voz alta a la pareja.</v>
      </c>
    </row>
    <row r="12363">
      <c r="A12363" s="4" t="s">
        <v>15554</v>
      </c>
      <c r="B12363" s="4" t="s">
        <v>15555</v>
      </c>
      <c r="C12363" s="5" t="str">
        <f>IFERROR(__xludf.DUMMYFUNCTION("GOOGLETRANSLATE(B12363,""en"",""es-ES"")"),"Cómo expocar ​​es demostrar cómo hacer una ensalada de tres frijoles con frijoles negros, garbanzos y frijoles.")</f>
        <v>Cómo expocar ​​es demostrar cómo hacer una ensalada de tres frijoles con frijoles negros, garbanzos y frijoles.</v>
      </c>
    </row>
    <row r="12364">
      <c r="A12364" s="4" t="s">
        <v>15554</v>
      </c>
      <c r="B12364" s="4" t="s">
        <v>15556</v>
      </c>
      <c r="C12364" s="5" t="str">
        <f>IFERROR(__xludf.DUMMYFUNCTION("GOOGLETRANSLATE(B12364,""en"",""es-ES"")"),"El presentador muestra ajo picado, cebollas picadas y pimiento rojo picado, junto con perejil picado y una cucharadita de comino.")</f>
        <v>El presentador muestra ajo picado, cebollas picadas y pimiento rojo picado, junto con perejil picado y una cucharadita de comino.</v>
      </c>
    </row>
    <row r="12365">
      <c r="A12365" s="4" t="s">
        <v>15554</v>
      </c>
      <c r="B12365" s="4" t="s">
        <v>15557</v>
      </c>
      <c r="C12365" s="5" t="str">
        <f>IFERROR(__xludf.DUMMYFUNCTION("GOOGLETRANSLATE(B12365,""en"",""es-ES"")"),"También muestra los ingredientes del aderezo como aceite de oliva, vinagre de vino tinto y sal.")</f>
        <v>También muestra los ingredientes del aderezo como aceite de oliva, vinagre de vino tinto y sal.</v>
      </c>
    </row>
    <row r="12366">
      <c r="A12366" s="4" t="s">
        <v>15554</v>
      </c>
      <c r="B12366" s="4" t="s">
        <v>15558</v>
      </c>
      <c r="C12366" s="5" t="str">
        <f>IFERROR(__xludf.DUMMYFUNCTION("GOOGLETRANSLATE(B12366,""en"",""es-ES"")"),"Luego toma un tazón grande y comienza a mezclar todos los ingredientes.")</f>
        <v>Luego toma un tazón grande y comienza a mezclar todos los ingredientes.</v>
      </c>
    </row>
    <row r="12367">
      <c r="A12367" s="4" t="s">
        <v>15554</v>
      </c>
      <c r="B12367" s="4" t="s">
        <v>15559</v>
      </c>
      <c r="C12367" s="5" t="str">
        <f>IFERROR(__xludf.DUMMYFUNCTION("GOOGLETRANSLATE(B12367,""en"",""es-ES"")"),"Ella mezcla todo con los tres tipos de frijoles.")</f>
        <v>Ella mezcla todo con los tres tipos de frijoles.</v>
      </c>
    </row>
    <row r="12368">
      <c r="A12368" s="4" t="s">
        <v>15554</v>
      </c>
      <c r="B12368" s="4" t="s">
        <v>15560</v>
      </c>
      <c r="C12368" s="5" t="str">
        <f>IFERROR(__xludf.DUMMYFUNCTION("GOOGLETRANSLATE(B12368,""en"",""es-ES"")"),"Ella toma una gran espátula y mezcla todo bien.")</f>
        <v>Ella toma una gran espátula y mezcla todo bien.</v>
      </c>
    </row>
    <row r="12369">
      <c r="A12369" s="4" t="s">
        <v>15554</v>
      </c>
      <c r="B12369" s="4" t="s">
        <v>15561</v>
      </c>
      <c r="C12369" s="5" t="str">
        <f>IFERROR(__xludf.DUMMYFUNCTION("GOOGLETRANSLATE(B12369,""en"",""es-ES"")"),"Luego toma un poco de aceite de oliva y vinagre y lo mezcla para el aderezo.")</f>
        <v>Luego toma un poco de aceite de oliva y vinagre y lo mezcla para el aderezo.</v>
      </c>
    </row>
    <row r="12370">
      <c r="A12370" s="4" t="s">
        <v>15554</v>
      </c>
      <c r="B12370" s="4" t="s">
        <v>15562</v>
      </c>
      <c r="C12370" s="5" t="str">
        <f>IFERROR(__xludf.DUMMYFUNCTION("GOOGLETRANSLATE(B12370,""en"",""es-ES"")"),"Ella vierte la ensalada en un plato y la parte superior está con el aderezo para ensaladas.")</f>
        <v>Ella vierte la ensalada en un plato y la parte superior está con el aderezo para ensaladas.</v>
      </c>
    </row>
    <row r="12371">
      <c r="A12371" s="4" t="s">
        <v>15563</v>
      </c>
      <c r="B12371" s="4" t="s">
        <v>15564</v>
      </c>
      <c r="C12371" s="5" t="str">
        <f>IFERROR(__xludf.DUMMYFUNCTION("GOOGLETRANSLATE(B12371,""en"",""es-ES"")"),"Un tipo está buceando de una tabla de buceo haciendo flips en el aire y aterriza en un charco de agua, el chico se zambulle y hace diferentes volteos muchas veces diferentes.")</f>
        <v>Un tipo está buceando de una tabla de buceo haciendo flips en el aire y aterriza en un charco de agua, el chico se zambulle y hace diferentes volteos muchas veces diferentes.</v>
      </c>
    </row>
    <row r="12372">
      <c r="A12372" s="4" t="s">
        <v>15563</v>
      </c>
      <c r="B12372" s="4" t="s">
        <v>15565</v>
      </c>
      <c r="C12372" s="5" t="str">
        <f>IFERROR(__xludf.DUMMYFUNCTION("GOOGLETRANSLATE(B12372,""en"",""es-ES"")"),"El hombre parece estar practicando sus inmersiones y volteos de la tabla de buceo.")</f>
        <v>El hombre parece estar practicando sus inmersiones y volteos de la tabla de buceo.</v>
      </c>
    </row>
    <row r="12373">
      <c r="A12373" s="4" t="s">
        <v>15563</v>
      </c>
      <c r="B12373" s="4" t="s">
        <v>15566</v>
      </c>
      <c r="C12373" s="5" t="str">
        <f>IFERROR(__xludf.DUMMYFUNCTION("GOOGLETRANSLATE(B12373,""en"",""es-ES"")"),"El tipo está tratando de saltar su mejor para obtener un mejor volteo de buceo.")</f>
        <v>El tipo está tratando de saltar su mejor para obtener un mejor volteo de buceo.</v>
      </c>
    </row>
    <row r="12374">
      <c r="A12374" s="4" t="s">
        <v>15567</v>
      </c>
      <c r="B12374" s="4" t="s">
        <v>15568</v>
      </c>
      <c r="C12374" s="5" t="str">
        <f>IFERROR(__xludf.DUMMYFUNCTION("GOOGLETRANSLATE(B12374,""en"",""es-ES"")"),"Se ve a un hombre hablando con la cámara mientras establece un esquí en un banco de trabajo dentro de una tienda de esquí.")</f>
        <v>Se ve a un hombre hablando con la cámara mientras establece un esquí en un banco de trabajo dentro de una tienda de esquí.</v>
      </c>
    </row>
    <row r="12375">
      <c r="A12375" s="4" t="s">
        <v>15567</v>
      </c>
      <c r="B12375" s="4" t="s">
        <v>15569</v>
      </c>
      <c r="C12375" s="5" t="str">
        <f>IFERROR(__xludf.DUMMYFUNCTION("GOOGLETRANSLATE(B12375,""en"",""es-ES"")"),"Después de alinear el esquí y asegurarlo en el banco, usa una tarjeta de plástico y pasa por la parte inferior del esquí tres veces.")</f>
        <v>Después de alinear el esquí y asegurarlo en el banco, usa una tarjeta de plástico y pasa por la parte inferior del esquí tres veces.</v>
      </c>
    </row>
    <row r="12376">
      <c r="A12376" s="4" t="s">
        <v>15567</v>
      </c>
      <c r="B12376" s="4" t="s">
        <v>15570</v>
      </c>
      <c r="C12376" s="5" t="str">
        <f>IFERROR(__xludf.DUMMYFUNCTION("GOOGLETRANSLATE(B12376,""en"",""es-ES"")"),"Luego usa un cepillo erizado y frota la parte inferior del esquí.")</f>
        <v>Luego usa un cepillo erizado y frota la parte inferior del esquí.</v>
      </c>
    </row>
    <row r="12377">
      <c r="A12377" s="4" t="s">
        <v>15567</v>
      </c>
      <c r="B12377" s="4" t="s">
        <v>15571</v>
      </c>
      <c r="C12377" s="5" t="str">
        <f>IFERROR(__xludf.DUMMYFUNCTION("GOOGLETRANSLATE(B12377,""en"",""es-ES"")"),"Finalmente usa un cepillo suave y lo ejecuta sobre el esquí una vez más.")</f>
        <v>Finalmente usa un cepillo suave y lo ejecuta sobre el esquí una vez más.</v>
      </c>
    </row>
    <row r="12378">
      <c r="A12378" s="4" t="s">
        <v>15572</v>
      </c>
      <c r="B12378" s="4" t="s">
        <v>15573</v>
      </c>
      <c r="C12378" s="5" t="str">
        <f>IFERROR(__xludf.DUMMYFUNCTION("GOOGLETRANSLATE(B12378,""en"",""es-ES"")"),"El video comienza con una captura de pantalla de título.")</f>
        <v>El video comienza con una captura de pantalla de título.</v>
      </c>
    </row>
    <row r="12379">
      <c r="A12379" s="4" t="s">
        <v>15572</v>
      </c>
      <c r="B12379" s="4" t="s">
        <v>15574</v>
      </c>
      <c r="C12379" s="5" t="str">
        <f>IFERROR(__xludf.DUMMYFUNCTION("GOOGLETRANSLATE(B12379,""en"",""es-ES"")"),"Un hombre con una camisa blanca muestra aplicando yeso a una habitación.")</f>
        <v>Un hombre con una camisa blanca muestra aplicando yeso a una habitación.</v>
      </c>
    </row>
    <row r="12380">
      <c r="A12380" s="4" t="s">
        <v>15572</v>
      </c>
      <c r="B12380" s="4" t="s">
        <v>15575</v>
      </c>
      <c r="C12380" s="5" t="str">
        <f>IFERROR(__xludf.DUMMYFUNCTION("GOOGLETRANSLATE(B12380,""en"",""es-ES"")"),"A medida que aplica el yeso, una voz describe las técnicas utilizadas por la compañía.")</f>
        <v>A medida que aplica el yeso, una voz describe las técnicas utilizadas por la compañía.</v>
      </c>
    </row>
    <row r="12381">
      <c r="A12381" s="4" t="s">
        <v>15572</v>
      </c>
      <c r="B12381" s="4" t="s">
        <v>15576</v>
      </c>
      <c r="C12381" s="5" t="str">
        <f>IFERROR(__xludf.DUMMYFUNCTION("GOOGLETRANSLATE(B12381,""en"",""es-ES"")"),"El video termina cuando el hombre llega al final de la habitación.")</f>
        <v>El video termina cuando el hombre llega al final de la habitación.</v>
      </c>
    </row>
    <row r="12382">
      <c r="A12382" s="4" t="s">
        <v>15577</v>
      </c>
      <c r="B12382" s="4" t="s">
        <v>15578</v>
      </c>
      <c r="C12382" s="5" t="str">
        <f>IFERROR(__xludf.DUMMYFUNCTION("GOOGLETRANSLATE(B12382,""en"",""es-ES"")"),"Una mujer está parada detrás de un mostrador en una cocina.")</f>
        <v>Una mujer está parada detrás de un mostrador en una cocina.</v>
      </c>
    </row>
    <row r="12383">
      <c r="A12383" s="4" t="s">
        <v>15577</v>
      </c>
      <c r="B12383" s="4" t="s">
        <v>15579</v>
      </c>
      <c r="C12383" s="5" t="str">
        <f>IFERROR(__xludf.DUMMYFUNCTION("GOOGLETRANSLATE(B12383,""en"",""es-ES"")"),"Ella quita la tapa de una olla de ensalada.")</f>
        <v>Ella quita la tapa de una olla de ensalada.</v>
      </c>
    </row>
    <row r="12384">
      <c r="A12384" s="4" t="s">
        <v>15577</v>
      </c>
      <c r="B12384" s="4" t="s">
        <v>15580</v>
      </c>
      <c r="C12384" s="5" t="str">
        <f>IFERROR(__xludf.DUMMYFUNCTION("GOOGLETRANSLATE(B12384,""en"",""es-ES"")"),"Ella mueve la ensalada a un tazón nuevo.")</f>
        <v>Ella mueve la ensalada a un tazón nuevo.</v>
      </c>
    </row>
    <row r="12385">
      <c r="A12385" s="4" t="s">
        <v>15577</v>
      </c>
      <c r="B12385" s="4" t="s">
        <v>15581</v>
      </c>
      <c r="C12385" s="5" t="str">
        <f>IFERROR(__xludf.DUMMYFUNCTION("GOOGLETRANSLATE(B12385,""en"",""es-ES"")"),"Ella toma la toalla y la pone sobre la lechuga.")</f>
        <v>Ella toma la toalla y la pone sobre la lechuga.</v>
      </c>
    </row>
    <row r="12386">
      <c r="A12386" s="4" t="s">
        <v>15577</v>
      </c>
      <c r="B12386" s="4" t="s">
        <v>15582</v>
      </c>
      <c r="C12386" s="5" t="str">
        <f>IFERROR(__xludf.DUMMYFUNCTION("GOOGLETRANSLATE(B12386,""en"",""es-ES"")"),"Ella toma la lechuga y la pone en un tazón de madera.")</f>
        <v>Ella toma la lechuga y la pone en un tazón de madera.</v>
      </c>
    </row>
    <row r="12387">
      <c r="A12387" s="4" t="s">
        <v>15577</v>
      </c>
      <c r="B12387" s="4" t="s">
        <v>15583</v>
      </c>
      <c r="C12387" s="5" t="str">
        <f>IFERROR(__xludf.DUMMYFUNCTION("GOOGLETRANSLATE(B12387,""en"",""es-ES"")"),"Ella arroja la ensalada con dos cucharas.")</f>
        <v>Ella arroja la ensalada con dos cucharas.</v>
      </c>
    </row>
    <row r="12388">
      <c r="A12388" s="4" t="s">
        <v>15584</v>
      </c>
      <c r="B12388" s="4" t="s">
        <v>15585</v>
      </c>
      <c r="C12388" s="5" t="str">
        <f>IFERROR(__xludf.DUMMYFUNCTION("GOOGLETRANSLATE(B12388,""en"",""es-ES"")"),"Un conjunto de niños está en autos de parachoques y comienzan a conducir y golpearse entre sí.")</f>
        <v>Un conjunto de niños está en autos de parachoques y comienzan a conducir y golpearse entre sí.</v>
      </c>
    </row>
    <row r="12389">
      <c r="A12389" s="4" t="s">
        <v>15584</v>
      </c>
      <c r="B12389" s="4" t="s">
        <v>15586</v>
      </c>
      <c r="C12389" s="5" t="str">
        <f>IFERROR(__xludf.DUMMYFUNCTION("GOOGLETRANSLATE(B12389,""en"",""es-ES"")"),"Uno de los niños pequeños se encuentra con la pared y los machos que operan el viaje ayudan al niño.")</f>
        <v>Uno de los niños pequeños se encuentra con la pared y los machos que operan el viaje ayudan al niño.</v>
      </c>
    </row>
    <row r="12390">
      <c r="A12390" s="4" t="s">
        <v>15587</v>
      </c>
      <c r="B12390" s="4" t="s">
        <v>15588</v>
      </c>
      <c r="C12390" s="5" t="str">
        <f>IFERROR(__xludf.DUMMYFUNCTION("GOOGLETRANSLATE(B12390,""en"",""es-ES"")"),"Aparecen las palabras de cómo aplicar el rímel.")</f>
        <v>Aparecen las palabras de cómo aplicar el rímel.</v>
      </c>
    </row>
    <row r="12391">
      <c r="A12391" s="4" t="s">
        <v>15587</v>
      </c>
      <c r="B12391" s="4" t="s">
        <v>15589</v>
      </c>
      <c r="C12391" s="5" t="str">
        <f>IFERROR(__xludf.DUMMYFUNCTION("GOOGLETRANSLATE(B12391,""en"",""es-ES"")"),"Una mujer con cabello negro largo está hablando con la cámara.")</f>
        <v>Una mujer con cabello negro largo está hablando con la cámara.</v>
      </c>
    </row>
    <row r="12392">
      <c r="A12392" s="4" t="s">
        <v>15587</v>
      </c>
      <c r="B12392" s="4" t="s">
        <v>15590</v>
      </c>
      <c r="C12392" s="5" t="str">
        <f>IFERROR(__xludf.DUMMYFUNCTION("GOOGLETRANSLATE(B12392,""en"",""es-ES"")"),"Ella sostiene una varita de rímel.")</f>
        <v>Ella sostiene una varita de rímel.</v>
      </c>
    </row>
    <row r="12393">
      <c r="A12393" s="4" t="s">
        <v>15587</v>
      </c>
      <c r="B12393" s="4" t="s">
        <v>15591</v>
      </c>
      <c r="C12393" s="5" t="str">
        <f>IFERROR(__xludf.DUMMYFUNCTION("GOOGLETRANSLATE(B12393,""en"",""es-ES"")"),"Luego muestra cómo aplicarlo, un ojo a la vez.")</f>
        <v>Luego muestra cómo aplicarlo, un ojo a la vez.</v>
      </c>
    </row>
    <row r="12394">
      <c r="A12394" s="4" t="s">
        <v>15592</v>
      </c>
      <c r="B12394" s="4" t="s">
        <v>15593</v>
      </c>
      <c r="C12394" s="5" t="str">
        <f>IFERROR(__xludf.DUMMYFUNCTION("GOOGLETRANSLATE(B12394,""en"",""es-ES"")"),"Varias tomas de platos se muestran con alimentos que conducen a un hombre que prepara comida.")</f>
        <v>Varias tomas de platos se muestran con alimentos que conducen a un hombre que prepara comida.</v>
      </c>
    </row>
    <row r="12395">
      <c r="A12395" s="4" t="s">
        <v>15592</v>
      </c>
      <c r="B12395" s="4" t="s">
        <v>15594</v>
      </c>
      <c r="C12395" s="5" t="str">
        <f>IFERROR(__xludf.DUMMYFUNCTION("GOOGLETRANSLATE(B12395,""en"",""es-ES"")"),"Luego, el hombre pone más comida en un plato y gira alrededor de los ingredientes.")</f>
        <v>Luego, el hombre pone más comida en un plato y gira alrededor de los ingredientes.</v>
      </c>
    </row>
    <row r="12396">
      <c r="A12396" s="4" t="s">
        <v>15592</v>
      </c>
      <c r="B12396" s="4" t="s">
        <v>15595</v>
      </c>
      <c r="C12396" s="5" t="str">
        <f>IFERROR(__xludf.DUMMYFUNCTION("GOOGLETRANSLATE(B12396,""en"",""es-ES"")"),"Continúa poniendo comida en un plato y termina presentándola a la cámara.")</f>
        <v>Continúa poniendo comida en un plato y termina presentándola a la cámara.</v>
      </c>
    </row>
    <row r="12397">
      <c r="A12397" s="4" t="s">
        <v>15596</v>
      </c>
      <c r="B12397" s="4" t="s">
        <v>15597</v>
      </c>
      <c r="C12397" s="5" t="str">
        <f>IFERROR(__xludf.DUMMYFUNCTION("GOOGLETRANSLATE(B12397,""en"",""es-ES"")"),"Se ve a dos personas golpeando una mesa de ping pong y cuarto en el medio de un parque al aire libre.")</f>
        <v>Se ve a dos personas golpeando una mesa de ping pong y cuarto en el medio de un parque al aire libre.</v>
      </c>
    </row>
    <row r="12398">
      <c r="A12398" s="4" t="s">
        <v>15596</v>
      </c>
      <c r="B12398" s="4" t="s">
        <v>15598</v>
      </c>
      <c r="C12398" s="5" t="str">
        <f>IFERROR(__xludf.DUMMYFUNCTION("GOOGLETRANSLATE(B12398,""en"",""es-ES"")"),"Dejan caer la pelota y la recogen y luego continúan jugando de nuevo.")</f>
        <v>Dejan caer la pelota y la recogen y luego continúan jugando de nuevo.</v>
      </c>
    </row>
    <row r="12399">
      <c r="A12399" s="4" t="s">
        <v>15599</v>
      </c>
      <c r="B12399" s="4" t="s">
        <v>15600</v>
      </c>
      <c r="C12399" s="5" t="str">
        <f>IFERROR(__xludf.DUMMYFUNCTION("GOOGLETRANSLATE(B12399,""en"",""es-ES"")"),"Se ve el zapato de una persona sentado en un fregadero y la persona fraza el exterior del zapato con agua corriendo.")</f>
        <v>Se ve el zapato de una persona sentado en un fregadero y la persona fraza el exterior del zapato con agua corriendo.</v>
      </c>
    </row>
    <row r="12400">
      <c r="A12400" s="4" t="s">
        <v>15599</v>
      </c>
      <c r="B12400" s="4" t="s">
        <v>15601</v>
      </c>
      <c r="C12400" s="5" t="str">
        <f>IFERROR(__xludf.DUMMYFUNCTION("GOOGLETRANSLATE(B12400,""en"",""es-ES"")"),"La persona apaga el agua y deja que la suciedad del zapato corra por el fregadero.")</f>
        <v>La persona apaga el agua y deja que la suciedad del zapato corra por el fregadero.</v>
      </c>
    </row>
    <row r="12401">
      <c r="A12401" s="4" t="s">
        <v>15602</v>
      </c>
      <c r="B12401" s="4" t="s">
        <v>15603</v>
      </c>
      <c r="C12401" s="5" t="str">
        <f>IFERROR(__xludf.DUMMYFUNCTION("GOOGLETRANSLATE(B12401,""en"",""es-ES"")"),"Un hombre está esquiando por agua en un río.")</f>
        <v>Un hombre está esquiando por agua en un río.</v>
      </c>
    </row>
    <row r="12402">
      <c r="A12402" s="4" t="s">
        <v>15602</v>
      </c>
      <c r="B12402" s="4" t="s">
        <v>15604</v>
      </c>
      <c r="C12402" s="5" t="str">
        <f>IFERROR(__xludf.DUMMYFUNCTION("GOOGLETRANSLATE(B12402,""en"",""es-ES"")"),"Se inclina hacia atrás, aún aguantando.")</f>
        <v>Se inclina hacia atrás, aún aguantando.</v>
      </c>
    </row>
    <row r="12403">
      <c r="A12403" s="4" t="s">
        <v>15602</v>
      </c>
      <c r="B12403" s="4" t="s">
        <v>15605</v>
      </c>
      <c r="C12403" s="5" t="str">
        <f>IFERROR(__xludf.DUMMYFUNCTION("GOOGLETRANSLATE(B12403,""en"",""es-ES"")"),"También gira y levanta un pie en el aire.")</f>
        <v>También gira y levanta un pie en el aire.</v>
      </c>
    </row>
    <row r="12404">
      <c r="A12404" s="4" t="s">
        <v>15606</v>
      </c>
      <c r="B12404" s="4" t="s">
        <v>15607</v>
      </c>
      <c r="C12404" s="5" t="str">
        <f>IFERROR(__xludf.DUMMYFUNCTION("GOOGLETRANSLATE(B12404,""en"",""es-ES"")"),"Una gran banda de música se ve de pie en medio de un césped.")</f>
        <v>Una gran banda de música se ve de pie en medio de un césped.</v>
      </c>
    </row>
    <row r="12405">
      <c r="A12405" s="4" t="s">
        <v>15606</v>
      </c>
      <c r="B12405" s="4" t="s">
        <v>15608</v>
      </c>
      <c r="C12405" s="5" t="str">
        <f>IFERROR(__xludf.DUMMYFUNCTION("GOOGLETRANSLATE(B12405,""en"",""es-ES"")"),"El centro del grupo comienza a jugar seguido del resto a su alrededor.")</f>
        <v>El centro del grupo comienza a jugar seguido del resto a su alrededor.</v>
      </c>
    </row>
    <row r="12406">
      <c r="A12406" s="4" t="s">
        <v>15606</v>
      </c>
      <c r="B12406" s="4" t="s">
        <v>15609</v>
      </c>
      <c r="C12406" s="5" t="str">
        <f>IFERROR(__xludf.DUMMYFUNCTION("GOOGLETRANSLATE(B12406,""en"",""es-ES"")"),"El grupo se turnaba para jugar y el cuarto y termina al estar quieto.")</f>
        <v>El grupo se turnaba para jugar y el cuarto y termina al estar quieto.</v>
      </c>
    </row>
    <row r="12407">
      <c r="A12407" s="4" t="s">
        <v>15610</v>
      </c>
      <c r="B12407" s="4" t="s">
        <v>15611</v>
      </c>
      <c r="C12407" s="5" t="str">
        <f>IFERROR(__xludf.DUMMYFUNCTION("GOOGLETRANSLATE(B12407,""en"",""es-ES"")"),"El hombre está jugando la guerra de un tirón en un campo abierto en la fuente de un lago.")</f>
        <v>El hombre está jugando la guerra de un tirón en un campo abierto en la fuente de un lago.</v>
      </c>
    </row>
    <row r="12408">
      <c r="A12408" s="4" t="s">
        <v>15610</v>
      </c>
      <c r="B12408" s="4" t="s">
        <v>15612</v>
      </c>
      <c r="C12408" s="5" t="str">
        <f>IFERROR(__xludf.DUMMYFUNCTION("GOOGLETRANSLATE(B12408,""en"",""es-ES"")"),"Los hombres están parados en la acera mirando a los hombres jugando y tomando fotos.")</f>
        <v>Los hombres están parados en la acera mirando a los hombres jugando y tomando fotos.</v>
      </c>
    </row>
    <row r="12409">
      <c r="A12409" s="4" t="s">
        <v>15610</v>
      </c>
      <c r="B12409" s="4" t="s">
        <v>15613</v>
      </c>
      <c r="C12409" s="5" t="str">
        <f>IFERROR(__xludf.DUMMYFUNCTION("GOOGLETRANSLATE(B12409,""en"",""es-ES"")"),"Los hombres se reúnen y representan una foto y muchas videocámaras están tomando fotos.")</f>
        <v>Los hombres se reúnen y representan una foto y muchas videocámaras están tomando fotos.</v>
      </c>
    </row>
    <row r="12410">
      <c r="A12410" s="4" t="s">
        <v>15614</v>
      </c>
      <c r="B12410" s="4" t="s">
        <v>15615</v>
      </c>
      <c r="C12410" s="5" t="str">
        <f>IFERROR(__xludf.DUMMYFUNCTION("GOOGLETRANSLATE(B12410,""en"",""es-ES"")"),"Un hombre se está poniendo un par de zapatos.")</f>
        <v>Un hombre se está poniendo un par de zapatos.</v>
      </c>
    </row>
    <row r="12411">
      <c r="A12411" s="4" t="s">
        <v>15614</v>
      </c>
      <c r="B12411" s="4" t="s">
        <v>15616</v>
      </c>
      <c r="C12411" s="5" t="str">
        <f>IFERROR(__xludf.DUMMYFUNCTION("GOOGLETRANSLATE(B12411,""en"",""es-ES"")"),"Agarra sus cielos y tableros un ascensor.")</f>
        <v>Agarra sus cielos y tableros un ascensor.</v>
      </c>
    </row>
    <row r="12412">
      <c r="A12412" s="4" t="s">
        <v>15614</v>
      </c>
      <c r="B12412" s="4" t="s">
        <v>15617</v>
      </c>
      <c r="C12412" s="5" t="str">
        <f>IFERROR(__xludf.DUMMYFUNCTION("GOOGLETRANSLATE(B12412,""en"",""es-ES"")"),"Luego se le muestra esquiando por varias colinas y montañas.")</f>
        <v>Luego se le muestra esquiando por varias colinas y montañas.</v>
      </c>
    </row>
    <row r="12413">
      <c r="A12413" s="4" t="s">
        <v>15618</v>
      </c>
      <c r="B12413" s="4" t="s">
        <v>15619</v>
      </c>
      <c r="C12413" s="5" t="str">
        <f>IFERROR(__xludf.DUMMYFUNCTION("GOOGLETRANSLATE(B12413,""en"",""es-ES"")"),"Un hombre que habla sobre cómo hacer ejercicio en una determinada posición.")</f>
        <v>Un hombre que habla sobre cómo hacer ejercicio en una determinada posición.</v>
      </c>
    </row>
    <row r="12414">
      <c r="A12414" s="4" t="s">
        <v>15618</v>
      </c>
      <c r="B12414" s="4" t="s">
        <v>15620</v>
      </c>
      <c r="C12414" s="5" t="str">
        <f>IFERROR(__xludf.DUMMYFUNCTION("GOOGLETRANSLATE(B12414,""en"",""es-ES"")"),"Lo explica y muestra en detalle cómo se debe hacer.")</f>
        <v>Lo explica y muestra en detalle cómo se debe hacer.</v>
      </c>
    </row>
    <row r="12415">
      <c r="A12415" s="4" t="s">
        <v>15618</v>
      </c>
      <c r="B12415" s="4" t="s">
        <v>15621</v>
      </c>
      <c r="C12415" s="5" t="str">
        <f>IFERROR(__xludf.DUMMYFUNCTION("GOOGLETRANSLATE(B12415,""en"",""es-ES"")"),"Luego agarra el bar y demuestra así también.")</f>
        <v>Luego agarra el bar y demuestra así también.</v>
      </c>
    </row>
    <row r="12416">
      <c r="A12416" s="4" t="s">
        <v>15618</v>
      </c>
      <c r="B12416" s="4" t="s">
        <v>15622</v>
      </c>
      <c r="C12416" s="5" t="str">
        <f>IFERROR(__xludf.DUMMYFUNCTION("GOOGLETRANSLATE(B12416,""en"",""es-ES"")"),"Comienza a hacerlo en repetición varias veces antes de terminar.")</f>
        <v>Comienza a hacerlo en repetición varias veces antes de terminar.</v>
      </c>
    </row>
    <row r="12417">
      <c r="A12417" s="4" t="s">
        <v>15623</v>
      </c>
      <c r="B12417" s="4" t="s">
        <v>15624</v>
      </c>
      <c r="C12417" s="5" t="str">
        <f>IFERROR(__xludf.DUMMYFUNCTION("GOOGLETRANSLATE(B12417,""en"",""es-ES"")"),"Un hombre está en la basura y saca una maleta y saca una bicicleta.")</f>
        <v>Un hombre está en la basura y saca una maleta y saca una bicicleta.</v>
      </c>
    </row>
    <row r="12418">
      <c r="A12418" s="4" t="s">
        <v>15623</v>
      </c>
      <c r="B12418" s="4" t="s">
        <v>15625</v>
      </c>
      <c r="C12418" s="5" t="str">
        <f>IFERROR(__xludf.DUMMYFUNCTION("GOOGLETRANSLATE(B12418,""en"",""es-ES"")"),"Comienza a desentrañar la bicicleta y comenzar a armarlo todo.")</f>
        <v>Comienza a desentrañar la bicicleta y comenzar a armarlo todo.</v>
      </c>
    </row>
    <row r="12419">
      <c r="A12419" s="4" t="s">
        <v>15623</v>
      </c>
      <c r="B12419" s="4" t="s">
        <v>15626</v>
      </c>
      <c r="C12419" s="5" t="str">
        <f>IFERROR(__xludf.DUMMYFUNCTION("GOOGLETRANSLATE(B12419,""en"",""es-ES"")"),"Se atornilla en algunas piezas y pone las barras de mano con una navaja de bolsillo.")</f>
        <v>Se atornilla en algunas piezas y pone las barras de mano con una navaja de bolsillo.</v>
      </c>
    </row>
    <row r="12420">
      <c r="A12420" s="4" t="s">
        <v>15623</v>
      </c>
      <c r="B12420" s="4" t="s">
        <v>15627</v>
      </c>
      <c r="C12420" s="5" t="str">
        <f>IFERROR(__xludf.DUMMYFUNCTION("GOOGLETRANSLATE(B12420,""en"",""es-ES"")"),"Infla los neumáticos con aire y termina de armar el resto, y luego se aleja.")</f>
        <v>Infla los neumáticos con aire y termina de armar el resto, y luego se aleja.</v>
      </c>
    </row>
    <row r="12421">
      <c r="A12421" s="4" t="s">
        <v>15628</v>
      </c>
      <c r="B12421" s="4" t="s">
        <v>15629</v>
      </c>
      <c r="C12421" s="5" t="str">
        <f>IFERROR(__xludf.DUMMYFUNCTION("GOOGLETRANSLATE(B12421,""en"",""es-ES"")"),"Tres chicas que están a juego de ropa saltan la cuerda en una competencia.")</f>
        <v>Tres chicas que están a juego de ropa saltan la cuerda en una competencia.</v>
      </c>
    </row>
    <row r="12422">
      <c r="A12422" s="4" t="s">
        <v>15628</v>
      </c>
      <c r="B12422" s="4" t="s">
        <v>15630</v>
      </c>
      <c r="C12422" s="5" t="str">
        <f>IFERROR(__xludf.DUMMYFUNCTION("GOOGLETRANSLATE(B12422,""en"",""es-ES"")"),"Comienzan a cambiar de lugar entre saltadores, haciendo trucos mientras saltan.")</f>
        <v>Comienzan a cambiar de lugar entre saltadores, haciendo trucos mientras saltan.</v>
      </c>
    </row>
    <row r="12423">
      <c r="A12423" s="4" t="s">
        <v>15628</v>
      </c>
      <c r="B12423" s="4" t="s">
        <v>15631</v>
      </c>
      <c r="C12423" s="5" t="str">
        <f>IFERROR(__xludf.DUMMYFUNCTION("GOOGLETRANSLATE(B12423,""en"",""es-ES"")"),"Se mueven por el piso mientras nunca se detienen.")</f>
        <v>Se mueven por el piso mientras nunca se detienen.</v>
      </c>
    </row>
    <row r="12424">
      <c r="A12424" s="4" t="s">
        <v>15628</v>
      </c>
      <c r="B12424" s="4" t="s">
        <v>15632</v>
      </c>
      <c r="C12424" s="5" t="str">
        <f>IFERROR(__xludf.DUMMYFUNCTION("GOOGLETRANSLATE(B12424,""en"",""es-ES"")"),"Luego dejan caer su cuerda y se inclinan.")</f>
        <v>Luego dejan caer su cuerda y se inclinan.</v>
      </c>
    </row>
    <row r="12425">
      <c r="A12425" s="4" t="s">
        <v>15633</v>
      </c>
      <c r="B12425" s="4" t="s">
        <v>15634</v>
      </c>
      <c r="C12425" s="5" t="str">
        <f>IFERROR(__xludf.DUMMYFUNCTION("GOOGLETRANSLATE(B12425,""en"",""es-ES"")"),"Un grupo de hombres está en un anillo alrededor de una estera.")</f>
        <v>Un grupo de hombres está en un anillo alrededor de una estera.</v>
      </c>
    </row>
    <row r="12426">
      <c r="A12426" s="4" t="s">
        <v>15633</v>
      </c>
      <c r="B12426" s="4" t="s">
        <v>15635</v>
      </c>
      <c r="C12426" s="5" t="str">
        <f>IFERROR(__xludf.DUMMYFUNCTION("GOOGLETRANSLATE(B12426,""en"",""es-ES"")"),"Dos agacharse uno frente al otro antes de girar sobre la colchoneta, peleando y pateando.")</f>
        <v>Dos agacharse uno frente al otro antes de girar sobre la colchoneta, peleando y pateando.</v>
      </c>
    </row>
    <row r="12427">
      <c r="A12427" s="4" t="s">
        <v>15633</v>
      </c>
      <c r="B12427" s="4" t="s">
        <v>15636</v>
      </c>
      <c r="C12427" s="5" t="str">
        <f>IFERROR(__xludf.DUMMYFUNCTION("GOOGLETRANSLATE(B12427,""en"",""es-ES"")"),"Están realizando un tipo de artes marciales, luchando contra su oponente a medida que las cámaras parpadean.")</f>
        <v>Están realizando un tipo de artes marciales, luchando contra su oponente a medida que las cámaras parpadean.</v>
      </c>
    </row>
    <row r="12428">
      <c r="A12428" s="4" t="s">
        <v>15637</v>
      </c>
      <c r="B12428" s="4" t="s">
        <v>15638</v>
      </c>
      <c r="C12428" s="5" t="str">
        <f>IFERROR(__xludf.DUMMYFUNCTION("GOOGLETRANSLATE(B12428,""en"",""es-ES"")"),"Un perro corre por una casa de una habitación a otra.")</f>
        <v>Un perro corre por una casa de una habitación a otra.</v>
      </c>
    </row>
    <row r="12429">
      <c r="A12429" s="4" t="s">
        <v>15637</v>
      </c>
      <c r="B12429" s="4" t="s">
        <v>15639</v>
      </c>
      <c r="C12429" s="5" t="str">
        <f>IFERROR(__xludf.DUMMYFUNCTION("GOOGLETRANSLATE(B12429,""en"",""es-ES"")"),"Dos hombres llevan al perro al baño y lo llevan a la bañera.")</f>
        <v>Dos hombres llevan al perro al baño y lo llevan a la bañera.</v>
      </c>
    </row>
    <row r="12430">
      <c r="A12430" s="4" t="s">
        <v>15637</v>
      </c>
      <c r="B12430" s="4" t="s">
        <v>15640</v>
      </c>
      <c r="C12430" s="5" t="str">
        <f>IFERROR(__xludf.DUMMYFUNCTION("GOOGLETRANSLATE(B12430,""en"",""es-ES"")"),"Uno de los hombres lava al perro.")</f>
        <v>Uno de los hombres lava al perro.</v>
      </c>
    </row>
    <row r="12431">
      <c r="A12431" s="4" t="s">
        <v>15637</v>
      </c>
      <c r="B12431" s="4" t="s">
        <v>15641</v>
      </c>
      <c r="C12431" s="5" t="str">
        <f>IFERROR(__xludf.DUMMYFUNCTION("GOOGLETRANSLATE(B12431,""en"",""es-ES"")"),"El otro hombre registra lo que está sucediendo.")</f>
        <v>El otro hombre registra lo que está sucediendo.</v>
      </c>
    </row>
    <row r="12432">
      <c r="A12432" s="4" t="s">
        <v>15637</v>
      </c>
      <c r="B12432" s="4" t="s">
        <v>15642</v>
      </c>
      <c r="C12432" s="5" t="str">
        <f>IFERROR(__xludf.DUMMYFUNCTION("GOOGLETRANSLATE(B12432,""en"",""es-ES"")"),"El perro salta de la bañera y uno de los hombres lo seca.")</f>
        <v>El perro salta de la bañera y uno de los hombres lo seca.</v>
      </c>
    </row>
    <row r="12433">
      <c r="A12433" s="4" t="s">
        <v>15637</v>
      </c>
      <c r="B12433" s="4" t="s">
        <v>15643</v>
      </c>
      <c r="C12433" s="5" t="str">
        <f>IFERROR(__xludf.DUMMYFUNCTION("GOOGLETRANSLATE(B12433,""en"",""es-ES"")"),"Un hombre sostiene la boca de los perros mientras el otro hombre cepilla los dientes de los perros.")</f>
        <v>Un hombre sostiene la boca de los perros mientras el otro hombre cepilla los dientes de los perros.</v>
      </c>
    </row>
    <row r="12434">
      <c r="A12434" s="4" t="s">
        <v>15644</v>
      </c>
      <c r="B12434" s="4" t="s">
        <v>15645</v>
      </c>
      <c r="C12434" s="5" t="str">
        <f>IFERROR(__xludf.DUMMYFUNCTION("GOOGLETRANSLATE(B12434,""en"",""es-ES"")"),"Una cámara se mueve alrededor de un curso de paintball y muestra un primer plano de una persona que habla.")</f>
        <v>Una cámara se mueve alrededor de un curso de paintball y muestra un primer plano de una persona que habla.</v>
      </c>
    </row>
    <row r="12435">
      <c r="A12435" s="4" t="s">
        <v>15644</v>
      </c>
      <c r="B12435" s="4" t="s">
        <v>15646</v>
      </c>
      <c r="C12435" s="5" t="str">
        <f>IFERROR(__xludf.DUMMYFUNCTION("GOOGLETRANSLATE(B12435,""en"",""es-ES"")"),"Se ven varios clips de personas corriendo por el curso y disparando paintball el uno al otro.")</f>
        <v>Se ven varios clips de personas corriendo por el curso y disparando paintball el uno al otro.</v>
      </c>
    </row>
    <row r="12436">
      <c r="A12436" s="4" t="s">
        <v>15644</v>
      </c>
      <c r="B12436" s="4" t="s">
        <v>15647</v>
      </c>
      <c r="C12436" s="5" t="str">
        <f>IFERROR(__xludf.DUMMYFUNCTION("GOOGLETRANSLATE(B12436,""en"",""es-ES"")"),"Se muestran más primeros planos de una pistola, así como a un hombre que habla con la cámara y otros socializando entre sí.")</f>
        <v>Se muestran más primeros planos de una pistola, así como a un hombre que habla con la cámara y otros socializando entre sí.</v>
      </c>
    </row>
    <row r="12437">
      <c r="A12437" s="4" t="s">
        <v>15648</v>
      </c>
      <c r="B12437" s="4" t="s">
        <v>15649</v>
      </c>
      <c r="C12437" s="5" t="str">
        <f>IFERROR(__xludf.DUMMYFUNCTION("GOOGLETRANSLATE(B12437,""en"",""es-ES"")"),"Una pequeña mesa se sienta sobre otra mesa.")</f>
        <v>Una pequeña mesa se sienta sobre otra mesa.</v>
      </c>
    </row>
    <row r="12438">
      <c r="A12438" s="4" t="s">
        <v>15648</v>
      </c>
      <c r="B12438" s="4" t="s">
        <v>15650</v>
      </c>
      <c r="C12438" s="5" t="str">
        <f>IFERROR(__xludf.DUMMYFUNCTION("GOOGLETRANSLATE(B12438,""en"",""es-ES"")"),"Un hombre entra con una sudadera con capucha negra.")</f>
        <v>Un hombre entra con una sudadera con capucha negra.</v>
      </c>
    </row>
    <row r="12439">
      <c r="A12439" s="4" t="s">
        <v>15648</v>
      </c>
      <c r="B12439" s="4" t="s">
        <v>15651</v>
      </c>
      <c r="C12439" s="5" t="str">
        <f>IFERROR(__xludf.DUMMYFUNCTION("GOOGLETRANSLATE(B12439,""en"",""es-ES"")"),"Abre un frasco y saca algo.")</f>
        <v>Abre un frasco y saca algo.</v>
      </c>
    </row>
    <row r="12440">
      <c r="A12440" s="4" t="s">
        <v>15648</v>
      </c>
      <c r="B12440" s="4" t="s">
        <v>15652</v>
      </c>
      <c r="C12440" s="5" t="str">
        <f>IFERROR(__xludf.DUMMYFUNCTION("GOOGLETRANSLATE(B12440,""en"",""es-ES"")"),"Luego barniza la mesa.")</f>
        <v>Luego barniza la mesa.</v>
      </c>
    </row>
    <row r="12441">
      <c r="A12441" s="4" t="s">
        <v>15653</v>
      </c>
      <c r="B12441" s="4" t="s">
        <v>15654</v>
      </c>
      <c r="C12441" s="5" t="str">
        <f>IFERROR(__xludf.DUMMYFUNCTION("GOOGLETRANSLATE(B12441,""en"",""es-ES"")"),"Una introducción de una pantalla negra con un logotipo y las palabras Cameron Hansen Gallery aparecen junto con el sitio web en la parte inferior derecha.")</f>
        <v>Una introducción de una pantalla negra con un logotipo y las palabras Cameron Hansen Gallery aparecen junto con el sitio web en la parte inferior derecha.</v>
      </c>
    </row>
    <row r="12442">
      <c r="A12442" s="4" t="s">
        <v>15653</v>
      </c>
      <c r="B12442" s="4" t="s">
        <v>15655</v>
      </c>
      <c r="C12442" s="5" t="str">
        <f>IFERROR(__xludf.DUMMYFUNCTION("GOOGLETRANSLATE(B12442,""en"",""es-ES"")"),"Aparece una escuela de peces que nadan en el océano y se muestra la ubicación y la descripción del video.")</f>
        <v>Aparece una escuela de peces que nadan en el océano y se muestra la ubicación y la descripción del video.</v>
      </c>
    </row>
    <row r="12443">
      <c r="A12443" s="4" t="s">
        <v>15653</v>
      </c>
      <c r="B12443" s="4" t="s">
        <v>15656</v>
      </c>
      <c r="C12443" s="5" t="str">
        <f>IFERROR(__xludf.DUMMYFUNCTION("GOOGLETRANSLATE(B12443,""en"",""es-ES"")"),"Una serie de muchos videos diferentes comienzan e incluye imágenes de bajo el agua con un buceador, muchas nataciones de vida marina diferentes e incluso un elefante natación.")</f>
        <v>Una serie de muchos videos diferentes comienzan e incluye imágenes de bajo el agua con un buceador, muchas nataciones de vida marina diferentes e incluso un elefante natación.</v>
      </c>
    </row>
    <row r="12444">
      <c r="A12444" s="4" t="s">
        <v>15653</v>
      </c>
      <c r="B12444" s="4" t="s">
        <v>15657</v>
      </c>
      <c r="C12444" s="5" t="str">
        <f>IFERROR(__xludf.DUMMYFUNCTION("GOOGLETRANSLATE(B12444,""en"",""es-ES"")"),"El siguiente conjunto de clips incluye varias imágenes diferentes de personas que están por encima del agua y el paisaje a su alrededor.")</f>
        <v>El siguiente conjunto de clips incluye varias imágenes diferentes de personas que están por encima del agua y el paisaje a su alrededor.</v>
      </c>
    </row>
    <row r="12445">
      <c r="A12445" s="4" t="s">
        <v>15653</v>
      </c>
      <c r="B12445" s="4" t="s">
        <v>15658</v>
      </c>
      <c r="C12445" s="5" t="str">
        <f>IFERROR(__xludf.DUMMYFUNCTION("GOOGLETRANSLATE(B12445,""en"",""es-ES"")"),"Luego cambia a las cuevas y muestra el exterior, adentro, y luego el buceador de nuevo bajo agua sosteniendo una linterna para ver, ya que está muy oscuro.")</f>
        <v>Luego cambia a las cuevas y muestra el exterior, adentro, y luego el buceador de nuevo bajo agua sosteniendo una linterna para ver, ya que está muy oscuro.</v>
      </c>
    </row>
    <row r="12446">
      <c r="A12446" s="4" t="s">
        <v>15653</v>
      </c>
      <c r="B12446" s="4" t="s">
        <v>15659</v>
      </c>
      <c r="C12446" s="5" t="str">
        <f>IFERROR(__xludf.DUMMYFUNCTION("GOOGLETRANSLATE(B12446,""en"",""es-ES"")"),"El enfoque se remonta a otros clips donde el elefante está nadando nuevamente, se exhibe una foto de la playa y más clips del agua de arriba.")</f>
        <v>El enfoque se remonta a otros clips donde el elefante está nadando nuevamente, se exhibe una foto de la playa y más clips del agua de arriba.</v>
      </c>
    </row>
    <row r="12447">
      <c r="A12447" s="4" t="s">
        <v>15653</v>
      </c>
      <c r="B12447" s="4" t="s">
        <v>15660</v>
      </c>
      <c r="C12447" s="5" t="str">
        <f>IFERROR(__xludf.DUMMYFUNCTION("GOOGLETRANSLATE(B12447,""en"",""es-ES"")"),"Termina con una imagen de una gran rama de árboles cerca del agua y las palabras de las Islas Andaman aparecen en la parte superior y se desvanecen en una pantalla totalmente negra.")</f>
        <v>Termina con una imagen de una gran rama de árboles cerca del agua y las palabras de las Islas Andaman aparecen en la parte superior y se desvanecen en una pantalla totalmente negra.</v>
      </c>
    </row>
    <row r="12448">
      <c r="A12448" s="4" t="s">
        <v>15661</v>
      </c>
      <c r="B12448" s="4" t="s">
        <v>15662</v>
      </c>
      <c r="C12448" s="5" t="str">
        <f>IFERROR(__xludf.DUMMYFUNCTION("GOOGLETRANSLATE(B12448,""en"",""es-ES"")"),"Una mujer joven está sentada en la puerta de un edificio.")</f>
        <v>Una mujer joven está sentada en la puerta de un edificio.</v>
      </c>
    </row>
    <row r="12449">
      <c r="A12449" s="4" t="s">
        <v>15661</v>
      </c>
      <c r="B12449" s="4" t="s">
        <v>15663</v>
      </c>
      <c r="C12449" s="5" t="str">
        <f>IFERROR(__xludf.DUMMYFUNCTION("GOOGLETRANSLATE(B12449,""en"",""es-ES"")"),"Ella está mirando la cámara.")</f>
        <v>Ella está mirando la cámara.</v>
      </c>
    </row>
    <row r="12450">
      <c r="A12450" s="4" t="s">
        <v>15661</v>
      </c>
      <c r="B12450" s="4" t="s">
        <v>15664</v>
      </c>
      <c r="C12450" s="5" t="str">
        <f>IFERROR(__xludf.DUMMYFUNCTION("GOOGLETRANSLATE(B12450,""en"",""es-ES"")"),"Ella sigue tomando bocanadas de un cigarrillo mientras se sienta.")</f>
        <v>Ella sigue tomando bocanadas de un cigarrillo mientras se sienta.</v>
      </c>
    </row>
    <row r="12451">
      <c r="A12451" s="4" t="s">
        <v>15665</v>
      </c>
      <c r="B12451" s="4" t="s">
        <v>15666</v>
      </c>
      <c r="C12451" s="5" t="str">
        <f>IFERROR(__xludf.DUMMYFUNCTION("GOOGLETRANSLATE(B12451,""en"",""es-ES"")"),"Comienza un segmento de noticias y la imagen en blanco y negro de una niña sonriente aparece en la pantalla y el banner en la pantalla dice ""Henrico Teen muere después de que el padre de la carrera relata los momentos finales de la hija"".")</f>
        <v>Comienza un segmento de noticias y la imagen en blanco y negro de una niña sonriente aparece en la pantalla y el banner en la pantalla dice "Henrico Teen muere después de que el padre de la carrera relata los momentos finales de la hija".</v>
      </c>
    </row>
    <row r="12452">
      <c r="A12452" s="4" t="s">
        <v>15665</v>
      </c>
      <c r="B12452" s="4" t="s">
        <v>15667</v>
      </c>
      <c r="C12452" s="5" t="str">
        <f>IFERROR(__xludf.DUMMYFUNCTION("GOOGLETRANSLATE(B12452,""en"",""es-ES"")"),"El presentador de noticias aparece con sus padres hablando de la niña mientras los clips de la carrera juegan, y todavía se dispararon fotos de la niña en la cámara.")</f>
        <v>El presentador de noticias aparece con sus padres hablando de la niña mientras los clips de la carrera juegan, y todavía se dispararon fotos de la niña en la cámara.</v>
      </c>
    </row>
    <row r="12453">
      <c r="A12453" s="4" t="s">
        <v>15665</v>
      </c>
      <c r="B12453" s="4" t="s">
        <v>15668</v>
      </c>
      <c r="C12453" s="5" t="str">
        <f>IFERROR(__xludf.DUMMYFUNCTION("GOOGLETRANSLATE(B12453,""en"",""es-ES"")"),"Cuando terminan las fotos y los videoclips de la entrevista y la carrera, el presentador de noticias está hablando solo en la estación de noticias.")</f>
        <v>Cuando terminan las fotos y los videoclips de la entrevista y la carrera, el presentador de noticias está hablando solo en la estación de noticias.</v>
      </c>
    </row>
    <row r="12454">
      <c r="A12454" s="4" t="s">
        <v>15669</v>
      </c>
      <c r="B12454" s="4" t="s">
        <v>15670</v>
      </c>
      <c r="C12454" s="5" t="str">
        <f>IFERROR(__xludf.DUMMYFUNCTION("GOOGLETRANSLATE(B12454,""en"",""es-ES"")"),"Dos niños pequeños están sentados al estilo indio en la alfombra dentro de la casa, tienen una cachimba y la están fumando.")</f>
        <v>Dos niños pequeños están sentados al estilo indio en la alfombra dentro de la casa, tienen una cachimba y la están fumando.</v>
      </c>
    </row>
    <row r="12455">
      <c r="A12455" s="4" t="s">
        <v>15669</v>
      </c>
      <c r="B12455" s="4" t="s">
        <v>15671</v>
      </c>
      <c r="C12455" s="5" t="str">
        <f>IFERROR(__xludf.DUMMYFUNCTION("GOOGLETRANSLATE(B12455,""en"",""es-ES"")"),"Se turnan para inhalar y exhalar el humo.")</f>
        <v>Se turnan para inhalar y exhalar el humo.</v>
      </c>
    </row>
    <row r="12456">
      <c r="A12456" s="4" t="s">
        <v>15669</v>
      </c>
      <c r="B12456" s="4" t="s">
        <v>15672</v>
      </c>
      <c r="C12456" s="5" t="str">
        <f>IFERROR(__xludf.DUMMYFUNCTION("GOOGLETRANSLATE(B12456,""en"",""es-ES"")"),"Exhalan desde la nariz como lo hacen a menudo y han sido entrenados como pequeños profesionales.")</f>
        <v>Exhalan desde la nariz como lo hacen a menudo y han sido entrenados como pequeños profesionales.</v>
      </c>
    </row>
    <row r="12457">
      <c r="A12457" s="4" t="s">
        <v>15669</v>
      </c>
      <c r="B12457" s="4" t="s">
        <v>15673</v>
      </c>
      <c r="C12457" s="5" t="str">
        <f>IFERROR(__xludf.DUMMYFUNCTION("GOOGLETRANSLATE(B12457,""en"",""es-ES"")"),"Es muy triste a estos niños se les permite hacer esto como es normal, parecen disfrutarlo también.")</f>
        <v>Es muy triste a estos niños se les permite hacer esto como es normal, parecen disfrutarlo también.</v>
      </c>
    </row>
    <row r="12458">
      <c r="A12458" s="4" t="s">
        <v>15674</v>
      </c>
      <c r="B12458" s="4" t="s">
        <v>15675</v>
      </c>
      <c r="C12458" s="5" t="str">
        <f>IFERROR(__xludf.DUMMYFUNCTION("GOOGLETRANSLATE(B12458,""en"",""es-ES"")"),"Se ve a dos chicas hablando con la cámara con una dando un pulgar hacia arriba.")</f>
        <v>Se ve a dos chicas hablando con la cámara con una dando un pulgar hacia arriba.</v>
      </c>
    </row>
    <row r="12459">
      <c r="A12459" s="4" t="s">
        <v>15674</v>
      </c>
      <c r="B12459" s="4" t="s">
        <v>15676</v>
      </c>
      <c r="C12459" s="5" t="str">
        <f>IFERROR(__xludf.DUMMYFUNCTION("GOOGLETRANSLATE(B12459,""en"",""es-ES"")"),"Luego, las chicas juegan un juego de escocés hop entre sí y al final se dan al final.")</f>
        <v>Luego, las chicas juegan un juego de escocés hop entre sí y al final se dan al final.</v>
      </c>
    </row>
    <row r="12460">
      <c r="A12460" s="4" t="s">
        <v>15677</v>
      </c>
      <c r="B12460" s="4" t="s">
        <v>15678</v>
      </c>
      <c r="C12460" s="5" t="str">
        <f>IFERROR(__xludf.DUMMYFUNCTION("GOOGLETRANSLATE(B12460,""en"",""es-ES"")"),"Se ve a una mujer sosteniendo un cepillo y agarrando un cepillo.")</f>
        <v>Se ve a una mujer sosteniendo un cepillo y agarrando un cepillo.</v>
      </c>
    </row>
    <row r="12461">
      <c r="A12461" s="4" t="s">
        <v>15677</v>
      </c>
      <c r="B12461" s="4" t="s">
        <v>15679</v>
      </c>
      <c r="C12461" s="5" t="str">
        <f>IFERROR(__xludf.DUMMYFUNCTION("GOOGLETRANSLATE(B12461,""en"",""es-ES"")"),"Otra chica se reprime a través de su cabello mientras la cámara le saca los movimientos.")</f>
        <v>Otra chica se reprime a través de su cabello mientras la cámara le saca los movimientos.</v>
      </c>
    </row>
    <row r="12462">
      <c r="A12462" s="4" t="s">
        <v>15677</v>
      </c>
      <c r="B12462" s="4" t="s">
        <v>15680</v>
      </c>
      <c r="C12462" s="5" t="str">
        <f>IFERROR(__xludf.DUMMYFUNCTION("GOOGLETRANSLATE(B12462,""en"",""es-ES"")"),"Ella continúa cepillando el cabello del otro mientras mira a la cámara.")</f>
        <v>Ella continúa cepillando el cabello del otro mientras mira a la cámara.</v>
      </c>
    </row>
    <row r="12463">
      <c r="A12463" s="4" t="s">
        <v>15681</v>
      </c>
      <c r="B12463" s="4" t="s">
        <v>15682</v>
      </c>
      <c r="C12463" s="5" t="str">
        <f>IFERROR(__xludf.DUMMYFUNCTION("GOOGLETRANSLATE(B12463,""en"",""es-ES"")"),"Vemos una pantalla de título blanca.")</f>
        <v>Vemos una pantalla de título blanca.</v>
      </c>
    </row>
    <row r="12464">
      <c r="A12464" s="4" t="s">
        <v>15681</v>
      </c>
      <c r="B12464" s="4" t="s">
        <v>15683</v>
      </c>
      <c r="C12464" s="5" t="str">
        <f>IFERROR(__xludf.DUMMYFUNCTION("GOOGLETRANSLATE(B12464,""en"",""es-ES"")"),"Luego vemos a una dama limpiando y retorciendo el trapeador a mano.")</f>
        <v>Luego vemos a una dama limpiando y retorciendo el trapeador a mano.</v>
      </c>
    </row>
    <row r="12465">
      <c r="A12465" s="4" t="s">
        <v>15681</v>
      </c>
      <c r="B12465" s="4" t="s">
        <v>15684</v>
      </c>
      <c r="C12465" s="5" t="str">
        <f>IFERROR(__xludf.DUMMYFUNCTION("GOOGLETRANSLATE(B12465,""en"",""es-ES"")"),"Vemos un cubo que suena un trapeador redondo sin tocarlo.")</f>
        <v>Vemos un cubo que suena un trapeador redondo sin tocarlo.</v>
      </c>
    </row>
    <row r="12466">
      <c r="A12466" s="4" t="s">
        <v>15681</v>
      </c>
      <c r="B12466" s="4" t="s">
        <v>15685</v>
      </c>
      <c r="C12466" s="5" t="str">
        <f>IFERROR(__xludf.DUMMYFUNCTION("GOOGLETRANSLATE(B12466,""en"",""es-ES"")"),"Una dama cambia la cabeza de la trapeadora con su pie.")</f>
        <v>Una dama cambia la cabeza de la trapeadora con su pie.</v>
      </c>
    </row>
    <row r="12467">
      <c r="A12467" s="4" t="s">
        <v>15681</v>
      </c>
      <c r="B12467" s="4" t="s">
        <v>15686</v>
      </c>
      <c r="C12467" s="5" t="str">
        <f>IFERROR(__xludf.DUMMYFUNCTION("GOOGLETRANSLATE(B12467,""en"",""es-ES"")"),"Tres damas dan endosos y las vemos usando el trapeador.")</f>
        <v>Tres damas dan endosos y las vemos usando el trapeador.</v>
      </c>
    </row>
    <row r="12468">
      <c r="A12468" s="4" t="s">
        <v>15681</v>
      </c>
      <c r="B12468" s="4" t="s">
        <v>15687</v>
      </c>
      <c r="C12468" s="5" t="str">
        <f>IFERROR(__xludf.DUMMYFUNCTION("GOOGLETRANSLATE(B12468,""en"",""es-ES"")"),"Luego vemos más del trapeador en acción.")</f>
        <v>Luego vemos más del trapeador en acción.</v>
      </c>
    </row>
    <row r="12469">
      <c r="A12469" s="4" t="s">
        <v>15681</v>
      </c>
      <c r="B12469" s="4" t="s">
        <v>777</v>
      </c>
      <c r="C12469" s="5" t="str">
        <f>IFERROR(__xludf.DUMMYFUNCTION("GOOGLETRANSLATE(B12469,""en"",""es-ES"")"),"Vemos la pantalla de título final.")</f>
        <v>Vemos la pantalla de título final.</v>
      </c>
    </row>
    <row r="12470">
      <c r="A12470" s="4" t="s">
        <v>15688</v>
      </c>
      <c r="B12470" s="4" t="s">
        <v>15689</v>
      </c>
      <c r="C12470" s="5" t="str">
        <f>IFERROR(__xludf.DUMMYFUNCTION("GOOGLETRANSLATE(B12470,""en"",""es-ES"")"),"La gente se sienta en escalones, después de que las personas están en botes en un río.")</f>
        <v>La gente se sienta en escalones, después de que las personas están en botes en un río.</v>
      </c>
    </row>
    <row r="12471">
      <c r="A12471" s="4" t="s">
        <v>15688</v>
      </c>
      <c r="B12471" s="4" t="s">
        <v>15690</v>
      </c>
      <c r="C12471" s="5" t="str">
        <f>IFERROR(__xludf.DUMMYFUNCTION("GOOGLETRANSLATE(B12471,""en"",""es-ES"")"),"Un adulto y varios adolescentes en canoas contienen paletas.")</f>
        <v>Un adulto y varios adolescentes en canoas contienen paletas.</v>
      </c>
    </row>
    <row r="12472">
      <c r="A12472" s="4" t="s">
        <v>15688</v>
      </c>
      <c r="B12472" s="4" t="s">
        <v>15691</v>
      </c>
      <c r="C12472" s="5" t="str">
        <f>IFERROR(__xludf.DUMMYFUNCTION("GOOGLETRANSLATE(B12472,""en"",""es-ES"")"),"El hombre muestra a los adolescentes cómo mover los remos.")</f>
        <v>El hombre muestra a los adolescentes cómo mover los remos.</v>
      </c>
    </row>
    <row r="12473">
      <c r="A12473" s="4" t="s">
        <v>15688</v>
      </c>
      <c r="B12473" s="4" t="s">
        <v>15692</v>
      </c>
      <c r="C12473" s="5" t="str">
        <f>IFERROR(__xludf.DUMMYFUNCTION("GOOGLETRANSLATE(B12473,""en"",""es-ES"")"),"Los adolescentes siguen las instrucciones del hombre y reman los remos.")</f>
        <v>Los adolescentes siguen las instrucciones del hombre y reman los remos.</v>
      </c>
    </row>
    <row r="12474">
      <c r="A12474" s="4" t="s">
        <v>15693</v>
      </c>
      <c r="B12474" s="4" t="s">
        <v>15694</v>
      </c>
      <c r="C12474" s="5" t="str">
        <f>IFERROR(__xludf.DUMMYFUNCTION("GOOGLETRANSLATE(B12474,""en"",""es-ES"")"),"Hay zapatos colocados en el piso que se encuentran allí.")</f>
        <v>Hay zapatos colocados en el piso que se encuentran allí.</v>
      </c>
    </row>
    <row r="12475">
      <c r="A12475" s="4" t="s">
        <v>15693</v>
      </c>
      <c r="B12475" s="4" t="s">
        <v>15695</v>
      </c>
      <c r="C12475" s="5" t="str">
        <f>IFERROR(__xludf.DUMMYFUNCTION("GOOGLETRANSLATE(B12475,""en"",""es-ES"")"),"Alguien pone sus pies en uno de sus zapatos muy lentamente.")</f>
        <v>Alguien pone sus pies en uno de sus zapatos muy lentamente.</v>
      </c>
    </row>
    <row r="12476">
      <c r="A12476" s="4" t="s">
        <v>15693</v>
      </c>
      <c r="B12476" s="4" t="s">
        <v>15696</v>
      </c>
      <c r="C12476" s="5" t="str">
        <f>IFERROR(__xludf.DUMMYFUNCTION("GOOGLETRANSLATE(B12476,""en"",""es-ES"")"),"Comienzan a abrochar las correas del zapato izquierdo.")</f>
        <v>Comienzan a abrochar las correas del zapato izquierdo.</v>
      </c>
    </row>
    <row r="12477">
      <c r="A12477" s="4" t="s">
        <v>15693</v>
      </c>
      <c r="B12477" s="4" t="s">
        <v>15697</v>
      </c>
      <c r="C12477" s="5" t="str">
        <f>IFERROR(__xludf.DUMMYFUNCTION("GOOGLETRANSLATE(B12477,""en"",""es-ES"")"),"Luego pusieron su pie más segura en el zapato derecho, finalmente arruinando las correas de ese zapato también.")</f>
        <v>Luego pusieron su pie más segura en el zapato derecho, finalmente arruinando las correas de ese zapato también.</v>
      </c>
    </row>
    <row r="12478">
      <c r="A12478" s="4" t="s">
        <v>15698</v>
      </c>
      <c r="B12478" s="4" t="s">
        <v>15699</v>
      </c>
      <c r="C12478" s="5" t="str">
        <f>IFERROR(__xludf.DUMMYFUNCTION("GOOGLETRANSLATE(B12478,""en"",""es-ES"")"),"Un hombre y una mujer están hablando.")</f>
        <v>Un hombre y una mujer están hablando.</v>
      </c>
    </row>
    <row r="12479">
      <c r="A12479" s="4" t="s">
        <v>15698</v>
      </c>
      <c r="B12479" s="4" t="s">
        <v>15700</v>
      </c>
      <c r="C12479" s="5" t="str">
        <f>IFERROR(__xludf.DUMMYFUNCTION("GOOGLETRANSLATE(B12479,""en"",""es-ES"")"),"Un hombre comienza a tocar una armónica.")</f>
        <v>Un hombre comienza a tocar una armónica.</v>
      </c>
    </row>
    <row r="12480">
      <c r="A12480" s="4" t="s">
        <v>15698</v>
      </c>
      <c r="B12480" s="4" t="s">
        <v>15701</v>
      </c>
      <c r="C12480" s="5" t="str">
        <f>IFERROR(__xludf.DUMMYFUNCTION("GOOGLETRANSLATE(B12480,""en"",""es-ES"")"),"La multitud lo ve jugar.")</f>
        <v>La multitud lo ve jugar.</v>
      </c>
    </row>
    <row r="12481">
      <c r="A12481" s="4" t="s">
        <v>15702</v>
      </c>
      <c r="B12481" s="4" t="s">
        <v>15703</v>
      </c>
      <c r="C12481" s="5" t="str">
        <f>IFERROR(__xludf.DUMMYFUNCTION("GOOGLETRANSLATE(B12481,""en"",""es-ES"")"),"Se muestra una bicicleta en la pasarela estrecha.")</f>
        <v>Se muestra una bicicleta en la pasarela estrecha.</v>
      </c>
    </row>
    <row r="12482">
      <c r="A12482" s="4" t="s">
        <v>15702</v>
      </c>
      <c r="B12482" s="4" t="s">
        <v>15704</v>
      </c>
      <c r="C12482" s="5" t="str">
        <f>IFERROR(__xludf.DUMMYFUNCTION("GOOGLETRANSLATE(B12482,""en"",""es-ES"")"),"Un anciano con camisa gris se pone y atornilla las barras de mango negro en la parte delantera de la bicicleta, luego coloca la rueda delantera de la bicicleta, aprieta el tornillo y, por último, se puso el asiento.")</f>
        <v>Un anciano con camisa gris se pone y atornilla las barras de mango negro en la parte delantera de la bicicleta, luego coloca la rueda delantera de la bicicleta, aprieta el tornillo y, por último, se puso el asiento.</v>
      </c>
    </row>
    <row r="12483">
      <c r="A12483" s="4" t="s">
        <v>15705</v>
      </c>
      <c r="B12483" s="4" t="s">
        <v>15706</v>
      </c>
      <c r="C12483" s="5" t="str">
        <f>IFERROR(__xludf.DUMMYFUNCTION("GOOGLETRANSLATE(B12483,""en"",""es-ES"")"),"Una niña está de pie en su casa con las manos detrás de la espalda y las piernas de ancho de hombro.")</f>
        <v>Una niña está de pie en su casa con las manos detrás de la espalda y las piernas de ancho de hombro.</v>
      </c>
    </row>
    <row r="12484">
      <c r="A12484" s="4" t="s">
        <v>15705</v>
      </c>
      <c r="B12484" s="4" t="s">
        <v>15707</v>
      </c>
      <c r="C12484" s="5" t="str">
        <f>IFERROR(__xludf.DUMMYFUNCTION("GOOGLETRANSLATE(B12484,""en"",""es-ES"")"),"Luego, la niña deja caer sus manos a su lado, reúne sus pies y hace un arco y continúa haciendo una rutina de varios movimientos de karate.")</f>
        <v>Luego, la niña deja caer sus manos a su lado, reúne sus pies y hace un arco y continúa haciendo una rutina de varios movimientos de karate.</v>
      </c>
    </row>
    <row r="12485">
      <c r="A12485" s="4" t="s">
        <v>15705</v>
      </c>
      <c r="B12485" s="4" t="s">
        <v>15708</v>
      </c>
      <c r="C12485" s="5" t="str">
        <f>IFERROR(__xludf.DUMMYFUNCTION("GOOGLETRANSLATE(B12485,""en"",""es-ES"")"),"La niña termina su enrutamiento un poco más lejos del punto que comenzó y deja caer sus manos a su lado y hace un pequeño arco, luego abre la longitud de los hombros de las piernas y vuelve a la misma posición que cuando comenzó.")</f>
        <v>La niña termina su enrutamiento un poco más lejos del punto que comenzó y deja caer sus manos a su lado y hace un pequeño arco, luego abre la longitud de los hombros de las piernas y vuelve a la misma posición que cuando comenzó.</v>
      </c>
    </row>
    <row r="12486">
      <c r="A12486" s="4" t="s">
        <v>15705</v>
      </c>
      <c r="B12486" s="4" t="s">
        <v>15709</v>
      </c>
      <c r="C12486" s="5" t="str">
        <f>IFERROR(__xludf.DUMMYFUNCTION("GOOGLETRANSLATE(B12486,""en"",""es-ES"")"),"Después de que ella termina de mantener la posición durante un rato, la niña se relaja y luego se aleja.")</f>
        <v>Después de que ella termina de mantener la posición durante un rato, la niña se relaja y luego se aleja.</v>
      </c>
    </row>
    <row r="12487">
      <c r="A12487" s="4" t="s">
        <v>15710</v>
      </c>
      <c r="B12487" s="4" t="s">
        <v>15711</v>
      </c>
      <c r="C12487" s="5" t="str">
        <f>IFERROR(__xludf.DUMMYFUNCTION("GOOGLETRANSLATE(B12487,""en"",""es-ES"")"),"Se ve a dos personas arrodilladas ante un tablero y empujando objetos.")</f>
        <v>Se ve a dos personas arrodilladas ante un tablero y empujando objetos.</v>
      </c>
    </row>
    <row r="12488">
      <c r="A12488" s="4" t="s">
        <v>15710</v>
      </c>
      <c r="B12488" s="4" t="s">
        <v>15712</v>
      </c>
      <c r="C12488" s="5" t="str">
        <f>IFERROR(__xludf.DUMMYFUNCTION("GOOGLETRANSLATE(B12488,""en"",""es-ES"")"),"Otras personas miran a un lado mientras los dos robots comienzan a atacarse entre sí.")</f>
        <v>Otras personas miran a un lado mientras los dos robots comienzan a atacarse entre sí.</v>
      </c>
    </row>
    <row r="12489">
      <c r="A12489" s="4" t="s">
        <v>15710</v>
      </c>
      <c r="B12489" s="4" t="s">
        <v>15713</v>
      </c>
      <c r="C12489" s="5" t="str">
        <f>IFERROR(__xludf.DUMMYFUNCTION("GOOGLETRANSLATE(B12489,""en"",""es-ES"")"),"Uno empuja al otro del costado y los hombres volvieron a la lucha para luchar varios más.")</f>
        <v>Uno empuja al otro del costado y los hombres volvieron a la lucha para luchar varios más.</v>
      </c>
    </row>
    <row r="12490">
      <c r="A12490" s="4" t="s">
        <v>15714</v>
      </c>
      <c r="B12490" s="4" t="s">
        <v>15715</v>
      </c>
      <c r="C12490" s="5" t="str">
        <f>IFERROR(__xludf.DUMMYFUNCTION("GOOGLETRANSLATE(B12490,""en"",""es-ES"")"),"Un hombre tiene las manos en el aire.")</f>
        <v>Un hombre tiene las manos en el aire.</v>
      </c>
    </row>
    <row r="12491">
      <c r="A12491" s="4" t="s">
        <v>15714</v>
      </c>
      <c r="B12491" s="4" t="s">
        <v>15716</v>
      </c>
      <c r="C12491" s="5" t="str">
        <f>IFERROR(__xludf.DUMMYFUNCTION("GOOGLETRANSLATE(B12491,""en"",""es-ES"")"),"Se muestran dos luchadores saltando al ring.")</f>
        <v>Se muestran dos luchadores saltando al ring.</v>
      </c>
    </row>
    <row r="12492">
      <c r="A12492" s="4" t="s">
        <v>15714</v>
      </c>
      <c r="B12492" s="4" t="s">
        <v>15717</v>
      </c>
      <c r="C12492" s="5" t="str">
        <f>IFERROR(__xludf.DUMMYFUNCTION("GOOGLETRANSLATE(B12492,""en"",""es-ES"")"),"Colapsan a medida que diferentes personas hacen el mismo salto.")</f>
        <v>Colapsan a medida que diferentes personas hacen el mismo salto.</v>
      </c>
    </row>
    <row r="12493">
      <c r="A12493" s="4" t="s">
        <v>15718</v>
      </c>
      <c r="B12493" s="4" t="s">
        <v>15719</v>
      </c>
      <c r="C12493" s="5" t="str">
        <f>IFERROR(__xludf.DUMMYFUNCTION("GOOGLETRANSLATE(B12493,""en"",""es-ES"")"),"Se ve a una mujer atlética hablando con la cámara y la lleva a enseñar una clase de ciclismo con otros.")</f>
        <v>Se ve a una mujer atlética hablando con la cámara y la lleva a enseñar una clase de ciclismo con otros.</v>
      </c>
    </row>
    <row r="12494">
      <c r="A12494" s="4" t="s">
        <v>15718</v>
      </c>
      <c r="B12494" s="4" t="s">
        <v>15720</v>
      </c>
      <c r="C12494" s="5" t="str">
        <f>IFERROR(__xludf.DUMMYFUNCTION("GOOGLETRANSLATE(B12494,""en"",""es-ES"")"),"Más tomas de su liderazgo se muestran en diferentes áreas.")</f>
        <v>Más tomas de su liderazgo se muestran en diferentes áreas.</v>
      </c>
    </row>
    <row r="12495">
      <c r="A12495" s="4" t="s">
        <v>15721</v>
      </c>
      <c r="B12495" s="4" t="s">
        <v>15722</v>
      </c>
      <c r="C12495" s="5" t="str">
        <f>IFERROR(__xludf.DUMMYFUNCTION("GOOGLETRANSLATE(B12495,""en"",""es-ES"")"),"Una señora se sienta en la ducha lavando a un perro esponjoso.")</f>
        <v>Una señora se sienta en la ducha lavando a un perro esponjoso.</v>
      </c>
    </row>
    <row r="12496">
      <c r="A12496" s="4" t="s">
        <v>15721</v>
      </c>
      <c r="B12496" s="4" t="s">
        <v>15723</v>
      </c>
      <c r="C12496" s="5" t="str">
        <f>IFERROR(__xludf.DUMMYFUNCTION("GOOGLETRANSLATE(B12496,""en"",""es-ES"")"),"La señora se inclina sobre el perro y lava la pata delantera a la izquierda.")</f>
        <v>La señora se inclina sobre el perro y lava la pata delantera a la izquierda.</v>
      </c>
    </row>
    <row r="12497">
      <c r="A12497" s="4" t="s">
        <v>15724</v>
      </c>
      <c r="B12497" s="4" t="s">
        <v>15725</v>
      </c>
      <c r="C12497" s="5" t="str">
        <f>IFERROR(__xludf.DUMMYFUNCTION("GOOGLETRANSLATE(B12497,""en"",""es-ES"")"),"Una cámara sigue alrededor de un pequeño bote que se mueve a lo largo del agua, así como los paisajes.")</f>
        <v>Una cámara sigue alrededor de un pequeño bote que se mueve a lo largo del agua, así como los paisajes.</v>
      </c>
    </row>
    <row r="12498">
      <c r="A12498" s="4" t="s">
        <v>15724</v>
      </c>
      <c r="B12498" s="4" t="s">
        <v>15726</v>
      </c>
      <c r="C12498" s="5" t="str">
        <f>IFERROR(__xludf.DUMMYFUNCTION("GOOGLETRANSLATE(B12498,""en"",""es-ES"")"),"La cámara se acerca al bote y muestra a las personas que viajan adentro.")</f>
        <v>La cámara se acerca al bote y muestra a las personas que viajan adentro.</v>
      </c>
    </row>
    <row r="12499">
      <c r="A12499" s="4" t="s">
        <v>15727</v>
      </c>
      <c r="B12499" s="4" t="s">
        <v>15728</v>
      </c>
      <c r="C12499" s="5" t="str">
        <f>IFERROR(__xludf.DUMMYFUNCTION("GOOGLETRANSLATE(B12499,""en"",""es-ES"")"),"Un hombre camina por una escalera hasta un techo.")</f>
        <v>Un hombre camina por una escalera hasta un techo.</v>
      </c>
    </row>
    <row r="12500">
      <c r="A12500" s="4" t="s">
        <v>15727</v>
      </c>
      <c r="B12500" s="4" t="s">
        <v>15729</v>
      </c>
      <c r="C12500" s="5" t="str">
        <f>IFERROR(__xludf.DUMMYFUNCTION("GOOGLETRANSLATE(B12500,""en"",""es-ES"")"),"Está parado frente a una casa hablando.")</f>
        <v>Está parado frente a una casa hablando.</v>
      </c>
    </row>
    <row r="12501">
      <c r="A12501" s="4" t="s">
        <v>15727</v>
      </c>
      <c r="B12501" s="4" t="s">
        <v>15730</v>
      </c>
      <c r="C12501" s="5" t="str">
        <f>IFERROR(__xludf.DUMMYFUNCTION("GOOGLETRANSLATE(B12501,""en"",""es-ES"")"),"Los hombres están poniendo tejas nuevas en un techo.")</f>
        <v>Los hombres están poniendo tejas nuevas en un techo.</v>
      </c>
    </row>
    <row r="12502">
      <c r="A12502" s="4" t="s">
        <v>15731</v>
      </c>
      <c r="B12502" s="4" t="s">
        <v>15732</v>
      </c>
      <c r="C12502" s="5" t="str">
        <f>IFERROR(__xludf.DUMMYFUNCTION("GOOGLETRANSLATE(B12502,""en"",""es-ES"")"),"Un bebé está nadando en una piscina en su espalda.")</f>
        <v>Un bebé está nadando en una piscina en su espalda.</v>
      </c>
    </row>
    <row r="12503">
      <c r="A12503" s="4" t="s">
        <v>15731</v>
      </c>
      <c r="B12503" s="4" t="s">
        <v>15733</v>
      </c>
      <c r="C12503" s="5" t="str">
        <f>IFERROR(__xludf.DUMMYFUNCTION("GOOGLETRANSLATE(B12503,""en"",""es-ES"")"),"El bebé está pateando los pies en el agua.")</f>
        <v>El bebé está pateando los pies en el agua.</v>
      </c>
    </row>
    <row r="12504">
      <c r="A12504" s="4" t="s">
        <v>15731</v>
      </c>
      <c r="B12504" s="4" t="s">
        <v>15734</v>
      </c>
      <c r="C12504" s="5" t="str">
        <f>IFERROR(__xludf.DUMMYFUNCTION("GOOGLETRANSLATE(B12504,""en"",""es-ES"")"),"La mano de alguien sostiene a ese bebé en el agua.")</f>
        <v>La mano de alguien sostiene a ese bebé en el agua.</v>
      </c>
    </row>
    <row r="12505">
      <c r="A12505" s="4" t="s">
        <v>15735</v>
      </c>
      <c r="B12505" s="4" t="s">
        <v>15736</v>
      </c>
      <c r="C12505" s="5" t="str">
        <f>IFERROR(__xludf.DUMMYFUNCTION("GOOGLETRANSLATE(B12505,""en"",""es-ES"")"),"La lista de inicio del evento de salto con pértiga masculino se muestra en el fondo del área de competencia.")</f>
        <v>La lista de inicio del evento de salto con pértiga masculino se muestra en el fondo del área de competencia.</v>
      </c>
    </row>
    <row r="12506">
      <c r="A12506" s="4" t="s">
        <v>15735</v>
      </c>
      <c r="B12506" s="4" t="s">
        <v>15737</v>
      </c>
      <c r="C12506" s="5" t="str">
        <f>IFERROR(__xludf.DUMMYFUNCTION("GOOGLETRANSLATE(B12506,""en"",""es-ES"")"),"Múltiples saltadores intentan saltar, uno tras otro, otros con éxito y otros no.")</f>
        <v>Múltiples saltadores intentan saltar, uno tras otro, otros con éxito y otros no.</v>
      </c>
    </row>
    <row r="12507">
      <c r="A12507" s="4" t="s">
        <v>15735</v>
      </c>
      <c r="B12507" s="4" t="s">
        <v>15738</v>
      </c>
      <c r="C12507" s="5" t="str">
        <f>IFERROR(__xludf.DUMMYFUNCTION("GOOGLETRANSLATE(B12507,""en"",""es-ES"")"),"La cámara se corta a un hombre que se limpia la cara con una toalla, luego una toma rápida del último intento de bóveda, luego un tiro rápido de otro hombre que se aleja de la cámara.")</f>
        <v>La cámara se corta a un hombre que se limpia la cara con una toalla, luego una toma rápida del último intento de bóveda, luego un tiro rápido de otro hombre que se aleja de la cámara.</v>
      </c>
    </row>
    <row r="12508">
      <c r="A12508" s="4" t="s">
        <v>15735</v>
      </c>
      <c r="B12508" s="4" t="s">
        <v>15739</v>
      </c>
      <c r="C12508" s="5" t="str">
        <f>IFERROR(__xludf.DUMMYFUNCTION("GOOGLETRANSLATE(B12508,""en"",""es-ES"")"),"Otro hombre en bóvedas blancas y azules y tiene éxito.")</f>
        <v>Otro hombre en bóvedas blancas y azules y tiene éxito.</v>
      </c>
    </row>
    <row r="12509">
      <c r="A12509" s="4" t="s">
        <v>15735</v>
      </c>
      <c r="B12509" s="4" t="s">
        <v>15740</v>
      </c>
      <c r="C12509" s="5" t="str">
        <f>IFERROR(__xludf.DUMMYFUNCTION("GOOGLETRANSLATE(B12509,""en"",""es-ES"")"),"La cámara corta a otros cuatro competidores que observan.")</f>
        <v>La cámara corta a otros cuatro competidores que observan.</v>
      </c>
    </row>
    <row r="12510">
      <c r="A12510" s="4" t="s">
        <v>15735</v>
      </c>
      <c r="B12510" s="4" t="s">
        <v>15741</v>
      </c>
      <c r="C12510" s="5" t="str">
        <f>IFERROR(__xludf.DUMMYFUNCTION("GOOGLETRANSLATE(B12510,""en"",""es-ES"")"),"La cámara corta a un hombre de blanco y azul celebrando mientras sostiene una bandera contra su negro.")</f>
        <v>La cámara corta a un hombre de blanco y azul celebrando mientras sostiene una bandera contra su negro.</v>
      </c>
    </row>
    <row r="12511">
      <c r="A12511" s="4" t="s">
        <v>15735</v>
      </c>
      <c r="B12511" s="4" t="s">
        <v>15742</v>
      </c>
      <c r="C12511" s="5" t="str">
        <f>IFERROR(__xludf.DUMMYFUNCTION("GOOGLETRANSLATE(B12511,""en"",""es-ES"")"),"El hombre que celebró está siendo entrevistado.")</f>
        <v>El hombre que celebró está siendo entrevistado.</v>
      </c>
    </row>
    <row r="12512">
      <c r="A12512" s="4" t="s">
        <v>15735</v>
      </c>
      <c r="B12512" s="4" t="s">
        <v>15743</v>
      </c>
      <c r="C12512" s="5" t="str">
        <f>IFERROR(__xludf.DUMMYFUNCTION("GOOGLETRANSLATE(B12512,""en"",""es-ES"")"),"Un competidor diferente, con rojo, está siendo entrevistado.")</f>
        <v>Un competidor diferente, con rojo, está siendo entrevistado.</v>
      </c>
    </row>
    <row r="12513">
      <c r="A12513" s="4" t="s">
        <v>15744</v>
      </c>
      <c r="B12513" s="4" t="s">
        <v>15745</v>
      </c>
      <c r="C12513" s="5" t="str">
        <f>IFERROR(__xludf.DUMMYFUNCTION("GOOGLETRANSLATE(B12513,""en"",""es-ES"")"),"Un hombre se sienta frente a una cama.")</f>
        <v>Un hombre se sienta frente a una cama.</v>
      </c>
    </row>
    <row r="12514">
      <c r="A12514" s="4" t="s">
        <v>15744</v>
      </c>
      <c r="B12514" s="4" t="s">
        <v>15746</v>
      </c>
      <c r="C12514" s="5" t="str">
        <f>IFERROR(__xludf.DUMMYFUNCTION("GOOGLETRANSLATE(B12514,""en"",""es-ES"")"),"Comienza a tocar una guitarra eléctrica.")</f>
        <v>Comienza a tocar una guitarra eléctrica.</v>
      </c>
    </row>
    <row r="12515">
      <c r="A12515" s="4" t="s">
        <v>15744</v>
      </c>
      <c r="B12515" s="4" t="s">
        <v>15747</v>
      </c>
      <c r="C12515" s="5" t="str">
        <f>IFERROR(__xludf.DUMMYFUNCTION("GOOGLETRANSLATE(B12515,""en"",""es-ES"")"),"Él termina de jugar y se pone de pie.")</f>
        <v>Él termina de jugar y se pone de pie.</v>
      </c>
    </row>
    <row r="12516">
      <c r="A12516" s="4" t="s">
        <v>15748</v>
      </c>
      <c r="B12516" s="4" t="s">
        <v>15749</v>
      </c>
      <c r="C12516" s="5" t="str">
        <f>IFERROR(__xludf.DUMMYFUNCTION("GOOGLETRANSLATE(B12516,""en"",""es-ES"")"),"Dos chicas están de pie en una tienda y se abrazan.")</f>
        <v>Dos chicas están de pie en una tienda y se abrazan.</v>
      </c>
    </row>
    <row r="12517">
      <c r="A12517" s="4" t="s">
        <v>15748</v>
      </c>
      <c r="B12517" s="4" t="s">
        <v>15750</v>
      </c>
      <c r="C12517" s="5" t="str">
        <f>IFERROR(__xludf.DUMMYFUNCTION("GOOGLETRANSLATE(B12517,""en"",""es-ES"")"),"Las dos chicas reconocen a la niña que sostiene la cámara.")</f>
        <v>Las dos chicas reconocen a la niña que sostiene la cámara.</v>
      </c>
    </row>
    <row r="12518">
      <c r="A12518" s="4" t="s">
        <v>15748</v>
      </c>
      <c r="B12518" s="4" t="s">
        <v>15751</v>
      </c>
      <c r="C12518" s="5" t="str">
        <f>IFERROR(__xludf.DUMMYFUNCTION("GOOGLETRANSLATE(B12518,""en"",""es-ES"")"),"Cada uno muestra sus orejas que quieren ser perforados.")</f>
        <v>Cada uno muestra sus orejas que quieren ser perforados.</v>
      </c>
    </row>
    <row r="12519">
      <c r="A12519" s="4" t="s">
        <v>15748</v>
      </c>
      <c r="B12519" s="4" t="s">
        <v>15752</v>
      </c>
      <c r="C12519" s="5" t="str">
        <f>IFERROR(__xludf.DUMMYFUNCTION("GOOGLETRANSLATE(B12519,""en"",""es-ES"")"),"La mujer que trabaja en la tienda endereza la cabeza de las chicas y se marca la oreja y le perfora la oreja derecha, mientras la niña hace caras.")</f>
        <v>La mujer que trabaja en la tienda endereza la cabeza de las chicas y se marca la oreja y le perfora la oreja derecha, mientras la niña hace caras.</v>
      </c>
    </row>
    <row r="12520">
      <c r="A12520" s="4" t="s">
        <v>15748</v>
      </c>
      <c r="B12520" s="4" t="s">
        <v>15753</v>
      </c>
      <c r="C12520" s="5" t="str">
        <f>IFERROR(__xludf.DUMMYFUNCTION("GOOGLETRANSLATE(B12520,""en"",""es-ES"")"),"La mujer se ve conmocionada mientras la trabajadora habla con ella y sostiene el espejo para que hiera ver el oído.")</f>
        <v>La mujer se ve conmocionada mientras la trabajadora habla con ella y sostiene el espejo para que hiera ver el oído.</v>
      </c>
    </row>
    <row r="12521">
      <c r="A12521" s="4" t="s">
        <v>15748</v>
      </c>
      <c r="B12521" s="4" t="s">
        <v>15754</v>
      </c>
      <c r="C12521" s="5" t="str">
        <f>IFERROR(__xludf.DUMMYFUNCTION("GOOGLETRANSLATE(B12521,""en"",""es-ES"")"),"Para continuar se muestra en la pantalla.")</f>
        <v>Para continuar se muestra en la pantalla.</v>
      </c>
    </row>
    <row r="12522">
      <c r="A12522" s="4" t="s">
        <v>15748</v>
      </c>
      <c r="B12522" s="4" t="s">
        <v>15755</v>
      </c>
      <c r="C12522" s="5" t="str">
        <f>IFERROR(__xludf.DUMMYFUNCTION("GOOGLETRANSLATE(B12522,""en"",""es-ES"")"),"La niña muestra su oreja mientras se sienta en la silla e intenta no llorar cuando la cámara se acerca a su oído.")</f>
        <v>La niña muestra su oreja mientras se sienta en la silla e intenta no llorar cuando la cámara se acerca a su oído.</v>
      </c>
    </row>
    <row r="12523">
      <c r="A12523" s="4" t="s">
        <v>15756</v>
      </c>
      <c r="B12523" s="4" t="s">
        <v>15757</v>
      </c>
      <c r="C12523" s="5" t="str">
        <f>IFERROR(__xludf.DUMMYFUNCTION("GOOGLETRANSLATE(B12523,""en"",""es-ES"")"),"Se ve a una mujer hablando con una cámara y conduce a sí misma con cabello mojado y cepillándolo.")</f>
        <v>Se ve a una mujer hablando con una cámara y conduce a sí misma con cabello mojado y cepillándolo.</v>
      </c>
    </row>
    <row r="12524">
      <c r="A12524" s="4" t="s">
        <v>15756</v>
      </c>
      <c r="B12524" s="4" t="s">
        <v>15758</v>
      </c>
      <c r="C12524" s="5" t="str">
        <f>IFERROR(__xludf.DUMMYFUNCTION("GOOGLETRANSLATE(B12524,""en"",""es-ES"")"),"Su cabello está seco y se pone clips en el cabello y comienza a curvarse.")</f>
        <v>Su cabello está seco y se pone clips en el cabello y comienza a curvarse.</v>
      </c>
    </row>
    <row r="12525">
      <c r="A12525" s="4" t="s">
        <v>15756</v>
      </c>
      <c r="B12525" s="4" t="s">
        <v>15759</v>
      </c>
      <c r="C12525" s="5" t="str">
        <f>IFERROR(__xludf.DUMMYFUNCTION("GOOGLETRANSLATE(B12525,""en"",""es-ES"")"),"Ella continúa rizando los extremos de su cabello y pasa los dedos al final y sonríe a la cámara mientras da un pulgar hacia arriba.")</f>
        <v>Ella continúa rizando los extremos de su cabello y pasa los dedos al final y sonríe a la cámara mientras da un pulgar hacia arriba.</v>
      </c>
    </row>
    <row r="12526">
      <c r="A12526" s="4" t="s">
        <v>15760</v>
      </c>
      <c r="B12526" s="4" t="s">
        <v>15761</v>
      </c>
      <c r="C12526" s="5" t="str">
        <f>IFERROR(__xludf.DUMMYFUNCTION("GOOGLETRANSLATE(B12526,""en"",""es-ES"")"),"Se empuja un gran bote de basura verde contra una pared de ladrillo y un reno salta a beber de una taza de café.")</f>
        <v>Se empuja un gran bote de basura verde contra una pared de ladrillo y un reno salta a beber de una taza de café.</v>
      </c>
    </row>
    <row r="12527">
      <c r="A12527" s="4" t="s">
        <v>15760</v>
      </c>
      <c r="B12527" s="4" t="s">
        <v>15762</v>
      </c>
      <c r="C12527" s="5" t="str">
        <f>IFERROR(__xludf.DUMMYFUNCTION("GOOGLETRANSLATE(B12527,""en"",""es-ES"")"),"Los renos continúan bebiendo de la taza de café y finalmente caen sobre el bote de basura.")</f>
        <v>Los renos continúan bebiendo de la taza de café y finalmente caen sobre el bote de basura.</v>
      </c>
    </row>
    <row r="12528">
      <c r="A12528" s="4" t="s">
        <v>15763</v>
      </c>
      <c r="B12528" s="4" t="s">
        <v>15764</v>
      </c>
      <c r="C12528" s="5" t="str">
        <f>IFERROR(__xludf.DUMMYFUNCTION("GOOGLETRANSLATE(B12528,""en"",""es-ES"")"),"La pantalla muestra las palabras que disparó a los hombres.")</f>
        <v>La pantalla muestra las palabras que disparó a los hombres.</v>
      </c>
    </row>
    <row r="12529">
      <c r="A12529" s="4" t="s">
        <v>15763</v>
      </c>
      <c r="B12529" s="4" t="s">
        <v>15765</v>
      </c>
      <c r="C12529" s="5" t="str">
        <f>IFERROR(__xludf.DUMMYFUNCTION("GOOGLETRANSLATE(B12529,""en"",""es-ES"")"),"Kurt Roberts, en una parte superior amarilla, lanza la pelota y un hombre se apresura a medir el lanzamiento.")</f>
        <v>Kurt Roberts, en una parte superior amarilla, lanza la pelota y un hombre se apresura a medir el lanzamiento.</v>
      </c>
    </row>
    <row r="12530">
      <c r="A12530" s="4" t="s">
        <v>15763</v>
      </c>
      <c r="B12530" s="4" t="s">
        <v>15766</v>
      </c>
      <c r="C12530" s="5" t="str">
        <f>IFERROR(__xludf.DUMMYFUNCTION("GOOGLETRANSLATE(B12530,""en"",""es-ES"")"),"Kurt bebe de una botella de Gatorade.")</f>
        <v>Kurt bebe de una botella de Gatorade.</v>
      </c>
    </row>
    <row r="12531">
      <c r="A12531" s="4" t="s">
        <v>15763</v>
      </c>
      <c r="B12531" s="4" t="s">
        <v>15767</v>
      </c>
      <c r="C12531" s="5" t="str">
        <f>IFERROR(__xludf.DUMMYFUNCTION("GOOGLETRANSLATE(B12531,""en"",""es-ES"")"),"Reese Hoffa sube y lanza la pelota y un hombre se apresura a medir el lanzamiento.")</f>
        <v>Reese Hoffa sube y lanza la pelota y un hombre se apresura a medir el lanzamiento.</v>
      </c>
    </row>
    <row r="12532">
      <c r="A12532" s="4" t="s">
        <v>15763</v>
      </c>
      <c r="B12532" s="4" t="s">
        <v>15768</v>
      </c>
      <c r="C12532" s="5" t="str">
        <f>IFERROR(__xludf.DUMMYFUNCTION("GOOGLETRANSLATE(B12532,""en"",""es-ES"")"),"Reese ajusta su camisa y espera su puntaje.")</f>
        <v>Reese ajusta su camisa y espera su puntaje.</v>
      </c>
    </row>
    <row r="12533">
      <c r="A12533" s="4" t="s">
        <v>15763</v>
      </c>
      <c r="B12533" s="4" t="s">
        <v>15769</v>
      </c>
      <c r="C12533" s="5" t="str">
        <f>IFERROR(__xludf.DUMMYFUNCTION("GOOGLETRANSLATE(B12533,""en"",""es-ES"")"),"Davis Storl se sienta y aparece en la pantalla.")</f>
        <v>Davis Storl se sienta y aparece en la pantalla.</v>
      </c>
    </row>
    <row r="12534">
      <c r="A12534" s="4" t="s">
        <v>15763</v>
      </c>
      <c r="B12534" s="4" t="s">
        <v>15770</v>
      </c>
      <c r="C12534" s="5" t="str">
        <f>IFERROR(__xludf.DUMMYFUNCTION("GOOGLETRANSLATE(B12534,""en"",""es-ES"")"),"Luego lanza la pelota y el hombre se apresura a medir la distancia.")</f>
        <v>Luego lanza la pelota y el hombre se apresura a medir la distancia.</v>
      </c>
    </row>
    <row r="12535">
      <c r="A12535" s="4" t="s">
        <v>15763</v>
      </c>
      <c r="B12535" s="4" t="s">
        <v>15771</v>
      </c>
      <c r="C12535" s="5" t="str">
        <f>IFERROR(__xludf.DUMMYFUNCTION("GOOGLETRANSLATE(B12535,""en"",""es-ES"")"),"Se le muestra de pie con su equipo y se muestra una repetición instantánea del lanzamiento.")</f>
        <v>Se le muestra de pie con su equipo y se muestra una repetición instantánea del lanzamiento.</v>
      </c>
    </row>
    <row r="12536">
      <c r="A12536" s="4" t="s">
        <v>15763</v>
      </c>
      <c r="B12536" s="4" t="s">
        <v>15772</v>
      </c>
      <c r="C12536" s="5" t="str">
        <f>IFERROR(__xludf.DUMMYFUNCTION("GOOGLETRANSLATE(B12536,""en"",""es-ES"")"),"La puntuación se muestra en la pantalla.")</f>
        <v>La puntuación se muestra en la pantalla.</v>
      </c>
    </row>
    <row r="12537">
      <c r="A12537" s="4" t="s">
        <v>15763</v>
      </c>
      <c r="B12537" s="4" t="s">
        <v>15773</v>
      </c>
      <c r="C12537" s="5" t="str">
        <f>IFERROR(__xludf.DUMMYFUNCTION("GOOGLETRANSLATE(B12537,""en"",""es-ES"")"),"Los fanáticos se muestran haciendo la ola.")</f>
        <v>Los fanáticos se muestran haciendo la ola.</v>
      </c>
    </row>
    <row r="12538">
      <c r="A12538" s="4" t="s">
        <v>15774</v>
      </c>
      <c r="B12538" s="4" t="s">
        <v>15775</v>
      </c>
      <c r="C12538" s="5" t="str">
        <f>IFERROR(__xludf.DUMMYFUNCTION("GOOGLETRANSLATE(B12538,""en"",""es-ES"")"),"Un niño esquía en la nieve con dos postes y vistiendo cielos.")</f>
        <v>Un niño esquía en la nieve con dos postes y vistiendo cielos.</v>
      </c>
    </row>
    <row r="12539">
      <c r="A12539" s="4" t="s">
        <v>15774</v>
      </c>
      <c r="B12539" s="4" t="s">
        <v>15776</v>
      </c>
      <c r="C12539" s="5" t="str">
        <f>IFERROR(__xludf.DUMMYFUNCTION("GOOGLETRANSLATE(B12539,""en"",""es-ES"")"),"Los adultos esquiaban detrás del niño.")</f>
        <v>Los adultos esquiaban detrás del niño.</v>
      </c>
    </row>
    <row r="12540">
      <c r="A12540" s="4" t="s">
        <v>15774</v>
      </c>
      <c r="B12540" s="4" t="s">
        <v>15777</v>
      </c>
      <c r="C12540" s="5" t="str">
        <f>IFERROR(__xludf.DUMMYFUNCTION("GOOGLETRANSLATE(B12540,""en"",""es-ES"")"),"Luego el niño se detiene, luego comience a caminar hasta que comience a deslizarse en la colina.")</f>
        <v>Luego el niño se detiene, luego comience a caminar hasta que comience a deslizarse en la colina.</v>
      </c>
    </row>
    <row r="12541">
      <c r="A12541" s="4" t="s">
        <v>15778</v>
      </c>
      <c r="B12541" s="4" t="s">
        <v>15779</v>
      </c>
      <c r="C12541" s="5" t="str">
        <f>IFERROR(__xludf.DUMMYFUNCTION("GOOGLETRANSLATE(B12541,""en"",""es-ES"")"),"Se muestra una vista aérea de un campo y animales.")</f>
        <v>Se muestra una vista aérea de un campo y animales.</v>
      </c>
    </row>
    <row r="12542">
      <c r="A12542" s="4" t="s">
        <v>15778</v>
      </c>
      <c r="B12542" s="4" t="s">
        <v>15780</v>
      </c>
      <c r="C12542" s="5" t="str">
        <f>IFERROR(__xludf.DUMMYFUNCTION("GOOGLETRANSLATE(B12542,""en"",""es-ES"")"),"Las personas se enfrentan alrededor de un tablero de dardos y luego comienzan a hacer cosas de leñador con registros.")</f>
        <v>Las personas se enfrentan alrededor de un tablero de dardos y luego comienzan a hacer cosas de leñador con registros.</v>
      </c>
    </row>
    <row r="12543">
      <c r="A12543" s="4" t="s">
        <v>15778</v>
      </c>
      <c r="B12543" s="4" t="s">
        <v>15781</v>
      </c>
      <c r="C12543" s="5" t="str">
        <f>IFERROR(__xludf.DUMMYFUNCTION("GOOGLETRANSLATE(B12543,""en"",""es-ES"")"),"Se prepara un bote y el grupo comienza a esquiar en agua, wakeboard y similares.")</f>
        <v>Se prepara un bote y el grupo comienza a esquiar en agua, wakeboard y similares.</v>
      </c>
    </row>
    <row r="12544">
      <c r="A12544" s="4" t="s">
        <v>15778</v>
      </c>
      <c r="B12544" s="4" t="s">
        <v>15782</v>
      </c>
      <c r="C12544" s="5" t="str">
        <f>IFERROR(__xludf.DUMMYFUNCTION("GOOGLETRANSLATE(B12544,""en"",""es-ES"")"),"Al final, la gente se relaja en el bote.")</f>
        <v>Al final, la gente se relaja en el bote.</v>
      </c>
    </row>
    <row r="12545">
      <c r="A12545" s="4" t="s">
        <v>15783</v>
      </c>
      <c r="B12545" s="4" t="s">
        <v>15784</v>
      </c>
      <c r="C12545" s="5" t="str">
        <f>IFERROR(__xludf.DUMMYFUNCTION("GOOGLETRANSLATE(B12545,""en"",""es-ES"")"),"La gente está jugando bádminton en una cancha.")</f>
        <v>La gente está jugando bádminton en una cancha.</v>
      </c>
    </row>
    <row r="12546">
      <c r="A12546" s="4" t="s">
        <v>15783</v>
      </c>
      <c r="B12546" s="4" t="s">
        <v>15785</v>
      </c>
      <c r="C12546" s="5" t="str">
        <f>IFERROR(__xludf.DUMMYFUNCTION("GOOGLETRANSLATE(B12546,""en"",""es-ES"")"),"Una audiencia los está viendo tocar.")</f>
        <v>Una audiencia los está viendo tocar.</v>
      </c>
    </row>
    <row r="12547">
      <c r="A12547" s="4" t="s">
        <v>15783</v>
      </c>
      <c r="B12547" s="4" t="s">
        <v>15786</v>
      </c>
      <c r="C12547" s="5" t="str">
        <f>IFERROR(__xludf.DUMMYFUNCTION("GOOGLETRANSLATE(B12547,""en"",""es-ES"")"),"Se muestra una caricatura de personas jugando.")</f>
        <v>Se muestra una caricatura de personas jugando.</v>
      </c>
    </row>
    <row r="12548">
      <c r="A12548" s="4" t="s">
        <v>15783</v>
      </c>
      <c r="B12548" s="4" t="s">
        <v>15787</v>
      </c>
      <c r="C12548" s="5" t="str">
        <f>IFERROR(__xludf.DUMMYFUNCTION("GOOGLETRANSLATE(B12548,""en"",""es-ES"")"),"Un hombre con un suéter azul está hablando con la cámara.")</f>
        <v>Un hombre con un suéter azul está hablando con la cámara.</v>
      </c>
    </row>
    <row r="12549">
      <c r="A12549" s="4" t="s">
        <v>15788</v>
      </c>
      <c r="B12549" s="4" t="s">
        <v>15789</v>
      </c>
      <c r="C12549" s="5" t="str">
        <f>IFERROR(__xludf.DUMMYFUNCTION("GOOGLETRANSLATE(B12549,""en"",""es-ES"")"),"El panadero está poniendo un anillo seguro en un moldeador de silicona.")</f>
        <v>El panadero está poniendo un anillo seguro en un moldeador de silicona.</v>
      </c>
    </row>
    <row r="12550">
      <c r="A12550" s="4" t="s">
        <v>15788</v>
      </c>
      <c r="B12550" s="4" t="s">
        <v>15790</v>
      </c>
      <c r="C12550" s="5" t="str">
        <f>IFERROR(__xludf.DUMMYFUNCTION("GOOGLETRANSLATE(B12550,""en"",""es-ES"")"),"El panadero vierte la masa en el moldeador púrpura, luego coloca una bandeja de silicona en el horno y coloca el pastel en el horno.")</f>
        <v>El panadero vierte la masa en el moldeador púrpura, luego coloca una bandeja de silicona en el horno y coloca el pastel en el horno.</v>
      </c>
    </row>
    <row r="12551">
      <c r="A12551" s="4" t="s">
        <v>15788</v>
      </c>
      <c r="B12551" s="4" t="s">
        <v>15791</v>
      </c>
      <c r="C12551" s="5" t="str">
        <f>IFERROR(__xludf.DUMMYFUNCTION("GOOGLETRANSLATE(B12551,""en"",""es-ES"")"),"El panadero gira sobre el pastel en el plato y pone el glaseado y las frutas en la parte superior.")</f>
        <v>El panadero gira sobre el pastel en el plato y pone el glaseado y las frutas en la parte superior.</v>
      </c>
    </row>
    <row r="12552">
      <c r="A12552" s="4" t="s">
        <v>15788</v>
      </c>
      <c r="B12552" s="4" t="s">
        <v>15792</v>
      </c>
      <c r="C12552" s="5" t="str">
        <f>IFERROR(__xludf.DUMMYFUNCTION("GOOGLETRANSLATE(B12552,""en"",""es-ES"")"),"El panadero puso a Safety Ling en el moldeador, puso gelatina, luego puso la gelatina del moldeador.")</f>
        <v>El panadero puso a Safety Ling en el moldeador, puso gelatina, luego puso la gelatina del moldeador.</v>
      </c>
    </row>
    <row r="12553">
      <c r="A12553" s="4" t="s">
        <v>15788</v>
      </c>
      <c r="B12553" s="4" t="s">
        <v>15793</v>
      </c>
      <c r="C12553" s="5" t="str">
        <f>IFERROR(__xludf.DUMMYFUNCTION("GOOGLETRANSLATE(B12553,""en"",""es-ES"")"),"El panadero hizo paletas y decoraciones de pasteles y chocolates con el moldeador.")</f>
        <v>El panadero hizo paletas y decoraciones de pasteles y chocolates con el moldeador.</v>
      </c>
    </row>
    <row r="12554">
      <c r="A12554" s="4" t="s">
        <v>15794</v>
      </c>
      <c r="B12554" s="4" t="s">
        <v>15795</v>
      </c>
      <c r="C12554" s="5" t="str">
        <f>IFERROR(__xludf.DUMMYFUNCTION("GOOGLETRANSLATE(B12554,""en"",""es-ES"")"),"Se ve a un hombre montando en un caballo y luego tiene un ternero mientras otros miran.")</f>
        <v>Se ve a un hombre montando en un caballo y luego tiene un ternero mientras otros miran.</v>
      </c>
    </row>
    <row r="12555">
      <c r="A12555" s="4" t="s">
        <v>15794</v>
      </c>
      <c r="B12555" s="4" t="s">
        <v>15796</v>
      </c>
      <c r="C12555" s="5" t="str">
        <f>IFERROR(__xludf.DUMMYFUNCTION("GOOGLETRANSLATE(B12555,""en"",""es-ES"")"),"El hombre luego ata la pantorrilla y sube sobre el caballo y otros entran en el ring.")</f>
        <v>El hombre luego ata la pantorrilla y sube sobre el caballo y otros entran en el ring.</v>
      </c>
    </row>
    <row r="12556">
      <c r="A12556" s="4" t="s">
        <v>15797</v>
      </c>
      <c r="B12556" s="4" t="s">
        <v>15798</v>
      </c>
      <c r="C12556" s="5" t="str">
        <f>IFERROR(__xludf.DUMMYFUNCTION("GOOGLETRANSLATE(B12556,""en"",""es-ES"")"),"Una gimnasta femenina se muestra en una fotografía.")</f>
        <v>Una gimnasta femenina se muestra en una fotografía.</v>
      </c>
    </row>
    <row r="12557">
      <c r="A12557" s="4" t="s">
        <v>15797</v>
      </c>
      <c r="B12557" s="4" t="s">
        <v>15799</v>
      </c>
      <c r="C12557" s="5" t="str">
        <f>IFERROR(__xludf.DUMMYFUNCTION("GOOGLETRANSLATE(B12557,""en"",""es-ES"")"),"Luego se le muestra preparando y luego montando una viga alta.")</f>
        <v>Luego se le muestra preparando y luego montando una viga alta.</v>
      </c>
    </row>
    <row r="12558">
      <c r="A12558" s="4" t="s">
        <v>15797</v>
      </c>
      <c r="B12558" s="4" t="s">
        <v>15800</v>
      </c>
      <c r="C12558" s="5" t="str">
        <f>IFERROR(__xludf.DUMMYFUNCTION("GOOGLETRANSLATE(B12558,""en"",""es-ES"")"),"Ella voltea y enciende la viga, cambiando entre dos vigas.")</f>
        <v>Ella voltea y enciende la viga, cambiando entre dos vigas.</v>
      </c>
    </row>
    <row r="12559">
      <c r="A12559" s="4" t="s">
        <v>15797</v>
      </c>
      <c r="B12559" s="4" t="s">
        <v>15801</v>
      </c>
      <c r="C12559" s="5" t="str">
        <f>IFERROR(__xludf.DUMMYFUNCTION("GOOGLETRANSLATE(B12559,""en"",""es-ES"")"),"Ella desmonta, arrojando los brazos al aire triunfante.")</f>
        <v>Ella desmonta, arrojando los brazos al aire triunfante.</v>
      </c>
    </row>
    <row r="12560">
      <c r="A12560" s="4" t="s">
        <v>15802</v>
      </c>
      <c r="B12560" s="4" t="s">
        <v>15803</v>
      </c>
      <c r="C12560" s="5" t="str">
        <f>IFERROR(__xludf.DUMMYFUNCTION("GOOGLETRANSLATE(B12560,""en"",""es-ES"")"),"Un niño está sentado en un mostrador con un recipiente de colores de agua.")</f>
        <v>Un niño está sentado en un mostrador con un recipiente de colores de agua.</v>
      </c>
    </row>
    <row r="12561">
      <c r="A12561" s="4" t="s">
        <v>15802</v>
      </c>
      <c r="B12561" s="4" t="s">
        <v>15804</v>
      </c>
      <c r="C12561" s="5" t="str">
        <f>IFERROR(__xludf.DUMMYFUNCTION("GOOGLETRANSLATE(B12561,""en"",""es-ES"")"),"Ella está usando un pincel para aplicar las pinturas en su cara.")</f>
        <v>Ella está usando un pincel para aplicar las pinturas en su cara.</v>
      </c>
    </row>
    <row r="12562">
      <c r="A12562" s="4" t="s">
        <v>15802</v>
      </c>
      <c r="B12562" s="4" t="s">
        <v>15805</v>
      </c>
      <c r="C12562" s="5" t="str">
        <f>IFERROR(__xludf.DUMMYFUNCTION("GOOGLETRANSLATE(B12562,""en"",""es-ES"")"),"Luego comienza a poner la pintura sobre su pecho.")</f>
        <v>Luego comienza a poner la pintura sobre su pecho.</v>
      </c>
    </row>
    <row r="12563">
      <c r="A12563" s="4" t="s">
        <v>15806</v>
      </c>
      <c r="B12563" s="4" t="s">
        <v>15807</v>
      </c>
      <c r="C12563" s="5" t="str">
        <f>IFERROR(__xludf.DUMMYFUNCTION("GOOGLETRANSLATE(B12563,""en"",""es-ES"")"),"Se muestra una cuenta regresiva que lleva a una persona anotando una canasta en un juego.")</f>
        <v>Se muestra una cuenta regresiva que lleva a una persona anotando una canasta en un juego.</v>
      </c>
    </row>
    <row r="12564">
      <c r="A12564" s="4" t="s">
        <v>15806</v>
      </c>
      <c r="B12564" s="4" t="s">
        <v>15808</v>
      </c>
      <c r="C12564" s="5" t="str">
        <f>IFERROR(__xludf.DUMMYFUNCTION("GOOGLETRANSLATE(B12564,""en"",""es-ES"")"),"Se muestra más texto contando una lista y muestra a otra persona anotando un punto.")</f>
        <v>Se muestra más texto contando una lista y muestra a otra persona anotando un punto.</v>
      </c>
    </row>
    <row r="12565">
      <c r="A12565" s="4" t="s">
        <v>15806</v>
      </c>
      <c r="B12565" s="4" t="s">
        <v>15809</v>
      </c>
      <c r="C12565" s="5" t="str">
        <f>IFERROR(__xludf.DUMMYFUNCTION("GOOGLETRANSLATE(B12565,""en"",""es-ES"")"),"Se muestran varias tomas más de personas que realizan tácticas deportivas impresionantes, mientras que la lista cuenta con la baja.")</f>
        <v>Se muestran varias tomas más de personas que realizan tácticas deportivas impresionantes, mientras que la lista cuenta con la baja.</v>
      </c>
    </row>
    <row r="12566">
      <c r="A12566" s="4" t="s">
        <v>15810</v>
      </c>
      <c r="B12566" s="4" t="s">
        <v>15811</v>
      </c>
      <c r="C12566" s="5" t="str">
        <f>IFERROR(__xludf.DUMMYFUNCTION("GOOGLETRANSLATE(B12566,""en"",""es-ES"")"),"Un bote pasa a un lago con una cuerda detrás.")</f>
        <v>Un bote pasa a un lago con una cuerda detrás.</v>
      </c>
    </row>
    <row r="12567">
      <c r="A12567" s="4" t="s">
        <v>15810</v>
      </c>
      <c r="B12567" s="4" t="s">
        <v>15812</v>
      </c>
      <c r="C12567" s="5" t="str">
        <f>IFERROR(__xludf.DUMMYFUNCTION("GOOGLETRANSLATE(B12567,""en"",""es-ES"")"),"Un niño agarra la cuerda y entra al agua después del bote.")</f>
        <v>Un niño agarra la cuerda y entra al agua después del bote.</v>
      </c>
    </row>
    <row r="12568">
      <c r="A12568" s="4" t="s">
        <v>15810</v>
      </c>
      <c r="B12568" s="4" t="s">
        <v>15813</v>
      </c>
      <c r="C12568" s="5" t="str">
        <f>IFERROR(__xludf.DUMMYFUNCTION("GOOGLETRANSLATE(B12568,""en"",""es-ES"")"),"El bote comienza a acelerar.")</f>
        <v>El bote comienza a acelerar.</v>
      </c>
    </row>
    <row r="12569">
      <c r="A12569" s="4" t="s">
        <v>15810</v>
      </c>
      <c r="B12569" s="4" t="s">
        <v>15814</v>
      </c>
      <c r="C12569" s="5" t="str">
        <f>IFERROR(__xludf.DUMMYFUNCTION("GOOGLETRANSLATE(B12569,""en"",""es-ES"")"),"El niño se pone de pie y comienza a esquiar en el agua.")</f>
        <v>El niño se pone de pie y comienza a esquiar en el agua.</v>
      </c>
    </row>
    <row r="12570">
      <c r="A12570" s="4" t="s">
        <v>15815</v>
      </c>
      <c r="B12570" s="4" t="s">
        <v>15816</v>
      </c>
      <c r="C12570" s="5" t="str">
        <f>IFERROR(__xludf.DUMMYFUNCTION("GOOGLETRANSLATE(B12570,""en"",""es-ES"")"),"Un hombre camina sobre una estera y levanta un gran peso sobre su cabeza.")</f>
        <v>Un hombre camina sobre una estera y levanta un gran peso sobre su cabeza.</v>
      </c>
    </row>
    <row r="12571">
      <c r="A12571" s="4" t="s">
        <v>15815</v>
      </c>
      <c r="B12571" s="4" t="s">
        <v>15817</v>
      </c>
      <c r="C12571" s="5" t="str">
        <f>IFERROR(__xludf.DUMMYFUNCTION("GOOGLETRANSLATE(B12571,""en"",""es-ES"")"),"Un hombre con una camisa roja está sentada.")</f>
        <v>Un hombre con una camisa roja está sentada.</v>
      </c>
    </row>
    <row r="12572">
      <c r="A12572" s="4" t="s">
        <v>15815</v>
      </c>
      <c r="B12572" s="4" t="s">
        <v>15818</v>
      </c>
      <c r="C12572" s="5" t="str">
        <f>IFERROR(__xludf.DUMMYFUNCTION("GOOGLETRANSLATE(B12572,""en"",""es-ES"")"),"Un hombre camina y levanta un gran peso sobre su cabeza y lo deja caer en el suelo.")</f>
        <v>Un hombre camina y levanta un gran peso sobre su cabeza y lo deja caer en el suelo.</v>
      </c>
    </row>
    <row r="12573">
      <c r="A12573" s="4" t="s">
        <v>15815</v>
      </c>
      <c r="B12573" s="4" t="s">
        <v>15819</v>
      </c>
      <c r="C12573" s="5" t="str">
        <f>IFERROR(__xludf.DUMMYFUNCTION("GOOGLETRANSLATE(B12573,""en"",""es-ES"")"),"Otro hombre entra en la colchoneta y levanta un peso sobre su cabeza.")</f>
        <v>Otro hombre entra en la colchoneta y levanta un peso sobre su cabeza.</v>
      </c>
    </row>
    <row r="12574">
      <c r="A12574" s="4" t="s">
        <v>15820</v>
      </c>
      <c r="B12574" s="4" t="s">
        <v>15821</v>
      </c>
      <c r="C12574" s="5" t="str">
        <f>IFERROR(__xludf.DUMMYFUNCTION("GOOGLETRANSLATE(B12574,""en"",""es-ES"")"),"Se ve a un hombre parado frente a un espejo sosteniendo una maquinilla de afeitar.")</f>
        <v>Se ve a un hombre parado frente a un espejo sosteniendo una maquinilla de afeitar.</v>
      </c>
    </row>
    <row r="12575">
      <c r="A12575" s="4" t="s">
        <v>15820</v>
      </c>
      <c r="B12575" s="4" t="s">
        <v>15822</v>
      </c>
      <c r="C12575" s="5" t="str">
        <f>IFERROR(__xludf.DUMMYFUNCTION("GOOGLETRANSLATE(B12575,""en"",""es-ES"")"),"Luego comienza a afeitarse la cara mientras aún mira en el espejo.")</f>
        <v>Luego comienza a afeitarse la cara mientras aún mira en el espejo.</v>
      </c>
    </row>
    <row r="12576">
      <c r="A12576" s="4" t="s">
        <v>15820</v>
      </c>
      <c r="B12576" s="4" t="s">
        <v>15823</v>
      </c>
      <c r="C12576" s="5" t="str">
        <f>IFERROR(__xludf.DUMMYFUNCTION("GOOGLETRANSLATE(B12576,""en"",""es-ES"")"),"Termina afeitándose la cara y mira hacia atrás sonriendo a la cámara.")</f>
        <v>Termina afeitándose la cara y mira hacia atrás sonriendo a la cámara.</v>
      </c>
    </row>
    <row r="12577">
      <c r="A12577" s="4" t="s">
        <v>15824</v>
      </c>
      <c r="B12577" s="4" t="s">
        <v>15825</v>
      </c>
      <c r="C12577" s="5" t="str">
        <f>IFERROR(__xludf.DUMMYFUNCTION("GOOGLETRANSLATE(B12577,""en"",""es-ES"")"),"La niña con cabello largo está bailando en una sala de estar con muchas botas y zapatos en el piso, se los puso y se lo quitó.")</f>
        <v>La niña con cabello largo está bailando en una sala de estar con muchas botas y zapatos en el piso, se los puso y se lo quitó.</v>
      </c>
    </row>
    <row r="12578">
      <c r="A12578" s="4" t="s">
        <v>15824</v>
      </c>
      <c r="B12578" s="4" t="s">
        <v>15826</v>
      </c>
      <c r="C12578" s="5" t="str">
        <f>IFERROR(__xludf.DUMMYFUNCTION("GOOGLETRANSLATE(B12578,""en"",""es-ES"")"),"La chica está en el patineta en la sala de estar y de nuevo en la habitación.")</f>
        <v>La chica está en el patineta en la sala de estar y de nuevo en la habitación.</v>
      </c>
    </row>
    <row r="12579">
      <c r="A12579" s="4" t="s">
        <v>15824</v>
      </c>
      <c r="B12579" s="4" t="s">
        <v>15827</v>
      </c>
      <c r="C12579" s="5" t="str">
        <f>IFERROR(__xludf.DUMMYFUNCTION("GOOGLETRANSLATE(B12579,""en"",""es-ES"")"),"La niña está en la biblioteca y toma algo y luego comienza a bailar en la habitación.")</f>
        <v>La niña está en la biblioteca y toma algo y luego comienza a bailar en la habitación.</v>
      </c>
    </row>
    <row r="12580">
      <c r="A12580" s="4" t="s">
        <v>15828</v>
      </c>
      <c r="B12580" s="4" t="s">
        <v>15829</v>
      </c>
      <c r="C12580" s="5" t="str">
        <f>IFERROR(__xludf.DUMMYFUNCTION("GOOGLETRANSLATE(B12580,""en"",""es-ES"")"),"La gente está sentada detrás de grandes tambores.")</f>
        <v>La gente está sentada detrás de grandes tambores.</v>
      </c>
    </row>
    <row r="12581">
      <c r="A12581" s="4" t="s">
        <v>15828</v>
      </c>
      <c r="B12581" s="4" t="s">
        <v>15830</v>
      </c>
      <c r="C12581" s="5" t="str">
        <f>IFERROR(__xludf.DUMMYFUNCTION("GOOGLETRANSLATE(B12581,""en"",""es-ES"")"),"Comienzan a tocar la batería con las manos.")</f>
        <v>Comienzan a tocar la batería con las manos.</v>
      </c>
    </row>
    <row r="12582">
      <c r="A12582" s="4" t="s">
        <v>15828</v>
      </c>
      <c r="B12582" s="4" t="s">
        <v>15831</v>
      </c>
      <c r="C12582" s="5" t="str">
        <f>IFERROR(__xludf.DUMMYFUNCTION("GOOGLETRANSLATE(B12582,""en"",""es-ES"")"),"La gente se encuentra en la calle mirándolos.")</f>
        <v>La gente se encuentra en la calle mirándolos.</v>
      </c>
    </row>
    <row r="12583">
      <c r="A12583" s="4" t="s">
        <v>15828</v>
      </c>
      <c r="B12583" s="4" t="s">
        <v>15832</v>
      </c>
      <c r="C12583" s="5" t="str">
        <f>IFERROR(__xludf.DUMMYFUNCTION("GOOGLETRANSLATE(B12583,""en"",""es-ES"")"),"Un hombre recoge su silla y la pone al revés en la batería.")</f>
        <v>Un hombre recoge su silla y la pone al revés en la batería.</v>
      </c>
    </row>
    <row r="12584">
      <c r="A12584" s="4" t="s">
        <v>15833</v>
      </c>
      <c r="B12584" s="4" t="s">
        <v>15834</v>
      </c>
      <c r="C12584" s="5" t="str">
        <f>IFERROR(__xludf.DUMMYFUNCTION("GOOGLETRANSLATE(B12584,""en"",""es-ES"")"),"Un hombre y una mujer están en un escenario juntos.")</f>
        <v>Un hombre y una mujer están en un escenario juntos.</v>
      </c>
    </row>
    <row r="12585">
      <c r="A12585" s="4" t="s">
        <v>15833</v>
      </c>
      <c r="B12585" s="4" t="s">
        <v>15835</v>
      </c>
      <c r="C12585" s="5" t="str">
        <f>IFERROR(__xludf.DUMMYFUNCTION("GOOGLETRANSLATE(B12585,""en"",""es-ES"")"),"Rápidamente tocan la batería ante una multitud.")</f>
        <v>Rápidamente tocan la batería ante una multitud.</v>
      </c>
    </row>
    <row r="12586">
      <c r="A12586" s="4" t="s">
        <v>15833</v>
      </c>
      <c r="B12586" s="4" t="s">
        <v>15836</v>
      </c>
      <c r="C12586" s="5" t="str">
        <f>IFERROR(__xludf.DUMMYFUNCTION("GOOGLETRANSLATE(B12586,""en"",""es-ES"")"),"Luego se ve a un hombre mayor también tocando la batería.")</f>
        <v>Luego se ve a un hombre mayor también tocando la batería.</v>
      </c>
    </row>
    <row r="12587">
      <c r="A12587" s="4" t="s">
        <v>15837</v>
      </c>
      <c r="B12587" s="4" t="s">
        <v>15838</v>
      </c>
      <c r="C12587" s="5" t="str">
        <f>IFERROR(__xludf.DUMMYFUNCTION("GOOGLETRANSLATE(B12587,""en"",""es-ES"")"),"Una cámara se mueve alrededor de una tienda y regresa a una chica que habla.")</f>
        <v>Una cámara se mueve alrededor de una tienda y regresa a una chica que habla.</v>
      </c>
    </row>
    <row r="12588">
      <c r="A12588" s="4" t="s">
        <v>15837</v>
      </c>
      <c r="B12588" s="4" t="s">
        <v>15839</v>
      </c>
      <c r="C12588" s="5" t="str">
        <f>IFERROR(__xludf.DUMMYFUNCTION("GOOGLETRANSLATE(B12588,""en"",""es-ES"")"),"Ella señala su rostro varias veces y da un pequeño recorrido por su habitación.")</f>
        <v>Ella señala su rostro varias veces y da un pequeño recorrido por su habitación.</v>
      </c>
    </row>
    <row r="12589">
      <c r="A12589" s="4" t="s">
        <v>15837</v>
      </c>
      <c r="B12589" s="4" t="s">
        <v>15840</v>
      </c>
      <c r="C12589" s="5" t="str">
        <f>IFERROR(__xludf.DUMMYFUNCTION("GOOGLETRANSLATE(B12589,""en"",""es-ES"")"),"Ella continúa hablando con la cámara y finalmente muestra imágenes de su nariz perforada.")</f>
        <v>Ella continúa hablando con la cámara y finalmente muestra imágenes de su nariz perforada.</v>
      </c>
    </row>
    <row r="12590">
      <c r="A12590" s="4" t="s">
        <v>15837</v>
      </c>
      <c r="B12590" s="4" t="s">
        <v>15841</v>
      </c>
      <c r="C12590" s="5" t="str">
        <f>IFERROR(__xludf.DUMMYFUNCTION("GOOGLETRANSLATE(B12590,""en"",""es-ES"")"),"Ella se apaga en la habitación con la nariz perforada y muestra una bebida y sushi.")</f>
        <v>Ella se apaga en la habitación con la nariz perforada y muestra una bebida y sushi.</v>
      </c>
    </row>
    <row r="12591">
      <c r="A12591" s="4" t="s">
        <v>15837</v>
      </c>
      <c r="B12591" s="4" t="s">
        <v>15842</v>
      </c>
      <c r="C12591" s="5" t="str">
        <f>IFERROR(__xludf.DUMMYFUNCTION("GOOGLETRANSLATE(B12591,""en"",""es-ES"")"),"Finalmente muestra un libro, así como una bolsa con polvo blanco y ella misma en una cola de caballo.")</f>
        <v>Finalmente muestra un libro, así como una bolsa con polvo blanco y ella misma en una cola de caballo.</v>
      </c>
    </row>
    <row r="12592">
      <c r="A12592" s="4" t="s">
        <v>15843</v>
      </c>
      <c r="B12592" s="4" t="s">
        <v>15844</v>
      </c>
      <c r="C12592" s="5" t="str">
        <f>IFERROR(__xludf.DUMMYFUNCTION("GOOGLETRANSLATE(B12592,""en"",""es-ES"")"),"Un hombre habla en el frente del baterista y sosteniendo dos palos.")</f>
        <v>Un hombre habla en el frente del baterista y sosteniendo dos palos.</v>
      </c>
    </row>
    <row r="12593">
      <c r="A12593" s="4" t="s">
        <v>15843</v>
      </c>
      <c r="B12593" s="4" t="s">
        <v>15845</v>
      </c>
      <c r="C12593" s="5" t="str">
        <f>IFERROR(__xludf.DUMMYFUNCTION("GOOGLETRANSLATE(B12593,""en"",""es-ES"")"),"El hombre finge tocar la batería, y luego continúa hablando.")</f>
        <v>El hombre finge tocar la batería, y luego continúa hablando.</v>
      </c>
    </row>
    <row r="12594">
      <c r="A12594" s="4" t="s">
        <v>15846</v>
      </c>
      <c r="B12594" s="4" t="s">
        <v>15847</v>
      </c>
      <c r="C12594" s="5" t="str">
        <f>IFERROR(__xludf.DUMMYFUNCTION("GOOGLETRANSLATE(B12594,""en"",""es-ES"")"),"Una mujer que usa camiseta sin mangas azul claro y pantalones cortos negros está haciendo ejercicio en una elíptica.")</f>
        <v>Una mujer que usa camiseta sin mangas azul claro y pantalones cortos negros está haciendo ejercicio en una elíptica.</v>
      </c>
    </row>
    <row r="12595">
      <c r="A12595" s="4" t="s">
        <v>15846</v>
      </c>
      <c r="B12595" s="4" t="s">
        <v>15848</v>
      </c>
      <c r="C12595" s="5" t="str">
        <f>IFERROR(__xludf.DUMMYFUNCTION("GOOGLETRANSLATE(B12595,""en"",""es-ES"")"),"Ella continúa caminando sobre la elíptica mientras mueve sus manos hacia adelante y hacia atrás.")</f>
        <v>Ella continúa caminando sobre la elíptica mientras mueve sus manos hacia adelante y hacia atrás.</v>
      </c>
    </row>
    <row r="12596">
      <c r="A12596" s="4" t="s">
        <v>15846</v>
      </c>
      <c r="B12596" s="4" t="s">
        <v>15849</v>
      </c>
      <c r="C12596" s="5" t="str">
        <f>IFERROR(__xludf.DUMMYFUNCTION("GOOGLETRANSLATE(B12596,""en"",""es-ES"")"),"Luego termina su rutina de ejercicios, sale del equipo y toma una copa de agua de una botella de agua azul.")</f>
        <v>Luego termina su rutina de ejercicios, sale del equipo y toma una copa de agua de una botella de agua azul.</v>
      </c>
    </row>
    <row r="12597">
      <c r="A12597" s="4" t="s">
        <v>15846</v>
      </c>
      <c r="B12597" s="4" t="s">
        <v>15850</v>
      </c>
      <c r="C12597" s="5" t="str">
        <f>IFERROR(__xludf.DUMMYFUNCTION("GOOGLETRANSLATE(B12597,""en"",""es-ES"")"),"Ella se aleja sosteniendo la botella en su mano.")</f>
        <v>Ella se aleja sosteniendo la botella en su mano.</v>
      </c>
    </row>
    <row r="12598">
      <c r="A12598" s="4" t="s">
        <v>15851</v>
      </c>
      <c r="B12598" s="4" t="s">
        <v>15852</v>
      </c>
      <c r="C12598" s="5" t="str">
        <f>IFERROR(__xludf.DUMMYFUNCTION("GOOGLETRANSLATE(B12598,""en"",""es-ES"")"),"Vemos a una niña pintando una cerca roja.")</f>
        <v>Vemos a una niña pintando una cerca roja.</v>
      </c>
    </row>
    <row r="12599">
      <c r="A12599" s="4" t="s">
        <v>15851</v>
      </c>
      <c r="B12599" s="4" t="s">
        <v>15853</v>
      </c>
      <c r="C12599" s="5" t="str">
        <f>IFERROR(__xludf.DUMMYFUNCTION("GOOGLETRANSLATE(B12599,""en"",""es-ES"")"),"La niña pone más pintura en su cepillo.")</f>
        <v>La niña pone más pintura en su cepillo.</v>
      </c>
    </row>
    <row r="12600">
      <c r="A12600" s="4" t="s">
        <v>15851</v>
      </c>
      <c r="B12600" s="4" t="s">
        <v>15854</v>
      </c>
      <c r="C12600" s="5" t="str">
        <f>IFERROR(__xludf.DUMMYFUNCTION("GOOGLETRANSLATE(B12600,""en"",""es-ES"")"),"La niña vuelve a llenar su cepillo.")</f>
        <v>La niña vuelve a llenar su cepillo.</v>
      </c>
    </row>
    <row r="12601">
      <c r="A12601" s="4" t="s">
        <v>15851</v>
      </c>
      <c r="B12601" s="4" t="s">
        <v>15855</v>
      </c>
      <c r="C12601" s="5" t="str">
        <f>IFERROR(__xludf.DUMMYFUNCTION("GOOGLETRANSLATE(B12601,""en"",""es-ES"")"),"Vemos la cerca y un adulto le muestra cómo pintar.")</f>
        <v>Vemos la cerca y un adulto le muestra cómo pintar.</v>
      </c>
    </row>
    <row r="12602">
      <c r="A12602" s="4" t="s">
        <v>15851</v>
      </c>
      <c r="B12602" s="4" t="s">
        <v>15856</v>
      </c>
      <c r="C12602" s="5" t="str">
        <f>IFERROR(__xludf.DUMMYFUNCTION("GOOGLETRANSLATE(B12602,""en"",""es-ES"")"),"El adulto apunta en un lugar perdido.")</f>
        <v>El adulto apunta en un lugar perdido.</v>
      </c>
    </row>
    <row r="12603">
      <c r="A12603" s="4" t="s">
        <v>15857</v>
      </c>
      <c r="B12603" s="4" t="s">
        <v>15858</v>
      </c>
      <c r="C12603" s="5" t="str">
        <f>IFERROR(__xludf.DUMMYFUNCTION("GOOGLETRANSLATE(B12603,""en"",""es-ES"")"),"Una mujer con cabello negro está explicando algo.")</f>
        <v>Una mujer con cabello negro está explicando algo.</v>
      </c>
    </row>
    <row r="12604">
      <c r="A12604" s="4" t="s">
        <v>15857</v>
      </c>
      <c r="B12604" s="4" t="s">
        <v>15859</v>
      </c>
      <c r="C12604" s="5" t="str">
        <f>IFERROR(__xludf.DUMMYFUNCTION("GOOGLETRANSLATE(B12604,""en"",""es-ES"")"),"La mujer saca un recipiente con rollos de cabello.")</f>
        <v>La mujer saca un recipiente con rollos de cabello.</v>
      </c>
    </row>
    <row r="12605">
      <c r="A12605" s="4" t="s">
        <v>15857</v>
      </c>
      <c r="B12605" s="4" t="s">
        <v>15860</v>
      </c>
      <c r="C12605" s="5" t="str">
        <f>IFERROR(__xludf.DUMMYFUNCTION("GOOGLETRANSLATE(B12605,""en"",""es-ES"")"),"La mujer saca una botella de champú.")</f>
        <v>La mujer saca una botella de champú.</v>
      </c>
    </row>
    <row r="12606">
      <c r="A12606" s="4" t="s">
        <v>15857</v>
      </c>
      <c r="B12606" s="4" t="s">
        <v>15861</v>
      </c>
      <c r="C12606" s="5" t="str">
        <f>IFERROR(__xludf.DUMMYFUNCTION("GOOGLETRANSLATE(B12606,""en"",""es-ES"")"),"La mujer se rueda el cabello y lo ata en su lugar y lo deja durante diez minutos.")</f>
        <v>La mujer se rueda el cabello y lo ata en su lugar y lo deja durante diez minutos.</v>
      </c>
    </row>
    <row r="12607">
      <c r="A12607" s="4" t="s">
        <v>15857</v>
      </c>
      <c r="B12607" s="4" t="s">
        <v>15862</v>
      </c>
      <c r="C12607" s="5" t="str">
        <f>IFERROR(__xludf.DUMMYFUNCTION("GOOGLETRANSLATE(B12607,""en"",""es-ES"")"),"La mujer se quita los rollos de su cabello.")</f>
        <v>La mujer se quita los rollos de su cabello.</v>
      </c>
    </row>
    <row r="12608">
      <c r="A12608" s="4" t="s">
        <v>15857</v>
      </c>
      <c r="B12608" s="4" t="s">
        <v>15863</v>
      </c>
      <c r="C12608" s="5" t="str">
        <f>IFERROR(__xludf.DUMMYFUNCTION("GOOGLETRANSLATE(B12608,""en"",""es-ES"")"),"La mujer saca el spray de cabello y lo rocía sobre su cabello.")</f>
        <v>La mujer saca el spray de cabello y lo rocía sobre su cabello.</v>
      </c>
    </row>
    <row r="12609">
      <c r="A12609" s="4" t="s">
        <v>15864</v>
      </c>
      <c r="B12609" s="4" t="s">
        <v>15865</v>
      </c>
      <c r="C12609" s="5" t="str">
        <f>IFERROR(__xludf.DUMMYFUNCTION("GOOGLETRANSLATE(B12609,""en"",""es-ES"")"),"Hay mucha gente en el interior en un gran edificio caminando, o pasando el rato, y la bandera de abajo ""¿Qué en el mundo?")</f>
        <v>Hay mucha gente en el interior en un gran edificio caminando, o pasando el rato, y la bandera de abajo "¿Qué en el mundo?</v>
      </c>
    </row>
    <row r="12610">
      <c r="A12610" s="4" t="s">
        <v>15864</v>
      </c>
      <c r="B12610" s="4" t="s">
        <v>15866</v>
      </c>
      <c r="C12610" s="5" t="str">
        <f>IFERROR(__xludf.DUMMYFUNCTION("GOOGLETRANSLATE(B12610,""en"",""es-ES"")"),"Hay dos conjuntos de personas a lo largo de una cuerda y están separados en el medio por los árbitros.")</f>
        <v>Hay dos conjuntos de personas a lo largo de una cuerda y están separados en el medio por los árbitros.</v>
      </c>
    </row>
    <row r="12611">
      <c r="A12611" s="4" t="s">
        <v>15864</v>
      </c>
      <c r="B12611" s="4" t="s">
        <v>15867</v>
      </c>
      <c r="C12611" s="5" t="str">
        <f>IFERROR(__xludf.DUMMYFUNCTION("GOOGLETRANSLATE(B12611,""en"",""es-ES"")"),"Toman un arco, recogen la cuerda, y cada equipo comienza a tirar de la cuerda hasta que se llama a un ganador.")</f>
        <v>Toman un arco, recogen la cuerda, y cada equipo comienza a tirar de la cuerda hasta que se llama a un ganador.</v>
      </c>
    </row>
    <row r="12612">
      <c r="A12612" s="4" t="s">
        <v>15864</v>
      </c>
      <c r="B12612" s="4" t="s">
        <v>15868</v>
      </c>
      <c r="C12612" s="5" t="str">
        <f>IFERROR(__xludf.DUMMYFUNCTION("GOOGLETRANSLATE(B12612,""en"",""es-ES"")"),"Una mujer árbitro ahora está de pie con sus dos brazos y los decepciona para indicar que los dos equipos pueden comenzar a tirar de la cuerda, y lo hacen hasta que ella sopla un silbato para indicar al ganador.")</f>
        <v>Una mujer árbitro ahora está de pie con sus dos brazos y los decepciona para indicar que los dos equipos pueden comenzar a tirar de la cuerda, y lo hacen hasta que ella sopla un silbato para indicar al ganador.</v>
      </c>
    </row>
    <row r="12613">
      <c r="A12613" s="4" t="s">
        <v>15864</v>
      </c>
      <c r="B12613" s="4" t="s">
        <v>15869</v>
      </c>
      <c r="C12613" s="5" t="str">
        <f>IFERROR(__xludf.DUMMYFUNCTION("GOOGLETRANSLATE(B12613,""en"",""es-ES"")"),"Se reproducen dos clips cortos y muestra un partido de tira y afloja para mujeres, luego un hombre, pero no muestra mucho y luego va directamente a las tomas al aire libre de la ciudad y el texto en la pantalla aparece con el logotipo de la red, el sitio "&amp;"web, el sitio web, y derechos del video.")</f>
        <v>Se reproducen dos clips cortos y muestra un partido de tira y afloja para mujeres, luego un hombre, pero no muestra mucho y luego va directamente a las tomas al aire libre de la ciudad y el texto en la pantalla aparece con el logotipo de la red, el sitio web, el sitio web, y derechos del video.</v>
      </c>
    </row>
    <row r="12614">
      <c r="A12614" s="4" t="s">
        <v>15870</v>
      </c>
      <c r="B12614" s="4" t="s">
        <v>15871</v>
      </c>
      <c r="C12614" s="5" t="str">
        <f>IFERROR(__xludf.DUMMYFUNCTION("GOOGLETRANSLATE(B12614,""en"",""es-ES"")"),"Un hombre conduce un automóvil, el automóvil se detiene con una llanta pinchada.")</f>
        <v>Un hombre conduce un automóvil, el automóvil se detiene con una llanta pinchada.</v>
      </c>
    </row>
    <row r="12615">
      <c r="A12615" s="4" t="s">
        <v>15870</v>
      </c>
      <c r="B12615" s="4" t="s">
        <v>15872</v>
      </c>
      <c r="C12615" s="5" t="str">
        <f>IFERROR(__xludf.DUMMYFUNCTION("GOOGLETRANSLATE(B12615,""en"",""es-ES"")"),"El hombre apaga las luces de emergencia y luego usa un kit de reparación para inflar el neumático.")</f>
        <v>El hombre apaga las luces de emergencia y luego usa un kit de reparación para inflar el neumático.</v>
      </c>
    </row>
    <row r="12616">
      <c r="A12616" s="4" t="s">
        <v>15870</v>
      </c>
      <c r="B12616" s="4" t="s">
        <v>15873</v>
      </c>
      <c r="C12616" s="5" t="str">
        <f>IFERROR(__xludf.DUMMYFUNCTION("GOOGLETRANSLATE(B12616,""en"",""es-ES"")"),"Luego, el hombre avanza un poco el auto y el neumático se infla.")</f>
        <v>Luego, el hombre avanza un poco el auto y el neumático se infla.</v>
      </c>
    </row>
    <row r="12617">
      <c r="A12617" s="4" t="s">
        <v>15870</v>
      </c>
      <c r="B12617" s="4" t="s">
        <v>15874</v>
      </c>
      <c r="C12617" s="5" t="str">
        <f>IFERROR(__xludf.DUMMYFUNCTION("GOOGLETRANSLATE(B12617,""en"",""es-ES"")"),"Después, el hombre conduce su auto.")</f>
        <v>Después, el hombre conduce su auto.</v>
      </c>
    </row>
    <row r="12618">
      <c r="A12618" s="4" t="s">
        <v>15875</v>
      </c>
      <c r="B12618" s="4" t="s">
        <v>15876</v>
      </c>
      <c r="C12618" s="5" t="str">
        <f>IFERROR(__xludf.DUMMYFUNCTION("GOOGLETRANSLATE(B12618,""en"",""es-ES"")"),"Se ve una gran pila de hojas soplando alrededor de un patio mientras una persona usa una herramienta para empujarlas.")</f>
        <v>Se ve una gran pila de hojas soplando alrededor de un patio mientras una persona usa una herramienta para empujarlas.</v>
      </c>
    </row>
    <row r="12619">
      <c r="A12619" s="4" t="s">
        <v>15875</v>
      </c>
      <c r="B12619" s="4" t="s">
        <v>15877</v>
      </c>
      <c r="C12619" s="5" t="str">
        <f>IFERROR(__xludf.DUMMYFUNCTION("GOOGLETRANSLATE(B12619,""en"",""es-ES"")"),"La cámara continúa capturando al hombre que sopla las hojas y usa varios efectos de la cámara en los marcos.")</f>
        <v>La cámara continúa capturando al hombre que sopla las hojas y usa varios efectos de la cámara en los marcos.</v>
      </c>
    </row>
    <row r="12620">
      <c r="A12620" s="4" t="s">
        <v>15878</v>
      </c>
      <c r="B12620" s="4" t="s">
        <v>15879</v>
      </c>
      <c r="C12620" s="5" t="str">
        <f>IFERROR(__xludf.DUMMYFUNCTION("GOOGLETRANSLATE(B12620,""en"",""es-ES"")"),"Se ve a un pequeño grupo de personas montando kayaks por un río áspero con una persona realizando un giro en el agua.")</f>
        <v>Se ve a un pequeño grupo de personas montando kayaks por un río áspero con una persona realizando un giro en el agua.</v>
      </c>
    </row>
    <row r="12621">
      <c r="A12621" s="4" t="s">
        <v>15878</v>
      </c>
      <c r="B12621" s="4" t="s">
        <v>15880</v>
      </c>
      <c r="C12621" s="5" t="str">
        <f>IFERROR(__xludf.DUMMYFUNCTION("GOOGLETRANSLATE(B12621,""en"",""es-ES"")"),"La persona realiza varias flips más con la cámara lo captura desde muy lejos.")</f>
        <v>La persona realiza varias flips más con la cámara lo captura desde muy lejos.</v>
      </c>
    </row>
    <row r="12622">
      <c r="A12622" s="4" t="s">
        <v>15881</v>
      </c>
      <c r="B12622" s="4" t="s">
        <v>15882</v>
      </c>
      <c r="C12622" s="5" t="str">
        <f>IFERROR(__xludf.DUMMYFUNCTION("GOOGLETRANSLATE(B12622,""en"",""es-ES"")"),"Vemos las pantallas de título iniciales.")</f>
        <v>Vemos las pantallas de título iniciales.</v>
      </c>
    </row>
    <row r="12623">
      <c r="A12623" s="4" t="s">
        <v>15881</v>
      </c>
      <c r="B12623" s="4" t="s">
        <v>15883</v>
      </c>
      <c r="C12623" s="5" t="str">
        <f>IFERROR(__xludf.DUMMYFUNCTION("GOOGLETRANSLATE(B12623,""en"",""es-ES"")"),"Un hombre entra en una habitación y toma un cubo y regresa con él.")</f>
        <v>Un hombre entra en una habitación y toma un cubo y regresa con él.</v>
      </c>
    </row>
    <row r="12624">
      <c r="A12624" s="4" t="s">
        <v>15881</v>
      </c>
      <c r="B12624" s="4" t="s">
        <v>15884</v>
      </c>
      <c r="C12624" s="5" t="str">
        <f>IFERROR(__xludf.DUMMYFUNCTION("GOOGLETRANSLATE(B12624,""en"",""es-ES"")"),"Vemos a un hombre con una camisa brillante mezclar yeso en un cubo y extenderlo en una pared.")</f>
        <v>Vemos a un hombre con una camisa brillante mezclar yeso en un cubo y extenderlo en una pared.</v>
      </c>
    </row>
    <row r="12625">
      <c r="A12625" s="4" t="s">
        <v>15881</v>
      </c>
      <c r="B12625" s="4" t="s">
        <v>15885</v>
      </c>
      <c r="C12625" s="5" t="str">
        <f>IFERROR(__xludf.DUMMYFUNCTION("GOOGLETRANSLATE(B12625,""en"",""es-ES"")"),"El hombre agrega más yeso a su base y lo extiende en la pared.")</f>
        <v>El hombre agrega más yeso a su base y lo extiende en la pared.</v>
      </c>
    </row>
    <row r="12626">
      <c r="A12626" s="4" t="s">
        <v>15886</v>
      </c>
      <c r="B12626" s="4" t="s">
        <v>15887</v>
      </c>
      <c r="C12626" s="5" t="str">
        <f>IFERROR(__xludf.DUMMYFUNCTION("GOOGLETRANSLATE(B12626,""en"",""es-ES"")"),"Se muestra a varias personas que viajan en caballos sosteniendo palos en el aire y viajando entre sí.")</f>
        <v>Se muestra a varias personas que viajan en caballos sosteniendo palos en el aire y viajando entre sí.</v>
      </c>
    </row>
    <row r="12627">
      <c r="A12627" s="4" t="s">
        <v>15886</v>
      </c>
      <c r="B12627" s="4" t="s">
        <v>15888</v>
      </c>
      <c r="C12627" s="5" t="str">
        <f>IFERROR(__xludf.DUMMYFUNCTION("GOOGLETRANSLATE(B12627,""en"",""es-ES"")"),"La gente entra y sale del marco y la gente continúa moviéndose sobre caballos.")</f>
        <v>La gente entra y sale del marco y la gente continúa moviéndose sobre caballos.</v>
      </c>
    </row>
    <row r="12628">
      <c r="A12628" s="4" t="s">
        <v>15889</v>
      </c>
      <c r="B12628" s="4" t="s">
        <v>15890</v>
      </c>
      <c r="C12628" s="5" t="str">
        <f>IFERROR(__xludf.DUMMYFUNCTION("GOOGLETRANSLATE(B12628,""en"",""es-ES"")"),"Un hombre se sienta en una silla poniendo sus zapatillas y señala a un zorro corriendo.")</f>
        <v>Un hombre se sienta en una silla poniendo sus zapatillas y señala a un zorro corriendo.</v>
      </c>
    </row>
    <row r="12629">
      <c r="A12629" s="4" t="s">
        <v>15889</v>
      </c>
      <c r="B12629" s="4" t="s">
        <v>15891</v>
      </c>
      <c r="C12629" s="5" t="str">
        <f>IFERROR(__xludf.DUMMYFUNCTION("GOOGLETRANSLATE(B12629,""en"",""es-ES"")"),"El Fox se para el hombre y salta de arriba abajo en su regazo mientras él continúa poniéndose los zapatos.")</f>
        <v>El Fox se para el hombre y salta de arriba abajo en su regazo mientras él continúa poniéndose los zapatos.</v>
      </c>
    </row>
    <row r="12630">
      <c r="A12630" s="4" t="s">
        <v>15892</v>
      </c>
      <c r="B12630" s="4" t="s">
        <v>15893</v>
      </c>
      <c r="C12630" s="5" t="str">
        <f>IFERROR(__xludf.DUMMYFUNCTION("GOOGLETRANSLATE(B12630,""en"",""es-ES"")"),"Una persona pone cinta adhesiva en un sofá de cuero para formar un cuadrado.")</f>
        <v>Una persona pone cinta adhesiva en un sofá de cuero para formar un cuadrado.</v>
      </c>
    </row>
    <row r="12631">
      <c r="A12631" s="4" t="s">
        <v>15892</v>
      </c>
      <c r="B12631" s="4" t="s">
        <v>15894</v>
      </c>
      <c r="C12631" s="5" t="str">
        <f>IFERROR(__xludf.DUMMYFUNCTION("GOOGLETRANSLATE(B12631,""en"",""es-ES"")"),"Luego, la persona aplica espuma a una esponja y limpia dentro del cuadrado.")</f>
        <v>Luego, la persona aplica espuma a una esponja y limpia dentro del cuadrado.</v>
      </c>
    </row>
    <row r="12632">
      <c r="A12632" s="4" t="s">
        <v>15892</v>
      </c>
      <c r="B12632" s="4" t="s">
        <v>15895</v>
      </c>
      <c r="C12632" s="5" t="str">
        <f>IFERROR(__xludf.DUMMYFUNCTION("GOOGLETRANSLATE(B12632,""en"",""es-ES"")"),"Después, la persona limpia con un paño y pega la cinta.")</f>
        <v>Después, la persona limpia con un paño y pega la cinta.</v>
      </c>
    </row>
    <row r="12633">
      <c r="A12633" s="4" t="s">
        <v>15892</v>
      </c>
      <c r="B12633" s="4" t="s">
        <v>15896</v>
      </c>
      <c r="C12633" s="5" t="str">
        <f>IFERROR(__xludf.DUMMYFUNCTION("GOOGLETRANSLATE(B12633,""en"",""es-ES"")"),"Luego, la persona limpia todo el sofá que pone espuma en un paño y frota el sofá.")</f>
        <v>Luego, la persona limpia todo el sofá que pone espuma en un paño y frota el sofá.</v>
      </c>
    </row>
    <row r="12634">
      <c r="A12634" s="4" t="s">
        <v>15897</v>
      </c>
      <c r="B12634" s="4" t="s">
        <v>15898</v>
      </c>
      <c r="C12634" s="5" t="str">
        <f>IFERROR(__xludf.DUMMYFUNCTION("GOOGLETRANSLATE(B12634,""en"",""es-ES"")"),"Una máquina de pulido de zapatos se sienta en una sala de estar.")</f>
        <v>Una máquina de pulido de zapatos se sienta en una sala de estar.</v>
      </c>
    </row>
    <row r="12635">
      <c r="A12635" s="4" t="s">
        <v>15897</v>
      </c>
      <c r="B12635" s="4" t="s">
        <v>15899</v>
      </c>
      <c r="C12635" s="5" t="str">
        <f>IFERROR(__xludf.DUMMYFUNCTION("GOOGLETRANSLATE(B12635,""en"",""es-ES"")"),"Un hombre se acerca a la máquina de pulido de zapatos A la enciende.")</f>
        <v>Un hombre se acerca a la máquina de pulido de zapatos A la enciende.</v>
      </c>
    </row>
    <row r="12636">
      <c r="A12636" s="4" t="s">
        <v>15897</v>
      </c>
      <c r="B12636" s="4" t="s">
        <v>15900</v>
      </c>
      <c r="C12636" s="5" t="str">
        <f>IFERROR(__xludf.DUMMYFUNCTION("GOOGLETRANSLATE(B12636,""en"",""es-ES"")"),"El hombre que usa jeans azules comienza a billar sus zapatos negros.")</f>
        <v>El hombre que usa jeans azules comienza a billar sus zapatos negros.</v>
      </c>
    </row>
    <row r="12637">
      <c r="A12637" s="4" t="s">
        <v>15897</v>
      </c>
      <c r="B12637" s="4" t="s">
        <v>15901</v>
      </c>
      <c r="C12637" s="5" t="str">
        <f>IFERROR(__xludf.DUMMYFUNCTION("GOOGLETRANSLATE(B12637,""en"",""es-ES"")"),"El hombre luego comienza a cepillarse y pulir sus zapatos marrones.")</f>
        <v>El hombre luego comienza a cepillarse y pulir sus zapatos marrones.</v>
      </c>
    </row>
    <row r="12638">
      <c r="A12638" s="4" t="s">
        <v>15897</v>
      </c>
      <c r="B12638" s="4" t="s">
        <v>15902</v>
      </c>
      <c r="C12638" s="5" t="str">
        <f>IFERROR(__xludf.DUMMYFUNCTION("GOOGLETRANSLATE(B12638,""en"",""es-ES"")"),"El hombre se acerca a la máquina de pulir zapatos y cepilla sus zapatillas grises.")</f>
        <v>El hombre se acerca a la máquina de pulir zapatos y cepilla sus zapatillas grises.</v>
      </c>
    </row>
    <row r="12639">
      <c r="A12639" s="4" t="s">
        <v>15897</v>
      </c>
      <c r="B12639" s="4" t="s">
        <v>15903</v>
      </c>
      <c r="C12639" s="5" t="str">
        <f>IFERROR(__xludf.DUMMYFUNCTION("GOOGLETRANSLATE(B12639,""en"",""es-ES"")"),"El hombre se agacha y saca un contenedor de polvo debajo de la máquina de pulir.")</f>
        <v>El hombre se agacha y saca un contenedor de polvo debajo de la máquina de pulir.</v>
      </c>
    </row>
    <row r="12640">
      <c r="A12640" s="4" t="s">
        <v>15904</v>
      </c>
      <c r="B12640" s="4" t="s">
        <v>15905</v>
      </c>
      <c r="C12640" s="5" t="str">
        <f>IFERROR(__xludf.DUMMYFUNCTION("GOOGLETRANSLATE(B12640,""en"",""es-ES"")"),"Se ve a un gran grupo de personas de pie en una multitud cuando un hombre que sostiene un juego de tuberías de bolsas camina y les da a todos los cuernos del diablo.")</f>
        <v>Se ve a un gran grupo de personas de pie en una multitud cuando un hombre que sostiene un juego de tuberías de bolsas camina y les da a todos los cuernos del diablo.</v>
      </c>
    </row>
    <row r="12641">
      <c r="A12641" s="4" t="s">
        <v>15904</v>
      </c>
      <c r="B12641" s="4" t="s">
        <v>15906</v>
      </c>
      <c r="C12641" s="5" t="str">
        <f>IFERROR(__xludf.DUMMYFUNCTION("GOOGLETRANSLATE(B12641,""en"",""es-ES"")"),"Dan los cuernos y el hombre juega mientras camina por el escenario.")</f>
        <v>Dan los cuernos y el hombre juega mientras camina por el escenario.</v>
      </c>
    </row>
    <row r="12642">
      <c r="A12642" s="4" t="s">
        <v>15907</v>
      </c>
      <c r="B12642" s="4" t="s">
        <v>15908</v>
      </c>
      <c r="C12642" s="5" t="str">
        <f>IFERROR(__xludf.DUMMYFUNCTION("GOOGLETRANSLATE(B12642,""en"",""es-ES"")"),"Se muestran varias señales para tiendas de tatuajes, junto con una chica que habla con la cámara.")</f>
        <v>Se muestran varias señales para tiendas de tatuajes, junto con una chica que habla con la cámara.</v>
      </c>
    </row>
    <row r="12643">
      <c r="A12643" s="4" t="s">
        <v>15907</v>
      </c>
      <c r="B12643" s="4" t="s">
        <v>15909</v>
      </c>
      <c r="C12643" s="5" t="str">
        <f>IFERROR(__xludf.DUMMYFUNCTION("GOOGLETRANSLATE(B12643,""en"",""es-ES"")"),"Ella muestra el tatuaje que quiere obtener.")</f>
        <v>Ella muestra el tatuaje que quiere obtener.</v>
      </c>
    </row>
    <row r="12644">
      <c r="A12644" s="4" t="s">
        <v>15907</v>
      </c>
      <c r="B12644" s="4" t="s">
        <v>15910</v>
      </c>
      <c r="C12644" s="5" t="str">
        <f>IFERROR(__xludf.DUMMYFUNCTION("GOOGLETRANSLATE(B12644,""en"",""es-ES"")"),"La mujer se sienta en una silla como artista de tatuajes hace un copo de nieve en el brazo.")</f>
        <v>La mujer se sienta en una silla como artista de tatuajes hace un copo de nieve en el brazo.</v>
      </c>
    </row>
    <row r="12645">
      <c r="A12645" s="4" t="s">
        <v>15907</v>
      </c>
      <c r="B12645" s="4" t="s">
        <v>15911</v>
      </c>
      <c r="C12645" s="5" t="str">
        <f>IFERROR(__xludf.DUMMYFUNCTION("GOOGLETRANSLATE(B12645,""en"",""es-ES"")"),"Ella habla con la cámara todo el tiempo mientras él la insulta.")</f>
        <v>Ella habla con la cámara todo el tiempo mientras él la insulta.</v>
      </c>
    </row>
    <row r="12646">
      <c r="A12646" s="4" t="s">
        <v>15907</v>
      </c>
      <c r="B12646" s="4" t="s">
        <v>15912</v>
      </c>
      <c r="C12646" s="5" t="str">
        <f>IFERROR(__xludf.DUMMYFUNCTION("GOOGLETRANSLATE(B12646,""en"",""es-ES"")"),"Después, ella muestra su tatuaje completo y habla al respecto.")</f>
        <v>Después, ella muestra su tatuaje completo y habla al respecto.</v>
      </c>
    </row>
    <row r="12647">
      <c r="A12647" s="4" t="s">
        <v>15913</v>
      </c>
      <c r="B12647" s="4" t="s">
        <v>15914</v>
      </c>
      <c r="C12647" s="5" t="str">
        <f>IFERROR(__xludf.DUMMYFUNCTION("GOOGLETRANSLATE(B12647,""en"",""es-ES"")"),"Un hombre está de pie en un gimnasio.")</f>
        <v>Un hombre está de pie en un gimnasio.</v>
      </c>
    </row>
    <row r="12648">
      <c r="A12648" s="4" t="s">
        <v>15913</v>
      </c>
      <c r="B12648" s="4" t="s">
        <v>15915</v>
      </c>
      <c r="C12648" s="5" t="str">
        <f>IFERROR(__xludf.DUMMYFUNCTION("GOOGLETRANSLATE(B12648,""en"",""es-ES"")"),"Se dobla y toma un gran peso.")</f>
        <v>Se dobla y toma un gran peso.</v>
      </c>
    </row>
    <row r="12649">
      <c r="A12649" s="4" t="s">
        <v>15913</v>
      </c>
      <c r="B12649" s="4" t="s">
        <v>15916</v>
      </c>
      <c r="C12649" s="5" t="str">
        <f>IFERROR(__xludf.DUMMYFUNCTION("GOOGLETRANSLATE(B12649,""en"",""es-ES"")"),"Lo establece y habla con la cámara.")</f>
        <v>Lo establece y habla con la cámara.</v>
      </c>
    </row>
    <row r="12650">
      <c r="A12650" s="4" t="s">
        <v>15917</v>
      </c>
      <c r="B12650" s="4" t="s">
        <v>15918</v>
      </c>
      <c r="C12650" s="5" t="str">
        <f>IFERROR(__xludf.DUMMYFUNCTION("GOOGLETRANSLATE(B12650,""en"",""es-ES"")"),"La mujer está montando un camello mientras habla con la cámara.")</f>
        <v>La mujer está montando un camello mientras habla con la cámara.</v>
      </c>
    </row>
    <row r="12651">
      <c r="A12651" s="4" t="s">
        <v>15917</v>
      </c>
      <c r="B12651" s="4" t="s">
        <v>15919</v>
      </c>
      <c r="C12651" s="5" t="str">
        <f>IFERROR(__xludf.DUMMYFUNCTION("GOOGLETRANSLATE(B12651,""en"",""es-ES"")"),"Un hombre guía el camello y le da comida al camello.")</f>
        <v>Un hombre guía el camello y le da comida al camello.</v>
      </c>
    </row>
    <row r="12652">
      <c r="A12652" s="4" t="s">
        <v>15917</v>
      </c>
      <c r="B12652" s="4" t="s">
        <v>15920</v>
      </c>
      <c r="C12652" s="5" t="str">
        <f>IFERROR(__xludf.DUMMYFUNCTION("GOOGLETRANSLATE(B12652,""en"",""es-ES"")"),"La mujer informa mientras está en la parte posterior del camello.")</f>
        <v>La mujer informa mientras está en la parte posterior del camello.</v>
      </c>
    </row>
    <row r="12653">
      <c r="A12653" s="4" t="s">
        <v>15921</v>
      </c>
      <c r="B12653" s="4" t="s">
        <v>15922</v>
      </c>
      <c r="C12653" s="5" t="str">
        <f>IFERROR(__xludf.DUMMYFUNCTION("GOOGLETRANSLATE(B12653,""en"",""es-ES"")"),"Una persona abre un grifo y moja las manos.")</f>
        <v>Una persona abre un grifo y moja las manos.</v>
      </c>
    </row>
    <row r="12654">
      <c r="A12654" s="4" t="s">
        <v>15921</v>
      </c>
      <c r="B12654" s="4" t="s">
        <v>15923</v>
      </c>
      <c r="C12654" s="5" t="str">
        <f>IFERROR(__xludf.DUMMYFUNCTION("GOOGLETRANSLATE(B12654,""en"",""es-ES"")"),"La persona usa jabón para frotar vigorosamente las manos.")</f>
        <v>La persona usa jabón para frotar vigorosamente las manos.</v>
      </c>
    </row>
    <row r="12655">
      <c r="A12655" s="4" t="s">
        <v>15921</v>
      </c>
      <c r="B12655" s="4" t="s">
        <v>15924</v>
      </c>
      <c r="C12655" s="5" t="str">
        <f>IFERROR(__xludf.DUMMYFUNCTION("GOOGLETRANSLATE(B12655,""en"",""es-ES"")"),"Después, la persona enjuague bien la mano con abundante agua.")</f>
        <v>Después, la persona enjuague bien la mano con abundante agua.</v>
      </c>
    </row>
    <row r="12656">
      <c r="A12656" s="4" t="s">
        <v>15921</v>
      </c>
      <c r="B12656" s="4" t="s">
        <v>15925</v>
      </c>
      <c r="C12656" s="5" t="str">
        <f>IFERROR(__xludf.DUMMYFUNCTION("GOOGLETRANSLATE(B12656,""en"",""es-ES"")"),"Después de que la persona seca las manos con una toalla limpia y gira el fregadero con la toalla.")</f>
        <v>Después de que la persona seca las manos con una toalla limpia y gira el fregadero con la toalla.</v>
      </c>
    </row>
    <row r="12657">
      <c r="A12657" s="4" t="s">
        <v>15926</v>
      </c>
      <c r="B12657" s="4" t="s">
        <v>15927</v>
      </c>
      <c r="C12657" s="5" t="str">
        <f>IFERROR(__xludf.DUMMYFUNCTION("GOOGLETRANSLATE(B12657,""en"",""es-ES"")"),"Las palabras ""Speed ​​Cubing 53 segundos"" aparecen en una pantalla negra.")</f>
        <v>Las palabras "Speed ​​Cubing 53 segundos" aparecen en una pantalla negra.</v>
      </c>
    </row>
    <row r="12658">
      <c r="A12658" s="4" t="s">
        <v>15926</v>
      </c>
      <c r="B12658" s="4" t="s">
        <v>15928</v>
      </c>
      <c r="C12658" s="5" t="str">
        <f>IFERROR(__xludf.DUMMYFUNCTION("GOOGLETRANSLATE(B12658,""en"",""es-ES"")"),"Un joven se sienta en una mesa y comienza a jugar con un cubo de Rubik.")</f>
        <v>Un joven se sienta en una mesa y comienza a jugar con un cubo de Rubik.</v>
      </c>
    </row>
    <row r="12659">
      <c r="A12659" s="4" t="s">
        <v>15926</v>
      </c>
      <c r="B12659" s="4" t="s">
        <v>15929</v>
      </c>
      <c r="C12659" s="5" t="str">
        <f>IFERROR(__xludf.DUMMYFUNCTION("GOOGLETRANSLATE(B12659,""en"",""es-ES"")"),"El hombre resuelve el rompecabezas completando todos los lados del cubo y la pantalla se vuelve negra.")</f>
        <v>El hombre resuelve el rompecabezas completando todos los lados del cubo y la pantalla se vuelve negra.</v>
      </c>
    </row>
    <row r="12660">
      <c r="A12660" s="4" t="s">
        <v>15930</v>
      </c>
      <c r="B12660" s="4" t="s">
        <v>15931</v>
      </c>
      <c r="C12660" s="5" t="str">
        <f>IFERROR(__xludf.DUMMYFUNCTION("GOOGLETRANSLATE(B12660,""en"",""es-ES"")"),"Un gato está rascando sus patas en la alfombra.")</f>
        <v>Un gato está rascando sus patas en la alfombra.</v>
      </c>
    </row>
    <row r="12661">
      <c r="A12661" s="4" t="s">
        <v>15930</v>
      </c>
      <c r="B12661" s="4" t="s">
        <v>15932</v>
      </c>
      <c r="C12661" s="5" t="str">
        <f>IFERROR(__xludf.DUMMYFUNCTION("GOOGLETRANSLATE(B12661,""en"",""es-ES"")"),"Un hombre sostiene la pata de los gatos y comienza a cortar sus uñas.")</f>
        <v>Un hombre sostiene la pata de los gatos y comienza a cortar sus uñas.</v>
      </c>
    </row>
    <row r="12662">
      <c r="A12662" s="4" t="s">
        <v>15930</v>
      </c>
      <c r="B12662" s="4" t="s">
        <v>15933</v>
      </c>
      <c r="C12662" s="5" t="str">
        <f>IFERROR(__xludf.DUMMYFUNCTION("GOOGLETRANSLATE(B12662,""en"",""es-ES"")"),"Él sostiene al gato afuera.")</f>
        <v>Él sostiene al gato afuera.</v>
      </c>
    </row>
    <row r="12663">
      <c r="A12663" s="4" t="s">
        <v>15934</v>
      </c>
      <c r="B12663" s="4" t="s">
        <v>15935</v>
      </c>
      <c r="C12663" s="5" t="str">
        <f>IFERROR(__xludf.DUMMYFUNCTION("GOOGLETRANSLATE(B12663,""en"",""es-ES"")"),"Un grupo de personas se reúne en un asfalto.")</f>
        <v>Un grupo de personas se reúne en un asfalto.</v>
      </c>
    </row>
    <row r="12664">
      <c r="A12664" s="4" t="s">
        <v>15934</v>
      </c>
      <c r="B12664" s="4" t="s">
        <v>15936</v>
      </c>
      <c r="C12664" s="5" t="str">
        <f>IFERROR(__xludf.DUMMYFUNCTION("GOOGLETRANSLATE(B12664,""en"",""es-ES"")"),"Abordan el avión antes de despegar, mostrando la pista y las nubes en el cielo.")</f>
        <v>Abordan el avión antes de despegar, mostrando la pista y las nubes en el cielo.</v>
      </c>
    </row>
    <row r="12665">
      <c r="A12665" s="4" t="s">
        <v>15934</v>
      </c>
      <c r="B12665" s="4" t="s">
        <v>15937</v>
      </c>
      <c r="C12665" s="5" t="str">
        <f>IFERROR(__xludf.DUMMYFUNCTION("GOOGLETRANSLATE(B12665,""en"",""es-ES"")"),"Están en un aeropuerto y luego conducen por la carretera.")</f>
        <v>Están en un aeropuerto y luego conducen por la carretera.</v>
      </c>
    </row>
    <row r="12666">
      <c r="A12666" s="4" t="s">
        <v>15934</v>
      </c>
      <c r="B12666" s="4" t="s">
        <v>15938</v>
      </c>
      <c r="C12666" s="5" t="str">
        <f>IFERROR(__xludf.DUMMYFUNCTION("GOOGLETRANSLATE(B12666,""en"",""es-ES"")"),"Finalmente están montando un bote en el Coean, mirando un mapa y alquilando las aguas.")</f>
        <v>Finalmente están montando un bote en el Coean, mirando un mapa y alquilando las aguas.</v>
      </c>
    </row>
    <row r="12667">
      <c r="A12667" s="4" t="s">
        <v>15934</v>
      </c>
      <c r="B12667" s="4" t="s">
        <v>15939</v>
      </c>
      <c r="C12667" s="5" t="str">
        <f>IFERROR(__xludf.DUMMYFUNCTION("GOOGLETRANSLATE(B12667,""en"",""es-ES"")"),"Van a surfear en las grandes olas.")</f>
        <v>Van a surfear en las grandes olas.</v>
      </c>
    </row>
    <row r="12668">
      <c r="A12668" s="4" t="s">
        <v>15940</v>
      </c>
      <c r="B12668" s="4" t="s">
        <v>15941</v>
      </c>
      <c r="C12668" s="5" t="str">
        <f>IFERROR(__xludf.DUMMYFUNCTION("GOOGLETRANSLATE(B12668,""en"",""es-ES"")"),"Una introducción llega a la pantalla para un video que mostrará una demostración de algunos productos de limpieza.")</f>
        <v>Una introducción llega a la pantalla para un video que mostrará una demostración de algunos productos de limpieza.</v>
      </c>
    </row>
    <row r="12669">
      <c r="A12669" s="4" t="s">
        <v>15940</v>
      </c>
      <c r="B12669" s="4" t="s">
        <v>15942</v>
      </c>
      <c r="C12669" s="5" t="str">
        <f>IFERROR(__xludf.DUMMYFUNCTION("GOOGLETRANSLATE(B12669,""en"",""es-ES"")"),"Un hombre en la pantalla comienza a describir un conjunto de taxis y cubos que se usan para limpiar los pisos.")</f>
        <v>Un hombre en la pantalla comienza a describir un conjunto de taxis y cubos que se usan para limpiar los pisos.</v>
      </c>
    </row>
    <row r="12670">
      <c r="A12670" s="4" t="s">
        <v>15940</v>
      </c>
      <c r="B12670" s="4" t="s">
        <v>15943</v>
      </c>
      <c r="C12670" s="5" t="str">
        <f>IFERROR(__xludf.DUMMYFUNCTION("GOOGLETRANSLATE(B12670,""en"",""es-ES"")"),"Luego comienza a demostrar cómo usar el trapeador y el conjunto de cubos.")</f>
        <v>Luego comienza a demostrar cómo usar el trapeador y el conjunto de cubos.</v>
      </c>
    </row>
    <row r="12671">
      <c r="A12671" s="4" t="s">
        <v>15940</v>
      </c>
      <c r="B12671" s="4" t="s">
        <v>15944</v>
      </c>
      <c r="C12671" s="5" t="str">
        <f>IFERROR(__xludf.DUMMYFUNCTION("GOOGLETRANSLATE(B12671,""en"",""es-ES"")"),"Luego muestra los cubos de cerca y comienza a describir cómo usar los cubos.")</f>
        <v>Luego muestra los cubos de cerca y comienza a describir cómo usar los cubos.</v>
      </c>
    </row>
    <row r="12672">
      <c r="A12672" s="4" t="s">
        <v>15940</v>
      </c>
      <c r="B12672" s="4" t="s">
        <v>15945</v>
      </c>
      <c r="C12672" s="5" t="str">
        <f>IFERROR(__xludf.DUMMYFUNCTION("GOOGLETRANSLATE(B12672,""en"",""es-ES"")"),"Al final del video se muestran los créditos de cierre.")</f>
        <v>Al final del video se muestran los créditos de cierre.</v>
      </c>
    </row>
    <row r="12673">
      <c r="A12673" s="4" t="s">
        <v>15946</v>
      </c>
      <c r="B12673" s="4" t="s">
        <v>15947</v>
      </c>
      <c r="C12673" s="5" t="str">
        <f>IFERROR(__xludf.DUMMYFUNCTION("GOOGLETRANSLATE(B12673,""en"",""es-ES"")"),"Se muestra a una mujer joven en un caballo blanco paseando por el campo.")</f>
        <v>Se muestra a una mujer joven en un caballo blanco paseando por el campo.</v>
      </c>
    </row>
    <row r="12674">
      <c r="A12674" s="4" t="s">
        <v>15946</v>
      </c>
      <c r="B12674" s="4" t="s">
        <v>15948</v>
      </c>
      <c r="C12674" s="5" t="str">
        <f>IFERROR(__xludf.DUMMYFUNCTION("GOOGLETRANSLATE(B12674,""en"",""es-ES"")"),"Luego se muestra a la señora haciendo ejercicio en una estera azul haciendo varios estiramientos de yoga.")</f>
        <v>Luego se muestra a la señora haciendo ejercicio en una estera azul haciendo varios estiramientos de yoga.</v>
      </c>
    </row>
    <row r="12675">
      <c r="A12675" s="4" t="s">
        <v>15946</v>
      </c>
      <c r="B12675" s="4" t="s">
        <v>15949</v>
      </c>
      <c r="C12675" s="5" t="str">
        <f>IFERROR(__xludf.DUMMYFUNCTION("GOOGLETRANSLATE(B12675,""en"",""es-ES"")"),"Después, es fotografiada en su casa hablando mientras está sentada en el sofá.")</f>
        <v>Después, es fotografiada en su casa hablando mientras está sentada en el sofá.</v>
      </c>
    </row>
    <row r="12676">
      <c r="A12676" s="4" t="s">
        <v>15946</v>
      </c>
      <c r="B12676" s="4" t="s">
        <v>15950</v>
      </c>
      <c r="C12676" s="5" t="str">
        <f>IFERROR(__xludf.DUMMYFUNCTION("GOOGLETRANSLATE(B12676,""en"",""es-ES"")"),"Finalmente, la pantalla regresa y se muestra a caballo en el campo pasando por el establo.")</f>
        <v>Finalmente, la pantalla regresa y se muestra a caballo en el campo pasando por el establo.</v>
      </c>
    </row>
    <row r="12677">
      <c r="A12677" s="4" t="s">
        <v>15951</v>
      </c>
      <c r="B12677" s="4" t="s">
        <v>15952</v>
      </c>
      <c r="C12677" s="5" t="str">
        <f>IFERROR(__xludf.DUMMYFUNCTION("GOOGLETRANSLATE(B12677,""en"",""es-ES"")"),"Se ve a un pequeño grupo de personas patinando alrededor del hielo jugando un juego de hockey entre sí.")</f>
        <v>Se ve a un pequeño grupo de personas patinando alrededor del hielo jugando un juego de hockey entre sí.</v>
      </c>
    </row>
    <row r="12678">
      <c r="A12678" s="4" t="s">
        <v>15951</v>
      </c>
      <c r="B12678" s="4" t="s">
        <v>15953</v>
      </c>
      <c r="C12678" s="5" t="str">
        <f>IFERROR(__xludf.DUMMYFUNCTION("GOOGLETRANSLATE(B12678,""en"",""es-ES"")"),"Un miembro anota cuando la cámara se aplica a ellos y a un hombre que mira.")</f>
        <v>Un miembro anota cuando la cámara se aplica a ellos y a un hombre que mira.</v>
      </c>
    </row>
    <row r="12679">
      <c r="A12679" s="4" t="s">
        <v>15954</v>
      </c>
      <c r="B12679" s="4" t="s">
        <v>15955</v>
      </c>
      <c r="C12679" s="5" t="str">
        <f>IFERROR(__xludf.DUMMYFUNCTION("GOOGLETRANSLATE(B12679,""en"",""es-ES"")"),"Se ve a un hombre parado en un gran pozo con un grupo de niños y enseñándoles cómo pararse.")</f>
        <v>Se ve a un hombre parado en un gran pozo con un grupo de niños y enseñándoles cómo pararse.</v>
      </c>
    </row>
    <row r="12680">
      <c r="A12680" s="4" t="s">
        <v>15954</v>
      </c>
      <c r="B12680" s="4" t="s">
        <v>15956</v>
      </c>
      <c r="C12680" s="5" t="str">
        <f>IFERROR(__xludf.DUMMYFUNCTION("GOOGLETRANSLATE(B12680,""en"",""es-ES"")"),"Luego, los niños se ponen en polvo en sus manos y el hombre los persigue y se divierte.")</f>
        <v>Luego, los niños se ponen en polvo en sus manos y el hombre los persigue y se divierte.</v>
      </c>
    </row>
    <row r="12681">
      <c r="A12681" s="4" t="s">
        <v>15957</v>
      </c>
      <c r="B12681" s="4" t="s">
        <v>15958</v>
      </c>
      <c r="C12681" s="5" t="str">
        <f>IFERROR(__xludf.DUMMYFUNCTION("GOOGLETRANSLATE(B12681,""en"",""es-ES"")"),"La cámara se mueve alrededor de una mujer atlética de pie y otros que la miran a un lado.")</f>
        <v>La cámara se mueve alrededor de una mujer atlética de pie y otros que la miran a un lado.</v>
      </c>
    </row>
    <row r="12682">
      <c r="A12682" s="4" t="s">
        <v>15957</v>
      </c>
      <c r="B12682" s="4" t="s">
        <v>15959</v>
      </c>
      <c r="C12682" s="5" t="str">
        <f>IFERROR(__xludf.DUMMYFUNCTION("GOOGLETRANSLATE(B12682,""en"",""es-ES"")"),"Ella salta sobre un poste y se aleja cuando su salto se muestra nuevamente en cámara lenta y otro corredor sube.")</f>
        <v>Ella salta sobre un poste y se aleja cuando su salto se muestra nuevamente en cámara lenta y otro corredor sube.</v>
      </c>
    </row>
    <row r="12683">
      <c r="A12683" s="4" t="s">
        <v>15957</v>
      </c>
      <c r="B12683" s="4" t="s">
        <v>15960</v>
      </c>
      <c r="C12683" s="5" t="str">
        <f>IFERROR(__xludf.DUMMYFUNCTION("GOOGLETRANSLATE(B12683,""en"",""es-ES"")"),"Se muestra a varias mujeres más saltando sobre la viga mientras sus puntajes se muestran inmediatamente después.")</f>
        <v>Se muestra a varias mujeres más saltando sobre la viga mientras sus puntajes se muestran inmediatamente después.</v>
      </c>
    </row>
    <row r="12684">
      <c r="A12684" s="4" t="s">
        <v>15961</v>
      </c>
      <c r="B12684" s="4" t="s">
        <v>15962</v>
      </c>
      <c r="C12684" s="5" t="str">
        <f>IFERROR(__xludf.DUMMYFUNCTION("GOOGLETRANSLATE(B12684,""en"",""es-ES"")"),"Vemos una pantalla de apertura como una película en blanco y negro.")</f>
        <v>Vemos una pantalla de apertura como una película en blanco y negro.</v>
      </c>
    </row>
    <row r="12685">
      <c r="A12685" s="4" t="s">
        <v>15961</v>
      </c>
      <c r="B12685" s="4" t="s">
        <v>15963</v>
      </c>
      <c r="C12685" s="5" t="str">
        <f>IFERROR(__xludf.DUMMYFUNCTION("GOOGLETRANSLATE(B12685,""en"",""es-ES"")"),"Luego vemos personas poniéndose en equipo de esgrima.")</f>
        <v>Luego vemos personas poniéndose en equipo de esgrima.</v>
      </c>
    </row>
    <row r="12686">
      <c r="A12686" s="4" t="s">
        <v>15961</v>
      </c>
      <c r="B12686" s="4" t="s">
        <v>15964</v>
      </c>
      <c r="C12686" s="5" t="str">
        <f>IFERROR(__xludf.DUMMYFUNCTION("GOOGLETRANSLATE(B12686,""en"",""es-ES"")"),"Los dos hombres se encuentran entre pantallas de título.")</f>
        <v>Los dos hombres se encuentran entre pantallas de título.</v>
      </c>
    </row>
    <row r="12687">
      <c r="A12687" s="4" t="s">
        <v>15961</v>
      </c>
      <c r="B12687" s="4" t="s">
        <v>15965</v>
      </c>
      <c r="C12687" s="5" t="str">
        <f>IFERROR(__xludf.DUMMYFUNCTION("GOOGLETRANSLATE(B12687,""en"",""es-ES"")"),"Los hombres cambian de exteriores a en el interior.")</f>
        <v>Los hombres cambian de exteriores a en el interior.</v>
      </c>
    </row>
    <row r="12688">
      <c r="A12688" s="4" t="s">
        <v>15961</v>
      </c>
      <c r="B12688" s="4" t="s">
        <v>15966</v>
      </c>
      <c r="C12688" s="5" t="str">
        <f>IFERROR(__xludf.DUMMYFUNCTION("GOOGLETRANSLATE(B12688,""en"",""es-ES"")"),"Vemos el casco de un hombre.")</f>
        <v>Vemos el casco de un hombre.</v>
      </c>
    </row>
    <row r="12689">
      <c r="A12689" s="4" t="s">
        <v>15961</v>
      </c>
      <c r="B12689" s="4" t="s">
        <v>15967</v>
      </c>
      <c r="C12689" s="5" t="str">
        <f>IFERROR(__xludf.DUMMYFUNCTION("GOOGLETRANSLATE(B12689,""en"",""es-ES"")"),"Vemos a un hombre luchando en cámara lenta.")</f>
        <v>Vemos a un hombre luchando en cámara lenta.</v>
      </c>
    </row>
    <row r="12690">
      <c r="A12690" s="4" t="s">
        <v>15961</v>
      </c>
      <c r="B12690" s="4" t="s">
        <v>15968</v>
      </c>
      <c r="C12690" s="5" t="str">
        <f>IFERROR(__xludf.DUMMYFUNCTION("GOOGLETRANSLATE(B12690,""en"",""es-ES"")"),"Los hombres terminan y se alejan unos de otros.")</f>
        <v>Los hombres terminan y se alejan unos de otros.</v>
      </c>
    </row>
    <row r="12691">
      <c r="A12691" s="4" t="s">
        <v>15969</v>
      </c>
      <c r="B12691" s="4" t="s">
        <v>15970</v>
      </c>
      <c r="C12691" s="5" t="str">
        <f>IFERROR(__xludf.DUMMYFUNCTION("GOOGLETRANSLATE(B12691,""en"",""es-ES"")"),"Un hombre recoge un peso pesado.")</f>
        <v>Un hombre recoge un peso pesado.</v>
      </c>
    </row>
    <row r="12692">
      <c r="A12692" s="4" t="s">
        <v>15969</v>
      </c>
      <c r="B12692" s="4" t="s">
        <v>15971</v>
      </c>
      <c r="C12692" s="5" t="str">
        <f>IFERROR(__xludf.DUMMYFUNCTION("GOOGLETRANSLATE(B12692,""en"",""es-ES"")"),"Lo deja caer al suelo.")</f>
        <v>Lo deja caer al suelo.</v>
      </c>
    </row>
    <row r="12693">
      <c r="A12693" s="4" t="s">
        <v>15972</v>
      </c>
      <c r="B12693" s="4" t="s">
        <v>15973</v>
      </c>
      <c r="C12693" s="5" t="str">
        <f>IFERROR(__xludf.DUMMYFUNCTION("GOOGLETRANSLATE(B12693,""en"",""es-ES"")"),"Hay una mujer vestida con un vestido marrón de pie junto a otra dama de azul que demuestra una receta.")</f>
        <v>Hay una mujer vestida con un vestido marrón de pie junto a otra dama de azul que demuestra una receta.</v>
      </c>
    </row>
    <row r="12694">
      <c r="A12694" s="4" t="s">
        <v>15972</v>
      </c>
      <c r="B12694" s="4" t="s">
        <v>15974</v>
      </c>
      <c r="C12694" s="5" t="str">
        <f>IFERROR(__xludf.DUMMYFUNCTION("GOOGLETRANSLATE(B12694,""en"",""es-ES"")"),"Están de pie al lado del mostrador de la cocina que tiene varios tazones llenos de varios ingredientes.")</f>
        <v>Están de pie al lado del mostrador de la cocina que tiene varios tazones llenos de varios ingredientes.</v>
      </c>
    </row>
    <row r="12695">
      <c r="A12695" s="4" t="s">
        <v>15972</v>
      </c>
      <c r="B12695" s="4" t="s">
        <v>15975</v>
      </c>
      <c r="C12695" s="5" t="str">
        <f>IFERROR(__xludf.DUMMYFUNCTION("GOOGLETRANSLATE(B12695,""en"",""es-ES"")"),"El chef está hablando de las recetas para las que se utilizan los ingredientes.")</f>
        <v>El chef está hablando de las recetas para las que se utilizan los ingredientes.</v>
      </c>
    </row>
    <row r="12696">
      <c r="A12696" s="4" t="s">
        <v>15972</v>
      </c>
      <c r="B12696" s="4" t="s">
        <v>15976</v>
      </c>
      <c r="C12696" s="5" t="str">
        <f>IFERROR(__xludf.DUMMYFUNCTION("GOOGLETRANSLATE(B12696,""en"",""es-ES"")"),"Hay un plato blanco con carne rallada en el mostrador de la cocina.")</f>
        <v>Hay un plato blanco con carne rallada en el mostrador de la cocina.</v>
      </c>
    </row>
    <row r="12697">
      <c r="A12697" s="4" t="s">
        <v>15972</v>
      </c>
      <c r="B12697" s="4" t="s">
        <v>15977</v>
      </c>
      <c r="C12697" s="5" t="str">
        <f>IFERROR(__xludf.DUMMYFUNCTION("GOOGLETRANSLATE(B12697,""en"",""es-ES"")"),"El chef luego recoge el plato de carne y se lo da a la dama de marrón.")</f>
        <v>El chef luego recoge el plato de carne y se lo da a la dama de marrón.</v>
      </c>
    </row>
    <row r="12698">
      <c r="A12698" s="4" t="s">
        <v>15972</v>
      </c>
      <c r="B12698" s="4" t="s">
        <v>15978</v>
      </c>
      <c r="C12698" s="5" t="str">
        <f>IFERROR(__xludf.DUMMYFUNCTION("GOOGLETRANSLATE(B12698,""en"",""es-ES"")"),"El presentador luego vacía la carne en un tazón azul.")</f>
        <v>El presentador luego vacía la carne en un tazón azul.</v>
      </c>
    </row>
    <row r="12699">
      <c r="A12699" s="4" t="s">
        <v>15972</v>
      </c>
      <c r="B12699" s="4" t="s">
        <v>15979</v>
      </c>
      <c r="C12699" s="5" t="str">
        <f>IFERROR(__xludf.DUMMYFUNCTION("GOOGLETRANSLATE(B12699,""en"",""es-ES"")"),"El chef continúa explicando la receta.")</f>
        <v>El chef continúa explicando la receta.</v>
      </c>
    </row>
    <row r="12700">
      <c r="A12700" s="4" t="s">
        <v>15972</v>
      </c>
      <c r="B12700" s="4" t="s">
        <v>15980</v>
      </c>
      <c r="C12700" s="5" t="str">
        <f>IFERROR(__xludf.DUMMYFUNCTION("GOOGLETRANSLATE(B12700,""en"",""es-ES"")"),"Luego agregan un poco de pepino picado al tazón azul y lo mezclan con una cuchara.")</f>
        <v>Luego agregan un poco de pepino picado al tazón azul y lo mezclan con una cuchara.</v>
      </c>
    </row>
    <row r="12701">
      <c r="A12701" s="4" t="s">
        <v>15972</v>
      </c>
      <c r="B12701" s="4" t="s">
        <v>15981</v>
      </c>
      <c r="C12701" s="5" t="str">
        <f>IFERROR(__xludf.DUMMYFUNCTION("GOOGLETRANSLATE(B12701,""en"",""es-ES"")"),"El chef muestra los pepinos que ha usado en la ensalada.")</f>
        <v>El chef muestra los pepinos que ha usado en la ensalada.</v>
      </c>
    </row>
    <row r="12702">
      <c r="A12702" s="4" t="s">
        <v>15972</v>
      </c>
      <c r="B12702" s="4" t="s">
        <v>15982</v>
      </c>
      <c r="C12702" s="5" t="str">
        <f>IFERROR(__xludf.DUMMYFUNCTION("GOOGLETRANSLATE(B12702,""en"",""es-ES"")"),"Luego agregan tomates cherry picados, seguidos de cebollas blancas en rodajas y algunas verduras de hoja verde.")</f>
        <v>Luego agregan tomates cherry picados, seguidos de cebollas blancas en rodajas y algunas verduras de hoja verde.</v>
      </c>
    </row>
    <row r="12703">
      <c r="A12703" s="4" t="s">
        <v>15972</v>
      </c>
      <c r="B12703" s="4" t="s">
        <v>15983</v>
      </c>
      <c r="C12703" s="5" t="str">
        <f>IFERROR(__xludf.DUMMYFUNCTION("GOOGLETRANSLATE(B12703,""en"",""es-ES"")"),"Luego agregan un poco más de adoración sobre la ensalada.")</f>
        <v>Luego agregan un poco más de adoración sobre la ensalada.</v>
      </c>
    </row>
    <row r="12704">
      <c r="A12704" s="4" t="s">
        <v>15984</v>
      </c>
      <c r="B12704" s="4" t="s">
        <v>15985</v>
      </c>
      <c r="C12704" s="5" t="str">
        <f>IFERROR(__xludf.DUMMYFUNCTION("GOOGLETRANSLATE(B12704,""en"",""es-ES"")"),"Una niña se mueve alrededor de un patio de recreo en el interior.")</f>
        <v>Una niña se mueve alrededor de un patio de recreo en el interior.</v>
      </c>
    </row>
    <row r="12705">
      <c r="A12705" s="4" t="s">
        <v>15984</v>
      </c>
      <c r="B12705" s="4" t="s">
        <v>15986</v>
      </c>
      <c r="C12705" s="5" t="str">
        <f>IFERROR(__xludf.DUMMYFUNCTION("GOOGLETRANSLATE(B12705,""en"",""es-ES"")"),"La niña se desliza hacia abajo y sube un tobogán con el niño.")</f>
        <v>La niña se desliza hacia abajo y sube un tobogán con el niño.</v>
      </c>
    </row>
    <row r="12706">
      <c r="A12706" s="4" t="s">
        <v>15984</v>
      </c>
      <c r="B12706" s="4" t="s">
        <v>15987</v>
      </c>
      <c r="C12706" s="5" t="str">
        <f>IFERROR(__xludf.DUMMYFUNCTION("GOOGLETRANSLATE(B12706,""en"",""es-ES"")"),"Un dedo toca el cabello y la cabeza de las chicas.")</f>
        <v>Un dedo toca el cabello y la cabeza de las chicas.</v>
      </c>
    </row>
    <row r="12707">
      <c r="A12707" s="4" t="s">
        <v>15988</v>
      </c>
      <c r="B12707" s="4" t="s">
        <v>15989</v>
      </c>
      <c r="C12707" s="5" t="str">
        <f>IFERROR(__xludf.DUMMYFUNCTION("GOOGLETRANSLATE(B12707,""en"",""es-ES"")"),"Un hombre sostiene un Hummer se sienta en el suelo.")</f>
        <v>Un hombre sostiene un Hummer se sienta en el suelo.</v>
      </c>
    </row>
    <row r="12708">
      <c r="A12708" s="4" t="s">
        <v>15988</v>
      </c>
      <c r="B12708" s="4" t="s">
        <v>15990</v>
      </c>
      <c r="C12708" s="5" t="str">
        <f>IFERROR(__xludf.DUMMYFUNCTION("GOOGLETRANSLATE(B12708,""en"",""es-ES"")"),"Luego, el hombre gira el martillo varias veces y lo tira lejos.")</f>
        <v>Luego, el hombre gira el martillo varias veces y lo tira lejos.</v>
      </c>
    </row>
    <row r="12709">
      <c r="A12709" s="4" t="s">
        <v>15988</v>
      </c>
      <c r="B12709" s="4" t="s">
        <v>15991</v>
      </c>
      <c r="C12709" s="5" t="str">
        <f>IFERROR(__xludf.DUMMYFUNCTION("GOOGLETRANSLATE(B12709,""en"",""es-ES"")"),"Otro hombre realiza el lanzamiento de martillo mientras la gente mira.")</f>
        <v>Otro hombre realiza el lanzamiento de martillo mientras la gente mira.</v>
      </c>
    </row>
    <row r="12710">
      <c r="A12710" s="4" t="s">
        <v>15992</v>
      </c>
      <c r="B12710" s="4" t="s">
        <v>15993</v>
      </c>
      <c r="C12710" s="5" t="str">
        <f>IFERROR(__xludf.DUMMYFUNCTION("GOOGLETRANSLATE(B12710,""en"",""es-ES"")"),"Hay muchas personas en trajes de baño de pie en un lago con botes de motor detrás de ellos.")</f>
        <v>Hay muchas personas en trajes de baño de pie en un lago con botes de motor detrás de ellos.</v>
      </c>
    </row>
    <row r="12711">
      <c r="A12711" s="4" t="s">
        <v>15992</v>
      </c>
      <c r="B12711" s="4" t="s">
        <v>15994</v>
      </c>
      <c r="C12711" s="5" t="str">
        <f>IFERROR(__xludf.DUMMYFUNCTION("GOOGLETRANSLATE(B12711,""en"",""es-ES"")"),"Una niña con bikini y sosteniendo una lata de Coca -Cola en su mano está frotando protector solar en el pecho de otra mujer.")</f>
        <v>Una niña con bikini y sosteniendo una lata de Coca -Cola en su mano está frotando protector solar en el pecho de otra mujer.</v>
      </c>
    </row>
    <row r="12712">
      <c r="A12712" s="4" t="s">
        <v>15992</v>
      </c>
      <c r="B12712" s="4" t="s">
        <v>15995</v>
      </c>
      <c r="C12712" s="5" t="str">
        <f>IFERROR(__xludf.DUMMYFUNCTION("GOOGLETRANSLATE(B12712,""en"",""es-ES"")"),"Hay algunos hombres parados en troncos de natación detrás de ellos, hablando entre ellos.")</f>
        <v>Hay algunos hombres parados en troncos de natación detrás de ellos, hablando entre ellos.</v>
      </c>
    </row>
    <row r="12713">
      <c r="A12713" s="4" t="s">
        <v>15996</v>
      </c>
      <c r="B12713" s="4" t="s">
        <v>15997</v>
      </c>
      <c r="C12713" s="5" t="str">
        <f>IFERROR(__xludf.DUMMYFUNCTION("GOOGLETRANSLATE(B12713,""en"",""es-ES"")"),"Se muestran recortes de noticias de un jugador de agua, así como imágenes y imágenes fijas.")</f>
        <v>Se muestran recortes de noticias de un jugador de agua, así como imágenes y imágenes fijas.</v>
      </c>
    </row>
    <row r="12714">
      <c r="A12714" s="4" t="s">
        <v>15996</v>
      </c>
      <c r="B12714" s="4" t="s">
        <v>15998</v>
      </c>
      <c r="C12714" s="5" t="str">
        <f>IFERROR(__xludf.DUMMYFUNCTION("GOOGLETRANSLATE(B12714,""en"",""es-ES"")"),"Luego vemos los juegos de Water Polo en video, mientras los jugadores intentan lanzar la pelota a una red.")</f>
        <v>Luego vemos los juegos de Water Polo en video, mientras los jugadores intentan lanzar la pelota a una red.</v>
      </c>
    </row>
    <row r="12715">
      <c r="A12715" s="4" t="s">
        <v>15996</v>
      </c>
      <c r="B12715" s="4" t="s">
        <v>15999</v>
      </c>
      <c r="C12715" s="5" t="str">
        <f>IFERROR(__xludf.DUMMYFUNCTION("GOOGLETRANSLATE(B12715,""en"",""es-ES"")"),"La gente lucha por la pelota, y una pequeña multitud aplaude y vema.")</f>
        <v>La gente lucha por la pelota, y una pequeña multitud aplaude y vema.</v>
      </c>
    </row>
    <row r="12716">
      <c r="A12716" s="4" t="s">
        <v>16000</v>
      </c>
      <c r="B12716" s="4" t="s">
        <v>16001</v>
      </c>
      <c r="C12716" s="5" t="str">
        <f>IFERROR(__xludf.DUMMYFUNCTION("GOOGLETRANSLATE(B12716,""en"",""es-ES"")"),"Se recoge una multitud alrededor de una zona de azulejos negros.")</f>
        <v>Se recoge una multitud alrededor de una zona de azulejos negros.</v>
      </c>
    </row>
    <row r="12717">
      <c r="A12717" s="4" t="s">
        <v>16000</v>
      </c>
      <c r="B12717" s="4" t="s">
        <v>16002</v>
      </c>
      <c r="C12717" s="5" t="str">
        <f>IFERROR(__xludf.DUMMYFUNCTION("GOOGLETRANSLATE(B12717,""en"",""es-ES"")"),"Un hombre de negro hace algunos movimientos de breakdance.")</f>
        <v>Un hombre de negro hace algunos movimientos de breakdance.</v>
      </c>
    </row>
    <row r="12718">
      <c r="A12718" s="4" t="s">
        <v>16000</v>
      </c>
      <c r="B12718" s="4" t="s">
        <v>16003</v>
      </c>
      <c r="C12718" s="5" t="str">
        <f>IFERROR(__xludf.DUMMYFUNCTION("GOOGLETRANSLATE(B12718,""en"",""es-ES"")"),"Luego intercambia con un hombre de blanco, varios de los breakdancers intercambian movimientos mientras la multitud mira.")</f>
        <v>Luego intercambia con un hombre de blanco, varios de los breakdancers intercambian movimientos mientras la multitud mira.</v>
      </c>
    </row>
    <row r="12719">
      <c r="A12719" s="4" t="s">
        <v>16000</v>
      </c>
      <c r="B12719" s="4" t="s">
        <v>16004</v>
      </c>
      <c r="C12719" s="5" t="str">
        <f>IFERROR(__xludf.DUMMYFUNCTION("GOOGLETRANSLATE(B12719,""en"",""es-ES"")"),"Finalmente, el último breakdancer termina su rutina.")</f>
        <v>Finalmente, el último breakdancer termina su rutina.</v>
      </c>
    </row>
    <row r="12720">
      <c r="A12720" s="4" t="s">
        <v>16005</v>
      </c>
      <c r="B12720" s="4" t="s">
        <v>16006</v>
      </c>
      <c r="C12720" s="5" t="str">
        <f>IFERROR(__xludf.DUMMYFUNCTION("GOOGLETRANSLATE(B12720,""en"",""es-ES"")"),"Un partido de polo se lleva a cabo al aire libre en un campo.")</f>
        <v>Un partido de polo se lleva a cabo al aire libre en un campo.</v>
      </c>
    </row>
    <row r="12721">
      <c r="A12721" s="4" t="s">
        <v>16005</v>
      </c>
      <c r="B12721" s="4" t="s">
        <v>16007</v>
      </c>
      <c r="C12721" s="5" t="str">
        <f>IFERROR(__xludf.DUMMYFUNCTION("GOOGLETRANSLATE(B12721,""en"",""es-ES"")"),"Un jugador en un caballo golpea la pelota.")</f>
        <v>Un jugador en un caballo golpea la pelota.</v>
      </c>
    </row>
    <row r="12722">
      <c r="A12722" s="4" t="s">
        <v>16005</v>
      </c>
      <c r="B12722" s="4" t="s">
        <v>16008</v>
      </c>
      <c r="C12722" s="5" t="str">
        <f>IFERROR(__xludf.DUMMYFUNCTION("GOOGLETRANSLATE(B12722,""en"",""es-ES"")"),"Se muestra un disparo amplio de la acción del campo del polo.")</f>
        <v>Se muestra un disparo amplio de la acción del campo del polo.</v>
      </c>
    </row>
    <row r="12723">
      <c r="A12723" s="4" t="s">
        <v>16009</v>
      </c>
      <c r="B12723" s="4" t="s">
        <v>16010</v>
      </c>
      <c r="C12723" s="5" t="str">
        <f>IFERROR(__xludf.DUMMYFUNCTION("GOOGLETRANSLATE(B12723,""en"",""es-ES"")"),"Se ve a una mujer joven hablando con la cámara y la lleva a mostrar su cabello y luego atarlo a una cola de caballo.")</f>
        <v>Se ve a una mujer joven hablando con la cámara y la lleva a mostrar su cabello y luego atarlo a una cola de caballo.</v>
      </c>
    </row>
    <row r="12724">
      <c r="A12724" s="4" t="s">
        <v>16009</v>
      </c>
      <c r="B12724" s="4" t="s">
        <v>16011</v>
      </c>
      <c r="C12724" s="5" t="str">
        <f>IFERROR(__xludf.DUMMYFUNCTION("GOOGLETRANSLATE(B12724,""en"",""es-ES"")"),"Ella rocía su cabello y luego trenza su flequillo seguido de empujar a la trenza a una cola de caballo.")</f>
        <v>Ella rocía su cabello y luego trenza su flequillo seguido de empujar a la trenza a una cola de caballo.</v>
      </c>
    </row>
    <row r="12725">
      <c r="A12725" s="4" t="s">
        <v>16009</v>
      </c>
      <c r="B12725" s="4" t="s">
        <v>16012</v>
      </c>
      <c r="C12725" s="5" t="str">
        <f>IFERROR(__xludf.DUMMYFUNCTION("GOOGLETRANSLATE(B12725,""en"",""es-ES"")"),"Ella pone un arco en su cabello al final y sonríe a la cámara.")</f>
        <v>Ella pone un arco en su cabello al final y sonríe a la cámara.</v>
      </c>
    </row>
    <row r="12726">
      <c r="A12726" s="4" t="s">
        <v>16013</v>
      </c>
      <c r="B12726" s="4" t="s">
        <v>16014</v>
      </c>
      <c r="C12726" s="5" t="str">
        <f>IFERROR(__xludf.DUMMYFUNCTION("GOOGLETRANSLATE(B12726,""en"",""es-ES"")"),"Aparece una pantalla blanca y se muestran caras felices y las palabras de texto negras leen ""Happyface Entertainment"".")</f>
        <v>Aparece una pantalla blanca y se muestran caras felices y las palabras de texto negras leen "Happyface Entertainment".</v>
      </c>
    </row>
    <row r="12727">
      <c r="A12727" s="4" t="s">
        <v>16013</v>
      </c>
      <c r="B12727" s="4" t="s">
        <v>16015</v>
      </c>
      <c r="C12727" s="5" t="str">
        <f>IFERROR(__xludf.DUMMYFUNCTION("GOOGLETRANSLATE(B12727,""en"",""es-ES"")"),"Hay dos mujeres asiáticas de pie cara a cara muy cerca una de otras y hablando de una lata mientras aparecen subtítulos en la parte inferior.")</f>
        <v>Hay dos mujeres asiáticas de pie cara a cara muy cerca una de otras y hablando de una lata mientras aparecen subtítulos en la parte inferior.</v>
      </c>
    </row>
    <row r="12728">
      <c r="A12728" s="4" t="s">
        <v>16013</v>
      </c>
      <c r="B12728" s="4" t="s">
        <v>16016</v>
      </c>
      <c r="C12728" s="5" t="str">
        <f>IFERROR(__xludf.DUMMYFUNCTION("GOOGLETRANSLATE(B12728,""en"",""es-ES"")"),"La mujer que sostiene la botella a la derecha intenta abrir la botella y tiene dificultades para que alguien se extienda y la abre por ella y la devuelva.")</f>
        <v>La mujer que sostiene la botella a la derecha intenta abrir la botella y tiene dificultades para que alguien se extienda y la abre por ella y la devuelva.</v>
      </c>
    </row>
    <row r="12729">
      <c r="A12729" s="4" t="s">
        <v>16013</v>
      </c>
      <c r="B12729" s="4" t="s">
        <v>16017</v>
      </c>
      <c r="C12729" s="5" t="str">
        <f>IFERROR(__xludf.DUMMYFUNCTION("GOOGLETRANSLATE(B12729,""en"",""es-ES"")"),"Las mujeres se ríen, huelen el contenido de la botella y la morena sabe un poco y ambas se ríen.")</f>
        <v>Las mujeres se ríen, huelen el contenido de la botella y la morena sabe un poco y ambas se ríen.</v>
      </c>
    </row>
    <row r="12730">
      <c r="A12730" s="4" t="s">
        <v>16018</v>
      </c>
      <c r="B12730" s="4" t="s">
        <v>16019</v>
      </c>
      <c r="C12730" s="5" t="str">
        <f>IFERROR(__xludf.DUMMYFUNCTION("GOOGLETRANSLATE(B12730,""en"",""es-ES"")"),"Aparece una pantalla negra con las letras blancas y los números que dicen el examen 2012.")</f>
        <v>Aparece una pantalla negra con las letras blancas y los números que dicen el examen 2012.</v>
      </c>
    </row>
    <row r="12731">
      <c r="A12731" s="4" t="s">
        <v>16018</v>
      </c>
      <c r="B12731" s="4" t="s">
        <v>16020</v>
      </c>
      <c r="C12731" s="5" t="str">
        <f>IFERROR(__xludf.DUMMYFUNCTION("GOOGLETRANSLATE(B12731,""en"",""es-ES"")"),"Se muestra un edificio de un edificio más antiguo y las letras blancas en la pantalla dicen Bolshoi Ballet Academy.")</f>
        <v>Se muestra un edificio de un edificio más antiguo y las letras blancas en la pantalla dicen Bolshoi Ballet Academy.</v>
      </c>
    </row>
    <row r="12732">
      <c r="A12732" s="4" t="s">
        <v>16018</v>
      </c>
      <c r="B12732" s="4" t="s">
        <v>16021</v>
      </c>
      <c r="C12732" s="5" t="str">
        <f>IFERROR(__xludf.DUMMYFUNCTION("GOOGLETRANSLATE(B12732,""en"",""es-ES"")"),"Se muestra a una mujer rubia sentada en un piano y cuando comienza a interpretar a un grupo de mujeres jóvenes que se muestran vestidas con su equipo de ballet y bailan ballet en un escenario mientras la gente las mira.")</f>
        <v>Se muestra a una mujer rubia sentada en un piano y cuando comienza a interpretar a un grupo de mujeres jóvenes que se muestran vestidas con su equipo de ballet y bailan ballet en un escenario mientras la gente las mira.</v>
      </c>
    </row>
    <row r="12733">
      <c r="A12733" s="4" t="s">
        <v>16018</v>
      </c>
      <c r="B12733" s="4" t="s">
        <v>16022</v>
      </c>
      <c r="C12733" s="5" t="str">
        <f>IFERROR(__xludf.DUMMYFUNCTION("GOOGLETRANSLATE(B12733,""en"",""es-ES"")"),"A algunas de las chicas se les muestra tutus que se adhieren directamente, caminan al escenario y comienzan a bailar como su tutus que se adhieren directamente con ellas.")</f>
        <v>A algunas de las chicas se les muestra tutus que se adhieren directamente, caminan al escenario y comienzan a bailar como su tutus que se adhieren directamente con ellas.</v>
      </c>
    </row>
    <row r="12734">
      <c r="A12734" s="4" t="s">
        <v>16018</v>
      </c>
      <c r="B12734" s="4" t="s">
        <v>16023</v>
      </c>
      <c r="C12734" s="5" t="str">
        <f>IFERROR(__xludf.DUMMYFUNCTION("GOOGLETRANSLATE(B12734,""en"",""es-ES"")"),"Las mujeres terminan su rutina de ballet, y todas caminan hacia el costado del escenario para agarrar la mano de la mujer, todas se rutinaron al escenario, toman una reverencia, y todos los bailes de ballet celebran su actuación y dan otros abrazos.")</f>
        <v>Las mujeres terminan su rutina de ballet, y todas caminan hacia el costado del escenario para agarrar la mano de la mujer, todas se rutinaron al escenario, toman una reverencia, y todos los bailes de ballet celebran su actuación y dan otros abrazos.</v>
      </c>
    </row>
    <row r="12735">
      <c r="A12735" s="4" t="s">
        <v>16024</v>
      </c>
      <c r="B12735" s="4" t="s">
        <v>16025</v>
      </c>
      <c r="C12735" s="5" t="str">
        <f>IFERROR(__xludf.DUMMYFUNCTION("GOOGLETRANSLATE(B12735,""en"",""es-ES"")"),"Un sándwich está sentado en un mostrador.")</f>
        <v>Un sándwich está sentado en un mostrador.</v>
      </c>
    </row>
    <row r="12736">
      <c r="A12736" s="4" t="s">
        <v>16024</v>
      </c>
      <c r="B12736" s="4" t="s">
        <v>16026</v>
      </c>
      <c r="C12736" s="5" t="str">
        <f>IFERROR(__xludf.DUMMYFUNCTION("GOOGLETRANSLATE(B12736,""en"",""es-ES"")"),"Hay muchas verduras alrededor del sándwich.")</f>
        <v>Hay muchas verduras alrededor del sándwich.</v>
      </c>
    </row>
    <row r="12737">
      <c r="A12737" s="4" t="s">
        <v>16024</v>
      </c>
      <c r="B12737" s="4" t="s">
        <v>16027</v>
      </c>
      <c r="C12737" s="5" t="str">
        <f>IFERROR(__xludf.DUMMYFUNCTION("GOOGLETRANSLATE(B12737,""en"",""es-ES"")"),"Una persona pone a los pepinos encima del sándwich.")</f>
        <v>Una persona pone a los pepinos encima del sándwich.</v>
      </c>
    </row>
    <row r="12738">
      <c r="A12738" s="4" t="s">
        <v>16028</v>
      </c>
      <c r="B12738" s="4" t="s">
        <v>16029</v>
      </c>
      <c r="C12738" s="5" t="str">
        <f>IFERROR(__xludf.DUMMYFUNCTION("GOOGLETRANSLATE(B12738,""en"",""es-ES"")"),"Se muestra a un hombre fumando un cigarrillo que sale de su boca continuamente con la boca y mirando a la cámara.")</f>
        <v>Se muestra a un hombre fumando un cigarrillo que sale de su boca continuamente con la boca y mirando a la cámara.</v>
      </c>
    </row>
    <row r="12739">
      <c r="A12739" s="4" t="s">
        <v>16028</v>
      </c>
      <c r="B12739" s="4" t="s">
        <v>16030</v>
      </c>
      <c r="C12739" s="5" t="str">
        <f>IFERROR(__xludf.DUMMYFUNCTION("GOOGLETRANSLATE(B12739,""en"",""es-ES"")"),"Se pone gafas de sol y continúa quitando las bocanadas del cigarrillo.")</f>
        <v>Se pone gafas de sol y continúa quitando las bocanadas del cigarrillo.</v>
      </c>
    </row>
    <row r="12740">
      <c r="A12740" s="4" t="s">
        <v>16028</v>
      </c>
      <c r="B12740" s="4" t="s">
        <v>16031</v>
      </c>
      <c r="C12740" s="5" t="str">
        <f>IFERROR(__xludf.DUMMYFUNCTION("GOOGLETRANSLATE(B12740,""en"",""es-ES"")"),"Lleva la cámara a una grieta en el piso y de regreso a la cara fumando afuera.")</f>
        <v>Lleva la cámara a una grieta en el piso y de regreso a la cara fumando afuera.</v>
      </c>
    </row>
    <row r="12741">
      <c r="A12741" s="4" t="s">
        <v>16032</v>
      </c>
      <c r="B12741" s="4" t="s">
        <v>16033</v>
      </c>
      <c r="C12741" s="5" t="str">
        <f>IFERROR(__xludf.DUMMYFUNCTION("GOOGLETRANSLATE(B12741,""en"",""es-ES"")"),"Dos niños pequeños como los vieron sentados en una mesa riéndose entre ellos.")</f>
        <v>Dos niños pequeños como los vieron sentados en una mesa riéndose entre ellos.</v>
      </c>
    </row>
    <row r="12742">
      <c r="A12742" s="4" t="s">
        <v>16032</v>
      </c>
      <c r="B12742" s="4" t="s">
        <v>16034</v>
      </c>
      <c r="C12742" s="5" t="str">
        <f>IFERROR(__xludf.DUMMYFUNCTION("GOOGLETRANSLATE(B12742,""en"",""es-ES"")"),"Se ve a una niña pintando las uñas de otro mientras mira a lo lejos.")</f>
        <v>Se ve a una niña pintando las uñas de otro mientras mira a lo lejos.</v>
      </c>
    </row>
    <row r="12743">
      <c r="A12743" s="4" t="s">
        <v>16032</v>
      </c>
      <c r="B12743" s="4" t="s">
        <v>16035</v>
      </c>
      <c r="C12743" s="5" t="str">
        <f>IFERROR(__xludf.DUMMYFUNCTION("GOOGLETRANSLATE(B12743,""en"",""es-ES"")"),"La niña continúa pintando las uñas de los demás mientras ella se ríe en la cámara.")</f>
        <v>La niña continúa pintando las uñas de los demás mientras ella se ríe en la cámara.</v>
      </c>
    </row>
    <row r="12744">
      <c r="A12744" s="4" t="s">
        <v>16036</v>
      </c>
      <c r="B12744" s="4" t="s">
        <v>16037</v>
      </c>
      <c r="C12744" s="5" t="str">
        <f>IFERROR(__xludf.DUMMYFUNCTION("GOOGLETRANSLATE(B12744,""en"",""es-ES"")"),"Una persona toma un cuchillo y corta los extremos de una papa, luego la persona pelea la papa.")</f>
        <v>Una persona toma un cuchillo y corta los extremos de una papa, luego la persona pelea la papa.</v>
      </c>
    </row>
    <row r="12745">
      <c r="A12745" s="4" t="s">
        <v>16036</v>
      </c>
      <c r="B12745" s="4" t="s">
        <v>16038</v>
      </c>
      <c r="C12745" s="5" t="str">
        <f>IFERROR(__xludf.DUMMYFUNCTION("GOOGLETRANSLATE(B12745,""en"",""es-ES"")"),"Después, la persona cortó la papa en cuadrados.")</f>
        <v>Después, la persona cortó la papa en cuadrados.</v>
      </c>
    </row>
    <row r="12746">
      <c r="A12746" s="4" t="s">
        <v>16039</v>
      </c>
      <c r="B12746" s="4" t="s">
        <v>16040</v>
      </c>
      <c r="C12746" s="5" t="str">
        <f>IFERROR(__xludf.DUMMYFUNCTION("GOOGLETRANSLATE(B12746,""en"",""es-ES"")"),"Vemos una escena de apertura rosa.")</f>
        <v>Vemos una escena de apertura rosa.</v>
      </c>
    </row>
    <row r="12747">
      <c r="A12747" s="4" t="s">
        <v>16039</v>
      </c>
      <c r="B12747" s="4" t="s">
        <v>16041</v>
      </c>
      <c r="C12747" s="5" t="str">
        <f>IFERROR(__xludf.DUMMYFUNCTION("GOOGLETRANSLATE(B12747,""en"",""es-ES"")"),"Una señora sube las escaleras y la gente se reúne en una plaza al aire libre.")</f>
        <v>Una señora sube las escaleras y la gente se reúne en una plaza al aire libre.</v>
      </c>
    </row>
    <row r="12748">
      <c r="A12748" s="4" t="s">
        <v>16039</v>
      </c>
      <c r="B12748" s="4" t="s">
        <v>16042</v>
      </c>
      <c r="C12748" s="5" t="str">
        <f>IFERROR(__xludf.DUMMYFUNCTION("GOOGLETRANSLATE(B12748,""en"",""es-ES"")"),"Vemos una pancarta de carreras y personas que se mueven bajo el banner.")</f>
        <v>Vemos una pancarta de carreras y personas que se mueven bajo el banner.</v>
      </c>
    </row>
    <row r="12749">
      <c r="A12749" s="4" t="s">
        <v>16039</v>
      </c>
      <c r="B12749" s="4" t="s">
        <v>16043</v>
      </c>
      <c r="C12749" s="5" t="str">
        <f>IFERROR(__xludf.DUMMYFUNCTION("GOOGLETRANSLATE(B12749,""en"",""es-ES"")"),"Los corredores están corriendo por una calle de la ciudad en un maratón.")</f>
        <v>Los corredores están corriendo por una calle de la ciudad en un maratón.</v>
      </c>
    </row>
    <row r="12750">
      <c r="A12750" s="4" t="s">
        <v>16039</v>
      </c>
      <c r="B12750" s="4" t="s">
        <v>16044</v>
      </c>
      <c r="C12750" s="5" t="str">
        <f>IFERROR(__xludf.DUMMYFUNCTION("GOOGLETRANSLATE(B12750,""en"",""es-ES"")"),"Vemos una estructura como el estadio un km 8.")</f>
        <v>Vemos una estructura como el estadio un km 8.</v>
      </c>
    </row>
    <row r="12751">
      <c r="A12751" s="4" t="s">
        <v>16039</v>
      </c>
      <c r="B12751" s="4" t="s">
        <v>16045</v>
      </c>
      <c r="C12751" s="5" t="str">
        <f>IFERROR(__xludf.DUMMYFUNCTION("GOOGLETRANSLATE(B12751,""en"",""es-ES"")"),"Vemos una fuente rociando agua.")</f>
        <v>Vemos una fuente rociando agua.</v>
      </c>
    </row>
    <row r="12752">
      <c r="A12752" s="4" t="s">
        <v>16039</v>
      </c>
      <c r="B12752" s="4" t="s">
        <v>16046</v>
      </c>
      <c r="C12752" s="5" t="str">
        <f>IFERROR(__xludf.DUMMYFUNCTION("GOOGLETRANSLATE(B12752,""en"",""es-ES"")"),"Una banda de mariachi se sienta en la acera tocando música seguida de bateristas.")</f>
        <v>Una banda de mariachi se sienta en la acera tocando música seguida de bateristas.</v>
      </c>
    </row>
    <row r="12753">
      <c r="A12753" s="4" t="s">
        <v>16039</v>
      </c>
      <c r="B12753" s="4" t="s">
        <v>16047</v>
      </c>
      <c r="C12753" s="5" t="str">
        <f>IFERROR(__xludf.DUMMYFUNCTION("GOOGLETRANSLATE(B12753,""en"",""es-ES"")"),"Vemos el final y una taza de café y una medalla.")</f>
        <v>Vemos el final y una taza de café y una medalla.</v>
      </c>
    </row>
    <row r="12754">
      <c r="A12754" s="4" t="s">
        <v>16039</v>
      </c>
      <c r="B12754" s="4" t="s">
        <v>16048</v>
      </c>
      <c r="C12754" s="5" t="str">
        <f>IFERROR(__xludf.DUMMYFUNCTION("GOOGLETRANSLATE(B12754,""en"",""es-ES"")"),"Una foto de la dama comprende su foto con la banda de Mariachi.")</f>
        <v>Una foto de la dama comprende su foto con la banda de Mariachi.</v>
      </c>
    </row>
    <row r="12755">
      <c r="A12755" s="4" t="s">
        <v>16039</v>
      </c>
      <c r="B12755" s="4" t="s">
        <v>1998</v>
      </c>
      <c r="C12755" s="5" t="str">
        <f>IFERROR(__xludf.DUMMYFUNCTION("GOOGLETRANSLATE(B12755,""en"",""es-ES"")"),"Se muestra la pantalla de título final.")</f>
        <v>Se muestra la pantalla de título final.</v>
      </c>
    </row>
    <row r="12756">
      <c r="A12756" s="4" t="s">
        <v>16049</v>
      </c>
      <c r="B12756" s="4" t="s">
        <v>16050</v>
      </c>
      <c r="C12756" s="5" t="str">
        <f>IFERROR(__xludf.DUMMYFUNCTION("GOOGLETRANSLATE(B12756,""en"",""es-ES"")"),"Hay una chica que habla de alegría, gimnasia y caída.")</f>
        <v>Hay una chica que habla de alegría, gimnasia y caída.</v>
      </c>
    </row>
    <row r="12757">
      <c r="A12757" s="4" t="s">
        <v>16049</v>
      </c>
      <c r="B12757" s="4" t="s">
        <v>16051</v>
      </c>
      <c r="C12757" s="5" t="str">
        <f>IFERROR(__xludf.DUMMYFUNCTION("GOOGLETRANSLATE(B12757,""en"",""es-ES"")"),"Ella está demostrando cómo hacer saltos mortales, volteretas, redondear y atrás y delantera.")</f>
        <v>Ella está demostrando cómo hacer saltos mortales, volteretas, redondear y atrás y delantera.</v>
      </c>
    </row>
    <row r="12758">
      <c r="A12758" s="4" t="s">
        <v>16049</v>
      </c>
      <c r="B12758" s="4" t="s">
        <v>16052</v>
      </c>
      <c r="C12758" s="5" t="str">
        <f>IFERROR(__xludf.DUMMYFUNCTION("GOOGLETRANSLATE(B12758,""en"",""es-ES"")"),"Ella también muestra varios otros movimientos como la antena, tic-toc y la espalda.")</f>
        <v>Ella también muestra varios otros movimientos como la antena, tic-toc y la espalda.</v>
      </c>
    </row>
    <row r="12759">
      <c r="A12759" s="4" t="s">
        <v>16049</v>
      </c>
      <c r="B12759" s="4" t="s">
        <v>16053</v>
      </c>
      <c r="C12759" s="5" t="str">
        <f>IFERROR(__xludf.DUMMYFUNCTION("GOOGLETRANSLATE(B12759,""en"",""es-ES"")"),"Ella continúa demostrando varios otros movimientos gimnásticos moviendo rápidamente su cuerpo a través de las flips delanteras.")</f>
        <v>Ella continúa demostrando varios otros movimientos gimnásticos moviendo rápidamente su cuerpo a través de las flips delanteras.</v>
      </c>
    </row>
    <row r="12760">
      <c r="A12760" s="4" t="s">
        <v>16054</v>
      </c>
      <c r="B12760" s="4" t="s">
        <v>16055</v>
      </c>
      <c r="C12760" s="5" t="str">
        <f>IFERROR(__xludf.DUMMYFUNCTION("GOOGLETRANSLATE(B12760,""en"",""es-ES"")"),"Un hombre con chaqueta marrón está sacando una flecha del tablero objetivo, luego estaba hablando con la cámara, luego sacó su arco y comenzó a usarla con su arco para golpear el tablero objetivo, disparó sus arcos varias veces.")</f>
        <v>Un hombre con chaqueta marrón está sacando una flecha del tablero objetivo, luego estaba hablando con la cámara, luego sacó su arco y comenzó a usarla con su arco para golpear el tablero objetivo, disparó sus arcos varias veces.</v>
      </c>
    </row>
    <row r="12761">
      <c r="A12761" s="4" t="s">
        <v>16054</v>
      </c>
      <c r="B12761" s="4" t="s">
        <v>16056</v>
      </c>
      <c r="C12761" s="5" t="str">
        <f>IFERROR(__xludf.DUMMYFUNCTION("GOOGLETRANSLATE(B12761,""en"",""es-ES"")"),"El hombre fue al tablero objetivo y habló con la cámara.")</f>
        <v>El hombre fue al tablero objetivo y habló con la cámara.</v>
      </c>
    </row>
    <row r="12762">
      <c r="A12762" s="4" t="s">
        <v>16057</v>
      </c>
      <c r="B12762" s="4" t="s">
        <v>16058</v>
      </c>
      <c r="C12762" s="5" t="str">
        <f>IFERROR(__xludf.DUMMYFUNCTION("GOOGLETRANSLATE(B12762,""en"",""es-ES"")"),"Se muestra a un niño balanceándose en un equipo de gimnasia con otros entrenando en el fondo.")</f>
        <v>Se muestra a un niño balanceándose en un equipo de gimnasia con otros entrenando en el fondo.</v>
      </c>
    </row>
    <row r="12763">
      <c r="A12763" s="4" t="s">
        <v>16057</v>
      </c>
      <c r="B12763" s="4" t="s">
        <v>16059</v>
      </c>
      <c r="C12763" s="5" t="str">
        <f>IFERROR(__xludf.DUMMYFUNCTION("GOOGLETRANSLATE(B12763,""en"",""es-ES"")"),"La cámara muestra varias tomas de diferentes niños que se balancean en el equipo de alrededor y de alrededor con la cámara que se desplaza a diferentes ángulos.")</f>
        <v>La cámara muestra varias tomas de diferentes niños que se balancean en el equipo de alrededor y de alrededor con la cámara que se desplaza a diferentes ángulos.</v>
      </c>
    </row>
    <row r="12764">
      <c r="A12764" s="4" t="s">
        <v>16060</v>
      </c>
      <c r="B12764" s="4" t="s">
        <v>16061</v>
      </c>
      <c r="C12764" s="5" t="str">
        <f>IFERROR(__xludf.DUMMYFUNCTION("GOOGLETRANSLATE(B12764,""en"",""es-ES"")"),"Un hombre y una mujer son vistos parados en un carril de bolos con otra lectura en la distancia.")</f>
        <v>Un hombre y una mujer son vistos parados en un carril de bolos con otra lectura en la distancia.</v>
      </c>
    </row>
    <row r="12765">
      <c r="A12765" s="4" t="s">
        <v>16060</v>
      </c>
      <c r="B12765" s="4" t="s">
        <v>16062</v>
      </c>
      <c r="C12765" s="5" t="str">
        <f>IFERROR(__xludf.DUMMYFUNCTION("GOOGLETRANSLATE(B12765,""en"",""es-ES"")"),"Una mujer entra y habla con la mujer rubia y le entrega unos bolos.")</f>
        <v>Una mujer entra y habla con la mujer rubia y le entrega unos bolos.</v>
      </c>
    </row>
    <row r="12766">
      <c r="A12766" s="4" t="s">
        <v>16060</v>
      </c>
      <c r="B12766" s="4" t="s">
        <v>16063</v>
      </c>
      <c r="C12766" s="5" t="str">
        <f>IFERROR(__xludf.DUMMYFUNCTION("GOOGLETRANSLATE(B12766,""en"",""es-ES"")"),"El hombre habla y la niña arroja la bola de bolos con los talones.")</f>
        <v>El hombre habla y la niña arroja la bola de bolos con los talones.</v>
      </c>
    </row>
    <row r="12767">
      <c r="A12767" s="4" t="s">
        <v>16064</v>
      </c>
      <c r="B12767" s="4" t="s">
        <v>16065</v>
      </c>
      <c r="C12767" s="5" t="str">
        <f>IFERROR(__xludf.DUMMYFUNCTION("GOOGLETRANSLATE(B12767,""en"",""es-ES"")"),"El lanzador arroja la pelota al bateador jugando a Criquet.")</f>
        <v>El lanzador arroja la pelota al bateador jugando a Criquet.</v>
      </c>
    </row>
    <row r="12768">
      <c r="A12768" s="4" t="s">
        <v>16064</v>
      </c>
      <c r="B12768" s="4" t="s">
        <v>16066</v>
      </c>
      <c r="C12768" s="5" t="str">
        <f>IFERROR(__xludf.DUMMYFUNCTION("GOOGLETRANSLATE(B12768,""en"",""es-ES"")"),"El bateador se enfrenta con el hombre y otras personas intentan calmarlo.")</f>
        <v>El bateador se enfrenta con el hombre y otras personas intentan calmarlo.</v>
      </c>
    </row>
    <row r="12769">
      <c r="A12769" s="4" t="s">
        <v>16064</v>
      </c>
      <c r="B12769" s="4" t="s">
        <v>16067</v>
      </c>
      <c r="C12769" s="5" t="str">
        <f>IFERROR(__xludf.DUMMYFUNCTION("GOOGLETRANSLATE(B12769,""en"",""es-ES"")"),"Un LO de personas que usan unifras negras están corriendo en el campo luchando.")</f>
        <v>Un LO de personas que usan unifras negras están corriendo en el campo luchando.</v>
      </c>
    </row>
    <row r="12770">
      <c r="A12770" s="4" t="s">
        <v>16068</v>
      </c>
      <c r="B12770" s="4" t="s">
        <v>16069</v>
      </c>
      <c r="C12770" s="5" t="str">
        <f>IFERROR(__xludf.DUMMYFUNCTION("GOOGLETRANSLATE(B12770,""en"",""es-ES"")"),"Se ve a varias mujeres caminando con lanzamientos de bala en sus manos seguidas de más tiros de atletas caminando, lanzando la pelota y saludando a la multitud.")</f>
        <v>Se ve a varias mujeres caminando con lanzamientos de bala en sus manos seguidas de más tiros de atletas caminando, lanzando la pelota y saludando a la multitud.</v>
      </c>
    </row>
    <row r="12771">
      <c r="A12771" s="4" t="s">
        <v>16068</v>
      </c>
      <c r="B12771" s="4" t="s">
        <v>16070</v>
      </c>
      <c r="C12771" s="5" t="str">
        <f>IFERROR(__xludf.DUMMYFUNCTION("GOOGLETRANSLATE(B12771,""en"",""es-ES"")"),"El video continúa con varios tiros diferentes de atletas femeninas lanzando lanzamientos de bala, así como animando a la multitud y moviéndose.")</f>
        <v>El video continúa con varios tiros diferentes de atletas femeninas lanzando lanzamientos de bala, así como animando a la multitud y moviéndose.</v>
      </c>
    </row>
    <row r="12772">
      <c r="A12772" s="4" t="s">
        <v>16071</v>
      </c>
      <c r="B12772" s="4" t="s">
        <v>16072</v>
      </c>
      <c r="C12772" s="5" t="str">
        <f>IFERROR(__xludf.DUMMYFUNCTION("GOOGLETRANSLATE(B12772,""en"",""es-ES"")"),"Dos hombres juegan gaita, mientras son fotografiados en una ceremonia militar y policial al aire libre con un altavoz en un podio rodeado de hombres con uniforme y frente a una audiencia formalmente sentada.")</f>
        <v>Dos hombres juegan gaita, mientras son fotografiados en una ceremonia militar y policial al aire libre con un altavoz en un podio rodeado de hombres con uniforme y frente a una audiencia formalmente sentada.</v>
      </c>
    </row>
    <row r="12773">
      <c r="A12773" s="4" t="s">
        <v>16071</v>
      </c>
      <c r="B12773" s="4" t="s">
        <v>16073</v>
      </c>
      <c r="C12773" s="5" t="str">
        <f>IFERROR(__xludf.DUMMYFUNCTION("GOOGLETRANSLATE(B12773,""en"",""es-ES"")"),"Dos hombres juegan gaita frente a una fila de policías y un hombre con un uniforme militar, todo cuando un fotógrafo toma su foto desde abajo.")</f>
        <v>Dos hombres juegan gaita frente a una fila de policías y un hombre con un uniforme militar, todo cuando un fotógrafo toma su foto desde abajo.</v>
      </c>
    </row>
    <row r="12774">
      <c r="A12774" s="4" t="s">
        <v>16071</v>
      </c>
      <c r="B12774" s="4" t="s">
        <v>16074</v>
      </c>
      <c r="C12774" s="5" t="str">
        <f>IFERROR(__xludf.DUMMYFUNCTION("GOOGLETRANSLATE(B12774,""en"",""es-ES"")"),"La cámara se mueve a un hombre con un traje de pie en un podio frente a un grupo de personas que están de pie junto con las hileras de personas con uniforme detrás del altavoz.")</f>
        <v>La cámara se mueve a un hombre con un traje de pie en un podio frente a un grupo de personas que están de pie junto con las hileras de personas con uniforme detrás del altavoz.</v>
      </c>
    </row>
    <row r="12775">
      <c r="A12775" s="4" t="s">
        <v>16071</v>
      </c>
      <c r="B12775" s="4" t="s">
        <v>16075</v>
      </c>
      <c r="C12775" s="5" t="str">
        <f>IFERROR(__xludf.DUMMYFUNCTION("GOOGLETRANSLATE(B12775,""en"",""es-ES"")"),"Luego, la cámara se aplica a tres aviones militares volando por encima como parte de la ceremonia antes de regresar a la gente, que están de pie, frente al hombre en el podio.")</f>
        <v>Luego, la cámara se aplica a tres aviones militares volando por encima como parte de la ceremonia antes de regresar a la gente, que están de pie, frente al hombre en el podio.</v>
      </c>
    </row>
    <row r="12776">
      <c r="A12776" s="4" t="s">
        <v>16076</v>
      </c>
      <c r="B12776" s="4" t="s">
        <v>16077</v>
      </c>
      <c r="C12776" s="5" t="str">
        <f>IFERROR(__xludf.DUMMYFUNCTION("GOOGLETRANSLATE(B12776,""en"",""es-ES"")"),"Se muestran tomas de personas paradas en los lados, así como un grupo de chicas que juegan tira y afloja entre sí.")</f>
        <v>Se muestran tomas de personas paradas en los lados, así como un grupo de chicas que juegan tira y afloja entre sí.</v>
      </c>
    </row>
    <row r="12777">
      <c r="A12777" s="4" t="s">
        <v>16076</v>
      </c>
      <c r="B12777" s="4" t="s">
        <v>16078</v>
      </c>
      <c r="C12777" s="5" t="str">
        <f>IFERROR(__xludf.DUMMYFUNCTION("GOOGLETRANSLATE(B12777,""en"",""es-ES"")"),"Se muestran varios disparos más de chicas jugando tira y afloja entre sí, mientras que las personas celebran a los lados y con sus compañeros de equipo.")</f>
        <v>Se muestran varios disparos más de chicas jugando tira y afloja entre sí, mientras que las personas celebran a los lados y con sus compañeros de equipo.</v>
      </c>
    </row>
    <row r="12778">
      <c r="A12778" s="4" t="s">
        <v>16079</v>
      </c>
      <c r="B12778" s="4" t="s">
        <v>16080</v>
      </c>
      <c r="C12778" s="5" t="str">
        <f>IFERROR(__xludf.DUMMYFUNCTION("GOOGLETRANSLATE(B12778,""en"",""es-ES"")"),"Un hombre que usa guantes está en sus manos y rodillas usando una herramienta eléctrica que está creando chispas.")</f>
        <v>Un hombre que usa guantes está en sus manos y rodillas usando una herramienta eléctrica que está creando chispas.</v>
      </c>
    </row>
    <row r="12779">
      <c r="A12779" s="4" t="s">
        <v>16079</v>
      </c>
      <c r="B12779" s="4" t="s">
        <v>16081</v>
      </c>
      <c r="C12779" s="5" t="str">
        <f>IFERROR(__xludf.DUMMYFUNCTION("GOOGLETRANSLATE(B12779,""en"",""es-ES"")"),"Continúa usando el objeto mientras el camarógrafo observa y termina de quemar el objeto.")</f>
        <v>Continúa usando el objeto mientras el camarógrafo observa y termina de quemar el objeto.</v>
      </c>
    </row>
    <row r="12780">
      <c r="A12780" s="4" t="s">
        <v>16082</v>
      </c>
      <c r="B12780" s="4" t="s">
        <v>16083</v>
      </c>
      <c r="C12780" s="5" t="str">
        <f>IFERROR(__xludf.DUMMYFUNCTION("GOOGLETRANSLATE(B12780,""en"",""es-ES"")"),"Boy está parado frente a una puerta hablando con otros niños frente a una cocina.")</f>
        <v>Boy está parado frente a una puerta hablando con otros niños frente a una cocina.</v>
      </c>
    </row>
    <row r="12781">
      <c r="A12781" s="4" t="s">
        <v>16082</v>
      </c>
      <c r="B12781" s="4" t="s">
        <v>16084</v>
      </c>
      <c r="C12781" s="5" t="str">
        <f>IFERROR(__xludf.DUMMYFUNCTION("GOOGLETRANSLATE(B12781,""en"",""es-ES"")"),"El hombre camina hacia la sala de estar frente a una mesa de ping pong.")</f>
        <v>El hombre camina hacia la sala de estar frente a una mesa de ping pong.</v>
      </c>
    </row>
    <row r="12782">
      <c r="A12782" s="4" t="s">
        <v>16082</v>
      </c>
      <c r="B12782" s="4" t="s">
        <v>16085</v>
      </c>
      <c r="C12782" s="5" t="str">
        <f>IFERROR(__xludf.DUMMYFUNCTION("GOOGLETRANSLATE(B12782,""en"",""es-ES"")"),"El hombre está poniendo los zapatos, agarra una patineta y está patinando junto a una acera con sus amigos.")</f>
        <v>El hombre está poniendo los zapatos, agarra una patineta y está patinando junto a una acera con sus amigos.</v>
      </c>
    </row>
    <row r="12783">
      <c r="A12783" s="4" t="s">
        <v>16082</v>
      </c>
      <c r="B12783" s="4" t="s">
        <v>16086</v>
      </c>
      <c r="C12783" s="5" t="str">
        <f>IFERROR(__xludf.DUMMYFUNCTION("GOOGLETRANSLATE(B12783,""en"",""es-ES"")"),"El hombre está colgando de Lianas en un árbol en un parque.")</f>
        <v>El hombre está colgando de Lianas en un árbol en un parque.</v>
      </c>
    </row>
    <row r="12784">
      <c r="A12784" s="4" t="s">
        <v>16087</v>
      </c>
      <c r="B12784" s="4" t="s">
        <v>16088</v>
      </c>
      <c r="C12784" s="5" t="str">
        <f>IFERROR(__xludf.DUMMYFUNCTION("GOOGLETRANSLATE(B12784,""en"",""es-ES"")"),"Un niño está de pie con algunos hombres en un ascensor de silla, vestido con equipo de esquí.")</f>
        <v>Un niño está de pie con algunos hombres en un ascensor de silla, vestido con equipo de esquí.</v>
      </c>
    </row>
    <row r="12785">
      <c r="A12785" s="4" t="s">
        <v>16087</v>
      </c>
      <c r="B12785" s="4" t="s">
        <v>16089</v>
      </c>
      <c r="C12785" s="5" t="str">
        <f>IFERROR(__xludf.DUMMYFUNCTION("GOOGLETRANSLATE(B12785,""en"",""es-ES"")"),"El niño esquía en una colina, pero se cae.")</f>
        <v>El niño esquía en una colina, pero se cae.</v>
      </c>
    </row>
    <row r="12786">
      <c r="A12786" s="4" t="s">
        <v>16087</v>
      </c>
      <c r="B12786" s="4" t="s">
        <v>16090</v>
      </c>
      <c r="C12786" s="5" t="str">
        <f>IFERROR(__xludf.DUMMYFUNCTION("GOOGLETRANSLATE(B12786,""en"",""es-ES"")"),"Luego se le muestra un cambio en el aire, seguido de varios trucos de rampa y volteo.")</f>
        <v>Luego se le muestra un cambio en el aire, seguido de varios trucos de rampa y volteo.</v>
      </c>
    </row>
    <row r="12787">
      <c r="A12787" s="4" t="s">
        <v>16087</v>
      </c>
      <c r="B12787" s="4" t="s">
        <v>16091</v>
      </c>
      <c r="C12787" s="5" t="str">
        <f>IFERROR(__xludf.DUMMYFUNCTION("GOOGLETRANSLATE(B12787,""en"",""es-ES"")"),"Cuando terminan, entran en un edificio.")</f>
        <v>Cuando terminan, entran en un edificio.</v>
      </c>
    </row>
    <row r="12788">
      <c r="A12788" s="4" t="s">
        <v>16092</v>
      </c>
      <c r="B12788" s="4" t="s">
        <v>16093</v>
      </c>
      <c r="C12788" s="5" t="str">
        <f>IFERROR(__xludf.DUMMYFUNCTION("GOOGLETRANSLATE(B12788,""en"",""es-ES"")"),"Se muestran varios grupos de hombres que conducen a un hombre con un uniforme y hablan con la cámara.")</f>
        <v>Se muestran varios grupos de hombres que conducen a un hombre con un uniforme y hablan con la cámara.</v>
      </c>
    </row>
    <row r="12789">
      <c r="A12789" s="4" t="s">
        <v>16092</v>
      </c>
      <c r="B12789" s="4" t="s">
        <v>16094</v>
      </c>
      <c r="C12789" s="5" t="str">
        <f>IFERROR(__xludf.DUMMYFUNCTION("GOOGLETRANSLATE(B12789,""en"",""es-ES"")"),"Luego lleva a un grupo de personas a tocar un instrumento todos juntos mientras la cámara se mueve.")</f>
        <v>Luego lleva a un grupo de personas a tocar un instrumento todos juntos mientras la cámara se mueve.</v>
      </c>
    </row>
    <row r="12790">
      <c r="A12790" s="4" t="s">
        <v>16095</v>
      </c>
      <c r="B12790" s="4" t="s">
        <v>16096</v>
      </c>
      <c r="C12790" s="5" t="str">
        <f>IFERROR(__xludf.DUMMYFUNCTION("GOOGLETRANSLATE(B12790,""en"",""es-ES"")"),"Se ve a un hombre parado frente a un fregadero fregando con una esponja.")</f>
        <v>Se ve a un hombre parado frente a un fregadero fregando con una esponja.</v>
      </c>
    </row>
    <row r="12791">
      <c r="A12791" s="4" t="s">
        <v>16095</v>
      </c>
      <c r="B12791" s="4" t="s">
        <v>16097</v>
      </c>
      <c r="C12791" s="5" t="str">
        <f>IFERROR(__xludf.DUMMYFUNCTION("GOOGLETRANSLATE(B12791,""en"",""es-ES"")"),"El hombre continúa limpiando el mostrador mientras ocasionalmente mira la cámara.")</f>
        <v>El hombre continúa limpiando el mostrador mientras ocasionalmente mira la cámara.</v>
      </c>
    </row>
    <row r="12792">
      <c r="A12792" s="4" t="s">
        <v>16098</v>
      </c>
      <c r="B12792" s="4" t="s">
        <v>16099</v>
      </c>
      <c r="C12792" s="5" t="str">
        <f>IFERROR(__xludf.DUMMYFUNCTION("GOOGLETRANSLATE(B12792,""en"",""es-ES"")"),"Varios hombres están jugando fútbol interior.")</f>
        <v>Varios hombres están jugando fútbol interior.</v>
      </c>
    </row>
    <row r="12793">
      <c r="A12793" s="4" t="s">
        <v>16098</v>
      </c>
      <c r="B12793" s="4" t="s">
        <v>16100</v>
      </c>
      <c r="C12793" s="5" t="str">
        <f>IFERROR(__xludf.DUMMYFUNCTION("GOOGLETRANSLATE(B12793,""en"",""es-ES"")"),"Una gran multitud observa desde las gradas.")</f>
        <v>Una gran multitud observa desde las gradas.</v>
      </c>
    </row>
    <row r="12794">
      <c r="A12794" s="4" t="s">
        <v>16098</v>
      </c>
      <c r="B12794" s="4" t="s">
        <v>16101</v>
      </c>
      <c r="C12794" s="5" t="str">
        <f>IFERROR(__xludf.DUMMYFUNCTION("GOOGLETRANSLATE(B12794,""en"",""es-ES"")"),"Un hombre con amarillo patea la pelota en la portería y celebra con su equipo antes de que se muestre una repetición de su gol.")</f>
        <v>Un hombre con amarillo patea la pelota en la portería y celebra con su equipo antes de que se muestre una repetición de su gol.</v>
      </c>
    </row>
    <row r="12795">
      <c r="A12795" s="4" t="s">
        <v>16098</v>
      </c>
      <c r="B12795" s="4" t="s">
        <v>16102</v>
      </c>
      <c r="C12795" s="5" t="str">
        <f>IFERROR(__xludf.DUMMYFUNCTION("GOOGLETRANSLATE(B12795,""en"",""es-ES"")"),"El juego continúa y dos hombres se derriban antes de que el equipo rojo obtenga un gol y se muestra una repetición.")</f>
        <v>El juego continúa y dos hombres se derriban antes de que el equipo rojo obtenga un gol y se muestra una repetición.</v>
      </c>
    </row>
    <row r="12796">
      <c r="A12796" s="4" t="s">
        <v>16098</v>
      </c>
      <c r="B12796" s="4" t="s">
        <v>16103</v>
      </c>
      <c r="C12796" s="5" t="str">
        <f>IFERROR(__xludf.DUMMYFUNCTION("GOOGLETRANSLATE(B12796,""en"",""es-ES"")"),"El equipo amarillo intenta anotar y se bloquea varias veces antes de finalmente anotar y una repetición de este objetivo se muestra dos veces.")</f>
        <v>El equipo amarillo intenta anotar y se bloquea varias veces antes de finalmente anotar y una repetición de este objetivo se muestra dos veces.</v>
      </c>
    </row>
    <row r="12797">
      <c r="A12797" s="4" t="s">
        <v>16098</v>
      </c>
      <c r="B12797" s="4" t="s">
        <v>16104</v>
      </c>
      <c r="C12797" s="5" t="str">
        <f>IFERROR(__xludf.DUMMYFUNCTION("GOOGLETRANSLATE(B12797,""en"",""es-ES"")"),"El juego continúa hasta que el equipo rojo anota.")</f>
        <v>El juego continúa hasta que el equipo rojo anota.</v>
      </c>
    </row>
    <row r="12798">
      <c r="A12798" s="4" t="s">
        <v>16098</v>
      </c>
      <c r="B12798" s="4" t="s">
        <v>16105</v>
      </c>
      <c r="C12798" s="5" t="str">
        <f>IFERROR(__xludf.DUMMYFUNCTION("GOOGLETRANSLATE(B12798,""en"",""es-ES"")"),"Un hombre de cada equipo patea la pelota a la meta, cada hombre consigue la pelota en la red y vuela.")</f>
        <v>Un hombre de cada equipo patea la pelota a la meta, cada hombre consigue la pelota en la red y vuela.</v>
      </c>
    </row>
    <row r="12799">
      <c r="A12799" s="4" t="s">
        <v>16098</v>
      </c>
      <c r="B12799" s="4" t="s">
        <v>16106</v>
      </c>
      <c r="C12799" s="5" t="str">
        <f>IFERROR(__xludf.DUMMYFUNCTION("GOOGLETRANSLATE(B12799,""en"",""es-ES"")"),"Lo mismo sucede para un hombre más de cada equipo.")</f>
        <v>Lo mismo sucede para un hombre más de cada equipo.</v>
      </c>
    </row>
    <row r="12800">
      <c r="A12800" s="4" t="s">
        <v>16098</v>
      </c>
      <c r="B12800" s="4" t="s">
        <v>16107</v>
      </c>
      <c r="C12800" s="5" t="str">
        <f>IFERROR(__xludf.DUMMYFUNCTION("GOOGLETRANSLATE(B12800,""en"",""es-ES"")"),"Cuando el próximo miembro del equipo rojo patea, el portero bloquea el balón.")</f>
        <v>Cuando el próximo miembro del equipo rojo patea, el portero bloquea el balón.</v>
      </c>
    </row>
    <row r="12801">
      <c r="A12801" s="4" t="s">
        <v>16098</v>
      </c>
      <c r="B12801" s="4" t="s">
        <v>16108</v>
      </c>
      <c r="C12801" s="5" t="str">
        <f>IFERROR(__xludf.DUMMYFUNCTION("GOOGLETRANSLATE(B12801,""en"",""es-ES"")"),"Otro hombre de cada equipo anota antes de que el portero bloquee una pelota pateada por un hombre de amarillo.")</f>
        <v>Otro hombre de cada equipo anota antes de que el portero bloquee una pelota pateada por un hombre de amarillo.</v>
      </c>
    </row>
    <row r="12802">
      <c r="A12802" s="4" t="s">
        <v>16098</v>
      </c>
      <c r="B12802" s="4" t="s">
        <v>16109</v>
      </c>
      <c r="C12802" s="5" t="str">
        <f>IFERROR(__xludf.DUMMYFUNCTION("GOOGLETRANSLATE(B12802,""en"",""es-ES"")"),"Otra pelota del equipo rojo de Thew está bloqueado y dos hombres de la banca en los trajes saltan y corren hacia la cancha y le dan la mano a algunos jugadores.")</f>
        <v>Otra pelota del equipo rojo de Thew está bloqueado y dos hombres de la banca en los trajes saltan y corren hacia la cancha y le dan la mano a algunos jugadores.</v>
      </c>
    </row>
    <row r="12803">
      <c r="A12803" s="4" t="s">
        <v>16098</v>
      </c>
      <c r="B12803" s="4" t="s">
        <v>16110</v>
      </c>
      <c r="C12803" s="5" t="str">
        <f>IFERROR(__xludf.DUMMYFUNCTION("GOOGLETRANSLATE(B12803,""en"",""es-ES"")"),"Los jugadores celebran a algunos seguidos por una cámara.")</f>
        <v>Los jugadores celebran a algunos seguidos por una cámara.</v>
      </c>
    </row>
    <row r="12804">
      <c r="A12804" s="4" t="s">
        <v>16098</v>
      </c>
      <c r="B12804" s="4" t="s">
        <v>16111</v>
      </c>
      <c r="C12804" s="5" t="str">
        <f>IFERROR(__xludf.DUMMYFUNCTION("GOOGLETRANSLATE(B12804,""en"",""es-ES"")"),"Los hombres con trajes le entregan un trofeo a un hombre de amarillo y lo sostiene sobre su cabeza con todos en el fondo celebrando.")</f>
        <v>Los hombres con trajes le entregan un trofeo a un hombre de amarillo y lo sostiene sobre su cabeza con todos en el fondo celebrando.</v>
      </c>
    </row>
    <row r="12805">
      <c r="A12805" s="4" t="s">
        <v>16112</v>
      </c>
      <c r="B12805" s="4" t="s">
        <v>16113</v>
      </c>
      <c r="C12805" s="5" t="str">
        <f>IFERROR(__xludf.DUMMYFUNCTION("GOOGLETRANSLATE(B12805,""en"",""es-ES"")"),"Se muestra una vista de la empinada nieve de montaña.")</f>
        <v>Se muestra una vista de la empinada nieve de montaña.</v>
      </c>
    </row>
    <row r="12806">
      <c r="A12806" s="4" t="s">
        <v>16112</v>
      </c>
      <c r="B12806" s="4" t="s">
        <v>16114</v>
      </c>
      <c r="C12806" s="5" t="str">
        <f>IFERROR(__xludf.DUMMYFUNCTION("GOOGLETRANSLATE(B12806,""en"",""es-ES"")"),"Los esquiadores viajan en un ascensor.")</f>
        <v>Los esquiadores viajan en un ascensor.</v>
      </c>
    </row>
    <row r="12807">
      <c r="A12807" s="4" t="s">
        <v>16112</v>
      </c>
      <c r="B12807" s="4" t="s">
        <v>16115</v>
      </c>
      <c r="C12807" s="5" t="str">
        <f>IFERROR(__xludf.DUMMYFUNCTION("GOOGLETRANSLATE(B12807,""en"",""es-ES"")"),"Están en trineo en la nieve por una colina empinada.")</f>
        <v>Están en trineo en la nieve por una colina empinada.</v>
      </c>
    </row>
    <row r="12808">
      <c r="A12808" s="4" t="s">
        <v>16116</v>
      </c>
      <c r="B12808" s="4" t="s">
        <v>16117</v>
      </c>
      <c r="C12808" s="5" t="str">
        <f>IFERROR(__xludf.DUMMYFUNCTION("GOOGLETRANSLATE(B12808,""en"",""es-ES"")"),"Un texto que dice ""Receta de Deeba"" aparece en la pantalla.")</f>
        <v>Un texto que dice "Receta de Deeba" aparece en la pantalla.</v>
      </c>
    </row>
    <row r="12809">
      <c r="A12809" s="4" t="s">
        <v>16116</v>
      </c>
      <c r="B12809" s="4" t="s">
        <v>16118</v>
      </c>
      <c r="C12809" s="5" t="str">
        <f>IFERROR(__xludf.DUMMYFUNCTION("GOOGLETRANSLATE(B12809,""en"",""es-ES"")"),"El video luego corta a una mujer de pie detrás de una mesa llena de ingredientes de cocción.")</f>
        <v>El video luego corta a una mujer de pie detrás de una mesa llena de ingredientes de cocción.</v>
      </c>
    </row>
    <row r="12810">
      <c r="A12810" s="4" t="s">
        <v>16116</v>
      </c>
      <c r="B12810" s="4" t="s">
        <v>16119</v>
      </c>
      <c r="C12810" s="5" t="str">
        <f>IFERROR(__xludf.DUMMYFUNCTION("GOOGLETRANSLATE(B12810,""en"",""es-ES"")"),"Ella habla con la cámara mientras muestra algo de lo que ha preparado para el plato.")</f>
        <v>Ella habla con la cámara mientras muestra algo de lo que ha preparado para el plato.</v>
      </c>
    </row>
    <row r="12811">
      <c r="A12811" s="4" t="s">
        <v>16116</v>
      </c>
      <c r="B12811" s="4" t="s">
        <v>16120</v>
      </c>
      <c r="C12811" s="5" t="str">
        <f>IFERROR(__xludf.DUMMYFUNCTION("GOOGLETRANSLATE(B12811,""en"",""es-ES"")"),"Ella coloca los diversos ingredientes en un tazón y los adorna muy precisamente.")</f>
        <v>Ella coloca los diversos ingredientes en un tazón y los adorna muy precisamente.</v>
      </c>
    </row>
    <row r="12812">
      <c r="A12812" s="4" t="s">
        <v>16116</v>
      </c>
      <c r="B12812" s="4" t="s">
        <v>16121</v>
      </c>
      <c r="C12812" s="5" t="str">
        <f>IFERROR(__xludf.DUMMYFUNCTION("GOOGLETRANSLATE(B12812,""en"",""es-ES"")"),"Luego vierte una salsa por todas partes.")</f>
        <v>Luego vierte una salsa por todas partes.</v>
      </c>
    </row>
    <row r="12813">
      <c r="A12813" s="4" t="s">
        <v>16116</v>
      </c>
      <c r="B12813" s="4" t="s">
        <v>16122</v>
      </c>
      <c r="C12813" s="5" t="str">
        <f>IFERROR(__xludf.DUMMYFUNCTION("GOOGLETRANSLATE(B12813,""en"",""es-ES"")"),"Luego habla con la cámara un poco más para ofrecer consejos sobre cómo hacer el plato.")</f>
        <v>Luego habla con la cámara un poco más para ofrecer consejos sobre cómo hacer el plato.</v>
      </c>
    </row>
    <row r="12814">
      <c r="A12814" s="4" t="s">
        <v>16116</v>
      </c>
      <c r="B12814" s="4" t="s">
        <v>16123</v>
      </c>
      <c r="C12814" s="5" t="str">
        <f>IFERROR(__xludf.DUMMYFUNCTION("GOOGLETRANSLATE(B12814,""en"",""es-ES"")"),"Otro conjunto de texto que muestra la receta ""de Deeba"" se muestra nuevamente.")</f>
        <v>Otro conjunto de texto que muestra la receta "de Deeba" se muestra nuevamente.</v>
      </c>
    </row>
    <row r="12815">
      <c r="A12815" s="4" t="s">
        <v>16124</v>
      </c>
      <c r="B12815" s="4" t="s">
        <v>16125</v>
      </c>
      <c r="C12815" s="5" t="str">
        <f>IFERROR(__xludf.DUMMYFUNCTION("GOOGLETRANSLATE(B12815,""en"",""es-ES"")"),"Se ve a una persona sosteniendo un regalo envuelto y comienza a envolver papel alrededor de una caja.")</f>
        <v>Se ve a una persona sosteniendo un regalo envuelto y comienza a envolver papel alrededor de una caja.</v>
      </c>
    </row>
    <row r="12816">
      <c r="A12816" s="4" t="s">
        <v>16124</v>
      </c>
      <c r="B12816" s="4" t="s">
        <v>16126</v>
      </c>
      <c r="C12816" s="5" t="str">
        <f>IFERROR(__xludf.DUMMYFUNCTION("GOOGLETRANSLATE(B12816,""en"",""es-ES"")"),"La niña lo empuja hacia abajo en los lados y comienza a tocar la caja.")</f>
        <v>La niña lo empuja hacia abajo en los lados y comienza a tocar la caja.</v>
      </c>
    </row>
    <row r="12817">
      <c r="A12817" s="4" t="s">
        <v>16124</v>
      </c>
      <c r="B12817" s="4" t="s">
        <v>16127</v>
      </c>
      <c r="C12817" s="5" t="str">
        <f>IFERROR(__xludf.DUMMYFUNCTION("GOOGLETRANSLATE(B12817,""en"",""es-ES"")"),"Ella termina tocando toda la caja y termina presentándola a la cámara.")</f>
        <v>Ella termina tocando toda la caja y termina presentándola a la cámara.</v>
      </c>
    </row>
    <row r="12818">
      <c r="A12818" s="4" t="s">
        <v>16128</v>
      </c>
      <c r="B12818" s="4" t="s">
        <v>16129</v>
      </c>
      <c r="C12818" s="5" t="str">
        <f>IFERROR(__xludf.DUMMYFUNCTION("GOOGLETRANSLATE(B12818,""en"",""es-ES"")"),"La pantalla se abre con una promoción ACDC.")</f>
        <v>La pantalla se abre con una promoción ACDC.</v>
      </c>
    </row>
    <row r="12819">
      <c r="A12819" s="4" t="s">
        <v>16128</v>
      </c>
      <c r="B12819" s="4" t="s">
        <v>16130</v>
      </c>
      <c r="C12819" s="5" t="str">
        <f>IFERROR(__xludf.DUMMYFUNCTION("GOOGLETRANSLATE(B12819,""en"",""es-ES"")"),"Un niño pequeño está hablando con la cámara.")</f>
        <v>Un niño pequeño está hablando con la cámara.</v>
      </c>
    </row>
    <row r="12820">
      <c r="A12820" s="4" t="s">
        <v>16128</v>
      </c>
      <c r="B12820" s="4" t="s">
        <v>16131</v>
      </c>
      <c r="C12820" s="5" t="str">
        <f>IFERROR(__xludf.DUMMYFUNCTION("GOOGLETRANSLATE(B12820,""en"",""es-ES"")"),"El niño comienza a romper el baile y hace muchas flips.")</f>
        <v>El niño comienza a romper el baile y hace muchas flips.</v>
      </c>
    </row>
    <row r="12821">
      <c r="A12821" s="4" t="s">
        <v>16128</v>
      </c>
      <c r="B12821" s="4" t="s">
        <v>16132</v>
      </c>
      <c r="C12821" s="5" t="str">
        <f>IFERROR(__xludf.DUMMYFUNCTION("GOOGLETRANSLATE(B12821,""en"",""es-ES"")"),"Él se pone de pie y comienza a rapear.")</f>
        <v>Él se pone de pie y comienza a rapear.</v>
      </c>
    </row>
    <row r="12822">
      <c r="A12822" s="4" t="s">
        <v>16133</v>
      </c>
      <c r="B12822" s="4" t="s">
        <v>16134</v>
      </c>
      <c r="C12822" s="5" t="str">
        <f>IFERROR(__xludf.DUMMYFUNCTION("GOOGLETRANSLATE(B12822,""en"",""es-ES"")"),"El hombre está de pie detrás de un conde detrás de la piscina.")</f>
        <v>El hombre está de pie detrás de un conde detrás de la piscina.</v>
      </c>
    </row>
    <row r="12823">
      <c r="A12823" s="4" t="s">
        <v>16133</v>
      </c>
      <c r="B12823" s="4" t="s">
        <v>16135</v>
      </c>
      <c r="C12823" s="5" t="str">
        <f>IFERROR(__xludf.DUMMYFUNCTION("GOOGLETRANSLATE(B12823,""en"",""es-ES"")"),"Dos hombres están parados sobre los trampolines y hacen un salto sincronizado a la piscina.")</f>
        <v>Dos hombres están parados sobre los trampolines y hacen un salto sincronizado a la piscina.</v>
      </c>
    </row>
    <row r="12824">
      <c r="A12824" s="4" t="s">
        <v>16133</v>
      </c>
      <c r="B12824" s="4" t="s">
        <v>16136</v>
      </c>
      <c r="C12824" s="5" t="str">
        <f>IFERROR(__xludf.DUMMYFUNCTION("GOOGLETRANSLATE(B12824,""en"",""es-ES"")"),"El hombre sube las escaleras hasta el trampolín.")</f>
        <v>El hombre sube las escaleras hasta el trampolín.</v>
      </c>
    </row>
    <row r="12825">
      <c r="A12825" s="4" t="s">
        <v>16137</v>
      </c>
      <c r="B12825" s="4" t="s">
        <v>16138</v>
      </c>
      <c r="C12825" s="5" t="str">
        <f>IFERROR(__xludf.DUMMYFUNCTION("GOOGLETRANSLATE(B12825,""en"",""es-ES"")"),"Se muestra a la persona derribando 9 de los alfileres de bolos, lo que significa que tiene un repuesto.")</f>
        <v>Se muestra a la persona derribando 9 de los alfileres de bolos, lo que significa que tiene un repuesto.</v>
      </c>
    </row>
    <row r="12826">
      <c r="A12826" s="4" t="s">
        <v>16137</v>
      </c>
      <c r="B12826" s="4" t="s">
        <v>16139</v>
      </c>
      <c r="C12826" s="5" t="str">
        <f>IFERROR(__xludf.DUMMYFUNCTION("GOOGLETRANSLATE(B12826,""en"",""es-ES"")"),"Luego derriba todos los alfileres y recibe una huelga.")</f>
        <v>Luego derriba todos los alfileres y recibe una huelga.</v>
      </c>
    </row>
    <row r="12827">
      <c r="A12827" s="4" t="s">
        <v>16140</v>
      </c>
      <c r="B12827" s="4" t="s">
        <v>16141</v>
      </c>
      <c r="C12827" s="5" t="str">
        <f>IFERROR(__xludf.DUMMYFUNCTION("GOOGLETRANSLATE(B12827,""en"",""es-ES"")"),"Tres niños están subiendo por una montaña sin cualquier cuerda.")</f>
        <v>Tres niños están subiendo por una montaña sin cualquier cuerda.</v>
      </c>
    </row>
    <row r="12828">
      <c r="A12828" s="4" t="s">
        <v>16140</v>
      </c>
      <c r="B12828" s="4" t="s">
        <v>16142</v>
      </c>
      <c r="C12828" s="5" t="str">
        <f>IFERROR(__xludf.DUMMYFUNCTION("GOOGLETRANSLATE(B12828,""en"",""es-ES"")"),"Luego, están pasando el rato en su habitación riendo y divirtiéndose.")</f>
        <v>Luego, están pasando el rato en su habitación riendo y divirtiéndose.</v>
      </c>
    </row>
    <row r="12829">
      <c r="A12829" s="4" t="s">
        <v>16140</v>
      </c>
      <c r="B12829" s="4" t="s">
        <v>16143</v>
      </c>
      <c r="C12829" s="5" t="str">
        <f>IFERROR(__xludf.DUMMYFUNCTION("GOOGLETRANSLATE(B12829,""en"",""es-ES"")"),"Son solo tres mejores amigos haciendo todo juntos, caminar, ir de compras, relajarse y escalar montañas.")</f>
        <v>Son solo tres mejores amigos haciendo todo juntos, caminar, ir de compras, relajarse y escalar montañas.</v>
      </c>
    </row>
    <row r="12830">
      <c r="A12830" s="4" t="s">
        <v>16140</v>
      </c>
      <c r="B12830" s="4" t="s">
        <v>16144</v>
      </c>
      <c r="C12830" s="5" t="str">
        <f>IFERROR(__xludf.DUMMYFUNCTION("GOOGLETRANSLATE(B12830,""en"",""es-ES"")"),"Cuando llegan a la cima de la montaña se abrazan.")</f>
        <v>Cuando llegan a la cima de la montaña se abrazan.</v>
      </c>
    </row>
    <row r="12831">
      <c r="A12831" s="4" t="s">
        <v>16145</v>
      </c>
      <c r="B12831" s="4" t="s">
        <v>16146</v>
      </c>
      <c r="C12831" s="5" t="str">
        <f>IFERROR(__xludf.DUMMYFUNCTION("GOOGLETRANSLATE(B12831,""en"",""es-ES"")"),"Un grupo está jugando al fútbol en un campo grande.")</f>
        <v>Un grupo está jugando al fútbol en un campo grande.</v>
      </c>
    </row>
    <row r="12832">
      <c r="A12832" s="4" t="s">
        <v>16145</v>
      </c>
      <c r="B12832" s="4" t="s">
        <v>16147</v>
      </c>
      <c r="C12832" s="5" t="str">
        <f>IFERROR(__xludf.DUMMYFUNCTION("GOOGLETRANSLATE(B12832,""en"",""es-ES"")"),"Una bola verde rebota de repente a través de la línea de cincuenta yardas.")</f>
        <v>Una bola verde rebota de repente a través de la línea de cincuenta yardas.</v>
      </c>
    </row>
    <row r="12833">
      <c r="A12833" s="4" t="s">
        <v>16145</v>
      </c>
      <c r="B12833" s="4" t="s">
        <v>16148</v>
      </c>
      <c r="C12833" s="5" t="str">
        <f>IFERROR(__xludf.DUMMYFUNCTION("GOOGLETRANSLATE(B12833,""en"",""es-ES"")"),"Se detiene y la gente retrocede.")</f>
        <v>Se detiene y la gente retrocede.</v>
      </c>
    </row>
    <row r="12834">
      <c r="A12834" s="4" t="s">
        <v>16149</v>
      </c>
      <c r="B12834" s="4" t="s">
        <v>16150</v>
      </c>
      <c r="C12834" s="5" t="str">
        <f>IFERROR(__xludf.DUMMYFUNCTION("GOOGLETRANSLATE(B12834,""en"",""es-ES"")"),"Una gimnasta femenina monta una viga alta frente a su entrenador.")</f>
        <v>Una gimnasta femenina monta una viga alta frente a su entrenador.</v>
      </c>
    </row>
    <row r="12835">
      <c r="A12835" s="4" t="s">
        <v>16149</v>
      </c>
      <c r="B12835" s="4" t="s">
        <v>16151</v>
      </c>
      <c r="C12835" s="5" t="str">
        <f>IFERROR(__xludf.DUMMYFUNCTION("GOOGLETRANSLATE(B12835,""en"",""es-ES"")"),"Ella hace varios volteos hacia adelante y hacia atrás.")</f>
        <v>Ella hace varios volteos hacia adelante y hacia atrás.</v>
      </c>
    </row>
    <row r="12836">
      <c r="A12836" s="4" t="s">
        <v>16149</v>
      </c>
      <c r="B12836" s="4" t="s">
        <v>16152</v>
      </c>
      <c r="C12836" s="5" t="str">
        <f>IFERROR(__xludf.DUMMYFUNCTION("GOOGLETRANSLATE(B12836,""en"",""es-ES"")"),"Ella desmonta, y él aplaude mientras se aleja.")</f>
        <v>Ella desmonta, y él aplaude mientras se aleja.</v>
      </c>
    </row>
    <row r="12837">
      <c r="A12837" s="4" t="s">
        <v>16153</v>
      </c>
      <c r="B12837" s="4" t="s">
        <v>16154</v>
      </c>
      <c r="C12837" s="5" t="str">
        <f>IFERROR(__xludf.DUMMYFUNCTION("GOOGLETRANSLATE(B12837,""en"",""es-ES"")"),"Un hombre está acostado en la cama debajo de las sábanas.")</f>
        <v>Un hombre está acostado en la cama debajo de las sábanas.</v>
      </c>
    </row>
    <row r="12838">
      <c r="A12838" s="4" t="s">
        <v>16153</v>
      </c>
      <c r="B12838" s="4" t="s">
        <v>16155</v>
      </c>
      <c r="C12838" s="5" t="str">
        <f>IFERROR(__xludf.DUMMYFUNCTION("GOOGLETRANSLATE(B12838,""en"",""es-ES"")"),"Se sienta en el borde de la cama, rascándose la barba.")</f>
        <v>Se sienta en el borde de la cama, rascándose la barba.</v>
      </c>
    </row>
    <row r="12839">
      <c r="A12839" s="4" t="s">
        <v>16153</v>
      </c>
      <c r="B12839" s="4" t="s">
        <v>16156</v>
      </c>
      <c r="C12839" s="5" t="str">
        <f>IFERROR(__xludf.DUMMYFUNCTION("GOOGLETRANSLATE(B12839,""en"",""es-ES"")"),"Luego mira la rasuradora en su mesa, recogiéndola.")</f>
        <v>Luego mira la rasuradora en su mesa, recogiéndola.</v>
      </c>
    </row>
    <row r="12840">
      <c r="A12840" s="4" t="s">
        <v>16153</v>
      </c>
      <c r="B12840" s="4" t="s">
        <v>16157</v>
      </c>
      <c r="C12840" s="5" t="str">
        <f>IFERROR(__xludf.DUMMYFUNCTION("GOOGLETRANSLATE(B12840,""en"",""es-ES"")"),"El hombre afeita su oso, haciéndolo mucho más corto antes de acostarse en la cama, abrazarse con la bolsa llena de barba.")</f>
        <v>El hombre afeita su oso, haciéndolo mucho más corto antes de acostarse en la cama, abrazarse con la bolsa llena de barba.</v>
      </c>
    </row>
    <row r="12841">
      <c r="A12841" s="4" t="s">
        <v>16158</v>
      </c>
      <c r="B12841" s="4" t="s">
        <v>16159</v>
      </c>
      <c r="C12841" s="5" t="str">
        <f>IFERROR(__xludf.DUMMYFUNCTION("GOOGLETRANSLATE(B12841,""en"",""es-ES"")"),"Se ve a un gran grupo de personas corriendo por la calle mientras muchos miran a los lados.")</f>
        <v>Se ve a un gran grupo de personas corriendo por la calle mientras muchos miran a los lados.</v>
      </c>
    </row>
    <row r="12842">
      <c r="A12842" s="4" t="s">
        <v>16158</v>
      </c>
      <c r="B12842" s="4" t="s">
        <v>16160</v>
      </c>
      <c r="C12842" s="5" t="str">
        <f>IFERROR(__xludf.DUMMYFUNCTION("GOOGLETRANSLATE(B12842,""en"",""es-ES"")"),"Se ve a varias personas hablando con la cámara a medida que se muestran más tomas de personas que se ejecutan.")</f>
        <v>Se ve a varias personas hablando con la cámara a medida que se muestran más tomas de personas que se ejecutan.</v>
      </c>
    </row>
    <row r="12843">
      <c r="A12843" s="4" t="s">
        <v>16158</v>
      </c>
      <c r="B12843" s="4" t="s">
        <v>16161</v>
      </c>
      <c r="C12843" s="5" t="str">
        <f>IFERROR(__xludf.DUMMYFUNCTION("GOOGLETRANSLATE(B12843,""en"",""es-ES"")"),"La gente animó a otros a los lados, así como a las bandas de marcha tocando y la gente todavía está corriendo.")</f>
        <v>La gente animó a otros a los lados, así como a las bandas de marcha tocando y la gente todavía está corriendo.</v>
      </c>
    </row>
    <row r="12844">
      <c r="A12844" s="4" t="s">
        <v>16162</v>
      </c>
      <c r="B12844" s="4" t="s">
        <v>16163</v>
      </c>
      <c r="C12844" s="5" t="str">
        <f>IFERROR(__xludf.DUMMYFUNCTION("GOOGLETRANSLATE(B12844,""en"",""es-ES"")"),"Se muestra a una niña mirando varias fotos de peinado y conduce a otro cortarse el cabello.")</f>
        <v>Se muestra a una niña mirando varias fotos de peinado y conduce a otro cortarse el cabello.</v>
      </c>
    </row>
    <row r="12845">
      <c r="A12845" s="4" t="s">
        <v>16162</v>
      </c>
      <c r="B12845" s="4" t="s">
        <v>16164</v>
      </c>
      <c r="C12845" s="5" t="str">
        <f>IFERROR(__xludf.DUMMYFUNCTION("GOOGLETRANSLATE(B12845,""en"",""es-ES"")"),"Los niños se sientan pacientemente con una toalla en la cabeza y hablando con la cámara.")</f>
        <v>Los niños se sientan pacientemente con una toalla en la cabeza y hablando con la cámara.</v>
      </c>
    </row>
    <row r="12846">
      <c r="A12846" s="4" t="s">
        <v>16162</v>
      </c>
      <c r="B12846" s="4" t="s">
        <v>16165</v>
      </c>
      <c r="C12846" s="5" t="str">
        <f>IFERROR(__xludf.DUMMYFUNCTION("GOOGLETRANSLATE(B12846,""en"",""es-ES"")"),"Se muestra un pez dorado seguido por un hombre cortando y peinando su cabello.")</f>
        <v>Se muestra un pez dorado seguido por un hombre cortando y peinando su cabello.</v>
      </c>
    </row>
    <row r="12847">
      <c r="A12847" s="4" t="s">
        <v>16162</v>
      </c>
      <c r="B12847" s="4" t="s">
        <v>16166</v>
      </c>
      <c r="C12847" s="5" t="str">
        <f>IFERROR(__xludf.DUMMYFUNCTION("GOOGLETRANSLATE(B12847,""en"",""es-ES"")"),"El hombre corta el cabello de la niña y lo establece en una mirada adorable.")</f>
        <v>El hombre corta el cabello de la niña y lo establece en una mirada adorable.</v>
      </c>
    </row>
    <row r="12848">
      <c r="A12848" s="4" t="s">
        <v>16162</v>
      </c>
      <c r="B12848" s="4" t="s">
        <v>16167</v>
      </c>
      <c r="C12848" s="5" t="str">
        <f>IFERROR(__xludf.DUMMYFUNCTION("GOOGLETRANSLATE(B12848,""en"",""es-ES"")"),"La niña sonríe y deja la peluquería con un aspecto feliz.")</f>
        <v>La niña sonríe y deja la peluquería con un aspecto feliz.</v>
      </c>
    </row>
    <row r="12849">
      <c r="A12849" s="4" t="s">
        <v>16168</v>
      </c>
      <c r="B12849" s="4" t="s">
        <v>16169</v>
      </c>
      <c r="C12849" s="5" t="str">
        <f>IFERROR(__xludf.DUMMYFUNCTION("GOOGLETRANSLATE(B12849,""en"",""es-ES"")"),"Una persona está hablando en cámara mientras muestra varias herramientas en el suelo.")</f>
        <v>Una persona está hablando en cámara mientras muestra varias herramientas en el suelo.</v>
      </c>
    </row>
    <row r="12850">
      <c r="A12850" s="4" t="s">
        <v>16168</v>
      </c>
      <c r="B12850" s="4" t="s">
        <v>16170</v>
      </c>
      <c r="C12850" s="5" t="str">
        <f>IFERROR(__xludf.DUMMYFUNCTION("GOOGLETRANSLATE(B12850,""en"",""es-ES"")"),"Una persona está poniendo objetos frente a un neumático para mover el automóvil.")</f>
        <v>Una persona está poniendo objetos frente a un neumático para mover el automóvil.</v>
      </c>
    </row>
    <row r="12851">
      <c r="A12851" s="4" t="s">
        <v>16168</v>
      </c>
      <c r="B12851" s="4" t="s">
        <v>16171</v>
      </c>
      <c r="C12851" s="5" t="str">
        <f>IFERROR(__xludf.DUMMYFUNCTION("GOOGLETRANSLATE(B12851,""en"",""es-ES"")"),"Una persona conduce el auto sobre el objeto para moverlo.")</f>
        <v>Una persona conduce el auto sobre el objeto para moverlo.</v>
      </c>
    </row>
    <row r="12852">
      <c r="A12852" s="4" t="s">
        <v>16168</v>
      </c>
      <c r="B12852" s="4" t="s">
        <v>16172</v>
      </c>
      <c r="C12852" s="5" t="str">
        <f>IFERROR(__xludf.DUMMYFUNCTION("GOOGLETRANSLATE(B12852,""en"",""es-ES"")"),"El neumático ahora está sentado encima de un objeto y se lo quitan.")</f>
        <v>El neumático ahora está sentado encima de un objeto y se lo quitan.</v>
      </c>
    </row>
    <row r="12853">
      <c r="A12853" s="4" t="s">
        <v>16168</v>
      </c>
      <c r="B12853" s="4" t="s">
        <v>16173</v>
      </c>
      <c r="C12853" s="5" t="str">
        <f>IFERROR(__xludf.DUMMYFUNCTION("GOOGLETRANSLATE(B12853,""en"",""es-ES"")"),"Una persona saca una bicicleta vieja y habla sobre lo que hay que hacer.")</f>
        <v>Una persona saca una bicicleta vieja y habla sobre lo que hay que hacer.</v>
      </c>
    </row>
    <row r="12854">
      <c r="A12854" s="4" t="s">
        <v>16174</v>
      </c>
      <c r="B12854" s="4" t="s">
        <v>16175</v>
      </c>
      <c r="C12854" s="5" t="str">
        <f>IFERROR(__xludf.DUMMYFUNCTION("GOOGLETRANSLATE(B12854,""en"",""es-ES"")"),"La persona está parasailing el agua.")</f>
        <v>La persona está parasailing el agua.</v>
      </c>
    </row>
    <row r="12855">
      <c r="A12855" s="4" t="s">
        <v>16174</v>
      </c>
      <c r="B12855" s="4" t="s">
        <v>16176</v>
      </c>
      <c r="C12855" s="5" t="str">
        <f>IFERROR(__xludf.DUMMYFUNCTION("GOOGLETRANSLATE(B12855,""en"",""es-ES"")"),"Mientras la persona navegaba, comenzó a rebotar en el agua.")</f>
        <v>Mientras la persona navegaba, comenzó a rebotar en el agua.</v>
      </c>
    </row>
    <row r="12856">
      <c r="A12856" s="4" t="s">
        <v>16174</v>
      </c>
      <c r="B12856" s="4" t="s">
        <v>16177</v>
      </c>
      <c r="C12856" s="5" t="str">
        <f>IFERROR(__xludf.DUMMYFUNCTION("GOOGLETRANSLATE(B12856,""en"",""es-ES"")"),"La persona maniobra la vela para darse la vuelta.")</f>
        <v>La persona maniobra la vela para darse la vuelta.</v>
      </c>
    </row>
    <row r="12857">
      <c r="A12857" s="4" t="s">
        <v>16178</v>
      </c>
      <c r="B12857" s="4" t="s">
        <v>16179</v>
      </c>
      <c r="C12857" s="5" t="str">
        <f>IFERROR(__xludf.DUMMYFUNCTION("GOOGLETRANSLATE(B12857,""en"",""es-ES"")"),"Las mujeres bailan en un escenario.")</f>
        <v>Las mujeres bailan en un escenario.</v>
      </c>
    </row>
    <row r="12858">
      <c r="A12858" s="4" t="s">
        <v>16178</v>
      </c>
      <c r="B12858" s="4" t="s">
        <v>16180</v>
      </c>
      <c r="C12858" s="5" t="str">
        <f>IFERROR(__xludf.DUMMYFUNCTION("GOOGLETRANSLATE(B12858,""en"",""es-ES"")"),"Las mujeres agitan banderas detrás de ellas.")</f>
        <v>Las mujeres agitan banderas detrás de ellas.</v>
      </c>
    </row>
    <row r="12859">
      <c r="A12859" s="4" t="s">
        <v>16178</v>
      </c>
      <c r="B12859" s="4" t="s">
        <v>16181</v>
      </c>
      <c r="C12859" s="5" t="str">
        <f>IFERROR(__xludf.DUMMYFUNCTION("GOOGLETRANSLATE(B12859,""en"",""es-ES"")"),"Una mujer está haciendo un baile del vientre en el medio del escenario.")</f>
        <v>Una mujer está haciendo un baile del vientre en el medio del escenario.</v>
      </c>
    </row>
    <row r="12860">
      <c r="A12860" s="4" t="s">
        <v>16182</v>
      </c>
      <c r="B12860" s="4" t="s">
        <v>16183</v>
      </c>
      <c r="C12860" s="5" t="str">
        <f>IFERROR(__xludf.DUMMYFUNCTION("GOOGLETRANSLATE(B12860,""en"",""es-ES"")"),"El video comienza con tomas de personas que vitorean, así como varias tomas de jugadores parados en un pozo de arena.")</f>
        <v>El video comienza con tomas de personas que vitorean, así como varias tomas de jugadores parados en un pozo de arena.</v>
      </c>
    </row>
    <row r="12861">
      <c r="A12861" s="4" t="s">
        <v>16182</v>
      </c>
      <c r="B12861" s="4" t="s">
        <v>16184</v>
      </c>
      <c r="C12861" s="5" t="str">
        <f>IFERROR(__xludf.DUMMYFUNCTION("GOOGLETRANSLATE(B12861,""en"",""es-ES"")"),"Se ve a la multitud haciendo la ola y continúa animando mientras la cámara muestra varios clips de un partido de fútbol.")</f>
        <v>Se ve a la multitud haciendo la ola y continúa animando mientras la cámara muestra varios clips de un partido de fútbol.</v>
      </c>
    </row>
    <row r="12862">
      <c r="A12862" s="4" t="s">
        <v>16185</v>
      </c>
      <c r="B12862" s="4" t="s">
        <v>16186</v>
      </c>
      <c r="C12862" s="5" t="str">
        <f>IFERROR(__xludf.DUMMYFUNCTION("GOOGLETRANSLATE(B12862,""en"",""es-ES"")"),"Un niño se está balanceando de un lado a otro.")</f>
        <v>Un niño se está balanceando de un lado a otro.</v>
      </c>
    </row>
    <row r="12863">
      <c r="A12863" s="4" t="s">
        <v>16185</v>
      </c>
      <c r="B12863" s="4" t="s">
        <v>16187</v>
      </c>
      <c r="C12863" s="5" t="str">
        <f>IFERROR(__xludf.DUMMYFUNCTION("GOOGLETRANSLATE(B12863,""en"",""es-ES"")"),"El niño luego cae en su rostro y llora.")</f>
        <v>El niño luego cae en su rostro y llora.</v>
      </c>
    </row>
    <row r="12864">
      <c r="A12864" s="4" t="s">
        <v>16188</v>
      </c>
      <c r="B12864" s="4" t="s">
        <v>16189</v>
      </c>
      <c r="C12864" s="5" t="str">
        <f>IFERROR(__xludf.DUMMYFUNCTION("GOOGLETRANSLATE(B12864,""en"",""es-ES"")"),"Una mujer con pantalones cortos azules le entrega a un hombre un dardo.")</f>
        <v>Una mujer con pantalones cortos azules le entrega a un hombre un dardo.</v>
      </c>
    </row>
    <row r="12865">
      <c r="A12865" s="4" t="s">
        <v>16188</v>
      </c>
      <c r="B12865" s="4" t="s">
        <v>16190</v>
      </c>
      <c r="C12865" s="5" t="str">
        <f>IFERROR(__xludf.DUMMYFUNCTION("GOOGLETRANSLATE(B12865,""en"",""es-ES"")"),"Un hombre con un sombrero blanco arroja un dardo a un tablero.")</f>
        <v>Un hombre con un sombrero blanco arroja un dardo a un tablero.</v>
      </c>
    </row>
    <row r="12866">
      <c r="A12866" s="4" t="s">
        <v>16188</v>
      </c>
      <c r="B12866" s="4" t="s">
        <v>16191</v>
      </c>
      <c r="C12866" s="5" t="str">
        <f>IFERROR(__xludf.DUMMYFUNCTION("GOOGLETRANSLATE(B12866,""en"",""es-ES"")"),"La mujer se acerca al tablero.")</f>
        <v>La mujer se acerca al tablero.</v>
      </c>
    </row>
    <row r="12867">
      <c r="A12867" s="4" t="s">
        <v>16192</v>
      </c>
      <c r="B12867" s="4" t="s">
        <v>16193</v>
      </c>
      <c r="C12867" s="5" t="str">
        <f>IFERROR(__xludf.DUMMYFUNCTION("GOOGLETRANSLATE(B12867,""en"",""es-ES"")"),"Un hombre está trabajando en la parte posterior de un trailer.")</f>
        <v>Un hombre está trabajando en la parte posterior de un trailer.</v>
      </c>
    </row>
    <row r="12868">
      <c r="A12868" s="4" t="s">
        <v>16192</v>
      </c>
      <c r="B12868" s="4" t="s">
        <v>16194</v>
      </c>
      <c r="C12868" s="5" t="str">
        <f>IFERROR(__xludf.DUMMYFUNCTION("GOOGLETRANSLATE(B12868,""en"",""es-ES"")"),"Él está soldando el metal entre dos piezas de madera.")</f>
        <v>Él está soldando el metal entre dos piezas de madera.</v>
      </c>
    </row>
    <row r="12869">
      <c r="A12869" s="4" t="s">
        <v>16192</v>
      </c>
      <c r="B12869" s="4" t="s">
        <v>16195</v>
      </c>
      <c r="C12869" s="5" t="str">
        <f>IFERROR(__xludf.DUMMYFUNCTION("GOOGLETRANSLATE(B12869,""en"",""es-ES"")"),"Las chispas vuelan mientras trabaja, agachándose en la acera.")</f>
        <v>Las chispas vuelan mientras trabaja, agachándose en la acera.</v>
      </c>
    </row>
    <row r="12870">
      <c r="A12870" s="4" t="s">
        <v>16196</v>
      </c>
      <c r="B12870" s="4" t="s">
        <v>16197</v>
      </c>
      <c r="C12870" s="5" t="str">
        <f>IFERROR(__xludf.DUMMYFUNCTION("GOOGLETRANSLATE(B12870,""en"",""es-ES"")"),"Un hombre con atuendo de un chef está hablando en una cocina mientras sostiene una papa.")</f>
        <v>Un hombre con atuendo de un chef está hablando en una cocina mientras sostiene una papa.</v>
      </c>
    </row>
    <row r="12871">
      <c r="A12871" s="4" t="s">
        <v>16196</v>
      </c>
      <c r="B12871" s="4" t="s">
        <v>16198</v>
      </c>
      <c r="C12871" s="5" t="str">
        <f>IFERROR(__xludf.DUMMYFUNCTION("GOOGLETRANSLATE(B12871,""en"",""es-ES"")"),"Un hombre está trabajando detrás de él mientras pelea la papa con una herramienta.")</f>
        <v>Un hombre está trabajando detrás de él mientras pelea la papa con una herramienta.</v>
      </c>
    </row>
    <row r="12872">
      <c r="A12872" s="4" t="s">
        <v>16196</v>
      </c>
      <c r="B12872" s="4" t="s">
        <v>16199</v>
      </c>
      <c r="C12872" s="5" t="str">
        <f>IFERROR(__xludf.DUMMYFUNCTION("GOOGLETRANSLATE(B12872,""en"",""es-ES"")"),"Se despega extremadamente rápido, terminando en segundos.")</f>
        <v>Se despega extremadamente rápido, terminando en segundos.</v>
      </c>
    </row>
    <row r="12873">
      <c r="A12873" s="4" t="s">
        <v>16200</v>
      </c>
      <c r="B12873" s="4" t="s">
        <v>16201</v>
      </c>
      <c r="C12873" s="5" t="str">
        <f>IFERROR(__xludf.DUMMYFUNCTION("GOOGLETRANSLATE(B12873,""en"",""es-ES"")"),"Los primeros tipos diferentes se muestran bolas de billar alineadas.")</f>
        <v>Los primeros tipos diferentes se muestran bolas de billar alineadas.</v>
      </c>
    </row>
    <row r="12874">
      <c r="A12874" s="4" t="s">
        <v>16200</v>
      </c>
      <c r="B12874" s="4" t="s">
        <v>16202</v>
      </c>
      <c r="C12874" s="5" t="str">
        <f>IFERROR(__xludf.DUMMYFUNCTION("GOOGLETRANSLATE(B12874,""en"",""es-ES"")"),"Entonces el niño comienza a jugar al billar solo con las bolas.")</f>
        <v>Entonces el niño comienza a jugar al billar solo con las bolas.</v>
      </c>
    </row>
    <row r="12875">
      <c r="A12875" s="4" t="s">
        <v>16203</v>
      </c>
      <c r="B12875" s="4" t="s">
        <v>16204</v>
      </c>
      <c r="C12875" s="5" t="str">
        <f>IFERROR(__xludf.DUMMYFUNCTION("GOOGLETRANSLATE(B12875,""en"",""es-ES"")"),"Hay varios jockey montando caballos marrones en un estadio durante un evento de Derby.")</f>
        <v>Hay varios jockey montando caballos marrones en un estadio durante un evento de Derby.</v>
      </c>
    </row>
    <row r="12876">
      <c r="A12876" s="4" t="s">
        <v>16203</v>
      </c>
      <c r="B12876" s="4" t="s">
        <v>16205</v>
      </c>
      <c r="C12876" s="5" t="str">
        <f>IFERROR(__xludf.DUMMYFUNCTION("GOOGLETRANSLATE(B12876,""en"",""es-ES"")"),"La multitud está vitoreando en voz alta mientras están de pie con sombreros de paja y paraguas.")</f>
        <v>La multitud está vitoreando en voz alta mientras están de pie con sombreros de paja y paraguas.</v>
      </c>
    </row>
    <row r="12877">
      <c r="A12877" s="4" t="s">
        <v>16203</v>
      </c>
      <c r="B12877" s="4" t="s">
        <v>16206</v>
      </c>
      <c r="C12877" s="5" t="str">
        <f>IFERROR(__xludf.DUMMYFUNCTION("GOOGLETRANSLATE(B12877,""en"",""es-ES"")"),"Los jinetes se están preparando para jugar al polo mientras se mueven con sus palos.")</f>
        <v>Los jinetes se están preparando para jugar al polo mientras se mueven con sus palos.</v>
      </c>
    </row>
    <row r="12878">
      <c r="A12878" s="4" t="s">
        <v>16203</v>
      </c>
      <c r="B12878" s="4" t="s">
        <v>16207</v>
      </c>
      <c r="C12878" s="5" t="str">
        <f>IFERROR(__xludf.DUMMYFUNCTION("GOOGLETRANSLATE(B12878,""en"",""es-ES"")"),"Una mujer anima en voz alta en la cámara.")</f>
        <v>Una mujer anima en voz alta en la cámara.</v>
      </c>
    </row>
    <row r="12879">
      <c r="A12879" s="4" t="s">
        <v>16203</v>
      </c>
      <c r="B12879" s="4" t="s">
        <v>16208</v>
      </c>
      <c r="C12879" s="5" t="str">
        <f>IFERROR(__xludf.DUMMYFUNCTION("GOOGLETRANSLATE(B12879,""en"",""es-ES"")"),"Los jinetes viajan lentamente por el campo.")</f>
        <v>Los jinetes viajan lentamente por el campo.</v>
      </c>
    </row>
    <row r="12880">
      <c r="A12880" s="4" t="s">
        <v>16209</v>
      </c>
      <c r="B12880" s="4" t="s">
        <v>16210</v>
      </c>
      <c r="C12880" s="5" t="str">
        <f>IFERROR(__xludf.DUMMYFUNCTION("GOOGLETRANSLATE(B12880,""en"",""es-ES"")"),"Se muestra al equipo de lacrosse masculino funcionando.")</f>
        <v>Se muestra al equipo de lacrosse masculino funcionando.</v>
      </c>
    </row>
    <row r="12881">
      <c r="A12881" s="4" t="s">
        <v>16209</v>
      </c>
      <c r="B12881" s="4" t="s">
        <v>16211</v>
      </c>
      <c r="C12881" s="5" t="str">
        <f>IFERROR(__xludf.DUMMYFUNCTION("GOOGLETRANSLATE(B12881,""en"",""es-ES"")"),"Luego están ejecutando ejercicios en la grava.")</f>
        <v>Luego están ejecutando ejercicios en la grava.</v>
      </c>
    </row>
    <row r="12882">
      <c r="A12882" s="4" t="s">
        <v>16209</v>
      </c>
      <c r="B12882" s="4" t="s">
        <v>16212</v>
      </c>
      <c r="C12882" s="5" t="str">
        <f>IFERROR(__xludf.DUMMYFUNCTION("GOOGLETRANSLATE(B12882,""en"",""es-ES"")"),"A continuación, el equipo está en un scrimmage en el campo.")</f>
        <v>A continuación, el equipo está en un scrimmage en el campo.</v>
      </c>
    </row>
    <row r="12883">
      <c r="A12883" s="4" t="s">
        <v>16209</v>
      </c>
      <c r="B12883" s="4" t="s">
        <v>16213</v>
      </c>
      <c r="C12883" s="5" t="str">
        <f>IFERROR(__xludf.DUMMYFUNCTION("GOOGLETRANSLATE(B12883,""en"",""es-ES"")"),"Después de eso se les mostró jugando un juego real, corriendo de un lado a otro.")</f>
        <v>Después de eso se les mostró jugando un juego real, corriendo de un lado a otro.</v>
      </c>
    </row>
    <row r="12884">
      <c r="A12884" s="4" t="s">
        <v>16209</v>
      </c>
      <c r="B12884" s="4" t="s">
        <v>16214</v>
      </c>
      <c r="C12884" s="5" t="str">
        <f>IFERROR(__xludf.DUMMYFUNCTION("GOOGLETRANSLATE(B12884,""en"",""es-ES"")"),"Por último, algunos miembros están en un juego profesional.")</f>
        <v>Por último, algunos miembros están en un juego profesional.</v>
      </c>
    </row>
    <row r="12885">
      <c r="A12885" s="4" t="s">
        <v>16215</v>
      </c>
      <c r="B12885" s="4" t="s">
        <v>16216</v>
      </c>
      <c r="C12885" s="5" t="str">
        <f>IFERROR(__xludf.DUMMYFUNCTION("GOOGLETRANSLATE(B12885,""en"",""es-ES"")"),"Se ve a una mujer inclinándose sobre un fregadero con un niño pequeño a su lado.")</f>
        <v>Se ve a una mujer inclinándose sobre un fregadero con un niño pequeño a su lado.</v>
      </c>
    </row>
    <row r="12886">
      <c r="A12886" s="4" t="s">
        <v>16215</v>
      </c>
      <c r="B12886" s="4" t="s">
        <v>16217</v>
      </c>
      <c r="C12886" s="5" t="str">
        <f>IFERROR(__xludf.DUMMYFUNCTION("GOOGLETRANSLATE(B12886,""en"",""es-ES"")"),"La mujer y el niño meten las manos debajo de un fregadero para lavarlos.")</f>
        <v>La mujer y el niño meten las manos debajo de un fregadero para lavarlos.</v>
      </c>
    </row>
    <row r="12887">
      <c r="A12887" s="4" t="s">
        <v>16215</v>
      </c>
      <c r="B12887" s="4" t="s">
        <v>16218</v>
      </c>
      <c r="C12887" s="5" t="str">
        <f>IFERROR(__xludf.DUMMYFUNCTION("GOOGLETRANSLATE(B12887,""en"",""es-ES"")"),"La mujer seca las manos de las chicas al final y le muestra a la loción.")</f>
        <v>La mujer seca las manos de las chicas al final y le muestra a la loción.</v>
      </c>
    </row>
    <row r="12888">
      <c r="A12888" s="4" t="s">
        <v>16219</v>
      </c>
      <c r="B12888" s="4" t="s">
        <v>1251</v>
      </c>
      <c r="C12888" s="5" t="str">
        <f>IFERROR(__xludf.DUMMYFUNCTION("GOOGLETRANSLATE(B12888,""en"",""es-ES"")"),"Se muestran los créditos del clip.")</f>
        <v>Se muestran los créditos del clip.</v>
      </c>
    </row>
    <row r="12889">
      <c r="A12889" s="4" t="s">
        <v>16219</v>
      </c>
      <c r="B12889" s="4" t="s">
        <v>16220</v>
      </c>
      <c r="C12889" s="5" t="str">
        <f>IFERROR(__xludf.DUMMYFUNCTION("GOOGLETRANSLATE(B12889,""en"",""es-ES"")"),"Un chico se para al lado de los caballos con un portapapeles.")</f>
        <v>Un chico se para al lado de los caballos con un portapapeles.</v>
      </c>
    </row>
    <row r="12890">
      <c r="A12890" s="4" t="s">
        <v>16219</v>
      </c>
      <c r="B12890" s="4" t="s">
        <v>16221</v>
      </c>
      <c r="C12890" s="5" t="str">
        <f>IFERROR(__xludf.DUMMYFUNCTION("GOOGLETRANSLATE(B12890,""en"",""es-ES"")"),"Un chico camina debajo de una cerca de caballo.")</f>
        <v>Un chico camina debajo de una cerca de caballo.</v>
      </c>
    </row>
    <row r="12891">
      <c r="A12891" s="4" t="s">
        <v>16219</v>
      </c>
      <c r="B12891" s="4" t="s">
        <v>16222</v>
      </c>
      <c r="C12891" s="5" t="str">
        <f>IFERROR(__xludf.DUMMYFUNCTION("GOOGLETRANSLATE(B12891,""en"",""es-ES"")"),"Una persona lleva a un caballo.")</f>
        <v>Una persona lleva a un caballo.</v>
      </c>
    </row>
    <row r="12892">
      <c r="A12892" s="4" t="s">
        <v>16219</v>
      </c>
      <c r="B12892" s="4" t="s">
        <v>16223</v>
      </c>
      <c r="C12892" s="5" t="str">
        <f>IFERROR(__xludf.DUMMYFUNCTION("GOOGLETRANSLATE(B12892,""en"",""es-ES"")"),"El chico se pone encima del caballo.")</f>
        <v>El chico se pone encima del caballo.</v>
      </c>
    </row>
    <row r="12893">
      <c r="A12893" s="4" t="s">
        <v>16219</v>
      </c>
      <c r="B12893" s="4" t="s">
        <v>16224</v>
      </c>
      <c r="C12893" s="5" t="str">
        <f>IFERROR(__xludf.DUMMYFUNCTION("GOOGLETRANSLATE(B12893,""en"",""es-ES"")"),"El chico acaricia el caballo y se va a montar a caballo.")</f>
        <v>El chico acaricia el caballo y se va a montar a caballo.</v>
      </c>
    </row>
    <row r="12894">
      <c r="A12894" s="4" t="s">
        <v>16219</v>
      </c>
      <c r="B12894" s="4" t="s">
        <v>16225</v>
      </c>
      <c r="C12894" s="5" t="str">
        <f>IFERROR(__xludf.DUMMYFUNCTION("GOOGLETRANSLATE(B12894,""en"",""es-ES"")"),"La gente sale a caballo cabalgando por un sendero.")</f>
        <v>La gente sale a caballo cabalgando por un sendero.</v>
      </c>
    </row>
    <row r="12895">
      <c r="A12895" s="4" t="s">
        <v>16226</v>
      </c>
      <c r="B12895" s="4" t="s">
        <v>16227</v>
      </c>
      <c r="C12895" s="5" t="str">
        <f>IFERROR(__xludf.DUMMYFUNCTION("GOOGLETRANSLATE(B12895,""en"",""es-ES"")"),"Un disparo de un edificio conduce a un juego 3D de hombres Sumo Wrestling.")</f>
        <v>Un disparo de un edificio conduce a un juego 3D de hombres Sumo Wrestling.</v>
      </c>
    </row>
    <row r="12896">
      <c r="A12896" s="4" t="s">
        <v>16226</v>
      </c>
      <c r="B12896" s="4" t="s">
        <v>16228</v>
      </c>
      <c r="C12896" s="5" t="str">
        <f>IFERROR(__xludf.DUMMYFUNCTION("GOOGLETRANSLATE(B12896,""en"",""es-ES"")"),"El juego continúa con los personajes peleando y un árbitro mirando a un lado.")</f>
        <v>El juego continúa con los personajes peleando y un árbitro mirando a un lado.</v>
      </c>
    </row>
    <row r="12897">
      <c r="A12897" s="4" t="s">
        <v>16226</v>
      </c>
      <c r="B12897" s="4" t="s">
        <v>16229</v>
      </c>
      <c r="C12897" s="5" t="str">
        <f>IFERROR(__xludf.DUMMYFUNCTION("GOOGLETRANSLATE(B12897,""en"",""es-ES"")"),"El juego termina y muestra más fotos de hombres de lucha y señalización de sumo.")</f>
        <v>El juego termina y muestra más fotos de hombres de lucha y señalización de sumo.</v>
      </c>
    </row>
    <row r="12898">
      <c r="A12898" s="4" t="s">
        <v>16230</v>
      </c>
      <c r="B12898" s="4" t="s">
        <v>16231</v>
      </c>
      <c r="C12898" s="5" t="str">
        <f>IFERROR(__xludf.DUMMYFUNCTION("GOOGLETRANSLATE(B12898,""en"",""es-ES"")"),"Una introducción roja, blanca y negra tiene un logotipo y las palabras y la letra W2K15.")</f>
        <v>Una introducción roja, blanca y negra tiene un logotipo y las palabras y la letra W2K15.</v>
      </c>
    </row>
    <row r="12899">
      <c r="A12899" s="4" t="s">
        <v>16230</v>
      </c>
      <c r="B12899" s="4" t="s">
        <v>16232</v>
      </c>
      <c r="C12899" s="5" t="str">
        <f>IFERROR(__xludf.DUMMYFUNCTION("GOOGLETRANSLATE(B12899,""en"",""es-ES"")"),"El videojuego comienza y hay 3 personajes contra 1 personaje y están luchando en una pista que realiza numerosos trucos como estrangular, golpear, toparse con el personaje para que caigan o recogiéndolos y luego golpearlos al suelo mientras el suelo El ár"&amp;"bitro está parado en la esquina.")</f>
        <v>El videojuego comienza y hay 3 personajes contra 1 personaje y están luchando en una pista que realiza numerosos trucos como estrangular, golpear, toparse con el personaje para que caigan o recogiéndolos y luego golpearlos al suelo mientras el suelo El árbitro está parado en la esquina.</v>
      </c>
    </row>
    <row r="12900">
      <c r="A12900" s="4" t="s">
        <v>16230</v>
      </c>
      <c r="B12900" s="4" t="s">
        <v>16233</v>
      </c>
      <c r="C12900" s="5" t="str">
        <f>IFERROR(__xludf.DUMMYFUNCTION("GOOGLETRANSLATE(B12900,""en"",""es-ES"")"),"Una nueva ronda comienza con diferentes personajes luchando y el árbitro intenta detenerlos, pero uno de los personajes recoge al árbitro y luego lo golpea al suelo donde se acuesta por unos segundos.")</f>
        <v>Una nueva ronda comienza con diferentes personajes luchando y el árbitro intenta detenerlos, pero uno de los personajes recoge al árbitro y luego lo golpea al suelo donde se acuesta por unos segundos.</v>
      </c>
    </row>
    <row r="12901">
      <c r="A12901" s="4" t="s">
        <v>16230</v>
      </c>
      <c r="B12901" s="4" t="s">
        <v>16234</v>
      </c>
      <c r="C12901" s="5" t="str">
        <f>IFERROR(__xludf.DUMMYFUNCTION("GOOGLETRANSLATE(B12901,""en"",""es-ES"")"),"El árbitro se levanta y luego patea a uno de los personajes de la pista y luego cae en el suelo para golpear la mano en la pista para terminar la ronda de arrancado.")</f>
        <v>El árbitro se levanta y luego patea a uno de los personajes de la pista y luego cae en el suelo para golpear la mano en la pista para terminar la ronda de arrancado.</v>
      </c>
    </row>
    <row r="12902">
      <c r="A12902" s="4" t="s">
        <v>16230</v>
      </c>
      <c r="B12902" s="4" t="s">
        <v>16235</v>
      </c>
      <c r="C12902" s="5" t="str">
        <f>IFERROR(__xludf.DUMMYFUNCTION("GOOGLETRANSLATE(B12902,""en"",""es-ES"")"),"El video de Outro comienza y es lo mismo que el video de introducción.")</f>
        <v>El video de Outro comienza y es lo mismo que el video de introducción.</v>
      </c>
    </row>
    <row r="12903">
      <c r="A12903" s="4" t="s">
        <v>16236</v>
      </c>
      <c r="B12903" s="4" t="s">
        <v>16237</v>
      </c>
      <c r="C12903" s="5" t="str">
        <f>IFERROR(__xludf.DUMMYFUNCTION("GOOGLETRANSLATE(B12903,""en"",""es-ES"")"),"Aparece brevemente un logotipo para ""The Galley"" con el lema ""reinventando la cocina"".")</f>
        <v>Aparece brevemente un logotipo para "The Galley" con el lema "reinventando la cocina".</v>
      </c>
    </row>
    <row r="12904">
      <c r="A12904" s="4" t="s">
        <v>16236</v>
      </c>
      <c r="B12904" s="4" t="s">
        <v>16238</v>
      </c>
      <c r="C12904" s="5" t="str">
        <f>IFERROR(__xludf.DUMMYFUNCTION("GOOGLETRANSLATE(B12904,""en"",""es-ES"")"),"La escena es narrada por una oradora.")</f>
        <v>La escena es narrada por una oradora.</v>
      </c>
    </row>
    <row r="12905">
      <c r="A12905" s="4" t="s">
        <v>16236</v>
      </c>
      <c r="B12905" s="4" t="s">
        <v>16239</v>
      </c>
      <c r="C12905" s="5" t="str">
        <f>IFERROR(__xludf.DUMMYFUNCTION("GOOGLETRANSLATE(B12905,""en"",""es-ES"")"),"Una mujer con cabello rubio prepara una estación de lavavajillas de fregadero con un fregadero colgante y barras de secado sobre un canal de metal.")</f>
        <v>Una mujer con cabello rubio prepara una estación de lavavajillas de fregadero con un fregadero colgante y barras de secado sobre un canal de metal.</v>
      </c>
    </row>
    <row r="12906">
      <c r="A12906" s="4" t="s">
        <v>16236</v>
      </c>
      <c r="B12906" s="4" t="s">
        <v>16240</v>
      </c>
      <c r="C12906" s="5" t="str">
        <f>IFERROR(__xludf.DUMMYFUNCTION("GOOGLETRANSLATE(B12906,""en"",""es-ES"")"),"La mujer lava vasos, platos y cuchillos y luego coloca cada uno en las rejillas para que se sequen.")</f>
        <v>La mujer lava vasos, platos y cuchillos y luego coloca cada uno en las rejillas para que se sequen.</v>
      </c>
    </row>
    <row r="12907">
      <c r="A12907" s="4" t="s">
        <v>16236</v>
      </c>
      <c r="B12907" s="4" t="s">
        <v>16241</v>
      </c>
      <c r="C12907" s="5" t="str">
        <f>IFERROR(__xludf.DUMMYFUNCTION("GOOGLETRANSLATE(B12907,""en"",""es-ES"")"),"La mujer termina tirando del enchufe del fregadero colgante, lo que permite que el agua fluya en el canal debajo.")</f>
        <v>La mujer termina tirando del enchufe del fregadero colgante, lo que permite que el agua fluya en el canal debajo.</v>
      </c>
    </row>
    <row r="12908">
      <c r="A12908" s="4" t="s">
        <v>16236</v>
      </c>
      <c r="B12908" s="4" t="s">
        <v>16242</v>
      </c>
      <c r="C12908" s="5" t="str">
        <f>IFERROR(__xludf.DUMMYFUNCTION("GOOGLETRANSLATE(B12908,""en"",""es-ES"")"),"El logotipo de ""The Galley"" aparece nuevamente.")</f>
        <v>El logotipo de "The Galley" aparece nuevamente.</v>
      </c>
    </row>
    <row r="12909">
      <c r="A12909" s="4" t="s">
        <v>16243</v>
      </c>
      <c r="B12909" s="4" t="s">
        <v>16244</v>
      </c>
      <c r="C12909" s="5" t="str">
        <f>IFERROR(__xludf.DUMMYFUNCTION("GOOGLETRANSLATE(B12909,""en"",""es-ES"")"),"La mujer está en las noticias hablando con la cámara sobre un protector solar.")</f>
        <v>La mujer está en las noticias hablando con la cámara sobre un protector solar.</v>
      </c>
    </row>
    <row r="12910">
      <c r="A12910" s="4" t="s">
        <v>16243</v>
      </c>
      <c r="B12910" s="4" t="s">
        <v>16245</v>
      </c>
      <c r="C12910" s="5" t="str">
        <f>IFERROR(__xludf.DUMMYFUNCTION("GOOGLETRANSLATE(B12910,""en"",""es-ES"")"),"La mujer sostiene un tubo de protector solar y lo pone en sus brazos, manos y cara, y la mujer en el estudio sigue hablando sobre el protector solar natural.")</f>
        <v>La mujer sostiene un tubo de protector solar y lo pone en sus brazos, manos y cara, y la mujer en el estudio sigue hablando sobre el protector solar natural.</v>
      </c>
    </row>
    <row r="12911">
      <c r="A12911" s="4" t="s">
        <v>16246</v>
      </c>
      <c r="B12911" s="4" t="s">
        <v>16247</v>
      </c>
      <c r="C12911" s="5" t="str">
        <f>IFERROR(__xludf.DUMMYFUNCTION("GOOGLETRANSLATE(B12911,""en"",""es-ES"")"),"Una introducción de texto conduce a varias tomas de una calabaza, así como herramientas seguidas de un hombre que talaba la calabaza.")</f>
        <v>Una introducción de texto conduce a varias tomas de una calabaza, así como herramientas seguidas de un hombre que talaba la calabaza.</v>
      </c>
    </row>
    <row r="12912">
      <c r="A12912" s="4" t="s">
        <v>16246</v>
      </c>
      <c r="B12912" s="4" t="s">
        <v>16248</v>
      </c>
      <c r="C12912" s="5" t="str">
        <f>IFERROR(__xludf.DUMMYFUNCTION("GOOGLETRANSLATE(B12912,""en"",""es-ES"")"),"El hombre dibuja y corta todo el frente de la calabaza mientras se mueve en movimiento rápido.")</f>
        <v>El hombre dibuja y corta todo el frente de la calabaza mientras se mueve en movimiento rápido.</v>
      </c>
    </row>
    <row r="12913">
      <c r="A12913" s="4" t="s">
        <v>16246</v>
      </c>
      <c r="B12913" s="4" t="s">
        <v>16249</v>
      </c>
      <c r="C12913" s="5" t="str">
        <f>IFERROR(__xludf.DUMMYFUNCTION("GOOGLETRANSLATE(B12913,""en"",""es-ES"")"),"El hombre termina su calabaza y las bandejas de la cámara por un lado.")</f>
        <v>El hombre termina su calabaza y las bandejas de la cámara por un lado.</v>
      </c>
    </row>
    <row r="12914">
      <c r="A12914" s="4" t="s">
        <v>16250</v>
      </c>
      <c r="B12914" s="4" t="s">
        <v>16251</v>
      </c>
      <c r="C12914" s="5" t="str">
        <f>IFERROR(__xludf.DUMMYFUNCTION("GOOGLETRANSLATE(B12914,""en"",""es-ES"")"),"Un hombre está parado afuera con una bandeja de pintura.")</f>
        <v>Un hombre está parado afuera con una bandeja de pintura.</v>
      </c>
    </row>
    <row r="12915">
      <c r="A12915" s="4" t="s">
        <v>16250</v>
      </c>
      <c r="B12915" s="4" t="s">
        <v>16252</v>
      </c>
      <c r="C12915" s="5" t="str">
        <f>IFERROR(__xludf.DUMMYFUNCTION("GOOGLETRANSLATE(B12915,""en"",""es-ES"")"),"Habla mientras demuestra cómo pintar madera al aire libre.")</f>
        <v>Habla mientras demuestra cómo pintar madera al aire libre.</v>
      </c>
    </row>
    <row r="12916">
      <c r="A12916" s="4" t="s">
        <v>16250</v>
      </c>
      <c r="B12916" s="4" t="s">
        <v>16253</v>
      </c>
      <c r="C12916" s="5" t="str">
        <f>IFERROR(__xludf.DUMMYFUNCTION("GOOGLETRANSLATE(B12916,""en"",""es-ES"")"),"Muestra un rodillo de pintura.")</f>
        <v>Muestra un rodillo de pintura.</v>
      </c>
    </row>
    <row r="12917">
      <c r="A12917" s="4" t="s">
        <v>16250</v>
      </c>
      <c r="B12917" s="4" t="s">
        <v>16254</v>
      </c>
      <c r="C12917" s="5" t="str">
        <f>IFERROR(__xludf.DUMMYFUNCTION("GOOGLETRANSLATE(B12917,""en"",""es-ES"")"),"Continúa hablando del proceso mientras está parado allí.")</f>
        <v>Continúa hablando del proceso mientras está parado allí.</v>
      </c>
    </row>
    <row r="12918">
      <c r="A12918" s="4" t="s">
        <v>16255</v>
      </c>
      <c r="B12918" s="4" t="s">
        <v>16256</v>
      </c>
      <c r="C12918" s="5" t="str">
        <f>IFERROR(__xludf.DUMMYFUNCTION("GOOGLETRANSLATE(B12918,""en"",""es-ES"")"),"Un hombre se sostiene en un bar mientras está parado sobre un esquí acuático.")</f>
        <v>Un hombre se sostiene en un bar mientras está parado sobre un esquí acuático.</v>
      </c>
    </row>
    <row r="12919">
      <c r="A12919" s="4" t="s">
        <v>16255</v>
      </c>
      <c r="B12919" s="4" t="s">
        <v>16257</v>
      </c>
      <c r="C12919" s="5" t="str">
        <f>IFERROR(__xludf.DUMMYFUNCTION("GOOGLETRANSLATE(B12919,""en"",""es-ES"")"),"Un motor de motor lo atraviesa el agua.")</f>
        <v>Un motor de motor lo atraviesa el agua.</v>
      </c>
    </row>
    <row r="12920">
      <c r="A12920" s="4" t="s">
        <v>16255</v>
      </c>
      <c r="B12920" s="4" t="s">
        <v>16258</v>
      </c>
      <c r="C12920" s="5" t="str">
        <f>IFERROR(__xludf.DUMMYFUNCTION("GOOGLETRANSLATE(B12920,""en"",""es-ES"")"),"Él está esquiando por el agua sobre un largo lago, tratando de permanecer en posición vertical.")</f>
        <v>Él está esquiando por el agua sobre un largo lago, tratando de permanecer en posición vertical.</v>
      </c>
    </row>
    <row r="12921">
      <c r="A12921" s="4" t="s">
        <v>16259</v>
      </c>
      <c r="B12921" s="4" t="s">
        <v>16260</v>
      </c>
      <c r="C12921" s="5" t="str">
        <f>IFERROR(__xludf.DUMMYFUNCTION("GOOGLETRANSLATE(B12921,""en"",""es-ES"")"),"Una mujer con bata de baño que mira un espejo se limpia las manos.")</f>
        <v>Una mujer con bata de baño que mira un espejo se limpia las manos.</v>
      </c>
    </row>
    <row r="12922">
      <c r="A12922" s="4" t="s">
        <v>16259</v>
      </c>
      <c r="B12922" s="4" t="s">
        <v>16261</v>
      </c>
      <c r="C12922" s="5" t="str">
        <f>IFERROR(__xludf.DUMMYFUNCTION("GOOGLETRANSLATE(B12922,""en"",""es-ES"")"),"La cámara corta las escenas de primer plano de sus dedos recogiendo una lente de contacto y sosteniéndola.")</f>
        <v>La cámara corta las escenas de primer plano de sus dedos recogiendo una lente de contacto y sosteniéndola.</v>
      </c>
    </row>
    <row r="12923">
      <c r="A12923" s="4" t="s">
        <v>16259</v>
      </c>
      <c r="B12923" s="4" t="s">
        <v>16262</v>
      </c>
      <c r="C12923" s="5" t="str">
        <f>IFERROR(__xludf.DUMMYFUNCTION("GOOGLETRANSLATE(B12923,""en"",""es-ES"")"),"La cámara corta brevemente la cara de la mujer antes de regresar.")</f>
        <v>La cámara corta brevemente la cara de la mujer antes de regresar.</v>
      </c>
    </row>
    <row r="12924">
      <c r="A12924" s="4" t="s">
        <v>16259</v>
      </c>
      <c r="B12924" s="4" t="s">
        <v>16263</v>
      </c>
      <c r="C12924" s="5" t="str">
        <f>IFERROR(__xludf.DUMMYFUNCTION("GOOGLETRANSLATE(B12924,""en"",""es-ES"")"),"La mujer pone la lente de contacto en su ojo.")</f>
        <v>La mujer pone la lente de contacto en su ojo.</v>
      </c>
    </row>
    <row r="12925">
      <c r="A12925" s="4" t="s">
        <v>16259</v>
      </c>
      <c r="B12925" s="4" t="s">
        <v>16264</v>
      </c>
      <c r="C12925" s="5" t="str">
        <f>IFERROR(__xludf.DUMMYFUNCTION("GOOGLETRANSLATE(B12925,""en"",""es-ES"")"),"La mujer aplica la solución de lente de contacto en su caso de transporte de lentes.")</f>
        <v>La mujer aplica la solución de lente de contacto en su caso de transporte de lentes.</v>
      </c>
    </row>
    <row r="12926">
      <c r="A12926" s="4" t="s">
        <v>16259</v>
      </c>
      <c r="B12926" s="4" t="s">
        <v>16265</v>
      </c>
      <c r="C12926" s="5" t="str">
        <f>IFERROR(__xludf.DUMMYFUNCTION("GOOGLETRANSLATE(B12926,""en"",""es-ES"")"),"La mujer se lava las manos.")</f>
        <v>La mujer se lava las manos.</v>
      </c>
    </row>
    <row r="12927">
      <c r="A12927" s="4" t="s">
        <v>16259</v>
      </c>
      <c r="B12927" s="4" t="s">
        <v>16266</v>
      </c>
      <c r="C12927" s="5" t="str">
        <f>IFERROR(__xludf.DUMMYFUNCTION("GOOGLETRANSLATE(B12927,""en"",""es-ES"")"),"La mujer se quita la lente de contacto de su ojo.")</f>
        <v>La mujer se quita la lente de contacto de su ojo.</v>
      </c>
    </row>
    <row r="12928">
      <c r="A12928" s="4" t="s">
        <v>16259</v>
      </c>
      <c r="B12928" s="4" t="s">
        <v>16267</v>
      </c>
      <c r="C12928" s="5" t="str">
        <f>IFERROR(__xludf.DUMMYFUNCTION("GOOGLETRANSLATE(B12928,""en"",""es-ES"")"),"La mujer coloca la lente en su palma y, usando solución, la limpia.")</f>
        <v>La mujer coloca la lente en su palma y, usando solución, la limpia.</v>
      </c>
    </row>
    <row r="12929">
      <c r="A12929" s="4" t="s">
        <v>16259</v>
      </c>
      <c r="B12929" s="4" t="s">
        <v>16268</v>
      </c>
      <c r="C12929" s="5" t="str">
        <f>IFERROR(__xludf.DUMMYFUNCTION("GOOGLETRANSLATE(B12929,""en"",""es-ES"")"),"La mujer coloca la lente en el caso y agrega solución.")</f>
        <v>La mujer coloca la lente en el caso y agrega solución.</v>
      </c>
    </row>
    <row r="12930">
      <c r="A12930" s="4" t="s">
        <v>16259</v>
      </c>
      <c r="B12930" s="4" t="s">
        <v>16269</v>
      </c>
      <c r="C12930" s="5" t="str">
        <f>IFERROR(__xludf.DUMMYFUNCTION("GOOGLETRANSLATE(B12930,""en"",""es-ES"")"),"La mujer comienza a dejar el marco de la cámara.")</f>
        <v>La mujer comienza a dejar el marco de la cámara.</v>
      </c>
    </row>
    <row r="12931">
      <c r="A12931" s="4" t="s">
        <v>16270</v>
      </c>
      <c r="B12931" s="4" t="s">
        <v>16271</v>
      </c>
      <c r="C12931" s="5" t="str">
        <f>IFERROR(__xludf.DUMMYFUNCTION("GOOGLETRANSLATE(B12931,""en"",""es-ES"")"),"Se ve a una persona sentada en una bicicleta antes de una pista mirando hacia abajo.")</f>
        <v>Se ve a una persona sentada en una bicicleta antes de una pista mirando hacia abajo.</v>
      </c>
    </row>
    <row r="12932">
      <c r="A12932" s="4" t="s">
        <v>16270</v>
      </c>
      <c r="B12932" s="4" t="s">
        <v>16272</v>
      </c>
      <c r="C12932" s="5" t="str">
        <f>IFERROR(__xludf.DUMMYFUNCTION("GOOGLETRANSLATE(B12932,""en"",""es-ES"")"),"El hombre luego comienza a montar por la pista con varios otros cabalgando al frente.")</f>
        <v>El hombre luego comienza a montar por la pista con varios otros cabalgando al frente.</v>
      </c>
    </row>
    <row r="12933">
      <c r="A12933" s="4" t="s">
        <v>16270</v>
      </c>
      <c r="B12933" s="4" t="s">
        <v>16273</v>
      </c>
      <c r="C12933" s="5" t="str">
        <f>IFERROR(__xludf.DUMMYFUNCTION("GOOGLETRANSLATE(B12933,""en"",""es-ES"")"),"La persona viaja por todo el área y termina con un logotipo de Go Pro.")</f>
        <v>La persona viaja por todo el área y termina con un logotipo de Go Pro.</v>
      </c>
    </row>
    <row r="12934">
      <c r="A12934" s="4" t="s">
        <v>16274</v>
      </c>
      <c r="B12934" s="4" t="s">
        <v>16275</v>
      </c>
      <c r="C12934" s="5" t="str">
        <f>IFERROR(__xludf.DUMMYFUNCTION("GOOGLETRANSLATE(B12934,""en"",""es-ES"")"),"Un hombre que lleva un traje en la ciudad camina por las calles de Nueva York y se encuentra con otro hombre al que le gusta como él.")</f>
        <v>Un hombre que lleva un traje en la ciudad camina por las calles de Nueva York y se encuentra con otro hombre al que le gusta como él.</v>
      </c>
    </row>
    <row r="12935">
      <c r="A12935" s="4" t="s">
        <v>16274</v>
      </c>
      <c r="B12935" s="4" t="s">
        <v>16276</v>
      </c>
      <c r="C12935" s="5" t="str">
        <f>IFERROR(__xludf.DUMMYFUNCTION("GOOGLETRANSLATE(B12935,""en"",""es-ES"")"),"Los hombres comparan artículos y luego realizan una rutina de baile en el centro.")</f>
        <v>Los hombres comparan artículos y luego realizan una rutina de baile en el centro.</v>
      </c>
    </row>
    <row r="12936">
      <c r="A12936" s="4" t="s">
        <v>16274</v>
      </c>
      <c r="B12936" s="4" t="s">
        <v>16277</v>
      </c>
      <c r="C12936" s="5" t="str">
        <f>IFERROR(__xludf.DUMMYFUNCTION("GOOGLETRANSLATE(B12936,""en"",""es-ES"")"),"Los hombres toman las manos para terminar con la rutina y luego se alejan unos de otros.")</f>
        <v>Los hombres toman las manos para terminar con la rutina y luego se alejan unos de otros.</v>
      </c>
    </row>
    <row r="12937">
      <c r="A12937" s="4" t="s">
        <v>16278</v>
      </c>
      <c r="B12937" s="4" t="s">
        <v>16279</v>
      </c>
      <c r="C12937" s="5" t="str">
        <f>IFERROR(__xludf.DUMMYFUNCTION("GOOGLETRANSLATE(B12937,""en"",""es-ES"")"),"Se ve a un atleta caminando hacia adelante mientras sacude los brazos y las piernas y ajusta su traje de baño.")</f>
        <v>Se ve a un atleta caminando hacia adelante mientras sacude los brazos y las piernas y ajusta su traje de baño.</v>
      </c>
    </row>
    <row r="12938">
      <c r="A12938" s="4" t="s">
        <v>16278</v>
      </c>
      <c r="B12938" s="4" t="s">
        <v>16280</v>
      </c>
      <c r="C12938" s="5" t="str">
        <f>IFERROR(__xludf.DUMMYFUNCTION("GOOGLETRANSLATE(B12938,""en"",""es-ES"")"),"La niña se inclina hacia adelante y realiza una inmersión en la piscina mientras la cámara vuelve a un marcador.")</f>
        <v>La niña se inclina hacia adelante y realiza una inmersión en la piscina mientras la cámara vuelve a un marcador.</v>
      </c>
    </row>
    <row r="12939">
      <c r="A12939" s="4" t="s">
        <v>16281</v>
      </c>
      <c r="B12939" s="4" t="s">
        <v>16282</v>
      </c>
      <c r="C12939" s="5" t="str">
        <f>IFERROR(__xludf.DUMMYFUNCTION("GOOGLETRANSLATE(B12939,""en"",""es-ES"")"),"Un hombre tiene el pie en el baño.")</f>
        <v>Un hombre tiene el pie en el baño.</v>
      </c>
    </row>
    <row r="12940">
      <c r="A12940" s="4" t="s">
        <v>16281</v>
      </c>
      <c r="B12940" s="4" t="s">
        <v>16283</v>
      </c>
      <c r="C12940" s="5" t="str">
        <f>IFERROR(__xludf.DUMMYFUNCTION("GOOGLETRANSLATE(B12940,""en"",""es-ES"")"),"Comienza a afeitarse la pierna con una rasuradora.")</f>
        <v>Comienza a afeitarse la pierna con una rasuradora.</v>
      </c>
    </row>
    <row r="12941">
      <c r="A12941" s="4" t="s">
        <v>16281</v>
      </c>
      <c r="B12941" s="4" t="s">
        <v>16284</v>
      </c>
      <c r="C12941" s="5" t="str">
        <f>IFERROR(__xludf.DUMMYFUNCTION("GOOGLETRANSLATE(B12941,""en"",""es-ES"")"),"Se levanta los pantalones y comienza a afeitarse la otra pierna.")</f>
        <v>Se levanta los pantalones y comienza a afeitarse la otra pierna.</v>
      </c>
    </row>
    <row r="12942">
      <c r="A12942" s="4" t="s">
        <v>16285</v>
      </c>
      <c r="B12942" s="4" t="s">
        <v>16286</v>
      </c>
      <c r="C12942" s="5" t="str">
        <f>IFERROR(__xludf.DUMMYFUNCTION("GOOGLETRANSLATE(B12942,""en"",""es-ES"")"),"Un hombre está palizando un poco de mantillo en un barril de rueda.")</f>
        <v>Un hombre está palizando un poco de mantillo en un barril de rueda.</v>
      </c>
    </row>
    <row r="12943">
      <c r="A12943" s="4" t="s">
        <v>16285</v>
      </c>
      <c r="B12943" s="4" t="s">
        <v>16287</v>
      </c>
      <c r="C12943" s="5" t="str">
        <f>IFERROR(__xludf.DUMMYFUNCTION("GOOGLETRANSLATE(B12943,""en"",""es-ES"")"),"Él trae el barril de la rueda y lo arroja en una pila donde una mujer está usando un rastrillo para extenderlo de manera uniforme.")</f>
        <v>Él trae el barril de la rueda y lo arroja en una pila donde una mujer está usando un rastrillo para extenderlo de manera uniforme.</v>
      </c>
    </row>
    <row r="12944">
      <c r="A12944" s="4" t="s">
        <v>16285</v>
      </c>
      <c r="B12944" s="4" t="s">
        <v>16288</v>
      </c>
      <c r="C12944" s="5" t="str">
        <f>IFERROR(__xludf.DUMMYFUNCTION("GOOGLETRANSLATE(B12944,""en"",""es-ES"")"),"Continúan trayendo cargas del mantillo y un hombre se agita sobre un pequeño tractor de tierra.")</f>
        <v>Continúan trayendo cargas del mantillo y un hombre se agita sobre un pequeño tractor de tierra.</v>
      </c>
    </row>
    <row r="12945">
      <c r="A12945" s="4" t="s">
        <v>16285</v>
      </c>
      <c r="B12945" s="4" t="s">
        <v>16289</v>
      </c>
      <c r="C12945" s="5" t="str">
        <f>IFERROR(__xludf.DUMMYFUNCTION("GOOGLETRANSLATE(B12945,""en"",""es-ES"")"),"Se mueve en el pequeño ciervo John Tractor mientras los demás continúan rastrillando.")</f>
        <v>Se mueve en el pequeño ciervo John Tractor mientras los demás continúan rastrillando.</v>
      </c>
    </row>
    <row r="12946">
      <c r="A12946" s="4" t="s">
        <v>16290</v>
      </c>
      <c r="B12946" s="4" t="s">
        <v>16291</v>
      </c>
      <c r="C12946" s="5" t="str">
        <f>IFERROR(__xludf.DUMMYFUNCTION("GOOGLETRANSLATE(B12946,""en"",""es-ES"")"),"Se ve a una persona caminando por un campo seguido de varios tiros fuera del campo y personas que miran a los lados.")</f>
        <v>Se ve a una persona caminando por un campo seguido de varios tiros fuera del campo y personas que miran a los lados.</v>
      </c>
    </row>
    <row r="12947">
      <c r="A12947" s="4" t="s">
        <v>16290</v>
      </c>
      <c r="B12947" s="4" t="s">
        <v>16292</v>
      </c>
      <c r="C12947" s="5" t="str">
        <f>IFERROR(__xludf.DUMMYFUNCTION("GOOGLETRANSLATE(B12947,""en"",""es-ES"")"),"El video pasa a varias tomas de entrenadores haciendo trucos con sus perros usando frisbees.")</f>
        <v>El video pasa a varias tomas de entrenadores haciendo trucos con sus perros usando frisbees.</v>
      </c>
    </row>
    <row r="12948">
      <c r="A12948" s="4" t="s">
        <v>16290</v>
      </c>
      <c r="B12948" s="4" t="s">
        <v>16293</v>
      </c>
      <c r="C12948" s="5" t="str">
        <f>IFERROR(__xludf.DUMMYFUNCTION("GOOGLETRANSLATE(B12948,""en"",""es-ES"")"),"La gente arroja continuamente el Frisbee alrededor del campo mientras el perro persigue después y corre por el campo.")</f>
        <v>La gente arroja continuamente el Frisbee alrededor del campo mientras el perro persigue después y corre por el campo.</v>
      </c>
    </row>
    <row r="12949">
      <c r="A12949" s="4" t="s">
        <v>16294</v>
      </c>
      <c r="B12949" s="4" t="s">
        <v>16295</v>
      </c>
      <c r="C12949" s="5" t="str">
        <f>IFERROR(__xludf.DUMMYFUNCTION("GOOGLETRANSLATE(B12949,""en"",""es-ES"")"),"El video comienza con un hombre que realiza varios movimientos de ballet mientras la cámara sigue y se repite en cámara lenta.")</f>
        <v>El video comienza con un hombre que realiza varios movimientos de ballet mientras la cámara sigue y se repite en cámara lenta.</v>
      </c>
    </row>
    <row r="12950">
      <c r="A12950" s="4" t="s">
        <v>16294</v>
      </c>
      <c r="B12950" s="4" t="s">
        <v>16296</v>
      </c>
      <c r="C12950" s="5" t="str">
        <f>IFERROR(__xludf.DUMMYFUNCTION("GOOGLETRANSLATE(B12950,""en"",""es-ES"")"),"El hombre entrevista a la cámara y conduce a otro bailarín realizando pasos.")</f>
        <v>El hombre entrevista a la cámara y conduce a otro bailarín realizando pasos.</v>
      </c>
    </row>
    <row r="12951">
      <c r="A12951" s="4" t="s">
        <v>16294</v>
      </c>
      <c r="B12951" s="4" t="s">
        <v>16297</v>
      </c>
      <c r="C12951" s="5" t="str">
        <f>IFERROR(__xludf.DUMMYFUNCTION("GOOGLETRANSLATE(B12951,""en"",""es-ES"")"),"Varias personas más se ven realizando movimientos de baile y hablando con la cámara.")</f>
        <v>Varias personas más se ven realizando movimientos de baile y hablando con la cámara.</v>
      </c>
    </row>
    <row r="12952">
      <c r="A12952" s="4" t="s">
        <v>16298</v>
      </c>
      <c r="B12952" s="4" t="s">
        <v>16299</v>
      </c>
      <c r="C12952" s="5" t="str">
        <f>IFERROR(__xludf.DUMMYFUNCTION("GOOGLETRANSLATE(B12952,""en"",""es-ES"")"),"Una persona muestra un mueble.")</f>
        <v>Una persona muestra un mueble.</v>
      </c>
    </row>
    <row r="12953">
      <c r="A12953" s="4" t="s">
        <v>16298</v>
      </c>
      <c r="B12953" s="4" t="s">
        <v>16300</v>
      </c>
      <c r="C12953" s="5" t="str">
        <f>IFERROR(__xludf.DUMMYFUNCTION("GOOGLETRANSLATE(B12953,""en"",""es-ES"")"),"Luego, la persona cubre una caja de madera con alfombra y corta las sobras.")</f>
        <v>Luego, la persona cubre una caja de madera con alfombra y corta las sobras.</v>
      </c>
    </row>
    <row r="12954">
      <c r="A12954" s="4" t="s">
        <v>16298</v>
      </c>
      <c r="B12954" s="4" t="s">
        <v>16301</v>
      </c>
      <c r="C12954" s="5" t="str">
        <f>IFERROR(__xludf.DUMMYFUNCTION("GOOGLETRANSLATE(B12954,""en"",""es-ES"")"),"Luego, la persona dobla la alfombra en los bordes y corta las piezas no necesarias.")</f>
        <v>Luego, la persona dobla la alfombra en los bordes y corta las piezas no necesarias.</v>
      </c>
    </row>
    <row r="12955">
      <c r="A12955" s="4" t="s">
        <v>16302</v>
      </c>
      <c r="B12955" s="4" t="s">
        <v>16303</v>
      </c>
      <c r="C12955" s="5" t="str">
        <f>IFERROR(__xludf.DUMMYFUNCTION("GOOGLETRANSLATE(B12955,""en"",""es-ES"")"),"Una mujer de la caucasión está de pie en la cocina hablando con un niño pequeño y comienzan a golpear su puño en la isla.")</f>
        <v>Una mujer de la caucasión está de pie en la cocina hablando con un niño pequeño y comienzan a golpear su puño en la isla.</v>
      </c>
    </row>
    <row r="12956">
      <c r="A12956" s="4" t="s">
        <v>16302</v>
      </c>
      <c r="B12956" s="4" t="s">
        <v>16304</v>
      </c>
      <c r="C12956" s="5" t="str">
        <f>IFERROR(__xludf.DUMMYFUNCTION("GOOGLETRANSLATE(B12956,""en"",""es-ES"")"),"Aparece una pantalla roja con una imagen de limonada y los dos reaparecen.")</f>
        <v>Aparece una pantalla roja con una imagen de limonada y los dos reaparecen.</v>
      </c>
    </row>
    <row r="12957">
      <c r="A12957" s="4" t="s">
        <v>16302</v>
      </c>
      <c r="B12957" s="4" t="s">
        <v>16305</v>
      </c>
      <c r="C12957" s="5" t="str">
        <f>IFERROR(__xludf.DUMMYFUNCTION("GOOGLETRANSLATE(B12957,""en"",""es-ES"")"),"La señora comienza a hablar extremadamente enérgica con la cámara.")</f>
        <v>La señora comienza a hablar extremadamente enérgica con la cámara.</v>
      </c>
    </row>
    <row r="12958">
      <c r="A12958" s="4" t="s">
        <v>16302</v>
      </c>
      <c r="B12958" s="4" t="s">
        <v>16306</v>
      </c>
      <c r="C12958" s="5" t="str">
        <f>IFERROR(__xludf.DUMMYFUNCTION("GOOGLETRANSLATE(B12958,""en"",""es-ES"")"),"Los dos luego comienzan a arrojar ingredientes a una licuadora, comenzando con fresas y terminando con jarabe.")</f>
        <v>Los dos luego comienzan a arrojar ingredientes a una licuadora, comenzando con fresas y terminando con jarabe.</v>
      </c>
    </row>
    <row r="12959">
      <c r="A12959" s="4" t="s">
        <v>16302</v>
      </c>
      <c r="B12959" s="4" t="s">
        <v>16307</v>
      </c>
      <c r="C12959" s="5" t="str">
        <f>IFERROR(__xludf.DUMMYFUNCTION("GOOGLETRANSLATE(B12959,""en"",""es-ES"")"),"Por último, el niño pequeño arroja una taza de hielo en la licuadora y la señora combina los ingredientes.")</f>
        <v>Por último, el niño pequeño arroja una taza de hielo en la licuadora y la señora combina los ingredientes.</v>
      </c>
    </row>
    <row r="12960">
      <c r="A12960" s="4" t="s">
        <v>16302</v>
      </c>
      <c r="B12960" s="4" t="s">
        <v>16308</v>
      </c>
      <c r="C12960" s="5" t="str">
        <f>IFERROR(__xludf.DUMMYFUNCTION("GOOGLETRANSLATE(B12960,""en"",""es-ES"")"),"Una vez hecho, la señora toma dos tazas y las llena y los dos disfrutan de una bebida juntos.")</f>
        <v>Una vez hecho, la señora toma dos tazas y las llena y los dos disfrutan de una bebida juntos.</v>
      </c>
    </row>
    <row r="12961">
      <c r="A12961" s="4" t="s">
        <v>16309</v>
      </c>
      <c r="B12961" s="4" t="s">
        <v>16310</v>
      </c>
      <c r="C12961" s="5" t="str">
        <f>IFERROR(__xludf.DUMMYFUNCTION("GOOGLETRANSLATE(B12961,""en"",""es-ES"")"),"Un niño pequeño está de pie en una sala de estar.")</f>
        <v>Un niño pequeño está de pie en una sala de estar.</v>
      </c>
    </row>
    <row r="12962">
      <c r="A12962" s="4" t="s">
        <v>16309</v>
      </c>
      <c r="B12962" s="4" t="s">
        <v>16311</v>
      </c>
      <c r="C12962" s="5" t="str">
        <f>IFERROR(__xludf.DUMMYFUNCTION("GOOGLETRANSLATE(B12962,""en"",""es-ES"")"),"Está lanzando dardos a un objetivo.")</f>
        <v>Está lanzando dardos a un objetivo.</v>
      </c>
    </row>
    <row r="12963">
      <c r="A12963" s="4" t="s">
        <v>16309</v>
      </c>
      <c r="B12963" s="4" t="s">
        <v>16312</v>
      </c>
      <c r="C12963" s="5" t="str">
        <f>IFERROR(__xludf.DUMMYFUNCTION("GOOGLETRANSLATE(B12963,""en"",""es-ES"")"),"Se acerca y elimina los dardos antes de intentarlo nuevamente.")</f>
        <v>Se acerca y elimina los dardos antes de intentarlo nuevamente.</v>
      </c>
    </row>
    <row r="12964">
      <c r="A12964" s="4" t="s">
        <v>16313</v>
      </c>
      <c r="B12964" s="4" t="s">
        <v>16314</v>
      </c>
      <c r="C12964" s="5" t="str">
        <f>IFERROR(__xludf.DUMMYFUNCTION("GOOGLETRANSLATE(B12964,""en"",""es-ES"")"),"Se muestra el alcohol vertido en un vaso y conduce a una mujer que sostiene un vaso y vertiendo hielo en él.")</f>
        <v>Se muestra el alcohol vertido en un vaso y conduce a una mujer que sostiene un vaso y vertiendo hielo en él.</v>
      </c>
    </row>
    <row r="12965">
      <c r="A12965" s="4" t="s">
        <v>16313</v>
      </c>
      <c r="B12965" s="4" t="s">
        <v>16315</v>
      </c>
      <c r="C12965" s="5" t="str">
        <f>IFERROR(__xludf.DUMMYFUNCTION("GOOGLETRANSLATE(B12965,""en"",""es-ES"")"),"Luego, la mujer vierte varias mezclas de alcohol en el vidrio y termina presentando el vidrio a la cámara.")</f>
        <v>Luego, la mujer vierte varias mezclas de alcohol en el vidrio y termina presentando el vidrio a la cámara.</v>
      </c>
    </row>
    <row r="12966">
      <c r="A12966" s="4" t="s">
        <v>16316</v>
      </c>
      <c r="B12966" s="4" t="s">
        <v>16317</v>
      </c>
      <c r="C12966" s="5" t="str">
        <f>IFERROR(__xludf.DUMMYFUNCTION("GOOGLETRANSLATE(B12966,""en"",""es-ES"")"),"Una gimnasta estadounidense sube la viga de equilibrio, ella realiza cuatro volteos hacia atrás y un volteo hacia adelante.")</f>
        <v>Una gimnasta estadounidense sube la viga de equilibrio, ella realiza cuatro volteos hacia atrás y un volteo hacia adelante.</v>
      </c>
    </row>
    <row r="12967">
      <c r="A12967" s="4" t="s">
        <v>16316</v>
      </c>
      <c r="B12967" s="4" t="s">
        <v>16318</v>
      </c>
      <c r="C12967" s="5" t="str">
        <f>IFERROR(__xludf.DUMMYFUNCTION("GOOGLETRANSLATE(B12967,""en"",""es-ES"")"),"Luego, la gimnasta gira hacia atrás una vez de lado, luego salta y voltea dos veces hacia atrás.")</f>
        <v>Luego, la gimnasta gira hacia atrás una vez de lado, luego salta y voltea dos veces hacia atrás.</v>
      </c>
    </row>
    <row r="12968">
      <c r="A12968" s="4" t="s">
        <v>16316</v>
      </c>
      <c r="B12968" s="4" t="s">
        <v>16319</v>
      </c>
      <c r="C12968" s="5" t="str">
        <f>IFERROR(__xludf.DUMMYFUNCTION("GOOGLETRANSLATE(B12968,""en"",""es-ES"")"),"Después de que la gimnasta salta, gira y gira.")</f>
        <v>Después de que la gimnasta salta, gira y gira.</v>
      </c>
    </row>
    <row r="12969">
      <c r="A12969" s="4" t="s">
        <v>16316</v>
      </c>
      <c r="B12969" s="4" t="s">
        <v>16320</v>
      </c>
      <c r="C12969" s="5" t="str">
        <f>IFERROR(__xludf.DUMMYFUNCTION("GOOGLETRANSLATE(B12969,""en"",""es-ES"")"),"La gimnasta se encuentra en el extremo de la viga, luego corre y voltea a los tiempos y termina el stand en la colchoneta.")</f>
        <v>La gimnasta se encuentra en el extremo de la viga, luego corre y voltea a los tiempos y termina el stand en la colchoneta.</v>
      </c>
    </row>
    <row r="12970">
      <c r="A12970" s="4" t="s">
        <v>16316</v>
      </c>
      <c r="B12970" s="4" t="s">
        <v>16321</v>
      </c>
      <c r="C12970" s="5" t="str">
        <f>IFERROR(__xludf.DUMMYFUNCTION("GOOGLETRANSLATE(B12970,""en"",""es-ES"")"),"Después, la gimnasta levanta los brazos y la gente la felicita.")</f>
        <v>Después, la gimnasta levanta los brazos y la gente la felicita.</v>
      </c>
    </row>
    <row r="12971">
      <c r="A12971" s="4" t="s">
        <v>16316</v>
      </c>
      <c r="B12971" s="4" t="s">
        <v>16322</v>
      </c>
      <c r="C12971" s="5" t="str">
        <f>IFERROR(__xludf.DUMMYFUNCTION("GOOGLETRANSLATE(B12971,""en"",""es-ES"")"),"La rutina de la gimnasta se repite nuevamente.")</f>
        <v>La rutina de la gimnasta se repite nuevamente.</v>
      </c>
    </row>
    <row r="12972">
      <c r="A12972" s="4" t="s">
        <v>16323</v>
      </c>
      <c r="B12972" s="4" t="s">
        <v>16324</v>
      </c>
      <c r="C12972" s="5" t="str">
        <f>IFERROR(__xludf.DUMMYFUNCTION("GOOGLETRANSLATE(B12972,""en"",""es-ES"")"),"Se muestra una imagen de antes y después de un fregadero.")</f>
        <v>Se muestra una imagen de antes y después de un fregadero.</v>
      </c>
    </row>
    <row r="12973">
      <c r="A12973" s="4" t="s">
        <v>16323</v>
      </c>
      <c r="B12973" s="4" t="s">
        <v>16325</v>
      </c>
      <c r="C12973" s="5" t="str">
        <f>IFERROR(__xludf.DUMMYFUNCTION("GOOGLETRANSLATE(B12973,""en"",""es-ES"")"),"Luego se muestra a una persona poniendo más limpio en una esponja y fregando un fregadero.")</f>
        <v>Luego se muestra a una persona poniendo más limpio en una esponja y fregando un fregadero.</v>
      </c>
    </row>
    <row r="12974">
      <c r="A12974" s="4" t="s">
        <v>16323</v>
      </c>
      <c r="B12974" s="4" t="s">
        <v>16326</v>
      </c>
      <c r="C12974" s="5" t="str">
        <f>IFERROR(__xludf.DUMMYFUNCTION("GOOGLETRANSLATE(B12974,""en"",""es-ES"")"),"Luego se muestran los productos de limpieza y el fregadero limpio.")</f>
        <v>Luego se muestran los productos de limpieza y el fregadero limpio.</v>
      </c>
    </row>
    <row r="12975">
      <c r="A12975" s="4" t="s">
        <v>16327</v>
      </c>
      <c r="B12975" s="4" t="s">
        <v>16328</v>
      </c>
      <c r="C12975" s="5" t="str">
        <f>IFERROR(__xludf.DUMMYFUNCTION("GOOGLETRANSLATE(B12975,""en"",""es-ES"")"),"Seis niños con ropa blanca y cinturones de naranja están en una habitación con otros observando.")</f>
        <v>Seis niños con ropa blanca y cinturones de naranja están en una habitación con otros observando.</v>
      </c>
    </row>
    <row r="12976">
      <c r="A12976" s="4" t="s">
        <v>16327</v>
      </c>
      <c r="B12976" s="4" t="s">
        <v>16329</v>
      </c>
      <c r="C12976" s="5" t="str">
        <f>IFERROR(__xludf.DUMMYFUNCTION("GOOGLETRANSLATE(B12976,""en"",""es-ES"")"),"Un hombre grita una orden y los niños demuestran su taekwondo.")</f>
        <v>Un hombre grita una orden y los niños demuestran su taekwondo.</v>
      </c>
    </row>
    <row r="12977">
      <c r="A12977" s="4" t="s">
        <v>16327</v>
      </c>
      <c r="B12977" s="4" t="s">
        <v>16330</v>
      </c>
      <c r="C12977" s="5" t="str">
        <f>IFERROR(__xludf.DUMMYFUNCTION("GOOGLETRANSLATE(B12977,""en"",""es-ES"")"),"El hombre grita de nuevo y los niños se alinean y se inclinan.")</f>
        <v>El hombre grita de nuevo y los niños se alinean y se inclinan.</v>
      </c>
    </row>
    <row r="12978">
      <c r="A12978" s="4" t="s">
        <v>16327</v>
      </c>
      <c r="B12978" s="4" t="s">
        <v>16331</v>
      </c>
      <c r="C12978" s="5" t="str">
        <f>IFERROR(__xludf.DUMMYFUNCTION("GOOGLETRANSLATE(B12978,""en"",""es-ES"")"),"Los niños demuestran poses a medida que el hombre les ordena.")</f>
        <v>Los niños demuestran poses a medida que el hombre les ordena.</v>
      </c>
    </row>
    <row r="12979">
      <c r="A12979" s="4" t="s">
        <v>16327</v>
      </c>
      <c r="B12979" s="4" t="s">
        <v>16332</v>
      </c>
      <c r="C12979" s="5" t="str">
        <f>IFERROR(__xludf.DUMMYFUNCTION("GOOGLETRANSLATE(B12979,""en"",""es-ES"")"),"Luego realizan más movimientos de artes marciales.")</f>
        <v>Luego realizan más movimientos de artes marciales.</v>
      </c>
    </row>
    <row r="12980">
      <c r="A12980" s="4" t="s">
        <v>16327</v>
      </c>
      <c r="B12980" s="4" t="s">
        <v>16333</v>
      </c>
      <c r="C12980" s="5" t="str">
        <f>IFERROR(__xludf.DUMMYFUNCTION("GOOGLETRANSLATE(B12980,""en"",""es-ES"")"),"Regresan a la línea en la que estaban parados anteriormente.")</f>
        <v>Regresan a la línea en la que estaban parados anteriormente.</v>
      </c>
    </row>
    <row r="12981">
      <c r="A12981" s="4" t="s">
        <v>16327</v>
      </c>
      <c r="B12981" s="4" t="s">
        <v>16334</v>
      </c>
      <c r="C12981" s="5" t="str">
        <f>IFERROR(__xludf.DUMMYFUNCTION("GOOGLETRANSLATE(B12981,""en"",""es-ES"")"),"Demuestran movimientos adicionales, incluidos patadas y golpes.")</f>
        <v>Demuestran movimientos adicionales, incluidos patadas y golpes.</v>
      </c>
    </row>
    <row r="12982">
      <c r="A12982" s="4" t="s">
        <v>16327</v>
      </c>
      <c r="B12982" s="4" t="s">
        <v>16335</v>
      </c>
      <c r="C12982" s="5" t="str">
        <f>IFERROR(__xludf.DUMMYFUNCTION("GOOGLETRANSLATE(B12982,""en"",""es-ES"")"),"Se alinean de nuevo y se inclinan por segunda vez.")</f>
        <v>Se alinean de nuevo y se inclinan por segunda vez.</v>
      </c>
    </row>
    <row r="12983">
      <c r="A12983" s="4" t="s">
        <v>16336</v>
      </c>
      <c r="B12983" s="4" t="s">
        <v>16337</v>
      </c>
      <c r="C12983" s="5" t="str">
        <f>IFERROR(__xludf.DUMMYFUNCTION("GOOGLETRANSLATE(B12983,""en"",""es-ES"")"),"Una niña habla con una cámara, se aferran a las tomas de una tienda y su perro en un automóvil.")</f>
        <v>Una niña habla con una cámara, se aferran a las tomas de una tienda y su perro en un automóvil.</v>
      </c>
    </row>
    <row r="12984">
      <c r="A12984" s="4" t="s">
        <v>16336</v>
      </c>
      <c r="B12984" s="4" t="s">
        <v>16338</v>
      </c>
      <c r="C12984" s="5" t="str">
        <f>IFERROR(__xludf.DUMMYFUNCTION("GOOGLETRANSLATE(B12984,""en"",""es-ES"")"),"Ella registra varios artículos que se muestran en la tienda y luego ella misma en bikini.")</f>
        <v>Ella registra varios artículos que se muestran en la tienda y luego ella misma en bikini.</v>
      </c>
    </row>
    <row r="12985">
      <c r="A12985" s="4" t="s">
        <v>16336</v>
      </c>
      <c r="B12985" s="4" t="s">
        <v>16339</v>
      </c>
      <c r="C12985" s="5" t="str">
        <f>IFERROR(__xludf.DUMMYFUNCTION("GOOGLETRANSLATE(B12985,""en"",""es-ES"")"),"Ella se pone la loción sobre sí misma de pie frente a un lago y sonriendo en la cámara.")</f>
        <v>Ella se pone la loción sobre sí misma de pie frente a un lago y sonriendo en la cámara.</v>
      </c>
    </row>
    <row r="12986">
      <c r="A12986" s="4" t="s">
        <v>16340</v>
      </c>
      <c r="B12986" s="4" t="s">
        <v>16341</v>
      </c>
      <c r="C12986" s="5" t="str">
        <f>IFERROR(__xludf.DUMMYFUNCTION("GOOGLETRANSLATE(B12986,""en"",""es-ES"")"),"Se muestran varias imágenes de varios alimentos y conducen a una persona que corta alimentos en una tabla de cortar.")</f>
        <v>Se muestran varias imágenes de varios alimentos y conducen a una persona que corta alimentos en una tabla de cortar.</v>
      </c>
    </row>
    <row r="12987">
      <c r="A12987" s="4" t="s">
        <v>16340</v>
      </c>
      <c r="B12987" s="4" t="s">
        <v>16342</v>
      </c>
      <c r="C12987" s="5" t="str">
        <f>IFERROR(__xludf.DUMMYFUNCTION("GOOGLETRANSLATE(B12987,""en"",""es-ES"")"),"Se muestran más imágenes mientras el hombre corta las verduras y las mezcla en un tazón.")</f>
        <v>Se muestran más imágenes mientras el hombre corta las verduras y las mezcla en un tazón.</v>
      </c>
    </row>
    <row r="12988">
      <c r="A12988" s="4" t="s">
        <v>16340</v>
      </c>
      <c r="B12988" s="4" t="s">
        <v>16343</v>
      </c>
      <c r="C12988" s="5" t="str">
        <f>IFERROR(__xludf.DUMMYFUNCTION("GOOGLETRANSLATE(B12988,""en"",""es-ES"")"),"Se revuelve alrededor de los ingredientes y se muestran más fotos de los alimentos.")</f>
        <v>Se revuelve alrededor de los ingredientes y se muestran más fotos de los alimentos.</v>
      </c>
    </row>
    <row r="12989">
      <c r="A12989" s="4" t="s">
        <v>16344</v>
      </c>
      <c r="B12989" s="4" t="s">
        <v>16345</v>
      </c>
      <c r="C12989" s="5" t="str">
        <f>IFERROR(__xludf.DUMMYFUNCTION("GOOGLETRANSLATE(B12989,""en"",""es-ES"")"),"Vemos a un niño tocando la batería en una tienda de instrumentos.")</f>
        <v>Vemos a un niño tocando la batería en una tienda de instrumentos.</v>
      </c>
    </row>
    <row r="12990">
      <c r="A12990" s="4" t="s">
        <v>16344</v>
      </c>
      <c r="B12990" s="4" t="s">
        <v>16346</v>
      </c>
      <c r="C12990" s="5" t="str">
        <f>IFERROR(__xludf.DUMMYFUNCTION("GOOGLETRANSLATE(B12990,""en"",""es-ES"")"),"Vemos a un hombre al otro lado de la habitación tocando la batería.")</f>
        <v>Vemos a un hombre al otro lado de la habitación tocando la batería.</v>
      </c>
    </row>
    <row r="12991">
      <c r="A12991" s="4" t="s">
        <v>16344</v>
      </c>
      <c r="B12991" s="4" t="s">
        <v>16347</v>
      </c>
      <c r="C12991" s="5" t="str">
        <f>IFERROR(__xludf.DUMMYFUNCTION("GOOGLETRANSLATE(B12991,""en"",""es-ES"")"),"Vemos a una niña, otro niño y el papá.")</f>
        <v>Vemos a una niña, otro niño y el papá.</v>
      </c>
    </row>
    <row r="12992">
      <c r="A12992" s="4" t="s">
        <v>16344</v>
      </c>
      <c r="B12992" s="4" t="s">
        <v>16348</v>
      </c>
      <c r="C12992" s="5" t="str">
        <f>IFERROR(__xludf.DUMMYFUNCTION("GOOGLETRANSLATE(B12992,""en"",""es-ES"")"),"Vemos al hombre al otro lado de la habitación, luego al niño.")</f>
        <v>Vemos al hombre al otro lado de la habitación, luego al niño.</v>
      </c>
    </row>
    <row r="12993">
      <c r="A12993" s="4" t="s">
        <v>16344</v>
      </c>
      <c r="B12993" s="4" t="s">
        <v>16349</v>
      </c>
      <c r="C12993" s="5" t="str">
        <f>IFERROR(__xludf.DUMMYFUNCTION("GOOGLETRANSLATE(B12993,""en"",""es-ES"")"),"El niño en rayas toca algo en la batería.")</f>
        <v>El niño en rayas toca algo en la batería.</v>
      </c>
    </row>
    <row r="12994">
      <c r="A12994" s="4" t="s">
        <v>16344</v>
      </c>
      <c r="B12994" s="4" t="s">
        <v>16350</v>
      </c>
      <c r="C12994" s="5" t="str">
        <f>IFERROR(__xludf.DUMMYFUNCTION("GOOGLETRANSLATE(B12994,""en"",""es-ES"")"),"Vemos al niño y al hombre al mismo tiempo.")</f>
        <v>Vemos al niño y al hombre al mismo tiempo.</v>
      </c>
    </row>
    <row r="12995">
      <c r="A12995" s="4" t="s">
        <v>16344</v>
      </c>
      <c r="B12995" s="4" t="s">
        <v>16351</v>
      </c>
      <c r="C12995" s="5" t="str">
        <f>IFERROR(__xludf.DUMMYFUNCTION("GOOGLETRANSLATE(B12995,""en"",""es-ES"")"),"El niño en la camisa de rayas se mueve de un lado a otro.")</f>
        <v>El niño en la camisa de rayas se mueve de un lado a otro.</v>
      </c>
    </row>
    <row r="12996">
      <c r="A12996" s="4" t="s">
        <v>16344</v>
      </c>
      <c r="B12996" s="4" t="s">
        <v>16352</v>
      </c>
      <c r="C12996" s="5" t="str">
        <f>IFERROR(__xludf.DUMMYFUNCTION("GOOGLETRANSLATE(B12996,""en"",""es-ES"")"),"El niño termina y mira la cámara.")</f>
        <v>El niño termina y mira la cámara.</v>
      </c>
    </row>
    <row r="12997">
      <c r="A12997" s="4" t="s">
        <v>16353</v>
      </c>
      <c r="B12997" s="4" t="s">
        <v>16354</v>
      </c>
      <c r="C12997" s="5" t="str">
        <f>IFERROR(__xludf.DUMMYFUNCTION("GOOGLETRANSLATE(B12997,""en"",""es-ES"")"),"Un hombre está trabajando afuera en un jardín.")</f>
        <v>Un hombre está trabajando afuera en un jardín.</v>
      </c>
    </row>
    <row r="12998">
      <c r="A12998" s="4" t="s">
        <v>16353</v>
      </c>
      <c r="B12998" s="4" t="s">
        <v>16355</v>
      </c>
      <c r="C12998" s="5" t="str">
        <f>IFERROR(__xludf.DUMMYFUNCTION("GOOGLETRANSLATE(B12998,""en"",""es-ES"")"),"Utiliza recortadores para cortar piezas de una planta.")</f>
        <v>Utiliza recortadores para cortar piezas de una planta.</v>
      </c>
    </row>
    <row r="12999">
      <c r="A12999" s="4" t="s">
        <v>16353</v>
      </c>
      <c r="B12999" s="4" t="s">
        <v>16356</v>
      </c>
      <c r="C12999" s="5" t="str">
        <f>IFERROR(__xludf.DUMMYFUNCTION("GOOGLETRANSLATE(B12999,""en"",""es-ES"")"),"Cuando termina, la planta está completamente recortada.")</f>
        <v>Cuando termina, la planta está completamente recortada.</v>
      </c>
    </row>
    <row r="13000">
      <c r="A13000" s="4" t="s">
        <v>16357</v>
      </c>
      <c r="B13000" s="4" t="s">
        <v>16358</v>
      </c>
      <c r="C13000" s="5" t="str">
        <f>IFERROR(__xludf.DUMMYFUNCTION("GOOGLETRANSLATE(B13000,""en"",""es-ES"")"),"Una pantalla azul parpadea con escritura amarilla con una página de título y varios párrafos.")</f>
        <v>Una pantalla azul parpadea con escritura amarilla con una página de título y varios párrafos.</v>
      </c>
    </row>
    <row r="13001">
      <c r="A13001" s="4" t="s">
        <v>16357</v>
      </c>
      <c r="B13001" s="4" t="s">
        <v>16359</v>
      </c>
      <c r="C13001" s="5" t="str">
        <f>IFERROR(__xludf.DUMMYFUNCTION("GOOGLETRANSLATE(B13001,""en"",""es-ES"")"),"Luego, un hombre aparece en una jaula con un círculo girando en círculos antes de lanzar un lanzamiento de bala.")</f>
        <v>Luego, un hombre aparece en una jaula con un círculo girando en círculos antes de lanzar un lanzamiento de bala.</v>
      </c>
    </row>
    <row r="13002">
      <c r="A13002" s="4" t="s">
        <v>16357</v>
      </c>
      <c r="B13002" s="4" t="s">
        <v>16360</v>
      </c>
      <c r="C13002" s="5" t="str">
        <f>IFERROR(__xludf.DUMMYFUNCTION("GOOGLETRANSLATE(B13002,""en"",""es-ES"")"),"El video reproduce y se detiene mientras hace los pasos correctos para lanzar la pelota comenzando con el hombro y seguir con el resto del cuerpo.")</f>
        <v>El video reproduce y se detiene mientras hace los pasos correctos para lanzar la pelota comenzando con el hombro y seguir con el resto del cuerpo.</v>
      </c>
    </row>
    <row r="13003">
      <c r="A13003" s="4" t="s">
        <v>16361</v>
      </c>
      <c r="B13003" s="4" t="s">
        <v>16362</v>
      </c>
      <c r="C13003" s="5" t="str">
        <f>IFERROR(__xludf.DUMMYFUNCTION("GOOGLETRANSLATE(B13003,""en"",""es-ES"")"),"Se muestra a un hombre hablando con la cámara y lo lleva de pie frente a un marco de bicicleta.")</f>
        <v>Se muestra a un hombre hablando con la cámara y lo lleva de pie frente a un marco de bicicleta.</v>
      </c>
    </row>
    <row r="13004">
      <c r="A13004" s="4" t="s">
        <v>16361</v>
      </c>
      <c r="B13004" s="4" t="s">
        <v>16363</v>
      </c>
      <c r="C13004" s="5" t="str">
        <f>IFERROR(__xludf.DUMMYFUNCTION("GOOGLETRANSLATE(B13004,""en"",""es-ES"")"),"Señala el marco mientras habla con la cámara y lo lleva atornillando objetos en su lugar.")</f>
        <v>Señala el marco mientras habla con la cámara y lo lleva atornillando objetos en su lugar.</v>
      </c>
    </row>
    <row r="13005">
      <c r="A13005" s="4" t="s">
        <v>16361</v>
      </c>
      <c r="B13005" s="4" t="s">
        <v>16364</v>
      </c>
      <c r="C13005" s="5" t="str">
        <f>IFERROR(__xludf.DUMMYFUNCTION("GOOGLETRANSLATE(B13005,""en"",""es-ES"")"),"La persona continúa atornillando el marco y la cadena mientras se gira y habla con la cámara.")</f>
        <v>La persona continúa atornillando el marco y la cadena mientras se gira y habla con la cámara.</v>
      </c>
    </row>
    <row r="13006">
      <c r="A13006" s="4" t="s">
        <v>16365</v>
      </c>
      <c r="B13006" s="4" t="s">
        <v>16366</v>
      </c>
      <c r="C13006" s="5" t="str">
        <f>IFERROR(__xludf.DUMMYFUNCTION("GOOGLETRANSLATE(B13006,""en"",""es-ES"")"),"Se muestra un gimnasio vacío cuando una niña golpea un botón con la computadora y comienza a comenzar una rutina.")</f>
        <v>Se muestra un gimnasio vacío cuando una niña golpea un botón con la computadora y comienza a comenzar una rutina.</v>
      </c>
    </row>
    <row r="13007">
      <c r="A13007" s="4" t="s">
        <v>16365</v>
      </c>
      <c r="B13007" s="4" t="s">
        <v>16367</v>
      </c>
      <c r="C13007" s="5" t="str">
        <f>IFERROR(__xludf.DUMMYFUNCTION("GOOGLETRANSLATE(B13007,""en"",""es-ES"")"),"Ella gira por el piso del gimnasio con un bastón y mueve los brazos.")</f>
        <v>Ella gira por el piso del gimnasio con un bastón y mueve los brazos.</v>
      </c>
    </row>
    <row r="13008">
      <c r="A13008" s="4" t="s">
        <v>16365</v>
      </c>
      <c r="B13008" s="4" t="s">
        <v>16368</v>
      </c>
      <c r="C13008" s="5" t="str">
        <f>IFERROR(__xludf.DUMMYFUNCTION("GOOGLETRANSLATE(B13008,""en"",""es-ES"")"),"Ella patea sus piernas continuamente con los brazos.")</f>
        <v>Ella patea sus piernas continuamente con los brazos.</v>
      </c>
    </row>
    <row r="13009">
      <c r="A13009" s="4" t="s">
        <v>16369</v>
      </c>
      <c r="B13009" s="4" t="s">
        <v>16370</v>
      </c>
      <c r="C13009" s="5" t="str">
        <f>IFERROR(__xludf.DUMMYFUNCTION("GOOGLETRANSLATE(B13009,""en"",""es-ES"")"),"Una niña está de pie en la habitación con un cami negro y piernas negras y negras que se preparan hablando.")</f>
        <v>Una niña está de pie en la habitación con un cami negro y piernas negras y negras que se preparan hablando.</v>
      </c>
    </row>
    <row r="13010">
      <c r="A13010" s="4" t="s">
        <v>16369</v>
      </c>
      <c r="B13010" s="4" t="s">
        <v>16371</v>
      </c>
      <c r="C13010" s="5" t="str">
        <f>IFERROR(__xludf.DUMMYFUNCTION("GOOGLETRANSLATE(B13010,""en"",""es-ES"")"),"Luego se le muestra hablando con una niña con un suéter rosa y una falda negra y se están jugando múltiples juegos de tijeras de papel rock entre ella y otras dos chicas.")</f>
        <v>Luego se le muestra hablando con una niña con un suéter rosa y una falda negra y se están jugando múltiples juegos de tijeras de papel rock entre ella y otras dos chicas.</v>
      </c>
    </row>
    <row r="13011">
      <c r="A13011" s="4" t="s">
        <v>16369</v>
      </c>
      <c r="B13011" s="4" t="s">
        <v>16372</v>
      </c>
      <c r="C13011" s="5" t="str">
        <f>IFERROR(__xludf.DUMMYFUNCTION("GOOGLETRANSLATE(B13011,""en"",""es-ES"")"),"La chica con el suéter rosa gana y se sienta en la cara de las chicas.")</f>
        <v>La chica con el suéter rosa gana y se sienta en la cara de las chicas.</v>
      </c>
    </row>
    <row r="13012">
      <c r="A13012" s="4" t="s">
        <v>16369</v>
      </c>
      <c r="B13012" s="4" t="s">
        <v>16373</v>
      </c>
      <c r="C13012" s="5" t="str">
        <f>IFERROR(__xludf.DUMMYFUNCTION("GOOGLETRANSLATE(B13012,""en"",""es-ES"")"),"Luego, las tres chicas se unen y comienzan a hablar con la cámara.")</f>
        <v>Luego, las tres chicas se unen y comienzan a hablar con la cámara.</v>
      </c>
    </row>
    <row r="13013">
      <c r="A13013" s="4" t="s">
        <v>16374</v>
      </c>
      <c r="B13013" s="4" t="s">
        <v>16375</v>
      </c>
      <c r="C13013" s="5" t="str">
        <f>IFERROR(__xludf.DUMMYFUNCTION("GOOGLETRANSLATE(B13013,""en"",""es-ES"")"),"Las mujeres están haciendo algunos saltos gimnásicos en un pasillo.")</f>
        <v>Las mujeres están haciendo algunos saltos gimnásicos en un pasillo.</v>
      </c>
    </row>
    <row r="13014">
      <c r="A13014" s="4" t="s">
        <v>16374</v>
      </c>
      <c r="B13014" s="4" t="s">
        <v>16376</v>
      </c>
      <c r="C13014" s="5" t="str">
        <f>IFERROR(__xludf.DUMMYFUNCTION("GOOGLETRANSLATE(B13014,""en"",""es-ES"")"),"Hombres y mujeres están en grandes almacenes haciendo saltos de gimnasia.")</f>
        <v>Hombres y mujeres están en grandes almacenes haciendo saltos de gimnasia.</v>
      </c>
    </row>
    <row r="13015">
      <c r="A13015" s="4" t="s">
        <v>16374</v>
      </c>
      <c r="B13015" s="4" t="s">
        <v>16377</v>
      </c>
      <c r="C13015" s="5" t="str">
        <f>IFERROR(__xludf.DUMMYFUNCTION("GOOGLETRANSLATE(B13015,""en"",""es-ES"")"),"La mujer está haciendo una mano de pie ni un estacionamiento y en las tiendas.")</f>
        <v>La mujer está haciendo una mano de pie ni un estacionamiento y en las tiendas.</v>
      </c>
    </row>
    <row r="13016">
      <c r="A13016" s="4" t="s">
        <v>16374</v>
      </c>
      <c r="B13016" s="4" t="s">
        <v>16378</v>
      </c>
      <c r="C13016" s="5" t="str">
        <f>IFERROR(__xludf.DUMMYFUNCTION("GOOGLETRANSLATE(B13016,""en"",""es-ES"")"),"El hombre está lijando en una cerca en un centro comercial que mira el primer piso.")</f>
        <v>El hombre está lijando en una cerca en un centro comercial que mira el primer piso.</v>
      </c>
    </row>
    <row r="13017">
      <c r="A13017" s="4" t="s">
        <v>16379</v>
      </c>
      <c r="B13017" s="4" t="s">
        <v>16380</v>
      </c>
      <c r="C13017" s="5" t="str">
        <f>IFERROR(__xludf.DUMMYFUNCTION("GOOGLETRANSLATE(B13017,""en"",""es-ES"")"),"Una niña saluda a la cámara y comienza a hablar, seguido de varios ingredientes establecidos.")</f>
        <v>Una niña saluda a la cámara y comienza a hablar, seguido de varios ingredientes establecidos.</v>
      </c>
    </row>
    <row r="13018">
      <c r="A13018" s="4" t="s">
        <v>16379</v>
      </c>
      <c r="B13018" s="4" t="s">
        <v>16381</v>
      </c>
      <c r="C13018" s="5" t="str">
        <f>IFERROR(__xludf.DUMMYFUNCTION("GOOGLETRANSLATE(B13018,""en"",""es-ES"")"),"Luego, la niña pone los ingredientes en un plato y pone la envoltura de Saran sobre la comida.")</f>
        <v>Luego, la niña pone los ingredientes en un plato y pone la envoltura de Saran sobre la comida.</v>
      </c>
    </row>
    <row r="13019">
      <c r="A13019" s="4" t="s">
        <v>16379</v>
      </c>
      <c r="B13019" s="4" t="s">
        <v>16382</v>
      </c>
      <c r="C13019" s="5" t="str">
        <f>IFERROR(__xludf.DUMMYFUNCTION("GOOGLETRANSLATE(B13019,""en"",""es-ES"")"),"Mezcla la comida con otros ingredientes seguidos de pan en la parte superior y corta en pedazos.")</f>
        <v>Mezcla la comida con otros ingredientes seguidos de pan en la parte superior y corta en pedazos.</v>
      </c>
    </row>
    <row r="13020">
      <c r="A13020" s="4" t="s">
        <v>16379</v>
      </c>
      <c r="B13020" s="4" t="s">
        <v>16383</v>
      </c>
      <c r="C13020" s="5" t="str">
        <f>IFERROR(__xludf.DUMMYFUNCTION("GOOGLETRANSLATE(B13020,""en"",""es-ES"")"),"Ella da un bocado de la comida y finalmente conduce a fotos de su comida junto a una taza de té.")</f>
        <v>Ella da un bocado de la comida y finalmente conduce a fotos de su comida junto a una taza de té.</v>
      </c>
    </row>
    <row r="13021">
      <c r="A13021" s="4" t="s">
        <v>16384</v>
      </c>
      <c r="B13021" s="4" t="s">
        <v>16385</v>
      </c>
      <c r="C13021" s="5" t="str">
        <f>IFERROR(__xludf.DUMMYFUNCTION("GOOGLETRANSLATE(B13021,""en"",""es-ES"")"),"Se muestra una banda en un escenario.")</f>
        <v>Se muestra una banda en un escenario.</v>
      </c>
    </row>
    <row r="13022">
      <c r="A13022" s="4" t="s">
        <v>16384</v>
      </c>
      <c r="B13022" s="4" t="s">
        <v>16386</v>
      </c>
      <c r="C13022" s="5" t="str">
        <f>IFERROR(__xludf.DUMMYFUNCTION("GOOGLETRANSLATE(B13022,""en"",""es-ES"")"),"Un hombre está tocando la guitarra, y el hombre a su derecha está tocando la batería.")</f>
        <v>Un hombre está tocando la guitarra, y el hombre a su derecha está tocando la batería.</v>
      </c>
    </row>
    <row r="13023">
      <c r="A13023" s="4" t="s">
        <v>16384</v>
      </c>
      <c r="B13023" s="4" t="s">
        <v>16387</v>
      </c>
      <c r="C13023" s="5" t="str">
        <f>IFERROR(__xludf.DUMMYFUNCTION("GOOGLETRANSLATE(B13023,""en"",""es-ES"")"),"La persona frente a ellos está bailando y cantando.")</f>
        <v>La persona frente a ellos está bailando y cantando.</v>
      </c>
    </row>
    <row r="13024">
      <c r="A13024" s="4" t="s">
        <v>16388</v>
      </c>
      <c r="B13024" s="4" t="s">
        <v>16389</v>
      </c>
      <c r="C13024" s="5" t="str">
        <f>IFERROR(__xludf.DUMMYFUNCTION("GOOGLETRANSLATE(B13024,""en"",""es-ES"")"),"Allí dos viejos con sombreros de paja, vestidos con camisetas y pantalones cortos que se preparan para jugar ShuffleBoard.")</f>
        <v>Allí dos viejos con sombreros de paja, vestidos con camisetas y pantalones cortos que se preparan para jugar ShuffleBoard.</v>
      </c>
    </row>
    <row r="13025">
      <c r="A13025" s="4" t="s">
        <v>16388</v>
      </c>
      <c r="B13025" s="4" t="s">
        <v>16390</v>
      </c>
      <c r="C13025" s="5" t="str">
        <f>IFERROR(__xludf.DUMMYFUNCTION("GOOGLETRANSLATE(B13025,""en"",""es-ES"")"),"Hay otros dos hombres parados a pocos metros de distancia con sus palos de señal.")</f>
        <v>Hay otros dos hombres parados a pocos metros de distancia con sus palos de señal.</v>
      </c>
    </row>
    <row r="13026">
      <c r="A13026" s="4" t="s">
        <v>16388</v>
      </c>
      <c r="B13026" s="4" t="s">
        <v>16391</v>
      </c>
      <c r="C13026" s="5" t="str">
        <f>IFERROR(__xludf.DUMMYFUNCTION("GOOGLETRANSLATE(B13026,""en"",""es-ES"")"),"Se ve una mujer con cabello gris y una camisa amarilla tocando ShuffleBoard.")</f>
        <v>Se ve una mujer con cabello gris y una camisa amarilla tocando ShuffleBoard.</v>
      </c>
    </row>
    <row r="13027">
      <c r="A13027" s="4" t="s">
        <v>16388</v>
      </c>
      <c r="B13027" s="4" t="s">
        <v>16392</v>
      </c>
      <c r="C13027" s="5" t="str">
        <f>IFERROR(__xludf.DUMMYFUNCTION("GOOGLETRANSLATE(B13027,""en"",""es-ES"")"),"Hay dos discos en el suelo que son golpeados por otro disco.")</f>
        <v>Hay dos discos en el suelo que son golpeados por otro disco.</v>
      </c>
    </row>
    <row r="13028">
      <c r="A13028" s="4" t="s">
        <v>16388</v>
      </c>
      <c r="B13028" s="4" t="s">
        <v>16393</v>
      </c>
      <c r="C13028" s="5" t="str">
        <f>IFERROR(__xludf.DUMMYFUNCTION("GOOGLETRANSLATE(B13028,""en"",""es-ES"")"),"Varios espectadores están viendo un evento de shuffleboard donde varias personas compiten y juegan.")</f>
        <v>Varios espectadores están viendo un evento de shuffleboard donde varias personas compiten y juegan.</v>
      </c>
    </row>
    <row r="13029">
      <c r="A13029" s="4" t="s">
        <v>16388</v>
      </c>
      <c r="B13029" s="4" t="s">
        <v>16394</v>
      </c>
      <c r="C13029" s="5" t="str">
        <f>IFERROR(__xludf.DUMMYFUNCTION("GOOGLETRANSLATE(B13029,""en"",""es-ES"")"),"Uno de los jugadores ajusta sus discos antes de golpearlo con la señal.")</f>
        <v>Uno de los jugadores ajusta sus discos antes de golpearlo con la señal.</v>
      </c>
    </row>
    <row r="13030">
      <c r="A13030" s="4" t="s">
        <v>16395</v>
      </c>
      <c r="B13030" s="4" t="s">
        <v>16396</v>
      </c>
      <c r="C13030" s="5" t="str">
        <f>IFERROR(__xludf.DUMMYFUNCTION("GOOGLETRANSLATE(B13030,""en"",""es-ES"")"),"El texto blanco aparece sobre un fondo azul.")</f>
        <v>El texto blanco aparece sobre un fondo azul.</v>
      </c>
    </row>
    <row r="13031">
      <c r="A13031" s="4" t="s">
        <v>16395</v>
      </c>
      <c r="B13031" s="4" t="s">
        <v>16397</v>
      </c>
      <c r="C13031" s="5" t="str">
        <f>IFERROR(__xludf.DUMMYFUNCTION("GOOGLETRANSLATE(B13031,""en"",""es-ES"")"),"Una chica con atuendo de maquillaje y animador se muestra en un juego.")</f>
        <v>Una chica con atuendo de maquillaje y animador se muestra en un juego.</v>
      </c>
    </row>
    <row r="13032">
      <c r="A13032" s="4" t="s">
        <v>16395</v>
      </c>
      <c r="B13032" s="4" t="s">
        <v>16398</v>
      </c>
      <c r="C13032" s="5" t="str">
        <f>IFERROR(__xludf.DUMMYFUNCTION("GOOGLETRANSLATE(B13032,""en"",""es-ES"")"),"Luego vemos a una gimnasta haciendo voltear una colchoneta antes de hacer una mano en la espalda en varios estilos diferentes.")</f>
        <v>Luego vemos a una gimnasta haciendo voltear una colchoneta antes de hacer una mano en la espalda en varios estilos diferentes.</v>
      </c>
    </row>
    <row r="13033">
      <c r="A13033" s="4" t="s">
        <v>16399</v>
      </c>
      <c r="B13033" s="4" t="s">
        <v>16400</v>
      </c>
      <c r="C13033" s="5" t="str">
        <f>IFERROR(__xludf.DUMMYFUNCTION("GOOGLETRANSLATE(B13033,""en"",""es-ES"")"),"Una persona hace una linterna Jack O.")</f>
        <v>Una persona hace una linterna Jack O.</v>
      </c>
    </row>
    <row r="13034">
      <c r="A13034" s="4" t="s">
        <v>16399</v>
      </c>
      <c r="B13034" s="4" t="s">
        <v>16401</v>
      </c>
      <c r="C13034" s="5" t="str">
        <f>IFERROR(__xludf.DUMMYFUNCTION("GOOGLETRANSLATE(B13034,""en"",""es-ES"")"),"Primero cortaron la parte superior de una calabaza verde y sacan las semillas y otras cosas.")</f>
        <v>Primero cortaron la parte superior de una calabaza verde y sacan las semillas y otras cosas.</v>
      </c>
    </row>
    <row r="13035">
      <c r="A13035" s="4" t="s">
        <v>16399</v>
      </c>
      <c r="B13035" s="4" t="s">
        <v>16402</v>
      </c>
      <c r="C13035" s="5" t="str">
        <f>IFERROR(__xludf.DUMMYFUNCTION("GOOGLETRANSLATE(B13035,""en"",""es-ES"")"),"El interior restante se corta y se raspa con una cucharada de helado.")</f>
        <v>El interior restante se corta y se raspa con una cucharada de helado.</v>
      </c>
    </row>
    <row r="13036">
      <c r="A13036" s="4" t="s">
        <v>16399</v>
      </c>
      <c r="B13036" s="4" t="s">
        <v>16403</v>
      </c>
      <c r="C13036" s="5" t="str">
        <f>IFERROR(__xludf.DUMMYFUNCTION("GOOGLETRANSLATE(B13036,""en"",""es-ES"")"),"Se dibuja un diseño en la calabaza y luego se corta.")</f>
        <v>Se dibuja un diseño en la calabaza y luego se corta.</v>
      </c>
    </row>
    <row r="13037">
      <c r="A13037" s="4" t="s">
        <v>16399</v>
      </c>
      <c r="B13037" s="4" t="s">
        <v>16404</v>
      </c>
      <c r="C13037" s="5" t="str">
        <f>IFERROR(__xludf.DUMMYFUNCTION("GOOGLETRANSLATE(B13037,""en"",""es-ES"")"),"El interior de la calabaza se rocía con removedor de moho y se seca con trampa.")</f>
        <v>El interior de la calabaza se rocía con removedor de moho y se seca con trampa.</v>
      </c>
    </row>
    <row r="13038">
      <c r="A13038" s="4" t="s">
        <v>16399</v>
      </c>
      <c r="B13038" s="4" t="s">
        <v>16405</v>
      </c>
      <c r="C13038" s="5" t="str">
        <f>IFERROR(__xludf.DUMMYFUNCTION("GOOGLETRANSLATE(B13038,""en"",""es-ES"")"),"Se coloca una vela adentro y se enciende y se vuelve a colocar la tapa.")</f>
        <v>Se coloca una vela adentro y se enciende y se vuelve a colocar la tapa.</v>
      </c>
    </row>
    <row r="13039">
      <c r="A13039" s="4" t="s">
        <v>16399</v>
      </c>
      <c r="B13039" s="4" t="s">
        <v>16406</v>
      </c>
      <c r="C13039" s="5" t="str">
        <f>IFERROR(__xludf.DUMMYFUNCTION("GOOGLETRANSLATE(B13039,""en"",""es-ES"")"),"Con las luces giradas hacia abajo, se puede ver la linterna Jack O.")</f>
        <v>Con las luces giradas hacia abajo, se puede ver la linterna Jack O.</v>
      </c>
    </row>
    <row r="13040">
      <c r="A13040" s="4" t="s">
        <v>16407</v>
      </c>
      <c r="B13040" s="4" t="s">
        <v>16408</v>
      </c>
      <c r="C13040" s="5" t="str">
        <f>IFERROR(__xludf.DUMMYFUNCTION("GOOGLETRANSLATE(B13040,""en"",""es-ES"")"),"El video conduce a varias tomas de corredores olímpicos que completan saltos largos en pozos de arena.")</f>
        <v>El video conduce a varias tomas de corredores olímpicos que completan saltos largos en pozos de arena.</v>
      </c>
    </row>
    <row r="13041">
      <c r="A13041" s="4" t="s">
        <v>16407</v>
      </c>
      <c r="B13041" s="4" t="s">
        <v>16409</v>
      </c>
      <c r="C13041" s="5" t="str">
        <f>IFERROR(__xludf.DUMMYFUNCTION("GOOGLETRANSLATE(B13041,""en"",""es-ES"")"),"El video continúa mostrando a varios corredores diferentes completando sus saltos y luego animando a la multitud.")</f>
        <v>El video continúa mostrando a varios corredores diferentes completando sus saltos y luego animando a la multitud.</v>
      </c>
    </row>
    <row r="13042">
      <c r="A13042" s="4" t="s">
        <v>16410</v>
      </c>
      <c r="B13042" s="4" t="s">
        <v>16411</v>
      </c>
      <c r="C13042" s="5" t="str">
        <f>IFERROR(__xludf.DUMMYFUNCTION("GOOGLETRANSLATE(B13042,""en"",""es-ES"")"),"Dos personas se están relajando en sus patinetas.")</f>
        <v>Dos personas se están relajando en sus patinetas.</v>
      </c>
    </row>
    <row r="13043">
      <c r="A13043" s="4" t="s">
        <v>16410</v>
      </c>
      <c r="B13043" s="4" t="s">
        <v>16412</v>
      </c>
      <c r="C13043" s="5" t="str">
        <f>IFERROR(__xludf.DUMMYFUNCTION("GOOGLETRANSLATE(B13043,""en"",""es-ES"")"),"Arreglan algunas de las piezas y luego van a patinar.")</f>
        <v>Arreglan algunas de las piezas y luego van a patinar.</v>
      </c>
    </row>
    <row r="13044">
      <c r="A13044" s="4" t="s">
        <v>16413</v>
      </c>
      <c r="B13044" s="4" t="s">
        <v>16414</v>
      </c>
      <c r="C13044" s="5" t="str">
        <f>IFERROR(__xludf.DUMMYFUNCTION("GOOGLETRANSLATE(B13044,""en"",""es-ES"")"),"Se ve a una mujer sentada en una silla riéndose mientras un hombre apunta frente a ella.")</f>
        <v>Se ve a una mujer sentada en una silla riéndose mientras un hombre apunta frente a ella.</v>
      </c>
    </row>
    <row r="13045">
      <c r="A13045" s="4" t="s">
        <v>16413</v>
      </c>
      <c r="B13045" s="4" t="s">
        <v>16415</v>
      </c>
      <c r="C13045" s="5" t="str">
        <f>IFERROR(__xludf.DUMMYFUNCTION("GOOGLETRANSLATE(B13045,""en"",""es-ES"")"),"El hombre luego sostiene una pistola en la nariz y le perfora la nariz.")</f>
        <v>El hombre luego sostiene una pistola en la nariz y le perfora la nariz.</v>
      </c>
    </row>
    <row r="13046">
      <c r="A13046" s="4" t="s">
        <v>16413</v>
      </c>
      <c r="B13046" s="4" t="s">
        <v>16416</v>
      </c>
      <c r="C13046" s="5" t="str">
        <f>IFERROR(__xludf.DUMMYFUNCTION("GOOGLETRANSLATE(B13046,""en"",""es-ES"")"),"Una mujer juega con el cabello de las chicas mientras habla con la niña y muestra su nariz perforando.")</f>
        <v>Una mujer juega con el cabello de las chicas mientras habla con la niña y muestra su nariz perforando.</v>
      </c>
    </row>
    <row r="13047">
      <c r="A13047" s="4" t="s">
        <v>16417</v>
      </c>
      <c r="B13047" s="4" t="s">
        <v>16418</v>
      </c>
      <c r="C13047" s="5" t="str">
        <f>IFERROR(__xludf.DUMMYFUNCTION("GOOGLETRANSLATE(B13047,""en"",""es-ES"")"),"Un carpintero rocía un techo con pintura.")</f>
        <v>Un carpintero rocía un techo con pintura.</v>
      </c>
    </row>
    <row r="13048">
      <c r="A13048" s="4" t="s">
        <v>16417</v>
      </c>
      <c r="B13048" s="4" t="s">
        <v>16419</v>
      </c>
      <c r="C13048" s="5" t="str">
        <f>IFERROR(__xludf.DUMMYFUNCTION("GOOGLETRANSLATE(B13048,""en"",""es-ES"")"),"Un segundo carpintero suaviza la pintura en el techo.")</f>
        <v>Un segundo carpintero suaviza la pintura en el techo.</v>
      </c>
    </row>
    <row r="13049">
      <c r="A13049" s="4" t="s">
        <v>16417</v>
      </c>
      <c r="B13049" s="4" t="s">
        <v>16420</v>
      </c>
      <c r="C13049" s="5" t="str">
        <f>IFERROR(__xludf.DUMMYFUNCTION("GOOGLETRANSLATE(B13049,""en"",""es-ES"")"),"Los primeros aerosoles de carpintero pintan por todo el techo.")</f>
        <v>Los primeros aerosoles de carpintero pintan por todo el techo.</v>
      </c>
    </row>
    <row r="13050">
      <c r="A13050" s="4" t="s">
        <v>16417</v>
      </c>
      <c r="B13050" s="4" t="s">
        <v>16421</v>
      </c>
      <c r="C13050" s="5" t="str">
        <f>IFERROR(__xludf.DUMMYFUNCTION("GOOGLETRANSLATE(B13050,""en"",""es-ES"")"),"Un par de carpinteros suavizan la pintura en el techo.")</f>
        <v>Un par de carpinteros suavizan la pintura en el techo.</v>
      </c>
    </row>
    <row r="13051">
      <c r="A13051" s="4" t="s">
        <v>16417</v>
      </c>
      <c r="B13051" s="4" t="s">
        <v>16422</v>
      </c>
      <c r="C13051" s="5" t="str">
        <f>IFERROR(__xludf.DUMMYFUNCTION("GOOGLETRANSLATE(B13051,""en"",""es-ES"")"),"Se ve a uno de los carpinteros rociando el techo y se detiene por un segundo para mover una luz.")</f>
        <v>Se ve a uno de los carpinteros rociando el techo y se detiene por un segundo para mover una luz.</v>
      </c>
    </row>
    <row r="13052">
      <c r="A13052" s="4" t="s">
        <v>16417</v>
      </c>
      <c r="B13052" s="4" t="s">
        <v>16423</v>
      </c>
      <c r="C13052" s="5" t="str">
        <f>IFERROR(__xludf.DUMMYFUNCTION("GOOGLETRANSLATE(B13052,""en"",""es-ES"")"),"La pintura continúa, así como el suavizado de la pintura.")</f>
        <v>La pintura continúa, así como el suavizado de la pintura.</v>
      </c>
    </row>
    <row r="13053">
      <c r="A13053" s="4" t="s">
        <v>16424</v>
      </c>
      <c r="B13053" s="4" t="s">
        <v>16425</v>
      </c>
      <c r="C13053" s="5" t="str">
        <f>IFERROR(__xludf.DUMMYFUNCTION("GOOGLETRANSLATE(B13053,""en"",""es-ES"")"),"Se muestra a los niños jugando baloncesto en una cancha.")</f>
        <v>Se muestra a los niños jugando baloncesto en una cancha.</v>
      </c>
    </row>
    <row r="13054">
      <c r="A13054" s="4" t="s">
        <v>16424</v>
      </c>
      <c r="B13054" s="4" t="s">
        <v>16426</v>
      </c>
      <c r="C13054" s="5" t="str">
        <f>IFERROR(__xludf.DUMMYFUNCTION("GOOGLETRANSLATE(B13054,""en"",""es-ES"")"),"El entrenador está hablando con ellos y tratando de decirles cómo jugar.")</f>
        <v>El entrenador está hablando con ellos y tratando de decirles cómo jugar.</v>
      </c>
    </row>
    <row r="13055">
      <c r="A13055" s="4" t="s">
        <v>16424</v>
      </c>
      <c r="B13055" s="4" t="s">
        <v>16427</v>
      </c>
      <c r="C13055" s="5" t="str">
        <f>IFERROR(__xludf.DUMMYFUNCTION("GOOGLETRANSLATE(B13055,""en"",""es-ES"")"),"Los niños realizan layos.")</f>
        <v>Los niños realizan layos.</v>
      </c>
    </row>
    <row r="13056">
      <c r="A13056" s="4" t="s">
        <v>16428</v>
      </c>
      <c r="B13056" s="4" t="s">
        <v>1487</v>
      </c>
      <c r="C13056" s="5" t="str">
        <f>IFERROR(__xludf.DUMMYFUNCTION("GOOGLETRANSLATE(B13056,""en"",""es-ES"")"),"Vemos una pantalla de título de apertura.")</f>
        <v>Vemos una pantalla de título de apertura.</v>
      </c>
    </row>
    <row r="13057">
      <c r="A13057" s="4" t="s">
        <v>16428</v>
      </c>
      <c r="B13057" s="4" t="s">
        <v>16429</v>
      </c>
      <c r="C13057" s="5" t="str">
        <f>IFERROR(__xludf.DUMMYFUNCTION("GOOGLETRANSLATE(B13057,""en"",""es-ES"")"),"Vemos a una chica correr y realizar un salto de altura y llegar a la barra.")</f>
        <v>Vemos a una chica correr y realizar un salto de altura y llegar a la barra.</v>
      </c>
    </row>
    <row r="13058">
      <c r="A13058" s="4" t="s">
        <v>16428</v>
      </c>
      <c r="B13058" s="4" t="s">
        <v>16430</v>
      </c>
      <c r="C13058" s="5" t="str">
        <f>IFERROR(__xludf.DUMMYFUNCTION("GOOGLETRANSLATE(B13058,""en"",""es-ES"")"),"Luego vemos una repetición y la repetición de cámara lenta.")</f>
        <v>Luego vemos una repetición y la repetición de cámara lenta.</v>
      </c>
    </row>
    <row r="13059">
      <c r="A13059" s="4" t="s">
        <v>16428</v>
      </c>
      <c r="B13059" s="4" t="s">
        <v>777</v>
      </c>
      <c r="C13059" s="5" t="str">
        <f>IFERROR(__xludf.DUMMYFUNCTION("GOOGLETRANSLATE(B13059,""en"",""es-ES"")"),"Vemos la pantalla de título final.")</f>
        <v>Vemos la pantalla de título final.</v>
      </c>
    </row>
    <row r="13060">
      <c r="A13060" s="4" t="s">
        <v>16431</v>
      </c>
      <c r="B13060" s="4" t="s">
        <v>16432</v>
      </c>
      <c r="C13060" s="5" t="str">
        <f>IFERROR(__xludf.DUMMYFUNCTION("GOOGLETRANSLATE(B13060,""en"",""es-ES"")"),"Un hombre está goteando un baloncesto.")</f>
        <v>Un hombre está goteando un baloncesto.</v>
      </c>
    </row>
    <row r="13061">
      <c r="A13061" s="4" t="s">
        <v>16431</v>
      </c>
      <c r="B13061" s="4" t="s">
        <v>16433</v>
      </c>
      <c r="C13061" s="5" t="str">
        <f>IFERROR(__xludf.DUMMYFUNCTION("GOOGLETRANSLATE(B13061,""en"",""es-ES"")"),"Salta y dispara el baloncesto hacia el aro.")</f>
        <v>Salta y dispara el baloncesto hacia el aro.</v>
      </c>
    </row>
    <row r="13062">
      <c r="A13062" s="4" t="s">
        <v>16431</v>
      </c>
      <c r="B13062" s="4" t="s">
        <v>16434</v>
      </c>
      <c r="C13062" s="5" t="str">
        <f>IFERROR(__xludf.DUMMYFUNCTION("GOOGLETRANSLATE(B13062,""en"",""es-ES"")"),"Las palabras se muestran en la pantalla al final.")</f>
        <v>Las palabras se muestran en la pantalla al final.</v>
      </c>
    </row>
    <row r="13063">
      <c r="A13063" s="4" t="s">
        <v>16435</v>
      </c>
      <c r="B13063" s="4" t="s">
        <v>16436</v>
      </c>
      <c r="C13063" s="5" t="str">
        <f>IFERROR(__xludf.DUMMYFUNCTION("GOOGLETRANSLATE(B13063,""en"",""es-ES"")"),"Una mujer está arrodillada sobre una alfombra azul.")</f>
        <v>Una mujer está arrodillada sobre una alfombra azul.</v>
      </c>
    </row>
    <row r="13064">
      <c r="A13064" s="4" t="s">
        <v>16435</v>
      </c>
      <c r="B13064" s="4" t="s">
        <v>16437</v>
      </c>
      <c r="C13064" s="5" t="str">
        <f>IFERROR(__xludf.DUMMYFUNCTION("GOOGLETRANSLATE(B13064,""en"",""es-ES"")"),"Un hombre está detrás de ella hablando.")</f>
        <v>Un hombre está detrás de ella hablando.</v>
      </c>
    </row>
    <row r="13065">
      <c r="A13065" s="4" t="s">
        <v>16435</v>
      </c>
      <c r="B13065" s="4" t="s">
        <v>16438</v>
      </c>
      <c r="C13065" s="5" t="str">
        <f>IFERROR(__xludf.DUMMYFUNCTION("GOOGLETRANSLATE(B13065,""en"",""es-ES"")"),"La mujer comienza a mover las piernas y los brazos.")</f>
        <v>La mujer comienza a mover las piernas y los brazos.</v>
      </c>
    </row>
    <row r="13066">
      <c r="A13066" s="4" t="s">
        <v>16439</v>
      </c>
      <c r="B13066" s="4" t="s">
        <v>16440</v>
      </c>
      <c r="C13066" s="5" t="str">
        <f>IFERROR(__xludf.DUMMYFUNCTION("GOOGLETRANSLATE(B13066,""en"",""es-ES"")"),"Dos hombres están parados afuera con una multitud de personas levantando pesas y haciendo ejercicio.")</f>
        <v>Dos hombres están parados afuera con una multitud de personas levantando pesas y haciendo ejercicio.</v>
      </c>
    </row>
    <row r="13067">
      <c r="A13067" s="4" t="s">
        <v>16439</v>
      </c>
      <c r="B13067" s="4" t="s">
        <v>16441</v>
      </c>
      <c r="C13067" s="5" t="str">
        <f>IFERROR(__xludf.DUMMYFUNCTION("GOOGLETRANSLATE(B13067,""en"",""es-ES"")"),"Muchas personas comienzan a filmar a los chicos en su teléfono, el levantamiento de pesas continúa y varias personas regresan para hacer entrevistas.")</f>
        <v>Muchas personas comienzan a filmar a los chicos en su teléfono, el levantamiento de pesas continúa y varias personas regresan para hacer entrevistas.</v>
      </c>
    </row>
    <row r="13068">
      <c r="A13068" s="4" t="s">
        <v>16439</v>
      </c>
      <c r="B13068" s="4" t="s">
        <v>16442</v>
      </c>
      <c r="C13068" s="5" t="str">
        <f>IFERROR(__xludf.DUMMYFUNCTION("GOOGLETRANSLATE(B13068,""en"",""es-ES"")"),"Se muestran más personas y luego viene un logotipo patrocinado por Reebok.")</f>
        <v>Se muestran más personas y luego viene un logotipo patrocinado por Reebok.</v>
      </c>
    </row>
    <row r="13069">
      <c r="A13069" s="4" t="s">
        <v>16443</v>
      </c>
      <c r="B13069" s="4" t="s">
        <v>16444</v>
      </c>
      <c r="C13069" s="5" t="str">
        <f>IFERROR(__xludf.DUMMYFUNCTION("GOOGLETRANSLATE(B13069,""en"",""es-ES"")"),"La gente corre jugando paintball.")</f>
        <v>La gente corre jugando paintball.</v>
      </c>
    </row>
    <row r="13070">
      <c r="A13070" s="4" t="s">
        <v>16443</v>
      </c>
      <c r="B13070" s="4" t="s">
        <v>16445</v>
      </c>
      <c r="C13070" s="5" t="str">
        <f>IFERROR(__xludf.DUMMYFUNCTION("GOOGLETRANSLATE(B13070,""en"",""es-ES"")"),"Un hombre cae en un gran charco de barro.")</f>
        <v>Un hombre cae en un gran charco de barro.</v>
      </c>
    </row>
    <row r="13071">
      <c r="A13071" s="4" t="s">
        <v>16443</v>
      </c>
      <c r="B13071" s="4" t="s">
        <v>16446</v>
      </c>
      <c r="C13071" s="5" t="str">
        <f>IFERROR(__xludf.DUMMYFUNCTION("GOOGLETRANSLATE(B13071,""en"",""es-ES"")"),"Un hombre se cae y otro hombre corre para verlo.")</f>
        <v>Un hombre se cae y otro hombre corre para verlo.</v>
      </c>
    </row>
    <row r="13072">
      <c r="A13072" s="4" t="s">
        <v>16447</v>
      </c>
      <c r="B13072" s="4" t="s">
        <v>16448</v>
      </c>
      <c r="C13072" s="5" t="str">
        <f>IFERROR(__xludf.DUMMYFUNCTION("GOOGLETRANSLATE(B13072,""en"",""es-ES"")"),"Se ve a una mujer hablando con la cámara y la lleva a presentar un pago de pantalones cortos.")</f>
        <v>Se ve a una mujer hablando con la cámara y la lleva a presentar un pago de pantalones cortos.</v>
      </c>
    </row>
    <row r="13073">
      <c r="A13073" s="4" t="s">
        <v>16447</v>
      </c>
      <c r="B13073" s="4" t="s">
        <v>16449</v>
      </c>
      <c r="C13073" s="5" t="str">
        <f>IFERROR(__xludf.DUMMYFUNCTION("GOOGLETRANSLATE(B13073,""en"",""es-ES"")"),"Luego demuestra cómo planchar adecuadamente las prendas de vestir.")</f>
        <v>Luego demuestra cómo planchar adecuadamente las prendas de vestir.</v>
      </c>
    </row>
    <row r="13074">
      <c r="A13074" s="4" t="s">
        <v>16450</v>
      </c>
      <c r="B13074" s="4" t="s">
        <v>16451</v>
      </c>
      <c r="C13074" s="5" t="str">
        <f>IFERROR(__xludf.DUMMYFUNCTION("GOOGLETRANSLATE(B13074,""en"",""es-ES"")"),"Una persona está jugando gaita en un parque.")</f>
        <v>Una persona está jugando gaita en un parque.</v>
      </c>
    </row>
    <row r="13075">
      <c r="A13075" s="4" t="s">
        <v>16450</v>
      </c>
      <c r="B13075" s="4" t="s">
        <v>16452</v>
      </c>
      <c r="C13075" s="5" t="str">
        <f>IFERROR(__xludf.DUMMYFUNCTION("GOOGLETRANSLATE(B13075,""en"",""es-ES"")"),"Un hombre y dos niños mirando desde lejos.")</f>
        <v>Un hombre y dos niños mirando desde lejos.</v>
      </c>
    </row>
    <row r="13076">
      <c r="A13076" s="4" t="s">
        <v>16450</v>
      </c>
      <c r="B13076" s="4" t="s">
        <v>16453</v>
      </c>
      <c r="C13076" s="5" t="str">
        <f>IFERROR(__xludf.DUMMYFUNCTION("GOOGLETRANSLATE(B13076,""en"",""es-ES"")"),"La cámara dispara áreas por todo el parque mientras juegan las gaitas.")</f>
        <v>La cámara dispara áreas por todo el parque mientras juegan las gaitas.</v>
      </c>
    </row>
    <row r="13077">
      <c r="A13077" s="4" t="s">
        <v>16454</v>
      </c>
      <c r="B13077" s="4" t="s">
        <v>16455</v>
      </c>
      <c r="C13077" s="5" t="str">
        <f>IFERROR(__xludf.DUMMYFUNCTION("GOOGLETRANSLATE(B13077,""en"",""es-ES"")"),"Se ve a un atleta corriendo por una gran pista y arrojando una jabalina al aire.")</f>
        <v>Se ve a un atleta corriendo por una gran pista y arrojando una jabalina al aire.</v>
      </c>
    </row>
    <row r="13078">
      <c r="A13078" s="4" t="s">
        <v>16454</v>
      </c>
      <c r="B13078" s="4" t="s">
        <v>16456</v>
      </c>
      <c r="C13078" s="5" t="str">
        <f>IFERROR(__xludf.DUMMYFUNCTION("GOOGLETRANSLATE(B13078,""en"",""es-ES"")"),"Su lanzamiento se muestra nuevamente en cámara lenta, seguido de varios atletas más que toman su turno.")</f>
        <v>Su lanzamiento se muestra nuevamente en cámara lenta, seguido de varios atletas más que toman su turno.</v>
      </c>
    </row>
    <row r="13079">
      <c r="A13079" s="4" t="s">
        <v>16457</v>
      </c>
      <c r="B13079" s="4" t="s">
        <v>16458</v>
      </c>
      <c r="C13079" s="5" t="str">
        <f>IFERROR(__xludf.DUMMYFUNCTION("GOOGLETRANSLATE(B13079,""en"",""es-ES"")"),"Vemos una inauguración de pantallas de título.")</f>
        <v>Vemos una inauguración de pantallas de título.</v>
      </c>
    </row>
    <row r="13080">
      <c r="A13080" s="4" t="s">
        <v>16457</v>
      </c>
      <c r="B13080" s="4" t="s">
        <v>16459</v>
      </c>
      <c r="C13080" s="5" t="str">
        <f>IFERROR(__xludf.DUMMYFUNCTION("GOOGLETRANSLATE(B13080,""en"",""es-ES"")"),"La gente está trabajando en cámaras en un taller.")</f>
        <v>La gente está trabajando en cámaras en un taller.</v>
      </c>
    </row>
    <row r="13081">
      <c r="A13081" s="4" t="s">
        <v>16457</v>
      </c>
      <c r="B13081" s="4" t="s">
        <v>16460</v>
      </c>
      <c r="C13081" s="5" t="str">
        <f>IFERROR(__xludf.DUMMYFUNCTION("GOOGLETRANSLATE(B13081,""en"",""es-ES"")"),"Los vemos montarlo en un tubo.")</f>
        <v>Los vemos montarlo en un tubo.</v>
      </c>
    </row>
    <row r="13082">
      <c r="A13082" s="4" t="s">
        <v>16457</v>
      </c>
      <c r="B13082" s="4" t="s">
        <v>16461</v>
      </c>
      <c r="C13082" s="5" t="str">
        <f>IFERROR(__xludf.DUMMYFUNCTION("GOOGLETRANSLATE(B13082,""en"",""es-ES"")"),"La señora luego baila el hula hoop con el tubo.")</f>
        <v>La señora luego baila el hula hoop con el tubo.</v>
      </c>
    </row>
    <row r="13083">
      <c r="A13083" s="4" t="s">
        <v>16457</v>
      </c>
      <c r="B13083" s="4" t="s">
        <v>16462</v>
      </c>
      <c r="C13083" s="5" t="str">
        <f>IFERROR(__xludf.DUMMYFUNCTION("GOOGLETRANSLATE(B13083,""en"",""es-ES"")"),"Vemos a un hombre rubio haciendo ajustes al tubo.")</f>
        <v>Vemos a un hombre rubio haciendo ajustes al tubo.</v>
      </c>
    </row>
    <row r="13084">
      <c r="A13084" s="4" t="s">
        <v>16457</v>
      </c>
      <c r="B13084" s="4" t="s">
        <v>16463</v>
      </c>
      <c r="C13084" s="5" t="str">
        <f>IFERROR(__xludf.DUMMYFUNCTION("GOOGLETRANSLATE(B13084,""en"",""es-ES"")"),"Vemos la pantalla final de cierre.")</f>
        <v>Vemos la pantalla final de cierre.</v>
      </c>
    </row>
    <row r="13085">
      <c r="A13085" s="4" t="s">
        <v>16464</v>
      </c>
      <c r="B13085" s="4" t="s">
        <v>16465</v>
      </c>
      <c r="C13085" s="5" t="str">
        <f>IFERROR(__xludf.DUMMYFUNCTION("GOOGLETRANSLATE(B13085,""en"",""es-ES"")"),"Una cámara se mueve alrededor de un grupo de personas sentadas en una mesa seguida de un hombre que sostiene una tabla de surf.")</f>
        <v>Una cámara se mueve alrededor de un grupo de personas sentadas en una mesa seguida de un hombre que sostiene una tabla de surf.</v>
      </c>
    </row>
    <row r="13086">
      <c r="A13086" s="4" t="s">
        <v>16464</v>
      </c>
      <c r="B13086" s="4" t="s">
        <v>16466</v>
      </c>
      <c r="C13086" s="5" t="str">
        <f>IFERROR(__xludf.DUMMYFUNCTION("GOOGLETRANSLATE(B13086,""en"",""es-ES"")"),"El hombre lleva el tablero al agua y comienza a montar el agua.")</f>
        <v>El hombre lleva el tablero al agua y comienza a montar el agua.</v>
      </c>
    </row>
    <row r="13087">
      <c r="A13087" s="4" t="s">
        <v>16464</v>
      </c>
      <c r="B13087" s="4" t="s">
        <v>16467</v>
      </c>
      <c r="C13087" s="5" t="str">
        <f>IFERROR(__xludf.DUMMYFUNCTION("GOOGLETRANSLATE(B13087,""en"",""es-ES"")"),"La persona continúa viajando siguiendo a otra persona en el agua.")</f>
        <v>La persona continúa viajando siguiendo a otra persona en el agua.</v>
      </c>
    </row>
    <row r="13088">
      <c r="A13088" s="4" t="s">
        <v>16468</v>
      </c>
      <c r="B13088" s="4" t="s">
        <v>16469</v>
      </c>
      <c r="C13088" s="5" t="str">
        <f>IFERROR(__xludf.DUMMYFUNCTION("GOOGLETRANSLATE(B13088,""en"",""es-ES"")"),"Se muestran varias tomas de un parque temático que incluyen paseos en movimiento, personas que juegan y otras personas que interactúan entre sí.")</f>
        <v>Se muestran varias tomas de un parque temático que incluyen paseos en movimiento, personas que juegan y otras personas que interactúan entre sí.</v>
      </c>
    </row>
    <row r="13089">
      <c r="A13089" s="4" t="s">
        <v>16468</v>
      </c>
      <c r="B13089" s="4" t="s">
        <v>16470</v>
      </c>
      <c r="C13089" s="5" t="str">
        <f>IFERROR(__xludf.DUMMYFUNCTION("GOOGLETRANSLATE(B13089,""en"",""es-ES"")"),"Luego se muestran a dos hombres conduciendo alrededor de un área en autos de parachoques mientras se ríen ante la cámara y otros que hablan con la cámara.")</f>
        <v>Luego se muestran a dos hombres conduciendo alrededor de un área en autos de parachoques mientras se ríen ante la cámara y otros que hablan con la cámara.</v>
      </c>
    </row>
    <row r="13090">
      <c r="A13090" s="4" t="s">
        <v>16468</v>
      </c>
      <c r="B13090" s="4" t="s">
        <v>16471</v>
      </c>
      <c r="C13090" s="5" t="str">
        <f>IFERROR(__xludf.DUMMYFUNCTION("GOOGLETRANSLATE(B13090,""en"",""es-ES"")"),"Los hombres continúan montando y termina con una mujer tirando de una cubierta para el juego.")</f>
        <v>Los hombres continúan montando y termina con una mujer tirando de una cubierta para el juego.</v>
      </c>
    </row>
    <row r="13091">
      <c r="A13091" s="4" t="s">
        <v>16472</v>
      </c>
      <c r="B13091" s="4" t="s">
        <v>16473</v>
      </c>
      <c r="C13091" s="5" t="str">
        <f>IFERROR(__xludf.DUMMYFUNCTION("GOOGLETRANSLATE(B13091,""en"",""es-ES"")"),"Un hombre camina por una cuerda floja, como se ve desde la vista de la parte inferior de la cuerda.")</f>
        <v>Un hombre camina por una cuerda floja, como se ve desde la vista de la parte inferior de la cuerda.</v>
      </c>
    </row>
    <row r="13092">
      <c r="A13092" s="4" t="s">
        <v>16472</v>
      </c>
      <c r="B13092" s="4" t="s">
        <v>16474</v>
      </c>
      <c r="C13092" s="5" t="str">
        <f>IFERROR(__xludf.DUMMYFUNCTION("GOOGLETRANSLATE(B13092,""en"",""es-ES"")"),"Se ve una sartén del río y un ferry en Hong Kong.")</f>
        <v>Se ve una sartén del río y un ferry en Hong Kong.</v>
      </c>
    </row>
    <row r="13093">
      <c r="A13093" s="4" t="s">
        <v>16472</v>
      </c>
      <c r="B13093" s="4" t="s">
        <v>16475</v>
      </c>
      <c r="C13093" s="5" t="str">
        <f>IFERROR(__xludf.DUMMYFUNCTION("GOOGLETRANSLATE(B13093,""en"",""es-ES"")"),"Un hombre realiza un espectáculo mientras se equilibra en varias posiciones diferentes en una cuerda floja para una pequeña multitud.")</f>
        <v>Un hombre realiza un espectáculo mientras se equilibra en varias posiciones diferentes en una cuerda floja para una pequeña multitud.</v>
      </c>
    </row>
    <row r="13094">
      <c r="A13094" s="4" t="s">
        <v>16472</v>
      </c>
      <c r="B13094" s="4" t="s">
        <v>16476</v>
      </c>
      <c r="C13094" s="5" t="str">
        <f>IFERROR(__xludf.DUMMYFUNCTION("GOOGLETRANSLATE(B13094,""en"",""es-ES"")"),"Otro hombre se une a él, y equilibran, caminan y hacen flexiones.")</f>
        <v>Otro hombre se une a él, y equilibran, caminan y hacen flexiones.</v>
      </c>
    </row>
    <row r="13095">
      <c r="A13095" s="4" t="s">
        <v>16477</v>
      </c>
      <c r="B13095" s="4" t="s">
        <v>16478</v>
      </c>
      <c r="C13095" s="5" t="str">
        <f>IFERROR(__xludf.DUMMYFUNCTION("GOOGLETRANSLATE(B13095,""en"",""es-ES"")"),"Una persona camina lentamente sobre el hielo, tratando de romperlo.")</f>
        <v>Una persona camina lentamente sobre el hielo, tratando de romperlo.</v>
      </c>
    </row>
    <row r="13096">
      <c r="A13096" s="4" t="s">
        <v>16477</v>
      </c>
      <c r="B13096" s="4" t="s">
        <v>16479</v>
      </c>
      <c r="C13096" s="5" t="str">
        <f>IFERROR(__xludf.DUMMYFUNCTION("GOOGLETRANSLATE(B13096,""en"",""es-ES"")"),"La persona hizo muchos agujeros de tamaño medio en el hielo y tiene una línea de pesca colgando profundamente en el agua debajo.")</f>
        <v>La persona hizo muchos agujeros de tamaño medio en el hielo y tiene una línea de pesca colgando profundamente en el agua debajo.</v>
      </c>
    </row>
    <row r="13097">
      <c r="A13097" s="4" t="s">
        <v>16477</v>
      </c>
      <c r="B13097" s="4" t="s">
        <v>16480</v>
      </c>
      <c r="C13097" s="5" t="str">
        <f>IFERROR(__xludf.DUMMYFUNCTION("GOOGLETRANSLATE(B13097,""en"",""es-ES"")"),"La persona que camina hacia uno de los agujeros y verifica la línea de pesca para ver si atrapó a los peces.")</f>
        <v>La persona que camina hacia uno de los agujeros y verifica la línea de pesca para ver si atrapó a los peces.</v>
      </c>
    </row>
    <row r="13098">
      <c r="A13098" s="4" t="s">
        <v>16477</v>
      </c>
      <c r="B13098" s="4" t="s">
        <v>16481</v>
      </c>
      <c r="C13098" s="5" t="str">
        <f>IFERROR(__xludf.DUMMYFUNCTION("GOOGLETRANSLATE(B13098,""en"",""es-ES"")"),"El tipo luego tira con fuerza sobre la línea de pesca y la arrastra.")</f>
        <v>El tipo luego tira con fuerza sobre la línea de pesca y la arrastra.</v>
      </c>
    </row>
    <row r="13099">
      <c r="A13099" s="4" t="s">
        <v>16477</v>
      </c>
      <c r="B13099" s="4" t="s">
        <v>16482</v>
      </c>
      <c r="C13099" s="5" t="str">
        <f>IFERROR(__xludf.DUMMYFUNCTION("GOOGLETRANSLATE(B13099,""en"",""es-ES"")"),"Finalmente usa un largo gancho de metal para enganchar el pez que atrapó y lo saca del agujero.")</f>
        <v>Finalmente usa un largo gancho de metal para enganchar el pez que atrapó y lo saca del agujero.</v>
      </c>
    </row>
    <row r="13100">
      <c r="A13100" s="4" t="s">
        <v>16477</v>
      </c>
      <c r="B13100" s="4" t="s">
        <v>16483</v>
      </c>
      <c r="C13100" s="5" t="str">
        <f>IFERROR(__xludf.DUMMYFUNCTION("GOOGLETRANSLATE(B13100,""en"",""es-ES"")"),"Luego se desabrocha el anzuelo largo y usa sus herramientas para desabrochar el pequeño gancho de pesca de la boca de pez, dejando el pescado ensangrentado.")</f>
        <v>Luego se desabrocha el anzuelo largo y usa sus herramientas para desabrochar el pequeño gancho de pesca de la boca de pez, dejando el pescado ensangrentado.</v>
      </c>
    </row>
    <row r="13101">
      <c r="A13101" s="4" t="s">
        <v>16484</v>
      </c>
      <c r="B13101" s="4" t="s">
        <v>16485</v>
      </c>
      <c r="C13101" s="5" t="str">
        <f>IFERROR(__xludf.DUMMYFUNCTION("GOOGLETRANSLATE(B13101,""en"",""es-ES"")"),"El equipo de Water Polo está de pie junto a la piscina hablando con la cámara.")</f>
        <v>El equipo de Water Polo está de pie junto a la piscina hablando con la cámara.</v>
      </c>
    </row>
    <row r="13102">
      <c r="A13102" s="4" t="s">
        <v>16484</v>
      </c>
      <c r="B13102" s="4" t="s">
        <v>16486</v>
      </c>
      <c r="C13102" s="5" t="str">
        <f>IFERROR(__xludf.DUMMYFUNCTION("GOOGLETRANSLATE(B13102,""en"",""es-ES"")"),"El hombre salta al agua y sostiene una pelota y se sarta jugando en la piscina.")</f>
        <v>El hombre salta al agua y sostiene una pelota y se sarta jugando en la piscina.</v>
      </c>
    </row>
    <row r="13103">
      <c r="A13103" s="4" t="s">
        <v>16487</v>
      </c>
      <c r="B13103" s="4" t="s">
        <v>16488</v>
      </c>
      <c r="C13103" s="5" t="str">
        <f>IFERROR(__xludf.DUMMYFUNCTION("GOOGLETRANSLATE(B13103,""en"",""es-ES"")"),"Un hombre se dobla y recoge dos campanas de tettle.")</f>
        <v>Un hombre se dobla y recoge dos campanas de tettle.</v>
      </c>
    </row>
    <row r="13104">
      <c r="A13104" s="4" t="s">
        <v>16487</v>
      </c>
      <c r="B13104" s="4" t="s">
        <v>16489</v>
      </c>
      <c r="C13104" s="5" t="str">
        <f>IFERROR(__xludf.DUMMYFUNCTION("GOOGLETRANSLATE(B13104,""en"",""es-ES"")"),"Él levanta y baja las campanas de tettle.")</f>
        <v>Él levanta y baja las campanas de tettle.</v>
      </c>
    </row>
    <row r="13105">
      <c r="A13105" s="4" t="s">
        <v>16487</v>
      </c>
      <c r="B13105" s="4" t="s">
        <v>16490</v>
      </c>
      <c r="C13105" s="5" t="str">
        <f>IFERROR(__xludf.DUMMYFUNCTION("GOOGLETRANSLATE(B13105,""en"",""es-ES"")"),"Los pone en la hierba frente a él.")</f>
        <v>Los pone en la hierba frente a él.</v>
      </c>
    </row>
    <row r="13106">
      <c r="A13106" s="4" t="s">
        <v>16491</v>
      </c>
      <c r="B13106" s="4" t="s">
        <v>16492</v>
      </c>
      <c r="C13106" s="5" t="str">
        <f>IFERROR(__xludf.DUMMYFUNCTION("GOOGLETRANSLATE(B13106,""en"",""es-ES"")"),"Un hombre está detrás de un bar con varias bebidas mixtas.")</f>
        <v>Un hombre está detrás de un bar con varias bebidas mixtas.</v>
      </c>
    </row>
    <row r="13107">
      <c r="A13107" s="4" t="s">
        <v>16491</v>
      </c>
      <c r="B13107" s="4" t="s">
        <v>16493</v>
      </c>
      <c r="C13107" s="5" t="str">
        <f>IFERROR(__xludf.DUMMYFUNCTION("GOOGLETRANSLATE(B13107,""en"",""es-ES"")"),"Vierte hielo en un vaso y lo cubre con diferentes licores.")</f>
        <v>Vierte hielo en un vaso y lo cubre con diferentes licores.</v>
      </c>
    </row>
    <row r="13108">
      <c r="A13108" s="4" t="s">
        <v>16491</v>
      </c>
      <c r="B13108" s="4" t="s">
        <v>16494</v>
      </c>
      <c r="C13108" s="5" t="str">
        <f>IFERROR(__xludf.DUMMYFUNCTION("GOOGLETRANSLATE(B13108,""en"",""es-ES"")"),"Luego agrega una pequeña pajita.")</f>
        <v>Luego agrega una pequeña pajita.</v>
      </c>
    </row>
    <row r="13109">
      <c r="A13109" s="4" t="s">
        <v>16495</v>
      </c>
      <c r="B13109" s="4" t="s">
        <v>16496</v>
      </c>
      <c r="C13109" s="5" t="str">
        <f>IFERROR(__xludf.DUMMYFUNCTION("GOOGLETRANSLATE(B13109,""en"",""es-ES"")"),"Una introducción conduce a clips de personas que montan tablas de surf en el agua, así como en motos de agua.")</f>
        <v>Una introducción conduce a clips de personas que montan tablas de surf en el agua, así como en motos de agua.</v>
      </c>
    </row>
    <row r="13110">
      <c r="A13110" s="4" t="s">
        <v>16495</v>
      </c>
      <c r="B13110" s="4" t="s">
        <v>16497</v>
      </c>
      <c r="C13110" s="5" t="str">
        <f>IFERROR(__xludf.DUMMYFUNCTION("GOOGLETRANSLATE(B13110,""en"",""es-ES"")"),"La cámara se desplaza alrededor del área y continúa mostrando más clips de personas surfeando.")</f>
        <v>La cámara se desplaza alrededor del área y continúa mostrando más clips de personas surfeando.</v>
      </c>
    </row>
    <row r="13111">
      <c r="A13111" s="4" t="s">
        <v>16495</v>
      </c>
      <c r="B13111" s="4" t="s">
        <v>16498</v>
      </c>
      <c r="C13111" s="5" t="str">
        <f>IFERROR(__xludf.DUMMYFUNCTION("GOOGLETRANSLATE(B13111,""en"",""es-ES"")"),"Un primer plano de una tabla de surf es seguido por muchas más personas surfeando en el agua.")</f>
        <v>Un primer plano de una tabla de surf es seguido por muchas más personas surfeando en el agua.</v>
      </c>
    </row>
    <row r="13112">
      <c r="A13112" s="4" t="s">
        <v>16499</v>
      </c>
      <c r="B13112" s="4" t="s">
        <v>16500</v>
      </c>
      <c r="C13112" s="5" t="str">
        <f>IFERROR(__xludf.DUMMYFUNCTION("GOOGLETRANSLATE(B13112,""en"",""es-ES"")"),"Aparece una pantalla con radios de bicicleta como el fondo y las palabras rojas que decían ""revisión y ajuste de cubos de copa y cono"" y un sitio web en gris justo debajo de las palabras rojas.")</f>
        <v>Aparece una pantalla con radios de bicicleta como el fondo y las palabras rojas que decían "revisión y ajuste de cubos de copa y cono" y un sitio web en gris justo debajo de las palabras rojas.</v>
      </c>
    </row>
    <row r="13113">
      <c r="A13113" s="4" t="s">
        <v>16499</v>
      </c>
      <c r="B13113" s="4" t="s">
        <v>16501</v>
      </c>
      <c r="C13113" s="5" t="str">
        <f>IFERROR(__xludf.DUMMYFUNCTION("GOOGLETRANSLATE(B13113,""en"",""es-ES"")"),"Luego entra un hombre y, por detrás, usa herramientas en el centro para desarmarlo, limpiarlo bien, engrasarlo, luego lo vuelve a juntar y se asegura de que todo esté bien asegurado.")</f>
        <v>Luego entra un hombre y, por detrás, usa herramientas en el centro para desarmarlo, limpiarlo bien, engrasarlo, luego lo vuelve a juntar y se asegura de que todo esté bien asegurado.</v>
      </c>
    </row>
    <row r="13114">
      <c r="A13114" s="4" t="s">
        <v>16499</v>
      </c>
      <c r="B13114" s="4" t="s">
        <v>16502</v>
      </c>
      <c r="C13114" s="5" t="str">
        <f>IFERROR(__xludf.DUMMYFUNCTION("GOOGLETRANSLATE(B13114,""en"",""es-ES"")"),"El outro es una rueca con palabras de desplazamiento rápido que van de la parte inferior a la parte superior y luego se desvanece rápidamente a una pantalla negra.")</f>
        <v>El outro es una rueca con palabras de desplazamiento rápido que van de la parte inferior a la parte superior y luego se desvanece rápidamente a una pantalla negra.</v>
      </c>
    </row>
    <row r="13115">
      <c r="A13115" s="4" t="s">
        <v>16503</v>
      </c>
      <c r="B13115" s="4" t="s">
        <v>16504</v>
      </c>
      <c r="C13115" s="5" t="str">
        <f>IFERROR(__xludf.DUMMYFUNCTION("GOOGLETRANSLATE(B13115,""en"",""es-ES"")"),"Para los equipos juegan lanzando en un campo mientras sostienen el palo.")</f>
        <v>Para los equipos juegan lanzando en un campo mientras sostienen el palo.</v>
      </c>
    </row>
    <row r="13116">
      <c r="A13116" s="4" t="s">
        <v>16503</v>
      </c>
      <c r="B13116" s="4" t="s">
        <v>16505</v>
      </c>
      <c r="C13116" s="5" t="str">
        <f>IFERROR(__xludf.DUMMYFUNCTION("GOOGLETRANSLATE(B13116,""en"",""es-ES"")"),"Una mujer de pie y una dama camina al frente de un banco.")</f>
        <v>Una mujer de pie y una dama camina al frente de un banco.</v>
      </c>
    </row>
    <row r="13117">
      <c r="A13117" s="4" t="s">
        <v>16503</v>
      </c>
      <c r="B13117" s="4" t="s">
        <v>16506</v>
      </c>
      <c r="C13117" s="5" t="str">
        <f>IFERROR(__xludf.DUMMYFUNCTION("GOOGLETRANSLATE(B13117,""en"",""es-ES"")"),"El árbitro extiende su brazo izquierdo.")</f>
        <v>El árbitro extiende su brazo izquierdo.</v>
      </c>
    </row>
    <row r="13118">
      <c r="A13118" s="4" t="s">
        <v>16507</v>
      </c>
      <c r="B13118" s="4" t="s">
        <v>16508</v>
      </c>
      <c r="C13118" s="5" t="str">
        <f>IFERROR(__xludf.DUMMYFUNCTION("GOOGLETRANSLATE(B13118,""en"",""es-ES"")"),"Se muestran varias tomas de herramientas que conducen a un hombre sentado sosteniendo una guitarra.")</f>
        <v>Se muestran varias tomas de herramientas que conducen a un hombre sentado sosteniendo una guitarra.</v>
      </c>
    </row>
    <row r="13119">
      <c r="A13119" s="4" t="s">
        <v>16507</v>
      </c>
      <c r="B13119" s="4" t="s">
        <v>16509</v>
      </c>
      <c r="C13119" s="5" t="str">
        <f>IFERROR(__xludf.DUMMYFUNCTION("GOOGLETRANSLATE(B13119,""en"",""es-ES"")"),"El hombre luego toca la guitarra por un momento y se detiene.")</f>
        <v>El hombre luego toca la guitarra por un momento y se detiene.</v>
      </c>
    </row>
    <row r="13120">
      <c r="A13120" s="4" t="s">
        <v>16507</v>
      </c>
      <c r="B13120" s="4" t="s">
        <v>16510</v>
      </c>
      <c r="C13120" s="5" t="str">
        <f>IFERROR(__xludf.DUMMYFUNCTION("GOOGLETRANSLATE(B13120,""en"",""es-ES"")"),"Luego se le muestra jugando nuevamente, así como se muestran más herramientas.")</f>
        <v>Luego se le muestra jugando nuevamente, así como se muestran más herramientas.</v>
      </c>
    </row>
    <row r="13121">
      <c r="A13121" s="4" t="s">
        <v>16511</v>
      </c>
      <c r="B13121" s="4" t="s">
        <v>16512</v>
      </c>
      <c r="C13121" s="5" t="str">
        <f>IFERROR(__xludf.DUMMYFUNCTION("GOOGLETRANSLATE(B13121,""en"",""es-ES"")"),"Múltiples grupos de personas en barcos están explorando un río.")</f>
        <v>Múltiples grupos de personas en barcos están explorando un río.</v>
      </c>
    </row>
    <row r="13122">
      <c r="A13122" s="4" t="s">
        <v>16511</v>
      </c>
      <c r="B13122" s="4" t="s">
        <v>16513</v>
      </c>
      <c r="C13122" s="5" t="str">
        <f>IFERROR(__xludf.DUMMYFUNCTION("GOOGLETRANSLATE(B13122,""en"",""es-ES"")"),"El viento sopla los árboles en el Gran Cañón.")</f>
        <v>El viento sopla los árboles en el Gran Cañón.</v>
      </c>
    </row>
    <row r="13123">
      <c r="A13123" s="4" t="s">
        <v>16511</v>
      </c>
      <c r="B13123" s="4" t="s">
        <v>16514</v>
      </c>
      <c r="C13123" s="5" t="str">
        <f>IFERROR(__xludf.DUMMYFUNCTION("GOOGLETRANSLATE(B13123,""en"",""es-ES"")"),"Un grupo de personas en un bote blanco reman en las aguas del río.")</f>
        <v>Un grupo de personas en un bote blanco reman en las aguas del río.</v>
      </c>
    </row>
    <row r="13124">
      <c r="A13124" s="4" t="s">
        <v>16511</v>
      </c>
      <c r="B13124" s="4" t="s">
        <v>16515</v>
      </c>
      <c r="C13124" s="5" t="str">
        <f>IFERROR(__xludf.DUMMYFUNCTION("GOOGLETRANSLATE(B13124,""en"",""es-ES"")"),"Múltiples grupos luchan contra aguas altas violentas.")</f>
        <v>Múltiples grupos luchan contra aguas altas violentas.</v>
      </c>
    </row>
    <row r="13125">
      <c r="A13125" s="4" t="s">
        <v>16511</v>
      </c>
      <c r="B13125" s="4" t="s">
        <v>16516</v>
      </c>
      <c r="C13125" s="5" t="str">
        <f>IFERROR(__xludf.DUMMYFUNCTION("GOOGLETRANSLATE(B13125,""en"",""es-ES"")"),"En un momento, las aguas violentas parecen casi derrocar a uno de los grupos.")</f>
        <v>En un momento, las aguas violentas parecen casi derrocar a uno de los grupos.</v>
      </c>
    </row>
    <row r="13126">
      <c r="A13126" s="4" t="s">
        <v>16511</v>
      </c>
      <c r="B13126" s="4" t="s">
        <v>16517</v>
      </c>
      <c r="C13126" s="5" t="str">
        <f>IFERROR(__xludf.DUMMYFUNCTION("GOOGLETRANSLATE(B13126,""en"",""es-ES"")"),"Un kayaker valiente y soltero remar en las aguas.")</f>
        <v>Un kayaker valiente y soltero remar en las aguas.</v>
      </c>
    </row>
    <row r="13127">
      <c r="A13127" s="4" t="s">
        <v>16518</v>
      </c>
      <c r="B13127" s="4" t="s">
        <v>16519</v>
      </c>
      <c r="C13127" s="5" t="str">
        <f>IFERROR(__xludf.DUMMYFUNCTION("GOOGLETRANSLATE(B13127,""en"",""es-ES"")"),"Un hombre de mediana edad está parado en la calle con patines.")</f>
        <v>Un hombre de mediana edad está parado en la calle con patines.</v>
      </c>
    </row>
    <row r="13128">
      <c r="A13128" s="4" t="s">
        <v>16518</v>
      </c>
      <c r="B13128" s="4" t="s">
        <v>16520</v>
      </c>
      <c r="C13128" s="5" t="str">
        <f>IFERROR(__xludf.DUMMYFUNCTION("GOOGLETRANSLATE(B13128,""en"",""es-ES"")"),"El hombre patina precisamente entre una hilera apretada de pequeños conos.")</f>
        <v>El hombre patina precisamente entre una hilera apretada de pequeños conos.</v>
      </c>
    </row>
    <row r="13129">
      <c r="A13129" s="4" t="s">
        <v>16518</v>
      </c>
      <c r="B13129" s="4" t="s">
        <v>16521</v>
      </c>
      <c r="C13129" s="5" t="str">
        <f>IFERROR(__xludf.DUMMYFUNCTION("GOOGLETRANSLATE(B13129,""en"",""es-ES"")"),"El hombre hace una parada de manos después de completar el curso y regresa al principio.")</f>
        <v>El hombre hace una parada de manos después de completar el curso y regresa al principio.</v>
      </c>
    </row>
    <row r="13130">
      <c r="A13130" s="4" t="s">
        <v>16522</v>
      </c>
      <c r="B13130" s="4" t="s">
        <v>16523</v>
      </c>
      <c r="C13130" s="5" t="str">
        <f>IFERROR(__xludf.DUMMYFUNCTION("GOOGLETRANSLATE(B13130,""en"",""es-ES"")"),"Dos hombres caminan por la playa con sus tablas de surf.")</f>
        <v>Dos hombres caminan por la playa con sus tablas de surf.</v>
      </c>
    </row>
    <row r="13131">
      <c r="A13131" s="4" t="s">
        <v>16522</v>
      </c>
      <c r="B13131" s="4" t="s">
        <v>16524</v>
      </c>
      <c r="C13131" s="5" t="str">
        <f>IFERROR(__xludf.DUMMYFUNCTION("GOOGLETRANSLATE(B13131,""en"",""es-ES"")"),"Entran en el agua y el surfista con el tablero blanco atrapa una ola.")</f>
        <v>Entran en el agua y el surfista con el tablero blanco atrapa una ola.</v>
      </c>
    </row>
    <row r="13132">
      <c r="A13132" s="4" t="s">
        <v>16522</v>
      </c>
      <c r="B13132" s="4" t="s">
        <v>16525</v>
      </c>
      <c r="C13132" s="5" t="str">
        <f>IFERROR(__xludf.DUMMYFUNCTION("GOOGLETRANSLATE(B13132,""en"",""es-ES"")"),"El tablero blanco atrapa otra ola mientras el tablero azul se opta, se muestran más olas tomadas por el tablero blanco.")</f>
        <v>El tablero blanco atrapa otra ola mientras el tablero azul se opta, se muestran más olas tomadas por el tablero blanco.</v>
      </c>
    </row>
    <row r="13133">
      <c r="A13133" s="4" t="s">
        <v>16522</v>
      </c>
      <c r="B13133" s="4" t="s">
        <v>16526</v>
      </c>
      <c r="C13133" s="5" t="str">
        <f>IFERROR(__xludf.DUMMYFUNCTION("GOOGLETRANSLATE(B13133,""en"",""es-ES"")"),"El surfista en el tablero azul atrapa algunas olas.")</f>
        <v>El surfista en el tablero azul atrapa algunas olas.</v>
      </c>
    </row>
    <row r="13134">
      <c r="A13134" s="4" t="s">
        <v>16522</v>
      </c>
      <c r="B13134" s="4" t="s">
        <v>16527</v>
      </c>
      <c r="C13134" s="5" t="str">
        <f>IFERROR(__xludf.DUMMYFUNCTION("GOOGLETRANSLATE(B13134,""en"",""es-ES"")"),"El surfista de la Junta Blanca se muestra deslizándose en más olas, claramente como un experto.")</f>
        <v>El surfista de la Junta Blanca se muestra deslizándose en más olas, claramente como un experto.</v>
      </c>
    </row>
    <row r="13135">
      <c r="A13135" s="4" t="s">
        <v>16528</v>
      </c>
      <c r="B13135" s="4" t="s">
        <v>16529</v>
      </c>
      <c r="C13135" s="5" t="str">
        <f>IFERROR(__xludf.DUMMYFUNCTION("GOOGLETRANSLATE(B13135,""en"",""es-ES"")"),"Una serie de pantallas aparecen con palabras blancas y moradas en forma de párrafo.")</f>
        <v>Una serie de pantallas aparecen con palabras blancas y moradas en forma de párrafo.</v>
      </c>
    </row>
    <row r="13136">
      <c r="A13136" s="4" t="s">
        <v>16528</v>
      </c>
      <c r="B13136" s="4" t="s">
        <v>16530</v>
      </c>
      <c r="C13136" s="5" t="str">
        <f>IFERROR(__xludf.DUMMYFUNCTION("GOOGLETRANSLATE(B13136,""en"",""es-ES"")"),"Luego se muestra a una persona que camina hacia el auto con un utensilio que saca la nieve del vaso.")</f>
        <v>Luego se muestra a una persona que camina hacia el auto con un utensilio que saca la nieve del vaso.</v>
      </c>
    </row>
    <row r="13137">
      <c r="A13137" s="4" t="s">
        <v>16528</v>
      </c>
      <c r="B13137" s="4" t="s">
        <v>16531</v>
      </c>
      <c r="C13137" s="5" t="str">
        <f>IFERROR(__xludf.DUMMYFUNCTION("GOOGLETRANSLATE(B13137,""en"",""es-ES"")"),"Luego aparece otra pantalla con palabras blancas y muestra una oración y la ubicación.")</f>
        <v>Luego aparece otra pantalla con palabras blancas y muestra una oración y la ubicación.</v>
      </c>
    </row>
    <row r="13138">
      <c r="A13138" s="4" t="s">
        <v>16532</v>
      </c>
      <c r="B13138" s="4" t="s">
        <v>16533</v>
      </c>
      <c r="C13138" s="5" t="str">
        <f>IFERROR(__xludf.DUMMYFUNCTION("GOOGLETRANSLATE(B13138,""en"",""es-ES"")"),"Se ve a dos personas paradas en una colchoneta y comienzan a pelear entre sí.")</f>
        <v>Se ve a dos personas paradas en una colchoneta y comienzan a pelear entre sí.</v>
      </c>
    </row>
    <row r="13139">
      <c r="A13139" s="4" t="s">
        <v>16532</v>
      </c>
      <c r="B13139" s="4" t="s">
        <v>16534</v>
      </c>
      <c r="C13139" s="5" t="str">
        <f>IFERROR(__xludf.DUMMYFUNCTION("GOOGLETRANSLATE(B13139,""en"",""es-ES"")"),"Los hombres se detienen por un momento y continúan luchando mientras la gente mira a un lado.")</f>
        <v>Los hombres se detienen por un momento y continúan luchando mientras la gente mira a un lado.</v>
      </c>
    </row>
    <row r="13140">
      <c r="A13140" s="4" t="s">
        <v>16532</v>
      </c>
      <c r="B13140" s="4" t="s">
        <v>16535</v>
      </c>
      <c r="C13140" s="5" t="str">
        <f>IFERROR(__xludf.DUMMYFUNCTION("GOOGLETRANSLATE(B13140,""en"",""es-ES"")"),"Los muchachos continúan peleando y se detienen al final.")</f>
        <v>Los muchachos continúan peleando y se detienen al final.</v>
      </c>
    </row>
    <row r="13141">
      <c r="A13141" s="4" t="s">
        <v>16536</v>
      </c>
      <c r="B13141" s="4" t="s">
        <v>16537</v>
      </c>
      <c r="C13141" s="5" t="str">
        <f>IFERROR(__xludf.DUMMYFUNCTION("GOOGLETRANSLATE(B13141,""en"",""es-ES"")"),"Se ve a una persona encender un grifo y frotarse las manos bajo el agua.")</f>
        <v>Se ve a una persona encender un grifo y frotarse las manos bajo el agua.</v>
      </c>
    </row>
    <row r="13142">
      <c r="A13142" s="4" t="s">
        <v>16536</v>
      </c>
      <c r="B13142" s="4" t="s">
        <v>16538</v>
      </c>
      <c r="C13142" s="5" t="str">
        <f>IFERROR(__xludf.DUMMYFUNCTION("GOOGLETRANSLATE(B13142,""en"",""es-ES"")"),"La persona empuja el jabón en sus manos, mirando el jabón gotear hacia abajo y luego frota sus manos.")</f>
        <v>La persona empuja el jabón en sus manos, mirando el jabón gotear hacia abajo y luego frota sus manos.</v>
      </c>
    </row>
    <row r="13143">
      <c r="A13143" s="4" t="s">
        <v>16539</v>
      </c>
      <c r="B13143" s="4" t="s">
        <v>16540</v>
      </c>
      <c r="C13143" s="5" t="str">
        <f>IFERROR(__xludf.DUMMYFUNCTION("GOOGLETRANSLATE(B13143,""en"",""es-ES"")"),"Hay una mujer con un tatuaje a mano y uñas pintadas en rojo que se unen y atornillan las piezas en el tronco de un automóvil para unir la llanta de repuesto.")</f>
        <v>Hay una mujer con un tatuaje a mano y uñas pintadas en rojo que se unen y atornillan las piezas en el tronco de un automóvil para unir la llanta de repuesto.</v>
      </c>
    </row>
    <row r="13144">
      <c r="A13144" s="4" t="s">
        <v>16539</v>
      </c>
      <c r="B13144" s="4" t="s">
        <v>16541</v>
      </c>
      <c r="C13144" s="5" t="str">
        <f>IFERROR(__xludf.DUMMYFUNCTION("GOOGLETRANSLATE(B13144,""en"",""es-ES"")"),"Luego coloca la llanta de repuesto en la caja de metal.")</f>
        <v>Luego coloca la llanta de repuesto en la caja de metal.</v>
      </c>
    </row>
    <row r="13145">
      <c r="A13145" s="4" t="s">
        <v>16539</v>
      </c>
      <c r="B13145" s="4" t="s">
        <v>16542</v>
      </c>
      <c r="C13145" s="5" t="str">
        <f>IFERROR(__xludf.DUMMYFUNCTION("GOOGLETRANSLATE(B13145,""en"",""es-ES"")"),"Ella toma la esfera de plástico y la atornilla de forma segura para colocar la llanta de repuesto en el tronco.")</f>
        <v>Ella toma la esfera de plástico y la atornilla de forma segura para colocar la llanta de repuesto en el tronco.</v>
      </c>
    </row>
    <row r="13146">
      <c r="A13146" s="4" t="s">
        <v>16539</v>
      </c>
      <c r="B13146" s="4" t="s">
        <v>16543</v>
      </c>
      <c r="C13146" s="5" t="str">
        <f>IFERROR(__xludf.DUMMYFUNCTION("GOOGLETRANSLATE(B13146,""en"",""es-ES"")"),"Ella coloca la cubierta sobre la llanta dentro del baúl.")</f>
        <v>Ella coloca la cubierta sobre la llanta dentro del baúl.</v>
      </c>
    </row>
    <row r="13147">
      <c r="A13147" s="4" t="s">
        <v>16544</v>
      </c>
      <c r="B13147" s="4" t="s">
        <v>16545</v>
      </c>
      <c r="C13147" s="5" t="str">
        <f>IFERROR(__xludf.DUMMYFUNCTION("GOOGLETRANSLATE(B13147,""en"",""es-ES"")"),"Hay muchos niños que van desde niños pequeños hasta adolescentes que se disfrutan en una fiesta de cumpleaños en el patio trasero.")</f>
        <v>Hay muchos niños que van desde niños pequeños hasta adolescentes que se disfrutan en una fiesta de cumpleaños en el patio trasero.</v>
      </c>
    </row>
    <row r="13148">
      <c r="A13148" s="4" t="s">
        <v>16544</v>
      </c>
      <c r="B13148" s="4" t="s">
        <v>16546</v>
      </c>
      <c r="C13148" s="5" t="str">
        <f>IFERROR(__xludf.DUMMYFUNCTION("GOOGLETRANSLATE(B13148,""en"",""es-ES"")"),"Hay una princesa de Disney piñata colgando de un árbol.")</f>
        <v>Hay una princesa de Disney piñata colgando de un árbol.</v>
      </c>
    </row>
    <row r="13149">
      <c r="A13149" s="4" t="s">
        <v>16544</v>
      </c>
      <c r="B13149" s="4" t="s">
        <v>16547</v>
      </c>
      <c r="C13149" s="5" t="str">
        <f>IFERROR(__xludf.DUMMYFUNCTION("GOOGLETRANSLATE(B13149,""en"",""es-ES"")"),"Los niños disfrutan de golpear la piñata con un palo azul.")</f>
        <v>Los niños disfrutan de golpear la piñata con un palo azul.</v>
      </c>
    </row>
    <row r="13150">
      <c r="A13150" s="4" t="s">
        <v>16544</v>
      </c>
      <c r="B13150" s="4" t="s">
        <v>16548</v>
      </c>
      <c r="C13150" s="5" t="str">
        <f>IFERROR(__xludf.DUMMYFUNCTION("GOOGLETRANSLATE(B13150,""en"",""es-ES"")"),"Los niños se turnan para golpear la piñata.")</f>
        <v>Los niños se turnan para golpear la piñata.</v>
      </c>
    </row>
    <row r="13151">
      <c r="A13151" s="4" t="s">
        <v>16544</v>
      </c>
      <c r="B13151" s="4" t="s">
        <v>16549</v>
      </c>
      <c r="C13151" s="5" t="str">
        <f>IFERROR(__xludf.DUMMYFUNCTION("GOOGLETRANSLATE(B13151,""en"",""es-ES"")"),"Una niña vestida con una falda púrpura intenta rasgar la piñata golpeándola con el palo.")</f>
        <v>Una niña vestida con una falda púrpura intenta rasgar la piñata golpeándola con el palo.</v>
      </c>
    </row>
    <row r="13152">
      <c r="A13152" s="4" t="s">
        <v>16550</v>
      </c>
      <c r="B13152" s="4" t="s">
        <v>16551</v>
      </c>
      <c r="C13152" s="5" t="str">
        <f>IFERROR(__xludf.DUMMYFUNCTION("GOOGLETRANSLATE(B13152,""en"",""es-ES"")"),"Se ve a un niño pequeño de pie ante una mesa de barro que sostiene un palo.")</f>
        <v>Se ve a un niño pequeño de pie ante una mesa de barro que sostiene un palo.</v>
      </c>
    </row>
    <row r="13153">
      <c r="A13153" s="4" t="s">
        <v>16550</v>
      </c>
      <c r="B13153" s="4" t="s">
        <v>16552</v>
      </c>
      <c r="C13153" s="5" t="str">
        <f>IFERROR(__xludf.DUMMYFUNCTION("GOOGLETRANSLATE(B13153,""en"",""es-ES"")"),"El niño luego empuja el disco por el juego.")</f>
        <v>El niño luego empuja el disco por el juego.</v>
      </c>
    </row>
    <row r="13154">
      <c r="A13154" s="4" t="s">
        <v>16550</v>
      </c>
      <c r="B13154" s="4" t="s">
        <v>16553</v>
      </c>
      <c r="C13154" s="5" t="str">
        <f>IFERROR(__xludf.DUMMYFUNCTION("GOOGLETRANSLATE(B13154,""en"",""es-ES"")"),"La cámara sigue los movimientos de los discos y lleva al niño.")</f>
        <v>La cámara sigue los movimientos de los discos y lleva al niño.</v>
      </c>
    </row>
    <row r="13155">
      <c r="A13155" s="4" t="s">
        <v>16554</v>
      </c>
      <c r="B13155" s="4" t="s">
        <v>16555</v>
      </c>
      <c r="C13155" s="5" t="str">
        <f>IFERROR(__xludf.DUMMYFUNCTION("GOOGLETRANSLATE(B13155,""en"",""es-ES"")"),"Un hombre golpea una pelota con un bate.")</f>
        <v>Un hombre golpea una pelota con un bate.</v>
      </c>
    </row>
    <row r="13156">
      <c r="A13156" s="4" t="s">
        <v>16554</v>
      </c>
      <c r="B13156" s="4" t="s">
        <v>16556</v>
      </c>
      <c r="C13156" s="5" t="str">
        <f>IFERROR(__xludf.DUMMYFUNCTION("GOOGLETRANSLATE(B13156,""en"",""es-ES"")"),"Tres hombres se paran en un campo.")</f>
        <v>Tres hombres se paran en un campo.</v>
      </c>
    </row>
    <row r="13157">
      <c r="A13157" s="4" t="s">
        <v>16554</v>
      </c>
      <c r="B13157" s="4" t="s">
        <v>16557</v>
      </c>
      <c r="C13157" s="5" t="str">
        <f>IFERROR(__xludf.DUMMYFUNCTION("GOOGLETRANSLATE(B13157,""en"",""es-ES"")"),"Un hombre lanza una pelota en el campo.")</f>
        <v>Un hombre lanza una pelota en el campo.</v>
      </c>
    </row>
    <row r="13158">
      <c r="A13158" s="4" t="s">
        <v>16554</v>
      </c>
      <c r="B13158" s="4" t="s">
        <v>16558</v>
      </c>
      <c r="C13158" s="5" t="str">
        <f>IFERROR(__xludf.DUMMYFUNCTION("GOOGLETRANSLATE(B13158,""en"",""es-ES"")"),"Tres hombres voltean una moneda.")</f>
        <v>Tres hombres voltean una moneda.</v>
      </c>
    </row>
    <row r="13159">
      <c r="A13159" s="4" t="s">
        <v>16559</v>
      </c>
      <c r="B13159" s="4" t="s">
        <v>16560</v>
      </c>
      <c r="C13159" s="5" t="str">
        <f>IFERROR(__xludf.DUMMYFUNCTION("GOOGLETRANSLATE(B13159,""en"",""es-ES"")"),"Una persona está tocando una guitarra acústica.")</f>
        <v>Una persona está tocando una guitarra acústica.</v>
      </c>
    </row>
    <row r="13160">
      <c r="A13160" s="4" t="s">
        <v>16559</v>
      </c>
      <c r="B13160" s="4" t="s">
        <v>16561</v>
      </c>
      <c r="C13160" s="5" t="str">
        <f>IFERROR(__xludf.DUMMYFUNCTION("GOOGLETRANSLATE(B13160,""en"",""es-ES"")"),"Hay un árbol de Navidad detrás de él.")</f>
        <v>Hay un árbol de Navidad detrás de él.</v>
      </c>
    </row>
    <row r="13161">
      <c r="A13161" s="4" t="s">
        <v>16559</v>
      </c>
      <c r="B13161" s="4" t="s">
        <v>16562</v>
      </c>
      <c r="C13161" s="5" t="str">
        <f>IFERROR(__xludf.DUMMYFUNCTION("GOOGLETRANSLATE(B13161,""en"",""es-ES"")"),"Un logotipo con palabras entra en la pantalla.")</f>
        <v>Un logotipo con palabras entra en la pantalla.</v>
      </c>
    </row>
    <row r="13162">
      <c r="A13162" s="4" t="s">
        <v>16563</v>
      </c>
      <c r="B13162" s="4" t="s">
        <v>16564</v>
      </c>
      <c r="C13162" s="5" t="str">
        <f>IFERROR(__xludf.DUMMYFUNCTION("GOOGLETRANSLATE(B13162,""en"",""es-ES"")"),"Se ven diferentes vistas alrededor de una ciudad.")</f>
        <v>Se ven diferentes vistas alrededor de una ciudad.</v>
      </c>
    </row>
    <row r="13163">
      <c r="A13163" s="4" t="s">
        <v>16563</v>
      </c>
      <c r="B13163" s="4" t="s">
        <v>16565</v>
      </c>
      <c r="C13163" s="5" t="str">
        <f>IFERROR(__xludf.DUMMYFUNCTION("GOOGLETRANSLATE(B13163,""en"",""es-ES"")"),"Se ve a una gran multitud animando dentro de un gran auditorio.")</f>
        <v>Se ve a una gran multitud animando dentro de un gran auditorio.</v>
      </c>
    </row>
    <row r="13164">
      <c r="A13164" s="4" t="s">
        <v>16563</v>
      </c>
      <c r="B13164" s="4" t="s">
        <v>16566</v>
      </c>
      <c r="C13164" s="5" t="str">
        <f>IFERROR(__xludf.DUMMYFUNCTION("GOOGLETRANSLATE(B13164,""en"",""es-ES"")"),"Los atletas caminan juntos por un pasillo y luego se paran en troncos y los cortan en una competencia.")</f>
        <v>Los atletas caminan juntos por un pasillo y luego se paran en troncos y los cortan en una competencia.</v>
      </c>
    </row>
    <row r="13165">
      <c r="A13165" s="4" t="s">
        <v>16563</v>
      </c>
      <c r="B13165" s="4" t="s">
        <v>16567</v>
      </c>
      <c r="C13165" s="5" t="str">
        <f>IFERROR(__xludf.DUMMYFUNCTION("GOOGLETRANSLATE(B13165,""en"",""es-ES"")"),"Dos atletas caminan con camisetas verdes y naranjas y luego vieron grandes troncos en una competencia.")</f>
        <v>Dos atletas caminan con camisetas verdes y naranjas y luego vieron grandes troncos en una competencia.</v>
      </c>
    </row>
    <row r="13166">
      <c r="A13166" s="4" t="s">
        <v>16563</v>
      </c>
      <c r="B13166" s="4" t="s">
        <v>16568</v>
      </c>
      <c r="C13166" s="5" t="str">
        <f>IFERROR(__xludf.DUMMYFUNCTION("GOOGLETRANSLATE(B13166,""en"",""es-ES"")"),"El juez inspecciona el registro y declara un ganador de la delicia de las multitudes.")</f>
        <v>El juez inspecciona el registro y declara un ganador de la delicia de las multitudes.</v>
      </c>
    </row>
    <row r="13167">
      <c r="A13167" s="4" t="s">
        <v>16563</v>
      </c>
      <c r="B13167" s="4" t="s">
        <v>16569</v>
      </c>
      <c r="C13167" s="5" t="str">
        <f>IFERROR(__xludf.DUMMYFUNCTION("GOOGLETRANSLATE(B13167,""en"",""es-ES"")"),"Dos atletas caminan por un pasillo y luego cortan un registro vertical en una competencia.")</f>
        <v>Dos atletas caminan por un pasillo y luego cortan un registro vertical en una competencia.</v>
      </c>
    </row>
    <row r="13168">
      <c r="A13168" s="4" t="s">
        <v>16563</v>
      </c>
      <c r="B13168" s="4" t="s">
        <v>16570</v>
      </c>
      <c r="C13168" s="5" t="str">
        <f>IFERROR(__xludf.DUMMYFUNCTION("GOOGLETRANSLATE(B13168,""en"",""es-ES"")"),"Las animadoras entran por un pasillo y luego bailan en el escenario.")</f>
        <v>Las animadoras entran por un pasillo y luego bailan en el escenario.</v>
      </c>
    </row>
    <row r="13169">
      <c r="A13169" s="4" t="s">
        <v>16563</v>
      </c>
      <c r="B13169" s="4" t="s">
        <v>16571</v>
      </c>
      <c r="C13169" s="5" t="str">
        <f>IFERROR(__xludf.DUMMYFUNCTION("GOOGLETRANSLATE(B13169,""en"",""es-ES"")"),"Dos atletas entran por un pasillo y luego usan una sierra para cortar un tronco.")</f>
        <v>Dos atletas entran por un pasillo y luego usan una sierra para cortar un tronco.</v>
      </c>
    </row>
    <row r="13170">
      <c r="A13170" s="4" t="s">
        <v>16563</v>
      </c>
      <c r="B13170" s="4" t="s">
        <v>16572</v>
      </c>
      <c r="C13170" s="5" t="str">
        <f>IFERROR(__xludf.DUMMYFUNCTION("GOOGLETRANSLATE(B13170,""en"",""es-ES"")"),"Dos atletas entran por un pasillo y luego colocan tablas en un tronco para pararse mientras lo cortan.")</f>
        <v>Dos atletas entran por un pasillo y luego colocan tablas en un tronco para pararse mientras lo cortan.</v>
      </c>
    </row>
    <row r="13171">
      <c r="A13171" s="4" t="s">
        <v>16563</v>
      </c>
      <c r="B13171" s="4" t="s">
        <v>16573</v>
      </c>
      <c r="C13171" s="5" t="str">
        <f>IFERROR(__xludf.DUMMYFUNCTION("GOOGLETRANSLATE(B13171,""en"",""es-ES"")"),"Los atletas compiten en una competencia de motosierra y vieron a través de grandes troncos antes de felicitarnos.")</f>
        <v>Los atletas compiten en una competencia de motosierra y vieron a través de grandes troncos antes de felicitarnos.</v>
      </c>
    </row>
    <row r="13172">
      <c r="A13172" s="4" t="s">
        <v>16563</v>
      </c>
      <c r="B13172" s="4" t="s">
        <v>16574</v>
      </c>
      <c r="C13172" s="5" t="str">
        <f>IFERROR(__xludf.DUMMYFUNCTION("GOOGLETRANSLATE(B13172,""en"",""es-ES"")"),"Se ve al ganador sosteniendo un trofeo junto con los finalistas y la multitud aplaude.")</f>
        <v>Se ve al ganador sosteniendo un trofeo junto con los finalistas y la multitud aplaude.</v>
      </c>
    </row>
    <row r="13173">
      <c r="A13173" s="4" t="s">
        <v>16575</v>
      </c>
      <c r="B13173" s="4" t="s">
        <v>16576</v>
      </c>
      <c r="C13173" s="5" t="str">
        <f>IFERROR(__xludf.DUMMYFUNCTION("GOOGLETRANSLATE(B13173,""en"",""es-ES"")"),"Estos 2 equipos diferentes están funcionando en el campo porque están jugando Shinty.")</f>
        <v>Estos 2 equipos diferentes están funcionando en el campo porque están jugando Shinty.</v>
      </c>
    </row>
    <row r="13174">
      <c r="A13174" s="4" t="s">
        <v>16575</v>
      </c>
      <c r="B13174" s="4" t="s">
        <v>16577</v>
      </c>
      <c r="C13174" s="5" t="str">
        <f>IFERROR(__xludf.DUMMYFUNCTION("GOOGLETRANSLATE(B13174,""en"",""es-ES"")"),"Solo la mitad de la multitud está llena de personas, mientras que el otro lado está vacío sin nadie allí para ver nada.")</f>
        <v>Solo la mitad de la multitud está llena de personas, mientras que el otro lado está vacío sin nadie allí para ver nada.</v>
      </c>
    </row>
    <row r="13175">
      <c r="A13175" s="4" t="s">
        <v>16575</v>
      </c>
      <c r="B13175" s="4" t="s">
        <v>16578</v>
      </c>
      <c r="C13175" s="5" t="str">
        <f>IFERROR(__xludf.DUMMYFUNCTION("GOOGLETRANSLATE(B13175,""en"",""es-ES"")"),"Al final, alguien gana y la gente de la multitud aplaude y anime.")</f>
        <v>Al final, alguien gana y la gente de la multitud aplaude y anime.</v>
      </c>
    </row>
    <row r="13176">
      <c r="A13176" s="4" t="s">
        <v>16579</v>
      </c>
      <c r="B13176" s="4" t="s">
        <v>16580</v>
      </c>
      <c r="C13176" s="5" t="str">
        <f>IFERROR(__xludf.DUMMYFUNCTION("GOOGLETRANSLATE(B13176,""en"",""es-ES"")"),"Un hombre está sentado con una guitarra eléctrica.")</f>
        <v>Un hombre está sentado con una guitarra eléctrica.</v>
      </c>
    </row>
    <row r="13177">
      <c r="A13177" s="4" t="s">
        <v>16579</v>
      </c>
      <c r="B13177" s="4" t="s">
        <v>16581</v>
      </c>
      <c r="C13177" s="5" t="str">
        <f>IFERROR(__xludf.DUMMYFUNCTION("GOOGLETRANSLATE(B13177,""en"",""es-ES"")"),"Está hablando con la cámara, luego comienza a jugar.")</f>
        <v>Está hablando con la cámara, luego comienza a jugar.</v>
      </c>
    </row>
    <row r="13178">
      <c r="A13178" s="4" t="s">
        <v>16579</v>
      </c>
      <c r="B13178" s="4" t="s">
        <v>16582</v>
      </c>
      <c r="C13178" s="5" t="str">
        <f>IFERROR(__xludf.DUMMYFUNCTION("GOOGLETRANSLATE(B13178,""en"",""es-ES"")"),"Otro hombre toca los acordes en una mesa.")</f>
        <v>Otro hombre toca los acordes en una mesa.</v>
      </c>
    </row>
    <row r="13179">
      <c r="A13179" s="4" t="s">
        <v>16583</v>
      </c>
      <c r="B13179" s="4" t="s">
        <v>16584</v>
      </c>
      <c r="C13179" s="5" t="str">
        <f>IFERROR(__xludf.DUMMYFUNCTION("GOOGLETRANSLATE(B13179,""en"",""es-ES"")"),"Una mujer con un sombrero y un chaleco se para comprar un carrito.")</f>
        <v>Una mujer con un sombrero y un chaleco se para comprar un carrito.</v>
      </c>
    </row>
    <row r="13180">
      <c r="A13180" s="4" t="s">
        <v>16583</v>
      </c>
      <c r="B13180" s="4" t="s">
        <v>16585</v>
      </c>
      <c r="C13180" s="5" t="str">
        <f>IFERROR(__xludf.DUMMYFUNCTION("GOOGLETRANSLATE(B13180,""en"",""es-ES"")"),"Ella está crochet algo en blanco y negro.")</f>
        <v>Ella está crochet algo en blanco y negro.</v>
      </c>
    </row>
    <row r="13181">
      <c r="A13181" s="4" t="s">
        <v>16583</v>
      </c>
      <c r="B13181" s="4" t="s">
        <v>16586</v>
      </c>
      <c r="C13181" s="5" t="str">
        <f>IFERROR(__xludf.DUMMYFUNCTION("GOOGLETRANSLATE(B13181,""en"",""es-ES"")"),"Un coche conduce por el carro.")</f>
        <v>Un coche conduce por el carro.</v>
      </c>
    </row>
    <row r="13182">
      <c r="A13182" s="4" t="s">
        <v>16583</v>
      </c>
      <c r="B13182" s="4" t="s">
        <v>16587</v>
      </c>
      <c r="C13182" s="5" t="str">
        <f>IFERROR(__xludf.DUMMYFUNCTION("GOOGLETRANSLATE(B13182,""en"",""es-ES"")"),"Otra persona extiende al auto.")</f>
        <v>Otra persona extiende al auto.</v>
      </c>
    </row>
    <row r="13183">
      <c r="A13183" s="4" t="s">
        <v>16588</v>
      </c>
      <c r="B13183" s="4" t="s">
        <v>16589</v>
      </c>
      <c r="C13183" s="5" t="str">
        <f>IFERROR(__xludf.DUMMYFUNCTION("GOOGLETRANSLATE(B13183,""en"",""es-ES"")"),"Una persona que usa un sombrero no está sentada un sofá.")</f>
        <v>Una persona que usa un sombrero no está sentada un sofá.</v>
      </c>
    </row>
    <row r="13184">
      <c r="A13184" s="4" t="s">
        <v>16588</v>
      </c>
      <c r="B13184" s="4" t="s">
        <v>16590</v>
      </c>
      <c r="C13184" s="5" t="str">
        <f>IFERROR(__xludf.DUMMYFUNCTION("GOOGLETRANSLATE(B13184,""en"",""es-ES"")"),"Comienzan a jugar un acordeón.")</f>
        <v>Comienzan a jugar un acordeón.</v>
      </c>
    </row>
    <row r="13185">
      <c r="A13185" s="4" t="s">
        <v>16588</v>
      </c>
      <c r="B13185" s="4" t="s">
        <v>16591</v>
      </c>
      <c r="C13185" s="5" t="str">
        <f>IFERROR(__xludf.DUMMYFUNCTION("GOOGLETRANSLATE(B13185,""en"",""es-ES"")"),"Apuntan a los botones en el acordeón con un destornillador.")</f>
        <v>Apuntan a los botones en el acordeón con un destornillador.</v>
      </c>
    </row>
    <row r="13186">
      <c r="A13186" s="4" t="s">
        <v>16592</v>
      </c>
      <c r="B13186" s="4" t="s">
        <v>16593</v>
      </c>
      <c r="C13186" s="5" t="str">
        <f>IFERROR(__xludf.DUMMYFUNCTION("GOOGLETRANSLATE(B13186,""en"",""es-ES"")"),"Se ve a una gimnasta balanceándose en una barra haciendo varios flips y trucos en dos juegos de vigas.")</f>
        <v>Se ve a una gimnasta balanceándose en una barra haciendo varios flips y trucos en dos juegos de vigas.</v>
      </c>
    </row>
    <row r="13187">
      <c r="A13187" s="4" t="s">
        <v>16592</v>
      </c>
      <c r="B13187" s="4" t="s">
        <v>16594</v>
      </c>
      <c r="C13187" s="5" t="str">
        <f>IFERROR(__xludf.DUMMYFUNCTION("GOOGLETRANSLATE(B13187,""en"",""es-ES"")"),"Ella continúa girando y termina con las manos en alto y su entrenador aplaudiendo.")</f>
        <v>Ella continúa girando y termina con las manos en alto y su entrenador aplaudiendo.</v>
      </c>
    </row>
    <row r="13188">
      <c r="A13188" s="4" t="s">
        <v>16592</v>
      </c>
      <c r="B13188" s="4" t="s">
        <v>16595</v>
      </c>
      <c r="C13188" s="5" t="str">
        <f>IFERROR(__xludf.DUMMYFUNCTION("GOOGLETRANSLATE(B13188,""en"",""es-ES"")"),"La gente mira a los lados y sus puntajes se muestran al final.")</f>
        <v>La gente mira a los lados y sus puntajes se muestran al final.</v>
      </c>
    </row>
    <row r="13189">
      <c r="A13189" s="4" t="s">
        <v>16596</v>
      </c>
      <c r="B13189" s="4" t="s">
        <v>16597</v>
      </c>
      <c r="C13189" s="5" t="str">
        <f>IFERROR(__xludf.DUMMYFUNCTION("GOOGLETRANSLATE(B13189,""en"",""es-ES"")"),"Hay dos estudiantes de secundaria en la cafetería de la escuela secundaria parada junto a una mesa donde algunos estudiantes están sentados.")</f>
        <v>Hay dos estudiantes de secundaria en la cafetería de la escuela secundaria parada junto a una mesa donde algunos estudiantes están sentados.</v>
      </c>
    </row>
    <row r="13190">
      <c r="A13190" s="4" t="s">
        <v>16596</v>
      </c>
      <c r="B13190" s="4" t="s">
        <v>16598</v>
      </c>
      <c r="C13190" s="5" t="str">
        <f>IFERROR(__xludf.DUMMYFUNCTION("GOOGLETRANSLATE(B13190,""en"",""es-ES"")"),"Uno de los estudiantes se desnuda y cambia sus pantalones cortos mientras el otro estudiante con una camisa roja lo está mirando.")</f>
        <v>Uno de los estudiantes se desnuda y cambia sus pantalones cortos mientras el otro estudiante con una camisa roja lo está mirando.</v>
      </c>
    </row>
    <row r="13191">
      <c r="A13191" s="4" t="s">
        <v>16596</v>
      </c>
      <c r="B13191" s="4" t="s">
        <v>16599</v>
      </c>
      <c r="C13191" s="5" t="str">
        <f>IFERROR(__xludf.DUMMYFUNCTION("GOOGLETRANSLATE(B13191,""en"",""es-ES"")"),"Después de que el estudiante termina de cambiar, el niño con la camisa roja se burla de él.")</f>
        <v>Después de que el estudiante termina de cambiar, el niño con la camisa roja se burla de él.</v>
      </c>
    </row>
    <row r="13192">
      <c r="A13192" s="4" t="s">
        <v>16596</v>
      </c>
      <c r="B13192" s="4" t="s">
        <v>16600</v>
      </c>
      <c r="C13192" s="5" t="str">
        <f>IFERROR(__xludf.DUMMYFUNCTION("GOOGLETRANSLATE(B13192,""en"",""es-ES"")"),"El estudiante es provocado y golpea al niño con la camisa roja en su rostro, haciendo que caiga en el suelo sobre su cabeza.")</f>
        <v>El estudiante es provocado y golpea al niño con la camisa roja en su rostro, haciendo que caiga en el suelo sobre su cabeza.</v>
      </c>
    </row>
    <row r="13193">
      <c r="A13193" s="4" t="s">
        <v>16601</v>
      </c>
      <c r="B13193" s="4" t="s">
        <v>16602</v>
      </c>
      <c r="C13193" s="5" t="str">
        <f>IFERROR(__xludf.DUMMYFUNCTION("GOOGLETRANSLATE(B13193,""en"",""es-ES"")"),"Una mujer camina por un escenario sosteniendo un saxofón.")</f>
        <v>Una mujer camina por un escenario sosteniendo un saxofón.</v>
      </c>
    </row>
    <row r="13194">
      <c r="A13194" s="4" t="s">
        <v>16601</v>
      </c>
      <c r="B13194" s="4" t="s">
        <v>16603</v>
      </c>
      <c r="C13194" s="5" t="str">
        <f>IFERROR(__xludf.DUMMYFUNCTION("GOOGLETRANSLATE(B13194,""en"",""es-ES"")"),"Ella comienza a tocar el saxofón mientras baila.")</f>
        <v>Ella comienza a tocar el saxofón mientras baila.</v>
      </c>
    </row>
    <row r="13195">
      <c r="A13195" s="4" t="s">
        <v>16601</v>
      </c>
      <c r="B13195" s="4" t="s">
        <v>16604</v>
      </c>
      <c r="C13195" s="5" t="str">
        <f>IFERROR(__xludf.DUMMYFUNCTION("GOOGLETRANSLATE(B13195,""en"",""es-ES"")"),"Ella se detiene y habla con la multitud nuevamente.")</f>
        <v>Ella se detiene y habla con la multitud nuevamente.</v>
      </c>
    </row>
    <row r="13196">
      <c r="A13196" s="4" t="s">
        <v>16601</v>
      </c>
      <c r="B13196" s="4" t="s">
        <v>16605</v>
      </c>
      <c r="C13196" s="5" t="str">
        <f>IFERROR(__xludf.DUMMYFUNCTION("GOOGLETRANSLATE(B13196,""en"",""es-ES"")"),"Ella comienza a tocar y bailar de nuevo.")</f>
        <v>Ella comienza a tocar y bailar de nuevo.</v>
      </c>
    </row>
    <row r="13197">
      <c r="A13197" s="4" t="s">
        <v>16606</v>
      </c>
      <c r="B13197" s="4" t="s">
        <v>16607</v>
      </c>
      <c r="C13197" s="5" t="str">
        <f>IFERROR(__xludf.DUMMYFUNCTION("GOOGLETRANSLATE(B13197,""en"",""es-ES"")"),"Se ve a un hombre sentado ante una mesa con un cubo de Rubix y sus manos en una plataforma.")</f>
        <v>Se ve a un hombre sentado ante una mesa con un cubo de Rubix y sus manos en una plataforma.</v>
      </c>
    </row>
    <row r="13198">
      <c r="A13198" s="4" t="s">
        <v>16606</v>
      </c>
      <c r="B13198" s="4" t="s">
        <v>16608</v>
      </c>
      <c r="C13198" s="5" t="str">
        <f>IFERROR(__xludf.DUMMYFUNCTION("GOOGLETRANSLATE(B13198,""en"",""es-ES"")"),"Luego resuelve el cubo Rubix en cuestión de segundos y muestra su tiempo a la cámara.")</f>
        <v>Luego resuelve el cubo Rubix en cuestión de segundos y muestra su tiempo a la cámara.</v>
      </c>
    </row>
    <row r="13199">
      <c r="A13199" s="4" t="s">
        <v>16609</v>
      </c>
      <c r="B13199" s="4" t="s">
        <v>16610</v>
      </c>
      <c r="C13199" s="5" t="str">
        <f>IFERROR(__xludf.DUMMYFUNCTION("GOOGLETRANSLATE(B13199,""en"",""es-ES"")"),"Esta chica está haciendo un video de cómo hacer que tus zapatos blancos se vuelvan brillantes.")</f>
        <v>Esta chica está haciendo un video de cómo hacer que tus zapatos blancos se vuelvan brillantes.</v>
      </c>
    </row>
    <row r="13200">
      <c r="A13200" s="4" t="s">
        <v>16609</v>
      </c>
      <c r="B13200" s="4" t="s">
        <v>16611</v>
      </c>
      <c r="C13200" s="5" t="str">
        <f>IFERROR(__xludf.DUMMYFUNCTION("GOOGLETRANSLATE(B13200,""en"",""es-ES"")"),"Necesitará un cepillo de dientes, en polvo para bebés, una taza de vidrio o un tazón, lejía y Q-tips, secador y agua.")</f>
        <v>Necesitará un cepillo de dientes, en polvo para bebés, una taza de vidrio o un tazón, lejía y Q-tips, secador y agua.</v>
      </c>
    </row>
    <row r="13201">
      <c r="A13201" s="4" t="s">
        <v>16609</v>
      </c>
      <c r="B13201" s="4" t="s">
        <v>16612</v>
      </c>
      <c r="C13201" s="5" t="str">
        <f>IFERROR(__xludf.DUMMYFUNCTION("GOOGLETRANSLATE(B13201,""en"",""es-ES"")"),"Primero, agrega agua, vierte un poco de polvo de bebé en el tazón pequeño y lo mezcla con el cepillo de dientes.")</f>
        <v>Primero, agrega agua, vierte un poco de polvo de bebé en el tazón pequeño y lo mezcla con el cepillo de dientes.</v>
      </c>
    </row>
    <row r="13202">
      <c r="A13202" s="4" t="s">
        <v>16609</v>
      </c>
      <c r="B13202" s="4" t="s">
        <v>16613</v>
      </c>
      <c r="C13202" s="5" t="str">
        <f>IFERROR(__xludf.DUMMYFUNCTION("GOOGLETRANSLATE(B13202,""en"",""es-ES"")"),"Ella pone el cepillo de dientes empapado en polvo de bebé en el zapato y comienza a frotarlo allí.")</f>
        <v>Ella pone el cepillo de dientes empapado en polvo de bebé en el zapato y comienza a frotarlo allí.</v>
      </c>
    </row>
    <row r="13203">
      <c r="A13203" s="4" t="s">
        <v>16609</v>
      </c>
      <c r="B13203" s="4" t="s">
        <v>16614</v>
      </c>
      <c r="C13203" s="5" t="str">
        <f>IFERROR(__xludf.DUMMYFUNCTION("GOOGLETRANSLATE(B13203,""en"",""es-ES"")"),"Luego agarra el secador y BlowDrys el zapato y los frota nuevamente.")</f>
        <v>Luego agarra el secador y BlowDrys el zapato y los frota nuevamente.</v>
      </c>
    </row>
    <row r="13204">
      <c r="A13204" s="4" t="s">
        <v>16609</v>
      </c>
      <c r="B13204" s="4" t="s">
        <v>16615</v>
      </c>
      <c r="C13204" s="5" t="str">
        <f>IFERROR(__xludf.DUMMYFUNCTION("GOOGLETRANSLATE(B13204,""en"",""es-ES"")"),"Luego vierte lejía en el tazón pequeño que tiene polvo de bebé y pone el cepillo de dientes en el tazón y lo frota nuevamente en el zapato.")</f>
        <v>Luego vierte lejía en el tazón pequeño que tiene polvo de bebé y pone el cepillo de dientes en el tazón y lo frota nuevamente en el zapato.</v>
      </c>
    </row>
    <row r="13205">
      <c r="A13205" s="4" t="s">
        <v>16609</v>
      </c>
      <c r="B13205" s="4" t="s">
        <v>16616</v>
      </c>
      <c r="C13205" s="5" t="str">
        <f>IFERROR(__xludf.DUMMYFUNCTION("GOOGLETRANSLATE(B13205,""en"",""es-ES"")"),"Finalmente, ella huele un paño con agua y limpia el zapato.")</f>
        <v>Finalmente, ella huele un paño con agua y limpia el zapato.</v>
      </c>
    </row>
    <row r="13206">
      <c r="A13206" s="4" t="s">
        <v>16617</v>
      </c>
      <c r="B13206" s="4" t="s">
        <v>16618</v>
      </c>
      <c r="C13206" s="5" t="str">
        <f>IFERROR(__xludf.DUMMYFUNCTION("GOOGLETRANSLATE(B13206,""en"",""es-ES"")"),"Un hombre y una mujer están luchando contra la mesa en una mesa.")</f>
        <v>Un hombre y una mujer están luchando contra la mesa en una mesa.</v>
      </c>
    </row>
    <row r="13207">
      <c r="A13207" s="4" t="s">
        <v>16617</v>
      </c>
      <c r="B13207" s="4" t="s">
        <v>16619</v>
      </c>
      <c r="C13207" s="5" t="str">
        <f>IFERROR(__xludf.DUMMYFUNCTION("GOOGLETRANSLATE(B13207,""en"",""es-ES"")"),"Una mujer con una camisa blanca pasa junto a ellos.")</f>
        <v>Una mujer con una camisa blanca pasa junto a ellos.</v>
      </c>
    </row>
    <row r="13208">
      <c r="A13208" s="4" t="s">
        <v>16617</v>
      </c>
      <c r="B13208" s="4" t="s">
        <v>16620</v>
      </c>
      <c r="C13208" s="5" t="str">
        <f>IFERROR(__xludf.DUMMYFUNCTION("GOOGLETRANSLATE(B13208,""en"",""es-ES"")"),"La mujer gana y se aleja.")</f>
        <v>La mujer gana y se aleja.</v>
      </c>
    </row>
    <row r="13209">
      <c r="A13209" s="4" t="s">
        <v>16621</v>
      </c>
      <c r="B13209" s="4" t="s">
        <v>16622</v>
      </c>
      <c r="C13209" s="5" t="str">
        <f>IFERROR(__xludf.DUMMYFUNCTION("GOOGLETRANSLATE(B13209,""en"",""es-ES"")"),"Un artista penetrante elimina un pañuelo de la nariz de una mujer y limpia la parte de la nariz.")</f>
        <v>Un artista penetrante elimina un pañuelo de la nariz de una mujer y limpia la parte de la nariz.</v>
      </c>
    </row>
    <row r="13210">
      <c r="A13210" s="4" t="s">
        <v>16621</v>
      </c>
      <c r="B13210" s="4" t="s">
        <v>16623</v>
      </c>
      <c r="C13210" s="5" t="str">
        <f>IFERROR(__xludf.DUMMYFUNCTION("GOOGLETRANSLATE(B13210,""en"",""es-ES"")"),"La mujer sostiene alicates de perforación contra la nariz de una mujer.")</f>
        <v>La mujer sostiene alicates de perforación contra la nariz de una mujer.</v>
      </c>
    </row>
    <row r="13211">
      <c r="A13211" s="4" t="s">
        <v>16621</v>
      </c>
      <c r="B13211" s="4" t="s">
        <v>16624</v>
      </c>
      <c r="C13211" s="5" t="str">
        <f>IFERROR(__xludf.DUMMYFUNCTION("GOOGLETRANSLATE(B13211,""en"",""es-ES"")"),"Ella perfora una aguja por la nariz y sostiene los alicates en su lugar.")</f>
        <v>Ella perfora una aguja por la nariz y sostiene los alicates en su lugar.</v>
      </c>
    </row>
    <row r="13212">
      <c r="A13212" s="4" t="s">
        <v>16621</v>
      </c>
      <c r="B13212" s="4" t="s">
        <v>16625</v>
      </c>
      <c r="C13212" s="5" t="str">
        <f>IFERROR(__xludf.DUMMYFUNCTION("GOOGLETRANSLATE(B13212,""en"",""es-ES"")"),"Ella quita los alicates de la nariz de la mujer.")</f>
        <v>Ella quita los alicates de la nariz de la mujer.</v>
      </c>
    </row>
    <row r="13213">
      <c r="A13213" s="4" t="s">
        <v>16621</v>
      </c>
      <c r="B13213" s="4" t="s">
        <v>16626</v>
      </c>
      <c r="C13213" s="5" t="str">
        <f>IFERROR(__xludf.DUMMYFUNCTION("GOOGLETRANSLATE(B13213,""en"",""es-ES"")"),"La mujer sentada habla.")</f>
        <v>La mujer sentada habla.</v>
      </c>
    </row>
    <row r="13214">
      <c r="A13214" s="4" t="s">
        <v>16621</v>
      </c>
      <c r="B13214" s="4" t="s">
        <v>16627</v>
      </c>
      <c r="C13214" s="5" t="str">
        <f>IFERROR(__xludf.DUMMYFUNCTION("GOOGLETRANSLATE(B13214,""en"",""es-ES"")"),"La artista penetrante toca la aguja y la nariz mientras se atornilla un anillo de la nariz.")</f>
        <v>La artista penetrante toca la aguja y la nariz mientras se atornilla un anillo de la nariz.</v>
      </c>
    </row>
    <row r="13215">
      <c r="A13215" s="4" t="s">
        <v>16621</v>
      </c>
      <c r="B13215" s="4" t="s">
        <v>16628</v>
      </c>
      <c r="C13215" s="5" t="str">
        <f>IFERROR(__xludf.DUMMYFUNCTION("GOOGLETRANSLATE(B13215,""en"",""es-ES"")"),"Los artistas penetrantes organizan la perforación dentro de la nariz con algunos alicates.")</f>
        <v>Los artistas penetrantes organizan la perforación dentro de la nariz con algunos alicates.</v>
      </c>
    </row>
    <row r="13216">
      <c r="A13216" s="4" t="s">
        <v>16621</v>
      </c>
      <c r="B13216" s="4" t="s">
        <v>16629</v>
      </c>
      <c r="C13216" s="5" t="str">
        <f>IFERROR(__xludf.DUMMYFUNCTION("GOOGLETRANSLATE(B13216,""en"",""es-ES"")"),"El artista penetrante toca la perforación.")</f>
        <v>El artista penetrante toca la perforación.</v>
      </c>
    </row>
    <row r="13217">
      <c r="A13217" s="4" t="s">
        <v>16621</v>
      </c>
      <c r="B13217" s="4" t="s">
        <v>16630</v>
      </c>
      <c r="C13217" s="5" t="str">
        <f>IFERROR(__xludf.DUMMYFUNCTION("GOOGLETRANSLATE(B13217,""en"",""es-ES"")"),"Los artistas penetrantes usan un tejido para recolectar sangre alrededor de la perforación.")</f>
        <v>Los artistas penetrantes usan un tejido para recolectar sangre alrededor de la perforación.</v>
      </c>
    </row>
    <row r="13218">
      <c r="A13218" s="4" t="s">
        <v>16621</v>
      </c>
      <c r="B13218" s="4" t="s">
        <v>16631</v>
      </c>
      <c r="C13218" s="5" t="str">
        <f>IFERROR(__xludf.DUMMYFUNCTION("GOOGLETRANSLATE(B13218,""en"",""es-ES"")"),"Se ve una colección de obras de arte en la pared.")</f>
        <v>Se ve una colección de obras de arte en la pared.</v>
      </c>
    </row>
    <row r="13219">
      <c r="A13219" s="4" t="s">
        <v>16621</v>
      </c>
      <c r="B13219" s="4" t="s">
        <v>16632</v>
      </c>
      <c r="C13219" s="5" t="str">
        <f>IFERROR(__xludf.DUMMYFUNCTION("GOOGLETRANSLATE(B13219,""en"",""es-ES"")"),"El artista penetrante usa continuamente un tejido para limpiar la sangre de la nariz de la mujer.")</f>
        <v>El artista penetrante usa continuamente un tejido para limpiar la sangre de la nariz de la mujer.</v>
      </c>
    </row>
    <row r="13220">
      <c r="A13220" s="4" t="s">
        <v>16621</v>
      </c>
      <c r="B13220" s="4" t="s">
        <v>16633</v>
      </c>
      <c r="C13220" s="5" t="str">
        <f>IFERROR(__xludf.DUMMYFUNCTION("GOOGLETRANSLATE(B13220,""en"",""es-ES"")"),"La mujer se pone de pie y saluda.")</f>
        <v>La mujer se pone de pie y saluda.</v>
      </c>
    </row>
    <row r="13221">
      <c r="A13221" s="4" t="s">
        <v>16634</v>
      </c>
      <c r="B13221" s="4" t="s">
        <v>16635</v>
      </c>
      <c r="C13221" s="5" t="str">
        <f>IFERROR(__xludf.DUMMYFUNCTION("GOOGLETRANSLATE(B13221,""en"",""es-ES"")"),"Vemos un libro en una mesa.")</f>
        <v>Vemos un libro en una mesa.</v>
      </c>
    </row>
    <row r="13222">
      <c r="A13222" s="4" t="s">
        <v>16634</v>
      </c>
      <c r="B13222" s="4" t="s">
        <v>16636</v>
      </c>
      <c r="C13222" s="5" t="str">
        <f>IFERROR(__xludf.DUMMYFUNCTION("GOOGLETRANSLATE(B13222,""en"",""es-ES"")"),"Vemos imagen en el libro con videos de personas tejiendo.")</f>
        <v>Vemos imagen en el libro con videos de personas tejiendo.</v>
      </c>
    </row>
    <row r="13223">
      <c r="A13223" s="4" t="s">
        <v>16634</v>
      </c>
      <c r="B13223" s="4" t="s">
        <v>16637</v>
      </c>
      <c r="C13223" s="5" t="str">
        <f>IFERROR(__xludf.DUMMYFUNCTION("GOOGLETRANSLATE(B13223,""en"",""es-ES"")"),"Vemos a una dama enseñando a dos niñas.")</f>
        <v>Vemos a una dama enseñando a dos niñas.</v>
      </c>
    </row>
    <row r="13224">
      <c r="A13224" s="4" t="s">
        <v>16634</v>
      </c>
      <c r="B13224" s="4" t="s">
        <v>16638</v>
      </c>
      <c r="C13224" s="5" t="str">
        <f>IFERROR(__xludf.DUMMYFUNCTION("GOOGLETRANSLATE(B13224,""en"",""es-ES"")"),"Vemos a un maestro enseñando a un niño a tejer.")</f>
        <v>Vemos a un maestro enseñando a un niño a tejer.</v>
      </c>
    </row>
    <row r="13225">
      <c r="A13225" s="4" t="s">
        <v>16634</v>
      </c>
      <c r="B13225" s="4" t="s">
        <v>16639</v>
      </c>
      <c r="C13225" s="5" t="str">
        <f>IFERROR(__xludf.DUMMYFUNCTION("GOOGLETRANSLATE(B13225,""en"",""es-ES"")"),"Vemos a una dama que enseña a un grupo de niños a tejer.")</f>
        <v>Vemos a una dama que enseña a un grupo de niños a tejer.</v>
      </c>
    </row>
    <row r="13226">
      <c r="A13226" s="4" t="s">
        <v>16634</v>
      </c>
      <c r="B13226" s="4" t="s">
        <v>7242</v>
      </c>
      <c r="C13226" s="5" t="str">
        <f>IFERROR(__xludf.DUMMYFUNCTION("GOOGLETRANSLATE(B13226,""en"",""es-ES"")"),"Luego vemos la pantalla de cierre.")</f>
        <v>Luego vemos la pantalla de cierre.</v>
      </c>
    </row>
    <row r="13227">
      <c r="A13227" s="4" t="s">
        <v>16640</v>
      </c>
      <c r="B13227" s="4" t="s">
        <v>16641</v>
      </c>
      <c r="C13227" s="5" t="str">
        <f>IFERROR(__xludf.DUMMYFUNCTION("GOOGLETRANSLATE(B13227,""en"",""es-ES"")"),"Un grupo de niños está en autos de parachoques.")</f>
        <v>Un grupo de niños está en autos de parachoques.</v>
      </c>
    </row>
    <row r="13228">
      <c r="A13228" s="4" t="s">
        <v>16640</v>
      </c>
      <c r="B13228" s="4" t="s">
        <v>16642</v>
      </c>
      <c r="C13228" s="5" t="str">
        <f>IFERROR(__xludf.DUMMYFUNCTION("GOOGLETRANSLATE(B13228,""en"",""es-ES"")"),"Viajan, tratando de golpearse.")</f>
        <v>Viajan, tratando de golpearse.</v>
      </c>
    </row>
    <row r="13229">
      <c r="A13229" s="4" t="s">
        <v>16640</v>
      </c>
      <c r="B13229" s="4" t="s">
        <v>16643</v>
      </c>
      <c r="C13229" s="5" t="str">
        <f>IFERROR(__xludf.DUMMYFUNCTION("GOOGLETRANSLATE(B13229,""en"",""es-ES"")"),"Se topan con los otros autos a medida que avanzan.")</f>
        <v>Se topan con los otros autos a medida que avanzan.</v>
      </c>
    </row>
    <row r="13230">
      <c r="A13230" s="4" t="s">
        <v>16644</v>
      </c>
      <c r="B13230" s="4" t="s">
        <v>16645</v>
      </c>
      <c r="C13230" s="5" t="str">
        <f>IFERROR(__xludf.DUMMYFUNCTION("GOOGLETRANSLATE(B13230,""en"",""es-ES"")"),"Se ve a un hombre parado en un gran campo que se mantiene en una herramienta.")</f>
        <v>Se ve a un hombre parado en un gran campo que se mantiene en una herramienta.</v>
      </c>
    </row>
    <row r="13231">
      <c r="A13231" s="4" t="s">
        <v>16644</v>
      </c>
      <c r="B13231" s="4" t="s">
        <v>16646</v>
      </c>
      <c r="C13231" s="5" t="str">
        <f>IFERROR(__xludf.DUMMYFUNCTION("GOOGLETRANSLATE(B13231,""en"",""es-ES"")"),"El hombre luego usa la herramienta en la hierba en fuentes de él rápidamente.")</f>
        <v>El hombre luego usa la herramienta en la hierba en fuentes de él rápidamente.</v>
      </c>
    </row>
    <row r="13232">
      <c r="A13232" s="4" t="s">
        <v>16644</v>
      </c>
      <c r="B13232" s="4" t="s">
        <v>16647</v>
      </c>
      <c r="C13232" s="5" t="str">
        <f>IFERROR(__xludf.DUMMYFUNCTION("GOOGLETRANSLATE(B13232,""en"",""es-ES"")"),"El hombre continúa cortando la hierba mientras la cámara captura su movimiento.")</f>
        <v>El hombre continúa cortando la hierba mientras la cámara captura su movimiento.</v>
      </c>
    </row>
    <row r="13233">
      <c r="A13233" s="4" t="s">
        <v>16648</v>
      </c>
      <c r="B13233" s="4" t="s">
        <v>16649</v>
      </c>
      <c r="C13233" s="5" t="str">
        <f>IFERROR(__xludf.DUMMYFUNCTION("GOOGLETRANSLATE(B13233,""en"",""es-ES"")"),"Un hombre divide la madera dura para usar en estufas de madera.")</f>
        <v>Un hombre divide la madera dura para usar en estufas de madera.</v>
      </c>
    </row>
    <row r="13234">
      <c r="A13234" s="4" t="s">
        <v>16648</v>
      </c>
      <c r="B13234" s="4" t="s">
        <v>16650</v>
      </c>
      <c r="C13234" s="5" t="str">
        <f>IFERROR(__xludf.DUMMYFUNCTION("GOOGLETRANSLATE(B13234,""en"",""es-ES"")"),"Se utilizan dos técnicas, una con un hacha y otra con martillo y hacha.")</f>
        <v>Se utilizan dos técnicas, una con un hacha y otra con martillo y hacha.</v>
      </c>
    </row>
    <row r="13235">
      <c r="A13235" s="4" t="s">
        <v>16651</v>
      </c>
      <c r="B13235" s="4" t="s">
        <v>16652</v>
      </c>
      <c r="C13235" s="5" t="str">
        <f>IFERROR(__xludf.DUMMYFUNCTION("GOOGLETRANSLATE(B13235,""en"",""es-ES"")"),"Primero, el hombre coloca su temporizador unido a su pecho y se sienta y pone su pierna sobre el esquí.")</f>
        <v>Primero, el hombre coloca su temporizador unido a su pecho y se sienta y pone su pierna sobre el esquí.</v>
      </c>
    </row>
    <row r="13236">
      <c r="A13236" s="4" t="s">
        <v>16651</v>
      </c>
      <c r="B13236" s="4" t="s">
        <v>16653</v>
      </c>
      <c r="C13236" s="5" t="str">
        <f>IFERROR(__xludf.DUMMYFUNCTION("GOOGLETRANSLATE(B13236,""en"",""es-ES"")"),"Luego se levanta mientras se aferra a algo y comienza a esquiar en agua cuando el bote lo tira.")</f>
        <v>Luego se levanta mientras se aferra a algo y comienza a esquiar en agua cuando el bote lo tira.</v>
      </c>
    </row>
    <row r="13237">
      <c r="A13237" s="4" t="s">
        <v>16651</v>
      </c>
      <c r="B13237" s="4" t="s">
        <v>16654</v>
      </c>
      <c r="C13237" s="5" t="str">
        <f>IFERROR(__xludf.DUMMYFUNCTION("GOOGLETRANSLATE(B13237,""en"",""es-ES"")"),"Pero, finalmente se cae y es visto parado en el agua.")</f>
        <v>Pero, finalmente se cae y es visto parado en el agua.</v>
      </c>
    </row>
    <row r="13238">
      <c r="A13238" s="4" t="s">
        <v>16655</v>
      </c>
      <c r="B13238" s="4" t="s">
        <v>16656</v>
      </c>
      <c r="C13238" s="5" t="str">
        <f>IFERROR(__xludf.DUMMYFUNCTION("GOOGLETRANSLATE(B13238,""en"",""es-ES"")"),"Una mujer hace ejercicio en una máquina.")</f>
        <v>Una mujer hace ejercicio en una máquina.</v>
      </c>
    </row>
    <row r="13239">
      <c r="A13239" s="4" t="s">
        <v>16655</v>
      </c>
      <c r="B13239" s="4" t="s">
        <v>16657</v>
      </c>
      <c r="C13239" s="5" t="str">
        <f>IFERROR(__xludf.DUMMYFUNCTION("GOOGLETRANSLATE(B13239,""en"",""es-ES"")"),"La cámara se enfoca y presenta partes específicas de la máquina.")</f>
        <v>La cámara se enfoca y presenta partes específicas de la máquina.</v>
      </c>
    </row>
    <row r="13240">
      <c r="A13240" s="4" t="s">
        <v>16655</v>
      </c>
      <c r="B13240" s="4" t="s">
        <v>16658</v>
      </c>
      <c r="C13240" s="5" t="str">
        <f>IFERROR(__xludf.DUMMYFUNCTION("GOOGLETRANSLATE(B13240,""en"",""es-ES"")"),"La mujer demuestra doblar la máquina para el almacenamiento.")</f>
        <v>La mujer demuestra doblar la máquina para el almacenamiento.</v>
      </c>
    </row>
    <row r="13241">
      <c r="A13241" s="4" t="s">
        <v>16655</v>
      </c>
      <c r="B13241" s="4" t="s">
        <v>16659</v>
      </c>
      <c r="C13241" s="5" t="str">
        <f>IFERROR(__xludf.DUMMYFUNCTION("GOOGLETRANSLATE(B13241,""en"",""es-ES"")"),"La mujer continúa haciendo ejercicio en la máquina.")</f>
        <v>La mujer continúa haciendo ejercicio en la máquina.</v>
      </c>
    </row>
    <row r="13242">
      <c r="A13242" s="4" t="s">
        <v>16660</v>
      </c>
      <c r="B13242" s="4" t="s">
        <v>16661</v>
      </c>
      <c r="C13242" s="5" t="str">
        <f>IFERROR(__xludf.DUMMYFUNCTION("GOOGLETRANSLATE(B13242,""en"",""es-ES"")"),"Un grupo de hombres está afuera sentado alrededor de una fuente jugando un juego de rayos extrañamente dibujados.")</f>
        <v>Un grupo de hombres está afuera sentado alrededor de una fuente jugando un juego de rayos extrañamente dibujados.</v>
      </c>
    </row>
    <row r="13243">
      <c r="A13243" s="4" t="s">
        <v>16660</v>
      </c>
      <c r="B13243" s="4" t="s">
        <v>16662</v>
      </c>
      <c r="C13243" s="5" t="str">
        <f>IFERROR(__xludf.DUMMYFUNCTION("GOOGLETRANSLATE(B13243,""en"",""es-ES"")"),"Un niño toma su turno y luego todos comienzan a hablar de nuevo.")</f>
        <v>Un niño toma su turno y luego todos comienzan a hablar de nuevo.</v>
      </c>
    </row>
    <row r="13244">
      <c r="A13244" s="4" t="s">
        <v>16660</v>
      </c>
      <c r="B13244" s="4" t="s">
        <v>16663</v>
      </c>
      <c r="C13244" s="5" t="str">
        <f>IFERROR(__xludf.DUMMYFUNCTION("GOOGLETRANSLATE(B13244,""en"",""es-ES"")"),"Luego, un niño intenta saltar sobre los ladrillos pero termina cayendo.")</f>
        <v>Luego, un niño intenta saltar sobre los ladrillos pero termina cayendo.</v>
      </c>
    </row>
    <row r="13245">
      <c r="A13245" s="4" t="s">
        <v>16660</v>
      </c>
      <c r="B13245" s="4" t="s">
        <v>16664</v>
      </c>
      <c r="C13245" s="5" t="str">
        <f>IFERROR(__xludf.DUMMYFUNCTION("GOOGLETRANSLATE(B13245,""en"",""es-ES"")"),"Otro niño salta tras él y tiene éxito.")</f>
        <v>Otro niño salta tras él y tiene éxito.</v>
      </c>
    </row>
    <row r="13246">
      <c r="A13246" s="4" t="s">
        <v>16660</v>
      </c>
      <c r="B13246" s="4" t="s">
        <v>16665</v>
      </c>
      <c r="C13246" s="5" t="str">
        <f>IFERROR(__xludf.DUMMYFUNCTION("GOOGLETRANSLATE(B13246,""en"",""es-ES"")"),"Sin embargo, el siguiente niño salta y tiene que pararse en un pie y recoger todas las piezas lanzadas detrás de él.")</f>
        <v>Sin embargo, el siguiente niño salta y tiene que pararse en un pie y recoger todas las piezas lanzadas detrás de él.</v>
      </c>
    </row>
    <row r="13247">
      <c r="A13247" s="4" t="s">
        <v>16666</v>
      </c>
      <c r="B13247" s="4" t="s">
        <v>16667</v>
      </c>
      <c r="C13247" s="5" t="str">
        <f>IFERROR(__xludf.DUMMYFUNCTION("GOOGLETRANSLATE(B13247,""en"",""es-ES"")"),"Se ve a un hombre hablando con la cámara y lo lleva a sostener una herramienta y apuntando a varios arbustos.")</f>
        <v>Se ve a un hombre hablando con la cámara y lo lleva a sostener una herramienta y apuntando a varios arbustos.</v>
      </c>
    </row>
    <row r="13248">
      <c r="A13248" s="4" t="s">
        <v>16666</v>
      </c>
      <c r="B13248" s="4" t="s">
        <v>16668</v>
      </c>
      <c r="C13248" s="5" t="str">
        <f>IFERROR(__xludf.DUMMYFUNCTION("GOOGLETRANSLATE(B13248,""en"",""es-ES"")"),"El hombre luego se recorta a lo largo del arbusto mientras se detiene para hablar con la cámara y sosteniendo la herramienta.")</f>
        <v>El hombre luego se recorta a lo largo del arbusto mientras se detiene para hablar con la cámara y sosteniendo la herramienta.</v>
      </c>
    </row>
    <row r="13249">
      <c r="A13249" s="4" t="s">
        <v>16669</v>
      </c>
      <c r="B13249" s="4" t="s">
        <v>16670</v>
      </c>
      <c r="C13249" s="5" t="str">
        <f>IFERROR(__xludf.DUMMYFUNCTION("GOOGLETRANSLATE(B13249,""en"",""es-ES"")"),"Se ve a una gimnasta parada en una viga y comienza a realizar movimientos de gimnasia en la viga.")</f>
        <v>Se ve a una gimnasta parada en una viga y comienza a realizar movimientos de gimnasia en la viga.</v>
      </c>
    </row>
    <row r="13250">
      <c r="A13250" s="4" t="s">
        <v>16669</v>
      </c>
      <c r="B13250" s="4" t="s">
        <v>16671</v>
      </c>
      <c r="C13250" s="5" t="str">
        <f>IFERROR(__xludf.DUMMYFUNCTION("GOOGLETRANSLATE(B13250,""en"",""es-ES"")"),"La niña gira y voltea a lo largo de la viga mientras la cámara captura sus movimientos.")</f>
        <v>La niña gira y voltea a lo largo de la viga mientras la cámara captura sus movimientos.</v>
      </c>
    </row>
    <row r="13251">
      <c r="A13251" s="4" t="s">
        <v>16669</v>
      </c>
      <c r="B13251" s="4" t="s">
        <v>16672</v>
      </c>
      <c r="C13251" s="5" t="str">
        <f>IFERROR(__xludf.DUMMYFUNCTION("GOOGLETRANSLATE(B13251,""en"",""es-ES"")"),"Ella termina su rutina pero saltando por el costado con los brazos hacia arriba y alejándose.")</f>
        <v>Ella termina su rutina pero saltando por el costado con los brazos hacia arriba y alejándose.</v>
      </c>
    </row>
    <row r="13252">
      <c r="A13252" s="4" t="s">
        <v>16673</v>
      </c>
      <c r="B13252" s="4" t="s">
        <v>16674</v>
      </c>
      <c r="C13252" s="5" t="str">
        <f>IFERROR(__xludf.DUMMYFUNCTION("GOOGLETRANSLATE(B13252,""en"",""es-ES"")"),"Dos hombres caminan hacia el cañón en un patio en una barbacoa y los hombres alcanzan la última cerveza en el barril.")</f>
        <v>Dos hombres caminan hacia el cañón en un patio en una barbacoa y los hombres alcanzan la última cerveza en el barril.</v>
      </c>
    </row>
    <row r="13253">
      <c r="A13253" s="4" t="s">
        <v>16673</v>
      </c>
      <c r="B13253" s="4" t="s">
        <v>16675</v>
      </c>
      <c r="C13253" s="5" t="str">
        <f>IFERROR(__xludf.DUMMYFUNCTION("GOOGLETRANSLATE(B13253,""en"",""es-ES"")"),"Los hombres hacen tijeras de papel de roca y el hombre correcto golpea la izquierda con una roca, toma la cerveza y se va.")</f>
        <v>Los hombres hacen tijeras de papel de roca y el hombre correcto golpea la izquierda con una roca, toma la cerveza y se va.</v>
      </c>
    </row>
    <row r="13254">
      <c r="A13254" s="4" t="s">
        <v>16673</v>
      </c>
      <c r="B13254" s="4" t="s">
        <v>16676</v>
      </c>
      <c r="C13254" s="5" t="str">
        <f>IFERROR(__xludf.DUMMYFUNCTION("GOOGLETRANSLATE(B13254,""en"",""es-ES"")"),"Vemos una cerveza vertida en un vaso.")</f>
        <v>Vemos una cerveza vertida en un vaso.</v>
      </c>
    </row>
    <row r="13255">
      <c r="A13255" s="4" t="s">
        <v>16673</v>
      </c>
      <c r="B13255" s="4" t="s">
        <v>16677</v>
      </c>
      <c r="C13255" s="5" t="str">
        <f>IFERROR(__xludf.DUMMYFUNCTION("GOOGLETRANSLATE(B13255,""en"",""es-ES"")"),"Vemos al hombre herido con la mano en alto y un hombre pasa y le da un máximo.")</f>
        <v>Vemos al hombre herido con la mano en alto y un hombre pasa y le da un máximo.</v>
      </c>
    </row>
    <row r="13256">
      <c r="A13256" s="4" t="s">
        <v>16678</v>
      </c>
      <c r="B13256" s="4" t="s">
        <v>16679</v>
      </c>
      <c r="C13256" s="5" t="str">
        <f>IFERROR(__xludf.DUMMYFUNCTION("GOOGLETRANSLATE(B13256,""en"",""es-ES"")"),"Se ve a un hombre hablando con la cámara frente a un gran remolque en el estado de ánimo.")</f>
        <v>Se ve a un hombre hablando con la cámara frente a un gran remolque en el estado de ánimo.</v>
      </c>
    </row>
    <row r="13257">
      <c r="A13257" s="4" t="s">
        <v>16678</v>
      </c>
      <c r="B13257" s="4" t="s">
        <v>16680</v>
      </c>
      <c r="C13257" s="5" t="str">
        <f>IFERROR(__xludf.DUMMYFUNCTION("GOOGLETRANSLATE(B13257,""en"",""es-ES"")"),"Luego se ve al hombre arrodillado sobre un fuego y comienza a encender una llama en un pozo.")</f>
        <v>Luego se ve al hombre arrodillado sobre un fuego y comienza a encender una llama en un pozo.</v>
      </c>
    </row>
    <row r="13258">
      <c r="A13258" s="4" t="s">
        <v>16678</v>
      </c>
      <c r="B13258" s="4" t="s">
        <v>16681</v>
      </c>
      <c r="C13258" s="5" t="str">
        <f>IFERROR(__xludf.DUMMYFUNCTION("GOOGLETRANSLATE(B13258,""en"",""es-ES"")"),"Se ve a un niño caminando con una raqueta de tenis y señala el suelo mientras el hombre todavía está sentado frente al fuego.")</f>
        <v>Se ve a un niño caminando con una raqueta de tenis y señala el suelo mientras el hombre todavía está sentado frente al fuego.</v>
      </c>
    </row>
    <row r="13259">
      <c r="A13259" s="4" t="s">
        <v>16682</v>
      </c>
      <c r="B13259" s="4" t="s">
        <v>16683</v>
      </c>
      <c r="C13259" s="5" t="str">
        <f>IFERROR(__xludf.DUMMYFUNCTION("GOOGLETRANSLATE(B13259,""en"",""es-ES"")"),"Una introducción conduce a varios clips de diferentes atletas que realizan lanzamientos de disparos en un círculo.")</f>
        <v>Una introducción conduce a varios clips de diferentes atletas que realizan lanzamientos de disparos en un círculo.</v>
      </c>
    </row>
    <row r="13260">
      <c r="A13260" s="4" t="s">
        <v>16682</v>
      </c>
      <c r="B13260" s="4" t="s">
        <v>16684</v>
      </c>
      <c r="C13260" s="5" t="str">
        <f>IFERROR(__xludf.DUMMYFUNCTION("GOOGLETRANSLATE(B13260,""en"",""es-ES"")"),"Más hombres continúan dando un paso adelante y lanzando el objeto mientras muchos observan al margen.")</f>
        <v>Más hombres continúan dando un paso adelante y lanzando el objeto mientras muchos observan al margen.</v>
      </c>
    </row>
    <row r="13261">
      <c r="A13261" s="4" t="s">
        <v>16685</v>
      </c>
      <c r="B13261" s="4" t="s">
        <v>16686</v>
      </c>
      <c r="C13261" s="5" t="str">
        <f>IFERROR(__xludf.DUMMYFUNCTION("GOOGLETRANSLATE(B13261,""en"",""es-ES"")"),"Una adolescente se sienta en el suelo sosteniendo un zapato.")</f>
        <v>Una adolescente se sienta en el suelo sosteniendo un zapato.</v>
      </c>
    </row>
    <row r="13262">
      <c r="A13262" s="4" t="s">
        <v>16685</v>
      </c>
      <c r="B13262" s="4" t="s">
        <v>16687</v>
      </c>
      <c r="C13262" s="5" t="str">
        <f>IFERROR(__xludf.DUMMYFUNCTION("GOOGLETRANSLATE(B13262,""en"",""es-ES"")"),"Luego se muestra limpiando el zapato con una solución de limpieza.")</f>
        <v>Luego se muestra limpiando el zapato con una solución de limpieza.</v>
      </c>
    </row>
    <row r="13263">
      <c r="A13263" s="4" t="s">
        <v>16685</v>
      </c>
      <c r="B13263" s="4" t="s">
        <v>16688</v>
      </c>
      <c r="C13263" s="5" t="str">
        <f>IFERROR(__xludf.DUMMYFUNCTION("GOOGLETRANSLATE(B13263,""en"",""es-ES"")"),"Ella muestra el zapato de cerca después de que termine.")</f>
        <v>Ella muestra el zapato de cerca después de que termine.</v>
      </c>
    </row>
    <row r="13264">
      <c r="A13264" s="4" t="s">
        <v>16689</v>
      </c>
      <c r="B13264" s="4" t="s">
        <v>16690</v>
      </c>
      <c r="C13264" s="5" t="str">
        <f>IFERROR(__xludf.DUMMYFUNCTION("GOOGLETRANSLATE(B13264,""en"",""es-ES"")"),"Un hombre está parado afuera de una gran ventana y comienza a limpiarlo con un palo largo.")</f>
        <v>Un hombre está parado afuera de una gran ventana y comienza a limpiarlo con un palo largo.</v>
      </c>
    </row>
    <row r="13265">
      <c r="A13265" s="4" t="s">
        <v>16689</v>
      </c>
      <c r="B13265" s="4" t="s">
        <v>16691</v>
      </c>
      <c r="C13265" s="5" t="str">
        <f>IFERROR(__xludf.DUMMYFUNCTION("GOOGLETRANSLATE(B13265,""en"",""es-ES"")"),"Uno de la ventana está húmeda, toma la navaja como palo y la arrastra hacia arriba y hacia abajo sacando el agua.")</f>
        <v>Uno de la ventana está húmeda, toma la navaja como palo y la arrastra hacia arriba y hacia abajo sacando el agua.</v>
      </c>
    </row>
    <row r="13266">
      <c r="A13266" s="4" t="s">
        <v>16689</v>
      </c>
      <c r="B13266" s="4" t="s">
        <v>16692</v>
      </c>
      <c r="C13266" s="5" t="str">
        <f>IFERROR(__xludf.DUMMYFUNCTION("GOOGLETRANSLATE(B13266,""en"",""es-ES"")"),"Después de completar las dos ventanas superiores, deja las otras dos intactas y se aleja.")</f>
        <v>Después de completar las dos ventanas superiores, deja las otras dos intactas y se aleja.</v>
      </c>
    </row>
    <row r="13267">
      <c r="A13267" s="4" t="s">
        <v>16693</v>
      </c>
      <c r="B13267" s="4" t="s">
        <v>16694</v>
      </c>
      <c r="C13267" s="5" t="str">
        <f>IFERROR(__xludf.DUMMYFUNCTION("GOOGLETRANSLATE(B13267,""en"",""es-ES"")"),"Un hombre se inclina en las rodillas frente a una barra.")</f>
        <v>Un hombre se inclina en las rodillas frente a una barra.</v>
      </c>
    </row>
    <row r="13268">
      <c r="A13268" s="4" t="s">
        <v>16693</v>
      </c>
      <c r="B13268" s="4" t="s">
        <v>16695</v>
      </c>
      <c r="C13268" s="5" t="str">
        <f>IFERROR(__xludf.DUMMYFUNCTION("GOOGLETRANSLATE(B13268,""en"",""es-ES"")"),"Lo levanta lentamente, llevándolo a su pecho.")</f>
        <v>Lo levanta lentamente, llevándolo a su pecho.</v>
      </c>
    </row>
    <row r="13269">
      <c r="A13269" s="4" t="s">
        <v>16693</v>
      </c>
      <c r="B13269" s="4" t="s">
        <v>16696</v>
      </c>
      <c r="C13269" s="5" t="str">
        <f>IFERROR(__xludf.DUMMYFUNCTION("GOOGLETRANSLATE(B13269,""en"",""es-ES"")"),"Hace una pausa, luego lo levanta sobre su cabeza antes de volver al suelo.")</f>
        <v>Hace una pausa, luego lo levanta sobre su cabeza antes de volver al suelo.</v>
      </c>
    </row>
    <row r="13270">
      <c r="A13270" s="4" t="s">
        <v>16697</v>
      </c>
      <c r="B13270" s="4" t="s">
        <v>16698</v>
      </c>
      <c r="C13270" s="5" t="str">
        <f>IFERROR(__xludf.DUMMYFUNCTION("GOOGLETRANSLATE(B13270,""en"",""es-ES"")"),"Un hombre está parado en una repisa de una torre.")</f>
        <v>Un hombre está parado en una repisa de una torre.</v>
      </c>
    </row>
    <row r="13271">
      <c r="A13271" s="4" t="s">
        <v>16697</v>
      </c>
      <c r="B13271" s="4" t="s">
        <v>16699</v>
      </c>
      <c r="C13271" s="5" t="str">
        <f>IFERROR(__xludf.DUMMYFUNCTION("GOOGLETRANSLATE(B13271,""en"",""es-ES"")"),"Salta y salta el bungee.")</f>
        <v>Salta y salta el bungee.</v>
      </c>
    </row>
    <row r="13272">
      <c r="A13272" s="4" t="s">
        <v>16697</v>
      </c>
      <c r="B13272" s="4" t="s">
        <v>16700</v>
      </c>
      <c r="C13272" s="5" t="str">
        <f>IFERROR(__xludf.DUMMYFUNCTION("GOOGLETRANSLATE(B13272,""en"",""es-ES"")"),"Se muestra en cámara lenta.")</f>
        <v>Se muestra en cámara lenta.</v>
      </c>
    </row>
    <row r="13273">
      <c r="A13273" s="4" t="s">
        <v>16701</v>
      </c>
      <c r="B13273" s="4" t="s">
        <v>16702</v>
      </c>
      <c r="C13273" s="5" t="str">
        <f>IFERROR(__xludf.DUMMYFUNCTION("GOOGLETRANSLATE(B13273,""en"",""es-ES"")"),"La cámara se desplaza alrededor de varios hombres que beben un gran recipiente de alcohol y la cámara que vuelve al principio.")</f>
        <v>La cámara se desplaza alrededor de varios hombres que beben un gran recipiente de alcohol y la cámara que vuelve al principio.</v>
      </c>
    </row>
    <row r="13274">
      <c r="A13274" s="4" t="s">
        <v>16701</v>
      </c>
      <c r="B13274" s="4" t="s">
        <v>16703</v>
      </c>
      <c r="C13274" s="5" t="str">
        <f>IFERROR(__xludf.DUMMYFUNCTION("GOOGLETRANSLATE(B13274,""en"",""es-ES"")"),"La cámara continúa capturando a los hombres bebiendo y hablando entre ellos y uno frotándose los ojos al final.")</f>
        <v>La cámara continúa capturando a los hombres bebiendo y hablando entre ellos y uno frotándose los ojos al final.</v>
      </c>
    </row>
    <row r="13275">
      <c r="A13275" s="4" t="s">
        <v>16704</v>
      </c>
      <c r="B13275" s="4" t="s">
        <v>16705</v>
      </c>
      <c r="C13275" s="5" t="str">
        <f>IFERROR(__xludf.DUMMYFUNCTION("GOOGLETRANSLATE(B13275,""en"",""es-ES"")"),"Un joven está sentado en una sala de estar.")</f>
        <v>Un joven está sentado en una sala de estar.</v>
      </c>
    </row>
    <row r="13276">
      <c r="A13276" s="4" t="s">
        <v>16704</v>
      </c>
      <c r="B13276" s="4" t="s">
        <v>16706</v>
      </c>
      <c r="C13276" s="5" t="str">
        <f>IFERROR(__xludf.DUMMYFUNCTION("GOOGLETRANSLATE(B13276,""en"",""es-ES"")"),"Está tocando un teclado electrónico.")</f>
        <v>Está tocando un teclado electrónico.</v>
      </c>
    </row>
    <row r="13277">
      <c r="A13277" s="4" t="s">
        <v>16704</v>
      </c>
      <c r="B13277" s="4" t="s">
        <v>16707</v>
      </c>
      <c r="C13277" s="5" t="str">
        <f>IFERROR(__xludf.DUMMYFUNCTION("GOOGLETRANSLATE(B13277,""en"",""es-ES"")"),"El teclado está imprimiendo un documento a medida que avanza.")</f>
        <v>El teclado está imprimiendo un documento a medida que avanza.</v>
      </c>
    </row>
    <row r="13278">
      <c r="A13278" s="4" t="s">
        <v>16708</v>
      </c>
      <c r="B13278" s="4" t="s">
        <v>16709</v>
      </c>
      <c r="C13278" s="5" t="str">
        <f>IFERROR(__xludf.DUMMYFUNCTION("GOOGLETRANSLATE(B13278,""en"",""es-ES"")"),"Una señora explica las bebidas y la mezcla de ellas, toma una taza con hielo y le agrega un poco de licor usando un vaso de chupito para obtener la medición correcta.")</f>
        <v>Una señora explica las bebidas y la mezcla de ellas, toma una taza con hielo y le agrega un poco de licor usando un vaso de chupito para obtener la medición correcta.</v>
      </c>
    </row>
    <row r="13279">
      <c r="A13279" s="4" t="s">
        <v>16708</v>
      </c>
      <c r="B13279" s="4" t="s">
        <v>16710</v>
      </c>
      <c r="C13279" s="5" t="str">
        <f>IFERROR(__xludf.DUMMYFUNCTION("GOOGLETRANSLATE(B13279,""en"",""es-ES"")"),"La señora luego mezcla otro tipo de licor al primer tipo que vertió en el vidrio.")</f>
        <v>La señora luego mezcla otro tipo de licor al primer tipo que vertió en el vidrio.</v>
      </c>
    </row>
    <row r="13280">
      <c r="A13280" s="4" t="s">
        <v>16708</v>
      </c>
      <c r="B13280" s="4" t="s">
        <v>16711</v>
      </c>
      <c r="C13280" s="5" t="str">
        <f>IFERROR(__xludf.DUMMYFUNCTION("GOOGLETRANSLATE(B13280,""en"",""es-ES"")"),"Finalmente agrega un tipo de jugo a la bebida con una naranja en rodajas y paja.")</f>
        <v>Finalmente agrega un tipo de jugo a la bebida con una naranja en rodajas y paja.</v>
      </c>
    </row>
    <row r="13281">
      <c r="A13281" s="4" t="s">
        <v>16712</v>
      </c>
      <c r="B13281" s="4" t="s">
        <v>16713</v>
      </c>
      <c r="C13281" s="5" t="str">
        <f>IFERROR(__xludf.DUMMYFUNCTION("GOOGLETRANSLATE(B13281,""en"",""es-ES"")"),"Un hombre está girando en círculos y lanzando una discusión para una competencia.")</f>
        <v>Un hombre está girando en círculos y lanzando una discusión para una competencia.</v>
      </c>
    </row>
    <row r="13282">
      <c r="A13282" s="4" t="s">
        <v>16712</v>
      </c>
      <c r="B13282" s="4" t="s">
        <v>16714</v>
      </c>
      <c r="C13282" s="5" t="str">
        <f>IFERROR(__xludf.DUMMYFUNCTION("GOOGLETRANSLATE(B13282,""en"",""es-ES"")"),"El video se ralentiza y muestra el mismo lanzamiento pero en cámara lenta.")</f>
        <v>El video se ralentiza y muestra el mismo lanzamiento pero en cámara lenta.</v>
      </c>
    </row>
    <row r="13283">
      <c r="A13283" s="4" t="s">
        <v>16712</v>
      </c>
      <c r="B13283" s="4" t="s">
        <v>16715</v>
      </c>
      <c r="C13283" s="5" t="str">
        <f>IFERROR(__xludf.DUMMYFUNCTION("GOOGLETRANSLATE(B13283,""en"",""es-ES"")"),"Otro hombre se acerca al plato y lanza la discusión.")</f>
        <v>Otro hombre se acerca al plato y lanza la discusión.</v>
      </c>
    </row>
    <row r="13284">
      <c r="A13284" s="4" t="s">
        <v>16712</v>
      </c>
      <c r="B13284" s="4" t="s">
        <v>16716</v>
      </c>
      <c r="C13284" s="5" t="str">
        <f>IFERROR(__xludf.DUMMYFUNCTION("GOOGLETRANSLATE(B13284,""en"",""es-ES"")"),"Nuevamente, el video se ralentiza y muestra el mismo lanzamiento en cámara lenta.")</f>
        <v>Nuevamente, el video se ralentiza y muestra el mismo lanzamiento en cámara lenta.</v>
      </c>
    </row>
    <row r="13285">
      <c r="A13285" s="4" t="s">
        <v>16712</v>
      </c>
      <c r="B13285" s="4" t="s">
        <v>16717</v>
      </c>
      <c r="C13285" s="5" t="str">
        <f>IFERROR(__xludf.DUMMYFUNCTION("GOOGLETRANSLATE(B13285,""en"",""es-ES"")"),"Un tercer jugador da un paso adelante y lanza la discusión en cámara lenta.")</f>
        <v>Un tercer jugador da un paso adelante y lanza la discusión en cámara lenta.</v>
      </c>
    </row>
    <row r="13286">
      <c r="A13286" s="4" t="s">
        <v>16712</v>
      </c>
      <c r="B13286" s="4" t="s">
        <v>16718</v>
      </c>
      <c r="C13286" s="5" t="str">
        <f>IFERROR(__xludf.DUMMYFUNCTION("GOOGLETRANSLATE(B13286,""en"",""es-ES"")"),"Varios otros jugadores dan un paso adelante y dan su turno lanzando el disco.")</f>
        <v>Varios otros jugadores dan un paso adelante y dan su turno lanzando el disco.</v>
      </c>
    </row>
    <row r="13287">
      <c r="A13287" s="4" t="s">
        <v>16719</v>
      </c>
      <c r="B13287" s="4" t="s">
        <v>16720</v>
      </c>
      <c r="C13287" s="5" t="str">
        <f>IFERROR(__xludf.DUMMYFUNCTION("GOOGLETRANSLATE(B13287,""en"",""es-ES"")"),"Vemos una imagen de una dama y un niño.")</f>
        <v>Vemos una imagen de una dama y un niño.</v>
      </c>
    </row>
    <row r="13288">
      <c r="A13288" s="4" t="s">
        <v>16719</v>
      </c>
      <c r="B13288" s="4" t="s">
        <v>16721</v>
      </c>
      <c r="C13288" s="5" t="str">
        <f>IFERROR(__xludf.DUMMYFUNCTION("GOOGLETRANSLATE(B13288,""en"",""es-ES"")"),"La dama se desvanece, la niña toca una flauta y vemos a un hombre.")</f>
        <v>La dama se desvanece, la niña toca una flauta y vemos a un hombre.</v>
      </c>
    </row>
    <row r="13289">
      <c r="A13289" s="4" t="s">
        <v>16719</v>
      </c>
      <c r="B13289" s="4" t="s">
        <v>16722</v>
      </c>
      <c r="C13289" s="5" t="str">
        <f>IFERROR(__xludf.DUMMYFUNCTION("GOOGLETRANSLATE(B13289,""en"",""es-ES"")"),"El hombre está llorando mientras el niño juega, vemos a la gente en el cielo.")</f>
        <v>El hombre está llorando mientras el niño juega, vemos a la gente en el cielo.</v>
      </c>
    </row>
    <row r="13290">
      <c r="A13290" s="4" t="s">
        <v>16719</v>
      </c>
      <c r="B13290" s="4" t="s">
        <v>16723</v>
      </c>
      <c r="C13290" s="5" t="str">
        <f>IFERROR(__xludf.DUMMYFUNCTION("GOOGLETRANSLATE(B13290,""en"",""es-ES"")"),"Vemos a un hombre y una mujer abrazando en el cielo.")</f>
        <v>Vemos a un hombre y una mujer abrazando en el cielo.</v>
      </c>
    </row>
    <row r="13291">
      <c r="A13291" s="4" t="s">
        <v>16719</v>
      </c>
      <c r="B13291" s="4" t="s">
        <v>16724</v>
      </c>
      <c r="C13291" s="5" t="str">
        <f>IFERROR(__xludf.DUMMYFUNCTION("GOOGLETRANSLATE(B13291,""en"",""es-ES"")"),"Vemos imágenes de la naturaleza.")</f>
        <v>Vemos imágenes de la naturaleza.</v>
      </c>
    </row>
    <row r="13292">
      <c r="A13292" s="4" t="s">
        <v>16719</v>
      </c>
      <c r="B13292" s="4" t="s">
        <v>16725</v>
      </c>
      <c r="C13292" s="5" t="str">
        <f>IFERROR(__xludf.DUMMYFUNCTION("GOOGLETRANSLATE(B13292,""en"",""es-ES"")"),"La gente en el cielo se inclina y baila.")</f>
        <v>La gente en el cielo se inclina y baila.</v>
      </c>
    </row>
    <row r="13293">
      <c r="A13293" s="4" t="s">
        <v>16719</v>
      </c>
      <c r="B13293" s="4" t="s">
        <v>16726</v>
      </c>
      <c r="C13293" s="5" t="str">
        <f>IFERROR(__xludf.DUMMYFUNCTION("GOOGLETRANSLATE(B13293,""en"",""es-ES"")"),"El hombre se acuesta en una posición de oración.")</f>
        <v>El hombre se acuesta en una posición de oración.</v>
      </c>
    </row>
    <row r="13294">
      <c r="A13294" s="4" t="s">
        <v>16719</v>
      </c>
      <c r="B13294" s="4" t="s">
        <v>16727</v>
      </c>
      <c r="C13294" s="5" t="str">
        <f>IFERROR(__xludf.DUMMYFUNCTION("GOOGLETRANSLATE(B13294,""en"",""es-ES"")"),"El niño termina de tocar la flauta.")</f>
        <v>El niño termina de tocar la flauta.</v>
      </c>
    </row>
    <row r="13295">
      <c r="A13295" s="4" t="s">
        <v>16728</v>
      </c>
      <c r="B13295" s="4" t="s">
        <v>16729</v>
      </c>
      <c r="C13295" s="5" t="str">
        <f>IFERROR(__xludf.DUMMYFUNCTION("GOOGLETRANSLATE(B13295,""en"",""es-ES"")"),"La cámara se mueve alrededor de varias picaduras sentadas en un bar, así como los camareros que atienden las necesidades de las personas.")</f>
        <v>La cámara se mueve alrededor de varias picaduras sentadas en un bar, así como los camareros que atienden las necesidades de las personas.</v>
      </c>
    </row>
    <row r="13296">
      <c r="A13296" s="4" t="s">
        <v>16728</v>
      </c>
      <c r="B13296" s="4" t="s">
        <v>16730</v>
      </c>
      <c r="C13296" s="5" t="str">
        <f>IFERROR(__xludf.DUMMYFUNCTION("GOOGLETRANSLATE(B13296,""en"",""es-ES"")"),"Se muestran más tomas de personas que interactúan en el restaurante y finalmente las personas que hablan con la cámara.")</f>
        <v>Se muestran más tomas de personas que interactúan en el restaurante y finalmente las personas que hablan con la cámara.</v>
      </c>
    </row>
    <row r="13297">
      <c r="A13297" s="4" t="s">
        <v>16731</v>
      </c>
      <c r="B13297" s="4" t="s">
        <v>16732</v>
      </c>
      <c r="C13297" s="5" t="str">
        <f>IFERROR(__xludf.DUMMYFUNCTION("GOOGLETRANSLATE(B13297,""en"",""es-ES"")"),"Se ve a una mujer joven cepillándose el cabello que lo lleva a hablar con la cámara.")</f>
        <v>Se ve a una mujer joven cepillándose el cabello que lo lleva a hablar con la cámara.</v>
      </c>
    </row>
    <row r="13298">
      <c r="A13298" s="4" t="s">
        <v>16731</v>
      </c>
      <c r="B13298" s="4" t="s">
        <v>16733</v>
      </c>
      <c r="C13298" s="5" t="str">
        <f>IFERROR(__xludf.DUMMYFUNCTION("GOOGLETRANSLATE(B13298,""en"",""es-ES"")"),"Ella levanta varios pinceles mientras habla con la cámara, así como varios objetos.")</f>
        <v>Ella levanta varios pinceles mientras habla con la cámara, así como varios objetos.</v>
      </c>
    </row>
    <row r="13299">
      <c r="A13299" s="4" t="s">
        <v>16731</v>
      </c>
      <c r="B13299" s="4" t="s">
        <v>16734</v>
      </c>
      <c r="C13299" s="5" t="str">
        <f>IFERROR(__xludf.DUMMYFUNCTION("GOOGLETRANSLATE(B13299,""en"",""es-ES"")"),"Ella usa tijeras para sacar el cabello de un cepillo, así como un cepillo de dientes y un tazón para limpiar sus cepillos.")</f>
        <v>Ella usa tijeras para sacar el cabello de un cepillo, así como un cepillo de dientes y un tazón para limpiar sus cepillos.</v>
      </c>
    </row>
    <row r="13300">
      <c r="A13300" s="4" t="s">
        <v>16735</v>
      </c>
      <c r="B13300" s="4" t="s">
        <v>16736</v>
      </c>
      <c r="C13300" s="5" t="str">
        <f>IFERROR(__xludf.DUMMYFUNCTION("GOOGLETRANSLATE(B13300,""en"",""es-ES"")"),"Un joven baila en una habitación moviendo las manos y poniéndose detrás de la espalda.")</f>
        <v>Un joven baila en una habitación moviendo las manos y poniéndose detrás de la espalda.</v>
      </c>
    </row>
    <row r="13301">
      <c r="A13301" s="4" t="s">
        <v>16735</v>
      </c>
      <c r="B13301" s="4" t="s">
        <v>16737</v>
      </c>
      <c r="C13301" s="5" t="str">
        <f>IFERROR(__xludf.DUMMYFUNCTION("GOOGLETRANSLATE(B13301,""en"",""es-ES"")"),"Entonces, el hombre puso su mano detrás de su cabeza.")</f>
        <v>Entonces, el hombre puso su mano detrás de su cabeza.</v>
      </c>
    </row>
    <row r="13302">
      <c r="A13302" s="4" t="s">
        <v>16735</v>
      </c>
      <c r="B13302" s="4" t="s">
        <v>16738</v>
      </c>
      <c r="C13302" s="5" t="str">
        <f>IFERROR(__xludf.DUMMYFUNCTION("GOOGLETRANSLATE(B13302,""en"",""es-ES"")"),"El reflejo del hombre está en el espejo.")</f>
        <v>El reflejo del hombre está en el espejo.</v>
      </c>
    </row>
    <row r="13303">
      <c r="A13303" s="4" t="s">
        <v>16739</v>
      </c>
      <c r="B13303" s="4" t="s">
        <v>16740</v>
      </c>
      <c r="C13303" s="5" t="str">
        <f>IFERROR(__xludf.DUMMYFUNCTION("GOOGLETRANSLATE(B13303,""en"",""es-ES"")"),"Se ve a un hombre parado sobre zancos en una plaza de la ciudad, mientras que otras personas a su alrededor de él.")</f>
        <v>Se ve a un hombre parado sobre zancos en una plaza de la ciudad, mientras que otras personas a su alrededor de él.</v>
      </c>
    </row>
    <row r="13304">
      <c r="A13304" s="4" t="s">
        <v>16739</v>
      </c>
      <c r="B13304" s="4" t="s">
        <v>16741</v>
      </c>
      <c r="C13304" s="5" t="str">
        <f>IFERROR(__xludf.DUMMYFUNCTION("GOOGLETRANSLATE(B13304,""en"",""es-ES"")"),"El hombre despega correr por el bloque y luego regresa a donde comenzó.")</f>
        <v>El hombre despega correr por el bloque y luego regresa a donde comenzó.</v>
      </c>
    </row>
    <row r="13305">
      <c r="A13305" s="4" t="s">
        <v>16742</v>
      </c>
      <c r="B13305" s="4" t="s">
        <v>16743</v>
      </c>
      <c r="C13305" s="5" t="str">
        <f>IFERROR(__xludf.DUMMYFUNCTION("GOOGLETRANSLATE(B13305,""en"",""es-ES"")"),"Una mujer con una camisa azul gira y arroja una pelota al campo.")</f>
        <v>Una mujer con una camisa azul gira y arroja una pelota al campo.</v>
      </c>
    </row>
    <row r="13306">
      <c r="A13306" s="4" t="s">
        <v>16742</v>
      </c>
      <c r="B13306" s="4" t="s">
        <v>16744</v>
      </c>
      <c r="C13306" s="5" t="str">
        <f>IFERROR(__xludf.DUMMYFUNCTION("GOOGLETRANSLATE(B13306,""en"",""es-ES"")"),"Otra persona viene y arroja un disco al campo.")</f>
        <v>Otra persona viene y arroja un disco al campo.</v>
      </c>
    </row>
    <row r="13307">
      <c r="A13307" s="4" t="s">
        <v>16742</v>
      </c>
      <c r="B13307" s="4" t="s">
        <v>16745</v>
      </c>
      <c r="C13307" s="5" t="str">
        <f>IFERROR(__xludf.DUMMYFUNCTION("GOOGLETRANSLATE(B13307,""en"",""es-ES"")"),"La gente está de pie al costado del campo está mirando.")</f>
        <v>La gente está de pie al costado del campo está mirando.</v>
      </c>
    </row>
    <row r="13308">
      <c r="A13308" s="4" t="s">
        <v>16746</v>
      </c>
      <c r="B13308" s="4" t="s">
        <v>16747</v>
      </c>
      <c r="C13308" s="5" t="str">
        <f>IFERROR(__xludf.DUMMYFUNCTION("GOOGLETRANSLATE(B13308,""en"",""es-ES"")"),"Se muestra un negocio y el área a su alrededor y el nombre de los ""Nacionales de Lumberjack"" del negocio, tallado en un letrero de madera, y el texto blanco debajo de ""Columbia Basin BMX Richland, WA"".")</f>
        <v>Se muestra un negocio y el área a su alrededor y el nombre de los "Nacionales de Lumberjack" del negocio, tallado en un letrero de madera, y el texto blanco debajo de "Columbia Basin BMX Richland, WA".</v>
      </c>
    </row>
    <row r="13309">
      <c r="A13309" s="4" t="s">
        <v>16746</v>
      </c>
      <c r="B13309" s="4" t="s">
        <v>16748</v>
      </c>
      <c r="C13309" s="5" t="str">
        <f>IFERROR(__xludf.DUMMYFUNCTION("GOOGLETRANSLATE(B13309,""en"",""es-ES"")"),"Un niño vestido con equipo de bicicleta se está poniendo un casco mientras aparece un mensaje de texto en el lado derecho de la pantalla y dice ""@BryceBetts13z Chase Staystrong"" cuando el niño se pone en bicicleta y lo empuja fuera de la pantalla.")</f>
        <v>Un niño vestido con equipo de bicicleta se está poniendo un casco mientras aparece un mensaje de texto en el lado derecho de la pantalla y dice "@BryceBetts13z Chase Staystrong" cuando el niño se pone en bicicleta y lo empuja fuera de la pantalla.</v>
      </c>
    </row>
    <row r="13310">
      <c r="A13310" s="4" t="s">
        <v>16746</v>
      </c>
      <c r="B13310" s="4" t="s">
        <v>16749</v>
      </c>
      <c r="C13310" s="5" t="str">
        <f>IFERROR(__xludf.DUMMYFUNCTION("GOOGLETRANSLATE(B13310,""en"",""es-ES"")"),"El niño ahora está en la pista de bicicleta de tierra curvilínea y retorcida que conduce muy rápido y ocasionalmente también se muestran a otras personas que viajan en la pista.")</f>
        <v>El niño ahora está en la pista de bicicleta de tierra curvilínea y retorcida que conduce muy rápido y ocasionalmente también se muestran a otras personas que viajan en la pista.</v>
      </c>
    </row>
    <row r="13311">
      <c r="A13311" s="4" t="s">
        <v>16746</v>
      </c>
      <c r="B13311" s="4" t="s">
        <v>16750</v>
      </c>
      <c r="C13311" s="5" t="str">
        <f>IFERROR(__xludf.DUMMYFUNCTION("GOOGLETRANSLATE(B13311,""en"",""es-ES"")"),"Aparece un efecto especial con el niño que todavía cabalga alrededor de la pista y aparecen otros textos y logotipos en la pantalla hasta que se desvanece a una pantalla blanca que termina con un clip art y las grandes palabras que leen Mendo Media a la d"&amp;"erecha.")</f>
        <v>Aparece un efecto especial con el niño que todavía cabalga alrededor de la pista y aparecen otros textos y logotipos en la pantalla hasta que se desvanece a una pantalla blanca que termina con un clip art y las grandes palabras que leen Mendo Media a la derecha.</v>
      </c>
    </row>
    <row r="13312">
      <c r="A13312" s="4" t="s">
        <v>16751</v>
      </c>
      <c r="B13312" s="4" t="s">
        <v>16752</v>
      </c>
      <c r="C13312" s="5" t="str">
        <f>IFERROR(__xludf.DUMMYFUNCTION("GOOGLETRANSLATE(B13312,""en"",""es-ES"")"),"Los jugadores en un campo están corriendo jugando un juego.")</f>
        <v>Los jugadores en un campo están corriendo jugando un juego.</v>
      </c>
    </row>
    <row r="13313">
      <c r="A13313" s="4" t="s">
        <v>16751</v>
      </c>
      <c r="B13313" s="4" t="s">
        <v>16753</v>
      </c>
      <c r="C13313" s="5" t="str">
        <f>IFERROR(__xludf.DUMMYFUNCTION("GOOGLETRANSLATE(B13313,""en"",""es-ES"")"),"Se meten en una gran pelea en el campo.")</f>
        <v>Se meten en una gran pelea en el campo.</v>
      </c>
    </row>
    <row r="13314">
      <c r="A13314" s="4" t="s">
        <v>16751</v>
      </c>
      <c r="B13314" s="4" t="s">
        <v>16754</v>
      </c>
      <c r="C13314" s="5" t="str">
        <f>IFERROR(__xludf.DUMMYFUNCTION("GOOGLETRANSLATE(B13314,""en"",""es-ES"")"),"El árbitro viene y rompe la pelea.")</f>
        <v>El árbitro viene y rompe la pelea.</v>
      </c>
    </row>
    <row r="13315">
      <c r="A13315" s="4" t="s">
        <v>16751</v>
      </c>
      <c r="B13315" s="4" t="s">
        <v>16755</v>
      </c>
      <c r="C13315" s="5" t="str">
        <f>IFERROR(__xludf.DUMMYFUNCTION("GOOGLETRANSLATE(B13315,""en"",""es-ES"")"),"Un hombre con una camisa a rayas amarillas está hablando con el árbitro.")</f>
        <v>Un hombre con una camisa a rayas amarillas está hablando con el árbitro.</v>
      </c>
    </row>
    <row r="13316">
      <c r="A13316" s="4" t="s">
        <v>16756</v>
      </c>
      <c r="B13316" s="4" t="s">
        <v>16757</v>
      </c>
      <c r="C13316" s="5" t="str">
        <f>IFERROR(__xludf.DUMMYFUNCTION("GOOGLETRANSLATE(B13316,""en"",""es-ES"")"),"Se muestran varios clips de personas que suben y bajan por las paredes de roca, mientras que muchos otros hablan con la cámara.")</f>
        <v>Se muestran varios clips de personas que suben y bajan por las paredes de roca, mientras que muchos otros hablan con la cámara.</v>
      </c>
    </row>
    <row r="13317">
      <c r="A13317" s="4" t="s">
        <v>16756</v>
      </c>
      <c r="B13317" s="4" t="s">
        <v>16758</v>
      </c>
      <c r="C13317" s="5" t="str">
        <f>IFERROR(__xludf.DUMMYFUNCTION("GOOGLETRANSLATE(B13317,""en"",""es-ES"")"),"Se muestra a varias personas más escalando en las rocas mientras habla con la cámara y suben y bajan.")</f>
        <v>Se muestra a varias personas más escalando en las rocas mientras habla con la cámara y suben y bajan.</v>
      </c>
    </row>
    <row r="13318">
      <c r="A13318" s="4" t="s">
        <v>16759</v>
      </c>
      <c r="B13318" s="4" t="s">
        <v>16760</v>
      </c>
      <c r="C13318" s="5" t="str">
        <f>IFERROR(__xludf.DUMMYFUNCTION("GOOGLETRANSLATE(B13318,""en"",""es-ES"")"),"Varios perros caminan por una calle.")</f>
        <v>Varios perros caminan por una calle.</v>
      </c>
    </row>
    <row r="13319">
      <c r="A13319" s="4" t="s">
        <v>16759</v>
      </c>
      <c r="B13319" s="4" t="s">
        <v>16761</v>
      </c>
      <c r="C13319" s="5" t="str">
        <f>IFERROR(__xludf.DUMMYFUNCTION("GOOGLETRANSLATE(B13319,""en"",""es-ES"")"),"Están tomando correas sostenidas por sus dueños.")</f>
        <v>Están tomando correas sostenidas por sus dueños.</v>
      </c>
    </row>
    <row r="13320">
      <c r="A13320" s="4" t="s">
        <v>16759</v>
      </c>
      <c r="B13320" s="4" t="s">
        <v>16762</v>
      </c>
      <c r="C13320" s="5" t="str">
        <f>IFERROR(__xludf.DUMMYFUNCTION("GOOGLETRANSLATE(B13320,""en"",""es-ES"")"),"La corriente de ellos es interminable.")</f>
        <v>La corriente de ellos es interminable.</v>
      </c>
    </row>
    <row r="13321">
      <c r="A13321" s="4" t="s">
        <v>16759</v>
      </c>
      <c r="B13321" s="4" t="s">
        <v>16763</v>
      </c>
      <c r="C13321" s="5" t="str">
        <f>IFERROR(__xludf.DUMMYFUNCTION("GOOGLETRANSLATE(B13321,""en"",""es-ES"")"),"Una mujer sostiene a su perro.")</f>
        <v>Una mujer sostiene a su perro.</v>
      </c>
    </row>
    <row r="13322">
      <c r="A13322" s="4" t="s">
        <v>16764</v>
      </c>
      <c r="B13322" s="4" t="s">
        <v>16765</v>
      </c>
      <c r="C13322" s="5" t="str">
        <f>IFERROR(__xludf.DUMMYFUNCTION("GOOGLETRANSLATE(B13322,""en"",""es-ES"")"),"Aparece una imagen de una foto de un cuerpo de agua y aparecen palabras amarillas en la pantalla y leen ""disco estadounidense"" e incluya el sitio web.")</f>
        <v>Aparece una imagen de una foto de un cuerpo de agua y aparecen palabras amarillas en la pantalla y leen "disco estadounidense" e incluya el sitio web.</v>
      </c>
    </row>
    <row r="13323">
      <c r="A13323" s="4" t="s">
        <v>16764</v>
      </c>
      <c r="B13323" s="4" t="s">
        <v>16766</v>
      </c>
      <c r="C13323" s="5" t="str">
        <f>IFERROR(__xludf.DUMMYFUNCTION("GOOGLETRANSLATE(B13323,""en"",""es-ES"")"),"Una mujer morena ahora habla al lado del agua y está sonriendo todo el tiempo.")</f>
        <v>Una mujer morena ahora habla al lado del agua y está sonriendo todo el tiempo.</v>
      </c>
    </row>
    <row r="13324">
      <c r="A13324" s="4" t="s">
        <v>16764</v>
      </c>
      <c r="B13324" s="4" t="s">
        <v>16767</v>
      </c>
      <c r="C13324" s="5" t="str">
        <f>IFERROR(__xludf.DUMMYFUNCTION("GOOGLETRANSLATE(B13324,""en"",""es-ES"")"),"Varios clips de personas juegan y todos están parados al lado o en el agua también y todos parecen felices.")</f>
        <v>Varios clips de personas juegan y todos están parados al lado o en el agua también y todos parecen felices.</v>
      </c>
    </row>
    <row r="13325">
      <c r="A13325" s="4" t="s">
        <v>16764</v>
      </c>
      <c r="B13325" s="4" t="s">
        <v>16768</v>
      </c>
      <c r="C13325" s="5" t="str">
        <f>IFERROR(__xludf.DUMMYFUNCTION("GOOGLETRANSLATE(B13325,""en"",""es-ES"")"),"La gente ahora está en el agua y está haciendo varias cosas diferentes, con una gran tabla circular que están de pie, sentadas, en cuclillas, arrodilladas, montando o haciendo trucos mientras a veces son arrastrados por un bote en movimiento rápido.")</f>
        <v>La gente ahora está en el agua y está haciendo varias cosas diferentes, con una gran tabla circular que están de pie, sentadas, en cuclillas, arrodilladas, montando o haciendo trucos mientras a veces son arrastrados por un bote en movimiento rápido.</v>
      </c>
    </row>
    <row r="13326">
      <c r="A13326" s="4" t="s">
        <v>16764</v>
      </c>
      <c r="B13326" s="4" t="s">
        <v>16769</v>
      </c>
      <c r="C13326" s="5" t="str">
        <f>IFERROR(__xludf.DUMMYFUNCTION("GOOGLETRANSLATE(B13326,""en"",""es-ES"")"),"Aparece una pantalla negra y las palabras amarillas se muestran en la pantalla y leen ""el disco"", y una vez más la mujer morena habla mientras está de pie junto al agua.")</f>
        <v>Aparece una pantalla negra y las palabras amarillas se muestran en la pantalla y leen "el disco", y una vez más la mujer morena habla mientras está de pie junto al agua.</v>
      </c>
    </row>
    <row r="13327">
      <c r="A13327" s="4" t="s">
        <v>16764</v>
      </c>
      <c r="B13327" s="4" t="s">
        <v>16770</v>
      </c>
      <c r="C13327" s="5" t="str">
        <f>IFERROR(__xludf.DUMMYFUNCTION("GOOGLETRANSLATE(B13327,""en"",""es-ES"")"),"La pantalla luego va al negro y muestra su sitio web en letras amarillas.")</f>
        <v>La pantalla luego va al negro y muestra su sitio web en letras amarillas.</v>
      </c>
    </row>
    <row r="13328">
      <c r="A13328" s="4" t="s">
        <v>16771</v>
      </c>
      <c r="B13328" s="4" t="s">
        <v>16772</v>
      </c>
      <c r="C13328" s="5" t="str">
        <f>IFERROR(__xludf.DUMMYFUNCTION("GOOGLETRANSLATE(B13328,""en"",""es-ES"")"),"Se muestra un primer plano de una mesa que conduce a varios clip de un disco que se mueve a lo largo de la mesa desde varios ángulos.")</f>
        <v>Se muestra un primer plano de una mesa que conduce a varios clip de un disco que se mueve a lo largo de la mesa desde varios ángulos.</v>
      </c>
    </row>
    <row r="13329">
      <c r="A13329" s="4" t="s">
        <v>16771</v>
      </c>
      <c r="B13329" s="4" t="s">
        <v>16773</v>
      </c>
      <c r="C13329" s="5" t="str">
        <f>IFERROR(__xludf.DUMMYFUNCTION("GOOGLETRANSLATE(B13329,""en"",""es-ES"")"),"La gente empuja y mira hacia los discos mientras avanzan y continúan jugando el juego entre sí y cuarto.")</f>
        <v>La gente empuja y mira hacia los discos mientras avanzan y continúan jugando el juego entre sí y cuarto.</v>
      </c>
    </row>
    <row r="13330">
      <c r="A13330" s="4" t="s">
        <v>16774</v>
      </c>
      <c r="B13330" s="4" t="s">
        <v>16775</v>
      </c>
      <c r="C13330" s="5" t="str">
        <f>IFERROR(__xludf.DUMMYFUNCTION("GOOGLETRANSLATE(B13330,""en"",""es-ES"")"),"Un gato está sentado en una cama de gato.")</f>
        <v>Un gato está sentado en una cama de gato.</v>
      </c>
    </row>
    <row r="13331">
      <c r="A13331" s="4" t="s">
        <v>16774</v>
      </c>
      <c r="B13331" s="4" t="s">
        <v>16776</v>
      </c>
      <c r="C13331" s="5" t="str">
        <f>IFERROR(__xludf.DUMMYFUNCTION("GOOGLETRANSLATE(B13331,""en"",""es-ES"")"),"Está lamiendo su pata.")</f>
        <v>Está lamiendo su pata.</v>
      </c>
    </row>
    <row r="13332">
      <c r="A13332" s="4" t="s">
        <v>16774</v>
      </c>
      <c r="B13332" s="4" t="s">
        <v>16777</v>
      </c>
      <c r="C13332" s="5" t="str">
        <f>IFERROR(__xludf.DUMMYFUNCTION("GOOGLETRANSLATE(B13332,""en"",""es-ES"")"),"Luego se limpia la pata en la oreja.")</f>
        <v>Luego se limpia la pata en la oreja.</v>
      </c>
    </row>
    <row r="13333">
      <c r="A13333" s="4" t="s">
        <v>16778</v>
      </c>
      <c r="B13333" s="4" t="s">
        <v>16779</v>
      </c>
      <c r="C13333" s="5" t="str">
        <f>IFERROR(__xludf.DUMMYFUNCTION("GOOGLETRANSLATE(B13333,""en"",""es-ES"")"),"Una mujer con un vestido verde brillante habla en un escenario.")</f>
        <v>Una mujer con un vestido verde brillante habla en un escenario.</v>
      </c>
    </row>
    <row r="13334">
      <c r="A13334" s="4" t="s">
        <v>16778</v>
      </c>
      <c r="B13334" s="4" t="s">
        <v>16780</v>
      </c>
      <c r="C13334" s="5" t="str">
        <f>IFERROR(__xludf.DUMMYFUNCTION("GOOGLETRANSLATE(B13334,""en"",""es-ES"")"),"Se muestra a una pareja bailando, pateando y girando creativamente.")</f>
        <v>Se muestra a una pareja bailando, pateando y girando creativamente.</v>
      </c>
    </row>
    <row r="13335">
      <c r="A13335" s="4" t="s">
        <v>16778</v>
      </c>
      <c r="B13335" s="4" t="s">
        <v>16781</v>
      </c>
      <c r="C13335" s="5" t="str">
        <f>IFERROR(__xludf.DUMMYFUNCTION("GOOGLETRANSLATE(B13335,""en"",""es-ES"")"),"Cuando terminan, se toman de la mano cuando la multitud aplaude.")</f>
        <v>Cuando terminan, se toman de la mano cuando la multitud aplaude.</v>
      </c>
    </row>
    <row r="13336">
      <c r="A13336" s="4" t="s">
        <v>16778</v>
      </c>
      <c r="B13336" s="4" t="s">
        <v>16782</v>
      </c>
      <c r="C13336" s="5" t="str">
        <f>IFERROR(__xludf.DUMMYFUNCTION("GOOGLETRANSLATE(B13336,""en"",""es-ES"")"),"Caminan hacia la mujer con un vestido verde, abrazándola antes de salir del escenario.")</f>
        <v>Caminan hacia la mujer con un vestido verde, abrazándola antes de salir del escenario.</v>
      </c>
    </row>
    <row r="13337">
      <c r="A13337" s="4" t="s">
        <v>16783</v>
      </c>
      <c r="B13337" s="4" t="s">
        <v>16784</v>
      </c>
      <c r="C13337" s="5" t="str">
        <f>IFERROR(__xludf.DUMMYFUNCTION("GOOGLETRANSLATE(B13337,""en"",""es-ES"")"),"Dos hombres están jugando al tenis de mesa mientras dos jueces se sientan en cada extremo.")</f>
        <v>Dos hombres están jugando al tenis de mesa mientras dos jueces se sientan en cada extremo.</v>
      </c>
    </row>
    <row r="13338">
      <c r="A13338" s="4" t="s">
        <v>16783</v>
      </c>
      <c r="B13338" s="4" t="s">
        <v>16785</v>
      </c>
      <c r="C13338" s="5" t="str">
        <f>IFERROR(__xludf.DUMMYFUNCTION("GOOGLETRANSLATE(B13338,""en"",""es-ES"")"),"Los hombres golpearon la pelota de un lado a otro.")</f>
        <v>Los hombres golpearon la pelota de un lado a otro.</v>
      </c>
    </row>
    <row r="13339">
      <c r="A13339" s="4" t="s">
        <v>16783</v>
      </c>
      <c r="B13339" s="4" t="s">
        <v>16786</v>
      </c>
      <c r="C13339" s="5" t="str">
        <f>IFERROR(__xludf.DUMMYFUNCTION("GOOGLETRANSLATE(B13339,""en"",""es-ES"")"),"El ganador levanta las manos mientras la multitud aplaude.")</f>
        <v>El ganador levanta las manos mientras la multitud aplaude.</v>
      </c>
    </row>
    <row r="13340">
      <c r="A13340" s="4" t="s">
        <v>16783</v>
      </c>
      <c r="B13340" s="4" t="s">
        <v>16787</v>
      </c>
      <c r="C13340" s="5" t="str">
        <f>IFERROR(__xludf.DUMMYFUNCTION("GOOGLETRANSLATE(B13340,""en"",""es-ES"")"),"La escena se reproduce de su exitoso éxito.")</f>
        <v>La escena se reproduce de su exitoso éxito.</v>
      </c>
    </row>
    <row r="13341">
      <c r="A13341" s="4" t="s">
        <v>16788</v>
      </c>
      <c r="B13341" s="4" t="s">
        <v>16789</v>
      </c>
      <c r="C13341" s="5" t="str">
        <f>IFERROR(__xludf.DUMMYFUNCTION("GOOGLETRANSLATE(B13341,""en"",""es-ES"")"),"Un hombre está en un gimnasio arrodillado sosteniendo una bola de medicina de tamaño mediano.")</f>
        <v>Un hombre está en un gimnasio arrodillado sosteniendo una bola de medicina de tamaño mediano.</v>
      </c>
    </row>
    <row r="13342">
      <c r="A13342" s="4" t="s">
        <v>16788</v>
      </c>
      <c r="B13342" s="4" t="s">
        <v>16790</v>
      </c>
      <c r="C13342" s="5" t="str">
        <f>IFERROR(__xludf.DUMMYFUNCTION("GOOGLETRANSLATE(B13342,""en"",""es-ES"")"),"Luego se sienta y comienza a lanzar la pelota de un lado a otro contra la pared.")</f>
        <v>Luego se sienta y comienza a lanzar la pelota de un lado a otro contra la pared.</v>
      </c>
    </row>
    <row r="13343">
      <c r="A13343" s="4" t="s">
        <v>16788</v>
      </c>
      <c r="B13343" s="4" t="s">
        <v>16791</v>
      </c>
      <c r="C13343" s="5" t="str">
        <f>IFERROR(__xludf.DUMMYFUNCTION("GOOGLETRANSLATE(B13343,""en"",""es-ES"")"),"Después, aparece una lista de señales antes de mostrar el lugar y su página de YouTube.")</f>
        <v>Después, aparece una lista de señales antes de mostrar el lugar y su página de YouTube.</v>
      </c>
    </row>
    <row r="13344">
      <c r="A13344" s="4" t="s">
        <v>16792</v>
      </c>
      <c r="B13344" s="4" t="s">
        <v>16793</v>
      </c>
      <c r="C13344" s="5" t="str">
        <f>IFERROR(__xludf.DUMMYFUNCTION("GOOGLETRANSLATE(B13344,""en"",""es-ES"")"),"Un hombre en verde sentado al final de la plaza de arena tomando video, a los lados de la plaza hay tres hombres.")</f>
        <v>Un hombre en verde sentado al final de la plaza de arena tomando video, a los lados de la plaza hay tres hombres.</v>
      </c>
    </row>
    <row r="13345">
      <c r="A13345" s="4" t="s">
        <v>16792</v>
      </c>
      <c r="B13345" s="4" t="s">
        <v>16794</v>
      </c>
      <c r="C13345" s="5" t="str">
        <f>IFERROR(__xludf.DUMMYFUNCTION("GOOGLETRANSLATE(B13345,""en"",""es-ES"")"),"El joven atleta en uniforme azul corre en un carril estrecho, saltó y salta sobre el suelo arenoso.")</f>
        <v>El joven atleta en uniforme azul corre en un carril estrecho, saltó y salta sobre el suelo arenoso.</v>
      </c>
    </row>
    <row r="13346">
      <c r="A13346" s="4" t="s">
        <v>16795</v>
      </c>
      <c r="B13346" s="4" t="s">
        <v>16796</v>
      </c>
      <c r="C13346" s="5" t="str">
        <f>IFERROR(__xludf.DUMMYFUNCTION("GOOGLETRANSLATE(B13346,""en"",""es-ES"")"),"Tres personas están en una sala de noticias, hablando con la cámara.")</f>
        <v>Tres personas están en una sala de noticias, hablando con la cámara.</v>
      </c>
    </row>
    <row r="13347">
      <c r="A13347" s="4" t="s">
        <v>16795</v>
      </c>
      <c r="B13347" s="4" t="s">
        <v>16797</v>
      </c>
      <c r="C13347" s="5" t="str">
        <f>IFERROR(__xludf.DUMMYFUNCTION("GOOGLETRANSLATE(B13347,""en"",""es-ES"")"),"Un equipo está jugando hockey sobre hielo y celebra mientras ganan un juego.")</f>
        <v>Un equipo está jugando hockey sobre hielo y celebra mientras ganan un juego.</v>
      </c>
    </row>
    <row r="13348">
      <c r="A13348" s="4" t="s">
        <v>16795</v>
      </c>
      <c r="B13348" s="4" t="s">
        <v>16798</v>
      </c>
      <c r="C13348" s="5" t="str">
        <f>IFERROR(__xludf.DUMMYFUNCTION("GOOGLETRANSLATE(B13348,""en"",""es-ES"")"),"Los felices compañeros de equipo sonríen para entrevistas en el vestuario después.")</f>
        <v>Los felices compañeros de equipo sonríen para entrevistas en el vestuario después.</v>
      </c>
    </row>
    <row r="13349">
      <c r="A13349" s="4" t="s">
        <v>16795</v>
      </c>
      <c r="B13349" s="4" t="s">
        <v>16799</v>
      </c>
      <c r="C13349" s="5" t="str">
        <f>IFERROR(__xludf.DUMMYFUNCTION("GOOGLETRANSLATE(B13349,""en"",""es-ES"")"),"Las noticias se muestran con el número de palos y risas.")</f>
        <v>Las noticias se muestran con el número de palos y risas.</v>
      </c>
    </row>
    <row r="13350">
      <c r="A13350" s="4" t="s">
        <v>16800</v>
      </c>
      <c r="B13350" s="4" t="s">
        <v>16801</v>
      </c>
      <c r="C13350" s="5" t="str">
        <f>IFERROR(__xludf.DUMMYFUNCTION("GOOGLETRANSLATE(B13350,""en"",""es-ES"")"),"Se ve a una mujer sacando comida de una nevera y hablando con una niña que camina abajo.")</f>
        <v>Se ve a una mujer sacando comida de una nevera y hablando con una niña que camina abajo.</v>
      </c>
    </row>
    <row r="13351">
      <c r="A13351" s="4" t="s">
        <v>16800</v>
      </c>
      <c r="B13351" s="4" t="s">
        <v>16802</v>
      </c>
      <c r="C13351" s="5" t="str">
        <f>IFERROR(__xludf.DUMMYFUNCTION("GOOGLETRANSLATE(B13351,""en"",""es-ES"")"),"Las mujeres continúan hablando cuando un hombre también sube las escaleras.")</f>
        <v>Las mujeres continúan hablando cuando un hombre también sube las escaleras.</v>
      </c>
    </row>
    <row r="13352">
      <c r="A13352" s="4" t="s">
        <v>16800</v>
      </c>
      <c r="B13352" s="4" t="s">
        <v>16803</v>
      </c>
      <c r="C13352" s="5" t="str">
        <f>IFERROR(__xludf.DUMMYFUNCTION("GOOGLETRANSLATE(B13352,""en"",""es-ES"")"),"La mujer y el hombre hablan y la otra mujer sube las escaleras.")</f>
        <v>La mujer y el hombre hablan y la otra mujer sube las escaleras.</v>
      </c>
    </row>
    <row r="13353">
      <c r="A13353" s="4" t="s">
        <v>16804</v>
      </c>
      <c r="B13353" s="4" t="s">
        <v>1487</v>
      </c>
      <c r="C13353" s="5" t="str">
        <f>IFERROR(__xludf.DUMMYFUNCTION("GOOGLETRANSLATE(B13353,""en"",""es-ES"")"),"Vemos una pantalla de título de apertura.")</f>
        <v>Vemos una pantalla de título de apertura.</v>
      </c>
    </row>
    <row r="13354">
      <c r="A13354" s="4" t="s">
        <v>16804</v>
      </c>
      <c r="B13354" s="4" t="s">
        <v>16805</v>
      </c>
      <c r="C13354" s="5" t="str">
        <f>IFERROR(__xludf.DUMMYFUNCTION("GOOGLETRANSLATE(B13354,""en"",""es-ES"")"),"Vemos a las manos de una mujer con esmalte de uñas.")</f>
        <v>Vemos a las manos de una mujer con esmalte de uñas.</v>
      </c>
    </row>
    <row r="13355">
      <c r="A13355" s="4" t="s">
        <v>16804</v>
      </c>
      <c r="B13355" s="4" t="s">
        <v>16806</v>
      </c>
      <c r="C13355" s="5" t="str">
        <f>IFERROR(__xludf.DUMMYFUNCTION("GOOGLETRANSLATE(B13355,""en"",""es-ES"")"),"La señora pone cinta adhesiva en su dedo alrededor de su uña y les hace un esmalte claro y blanco.")</f>
        <v>La señora pone cinta adhesiva en su dedo alrededor de su uña y les hace un esmalte claro y blanco.</v>
      </c>
    </row>
    <row r="13356">
      <c r="A13356" s="4" t="s">
        <v>16804</v>
      </c>
      <c r="B13356" s="4" t="s">
        <v>16807</v>
      </c>
      <c r="C13356" s="5" t="str">
        <f>IFERROR(__xludf.DUMMYFUNCTION("GOOGLETRANSLATE(B13356,""en"",""es-ES"")"),"La señora agrega gotas de esmalte de uñas a un vaso de fluido y lo tira.")</f>
        <v>La señora agrega gotas de esmalte de uñas a un vaso de fluido y lo tira.</v>
      </c>
    </row>
    <row r="13357">
      <c r="A13357" s="4" t="s">
        <v>16804</v>
      </c>
      <c r="B13357" s="4" t="s">
        <v>16808</v>
      </c>
      <c r="C13357" s="5" t="str">
        <f>IFERROR(__xludf.DUMMYFUNCTION("GOOGLETRANSLATE(B13357,""en"",""es-ES"")"),"La señora pone su clavo en la taza y usa un palo para quitar el esmalte.")</f>
        <v>La señora pone su clavo en la taza y usa un palo para quitar el esmalte.</v>
      </c>
    </row>
    <row r="13358">
      <c r="A13358" s="4" t="s">
        <v>16804</v>
      </c>
      <c r="B13358" s="4" t="s">
        <v>16809</v>
      </c>
      <c r="C13358" s="5" t="str">
        <f>IFERROR(__xludf.DUMMYFUNCTION("GOOGLETRANSLATE(B13358,""en"",""es-ES"")"),"La señora tira de la cinta de luego coloca un abrigo transparente sobre sus uñas.")</f>
        <v>La señora tira de la cinta de luego coloca un abrigo transparente sobre sus uñas.</v>
      </c>
    </row>
    <row r="13359">
      <c r="A13359" s="4" t="s">
        <v>16804</v>
      </c>
      <c r="B13359" s="4" t="s">
        <v>5107</v>
      </c>
      <c r="C13359" s="5" t="str">
        <f>IFERROR(__xludf.DUMMYFUNCTION("GOOGLETRANSLATE(B13359,""en"",""es-ES"")"),"Luego vemos la pantalla de título final.")</f>
        <v>Luego vemos la pantalla de título final.</v>
      </c>
    </row>
    <row r="13360">
      <c r="A13360" s="4" t="s">
        <v>16810</v>
      </c>
      <c r="B13360" s="4" t="s">
        <v>16811</v>
      </c>
      <c r="C13360" s="5" t="str">
        <f>IFERROR(__xludf.DUMMYFUNCTION("GOOGLETRANSLATE(B13360,""en"",""es-ES"")"),"Una mujer está en el escenario haciendo una rutina de danza del vientre, es muy apasionada por eso.")</f>
        <v>Una mujer está en el escenario haciendo una rutina de danza del vientre, es muy apasionada por eso.</v>
      </c>
    </row>
    <row r="13361">
      <c r="A13361" s="4" t="s">
        <v>16810</v>
      </c>
      <c r="B13361" s="4" t="s">
        <v>16812</v>
      </c>
      <c r="C13361" s="5" t="str">
        <f>IFERROR(__xludf.DUMMYFUNCTION("GOOGLETRANSLATE(B13361,""en"",""es-ES"")"),"Ella comienza a girar en círculos, su vestido girando junto con ella.")</f>
        <v>Ella comienza a girar en círculos, su vestido girando junto con ella.</v>
      </c>
    </row>
    <row r="13362">
      <c r="A13362" s="4" t="s">
        <v>16810</v>
      </c>
      <c r="B13362" s="4" t="s">
        <v>16813</v>
      </c>
      <c r="C13362" s="5" t="str">
        <f>IFERROR(__xludf.DUMMYFUNCTION("GOOGLETRANSLATE(B13362,""en"",""es-ES"")"),"Su vestido sube sobre la cabeza y luego hasta los hombros, continúa girando en círculos y quita el vestido y lo sostiene como un bebé.")</f>
        <v>Su vestido sube sobre la cabeza y luego hasta los hombros, continúa girando en círculos y quita el vestido y lo sostiene como un bebé.</v>
      </c>
    </row>
    <row r="13363">
      <c r="A13363" s="4" t="s">
        <v>16810</v>
      </c>
      <c r="B13363" s="4" t="s">
        <v>16814</v>
      </c>
      <c r="C13363" s="5" t="str">
        <f>IFERROR(__xludf.DUMMYFUNCTION("GOOGLETRANSLATE(B13363,""en"",""es-ES"")"),"Vuelve a girar hasta que termine su baile y luego cae al piso.")</f>
        <v>Vuelve a girar hasta que termine su baile y luego cae al piso.</v>
      </c>
    </row>
    <row r="13364">
      <c r="A13364" s="4" t="s">
        <v>16815</v>
      </c>
      <c r="B13364" s="4" t="s">
        <v>16816</v>
      </c>
      <c r="C13364" s="5" t="str">
        <f>IFERROR(__xludf.DUMMYFUNCTION("GOOGLETRANSLATE(B13364,""en"",""es-ES"")"),"Una mujer y una niña están tratando de meter a un perro en una ducha.")</f>
        <v>Una mujer y una niña están tratando de meter a un perro en una ducha.</v>
      </c>
    </row>
    <row r="13365">
      <c r="A13365" s="4" t="s">
        <v>16815</v>
      </c>
      <c r="B13365" s="4" t="s">
        <v>16817</v>
      </c>
      <c r="C13365" s="5" t="str">
        <f>IFERROR(__xludf.DUMMYFUNCTION("GOOGLETRANSLATE(B13365,""en"",""es-ES"")"),"El perro sigue saltando hacia atrás.")</f>
        <v>El perro sigue saltando hacia atrás.</v>
      </c>
    </row>
    <row r="13366">
      <c r="A13366" s="4" t="s">
        <v>16815</v>
      </c>
      <c r="B13366" s="4" t="s">
        <v>16818</v>
      </c>
      <c r="C13366" s="5" t="str">
        <f>IFERROR(__xludf.DUMMYFUNCTION("GOOGLETRANSLATE(B13366,""en"",""es-ES"")"),"Finalmente le dan al perro un baño al aire libre con una manguera.")</f>
        <v>Finalmente le dan al perro un baño al aire libre con una manguera.</v>
      </c>
    </row>
    <row r="13367">
      <c r="A13367" s="4" t="s">
        <v>16819</v>
      </c>
      <c r="B13367" s="4" t="s">
        <v>16820</v>
      </c>
      <c r="C13367" s="5" t="str">
        <f>IFERROR(__xludf.DUMMYFUNCTION("GOOGLETRANSLATE(B13367,""en"",""es-ES"")"),"Un hombre de snowboard sobre nieve cubría laderas y colinas y varios otros objetos como barandas, techos, garajes y tocones de árboles.")</f>
        <v>Un hombre de snowboard sobre nieve cubría laderas y colinas y varios otros objetos como barandas, techos, garajes y tocones de árboles.</v>
      </c>
    </row>
    <row r="13368">
      <c r="A13368" s="4" t="s">
        <v>16819</v>
      </c>
      <c r="B13368" s="4" t="s">
        <v>16821</v>
      </c>
      <c r="C13368" s="5" t="str">
        <f>IFERROR(__xludf.DUMMYFUNCTION("GOOGLETRANSLATE(B13368,""en"",""es-ES"")"),"Un hombre Snowboards sobre la colina cubierta de nieve.")</f>
        <v>Un hombre Snowboards sobre la colina cubierta de nieve.</v>
      </c>
    </row>
    <row r="13369">
      <c r="A13369" s="4" t="s">
        <v>16819</v>
      </c>
      <c r="B13369" s="4" t="s">
        <v>16822</v>
      </c>
      <c r="C13369" s="5" t="str">
        <f>IFERROR(__xludf.DUMMYFUNCTION("GOOGLETRANSLATE(B13369,""en"",""es-ES"")"),"Luego, el hombre continúa con snowboard desde un techo de garaje, una barandilla de escalera y varios otros lugares.")</f>
        <v>Luego, el hombre continúa con snowboard desde un techo de garaje, una barandilla de escalera y varios otros lugares.</v>
      </c>
    </row>
    <row r="13370">
      <c r="A13370" s="4" t="s">
        <v>16819</v>
      </c>
      <c r="B13370" s="4" t="s">
        <v>16823</v>
      </c>
      <c r="C13370" s="5" t="str">
        <f>IFERROR(__xludf.DUMMYFUNCTION("GOOGLETRANSLATE(B13370,""en"",""es-ES"")"),"El hombre hace un giro completo en la nieve en el tiro final.")</f>
        <v>El hombre hace un giro completo en la nieve en el tiro final.</v>
      </c>
    </row>
    <row r="13371">
      <c r="A13371" s="4" t="s">
        <v>16824</v>
      </c>
      <c r="B13371" s="4" t="s">
        <v>16825</v>
      </c>
      <c r="C13371" s="5" t="str">
        <f>IFERROR(__xludf.DUMMYFUNCTION("GOOGLETRANSLATE(B13371,""en"",""es-ES"")"),"Un niño enjuague su rostro con agua en un lavabo del baño.")</f>
        <v>Un niño enjuague su rostro con agua en un lavabo del baño.</v>
      </c>
    </row>
    <row r="13372">
      <c r="A13372" s="4" t="s">
        <v>16824</v>
      </c>
      <c r="B13372" s="4" t="s">
        <v>16826</v>
      </c>
      <c r="C13372" s="5" t="str">
        <f>IFERROR(__xludf.DUMMYFUNCTION("GOOGLETRANSLATE(B13372,""en"",""es-ES"")"),"Los chicos se ríen y bromean juntos en el baño.")</f>
        <v>Los chicos se ríen y bromean juntos en el baño.</v>
      </c>
    </row>
    <row r="13373">
      <c r="A13373" s="4" t="s">
        <v>16824</v>
      </c>
      <c r="B13373" s="4" t="s">
        <v>16827</v>
      </c>
      <c r="C13373" s="5" t="str">
        <f>IFERROR(__xludf.DUMMYFUNCTION("GOOGLETRANSLATE(B13373,""en"",""es-ES"")"),"Un niño frota el jabón en sus manos y luego en su cara.")</f>
        <v>Un niño frota el jabón en sus manos y luego en su cara.</v>
      </c>
    </row>
    <row r="13374">
      <c r="A13374" s="4" t="s">
        <v>16824</v>
      </c>
      <c r="B13374" s="4" t="s">
        <v>16828</v>
      </c>
      <c r="C13374" s="5" t="str">
        <f>IFERROR(__xludf.DUMMYFUNCTION("GOOGLETRANSLATE(B13374,""en"",""es-ES"")"),"El niño enjuague el jabón de su cara en el fregadero.")</f>
        <v>El niño enjuague el jabón de su cara en el fregadero.</v>
      </c>
    </row>
    <row r="13375">
      <c r="A13375" s="4" t="s">
        <v>16824</v>
      </c>
      <c r="B13375" s="4" t="s">
        <v>16829</v>
      </c>
      <c r="C13375" s="5" t="str">
        <f>IFERROR(__xludf.DUMMYFUNCTION("GOOGLETRANSLATE(B13375,""en"",""es-ES"")"),"El niño enrolla la toalla y la arroja a la esquina de la habitación.")</f>
        <v>El niño enrolla la toalla y la arroja a la esquina de la habitación.</v>
      </c>
    </row>
    <row r="13376">
      <c r="A13376" s="4" t="s">
        <v>16830</v>
      </c>
      <c r="B13376" s="4" t="s">
        <v>16831</v>
      </c>
      <c r="C13376" s="5" t="str">
        <f>IFERROR(__xludf.DUMMYFUNCTION("GOOGLETRANSLATE(B13376,""en"",""es-ES"")"),"Un anciano voltea una patineta con los pies, luego la tómalo y tira al piso y patina.")</f>
        <v>Un anciano voltea una patineta con los pies, luego la tómalo y tira al piso y patina.</v>
      </c>
    </row>
    <row r="13377">
      <c r="A13377" s="4" t="s">
        <v>16830</v>
      </c>
      <c r="B13377" s="4" t="s">
        <v>16832</v>
      </c>
      <c r="C13377" s="5" t="str">
        <f>IFERROR(__xludf.DUMMYFUNCTION("GOOGLETRANSLATE(B13377,""en"",""es-ES"")"),"Después, el hombre golpeó la patineta con el pie y se eleva, el hombre intenta atrapar la patineta, pero lo extraña.")</f>
        <v>Después, el hombre golpeó la patineta con el pie y se eleva, el hombre intenta atrapar la patineta, pero lo extraña.</v>
      </c>
    </row>
    <row r="13378">
      <c r="A13378" s="4" t="s">
        <v>16830</v>
      </c>
      <c r="B13378" s="4" t="s">
        <v>16833</v>
      </c>
      <c r="C13378" s="5" t="str">
        <f>IFERROR(__xludf.DUMMYFUNCTION("GOOGLETRANSLATE(B13378,""en"",""es-ES"")"),"Un niño casi es golpeado con una patineta.")</f>
        <v>Un niño casi es golpeado con una patineta.</v>
      </c>
    </row>
    <row r="13379">
      <c r="A13379" s="4" t="s">
        <v>16830</v>
      </c>
      <c r="B13379" s="4" t="s">
        <v>16834</v>
      </c>
      <c r="C13379" s="5" t="str">
        <f>IFERROR(__xludf.DUMMYFUNCTION("GOOGLETRANSLATE(B13379,""en"",""es-ES"")"),"Luego, el hombre patina en el parque y luego va a una pista de patineta.")</f>
        <v>Luego, el hombre patina en el parque y luego va a una pista de patineta.</v>
      </c>
    </row>
    <row r="13380">
      <c r="A13380" s="4" t="s">
        <v>16835</v>
      </c>
      <c r="B13380" s="4" t="s">
        <v>16836</v>
      </c>
      <c r="C13380" s="5" t="str">
        <f>IFERROR(__xludf.DUMMYFUNCTION("GOOGLETRANSLATE(B13380,""en"",""es-ES"")"),"Un niño con un suéter azul salta de un lado y se para frente a un tablero de dardos.")</f>
        <v>Un niño con un suéter azul salta de un lado y se para frente a un tablero de dardos.</v>
      </c>
    </row>
    <row r="13381">
      <c r="A13381" s="4" t="s">
        <v>16835</v>
      </c>
      <c r="B13381" s="4" t="s">
        <v>16837</v>
      </c>
      <c r="C13381" s="5" t="str">
        <f>IFERROR(__xludf.DUMMYFUNCTION("GOOGLETRANSLATE(B13381,""en"",""es-ES"")"),"Una vez que se calma, se da vuelta y comienza a lanzar dardos en el tablero.")</f>
        <v>Una vez que se calma, se da vuelta y comienza a lanzar dardos en el tablero.</v>
      </c>
    </row>
    <row r="13382">
      <c r="A13382" s="4" t="s">
        <v>16835</v>
      </c>
      <c r="B13382" s="4" t="s">
        <v>16838</v>
      </c>
      <c r="C13382" s="5" t="str">
        <f>IFERROR(__xludf.DUMMYFUNCTION("GOOGLETRANSLATE(B13382,""en"",""es-ES"")"),"Después de lanzar todos los dardos, la cámara se acerca a los dardos para mostrar lo que había hecho.")</f>
        <v>Después de lanzar todos los dardos, la cámara se acerca a los dardos para mostrar lo que había hecho.</v>
      </c>
    </row>
    <row r="13383">
      <c r="A13383" s="4" t="s">
        <v>16839</v>
      </c>
      <c r="B13383" s="4" t="s">
        <v>16840</v>
      </c>
      <c r="C13383" s="5" t="str">
        <f>IFERROR(__xludf.DUMMYFUNCTION("GOOGLETRANSLATE(B13383,""en"",""es-ES"")"),"Un hombre con un sombrero negro está hablando con la cámara.")</f>
        <v>Un hombre con un sombrero negro está hablando con la cámara.</v>
      </c>
    </row>
    <row r="13384">
      <c r="A13384" s="4" t="s">
        <v>16839</v>
      </c>
      <c r="B13384" s="4" t="s">
        <v>16841</v>
      </c>
      <c r="C13384" s="5" t="str">
        <f>IFERROR(__xludf.DUMMYFUNCTION("GOOGLETRANSLATE(B13384,""en"",""es-ES"")"),"Comienza a jugar un violín en su hombro.")</f>
        <v>Comienza a jugar un violín en su hombro.</v>
      </c>
    </row>
    <row r="13385">
      <c r="A13385" s="4" t="s">
        <v>16839</v>
      </c>
      <c r="B13385" s="4" t="s">
        <v>16842</v>
      </c>
      <c r="C13385" s="5" t="str">
        <f>IFERROR(__xludf.DUMMYFUNCTION("GOOGLETRANSLATE(B13385,""en"",""es-ES"")"),"Deja de jugar y pone el violín a su lado.")</f>
        <v>Deja de jugar y pone el violín a su lado.</v>
      </c>
    </row>
    <row r="13386">
      <c r="A13386" s="4" t="s">
        <v>16843</v>
      </c>
      <c r="B13386" s="4" t="s">
        <v>16844</v>
      </c>
      <c r="C13386" s="5" t="str">
        <f>IFERROR(__xludf.DUMMYFUNCTION("GOOGLETRANSLATE(B13386,""en"",""es-ES"")"),"Un hombre y un perro están en un campo y el perro sostiene el frisbee entre sus piernas y el perro salta sobre la espalda de la persona y busca el frisbee.")</f>
        <v>Un hombre y un perro están en un campo y el perro sostiene el frisbee entre sus piernas y el perro salta sobre la espalda de la persona y busca el frisbee.</v>
      </c>
    </row>
    <row r="13387">
      <c r="A13387" s="4" t="s">
        <v>16843</v>
      </c>
      <c r="B13387" s="4" t="s">
        <v>16845</v>
      </c>
      <c r="C13387" s="5" t="str">
        <f>IFERROR(__xludf.DUMMYFUNCTION("GOOGLETRANSLATE(B13387,""en"",""es-ES"")"),"El juego continúa y los dos continúan jugando con el Frisbee mientras el dueño pone las piernas para que el perro lo consiga.")</f>
        <v>El juego continúa y los dos continúan jugando con el Frisbee mientras el dueño pone las piernas para que el perro lo consiga.</v>
      </c>
    </row>
    <row r="13388">
      <c r="A13388" s="4" t="s">
        <v>16843</v>
      </c>
      <c r="B13388" s="4" t="s">
        <v>16846</v>
      </c>
      <c r="C13388" s="5" t="str">
        <f>IFERROR(__xludf.DUMMYFUNCTION("GOOGLETRANSLATE(B13388,""en"",""es-ES"")"),"Ahora, el humano tiene cuatro o cinco frisbees y comienza a lanzarlos rápidamente para que el perro lo consiga.")</f>
        <v>Ahora, el humano tiene cuatro o cinco frisbees y comienza a lanzarlos rápidamente para que el perro lo consiga.</v>
      </c>
    </row>
    <row r="13389">
      <c r="A13389" s="4" t="s">
        <v>16847</v>
      </c>
      <c r="B13389" s="4" t="s">
        <v>16848</v>
      </c>
      <c r="C13389" s="5" t="str">
        <f>IFERROR(__xludf.DUMMYFUNCTION("GOOGLETRANSLATE(B13389,""en"",""es-ES"")"),"Se muestra brevemente una vista de una casa.")</f>
        <v>Se muestra brevemente una vista de una casa.</v>
      </c>
    </row>
    <row r="13390">
      <c r="A13390" s="4" t="s">
        <v>16847</v>
      </c>
      <c r="B13390" s="4" t="s">
        <v>16849</v>
      </c>
      <c r="C13390" s="5" t="str">
        <f>IFERROR(__xludf.DUMMYFUNCTION("GOOGLETRANSLATE(B13390,""en"",""es-ES"")"),"Camina en otra habitación y muestra a un niño pequeño sentado en una batería, chupando un chupete y sosteniendo dos baquetas y golpeando la batería.")</f>
        <v>Camina en otra habitación y muestra a un niño pequeño sentado en una batería, chupando un chupete y sosteniendo dos baquetas y golpeando la batería.</v>
      </c>
    </row>
    <row r="13391">
      <c r="A13391" s="4" t="s">
        <v>16847</v>
      </c>
      <c r="B13391" s="4" t="s">
        <v>16850</v>
      </c>
      <c r="C13391" s="5" t="str">
        <f>IFERROR(__xludf.DUMMYFUNCTION("GOOGLETRANSLATE(B13391,""en"",""es-ES"")"),"El niño golpea los platillos varias veces con su mano izquierda, luego agarra las baquetas y comienza a golpear todas las baterías.")</f>
        <v>El niño golpea los platillos varias veces con su mano izquierda, luego agarra las baquetas y comienza a golpear todas las baterías.</v>
      </c>
    </row>
    <row r="13392">
      <c r="A13392" s="4" t="s">
        <v>16851</v>
      </c>
      <c r="B13392" s="4" t="s">
        <v>16852</v>
      </c>
      <c r="C13392" s="5" t="str">
        <f>IFERROR(__xludf.DUMMYFUNCTION("GOOGLETRANSLATE(B13392,""en"",""es-ES"")"),"Se ve a dos hombres tomados de la mano con un árbitro que los mantiene unidos y conduce a un partido de lucha libre.")</f>
        <v>Se ve a dos hombres tomados de la mano con un árbitro que los mantiene unidos y conduce a un partido de lucha libre.</v>
      </c>
    </row>
    <row r="13393">
      <c r="A13393" s="4" t="s">
        <v>16851</v>
      </c>
      <c r="B13393" s="4" t="s">
        <v>16853</v>
      </c>
      <c r="C13393" s="5" t="str">
        <f>IFERROR(__xludf.DUMMYFUNCTION("GOOGLETRANSLATE(B13393,""en"",""es-ES"")"),"Un hombre gana y luego continúa luchando contra varias personas más.")</f>
        <v>Un hombre gana y luego continúa luchando contra varias personas más.</v>
      </c>
    </row>
    <row r="13394">
      <c r="A13394" s="4" t="s">
        <v>16854</v>
      </c>
      <c r="B13394" s="4" t="s">
        <v>16855</v>
      </c>
      <c r="C13394" s="5" t="str">
        <f>IFERROR(__xludf.DUMMYFUNCTION("GOOGLETRANSLATE(B13394,""en"",""es-ES"")"),"Un hombre está hablando afuera en un jardín.")</f>
        <v>Un hombre está hablando afuera en un jardín.</v>
      </c>
    </row>
    <row r="13395">
      <c r="A13395" s="4" t="s">
        <v>16854</v>
      </c>
      <c r="B13395" s="4" t="s">
        <v>16856</v>
      </c>
      <c r="C13395" s="5" t="str">
        <f>IFERROR(__xludf.DUMMYFUNCTION("GOOGLETRANSLATE(B13395,""en"",""es-ES"")"),"Está sosteniendo una navaja de bolsillo en la mano.")</f>
        <v>Está sosteniendo una navaja de bolsillo en la mano.</v>
      </c>
    </row>
    <row r="13396">
      <c r="A13396" s="4" t="s">
        <v>16854</v>
      </c>
      <c r="B13396" s="4" t="s">
        <v>16857</v>
      </c>
      <c r="C13396" s="5" t="str">
        <f>IFERROR(__xludf.DUMMYFUNCTION("GOOGLETRANSLATE(B13396,""en"",""es-ES"")"),"Utiliza una piedra para afilar el cuchillo para la cámara.")</f>
        <v>Utiliza una piedra para afilar el cuchillo para la cámara.</v>
      </c>
    </row>
    <row r="13397">
      <c r="A13397" s="4" t="s">
        <v>16858</v>
      </c>
      <c r="B13397" s="4" t="s">
        <v>16859</v>
      </c>
      <c r="C13397" s="5" t="str">
        <f>IFERROR(__xludf.DUMMYFUNCTION("GOOGLETRANSLATE(B13397,""en"",""es-ES"")"),"La gente está parada en un círculo aplaudiendo.")</f>
        <v>La gente está parada en un círculo aplaudiendo.</v>
      </c>
    </row>
    <row r="13398">
      <c r="A13398" s="4" t="s">
        <v>16858</v>
      </c>
      <c r="B13398" s="4" t="s">
        <v>16860</v>
      </c>
      <c r="C13398" s="5" t="str">
        <f>IFERROR(__xludf.DUMMYFUNCTION("GOOGLETRANSLATE(B13398,""en"",""es-ES"")"),"Dos personas comienzan a pelear en el círculo.")</f>
        <v>Dos personas comienzan a pelear en el círculo.</v>
      </c>
    </row>
    <row r="13399">
      <c r="A13399" s="4" t="s">
        <v>16858</v>
      </c>
      <c r="B13399" s="4" t="s">
        <v>16861</v>
      </c>
      <c r="C13399" s="5" t="str">
        <f>IFERROR(__xludf.DUMMYFUNCTION("GOOGLETRANSLATE(B13399,""en"",""es-ES"")"),"Las mujeres bailan y sostienen palos.")</f>
        <v>Las mujeres bailan y sostienen palos.</v>
      </c>
    </row>
    <row r="13400">
      <c r="A13400" s="4" t="s">
        <v>16862</v>
      </c>
      <c r="B13400" s="4" t="s">
        <v>16863</v>
      </c>
      <c r="C13400" s="5" t="str">
        <f>IFERROR(__xludf.DUMMYFUNCTION("GOOGLETRANSLATE(B13400,""en"",""es-ES"")"),"Se ve a un hombre atlético empapado en un conjunto de barras desiguales y pone los brazos al presente que está listo.")</f>
        <v>Se ve a un hombre atlético empapado en un conjunto de barras desiguales y pone los brazos al presente que está listo.</v>
      </c>
    </row>
    <row r="13401">
      <c r="A13401" s="4" t="s">
        <v>16862</v>
      </c>
      <c r="B13401" s="4" t="s">
        <v>16864</v>
      </c>
      <c r="C13401" s="5" t="str">
        <f>IFERROR(__xludf.DUMMYFUNCTION("GOOGLETRANSLATE(B13401,""en"",""es-ES"")"),"El hombre continúa girando a sí mismo realizando flips y trucos en las barras desiguales.")</f>
        <v>El hombre continúa girando a sí mismo realizando flips y trucos en las barras desiguales.</v>
      </c>
    </row>
    <row r="13402">
      <c r="A13402" s="4" t="s">
        <v>16862</v>
      </c>
      <c r="B13402" s="4" t="s">
        <v>16865</v>
      </c>
      <c r="C13402" s="5" t="str">
        <f>IFERROR(__xludf.DUMMYFUNCTION("GOOGLETRANSLATE(B13402,""en"",""es-ES"")"),"El hombre continúa volteando y termina tambaleándose, pero pone sus manos para terminar.")</f>
        <v>El hombre continúa volteando y termina tambaleándose, pero pone sus manos para terminar.</v>
      </c>
    </row>
    <row r="13403">
      <c r="A13403" s="4" t="s">
        <v>16866</v>
      </c>
      <c r="B13403" s="4" t="s">
        <v>16867</v>
      </c>
      <c r="C13403" s="5" t="str">
        <f>IFERROR(__xludf.DUMMYFUNCTION("GOOGLETRANSLATE(B13403,""en"",""es-ES"")"),"Un hombre camina hasta el final de una mesa que tiene un montón de copas rojas dispuestas en un triángulo.")</f>
        <v>Un hombre camina hasta el final de una mesa que tiene un montón de copas rojas dispuestas en un triángulo.</v>
      </c>
    </row>
    <row r="13404">
      <c r="A13404" s="4" t="s">
        <v>16866</v>
      </c>
      <c r="B13404" s="4" t="s">
        <v>16868</v>
      </c>
      <c r="C13404" s="5" t="str">
        <f>IFERROR(__xludf.DUMMYFUNCTION("GOOGLETRANSLATE(B13404,""en"",""es-ES"")"),"Comienza a arrojar una pelota en las tazas.")</f>
        <v>Comienza a arrojar una pelota en las tazas.</v>
      </c>
    </row>
    <row r="13405">
      <c r="A13405" s="4" t="s">
        <v>16866</v>
      </c>
      <c r="B13405" s="4" t="s">
        <v>16869</v>
      </c>
      <c r="C13405" s="5" t="str">
        <f>IFERROR(__xludf.DUMMYFUNCTION("GOOGLETRANSLATE(B13405,""en"",""es-ES"")"),"El video va a negro y un gráfico parece cerrar el clip.")</f>
        <v>El video va a negro y un gráfico parece cerrar el clip.</v>
      </c>
    </row>
    <row r="13406">
      <c r="A13406" s="4" t="s">
        <v>16870</v>
      </c>
      <c r="B13406" s="4" t="s">
        <v>16871</v>
      </c>
      <c r="C13406" s="5" t="str">
        <f>IFERROR(__xludf.DUMMYFUNCTION("GOOGLETRANSLATE(B13406,""en"",""es-ES"")"),"Una mujer con una camisa negra está bailando.")</f>
        <v>Una mujer con una camisa negra está bailando.</v>
      </c>
    </row>
    <row r="13407">
      <c r="A13407" s="4" t="s">
        <v>16870</v>
      </c>
      <c r="B13407" s="4" t="s">
        <v>16872</v>
      </c>
      <c r="C13407" s="5" t="str">
        <f>IFERROR(__xludf.DUMMYFUNCTION("GOOGLETRANSLATE(B13407,""en"",""es-ES"")"),"Ella está girando un bastón.")</f>
        <v>Ella está girando un bastón.</v>
      </c>
    </row>
    <row r="13408">
      <c r="A13408" s="4" t="s">
        <v>16870</v>
      </c>
      <c r="B13408" s="4" t="s">
        <v>16873</v>
      </c>
      <c r="C13408" s="5" t="str">
        <f>IFERROR(__xludf.DUMMYFUNCTION("GOOGLETRANSLATE(B13408,""en"",""es-ES"")"),"Ella atrapa el bastón y los giros.")</f>
        <v>Ella atrapa el bastón y los giros.</v>
      </c>
    </row>
    <row r="13409">
      <c r="A13409" s="4" t="s">
        <v>16874</v>
      </c>
      <c r="B13409" s="4" t="s">
        <v>16875</v>
      </c>
      <c r="C13409" s="5" t="str">
        <f>IFERROR(__xludf.DUMMYFUNCTION("GOOGLETRANSLATE(B13409,""en"",""es-ES"")"),"Un grupo viaja a un río, ingresando balsas inflables.")</f>
        <v>Un grupo viaja a un río, ingresando balsas inflables.</v>
      </c>
    </row>
    <row r="13410">
      <c r="A13410" s="4" t="s">
        <v>16874</v>
      </c>
      <c r="B13410" s="4" t="s">
        <v>16876</v>
      </c>
      <c r="C13410" s="5" t="str">
        <f>IFERROR(__xludf.DUMMYFUNCTION("GOOGLETRANSLATE(B13410,""en"",""es-ES"")"),"Reman rápidamente por el río a través de los rápidos blancos y sobre pequeñas cascadas.")</f>
        <v>Reman rápidamente por el río a través de los rápidos blancos y sobre pequeñas cascadas.</v>
      </c>
    </row>
    <row r="13411">
      <c r="A13411" s="4" t="s">
        <v>16874</v>
      </c>
      <c r="B13411" s="4" t="s">
        <v>16877</v>
      </c>
      <c r="C13411" s="5" t="str">
        <f>IFERROR(__xludf.DUMMYFUNCTION("GOOGLETRANSLATE(B13411,""en"",""es-ES"")"),"Flotan lentamente de regreso mientras el agua se rocía sobre ellos desde una caída.")</f>
        <v>Flotan lentamente de regreso mientras el agua se rocía sobre ellos desde una caída.</v>
      </c>
    </row>
    <row r="13412">
      <c r="A13412" s="4" t="s">
        <v>16878</v>
      </c>
      <c r="B13412" s="4" t="s">
        <v>16879</v>
      </c>
      <c r="C13412" s="5" t="str">
        <f>IFERROR(__xludf.DUMMYFUNCTION("GOOGLETRANSLATE(B13412,""en"",""es-ES"")"),"Vemos la cara de un hombre de cerca con su nombre impuesto sobre él mientras el hombre se prepara para correr en una pista.")</f>
        <v>Vemos la cara de un hombre de cerca con su nombre impuesto sobre él mientras el hombre se prepara para correr en una pista.</v>
      </c>
    </row>
    <row r="13413">
      <c r="A13413" s="4" t="s">
        <v>16878</v>
      </c>
      <c r="B13413" s="4" t="s">
        <v>16880</v>
      </c>
      <c r="C13413" s="5" t="str">
        <f>IFERROR(__xludf.DUMMYFUNCTION("GOOGLETRANSLATE(B13413,""en"",""es-ES"")"),"El hombre corre por la pista y realiza un salto de longitud y arroja sus brazos al aire.")</f>
        <v>El hombre corre por la pista y realiza un salto de longitud y arroja sus brazos al aire.</v>
      </c>
    </row>
    <row r="13414">
      <c r="A13414" s="4" t="s">
        <v>16878</v>
      </c>
      <c r="B13414" s="4" t="s">
        <v>16881</v>
      </c>
      <c r="C13414" s="5" t="str">
        <f>IFERROR(__xludf.DUMMYFUNCTION("GOOGLETRANSLATE(B13414,""en"",""es-ES"")"),"Vemos a otro hombre estirando los brazos.")</f>
        <v>Vemos a otro hombre estirando los brazos.</v>
      </c>
    </row>
    <row r="13415">
      <c r="A13415" s="4" t="s">
        <v>16878</v>
      </c>
      <c r="B13415" s="4" t="s">
        <v>16882</v>
      </c>
      <c r="C13415" s="5" t="str">
        <f>IFERROR(__xludf.DUMMYFUNCTION("GOOGLETRANSLATE(B13415,""en"",""es-ES"")"),"El saltador espera a que aparezcan los puntajes en la pantalla y el hombre que saltó arroja sus manos en el aire y huye.")</f>
        <v>El saltador espera a que aparezcan los puntajes en la pantalla y el hombre que saltó arroja sus manos en el aire y huye.</v>
      </c>
    </row>
    <row r="13416">
      <c r="A13416" s="4" t="s">
        <v>16878</v>
      </c>
      <c r="B13416" s="4" t="s">
        <v>16883</v>
      </c>
      <c r="C13416" s="5" t="str">
        <f>IFERROR(__xludf.DUMMYFUNCTION("GOOGLETRANSLATE(B13416,""en"",""es-ES"")"),"Se juega una respuesta del salto.")</f>
        <v>Se juega una respuesta del salto.</v>
      </c>
    </row>
    <row r="13417">
      <c r="A13417" s="4" t="s">
        <v>16884</v>
      </c>
      <c r="B13417" s="4" t="s">
        <v>16885</v>
      </c>
      <c r="C13417" s="5" t="str">
        <f>IFERROR(__xludf.DUMMYFUNCTION("GOOGLETRANSLATE(B13417,""en"",""es-ES"")"),"Un grupo de hombres está en cámara, cantando en un video y hablando.")</f>
        <v>Un grupo de hombres está en cámara, cantando en un video y hablando.</v>
      </c>
    </row>
    <row r="13418">
      <c r="A13418" s="4" t="s">
        <v>16884</v>
      </c>
      <c r="B13418" s="4" t="s">
        <v>16886</v>
      </c>
      <c r="C13418" s="5" t="str">
        <f>IFERROR(__xludf.DUMMYFUNCTION("GOOGLETRANSLATE(B13418,""en"",""es-ES"")"),"Llevan gafas de sol a medida que cambian de mucho a un almacén cubierto de pintura.")</f>
        <v>Llevan gafas de sol a medida que cambian de mucho a un almacén cubierto de pintura.</v>
      </c>
    </row>
    <row r="13419">
      <c r="A13419" s="4" t="s">
        <v>16884</v>
      </c>
      <c r="B13419" s="4" t="s">
        <v>16887</v>
      </c>
      <c r="C13419" s="5" t="str">
        <f>IFERROR(__xludf.DUMMYFUNCTION("GOOGLETRANSLATE(B13419,""en"",""es-ES"")"),"Un hombre está cubierto de pintura y con guantes de boxeo mientras se regodea a la cámara.")</f>
        <v>Un hombre está cubierto de pintura y con guantes de boxeo mientras se regodea a la cámara.</v>
      </c>
    </row>
    <row r="13420">
      <c r="A13420" s="4" t="s">
        <v>16888</v>
      </c>
      <c r="B13420" s="4" t="s">
        <v>16889</v>
      </c>
      <c r="C13420" s="5" t="str">
        <f>IFERROR(__xludf.DUMMYFUNCTION("GOOGLETRANSLATE(B13420,""en"",""es-ES"")"),"Hay dos personas en una pendiente de tubos de nieve donde una de ellas está grabando su experiencia en tubos de nieve con su amigo.")</f>
        <v>Hay dos personas en una pendiente de tubos de nieve donde una de ellas está grabando su experiencia en tubos de nieve con su amigo.</v>
      </c>
    </row>
    <row r="13421">
      <c r="A13421" s="4" t="s">
        <v>16888</v>
      </c>
      <c r="B13421" s="4" t="s">
        <v>16890</v>
      </c>
      <c r="C13421" s="5" t="str">
        <f>IFERROR(__xludf.DUMMYFUNCTION("GOOGLETRANSLATE(B13421,""en"",""es-ES"")"),"Hay una mujer que recoge un poco de hielo que ha caído en el suelo.")</f>
        <v>Hay una mujer que recoge un poco de hielo que ha caído en el suelo.</v>
      </c>
    </row>
    <row r="13422">
      <c r="A13422" s="4" t="s">
        <v>16888</v>
      </c>
      <c r="B13422" s="4" t="s">
        <v>16891</v>
      </c>
      <c r="C13422" s="5" t="str">
        <f>IFERROR(__xludf.DUMMYFUNCTION("GOOGLETRANSLATE(B13422,""en"",""es-ES"")"),"Hay varias personas esperando en la fila para ir tubos de nieve.")</f>
        <v>Hay varias personas esperando en la fila para ir tubos de nieve.</v>
      </c>
    </row>
    <row r="13423">
      <c r="A13423" s="4" t="s">
        <v>16888</v>
      </c>
      <c r="B13423" s="4" t="s">
        <v>16892</v>
      </c>
      <c r="C13423" s="5" t="str">
        <f>IFERROR(__xludf.DUMMYFUNCTION("GOOGLETRANSLATE(B13423,""en"",""es-ES"")"),"Después de alcanzar la parte superior de la pendiente, entran en sus tubos y comienzan a deslizarse cuesta abajo.")</f>
        <v>Después de alcanzar la parte superior de la pendiente, entran en sus tubos y comienzan a deslizarse cuesta abajo.</v>
      </c>
    </row>
    <row r="13424">
      <c r="A13424" s="4" t="s">
        <v>16888</v>
      </c>
      <c r="B13424" s="4" t="s">
        <v>16893</v>
      </c>
      <c r="C13424" s="5" t="str">
        <f>IFERROR(__xludf.DUMMYFUNCTION("GOOGLETRANSLATE(B13424,""en"",""es-ES"")"),"Bajan por las laderas cubiertas de nieve hasta que llegan al fondo.")</f>
        <v>Bajan por las laderas cubiertas de nieve hasta que llegan al fondo.</v>
      </c>
    </row>
    <row r="13425">
      <c r="A13425" s="4" t="s">
        <v>16894</v>
      </c>
      <c r="B13425" s="4" t="s">
        <v>16895</v>
      </c>
      <c r="C13425" s="5" t="str">
        <f>IFERROR(__xludf.DUMMYFUNCTION("GOOGLETRANSLATE(B13425,""en"",""es-ES"")"),"La gente está de pie alrededor de un campamento cortando madera.")</f>
        <v>La gente está de pie alrededor de un campamento cortando madera.</v>
      </c>
    </row>
    <row r="13426">
      <c r="A13426" s="4" t="s">
        <v>16894</v>
      </c>
      <c r="B13426" s="4" t="s">
        <v>16896</v>
      </c>
      <c r="C13426" s="5" t="str">
        <f>IFERROR(__xludf.DUMMYFUNCTION("GOOGLETRANSLATE(B13426,""en"",""es-ES"")"),"Un niño se para sostener un palo.")</f>
        <v>Un niño se para sostener un palo.</v>
      </c>
    </row>
    <row r="13427">
      <c r="A13427" s="4" t="s">
        <v>16894</v>
      </c>
      <c r="B13427" s="4" t="s">
        <v>16897</v>
      </c>
      <c r="C13427" s="5" t="str">
        <f>IFERROR(__xludf.DUMMYFUNCTION("GOOGLETRANSLATE(B13427,""en"",""es-ES"")"),"Un hombre arroja piezas de madera en una pila.")</f>
        <v>Un hombre arroja piezas de madera en una pila.</v>
      </c>
    </row>
    <row r="13428">
      <c r="A13428" s="4" t="s">
        <v>16894</v>
      </c>
      <c r="B13428" s="4" t="s">
        <v>16898</v>
      </c>
      <c r="C13428" s="5" t="str">
        <f>IFERROR(__xludf.DUMMYFUNCTION("GOOGLETRANSLATE(B13428,""en"",""es-ES"")"),"Se muestran sillas en el campamento.")</f>
        <v>Se muestran sillas en el campamento.</v>
      </c>
    </row>
    <row r="13429">
      <c r="A13429" s="4" t="s">
        <v>16894</v>
      </c>
      <c r="B13429" s="4" t="s">
        <v>16899</v>
      </c>
      <c r="C13429" s="5" t="str">
        <f>IFERROR(__xludf.DUMMYFUNCTION("GOOGLETRANSLATE(B13429,""en"",""es-ES"")"),"Un hombre camina hacia la cámara hablando.")</f>
        <v>Un hombre camina hacia la cámara hablando.</v>
      </c>
    </row>
    <row r="13430">
      <c r="A13430" s="4" t="s">
        <v>16894</v>
      </c>
      <c r="B13430" s="4" t="s">
        <v>16900</v>
      </c>
      <c r="C13430" s="5" t="str">
        <f>IFERROR(__xludf.DUMMYFUNCTION("GOOGLETRANSLATE(B13430,""en"",""es-ES"")"),"Continúan cortando madera en el campamento.")</f>
        <v>Continúan cortando madera en el campamento.</v>
      </c>
    </row>
    <row r="13431">
      <c r="A13431" s="4" t="s">
        <v>16901</v>
      </c>
      <c r="B13431" s="4" t="s">
        <v>16902</v>
      </c>
      <c r="C13431" s="5" t="str">
        <f>IFERROR(__xludf.DUMMYFUNCTION("GOOGLETRANSLATE(B13431,""en"",""es-ES"")"),"Se ve a una persona caminando por un patio y muchas personas de pie.")</f>
        <v>Se ve a una persona caminando por un patio y muchas personas de pie.</v>
      </c>
    </row>
    <row r="13432">
      <c r="A13432" s="4" t="s">
        <v>16901</v>
      </c>
      <c r="B13432" s="4" t="s">
        <v>16903</v>
      </c>
      <c r="C13432" s="5" t="str">
        <f>IFERROR(__xludf.DUMMYFUNCTION("GOOGLETRANSLATE(B13432,""en"",""es-ES"")"),"La gente luego comienza a jugar un juego entre sí y corriendo por el patio.")</f>
        <v>La gente luego comienza a jugar un juego entre sí y corriendo por el patio.</v>
      </c>
    </row>
    <row r="13433">
      <c r="A13433" s="4" t="s">
        <v>16901</v>
      </c>
      <c r="B13433" s="4" t="s">
        <v>16904</v>
      </c>
      <c r="C13433" s="5" t="str">
        <f>IFERROR(__xludf.DUMMYFUNCTION("GOOGLETRANSLATE(B13433,""en"",""es-ES"")"),"La gente se acurruca juntas mientras conduce a más tiros de personas jugando el juego y hablando con la cámara.")</f>
        <v>La gente se acurruca juntas mientras conduce a más tiros de personas jugando el juego y hablando con la cámara.</v>
      </c>
    </row>
    <row r="13434">
      <c r="A13434" s="4" t="s">
        <v>16905</v>
      </c>
      <c r="B13434" s="4" t="s">
        <v>16906</v>
      </c>
      <c r="C13434" s="5" t="str">
        <f>IFERROR(__xludf.DUMMYFUNCTION("GOOGLETRANSLATE(B13434,""en"",""es-ES"")"),"Se muestra un primer plano de las cuchillas de los rodillos de una persona con un hombre parado en el marco.")</f>
        <v>Se muestra un primer plano de las cuchillas de los rodillos de una persona con un hombre parado en el marco.</v>
      </c>
    </row>
    <row r="13435">
      <c r="A13435" s="4" t="s">
        <v>16905</v>
      </c>
      <c r="B13435" s="4" t="s">
        <v>16907</v>
      </c>
      <c r="C13435" s="5" t="str">
        <f>IFERROR(__xludf.DUMMYFUNCTION("GOOGLETRANSLATE(B13435,""en"",""es-ES"")"),"La persona luego ilumina sus cuchillas y salta en su lugar.")</f>
        <v>La persona luego ilumina sus cuchillas y salta en su lugar.</v>
      </c>
    </row>
    <row r="13436">
      <c r="A13436" s="4" t="s">
        <v>16905</v>
      </c>
      <c r="B13436" s="4" t="s">
        <v>16908</v>
      </c>
      <c r="C13436" s="5" t="str">
        <f>IFERROR(__xludf.DUMMYFUNCTION("GOOGLETRANSLATE(B13436,""en"",""es-ES"")"),"La persona continúa montando y pateando los pies mientras las chispas vuelan.")</f>
        <v>La persona continúa montando y pateando los pies mientras las chispas vuelan.</v>
      </c>
    </row>
    <row r="13437">
      <c r="A13437" s="4" t="s">
        <v>16909</v>
      </c>
      <c r="B13437" s="4" t="s">
        <v>16910</v>
      </c>
      <c r="C13437" s="5" t="str">
        <f>IFERROR(__xludf.DUMMYFUNCTION("GOOGLETRANSLATE(B13437,""en"",""es-ES"")"),"Se ve la mano de una persona en una mesa, así como varios clips de un casino que se muestra.")</f>
        <v>Se ve la mano de una persona en una mesa, así como varios clips de un casino que se muestra.</v>
      </c>
    </row>
    <row r="13438">
      <c r="A13438" s="4" t="s">
        <v>16909</v>
      </c>
      <c r="B13438" s="4" t="s">
        <v>16911</v>
      </c>
      <c r="C13438" s="5" t="str">
        <f>IFERROR(__xludf.DUMMYFUNCTION("GOOGLETRANSLATE(B13438,""en"",""es-ES"")"),"Se muestran más tiros de las personas que tratan tarjetas a otros, así como a las personas que animan y continúan tratando cartas.")</f>
        <v>Se muestran más tiros de las personas que tratan tarjetas a otros, así como a las personas que animan y continúan tratando cartas.</v>
      </c>
    </row>
    <row r="13439">
      <c r="A13439" s="4" t="s">
        <v>16912</v>
      </c>
      <c r="B13439" s="4" t="s">
        <v>16913</v>
      </c>
      <c r="C13439" s="5" t="str">
        <f>IFERROR(__xludf.DUMMYFUNCTION("GOOGLETRANSLATE(B13439,""en"",""es-ES"")"),"Un monitor de computadora se encuentra en un escritorio.")</f>
        <v>Un monitor de computadora se encuentra en un escritorio.</v>
      </c>
    </row>
    <row r="13440">
      <c r="A13440" s="4" t="s">
        <v>16912</v>
      </c>
      <c r="B13440" s="4" t="s">
        <v>16914</v>
      </c>
      <c r="C13440" s="5" t="str">
        <f>IFERROR(__xludf.DUMMYFUNCTION("GOOGLETRANSLATE(B13440,""en"",""es-ES"")"),"Un niño se pone guantes.")</f>
        <v>Un niño se pone guantes.</v>
      </c>
    </row>
    <row r="13441">
      <c r="A13441" s="4" t="s">
        <v>16912</v>
      </c>
      <c r="B13441" s="4" t="s">
        <v>16915</v>
      </c>
      <c r="C13441" s="5" t="str">
        <f>IFERROR(__xludf.DUMMYFUNCTION("GOOGLETRANSLATE(B13441,""en"",""es-ES"")"),"Luego se pone un casco.")</f>
        <v>Luego se pone un casco.</v>
      </c>
    </row>
    <row r="13442">
      <c r="A13442" s="4" t="s">
        <v>16912</v>
      </c>
      <c r="B13442" s="4" t="s">
        <v>16916</v>
      </c>
      <c r="C13442" s="5" t="str">
        <f>IFERROR(__xludf.DUMMYFUNCTION("GOOGLETRANSLATE(B13442,""en"",""es-ES"")"),"Luego monta un longboard.")</f>
        <v>Luego monta un longboard.</v>
      </c>
    </row>
    <row r="13443">
      <c r="A13443" s="4" t="s">
        <v>16917</v>
      </c>
      <c r="B13443" s="4" t="s">
        <v>16918</v>
      </c>
      <c r="C13443" s="5" t="str">
        <f>IFERROR(__xludf.DUMMYFUNCTION("GOOGLETRANSLATE(B13443,""en"",""es-ES"")"),"Un hombre está demostrando una actuación de gimnasia en dos bares.")</f>
        <v>Un hombre está demostrando una actuación de gimnasia en dos bares.</v>
      </c>
    </row>
    <row r="13444">
      <c r="A13444" s="4" t="s">
        <v>16917</v>
      </c>
      <c r="B13444" s="4" t="s">
        <v>16919</v>
      </c>
      <c r="C13444" s="5" t="str">
        <f>IFERROR(__xludf.DUMMYFUNCTION("GOOGLETRANSLATE(B13444,""en"",""es-ES"")"),"Hay espectadores que miran la actuación.")</f>
        <v>Hay espectadores que miran la actuación.</v>
      </c>
    </row>
    <row r="13445">
      <c r="A13445" s="4" t="s">
        <v>16917</v>
      </c>
      <c r="B13445" s="4" t="s">
        <v>16920</v>
      </c>
      <c r="C13445" s="5" t="str">
        <f>IFERROR(__xludf.DUMMYFUNCTION("GOOGLETRANSLATE(B13445,""en"",""es-ES"")"),"Una persona está fotografiando la actuación.")</f>
        <v>Una persona está fotografiando la actuación.</v>
      </c>
    </row>
    <row r="13446">
      <c r="A13446" s="4" t="s">
        <v>16917</v>
      </c>
      <c r="B13446" s="4" t="s">
        <v>16921</v>
      </c>
      <c r="C13446" s="5" t="str">
        <f>IFERROR(__xludf.DUMMYFUNCTION("GOOGLETRANSLATE(B13446,""en"",""es-ES"")"),"La gimnasta salta de los bares y otra gimnasta corre hacia ellos.")</f>
        <v>La gimnasta salta de los bares y otra gimnasta corre hacia ellos.</v>
      </c>
    </row>
    <row r="13447">
      <c r="A13447" s="4" t="s">
        <v>16922</v>
      </c>
      <c r="B13447" s="4" t="s">
        <v>16923</v>
      </c>
      <c r="C13447" s="5" t="str">
        <f>IFERROR(__xludf.DUMMYFUNCTION("GOOGLETRANSLATE(B13447,""en"",""es-ES"")"),"Un hombre toca la batería en una sala de estar.")</f>
        <v>Un hombre toca la batería en una sala de estar.</v>
      </c>
    </row>
    <row r="13448">
      <c r="A13448" s="4" t="s">
        <v>16922</v>
      </c>
      <c r="B13448" s="4" t="s">
        <v>16924</v>
      </c>
      <c r="C13448" s="5" t="str">
        <f>IFERROR(__xludf.DUMMYFUNCTION("GOOGLETRANSLATE(B13448,""en"",""es-ES"")"),"El hombre arroja la cabeza hacia atrás.")</f>
        <v>El hombre arroja la cabeza hacia atrás.</v>
      </c>
    </row>
    <row r="13449">
      <c r="A13449" s="4" t="s">
        <v>16922</v>
      </c>
      <c r="B13449" s="4" t="s">
        <v>16925</v>
      </c>
      <c r="C13449" s="5" t="str">
        <f>IFERROR(__xludf.DUMMYFUNCTION("GOOGLETRANSLATE(B13449,""en"",""es-ES"")"),"Actuamos en las manos del hombre.")</f>
        <v>Actuamos en las manos del hombre.</v>
      </c>
    </row>
    <row r="13450">
      <c r="A13450" s="4" t="s">
        <v>16922</v>
      </c>
      <c r="B13450" s="4" t="s">
        <v>16926</v>
      </c>
      <c r="C13450" s="5" t="str">
        <f>IFERROR(__xludf.DUMMYFUNCTION("GOOGLETRANSLATE(B13450,""en"",""es-ES"")"),"Salimos y vemos a todo el hombre.")</f>
        <v>Salimos y vemos a todo el hombre.</v>
      </c>
    </row>
    <row r="13451">
      <c r="A13451" s="4" t="s">
        <v>16922</v>
      </c>
      <c r="B13451" s="4" t="s">
        <v>16927</v>
      </c>
      <c r="C13451" s="5" t="str">
        <f>IFERROR(__xludf.DUMMYFUNCTION("GOOGLETRANSLATE(B13451,""en"",""es-ES"")"),"Termina de jugar y hace un arco.")</f>
        <v>Termina de jugar y hace un arco.</v>
      </c>
    </row>
    <row r="13452">
      <c r="A13452" s="4" t="s">
        <v>16928</v>
      </c>
      <c r="B13452" s="4" t="s">
        <v>16929</v>
      </c>
      <c r="C13452" s="5" t="str">
        <f>IFERROR(__xludf.DUMMYFUNCTION("GOOGLETRANSLATE(B13452,""en"",""es-ES"")"),"Un hombre brota en una pista y salta a un área de tierra.")</f>
        <v>Un hombre brota en una pista y salta a un área de tierra.</v>
      </c>
    </row>
    <row r="13453">
      <c r="A13453" s="4" t="s">
        <v>16928</v>
      </c>
      <c r="B13453" s="4" t="s">
        <v>16930</v>
      </c>
      <c r="C13453" s="5" t="str">
        <f>IFERROR(__xludf.DUMMYFUNCTION("GOOGLETRANSLATE(B13453,""en"",""es-ES"")"),"Un segundo hombre hace lo mismo.")</f>
        <v>Un segundo hombre hace lo mismo.</v>
      </c>
    </row>
    <row r="13454">
      <c r="A13454" s="4" t="s">
        <v>16928</v>
      </c>
      <c r="B13454" s="4" t="s">
        <v>16931</v>
      </c>
      <c r="C13454" s="5" t="str">
        <f>IFERROR(__xludf.DUMMYFUNCTION("GOOGLETRANSLATE(B13454,""en"",""es-ES"")"),"Un tercer hombre lo sigue.")</f>
        <v>Un tercer hombre lo sigue.</v>
      </c>
    </row>
    <row r="13455">
      <c r="A13455" s="4" t="s">
        <v>16928</v>
      </c>
      <c r="B13455" s="4" t="s">
        <v>16932</v>
      </c>
      <c r="C13455" s="5" t="str">
        <f>IFERROR(__xludf.DUMMYFUNCTION("GOOGLETRANSLATE(B13455,""en"",""es-ES"")"),"Un cuarto hombre va tras él.")</f>
        <v>Un cuarto hombre va tras él.</v>
      </c>
    </row>
    <row r="13456">
      <c r="A13456" s="4" t="s">
        <v>16928</v>
      </c>
      <c r="B13456" s="4" t="s">
        <v>16933</v>
      </c>
      <c r="C13456" s="5" t="str">
        <f>IFERROR(__xludf.DUMMYFUNCTION("GOOGLETRANSLATE(B13456,""en"",""es-ES"")"),"Un quinto hombre comienza a correr mientras sostiene una larga barra.")</f>
        <v>Un quinto hombre comienza a correr mientras sostiene una larga barra.</v>
      </c>
    </row>
    <row r="13457">
      <c r="A13457" s="4" t="s">
        <v>16934</v>
      </c>
      <c r="B13457" s="4" t="s">
        <v>16935</v>
      </c>
      <c r="C13457" s="5" t="str">
        <f>IFERROR(__xludf.DUMMYFUNCTION("GOOGLETRANSLATE(B13457,""en"",""es-ES"")"),"Las palabras se escriben en la pantalla.")</f>
        <v>Las palabras se escriben en la pantalla.</v>
      </c>
    </row>
    <row r="13458">
      <c r="A13458" s="4" t="s">
        <v>16934</v>
      </c>
      <c r="B13458" s="4" t="s">
        <v>16936</v>
      </c>
      <c r="C13458" s="5" t="str">
        <f>IFERROR(__xludf.DUMMYFUNCTION("GOOGLETRANSLATE(B13458,""en"",""es-ES"")"),"Se coloca un cuchillo en un afilador y se mueve hacia adelante y hacia atrás y se usa en un afilador circular.")</f>
        <v>Se coloca un cuchillo en un afilador y se mueve hacia adelante y hacia atrás y se usa en un afilador circular.</v>
      </c>
    </row>
    <row r="13459">
      <c r="A13459" s="4" t="s">
        <v>16934</v>
      </c>
      <c r="B13459" s="4" t="s">
        <v>16937</v>
      </c>
      <c r="C13459" s="5" t="str">
        <f>IFERROR(__xludf.DUMMYFUNCTION("GOOGLETRANSLATE(B13459,""en"",""es-ES"")"),"Un par de tijeras se agudizan en el afilador.")</f>
        <v>Un par de tijeras se agudizan en el afilador.</v>
      </c>
    </row>
    <row r="13460">
      <c r="A13460" s="4" t="s">
        <v>16934</v>
      </c>
      <c r="B13460" s="4" t="s">
        <v>16938</v>
      </c>
      <c r="C13460" s="5" t="str">
        <f>IFERROR(__xludf.DUMMYFUNCTION("GOOGLETRANSLATE(B13460,""en"",""es-ES"")"),"Las tijeras cortan una toalla morada y un trozo de papel.")</f>
        <v>Las tijeras cortan una toalla morada y un trozo de papel.</v>
      </c>
    </row>
    <row r="13461">
      <c r="A13461" s="4" t="s">
        <v>16934</v>
      </c>
      <c r="B13461" s="4" t="s">
        <v>16939</v>
      </c>
      <c r="C13461" s="5" t="str">
        <f>IFERROR(__xludf.DUMMYFUNCTION("GOOGLETRANSLATE(B13461,""en"",""es-ES"")"),"Las palabras se muestran nuevamente en la pantalla.")</f>
        <v>Las palabras se muestran nuevamente en la pantalla.</v>
      </c>
    </row>
    <row r="13462">
      <c r="A13462" s="4" t="s">
        <v>16940</v>
      </c>
      <c r="B13462" s="4" t="s">
        <v>16941</v>
      </c>
      <c r="C13462" s="5" t="str">
        <f>IFERROR(__xludf.DUMMYFUNCTION("GOOGLETRANSLATE(B13462,""en"",""es-ES"")"),"Una chica con cabello largo y rubio, con una bata azul está haciendo un tutorial sobre cómo usar rodillos calientes en su cabello.")</f>
        <v>Una chica con cabello largo y rubio, con una bata azul está haciendo un tutorial sobre cómo usar rodillos calientes en su cabello.</v>
      </c>
    </row>
    <row r="13463">
      <c r="A13463" s="4" t="s">
        <v>16940</v>
      </c>
      <c r="B13463" s="4" t="s">
        <v>16942</v>
      </c>
      <c r="C13463" s="5" t="str">
        <f>IFERROR(__xludf.DUMMYFUNCTION("GOOGLETRANSLATE(B13463,""en"",""es-ES"")"),"Hay otra mujer con blanco que está demostrando cómo seccionar su cabello y comenzar a poner los rodillos en el suyo.")</f>
        <v>Hay otra mujer con blanco que está demostrando cómo seccionar su cabello y comenzar a poner los rodillos en el suyo.</v>
      </c>
    </row>
    <row r="13464">
      <c r="A13464" s="4" t="s">
        <v>16940</v>
      </c>
      <c r="B13464" s="4" t="s">
        <v>16943</v>
      </c>
      <c r="C13464" s="5" t="str">
        <f>IFERROR(__xludf.DUMMYFUNCTION("GOOGLETRANSLATE(B13464,""en"",""es-ES"")"),"Después de haber terminado de poner los rodillos en toda la cabeza, usa un secador de soplado para agregar un poco de calor al cabello.")</f>
        <v>Después de haber terminado de poner los rodillos en toda la cabeza, usa un secador de soplado para agregar un poco de calor al cabello.</v>
      </c>
    </row>
    <row r="13465">
      <c r="A13465" s="4" t="s">
        <v>16940</v>
      </c>
      <c r="B13465" s="4" t="s">
        <v>16944</v>
      </c>
      <c r="C13465" s="5" t="str">
        <f>IFERROR(__xludf.DUMMYFUNCTION("GOOGLETRANSLATE(B13465,""en"",""es-ES"")"),"Luego quita los rodillos del cabello de la modelo y comienza a pasar sus dedos a través del cabello.")</f>
        <v>Luego quita los rodillos del cabello de la modelo y comienza a pasar sus dedos a través del cabello.</v>
      </c>
    </row>
    <row r="13466">
      <c r="A13466" s="4" t="s">
        <v>16940</v>
      </c>
      <c r="B13466" s="4" t="s">
        <v>16945</v>
      </c>
      <c r="C13466" s="5" t="str">
        <f>IFERROR(__xludf.DUMMYFUNCTION("GOOGLETRANSLATE(B13466,""en"",""es-ES"")"),"Luego separa su cabello suavemente con un cepillo.")</f>
        <v>Luego separa su cabello suavemente con un cepillo.</v>
      </c>
    </row>
    <row r="13467">
      <c r="A13467" s="4" t="s">
        <v>16940</v>
      </c>
      <c r="B13467" s="4" t="s">
        <v>16946</v>
      </c>
      <c r="C13467" s="5" t="str">
        <f>IFERROR(__xludf.DUMMYFUNCTION("GOOGLETRANSLATE(B13467,""en"",""es-ES"")"),"Ella muestra cómo terminar la apariencia pasando sus dedos a través de su cabello sin usar un cepillo.")</f>
        <v>Ella muestra cómo terminar la apariencia pasando sus dedos a través de su cabello sin usar un cepillo.</v>
      </c>
    </row>
    <row r="13468">
      <c r="A13468" s="4" t="s">
        <v>16947</v>
      </c>
      <c r="B13468" s="4" t="s">
        <v>16948</v>
      </c>
      <c r="C13468" s="5" t="str">
        <f>IFERROR(__xludf.DUMMYFUNCTION("GOOGLETRANSLATE(B13468,""en"",""es-ES"")"),"Un hombre que lleva un chaleco negro contiene disco blanco en la mano mientras un borde Collie se encuentra frente a él.")</f>
        <v>Un hombre que lleva un chaleco negro contiene disco blanco en la mano mientras un borde Collie se encuentra frente a él.</v>
      </c>
    </row>
    <row r="13469">
      <c r="A13469" s="4" t="s">
        <v>16947</v>
      </c>
      <c r="B13469" s="4" t="s">
        <v>16949</v>
      </c>
      <c r="C13469" s="5" t="str">
        <f>IFERROR(__xludf.DUMMYFUNCTION("GOOGLETRANSLATE(B13469,""en"",""es-ES"")"),"El hombre pasa a Froward y abofetea los discos blancos en su muslo.")</f>
        <v>El hombre pasa a Froward y abofetea los discos blancos en su muslo.</v>
      </c>
    </row>
    <row r="13470">
      <c r="A13470" s="4" t="s">
        <v>16947</v>
      </c>
      <c r="B13470" s="4" t="s">
        <v>16950</v>
      </c>
      <c r="C13470" s="5" t="str">
        <f>IFERROR(__xludf.DUMMYFUNCTION("GOOGLETRANSLATE(B13470,""en"",""es-ES"")"),"El hombre da un paso adelante cambiando cada pie mientras el huésped Collie corre entre las piernas del hombre.")</f>
        <v>El hombre da un paso adelante cambiando cada pie mientras el huésped Collie corre entre las piernas del hombre.</v>
      </c>
    </row>
    <row r="13471">
      <c r="A13471" s="4" t="s">
        <v>16947</v>
      </c>
      <c r="B13471" s="4" t="s">
        <v>16951</v>
      </c>
      <c r="C13471" s="5" t="str">
        <f>IFERROR(__xludf.DUMMYFUNCTION("GOOGLETRANSLATE(B13471,""en"",""es-ES"")"),"El hombre le toca la cabeza con el disco blanco que se agacha y el huésped Collie salta sobre su espalda y equilibra la suya.")</f>
        <v>El hombre le toca la cabeza con el disco blanco que se agacha y el huésped Collie salta sobre su espalda y equilibra la suya.</v>
      </c>
    </row>
    <row r="13472">
      <c r="A13472" s="4" t="s">
        <v>16947</v>
      </c>
      <c r="B13472" s="4" t="s">
        <v>16952</v>
      </c>
      <c r="C13472" s="5" t="str">
        <f>IFERROR(__xludf.DUMMYFUNCTION("GOOGLETRANSLATE(B13472,""en"",""es-ES"")"),"El hombre arroja el disco sobre su cabeza y el huésped Collie lo atrapa y sale corriendo.")</f>
        <v>El hombre arroja el disco sobre su cabeza y el huésped Collie lo atrapa y sale corriendo.</v>
      </c>
    </row>
    <row r="13473">
      <c r="A13473" s="4" t="s">
        <v>16953</v>
      </c>
      <c r="B13473" s="4" t="s">
        <v>16954</v>
      </c>
      <c r="C13473" s="5" t="str">
        <f>IFERROR(__xludf.DUMMYFUNCTION("GOOGLETRANSLATE(B13473,""en"",""es-ES"")"),"Se muestran varios clips de jóvenes que bailan y festejan entre sí, así como bebiendo y jugando a Beer Pong.")</f>
        <v>Se muestran varios clips de jóvenes que bailan y festejan entre sí, así como bebiendo y jugando a Beer Pong.</v>
      </c>
    </row>
    <row r="13474">
      <c r="A13474" s="4" t="s">
        <v>16953</v>
      </c>
      <c r="B13474" s="4" t="s">
        <v>16955</v>
      </c>
      <c r="C13474" s="5" t="str">
        <f>IFERROR(__xludf.DUMMYFUNCTION("GOOGLETRANSLATE(B13474,""en"",""es-ES"")"),"Se muestran más disparos de personas que miran y hablan con la cámara mientras juegan pong y beben cerveza entre sí.")</f>
        <v>Se muestran más disparos de personas que miran y hablan con la cámara mientras juegan pong y beben cerveza entre sí.</v>
      </c>
    </row>
    <row r="13475">
      <c r="A13475" s="4" t="s">
        <v>16956</v>
      </c>
      <c r="B13475" s="4" t="s">
        <v>16957</v>
      </c>
      <c r="C13475" s="5" t="str">
        <f>IFERROR(__xludf.DUMMYFUNCTION("GOOGLETRANSLATE(B13475,""en"",""es-ES"")"),"Un video de esquiador en una colina nevada toma un video de sí mismos como esquiar como pasan otros esquiadores.")</f>
        <v>Un video de esquiador en una colina nevada toma un video de sí mismos como esquiar como pasan otros esquiadores.</v>
      </c>
    </row>
    <row r="13476">
      <c r="A13476" s="4" t="s">
        <v>16956</v>
      </c>
      <c r="B13476" s="4" t="s">
        <v>16958</v>
      </c>
      <c r="C13476" s="5" t="str">
        <f>IFERROR(__xludf.DUMMYFUNCTION("GOOGLETRANSLATE(B13476,""en"",""es-ES"")"),"El esquiador pasa por los ascensores de esquí mientras pasan por una esquina y pasan por los ascensores nuevamente.")</f>
        <v>El esquiador pasa por los ascensores de esquí mientras pasan por una esquina y pasan por los ascensores nuevamente.</v>
      </c>
    </row>
    <row r="13477">
      <c r="A13477" s="4" t="s">
        <v>16956</v>
      </c>
      <c r="B13477" s="4" t="s">
        <v>16959</v>
      </c>
      <c r="C13477" s="5" t="str">
        <f>IFERROR(__xludf.DUMMYFUNCTION("GOOGLETRANSLATE(B13477,""en"",""es-ES"")"),"Luego se dan la vuelta y se suben al ascensor y viajan más abajo en la colina en un camino que pasa las cercas azules, un signo de marcador de senderos y terminando en un albergue.")</f>
        <v>Luego se dan la vuelta y se suben al ascensor y viajan más abajo en la colina en un camino que pasa las cercas azules, un signo de marcador de senderos y terminando en un albergue.</v>
      </c>
    </row>
    <row r="13478">
      <c r="A13478" s="4" t="s">
        <v>16960</v>
      </c>
      <c r="B13478" s="4" t="s">
        <v>16961</v>
      </c>
      <c r="C13478" s="5" t="str">
        <f>IFERROR(__xludf.DUMMYFUNCTION("GOOGLETRANSLATE(B13478,""en"",""es-ES"")"),"Un niño va y juega en un lugar de juego.")</f>
        <v>Un niño va y juega en un lugar de juego.</v>
      </c>
    </row>
    <row r="13479">
      <c r="A13479" s="4" t="s">
        <v>16960</v>
      </c>
      <c r="B13479" s="4" t="s">
        <v>16962</v>
      </c>
      <c r="C13479" s="5" t="str">
        <f>IFERROR(__xludf.DUMMYFUNCTION("GOOGLETRANSLATE(B13479,""en"",""es-ES"")"),"Ella sube, baja por los toboganes, se mueve de un lado a otro, y tiene alegría general.")</f>
        <v>Ella sube, baja por los toboganes, se mueve de un lado a otro, y tiene alegría general.</v>
      </c>
    </row>
    <row r="13480">
      <c r="A13480" s="4" t="s">
        <v>16963</v>
      </c>
      <c r="B13480" s="4" t="s">
        <v>16964</v>
      </c>
      <c r="C13480" s="5" t="str">
        <f>IFERROR(__xludf.DUMMYFUNCTION("GOOGLETRANSLATE(B13480,""en"",""es-ES"")"),"Afuera mientras un grupo mira, un hombre levanta a un chico sobre su hombro y lo arroja sobre una mesa que se rompe.")</f>
        <v>Afuera mientras un grupo mira, un hombre levanta a un chico sobre su hombro y lo arroja sobre una mesa que se rompe.</v>
      </c>
    </row>
    <row r="13481">
      <c r="A13481" s="4" t="s">
        <v>16963</v>
      </c>
      <c r="B13481" s="4" t="s">
        <v>16965</v>
      </c>
      <c r="C13481" s="5" t="str">
        <f>IFERROR(__xludf.DUMMYFUNCTION("GOOGLETRANSLATE(B13481,""en"",""es-ES"")"),"Afuera, una espalda masculina se voltea en un trampolín y cae en su rostro.")</f>
        <v>Afuera, una espalda masculina se voltea en un trampolín y cae en su rostro.</v>
      </c>
    </row>
    <row r="13482">
      <c r="A13482" s="4" t="s">
        <v>16963</v>
      </c>
      <c r="B13482" s="4" t="s">
        <v>16966</v>
      </c>
      <c r="C13482" s="5" t="str">
        <f>IFERROR(__xludf.DUMMYFUNCTION("GOOGLETRANSLATE(B13482,""en"",""es-ES"")"),"Dos hombres colocan al macho y lo miran a la cara, y otra persona mueve a un individuo colocado para mirar la cara del hombre.")</f>
        <v>Dos hombres colocan al macho y lo miran a la cara, y otra persona mueve a un individuo colocado para mirar la cara del hombre.</v>
      </c>
    </row>
    <row r="13483">
      <c r="A13483" s="4" t="s">
        <v>16967</v>
      </c>
      <c r="B13483" s="4" t="s">
        <v>16968</v>
      </c>
      <c r="C13483" s="5" t="str">
        <f>IFERROR(__xludf.DUMMYFUNCTION("GOOGLETRANSLATE(B13483,""en"",""es-ES"")"),"Se muestra una imagen de un bebé yuxtapuesto junto a una niña.")</f>
        <v>Se muestra una imagen de un bebé yuxtapuesto junto a una niña.</v>
      </c>
    </row>
    <row r="13484">
      <c r="A13484" s="4" t="s">
        <v>16967</v>
      </c>
      <c r="B13484" s="4" t="s">
        <v>16969</v>
      </c>
      <c r="C13484" s="5" t="str">
        <f>IFERROR(__xludf.DUMMYFUNCTION("GOOGLETRANSLATE(B13484,""en"",""es-ES"")"),"Se ve a una mujer con una niña mientras habla.")</f>
        <v>Se ve a una mujer con una niña mientras habla.</v>
      </c>
    </row>
    <row r="13485">
      <c r="A13485" s="4" t="s">
        <v>16967</v>
      </c>
      <c r="B13485" s="4" t="s">
        <v>16970</v>
      </c>
      <c r="C13485" s="5" t="str">
        <f>IFERROR(__xludf.DUMMYFUNCTION("GOOGLETRANSLATE(B13485,""en"",""es-ES"")"),"Luego hace que la niña se siente mientras procede a trenzar su cabello en piezas largas y gruesas.")</f>
        <v>Luego hace que la niña se siente mientras procede a trenzar su cabello en piezas largas y gruesas.</v>
      </c>
    </row>
    <row r="13486">
      <c r="A13486" s="4" t="s">
        <v>16967</v>
      </c>
      <c r="B13486" s="4" t="s">
        <v>16971</v>
      </c>
      <c r="C13486" s="5" t="str">
        <f>IFERROR(__xludf.DUMMYFUNCTION("GOOGLETRANSLATE(B13486,""en"",""es-ES"")"),"Ella atrae el cabello en su lugar, luego se despide de la cámara.")</f>
        <v>Ella atrae el cabello en su lugar, luego se despide de la cámara.</v>
      </c>
    </row>
    <row r="13487">
      <c r="A13487" s="4" t="s">
        <v>16972</v>
      </c>
      <c r="B13487" s="4" t="s">
        <v>16973</v>
      </c>
      <c r="C13487" s="5" t="str">
        <f>IFERROR(__xludf.DUMMYFUNCTION("GOOGLETRANSLATE(B13487,""en"",""es-ES"")"),"Un hombre lanza una hoja de papel tapiz de un tubo, luego una foto grande.")</f>
        <v>Un hombre lanza una hoja de papel tapiz de un tubo, luego una foto grande.</v>
      </c>
    </row>
    <row r="13488">
      <c r="A13488" s="4" t="s">
        <v>16972</v>
      </c>
      <c r="B13488" s="4" t="s">
        <v>16974</v>
      </c>
      <c r="C13488" s="5" t="str">
        <f>IFERROR(__xludf.DUMMYFUNCTION("GOOGLETRANSLATE(B13488,""en"",""es-ES"")"),"Aplica la hoja y las fotos a la pared, creando un mural de fotografía de la vida real.")</f>
        <v>Aplica la hoja y las fotos a la pared, creando un mural de fotografía de la vida real.</v>
      </c>
    </row>
    <row r="13489">
      <c r="A13489" s="4" t="s">
        <v>16972</v>
      </c>
      <c r="B13489" s="4" t="s">
        <v>16975</v>
      </c>
      <c r="C13489" s="5" t="str">
        <f>IFERROR(__xludf.DUMMYFUNCTION("GOOGLETRANSLATE(B13489,""en"",""es-ES"")"),"Limpia las imágenes en la pared limpiamente.")</f>
        <v>Limpia las imágenes en la pared limpiamente.</v>
      </c>
    </row>
    <row r="13490">
      <c r="A13490" s="4" t="s">
        <v>16976</v>
      </c>
      <c r="B13490" s="4" t="s">
        <v>16977</v>
      </c>
      <c r="C13490" s="5" t="str">
        <f>IFERROR(__xludf.DUMMYFUNCTION("GOOGLETRANSLATE(B13490,""en"",""es-ES"")"),"Se reúne una multitud alrededor de dos mujeres que luchan contra los brazos.")</f>
        <v>Se reúne una multitud alrededor de dos mujeres que luchan contra los brazos.</v>
      </c>
    </row>
    <row r="13491">
      <c r="A13491" s="4" t="s">
        <v>16976</v>
      </c>
      <c r="B13491" s="4" t="s">
        <v>16978</v>
      </c>
      <c r="C13491" s="5" t="str">
        <f>IFERROR(__xludf.DUMMYFUNCTION("GOOGLETRANSLATE(B13491,""en"",""es-ES"")"),"Las mujeres se toman las manos y empujan lo más fuerte que pueden hasta que una de ellas pierde.")</f>
        <v>Las mujeres se toman las manos y empujan lo más fuerte que pueden hasta que una de ellas pierde.</v>
      </c>
    </row>
    <row r="13492">
      <c r="A13492" s="4" t="s">
        <v>16976</v>
      </c>
      <c r="B13492" s="4" t="s">
        <v>16979</v>
      </c>
      <c r="C13492" s="5" t="str">
        <f>IFERROR(__xludf.DUMMYFUNCTION("GOOGLETRANSLATE(B13492,""en"",""es-ES"")"),"Returan la lucha libre del brazo.")</f>
        <v>Returan la lucha libre del brazo.</v>
      </c>
    </row>
    <row r="13493">
      <c r="A13493" s="4" t="s">
        <v>16976</v>
      </c>
      <c r="B13493" s="4" t="s">
        <v>16980</v>
      </c>
      <c r="C13493" s="5" t="str">
        <f>IFERROR(__xludf.DUMMYFUNCTION("GOOGLETRANSLATE(B13493,""en"",""es-ES"")"),"Una de las chicas suelta su mano y la otra niña abre la boca en estado de shock.")</f>
        <v>Una de las chicas suelta su mano y la otra niña abre la boca en estado de shock.</v>
      </c>
    </row>
    <row r="13494">
      <c r="A13494" s="4" t="s">
        <v>16981</v>
      </c>
      <c r="B13494" s="4" t="s">
        <v>16982</v>
      </c>
      <c r="C13494" s="5" t="str">
        <f>IFERROR(__xludf.DUMMYFUNCTION("GOOGLETRANSLATE(B13494,""en"",""es-ES"")"),"Se ve a una persona en medio de un gran gimnasio saltando con otro hombre en el medio levantando los brazos.")</f>
        <v>Se ve a una persona en medio de un gran gimnasio saltando con otro hombre en el medio levantando los brazos.</v>
      </c>
    </row>
    <row r="13495">
      <c r="A13495" s="4" t="s">
        <v>16981</v>
      </c>
      <c r="B13495" s="4" t="s">
        <v>16983</v>
      </c>
      <c r="C13495" s="5" t="str">
        <f>IFERROR(__xludf.DUMMYFUNCTION("GOOGLETRANSLATE(B13495,""en"",""es-ES"")"),"La persona con lados luego salta sobre la persona con los brazos hacia arriba y otra.")</f>
        <v>La persona con lados luego salta sobre la persona con los brazos hacia arriba y otra.</v>
      </c>
    </row>
    <row r="13496">
      <c r="A13496" s="4" t="s">
        <v>16984</v>
      </c>
      <c r="B13496" s="4" t="s">
        <v>16985</v>
      </c>
      <c r="C13496" s="5" t="str">
        <f>IFERROR(__xludf.DUMMYFUNCTION("GOOGLETRANSLATE(B13496,""en"",""es-ES"")"),"Se ven dos hombres parados detrás de una mesa hablando con la cámara y luego sostienen varios objetos a la cámara.")</f>
        <v>Se ven dos hombres parados detrás de una mesa hablando con la cámara y luego sostienen varios objetos a la cámara.</v>
      </c>
    </row>
    <row r="13497">
      <c r="A13497" s="4" t="s">
        <v>16984</v>
      </c>
      <c r="B13497" s="4" t="s">
        <v>16986</v>
      </c>
      <c r="C13497" s="5" t="str">
        <f>IFERROR(__xludf.DUMMYFUNCTION("GOOGLETRANSLATE(B13497,""en"",""es-ES"")"),"Utilizan herramientas en una lata de lata y luego se ven sentados afuera sosteniendo más herramientas.")</f>
        <v>Utilizan herramientas en una lata de lata y luego se ven sentados afuera sosteniendo más herramientas.</v>
      </c>
    </row>
    <row r="13498">
      <c r="A13498" s="4" t="s">
        <v>16987</v>
      </c>
      <c r="B13498" s="4" t="s">
        <v>16988</v>
      </c>
      <c r="C13498" s="5" t="str">
        <f>IFERROR(__xludf.DUMMYFUNCTION("GOOGLETRANSLATE(B13498,""en"",""es-ES"")"),"Una banda está marchando por una calle tocando la batería.")</f>
        <v>Una banda está marchando por una calle tocando la batería.</v>
      </c>
    </row>
    <row r="13499">
      <c r="A13499" s="4" t="s">
        <v>16987</v>
      </c>
      <c r="B13499" s="4" t="s">
        <v>16989</v>
      </c>
      <c r="C13499" s="5" t="str">
        <f>IFERROR(__xludf.DUMMYFUNCTION("GOOGLETRANSLATE(B13499,""en"",""es-ES"")"),"Una mujer con un sombrero negro está de pie en la calle mirándolos.")</f>
        <v>Una mujer con un sombrero negro está de pie en la calle mirándolos.</v>
      </c>
    </row>
    <row r="13500">
      <c r="A13500" s="4" t="s">
        <v>16987</v>
      </c>
      <c r="B13500" s="4" t="s">
        <v>16990</v>
      </c>
      <c r="C13500" s="5" t="str">
        <f>IFERROR(__xludf.DUMMYFUNCTION("GOOGLETRANSLATE(B13500,""en"",""es-ES"")"),"La gente está de pie mirando a la banda.")</f>
        <v>La gente está de pie mirando a la banda.</v>
      </c>
    </row>
    <row r="13501">
      <c r="A13501" s="4" t="s">
        <v>16991</v>
      </c>
      <c r="B13501" s="4" t="s">
        <v>16992</v>
      </c>
      <c r="C13501" s="5" t="str">
        <f>IFERROR(__xludf.DUMMYFUNCTION("GOOGLETRANSLATE(B13501,""en"",""es-ES"")"),"Se muestra a un hombre corriendo alrededor de un campo con un perro sosteniendo un frisbee en el cabello.")</f>
        <v>Se muestra a un hombre corriendo alrededor de un campo con un perro sosteniendo un frisbee en el cabello.</v>
      </c>
    </row>
    <row r="13502">
      <c r="A13502" s="4" t="s">
        <v>16991</v>
      </c>
      <c r="B13502" s="4" t="s">
        <v>16993</v>
      </c>
      <c r="C13502" s="5" t="str">
        <f>IFERROR(__xludf.DUMMYFUNCTION("GOOGLETRANSLATE(B13502,""en"",""es-ES"")"),"El hombre se mueve alrededor del frisbee con el perro y realiza varios trucos en cámara lenta con el perro.")</f>
        <v>El hombre se mueve alrededor del frisbee con el perro y realiza varios trucos en cámara lenta con el perro.</v>
      </c>
    </row>
    <row r="13503">
      <c r="A13503" s="4" t="s">
        <v>16991</v>
      </c>
      <c r="B13503" s="4" t="s">
        <v>16994</v>
      </c>
      <c r="C13503" s="5" t="str">
        <f>IFERROR(__xludf.DUMMYFUNCTION("GOOGLETRANSLATE(B13503,""en"",""es-ES"")"),"Se muestra en varios lugares más desde varios ángulos de cámara que realizan más y más trucos con el perro.")</f>
        <v>Se muestra en varios lugares más desde varios ángulos de cámara que realizan más y más trucos con el perro.</v>
      </c>
    </row>
    <row r="13504">
      <c r="A13504" s="4" t="s">
        <v>16995</v>
      </c>
      <c r="B13504" s="4" t="s">
        <v>16996</v>
      </c>
      <c r="C13504" s="5" t="str">
        <f>IFERROR(__xludf.DUMMYFUNCTION("GOOGLETRANSLATE(B13504,""en"",""es-ES"")"),"Se ve a un hombre arrodillado a un neumático y luego lo coloca en una máquina.")</f>
        <v>Se ve a un hombre arrodillado a un neumático y luego lo coloca en una máquina.</v>
      </c>
    </row>
    <row r="13505">
      <c r="A13505" s="4" t="s">
        <v>16995</v>
      </c>
      <c r="B13505" s="4" t="s">
        <v>16997</v>
      </c>
      <c r="C13505" s="5" t="str">
        <f>IFERROR(__xludf.DUMMYFUNCTION("GOOGLETRANSLATE(B13505,""en"",""es-ES"")"),"Continúa usando la máquina para quitar el goma del neumático y termina colocándola hacia abajo.")</f>
        <v>Continúa usando la máquina para quitar el goma del neumático y termina colocándola hacia abajo.</v>
      </c>
    </row>
    <row r="13506">
      <c r="A13506" s="4" t="s">
        <v>16998</v>
      </c>
      <c r="B13506" s="4" t="s">
        <v>16999</v>
      </c>
      <c r="C13506" s="5" t="str">
        <f>IFERROR(__xludf.DUMMYFUNCTION("GOOGLETRANSLATE(B13506,""en"",""es-ES"")"),"Se ve a un caballo en la distancia seguido por un hombre que habla con la cámara frente a un gran grupo de caballos.")</f>
        <v>Se ve a un caballo en la distancia seguido por un hombre que habla con la cámara frente a un gran grupo de caballos.</v>
      </c>
    </row>
    <row r="13507">
      <c r="A13507" s="4" t="s">
        <v>16998</v>
      </c>
      <c r="B13507" s="4" t="s">
        <v>17000</v>
      </c>
      <c r="C13507" s="5" t="str">
        <f>IFERROR(__xludf.DUMMYFUNCTION("GOOGLETRANSLATE(B13507,""en"",""es-ES"")"),"Luego se ven varias personas montando en caballos a través de diferentes paisajes y ser dirigidos por personas.")</f>
        <v>Luego se ven varias personas montando en caballos a través de diferentes paisajes y ser dirigidos por personas.</v>
      </c>
    </row>
    <row r="13508">
      <c r="A13508" s="4" t="s">
        <v>16998</v>
      </c>
      <c r="B13508" s="4" t="s">
        <v>17001</v>
      </c>
      <c r="C13508" s="5" t="str">
        <f>IFERROR(__xludf.DUMMYFUNCTION("GOOGLETRANSLATE(B13508,""en"",""es-ES"")"),"Los hombres continúan llevando a las personas a los caballos a través de un gran cuerpo de agua.")</f>
        <v>Los hombres continúan llevando a las personas a los caballos a través de un gran cuerpo de agua.</v>
      </c>
    </row>
    <row r="13509">
      <c r="A13509" s="4" t="s">
        <v>17002</v>
      </c>
      <c r="B13509" s="4" t="s">
        <v>17003</v>
      </c>
      <c r="C13509" s="5" t="str">
        <f>IFERROR(__xludf.DUMMYFUNCTION("GOOGLETRANSLATE(B13509,""en"",""es-ES"")"),"Un chef está trabajando en una cocina.")</f>
        <v>Un chef está trabajando en una cocina.</v>
      </c>
    </row>
    <row r="13510">
      <c r="A13510" s="4" t="s">
        <v>17002</v>
      </c>
      <c r="B13510" s="4" t="s">
        <v>17004</v>
      </c>
      <c r="C13510" s="5" t="str">
        <f>IFERROR(__xludf.DUMMYFUNCTION("GOOGLETRANSLATE(B13510,""en"",""es-ES"")"),"Presiona botones en una pantalla digital.")</f>
        <v>Presiona botones en una pantalla digital.</v>
      </c>
    </row>
    <row r="13511">
      <c r="A13511" s="4" t="s">
        <v>17002</v>
      </c>
      <c r="B13511" s="4" t="s">
        <v>17005</v>
      </c>
      <c r="C13511" s="5" t="str">
        <f>IFERROR(__xludf.DUMMYFUNCTION("GOOGLETRANSLATE(B13511,""en"",""es-ES"")"),"Prepara un gran plato de pasta, que cocina en la máquina.")</f>
        <v>Prepara un gran plato de pasta, que cocina en la máquina.</v>
      </c>
    </row>
    <row r="13512">
      <c r="A13512" s="4" t="s">
        <v>17006</v>
      </c>
      <c r="B13512" s="4" t="s">
        <v>17007</v>
      </c>
      <c r="C13512" s="5" t="str">
        <f>IFERROR(__xludf.DUMMYFUNCTION("GOOGLETRANSLATE(B13512,""en"",""es-ES"")"),"Se muestra a un hombre hablando con una cámara seguido por él y otra mujer de pie cerca de una red de voleibol.")</f>
        <v>Se muestra a un hombre hablando con una cámara seguido por él y otra mujer de pie cerca de una red de voleibol.</v>
      </c>
    </row>
    <row r="13513">
      <c r="A13513" s="4" t="s">
        <v>17006</v>
      </c>
      <c r="B13513" s="4" t="s">
        <v>17008</v>
      </c>
      <c r="C13513" s="5" t="str">
        <f>IFERROR(__xludf.DUMMYFUNCTION("GOOGLETRANSLATE(B13513,""en"",""es-ES"")"),"El hombre arroja la pelota a la niña que se la devuelve.")</f>
        <v>El hombre arroja la pelota a la niña que se la devuelve.</v>
      </c>
    </row>
    <row r="13514">
      <c r="A13514" s="4" t="s">
        <v>17006</v>
      </c>
      <c r="B13514" s="4" t="s">
        <v>17009</v>
      </c>
      <c r="C13514" s="5" t="str">
        <f>IFERROR(__xludf.DUMMYFUNCTION("GOOGLETRANSLATE(B13514,""en"",""es-ES"")"),"Él continúa hablando y demostrando varios movimientos de voleibol para hacer adecuadamente.")</f>
        <v>Él continúa hablando y demostrando varios movimientos de voleibol para hacer adecuadamente.</v>
      </c>
    </row>
    <row r="13515">
      <c r="A13515" s="4" t="s">
        <v>17010</v>
      </c>
      <c r="B13515" s="4" t="s">
        <v>17011</v>
      </c>
      <c r="C13515" s="5" t="str">
        <f>IFERROR(__xludf.DUMMYFUNCTION("GOOGLETRANSLATE(B13515,""en"",""es-ES"")"),"Un gran grupo de personas está sentada alrededor de una mesa y hace transiciones a personas sentadas en un estiramiento de esquí.")</f>
        <v>Un gran grupo de personas está sentada alrededor de una mesa y hace transiciones a personas sentadas en un estiramiento de esquí.</v>
      </c>
    </row>
    <row r="13516">
      <c r="A13516" s="4" t="s">
        <v>17010</v>
      </c>
      <c r="B13516" s="4" t="s">
        <v>17012</v>
      </c>
      <c r="C13516" s="5" t="str">
        <f>IFERROR(__xludf.DUMMYFUNCTION("GOOGLETRANSLATE(B13516,""en"",""es-ES"")"),"Comienzan a turnarse en la montaña nevada y se muestran varios disparos sobre ellos montando el ascensor y por la montaña.")</f>
        <v>Comienzan a turnarse en la montaña nevada y se muestran varios disparos sobre ellos montando el ascensor y por la montaña.</v>
      </c>
    </row>
    <row r="13517">
      <c r="A13517" s="4" t="s">
        <v>17013</v>
      </c>
      <c r="B13517" s="4" t="s">
        <v>17014</v>
      </c>
      <c r="C13517" s="5" t="str">
        <f>IFERROR(__xludf.DUMMYFUNCTION("GOOGLETRANSLATE(B13517,""en"",""es-ES"")"),"Una persona toma un trozo de fruta.")</f>
        <v>Una persona toma un trozo de fruta.</v>
      </c>
    </row>
    <row r="13518">
      <c r="A13518" s="4" t="s">
        <v>17013</v>
      </c>
      <c r="B13518" s="4" t="s">
        <v>17015</v>
      </c>
      <c r="C13518" s="5" t="str">
        <f>IFERROR(__xludf.DUMMYFUNCTION("GOOGLETRANSLATE(B13518,""en"",""es-ES"")"),"Se muestra un cepillo en la pantalla.")</f>
        <v>Se muestra un cepillo en la pantalla.</v>
      </c>
    </row>
    <row r="13519">
      <c r="A13519" s="4" t="s">
        <v>17013</v>
      </c>
      <c r="B13519" s="4" t="s">
        <v>17016</v>
      </c>
      <c r="C13519" s="5" t="str">
        <f>IFERROR(__xludf.DUMMYFUNCTION("GOOGLETRANSLATE(B13519,""en"",""es-ES"")"),"Un hombre se afeita la barba.")</f>
        <v>Un hombre se afeita la barba.</v>
      </c>
    </row>
    <row r="13520">
      <c r="A13520" s="4" t="s">
        <v>17017</v>
      </c>
      <c r="B13520" s="4" t="s">
        <v>17018</v>
      </c>
      <c r="C13520" s="5" t="str">
        <f>IFERROR(__xludf.DUMMYFUNCTION("GOOGLETRANSLATE(B13520,""en"",""es-ES"")"),"Se ve a una persona montando un monociclo en medio de un bosque mientras sostiene un instrumento.")</f>
        <v>Se ve a una persona montando un monociclo en medio de un bosque mientras sostiene un instrumento.</v>
      </c>
    </row>
    <row r="13521">
      <c r="A13521" s="4" t="s">
        <v>17017</v>
      </c>
      <c r="B13521" s="4" t="s">
        <v>17019</v>
      </c>
      <c r="C13521" s="5" t="str">
        <f>IFERROR(__xludf.DUMMYFUNCTION("GOOGLETRANSLATE(B13521,""en"",""es-ES"")"),"El hombre continúa montando por el camino mientras la cámara sigue sus movimientos.")</f>
        <v>El hombre continúa montando por el camino mientras la cámara sigue sus movimientos.</v>
      </c>
    </row>
    <row r="13522">
      <c r="A13522" s="4" t="s">
        <v>17020</v>
      </c>
      <c r="B13522" s="4" t="s">
        <v>17021</v>
      </c>
      <c r="C13522" s="5" t="str">
        <f>IFERROR(__xludf.DUMMYFUNCTION("GOOGLETRANSLATE(B13522,""en"",""es-ES"")"),"Aparece una pantalla negra con un logotipo rojo y blanco en la parte superior izquierda, palabras en blanco y negro diagonales en el medio superior que decía ""Sokol Dobris"" y la parte inferior tienen palabras moradas y blancas que leen ""saltos de cuerd"&amp;"a"".")</f>
        <v>Aparece una pantalla negra con un logotipo rojo y blanco en la parte superior izquierda, palabras en blanco y negro diagonales en el medio superior que decía "Sokol Dobris" y la parte inferior tienen palabras moradas y blancas que leen "saltos de cuerda".</v>
      </c>
    </row>
    <row r="13523">
      <c r="A13523" s="4" t="s">
        <v>17020</v>
      </c>
      <c r="B13523" s="4" t="s">
        <v>17022</v>
      </c>
      <c r="C13523" s="5" t="str">
        <f>IFERROR(__xludf.DUMMYFUNCTION("GOOGLETRANSLATE(B13523,""en"",""es-ES"")"),"El siguiente se muestra en una foto de camisa negra con el logotipo en la parte superior izquierda del cofre y la palabra ""Dobris"" debajo y una cuerda de salto roja y blanca está encima.")</f>
        <v>El siguiente se muestra en una foto de camisa negra con el logotipo en la parte superior izquierda del cofre y la palabra "Dobris" debajo y una cuerda de salto roja y blanca está encima.</v>
      </c>
    </row>
    <row r="13524">
      <c r="A13524" s="4" t="s">
        <v>17020</v>
      </c>
      <c r="B13524" s="4" t="s">
        <v>17023</v>
      </c>
      <c r="C13524" s="5" t="str">
        <f>IFERROR(__xludf.DUMMYFUNCTION("GOOGLETRANSLATE(B13524,""en"",""es-ES"")"),"Hay 4 personas diferentes paradas en una cancha interior, y 3 están conteniendo extremos de 2 cuerdas de salto diferentes y 1 persona es un salto de cuerda.")</f>
        <v>Hay 4 personas diferentes paradas en una cancha interior, y 3 están conteniendo extremos de 2 cuerdas de salto diferentes y 1 persona es un salto de cuerda.</v>
      </c>
    </row>
    <row r="13525">
      <c r="A13525" s="4" t="s">
        <v>17020</v>
      </c>
      <c r="B13525" s="4" t="s">
        <v>17024</v>
      </c>
      <c r="C13525" s="5" t="str">
        <f>IFERROR(__xludf.DUMMYFUNCTION("GOOGLETRANSLATE(B13525,""en"",""es-ES"")"),"Varios clips de personas en el juego de salto de cuerda y, a veces, solo hay 1 persona saltando sola, pero la mayoría de las veces hay entre 2 y 4 y muchas veces están alternando entre saltar y sostener la cuerda.")</f>
        <v>Varios clips de personas en el juego de salto de cuerda y, a veces, solo hay 1 persona saltando sola, pero la mayoría de las veces hay entre 2 y 4 y muchas veces están alternando entre saltar y sostener la cuerda.</v>
      </c>
    </row>
    <row r="13526">
      <c r="A13526" s="4" t="s">
        <v>17020</v>
      </c>
      <c r="B13526" s="4" t="s">
        <v>17025</v>
      </c>
      <c r="C13526" s="5" t="str">
        <f>IFERROR(__xludf.DUMMYFUNCTION("GOOGLETRANSLATE(B13526,""en"",""es-ES"")"),"Los clips de los videos terminan y varias imágenes de fotos fijas que involucran salto de cuerda se muestran en la pantalla y aparece una pantalla negra cuando las imágenes están hechas y las letras moradas y blancas aparecen en la pantalla que dicen ""om"&amp;"isión de la cuerda"".")</f>
        <v>Los clips de los videos terminan y varias imágenes de fotos fijas que involucran salto de cuerda se muestran en la pantalla y aparece una pantalla negra cuando las imágenes están hechas y las letras moradas y blancas aparecen en la pantalla que dicen "omisión de la cuerda".</v>
      </c>
    </row>
    <row r="13527">
      <c r="A13527" s="4" t="s">
        <v>17026</v>
      </c>
      <c r="B13527" s="4" t="s">
        <v>17027</v>
      </c>
      <c r="C13527" s="5" t="str">
        <f>IFERROR(__xludf.DUMMYFUNCTION("GOOGLETRANSLATE(B13527,""en"",""es-ES"")"),"Un hombre con arco y flecha está practicando su objetivo y forma.")</f>
        <v>Un hombre con arco y flecha está practicando su objetivo y forma.</v>
      </c>
    </row>
    <row r="13528">
      <c r="A13528" s="4" t="s">
        <v>17026</v>
      </c>
      <c r="B13528" s="4" t="s">
        <v>17028</v>
      </c>
      <c r="C13528" s="5" t="str">
        <f>IFERROR(__xludf.DUMMYFUNCTION("GOOGLETRANSLATE(B13528,""en"",""es-ES"")"),"Dispara una flecha y agarra otra detrás de HM y se prepara para disparar nuevamente.")</f>
        <v>Dispara una flecha y agarra otra detrás de HM y se prepara para disparar nuevamente.</v>
      </c>
    </row>
    <row r="13529">
      <c r="A13529" s="4" t="s">
        <v>17026</v>
      </c>
      <c r="B13529" s="4" t="s">
        <v>17029</v>
      </c>
      <c r="C13529" s="5" t="str">
        <f>IFERROR(__xludf.DUMMYFUNCTION("GOOGLETRANSLATE(B13529,""en"",""es-ES"")"),"Él retira la cuerda de la proa y la libera junto con la flecha.")</f>
        <v>Él retira la cuerda de la proa y la libera junto con la flecha.</v>
      </c>
    </row>
    <row r="13530">
      <c r="A13530" s="4" t="s">
        <v>17026</v>
      </c>
      <c r="B13530" s="4" t="s">
        <v>17030</v>
      </c>
      <c r="C13530" s="5" t="str">
        <f>IFERROR(__xludf.DUMMYFUNCTION("GOOGLETRANSLATE(B13530,""en"",""es-ES"")"),"Continúa esta rutina una y otra vez, practicando para la perfección.")</f>
        <v>Continúa esta rutina una y otra vez, practicando para la perfección.</v>
      </c>
    </row>
    <row r="13531">
      <c r="A13531" s="4" t="s">
        <v>17031</v>
      </c>
      <c r="B13531" s="4" t="s">
        <v>17032</v>
      </c>
      <c r="C13531" s="5" t="str">
        <f>IFERROR(__xludf.DUMMYFUNCTION("GOOGLETRANSLATE(B13531,""en"",""es-ES"")"),"Una niña que lleva un suéter gris con cabello largo de color rojo se está cepillando el cabello.")</f>
        <v>Una niña que lleva un suéter gris con cabello largo de color rojo se está cepillando el cabello.</v>
      </c>
    </row>
    <row r="13532">
      <c r="A13532" s="4" t="s">
        <v>17031</v>
      </c>
      <c r="B13532" s="4" t="s">
        <v>17033</v>
      </c>
      <c r="C13532" s="5" t="str">
        <f>IFERROR(__xludf.DUMMYFUNCTION("GOOGLETRANSLATE(B13532,""en"",""es-ES"")"),"Ella está usando un cepillo de paleta plateado para quitar los nudos de su cabello y ajustarlo mientras lo cepilla.")</f>
        <v>Ella está usando un cepillo de paleta plateado para quitar los nudos de su cabello y ajustarlo mientras lo cepilla.</v>
      </c>
    </row>
    <row r="13533">
      <c r="A13533" s="4" t="s">
        <v>17031</v>
      </c>
      <c r="B13533" s="4" t="s">
        <v>17034</v>
      </c>
      <c r="C13533" s="5" t="str">
        <f>IFERROR(__xludf.DUMMYFUNCTION("GOOGLETRANSLATE(B13533,""en"",""es-ES"")"),"De repente comienza a gritar mientras se cepilla el cabello.")</f>
        <v>De repente comienza a gritar mientras se cepilla el cabello.</v>
      </c>
    </row>
    <row r="13534">
      <c r="A13534" s="4" t="s">
        <v>17035</v>
      </c>
      <c r="B13534" s="4" t="s">
        <v>17036</v>
      </c>
      <c r="C13534" s="5" t="str">
        <f>IFERROR(__xludf.DUMMYFUNCTION("GOOGLETRANSLATE(B13534,""en"",""es-ES"")"),"Se ve a un niño pequeño sosteniendo un cono de helado y hablando con la cámara mientras sonríe.")</f>
        <v>Se ve a un niño pequeño sosteniendo un cono de helado y hablando con la cámara mientras sonríe.</v>
      </c>
    </row>
    <row r="13535">
      <c r="A13535" s="4" t="s">
        <v>17035</v>
      </c>
      <c r="B13535" s="4" t="s">
        <v>17037</v>
      </c>
      <c r="C13535" s="5" t="str">
        <f>IFERROR(__xludf.DUMMYFUNCTION("GOOGLETRANSLATE(B13535,""en"",""es-ES"")"),"Ella habla con el camarógrafo sosteniendo una muñeca por otro lado, luego se sienta en el suelo.")</f>
        <v>Ella habla con el camarógrafo sosteniendo una muñeca por otro lado, luego se sienta en el suelo.</v>
      </c>
    </row>
    <row r="13536">
      <c r="A13536" s="4" t="s">
        <v>17038</v>
      </c>
      <c r="B13536" s="4" t="s">
        <v>17039</v>
      </c>
      <c r="C13536" s="5" t="str">
        <f>IFERROR(__xludf.DUMMYFUNCTION("GOOGLETRANSLATE(B13536,""en"",""es-ES"")"),"Una mujer y un hombre están parados afuera haciendo algunas técnicas interesantes entre sí.")</f>
        <v>Una mujer y un hombre están parados afuera haciendo algunas técnicas interesantes entre sí.</v>
      </c>
    </row>
    <row r="13537">
      <c r="A13537" s="4" t="s">
        <v>17038</v>
      </c>
      <c r="B13537" s="4" t="s">
        <v>17040</v>
      </c>
      <c r="C13537" s="5" t="str">
        <f>IFERROR(__xludf.DUMMYFUNCTION("GOOGLETRANSLATE(B13537,""en"",""es-ES"")"),"Parecen funcionar bien entre sí moviéndose en sincronización o menos nunca golpear al otro.")</f>
        <v>Parecen funcionar bien entre sí moviéndose en sincronización o menos nunca golpear al otro.</v>
      </c>
    </row>
    <row r="13538">
      <c r="A13538" s="4" t="s">
        <v>17038</v>
      </c>
      <c r="B13538" s="4" t="s">
        <v>17041</v>
      </c>
      <c r="C13538" s="5" t="str">
        <f>IFERROR(__xludf.DUMMYFUNCTION("GOOGLETRANSLATE(B13538,""en"",""es-ES"")"),"Están haciendo algún tipo de karate o algo así.")</f>
        <v>Están haciendo algún tipo de karate o algo así.</v>
      </c>
    </row>
    <row r="13539">
      <c r="A13539" s="4" t="s">
        <v>17038</v>
      </c>
      <c r="B13539" s="4" t="s">
        <v>17042</v>
      </c>
      <c r="C13539" s="5" t="str">
        <f>IFERROR(__xludf.DUMMYFUNCTION("GOOGLETRANSLATE(B13539,""en"",""es-ES"")"),"El que agarra al hombre intensamente y lo abraza, parecía que querían besarse, pero no lo hicieron.")</f>
        <v>El que agarra al hombre intensamente y lo abraza, parecía que querían besarse, pero no lo hicieron.</v>
      </c>
    </row>
    <row r="13540">
      <c r="A13540" s="4" t="s">
        <v>17043</v>
      </c>
      <c r="B13540" s="4" t="s">
        <v>17044</v>
      </c>
      <c r="C13540" s="5" t="str">
        <f>IFERROR(__xludf.DUMMYFUNCTION("GOOGLETRANSLATE(B13540,""en"",""es-ES"")"),"Un grupo de personas mayores está sentada en sillas afuera.")</f>
        <v>Un grupo de personas mayores está sentada en sillas afuera.</v>
      </c>
    </row>
    <row r="13541">
      <c r="A13541" s="4" t="s">
        <v>17043</v>
      </c>
      <c r="B13541" s="4" t="s">
        <v>17045</v>
      </c>
      <c r="C13541" s="5" t="str">
        <f>IFERROR(__xludf.DUMMYFUNCTION("GOOGLETRANSLATE(B13541,""en"",""es-ES"")"),"Un hombre está tocando una melodía con un palo y una sierra.")</f>
        <v>Un hombre está tocando una melodía con un palo y una sierra.</v>
      </c>
    </row>
    <row r="13542">
      <c r="A13542" s="4" t="s">
        <v>17043</v>
      </c>
      <c r="B13542" s="4" t="s">
        <v>17046</v>
      </c>
      <c r="C13542" s="5" t="str">
        <f>IFERROR(__xludf.DUMMYFUNCTION("GOOGLETRANSLATE(B13542,""en"",""es-ES"")"),"Los hombres a su lado están sosteniendo instrumentos, esperando su turno.")</f>
        <v>Los hombres a su lado están sosteniendo instrumentos, esperando su turno.</v>
      </c>
    </row>
    <row r="13543">
      <c r="A13543" s="4" t="s">
        <v>17047</v>
      </c>
      <c r="B13543" s="4" t="s">
        <v>17048</v>
      </c>
      <c r="C13543" s="5" t="str">
        <f>IFERROR(__xludf.DUMMYFUNCTION("GOOGLETRANSLATE(B13543,""en"",""es-ES"")"),"Se muestra un patio de recreo y un patio trasero mientras la cámara se dirige a una ventana en un techo.")</f>
        <v>Se muestra un patio de recreo y un patio trasero mientras la cámara se dirige a una ventana en un techo.</v>
      </c>
    </row>
    <row r="13544">
      <c r="A13544" s="4" t="s">
        <v>17047</v>
      </c>
      <c r="B13544" s="4" t="s">
        <v>17049</v>
      </c>
      <c r="C13544" s="5" t="str">
        <f>IFERROR(__xludf.DUMMYFUNCTION("GOOGLETRANSLATE(B13544,""en"",""es-ES"")"),"El video muestra varias imágenes sobre cómo arreglar un techo y el hombre de nuevo por la ventana nuevamente con material.")</f>
        <v>El video muestra varias imágenes sobre cómo arreglar un techo y el hombre de nuevo por la ventana nuevamente con material.</v>
      </c>
    </row>
    <row r="13545">
      <c r="A13545" s="4" t="s">
        <v>17047</v>
      </c>
      <c r="B13545" s="4" t="s">
        <v>17050</v>
      </c>
      <c r="C13545" s="5" t="str">
        <f>IFERROR(__xludf.DUMMYFUNCTION("GOOGLETRANSLATE(B13545,""en"",""es-ES"")"),"Coloca varios objetos alrededor de la ventana y muestra más imágenes del techo con el producto terminado.")</f>
        <v>Coloca varios objetos alrededor de la ventana y muestra más imágenes del techo con el producto terminado.</v>
      </c>
    </row>
    <row r="13546">
      <c r="A13546" s="4" t="s">
        <v>17051</v>
      </c>
      <c r="B13546" s="4" t="s">
        <v>17052</v>
      </c>
      <c r="C13546" s="5" t="str">
        <f>IFERROR(__xludf.DUMMYFUNCTION("GOOGLETRANSLATE(B13546,""en"",""es-ES"")"),"Un jinete de rodeo sale de la puerta en un toro y es arrojado.")</f>
        <v>Un jinete de rodeo sale de la puerta en un toro y es arrojado.</v>
      </c>
    </row>
    <row r="13547">
      <c r="A13547" s="4" t="s">
        <v>17051</v>
      </c>
      <c r="B13547" s="4" t="s">
        <v>17053</v>
      </c>
      <c r="C13547" s="5" t="str">
        <f>IFERROR(__xludf.DUMMYFUNCTION("GOOGLETRANSLATE(B13547,""en"",""es-ES"")"),"Los payasos de rodeo distraen al toro cuando el jinete llega a un lugar seguro.")</f>
        <v>Los payasos de rodeo distraen al toro cuando el jinete llega a un lugar seguro.</v>
      </c>
    </row>
    <row r="13548">
      <c r="A13548" s="4" t="s">
        <v>17051</v>
      </c>
      <c r="B13548" s="4" t="s">
        <v>17054</v>
      </c>
      <c r="C13548" s="5" t="str">
        <f>IFERROR(__xludf.DUMMYFUNCTION("GOOGLETRANSLATE(B13548,""en"",""es-ES"")"),"Un payaso se lastima y va por el tratamiento de una bella dama.")</f>
        <v>Un payaso se lastima y va por el tratamiento de una bella dama.</v>
      </c>
    </row>
    <row r="13549">
      <c r="A13549" s="4" t="s">
        <v>17051</v>
      </c>
      <c r="B13549" s="4" t="s">
        <v>17055</v>
      </c>
      <c r="C13549" s="5" t="str">
        <f>IFERROR(__xludf.DUMMYFUNCTION("GOOGLETRANSLATE(B13549,""en"",""es-ES"")"),"Un grupo de hombres en caballos hablan y mientras se alejan, el payaso reinicia su trabajo en el ring.")</f>
        <v>Un grupo de hombres en caballos hablan y mientras se alejan, el payaso reinicia su trabajo en el ring.</v>
      </c>
    </row>
    <row r="13550">
      <c r="A13550" s="4" t="s">
        <v>17051</v>
      </c>
      <c r="B13550" s="4" t="s">
        <v>17056</v>
      </c>
      <c r="C13550" s="5" t="str">
        <f>IFERROR(__xludf.DUMMYFUNCTION("GOOGLETRANSLATE(B13550,""en"",""es-ES"")"),"El payaso se lesiona nuevamente mientras salta sobre una cabeza de los toros y los otros payasos lo ayudan.")</f>
        <v>El payaso se lesiona nuevamente mientras salta sobre una cabeza de los toros y los otros payasos lo ayudan.</v>
      </c>
    </row>
    <row r="13551">
      <c r="A13551" s="4" t="s">
        <v>17057</v>
      </c>
      <c r="B13551" s="4" t="s">
        <v>17058</v>
      </c>
      <c r="C13551" s="5" t="str">
        <f>IFERROR(__xludf.DUMMYFUNCTION("GOOGLETRANSLATE(B13551,""en"",""es-ES"")"),"Se ve a un gran grupo de personas sosteniendo una cuerda, mientras que dos caminan más hacia el marco y la cámara se acerca a la gente.")</f>
        <v>Se ve a un gran grupo de personas sosteniendo una cuerda, mientras que dos caminan más hacia el marco y la cámara se acerca a la gente.</v>
      </c>
    </row>
    <row r="13552">
      <c r="A13552" s="4" t="s">
        <v>17057</v>
      </c>
      <c r="B13552" s="4" t="s">
        <v>17059</v>
      </c>
      <c r="C13552" s="5" t="str">
        <f>IFERROR(__xludf.DUMMYFUNCTION("GOOGLETRANSLATE(B13552,""en"",""es-ES"")"),"La cámara continúa pasando por la gente y conduce a un partido de tira y afloja y las mujeres celebrando.")</f>
        <v>La cámara continúa pasando por la gente y conduce a un partido de tira y afloja y las mujeres celebrando.</v>
      </c>
    </row>
    <row r="13553">
      <c r="A13553" s="4" t="s">
        <v>17060</v>
      </c>
      <c r="B13553" s="4" t="s">
        <v>17061</v>
      </c>
      <c r="C13553" s="5" t="str">
        <f>IFERROR(__xludf.DUMMYFUNCTION("GOOGLETRANSLATE(B13553,""en"",""es-ES"")"),"Los chicos se paran o se sientan alrededor de sus bicicletas de tierra.")</f>
        <v>Los chicos se paran o se sientan alrededor de sus bicicletas de tierra.</v>
      </c>
    </row>
    <row r="13554">
      <c r="A13554" s="4" t="s">
        <v>17060</v>
      </c>
      <c r="B13554" s="4" t="s">
        <v>17062</v>
      </c>
      <c r="C13554" s="5" t="str">
        <f>IFERROR(__xludf.DUMMYFUNCTION("GOOGLETRANSLATE(B13554,""en"",""es-ES"")"),"Los chicos están montando sus bicicletas de tierra.")</f>
        <v>Los chicos están montando sus bicicletas de tierra.</v>
      </c>
    </row>
    <row r="13555">
      <c r="A13555" s="4" t="s">
        <v>17060</v>
      </c>
      <c r="B13555" s="4" t="s">
        <v>17063</v>
      </c>
      <c r="C13555" s="5" t="str">
        <f>IFERROR(__xludf.DUMMYFUNCTION("GOOGLETRANSLATE(B13555,""en"",""es-ES"")"),"Un chico se quita la armadura de su parte superior del cuerpo mientras está sentado en su bicicleta de tierra.")</f>
        <v>Un chico se quita la armadura de su parte superior del cuerpo mientras está sentado en su bicicleta de tierra.</v>
      </c>
    </row>
    <row r="13556">
      <c r="A13556" s="4" t="s">
        <v>17064</v>
      </c>
      <c r="B13556" s="4" t="s">
        <v>17065</v>
      </c>
      <c r="C13556" s="5" t="str">
        <f>IFERROR(__xludf.DUMMYFUNCTION("GOOGLETRANSLATE(B13556,""en"",""es-ES"")"),"Una larga línea de ciclistas se muestra en la oscuridad en un evento.")</f>
        <v>Una larga línea de ciclistas se muestra en la oscuridad en un evento.</v>
      </c>
    </row>
    <row r="13557">
      <c r="A13557" s="4" t="s">
        <v>17064</v>
      </c>
      <c r="B13557" s="4" t="s">
        <v>17066</v>
      </c>
      <c r="C13557" s="5" t="str">
        <f>IFERROR(__xludf.DUMMYFUNCTION("GOOGLETRANSLATE(B13557,""en"",""es-ES"")"),"Un hombre está hablando en el escenario a la gente mientras se preparan para el evento principal.")</f>
        <v>Un hombre está hablando en el escenario a la gente mientras se preparan para el evento principal.</v>
      </c>
    </row>
    <row r="13558">
      <c r="A13558" s="4" t="s">
        <v>17064</v>
      </c>
      <c r="B13558" s="4" t="s">
        <v>17067</v>
      </c>
      <c r="C13558" s="5" t="str">
        <f>IFERROR(__xludf.DUMMYFUNCTION("GOOGLETRANSLATE(B13558,""en"",""es-ES"")"),"La gente corre y corre más allá de la multitud que vitoreaba, hasta que alcance la línea de meta, donde se detienen para hablar y sostienen la cuerda que derribaron.")</f>
        <v>La gente corre y corre más allá de la multitud que vitoreaba, hasta que alcance la línea de meta, donde se detienen para hablar y sostienen la cuerda que derribaron.</v>
      </c>
    </row>
    <row r="13559">
      <c r="A13559" s="4" t="s">
        <v>17068</v>
      </c>
      <c r="B13559" s="4" t="s">
        <v>17069</v>
      </c>
      <c r="C13559" s="5" t="str">
        <f>IFERROR(__xludf.DUMMYFUNCTION("GOOGLETRANSLATE(B13559,""en"",""es-ES"")"),"El dueño de un perro lleva tres perros a un servicio de limpieza de perros y una compañía donde los perros se lavan y se secan.")</f>
        <v>El dueño de un perro lleva tres perros a un servicio de limpieza de perros y una compañía donde los perros se lavan y se secan.</v>
      </c>
    </row>
    <row r="13560">
      <c r="A13560" s="4" t="s">
        <v>17068</v>
      </c>
      <c r="B13560" s="4" t="s">
        <v>17070</v>
      </c>
      <c r="C13560" s="5" t="str">
        <f>IFERROR(__xludf.DUMMYFUNCTION("GOOGLETRANSLATE(B13560,""en"",""es-ES"")"),"Se muestran tres perros ensuciarse al despertar en charcos de barro y a través de la suciedad y la hierba.")</f>
        <v>Se muestran tres perros ensuciarse al despertar en charcos de barro y a través de la suciedad y la hierba.</v>
      </c>
    </row>
    <row r="13561">
      <c r="A13561" s="4" t="s">
        <v>17068</v>
      </c>
      <c r="B13561" s="4" t="s">
        <v>17071</v>
      </c>
      <c r="C13561" s="5" t="str">
        <f>IFERROR(__xludf.DUMMYFUNCTION("GOOGLETRANSLATE(B13561,""en"",""es-ES"")"),"Luego, los perros se cargan en un vehículo y se llevan a una empresa de lavado de perros donde se colocan en lavabos.")</f>
        <v>Luego, los perros se cargan en un vehículo y se llevan a una empresa de lavado de perros donde se colocan en lavabos.</v>
      </c>
    </row>
    <row r="13562">
      <c r="A13562" s="4" t="s">
        <v>17068</v>
      </c>
      <c r="B13562" s="4" t="s">
        <v>17072</v>
      </c>
      <c r="C13562" s="5" t="str">
        <f>IFERROR(__xludf.DUMMYFUNCTION("GOOGLETRANSLATE(B13562,""en"",""es-ES"")"),"Los tres perros son lavados y secados por personas, después de lo cual se muestra a las personas limpiando el área donde se lavaron los perros.")</f>
        <v>Los tres perros son lavados y secados por personas, después de lo cual se muestra a las personas limpiando el área donde se lavaron los perros.</v>
      </c>
    </row>
    <row r="13563">
      <c r="A13563" s="4" t="s">
        <v>17073</v>
      </c>
      <c r="B13563" s="4" t="s">
        <v>17074</v>
      </c>
      <c r="C13563" s="5" t="str">
        <f>IFERROR(__xludf.DUMMYFUNCTION("GOOGLETRANSLATE(B13563,""en"",""es-ES"")"),"Un hombre comienza a soldar.")</f>
        <v>Un hombre comienza a soldar.</v>
      </c>
    </row>
    <row r="13564">
      <c r="A13564" s="4" t="s">
        <v>17073</v>
      </c>
      <c r="B13564" s="4" t="s">
        <v>17075</v>
      </c>
      <c r="C13564" s="5" t="str">
        <f>IFERROR(__xludf.DUMMYFUNCTION("GOOGLETRANSLATE(B13564,""en"",""es-ES"")"),"Comienza a soldar un trozo de metal en un marco.")</f>
        <v>Comienza a soldar un trozo de metal en un marco.</v>
      </c>
    </row>
    <row r="13565">
      <c r="A13565" s="4" t="s">
        <v>17073</v>
      </c>
      <c r="B13565" s="4" t="s">
        <v>17076</v>
      </c>
      <c r="C13565" s="5" t="str">
        <f>IFERROR(__xludf.DUMMYFUNCTION("GOOGLETRANSLATE(B13565,""en"",""es-ES"")"),"Termina su soldadura y retrocede.")</f>
        <v>Termina su soldadura y retrocede.</v>
      </c>
    </row>
    <row r="13566">
      <c r="A13566" s="4" t="s">
        <v>17077</v>
      </c>
      <c r="B13566" s="4" t="s">
        <v>17078</v>
      </c>
      <c r="C13566" s="5" t="str">
        <f>IFERROR(__xludf.DUMMYFUNCTION("GOOGLETRANSLATE(B13566,""en"",""es-ES"")"),"Un hombre está desenrollando la alfombra en el piso.")</f>
        <v>Un hombre está desenrollando la alfombra en el piso.</v>
      </c>
    </row>
    <row r="13567">
      <c r="A13567" s="4" t="s">
        <v>17077</v>
      </c>
      <c r="B13567" s="4" t="s">
        <v>17079</v>
      </c>
      <c r="C13567" s="5" t="str">
        <f>IFERROR(__xludf.DUMMYFUNCTION("GOOGLETRANSLATE(B13567,""en"",""es-ES"")"),"Está de rodillas cortando la alfombra.")</f>
        <v>Está de rodillas cortando la alfombra.</v>
      </c>
    </row>
    <row r="13568">
      <c r="A13568" s="4" t="s">
        <v>17077</v>
      </c>
      <c r="B13568" s="4" t="s">
        <v>17080</v>
      </c>
      <c r="C13568" s="5" t="str">
        <f>IFERROR(__xludf.DUMMYFUNCTION("GOOGLETRANSLATE(B13568,""en"",""es-ES"")"),"Está poniendo pegamento en el suelo.")</f>
        <v>Está poniendo pegamento en el suelo.</v>
      </c>
    </row>
    <row r="13569">
      <c r="A13569" s="4" t="s">
        <v>17077</v>
      </c>
      <c r="B13569" s="4" t="s">
        <v>17081</v>
      </c>
      <c r="C13569" s="5" t="str">
        <f>IFERROR(__xludf.DUMMYFUNCTION("GOOGLETRANSLATE(B13569,""en"",""es-ES"")"),"Luego coloca la alfombra encima y la alise.")</f>
        <v>Luego coloca la alfombra encima y la alise.</v>
      </c>
    </row>
    <row r="13570">
      <c r="A13570" s="4" t="s">
        <v>17077</v>
      </c>
      <c r="B13570" s="4" t="s">
        <v>17082</v>
      </c>
      <c r="C13570" s="5" t="str">
        <f>IFERROR(__xludf.DUMMYFUNCTION("GOOGLETRANSLATE(B13570,""en"",""es-ES"")"),"Luego aspira la alfombra cuando termina.")</f>
        <v>Luego aspira la alfombra cuando termina.</v>
      </c>
    </row>
    <row r="13571">
      <c r="A13571" s="4" t="s">
        <v>17083</v>
      </c>
      <c r="B13571" s="4" t="s">
        <v>17084</v>
      </c>
      <c r="C13571" s="5" t="str">
        <f>IFERROR(__xludf.DUMMYFUNCTION("GOOGLETRANSLATE(B13571,""en"",""es-ES"")"),"Un niño está sentado en el piso con una taza y una cuchara.")</f>
        <v>Un niño está sentado en el piso con una taza y una cuchara.</v>
      </c>
    </row>
    <row r="13572">
      <c r="A13572" s="4" t="s">
        <v>17083</v>
      </c>
      <c r="B13572" s="4" t="s">
        <v>17085</v>
      </c>
      <c r="C13572" s="5" t="str">
        <f>IFERROR(__xludf.DUMMYFUNCTION("GOOGLETRANSLATE(B13572,""en"",""es-ES"")"),"Está comiendo una sustancia blanca cuando su madre viene a verlo.")</f>
        <v>Está comiendo una sustancia blanca cuando su madre viene a verlo.</v>
      </c>
    </row>
    <row r="13573">
      <c r="A13573" s="4" t="s">
        <v>17083</v>
      </c>
      <c r="B13573" s="4" t="s">
        <v>17086</v>
      </c>
      <c r="C13573" s="5" t="str">
        <f>IFERROR(__xludf.DUMMYFUNCTION("GOOGLETRANSLATE(B13573,""en"",""es-ES"")"),"Él continúa comiendo lentamente mientras ella pasa.")</f>
        <v>Él continúa comiendo lentamente mientras ella pasa.</v>
      </c>
    </row>
    <row r="13574">
      <c r="A13574" s="4" t="s">
        <v>17087</v>
      </c>
      <c r="B13574" s="4" t="s">
        <v>17088</v>
      </c>
      <c r="C13574" s="5" t="str">
        <f>IFERROR(__xludf.DUMMYFUNCTION("GOOGLETRANSLATE(B13574,""en"",""es-ES"")"),"Un par de mujeres están hablando mientras están en un patio trasero.")</f>
        <v>Un par de mujeres están hablando mientras están en un patio trasero.</v>
      </c>
    </row>
    <row r="13575">
      <c r="A13575" s="4" t="s">
        <v>17087</v>
      </c>
      <c r="B13575" s="4" t="s">
        <v>17089</v>
      </c>
      <c r="C13575" s="5" t="str">
        <f>IFERROR(__xludf.DUMMYFUNCTION("GOOGLETRANSLATE(B13575,""en"",""es-ES"")"),"Están sosteniendo a Moss Killer unido a las mangueras.")</f>
        <v>Están sosteniendo a Moss Killer unido a las mangueras.</v>
      </c>
    </row>
    <row r="13576">
      <c r="A13576" s="4" t="s">
        <v>17087</v>
      </c>
      <c r="B13576" s="4" t="s">
        <v>17090</v>
      </c>
      <c r="C13576" s="5" t="str">
        <f>IFERROR(__xludf.DUMMYFUNCTION("GOOGLETRANSLATE(B13576,""en"",""es-ES"")"),"Las mujeres rocían al asesino del musgo en el techo de un cobertizo, matando el crecimiento con el líquido.")</f>
        <v>Las mujeres rocían al asesino del musgo en el techo de un cobertizo, matando el crecimiento con el líquido.</v>
      </c>
    </row>
    <row r="13577">
      <c r="A13577" s="4" t="s">
        <v>17087</v>
      </c>
      <c r="B13577" s="4" t="s">
        <v>17091</v>
      </c>
      <c r="C13577" s="5" t="str">
        <f>IFERROR(__xludf.DUMMYFUNCTION("GOOGLETRANSLATE(B13577,""en"",""es-ES"")"),"Luego sostienen las tiras asesinas de musgo en una caja.")</f>
        <v>Luego sostienen las tiras asesinas de musgo en una caja.</v>
      </c>
    </row>
    <row r="13578">
      <c r="A13578" s="4" t="s">
        <v>17092</v>
      </c>
      <c r="B13578" s="4" t="s">
        <v>17093</v>
      </c>
      <c r="C13578" s="5" t="str">
        <f>IFERROR(__xludf.DUMMYFUNCTION("GOOGLETRANSLATE(B13578,""en"",""es-ES"")"),"Un hombre está sentado en un kayak en el río mientras habla con la cámara sobre su viaje.")</f>
        <v>Un hombre está sentado en un kayak en el río mientras habla con la cámara sobre su viaje.</v>
      </c>
    </row>
    <row r="13579">
      <c r="A13579" s="4" t="s">
        <v>17092</v>
      </c>
      <c r="B13579" s="4" t="s">
        <v>17094</v>
      </c>
      <c r="C13579" s="5" t="str">
        <f>IFERROR(__xludf.DUMMYFUNCTION("GOOGLETRANSLATE(B13579,""en"",""es-ES"")"),"Se mueve lentamente en el agua mientras da instrucciones sobre cómo mover adecuadamente el kayak.")</f>
        <v>Se mueve lentamente en el agua mientras da instrucciones sobre cómo mover adecuadamente el kayak.</v>
      </c>
    </row>
    <row r="13580">
      <c r="A13580" s="4" t="s">
        <v>17092</v>
      </c>
      <c r="B13580" s="4" t="s">
        <v>17095</v>
      </c>
      <c r="C13580" s="5" t="str">
        <f>IFERROR(__xludf.DUMMYFUNCTION("GOOGLETRANSLATE(B13580,""en"",""es-ES"")"),"Comienza a remar en la corriente y mostrando qué hacer si te quedas atascado.")</f>
        <v>Comienza a remar en la corriente y mostrando qué hacer si te quedas atascado.</v>
      </c>
    </row>
    <row r="13581">
      <c r="A13581" s="4" t="s">
        <v>17096</v>
      </c>
      <c r="B13581" s="4" t="s">
        <v>17097</v>
      </c>
      <c r="C13581" s="5" t="str">
        <f>IFERROR(__xludf.DUMMYFUNCTION("GOOGLETRANSLATE(B13581,""en"",""es-ES"")"),"El hombre está hablando con una cámara y sosteniendo un cuchillo y algunas revistas.")</f>
        <v>El hombre está hablando con una cámara y sosteniendo un cuchillo y algunas revistas.</v>
      </c>
    </row>
    <row r="13582">
      <c r="A13582" s="4" t="s">
        <v>17096</v>
      </c>
      <c r="B13582" s="4" t="s">
        <v>17098</v>
      </c>
      <c r="C13582" s="5" t="str">
        <f>IFERROR(__xludf.DUMMYFUNCTION("GOOGLETRANSLATE(B13582,""en"",""es-ES"")"),"El hombre sostiene el cuchillo y la afavación pequeña de su brazo.")</f>
        <v>El hombre sostiene el cuchillo y la afavación pequeña de su brazo.</v>
      </c>
    </row>
    <row r="13583">
      <c r="A13583" s="4" t="s">
        <v>17096</v>
      </c>
      <c r="B13583" s="4" t="s">
        <v>17099</v>
      </c>
      <c r="C13583" s="5" t="str">
        <f>IFERROR(__xludf.DUMMYFUNCTION("GOOGLETRANSLATE(B13583,""en"",""es-ES"")"),"El hombre agarra algunas rocas de una taza de agua y afilaba el cuchillo.")</f>
        <v>El hombre agarra algunas rocas de una taza de agua y afilaba el cuchillo.</v>
      </c>
    </row>
    <row r="13584">
      <c r="A13584" s="4" t="s">
        <v>17096</v>
      </c>
      <c r="B13584" s="4" t="s">
        <v>17100</v>
      </c>
      <c r="C13584" s="5" t="str">
        <f>IFERROR(__xludf.DUMMYFUNCTION("GOOGLETRANSLATE(B13584,""en"",""es-ES"")"),"Hombre, usa el cuchillo para cortar la revista.")</f>
        <v>Hombre, usa el cuchillo para cortar la revista.</v>
      </c>
    </row>
    <row r="13585">
      <c r="A13585" s="4" t="s">
        <v>17101</v>
      </c>
      <c r="B13585" s="4" t="s">
        <v>17102</v>
      </c>
      <c r="C13585" s="5" t="str">
        <f>IFERROR(__xludf.DUMMYFUNCTION("GOOGLETRANSLATE(B13585,""en"",""es-ES"")"),"Se ve a un hombre en las aguas del océano.")</f>
        <v>Se ve a un hombre en las aguas del océano.</v>
      </c>
    </row>
    <row r="13586">
      <c r="A13586" s="4" t="s">
        <v>17101</v>
      </c>
      <c r="B13586" s="4" t="s">
        <v>17103</v>
      </c>
      <c r="C13586" s="5" t="str">
        <f>IFERROR(__xludf.DUMMYFUNCTION("GOOGLETRANSLATE(B13586,""en"",""es-ES"")"),"Está montando un par de esquís acuáticos.")</f>
        <v>Está montando un par de esquís acuáticos.</v>
      </c>
    </row>
    <row r="13587">
      <c r="A13587" s="4" t="s">
        <v>17101</v>
      </c>
      <c r="B13587" s="4" t="s">
        <v>17104</v>
      </c>
      <c r="C13587" s="5" t="str">
        <f>IFERROR(__xludf.DUMMYFUNCTION("GOOGLETRANSLATE(B13587,""en"",""es-ES"")"),"Está siendo droga por un bote mientras esquía en las olas.")</f>
        <v>Está siendo droga por un bote mientras esquía en las olas.</v>
      </c>
    </row>
    <row r="13588">
      <c r="A13588" s="4" t="s">
        <v>17105</v>
      </c>
      <c r="B13588" s="4" t="s">
        <v>15882</v>
      </c>
      <c r="C13588" s="5" t="str">
        <f>IFERROR(__xludf.DUMMYFUNCTION("GOOGLETRANSLATE(B13588,""en"",""es-ES"")"),"Vemos las pantallas de título iniciales.")</f>
        <v>Vemos las pantallas de título iniciales.</v>
      </c>
    </row>
    <row r="13589">
      <c r="A13589" s="4" t="s">
        <v>17105</v>
      </c>
      <c r="B13589" s="4" t="s">
        <v>17106</v>
      </c>
      <c r="C13589" s="5" t="str">
        <f>IFERROR(__xludf.DUMMYFUNCTION("GOOGLETRANSLATE(B13589,""en"",""es-ES"")"),"Una persona lava y corta una calabaza.")</f>
        <v>Una persona lava y corta una calabaza.</v>
      </c>
    </row>
    <row r="13590">
      <c r="A13590" s="4" t="s">
        <v>17105</v>
      </c>
      <c r="B13590" s="4" t="s">
        <v>17107</v>
      </c>
      <c r="C13590" s="5" t="str">
        <f>IFERROR(__xludf.DUMMYFUNCTION("GOOGLETRANSLATE(B13590,""en"",""es-ES"")"),"La persona limpia el interior y dibuja una cara sobre la calabaza.")</f>
        <v>La persona limpia el interior y dibuja una cara sobre la calabaza.</v>
      </c>
    </row>
    <row r="13591">
      <c r="A13591" s="4" t="s">
        <v>17105</v>
      </c>
      <c r="B13591" s="4" t="s">
        <v>17108</v>
      </c>
      <c r="C13591" s="5" t="str">
        <f>IFERROR(__xludf.DUMMYFUNCTION("GOOGLETRANSLATE(B13591,""en"",""es-ES"")"),"Tallan la cara para hacer un Jackolantern.")</f>
        <v>Tallan la cara para hacer un Jackolantern.</v>
      </c>
    </row>
    <row r="13592">
      <c r="A13592" s="4" t="s">
        <v>17105</v>
      </c>
      <c r="B13592" s="4" t="s">
        <v>17109</v>
      </c>
      <c r="C13592" s="5" t="str">
        <f>IFERROR(__xludf.DUMMYFUNCTION("GOOGLETRANSLATE(B13592,""en"",""es-ES"")"),"Luego vemos la calabaza tallada con una vela adentro y la pantalla de cierre.")</f>
        <v>Luego vemos la calabaza tallada con una vela adentro y la pantalla de cierre.</v>
      </c>
    </row>
    <row r="13593">
      <c r="A13593" s="4" t="s">
        <v>17110</v>
      </c>
      <c r="B13593" s="4" t="s">
        <v>17111</v>
      </c>
      <c r="C13593" s="5" t="str">
        <f>IFERROR(__xludf.DUMMYFUNCTION("GOOGLETRANSLATE(B13593,""en"",""es-ES"")"),"Vemos una serie de bloopers de bolos.")</f>
        <v>Vemos una serie de bloopers de bolos.</v>
      </c>
    </row>
    <row r="13594">
      <c r="A13594" s="4" t="s">
        <v>17110</v>
      </c>
      <c r="B13594" s="4" t="s">
        <v>17112</v>
      </c>
      <c r="C13594" s="5" t="str">
        <f>IFERROR(__xludf.DUMMYFUNCTION("GOOGLETRANSLATE(B13594,""en"",""es-ES"")"),"Vemos a un bebé lanzar una pelota y una caída de un adulto.")</f>
        <v>Vemos a un bebé lanzar una pelota y una caída de un adulto.</v>
      </c>
    </row>
    <row r="13595">
      <c r="A13595" s="4" t="s">
        <v>17110</v>
      </c>
      <c r="B13595" s="4" t="s">
        <v>17113</v>
      </c>
      <c r="C13595" s="5" t="str">
        <f>IFERROR(__xludf.DUMMYFUNCTION("GOOGLETRANSLATE(B13595,""en"",""es-ES"")"),"Vemos a una dama caer mientras está sentada en un banco.")</f>
        <v>Vemos a una dama caer mientras está sentada en un banco.</v>
      </c>
    </row>
    <row r="13596">
      <c r="A13596" s="4" t="s">
        <v>17110</v>
      </c>
      <c r="B13596" s="4" t="s">
        <v>17114</v>
      </c>
      <c r="C13596" s="5" t="str">
        <f>IFERROR(__xludf.DUMMYFUNCTION("GOOGLETRANSLATE(B13596,""en"",""es-ES"")"),"Vemos a un hombre poner una bola de boliche en un cañón y dispararla a través de un campo.")</f>
        <v>Vemos a un hombre poner una bola de boliche en un cañón y dispararla a través de un campo.</v>
      </c>
    </row>
    <row r="13597">
      <c r="A13597" s="4" t="s">
        <v>17115</v>
      </c>
      <c r="B13597" s="4" t="s">
        <v>17116</v>
      </c>
      <c r="C13597" s="5" t="str">
        <f>IFERROR(__xludf.DUMMYFUNCTION("GOOGLETRANSLATE(B13597,""en"",""es-ES"")"),"Un grupo grande está dentro de una balsa en un río.")</f>
        <v>Un grupo grande está dentro de una balsa en un río.</v>
      </c>
    </row>
    <row r="13598">
      <c r="A13598" s="4" t="s">
        <v>17115</v>
      </c>
      <c r="B13598" s="4" t="s">
        <v>17117</v>
      </c>
      <c r="C13598" s="5" t="str">
        <f>IFERROR(__xludf.DUMMYFUNCTION("GOOGLETRANSLATE(B13598,""en"",""es-ES"")"),"Un hombre en un kayak está al lado de ellos.")</f>
        <v>Un hombre en un kayak está al lado de ellos.</v>
      </c>
    </row>
    <row r="13599">
      <c r="A13599" s="4" t="s">
        <v>17115</v>
      </c>
      <c r="B13599" s="4" t="s">
        <v>17118</v>
      </c>
      <c r="C13599" s="5" t="str">
        <f>IFERROR(__xludf.DUMMYFUNCTION("GOOGLETRANSLATE(B13599,""en"",""es-ES"")"),"Flotan en los rápidos, tratando de pasar por ellos.")</f>
        <v>Flotan en los rápidos, tratando de pasar por ellos.</v>
      </c>
    </row>
    <row r="13600">
      <c r="A13600" s="4" t="s">
        <v>17119</v>
      </c>
      <c r="B13600" s="4" t="s">
        <v>17120</v>
      </c>
      <c r="C13600" s="5" t="str">
        <f>IFERROR(__xludf.DUMMYFUNCTION("GOOGLETRANSLATE(B13600,""en"",""es-ES"")"),"Se ve un logotipo y se muestran subtítulos en la pantalla.")</f>
        <v>Se ve un logotipo y se muestran subtítulos en la pantalla.</v>
      </c>
    </row>
    <row r="13601">
      <c r="A13601" s="4" t="s">
        <v>17119</v>
      </c>
      <c r="B13601" s="4" t="s">
        <v>17121</v>
      </c>
      <c r="C13601" s="5" t="str">
        <f>IFERROR(__xludf.DUMMYFUNCTION("GOOGLETRANSLATE(B13601,""en"",""es-ES"")"),"Los árboles y el mantillo se muestran con una ligera brisa.")</f>
        <v>Los árboles y el mantillo se muestran con una ligera brisa.</v>
      </c>
    </row>
    <row r="13602">
      <c r="A13602" s="4" t="s">
        <v>17119</v>
      </c>
      <c r="B13602" s="4" t="s">
        <v>17122</v>
      </c>
      <c r="C13602" s="5" t="str">
        <f>IFERROR(__xludf.DUMMYFUNCTION("GOOGLETRANSLATE(B13602,""en"",""es-ES"")"),"Se muestra a varias personas plantando un árbol.")</f>
        <v>Se muestra a varias personas plantando un árbol.</v>
      </c>
    </row>
    <row r="13603">
      <c r="A13603" s="4" t="s">
        <v>17119</v>
      </c>
      <c r="B13603" s="4" t="s">
        <v>17123</v>
      </c>
      <c r="C13603" s="5" t="str">
        <f>IFERROR(__xludf.DUMMYFUNCTION("GOOGLETRANSLATE(B13603,""en"",""es-ES"")"),"La gente está extendiendo mantillo alrededor del árbol.")</f>
        <v>La gente está extendiendo mantillo alrededor del árbol.</v>
      </c>
    </row>
    <row r="13604">
      <c r="A13604" s="4" t="s">
        <v>17119</v>
      </c>
      <c r="B13604" s="4" t="s">
        <v>17124</v>
      </c>
      <c r="C13604" s="5" t="str">
        <f>IFERROR(__xludf.DUMMYFUNCTION("GOOGLETRANSLATE(B13604,""en"",""es-ES"")"),"Se muestran varios logotipos en la pantalla.")</f>
        <v>Se muestran varios logotipos en la pantalla.</v>
      </c>
    </row>
    <row r="13605">
      <c r="A13605" s="4" t="s">
        <v>17125</v>
      </c>
      <c r="B13605" s="4" t="s">
        <v>17126</v>
      </c>
      <c r="C13605" s="5" t="str">
        <f>IFERROR(__xludf.DUMMYFUNCTION("GOOGLETRANSLATE(B13605,""en"",""es-ES"")"),"Un hombre da una lección de armónica con primeros planos y básicamente una forma de saber cómo jugar la armónica.")</f>
        <v>Un hombre da una lección de armónica con primeros planos y básicamente una forma de saber cómo jugar la armónica.</v>
      </c>
    </row>
    <row r="13606">
      <c r="A13606" s="4" t="s">
        <v>17125</v>
      </c>
      <c r="B13606" s="4" t="s">
        <v>17127</v>
      </c>
      <c r="C13606" s="5" t="str">
        <f>IFERROR(__xludf.DUMMYFUNCTION("GOOGLETRANSLATE(B13606,""en"",""es-ES"")"),"El hombre también presenta otros tipos de armónicas.")</f>
        <v>El hombre también presenta otros tipos de armónicas.</v>
      </c>
    </row>
    <row r="13607">
      <c r="A13607" s="4" t="s">
        <v>17128</v>
      </c>
      <c r="B13607" s="4" t="s">
        <v>17129</v>
      </c>
      <c r="C13607" s="5" t="str">
        <f>IFERROR(__xludf.DUMMYFUNCTION("GOOGLETRANSLATE(B13607,""en"",""es-ES"")"),"Una introducción de texto lleva a una persona que se ve sentada en una bicicleta de ejercicios.")</f>
        <v>Una introducción de texto lleva a una persona que se ve sentada en una bicicleta de ejercicios.</v>
      </c>
    </row>
    <row r="13608">
      <c r="A13608" s="4" t="s">
        <v>17128</v>
      </c>
      <c r="B13608" s="4" t="s">
        <v>17130</v>
      </c>
      <c r="C13608" s="5" t="str">
        <f>IFERROR(__xludf.DUMMYFUNCTION("GOOGLETRANSLATE(B13608,""en"",""es-ES"")"),"La persona habla con una clase que está hablando mientras vende sus pies.")</f>
        <v>La persona habla con una clase que está hablando mientras vende sus pies.</v>
      </c>
    </row>
    <row r="13609">
      <c r="A13609" s="4" t="s">
        <v>17128</v>
      </c>
      <c r="B13609" s="4" t="s">
        <v>17131</v>
      </c>
      <c r="C13609" s="5" t="str">
        <f>IFERROR(__xludf.DUMMYFUNCTION("GOOGLETRANSLATE(B13609,""en"",""es-ES"")"),"La mujer continúa moviendo sus pies y otros en la clase.")</f>
        <v>La mujer continúa moviendo sus pies y otros en la clase.</v>
      </c>
    </row>
    <row r="13610">
      <c r="A13610" s="4" t="s">
        <v>17132</v>
      </c>
      <c r="B13610" s="4" t="s">
        <v>17133</v>
      </c>
      <c r="C13610" s="5" t="str">
        <f>IFERROR(__xludf.DUMMYFUNCTION("GOOGLETRANSLATE(B13610,""en"",""es-ES"")"),"Un hombre que lleva una camisa azul está lanzando el lanzamiento de bala.")</f>
        <v>Un hombre que lleva una camisa azul está lanzando el lanzamiento de bala.</v>
      </c>
    </row>
    <row r="13611">
      <c r="A13611" s="4" t="s">
        <v>17132</v>
      </c>
      <c r="B13611" s="4" t="s">
        <v>17134</v>
      </c>
      <c r="C13611" s="5" t="str">
        <f>IFERROR(__xludf.DUMMYFUNCTION("GOOGLETRANSLATE(B13611,""en"",""es-ES"")"),"Él va en un movimiento circular en un círculo rojo pintado en el suelo.")</f>
        <v>Él va en un movimiento circular en un círculo rojo pintado en el suelo.</v>
      </c>
    </row>
    <row r="13612">
      <c r="A13612" s="4" t="s">
        <v>17132</v>
      </c>
      <c r="B13612" s="4" t="s">
        <v>17135</v>
      </c>
      <c r="C13612" s="5" t="str">
        <f>IFERROR(__xludf.DUMMYFUNCTION("GOOGLETRANSLATE(B13612,""en"",""es-ES"")"),"Lanza el lanzamiento de peso al aire.")</f>
        <v>Lanza el lanzamiento de peso al aire.</v>
      </c>
    </row>
    <row r="13613">
      <c r="A13613" s="4" t="s">
        <v>17132</v>
      </c>
      <c r="B13613" s="4" t="s">
        <v>17136</v>
      </c>
      <c r="C13613" s="5" t="str">
        <f>IFERROR(__xludf.DUMMYFUNCTION("GOOGLETRANSLATE(B13613,""en"",""es-ES"")"),"Otro hombre se está balanceando en movimiento circular, listo para lanzar el lanzamiento de peso.")</f>
        <v>Otro hombre se está balanceando en movimiento circular, listo para lanzar el lanzamiento de peso.</v>
      </c>
    </row>
    <row r="13614">
      <c r="A13614" s="4" t="s">
        <v>17137</v>
      </c>
      <c r="B13614" s="4" t="s">
        <v>17138</v>
      </c>
      <c r="C13614" s="5" t="str">
        <f>IFERROR(__xludf.DUMMYFUNCTION("GOOGLETRANSLATE(B13614,""en"",""es-ES"")"),"Un jinete lanza una cuerda para atrapar una pantorrilla mientras la gente mira.")</f>
        <v>Un jinete lanza una cuerda para atrapar una pantorrilla mientras la gente mira.</v>
      </c>
    </row>
    <row r="13615">
      <c r="A13615" s="4" t="s">
        <v>17137</v>
      </c>
      <c r="B13615" s="4" t="s">
        <v>17139</v>
      </c>
      <c r="C13615" s="5" t="str">
        <f>IFERROR(__xludf.DUMMYFUNCTION("GOOGLETRANSLATE(B13615,""en"",""es-ES"")"),"Intermedmente, el hombre baja el caballo y ate el ternero.")</f>
        <v>Intermedmente, el hombre baja el caballo y ate el ternero.</v>
      </c>
    </row>
    <row r="13616">
      <c r="A13616" s="4" t="s">
        <v>17137</v>
      </c>
      <c r="B13616" s="4" t="s">
        <v>17140</v>
      </c>
      <c r="C13616" s="5" t="str">
        <f>IFERROR(__xludf.DUMMYFUNCTION("GOOGLETRANSLATE(B13616,""en"",""es-ES"")"),"Los hombres caminan detrás del caballo.")</f>
        <v>Los hombres caminan detrás del caballo.</v>
      </c>
    </row>
    <row r="13617">
      <c r="A13617" s="4" t="s">
        <v>17137</v>
      </c>
      <c r="B13617" s="4" t="s">
        <v>17141</v>
      </c>
      <c r="C13617" s="5" t="str">
        <f>IFERROR(__xludf.DUMMYFUNCTION("GOOGLETRANSLATE(B13617,""en"",""es-ES"")"),"Después, el hombre se mete en el caballo.")</f>
        <v>Después, el hombre se mete en el caballo.</v>
      </c>
    </row>
    <row r="13618">
      <c r="A13618" s="4" t="s">
        <v>17142</v>
      </c>
      <c r="B13618" s="4" t="s">
        <v>17143</v>
      </c>
      <c r="C13618" s="5" t="str">
        <f>IFERROR(__xludf.DUMMYFUNCTION("GOOGLETRANSLATE(B13618,""en"",""es-ES"")"),"Los patos están nadando en el agua.")</f>
        <v>Los patos están nadando en el agua.</v>
      </c>
    </row>
    <row r="13619">
      <c r="A13619" s="4" t="s">
        <v>17142</v>
      </c>
      <c r="B13619" s="4" t="s">
        <v>17144</v>
      </c>
      <c r="C13619" s="5" t="str">
        <f>IFERROR(__xludf.DUMMYFUNCTION("GOOGLETRANSLATE(B13619,""en"",""es-ES"")"),"La gente está moviendo tierra en un parque.")</f>
        <v>La gente está moviendo tierra en un parque.</v>
      </c>
    </row>
    <row r="13620">
      <c r="A13620" s="4" t="s">
        <v>17142</v>
      </c>
      <c r="B13620" s="4" t="s">
        <v>17145</v>
      </c>
      <c r="C13620" s="5" t="str">
        <f>IFERROR(__xludf.DUMMYFUNCTION("GOOGLETRANSLATE(B13620,""en"",""es-ES"")"),"Una mujer con una camisa negra y gafas habla con la cámara.")</f>
        <v>Una mujer con una camisa negra y gafas habla con la cámara.</v>
      </c>
    </row>
    <row r="13621">
      <c r="A13621" s="4" t="s">
        <v>17142</v>
      </c>
      <c r="B13621" s="4" t="s">
        <v>17146</v>
      </c>
      <c r="C13621" s="5" t="str">
        <f>IFERROR(__xludf.DUMMYFUNCTION("GOOGLETRANSLATE(B13621,""en"",""es-ES"")"),"La gente está arrastrando la tierra.")</f>
        <v>La gente está arrastrando la tierra.</v>
      </c>
    </row>
    <row r="13622">
      <c r="A13622" s="4" t="s">
        <v>17142</v>
      </c>
      <c r="B13622" s="4" t="s">
        <v>17147</v>
      </c>
      <c r="C13622" s="5" t="str">
        <f>IFERROR(__xludf.DUMMYFUNCTION("GOOGLETRANSLATE(B13622,""en"",""es-ES"")"),"Diferentes personas están hablando con la cámara.")</f>
        <v>Diferentes personas están hablando con la cámara.</v>
      </c>
    </row>
    <row r="13623">
      <c r="A13623" s="4" t="s">
        <v>17142</v>
      </c>
      <c r="B13623" s="4" t="s">
        <v>17148</v>
      </c>
      <c r="C13623" s="5" t="str">
        <f>IFERROR(__xludf.DUMMYFUNCTION("GOOGLETRANSLATE(B13623,""en"",""es-ES"")"),"La gente continúa paisajemente en el parque.")</f>
        <v>La gente continúa paisajemente en el parque.</v>
      </c>
    </row>
    <row r="13624">
      <c r="A13624" s="4" t="s">
        <v>17149</v>
      </c>
      <c r="B13624" s="4" t="s">
        <v>17150</v>
      </c>
      <c r="C13624" s="5" t="str">
        <f>IFERROR(__xludf.DUMMYFUNCTION("GOOGLETRANSLATE(B13624,""en"",""es-ES"")"),"Aparece una foto de una tirada de una tortilla de una sartén y aparece en una placa blanca y el texto blanco en él dice ""Cómo hacer una tortilla"".")</f>
        <v>Aparece una foto de una tirada de una tortilla de una sartén y aparece en una placa blanca y el texto blanco en él dice "Cómo hacer una tortilla".</v>
      </c>
    </row>
    <row r="13625">
      <c r="A13625" s="4" t="s">
        <v>17149</v>
      </c>
      <c r="B13625" s="4" t="s">
        <v>17151</v>
      </c>
      <c r="C13625" s="5" t="str">
        <f>IFERROR(__xludf.DUMMYFUNCTION("GOOGLETRANSLATE(B13625,""en"",""es-ES"")"),"Una pantalla blanca con un clipart de rojo león con una corona aparece y las palabras azules ""La calidad del león británico está cerca de él.")</f>
        <v>Una pantalla blanca con un clipart de rojo león con una corona aparece y las palabras azules "La calidad del león británico está cerca de él.</v>
      </c>
    </row>
    <row r="13626">
      <c r="A13626" s="4" t="s">
        <v>17149</v>
      </c>
      <c r="B13626" s="4" t="s">
        <v>17152</v>
      </c>
      <c r="C13626" s="5" t="str">
        <f>IFERROR(__xludf.DUMMYFUNCTION("GOOGLETRANSLATE(B13626,""en"",""es-ES"")"),"Una mujer ahora está en la cocina de pie frente a una sartén en una estufa, enciende el horno, agarra una gran taza de medición y comienza a agrietarse huevos y luego agrega varios otros ingredientes a los huevos y luego lo bate todo.")</f>
        <v>Una mujer ahora está en la cocina de pie frente a una sartén en una estufa, enciende el horno, agarra una gran taza de medición y comienza a agrietarse huevos y luego agrega varios otros ingredientes a los huevos y luego lo bate todo.</v>
      </c>
    </row>
    <row r="13627">
      <c r="A13627" s="4" t="s">
        <v>17149</v>
      </c>
      <c r="B13627" s="4" t="s">
        <v>17153</v>
      </c>
      <c r="C13627" s="5" t="str">
        <f>IFERROR(__xludf.DUMMYFUNCTION("GOOGLETRANSLATE(B13627,""en"",""es-ES"")"),"La mujer luego pone mantequilla en la sartén, la derrite por todas partes, luego vierte su mezcla de huevos en la sartén.")</f>
        <v>La mujer luego pone mantequilla en la sartén, la derrite por todas partes, luego vierte su mezcla de huevos en la sartén.</v>
      </c>
    </row>
    <row r="13628">
      <c r="A13628" s="4" t="s">
        <v>17149</v>
      </c>
      <c r="B13628" s="4" t="s">
        <v>17154</v>
      </c>
      <c r="C13628" s="5" t="str">
        <f>IFERROR(__xludf.DUMMYFUNCTION("GOOGLETRANSLATE(B13628,""en"",""es-ES"")"),"La mujer agarra su espátula de madera y comienza a manipular los huevos en la sartén asegurándose de que no se pegue y que se cocine bien.")</f>
        <v>La mujer agarra su espátula de madera y comienza a manipular los huevos en la sartén asegurándose de que no se pegue y que se cocine bien.</v>
      </c>
    </row>
    <row r="13629">
      <c r="A13629" s="4" t="s">
        <v>17149</v>
      </c>
      <c r="B13629" s="4" t="s">
        <v>17155</v>
      </c>
      <c r="C13629" s="5" t="str">
        <f>IFERROR(__xludf.DUMMYFUNCTION("GOOGLETRANSLATE(B13629,""en"",""es-ES"")"),"Luego, la mujer lleva el huevo al plato blanco y lo dobla sobre él y luego agrega un puñado de verduras al lado.")</f>
        <v>Luego, la mujer lleva el huevo al plato blanco y lo dobla sobre él y luego agrega un puñado de verduras al lado.</v>
      </c>
    </row>
    <row r="13630">
      <c r="A13630" s="4" t="s">
        <v>17149</v>
      </c>
      <c r="B13630" s="4" t="s">
        <v>17156</v>
      </c>
      <c r="C13630" s="5" t="str">
        <f>IFERROR(__xludf.DUMMYFUNCTION("GOOGLETRANSLATE(B13630,""en"",""es-ES"")"),"Aparece una pantalla blanca con Red Clipart Lion en el medio y las palabras azules de ""calidad del león británico"".")</f>
        <v>Aparece una pantalla blanca con Red Clipart Lion en el medio y las palabras azules de "calidad del león británico".</v>
      </c>
    </row>
    <row r="13631">
      <c r="A13631" s="4" t="s">
        <v>17157</v>
      </c>
      <c r="B13631" s="4" t="s">
        <v>17158</v>
      </c>
      <c r="C13631" s="5" t="str">
        <f>IFERROR(__xludf.DUMMYFUNCTION("GOOGLETRANSLATE(B13631,""en"",""es-ES"")"),"Un hombre está patinando por una acera.")</f>
        <v>Un hombre está patinando por una acera.</v>
      </c>
    </row>
    <row r="13632">
      <c r="A13632" s="4" t="s">
        <v>17157</v>
      </c>
      <c r="B13632" s="4" t="s">
        <v>17159</v>
      </c>
      <c r="C13632" s="5" t="str">
        <f>IFERROR(__xludf.DUMMYFUNCTION("GOOGLETRANSLATE(B13632,""en"",""es-ES"")"),"Él hace un volteo en la patineta.")</f>
        <v>Él hace un volteo en la patineta.</v>
      </c>
    </row>
    <row r="13633">
      <c r="A13633" s="4" t="s">
        <v>17157</v>
      </c>
      <c r="B13633" s="4" t="s">
        <v>17160</v>
      </c>
      <c r="C13633" s="5" t="str">
        <f>IFERROR(__xludf.DUMMYFUNCTION("GOOGLETRANSLATE(B13633,""en"",""es-ES"")"),"Se cae de la patineta al suelo.")</f>
        <v>Se cae de la patineta al suelo.</v>
      </c>
    </row>
    <row r="13634">
      <c r="A13634" s="4" t="s">
        <v>17161</v>
      </c>
      <c r="B13634" s="4" t="s">
        <v>17162</v>
      </c>
      <c r="C13634" s="5" t="str">
        <f>IFERROR(__xludf.DUMMYFUNCTION("GOOGLETRANSLATE(B13634,""en"",""es-ES"")"),"Un hombre y una mujer están teniendo sexo y besándose dentro de una ducha.")</f>
        <v>Un hombre y una mujer están teniendo sexo y besándose dentro de una ducha.</v>
      </c>
    </row>
    <row r="13635">
      <c r="A13635" s="4" t="s">
        <v>17161</v>
      </c>
      <c r="B13635" s="4" t="s">
        <v>17163</v>
      </c>
      <c r="C13635" s="5" t="str">
        <f>IFERROR(__xludf.DUMMYFUNCTION("GOOGLETRANSLATE(B13635,""en"",""es-ES"")"),"Ella lo empuja y comienza a llorar.")</f>
        <v>Ella lo empuja y comienza a llorar.</v>
      </c>
    </row>
    <row r="13636">
      <c r="A13636" s="4" t="s">
        <v>17161</v>
      </c>
      <c r="B13636" s="4" t="s">
        <v>17164</v>
      </c>
      <c r="C13636" s="5" t="str">
        <f>IFERROR(__xludf.DUMMYFUNCTION("GOOGLETRANSLATE(B13636,""en"",""es-ES"")"),"Una pareja está teniendo sexo en una cama.")</f>
        <v>Una pareja está teniendo sexo en una cama.</v>
      </c>
    </row>
    <row r="13637">
      <c r="A13637" s="4" t="s">
        <v>17161</v>
      </c>
      <c r="B13637" s="4" t="s">
        <v>17165</v>
      </c>
      <c r="C13637" s="5" t="str">
        <f>IFERROR(__xludf.DUMMYFUNCTION("GOOGLETRANSLATE(B13637,""en"",""es-ES"")"),"La mujer saca una pluma y la lame.")</f>
        <v>La mujer saca una pluma y la lame.</v>
      </c>
    </row>
    <row r="13638">
      <c r="A13638" s="4" t="s">
        <v>17161</v>
      </c>
      <c r="B13638" s="4" t="s">
        <v>17166</v>
      </c>
      <c r="C13638" s="5" t="str">
        <f>IFERROR(__xludf.DUMMYFUNCTION("GOOGLETRANSLATE(B13638,""en"",""es-ES"")"),"Ella lo frota en la cara del hombre.")</f>
        <v>Ella lo frota en la cara del hombre.</v>
      </c>
    </row>
    <row r="13639">
      <c r="A13639" s="4" t="s">
        <v>17161</v>
      </c>
      <c r="B13639" s="4" t="s">
        <v>17167</v>
      </c>
      <c r="C13639" s="5" t="str">
        <f>IFERROR(__xludf.DUMMYFUNCTION("GOOGLETRANSLATE(B13639,""en"",""es-ES"")"),"Ella tiene un cuchillo y se lo frota en el pecho.")</f>
        <v>Ella tiene un cuchillo y se lo frota en el pecho.</v>
      </c>
    </row>
    <row r="13640">
      <c r="A13640" s="4" t="s">
        <v>17161</v>
      </c>
      <c r="B13640" s="4" t="s">
        <v>17168</v>
      </c>
      <c r="C13640" s="5" t="str">
        <f>IFERROR(__xludf.DUMMYFUNCTION("GOOGLETRANSLATE(B13640,""en"",""es-ES"")"),"Ella lo mira y enciende un cigarrillo.")</f>
        <v>Ella lo mira y enciende un cigarrillo.</v>
      </c>
    </row>
    <row r="13641">
      <c r="A13641" s="4" t="s">
        <v>17161</v>
      </c>
      <c r="B13641" s="4" t="s">
        <v>17169</v>
      </c>
      <c r="C13641" s="5" t="str">
        <f>IFERROR(__xludf.DUMMYFUNCTION("GOOGLETRANSLATE(B13641,""en"",""es-ES"")"),"Ella se acuesta de espaldas y se ríe.")</f>
        <v>Ella se acuesta de espaldas y se ríe.</v>
      </c>
    </row>
    <row r="13642">
      <c r="A13642" s="4" t="s">
        <v>17161</v>
      </c>
      <c r="B13642" s="4" t="s">
        <v>17170</v>
      </c>
      <c r="C13642" s="5" t="str">
        <f>IFERROR(__xludf.DUMMYFUNCTION("GOOGLETRANSLATE(B13642,""en"",""es-ES"")"),"La mujer está hablando y riendo mientras sostiene una serpiente.")</f>
        <v>La mujer está hablando y riendo mientras sostiene una serpiente.</v>
      </c>
    </row>
    <row r="13643">
      <c r="A13643" s="4" t="s">
        <v>17161</v>
      </c>
      <c r="B13643" s="4" t="s">
        <v>17171</v>
      </c>
      <c r="C13643" s="5" t="str">
        <f>IFERROR(__xludf.DUMMYFUNCTION("GOOGLETRANSLATE(B13643,""en"",""es-ES"")"),"La mujer está hablando con alguien.")</f>
        <v>La mujer está hablando con alguien.</v>
      </c>
    </row>
    <row r="13644">
      <c r="A13644" s="4" t="s">
        <v>17161</v>
      </c>
      <c r="B13644" s="4" t="s">
        <v>17172</v>
      </c>
      <c r="C13644" s="5" t="str">
        <f>IFERROR(__xludf.DUMMYFUNCTION("GOOGLETRANSLATE(B13644,""en"",""es-ES"")"),"Se muestra una mesa con comida.")</f>
        <v>Se muestra una mesa con comida.</v>
      </c>
    </row>
    <row r="13645">
      <c r="A13645" s="4" t="s">
        <v>17161</v>
      </c>
      <c r="B13645" s="4" t="s">
        <v>17173</v>
      </c>
      <c r="C13645" s="5" t="str">
        <f>IFERROR(__xludf.DUMMYFUNCTION("GOOGLETRANSLATE(B13645,""en"",""es-ES"")"),"Una copa de vino es entregada a un hombre por la mujer.")</f>
        <v>Una copa de vino es entregada a un hombre por la mujer.</v>
      </c>
    </row>
    <row r="13646">
      <c r="A13646" s="4" t="s">
        <v>17161</v>
      </c>
      <c r="B13646" s="4" t="s">
        <v>17174</v>
      </c>
      <c r="C13646" s="5" t="str">
        <f>IFERROR(__xludf.DUMMYFUNCTION("GOOGLETRANSLATE(B13646,""en"",""es-ES"")"),"Él niega la bebida y ella toma un sorbo.")</f>
        <v>Él niega la bebida y ella toma un sorbo.</v>
      </c>
    </row>
    <row r="13647">
      <c r="A13647" s="4" t="s">
        <v>17161</v>
      </c>
      <c r="B13647" s="4" t="s">
        <v>17175</v>
      </c>
      <c r="C13647" s="5" t="str">
        <f>IFERROR(__xludf.DUMMYFUNCTION("GOOGLETRANSLATE(B13647,""en"",""es-ES"")"),"Comienzan a besarse.")</f>
        <v>Comienzan a besarse.</v>
      </c>
    </row>
    <row r="13648">
      <c r="A13648" s="4" t="s">
        <v>17176</v>
      </c>
      <c r="B13648" s="4" t="s">
        <v>17177</v>
      </c>
      <c r="C13648" s="5" t="str">
        <f>IFERROR(__xludf.DUMMYFUNCTION("GOOGLETRANSLATE(B13648,""en"",""es-ES"")"),"La cámara sigue a una persona con pantalones rojos que se ponen snowboard por una pendiente.")</f>
        <v>La cámara sigue a una persona con pantalones rojos que se ponen snowboard por una pendiente.</v>
      </c>
    </row>
    <row r="13649">
      <c r="A13649" s="4" t="s">
        <v>17176</v>
      </c>
      <c r="B13649" s="4" t="s">
        <v>17178</v>
      </c>
      <c r="C13649" s="5" t="str">
        <f>IFERROR(__xludf.DUMMYFUNCTION("GOOGLETRANSLATE(B13649,""en"",""es-ES"")"),"La cámara se aleja brevemente de la mujer para concentrarse en la pendiente.")</f>
        <v>La cámara se aleja brevemente de la mujer para concentrarse en la pendiente.</v>
      </c>
    </row>
    <row r="13650">
      <c r="A13650" s="4" t="s">
        <v>17176</v>
      </c>
      <c r="B13650" s="4" t="s">
        <v>17179</v>
      </c>
      <c r="C13650" s="5" t="str">
        <f>IFERROR(__xludf.DUMMYFUNCTION("GOOGLETRANSLATE(B13650,""en"",""es-ES"")"),"La cámara se aleja de la mujer para concentrarse en la pendiente.")</f>
        <v>La cámara se aleja de la mujer para concentrarse en la pendiente.</v>
      </c>
    </row>
    <row r="13651">
      <c r="A13651" s="4" t="s">
        <v>17180</v>
      </c>
      <c r="B13651" s="4" t="s">
        <v>17181</v>
      </c>
      <c r="C13651" s="5" t="str">
        <f>IFERROR(__xludf.DUMMYFUNCTION("GOOGLETRANSLATE(B13651,""en"",""es-ES"")"),"Se ve a un hombre hablando con la cámara que sostiene una paleta y sentada en un kayak.")</f>
        <v>Se ve a un hombre hablando con la cámara que sostiene una paleta y sentada en un kayak.</v>
      </c>
    </row>
    <row r="13652">
      <c r="A13652" s="4" t="s">
        <v>17180</v>
      </c>
      <c r="B13652" s="4" t="s">
        <v>17182</v>
      </c>
      <c r="C13652" s="5" t="str">
        <f>IFERROR(__xludf.DUMMYFUNCTION("GOOGLETRANSLATE(B13652,""en"",""es-ES"")"),"El hombre luego se remonta por el área en el kayak volteando y mirando a la cámara.")</f>
        <v>El hombre luego se remonta por el área en el kayak volteando y mirando a la cámara.</v>
      </c>
    </row>
    <row r="13653">
      <c r="A13653" s="4" t="s">
        <v>17183</v>
      </c>
      <c r="B13653" s="4" t="s">
        <v>17184</v>
      </c>
      <c r="C13653" s="5" t="str">
        <f>IFERROR(__xludf.DUMMYFUNCTION("GOOGLETRANSLATE(B13653,""en"",""es-ES"")"),"Una mujer monta un caballo en un granero interior mientras juega un juego de polo solo.")</f>
        <v>Una mujer monta un caballo en un granero interior mientras juega un juego de polo solo.</v>
      </c>
    </row>
    <row r="13654">
      <c r="A13654" s="4" t="s">
        <v>17183</v>
      </c>
      <c r="B13654" s="4" t="s">
        <v>17185</v>
      </c>
      <c r="C13654" s="5" t="str">
        <f>IFERROR(__xludf.DUMMYFUNCTION("GOOGLETRANSLATE(B13654,""en"",""es-ES"")"),"Una mujer monta un caballo en un granero interior y juega con polo mientras sostiene un palo de polo y persigue una bola roja en el entorno interior.")</f>
        <v>Una mujer monta un caballo en un granero interior y juega con polo mientras sostiene un palo de polo y persigue una bola roja en el entorno interior.</v>
      </c>
    </row>
    <row r="13655">
      <c r="A13655" s="4" t="s">
        <v>17183</v>
      </c>
      <c r="B13655" s="4" t="s">
        <v>17186</v>
      </c>
      <c r="C13655" s="5" t="str">
        <f>IFERROR(__xludf.DUMMYFUNCTION("GOOGLETRANSLATE(B13655,""en"",""es-ES"")"),"La mujer golpea la pelota mientras monta el caballo en círculos.")</f>
        <v>La mujer golpea la pelota mientras monta el caballo en círculos.</v>
      </c>
    </row>
    <row r="13656">
      <c r="A13656" s="4" t="s">
        <v>17183</v>
      </c>
      <c r="B13656" s="4" t="s">
        <v>17187</v>
      </c>
      <c r="C13656" s="5" t="str">
        <f>IFERROR(__xludf.DUMMYFUNCTION("GOOGLETRANSLATE(B13656,""en"",""es-ES"")"),"La mujer monta el caballo hasta que el sol comienza a ponerse y la escena se vuelve más oscura y oscura.")</f>
        <v>La mujer monta el caballo hasta que el sol comienza a ponerse y la escena se vuelve más oscura y oscura.</v>
      </c>
    </row>
    <row r="13657">
      <c r="A13657" s="4" t="s">
        <v>17188</v>
      </c>
      <c r="B13657" s="4" t="s">
        <v>17189</v>
      </c>
      <c r="C13657" s="5" t="str">
        <f>IFERROR(__xludf.DUMMYFUNCTION("GOOGLETRANSLATE(B13657,""en"",""es-ES"")"),"Los luchadores están peleando en un anillo.")</f>
        <v>Los luchadores están peleando en un anillo.</v>
      </c>
    </row>
    <row r="13658">
      <c r="A13658" s="4" t="s">
        <v>17188</v>
      </c>
      <c r="B13658" s="4" t="s">
        <v>17190</v>
      </c>
      <c r="C13658" s="5" t="str">
        <f>IFERROR(__xludf.DUMMYFUNCTION("GOOGLETRANSLATE(B13658,""en"",""es-ES"")"),"Un hombre es recogido y arrojado por otros hombres.")</f>
        <v>Un hombre es recogido y arrojado por otros hombres.</v>
      </c>
    </row>
    <row r="13659">
      <c r="A13659" s="4" t="s">
        <v>17188</v>
      </c>
      <c r="B13659" s="4" t="s">
        <v>17191</v>
      </c>
      <c r="C13659" s="5" t="str">
        <f>IFERROR(__xludf.DUMMYFUNCTION("GOOGLETRANSLATE(B13659,""en"",""es-ES"")"),"Un hombre cae sobre una mesa y la rompe.")</f>
        <v>Un hombre cae sobre una mesa y la rompe.</v>
      </c>
    </row>
    <row r="13660">
      <c r="A13660" s="4" t="s">
        <v>17192</v>
      </c>
      <c r="B13660" s="4" t="s">
        <v>17193</v>
      </c>
      <c r="C13660" s="5" t="str">
        <f>IFERROR(__xludf.DUMMYFUNCTION("GOOGLETRANSLATE(B13660,""en"",""es-ES"")"),"Un hombre con vasos está parado en la nieve con algunos dispositivos hablando.")</f>
        <v>Un hombre con vasos está parado en la nieve con algunos dispositivos hablando.</v>
      </c>
    </row>
    <row r="13661">
      <c r="A13661" s="4" t="s">
        <v>17192</v>
      </c>
      <c r="B13661" s="4" t="s">
        <v>17194</v>
      </c>
      <c r="C13661" s="5" t="str">
        <f>IFERROR(__xludf.DUMMYFUNCTION("GOOGLETRANSLATE(B13661,""en"",""es-ES"")"),"Él trae hacia adelante el dispositivo azul de aspecto grande de aspecto, sigue hablando y luego toma otra pala.")</f>
        <v>Él trae hacia adelante el dispositivo azul de aspecto grande de aspecto, sigue hablando y luego toma otra pala.</v>
      </c>
    </row>
    <row r="13662">
      <c r="A13662" s="4" t="s">
        <v>17192</v>
      </c>
      <c r="B13662" s="4" t="s">
        <v>17195</v>
      </c>
      <c r="C13662" s="5" t="str">
        <f>IFERROR(__xludf.DUMMYFUNCTION("GOOGLETRANSLATE(B13662,""en"",""es-ES"")"),"Lanza la pala y luego camina para demostrar cómo palear la nieve.")</f>
        <v>Lanza la pala y luego camina para demostrar cómo palear la nieve.</v>
      </c>
    </row>
    <row r="13663">
      <c r="A13663" s="4" t="s">
        <v>17192</v>
      </c>
      <c r="B13663" s="4" t="s">
        <v>17196</v>
      </c>
      <c r="C13663" s="5" t="str">
        <f>IFERROR(__xludf.DUMMYFUNCTION("GOOGLETRANSLATE(B13663,""en"",""es-ES"")"),"Él continúa hablando y luego comienza a usar el dispositivo de pala nuevamente.")</f>
        <v>Él continúa hablando y luego comienza a usar el dispositivo de pala nuevamente.</v>
      </c>
    </row>
    <row r="13664">
      <c r="A13664" s="4" t="s">
        <v>17192</v>
      </c>
      <c r="B13664" s="4" t="s">
        <v>17197</v>
      </c>
      <c r="C13664" s="5" t="str">
        <f>IFERROR(__xludf.DUMMYFUNCTION("GOOGLETRANSLATE(B13664,""en"",""es-ES"")"),"Él saca montones de nieve.")</f>
        <v>Él saca montones de nieve.</v>
      </c>
    </row>
    <row r="13665">
      <c r="A13665" s="4" t="s">
        <v>17198</v>
      </c>
      <c r="B13665" s="4" t="s">
        <v>17199</v>
      </c>
      <c r="C13665" s="5" t="str">
        <f>IFERROR(__xludf.DUMMYFUNCTION("GOOGLETRANSLATE(B13665,""en"",""es-ES"")"),"La gente está de pie en un anillo de toros.")</f>
        <v>La gente está de pie en un anillo de toros.</v>
      </c>
    </row>
    <row r="13666">
      <c r="A13666" s="4" t="s">
        <v>17198</v>
      </c>
      <c r="B13666" s="4" t="s">
        <v>17200</v>
      </c>
      <c r="C13666" s="5" t="str">
        <f>IFERROR(__xludf.DUMMYFUNCTION("GOOGLETRANSLATE(B13666,""en"",""es-ES"")"),"Un toro comienza a perseguir a un hombre sosteniendo una manta colorida.")</f>
        <v>Un toro comienza a perseguir a un hombre sosteniendo una manta colorida.</v>
      </c>
    </row>
    <row r="13667">
      <c r="A13667" s="4" t="s">
        <v>17198</v>
      </c>
      <c r="B13667" s="4" t="s">
        <v>17201</v>
      </c>
      <c r="C13667" s="5" t="str">
        <f>IFERROR(__xludf.DUMMYFUNCTION("GOOGLETRANSLATE(B13667,""en"",""es-ES"")"),"Dos caballos están arrastrando un toro de la arena.")</f>
        <v>Dos caballos están arrastrando un toro de la arena.</v>
      </c>
    </row>
    <row r="13668">
      <c r="A13668" s="4" t="s">
        <v>17202</v>
      </c>
      <c r="B13668" s="4" t="s">
        <v>17203</v>
      </c>
      <c r="C13668" s="5" t="str">
        <f>IFERROR(__xludf.DUMMYFUNCTION("GOOGLETRANSLATE(B13668,""en"",""es-ES"")"),"Man está sentado en una tienda de música tocando una guitarra acústica y hablando con la cámara que muestra la guitarra Ibanez.")</f>
        <v>Man está sentado en una tienda de música tocando una guitarra acústica y hablando con la cámara que muestra la guitarra Ibanez.</v>
      </c>
    </row>
    <row r="13669">
      <c r="A13669" s="4" t="s">
        <v>17202</v>
      </c>
      <c r="B13669" s="4" t="s">
        <v>17204</v>
      </c>
      <c r="C13669" s="5" t="str">
        <f>IFERROR(__xludf.DUMMYFUNCTION("GOOGLETRANSLATE(B13669,""en"",""es-ES"")"),"El hombre comienza a tocar la guitarra que muestra cómo suena la guitarra conectada a un amplificador.")</f>
        <v>El hombre comienza a tocar la guitarra que muestra cómo suena la guitarra conectada a un amplificador.</v>
      </c>
    </row>
    <row r="13670">
      <c r="A13670" s="4" t="s">
        <v>17205</v>
      </c>
      <c r="B13670" s="4" t="s">
        <v>17206</v>
      </c>
      <c r="C13670" s="5" t="str">
        <f>IFERROR(__xludf.DUMMYFUNCTION("GOOGLETRANSLATE(B13670,""en"",""es-ES"")"),"Varios atuendos de la gente están siendo criticados de abajo hacia arriba.")</f>
        <v>Varios atuendos de la gente están siendo criticados de abajo hacia arriba.</v>
      </c>
    </row>
    <row r="13671">
      <c r="A13671" s="4" t="s">
        <v>17205</v>
      </c>
      <c r="B13671" s="4" t="s">
        <v>17207</v>
      </c>
      <c r="C13671" s="5" t="str">
        <f>IFERROR(__xludf.DUMMYFUNCTION("GOOGLETRANSLATE(B13671,""en"",""es-ES"")"),"Luego hay un grupo de tazas sobre la mesa y comienzan a jugar cerveza pong con un grupo de personas.")</f>
        <v>Luego hay un grupo de tazas sobre la mesa y comienzan a jugar cerveza pong con un grupo de personas.</v>
      </c>
    </row>
    <row r="13672">
      <c r="A13672" s="4" t="s">
        <v>17205</v>
      </c>
      <c r="B13672" s="4" t="s">
        <v>17208</v>
      </c>
      <c r="C13672" s="5" t="str">
        <f>IFERROR(__xludf.DUMMYFUNCTION("GOOGLETRANSLATE(B13672,""en"",""es-ES"")"),"Se muestran varias habitaciones y parejas y la pelota se lanza en una taza.")</f>
        <v>Se muestran varias habitaciones y parejas y la pelota se lanza en una taza.</v>
      </c>
    </row>
    <row r="13673">
      <c r="A13673" s="4" t="s">
        <v>17205</v>
      </c>
      <c r="B13673" s="4" t="s">
        <v>17209</v>
      </c>
      <c r="C13673" s="5" t="str">
        <f>IFERROR(__xludf.DUMMYFUNCTION("GOOGLETRANSLATE(B13673,""en"",""es-ES"")"),"Una vez hecho, la cámara se desplaza y puedes ver que las parejas compiten entre sí en una habitación juntas.")</f>
        <v>Una vez hecho, la cámara se desplaza y puedes ver que las parejas compiten entre sí en una habitación juntas.</v>
      </c>
    </row>
    <row r="13674">
      <c r="A13674" s="4" t="s">
        <v>17205</v>
      </c>
      <c r="B13674" s="4" t="s">
        <v>17210</v>
      </c>
      <c r="C13674" s="5" t="str">
        <f>IFERROR(__xludf.DUMMYFUNCTION("GOOGLETRANSLATE(B13674,""en"",""es-ES"")"),"Las parejas regresan y vuelven más juegos de cerveza pong.")</f>
        <v>Las parejas regresan y vuelven más juegos de cerveza pong.</v>
      </c>
    </row>
    <row r="13675">
      <c r="A13675" s="4" t="s">
        <v>17211</v>
      </c>
      <c r="B13675" s="4" t="s">
        <v>17212</v>
      </c>
      <c r="C13675" s="5" t="str">
        <f>IFERROR(__xludf.DUMMYFUNCTION("GOOGLETRANSLATE(B13675,""en"",""es-ES"")"),"Un hombre está lanzando un frisbee azul y un perro lo persigue.")</f>
        <v>Un hombre está lanzando un frisbee azul y un perro lo persigue.</v>
      </c>
    </row>
    <row r="13676">
      <c r="A13676" s="4" t="s">
        <v>17211</v>
      </c>
      <c r="B13676" s="4" t="s">
        <v>17213</v>
      </c>
      <c r="C13676" s="5" t="str">
        <f>IFERROR(__xludf.DUMMYFUNCTION("GOOGLETRANSLATE(B13676,""en"",""es-ES"")"),"El perro salta sobre el hombre arrodillado sobre la hierba.")</f>
        <v>El perro salta sobre el hombre arrodillado sobre la hierba.</v>
      </c>
    </row>
    <row r="13677">
      <c r="A13677" s="4" t="s">
        <v>17211</v>
      </c>
      <c r="B13677" s="4" t="s">
        <v>17214</v>
      </c>
      <c r="C13677" s="5" t="str">
        <f>IFERROR(__xludf.DUMMYFUNCTION("GOOGLETRANSLATE(B13677,""en"",""es-ES"")"),"Continúan jugando frisbee con el perro.")</f>
        <v>Continúan jugando frisbee con el perro.</v>
      </c>
    </row>
    <row r="13678">
      <c r="A13678" s="4" t="s">
        <v>17215</v>
      </c>
      <c r="B13678" s="4" t="s">
        <v>17216</v>
      </c>
      <c r="C13678" s="5" t="str">
        <f>IFERROR(__xludf.DUMMYFUNCTION("GOOGLETRANSLATE(B13678,""en"",""es-ES"")"),"Este anciano está de pie cortando el tomate rojo en rodajas.")</f>
        <v>Este anciano está de pie cortando el tomate rojo en rodajas.</v>
      </c>
    </row>
    <row r="13679">
      <c r="A13679" s="4" t="s">
        <v>17215</v>
      </c>
      <c r="B13679" s="4" t="s">
        <v>17217</v>
      </c>
      <c r="C13679" s="5" t="str">
        <f>IFERROR(__xludf.DUMMYFUNCTION("GOOGLETRANSLATE(B13679,""en"",""es-ES"")"),"Está en la cocina cortando el tomate con un cuchillo barato.")</f>
        <v>Está en la cocina cortando el tomate con un cuchillo barato.</v>
      </c>
    </row>
    <row r="13680">
      <c r="A13680" s="4" t="s">
        <v>17215</v>
      </c>
      <c r="B13680" s="4" t="s">
        <v>17218</v>
      </c>
      <c r="C13680" s="5" t="str">
        <f>IFERROR(__xludf.DUMMYFUNCTION("GOOGLETRANSLATE(B13680,""en"",""es-ES"")"),"Le parece difícil tratar de usar un cuchillo que apenas hace nada para tratar de cortar el tomate, pero la diferencia se muestra en buenos productos.")</f>
        <v>Le parece difícil tratar de usar un cuchillo que apenas hace nada para tratar de cortar el tomate, pero la diferencia se muestra en buenos productos.</v>
      </c>
    </row>
    <row r="13681">
      <c r="A13681" s="4" t="s">
        <v>17219</v>
      </c>
      <c r="B13681" s="4" t="s">
        <v>17220</v>
      </c>
      <c r="C13681" s="5" t="str">
        <f>IFERROR(__xludf.DUMMYFUNCTION("GOOGLETRANSLATE(B13681,""en"",""es-ES"")"),"Varios ciclistas están volviendo y para el festival en el postre.")</f>
        <v>Varios ciclistas están volviendo y para el festival en el postre.</v>
      </c>
    </row>
    <row r="13682">
      <c r="A13682" s="4" t="s">
        <v>17219</v>
      </c>
      <c r="B13682" s="4" t="s">
        <v>17221</v>
      </c>
      <c r="C13682" s="5" t="str">
        <f>IFERROR(__xludf.DUMMYFUNCTION("GOOGLETRANSLATE(B13682,""en"",""es-ES"")"),"Un hombre vestido con ropa de mujer entra en la pantalla y comienza a hula hoop mientras se une una cámara al hula hoop.")</f>
        <v>Un hombre vestido con ropa de mujer entra en la pantalla y comienza a hula hoop mientras se une una cámara al hula hoop.</v>
      </c>
    </row>
    <row r="13683">
      <c r="A13683" s="4" t="s">
        <v>17219</v>
      </c>
      <c r="B13683" s="4" t="s">
        <v>17222</v>
      </c>
      <c r="C13683" s="5" t="str">
        <f>IFERROR(__xludf.DUMMYFUNCTION("GOOGLETRANSLATE(B13683,""en"",""es-ES"")"),"Varias otras personas actúan dentro de la cámara Hula Hoop mientras se reproduce la música.")</f>
        <v>Varias otras personas actúan dentro de la cámara Hula Hoop mientras se reproduce la música.</v>
      </c>
    </row>
    <row r="13684">
      <c r="A13684" s="4" t="s">
        <v>17219</v>
      </c>
      <c r="B13684" s="4" t="s">
        <v>17223</v>
      </c>
      <c r="C13684" s="5" t="str">
        <f>IFERROR(__xludf.DUMMYFUNCTION("GOOGLETRANSLATE(B13684,""en"",""es-ES"")"),"Luego, a varias personas se les muestra que la cámara Hula Hoop se prepara para Hula Hoop.")</f>
        <v>Luego, a varias personas se les muestra que la cámara Hula Hoop se prepara para Hula Hoop.</v>
      </c>
    </row>
    <row r="13685">
      <c r="A13685" s="4" t="s">
        <v>17219</v>
      </c>
      <c r="B13685" s="4" t="s">
        <v>17224</v>
      </c>
      <c r="C13685" s="5" t="str">
        <f>IFERROR(__xludf.DUMMYFUNCTION("GOOGLETRANSLATE(B13685,""en"",""es-ES"")"),"El hombre que está vestido como mujer le da un abrazo a alguien.")</f>
        <v>El hombre que está vestido como mujer le da un abrazo a alguien.</v>
      </c>
    </row>
    <row r="13686">
      <c r="A13686" s="4" t="s">
        <v>17219</v>
      </c>
      <c r="B13686" s="4" t="s">
        <v>17225</v>
      </c>
      <c r="C13686" s="5" t="str">
        <f>IFERROR(__xludf.DUMMYFUNCTION("GOOGLETRANSLATE(B13686,""en"",""es-ES"")"),"El video termina con personas que montan en bicicleta mientras la cámara está unida a la bicicleta.")</f>
        <v>El video termina con personas que montan en bicicleta mientras la cámara está unida a la bicicleta.</v>
      </c>
    </row>
    <row r="13687">
      <c r="A13687" s="4" t="s">
        <v>17226</v>
      </c>
      <c r="B13687" s="4" t="s">
        <v>17227</v>
      </c>
      <c r="C13687" s="5" t="str">
        <f>IFERROR(__xludf.DUMMYFUNCTION("GOOGLETRANSLATE(B13687,""en"",""es-ES"")"),"Una mujer está sentada en una silla mientras saca piezas de papel de arte delgados de una pequeña mesa frente a ella, y la aplica a una pequeña cómoda que también está frente a ella.")</f>
        <v>Una mujer está sentada en una silla mientras saca piezas de papel de arte delgados de una pequeña mesa frente a ella, y la aplica a una pequeña cómoda que también está frente a ella.</v>
      </c>
    </row>
    <row r="13688">
      <c r="A13688" s="4" t="s">
        <v>17226</v>
      </c>
      <c r="B13688" s="4" t="s">
        <v>17228</v>
      </c>
      <c r="C13688" s="5" t="str">
        <f>IFERROR(__xludf.DUMMYFUNCTION("GOOGLETRANSLATE(B13688,""en"",""es-ES"")"),"La mujer luego toma su cepillo y comienza a cepillar todas las piezas de láminas en el cajón superior mientras sostiene una mano debajo para atrapar todas las piezas que caen.")</f>
        <v>La mujer luego toma su cepillo y comienza a cepillar todas las piezas de láminas en el cajón superior mientras sostiene una mano debajo para atrapar todas las piezas que caen.</v>
      </c>
    </row>
    <row r="13689">
      <c r="A13689" s="4" t="s">
        <v>17226</v>
      </c>
      <c r="B13689" s="4" t="s">
        <v>17229</v>
      </c>
      <c r="C13689" s="5" t="str">
        <f>IFERROR(__xludf.DUMMYFUNCTION("GOOGLETRANSLATE(B13689,""en"",""es-ES"")"),"La mujer luego cierra el cajón y lo cepilla un poco más.")</f>
        <v>La mujer luego cierra el cajón y lo cepilla un poco más.</v>
      </c>
    </row>
    <row r="13690">
      <c r="A13690" s="4" t="s">
        <v>17230</v>
      </c>
      <c r="B13690" s="4" t="s">
        <v>17231</v>
      </c>
      <c r="C13690" s="5" t="str">
        <f>IFERROR(__xludf.DUMMYFUNCTION("GOOGLETRANSLATE(B13690,""en"",""es-ES"")"),"Una mujer está en un gimnasio hablando.")</f>
        <v>Una mujer está en un gimnasio hablando.</v>
      </c>
    </row>
    <row r="13691">
      <c r="A13691" s="4" t="s">
        <v>17230</v>
      </c>
      <c r="B13691" s="4" t="s">
        <v>17232</v>
      </c>
      <c r="C13691" s="5" t="str">
        <f>IFERROR(__xludf.DUMMYFUNCTION("GOOGLETRANSLATE(B13691,""en"",""es-ES"")"),"La mujer demuestra cómo hacer un ejercicio con un paso.")</f>
        <v>La mujer demuestra cómo hacer un ejercicio con un paso.</v>
      </c>
    </row>
    <row r="13692">
      <c r="A13692" s="4" t="s">
        <v>17233</v>
      </c>
      <c r="B13692" s="4" t="s">
        <v>17234</v>
      </c>
      <c r="C13692" s="5" t="str">
        <f>IFERROR(__xludf.DUMMYFUNCTION("GOOGLETRANSLATE(B13692,""en"",""es-ES"")"),"Un hombre monta un jetski en un río con la cámara a distancia.")</f>
        <v>Un hombre monta un jetski en un río con la cámara a distancia.</v>
      </c>
    </row>
    <row r="13693">
      <c r="A13693" s="4" t="s">
        <v>17233</v>
      </c>
      <c r="B13693" s="4" t="s">
        <v>17235</v>
      </c>
      <c r="C13693" s="5" t="str">
        <f>IFERROR(__xludf.DUMMYFUNCTION("GOOGLETRANSLATE(B13693,""en"",""es-ES"")"),"El hombre Jetskis mientras sostiene la cámara a lo largo del brazo.")</f>
        <v>El hombre Jetskis mientras sostiene la cámara a lo largo del brazo.</v>
      </c>
    </row>
    <row r="13694">
      <c r="A13694" s="4" t="s">
        <v>17233</v>
      </c>
      <c r="B13694" s="4" t="s">
        <v>17236</v>
      </c>
      <c r="C13694" s="5" t="str">
        <f>IFERROR(__xludf.DUMMYFUNCTION("GOOGLETRANSLATE(B13694,""en"",""es-ES"")"),"Se le muestra al hombre Waterski mientras el Jetski lo tira.")</f>
        <v>Se le muestra al hombre Waterski mientras el Jetski lo tira.</v>
      </c>
    </row>
    <row r="13695">
      <c r="A13695" s="4" t="s">
        <v>17233</v>
      </c>
      <c r="B13695" s="4" t="s">
        <v>17237</v>
      </c>
      <c r="C13695" s="5" t="str">
        <f>IFERROR(__xludf.DUMMYFUNCTION("GOOGLETRANSLATE(B13695,""en"",""es-ES"")"),"El hombre cae y está sumergido brevemente.")</f>
        <v>El hombre cae y está sumergido brevemente.</v>
      </c>
    </row>
    <row r="13696">
      <c r="A13696" s="4" t="s">
        <v>17238</v>
      </c>
      <c r="B13696" s="4" t="s">
        <v>17239</v>
      </c>
      <c r="C13696" s="5" t="str">
        <f>IFERROR(__xludf.DUMMYFUNCTION("GOOGLETRANSLATE(B13696,""en"",""es-ES"")"),"Se ve a una persona colocando una estera en un piso con varias herramientas presentes a su alrededor.")</f>
        <v>Se ve a una persona colocando una estera en un piso con varias herramientas presentes a su alrededor.</v>
      </c>
    </row>
    <row r="13697">
      <c r="A13697" s="4" t="s">
        <v>17238</v>
      </c>
      <c r="B13697" s="4" t="s">
        <v>17240</v>
      </c>
      <c r="C13697" s="5" t="str">
        <f>IFERROR(__xludf.DUMMYFUNCTION("GOOGLETRANSLATE(B13697,""en"",""es-ES"")"),"Mide el piso con una regla seguida de él colocando yeso en el piso y volviendo a poner la alfombra.")</f>
        <v>Mide el piso con una regla seguida de él colocando yeso en el piso y volviendo a poner la alfombra.</v>
      </c>
    </row>
    <row r="13698">
      <c r="A13698" s="4" t="s">
        <v>17241</v>
      </c>
      <c r="B13698" s="4" t="s">
        <v>17242</v>
      </c>
      <c r="C13698" s="5" t="str">
        <f>IFERROR(__xludf.DUMMYFUNCTION("GOOGLETRANSLATE(B13698,""en"",""es-ES"")"),"Un bebé pequeño está afuera en agua turbia que se aferran a una barra blanca.")</f>
        <v>Un bebé pequeño está afuera en agua turbia que se aferran a una barra blanca.</v>
      </c>
    </row>
    <row r="13699">
      <c r="A13699" s="4" t="s">
        <v>17241</v>
      </c>
      <c r="B13699" s="4" t="s">
        <v>17243</v>
      </c>
      <c r="C13699" s="5" t="str">
        <f>IFERROR(__xludf.DUMMYFUNCTION("GOOGLETRANSLATE(B13699,""en"",""es-ES"")"),"Dos hombres lo empujan y se le muestra montando un vehículo de agua tirado por algún tipo de cosas.")</f>
        <v>Dos hombres lo empujan y se le muestra montando un vehículo de agua tirado por algún tipo de cosas.</v>
      </c>
    </row>
    <row r="13700">
      <c r="A13700" s="4" t="s">
        <v>17241</v>
      </c>
      <c r="B13700" s="4" t="s">
        <v>17244</v>
      </c>
      <c r="C13700" s="5" t="str">
        <f>IFERROR(__xludf.DUMMYFUNCTION("GOOGLETRANSLATE(B13700,""en"",""es-ES"")"),"A medida que se mueve, una mujer está del lado de él siguiéndolo y deteniéndolo en el camino asegurándose de que esté bien.")</f>
        <v>A medida que se mueve, una mujer está del lado de él siguiéndolo y deteniéndolo en el camino asegurándose de que esté bien.</v>
      </c>
    </row>
    <row r="13701">
      <c r="A13701" s="4" t="s">
        <v>17245</v>
      </c>
      <c r="B13701" s="4" t="s">
        <v>17246</v>
      </c>
      <c r="C13701" s="5" t="str">
        <f>IFERROR(__xludf.DUMMYFUNCTION("GOOGLETRANSLATE(B13701,""en"",""es-ES"")"),"Se ve una mano jugando con una máquina seguida de tiros de una playa y un niño que lleva una vela de viento.")</f>
        <v>Se ve una mano jugando con una máquina seguida de tiros de una playa y un niño que lleva una vela de viento.</v>
      </c>
    </row>
    <row r="13702">
      <c r="A13702" s="4" t="s">
        <v>17245</v>
      </c>
      <c r="B13702" s="4" t="s">
        <v>17247</v>
      </c>
      <c r="C13702" s="5" t="str">
        <f>IFERROR(__xludf.DUMMYFUNCTION("GOOGLETRANSLATE(B13702,""en"",""es-ES"")"),"Muchas personas se paran en la playa caminando y conduciendo a un hombre levantando una vela en un bote y la gente que se prepara para hacer olas.")</f>
        <v>Muchas personas se paran en la playa caminando y conduciendo a un hombre levantando una vela en un bote y la gente que se prepara para hacer olas.</v>
      </c>
    </row>
    <row r="13703">
      <c r="A13703" s="4" t="s">
        <v>17245</v>
      </c>
      <c r="B13703" s="4" t="s">
        <v>17248</v>
      </c>
      <c r="C13703" s="5" t="str">
        <f>IFERROR(__xludf.DUMMYFUNCTION("GOOGLETRANSLATE(B13703,""en"",""es-ES"")"),"Se muestran varios disparos de personas que viajan a lo largo del agua con una cometa y personas en un bote y varios paisajes.")</f>
        <v>Se muestran varios disparos de personas que viajan a lo largo del agua con una cometa y personas en un bote y varios paisajes.</v>
      </c>
    </row>
    <row r="13704">
      <c r="A13704" s="4" t="s">
        <v>17245</v>
      </c>
      <c r="B13704" s="4" t="s">
        <v>17249</v>
      </c>
      <c r="C13704" s="5" t="str">
        <f>IFERROR(__xludf.DUMMYFUNCTION("GOOGLETRANSLATE(B13704,""en"",""es-ES"")"),"Al final se muestra una foto de una puesta de sol.")</f>
        <v>Al final se muestra una foto de una puesta de sol.</v>
      </c>
    </row>
    <row r="13705">
      <c r="A13705" s="4" t="s">
        <v>17250</v>
      </c>
      <c r="B13705" s="4" t="s">
        <v>17251</v>
      </c>
      <c r="C13705" s="5" t="str">
        <f>IFERROR(__xludf.DUMMYFUNCTION("GOOGLETRANSLATE(B13705,""en"",""es-ES"")"),"Un hombre está poniendo ingredientes en una sartén.")</f>
        <v>Un hombre está poniendo ingredientes en una sartén.</v>
      </c>
    </row>
    <row r="13706">
      <c r="A13706" s="4" t="s">
        <v>17250</v>
      </c>
      <c r="B13706" s="4" t="s">
        <v>17252</v>
      </c>
      <c r="C13706" s="5" t="str">
        <f>IFERROR(__xludf.DUMMYFUNCTION("GOOGLETRANSLATE(B13706,""en"",""es-ES"")"),"Lo revuelve sobre una estufa.")</f>
        <v>Lo revuelve sobre una estufa.</v>
      </c>
    </row>
    <row r="13707">
      <c r="A13707" s="4" t="s">
        <v>17250</v>
      </c>
      <c r="B13707" s="4" t="s">
        <v>17253</v>
      </c>
      <c r="C13707" s="5" t="str">
        <f>IFERROR(__xludf.DUMMYFUNCTION("GOOGLETRANSLATE(B13707,""en"",""es-ES"")"),"Lo pone en un plato y muestra la cámara.")</f>
        <v>Lo pone en un plato y muestra la cámara.</v>
      </c>
    </row>
    <row r="13708">
      <c r="A13708" s="4" t="s">
        <v>17254</v>
      </c>
      <c r="B13708" s="4" t="s">
        <v>17255</v>
      </c>
      <c r="C13708" s="5" t="str">
        <f>IFERROR(__xludf.DUMMYFUNCTION("GOOGLETRANSLATE(B13708,""en"",""es-ES"")"),"Un hombre está corriendo por la pista.")</f>
        <v>Un hombre está corriendo por la pista.</v>
      </c>
    </row>
    <row r="13709">
      <c r="A13709" s="4" t="s">
        <v>17254</v>
      </c>
      <c r="B13709" s="4" t="s">
        <v>17256</v>
      </c>
      <c r="C13709" s="5" t="str">
        <f>IFERROR(__xludf.DUMMYFUNCTION("GOOGLETRANSLATE(B13709,""en"",""es-ES"")"),"Lanza una jabalina al campo.")</f>
        <v>Lanza una jabalina al campo.</v>
      </c>
    </row>
    <row r="13710">
      <c r="A13710" s="4" t="s">
        <v>17254</v>
      </c>
      <c r="B13710" s="4" t="s">
        <v>17257</v>
      </c>
      <c r="C13710" s="5" t="str">
        <f>IFERROR(__xludf.DUMMYFUNCTION("GOOGLETRANSLATE(B13710,""en"",""es-ES"")"),"La audiencia está detrás de él en las gradas mirando.")</f>
        <v>La audiencia está detrás de él en las gradas mirando.</v>
      </c>
    </row>
    <row r="13711">
      <c r="A13711" s="4" t="s">
        <v>17258</v>
      </c>
      <c r="B13711" s="4" t="s">
        <v>17259</v>
      </c>
      <c r="C13711" s="5" t="str">
        <f>IFERROR(__xludf.DUMMYFUNCTION("GOOGLETRANSLATE(B13711,""en"",""es-ES"")"),"Se ve a un hombre atlético corriendo para lanzar una pelota y otra persona la golpea en la audiencia.")</f>
        <v>Se ve a un hombre atlético corriendo para lanzar una pelota y otra persona la golpea en la audiencia.</v>
      </c>
    </row>
    <row r="13712">
      <c r="A13712" s="4" t="s">
        <v>17258</v>
      </c>
      <c r="B13712" s="4" t="s">
        <v>17260</v>
      </c>
      <c r="C13712" s="5" t="str">
        <f>IFERROR(__xludf.DUMMYFUNCTION("GOOGLETRANSLATE(B13712,""en"",""es-ES"")"),"Se muestran más clips de personas que juegan en el campo con la audiencia que los vítores y los jugadores se mueven alrededor del campo.")</f>
        <v>Se muestran más clips de personas que juegan en el campo con la audiencia que los vítores y los jugadores se mueven alrededor del campo.</v>
      </c>
    </row>
    <row r="13713">
      <c r="A13713" s="4" t="s">
        <v>17261</v>
      </c>
      <c r="B13713" s="4" t="s">
        <v>17262</v>
      </c>
      <c r="C13713" s="5" t="str">
        <f>IFERROR(__xludf.DUMMYFUNCTION("GOOGLETRANSLATE(B13713,""en"",""es-ES"")"),"La gente sale de una camioneta con tablas de snowboard.")</f>
        <v>La gente sale de una camioneta con tablas de snowboard.</v>
      </c>
    </row>
    <row r="13714">
      <c r="A13714" s="4" t="s">
        <v>17261</v>
      </c>
      <c r="B13714" s="4" t="s">
        <v>17263</v>
      </c>
      <c r="C13714" s="5" t="str">
        <f>IFERROR(__xludf.DUMMYFUNCTION("GOOGLETRANSLATE(B13714,""en"",""es-ES"")"),"Un hombre ata su snowboard.")</f>
        <v>Un hombre ata su snowboard.</v>
      </c>
    </row>
    <row r="13715">
      <c r="A13715" s="4" t="s">
        <v>17261</v>
      </c>
      <c r="B13715" s="4" t="s">
        <v>17264</v>
      </c>
      <c r="C13715" s="5" t="str">
        <f>IFERROR(__xludf.DUMMYFUNCTION("GOOGLETRANSLATE(B13715,""en"",""es-ES"")"),"Varias personas están haciendo snowboard cuesta abajo.")</f>
        <v>Varias personas están haciendo snowboard cuesta abajo.</v>
      </c>
    </row>
    <row r="13716">
      <c r="A13716" s="4" t="s">
        <v>17261</v>
      </c>
      <c r="B13716" s="4" t="s">
        <v>17265</v>
      </c>
      <c r="C13716" s="5" t="str">
        <f>IFERROR(__xludf.DUMMYFUNCTION("GOOGLETRANSLATE(B13716,""en"",""es-ES"")"),"Un hombre en gafas habla.")</f>
        <v>Un hombre en gafas habla.</v>
      </c>
    </row>
    <row r="13717">
      <c r="A13717" s="4" t="s">
        <v>17261</v>
      </c>
      <c r="B13717" s="4" t="s">
        <v>17266</v>
      </c>
      <c r="C13717" s="5" t="str">
        <f>IFERROR(__xludf.DUMMYFUNCTION("GOOGLETRANSLATE(B13717,""en"",""es-ES"")"),"Una mujer sostiene a un niño para besar a un hombre.")</f>
        <v>Una mujer sostiene a un niño para besar a un hombre.</v>
      </c>
    </row>
    <row r="13718">
      <c r="A13718" s="4" t="s">
        <v>17261</v>
      </c>
      <c r="B13718" s="4" t="s">
        <v>17267</v>
      </c>
      <c r="C13718" s="5" t="str">
        <f>IFERROR(__xludf.DUMMYFUNCTION("GOOGLETRANSLATE(B13718,""en"",""es-ES"")"),"La gente está haciendo snowboard cuesta abajo.")</f>
        <v>La gente está haciendo snowboard cuesta abajo.</v>
      </c>
    </row>
    <row r="13719">
      <c r="A13719" s="4" t="s">
        <v>17261</v>
      </c>
      <c r="B13719" s="4" t="s">
        <v>17268</v>
      </c>
      <c r="C13719" s="5" t="str">
        <f>IFERROR(__xludf.DUMMYFUNCTION("GOOGLETRANSLATE(B13719,""en"",""es-ES"")"),"Un hombre habla con la cámara.")</f>
        <v>Un hombre habla con la cámara.</v>
      </c>
    </row>
    <row r="13720">
      <c r="A13720" s="4" t="s">
        <v>17261</v>
      </c>
      <c r="B13720" s="4" t="s">
        <v>17269</v>
      </c>
      <c r="C13720" s="5" t="str">
        <f>IFERROR(__xludf.DUMMYFUNCTION("GOOGLETRANSLATE(B13720,""en"",""es-ES"")"),"Varias personas hacen trucos en sus tablas de snowboard.")</f>
        <v>Varias personas hacen trucos en sus tablas de snowboard.</v>
      </c>
    </row>
    <row r="13721">
      <c r="A13721" s="4" t="s">
        <v>17261</v>
      </c>
      <c r="B13721" s="4" t="s">
        <v>17270</v>
      </c>
      <c r="C13721" s="5" t="str">
        <f>IFERROR(__xludf.DUMMYFUNCTION("GOOGLETRANSLATE(B13721,""en"",""es-ES"")"),"Un hombre vuelve a hablar con la cámara.")</f>
        <v>Un hombre vuelve a hablar con la cámara.</v>
      </c>
    </row>
    <row r="13722">
      <c r="A13722" s="4" t="s">
        <v>17261</v>
      </c>
      <c r="B13722" s="4" t="s">
        <v>17271</v>
      </c>
      <c r="C13722" s="5" t="str">
        <f>IFERROR(__xludf.DUMMYFUNCTION("GOOGLETRANSLATE(B13722,""en"",""es-ES"")"),"Varias personas más están snowboard y hablando.")</f>
        <v>Varias personas más están snowboard y hablando.</v>
      </c>
    </row>
    <row r="13723">
      <c r="A13723" s="4" t="s">
        <v>17261</v>
      </c>
      <c r="B13723" s="4" t="s">
        <v>17272</v>
      </c>
      <c r="C13723" s="5" t="str">
        <f>IFERROR(__xludf.DUMMYFUNCTION("GOOGLETRANSLATE(B13723,""en"",""es-ES"")"),"Un hombre con barba habla con la cámara.")</f>
        <v>Un hombre con barba habla con la cámara.</v>
      </c>
    </row>
    <row r="13724">
      <c r="A13724" s="4" t="s">
        <v>17261</v>
      </c>
      <c r="B13724" s="4" t="s">
        <v>17273</v>
      </c>
      <c r="C13724" s="5" t="str">
        <f>IFERROR(__xludf.DUMMYFUNCTION("GOOGLETRANSLATE(B13724,""en"",""es-ES"")"),"Un hombre se quita su snowboard.")</f>
        <v>Un hombre se quita su snowboard.</v>
      </c>
    </row>
    <row r="13725">
      <c r="A13725" s="4" t="s">
        <v>17274</v>
      </c>
      <c r="B13725" s="4" t="s">
        <v>17275</v>
      </c>
      <c r="C13725" s="5" t="str">
        <f>IFERROR(__xludf.DUMMYFUNCTION("GOOGLETRANSLATE(B13725,""en"",""es-ES"")"),"Dos niños con trajes de karate azul y cinturones rojos están parados en un escenario en una cafetería escolar y están haciendo una rutina de karate al unísono.")</f>
        <v>Dos niños con trajes de karate azul y cinturones rojos están parados en un escenario en una cafetería escolar y están haciendo una rutina de karate al unísono.</v>
      </c>
    </row>
    <row r="13726">
      <c r="A13726" s="4" t="s">
        <v>17274</v>
      </c>
      <c r="B13726" s="4" t="s">
        <v>17276</v>
      </c>
      <c r="C13726" s="5" t="str">
        <f>IFERROR(__xludf.DUMMYFUNCTION("GOOGLETRANSLATE(B13726,""en"",""es-ES"")"),"Cuando terminan, se giran el uno al otro, se inclinan y hacen algunos partidos de karate que implican arrojarse suavemente al suelo y cuando terminan con los partidos que cada uno lleva un arco frente a la multitud.")</f>
        <v>Cuando terminan, se giran el uno al otro, se inclinan y hacen algunos partidos de karate que implican arrojarse suavemente al suelo y cuando terminan con los partidos que cada uno lleva un arco frente a la multitud.</v>
      </c>
    </row>
    <row r="13727">
      <c r="A13727" s="4" t="s">
        <v>17274</v>
      </c>
      <c r="B13727" s="4" t="s">
        <v>17277</v>
      </c>
      <c r="C13727" s="5" t="str">
        <f>IFERROR(__xludf.DUMMYFUNCTION("GOOGLETRANSLATE(B13727,""en"",""es-ES"")"),"Luego, los niños comienzan otra rutina de karate y están haciendo varios movimientos con sus brazos y piernas mientras los hacen al unísono tanto como sea posible.")</f>
        <v>Luego, los niños comienzan otra rutina de karate y están haciendo varios movimientos con sus brazos y piernas mientras los hacen al unísono tanto como sea posible.</v>
      </c>
    </row>
    <row r="13728">
      <c r="A13728" s="4" t="s">
        <v>17274</v>
      </c>
      <c r="B13728" s="4" t="s">
        <v>17278</v>
      </c>
      <c r="C13728" s="5" t="str">
        <f>IFERROR(__xludf.DUMMYFUNCTION("GOOGLETRANSLATE(B13728,""en"",""es-ES"")"),"Cuando terminen, ambos toman un arco frente a la multitud y ambos salen corriendo del escenario escolar.")</f>
        <v>Cuando terminen, ambos toman un arco frente a la multitud y ambos salen corriendo del escenario escolar.</v>
      </c>
    </row>
    <row r="13729">
      <c r="A13729" s="4" t="s">
        <v>17279</v>
      </c>
      <c r="B13729" s="4" t="s">
        <v>17280</v>
      </c>
      <c r="C13729" s="5" t="str">
        <f>IFERROR(__xludf.DUMMYFUNCTION("GOOGLETRANSLATE(B13729,""en"",""es-ES"")"),"Un hombre y un niño se cortan un césped.")</f>
        <v>Un hombre y un niño se cortan un césped.</v>
      </c>
    </row>
    <row r="13730">
      <c r="A13730" s="4" t="s">
        <v>17279</v>
      </c>
      <c r="B13730" s="4" t="s">
        <v>17281</v>
      </c>
      <c r="C13730" s="5" t="str">
        <f>IFERROR(__xludf.DUMMYFUNCTION("GOOGLETRANSLATE(B13730,""en"",""es-ES"")"),"El hombre empuja al verdadero cortacésped de un lado a otro.")</f>
        <v>El hombre empuja al verdadero cortacésped de un lado a otro.</v>
      </c>
    </row>
    <row r="13731">
      <c r="A13731" s="4" t="s">
        <v>17279</v>
      </c>
      <c r="B13731" s="4" t="s">
        <v>17282</v>
      </c>
      <c r="C13731" s="5" t="str">
        <f>IFERROR(__xludf.DUMMYFUNCTION("GOOGLETRANSLATE(B13731,""en"",""es-ES"")"),"El niño lo sigue con un cortacésped.")</f>
        <v>El niño lo sigue con un cortacésped.</v>
      </c>
    </row>
    <row r="13732">
      <c r="A13732" s="4" t="s">
        <v>17283</v>
      </c>
      <c r="B13732" s="4" t="s">
        <v>17284</v>
      </c>
      <c r="C13732" s="5" t="str">
        <f>IFERROR(__xludf.DUMMYFUNCTION("GOOGLETRANSLATE(B13732,""en"",""es-ES"")"),"Se ve a un hombre haciendo varias flips y trucos en el piso de un gimnasio mientras otros practican detrás de él.")</f>
        <v>Se ve a un hombre haciendo varias flips y trucos en el piso de un gimnasio mientras otros practican detrás de él.</v>
      </c>
    </row>
    <row r="13733">
      <c r="A13733" s="4" t="s">
        <v>17283</v>
      </c>
      <c r="B13733" s="4" t="s">
        <v>17285</v>
      </c>
      <c r="C13733" s="5" t="str">
        <f>IFERROR(__xludf.DUMMYFUNCTION("GOOGLETRANSLATE(B13733,""en"",""es-ES"")"),"El hombre continúa deslizándose por la habitación mientras la gente que lo camina se detiene y mira.")</f>
        <v>El hombre continúa deslizándose por la habitación mientras la gente que lo camina se detiene y mira.</v>
      </c>
    </row>
    <row r="13734">
      <c r="A13734" s="4" t="s">
        <v>17286</v>
      </c>
      <c r="B13734" s="4" t="s">
        <v>17287</v>
      </c>
      <c r="C13734" s="5" t="str">
        <f>IFERROR(__xludf.DUMMYFUNCTION("GOOGLETRANSLATE(B13734,""en"",""es-ES"")"),"Un atleta realiza un salto de longitud en un evento deportivo profesional mientras los espectadores miran y aplauden.")</f>
        <v>Un atleta realiza un salto de longitud en un evento deportivo profesional mientras los espectadores miran y aplauden.</v>
      </c>
    </row>
    <row r="13735">
      <c r="A13735" s="4" t="s">
        <v>17286</v>
      </c>
      <c r="B13735" s="4" t="s">
        <v>17288</v>
      </c>
      <c r="C13735" s="5" t="str">
        <f>IFERROR(__xludf.DUMMYFUNCTION("GOOGLETRANSLATE(B13735,""en"",""es-ES"")"),"Un hombre con un atuendo atlético y un número de papel clavado en su pecho caminan en un campo deportivo.")</f>
        <v>Un hombre con un atuendo atlético y un número de papel clavado en su pecho caminan en un campo deportivo.</v>
      </c>
    </row>
    <row r="13736">
      <c r="A13736" s="4" t="s">
        <v>17286</v>
      </c>
      <c r="B13736" s="4" t="s">
        <v>17289</v>
      </c>
      <c r="C13736" s="5" t="str">
        <f>IFERROR(__xludf.DUMMYFUNCTION("GOOGLETRANSLATE(B13736,""en"",""es-ES"")"),"El hombre corre una distancia y realiza un salto de longitud.")</f>
        <v>El hombre corre una distancia y realiza un salto de longitud.</v>
      </c>
    </row>
    <row r="13737">
      <c r="A13737" s="4" t="s">
        <v>17286</v>
      </c>
      <c r="B13737" s="4" t="s">
        <v>17290</v>
      </c>
      <c r="C13737" s="5" t="str">
        <f>IFERROR(__xludf.DUMMYFUNCTION("GOOGLETRANSLATE(B13737,""en"",""es-ES"")"),"El hombre sonríe y camina después del salto de longitud cuando una bandera británica saluda en el fondo y una plantilla de su puntaje atraviesa la pantalla junto con las reinactaciones de cámara lenta.")</f>
        <v>El hombre sonríe y camina después del salto de longitud cuando una bandera británica saluda en el fondo y una plantilla de su puntaje atraviesa la pantalla junto con las reinactaciones de cámara lenta.</v>
      </c>
    </row>
    <row r="13738">
      <c r="A13738" s="4" t="s">
        <v>17286</v>
      </c>
      <c r="B13738" s="4" t="s">
        <v>17291</v>
      </c>
      <c r="C13738" s="5" t="str">
        <f>IFERROR(__xludf.DUMMYFUNCTION("GOOGLETRANSLATE(B13738,""en"",""es-ES"")"),"El hombre se quita los zapatos mientras está sentado en un banco.")</f>
        <v>El hombre se quita los zapatos mientras está sentado en un banco.</v>
      </c>
    </row>
    <row r="13739">
      <c r="A13739" s="4" t="s">
        <v>17292</v>
      </c>
      <c r="B13739" s="4" t="s">
        <v>17293</v>
      </c>
      <c r="C13739" s="5" t="str">
        <f>IFERROR(__xludf.DUMMYFUNCTION("GOOGLETRANSLATE(B13739,""en"",""es-ES"")"),"Se ve a un grupo de personas montando en autos de parachoques y que se encuentran entre sí.")</f>
        <v>Se ve a un grupo de personas montando en autos de parachoques y que se encuentran entre sí.</v>
      </c>
    </row>
    <row r="13740">
      <c r="A13740" s="4" t="s">
        <v>17292</v>
      </c>
      <c r="B13740" s="4" t="s">
        <v>17294</v>
      </c>
      <c r="C13740" s="5" t="str">
        <f>IFERROR(__xludf.DUMMYFUNCTION("GOOGLETRANSLATE(B13740,""en"",""es-ES"")"),"La gente sigue chocando entre sí y conduciendo y luego se detiene para salir de los autos.")</f>
        <v>La gente sigue chocando entre sí y conduciendo y luego se detiene para salir de los autos.</v>
      </c>
    </row>
    <row r="13741">
      <c r="A13741" s="4" t="s">
        <v>17295</v>
      </c>
      <c r="B13741" s="4" t="s">
        <v>17296</v>
      </c>
      <c r="C13741" s="5" t="str">
        <f>IFERROR(__xludf.DUMMYFUNCTION("GOOGLETRANSLATE(B13741,""en"",""es-ES"")"),"La gente conduce en un automóvil por la calle.")</f>
        <v>La gente conduce en un automóvil por la calle.</v>
      </c>
    </row>
    <row r="13742">
      <c r="A13742" s="4" t="s">
        <v>17295</v>
      </c>
      <c r="B13742" s="4" t="s">
        <v>17297</v>
      </c>
      <c r="C13742" s="5" t="str">
        <f>IFERROR(__xludf.DUMMYFUNCTION("GOOGLETRANSLATE(B13742,""en"",""es-ES"")"),"Un hombre está al borde del agua llena de bayas.")</f>
        <v>Un hombre está al borde del agua llena de bayas.</v>
      </c>
    </row>
    <row r="13743">
      <c r="A13743" s="4" t="s">
        <v>17295</v>
      </c>
      <c r="B13743" s="4" t="s">
        <v>17298</v>
      </c>
      <c r="C13743" s="5" t="str">
        <f>IFERROR(__xludf.DUMMYFUNCTION("GOOGLETRANSLATE(B13743,""en"",""es-ES"")"),"Una camioneta conduce por una carretera junto al agua.")</f>
        <v>Una camioneta conduce por una carretera junto al agua.</v>
      </c>
    </row>
    <row r="13744">
      <c r="A13744" s="4" t="s">
        <v>17299</v>
      </c>
      <c r="B13744" s="4" t="s">
        <v>17300</v>
      </c>
      <c r="C13744" s="5" t="str">
        <f>IFERROR(__xludf.DUMMYFUNCTION("GOOGLETRANSLATE(B13744,""en"",""es-ES"")"),"Una niña con atuendo amarillo posa con un bastón.")</f>
        <v>Una niña con atuendo amarillo posa con un bastón.</v>
      </c>
    </row>
    <row r="13745">
      <c r="A13745" s="4" t="s">
        <v>17299</v>
      </c>
      <c r="B13745" s="4" t="s">
        <v>17301</v>
      </c>
      <c r="C13745" s="5" t="str">
        <f>IFERROR(__xludf.DUMMYFUNCTION("GOOGLETRANSLATE(B13745,""en"",""es-ES"")"),"Ella comienza a bailar, girando el bastón a medida que avanza.")</f>
        <v>Ella comienza a bailar, girando el bastón a medida que avanza.</v>
      </c>
    </row>
    <row r="13746">
      <c r="A13746" s="4" t="s">
        <v>17299</v>
      </c>
      <c r="B13746" s="4" t="s">
        <v>17302</v>
      </c>
      <c r="C13746" s="5" t="str">
        <f>IFERROR(__xludf.DUMMYFUNCTION("GOOGLETRANSLATE(B13746,""en"",""es-ES"")"),"La niña gira, se sienta, se desliza y gira mientras actúa.")</f>
        <v>La niña gira, se sienta, se desliza y gira mientras actúa.</v>
      </c>
    </row>
    <row r="13747">
      <c r="A13747" s="4" t="s">
        <v>17299</v>
      </c>
      <c r="B13747" s="4" t="s">
        <v>17303</v>
      </c>
      <c r="C13747" s="5" t="str">
        <f>IFERROR(__xludf.DUMMYFUNCTION("GOOGLETRANSLATE(B13747,""en"",""es-ES"")"),"Ella cae al suelo en una pose y sonríe mientras termina.")</f>
        <v>Ella cae al suelo en una pose y sonríe mientras termina.</v>
      </c>
    </row>
    <row r="13748">
      <c r="A13748" s="4" t="s">
        <v>17304</v>
      </c>
      <c r="B13748" s="4" t="s">
        <v>17305</v>
      </c>
      <c r="C13748" s="5" t="str">
        <f>IFERROR(__xludf.DUMMYFUNCTION("GOOGLETRANSLATE(B13748,""en"",""es-ES"")"),"Se ve a un hombre arrodillado en un piso y pone sus manos detrás de su cabeza.")</f>
        <v>Se ve a un hombre arrodillado en un piso y pone sus manos detrás de su cabeza.</v>
      </c>
    </row>
    <row r="13749">
      <c r="A13749" s="4" t="s">
        <v>17304</v>
      </c>
      <c r="B13749" s="4" t="s">
        <v>17306</v>
      </c>
      <c r="C13749" s="5" t="str">
        <f>IFERROR(__xludf.DUMMYFUNCTION("GOOGLETRANSLATE(B13749,""en"",""es-ES"")"),"Luego dobla su cuerpo hacia adelante y realiza varios saltos sobre sus pies.")</f>
        <v>Luego dobla su cuerpo hacia adelante y realiza varios saltos sobre sus pies.</v>
      </c>
    </row>
    <row r="13750">
      <c r="A13750" s="4" t="s">
        <v>17307</v>
      </c>
      <c r="B13750" s="4" t="s">
        <v>17308</v>
      </c>
      <c r="C13750" s="5" t="str">
        <f>IFERROR(__xludf.DUMMYFUNCTION("GOOGLETRANSLATE(B13750,""en"",""es-ES"")"),"Tres personas viajan en patinetas en una carretera en una ciudad y el texto en la pantalla inferior izquierda dice ""tres clientes habituales de justicia: nuevo Jack"" y están patinando rápidamente en el futuro, girando, curvando, doblando y haciendo otro"&amp;"s trucos durante todo el ciudad y no usar cascos u otro equipo de seguridad.")</f>
        <v>Tres personas viajan en patinetas en una carretera en una ciudad y el texto en la pantalla inferior izquierda dice "tres clientes habituales de justicia: nuevo Jack" y están patinando rápidamente en el futuro, girando, curvando, doblando y haciendo otros trucos durante todo el ciudad y no usar cascos u otro equipo de seguridad.</v>
      </c>
    </row>
    <row r="13751">
      <c r="A13751" s="4" t="s">
        <v>17307</v>
      </c>
      <c r="B13751" s="4" t="s">
        <v>17309</v>
      </c>
      <c r="C13751" s="5" t="str">
        <f>IFERROR(__xludf.DUMMYFUNCTION("GOOGLETRANSLATE(B13751,""en"",""es-ES"")"),"Dos de los muchachos se detienen en una carretera y, de repente, uno de ellos recoge una patineta y lo arroja muy fuerte contra la pared.")</f>
        <v>Dos de los muchachos se detienen en una carretera y, de repente, uno de ellos recoge una patineta y lo arroja muy fuerte contra la pared.</v>
      </c>
    </row>
    <row r="13752">
      <c r="A13752" s="4" t="s">
        <v>17307</v>
      </c>
      <c r="B13752" s="4" t="s">
        <v>17310</v>
      </c>
      <c r="C13752" s="5" t="str">
        <f>IFERROR(__xludf.DUMMYFUNCTION("GOOGLETRANSLATE(B13752,""en"",""es-ES"")"),"A los muchachos se les muestra que vuelva a patinar y esta vez usan cascos mientras patinan por las carreteras en esta ciudad yendo muy rápido y haciendo varios trucos varios.")</f>
        <v>A los muchachos se les muestra que vuelva a patinar y esta vez usan cascos mientras patinan por las carreteras en esta ciudad yendo muy rápido y haciendo varios trucos varios.</v>
      </c>
    </row>
    <row r="13753">
      <c r="A13753" s="4" t="s">
        <v>17311</v>
      </c>
      <c r="B13753" s="4" t="s">
        <v>17312</v>
      </c>
      <c r="C13753" s="5" t="str">
        <f>IFERROR(__xludf.DUMMYFUNCTION("GOOGLETRANSLATE(B13753,""en"",""es-ES"")"),"Vemos a las señoritas abrazadas en una pista.")</f>
        <v>Vemos a las señoritas abrazadas en una pista.</v>
      </c>
    </row>
    <row r="13754">
      <c r="A13754" s="4" t="s">
        <v>17311</v>
      </c>
      <c r="B13754" s="4" t="s">
        <v>17313</v>
      </c>
      <c r="C13754" s="5" t="str">
        <f>IFERROR(__xludf.DUMMYFUNCTION("GOOGLETRANSLATE(B13754,""en"",""es-ES"")"),"Luego vemos la repetición de su carrera.")</f>
        <v>Luego vemos la repetición de su carrera.</v>
      </c>
    </row>
    <row r="13755">
      <c r="A13755" s="4" t="s">
        <v>17311</v>
      </c>
      <c r="B13755" s="4" t="s">
        <v>17314</v>
      </c>
      <c r="C13755" s="5" t="str">
        <f>IFERROR(__xludf.DUMMYFUNCTION("GOOGLETRANSLATE(B13755,""en"",""es-ES"")"),"Una dama balancea los brazos mientras termina.")</f>
        <v>Una dama balancea los brazos mientras termina.</v>
      </c>
    </row>
    <row r="13756">
      <c r="A13756" s="4" t="s">
        <v>17311</v>
      </c>
      <c r="B13756" s="4" t="s">
        <v>6208</v>
      </c>
      <c r="C13756" s="5" t="str">
        <f>IFERROR(__xludf.DUMMYFUNCTION("GOOGLETRANSLATE(B13756,""en"",""es-ES"")"),"Vemos una pantalla de título.")</f>
        <v>Vemos una pantalla de título.</v>
      </c>
    </row>
    <row r="13757">
      <c r="A13757" s="4" t="s">
        <v>17311</v>
      </c>
      <c r="B13757" s="4" t="s">
        <v>17315</v>
      </c>
      <c r="C13757" s="5" t="str">
        <f>IFERROR(__xludf.DUMMYFUNCTION("GOOGLETRANSLATE(B13757,""en"",""es-ES"")"),"Vemos a 4 damas lanzando el martillo.")</f>
        <v>Vemos a 4 damas lanzando el martillo.</v>
      </c>
    </row>
    <row r="13758">
      <c r="A13758" s="4" t="s">
        <v>17311</v>
      </c>
      <c r="B13758" s="4" t="s">
        <v>17316</v>
      </c>
      <c r="C13758" s="5" t="str">
        <f>IFERROR(__xludf.DUMMYFUNCTION("GOOGLETRANSLATE(B13758,""en"",""es-ES"")"),"Una dama abraza a alguien después de su arrojado.")</f>
        <v>Una dama abraza a alguien después de su arrojado.</v>
      </c>
    </row>
    <row r="13759">
      <c r="A13759" s="4" t="s">
        <v>17311</v>
      </c>
      <c r="B13759" s="4" t="s">
        <v>17317</v>
      </c>
      <c r="C13759" s="5" t="str">
        <f>IFERROR(__xludf.DUMMYFUNCTION("GOOGLETRANSLATE(B13759,""en"",""es-ES"")"),"Una dama abraza a una mujer y un hombre.")</f>
        <v>Una dama abraza a una mujer y un hombre.</v>
      </c>
    </row>
    <row r="13760">
      <c r="A13760" s="4" t="s">
        <v>17318</v>
      </c>
      <c r="B13760" s="4" t="s">
        <v>17319</v>
      </c>
      <c r="C13760" s="5" t="str">
        <f>IFERROR(__xludf.DUMMYFUNCTION("GOOGLETRANSLATE(B13760,""en"",""es-ES"")"),"Un niño pequeño sale de una gran pieza de equipo de juegos.")</f>
        <v>Un niño pequeño sale de una gran pieza de equipo de juegos.</v>
      </c>
    </row>
    <row r="13761">
      <c r="A13761" s="4" t="s">
        <v>17318</v>
      </c>
      <c r="B13761" s="4" t="s">
        <v>17320</v>
      </c>
      <c r="C13761" s="5" t="str">
        <f>IFERROR(__xludf.DUMMYFUNCTION("GOOGLETRANSLATE(B13761,""en"",""es-ES"")"),"Se balancea por los bares, tratando de aguantar.")</f>
        <v>Se balancea por los bares, tratando de aguantar.</v>
      </c>
    </row>
    <row r="13762">
      <c r="A13762" s="4" t="s">
        <v>17318</v>
      </c>
      <c r="B13762" s="4" t="s">
        <v>17321</v>
      </c>
      <c r="C13762" s="5" t="str">
        <f>IFERROR(__xludf.DUMMYFUNCTION("GOOGLETRANSLATE(B13762,""en"",""es-ES"")"),"Él llega hasta el final antes de saltar.")</f>
        <v>Él llega hasta el final antes de saltar.</v>
      </c>
    </row>
    <row r="13763">
      <c r="A13763" s="4" t="s">
        <v>17322</v>
      </c>
      <c r="B13763" s="4" t="s">
        <v>17323</v>
      </c>
      <c r="C13763" s="5" t="str">
        <f>IFERROR(__xludf.DUMMYFUNCTION("GOOGLETRANSLATE(B13763,""en"",""es-ES"")"),"Se muestra un primer plano de zapatos, seguido de una persona que sostiene los zapatos y frotando esmalte alrededor de los zapatos.")</f>
        <v>Se muestra un primer plano de zapatos, seguido de una persona que sostiene los zapatos y frotando esmalte alrededor de los zapatos.</v>
      </c>
    </row>
    <row r="13764">
      <c r="A13764" s="4" t="s">
        <v>17322</v>
      </c>
      <c r="B13764" s="4" t="s">
        <v>17324</v>
      </c>
      <c r="C13764" s="5" t="str">
        <f>IFERROR(__xludf.DUMMYFUNCTION("GOOGLETRANSLATE(B13764,""en"",""es-ES"")"),"El hombre luego frota el pulido en el otro zapato sobre la mesa y de regreso a la que comenzó.")</f>
        <v>El hombre luego frota el pulido en el otro zapato sobre la mesa y de regreso a la que comenzó.</v>
      </c>
    </row>
    <row r="13765">
      <c r="A13765" s="4" t="s">
        <v>17322</v>
      </c>
      <c r="B13765" s="4" t="s">
        <v>17325</v>
      </c>
      <c r="C13765" s="5" t="str">
        <f>IFERROR(__xludf.DUMMYFUNCTION("GOOGLETRANSLATE(B13765,""en"",""es-ES"")"),"Toma un cepillo y lo usa en el zapato, terminando con él agarrando la cámara.")</f>
        <v>Toma un cepillo y lo usa en el zapato, terminando con él agarrando la cámara.</v>
      </c>
    </row>
    <row r="13766">
      <c r="A13766" s="4" t="s">
        <v>17326</v>
      </c>
      <c r="B13766" s="4" t="s">
        <v>17327</v>
      </c>
      <c r="C13766" s="5" t="str">
        <f>IFERROR(__xludf.DUMMYFUNCTION("GOOGLETRANSLATE(B13766,""en"",""es-ES"")"),"Esta mujer muestra a los espectadores cómo hacer un whisky agrio.")</f>
        <v>Esta mujer muestra a los espectadores cómo hacer un whisky agrio.</v>
      </c>
    </row>
    <row r="13767">
      <c r="A13767" s="4" t="s">
        <v>17326</v>
      </c>
      <c r="B13767" s="4" t="s">
        <v>17328</v>
      </c>
      <c r="C13767" s="5" t="str">
        <f>IFERROR(__xludf.DUMMYFUNCTION("GOOGLETRANSLATE(B13767,""en"",""es-ES"")"),"Primero, vierte una onza de whisky sobre hielo en el vidrio Ross.")</f>
        <v>Primero, vierte una onza de whisky sobre hielo en el vidrio Ross.</v>
      </c>
    </row>
    <row r="13768">
      <c r="A13768" s="4" t="s">
        <v>17326</v>
      </c>
      <c r="B13768" s="4" t="s">
        <v>17329</v>
      </c>
      <c r="C13768" s="5" t="str">
        <f>IFERROR(__xludf.DUMMYFUNCTION("GOOGLETRANSLATE(B13768,""en"",""es-ES"")"),"Luego vierte cítricos en el vaso y pone una pajita en él.")</f>
        <v>Luego vierte cítricos en el vaso y pone una pajita en él.</v>
      </c>
    </row>
    <row r="13769">
      <c r="A13769" s="4" t="s">
        <v>17330</v>
      </c>
      <c r="B13769" s="4" t="s">
        <v>17331</v>
      </c>
      <c r="C13769" s="5" t="str">
        <f>IFERROR(__xludf.DUMMYFUNCTION("GOOGLETRANSLATE(B13769,""en"",""es-ES"")"),"Un hombre está en un estacionamiento nevado.")</f>
        <v>Un hombre está en un estacionamiento nevado.</v>
      </c>
    </row>
    <row r="13770">
      <c r="A13770" s="4" t="s">
        <v>17330</v>
      </c>
      <c r="B13770" s="4" t="s">
        <v>17332</v>
      </c>
      <c r="C13770" s="5" t="str">
        <f>IFERROR(__xludf.DUMMYFUNCTION("GOOGLETRANSLATE(B13770,""en"",""es-ES"")"),"Él está usando un cepillo para limpiar la nieve de la paredty de su automóvil.")</f>
        <v>Él está usando un cepillo para limpiar la nieve de la paredty de su automóvil.</v>
      </c>
    </row>
    <row r="13771">
      <c r="A13771" s="4" t="s">
        <v>17330</v>
      </c>
      <c r="B13771" s="4" t="s">
        <v>17333</v>
      </c>
      <c r="C13771" s="5" t="str">
        <f>IFERROR(__xludf.DUMMYFUNCTION("GOOGLETRANSLATE(B13771,""en"",""es-ES"")"),"Él mira a la cámara, luego sigue limpiando.")</f>
        <v>Él mira a la cámara, luego sigue limpiando.</v>
      </c>
    </row>
    <row r="13772">
      <c r="A13772" s="4" t="s">
        <v>17334</v>
      </c>
      <c r="B13772" s="4" t="s">
        <v>17335</v>
      </c>
      <c r="C13772" s="5" t="str">
        <f>IFERROR(__xludf.DUMMYFUNCTION("GOOGLETRANSLATE(B13772,""en"",""es-ES"")"),"Se ve a un hombre hablando con la cámara y comienza a sostener una maquinilla de afeitar en la cara.")</f>
        <v>Se ve a un hombre hablando con la cámara y comienza a sostener una maquinilla de afeitar en la cara.</v>
      </c>
    </row>
    <row r="13773">
      <c r="A13773" s="4" t="s">
        <v>17334</v>
      </c>
      <c r="B13773" s="4" t="s">
        <v>17336</v>
      </c>
      <c r="C13773" s="5" t="str">
        <f>IFERROR(__xludf.DUMMYFUNCTION("GOOGLETRANSLATE(B13773,""en"",""es-ES"")"),"El hombre luego afeita su rostro por los lados y termina hablando con la cámara.")</f>
        <v>El hombre luego afeita su rostro por los lados y termina hablando con la cámara.</v>
      </c>
    </row>
    <row r="13774">
      <c r="A13774" s="4" t="s">
        <v>17337</v>
      </c>
      <c r="B13774" s="4" t="s">
        <v>17338</v>
      </c>
      <c r="C13774" s="5" t="str">
        <f>IFERROR(__xludf.DUMMYFUNCTION("GOOGLETRANSLATE(B13774,""en"",""es-ES"")"),"Una mujer está realizando movimientos de artes parciales con un hombre en un escenario.")</f>
        <v>Una mujer está realizando movimientos de artes parciales con un hombre en un escenario.</v>
      </c>
    </row>
    <row r="13775">
      <c r="A13775" s="4" t="s">
        <v>17337</v>
      </c>
      <c r="B13775" s="4" t="s">
        <v>17339</v>
      </c>
      <c r="C13775" s="5" t="str">
        <f>IFERROR(__xludf.DUMMYFUNCTION("GOOGLETRANSLATE(B13775,""en"",""es-ES"")"),"Una banda toca instrumentos en el fondo.")</f>
        <v>Una banda toca instrumentos en el fondo.</v>
      </c>
    </row>
    <row r="13776">
      <c r="A13776" s="4" t="s">
        <v>17337</v>
      </c>
      <c r="B13776" s="4" t="s">
        <v>17340</v>
      </c>
      <c r="C13776" s="5" t="str">
        <f>IFERROR(__xludf.DUMMYFUNCTION("GOOGLETRANSLATE(B13776,""en"",""es-ES"")"),"Los dos giran, voltean y patenan, turnados.")</f>
        <v>Los dos giran, voltean y patenan, turnados.</v>
      </c>
    </row>
    <row r="13777">
      <c r="A13777" s="4" t="s">
        <v>17341</v>
      </c>
      <c r="B13777" s="4" t="s">
        <v>17342</v>
      </c>
      <c r="C13777" s="5" t="str">
        <f>IFERROR(__xludf.DUMMYFUNCTION("GOOGLETRANSLATE(B13777,""en"",""es-ES"")"),"Una dama juega a la piscina sola en el interior.")</f>
        <v>Una dama juega a la piscina sola en el interior.</v>
      </c>
    </row>
    <row r="13778">
      <c r="A13778" s="4" t="s">
        <v>17341</v>
      </c>
      <c r="B13778" s="4" t="s">
        <v>17343</v>
      </c>
      <c r="C13778" s="5" t="str">
        <f>IFERROR(__xludf.DUMMYFUNCTION("GOOGLETRANSLATE(B13778,""en"",""es-ES"")"),"La bola blanca se cae de la mesa de billar.")</f>
        <v>La bola blanca se cae de la mesa de billar.</v>
      </c>
    </row>
    <row r="13779">
      <c r="A13779" s="4" t="s">
        <v>17341</v>
      </c>
      <c r="B13779" s="4" t="s">
        <v>17344</v>
      </c>
      <c r="C13779" s="5" t="str">
        <f>IFERROR(__xludf.DUMMYFUNCTION("GOOGLETRANSLATE(B13779,""en"",""es-ES"")"),"La señora recoge la bola blanca del suelo.")</f>
        <v>La señora recoge la bola blanca del suelo.</v>
      </c>
    </row>
    <row r="13780">
      <c r="A13780" s="4" t="s">
        <v>17345</v>
      </c>
      <c r="B13780" s="4" t="s">
        <v>17346</v>
      </c>
      <c r="C13780" s="5" t="str">
        <f>IFERROR(__xludf.DUMMYFUNCTION("GOOGLETRANSLATE(B13780,""en"",""es-ES"")"),"Vemos a un hombre correr y saltar sobre una balsa mientras se desliza por una larga colina nevada.")</f>
        <v>Vemos a un hombre correr y saltar sobre una balsa mientras se desliza por una larga colina nevada.</v>
      </c>
    </row>
    <row r="13781">
      <c r="A13781" s="4" t="s">
        <v>17345</v>
      </c>
      <c r="B13781" s="4" t="s">
        <v>17347</v>
      </c>
      <c r="C13781" s="5" t="str">
        <f>IFERROR(__xludf.DUMMYFUNCTION("GOOGLETRANSLATE(B13781,""en"",""es-ES"")"),"La balsa se detiene y el camarógrafo se levanta y camina mientras filma el suelo.")</f>
        <v>La balsa se detiene y el camarógrafo se levanta y camina mientras filma el suelo.</v>
      </c>
    </row>
    <row r="13782">
      <c r="A13782" s="4" t="s">
        <v>17345</v>
      </c>
      <c r="B13782" s="4" t="s">
        <v>17348</v>
      </c>
      <c r="C13782" s="5" t="str">
        <f>IFERROR(__xludf.DUMMYFUNCTION("GOOGLETRANSLATE(B13782,""en"",""es-ES"")"),"Una mano luego cubre la cámara.")</f>
        <v>Una mano luego cubre la cámara.</v>
      </c>
    </row>
    <row r="13783">
      <c r="A13783" s="4" t="s">
        <v>17349</v>
      </c>
      <c r="B13783" s="4" t="s">
        <v>17350</v>
      </c>
      <c r="C13783" s="5" t="str">
        <f>IFERROR(__xludf.DUMMYFUNCTION("GOOGLETRANSLATE(B13783,""en"",""es-ES"")"),"Una mujer mayor pelea una papa sobre una mesa.")</f>
        <v>Una mujer mayor pelea una papa sobre una mesa.</v>
      </c>
    </row>
    <row r="13784">
      <c r="A13784" s="4" t="s">
        <v>17349</v>
      </c>
      <c r="B13784" s="4" t="s">
        <v>17351</v>
      </c>
      <c r="C13784" s="5" t="str">
        <f>IFERROR(__xludf.DUMMYFUNCTION("GOOGLETRANSLATE(B13784,""en"",""es-ES"")"),"Ella coloca el cuchillo sobre la mesa.")</f>
        <v>Ella coloca el cuchillo sobre la mesa.</v>
      </c>
    </row>
    <row r="13785">
      <c r="A13785" s="4" t="s">
        <v>17352</v>
      </c>
      <c r="B13785" s="4" t="s">
        <v>17353</v>
      </c>
      <c r="C13785" s="5" t="str">
        <f>IFERROR(__xludf.DUMMYFUNCTION("GOOGLETRANSLATE(B13785,""en"",""es-ES"")"),"La gente está flotando por un río en tubos.")</f>
        <v>La gente está flotando por un río en tubos.</v>
      </c>
    </row>
    <row r="13786">
      <c r="A13786" s="4" t="s">
        <v>17352</v>
      </c>
      <c r="B13786" s="4" t="s">
        <v>17354</v>
      </c>
      <c r="C13786" s="5" t="str">
        <f>IFERROR(__xludf.DUMMYFUNCTION("GOOGLETRANSLATE(B13786,""en"",""es-ES"")"),"Los pies de una persona se muestran en un tubo.")</f>
        <v>Los pies de una persona se muestran en un tubo.</v>
      </c>
    </row>
    <row r="13787">
      <c r="A13787" s="4" t="s">
        <v>17352</v>
      </c>
      <c r="B13787" s="4" t="s">
        <v>17355</v>
      </c>
      <c r="C13787" s="5" t="str">
        <f>IFERROR(__xludf.DUMMYFUNCTION("GOOGLETRANSLATE(B13787,""en"",""es-ES"")"),"La gente está parada en el corto junto a sus tubos.")</f>
        <v>La gente está parada en el corto junto a sus tubos.</v>
      </c>
    </row>
    <row r="13788">
      <c r="A13788" s="4" t="s">
        <v>17356</v>
      </c>
      <c r="B13788" s="4" t="s">
        <v>17357</v>
      </c>
      <c r="C13788" s="5" t="str">
        <f>IFERROR(__xludf.DUMMYFUNCTION("GOOGLETRANSLATE(B13788,""en"",""es-ES"")"),"Los hombres están en una pista de carreras de polvo montando bicicletas haciendo trucos.")</f>
        <v>Los hombres están en una pista de carreras de polvo montando bicicletas haciendo trucos.</v>
      </c>
    </row>
    <row r="13789">
      <c r="A13789" s="4" t="s">
        <v>17356</v>
      </c>
      <c r="B13789" s="4" t="s">
        <v>17358</v>
      </c>
      <c r="C13789" s="5" t="str">
        <f>IFERROR(__xludf.DUMMYFUNCTION("GOOGLETRANSLATE(B13789,""en"",""es-ES"")"),"Los niños pequeños están bajando por un tobogán en un camino de polvo.")</f>
        <v>Los niños pequeños están bajando por un tobogán en un camino de polvo.</v>
      </c>
    </row>
    <row r="13790">
      <c r="A13790" s="4" t="s">
        <v>17359</v>
      </c>
      <c r="B13790" s="4" t="s">
        <v>17360</v>
      </c>
      <c r="C13790" s="5" t="str">
        <f>IFERROR(__xludf.DUMMYFUNCTION("GOOGLETRANSLATE(B13790,""en"",""es-ES"")"),"Un niño está explicando cómo ponerse zapatos de los dedos de los pies en su pie izquierdo.")</f>
        <v>Un niño está explicando cómo ponerse zapatos de los dedos de los pies en su pie izquierdo.</v>
      </c>
    </row>
    <row r="13791">
      <c r="A13791" s="4" t="s">
        <v>17359</v>
      </c>
      <c r="B13791" s="4" t="s">
        <v>17361</v>
      </c>
      <c r="C13791" s="5" t="str">
        <f>IFERROR(__xludf.DUMMYFUNCTION("GOOGLETRANSLATE(B13791,""en"",""es-ES"")"),"Luego, el niño levanta el pie derecho y saca el zapato de los pies y continúa explicando.")</f>
        <v>Luego, el niño levanta el pie derecho y saca el zapato de los pies y continúa explicando.</v>
      </c>
    </row>
    <row r="13792">
      <c r="A13792" s="4" t="s">
        <v>17362</v>
      </c>
      <c r="B13792" s="4" t="s">
        <v>17363</v>
      </c>
      <c r="C13792" s="5" t="str">
        <f>IFERROR(__xludf.DUMMYFUNCTION("GOOGLETRANSLATE(B13792,""en"",""es-ES"")"),"Una persona hace una taza de café.")</f>
        <v>Una persona hace una taza de café.</v>
      </c>
    </row>
    <row r="13793">
      <c r="A13793" s="4" t="s">
        <v>17362</v>
      </c>
      <c r="B13793" s="4" t="s">
        <v>17364</v>
      </c>
      <c r="C13793" s="5" t="str">
        <f>IFERROR(__xludf.DUMMYFUNCTION("GOOGLETRANSLATE(B13793,""en"",""es-ES"")"),"La persona luego le agrega un montón de productos azucarados.")</f>
        <v>La persona luego le agrega un montón de productos azucarados.</v>
      </c>
    </row>
    <row r="13794">
      <c r="A13794" s="4" t="s">
        <v>17362</v>
      </c>
      <c r="B13794" s="4" t="s">
        <v>17365</v>
      </c>
      <c r="C13794" s="5" t="str">
        <f>IFERROR(__xludf.DUMMYFUNCTION("GOOGLETRANSLATE(B13794,""en"",""es-ES"")"),"El hombre lo bebe y luego llama a la gente desde un teléfono inteligente.")</f>
        <v>El hombre lo bebe y luego llama a la gente desde un teléfono inteligente.</v>
      </c>
    </row>
    <row r="13795">
      <c r="A13795" s="4" t="s">
        <v>17366</v>
      </c>
      <c r="B13795" s="4" t="s">
        <v>17367</v>
      </c>
      <c r="C13795" s="5" t="str">
        <f>IFERROR(__xludf.DUMMYFUNCTION("GOOGLETRANSLATE(B13795,""en"",""es-ES"")"),"Hay dos boxeadoras que compiten en kickboxing una contra la otra en un evento de boxeo.")</f>
        <v>Hay dos boxeadoras que compiten en kickboxing una contra la otra en un evento de boxeo.</v>
      </c>
    </row>
    <row r="13796">
      <c r="A13796" s="4" t="s">
        <v>17366</v>
      </c>
      <c r="B13796" s="4" t="s">
        <v>17368</v>
      </c>
      <c r="C13796" s="5" t="str">
        <f>IFERROR(__xludf.DUMMYFUNCTION("GOOGLETRANSLATE(B13796,""en"",""es-ES"")"),"El árbitro está de pie junto a ellos.")</f>
        <v>El árbitro está de pie junto a ellos.</v>
      </c>
    </row>
    <row r="13797">
      <c r="A13797" s="4" t="s">
        <v>17366</v>
      </c>
      <c r="B13797" s="4" t="s">
        <v>17369</v>
      </c>
      <c r="C13797" s="5" t="str">
        <f>IFERROR(__xludf.DUMMYFUNCTION("GOOGLETRANSLATE(B13797,""en"",""es-ES"")"),"Hay varios espectadores que observan competir a los boxeadores.")</f>
        <v>Hay varios espectadores que observan competir a los boxeadores.</v>
      </c>
    </row>
    <row r="13798">
      <c r="A13798" s="4" t="s">
        <v>17366</v>
      </c>
      <c r="B13798" s="4" t="s">
        <v>17370</v>
      </c>
      <c r="C13798" s="5" t="str">
        <f>IFERROR(__xludf.DUMMYFUNCTION("GOOGLETRANSLATE(B13798,""en"",""es-ES"")"),"Después de que el árbitro da una oportunidad, los concursantes comienzan el partido.")</f>
        <v>Después de que el árbitro da una oportunidad, los concursantes comienzan el partido.</v>
      </c>
    </row>
    <row r="13799">
      <c r="A13799" s="4" t="s">
        <v>17366</v>
      </c>
      <c r="B13799" s="4" t="s">
        <v>17371</v>
      </c>
      <c r="C13799" s="5" t="str">
        <f>IFERROR(__xludf.DUMMYFUNCTION("GOOGLETRANSLATE(B13799,""en"",""es-ES"")"),"La multitud anima por ellos mientras compiten.")</f>
        <v>La multitud anima por ellos mientras compiten.</v>
      </c>
    </row>
    <row r="13800">
      <c r="A13800" s="4" t="s">
        <v>17366</v>
      </c>
      <c r="B13800" s="4" t="s">
        <v>17372</v>
      </c>
      <c r="C13800" s="5" t="str">
        <f>IFERROR(__xludf.DUMMYFUNCTION("GOOGLETRANSLATE(B13800,""en"",""es-ES"")"),"El boxeador con el uniforme negro golpea al boxeador en rojo y la hace caer.")</f>
        <v>El boxeador con el uniforme negro golpea al boxeador en rojo y la hace caer.</v>
      </c>
    </row>
    <row r="13801">
      <c r="A13801" s="4" t="s">
        <v>17366</v>
      </c>
      <c r="B13801" s="4" t="s">
        <v>17373</v>
      </c>
      <c r="C13801" s="5" t="str">
        <f>IFERROR(__xludf.DUMMYFUNCTION("GOOGLETRANSLATE(B13801,""en"",""es-ES"")"),"El boxeador en rojo patea a su oponente.")</f>
        <v>El boxeador en rojo patea a su oponente.</v>
      </c>
    </row>
    <row r="13802">
      <c r="A13802" s="4" t="s">
        <v>17366</v>
      </c>
      <c r="B13802" s="4" t="s">
        <v>17374</v>
      </c>
      <c r="C13802" s="5" t="str">
        <f>IFERROR(__xludf.DUMMYFUNCTION("GOOGLETRANSLATE(B13802,""en"",""es-ES"")"),"El boxeador de negro ataca a su oponente y el boxeador en rojo le golpea la cara.")</f>
        <v>El boxeador de negro ataca a su oponente y el boxeador en rojo le golpea la cara.</v>
      </c>
    </row>
    <row r="13803">
      <c r="A13803" s="4" t="s">
        <v>17366</v>
      </c>
      <c r="B13803" s="4" t="s">
        <v>17375</v>
      </c>
      <c r="C13803" s="5" t="str">
        <f>IFERROR(__xludf.DUMMYFUNCTION("GOOGLETRANSLATE(B13803,""en"",""es-ES"")"),"El árbitro declara al boxeador en negro cuando el ganador y la multitud aplauden su victoria.")</f>
        <v>El árbitro declara al boxeador en negro cuando el ganador y la multitud aplauden su victoria.</v>
      </c>
    </row>
    <row r="13804">
      <c r="A13804" s="4" t="s">
        <v>17376</v>
      </c>
      <c r="B13804" s="4" t="s">
        <v>17377</v>
      </c>
      <c r="C13804" s="5" t="str">
        <f>IFERROR(__xludf.DUMMYFUNCTION("GOOGLETRANSLATE(B13804,""en"",""es-ES"")"),"Una cámara se mueve alrededor de una persona de pie y lo lleva a la distancia y lleva el equipo.")</f>
        <v>Una cámara se mueve alrededor de una persona de pie y lo lleva a la distancia y lleva el equipo.</v>
      </c>
    </row>
    <row r="13805">
      <c r="A13805" s="4" t="s">
        <v>17376</v>
      </c>
      <c r="B13805" s="4" t="s">
        <v>17378</v>
      </c>
      <c r="C13805" s="5" t="str">
        <f>IFERROR(__xludf.DUMMYFUNCTION("GOOGLETRANSLATE(B13805,""en"",""es-ES"")"),"El hombre se adapta mientras la cámara muestra cerca de su tabla.")</f>
        <v>El hombre se adapta mientras la cámara muestra cerca de su tabla.</v>
      </c>
    </row>
    <row r="13806">
      <c r="A13806" s="4" t="s">
        <v>17376</v>
      </c>
      <c r="B13806" s="4" t="s">
        <v>17379</v>
      </c>
      <c r="C13806" s="5" t="str">
        <f>IFERROR(__xludf.DUMMYFUNCTION("GOOGLETRANSLATE(B13806,""en"",""es-ES"")"),"Luego se ve al hombre haciendo numerosos trucos sobre el agua mientras sigue detrás de un bote.")</f>
        <v>Luego se ve al hombre haciendo numerosos trucos sobre el agua mientras sigue detrás de un bote.</v>
      </c>
    </row>
    <row r="13807">
      <c r="A13807" s="4" t="s">
        <v>17380</v>
      </c>
      <c r="B13807" s="4" t="s">
        <v>17381</v>
      </c>
      <c r="C13807" s="5" t="str">
        <f>IFERROR(__xludf.DUMMYFUNCTION("GOOGLETRANSLATE(B13807,""en"",""es-ES"")"),"Dos hombres están boxeando dentro de un gimnasio.")</f>
        <v>Dos hombres están boxeando dentro de un gimnasio.</v>
      </c>
    </row>
    <row r="13808">
      <c r="A13808" s="4" t="s">
        <v>17380</v>
      </c>
      <c r="B13808" s="4" t="s">
        <v>7190</v>
      </c>
      <c r="C13808" s="5" t="str">
        <f>IFERROR(__xludf.DUMMYFUNCTION("GOOGLETRANSLATE(B13808,""en"",""es-ES"")"),"Están comprometidos en un arte marcial llamado kickboxing.")</f>
        <v>Están comprometidos en un arte marcial llamado kickboxing.</v>
      </c>
    </row>
    <row r="13809">
      <c r="A13809" s="4" t="s">
        <v>17380</v>
      </c>
      <c r="B13809" s="4" t="s">
        <v>17382</v>
      </c>
      <c r="C13809" s="5" t="str">
        <f>IFERROR(__xludf.DUMMYFUNCTION("GOOGLETRANSLATE(B13809,""en"",""es-ES"")"),"Los dos hombres patan y alternan los golpes con golpes.")</f>
        <v>Los dos hombres patan y alternan los golpes con golpes.</v>
      </c>
    </row>
    <row r="13810">
      <c r="A13810" s="4" t="s">
        <v>17383</v>
      </c>
      <c r="B13810" s="4" t="s">
        <v>17384</v>
      </c>
      <c r="C13810" s="5" t="str">
        <f>IFERROR(__xludf.DUMMYFUNCTION("GOOGLETRANSLATE(B13810,""en"",""es-ES"")"),"Una mujer está lijando un estante de libro con una lijadora.")</f>
        <v>Una mujer está lijando un estante de libro con una lijadora.</v>
      </c>
    </row>
    <row r="13811">
      <c r="A13811" s="4" t="s">
        <v>17383</v>
      </c>
      <c r="B13811" s="4" t="s">
        <v>17385</v>
      </c>
      <c r="C13811" s="5" t="str">
        <f>IFERROR(__xludf.DUMMYFUNCTION("GOOGLETRANSLATE(B13811,""en"",""es-ES"")"),"Ella toca la porción lijada con su mano.")</f>
        <v>Ella toca la porción lijada con su mano.</v>
      </c>
    </row>
    <row r="13812">
      <c r="A13812" s="4" t="s">
        <v>17383</v>
      </c>
      <c r="B13812" s="4" t="s">
        <v>17386</v>
      </c>
      <c r="C13812" s="5" t="str">
        <f>IFERROR(__xludf.DUMMYFUNCTION("GOOGLETRANSLATE(B13812,""en"",""es-ES"")"),"Ella se para al lado del estante que habla.")</f>
        <v>Ella se para al lado del estante que habla.</v>
      </c>
    </row>
    <row r="13813">
      <c r="A13813" s="4" t="s">
        <v>17387</v>
      </c>
      <c r="B13813" s="4" t="s">
        <v>17388</v>
      </c>
      <c r="C13813" s="5" t="str">
        <f>IFERROR(__xludf.DUMMYFUNCTION("GOOGLETRANSLATE(B13813,""en"",""es-ES"")"),"Se ve a una persona caminando por una habitación con una escoba.")</f>
        <v>Se ve a una persona caminando por una habitación con una escoba.</v>
      </c>
    </row>
    <row r="13814">
      <c r="A13814" s="4" t="s">
        <v>17387</v>
      </c>
      <c r="B13814" s="4" t="s">
        <v>17389</v>
      </c>
      <c r="C13814" s="5" t="str">
        <f>IFERROR(__xludf.DUMMYFUNCTION("GOOGLETRANSLATE(B13814,""en"",""es-ES"")"),"Ella lo empuja a lo largo de la pared a su lado.")</f>
        <v>Ella lo empuja a lo largo de la pared a su lado.</v>
      </c>
    </row>
    <row r="13815">
      <c r="A13815" s="4" t="s">
        <v>17387</v>
      </c>
      <c r="B13815" s="4" t="s">
        <v>17390</v>
      </c>
      <c r="C13815" s="5" t="str">
        <f>IFERROR(__xludf.DUMMYFUNCTION("GOOGLETRANSLATE(B13815,""en"",""es-ES"")"),"Al final ella se da vuelta y lo empuja hacia atrás.")</f>
        <v>Al final ella se da vuelta y lo empuja hacia atrás.</v>
      </c>
    </row>
    <row r="13816">
      <c r="A13816" s="4" t="s">
        <v>17391</v>
      </c>
      <c r="B13816" s="4" t="s">
        <v>17392</v>
      </c>
      <c r="C13816" s="5" t="str">
        <f>IFERROR(__xludf.DUMMYFUNCTION("GOOGLETRANSLATE(B13816,""en"",""es-ES"")"),"Se ve a una mujer afuera jugando un juego de Beach Volley Ball que lo sirve sobre la red en cámara lenta.")</f>
        <v>Se ve a una mujer afuera jugando un juego de Beach Volley Ball que lo sirve sobre la red en cámara lenta.</v>
      </c>
    </row>
    <row r="13817">
      <c r="A13817" s="4" t="s">
        <v>17391</v>
      </c>
      <c r="B13817" s="4" t="s">
        <v>17393</v>
      </c>
      <c r="C13817" s="5" t="str">
        <f>IFERROR(__xludf.DUMMYFUNCTION("GOOGLETRANSLATE(B13817,""en"",""es-ES"")"),"Lo hace sobre la red y el otro equipo de dos bolas puede volver a golpearlo en la red.")</f>
        <v>Lo hace sobre la red y el otro equipo de dos bolas puede volver a golpearlo en la red.</v>
      </c>
    </row>
    <row r="13818">
      <c r="A13818" s="4" t="s">
        <v>17391</v>
      </c>
      <c r="B13818" s="4" t="s">
        <v>17394</v>
      </c>
      <c r="C13818" s="5" t="str">
        <f>IFERROR(__xludf.DUMMYFUNCTION("GOOGLETRANSLATE(B13818,""en"",""es-ES"")"),"Ambos pares de personas continúan jugando el juego y, finalmente, el equipo con el hombre y la mujer en el equipo terminan ganando.")</f>
        <v>Ambos pares de personas continúan jugando el juego y, finalmente, el equipo con el hombre y la mujer en el equipo terminan ganando.</v>
      </c>
    </row>
    <row r="13819">
      <c r="A13819" s="4" t="s">
        <v>17395</v>
      </c>
      <c r="B13819" s="4" t="s">
        <v>17396</v>
      </c>
      <c r="C13819" s="5" t="str">
        <f>IFERROR(__xludf.DUMMYFUNCTION("GOOGLETRANSLATE(B13819,""en"",""es-ES"")"),"Se ve a una gimnasta parada ante un gran rayo y levantando las manos en el aire.")</f>
        <v>Se ve a una gimnasta parada ante un gran rayo y levantando las manos en el aire.</v>
      </c>
    </row>
    <row r="13820">
      <c r="A13820" s="4" t="s">
        <v>17395</v>
      </c>
      <c r="B13820" s="4" t="s">
        <v>17397</v>
      </c>
      <c r="C13820" s="5" t="str">
        <f>IFERROR(__xludf.DUMMYFUNCTION("GOOGLETRANSLATE(B13820,""en"",""es-ES"")"),"Luego realiza una rutina de gimnastas mientras se balancea alrededor de la barra y termina saltando hacia abajo.")</f>
        <v>Luego realiza una rutina de gimnastas mientras se balancea alrededor de la barra y termina saltando hacia abajo.</v>
      </c>
    </row>
    <row r="13821">
      <c r="A13821" s="4" t="s">
        <v>17398</v>
      </c>
      <c r="B13821" s="4" t="s">
        <v>17399</v>
      </c>
      <c r="C13821" s="5" t="str">
        <f>IFERROR(__xludf.DUMMYFUNCTION("GOOGLETRANSLATE(B13821,""en"",""es-ES"")"),"Se ve a un niño pequeño sentado al lado de una bañera y doblándose por el costado.")</f>
        <v>Se ve a un niño pequeño sentado al lado de una bañera y doblándose por el costado.</v>
      </c>
    </row>
    <row r="13822">
      <c r="A13822" s="4" t="s">
        <v>17398</v>
      </c>
      <c r="B13822" s="4" t="s">
        <v>17400</v>
      </c>
      <c r="C13822" s="5" t="str">
        <f>IFERROR(__xludf.DUMMYFUNCTION("GOOGLETRANSLATE(B13822,""en"",""es-ES"")"),"Una persona le habla a un lado mientras mira hacia atrás a la cámara.")</f>
        <v>Una persona le habla a un lado mientras mira hacia atrás a la cámara.</v>
      </c>
    </row>
    <row r="13823">
      <c r="A13823" s="4" t="s">
        <v>17398</v>
      </c>
      <c r="B13823" s="4" t="s">
        <v>17401</v>
      </c>
      <c r="C13823" s="5" t="str">
        <f>IFERROR(__xludf.DUMMYFUNCTION("GOOGLETRANSLATE(B13823,""en"",""es-ES"")"),"Ella se inclina más en el fregadero y luego regresa a la cámara para mirar.")</f>
        <v>Ella se inclina más en el fregadero y luego regresa a la cámara para mirar.</v>
      </c>
    </row>
    <row r="13824">
      <c r="A13824" s="4" t="s">
        <v>17402</v>
      </c>
      <c r="B13824" s="4" t="s">
        <v>17403</v>
      </c>
      <c r="C13824" s="5" t="str">
        <f>IFERROR(__xludf.DUMMYFUNCTION("GOOGLETRANSLATE(B13824,""en"",""es-ES"")"),"Una cámara se acerca a una persona tocando la guitarra y conduce a un hombre que habla.")</f>
        <v>Una cámara se acerca a una persona tocando la guitarra y conduce a un hombre que habla.</v>
      </c>
    </row>
    <row r="13825">
      <c r="A13825" s="4" t="s">
        <v>17402</v>
      </c>
      <c r="B13825" s="4" t="s">
        <v>17404</v>
      </c>
      <c r="C13825" s="5" t="str">
        <f>IFERROR(__xludf.DUMMYFUNCTION("GOOGLETRANSLATE(B13825,""en"",""es-ES"")"),"Se muestran varias tomas más de personas tocando guitarra y guitarras en las paredes, así como el mismo hombre que habla con la cámara.")</f>
        <v>Se muestran varias tomas más de personas tocando guitarra y guitarras en las paredes, así como el mismo hombre que habla con la cámara.</v>
      </c>
    </row>
    <row r="13826">
      <c r="A13826" s="4" t="s">
        <v>17405</v>
      </c>
      <c r="B13826" s="4" t="s">
        <v>17406</v>
      </c>
      <c r="C13826" s="5" t="str">
        <f>IFERROR(__xludf.DUMMYFUNCTION("GOOGLETRANSLATE(B13826,""en"",""es-ES"")"),"Vemos a un hombre saltando sobre zancos de salto.")</f>
        <v>Vemos a un hombre saltando sobre zancos de salto.</v>
      </c>
    </row>
    <row r="13827">
      <c r="A13827" s="4" t="s">
        <v>17405</v>
      </c>
      <c r="B13827" s="4" t="s">
        <v>17407</v>
      </c>
      <c r="C13827" s="5" t="str">
        <f>IFERROR(__xludf.DUMMYFUNCTION("GOOGLETRANSLATE(B13827,""en"",""es-ES"")"),"Vemos a una persona sentada en el patio.")</f>
        <v>Vemos a una persona sentada en el patio.</v>
      </c>
    </row>
    <row r="13828">
      <c r="A13828" s="4" t="s">
        <v>17405</v>
      </c>
      <c r="B13828" s="4" t="s">
        <v>17408</v>
      </c>
      <c r="C13828" s="5" t="str">
        <f>IFERROR(__xludf.DUMMYFUNCTION("GOOGLETRANSLATE(B13828,""en"",""es-ES"")"),"El hombre en los zancos se detiene y se da vuelta hacia la cámara.")</f>
        <v>El hombre en los zancos se detiene y se da vuelta hacia la cámara.</v>
      </c>
    </row>
    <row r="13829">
      <c r="A13829" s="4" t="s">
        <v>17409</v>
      </c>
      <c r="B13829" s="4" t="s">
        <v>17410</v>
      </c>
      <c r="C13829" s="5" t="str">
        <f>IFERROR(__xludf.DUMMYFUNCTION("GOOGLETRANSLATE(B13829,""en"",""es-ES"")"),"Se muestra que la cámara lenta se muestra de personas que montan a caballo sobre saltos que conducen a una mujer que habla con la cámara con un caballo detrás de ella.")</f>
        <v>Se muestra que la cámara lenta se muestra de personas que montan a caballo sobre saltos que conducen a una mujer que habla con la cámara con un caballo detrás de ella.</v>
      </c>
    </row>
    <row r="13830">
      <c r="A13830" s="4" t="s">
        <v>17409</v>
      </c>
      <c r="B13830" s="4" t="s">
        <v>17411</v>
      </c>
      <c r="C13830" s="5" t="str">
        <f>IFERROR(__xludf.DUMMYFUNCTION("GOOGLETRANSLATE(B13830,""en"",""es-ES"")"),"Luego, la mujer usa un guante y cepilla el caballo mientras la captura captura sus movimientos y el caballo.")</f>
        <v>Luego, la mujer usa un guante y cepilla el caballo mientras la captura captura sus movimientos y el caballo.</v>
      </c>
    </row>
    <row r="13831">
      <c r="A13831" s="4" t="s">
        <v>17409</v>
      </c>
      <c r="B13831" s="4" t="s">
        <v>17412</v>
      </c>
      <c r="C13831" s="5" t="str">
        <f>IFERROR(__xludf.DUMMYFUNCTION("GOOGLETRANSLATE(B13831,""en"",""es-ES"")"),"Ella cepilla la parte posterior de su cola y termina alrededor de su vientre.")</f>
        <v>Ella cepilla la parte posterior de su cola y termina alrededor de su vientre.</v>
      </c>
    </row>
    <row r="13832">
      <c r="A13832" s="4" t="s">
        <v>17413</v>
      </c>
      <c r="B13832" s="4" t="s">
        <v>17414</v>
      </c>
      <c r="C13832" s="5" t="str">
        <f>IFERROR(__xludf.DUMMYFUNCTION("GOOGLETRANSLATE(B13832,""en"",""es-ES"")"),"Las remolachas se están cortando en un bloque de corte.")</f>
        <v>Las remolachas se están cortando en un bloque de corte.</v>
      </c>
    </row>
    <row r="13833">
      <c r="A13833" s="4" t="s">
        <v>17413</v>
      </c>
      <c r="B13833" s="4" t="s">
        <v>17415</v>
      </c>
      <c r="C13833" s="5" t="str">
        <f>IFERROR(__xludf.DUMMYFUNCTION("GOOGLETRANSLATE(B13833,""en"",""es-ES"")"),"Se ponen en una sartén y se cubren con agua.")</f>
        <v>Se ponen en una sartén y se cubren con agua.</v>
      </c>
    </row>
    <row r="13834">
      <c r="A13834" s="4" t="s">
        <v>17413</v>
      </c>
      <c r="B13834" s="4" t="s">
        <v>17416</v>
      </c>
      <c r="C13834" s="5" t="str">
        <f>IFERROR(__xludf.DUMMYFUNCTION("GOOGLETRANSLATE(B13834,""en"",""es-ES"")"),"La col rizada se está cortando en una tabla de cortar.")</f>
        <v>La col rizada se está cortando en una tabla de cortar.</v>
      </c>
    </row>
    <row r="13835">
      <c r="A13835" s="4" t="s">
        <v>17413</v>
      </c>
      <c r="B13835" s="4" t="s">
        <v>17417</v>
      </c>
      <c r="C13835" s="5" t="str">
        <f>IFERROR(__xludf.DUMMYFUNCTION("GOOGLETRANSLATE(B13835,""en"",""es-ES"")"),"Se arroja sal por unos minutos.")</f>
        <v>Se arroja sal por unos minutos.</v>
      </c>
    </row>
    <row r="13836">
      <c r="A13836" s="4" t="s">
        <v>17413</v>
      </c>
      <c r="B13836" s="4" t="s">
        <v>17418</v>
      </c>
      <c r="C13836" s="5" t="str">
        <f>IFERROR(__xludf.DUMMYFUNCTION("GOOGLETRANSLATE(B13836,""en"",""es-ES"")"),"Las zanahorias se rallan sobre la col rizada.")</f>
        <v>Las zanahorias se rallan sobre la col rizada.</v>
      </c>
    </row>
    <row r="13837">
      <c r="A13837" s="4" t="s">
        <v>17413</v>
      </c>
      <c r="B13837" s="4" t="s">
        <v>17419</v>
      </c>
      <c r="C13837" s="5" t="str">
        <f>IFERROR(__xludf.DUMMYFUNCTION("GOOGLETRANSLATE(B13837,""en"",""es-ES"")"),"Un tomate está cortado en cubitos y se mezcla con aderezo.")</f>
        <v>Un tomate está cortado en cubitos y se mezcla con aderezo.</v>
      </c>
    </row>
    <row r="13838">
      <c r="A13838" s="4" t="s">
        <v>17413</v>
      </c>
      <c r="B13838" s="4" t="s">
        <v>17420</v>
      </c>
      <c r="C13838" s="5" t="str">
        <f>IFERROR(__xludf.DUMMYFUNCTION("GOOGLETRANSLATE(B13838,""en"",""es-ES"")"),"Esto luego se vierte sobre la col rizada.")</f>
        <v>Esto luego se vierte sobre la col rizada.</v>
      </c>
    </row>
    <row r="13839">
      <c r="A13839" s="4" t="s">
        <v>17413</v>
      </c>
      <c r="B13839" s="4" t="s">
        <v>17421</v>
      </c>
      <c r="C13839" s="5" t="str">
        <f>IFERROR(__xludf.DUMMYFUNCTION("GOOGLETRANSLATE(B13839,""en"",""es-ES"")"),"Un hombre da un bocado de la ensalada.")</f>
        <v>Un hombre da un bocado de la ensalada.</v>
      </c>
    </row>
    <row r="13840">
      <c r="A13840" s="4" t="s">
        <v>17422</v>
      </c>
      <c r="B13840" s="4" t="s">
        <v>17423</v>
      </c>
      <c r="C13840" s="5" t="str">
        <f>IFERROR(__xludf.DUMMYFUNCTION("GOOGLETRANSLATE(B13840,""en"",""es-ES"")"),"Se ve a una persona moverse en movimiento rápido desempacando una bolsa y reunir partes de un neumático.")</f>
        <v>Se ve a una persona moverse en movimiento rápido desempacando una bolsa y reunir partes de un neumático.</v>
      </c>
    </row>
    <row r="13841">
      <c r="A13841" s="4" t="s">
        <v>17422</v>
      </c>
      <c r="B13841" s="4" t="s">
        <v>17424</v>
      </c>
      <c r="C13841" s="5" t="str">
        <f>IFERROR(__xludf.DUMMYFUNCTION("GOOGLETRANSLATE(B13841,""en"",""es-ES"")"),"Muchas personas se detienen para mirar al margen mientras el hombre continúa construyendo la bicicleta y termina empacando todo y sosteniendo los brazos mientras sonríe.")</f>
        <v>Muchas personas se detienen para mirar al margen mientras el hombre continúa construyendo la bicicleta y termina empacando todo y sosteniendo los brazos mientras sonríe.</v>
      </c>
    </row>
    <row r="13842">
      <c r="A13842" s="4" t="s">
        <v>17425</v>
      </c>
      <c r="B13842" s="4" t="s">
        <v>17426</v>
      </c>
      <c r="C13842" s="5" t="str">
        <f>IFERROR(__xludf.DUMMYFUNCTION("GOOGLETRANSLATE(B13842,""en"",""es-ES"")"),"Una mujer se sube a la parte trasera de una camioneta con otras personas.")</f>
        <v>Una mujer se sube a la parte trasera de una camioneta con otras personas.</v>
      </c>
    </row>
    <row r="13843">
      <c r="A13843" s="4" t="s">
        <v>17425</v>
      </c>
      <c r="B13843" s="4" t="s">
        <v>17427</v>
      </c>
      <c r="C13843" s="5" t="str">
        <f>IFERROR(__xludf.DUMMYFUNCTION("GOOGLETRANSLATE(B13843,""en"",""es-ES"")"),"Varios hombres están juntos en una línea antes de ver a una persona con un traje de gorila.")</f>
        <v>Varios hombres están juntos en una línea antes de ver a una persona con un traje de gorila.</v>
      </c>
    </row>
    <row r="13844">
      <c r="A13844" s="4" t="s">
        <v>17425</v>
      </c>
      <c r="B13844" s="4" t="s">
        <v>17428</v>
      </c>
      <c r="C13844" s="5" t="str">
        <f>IFERROR(__xludf.DUMMYFUNCTION("GOOGLETRANSLATE(B13844,""en"",""es-ES"")"),"Muchas personas bailan, caen de las patinetas y realizan varios trucos como caminar por la cuerda floja y voltear.")</f>
        <v>Muchas personas bailan, caen de las patinetas y realizan varios trucos como caminar por la cuerda floja y voltear.</v>
      </c>
    </row>
    <row r="13845">
      <c r="A13845" s="4" t="s">
        <v>17425</v>
      </c>
      <c r="B13845" s="4" t="s">
        <v>17429</v>
      </c>
      <c r="C13845" s="5" t="str">
        <f>IFERROR(__xludf.DUMMYFUNCTION("GOOGLETRANSLATE(B13845,""en"",""es-ES"")"),"El grupo sale juntos del edificio, haciendo letreros y caras en la cámara.")</f>
        <v>El grupo sale juntos del edificio, haciendo letreros y caras en la cámara.</v>
      </c>
    </row>
    <row r="13846">
      <c r="A13846" s="4" t="s">
        <v>17430</v>
      </c>
      <c r="B13846" s="4" t="s">
        <v>17431</v>
      </c>
      <c r="C13846" s="5" t="str">
        <f>IFERROR(__xludf.DUMMYFUNCTION("GOOGLETRANSLATE(B13846,""en"",""es-ES"")"),"Un tren pasa en una pista, y se ve varios autos conduciendo en una carretera húmeda.")</f>
        <v>Un tren pasa en una pista, y se ve varios autos conduciendo en una carretera húmeda.</v>
      </c>
    </row>
    <row r="13847">
      <c r="A13847" s="4" t="s">
        <v>17430</v>
      </c>
      <c r="B13847" s="4" t="s">
        <v>17432</v>
      </c>
      <c r="C13847" s="5" t="str">
        <f>IFERROR(__xludf.DUMMYFUNCTION("GOOGLETRANSLATE(B13847,""en"",""es-ES"")"),"Una mujer sale y se agacha por una llanta pinchada.")</f>
        <v>Una mujer sale y se agacha por una llanta pinchada.</v>
      </c>
    </row>
    <row r="13848">
      <c r="A13848" s="4" t="s">
        <v>17430</v>
      </c>
      <c r="B13848" s="4" t="s">
        <v>17433</v>
      </c>
      <c r="C13848" s="5" t="str">
        <f>IFERROR(__xludf.DUMMYFUNCTION("GOOGLETRANSLATE(B13848,""en"",""es-ES"")"),"Ella usa equipo para levantar el automóvil del suelo, luego quita el neumático.")</f>
        <v>Ella usa equipo para levantar el automóvil del suelo, luego quita el neumático.</v>
      </c>
    </row>
    <row r="13849">
      <c r="A13849" s="4" t="s">
        <v>17430</v>
      </c>
      <c r="B13849" s="4" t="s">
        <v>17434</v>
      </c>
      <c r="C13849" s="5" t="str">
        <f>IFERROR(__xludf.DUMMYFUNCTION("GOOGLETRANSLATE(B13849,""en"",""es-ES"")"),"Ella reemplaza el neumático malo con un repuesto.")</f>
        <v>Ella reemplaza el neumático malo con un repuesto.</v>
      </c>
    </row>
    <row r="13850">
      <c r="A13850" s="4" t="s">
        <v>17430</v>
      </c>
      <c r="B13850" s="4" t="s">
        <v>17435</v>
      </c>
      <c r="C13850" s="5" t="str">
        <f>IFERROR(__xludf.DUMMYFUNCTION("GOOGLETRANSLATE(B13850,""en"",""es-ES"")"),"Luego guarda su equipo y da un pulgar hacia arriba antes de conducir de manera segura.")</f>
        <v>Luego guarda su equipo y da un pulgar hacia arriba antes de conducir de manera segura.</v>
      </c>
    </row>
    <row r="13851">
      <c r="A13851" s="4" t="s">
        <v>17436</v>
      </c>
      <c r="B13851" s="4" t="s">
        <v>17437</v>
      </c>
      <c r="C13851" s="5" t="str">
        <f>IFERROR(__xludf.DUMMYFUNCTION("GOOGLETRANSLATE(B13851,""en"",""es-ES"")"),"Hay una persona Wakeboard en un lago.")</f>
        <v>Hay una persona Wakeboard en un lago.</v>
      </c>
    </row>
    <row r="13852">
      <c r="A13852" s="4" t="s">
        <v>17436</v>
      </c>
      <c r="B13852" s="4" t="s">
        <v>17438</v>
      </c>
      <c r="C13852" s="5" t="str">
        <f>IFERROR(__xludf.DUMMYFUNCTION("GOOGLETRANSLATE(B13852,""en"",""es-ES"")"),"Está siendo tirado por una cuerda roja que está sujeta a un barco de vapor.")</f>
        <v>Está siendo tirado por una cuerda roja que está sujeta a un barco de vapor.</v>
      </c>
    </row>
    <row r="13853">
      <c r="A13853" s="4" t="s">
        <v>17436</v>
      </c>
      <c r="B13853" s="4" t="s">
        <v>17439</v>
      </c>
      <c r="C13853" s="5" t="str">
        <f>IFERROR(__xludf.DUMMYFUNCTION("GOOGLETRANSLATE(B13853,""en"",""es-ES"")"),"Él va a una velocidad constante detrás del barco de vapor.")</f>
        <v>Él va a una velocidad constante detrás del barco de vapor.</v>
      </c>
    </row>
    <row r="13854">
      <c r="A13854" s="4" t="s">
        <v>17440</v>
      </c>
      <c r="B13854" s="4" t="s">
        <v>17441</v>
      </c>
      <c r="C13854" s="5" t="str">
        <f>IFERROR(__xludf.DUMMYFUNCTION("GOOGLETRANSLATE(B13854,""en"",""es-ES"")"),"Se ve a una mujer montando un equipo de ejercicio seguido de varias tomas de ella ajustando el equipo y moviéndolo.")</f>
        <v>Se ve a una mujer montando un equipo de ejercicio seguido de varias tomas de ella ajustando el equipo y moviéndolo.</v>
      </c>
    </row>
    <row r="13855">
      <c r="A13855" s="4" t="s">
        <v>17440</v>
      </c>
      <c r="B13855" s="4" t="s">
        <v>17442</v>
      </c>
      <c r="C13855" s="5" t="str">
        <f>IFERROR(__xludf.DUMMYFUNCTION("GOOGLETRANSLATE(B13855,""en"",""es-ES"")"),"Se muestran más disparos de ella montando el equipo y cambiando la configuración en la parte delantera.")</f>
        <v>Se muestran más disparos de ella montando el equipo y cambiando la configuración en la parte delantera.</v>
      </c>
    </row>
    <row r="13856">
      <c r="A13856" s="4" t="s">
        <v>17443</v>
      </c>
      <c r="B13856" s="4" t="s">
        <v>17444</v>
      </c>
      <c r="C13856" s="5" t="str">
        <f>IFERROR(__xludf.DUMMYFUNCTION("GOOGLETRANSLATE(B13856,""en"",""es-ES"")"),"Se muestra a una mujer mayor sentada en un paso delantero poniendo calcetines con un perro pequeño parado cerca de ella.")</f>
        <v>Se muestra a una mujer mayor sentada en un paso delantero poniendo calcetines con un perro pequeño parado cerca de ella.</v>
      </c>
    </row>
    <row r="13857">
      <c r="A13857" s="4" t="s">
        <v>17443</v>
      </c>
      <c r="B13857" s="4" t="s">
        <v>17445</v>
      </c>
      <c r="C13857" s="5" t="str">
        <f>IFERROR(__xludf.DUMMYFUNCTION("GOOGLETRANSLATE(B13857,""en"",""es-ES"")"),"Luego pone su zapato en el pie y el perro mira a lo lejos.")</f>
        <v>Luego pone su zapato en el pie y el perro mira a lo lejos.</v>
      </c>
    </row>
    <row r="13858">
      <c r="A13858" s="4" t="s">
        <v>17446</v>
      </c>
      <c r="B13858" s="4" t="s">
        <v>17447</v>
      </c>
      <c r="C13858" s="5" t="str">
        <f>IFERROR(__xludf.DUMMYFUNCTION("GOOGLETRANSLATE(B13858,""en"",""es-ES"")"),"Una olla de olla muestra ingredientes para hacer pasta de ensalada mientras habla.")</f>
        <v>Una olla de olla muestra ingredientes para hacer pasta de ensalada mientras habla.</v>
      </c>
    </row>
    <row r="13859">
      <c r="A13859" s="4" t="s">
        <v>17446</v>
      </c>
      <c r="B13859" s="4" t="s">
        <v>17448</v>
      </c>
      <c r="C13859" s="5" t="str">
        <f>IFERROR(__xludf.DUMMYFUNCTION("GOOGLETRANSLATE(B13859,""en"",""es-ES"")"),"La olla coloca pasta en un recipiente cuadrado y agrega verduras.")</f>
        <v>La olla coloca pasta en un recipiente cuadrado y agrega verduras.</v>
      </c>
    </row>
    <row r="13860">
      <c r="A13860" s="4" t="s">
        <v>17446</v>
      </c>
      <c r="B13860" s="4" t="s">
        <v>17449</v>
      </c>
      <c r="C13860" s="5" t="str">
        <f>IFERROR(__xludf.DUMMYFUNCTION("GOOGLETRANSLATE(B13860,""en"",""es-ES"")"),"Luego, la olla agrega queso, caldo, crema blanca, sal y luego la mezcla.")</f>
        <v>Luego, la olla agrega queso, caldo, crema blanca, sal y luego la mezcla.</v>
      </c>
    </row>
    <row r="13861">
      <c r="A13861" s="4" t="s">
        <v>17446</v>
      </c>
      <c r="B13861" s="4" t="s">
        <v>17450</v>
      </c>
      <c r="C13861" s="5" t="str">
        <f>IFERROR(__xludf.DUMMYFUNCTION("GOOGLETRANSLATE(B13861,""en"",""es-ES"")"),"El hombre sirve la pasta con un trozo de tomate y prueba la ensalada.")</f>
        <v>El hombre sirve la pasta con un trozo de tomate y prueba la ensalada.</v>
      </c>
    </row>
    <row r="13862">
      <c r="A13862" s="4" t="s">
        <v>17451</v>
      </c>
      <c r="B13862" s="4" t="s">
        <v>17452</v>
      </c>
      <c r="C13862" s="5" t="str">
        <f>IFERROR(__xludf.DUMMYFUNCTION("GOOGLETRANSLATE(B13862,""en"",""es-ES"")"),"Se ve a una mujer atlética de pie preparada sosteniendo un poste en sus manos y mirando hacia abajo y hacia atrás.")</f>
        <v>Se ve a una mujer atlética de pie preparada sosteniendo un poste en sus manos y mirando hacia abajo y hacia atrás.</v>
      </c>
    </row>
    <row r="13863">
      <c r="A13863" s="4" t="s">
        <v>17451</v>
      </c>
      <c r="B13863" s="4" t="s">
        <v>17453</v>
      </c>
      <c r="C13863" s="5" t="str">
        <f>IFERROR(__xludf.DUMMYFUNCTION("GOOGLETRANSLATE(B13863,""en"",""es-ES"")"),"Luego sostiene el palo hacia arriba y se voltia en un poste sobre una colchoneta.")</f>
        <v>Luego sostiene el palo hacia arriba y se voltia en un poste sobre una colchoneta.</v>
      </c>
    </row>
    <row r="13864">
      <c r="A13864" s="4" t="s">
        <v>17451</v>
      </c>
      <c r="B13864" s="4" t="s">
        <v>17454</v>
      </c>
      <c r="C13864" s="5" t="str">
        <f>IFERROR(__xludf.DUMMYFUNCTION("GOOGLETRANSLATE(B13864,""en"",""es-ES"")"),"Ella saluda a la multitud y luego se va con otros que se preparan a su alrededor.")</f>
        <v>Ella saluda a la multitud y luego se va con otros que se preparan a su alrededor.</v>
      </c>
    </row>
    <row r="13865">
      <c r="A13865" s="4" t="s">
        <v>17455</v>
      </c>
      <c r="B13865" s="4" t="s">
        <v>17456</v>
      </c>
      <c r="C13865" s="5" t="str">
        <f>IFERROR(__xludf.DUMMYFUNCTION("GOOGLETRANSLATE(B13865,""en"",""es-ES"")"),"Un hombre está sentado en las piernas cruzadas viendo un espectáculo.")</f>
        <v>Un hombre está sentado en las piernas cruzadas viendo un espectáculo.</v>
      </c>
    </row>
    <row r="13866">
      <c r="A13866" s="4" t="s">
        <v>17455</v>
      </c>
      <c r="B13866" s="4" t="s">
        <v>17457</v>
      </c>
      <c r="C13866" s="5" t="str">
        <f>IFERROR(__xludf.DUMMYFUNCTION("GOOGLETRANSLATE(B13866,""en"",""es-ES"")"),"Un hombre está arrodillado frente a la multitud, hablando.")</f>
        <v>Un hombre está arrodillado frente a la multitud, hablando.</v>
      </c>
    </row>
    <row r="13867">
      <c r="A13867" s="4" t="s">
        <v>17455</v>
      </c>
      <c r="B13867" s="4" t="s">
        <v>17458</v>
      </c>
      <c r="C13867" s="5" t="str">
        <f>IFERROR(__xludf.DUMMYFUNCTION("GOOGLETRANSLATE(B13867,""en"",""es-ES"")"),"Continúa hablando mientras la multitud está embravada, escuchando cada una de sus palabras.")</f>
        <v>Continúa hablando mientras la multitud está embravada, escuchando cada una de sus palabras.</v>
      </c>
    </row>
    <row r="13868">
      <c r="A13868" s="4" t="s">
        <v>17459</v>
      </c>
      <c r="B13868" s="4" t="s">
        <v>17460</v>
      </c>
      <c r="C13868" s="5" t="str">
        <f>IFERROR(__xludf.DUMMYFUNCTION("GOOGLETRANSLATE(B13868,""en"",""es-ES"")"),"Se muestra un clip del espectáculo Top Gear con un hombre sentado en un automóvil hablando con la cámara, y otro hablando con la cámara en un automóvil diferente.")</f>
        <v>Se muestra un clip del espectáculo Top Gear con un hombre sentado en un automóvil hablando con la cámara, y otro hablando con la cámara en un automóvil diferente.</v>
      </c>
    </row>
    <row r="13869">
      <c r="A13869" s="4" t="s">
        <v>17459</v>
      </c>
      <c r="B13869" s="4" t="s">
        <v>17461</v>
      </c>
      <c r="C13869" s="5" t="str">
        <f>IFERROR(__xludf.DUMMYFUNCTION("GOOGLETRANSLATE(B13869,""en"",""es-ES"")"),"Dos hombres hablan sobre Walkie Talkies a un lado y los hombres conducen los autos unos a otros.")</f>
        <v>Dos hombres hablan sobre Walkie Talkies a un lado y los hombres conducen los autos unos a otros.</v>
      </c>
    </row>
    <row r="13870">
      <c r="A13870" s="4" t="s">
        <v>17459</v>
      </c>
      <c r="B13870" s="4" t="s">
        <v>17462</v>
      </c>
      <c r="C13870" s="5" t="str">
        <f>IFERROR(__xludf.DUMMYFUNCTION("GOOGLETRANSLATE(B13870,""en"",""es-ES"")"),"Uno empuja el auto hacia atrás y todos los hombres salen y hablan entre ellos.")</f>
        <v>Uno empuja el auto hacia atrás y todos los hombres salen y hablan entre ellos.</v>
      </c>
    </row>
    <row r="13871">
      <c r="A13871" s="4" t="s">
        <v>17459</v>
      </c>
      <c r="B13871" s="4" t="s">
        <v>17463</v>
      </c>
      <c r="C13871" s="5" t="str">
        <f>IFERROR(__xludf.DUMMYFUNCTION("GOOGLETRANSLATE(B13871,""en"",""es-ES"")"),"Otro automóvil es una prueba con los hombres que hablan con la cámara y empuja el automóvil hacia atrás mientras otros miran con incredulidad.")</f>
        <v>Otro automóvil es una prueba con los hombres que hablan con la cámara y empuja el automóvil hacia atrás mientras otros miran con incredulidad.</v>
      </c>
    </row>
    <row r="13872">
      <c r="A13872" s="4" t="s">
        <v>17464</v>
      </c>
      <c r="B13872" s="4" t="s">
        <v>17465</v>
      </c>
      <c r="C13872" s="5" t="str">
        <f>IFERROR(__xludf.DUMMYFUNCTION("GOOGLETRANSLATE(B13872,""en"",""es-ES"")"),"Un reportero de BTRTV visita un estudio y tienda de ciclo del alma, entrevista a un instructor de ciclo del alma y toma una clase de ciclo de alma de muestra.")</f>
        <v>Un reportero de BTRTV visita un estudio y tienda de ciclo del alma, entrevista a un instructor de ciclo del alma y toma una clase de ciclo de alma de muestra.</v>
      </c>
    </row>
    <row r="13873">
      <c r="A13873" s="4" t="s">
        <v>17464</v>
      </c>
      <c r="B13873" s="4" t="s">
        <v>17466</v>
      </c>
      <c r="C13873" s="5" t="str">
        <f>IFERROR(__xludf.DUMMYFUNCTION("GOOGLETRANSLATE(B13873,""en"",""es-ES"")"),"Un reportero que sostiene un micrófono, se encuentra fuera de una tienda de ciclo del alma que habla con la cámara y luego entra en la tienda y entrevista a un instructor de ciclo del alma.")</f>
        <v>Un reportero que sostiene un micrófono, se encuentra fuera de una tienda de ciclo del alma que habla con la cámara y luego entra en la tienda y entrevista a un instructor de ciclo del alma.</v>
      </c>
    </row>
    <row r="13874">
      <c r="A13874" s="4" t="s">
        <v>17464</v>
      </c>
      <c r="B13874" s="4" t="s">
        <v>17467</v>
      </c>
      <c r="C13874" s="5" t="str">
        <f>IFERROR(__xludf.DUMMYFUNCTION("GOOGLETRANSLATE(B13874,""en"",""es-ES"")"),"El periodista luego cambia de ropa y toma una clase de ciclo del alma intercalada con un video de las clases de ciclo del alma LED del instructor.")</f>
        <v>El periodista luego cambia de ropa y toma una clase de ciclo del alma intercalada con un video de las clases de ciclo del alma LED del instructor.</v>
      </c>
    </row>
    <row r="13875">
      <c r="A13875" s="4" t="s">
        <v>17464</v>
      </c>
      <c r="B13875" s="4" t="s">
        <v>17468</v>
      </c>
      <c r="C13875" s="5" t="str">
        <f>IFERROR(__xludf.DUMMYFUNCTION("GOOGLETRANSLATE(B13875,""en"",""es-ES"")"),"El periodista regresa a entrevistar al instructor de ciclo del alma con una foto final de filas de ropa que cuelgan en la tienda del ciclo del alma.")</f>
        <v>El periodista regresa a entrevistar al instructor de ciclo del alma con una foto final de filas de ropa que cuelgan en la tienda del ciclo del alma.</v>
      </c>
    </row>
    <row r="13876">
      <c r="A13876" s="4" t="s">
        <v>17469</v>
      </c>
      <c r="B13876" s="4" t="s">
        <v>17470</v>
      </c>
      <c r="C13876" s="5" t="str">
        <f>IFERROR(__xludf.DUMMYFUNCTION("GOOGLETRANSLATE(B13876,""en"",""es-ES"")"),"Se muestra un partido de esgrima olímpico.")</f>
        <v>Se muestra un partido de esgrima olímpico.</v>
      </c>
    </row>
    <row r="13877">
      <c r="A13877" s="4" t="s">
        <v>17469</v>
      </c>
      <c r="B13877" s="4" t="s">
        <v>17471</v>
      </c>
      <c r="C13877" s="5" t="str">
        <f>IFERROR(__xludf.DUMMYFUNCTION("GOOGLETRANSLATE(B13877,""en"",""es-ES"")"),"Cada lado puntúa puntos y luego se muestra un nuevo partido.")</f>
        <v>Cada lado puntúa puntos y luego se muestra un nuevo partido.</v>
      </c>
    </row>
    <row r="13878">
      <c r="A13878" s="4" t="s">
        <v>17472</v>
      </c>
      <c r="B13878" s="4" t="s">
        <v>17473</v>
      </c>
      <c r="C13878" s="5" t="str">
        <f>IFERROR(__xludf.DUMMYFUNCTION("GOOGLETRANSLATE(B13878,""en"",""es-ES"")"),"Vemos una pantalla de título en negro.")</f>
        <v>Vemos una pantalla de título en negro.</v>
      </c>
    </row>
    <row r="13879">
      <c r="A13879" s="4" t="s">
        <v>17472</v>
      </c>
      <c r="B13879" s="4" t="s">
        <v>17474</v>
      </c>
      <c r="C13879" s="5" t="str">
        <f>IFERROR(__xludf.DUMMYFUNCTION("GOOGLETRANSLATE(B13879,""en"",""es-ES"")"),"Luego vemos a una mujer patinando por una calle en una ciudad.")</f>
        <v>Luego vemos a una mujer patinando por una calle en una ciudad.</v>
      </c>
    </row>
    <row r="13880">
      <c r="A13880" s="4" t="s">
        <v>17472</v>
      </c>
      <c r="B13880" s="4" t="s">
        <v>17475</v>
      </c>
      <c r="C13880" s="5" t="str">
        <f>IFERROR(__xludf.DUMMYFUNCTION("GOOGLETRANSLATE(B13880,""en"",""es-ES"")"),"Los autos comienzan a pasar a la dama.")</f>
        <v>Los autos comienzan a pasar a la dama.</v>
      </c>
    </row>
    <row r="13881">
      <c r="A13881" s="4" t="s">
        <v>17472</v>
      </c>
      <c r="B13881" s="4" t="s">
        <v>17476</v>
      </c>
      <c r="C13881" s="5" t="str">
        <f>IFERROR(__xludf.DUMMYFUNCTION("GOOGLETRANSLATE(B13881,""en"",""es-ES"")"),"La señora pasa autos estacionados.")</f>
        <v>La señora pasa autos estacionados.</v>
      </c>
    </row>
    <row r="13882">
      <c r="A13882" s="4" t="s">
        <v>17472</v>
      </c>
      <c r="B13882" s="4" t="s">
        <v>17477</v>
      </c>
      <c r="C13882" s="5" t="str">
        <f>IFERROR(__xludf.DUMMYFUNCTION("GOOGLETRANSLATE(B13882,""en"",""es-ES"")"),"La señora habla mientras se para frente a la puerta de un edificio.")</f>
        <v>La señora habla mientras se para frente a la puerta de un edificio.</v>
      </c>
    </row>
    <row r="13883">
      <c r="A13883" s="4" t="s">
        <v>17472</v>
      </c>
      <c r="B13883" s="4" t="s">
        <v>17478</v>
      </c>
      <c r="C13883" s="5" t="str">
        <f>IFERROR(__xludf.DUMMYFUNCTION("GOOGLETRANSLATE(B13883,""en"",""es-ES"")"),"Ella habla cerca de una carretera.")</f>
        <v>Ella habla cerca de una carretera.</v>
      </c>
    </row>
    <row r="13884">
      <c r="A13884" s="4" t="s">
        <v>17472</v>
      </c>
      <c r="B13884" s="4" t="s">
        <v>17479</v>
      </c>
      <c r="C13884" s="5" t="str">
        <f>IFERROR(__xludf.DUMMYFUNCTION("GOOGLETRANSLATE(B13884,""en"",""es-ES"")"),"Vemos la pantalla final en negro.")</f>
        <v>Vemos la pantalla final en negro.</v>
      </c>
    </row>
    <row r="13885">
      <c r="A13885" s="4" t="s">
        <v>17480</v>
      </c>
      <c r="B13885" s="4" t="s">
        <v>17481</v>
      </c>
      <c r="C13885" s="5" t="str">
        <f>IFERROR(__xludf.DUMMYFUNCTION("GOOGLETRANSLATE(B13885,""en"",""es-ES"")"),"Un grupo de bailarines del vientre está posando en el escenario.")</f>
        <v>Un grupo de bailarines del vientre está posando en el escenario.</v>
      </c>
    </row>
    <row r="13886">
      <c r="A13886" s="4" t="s">
        <v>17480</v>
      </c>
      <c r="B13886" s="4" t="s">
        <v>17482</v>
      </c>
      <c r="C13886" s="5" t="str">
        <f>IFERROR(__xludf.DUMMYFUNCTION("GOOGLETRANSLATE(B13886,""en"",""es-ES"")"),"Comienzan a bailar, girando sus bufandas alrededor de sus cuerpos mientras bailan.")</f>
        <v>Comienzan a bailar, girando sus bufandas alrededor de sus cuerpos mientras bailan.</v>
      </c>
    </row>
    <row r="13887">
      <c r="A13887" s="4" t="s">
        <v>17480</v>
      </c>
      <c r="B13887" s="4" t="s">
        <v>17483</v>
      </c>
      <c r="C13887" s="5" t="str">
        <f>IFERROR(__xludf.DUMMYFUNCTION("GOOGLETRANSLATE(B13887,""en"",""es-ES"")"),"Dejan caer las bufandas, enfocándose únicamente en el baile antes de caer al suelo, luego levantándose y bailando fuera del escenario.")</f>
        <v>Dejan caer las bufandas, enfocándose únicamente en el baile antes de caer al suelo, luego levantándose y bailando fuera del escenario.</v>
      </c>
    </row>
    <row r="13888">
      <c r="A13888" s="4" t="s">
        <v>17484</v>
      </c>
      <c r="B13888" s="4" t="s">
        <v>17485</v>
      </c>
      <c r="C13888" s="5" t="str">
        <f>IFERROR(__xludf.DUMMYFUNCTION("GOOGLETRANSLATE(B13888,""en"",""es-ES"")"),"Un hombre está rastrillando hojas en su patio.")</f>
        <v>Un hombre está rastrillando hojas en su patio.</v>
      </c>
    </row>
    <row r="13889">
      <c r="A13889" s="4" t="s">
        <v>17484</v>
      </c>
      <c r="B13889" s="4" t="s">
        <v>17486</v>
      </c>
      <c r="C13889" s="5" t="str">
        <f>IFERROR(__xludf.DUMMYFUNCTION("GOOGLETRANSLATE(B13889,""en"",""es-ES"")"),"Ha embolsado varias hojas mientras las saca de un baño de pájaros.")</f>
        <v>Ha embolsado varias hojas mientras las saca de un baño de pájaros.</v>
      </c>
    </row>
    <row r="13890">
      <c r="A13890" s="4" t="s">
        <v>17484</v>
      </c>
      <c r="B13890" s="4" t="s">
        <v>17487</v>
      </c>
      <c r="C13890" s="5" t="str">
        <f>IFERROR(__xludf.DUMMYFUNCTION("GOOGLETRANSLATE(B13890,""en"",""es-ES"")"),"Continúa rastrillando, luego abre una bolsa para verter rocas alrededor del baño de pájaros.")</f>
        <v>Continúa rastrillando, luego abre una bolsa para verter rocas alrededor del baño de pájaros.</v>
      </c>
    </row>
    <row r="13891">
      <c r="A13891" s="4" t="s">
        <v>17488</v>
      </c>
      <c r="B13891" s="4" t="s">
        <v>17489</v>
      </c>
      <c r="C13891" s="5" t="str">
        <f>IFERROR(__xludf.DUMMYFUNCTION("GOOGLETRANSLATE(B13891,""en"",""es-ES"")"),"La gente compite a Bike Cross en un campo.")</f>
        <v>La gente compite a Bike Cross en un campo.</v>
      </c>
    </row>
    <row r="13892">
      <c r="A13892" s="4" t="s">
        <v>17488</v>
      </c>
      <c r="B13892" s="4" t="s">
        <v>17490</v>
      </c>
      <c r="C13892" s="5" t="str">
        <f>IFERROR(__xludf.DUMMYFUNCTION("GOOGLETRANSLATE(B13892,""en"",""es-ES"")"),"La gente bicicleta en una pista llena de baches donde una multitud se reúne para ver la competencia de la bicicleta cruzada.")</f>
        <v>La gente bicicleta en una pista llena de baches donde una multitud se reúne para ver la competencia de la bicicleta cruzada.</v>
      </c>
    </row>
    <row r="13893">
      <c r="A13893" s="4" t="s">
        <v>17488</v>
      </c>
      <c r="B13893" s="4" t="s">
        <v>17491</v>
      </c>
      <c r="C13893" s="5" t="str">
        <f>IFERROR(__xludf.DUMMYFUNCTION("GOOGLETRANSLATE(B13893,""en"",""es-ES"")"),"Un motociclista cae en el suelo.")</f>
        <v>Un motociclista cae en el suelo.</v>
      </c>
    </row>
    <row r="13894">
      <c r="A13894" s="4" t="s">
        <v>17488</v>
      </c>
      <c r="B13894" s="4" t="s">
        <v>17492</v>
      </c>
      <c r="C13894" s="5" t="str">
        <f>IFERROR(__xludf.DUMMYFUNCTION("GOOGLETRANSLATE(B13894,""en"",""es-ES"")"),"Los ciclistas llegan a la línea de meta.")</f>
        <v>Los ciclistas llegan a la línea de meta.</v>
      </c>
    </row>
    <row r="13895">
      <c r="A13895" s="4" t="s">
        <v>17493</v>
      </c>
      <c r="B13895" s="4" t="s">
        <v>17494</v>
      </c>
      <c r="C13895" s="5" t="str">
        <f>IFERROR(__xludf.DUMMYFUNCTION("GOOGLETRANSLATE(B13895,""en"",""es-ES"")"),"Se ve a un hombre parado en un gimnasio sosteniendo una raqueta mientras la cámara se desplaza para mostrar a dos hombres.")</f>
        <v>Se ve a un hombre parado en un gimnasio sosteniendo una raqueta mientras la cámara se desplaza para mostrar a dos hombres.</v>
      </c>
    </row>
    <row r="13896">
      <c r="A13896" s="4" t="s">
        <v>17493</v>
      </c>
      <c r="B13896" s="4" t="s">
        <v>17495</v>
      </c>
      <c r="C13896" s="5" t="str">
        <f>IFERROR(__xludf.DUMMYFUNCTION("GOOGLETRANSLATE(B13896,""en"",""es-ES"")"),"Los hombres se mueven unos a otros en el gimnasio golpeando una pelota de la pared.")</f>
        <v>Los hombres se mueven unos a otros en el gimnasio golpeando una pelota de la pared.</v>
      </c>
    </row>
    <row r="13897">
      <c r="A13897" s="4" t="s">
        <v>17493</v>
      </c>
      <c r="B13897" s="4" t="s">
        <v>17496</v>
      </c>
      <c r="C13897" s="5" t="str">
        <f>IFERROR(__xludf.DUMMYFUNCTION("GOOGLETRANSLATE(B13897,""en"",""es-ES"")"),"Los dos continúan golpeando la pelota y caminando para golpearla.")</f>
        <v>Los dos continúan golpeando la pelota y caminando para golpearla.</v>
      </c>
    </row>
    <row r="13898">
      <c r="A13898" s="4" t="s">
        <v>17497</v>
      </c>
      <c r="B13898" s="4" t="s">
        <v>17498</v>
      </c>
      <c r="C13898" s="5" t="str">
        <f>IFERROR(__xludf.DUMMYFUNCTION("GOOGLETRANSLATE(B13898,""en"",""es-ES"")"),"Hombres y mujeres están en equipo jugando con Foosball en una mesa en una cancha.")</f>
        <v>Hombres y mujeres están en equipo jugando con Foosball en una mesa en una cancha.</v>
      </c>
    </row>
    <row r="13899">
      <c r="A13899" s="4" t="s">
        <v>17497</v>
      </c>
      <c r="B13899" s="4" t="s">
        <v>17499</v>
      </c>
      <c r="C13899" s="5" t="str">
        <f>IFERROR(__xludf.DUMMYFUNCTION("GOOGLETRANSLATE(B13899,""en"",""es-ES"")"),"El árbitro está parado frente a la mesa mirando el juego.")</f>
        <v>El árbitro está parado frente a la mesa mirando el juego.</v>
      </c>
    </row>
    <row r="13900">
      <c r="A13900" s="4" t="s">
        <v>17497</v>
      </c>
      <c r="B13900" s="4" t="s">
        <v>17500</v>
      </c>
      <c r="C13900" s="5" t="str">
        <f>IFERROR(__xludf.DUMMYFUNCTION("GOOGLETRANSLATE(B13900,""en"",""es-ES"")"),"La gente está sentada en terrazas detrás de la cancha viendo el juego.")</f>
        <v>La gente está sentada en terrazas detrás de la cancha viendo el juego.</v>
      </c>
    </row>
    <row r="13901">
      <c r="A13901" s="4" t="s">
        <v>17501</v>
      </c>
      <c r="B13901" s="4" t="s">
        <v>17502</v>
      </c>
      <c r="C13901" s="5" t="str">
        <f>IFERROR(__xludf.DUMMYFUNCTION("GOOGLETRANSLATE(B13901,""en"",""es-ES"")"),"Una niña se sienta en el asiento de los conductores de un automóvil y disfruta de un cono de helado.")</f>
        <v>Una niña se sienta en el asiento de los conductores de un automóvil y disfruta de un cono de helado.</v>
      </c>
    </row>
    <row r="13902">
      <c r="A13902" s="4" t="s">
        <v>17501</v>
      </c>
      <c r="B13902" s="4" t="s">
        <v>17503</v>
      </c>
      <c r="C13902" s="5" t="str">
        <f>IFERROR(__xludf.DUMMYFUNCTION("GOOGLETRANSLATE(B13902,""en"",""es-ES"")"),"La niña se ríe mientras intenta comer el helado.")</f>
        <v>La niña se ríe mientras intenta comer el helado.</v>
      </c>
    </row>
    <row r="13903">
      <c r="A13903" s="4" t="s">
        <v>17501</v>
      </c>
      <c r="B13903" s="4" t="s">
        <v>17504</v>
      </c>
      <c r="C13903" s="5" t="str">
        <f>IFERROR(__xludf.DUMMYFUNCTION("GOOGLETRANSLATE(B13903,""en"",""es-ES"")"),"La niña lame el cono de helado con la punta de su lengua.")</f>
        <v>La niña lame el cono de helado con la punta de su lengua.</v>
      </c>
    </row>
    <row r="13904">
      <c r="A13904" s="4" t="s">
        <v>17505</v>
      </c>
      <c r="B13904" s="4" t="s">
        <v>17506</v>
      </c>
      <c r="C13904" s="5" t="str">
        <f>IFERROR(__xludf.DUMMYFUNCTION("GOOGLETRANSLATE(B13904,""en"",""es-ES"")"),"Se ve a un hombre parado en una habitación negra y procede a tocar una flauta mientras la cámara lo captura.")</f>
        <v>Se ve a un hombre parado en una habitación negra y procede a tocar una flauta mientras la cámara lo captura.</v>
      </c>
    </row>
    <row r="13905">
      <c r="A13905" s="4" t="s">
        <v>17505</v>
      </c>
      <c r="B13905" s="4" t="s">
        <v>17507</v>
      </c>
      <c r="C13905" s="5" t="str">
        <f>IFERROR(__xludf.DUMMYFUNCTION("GOOGLETRANSLATE(B13905,""en"",""es-ES"")"),"El hombre continúa colocando el instrumento mientras se mueve hacia arriba y hacia abajo y avanza la cabeza hacia el ritmo.")</f>
        <v>El hombre continúa colocando el instrumento mientras se mueve hacia arriba y hacia abajo y avanza la cabeza hacia el ritmo.</v>
      </c>
    </row>
    <row r="13906">
      <c r="A13906" s="4" t="s">
        <v>17508</v>
      </c>
      <c r="B13906" s="4" t="s">
        <v>17509</v>
      </c>
      <c r="C13906" s="5" t="str">
        <f>IFERROR(__xludf.DUMMYFUNCTION("GOOGLETRANSLATE(B13906,""en"",""es-ES"")"),"Dos chicas jóvenes se paran frente a una chimenea con violines.")</f>
        <v>Dos chicas jóvenes se paran frente a una chimenea con violines.</v>
      </c>
    </row>
    <row r="13907">
      <c r="A13907" s="4" t="s">
        <v>17508</v>
      </c>
      <c r="B13907" s="4" t="s">
        <v>17510</v>
      </c>
      <c r="C13907" s="5" t="str">
        <f>IFERROR(__xludf.DUMMYFUNCTION("GOOGLETRANSLATE(B13907,""en"",""es-ES"")"),"Las chicas comienzan a tocar una pieza musical en los violines y luego se inclinan al final.")</f>
        <v>Las chicas comienzan a tocar una pieza musical en los violines y luego se inclinan al final.</v>
      </c>
    </row>
    <row r="13908">
      <c r="A13908" s="4" t="s">
        <v>17508</v>
      </c>
      <c r="B13908" s="4" t="s">
        <v>17511</v>
      </c>
      <c r="C13908" s="5" t="str">
        <f>IFERROR(__xludf.DUMMYFUNCTION("GOOGLETRANSLATE(B13908,""en"",""es-ES"")"),"Dos niños más pequeños aparecen al aire libre con una dirección de sitio web superpuesta.")</f>
        <v>Dos niños más pequeños aparecen al aire libre con una dirección de sitio web superpuesta.</v>
      </c>
    </row>
    <row r="13909">
      <c r="A13909" s="4" t="s">
        <v>17512</v>
      </c>
      <c r="B13909" s="4" t="s">
        <v>17513</v>
      </c>
      <c r="C13909" s="5" t="str">
        <f>IFERROR(__xludf.DUMMYFUNCTION("GOOGLETRANSLATE(B13909,""en"",""es-ES"")"),"Los suministros para envolver un regalo se encuentran en una mesa de madera.")</f>
        <v>Los suministros para envolver un regalo se encuentran en una mesa de madera.</v>
      </c>
    </row>
    <row r="13910">
      <c r="A13910" s="4" t="s">
        <v>17512</v>
      </c>
      <c r="B13910" s="4" t="s">
        <v>17514</v>
      </c>
      <c r="C13910" s="5" t="str">
        <f>IFERROR(__xludf.DUMMYFUNCTION("GOOGLETRANSLATE(B13910,""en"",""es-ES"")"),"Un regalo envuelto en regalos está envuelto con un plástico transparente y grabado en su lugar.")</f>
        <v>Un regalo envuelto en regalos está envuelto con un plástico transparente y grabado en su lugar.</v>
      </c>
    </row>
    <row r="13911">
      <c r="A13911" s="4" t="s">
        <v>17512</v>
      </c>
      <c r="B13911" s="4" t="s">
        <v>17515</v>
      </c>
      <c r="C13911" s="5" t="str">
        <f>IFERROR(__xludf.DUMMYFUNCTION("GOOGLETRANSLATE(B13911,""en"",""es-ES"")"),"Las cintas rojas están atadas en cada extremo.")</f>
        <v>Las cintas rojas están atadas en cada extremo.</v>
      </c>
    </row>
    <row r="13912">
      <c r="A13912" s="4" t="s">
        <v>17512</v>
      </c>
      <c r="B13912" s="4" t="s">
        <v>17516</v>
      </c>
      <c r="C13912" s="5" t="str">
        <f>IFERROR(__xludf.DUMMYFUNCTION("GOOGLETRANSLATE(B13912,""en"",""es-ES"")"),"Se usa una tijera para cortar el exceso de plástico transparente en cada extremo.")</f>
        <v>Se usa una tijera para cortar el exceso de plástico transparente en cada extremo.</v>
      </c>
    </row>
    <row r="13913">
      <c r="A13913" s="4" t="s">
        <v>17512</v>
      </c>
      <c r="B13913" s="4" t="s">
        <v>17517</v>
      </c>
      <c r="C13913" s="5" t="str">
        <f>IFERROR(__xludf.DUMMYFUNCTION("GOOGLETRANSLATE(B13913,""en"",""es-ES"")"),"El producto final envuelto está en la mesa.")</f>
        <v>El producto final envuelto está en la mesa.</v>
      </c>
    </row>
    <row r="13914">
      <c r="A13914" s="4" t="s">
        <v>17518</v>
      </c>
      <c r="B13914" s="4" t="s">
        <v>17519</v>
      </c>
      <c r="C13914" s="5" t="str">
        <f>IFERROR(__xludf.DUMMYFUNCTION("GOOGLETRANSLATE(B13914,""en"",""es-ES"")"),"Se ve a una mujer con cabello largo mirando profundamente la cámara y acariciando su rostro.")</f>
        <v>Se ve a una mujer con cabello largo mirando profundamente la cámara y acariciando su rostro.</v>
      </c>
    </row>
    <row r="13915">
      <c r="A13915" s="4" t="s">
        <v>17518</v>
      </c>
      <c r="B13915" s="4" t="s">
        <v>17520</v>
      </c>
      <c r="C13915" s="5" t="str">
        <f>IFERROR(__xludf.DUMMYFUNCTION("GOOGLETRANSLATE(B13915,""en"",""es-ES"")"),"Luego se cepilla el cabello y termina el video sonriendo.")</f>
        <v>Luego se cepilla el cabello y termina el video sonriendo.</v>
      </c>
    </row>
    <row r="13916">
      <c r="A13916" s="4" t="s">
        <v>17521</v>
      </c>
      <c r="B13916" s="4" t="s">
        <v>17522</v>
      </c>
      <c r="C13916" s="5" t="str">
        <f>IFERROR(__xludf.DUMMYFUNCTION("GOOGLETRANSLATE(B13916,""en"",""es-ES"")"),"Una niña juega en una piscina de plástico interior con un tobogán.")</f>
        <v>Una niña juega en una piscina de plástico interior con un tobogán.</v>
      </c>
    </row>
    <row r="13917">
      <c r="A13917" s="4" t="s">
        <v>17521</v>
      </c>
      <c r="B13917" s="4" t="s">
        <v>17523</v>
      </c>
      <c r="C13917" s="5" t="str">
        <f>IFERROR(__xludf.DUMMYFUNCTION("GOOGLETRANSLATE(B13917,""en"",""es-ES"")"),"La niña sube por la caja de la escalera y luego se desliza por el tobogán.")</f>
        <v>La niña sube por la caja de la escalera y luego se desliza por el tobogán.</v>
      </c>
    </row>
    <row r="13918">
      <c r="A13918" s="4" t="s">
        <v>17521</v>
      </c>
      <c r="B13918" s="4" t="s">
        <v>17524</v>
      </c>
      <c r="C13918" s="5" t="str">
        <f>IFERROR(__xludf.DUMMYFUNCTION("GOOGLETRANSLATE(B13918,""en"",""es-ES"")"),"La niña sube una escalera y luego se arrastra a través de un túnel.")</f>
        <v>La niña sube una escalera y luego se arrastra a través de un túnel.</v>
      </c>
    </row>
    <row r="13919">
      <c r="A13919" s="4" t="s">
        <v>17521</v>
      </c>
      <c r="B13919" s="4" t="s">
        <v>17525</v>
      </c>
      <c r="C13919" s="5" t="str">
        <f>IFERROR(__xludf.DUMMYFUNCTION("GOOGLETRANSLATE(B13919,""en"",""es-ES"")"),"La niña se desliza hacia una piscina de bola y luego sube hacia el tobogán.")</f>
        <v>La niña se desliza hacia una piscina de bola y luego sube hacia el tobogán.</v>
      </c>
    </row>
    <row r="13920">
      <c r="A13920" s="4" t="s">
        <v>17521</v>
      </c>
      <c r="B13920" s="4" t="s">
        <v>17526</v>
      </c>
      <c r="C13920" s="5" t="str">
        <f>IFERROR(__xludf.DUMMYFUNCTION("GOOGLETRANSLATE(B13920,""en"",""es-ES"")"),"La niña juega con el tablero de tick-toe antes de retroceder.")</f>
        <v>La niña juega con el tablero de tick-toe antes de retroceder.</v>
      </c>
    </row>
    <row r="13921">
      <c r="A13921" s="4" t="s">
        <v>17521</v>
      </c>
      <c r="B13921" s="4" t="s">
        <v>17527</v>
      </c>
      <c r="C13921" s="5" t="str">
        <f>IFERROR(__xludf.DUMMYFUNCTION("GOOGLETRANSLATE(B13921,""en"",""es-ES"")"),"El niño se balancea en un columpio.")</f>
        <v>El niño se balancea en un columpio.</v>
      </c>
    </row>
    <row r="13922">
      <c r="A13922" s="4" t="s">
        <v>17521</v>
      </c>
      <c r="B13922" s="4" t="s">
        <v>17528</v>
      </c>
      <c r="C13922" s="5" t="str">
        <f>IFERROR(__xludf.DUMMYFUNCTION("GOOGLETRANSLATE(B13922,""en"",""es-ES"")"),"El niño entra en una sala de trampolín y luego salta hacia arriba y hacia abajo.")</f>
        <v>El niño entra en una sala de trampolín y luego salta hacia arriba y hacia abajo.</v>
      </c>
    </row>
    <row r="13923">
      <c r="A13923" s="4" t="s">
        <v>17521</v>
      </c>
      <c r="B13923" s="4" t="s">
        <v>17529</v>
      </c>
      <c r="C13923" s="5" t="str">
        <f>IFERROR(__xludf.DUMMYFUNCTION("GOOGLETRANSLATE(B13923,""en"",""es-ES"")"),"El niño camina sobre un puente colgante y luego sobre un puente con redes.")</f>
        <v>El niño camina sobre un puente colgante y luego sobre un puente con redes.</v>
      </c>
    </row>
    <row r="13924">
      <c r="A13924" s="4" t="s">
        <v>17521</v>
      </c>
      <c r="B13924" s="4" t="s">
        <v>17530</v>
      </c>
      <c r="C13924" s="5" t="str">
        <f>IFERROR(__xludf.DUMMYFUNCTION("GOOGLETRANSLATE(B13924,""en"",""es-ES"")"),"La niña se desliza hacia la piscina de la pelota y luego sube a la pared y vuelve a entrar.")</f>
        <v>La niña se desliza hacia la piscina de la pelota y luego sube a la pared y vuelve a entrar.</v>
      </c>
    </row>
    <row r="13925">
      <c r="A13925" s="4" t="s">
        <v>17521</v>
      </c>
      <c r="B13925" s="4" t="s">
        <v>17531</v>
      </c>
      <c r="C13925" s="5" t="str">
        <f>IFERROR(__xludf.DUMMYFUNCTION("GOOGLETRANSLATE(B13925,""en"",""es-ES"")"),"La niña sube por la barandilla de diapositivas.")</f>
        <v>La niña sube por la barandilla de diapositivas.</v>
      </c>
    </row>
    <row r="13926">
      <c r="A13926" s="4" t="s">
        <v>17521</v>
      </c>
      <c r="B13926" s="4" t="s">
        <v>17532</v>
      </c>
      <c r="C13926" s="5" t="str">
        <f>IFERROR(__xludf.DUMMYFUNCTION("GOOGLETRANSLATE(B13926,""en"",""es-ES"")"),"La niña se desliza por un empinado tobogán naranja.")</f>
        <v>La niña se desliza por un empinado tobogán naranja.</v>
      </c>
    </row>
    <row r="13927">
      <c r="A13927" s="4" t="s">
        <v>17521</v>
      </c>
      <c r="B13927" s="4" t="s">
        <v>17533</v>
      </c>
      <c r="C13927" s="5" t="str">
        <f>IFERROR(__xludf.DUMMYFUNCTION("GOOGLETRANSLATE(B13927,""en"",""es-ES"")"),"Las bolas se arrojan a la niña y ella las arroja a reír.")</f>
        <v>Las bolas se arrojan a la niña y ella las arroja a reír.</v>
      </c>
    </row>
    <row r="13928">
      <c r="A13928" s="4" t="s">
        <v>17534</v>
      </c>
      <c r="B13928" s="4" t="s">
        <v>17535</v>
      </c>
      <c r="C13928" s="5" t="str">
        <f>IFERROR(__xludf.DUMMYFUNCTION("GOOGLETRANSLATE(B13928,""en"",""es-ES"")"),"Se ve a un hombre tocando la batería con otro hombre a su lado, con varias luces, parpadean en su rostro.")</f>
        <v>Se ve a un hombre tocando la batería con otro hombre a su lado, con varias luces, parpadean en su rostro.</v>
      </c>
    </row>
    <row r="13929">
      <c r="A13929" s="4" t="s">
        <v>17534</v>
      </c>
      <c r="B13929" s="4" t="s">
        <v>17536</v>
      </c>
      <c r="C13929" s="5" t="str">
        <f>IFERROR(__xludf.DUMMYFUNCTION("GOOGLETRANSLATE(B13929,""en"",""es-ES"")"),"Se ve a otro hombre sosteniendo una guitarra y se muestran varias tomas de un escenario.")</f>
        <v>Se ve a otro hombre sosteniendo una guitarra y se muestran varias tomas de un escenario.</v>
      </c>
    </row>
    <row r="13930">
      <c r="A13930" s="4" t="s">
        <v>17534</v>
      </c>
      <c r="B13930" s="4" t="s">
        <v>17537</v>
      </c>
      <c r="C13930" s="5" t="str">
        <f>IFERROR(__xludf.DUMMYFUNCTION("GOOGLETRANSLATE(B13930,""en"",""es-ES"")"),"El músico toma un micrófono y el guitarrista salta al escenario con un cigarrillo en la boca.")</f>
        <v>El músico toma un micrófono y el guitarrista salta al escenario con un cigarrillo en la boca.</v>
      </c>
    </row>
    <row r="13931">
      <c r="A13931" s="4" t="s">
        <v>17538</v>
      </c>
      <c r="B13931" s="4" t="s">
        <v>17539</v>
      </c>
      <c r="C13931" s="5" t="str">
        <f>IFERROR(__xludf.DUMMYFUNCTION("GOOGLETRANSLATE(B13931,""en"",""es-ES"")"),"Un hombre que sostiene un violín está hablando con la cámara con un niño que también está sosteniendo un violín.")</f>
        <v>Un hombre que sostiene un violín está hablando con la cámara con un niño que también está sosteniendo un violín.</v>
      </c>
    </row>
    <row r="13932">
      <c r="A13932" s="4" t="s">
        <v>17538</v>
      </c>
      <c r="B13932" s="4" t="s">
        <v>17540</v>
      </c>
      <c r="C13932" s="5" t="str">
        <f>IFERROR(__xludf.DUMMYFUNCTION("GOOGLETRANSLATE(B13932,""en"",""es-ES"")"),"Los chicos hablan y el cuarto por un tiempo y el hombre le muestra al niño cómo tocar adecuadamente el violín.")</f>
        <v>Los chicos hablan y el cuarto por un tiempo y el hombre le muestra al niño cómo tocar adecuadamente el violín.</v>
      </c>
    </row>
    <row r="13933">
      <c r="A13933" s="4" t="s">
        <v>17538</v>
      </c>
      <c r="B13933" s="4" t="s">
        <v>17541</v>
      </c>
      <c r="C13933" s="5" t="str">
        <f>IFERROR(__xludf.DUMMYFUNCTION("GOOGLETRANSLATE(B13933,""en"",""es-ES"")"),"Luego, el niño hace exactamente lo que el instructor le enseñó mientras el instructor corrige su tocina.")</f>
        <v>Luego, el niño hace exactamente lo que el instructor le enseñó mientras el instructor corrige su tocina.</v>
      </c>
    </row>
    <row r="13934">
      <c r="A13934" s="4" t="s">
        <v>17542</v>
      </c>
      <c r="B13934" s="4" t="s">
        <v>17543</v>
      </c>
      <c r="C13934" s="5" t="str">
        <f>IFERROR(__xludf.DUMMYFUNCTION("GOOGLETRANSLATE(B13934,""en"",""es-ES"")"),"Las manos de una persona se ven colocando arcilla sobre un pastel y comienza a pintar objetos a un lado.")</f>
        <v>Las manos de una persona se ven colocando arcilla sobre un pastel y comienza a pintar objetos a un lado.</v>
      </c>
    </row>
    <row r="13935">
      <c r="A13935" s="4" t="s">
        <v>17542</v>
      </c>
      <c r="B13935" s="4" t="s">
        <v>17544</v>
      </c>
      <c r="C13935" s="5" t="str">
        <f>IFERROR(__xludf.DUMMYFUNCTION("GOOGLETRANSLATE(B13935,""en"",""es-ES"")"),"La mujer pone las decoraciones alrededor del pastel y continúa decorando más objetos a un lado.")</f>
        <v>La mujer pone las decoraciones alrededor del pastel y continúa decorando más objetos a un lado.</v>
      </c>
    </row>
    <row r="13936">
      <c r="A13936" s="4" t="s">
        <v>17542</v>
      </c>
      <c r="B13936" s="4" t="s">
        <v>17545</v>
      </c>
      <c r="C13936" s="5" t="str">
        <f>IFERROR(__xludf.DUMMYFUNCTION("GOOGLETRANSLATE(B13936,""en"",""es-ES"")"),"Ella termina el pastel agregando las decoraciones finales y presentándolo a la cámara.")</f>
        <v>Ella termina el pastel agregando las decoraciones finales y presentándolo a la cámara.</v>
      </c>
    </row>
    <row r="13937">
      <c r="A13937" s="4" t="s">
        <v>17546</v>
      </c>
      <c r="B13937" s="4" t="s">
        <v>17547</v>
      </c>
      <c r="C13937" s="5" t="str">
        <f>IFERROR(__xludf.DUMMYFUNCTION("GOOGLETRANSLATE(B13937,""en"",""es-ES"")"),"La gente está en stands viendo a dos equipos en un fútbol de billar de juego de billar.")</f>
        <v>La gente está en stands viendo a dos equipos en un fútbol de billar de juego de billar.</v>
      </c>
    </row>
    <row r="13938">
      <c r="A13938" s="4" t="s">
        <v>17546</v>
      </c>
      <c r="B13938" s="4" t="s">
        <v>17548</v>
      </c>
      <c r="C13938" s="5" t="str">
        <f>IFERROR(__xludf.DUMMYFUNCTION("GOOGLETRANSLATE(B13938,""en"",""es-ES"")"),"Los jugadores gritan y luego la pelota es golpeada hacia la portería y se desvía mientras la multitud los anima.")</f>
        <v>Los jugadores gritan y luego la pelota es golpeada hacia la portería y se desvía mientras la multitud los anima.</v>
      </c>
    </row>
    <row r="13939">
      <c r="A13939" s="4" t="s">
        <v>17546</v>
      </c>
      <c r="B13939" s="4" t="s">
        <v>17549</v>
      </c>
      <c r="C13939" s="5" t="str">
        <f>IFERROR(__xludf.DUMMYFUNCTION("GOOGLETRANSLATE(B13939,""en"",""es-ES"")"),"La pelota se arroja de vuelta a la piscina.")</f>
        <v>La pelota se arroja de vuelta a la piscina.</v>
      </c>
    </row>
    <row r="13940">
      <c r="A13940" s="4" t="s">
        <v>17550</v>
      </c>
      <c r="B13940" s="4" t="s">
        <v>17551</v>
      </c>
      <c r="C13940" s="5" t="str">
        <f>IFERROR(__xludf.DUMMYFUNCTION("GOOGLETRANSLATE(B13940,""en"",""es-ES"")"),"Un hombre está arrodillado dentro de un gimnasio.")</f>
        <v>Un hombre está arrodillado dentro de un gimnasio.</v>
      </c>
    </row>
    <row r="13941">
      <c r="A13941" s="4" t="s">
        <v>17550</v>
      </c>
      <c r="B13941" s="4" t="s">
        <v>17552</v>
      </c>
      <c r="C13941" s="5" t="str">
        <f>IFERROR(__xludf.DUMMYFUNCTION("GOOGLETRANSLATE(B13941,""en"",""es-ES"")"),"Tiene una barra descansando sobre sus hombros mientras salta.")</f>
        <v>Tiene una barra descansando sobre sus hombros mientras salta.</v>
      </c>
    </row>
    <row r="13942">
      <c r="A13942" s="4" t="s">
        <v>17550</v>
      </c>
      <c r="B13942" s="4" t="s">
        <v>17553</v>
      </c>
      <c r="C13942" s="5" t="str">
        <f>IFERROR(__xludf.DUMMYFUNCTION("GOOGLETRANSLATE(B13942,""en"",""es-ES"")"),"Se para completamente, luego deja caer los pesos.")</f>
        <v>Se para completamente, luego deja caer los pesos.</v>
      </c>
    </row>
    <row r="13943">
      <c r="A13943" s="4" t="s">
        <v>17554</v>
      </c>
      <c r="B13943" s="4" t="s">
        <v>17555</v>
      </c>
      <c r="C13943" s="5" t="str">
        <f>IFERROR(__xludf.DUMMYFUNCTION("GOOGLETRANSLATE(B13943,""en"",""es-ES"")"),"Un hombre que lleva una camisa blanca se encuentra en una cocina con un trapeador.")</f>
        <v>Un hombre que lleva una camisa blanca se encuentra en una cocina con un trapeador.</v>
      </c>
    </row>
    <row r="13944">
      <c r="A13944" s="4" t="s">
        <v>17554</v>
      </c>
      <c r="B13944" s="4" t="s">
        <v>17556</v>
      </c>
      <c r="C13944" s="5" t="str">
        <f>IFERROR(__xludf.DUMMYFUNCTION("GOOGLETRANSLATE(B13944,""en"",""es-ES"")"),"El hombre comienza a limpiar el piso mientras está parado frente a las lavadoras.")</f>
        <v>El hombre comienza a limpiar el piso mientras está parado frente a las lavadoras.</v>
      </c>
    </row>
    <row r="13945">
      <c r="A13945" s="4" t="s">
        <v>17554</v>
      </c>
      <c r="B13945" s="4" t="s">
        <v>17557</v>
      </c>
      <c r="C13945" s="5" t="str">
        <f>IFERROR(__xludf.DUMMYFUNCTION("GOOGLETRANSLATE(B13945,""en"",""es-ES"")"),"El hombre trapado da unos pasos y se desliza cuando su pierna izquierda se desliza en el piso y cae al suelo.")</f>
        <v>El hombre trapado da unos pasos y se desliza cuando su pierna izquierda se desliza en el piso y cae al suelo.</v>
      </c>
    </row>
    <row r="13946">
      <c r="A13946" s="4" t="s">
        <v>17558</v>
      </c>
      <c r="B13946" s="4" t="s">
        <v>17559</v>
      </c>
      <c r="C13946" s="5" t="str">
        <f>IFERROR(__xludf.DUMMYFUNCTION("GOOGLETRANSLATE(B13946,""en"",""es-ES"")"),"Dos trenes conducen a lo largo de un ferrocarril elevado en una ciudad.")</f>
        <v>Dos trenes conducen a lo largo de un ferrocarril elevado en una ciudad.</v>
      </c>
    </row>
    <row r="13947">
      <c r="A13947" s="4" t="s">
        <v>17558</v>
      </c>
      <c r="B13947" s="4" t="s">
        <v>17560</v>
      </c>
      <c r="C13947" s="5" t="str">
        <f>IFERROR(__xludf.DUMMYFUNCTION("GOOGLETRANSLATE(B13947,""en"",""es-ES"")"),"La cámara se reproduce para mostrar a un hombre tocando una armónica mientras está sentado en un tronco al lado de un río.")</f>
        <v>La cámara se reproduce para mostrar a un hombre tocando una armónica mientras está sentado en un tronco al lado de un río.</v>
      </c>
    </row>
    <row r="13948">
      <c r="A13948" s="4" t="s">
        <v>17558</v>
      </c>
      <c r="B13948" s="4" t="s">
        <v>17561</v>
      </c>
      <c r="C13948" s="5" t="str">
        <f>IFERROR(__xludf.DUMMYFUNCTION("GOOGLETRANSLATE(B13948,""en"",""es-ES"")"),"Una mujer camina cerca de las vías del tren mientras un tren conduce.")</f>
        <v>Una mujer camina cerca de las vías del tren mientras un tren conduce.</v>
      </c>
    </row>
    <row r="13949">
      <c r="A13949" s="4" t="s">
        <v>17558</v>
      </c>
      <c r="B13949" s="4" t="s">
        <v>17562</v>
      </c>
      <c r="C13949" s="5" t="str">
        <f>IFERROR(__xludf.DUMMYFUNCTION("GOOGLETRANSLATE(B13949,""en"",""es-ES"")"),"La mujer ve al hombre de la armónica en la distancia.")</f>
        <v>La mujer ve al hombre de la armónica en la distancia.</v>
      </c>
    </row>
    <row r="13950">
      <c r="A13950" s="4" t="s">
        <v>17558</v>
      </c>
      <c r="B13950" s="4" t="s">
        <v>17563</v>
      </c>
      <c r="C13950" s="5" t="str">
        <f>IFERROR(__xludf.DUMMYFUNCTION("GOOGLETRANSLATE(B13950,""en"",""es-ES"")"),"Ella lo mira y lo escucha jugar.")</f>
        <v>Ella lo mira y lo escucha jugar.</v>
      </c>
    </row>
    <row r="13951">
      <c r="A13951" s="4" t="s">
        <v>17558</v>
      </c>
      <c r="B13951" s="4" t="s">
        <v>17564</v>
      </c>
      <c r="C13951" s="5" t="str">
        <f>IFERROR(__xludf.DUMMYFUNCTION("GOOGLETRANSLATE(B13951,""en"",""es-ES"")"),"Ella se aleja dejando al hombre.")</f>
        <v>Ella se aleja dejando al hombre.</v>
      </c>
    </row>
    <row r="13952">
      <c r="A13952" s="4" t="s">
        <v>17558</v>
      </c>
      <c r="B13952" s="4" t="s">
        <v>17565</v>
      </c>
      <c r="C13952" s="5" t="str">
        <f>IFERROR(__xludf.DUMMYFUNCTION("GOOGLETRANSLATE(B13952,""en"",""es-ES"")"),"El hombre termina de jugar y permanece sentado.")</f>
        <v>El hombre termina de jugar y permanece sentado.</v>
      </c>
    </row>
    <row r="13953">
      <c r="A13953" s="4" t="s">
        <v>17566</v>
      </c>
      <c r="B13953" s="4" t="s">
        <v>17567</v>
      </c>
      <c r="C13953" s="5" t="str">
        <f>IFERROR(__xludf.DUMMYFUNCTION("GOOGLETRANSLATE(B13953,""en"",""es-ES"")"),"Un hombre que lleva un delantal pesado, guantes pesados ​​y una gran máscara de plástico sobre su cara se acerca a una herramienta sentada sobre una mesa de madera.")</f>
        <v>Un hombre que lleva un delantal pesado, guantes pesados ​​y una gran máscara de plástico sobre su cara se acerca a una herramienta sentada sobre una mesa de madera.</v>
      </c>
    </row>
    <row r="13954">
      <c r="A13954" s="4" t="s">
        <v>17566</v>
      </c>
      <c r="B13954" s="4" t="s">
        <v>17568</v>
      </c>
      <c r="C13954" s="5" t="str">
        <f>IFERROR(__xludf.DUMMYFUNCTION("GOOGLETRANSLATE(B13954,""en"",""es-ES"")"),"El hombre recoge la herramienta y la toca a algo en la mesa haciendo que las chispas vuelen.")</f>
        <v>El hombre recoge la herramienta y la toca a algo en la mesa haciendo que las chispas vuelen.</v>
      </c>
    </row>
    <row r="13955">
      <c r="A13955" s="4" t="s">
        <v>17566</v>
      </c>
      <c r="B13955" s="4" t="s">
        <v>17569</v>
      </c>
      <c r="C13955" s="5" t="str">
        <f>IFERROR(__xludf.DUMMYFUNCTION("GOOGLETRANSLATE(B13955,""en"",""es-ES"")"),"Un rocío continuo de chispas dispara de la herramienta.")</f>
        <v>Un rocío continuo de chispas dispara de la herramienta.</v>
      </c>
    </row>
    <row r="13956">
      <c r="A13956" s="4" t="s">
        <v>17566</v>
      </c>
      <c r="B13956" s="4" t="s">
        <v>17570</v>
      </c>
      <c r="C13956" s="5" t="str">
        <f>IFERROR(__xludf.DUMMYFUNCTION("GOOGLETRANSLATE(B13956,""en"",""es-ES"")"),"El hombre se detiene y da un paso atrás mientras levanta la máscara de la cara y mira el artículo sobre la mesa.")</f>
        <v>El hombre se detiene y da un paso atrás mientras levanta la máscara de la cara y mira el artículo sobre la mesa.</v>
      </c>
    </row>
    <row r="13957">
      <c r="A13957" s="4" t="s">
        <v>17566</v>
      </c>
      <c r="B13957" s="4" t="s">
        <v>17571</v>
      </c>
      <c r="C13957" s="5" t="str">
        <f>IFERROR(__xludf.DUMMYFUNCTION("GOOGLETRANSLATE(B13957,""en"",""es-ES"")"),"El hombre baja la máscara de la cara y comienza a usar la herramienta nuevamente enviando chispas volando nuevamente.")</f>
        <v>El hombre baja la máscara de la cara y comienza a usar la herramienta nuevamente enviando chispas volando nuevamente.</v>
      </c>
    </row>
    <row r="13958">
      <c r="A13958" s="4" t="s">
        <v>17566</v>
      </c>
      <c r="B13958" s="4" t="s">
        <v>17572</v>
      </c>
      <c r="C13958" s="5" t="str">
        <f>IFERROR(__xludf.DUMMYFUNCTION("GOOGLETRANSLATE(B13958,""en"",""es-ES"")"),"El hombre hace una pausa y retrocede mirando el artículo sobre la mesa.")</f>
        <v>El hombre hace una pausa y retrocede mirando el artículo sobre la mesa.</v>
      </c>
    </row>
    <row r="13959">
      <c r="A13959" s="4" t="s">
        <v>17566</v>
      </c>
      <c r="B13959" s="4" t="s">
        <v>17573</v>
      </c>
      <c r="C13959" s="5" t="str">
        <f>IFERROR(__xludf.DUMMYFUNCTION("GOOGLETRANSLATE(B13959,""en"",""es-ES"")"),"Toca la herramienta al artículo una vez más.")</f>
        <v>Toca la herramienta al artículo una vez más.</v>
      </c>
    </row>
    <row r="13960">
      <c r="A13960" s="4" t="s">
        <v>17566</v>
      </c>
      <c r="B13960" s="4" t="s">
        <v>17574</v>
      </c>
      <c r="C13960" s="5" t="str">
        <f>IFERROR(__xludf.DUMMYFUNCTION("GOOGLETRANSLATE(B13960,""en"",""es-ES"")"),"El hombre luego mira la herramienta que está usando y la sacude un poco antes de sentarse sobre la mesa.")</f>
        <v>El hombre luego mira la herramienta que está usando y la sacude un poco antes de sentarse sobre la mesa.</v>
      </c>
    </row>
    <row r="13961">
      <c r="A13961" s="4" t="s">
        <v>17566</v>
      </c>
      <c r="B13961" s="4" t="s">
        <v>17575</v>
      </c>
      <c r="C13961" s="5" t="str">
        <f>IFERROR(__xludf.DUMMYFUNCTION("GOOGLETRANSLATE(B13961,""en"",""es-ES"")"),"El hombre luego se quita uno de sus guantes y se aleja.")</f>
        <v>El hombre luego se quita uno de sus guantes y se aleja.</v>
      </c>
    </row>
    <row r="13962">
      <c r="A13962" s="4" t="s">
        <v>17576</v>
      </c>
      <c r="B13962" s="4" t="s">
        <v>17577</v>
      </c>
      <c r="C13962" s="5" t="str">
        <f>IFERROR(__xludf.DUMMYFUNCTION("GOOGLETRANSLATE(B13962,""en"",""es-ES"")"),"Se muestra un primer plano de bolas que se mueven alrededor de una mesa de billar, seguido de una persona que camina por la mesa.")</f>
        <v>Se muestra un primer plano de bolas que se mueven alrededor de una mesa de billar, seguido de una persona que camina por la mesa.</v>
      </c>
    </row>
    <row r="13963">
      <c r="A13963" s="4" t="s">
        <v>17576</v>
      </c>
      <c r="B13963" s="4" t="s">
        <v>17578</v>
      </c>
      <c r="C13963" s="5" t="str">
        <f>IFERROR(__xludf.DUMMYFUNCTION("GOOGLETRANSLATE(B13963,""en"",""es-ES"")"),"Dos hombres luego golpearon las bolas alrededor de la mesa y cuarto mientras muchos miran y reaccionan a su alrededor.")</f>
        <v>Dos hombres luego golpearon las bolas alrededor de la mesa y cuarto mientras muchos miran y reaccionan a su alrededor.</v>
      </c>
    </row>
    <row r="13964">
      <c r="A13964" s="4" t="s">
        <v>17579</v>
      </c>
      <c r="B13964" s="4" t="s">
        <v>17580</v>
      </c>
      <c r="C13964" s="5" t="str">
        <f>IFERROR(__xludf.DUMMYFUNCTION("GOOGLETRANSLATE(B13964,""en"",""es-ES"")"),"Se ve a un pequeño grupo de personas sentados en autos de parachoques jugando un juego entre sí.")</f>
        <v>Se ve a un pequeño grupo de personas sentados en autos de parachoques jugando un juego entre sí.</v>
      </c>
    </row>
    <row r="13965">
      <c r="A13965" s="4" t="s">
        <v>17579</v>
      </c>
      <c r="B13965" s="4" t="s">
        <v>17581</v>
      </c>
      <c r="C13965" s="5" t="str">
        <f>IFERROR(__xludf.DUMMYFUNCTION("GOOGLETRANSLATE(B13965,""en"",""es-ES"")"),"Las personas que conducen en los autos mientras otros miran a los lados.")</f>
        <v>Las personas que conducen en los autos mientras otros miran a los lados.</v>
      </c>
    </row>
    <row r="13966">
      <c r="A13966" s="4" t="s">
        <v>17579</v>
      </c>
      <c r="B13966" s="4" t="s">
        <v>17582</v>
      </c>
      <c r="C13966" s="5" t="str">
        <f>IFERROR(__xludf.DUMMYFUNCTION("GOOGLETRANSLATE(B13966,""en"",""es-ES"")"),"Se muestra otra toma de personas que juegan autos de parachoques y se estrellan entre sí.")</f>
        <v>Se muestra otra toma de personas que juegan autos de parachoques y se estrellan entre sí.</v>
      </c>
    </row>
    <row r="13967">
      <c r="A13967" s="4" t="s">
        <v>17583</v>
      </c>
      <c r="B13967" s="4" t="s">
        <v>17584</v>
      </c>
      <c r="C13967" s="5" t="str">
        <f>IFERROR(__xludf.DUMMYFUNCTION("GOOGLETRANSLATE(B13967,""en"",""es-ES"")"),"Una niña se para frente a un espejo de baño y se frota vigorosamente la cara.")</f>
        <v>Una niña se para frente a un espejo de baño y se frota vigorosamente la cara.</v>
      </c>
    </row>
    <row r="13968">
      <c r="A13968" s="4" t="s">
        <v>17583</v>
      </c>
      <c r="B13968" s="4" t="s">
        <v>17585</v>
      </c>
      <c r="C13968" s="5" t="str">
        <f>IFERROR(__xludf.DUMMYFUNCTION("GOOGLETRANSLATE(B13968,""en"",""es-ES"")"),"La niña enciende el grifo.")</f>
        <v>La niña enciende el grifo.</v>
      </c>
    </row>
    <row r="13969">
      <c r="A13969" s="4" t="s">
        <v>17583</v>
      </c>
      <c r="B13969" s="4" t="s">
        <v>17586</v>
      </c>
      <c r="C13969" s="5" t="str">
        <f>IFERROR(__xludf.DUMMYFUNCTION("GOOGLETRANSLATE(B13969,""en"",""es-ES"")"),"La niña sale agua en su rostro varias veces.")</f>
        <v>La niña sale agua en su rostro varias veces.</v>
      </c>
    </row>
    <row r="13970">
      <c r="A13970" s="4" t="s">
        <v>17583</v>
      </c>
      <c r="B13970" s="4" t="s">
        <v>17587</v>
      </c>
      <c r="C13970" s="5" t="str">
        <f>IFERROR(__xludf.DUMMYFUNCTION("GOOGLETRANSLATE(B13970,""en"",""es-ES"")"),"La niña se limpia la cara con una toalla.")</f>
        <v>La niña se limpia la cara con una toalla.</v>
      </c>
    </row>
    <row r="13971">
      <c r="A13971" s="4" t="s">
        <v>17588</v>
      </c>
      <c r="B13971" s="4" t="s">
        <v>17589</v>
      </c>
      <c r="C13971" s="5" t="str">
        <f>IFERROR(__xludf.DUMMYFUNCTION("GOOGLETRANSLATE(B13971,""en"",""es-ES"")"),"Una introducción conduce a un hombre barbudo que habla con la cámara y presentan un objeto a la pantalla.")</f>
        <v>Una introducción conduce a un hombre barbudo que habla con la cámara y presentan un objeto a la pantalla.</v>
      </c>
    </row>
    <row r="13972">
      <c r="A13972" s="4" t="s">
        <v>17588</v>
      </c>
      <c r="B13972" s="4" t="s">
        <v>17590</v>
      </c>
      <c r="C13972" s="5" t="str">
        <f>IFERROR(__xludf.DUMMYFUNCTION("GOOGLETRANSLATE(B13972,""en"",""es-ES"")"),"Utiliza la herramienta para empujar un área de alfombra y continúa hablando con la cámara.")</f>
        <v>Utiliza la herramienta para empujar un área de alfombra y continúa hablando con la cámara.</v>
      </c>
    </row>
    <row r="13973">
      <c r="A13973" s="4" t="s">
        <v>17591</v>
      </c>
      <c r="B13973" s="4" t="s">
        <v>17592</v>
      </c>
      <c r="C13973" s="5" t="str">
        <f>IFERROR(__xludf.DUMMYFUNCTION("GOOGLETRANSLATE(B13973,""en"",""es-ES"")"),"Varias cometas de múltiples colores y con forma vuelan en el aire sobre un entorno de playa intercalado con imágenes de personas que se preparan para volar cometas y espectadores.")</f>
        <v>Varias cometas de múltiples colores y con forma vuelan en el aire sobre un entorno de playa intercalado con imágenes de personas que se preparan para volar cometas y espectadores.</v>
      </c>
    </row>
    <row r="13974">
      <c r="A13974" s="4" t="s">
        <v>17591</v>
      </c>
      <c r="B13974" s="4" t="s">
        <v>17593</v>
      </c>
      <c r="C13974" s="5" t="str">
        <f>IFERROR(__xludf.DUMMYFUNCTION("GOOGLETRANSLATE(B13974,""en"",""es-ES"")"),"Varias cometas vuelan en el aire, en un cielo azul brillante, sobre una zona arenosa.")</f>
        <v>Varias cometas vuelan en el aire, en un cielo azul brillante, sobre una zona arenosa.</v>
      </c>
    </row>
    <row r="13975">
      <c r="A13975" s="4" t="s">
        <v>17591</v>
      </c>
      <c r="B13975" s="4" t="s">
        <v>17594</v>
      </c>
      <c r="C13975" s="5" t="str">
        <f>IFERROR(__xludf.DUMMYFUNCTION("GOOGLETRANSLATE(B13975,""en"",""es-ES"")"),"Se ve a un hombre arrodillado sobre algunos equipos en la arena.")</f>
        <v>Se ve a un hombre arrodillado sobre algunos equipos en la arena.</v>
      </c>
    </row>
    <row r="13976">
      <c r="A13976" s="4" t="s">
        <v>17591</v>
      </c>
      <c r="B13976" s="4" t="s">
        <v>17595</v>
      </c>
      <c r="C13976" s="5" t="str">
        <f>IFERROR(__xludf.DUMMYFUNCTION("GOOGLETRANSLATE(B13976,""en"",""es-ES"")"),"Más cometas vuelan mientras la gente mira los variados estilos de la cometa, incluida una cometa con forma de perro.")</f>
        <v>Más cometas vuelan mientras la gente mira los variados estilos de la cometa, incluida una cometa con forma de perro.</v>
      </c>
    </row>
    <row r="13977">
      <c r="A13977" s="4" t="s">
        <v>17596</v>
      </c>
      <c r="B13977" s="4" t="s">
        <v>17597</v>
      </c>
      <c r="C13977" s="5" t="str">
        <f>IFERROR(__xludf.DUMMYFUNCTION("GOOGLETRANSLATE(B13977,""en"",""es-ES"")"),"Una señora se tumba en una estera de yoga en una habitación alfombrada y se sienta mientras habla.")</f>
        <v>Una señora se tumba en una estera de yoga en una habitación alfombrada y se sienta mientras habla.</v>
      </c>
    </row>
    <row r="13978">
      <c r="A13978" s="4" t="s">
        <v>17596</v>
      </c>
      <c r="B13978" s="4" t="s">
        <v>17598</v>
      </c>
      <c r="C13978" s="5" t="str">
        <f>IFERROR(__xludf.DUMMYFUNCTION("GOOGLETRANSLATE(B13978,""en"",""es-ES"")"),"Un dedo entra en la pantalla.")</f>
        <v>Un dedo entra en la pantalla.</v>
      </c>
    </row>
    <row r="13979">
      <c r="A13979" s="4" t="s">
        <v>17596</v>
      </c>
      <c r="B13979" s="4" t="s">
        <v>17599</v>
      </c>
      <c r="C13979" s="5" t="str">
        <f>IFERROR(__xludf.DUMMYFUNCTION("GOOGLETRANSLATE(B13979,""en"",""es-ES"")"),"La señora termina y se detiene.")</f>
        <v>La señora termina y se detiene.</v>
      </c>
    </row>
    <row r="13980">
      <c r="A13980" s="4" t="s">
        <v>17600</v>
      </c>
      <c r="B13980" s="4" t="s">
        <v>17601</v>
      </c>
      <c r="C13980" s="5" t="str">
        <f>IFERROR(__xludf.DUMMYFUNCTION("GOOGLETRANSLATE(B13980,""en"",""es-ES"")"),"Se muestra a un camarero hablando con la cámara mientras vierte hielo en un vaso y varios líquidos en una licuadora.")</f>
        <v>Se muestra a un camarero hablando con la cámara mientras vierte hielo en un vaso y varios líquidos en una licuadora.</v>
      </c>
    </row>
    <row r="13981">
      <c r="A13981" s="4" t="s">
        <v>17600</v>
      </c>
      <c r="B13981" s="4" t="s">
        <v>17602</v>
      </c>
      <c r="C13981" s="5" t="str">
        <f>IFERROR(__xludf.DUMMYFUNCTION("GOOGLETRANSLATE(B13981,""en"",""es-ES"")"),"Vierte más hielo en la licuadora y mezcla los líquidos todos juntos.")</f>
        <v>Vierte más hielo en la licuadora y mezcla los líquidos todos juntos.</v>
      </c>
    </row>
    <row r="13982">
      <c r="A13982" s="4" t="s">
        <v>17600</v>
      </c>
      <c r="B13982" s="4" t="s">
        <v>17603</v>
      </c>
      <c r="C13982" s="5" t="str">
        <f>IFERROR(__xludf.DUMMYFUNCTION("GOOGLETRANSLATE(B13982,""en"",""es-ES"")"),"Él vierte el líquido y coloca una pajita en el vaso mientras la cámara se mueve.")</f>
        <v>Él vierte el líquido y coloca una pajita en el vaso mientras la cámara se mueve.</v>
      </c>
    </row>
    <row r="13983">
      <c r="A13983" s="4" t="s">
        <v>17604</v>
      </c>
      <c r="B13983" s="4" t="s">
        <v>17605</v>
      </c>
      <c r="C13983" s="5" t="str">
        <f>IFERROR(__xludf.DUMMYFUNCTION("GOOGLETRANSLATE(B13983,""en"",""es-ES"")"),"Un hombre en un gimnasio se está poniendo un par de guantes de boxeo.")</f>
        <v>Un hombre en un gimnasio se está poniendo un par de guantes de boxeo.</v>
      </c>
    </row>
    <row r="13984">
      <c r="A13984" s="4" t="s">
        <v>17604</v>
      </c>
      <c r="B13984" s="4" t="s">
        <v>17606</v>
      </c>
      <c r="C13984" s="5" t="str">
        <f>IFERROR(__xludf.DUMMYFUNCTION("GOOGLETRANSLATE(B13984,""en"",""es-ES"")"),"Comienza a golpear la bolsa, dando vueltas en círculos mientras lo hace.")</f>
        <v>Comienza a golpear la bolsa, dando vueltas en círculos mientras lo hace.</v>
      </c>
    </row>
    <row r="13985">
      <c r="A13985" s="4" t="s">
        <v>17604</v>
      </c>
      <c r="B13985" s="4" t="s">
        <v>17607</v>
      </c>
      <c r="C13985" s="5" t="str">
        <f>IFERROR(__xludf.DUMMYFUNCTION("GOOGLETRANSLATE(B13985,""en"",""es-ES"")"),"Continúa golpeando, luego vemos una ligera vista de un hombre que salta la cuerda.")</f>
        <v>Continúa golpeando, luego vemos una ligera vista de un hombre que salta la cuerda.</v>
      </c>
    </row>
    <row r="13986">
      <c r="A13986" s="4" t="s">
        <v>17608</v>
      </c>
      <c r="B13986" s="4" t="s">
        <v>17609</v>
      </c>
      <c r="C13986" s="5" t="str">
        <f>IFERROR(__xludf.DUMMYFUNCTION("GOOGLETRANSLATE(B13986,""en"",""es-ES"")"),"Vemos un logotipo de apertura negra.")</f>
        <v>Vemos un logotipo de apertura negra.</v>
      </c>
    </row>
    <row r="13987">
      <c r="A13987" s="4" t="s">
        <v>17608</v>
      </c>
      <c r="B13987" s="4" t="s">
        <v>17610</v>
      </c>
      <c r="C13987" s="5" t="str">
        <f>IFERROR(__xludf.DUMMYFUNCTION("GOOGLETRANSLATE(B13987,""en"",""es-ES"")"),"Un hombre graba una calabaza con una herramienta como un cuchillo.")</f>
        <v>Un hombre graba una calabaza con una herramienta como un cuchillo.</v>
      </c>
    </row>
    <row r="13988">
      <c r="A13988" s="4" t="s">
        <v>17608</v>
      </c>
      <c r="B13988" s="4" t="s">
        <v>17611</v>
      </c>
      <c r="C13988" s="5" t="str">
        <f>IFERROR(__xludf.DUMMYFUNCTION("GOOGLETRANSLATE(B13988,""en"",""es-ES"")"),"El hombre luego escala un logotipo en la calabaza.")</f>
        <v>El hombre luego escala un logotipo en la calabaza.</v>
      </c>
    </row>
    <row r="13989">
      <c r="A13989" s="4" t="s">
        <v>17608</v>
      </c>
      <c r="B13989" s="4" t="s">
        <v>17612</v>
      </c>
      <c r="C13989" s="5" t="str">
        <f>IFERROR(__xludf.DUMMYFUNCTION("GOOGLETRANSLATE(B13989,""en"",""es-ES"")"),"Vemos la calabaza con una luz dentro de ella.")</f>
        <v>Vemos la calabaza con una luz dentro de ella.</v>
      </c>
    </row>
    <row r="13990">
      <c r="A13990" s="4" t="s">
        <v>17608</v>
      </c>
      <c r="B13990" s="4" t="s">
        <v>17613</v>
      </c>
      <c r="C13990" s="5" t="str">
        <f>IFERROR(__xludf.DUMMYFUNCTION("GOOGLETRANSLATE(B13990,""en"",""es-ES"")"),"Luego vemos el mismo logotipo que el abierto.")</f>
        <v>Luego vemos el mismo logotipo que el abierto.</v>
      </c>
    </row>
    <row r="13991">
      <c r="A13991" s="4" t="s">
        <v>17614</v>
      </c>
      <c r="B13991" s="4" t="s">
        <v>17615</v>
      </c>
      <c r="C13991" s="5" t="str">
        <f>IFERROR(__xludf.DUMMYFUNCTION("GOOGLETRANSLATE(B13991,""en"",""es-ES"")"),"Un hombre y una mujer que lleva rodillos de rodillos se arrodillan frente a una cancha de baloncesto.")</f>
        <v>Un hombre y una mujer que lleva rodillos de rodillos se arrodillan frente a una cancha de baloncesto.</v>
      </c>
    </row>
    <row r="13992">
      <c r="A13992" s="4" t="s">
        <v>17614</v>
      </c>
      <c r="B13992" s="4" t="s">
        <v>17616</v>
      </c>
      <c r="C13992" s="5" t="str">
        <f>IFERROR(__xludf.DUMMYFUNCTION("GOOGLETRANSLATE(B13992,""en"",""es-ES"")"),"Un perro corre por el hombre y la mujer.")</f>
        <v>Un perro corre por el hombre y la mujer.</v>
      </c>
    </row>
    <row r="13993">
      <c r="A13993" s="4" t="s">
        <v>17614</v>
      </c>
      <c r="B13993" s="4" t="s">
        <v>17617</v>
      </c>
      <c r="C13993" s="5" t="str">
        <f>IFERROR(__xludf.DUMMYFUNCTION("GOOGLETRANSLATE(B13993,""en"",""es-ES"")"),"El hombre y la mujer se levantan juntos.")</f>
        <v>El hombre y la mujer se levantan juntos.</v>
      </c>
    </row>
    <row r="13994">
      <c r="A13994" s="4" t="s">
        <v>17614</v>
      </c>
      <c r="B13994" s="4" t="s">
        <v>17618</v>
      </c>
      <c r="C13994" s="5" t="str">
        <f>IFERROR(__xludf.DUMMYFUNCTION("GOOGLETRANSLATE(B13994,""en"",""es-ES"")"),"El hombre y la mujer realizan una rutina de cuchillas de rodillo emparejadas.")</f>
        <v>El hombre y la mujer realizan una rutina de cuchillas de rodillo emparejadas.</v>
      </c>
    </row>
    <row r="13995">
      <c r="A13995" s="4" t="s">
        <v>17614</v>
      </c>
      <c r="B13995" s="4" t="s">
        <v>17619</v>
      </c>
      <c r="C13995" s="5" t="str">
        <f>IFERROR(__xludf.DUMMYFUNCTION("GOOGLETRANSLATE(B13995,""en"",""es-ES"")"),"El hombre y la mujer terminan la rutina y se mueven hacia la cámara.")</f>
        <v>El hombre y la mujer terminan la rutina y se mueven hacia la cámara.</v>
      </c>
    </row>
    <row r="13996">
      <c r="A13996" s="4" t="s">
        <v>17620</v>
      </c>
      <c r="B13996" s="4" t="s">
        <v>17621</v>
      </c>
      <c r="C13996" s="5" t="str">
        <f>IFERROR(__xludf.DUMMYFUNCTION("GOOGLETRANSLATE(B13996,""en"",""es-ES"")"),"Se ve a un hombre hablando con la cámara y lo lleva a tocar en un juego de batería.")</f>
        <v>Se ve a un hombre hablando con la cámara y lo lleva a tocar en un juego de batería.</v>
      </c>
    </row>
    <row r="13997">
      <c r="A13997" s="4" t="s">
        <v>17620</v>
      </c>
      <c r="B13997" s="4" t="s">
        <v>17622</v>
      </c>
      <c r="C13997" s="5" t="str">
        <f>IFERROR(__xludf.DUMMYFUNCTION("GOOGLETRANSLATE(B13997,""en"",""es-ES"")"),"El hombre continúa hablando con la cámara con las manos y moviendo los palos mientras mira a su alrededor.")</f>
        <v>El hombre continúa hablando con la cámara con las manos y moviendo los palos mientras mira a su alrededor.</v>
      </c>
    </row>
    <row r="13998">
      <c r="A13998" s="4" t="s">
        <v>17623</v>
      </c>
      <c r="B13998" s="4" t="s">
        <v>17624</v>
      </c>
      <c r="C13998" s="5" t="str">
        <f>IFERROR(__xludf.DUMMYFUNCTION("GOOGLETRANSLATE(B13998,""en"",""es-ES"")"),"El anfitrión entra en una tienda de armas y baila.")</f>
        <v>El anfitrión entra en una tienda de armas y baila.</v>
      </c>
    </row>
    <row r="13999">
      <c r="A13999" s="4" t="s">
        <v>17623</v>
      </c>
      <c r="B13999" s="4" t="s">
        <v>17625</v>
      </c>
      <c r="C13999" s="5" t="str">
        <f>IFERROR(__xludf.DUMMYFUNCTION("GOOGLETRANSLATE(B13999,""en"",""es-ES"")"),"Luego, el en las obras de teatro para el espectáculo.")</f>
        <v>Luego, el en las obras de teatro para el espectáculo.</v>
      </c>
    </row>
    <row r="14000">
      <c r="A14000" s="4" t="s">
        <v>17623</v>
      </c>
      <c r="B14000" s="4" t="s">
        <v>17626</v>
      </c>
      <c r="C14000" s="5" t="str">
        <f>IFERROR(__xludf.DUMMYFUNCTION("GOOGLETRANSLATE(B14000,""en"",""es-ES"")"),"Luego continúa hablando por un tiempo en la tienda y juega con una pistola en algunos cortes.")</f>
        <v>Luego continúa hablando por un tiempo en la tienda y juega con una pistola en algunos cortes.</v>
      </c>
    </row>
    <row r="14001">
      <c r="A14001" s="4" t="s">
        <v>17623</v>
      </c>
      <c r="B14001" s="4" t="s">
        <v>17627</v>
      </c>
      <c r="C14001" s="5" t="str">
        <f>IFERROR(__xludf.DUMMYFUNCTION("GOOGLETRANSLATE(B14001,""en"",""es-ES"")"),"Luego, un outro para el segmento juega con créditos.")</f>
        <v>Luego, un outro para el segmento juega con créditos.</v>
      </c>
    </row>
    <row r="14002">
      <c r="A14002" s="4" t="s">
        <v>17628</v>
      </c>
      <c r="B14002" s="4" t="s">
        <v>17629</v>
      </c>
      <c r="C14002" s="5" t="str">
        <f>IFERROR(__xludf.DUMMYFUNCTION("GOOGLETRANSLATE(B14002,""en"",""es-ES"")"),"Una cámara sale de una playa seguida de cientos de personas remando canoas.")</f>
        <v>Una cámara sale de una playa seguida de cientos de personas remando canoas.</v>
      </c>
    </row>
    <row r="14003">
      <c r="A14003" s="4" t="s">
        <v>17628</v>
      </c>
      <c r="B14003" s="4" t="s">
        <v>17630</v>
      </c>
      <c r="C14003" s="5" t="str">
        <f>IFERROR(__xludf.DUMMYFUNCTION("GOOGLETRANSLATE(B14003,""en"",""es-ES"")"),"Se ve a la gente corriendo por la playa, así como remando las canoas y un hombre sentado en una mesa.")</f>
        <v>Se ve a la gente corriendo por la playa, así como remando las canoas y un hombre sentado en una mesa.</v>
      </c>
    </row>
    <row r="14004">
      <c r="A14004" s="4" t="s">
        <v>17628</v>
      </c>
      <c r="B14004" s="4" t="s">
        <v>17631</v>
      </c>
      <c r="C14004" s="5" t="str">
        <f>IFERROR(__xludf.DUMMYFUNCTION("GOOGLETRANSLATE(B14004,""en"",""es-ES"")"),"El hombre revisa su teléfono y mira a lo lejos y se muestra otra foto de la gente.")</f>
        <v>El hombre revisa su teléfono y mira a lo lejos y se muestra otra foto de la gente.</v>
      </c>
    </row>
    <row r="14005">
      <c r="A14005" s="4" t="s">
        <v>17632</v>
      </c>
      <c r="B14005" s="4" t="s">
        <v>17633</v>
      </c>
      <c r="C14005" s="5" t="str">
        <f>IFERROR(__xludf.DUMMYFUNCTION("GOOGLETRANSLATE(B14005,""en"",""es-ES"")"),"Vemos el título en la pantalla negra.")</f>
        <v>Vemos el título en la pantalla negra.</v>
      </c>
    </row>
    <row r="14006">
      <c r="A14006" s="4" t="s">
        <v>17632</v>
      </c>
      <c r="B14006" s="4" t="s">
        <v>17634</v>
      </c>
      <c r="C14006" s="5" t="str">
        <f>IFERROR(__xludf.DUMMYFUNCTION("GOOGLETRANSLATE(B14006,""en"",""es-ES"")"),"Vemos instrumentos y el muro con el nombre de la escuela.")</f>
        <v>Vemos instrumentos y el muro con el nombre de la escuela.</v>
      </c>
    </row>
    <row r="14007">
      <c r="A14007" s="4" t="s">
        <v>17632</v>
      </c>
      <c r="B14007" s="4" t="s">
        <v>17635</v>
      </c>
      <c r="C14007" s="5" t="str">
        <f>IFERROR(__xludf.DUMMYFUNCTION("GOOGLETRANSLATE(B14007,""en"",""es-ES"")"),"Se muestra a las personas calentándose.")</f>
        <v>Se muestra a las personas calentándose.</v>
      </c>
    </row>
    <row r="14008">
      <c r="A14008" s="4" t="s">
        <v>17632</v>
      </c>
      <c r="B14008" s="4" t="s">
        <v>17636</v>
      </c>
      <c r="C14008" s="5" t="str">
        <f>IFERROR(__xludf.DUMMYFUNCTION("GOOGLETRANSLATE(B14008,""en"",""es-ES"")"),"Luego se nos muestra la técnica de capoeira.")</f>
        <v>Luego se nos muestra la técnica de capoeira.</v>
      </c>
    </row>
    <row r="14009">
      <c r="A14009" s="4" t="s">
        <v>17632</v>
      </c>
      <c r="B14009" s="4" t="s">
        <v>17637</v>
      </c>
      <c r="C14009" s="5" t="str">
        <f>IFERROR(__xludf.DUMMYFUNCTION("GOOGLETRANSLATE(B14009,""en"",""es-ES"")"),"La gente está practicando movimientos de capoeira.")</f>
        <v>La gente está practicando movimientos de capoeira.</v>
      </c>
    </row>
    <row r="14010">
      <c r="A14010" s="4" t="s">
        <v>17632</v>
      </c>
      <c r="B14010" s="4" t="s">
        <v>17638</v>
      </c>
      <c r="C14010" s="5" t="str">
        <f>IFERROR(__xludf.DUMMYFUNCTION("GOOGLETRANSLATE(B14010,""en"",""es-ES"")"),"Las damas están explicando por qué eligieron Capoeira.")</f>
        <v>Las damas están explicando por qué eligieron Capoeira.</v>
      </c>
    </row>
    <row r="14011">
      <c r="A14011" s="4" t="s">
        <v>17632</v>
      </c>
      <c r="B14011" s="4" t="s">
        <v>17639</v>
      </c>
      <c r="C14011" s="5" t="str">
        <f>IFERROR(__xludf.DUMMYFUNCTION("GOOGLETRANSLATE(B14011,""en"",""es-ES"")"),"Se nos muestra la tarjeta final para el sitio web.")</f>
        <v>Se nos muestra la tarjeta final para el sitio web.</v>
      </c>
    </row>
    <row r="14012">
      <c r="A14012" s="4" t="s">
        <v>17640</v>
      </c>
      <c r="B14012" s="4" t="s">
        <v>17641</v>
      </c>
      <c r="C14012" s="5" t="str">
        <f>IFERROR(__xludf.DUMMYFUNCTION("GOOGLETRANSLATE(B14012,""en"",""es-ES"")"),"Un hombre extiende una sábana blanca en una pared.")</f>
        <v>Un hombre extiende una sábana blanca en una pared.</v>
      </c>
    </row>
    <row r="14013">
      <c r="A14013" s="4" t="s">
        <v>17640</v>
      </c>
      <c r="B14013" s="4" t="s">
        <v>17642</v>
      </c>
      <c r="C14013" s="5" t="str">
        <f>IFERROR(__xludf.DUMMYFUNCTION("GOOGLETRANSLATE(B14013,""en"",""es-ES"")"),"Luego presiona una hoja con una foto impresa en el fondo blanco.")</f>
        <v>Luego presiona una hoja con una foto impresa en el fondo blanco.</v>
      </c>
    </row>
    <row r="14014">
      <c r="A14014" s="4" t="s">
        <v>17640</v>
      </c>
      <c r="B14014" s="4" t="s">
        <v>17643</v>
      </c>
      <c r="C14014" s="5" t="str">
        <f>IFERROR(__xludf.DUMMYFUNCTION("GOOGLETRANSLATE(B14014,""en"",""es-ES"")"),"Cuando termina, hay una foto de una moto amarilla estacionada contra una pared de ladrillos en la pared de una sala de estar.")</f>
        <v>Cuando termina, hay una foto de una moto amarilla estacionada contra una pared de ladrillos en la pared de una sala de estar.</v>
      </c>
    </row>
    <row r="14015">
      <c r="A14015" s="4" t="s">
        <v>17644</v>
      </c>
      <c r="B14015" s="4" t="s">
        <v>17645</v>
      </c>
      <c r="C14015" s="5" t="str">
        <f>IFERROR(__xludf.DUMMYFUNCTION("GOOGLETRANSLATE(B14015,""en"",""es-ES"")"),"Un hombre está parado frente a un armario mientras habla.")</f>
        <v>Un hombre está parado frente a un armario mientras habla.</v>
      </c>
    </row>
    <row r="14016">
      <c r="A14016" s="4" t="s">
        <v>17644</v>
      </c>
      <c r="B14016" s="4" t="s">
        <v>17646</v>
      </c>
      <c r="C14016" s="5" t="str">
        <f>IFERROR(__xludf.DUMMYFUNCTION("GOOGLETRANSLATE(B14016,""en"",""es-ES"")"),"Hay un primer plano del armario, que abarca su longitud.")</f>
        <v>Hay un primer plano del armario, que abarca su longitud.</v>
      </c>
    </row>
    <row r="14017">
      <c r="A14017" s="4" t="s">
        <v>17644</v>
      </c>
      <c r="B14017" s="4" t="s">
        <v>17647</v>
      </c>
      <c r="C14017" s="5" t="str">
        <f>IFERROR(__xludf.DUMMYFUNCTION("GOOGLETRANSLATE(B14017,""en"",""es-ES"")"),"El hombre toca varias grietas y papas fritas en la madera, hablando de ellas.")</f>
        <v>El hombre toca varias grietas y papas fritas en la madera, hablando de ellas.</v>
      </c>
    </row>
    <row r="14018">
      <c r="A14018" s="4" t="s">
        <v>17644</v>
      </c>
      <c r="B14018" s="4" t="s">
        <v>17648</v>
      </c>
      <c r="C14018" s="5" t="str">
        <f>IFERROR(__xludf.DUMMYFUNCTION("GOOGLETRANSLATE(B14018,""en"",""es-ES"")"),"Varios artículos para el hogar se muestran individualmente en la pantalla.")</f>
        <v>Varios artículos para el hogar se muestran individualmente en la pantalla.</v>
      </c>
    </row>
    <row r="14019">
      <c r="A14019" s="4" t="s">
        <v>17644</v>
      </c>
      <c r="B14019" s="4" t="s">
        <v>17649</v>
      </c>
      <c r="C14019" s="5" t="str">
        <f>IFERROR(__xludf.DUMMYFUNCTION("GOOGLETRANSLATE(B14019,""en"",""es-ES"")"),"El hombre usa los artículos para raspar, limpiar y cubrir las grietas y los rasguños.")</f>
        <v>El hombre usa los artículos para raspar, limpiar y cubrir las grietas y los rasguños.</v>
      </c>
    </row>
    <row r="14020">
      <c r="A14020" s="4" t="s">
        <v>17644</v>
      </c>
      <c r="B14020" s="4" t="s">
        <v>17650</v>
      </c>
      <c r="C14020" s="5" t="str">
        <f>IFERROR(__xludf.DUMMYFUNCTION("GOOGLETRANSLATE(B14020,""en"",""es-ES"")"),"El producto terminado, libre de grietas y rasguños, se muestra cuando el hombre dice sus palabras finales a la cámara.")</f>
        <v>El producto terminado, libre de grietas y rasguños, se muestra cuando el hombre dice sus palabras finales a la cámara.</v>
      </c>
    </row>
    <row r="14021">
      <c r="A14021" s="4" t="s">
        <v>17651</v>
      </c>
      <c r="B14021" s="4" t="s">
        <v>17652</v>
      </c>
      <c r="C14021" s="5" t="str">
        <f>IFERROR(__xludf.DUMMYFUNCTION("GOOGLETRANSLATE(B14021,""en"",""es-ES"")"),"Un hombre está sentado en un piano.")</f>
        <v>Un hombre está sentado en un piano.</v>
      </c>
    </row>
    <row r="14022">
      <c r="A14022" s="4" t="s">
        <v>17651</v>
      </c>
      <c r="B14022" s="4" t="s">
        <v>17653</v>
      </c>
      <c r="C14022" s="5" t="str">
        <f>IFERROR(__xludf.DUMMYFUNCTION("GOOGLETRANSLATE(B14022,""en"",""es-ES"")"),"Comienza a tocar una melodía, mirando de un lado a otro a las teclas mientras toca.")</f>
        <v>Comienza a tocar una melodía, mirando de un lado a otro a las teclas mientras toca.</v>
      </c>
    </row>
    <row r="14023">
      <c r="A14023" s="4" t="s">
        <v>17651</v>
      </c>
      <c r="B14023" s="4" t="s">
        <v>17654</v>
      </c>
      <c r="C14023" s="5" t="str">
        <f>IFERROR(__xludf.DUMMYFUNCTION("GOOGLETRANSLATE(B14023,""en"",""es-ES"")"),"Se detiene, girando la cabeza y hablando.")</f>
        <v>Se detiene, girando la cabeza y hablando.</v>
      </c>
    </row>
    <row r="14024">
      <c r="A14024" s="4" t="s">
        <v>17655</v>
      </c>
      <c r="B14024" s="4" t="s">
        <v>17656</v>
      </c>
      <c r="C14024" s="5" t="str">
        <f>IFERROR(__xludf.DUMMYFUNCTION("GOOGLETRANSLATE(B14024,""en"",""es-ES"")"),"Un hombre que lleva una camisa azul oscuro y luce una trenza comienza a tocar los bongos.")</f>
        <v>Un hombre que lleva una camisa azul oscuro y luce una trenza comienza a tocar los bongos.</v>
      </c>
    </row>
    <row r="14025">
      <c r="A14025" s="4" t="s">
        <v>17655</v>
      </c>
      <c r="B14025" s="4" t="s">
        <v>17657</v>
      </c>
      <c r="C14025" s="5" t="str">
        <f>IFERROR(__xludf.DUMMYFUNCTION("GOOGLETRANSLATE(B14025,""en"",""es-ES"")"),"Comienza a tambalearse en los bongos a un ritmo mientras sacude la cabeza rítmicamente.")</f>
        <v>Comienza a tambalearse en los bongos a un ritmo mientras sacude la cabeza rítmicamente.</v>
      </c>
    </row>
    <row r="14026">
      <c r="A14026" s="4" t="s">
        <v>17655</v>
      </c>
      <c r="B14026" s="4" t="s">
        <v>17658</v>
      </c>
      <c r="C14026" s="5" t="str">
        <f>IFERROR(__xludf.DUMMYFUNCTION("GOOGLETRANSLATE(B14026,""en"",""es-ES"")"),"Continúa tocando en los bongos alternando entre los dos tambores.")</f>
        <v>Continúa tocando en los bongos alternando entre los dos tambores.</v>
      </c>
    </row>
    <row r="14027">
      <c r="A14027" s="4" t="s">
        <v>17655</v>
      </c>
      <c r="B14027" s="4" t="s">
        <v>17659</v>
      </c>
      <c r="C14027" s="5" t="str">
        <f>IFERROR(__xludf.DUMMYFUNCTION("GOOGLETRANSLATE(B14027,""en"",""es-ES"")"),"Juega durante algún tiempo y luego deja de tambalearse en los bongos.")</f>
        <v>Juega durante algún tiempo y luego deja de tambalearse en los bongos.</v>
      </c>
    </row>
    <row r="14028">
      <c r="A14028" s="4" t="s">
        <v>17660</v>
      </c>
      <c r="B14028" s="4" t="s">
        <v>17661</v>
      </c>
      <c r="C14028" s="5" t="str">
        <f>IFERROR(__xludf.DUMMYFUNCTION("GOOGLETRANSLATE(B14028,""en"",""es-ES"")"),"Se ve a un gran grupo de personas sentados dentro de una balsa y remando a lo largo de un río áspero.")</f>
        <v>Se ve a un gran grupo de personas sentados dentro de una balsa y remando a lo largo de un río áspero.</v>
      </c>
    </row>
    <row r="14029">
      <c r="A14029" s="4" t="s">
        <v>17660</v>
      </c>
      <c r="B14029" s="4" t="s">
        <v>17662</v>
      </c>
      <c r="C14029" s="5" t="str">
        <f>IFERROR(__xludf.DUMMYFUNCTION("GOOGLETRANSLATE(B14029,""en"",""es-ES"")"),"La cámara se desplaza por todas las personas sentadas en la balsa y continúa avanzando y avanzando debajo de un puente.")</f>
        <v>La cámara se desplaza por todas las personas sentadas en la balsa y continúa avanzando y avanzando debajo de un puente.</v>
      </c>
    </row>
    <row r="14030">
      <c r="A14030" s="4" t="s">
        <v>17663</v>
      </c>
      <c r="B14030" s="4" t="s">
        <v>1487</v>
      </c>
      <c r="C14030" s="5" t="str">
        <f>IFERROR(__xludf.DUMMYFUNCTION("GOOGLETRANSLATE(B14030,""en"",""es-ES"")"),"Vemos una pantalla de título de apertura.")</f>
        <v>Vemos una pantalla de título de apertura.</v>
      </c>
    </row>
    <row r="14031">
      <c r="A14031" s="4" t="s">
        <v>17663</v>
      </c>
      <c r="B14031" s="4" t="s">
        <v>17664</v>
      </c>
      <c r="C14031" s="5" t="str">
        <f>IFERROR(__xludf.DUMMYFUNCTION("GOOGLETRANSLATE(B14031,""en"",""es-ES"")"),"Vemos hablar de un presentador de noticias.")</f>
        <v>Vemos hablar de un presentador de noticias.</v>
      </c>
    </row>
    <row r="14032">
      <c r="A14032" s="4" t="s">
        <v>17663</v>
      </c>
      <c r="B14032" s="4" t="s">
        <v>17665</v>
      </c>
      <c r="C14032" s="5" t="str">
        <f>IFERROR(__xludf.DUMMYFUNCTION("GOOGLETRANSLATE(B14032,""en"",""es-ES"")"),"Vemos a un hombre en una habitación que una pelea y hombres en una oficina antes de pelear más en una película de acción.")</f>
        <v>Vemos a un hombre en una habitación que una pelea y hombres en una oficina antes de pelear más en una película de acción.</v>
      </c>
    </row>
    <row r="14033">
      <c r="A14033" s="4" t="s">
        <v>17663</v>
      </c>
      <c r="B14033" s="4" t="s">
        <v>17666</v>
      </c>
      <c r="C14033" s="5" t="str">
        <f>IFERROR(__xludf.DUMMYFUNCTION("GOOGLETRANSLATE(B14033,""en"",""es-ES"")"),"Regresamos al presentador de noticias mientras ella discute una película de superhéroes.")</f>
        <v>Regresamos al presentador de noticias mientras ella discute una película de superhéroes.</v>
      </c>
    </row>
    <row r="14034">
      <c r="A14034" s="4" t="s">
        <v>17663</v>
      </c>
      <c r="B14034" s="4" t="s">
        <v>17667</v>
      </c>
      <c r="C14034" s="5" t="str">
        <f>IFERROR(__xludf.DUMMYFUNCTION("GOOGLETRANSLATE(B14034,""en"",""es-ES"")"),"Su pantalla cambia a la pantalla del título.")</f>
        <v>Su pantalla cambia a la pantalla del título.</v>
      </c>
    </row>
    <row r="14035">
      <c r="A14035" s="4" t="s">
        <v>17668</v>
      </c>
      <c r="B14035" s="4" t="s">
        <v>17669</v>
      </c>
      <c r="C14035" s="5" t="str">
        <f>IFERROR(__xludf.DUMMYFUNCTION("GOOGLETRANSLATE(B14035,""en"",""es-ES"")"),"Se ve a una mujer joven entrando en el marco golpeando una pelota alrededor de una habitación.")</f>
        <v>Se ve a una mujer joven entrando en el marco golpeando una pelota alrededor de una habitación.</v>
      </c>
    </row>
    <row r="14036">
      <c r="A14036" s="4" t="s">
        <v>17668</v>
      </c>
      <c r="B14036" s="4" t="s">
        <v>17670</v>
      </c>
      <c r="C14036" s="5" t="str">
        <f>IFERROR(__xludf.DUMMYFUNCTION("GOOGLETRANSLATE(B14036,""en"",""es-ES"")"),"La niña camina por la habitación de regreso y cuarto mientras sostiene una raqueta de tenis y golpea una pelota.")</f>
        <v>La niña camina por la habitación de regreso y cuarto mientras sostiene una raqueta de tenis y golpea una pelota.</v>
      </c>
    </row>
    <row r="14037">
      <c r="A14037" s="4" t="s">
        <v>17668</v>
      </c>
      <c r="B14037" s="4" t="s">
        <v>17671</v>
      </c>
      <c r="C14037" s="5" t="str">
        <f>IFERROR(__xludf.DUMMYFUNCTION("GOOGLETRANSLATE(B14037,""en"",""es-ES"")"),"La niña continúa golpeando la pelota mientras la cámara mira.")</f>
        <v>La niña continúa golpeando la pelota mientras la cámara mira.</v>
      </c>
    </row>
    <row r="14038">
      <c r="A14038" s="4" t="s">
        <v>17672</v>
      </c>
      <c r="B14038" s="4" t="s">
        <v>17673</v>
      </c>
      <c r="C14038" s="5" t="str">
        <f>IFERROR(__xludf.DUMMYFUNCTION("GOOGLETRANSLATE(B14038,""en"",""es-ES"")"),"Hay dos perros de hot dog marrones de pie en una puerta que está al final de una escalera.")</f>
        <v>Hay dos perros de hot dog marrones de pie en una puerta que está al final de una escalera.</v>
      </c>
    </row>
    <row r="14039">
      <c r="A14039" s="4" t="s">
        <v>17672</v>
      </c>
      <c r="B14039" s="4" t="s">
        <v>17674</v>
      </c>
      <c r="C14039" s="5" t="str">
        <f>IFERROR(__xludf.DUMMYFUNCTION("GOOGLETRANSLATE(B14039,""en"",""es-ES"")"),"Uno de los perros más cercanos a la puerta abre la puerta y los dos perros van corriendo por las escaleras a un ritmo muy rápido mientras la persona de la cámara corre tras ellos.")</f>
        <v>Uno de los perros más cercanos a la puerta abre la puerta y los dos perros van corriendo por las escaleras a un ritmo muy rápido mientras la persona de la cámara corre tras ellos.</v>
      </c>
    </row>
    <row r="14040">
      <c r="A14040" s="4" t="s">
        <v>17672</v>
      </c>
      <c r="B14040" s="4" t="s">
        <v>17675</v>
      </c>
      <c r="C14040" s="5" t="str">
        <f>IFERROR(__xludf.DUMMYFUNCTION("GOOGLETRANSLATE(B14040,""en"",""es-ES"")"),"Los perros son tan rápidos que la persona de la cámara no puede mantenerse al día y cuando los encuentra, los perros se esfuerzan mucho en entrar en una bañera que tiene agua.")</f>
        <v>Los perros son tan rápidos que la persona de la cámara no puede mantenerse al día y cuando los encuentra, los perros se esfuerzan mucho en entrar en una bañera que tiene agua.</v>
      </c>
    </row>
    <row r="14041">
      <c r="A14041" s="4" t="s">
        <v>17672</v>
      </c>
      <c r="B14041" s="4" t="s">
        <v>17676</v>
      </c>
      <c r="C14041" s="5" t="str">
        <f>IFERROR(__xludf.DUMMYFUNCTION("GOOGLETRANSLATE(B14041,""en"",""es-ES"")"),"El primer perro logra saltar y comienza a nadar en el agua, y el otro perro no puede entrar y continúa saltando y luchando hasta que la persona de la cámara ponga al perro en la bañera y ahora ambos perros están jugando y nadando felizmente en el agua.")</f>
        <v>El primer perro logra saltar y comienza a nadar en el agua, y el otro perro no puede entrar y continúa saltando y luchando hasta que la persona de la cámara ponga al perro en la bañera y ahora ambos perros están jugando y nadando felizmente en el agua.</v>
      </c>
    </row>
    <row r="14042">
      <c r="A14042" s="4" t="s">
        <v>17677</v>
      </c>
      <c r="B14042" s="4" t="s">
        <v>17678</v>
      </c>
      <c r="C14042" s="5" t="str">
        <f>IFERROR(__xludf.DUMMYFUNCTION("GOOGLETRANSLATE(B14042,""en"",""es-ES"")"),"Un presentador de noticias de televisión informa sobre una historia.")</f>
        <v>Un presentador de noticias de televisión informa sobre una historia.</v>
      </c>
    </row>
    <row r="14043">
      <c r="A14043" s="4" t="s">
        <v>17677</v>
      </c>
      <c r="B14043" s="4" t="s">
        <v>17679</v>
      </c>
      <c r="C14043" s="5" t="str">
        <f>IFERROR(__xludf.DUMMYFUNCTION("GOOGLETRANSLATE(B14043,""en"",""es-ES"")"),"Se muestra a una variedad de personas observando sus manos, mientras el informe habla sobre los gérmenes.")</f>
        <v>Se muestra a una variedad de personas observando sus manos, mientras el informe habla sobre los gérmenes.</v>
      </c>
    </row>
    <row r="14044">
      <c r="A14044" s="4" t="s">
        <v>17677</v>
      </c>
      <c r="B14044" s="4" t="s">
        <v>17680</v>
      </c>
      <c r="C14044" s="5" t="str">
        <f>IFERROR(__xludf.DUMMYFUNCTION("GOOGLETRANSLATE(B14044,""en"",""es-ES"")"),"Aparece un presentador de noticias de televisión.")</f>
        <v>Aparece un presentador de noticias de televisión.</v>
      </c>
    </row>
    <row r="14045">
      <c r="A14045" s="4" t="s">
        <v>17681</v>
      </c>
      <c r="B14045" s="4" t="s">
        <v>17682</v>
      </c>
      <c r="C14045" s="5" t="str">
        <f>IFERROR(__xludf.DUMMYFUNCTION("GOOGLETRANSLATE(B14045,""en"",""es-ES"")"),"La gente monta camellos por el desierto.")</f>
        <v>La gente monta camellos por el desierto.</v>
      </c>
    </row>
    <row r="14046">
      <c r="A14046" s="4" t="s">
        <v>17681</v>
      </c>
      <c r="B14046" s="4" t="s">
        <v>17683</v>
      </c>
      <c r="C14046" s="5" t="str">
        <f>IFERROR(__xludf.DUMMYFUNCTION("GOOGLETRANSLATE(B14046,""en"",""es-ES"")"),"Una persona que lleva una cámara o equipaje camina con uno de los grupos.")</f>
        <v>Una persona que lleva una cámara o equipaje camina con uno de los grupos.</v>
      </c>
    </row>
    <row r="14047">
      <c r="A14047" s="4" t="s">
        <v>17681</v>
      </c>
      <c r="B14047" s="4" t="s">
        <v>17684</v>
      </c>
      <c r="C14047" s="5" t="str">
        <f>IFERROR(__xludf.DUMMYFUNCTION("GOOGLETRANSLATE(B14047,""en"",""es-ES"")"),"El primer grupo de camello comienza a caminar de regreso a la cámara.")</f>
        <v>El primer grupo de camello comienza a caminar de regreso a la cámara.</v>
      </c>
    </row>
    <row r="14048">
      <c r="A14048" s="4" t="s">
        <v>17685</v>
      </c>
      <c r="B14048" s="4" t="s">
        <v>17686</v>
      </c>
      <c r="C14048" s="5" t="str">
        <f>IFERROR(__xludf.DUMMYFUNCTION("GOOGLETRANSLATE(B14048,""en"",""es-ES"")"),"Un grupo de niñas y niños está vestida como princesas y príncipes.")</f>
        <v>Un grupo de niñas y niños está vestida como princesas y príncipes.</v>
      </c>
    </row>
    <row r="14049">
      <c r="A14049" s="4" t="s">
        <v>17685</v>
      </c>
      <c r="B14049" s="4" t="s">
        <v>17687</v>
      </c>
      <c r="C14049" s="5" t="str">
        <f>IFERROR(__xludf.DUMMYFUNCTION("GOOGLETRANSLATE(B14049,""en"",""es-ES"")"),"Una de las chicas comienza a tocar una piñata con un bate de béisbol.")</f>
        <v>Una de las chicas comienza a tocar una piñata con un bate de béisbol.</v>
      </c>
    </row>
    <row r="14050">
      <c r="A14050" s="4" t="s">
        <v>17685</v>
      </c>
      <c r="B14050" s="4" t="s">
        <v>17688</v>
      </c>
      <c r="C14050" s="5" t="str">
        <f>IFERROR(__xludf.DUMMYFUNCTION("GOOGLETRANSLATE(B14050,""en"",""es-ES"")"),"Ella lo golpea una y otra vez, pero no rompe la piñata.")</f>
        <v>Ella lo golpea una y otra vez, pero no rompe la piñata.</v>
      </c>
    </row>
    <row r="14051">
      <c r="A14051" s="4" t="s">
        <v>17689</v>
      </c>
      <c r="B14051" s="4" t="s">
        <v>17690</v>
      </c>
      <c r="C14051" s="5" t="str">
        <f>IFERROR(__xludf.DUMMYFUNCTION("GOOGLETRANSLATE(B14051,""en"",""es-ES"")"),"Un grupo está jugando voleibol en una playa.")</f>
        <v>Un grupo está jugando voleibol en una playa.</v>
      </c>
    </row>
    <row r="14052">
      <c r="A14052" s="4" t="s">
        <v>17689</v>
      </c>
      <c r="B14052" s="4" t="s">
        <v>17691</v>
      </c>
      <c r="C14052" s="5" t="str">
        <f>IFERROR(__xludf.DUMMYFUNCTION("GOOGLETRANSLATE(B14052,""en"",""es-ES"")"),"Los hombres volean bola de un lado a otro sobre la red.")</f>
        <v>Los hombres volean bola de un lado a otro sobre la red.</v>
      </c>
    </row>
    <row r="14053">
      <c r="A14053" s="4" t="s">
        <v>17689</v>
      </c>
      <c r="B14053" s="4" t="s">
        <v>17692</v>
      </c>
      <c r="C14053" s="5" t="str">
        <f>IFERROR(__xludf.DUMMYFUNCTION("GOOGLETRANSLATE(B14053,""en"",""es-ES"")"),"Uno de los jugadores cae en la arena.")</f>
        <v>Uno de los jugadores cae en la arena.</v>
      </c>
    </row>
    <row r="14054">
      <c r="A14054" s="4" t="s">
        <v>17693</v>
      </c>
      <c r="B14054" s="4" t="s">
        <v>17694</v>
      </c>
      <c r="C14054" s="5" t="str">
        <f>IFERROR(__xludf.DUMMYFUNCTION("GOOGLETRANSLATE(B14054,""en"",""es-ES"")"),"Una mujer habla en el frente de una rama.")</f>
        <v>Una mujer habla en el frente de una rama.</v>
      </c>
    </row>
    <row r="14055">
      <c r="A14055" s="4" t="s">
        <v>17693</v>
      </c>
      <c r="B14055" s="4" t="s">
        <v>17695</v>
      </c>
      <c r="C14055" s="5" t="str">
        <f>IFERROR(__xludf.DUMMYFUNCTION("GOOGLETRANSLATE(B14055,""en"",""es-ES"")"),"Luego, la mujer salta en la rayulación mientras habla.")</f>
        <v>Luego, la mujer salta en la rayulación mientras habla.</v>
      </c>
    </row>
    <row r="14056">
      <c r="A14056" s="4" t="s">
        <v>17693</v>
      </c>
      <c r="B14056" s="4" t="s">
        <v>17696</v>
      </c>
      <c r="C14056" s="5" t="str">
        <f>IFERROR(__xludf.DUMMYFUNCTION("GOOGLETRANSLATE(B14056,""en"",""es-ES"")"),"La mujer gira cuando llega al final de la raya de la láiga y continúa saltando.")</f>
        <v>La mujer gira cuando llega al final de la raya de la láiga y continúa saltando.</v>
      </c>
    </row>
    <row r="14057">
      <c r="A14057" s="4" t="s">
        <v>17697</v>
      </c>
      <c r="B14057" s="4" t="s">
        <v>17698</v>
      </c>
      <c r="C14057" s="5" t="str">
        <f>IFERROR(__xludf.DUMMYFUNCTION("GOOGLETRANSLATE(B14057,""en"",""es-ES"")"),"Un luchador recoge a otro luchador desde el suelo.")</f>
        <v>Un luchador recoge a otro luchador desde el suelo.</v>
      </c>
    </row>
    <row r="14058">
      <c r="A14058" s="4" t="s">
        <v>17697</v>
      </c>
      <c r="B14058" s="4" t="s">
        <v>17699</v>
      </c>
      <c r="C14058" s="5" t="str">
        <f>IFERROR(__xludf.DUMMYFUNCTION("GOOGLETRANSLATE(B14058,""en"",""es-ES"")"),"El luchador lo levanta en el aire.")</f>
        <v>El luchador lo levanta en el aire.</v>
      </c>
    </row>
    <row r="14059">
      <c r="A14059" s="4" t="s">
        <v>17697</v>
      </c>
      <c r="B14059" s="4" t="s">
        <v>17700</v>
      </c>
      <c r="C14059" s="5" t="str">
        <f>IFERROR(__xludf.DUMMYFUNCTION("GOOGLETRANSLATE(B14059,""en"",""es-ES"")"),"Por último, el luchador lo deja con fuerza sobre el piso.")</f>
        <v>Por último, el luchador lo deja con fuerza sobre el piso.</v>
      </c>
    </row>
    <row r="14060">
      <c r="A14060" s="4" t="s">
        <v>17701</v>
      </c>
      <c r="B14060" s="4" t="s">
        <v>17702</v>
      </c>
      <c r="C14060" s="5" t="str">
        <f>IFERROR(__xludf.DUMMYFUNCTION("GOOGLETRANSLATE(B14060,""en"",""es-ES"")"),"Una rueda grande está girando sin parar en un soporte.")</f>
        <v>Una rueda grande está girando sin parar en un soporte.</v>
      </c>
    </row>
    <row r="14061">
      <c r="A14061" s="4" t="s">
        <v>17701</v>
      </c>
      <c r="B14061" s="4" t="s">
        <v>17703</v>
      </c>
      <c r="C14061" s="5" t="str">
        <f>IFERROR(__xludf.DUMMYFUNCTION("GOOGLETRANSLATE(B14061,""en"",""es-ES"")"),"Tenemos un primer plano del puesto de tráneos y los radios.")</f>
        <v>Tenemos un primer plano del puesto de tráneos y los radios.</v>
      </c>
    </row>
    <row r="14062">
      <c r="A14062" s="4" t="s">
        <v>17701</v>
      </c>
      <c r="B14062" s="4" t="s">
        <v>17704</v>
      </c>
      <c r="C14062" s="5" t="str">
        <f>IFERROR(__xludf.DUMMYFUNCTION("GOOGLETRANSLATE(B14062,""en"",""es-ES"")"),"La rueda de bicicleta se ajusta y se fija.")</f>
        <v>La rueda de bicicleta se ajusta y se fija.</v>
      </c>
    </row>
    <row r="14063">
      <c r="A14063" s="4" t="s">
        <v>17705</v>
      </c>
      <c r="B14063" s="4" t="s">
        <v>17706</v>
      </c>
      <c r="C14063" s="5" t="str">
        <f>IFERROR(__xludf.DUMMYFUNCTION("GOOGLETRANSLATE(B14063,""en"",""es-ES"")"),"Se muestra un primer plano del manillar de la bicicleta, así como una persona que ajusta el manillar.")</f>
        <v>Se muestra un primer plano del manillar de la bicicleta, así como una persona que ajusta el manillar.</v>
      </c>
    </row>
    <row r="14064">
      <c r="A14064" s="4" t="s">
        <v>17705</v>
      </c>
      <c r="B14064" s="4" t="s">
        <v>17707</v>
      </c>
      <c r="C14064" s="5" t="str">
        <f>IFERROR(__xludf.DUMMYFUNCTION("GOOGLETRANSLATE(B14064,""en"",""es-ES"")"),"La cámara se acerca a las barras y la persona vierte líquido en un lado.")</f>
        <v>La cámara se acerca a las barras y la persona vierte líquido en un lado.</v>
      </c>
    </row>
    <row r="14065">
      <c r="A14065" s="4" t="s">
        <v>17705</v>
      </c>
      <c r="B14065" s="4" t="s">
        <v>17708</v>
      </c>
      <c r="C14065" s="5" t="str">
        <f>IFERROR(__xludf.DUMMYFUNCTION("GOOGLETRANSLATE(B14065,""en"",""es-ES"")"),"El hombre continúa trabajando y termina volviendo a poner el manillar y alejarse.")</f>
        <v>El hombre continúa trabajando y termina volviendo a poner el manillar y alejarse.</v>
      </c>
    </row>
    <row r="14066">
      <c r="A14066" s="4" t="s">
        <v>17709</v>
      </c>
      <c r="B14066" s="4" t="s">
        <v>17710</v>
      </c>
      <c r="C14066" s="5" t="str">
        <f>IFERROR(__xludf.DUMMYFUNCTION("GOOGLETRANSLATE(B14066,""en"",""es-ES"")"),"Una mujer en pantalla habla sobre limonada.")</f>
        <v>Una mujer en pantalla habla sobre limonada.</v>
      </c>
    </row>
    <row r="14067">
      <c r="A14067" s="4" t="s">
        <v>17709</v>
      </c>
      <c r="B14067" s="4" t="s">
        <v>17711</v>
      </c>
      <c r="C14067" s="5" t="str">
        <f>IFERROR(__xludf.DUMMYFUNCTION("GOOGLETRANSLATE(B14067,""en"",""es-ES"")"),"Ella juega sus limones en una tabla de cortar, con un cuchillo y un tazón.")</f>
        <v>Ella juega sus limones en una tabla de cortar, con un cuchillo y un tazón.</v>
      </c>
    </row>
    <row r="14068">
      <c r="A14068" s="4" t="s">
        <v>17709</v>
      </c>
      <c r="B14068" s="4" t="s">
        <v>17712</v>
      </c>
      <c r="C14068" s="5" t="str">
        <f>IFERROR(__xludf.DUMMYFUNCTION("GOOGLETRANSLATE(B14068,""en"",""es-ES"")"),"Ella tensa su jugo en una taza más grande.")</f>
        <v>Ella tensa su jugo en una taza más grande.</v>
      </c>
    </row>
    <row r="14069">
      <c r="A14069" s="4" t="s">
        <v>17709</v>
      </c>
      <c r="B14069" s="4" t="s">
        <v>17713</v>
      </c>
      <c r="C14069" s="5" t="str">
        <f>IFERROR(__xludf.DUMMYFUNCTION("GOOGLETRANSLATE(B14069,""en"",""es-ES"")"),"En un horno, prepara azúcar simple con agua y azúcar.")</f>
        <v>En un horno, prepara azúcar simple con agua y azúcar.</v>
      </c>
    </row>
    <row r="14070">
      <c r="A14070" s="4" t="s">
        <v>17709</v>
      </c>
      <c r="B14070" s="4" t="s">
        <v>17714</v>
      </c>
      <c r="C14070" s="5" t="str">
        <f>IFERROR(__xludf.DUMMYFUNCTION("GOOGLETRANSLATE(B14070,""en"",""es-ES"")"),"Ella mezcla todos sus ingredientes en una jarra para hacer limonada.")</f>
        <v>Ella mezcla todos sus ingredientes en una jarra para hacer limonada.</v>
      </c>
    </row>
    <row r="14071">
      <c r="A14071" s="4" t="s">
        <v>17709</v>
      </c>
      <c r="B14071" s="4" t="s">
        <v>17715</v>
      </c>
      <c r="C14071" s="5" t="str">
        <f>IFERROR(__xludf.DUMMYFUNCTION("GOOGLETRANSLATE(B14071,""en"",""es-ES"")"),"Ella muestra otras recetas de limonada.")</f>
        <v>Ella muestra otras recetas de limonada.</v>
      </c>
    </row>
    <row r="14072">
      <c r="A14072" s="4" t="s">
        <v>17716</v>
      </c>
      <c r="B14072" s="4" t="s">
        <v>17717</v>
      </c>
      <c r="C14072" s="5" t="str">
        <f>IFERROR(__xludf.DUMMYFUNCTION("GOOGLETRANSLATE(B14072,""en"",""es-ES"")"),"Un hombre con una camisa azul lleva a un niño sobre un mostrador.")</f>
        <v>Un hombre con una camisa azul lleva a un niño sobre un mostrador.</v>
      </c>
    </row>
    <row r="14073">
      <c r="A14073" s="4" t="s">
        <v>17716</v>
      </c>
      <c r="B14073" s="4" t="s">
        <v>17718</v>
      </c>
      <c r="C14073" s="5" t="str">
        <f>IFERROR(__xludf.DUMMYFUNCTION("GOOGLETRANSLATE(B14073,""en"",""es-ES"")"),"El niño comienza a lanzar dardos a los globos en la pared.")</f>
        <v>El niño comienza a lanzar dardos a los globos en la pared.</v>
      </c>
    </row>
    <row r="14074">
      <c r="A14074" s="4" t="s">
        <v>17716</v>
      </c>
      <c r="B14074" s="4" t="s">
        <v>17719</v>
      </c>
      <c r="C14074" s="5" t="str">
        <f>IFERROR(__xludf.DUMMYFUNCTION("GOOGLETRANSLATE(B14074,""en"",""es-ES"")"),"La mujer detrás del mostrador le da un juguete al niño.")</f>
        <v>La mujer detrás del mostrador le da un juguete al niño.</v>
      </c>
    </row>
    <row r="14075">
      <c r="A14075" s="4" t="s">
        <v>17720</v>
      </c>
      <c r="B14075" s="4" t="s">
        <v>17721</v>
      </c>
      <c r="C14075" s="5" t="str">
        <f>IFERROR(__xludf.DUMMYFUNCTION("GOOGLETRANSLATE(B14075,""en"",""es-ES"")"),"Se ven dos mujeres hablando entre sí y conducen a un juego de voleibol jugado por un gran grupo de personas.")</f>
        <v>Se ven dos mujeres hablando entre sí y conducen a un juego de voleibol jugado por un gran grupo de personas.</v>
      </c>
    </row>
    <row r="14076">
      <c r="A14076" s="4" t="s">
        <v>17720</v>
      </c>
      <c r="B14076" s="4" t="s">
        <v>17722</v>
      </c>
      <c r="C14076" s="5" t="str">
        <f>IFERROR(__xludf.DUMMYFUNCTION("GOOGLETRANSLATE(B14076,""en"",""es-ES"")"),"La gente continúa jugando y cuarto mientras la audiencia aplaude y se detiene para hablar entre sí.")</f>
        <v>La gente continúa jugando y cuarto mientras la audiencia aplaude y se detiene para hablar entre sí.</v>
      </c>
    </row>
    <row r="14077">
      <c r="A14077" s="4" t="s">
        <v>17723</v>
      </c>
      <c r="B14077" s="4" t="s">
        <v>1487</v>
      </c>
      <c r="C14077" s="5" t="str">
        <f>IFERROR(__xludf.DUMMYFUNCTION("GOOGLETRANSLATE(B14077,""en"",""es-ES"")"),"Vemos una pantalla de título de apertura.")</f>
        <v>Vemos una pantalla de título de apertura.</v>
      </c>
    </row>
    <row r="14078">
      <c r="A14078" s="4" t="s">
        <v>17723</v>
      </c>
      <c r="B14078" s="4" t="s">
        <v>17724</v>
      </c>
      <c r="C14078" s="5" t="str">
        <f>IFERROR(__xludf.DUMMYFUNCTION("GOOGLETRANSLATE(B14078,""en"",""es-ES"")"),"Un hombre se sumerge en una gran piscina repetidamente.")</f>
        <v>Un hombre se sumerge en una gran piscina repetidamente.</v>
      </c>
    </row>
    <row r="14079">
      <c r="A14079" s="4" t="s">
        <v>17723</v>
      </c>
      <c r="B14079" s="4" t="s">
        <v>17725</v>
      </c>
      <c r="C14079" s="5" t="str">
        <f>IFERROR(__xludf.DUMMYFUNCTION("GOOGLETRANSLATE(B14079,""en"",""es-ES"")"),"Un hombre sentado en el medio del medio toma fotos mientras está sentado.")</f>
        <v>Un hombre sentado en el medio del medio toma fotos mientras está sentado.</v>
      </c>
    </row>
    <row r="14080">
      <c r="A14080" s="4" t="s">
        <v>17723</v>
      </c>
      <c r="B14080" s="4" t="s">
        <v>17726</v>
      </c>
      <c r="C14080" s="5" t="str">
        <f>IFERROR(__xludf.DUMMYFUNCTION("GOOGLETRANSLATE(B14080,""en"",""es-ES"")"),"El hombre sentado se para y toma fotos del buzo.")</f>
        <v>El hombre sentado se para y toma fotos del buzo.</v>
      </c>
    </row>
    <row r="14081">
      <c r="A14081" s="4" t="s">
        <v>17723</v>
      </c>
      <c r="B14081" s="4" t="s">
        <v>17727</v>
      </c>
      <c r="C14081" s="5" t="str">
        <f>IFERROR(__xludf.DUMMYFUNCTION("GOOGLETRANSLATE(B14081,""en"",""es-ES"")"),"El buzo nada al borde de la piscina.")</f>
        <v>El buzo nada al borde de la piscina.</v>
      </c>
    </row>
    <row r="14082">
      <c r="A14082" s="4" t="s">
        <v>17728</v>
      </c>
      <c r="B14082" s="4" t="s">
        <v>17729</v>
      </c>
      <c r="C14082" s="5" t="str">
        <f>IFERROR(__xludf.DUMMYFUNCTION("GOOGLETRANSLATE(B14082,""en"",""es-ES"")"),"Se ve a una persona sin brazos sentada en una silla y tocando la guitarra con los pies.")</f>
        <v>Se ve a una persona sin brazos sentada en una silla y tocando la guitarra con los pies.</v>
      </c>
    </row>
    <row r="14083">
      <c r="A14083" s="4" t="s">
        <v>17728</v>
      </c>
      <c r="B14083" s="4" t="s">
        <v>17730</v>
      </c>
      <c r="C14083" s="5" t="str">
        <f>IFERROR(__xludf.DUMMYFUNCTION("GOOGLETRANSLATE(B14083,""en"",""es-ES"")"),"Continúa tocando mientras canta y mueve los pies arriba y abajo de la guitarra.")</f>
        <v>Continúa tocando mientras canta y mueve los pies arriba y abajo de la guitarra.</v>
      </c>
    </row>
    <row r="14084">
      <c r="A14084" s="4" t="s">
        <v>17731</v>
      </c>
      <c r="B14084" s="4" t="s">
        <v>17732</v>
      </c>
      <c r="C14084" s="5" t="str">
        <f>IFERROR(__xludf.DUMMYFUNCTION("GOOGLETRANSLATE(B14084,""en"",""es-ES"")"),"Una mujer con un vestido blanco entra a su casa, todo feliz solo por estar muy decepcionada cuando ve que son los platos del fregadero.")</f>
        <v>Una mujer con un vestido blanco entra a su casa, todo feliz solo por estar muy decepcionada cuando ve que son los platos del fregadero.</v>
      </c>
    </row>
    <row r="14085">
      <c r="A14085" s="4" t="s">
        <v>17731</v>
      </c>
      <c r="B14085" s="4" t="s">
        <v>17733</v>
      </c>
      <c r="C14085" s="5" t="str">
        <f>IFERROR(__xludf.DUMMYFUNCTION("GOOGLETRANSLATE(B14085,""en"",""es-ES"")"),"Ella cambia de su vestido con una ropa cómoda y se mete en la cocina lista para lavar los platos.")</f>
        <v>Ella cambia de su vestido con una ropa cómoda y se mete en la cocina lista para lavar los platos.</v>
      </c>
    </row>
    <row r="14086">
      <c r="A14086" s="4" t="s">
        <v>17731</v>
      </c>
      <c r="B14086" s="4" t="s">
        <v>17734</v>
      </c>
      <c r="C14086" s="5" t="str">
        <f>IFERROR(__xludf.DUMMYFUNCTION("GOOGLETRANSLATE(B14086,""en"",""es-ES"")"),"Ella está soplando burbujas de manera muy infantil con el jabón y bailando.")</f>
        <v>Ella está soplando burbujas de manera muy infantil con el jabón y bailando.</v>
      </c>
    </row>
    <row r="14087">
      <c r="A14087" s="4" t="s">
        <v>17731</v>
      </c>
      <c r="B14087" s="4" t="s">
        <v>17735</v>
      </c>
      <c r="C14087" s="5" t="str">
        <f>IFERROR(__xludf.DUMMYFUNCTION("GOOGLETRANSLATE(B14087,""en"",""es-ES"")"),"Ella seca algunos de los platos con un trapo y coloca el resto en el lavavajillas, una vez que los platos están hechos en el lavavajillas, los saca y los saca a todos.")</f>
        <v>Ella seca algunos de los platos con un trapo y coloca el resto en el lavavajillas, una vez que los platos están hechos en el lavavajillas, los saca y los saca a todos.</v>
      </c>
    </row>
    <row r="14088">
      <c r="A14088" s="4" t="s">
        <v>17736</v>
      </c>
      <c r="B14088" s="4" t="s">
        <v>17737</v>
      </c>
      <c r="C14088" s="5" t="str">
        <f>IFERROR(__xludf.DUMMYFUNCTION("GOOGLETRANSLATE(B14088,""en"",""es-ES"")"),"Una mujer pone algo de loción en su mano.")</f>
        <v>Una mujer pone algo de loción en su mano.</v>
      </c>
    </row>
    <row r="14089">
      <c r="A14089" s="4" t="s">
        <v>17736</v>
      </c>
      <c r="B14089" s="4" t="s">
        <v>17738</v>
      </c>
      <c r="C14089" s="5" t="str">
        <f>IFERROR(__xludf.DUMMYFUNCTION("GOOGLETRANSLATE(B14089,""en"",""es-ES"")"),"Ella frota la loción en su rostro.")</f>
        <v>Ella frota la loción en su rostro.</v>
      </c>
    </row>
    <row r="14090">
      <c r="A14090" s="4" t="s">
        <v>17736</v>
      </c>
      <c r="B14090" s="4" t="s">
        <v>17739</v>
      </c>
      <c r="C14090" s="5" t="str">
        <f>IFERROR(__xludf.DUMMYFUNCTION("GOOGLETRANSLATE(B14090,""en"",""es-ES"")"),"Se muestra una demostración de dibujos animados en la pantalla.")</f>
        <v>Se muestra una demostración de dibujos animados en la pantalla.</v>
      </c>
    </row>
    <row r="14091">
      <c r="A14091" s="4" t="s">
        <v>17740</v>
      </c>
      <c r="B14091" s="4" t="s">
        <v>17741</v>
      </c>
      <c r="C14091" s="5" t="str">
        <f>IFERROR(__xludf.DUMMYFUNCTION("GOOGLETRANSLATE(B14091,""en"",""es-ES"")"),"Se muestra a una niña lavándose y frotando su rostro varias veces mientras habla en la cámara.")</f>
        <v>Se muestra a una niña lavándose y frotando su rostro varias veces mientras habla en la cámara.</v>
      </c>
    </row>
    <row r="14092">
      <c r="A14092" s="4" t="s">
        <v>17740</v>
      </c>
      <c r="B14092" s="4" t="s">
        <v>17742</v>
      </c>
      <c r="C14092" s="5" t="str">
        <f>IFERROR(__xludf.DUMMYFUNCTION("GOOGLETRANSLATE(B14092,""en"",""es-ES"")"),"Ella termina encendiendo el grifo y enjuagando agua en su rostro.")</f>
        <v>Ella termina encendiendo el grifo y enjuagando agua en su rostro.</v>
      </c>
    </row>
    <row r="14093">
      <c r="A14093" s="4" t="s">
        <v>17743</v>
      </c>
      <c r="B14093" s="4" t="s">
        <v>17744</v>
      </c>
      <c r="C14093" s="5" t="str">
        <f>IFERROR(__xludf.DUMMYFUNCTION("GOOGLETRANSLATE(B14093,""en"",""es-ES"")"),"Un joven juega bolos con otro hombre mientras arroja bolas y alfileres.")</f>
        <v>Un joven juega bolos con otro hombre mientras arroja bolas y alfileres.</v>
      </c>
    </row>
    <row r="14094">
      <c r="A14094" s="4" t="s">
        <v>17743</v>
      </c>
      <c r="B14094" s="4" t="s">
        <v>17745</v>
      </c>
      <c r="C14094" s="5" t="str">
        <f>IFERROR(__xludf.DUMMYFUNCTION("GOOGLETRANSLATE(B14094,""en"",""es-ES"")"),"Una salida de bola forma un contenedor.")</f>
        <v>Una salida de bola forma un contenedor.</v>
      </c>
    </row>
    <row r="14095">
      <c r="A14095" s="4" t="s">
        <v>17743</v>
      </c>
      <c r="B14095" s="4" t="s">
        <v>17746</v>
      </c>
      <c r="C14095" s="5" t="str">
        <f>IFERROR(__xludf.DUMMYFUNCTION("GOOGLETRANSLATE(B14095,""en"",""es-ES"")"),"Un hombre sostiene una bola de bolos en sus manos.")</f>
        <v>Un hombre sostiene una bola de bolos en sus manos.</v>
      </c>
    </row>
    <row r="14096">
      <c r="A14096" s="4" t="s">
        <v>17743</v>
      </c>
      <c r="B14096" s="4" t="s">
        <v>17747</v>
      </c>
      <c r="C14096" s="5" t="str">
        <f>IFERROR(__xludf.DUMMYFUNCTION("GOOGLETRANSLATE(B14096,""en"",""es-ES"")"),"El joven va a una habitación de la instalación de bolos, continúa jugando.")</f>
        <v>El joven va a una habitación de la instalación de bolos, continúa jugando.</v>
      </c>
    </row>
    <row r="14097">
      <c r="A14097" s="4" t="s">
        <v>17748</v>
      </c>
      <c r="B14097" s="4" t="s">
        <v>17749</v>
      </c>
      <c r="C14097" s="5" t="str">
        <f>IFERROR(__xludf.DUMMYFUNCTION("GOOGLETRANSLATE(B14097,""en"",""es-ES"")"),"Un niño está golpeando una pelota sobre una red en un gimnasio.")</f>
        <v>Un niño está golpeando una pelota sobre una red en un gimnasio.</v>
      </c>
    </row>
    <row r="14098">
      <c r="A14098" s="4" t="s">
        <v>17748</v>
      </c>
      <c r="B14098" s="4" t="s">
        <v>17750</v>
      </c>
      <c r="C14098" s="5" t="str">
        <f>IFERROR(__xludf.DUMMYFUNCTION("GOOGLETRANSLATE(B14098,""en"",""es-ES"")"),"Un hombre se para al otro lado, volviendo la pelota hacia él.")</f>
        <v>Un hombre se para al otro lado, volviendo la pelota hacia él.</v>
      </c>
    </row>
    <row r="14099">
      <c r="A14099" s="4" t="s">
        <v>17748</v>
      </c>
      <c r="B14099" s="4" t="s">
        <v>17751</v>
      </c>
      <c r="C14099" s="5" t="str">
        <f>IFERROR(__xludf.DUMMYFUNCTION("GOOGLETRANSLATE(B14099,""en"",""es-ES"")"),"Continúan golpeando la pelota de un lado a otro.")</f>
        <v>Continúan golpeando la pelota de un lado a otro.</v>
      </c>
    </row>
    <row r="14100">
      <c r="A14100" s="4" t="s">
        <v>17752</v>
      </c>
      <c r="B14100" s="4" t="s">
        <v>17753</v>
      </c>
      <c r="C14100" s="5" t="str">
        <f>IFERROR(__xludf.DUMMYFUNCTION("GOOGLETRANSLATE(B14100,""en"",""es-ES"")"),"Se ve a una persona sentada ante una cámara y lo lleva a mirar y sostener una lente de contacto.")</f>
        <v>Se ve a una persona sentada ante una cámara y lo lleva a mirar y sostener una lente de contacto.</v>
      </c>
    </row>
    <row r="14101">
      <c r="A14101" s="4" t="s">
        <v>17752</v>
      </c>
      <c r="B14101" s="4" t="s">
        <v>17754</v>
      </c>
      <c r="C14101" s="5" t="str">
        <f>IFERROR(__xludf.DUMMYFUNCTION("GOOGLETRANSLATE(B14101,""en"",""es-ES"")"),"Luego, la persona mantiene el ojo abierto y poniendo la lente seguido de mirar hacia atrás a la cámara.")</f>
        <v>Luego, la persona mantiene el ojo abierto y poniendo la lente seguido de mirar hacia atrás a la cámara.</v>
      </c>
    </row>
    <row r="14102">
      <c r="A14102" s="4" t="s">
        <v>17755</v>
      </c>
      <c r="B14102" s="4" t="s">
        <v>17756</v>
      </c>
      <c r="C14102" s="5" t="str">
        <f>IFERROR(__xludf.DUMMYFUNCTION("GOOGLETRANSLATE(B14102,""en"",""es-ES"")"),"Hay varios trabajadores que empacan muchas balsas en un camión para ser arrastrados.")</f>
        <v>Hay varios trabajadores que empacan muchas balsas en un camión para ser arrastrados.</v>
      </c>
    </row>
    <row r="14103">
      <c r="A14103" s="4" t="s">
        <v>17755</v>
      </c>
      <c r="B14103" s="4" t="s">
        <v>17757</v>
      </c>
      <c r="C14103" s="5" t="str">
        <f>IFERROR(__xludf.DUMMYFUNCTION("GOOGLETRANSLATE(B14103,""en"",""es-ES"")"),"Hay un río turbulento que fluye rápidamente que fluye bajo un puente.")</f>
        <v>Hay un río turbulento que fluye rápidamente que fluye bajo un puente.</v>
      </c>
    </row>
    <row r="14104">
      <c r="A14104" s="4" t="s">
        <v>17755</v>
      </c>
      <c r="B14104" s="4" t="s">
        <v>17758</v>
      </c>
      <c r="C14104" s="5" t="str">
        <f>IFERROR(__xludf.DUMMYFUNCTION("GOOGLETRANSLATE(B14104,""en"",""es-ES"")"),"La pintoresca vista de montaña muestra nubes que soplan en el viento.")</f>
        <v>La pintoresca vista de montaña muestra nubes que soplan en el viento.</v>
      </c>
    </row>
    <row r="14105">
      <c r="A14105" s="4" t="s">
        <v>17755</v>
      </c>
      <c r="B14105" s="4" t="s">
        <v>17759</v>
      </c>
      <c r="C14105" s="5" t="str">
        <f>IFERROR(__xludf.DUMMYFUNCTION("GOOGLETRANSLATE(B14105,""en"",""es-ES"")"),"Hay muchas vigas fuera de una cabaña de troncos y preparándose para su viaje de rafting.")</f>
        <v>Hay muchas vigas fuera de una cabaña de troncos y preparándose para su viaje de rafting.</v>
      </c>
    </row>
    <row r="14106">
      <c r="A14106" s="4" t="s">
        <v>17755</v>
      </c>
      <c r="B14106" s="4" t="s">
        <v>17760</v>
      </c>
      <c r="C14106" s="5" t="str">
        <f>IFERROR(__xludf.DUMMYFUNCTION("GOOGLETRANSLATE(B14106,""en"",""es-ES"")"),"Las vigas comienzan su aventura en el agua del río salvaje y turbulenta mientras intentan mantenerse a flote.")</f>
        <v>Las vigas comienzan su aventura en el agua del río salvaje y turbulenta mientras intentan mantenerse a flote.</v>
      </c>
    </row>
    <row r="14107">
      <c r="A14107" s="4" t="s">
        <v>17755</v>
      </c>
      <c r="B14107" s="4" t="s">
        <v>17761</v>
      </c>
      <c r="C14107" s="5" t="str">
        <f>IFERROR(__xludf.DUMMYFUNCTION("GOOGLETRANSLATE(B14107,""en"",""es-ES"")"),"Las ondas del río son tan turbulentas que hace que la balsa voltee y ahogue las vigas en las fuertes olas.")</f>
        <v>Las ondas del río son tan turbulentas que hace que la balsa voltee y ahogue las vigas en las fuertes olas.</v>
      </c>
    </row>
    <row r="14108">
      <c r="A14108" s="4" t="s">
        <v>17755</v>
      </c>
      <c r="B14108" s="4" t="s">
        <v>17762</v>
      </c>
      <c r="C14108" s="5" t="str">
        <f>IFERROR(__xludf.DUMMYFUNCTION("GOOGLETRANSLATE(B14108,""en"",""es-ES"")"),"Las vigas se esfuerzan por permanecer en la balsa mientras luchan contra las feroces olas del río para mantenerse a flote.")</f>
        <v>Las vigas se esfuerzan por permanecer en la balsa mientras luchan contra las feroces olas del río para mantenerse a flote.</v>
      </c>
    </row>
    <row r="14109">
      <c r="A14109" s="4" t="s">
        <v>17755</v>
      </c>
      <c r="B14109" s="4" t="s">
        <v>17763</v>
      </c>
      <c r="C14109" s="5" t="str">
        <f>IFERROR(__xludf.DUMMYFUNCTION("GOOGLETRANSLATE(B14109,""en"",""es-ES"")"),"Las olas son tan fuertes que se vuelve difícil para las vigas en la balsa.")</f>
        <v>Las olas son tan fuertes que se vuelve difícil para las vigas en la balsa.</v>
      </c>
    </row>
    <row r="14110">
      <c r="A14110" s="4" t="s">
        <v>17755</v>
      </c>
      <c r="B14110" s="4" t="s">
        <v>17764</v>
      </c>
      <c r="C14110" s="5" t="str">
        <f>IFERROR(__xludf.DUMMYFUNCTION("GOOGLETRANSLATE(B14110,""en"",""es-ES"")"),"Se arrojan enérgicamente al río a medida que la balsa vuelve sobre ellos.")</f>
        <v>Se arrojan enérgicamente al río a medida que la balsa vuelve sobre ellos.</v>
      </c>
    </row>
    <row r="14111">
      <c r="A14111" s="4" t="s">
        <v>17755</v>
      </c>
      <c r="B14111" s="4" t="s">
        <v>17765</v>
      </c>
      <c r="C14111" s="5" t="str">
        <f>IFERROR(__xludf.DUMMYFUNCTION("GOOGLETRANSLATE(B14111,""en"",""es-ES"")"),"Una de las vigas sonríe y habla sobre su experiencia mientras regresa con sus compañeras vigas.")</f>
        <v>Una de las vigas sonríe y habla sobre su experiencia mientras regresa con sus compañeras vigas.</v>
      </c>
    </row>
    <row r="14112">
      <c r="A14112" s="4" t="s">
        <v>17766</v>
      </c>
      <c r="B14112" s="4" t="s">
        <v>17767</v>
      </c>
      <c r="C14112" s="5" t="str">
        <f>IFERROR(__xludf.DUMMYFUNCTION("GOOGLETRANSLATE(B14112,""en"",""es-ES"")"),"Se ve a un gran grupo de personas sentados alrededor de un gimnasio cuando una niña corre y realiza una rutina en los bares desiguales.")</f>
        <v>Se ve a un gran grupo de personas sentados alrededor de un gimnasio cuando una niña corre y realiza una rutina en los bares desiguales.</v>
      </c>
    </row>
    <row r="14113">
      <c r="A14113" s="4" t="s">
        <v>17766</v>
      </c>
      <c r="B14113" s="4" t="s">
        <v>17768</v>
      </c>
      <c r="C14113" s="5" t="str">
        <f>IFERROR(__xludf.DUMMYFUNCTION("GOOGLETRANSLATE(B14113,""en"",""es-ES"")"),"La niña continúa balanceándose y termina con ella saltando del costado y saludando a la audiencia.")</f>
        <v>La niña continúa balanceándose y termina con ella saltando del costado y saludando a la audiencia.</v>
      </c>
    </row>
    <row r="14114">
      <c r="A14114" s="4" t="s">
        <v>17769</v>
      </c>
      <c r="B14114" s="4" t="s">
        <v>17770</v>
      </c>
      <c r="C14114" s="5" t="str">
        <f>IFERROR(__xludf.DUMMYFUNCTION("GOOGLETRANSLATE(B14114,""en"",""es-ES"")"),"Este video te muestra cómo hacer espagueti con salchichas con salsa de tomate simple.")</f>
        <v>Este video te muestra cómo hacer espagueti con salchichas con salsa de tomate simple.</v>
      </c>
    </row>
    <row r="14115">
      <c r="A14115" s="4" t="s">
        <v>17769</v>
      </c>
      <c r="B14115" s="4" t="s">
        <v>17771</v>
      </c>
      <c r="C14115" s="5" t="str">
        <f>IFERROR(__xludf.DUMMYFUNCTION("GOOGLETRANSLATE(B14115,""en"",""es-ES"")"),"Primero pone la salchicha en una bandeja para hornear que tiene papel de aluminio y la pone en el horno.")</f>
        <v>Primero pone la salchicha en una bandeja para hornear que tiene papel de aluminio y la pone en el horno.</v>
      </c>
    </row>
    <row r="14116">
      <c r="A14116" s="4" t="s">
        <v>17769</v>
      </c>
      <c r="B14116" s="4" t="s">
        <v>17772</v>
      </c>
      <c r="C14116" s="5" t="str">
        <f>IFERROR(__xludf.DUMMYFUNCTION("GOOGLETRANSLATE(B14116,""en"",""es-ES"")"),"Luego vierte los tomates en una pequeña licuadora y los combina.")</f>
        <v>Luego vierte los tomates en una pequeña licuadora y los combina.</v>
      </c>
    </row>
    <row r="14117">
      <c r="A14117" s="4" t="s">
        <v>17769</v>
      </c>
      <c r="B14117" s="4" t="s">
        <v>17773</v>
      </c>
      <c r="C14117" s="5" t="str">
        <f>IFERROR(__xludf.DUMMYFUNCTION("GOOGLETRANSLATE(B14117,""en"",""es-ES"")"),"Luego vierte pimientos rojos triturados y ajo en la sartén y vierte la salsa de tomate.")</f>
        <v>Luego vierte pimientos rojos triturados y ajo en la sartén y vierte la salsa de tomate.</v>
      </c>
    </row>
    <row r="14118">
      <c r="A14118" s="4" t="s">
        <v>17769</v>
      </c>
      <c r="B14118" s="4" t="s">
        <v>17774</v>
      </c>
      <c r="C14118" s="5" t="str">
        <f>IFERROR(__xludf.DUMMYFUNCTION("GOOGLETRANSLATE(B14118,""en"",""es-ES"")"),"Luego lo revuelve y saca la salchicha para cortarlos en trozos pequeños y les deja cocinar un poco más.")</f>
        <v>Luego lo revuelve y saca la salchicha para cortarlos en trozos pequeños y les deja cocinar un poco más.</v>
      </c>
    </row>
    <row r="14119">
      <c r="A14119" s="4" t="s">
        <v>17769</v>
      </c>
      <c r="B14119" s="4" t="s">
        <v>17775</v>
      </c>
      <c r="C14119" s="5" t="str">
        <f>IFERROR(__xludf.DUMMYFUNCTION("GOOGLETRANSLATE(B14119,""en"",""es-ES"")"),"Finalmente, los pone en la sartén con la pasta y cocina todo juntos creando una buena comida.")</f>
        <v>Finalmente, los pone en la sartén con la pasta y cocina todo juntos creando una buena comida.</v>
      </c>
    </row>
    <row r="14120">
      <c r="A14120" s="4" t="s">
        <v>17776</v>
      </c>
      <c r="B14120" s="4" t="s">
        <v>17777</v>
      </c>
      <c r="C14120" s="5" t="str">
        <f>IFERROR(__xludf.DUMMYFUNCTION("GOOGLETRANSLATE(B14120,""en"",""es-ES"")"),"Se ve a un hombre caminando hacia el marco y comienza a doblarse frente a un conjunto de pesas.")</f>
        <v>Se ve a un hombre caminando hacia el marco y comienza a doblarse frente a un conjunto de pesas.</v>
      </c>
    </row>
    <row r="14121">
      <c r="A14121" s="4" t="s">
        <v>17776</v>
      </c>
      <c r="B14121" s="4" t="s">
        <v>17778</v>
      </c>
      <c r="C14121" s="5" t="str">
        <f>IFERROR(__xludf.DUMMYFUNCTION("GOOGLETRANSLATE(B14121,""en"",""es-ES"")"),"Luego, el hombre levanta los pesos hacia arriba y hacia abajo sobre sus hombros mientras la cámara se forman detrás.")</f>
        <v>Luego, el hombre levanta los pesos hacia arriba y hacia abajo sobre sus hombros mientras la cámara se forman detrás.</v>
      </c>
    </row>
    <row r="14122">
      <c r="A14122" s="4" t="s">
        <v>17776</v>
      </c>
      <c r="B14122" s="4" t="s">
        <v>17779</v>
      </c>
      <c r="C14122" s="5" t="str">
        <f>IFERROR(__xludf.DUMMYFUNCTION("GOOGLETRANSLATE(B14122,""en"",""es-ES"")"),"El hombre entra y sale del marco caminando hacia los pesos y otro hombre que entra en el marco para levantar.")</f>
        <v>El hombre entra y sale del marco caminando hacia los pesos y otro hombre que entra en el marco para levantar.</v>
      </c>
    </row>
    <row r="14123">
      <c r="A14123" s="4" t="s">
        <v>17780</v>
      </c>
      <c r="B14123" s="4" t="s">
        <v>17781</v>
      </c>
      <c r="C14123" s="5" t="str">
        <f>IFERROR(__xludf.DUMMYFUNCTION("GOOGLETRANSLATE(B14123,""en"",""es-ES"")"),"Un hombre revuelve los materiales de creación de shine en un frasco.")</f>
        <v>Un hombre revuelve los materiales de creación de shine en un frasco.</v>
      </c>
    </row>
    <row r="14124">
      <c r="A14124" s="4" t="s">
        <v>17780</v>
      </c>
      <c r="B14124" s="4" t="s">
        <v>17782</v>
      </c>
      <c r="C14124" s="5" t="str">
        <f>IFERROR(__xludf.DUMMYFUNCTION("GOOGLETRANSLATE(B14124,""en"",""es-ES"")"),"Prepara el zapato para brillar.")</f>
        <v>Prepara el zapato para brillar.</v>
      </c>
    </row>
    <row r="14125">
      <c r="A14125" s="4" t="s">
        <v>17780</v>
      </c>
      <c r="B14125" s="4" t="s">
        <v>17783</v>
      </c>
      <c r="C14125" s="5" t="str">
        <f>IFERROR(__xludf.DUMMYFUNCTION("GOOGLETRANSLATE(B14125,""en"",""es-ES"")"),"Explica su método de brillo de zapatos.")</f>
        <v>Explica su método de brillo de zapatos.</v>
      </c>
    </row>
    <row r="14126">
      <c r="A14126" s="4" t="s">
        <v>17780</v>
      </c>
      <c r="B14126" s="4" t="s">
        <v>17784</v>
      </c>
      <c r="C14126" s="5" t="str">
        <f>IFERROR(__xludf.DUMMYFUNCTION("GOOGLETRANSLATE(B14126,""en"",""es-ES"")"),"El hombre brilla en la parte superior de un zapato y termina fijando los cordones del zapato.")</f>
        <v>El hombre brilla en la parte superior de un zapato y termina fijando los cordones del zapato.</v>
      </c>
    </row>
    <row r="14127">
      <c r="A14127" s="4" t="s">
        <v>17785</v>
      </c>
      <c r="B14127" s="4" t="s">
        <v>17786</v>
      </c>
      <c r="C14127" s="5" t="str">
        <f>IFERROR(__xludf.DUMMYFUNCTION("GOOGLETRANSLATE(B14127,""en"",""es-ES"")"),"Se ve a una mujer parada en medio de un pozo de arena y comienza a balancear un objeto.")</f>
        <v>Se ve a una mujer parada en medio de un pozo de arena y comienza a balancear un objeto.</v>
      </c>
    </row>
    <row r="14128">
      <c r="A14128" s="4" t="s">
        <v>17785</v>
      </c>
      <c r="B14128" s="4" t="s">
        <v>17787</v>
      </c>
      <c r="C14128" s="5" t="str">
        <f>IFERROR(__xludf.DUMMYFUNCTION("GOOGLETRANSLATE(B14128,""en"",""es-ES"")"),"Ella gira esto a su alrededor varias veces y luego comienza a balancearse.")</f>
        <v>Ella gira esto a su alrededor varias veces y luego comienza a balancearse.</v>
      </c>
    </row>
    <row r="14129">
      <c r="A14129" s="4" t="s">
        <v>17785</v>
      </c>
      <c r="B14129" s="4" t="s">
        <v>17788</v>
      </c>
      <c r="C14129" s="5" t="str">
        <f>IFERROR(__xludf.DUMMYFUNCTION("GOOGLETRANSLATE(B14129,""en"",""es-ES"")"),"Ella continúa balanceándose y termina arrojándolo a la distancia.")</f>
        <v>Ella continúa balanceándose y termina arrojándolo a la distancia.</v>
      </c>
    </row>
    <row r="14130">
      <c r="A14130" s="4" t="s">
        <v>17789</v>
      </c>
      <c r="B14130" s="4" t="s">
        <v>17790</v>
      </c>
      <c r="C14130" s="5" t="str">
        <f>IFERROR(__xludf.DUMMYFUNCTION("GOOGLETRANSLATE(B14130,""en"",""es-ES"")"),"Un hombre lanza un martillo en una actuación deportiva juzgada, afuera, en un campo cubierto de hierba con un grupo de espectadores en las líneas laterales.")</f>
        <v>Un hombre lanza un martillo en una actuación deportiva juzgada, afuera, en un campo cubierto de hierba con un grupo de espectadores en las líneas laterales.</v>
      </c>
    </row>
    <row r="14131">
      <c r="A14131" s="4" t="s">
        <v>17789</v>
      </c>
      <c r="B14131" s="4" t="s">
        <v>17791</v>
      </c>
      <c r="C14131" s="5" t="str">
        <f>IFERROR(__xludf.DUMMYFUNCTION("GOOGLETRANSLATE(B14131,""en"",""es-ES"")"),"Un hombre se acerca a una superficie blanca cuadrada, pavimentada, rodeada de redes negras.")</f>
        <v>Un hombre se acerca a una superficie blanca cuadrada, pavimentada, rodeada de redes negras.</v>
      </c>
    </row>
    <row r="14132">
      <c r="A14132" s="4" t="s">
        <v>17789</v>
      </c>
      <c r="B14132" s="4" t="s">
        <v>17792</v>
      </c>
      <c r="C14132" s="5" t="str">
        <f>IFERROR(__xludf.DUMMYFUNCTION("GOOGLETRANSLATE(B14132,""en"",""es-ES"")"),"El hombre gira en su lugar para ganar impulso y libera/arroja la bola de martillo.")</f>
        <v>El hombre gira en su lugar para ganar impulso y libera/arroja la bola de martillo.</v>
      </c>
    </row>
    <row r="14133">
      <c r="A14133" s="4" t="s">
        <v>17789</v>
      </c>
      <c r="B14133" s="4" t="s">
        <v>17793</v>
      </c>
      <c r="C14133" s="5" t="str">
        <f>IFERROR(__xludf.DUMMYFUNCTION("GOOGLETRANSLATE(B14133,""en"",""es-ES"")"),"Dos personas emergen con una cinta métrica larga para medir la distancia que se lanzó la bola de martillo.")</f>
        <v>Dos personas emergen con una cinta métrica larga para medir la distancia que se lanzó la bola de martillo.</v>
      </c>
    </row>
    <row r="14134">
      <c r="A14134" s="4" t="s">
        <v>17789</v>
      </c>
      <c r="B14134" s="4" t="s">
        <v>17794</v>
      </c>
      <c r="C14134" s="5" t="str">
        <f>IFERROR(__xludf.DUMMYFUNCTION("GOOGLETRANSLATE(B14134,""en"",""es-ES"")"),"El atleta corre saltando y sonriendo y golpea a otro jugador.")</f>
        <v>El atleta corre saltando y sonriendo y golpea a otro jugador.</v>
      </c>
    </row>
    <row r="14135">
      <c r="A14135" s="4" t="s">
        <v>17795</v>
      </c>
      <c r="B14135" s="4" t="s">
        <v>17796</v>
      </c>
      <c r="C14135" s="5" t="str">
        <f>IFERROR(__xludf.DUMMYFUNCTION("GOOGLETRANSLATE(B14135,""en"",""es-ES"")"),"Una mujer se para hablar en una estera de yoga en un área de entrada.")</f>
        <v>Una mujer se para hablar en una estera de yoga en un área de entrada.</v>
      </c>
    </row>
    <row r="14136">
      <c r="A14136" s="4" t="s">
        <v>17795</v>
      </c>
      <c r="B14136" s="4" t="s">
        <v>17797</v>
      </c>
      <c r="C14136" s="5" t="str">
        <f>IFERROR(__xludf.DUMMYFUNCTION("GOOGLETRANSLATE(B14136,""en"",""es-ES"")"),"La mujer hace un entrenamiento aeróbico que da un paso atrás y levanta los brazos en la colchoneta.")</f>
        <v>La mujer hace un entrenamiento aeróbico que da un paso atrás y levanta los brazos en la colchoneta.</v>
      </c>
    </row>
    <row r="14137">
      <c r="A14137" s="4" t="s">
        <v>17795</v>
      </c>
      <c r="B14137" s="4" t="s">
        <v>17798</v>
      </c>
      <c r="C14137" s="5" t="str">
        <f>IFERROR(__xludf.DUMMYFUNCTION("GOOGLETRANSLATE(B14137,""en"",""es-ES"")"),"La mujer salta de un lado a otro en un entrenamiento más vigoroso.")</f>
        <v>La mujer salta de un lado a otro en un entrenamiento más vigoroso.</v>
      </c>
    </row>
    <row r="14138">
      <c r="A14138" s="4" t="s">
        <v>17799</v>
      </c>
      <c r="B14138" s="4" t="s">
        <v>17800</v>
      </c>
      <c r="C14138" s="5" t="str">
        <f>IFERROR(__xludf.DUMMYFUNCTION("GOOGLETRANSLATE(B14138,""en"",""es-ES"")"),"Una niña está dentro de un porche cubierto.")</f>
        <v>Una niña está dentro de un porche cubierto.</v>
      </c>
    </row>
    <row r="14139">
      <c r="A14139" s="4" t="s">
        <v>17799</v>
      </c>
      <c r="B14139" s="4" t="s">
        <v>17801</v>
      </c>
      <c r="C14139" s="5" t="str">
        <f>IFERROR(__xludf.DUMMYFUNCTION("GOOGLETRANSLATE(B14139,""en"",""es-ES"")"),"Ella balancea un bastón en una pequeña piñata.")</f>
        <v>Ella balancea un bastón en una pequeña piñata.</v>
      </c>
    </row>
    <row r="14140">
      <c r="A14140" s="4" t="s">
        <v>17799</v>
      </c>
      <c r="B14140" s="4" t="s">
        <v>17802</v>
      </c>
      <c r="C14140" s="5" t="str">
        <f>IFERROR(__xludf.DUMMYFUNCTION("GOOGLETRANSLATE(B14140,""en"",""es-ES"")"),"Ella tiene los ojos vendados mientras continúa balanceándose una y otra vez.")</f>
        <v>Ella tiene los ojos vendados mientras continúa balanceándose una y otra vez.</v>
      </c>
    </row>
    <row r="14141">
      <c r="A14141" s="4" t="s">
        <v>17803</v>
      </c>
      <c r="B14141" s="4" t="s">
        <v>17804</v>
      </c>
      <c r="C14141" s="5" t="str">
        <f>IFERROR(__xludf.DUMMYFUNCTION("GOOGLETRANSLATE(B14141,""en"",""es-ES"")"),"Una mujer muestra sus uñas seguidas de varios clips de uñas pintados por un cepillo.")</f>
        <v>Una mujer muestra sus uñas seguidas de varios clips de uñas pintados por un cepillo.</v>
      </c>
    </row>
    <row r="14142">
      <c r="A14142" s="4" t="s">
        <v>17803</v>
      </c>
      <c r="B14142" s="4" t="s">
        <v>17805</v>
      </c>
      <c r="C14142" s="5" t="str">
        <f>IFERROR(__xludf.DUMMYFUNCTION("GOOGLETRANSLATE(B14142,""en"",""es-ES"")"),"El pincel hace varias líneas en las uñas y muestra a las celebridades con uñas de moda.")</f>
        <v>El pincel hace varias líneas en las uñas y muestra a las celebridades con uñas de moda.</v>
      </c>
    </row>
    <row r="14143">
      <c r="A14143" s="4" t="s">
        <v>17803</v>
      </c>
      <c r="B14143" s="4" t="s">
        <v>17806</v>
      </c>
      <c r="C14143" s="5" t="str">
        <f>IFERROR(__xludf.DUMMYFUNCTION("GOOGLETRANSLATE(B14143,""en"",""es-ES"")"),"El video se acelera y muestra varios diseños diferentes para esmalte de uñas y ejemplos.")</f>
        <v>El video se acelera y muestra varios diseños diferentes para esmalte de uñas y ejemplos.</v>
      </c>
    </row>
    <row r="14144">
      <c r="A14144" s="4" t="s">
        <v>17807</v>
      </c>
      <c r="B14144" s="4" t="s">
        <v>17808</v>
      </c>
      <c r="C14144" s="5" t="str">
        <f>IFERROR(__xludf.DUMMYFUNCTION("GOOGLETRANSLATE(B14144,""en"",""es-ES"")"),"Se muestra un primer plano de las uñas de una persona, seguido de una persona que presenta las uñas de otra.")</f>
        <v>Se muestra un primer plano de las uñas de una persona, seguido de una persona que presenta las uñas de otra.</v>
      </c>
    </row>
    <row r="14145">
      <c r="A14145" s="4" t="s">
        <v>17807</v>
      </c>
      <c r="B14145" s="4" t="s">
        <v>17809</v>
      </c>
      <c r="C14145" s="5" t="str">
        <f>IFERROR(__xludf.DUMMYFUNCTION("GOOGLETRANSLATE(B14145,""en"",""es-ES"")"),"Varios productos se muestran de cerca, así como las uñas de una persona que se pintan y se ponen al calor.")</f>
        <v>Varios productos se muestran de cerca, así como las uñas de una persona que se pintan y se ponen al calor.</v>
      </c>
    </row>
    <row r="14146">
      <c r="A14146" s="4" t="s">
        <v>17807</v>
      </c>
      <c r="B14146" s="4" t="s">
        <v>17810</v>
      </c>
      <c r="C14146" s="5" t="str">
        <f>IFERROR(__xludf.DUMMYFUNCTION("GOOGLETRANSLATE(B14146,""en"",""es-ES"")"),"La persona continúa pintando las uñas y se pone una gema al final.")</f>
        <v>La persona continúa pintando las uñas y se pone una gema al final.</v>
      </c>
    </row>
    <row r="14147">
      <c r="A14147" s="4" t="s">
        <v>17811</v>
      </c>
      <c r="B14147" s="4" t="s">
        <v>1487</v>
      </c>
      <c r="C14147" s="5" t="str">
        <f>IFERROR(__xludf.DUMMYFUNCTION("GOOGLETRANSLATE(B14147,""en"",""es-ES"")"),"Vemos una pantalla de título de apertura.")</f>
        <v>Vemos una pantalla de título de apertura.</v>
      </c>
    </row>
    <row r="14148">
      <c r="A14148" s="4" t="s">
        <v>17811</v>
      </c>
      <c r="B14148" s="4" t="s">
        <v>17812</v>
      </c>
      <c r="C14148" s="5" t="str">
        <f>IFERROR(__xludf.DUMMYFUNCTION("GOOGLETRANSLATE(B14148,""en"",""es-ES"")"),"Vemos fotos de personas jugando fútbol en una arena interior.")</f>
        <v>Vemos fotos de personas jugando fútbol en una arena interior.</v>
      </c>
    </row>
    <row r="14149">
      <c r="A14149" s="4" t="s">
        <v>17811</v>
      </c>
      <c r="B14149" s="4" t="s">
        <v>17813</v>
      </c>
      <c r="C14149" s="5" t="str">
        <f>IFERROR(__xludf.DUMMYFUNCTION("GOOGLETRANSLATE(B14149,""en"",""es-ES"")"),"Vemos a un hombre saltar y desviar una pelota de la red en cámara lenta.")</f>
        <v>Vemos a un hombre saltar y desviar una pelota de la red en cámara lenta.</v>
      </c>
    </row>
    <row r="14150">
      <c r="A14150" s="4" t="s">
        <v>17811</v>
      </c>
      <c r="B14150" s="4" t="s">
        <v>17814</v>
      </c>
      <c r="C14150" s="5" t="str">
        <f>IFERROR(__xludf.DUMMYFUNCTION("GOOGLETRANSLATE(B14150,""en"",""es-ES"")"),"Vemos a dos hombres chocar en cámara lenta.")</f>
        <v>Vemos a dos hombres chocar en cámara lenta.</v>
      </c>
    </row>
    <row r="14151">
      <c r="A14151" s="4" t="s">
        <v>17815</v>
      </c>
      <c r="B14151" s="4" t="s">
        <v>17816</v>
      </c>
      <c r="C14151" s="5" t="str">
        <f>IFERROR(__xludf.DUMMYFUNCTION("GOOGLETRANSLATE(B14151,""en"",""es-ES"")"),"El niño está en el fregadero cepillando la olla.")</f>
        <v>El niño está en el fregadero cepillando la olla.</v>
      </c>
    </row>
    <row r="14152">
      <c r="A14152" s="4" t="s">
        <v>17815</v>
      </c>
      <c r="B14152" s="4" t="s">
        <v>17817</v>
      </c>
      <c r="C14152" s="5" t="str">
        <f>IFERROR(__xludf.DUMMYFUNCTION("GOOGLETRANSLATE(B14152,""en"",""es-ES"")"),"El niño levanta el cepillo de la olla y cepilla el fregadero, luego lo puso en la olla.")</f>
        <v>El niño levanta el cepillo de la olla y cepilla el fregadero, luego lo puso en la olla.</v>
      </c>
    </row>
    <row r="14153">
      <c r="A14153" s="4" t="s">
        <v>17815</v>
      </c>
      <c r="B14153" s="4" t="s">
        <v>17818</v>
      </c>
      <c r="C14153" s="5" t="str">
        <f>IFERROR(__xludf.DUMMYFUNCTION("GOOGLETRANSLATE(B14153,""en"",""es-ES"")"),"El niño cepilla la tapa de la olla, y un adulto puso platos en la olla y el niño lo sacó y sumerge el tenedor.")</f>
        <v>El niño cepilla la tapa de la olla, y un adulto puso platos en la olla y el niño lo sacó y sumerge el tenedor.</v>
      </c>
    </row>
    <row r="14154">
      <c r="A14154" s="4" t="s">
        <v>17819</v>
      </c>
      <c r="B14154" s="4" t="s">
        <v>17820</v>
      </c>
      <c r="C14154" s="5" t="str">
        <f>IFERROR(__xludf.DUMMYFUNCTION("GOOGLETRANSLATE(B14154,""en"",""es-ES"")"),"Una persona que usa equipo de seguridad sostiene una varilla de metal con una abrazadera.")</f>
        <v>Una persona que usa equipo de seguridad sostiene una varilla de metal con una abrazadera.</v>
      </c>
    </row>
    <row r="14155">
      <c r="A14155" s="4" t="s">
        <v>17819</v>
      </c>
      <c r="B14155" s="4" t="s">
        <v>17821</v>
      </c>
      <c r="C14155" s="5" t="str">
        <f>IFERROR(__xludf.DUMMYFUNCTION("GOOGLETRANSLATE(B14155,""en"",""es-ES"")"),"Luego, la persona soldó en una superficie.")</f>
        <v>Luego, la persona soldó en una superficie.</v>
      </c>
    </row>
    <row r="14156">
      <c r="A14156" s="4" t="s">
        <v>17819</v>
      </c>
      <c r="B14156" s="4" t="s">
        <v>17822</v>
      </c>
      <c r="C14156" s="5" t="str">
        <f>IFERROR(__xludf.DUMMYFUNCTION("GOOGLETRANSLATE(B14156,""en"",""es-ES"")"),"El humo viene de la abrazadera.")</f>
        <v>El humo viene de la abrazadera.</v>
      </c>
    </row>
    <row r="14157">
      <c r="A14157" s="4" t="s">
        <v>17823</v>
      </c>
      <c r="B14157" s="4" t="s">
        <v>17824</v>
      </c>
      <c r="C14157" s="5" t="str">
        <f>IFERROR(__xludf.DUMMYFUNCTION("GOOGLETRANSLATE(B14157,""en"",""es-ES"")"),"Una pintura de un cielo nublado sobre las montañas se muestra en un lienzo.")</f>
        <v>Una pintura de un cielo nublado sobre las montañas se muestra en un lienzo.</v>
      </c>
    </row>
    <row r="14158">
      <c r="A14158" s="4" t="s">
        <v>17823</v>
      </c>
      <c r="B14158" s="4" t="s">
        <v>17825</v>
      </c>
      <c r="C14158" s="5" t="str">
        <f>IFERROR(__xludf.DUMMYFUNCTION("GOOGLETRANSLATE(B14158,""en"",""es-ES"")"),"Un cepillo comienza a pintar azul sobre el lienzo.")</f>
        <v>Un cepillo comienza a pintar azul sobre el lienzo.</v>
      </c>
    </row>
    <row r="14159">
      <c r="A14159" s="4" t="s">
        <v>17823</v>
      </c>
      <c r="B14159" s="4" t="s">
        <v>17826</v>
      </c>
      <c r="C14159" s="5" t="str">
        <f>IFERROR(__xludf.DUMMYFUNCTION("GOOGLETRANSLATE(B14159,""en"",""es-ES"")"),"Se muestra una imagen completa en colores brillantes de una playa antes de volver a los pincelados en progreso.")</f>
        <v>Se muestra una imagen completa en colores brillantes de una playa antes de volver a los pincelados en progreso.</v>
      </c>
    </row>
    <row r="14160">
      <c r="A14160" s="4" t="s">
        <v>17823</v>
      </c>
      <c r="B14160" s="4" t="s">
        <v>17827</v>
      </c>
      <c r="C14160" s="5" t="str">
        <f>IFERROR(__xludf.DUMMYFUNCTION("GOOGLETRANSLATE(B14160,""en"",""es-ES"")"),"El océano se completa en la escena final.")</f>
        <v>El océano se completa en la escena final.</v>
      </c>
    </row>
    <row r="14161">
      <c r="A14161" s="4" t="s">
        <v>17828</v>
      </c>
      <c r="B14161" s="4" t="s">
        <v>17829</v>
      </c>
      <c r="C14161" s="5" t="str">
        <f>IFERROR(__xludf.DUMMYFUNCTION("GOOGLETRANSLATE(B14161,""en"",""es-ES"")"),"Una anciana está tejiendo en una cama.")</f>
        <v>Una anciana está tejiendo en una cama.</v>
      </c>
    </row>
    <row r="14162">
      <c r="A14162" s="4" t="s">
        <v>17828</v>
      </c>
      <c r="B14162" s="4" t="s">
        <v>17830</v>
      </c>
      <c r="C14162" s="5" t="str">
        <f>IFERROR(__xludf.DUMMYFUNCTION("GOOGLETRANSLATE(B14162,""en"",""es-ES"")"),"Una niña también está sentada en el piso tejiendo.")</f>
        <v>Una niña también está sentada en el piso tejiendo.</v>
      </c>
    </row>
    <row r="14163">
      <c r="A14163" s="4" t="s">
        <v>17828</v>
      </c>
      <c r="B14163" s="4" t="s">
        <v>17831</v>
      </c>
      <c r="C14163" s="5" t="str">
        <f>IFERROR(__xludf.DUMMYFUNCTION("GOOGLETRANSLATE(B14163,""en"",""es-ES"")"),"Ella habla con la cámara mientras aprende a tejer.")</f>
        <v>Ella habla con la cámara mientras aprende a tejer.</v>
      </c>
    </row>
    <row r="14164">
      <c r="A14164" s="4" t="s">
        <v>17832</v>
      </c>
      <c r="B14164" s="4" t="s">
        <v>17833</v>
      </c>
      <c r="C14164" s="5" t="str">
        <f>IFERROR(__xludf.DUMMYFUNCTION("GOOGLETRANSLATE(B14164,""en"",""es-ES"")"),"Un joven está parado en una puerta abierta con las manos sobre las palmas de la cabeza hacia él en un bar asegurado en la parte superior de la puerta.")</f>
        <v>Un joven está parado en una puerta abierta con las manos sobre las palmas de la cabeza hacia él en un bar asegurado en la parte superior de la puerta.</v>
      </c>
    </row>
    <row r="14165">
      <c r="A14165" s="4" t="s">
        <v>17832</v>
      </c>
      <c r="B14165" s="4" t="s">
        <v>17834</v>
      </c>
      <c r="C14165" s="5" t="str">
        <f>IFERROR(__xludf.DUMMYFUNCTION("GOOGLETRANSLATE(B14165,""en"",""es-ES"")"),"El joven se levanta y coloca sus pies en el espacio entre la barra y la parte superior del marco de la puerta.")</f>
        <v>El joven se levanta y coloca sus pies en el espacio entre la barra y la parte superior del marco de la puerta.</v>
      </c>
    </row>
    <row r="14166">
      <c r="A14166" s="4" t="s">
        <v>17832</v>
      </c>
      <c r="B14166" s="4" t="s">
        <v>17835</v>
      </c>
      <c r="C14166" s="5" t="str">
        <f>IFERROR(__xludf.DUMMYFUNCTION("GOOGLETRANSLATE(B14166,""en"",""es-ES"")"),"El joven baja su cuerpo, extendiéndose a lo largo de la puerta de la puerta, con las manos detrás de la cabeza, los codos hacia afuera.")</f>
        <v>El joven baja su cuerpo, extendiéndose a lo largo de la puerta de la puerta, con las manos detrás de la cabeza, los codos hacia afuera.</v>
      </c>
    </row>
    <row r="14167">
      <c r="A14167" s="4" t="s">
        <v>17832</v>
      </c>
      <c r="B14167" s="4" t="s">
        <v>17836</v>
      </c>
      <c r="C14167" s="5" t="str">
        <f>IFERROR(__xludf.DUMMYFUNCTION("GOOGLETRANSLATE(B14167,""en"",""es-ES"")"),"El joven hace dos sentadillas.")</f>
        <v>El joven hace dos sentadillas.</v>
      </c>
    </row>
    <row r="14168">
      <c r="A14168" s="4" t="s">
        <v>17832</v>
      </c>
      <c r="B14168" s="4" t="s">
        <v>17837</v>
      </c>
      <c r="C14168" s="5" t="str">
        <f>IFERROR(__xludf.DUMMYFUNCTION("GOOGLETRANSLATE(B14168,""en"",""es-ES"")"),"La cámara muestra la parte superior de la puerta enfocándose en la barra y los pies del joven asegurado en la parte superior de la puerta.")</f>
        <v>La cámara muestra la parte superior de la puerta enfocándose en la barra y los pies del joven asegurado en la parte superior de la puerta.</v>
      </c>
    </row>
    <row r="14169">
      <c r="A14169" s="4" t="s">
        <v>17832</v>
      </c>
      <c r="B14169" s="4" t="s">
        <v>17838</v>
      </c>
      <c r="C14169" s="5" t="str">
        <f>IFERROR(__xludf.DUMMYFUNCTION("GOOGLETRANSLATE(B14169,""en"",""es-ES"")"),"La cámara vuelve a la vista completa del joven que hace sentadillas en la puerta.")</f>
        <v>La cámara vuelve a la vista completa del joven que hace sentadillas en la puerta.</v>
      </c>
    </row>
    <row r="14170">
      <c r="A14170" s="4" t="s">
        <v>17832</v>
      </c>
      <c r="B14170" s="4" t="s">
        <v>17839</v>
      </c>
      <c r="C14170" s="5" t="str">
        <f>IFERROR(__xludf.DUMMYFUNCTION("GOOGLETRANSLATE(B14170,""en"",""es-ES"")"),"El joven hace tres sentadillas más.")</f>
        <v>El joven hace tres sentadillas más.</v>
      </c>
    </row>
    <row r="14171">
      <c r="A14171" s="4" t="s">
        <v>17840</v>
      </c>
      <c r="B14171" s="4" t="s">
        <v>17841</v>
      </c>
      <c r="C14171" s="5" t="str">
        <f>IFERROR(__xludf.DUMMYFUNCTION("GOOGLETRANSLATE(B14171,""en"",""es-ES"")"),"Una mujer está parada junto al vacío.")</f>
        <v>Una mujer está parada junto al vacío.</v>
      </c>
    </row>
    <row r="14172">
      <c r="A14172" s="4" t="s">
        <v>17840</v>
      </c>
      <c r="B14172" s="4" t="s">
        <v>17842</v>
      </c>
      <c r="C14172" s="5" t="str">
        <f>IFERROR(__xludf.DUMMYFUNCTION("GOOGLETRANSLATE(B14172,""en"",""es-ES"")"),"Ella arroja algo al suelo.")</f>
        <v>Ella arroja algo al suelo.</v>
      </c>
    </row>
    <row r="14173">
      <c r="A14173" s="4" t="s">
        <v>17840</v>
      </c>
      <c r="B14173" s="4" t="s">
        <v>17843</v>
      </c>
      <c r="C14173" s="5" t="str">
        <f>IFERROR(__xludf.DUMMYFUNCTION("GOOGLETRANSLATE(B14173,""en"",""es-ES"")"),"Ella toma la aspiradora y aspira el desastre.")</f>
        <v>Ella toma la aspiradora y aspira el desastre.</v>
      </c>
    </row>
    <row r="14174">
      <c r="A14174" s="4" t="s">
        <v>17840</v>
      </c>
      <c r="B14174" s="4" t="s">
        <v>17844</v>
      </c>
      <c r="C14174" s="5" t="str">
        <f>IFERROR(__xludf.DUMMYFUNCTION("GOOGLETRANSLATE(B14174,""en"",""es-ES"")"),"Ella quita la manguera del vacío y comienza a usarla en el piso.")</f>
        <v>Ella quita la manguera del vacío y comienza a usarla en el piso.</v>
      </c>
    </row>
    <row r="14175">
      <c r="A14175" s="4" t="s">
        <v>17845</v>
      </c>
      <c r="B14175" s="4" t="s">
        <v>17846</v>
      </c>
      <c r="C14175" s="5" t="str">
        <f>IFERROR(__xludf.DUMMYFUNCTION("GOOGLETRANSLATE(B14175,""en"",""es-ES"")"),"Un hombre conduce una cortadora de césped.")</f>
        <v>Un hombre conduce una cortadora de césped.</v>
      </c>
    </row>
    <row r="14176">
      <c r="A14176" s="4" t="s">
        <v>17845</v>
      </c>
      <c r="B14176" s="4" t="s">
        <v>17847</v>
      </c>
      <c r="C14176" s="5" t="str">
        <f>IFERROR(__xludf.DUMMYFUNCTION("GOOGLETRANSLATE(B14176,""en"",""es-ES"")"),"Comienza a cortar el césped en el cortacésped.")</f>
        <v>Comienza a cortar el césped en el cortacésped.</v>
      </c>
    </row>
    <row r="14177">
      <c r="A14177" s="4" t="s">
        <v>17845</v>
      </c>
      <c r="B14177" s="4" t="s">
        <v>17848</v>
      </c>
      <c r="C14177" s="5" t="str">
        <f>IFERROR(__xludf.DUMMYFUNCTION("GOOGLETRANSLATE(B14177,""en"",""es-ES"")"),"Levanta la mano y continúa cortando el césped.")</f>
        <v>Levanta la mano y continúa cortando el césped.</v>
      </c>
    </row>
    <row r="14178">
      <c r="A14178" s="4" t="s">
        <v>17849</v>
      </c>
      <c r="B14178" s="4" t="s">
        <v>17850</v>
      </c>
      <c r="C14178" s="5" t="str">
        <f>IFERROR(__xludf.DUMMYFUNCTION("GOOGLETRANSLATE(B14178,""en"",""es-ES"")"),"Un mixólogo está hablando de cómo hacer bebidas alcohólicas.")</f>
        <v>Un mixólogo está hablando de cómo hacer bebidas alcohólicas.</v>
      </c>
    </row>
    <row r="14179">
      <c r="A14179" s="4" t="s">
        <v>17849</v>
      </c>
      <c r="B14179" s="4" t="s">
        <v>17851</v>
      </c>
      <c r="C14179" s="5" t="str">
        <f>IFERROR(__xludf.DUMMYFUNCTION("GOOGLETRANSLATE(B14179,""en"",""es-ES"")"),"Ella habla sobre las bebidas que hace muchos favoritos.")</f>
        <v>Ella habla sobre las bebidas que hace muchos favoritos.</v>
      </c>
    </row>
    <row r="14180">
      <c r="A14180" s="4" t="s">
        <v>17849</v>
      </c>
      <c r="B14180" s="4" t="s">
        <v>17852</v>
      </c>
      <c r="C14180" s="5" t="str">
        <f>IFERROR(__xludf.DUMMYFUNCTION("GOOGLETRANSLATE(B14180,""en"",""es-ES"")"),"Ella comienza con un refresco Voda y cómo hacer uno.")</f>
        <v>Ella comienza con un refresco Voda y cómo hacer uno.</v>
      </c>
    </row>
    <row r="14181">
      <c r="A14181" s="4" t="s">
        <v>17849</v>
      </c>
      <c r="B14181" s="4" t="s">
        <v>17853</v>
      </c>
      <c r="C14181" s="5" t="str">
        <f>IFERROR(__xludf.DUMMYFUNCTION("GOOGLETRANSLATE(B14181,""en"",""es-ES"")"),"La siguiente bebida que hace es Vodka Seven.")</f>
        <v>La siguiente bebida que hace es Vodka Seven.</v>
      </c>
    </row>
    <row r="14182">
      <c r="A14182" s="4" t="s">
        <v>17849</v>
      </c>
      <c r="B14182" s="4" t="s">
        <v>17854</v>
      </c>
      <c r="C14182" s="5" t="str">
        <f>IFERROR(__xludf.DUMMYFUNCTION("GOOGLETRANSLATE(B14182,""en"",""es-ES"")"),"Luego hace un destornillador, un galgo, y luego se mezcla con jugo de arándano.")</f>
        <v>Luego hace un destornillador, un galgo, y luego se mezcla con jugo de arándano.</v>
      </c>
    </row>
    <row r="14183">
      <c r="A14183" s="4" t="s">
        <v>17855</v>
      </c>
      <c r="B14183" s="4" t="s">
        <v>17856</v>
      </c>
      <c r="C14183" s="5" t="str">
        <f>IFERROR(__xludf.DUMMYFUNCTION("GOOGLETRANSLATE(B14183,""en"",""es-ES"")"),"Una cámara se aleja de un conjunto de equipos de ejercicio y conduce a los pies de una mujer avanzando.")</f>
        <v>Una cámara se aleja de un conjunto de equipos de ejercicio y conduce a los pies de una mujer avanzando.</v>
      </c>
    </row>
    <row r="14184">
      <c r="A14184" s="4" t="s">
        <v>17855</v>
      </c>
      <c r="B14184" s="4" t="s">
        <v>17857</v>
      </c>
      <c r="C14184" s="5" t="str">
        <f>IFERROR(__xludf.DUMMYFUNCTION("GOOGLETRANSLATE(B14184,""en"",""es-ES"")"),"Luego se ve a la mujer usando la máquina, así como ajustar la configuración y continuar funcionando.")</f>
        <v>Luego se ve a la mujer usando la máquina, así como ajustar la configuración y continuar funcionando.</v>
      </c>
    </row>
    <row r="14185">
      <c r="A14185" s="4" t="s">
        <v>17858</v>
      </c>
      <c r="B14185" s="4" t="s">
        <v>17859</v>
      </c>
      <c r="C14185" s="5" t="str">
        <f>IFERROR(__xludf.DUMMYFUNCTION("GOOGLETRANSLATE(B14185,""en"",""es-ES"")"),"Un hombre vestido para clima frío está afuera en la nieve que toca una cadena en sus manos.")</f>
        <v>Un hombre vestido para clima frío está afuera en la nieve que toca una cadena en sus manos.</v>
      </c>
    </row>
    <row r="14186">
      <c r="A14186" s="4" t="s">
        <v>17858</v>
      </c>
      <c r="B14186" s="4" t="s">
        <v>17860</v>
      </c>
      <c r="C14186" s="5" t="str">
        <f>IFERROR(__xludf.DUMMYFUNCTION("GOOGLETRANSLATE(B14186,""en"",""es-ES"")"),"La cadena se coloca alrededor de un tocón de árbol y el hombre recoge un hacha.")</f>
        <v>La cadena se coloca alrededor de un tocón de árbol y el hombre recoge un hacha.</v>
      </c>
    </row>
    <row r="14187">
      <c r="A14187" s="4" t="s">
        <v>17858</v>
      </c>
      <c r="B14187" s="4" t="s">
        <v>17861</v>
      </c>
      <c r="C14187" s="5" t="str">
        <f>IFERROR(__xludf.DUMMYFUNCTION("GOOGLETRANSLATE(B14187,""en"",""es-ES"")"),"El hombre golpea los tocones continuamente hasta que el tocón se rompa en pedazos y luego lo desencadena en la parte posterior de su camioneta.")</f>
        <v>El hombre golpea los tocones continuamente hasta que el tocón se rompa en pedazos y luego lo desencadena en la parte posterior de su camioneta.</v>
      </c>
    </row>
    <row r="14188">
      <c r="A14188" s="4" t="s">
        <v>17862</v>
      </c>
      <c r="B14188" s="4" t="s">
        <v>17863</v>
      </c>
      <c r="C14188" s="5" t="str">
        <f>IFERROR(__xludf.DUMMYFUNCTION("GOOGLETRANSLATE(B14188,""en"",""es-ES"")"),"Un hombre está dentro de un gimnasio mientras habla con la cámara.")</f>
        <v>Un hombre está dentro de un gimnasio mientras habla con la cámara.</v>
      </c>
    </row>
    <row r="14189">
      <c r="A14189" s="4" t="s">
        <v>17862</v>
      </c>
      <c r="B14189" s="4" t="s">
        <v>17864</v>
      </c>
      <c r="C14189" s="5" t="str">
        <f>IFERROR(__xludf.DUMMYFUNCTION("GOOGLETRANSLATE(B14189,""en"",""es-ES"")"),"Otros hombres están trabajando detrás de él.")</f>
        <v>Otros hombres están trabajando detrás de él.</v>
      </c>
    </row>
    <row r="14190">
      <c r="A14190" s="4" t="s">
        <v>17862</v>
      </c>
      <c r="B14190" s="4" t="s">
        <v>17865</v>
      </c>
      <c r="C14190" s="5" t="str">
        <f>IFERROR(__xludf.DUMMYFUNCTION("GOOGLETRANSLATE(B14190,""en"",""es-ES"")"),"Demuestra a través del voluntario cómo usar una máquina de remo.")</f>
        <v>Demuestra a través del voluntario cómo usar una máquina de remo.</v>
      </c>
    </row>
    <row r="14191">
      <c r="A14191" s="4" t="s">
        <v>17866</v>
      </c>
      <c r="B14191" s="4" t="s">
        <v>17867</v>
      </c>
      <c r="C14191" s="5" t="str">
        <f>IFERROR(__xludf.DUMMYFUNCTION("GOOGLETRANSLATE(B14191,""en"",""es-ES"")"),"Los hombres están parados en un campo hablando.")</f>
        <v>Los hombres están parados en un campo hablando.</v>
      </c>
    </row>
    <row r="14192">
      <c r="A14192" s="4" t="s">
        <v>17866</v>
      </c>
      <c r="B14192" s="4" t="s">
        <v>17868</v>
      </c>
      <c r="C14192" s="5" t="str">
        <f>IFERROR(__xludf.DUMMYFUNCTION("GOOGLETRANSLATE(B14192,""en"",""es-ES"")"),"Un hombre patea a otro hombre.")</f>
        <v>Un hombre patea a otro hombre.</v>
      </c>
    </row>
    <row r="14193">
      <c r="A14193" s="4" t="s">
        <v>17866</v>
      </c>
      <c r="B14193" s="4" t="s">
        <v>17869</v>
      </c>
      <c r="C14193" s="5" t="str">
        <f>IFERROR(__xludf.DUMMYFUNCTION("GOOGLETRANSLATE(B14193,""en"",""es-ES"")"),"Ese hombre le balancea un bate.")</f>
        <v>Ese hombre le balancea un bate.</v>
      </c>
    </row>
    <row r="14194">
      <c r="A14194" s="4" t="s">
        <v>17870</v>
      </c>
      <c r="B14194" s="4" t="s">
        <v>17871</v>
      </c>
      <c r="C14194" s="5" t="str">
        <f>IFERROR(__xludf.DUMMYFUNCTION("GOOGLETRANSLATE(B14194,""en"",""es-ES"")"),"Un hombre está montando una tabla de surf en el océano.")</f>
        <v>Un hombre está montando una tabla de surf en el océano.</v>
      </c>
    </row>
    <row r="14195">
      <c r="A14195" s="4" t="s">
        <v>17870</v>
      </c>
      <c r="B14195" s="4" t="s">
        <v>17872</v>
      </c>
      <c r="C14195" s="5" t="str">
        <f>IFERROR(__xludf.DUMMYFUNCTION("GOOGLETRANSLATE(B14195,""en"",""es-ES"")"),"Él se levanta en el tablero durante una ola.")</f>
        <v>Él se levanta en el tablero durante una ola.</v>
      </c>
    </row>
    <row r="14196">
      <c r="A14196" s="4" t="s">
        <v>17870</v>
      </c>
      <c r="B14196" s="4" t="s">
        <v>17873</v>
      </c>
      <c r="C14196" s="5" t="str">
        <f>IFERROR(__xludf.DUMMYFUNCTION("GOOGLETRANSLATE(B14196,""en"",""es-ES"")"),"Surfa a través de la ola, entrando y saliendo.")</f>
        <v>Surfa a través de la ola, entrando y saliendo.</v>
      </c>
    </row>
    <row r="14197">
      <c r="A14197" s="4" t="s">
        <v>17874</v>
      </c>
      <c r="B14197" s="4" t="s">
        <v>17875</v>
      </c>
      <c r="C14197" s="5" t="str">
        <f>IFERROR(__xludf.DUMMYFUNCTION("GOOGLETRANSLATE(B14197,""en"",""es-ES"")"),"La gente está sentada en balsas que van por un río.")</f>
        <v>La gente está sentada en balsas que van por un río.</v>
      </c>
    </row>
    <row r="14198">
      <c r="A14198" s="4" t="s">
        <v>17874</v>
      </c>
      <c r="B14198" s="4" t="s">
        <v>17876</v>
      </c>
      <c r="C14198" s="5" t="str">
        <f>IFERROR(__xludf.DUMMYFUNCTION("GOOGLETRANSLATE(B14198,""en"",""es-ES"")"),"Un hombre está parado al costado de un río tomando una foto.")</f>
        <v>Un hombre está parado al costado de un río tomando una foto.</v>
      </c>
    </row>
    <row r="14199">
      <c r="A14199" s="4" t="s">
        <v>17874</v>
      </c>
      <c r="B14199" s="4" t="s">
        <v>17877</v>
      </c>
      <c r="C14199" s="5" t="str">
        <f>IFERROR(__xludf.DUMMYFUNCTION("GOOGLETRANSLATE(B14199,""en"",""es-ES"")"),"La gente sale de la balsa a la tierra.")</f>
        <v>La gente sale de la balsa a la tierra.</v>
      </c>
    </row>
    <row r="14200">
      <c r="A14200" s="4" t="s">
        <v>17878</v>
      </c>
      <c r="B14200" s="4" t="s">
        <v>17879</v>
      </c>
      <c r="C14200" s="5" t="str">
        <f>IFERROR(__xludf.DUMMYFUNCTION("GOOGLETRANSLATE(B14200,""en"",""es-ES"")"),"Una persona está soldando un metal afuera.")</f>
        <v>Una persona está soldando un metal afuera.</v>
      </c>
    </row>
    <row r="14201">
      <c r="A14201" s="4" t="s">
        <v>17878</v>
      </c>
      <c r="B14201" s="4" t="s">
        <v>17880</v>
      </c>
      <c r="C14201" s="5" t="str">
        <f>IFERROR(__xludf.DUMMYFUNCTION("GOOGLETRANSLATE(B14201,""en"",""es-ES"")"),"La persona deja de soldar el metal en el piso.")</f>
        <v>La persona deja de soldar el metal en el piso.</v>
      </c>
    </row>
    <row r="14202">
      <c r="A14202" s="4" t="s">
        <v>17878</v>
      </c>
      <c r="B14202" s="4" t="s">
        <v>17881</v>
      </c>
      <c r="C14202" s="5" t="str">
        <f>IFERROR(__xludf.DUMMYFUNCTION("GOOGLETRANSLATE(B14202,""en"",""es-ES"")"),"La persona mueve la herramienta de soldadura detrás.")</f>
        <v>La persona mueve la herramienta de soldadura detrás.</v>
      </c>
    </row>
    <row r="14203">
      <c r="A14203" s="4" t="s">
        <v>17882</v>
      </c>
      <c r="B14203" s="4" t="s">
        <v>17883</v>
      </c>
      <c r="C14203" s="5" t="str">
        <f>IFERROR(__xludf.DUMMYFUNCTION("GOOGLETRANSLATE(B14203,""en"",""es-ES"")"),"Dos niños pequeños se sientan en una caja en la parte superior de la diapositiva en un área de juego interior.")</f>
        <v>Dos niños pequeños se sientan en una caja en la parte superior de la diapositiva en un área de juego interior.</v>
      </c>
    </row>
    <row r="14204">
      <c r="A14204" s="4" t="s">
        <v>17882</v>
      </c>
      <c r="B14204" s="4" t="s">
        <v>17884</v>
      </c>
      <c r="C14204" s="5" t="str">
        <f>IFERROR(__xludf.DUMMYFUNCTION("GOOGLETRANSLATE(B14204,""en"",""es-ES"")"),"Una niña se une y juega en la diapositiva.")</f>
        <v>Una niña se une y juega en la diapositiva.</v>
      </c>
    </row>
    <row r="14205">
      <c r="A14205" s="4" t="s">
        <v>17882</v>
      </c>
      <c r="B14205" s="4" t="s">
        <v>17885</v>
      </c>
      <c r="C14205" s="5" t="str">
        <f>IFERROR(__xludf.DUMMYFUNCTION("GOOGLETRANSLATE(B14205,""en"",""es-ES"")"),"Las chicas se van y los chicos se turnan para bajar por el tobogán.")</f>
        <v>Las chicas se van y los chicos se turnan para bajar por el tobogán.</v>
      </c>
    </row>
    <row r="14206">
      <c r="A14206" s="4" t="s">
        <v>17882</v>
      </c>
      <c r="B14206" s="4" t="s">
        <v>17886</v>
      </c>
      <c r="C14206" s="5" t="str">
        <f>IFERROR(__xludf.DUMMYFUNCTION("GOOGLETRANSLATE(B14206,""en"",""es-ES"")"),"Los chicos conectan una diapositiva al primero y prueban la nueva diapositiva.")</f>
        <v>Los chicos conectan una diapositiva al primero y prueban la nueva diapositiva.</v>
      </c>
    </row>
    <row r="14207">
      <c r="A14207" s="4" t="s">
        <v>17882</v>
      </c>
      <c r="B14207" s="4" t="s">
        <v>17887</v>
      </c>
      <c r="C14207" s="5" t="str">
        <f>IFERROR(__xludf.DUMMYFUNCTION("GOOGLETRANSLATE(B14207,""en"",""es-ES"")"),"Dos niños corren y lejos.")</f>
        <v>Dos niños corren y lejos.</v>
      </c>
    </row>
    <row r="14208">
      <c r="A14208" s="4" t="s">
        <v>17882</v>
      </c>
      <c r="B14208" s="4" t="s">
        <v>17888</v>
      </c>
      <c r="C14208" s="5" t="str">
        <f>IFERROR(__xludf.DUMMYFUNCTION("GOOGLETRANSLATE(B14208,""en"",""es-ES"")"),"El último chico sale corriendo y vemos la escalera de diapositivas.")</f>
        <v>El último chico sale corriendo y vemos la escalera de diapositivas.</v>
      </c>
    </row>
    <row r="14209">
      <c r="A14209" s="4" t="s">
        <v>17889</v>
      </c>
      <c r="B14209" s="4" t="s">
        <v>17890</v>
      </c>
      <c r="C14209" s="5" t="str">
        <f>IFERROR(__xludf.DUMMYFUNCTION("GOOGLETRANSLATE(B14209,""en"",""es-ES"")"),"Dos personas están en kayak por un río áspero.")</f>
        <v>Dos personas están en kayak por un río áspero.</v>
      </c>
    </row>
    <row r="14210">
      <c r="A14210" s="4" t="s">
        <v>17889</v>
      </c>
      <c r="B14210" s="4" t="s">
        <v>17891</v>
      </c>
      <c r="C14210" s="5" t="str">
        <f>IFERROR(__xludf.DUMMYFUNCTION("GOOGLETRANSLATE(B14210,""en"",""es-ES"")"),"Ahora solo las rocas pueden ver a una persona yendo.")</f>
        <v>Ahora solo las rocas pueden ver a una persona yendo.</v>
      </c>
    </row>
    <row r="14211">
      <c r="A14211" s="4" t="s">
        <v>17889</v>
      </c>
      <c r="B14211" s="4" t="s">
        <v>17892</v>
      </c>
      <c r="C14211" s="5" t="str">
        <f>IFERROR(__xludf.DUMMYFUNCTION("GOOGLETRANSLATE(B14211,""en"",""es-ES"")"),"Hay un borde de un porche con un par de zapatos y un par de piernas en el borde del porche.")</f>
        <v>Hay un borde de un porche con un par de zapatos y un par de piernas en el borde del porche.</v>
      </c>
    </row>
    <row r="14212">
      <c r="A14212" s="4" t="s">
        <v>17893</v>
      </c>
      <c r="B14212" s="4" t="s">
        <v>17894</v>
      </c>
      <c r="C14212" s="5" t="str">
        <f>IFERROR(__xludf.DUMMYFUNCTION("GOOGLETRANSLATE(B14212,""en"",""es-ES"")"),"Se ve a un niño pequeño hablando con la cámara y comienza a trepar a través de un juego de bares de mono.")</f>
        <v>Se ve a un niño pequeño hablando con la cámara y comienza a trepar a través de un juego de bares de mono.</v>
      </c>
    </row>
    <row r="14213">
      <c r="A14213" s="4" t="s">
        <v>17893</v>
      </c>
      <c r="B14213" s="4" t="s">
        <v>17895</v>
      </c>
      <c r="C14213" s="5" t="str">
        <f>IFERROR(__xludf.DUMMYFUNCTION("GOOGLETRANSLATE(B14213,""en"",""es-ES"")"),"Ella llega al otro lado sonriendo a la cámara y luego baja después.")</f>
        <v>Ella llega al otro lado sonriendo a la cámara y luego baja después.</v>
      </c>
    </row>
    <row r="14214">
      <c r="A14214" s="4" t="s">
        <v>17896</v>
      </c>
      <c r="B14214" s="4" t="s">
        <v>17897</v>
      </c>
      <c r="C14214" s="5" t="str">
        <f>IFERROR(__xludf.DUMMYFUNCTION("GOOGLETRANSLATE(B14214,""en"",""es-ES"")"),"Vemos a un hombre en una habitación hablando de una bicicleta.")</f>
        <v>Vemos a un hombre en una habitación hablando de una bicicleta.</v>
      </c>
    </row>
    <row r="14215">
      <c r="A14215" s="4" t="s">
        <v>17896</v>
      </c>
      <c r="B14215" s="4" t="s">
        <v>6208</v>
      </c>
      <c r="C14215" s="5" t="str">
        <f>IFERROR(__xludf.DUMMYFUNCTION("GOOGLETRANSLATE(B14215,""en"",""es-ES"")"),"Vemos una pantalla de título.")</f>
        <v>Vemos una pantalla de título.</v>
      </c>
    </row>
    <row r="14216">
      <c r="A14216" s="4" t="s">
        <v>17896</v>
      </c>
      <c r="B14216" s="4" t="s">
        <v>17898</v>
      </c>
      <c r="C14216" s="5" t="str">
        <f>IFERROR(__xludf.DUMMYFUNCTION("GOOGLETRANSLATE(B14216,""en"",""es-ES"")"),"Luego vemos al hombre ajustando la barra de mango de la bicicleta.")</f>
        <v>Luego vemos al hombre ajustando la barra de mango de la bicicleta.</v>
      </c>
    </row>
    <row r="14217">
      <c r="A14217" s="4" t="s">
        <v>17896</v>
      </c>
      <c r="B14217" s="4" t="s">
        <v>17899</v>
      </c>
      <c r="C14217" s="5" t="str">
        <f>IFERROR(__xludf.DUMMYFUNCTION("GOOGLETRANSLATE(B14217,""en"",""es-ES"")"),"El hombre demuestra cómo se sientan las palancas y ajusta las palancas de freno.")</f>
        <v>El hombre demuestra cómo se sientan las palancas y ajusta las palancas de freno.</v>
      </c>
    </row>
    <row r="14218">
      <c r="A14218" s="4" t="s">
        <v>17896</v>
      </c>
      <c r="B14218" s="4" t="s">
        <v>17900</v>
      </c>
      <c r="C14218" s="5" t="str">
        <f>IFERROR(__xludf.DUMMYFUNCTION("GOOGLETRANSLATE(B14218,""en"",""es-ES"")"),"El hombre demuestra las posiciones de sentado y los frenados y los atornilla.")</f>
        <v>El hombre demuestra las posiciones de sentado y los frenados y los atornilla.</v>
      </c>
    </row>
    <row r="14219">
      <c r="A14219" s="4" t="s">
        <v>17896</v>
      </c>
      <c r="B14219" s="4" t="s">
        <v>17901</v>
      </c>
      <c r="C14219" s="5" t="str">
        <f>IFERROR(__xludf.DUMMYFUNCTION("GOOGLETRANSLATE(B14219,""en"",""es-ES"")"),"El hombre entonces y ajusta la palanca de palanca de cambios.")</f>
        <v>El hombre entonces y ajusta la palanca de palanca de cambios.</v>
      </c>
    </row>
    <row r="14220">
      <c r="A14220" s="4" t="s">
        <v>17896</v>
      </c>
      <c r="B14220" s="4" t="s">
        <v>17902</v>
      </c>
      <c r="C14220" s="5" t="str">
        <f>IFERROR(__xludf.DUMMYFUNCTION("GOOGLETRANSLATE(B14220,""en"",""es-ES"")"),"Vemos un resumen y la escena de cierre del video.")</f>
        <v>Vemos un resumen y la escena de cierre del video.</v>
      </c>
    </row>
    <row r="14221">
      <c r="A14221" s="4" t="s">
        <v>17903</v>
      </c>
      <c r="B14221" s="4" t="s">
        <v>17904</v>
      </c>
      <c r="C14221" s="5" t="str">
        <f>IFERROR(__xludf.DUMMYFUNCTION("GOOGLETRANSLATE(B14221,""en"",""es-ES"")"),"Una introducción llega a la pantalla para un video sobre cómo arreglar un fregadero apestoso.")</f>
        <v>Una introducción llega a la pantalla para un video sobre cómo arreglar un fregadero apestoso.</v>
      </c>
    </row>
    <row r="14222">
      <c r="A14222" s="4" t="s">
        <v>17903</v>
      </c>
      <c r="B14222" s="4" t="s">
        <v>17905</v>
      </c>
      <c r="C14222" s="5" t="str">
        <f>IFERROR(__xludf.DUMMYFUNCTION("GOOGLETRANSLATE(B14222,""en"",""es-ES"")"),"Un hombre entra en la pantalla y explica hace varios días sobre sacar el olor de su fregadero.")</f>
        <v>Un hombre entra en la pantalla y explica hace varios días sobre sacar el olor de su fregadero.</v>
      </c>
    </row>
    <row r="14223">
      <c r="A14223" s="4" t="s">
        <v>17903</v>
      </c>
      <c r="B14223" s="4" t="s">
        <v>17906</v>
      </c>
      <c r="C14223" s="5" t="str">
        <f>IFERROR(__xludf.DUMMYFUNCTION("GOOGLETRANSLATE(B14223,""en"",""es-ES"")"),"Primero explica cómo puede usar diferentes productos químicos y cuirlos en el desagüe para sacar el olor.")</f>
        <v>Primero explica cómo puede usar diferentes productos químicos y cuirlos en el desagüe para sacar el olor.</v>
      </c>
    </row>
    <row r="14224">
      <c r="A14224" s="4" t="s">
        <v>17903</v>
      </c>
      <c r="B14224" s="4" t="s">
        <v>17907</v>
      </c>
      <c r="C14224" s="5" t="str">
        <f>IFERROR(__xludf.DUMMYFUNCTION("GOOGLETRANSLATE(B14224,""en"",""es-ES"")"),"Luego le muestra cómo quitar el fondo del fregadero para limpiarlo, lo que puede ayudar con el olor.")</f>
        <v>Luego le muestra cómo quitar el fondo del fregadero para limpiarlo, lo que puede ayudar con el olor.</v>
      </c>
    </row>
    <row r="14225">
      <c r="A14225" s="4" t="s">
        <v>17903</v>
      </c>
      <c r="B14225" s="4" t="s">
        <v>17908</v>
      </c>
      <c r="C14225" s="5" t="str">
        <f>IFERROR(__xludf.DUMMYFUNCTION("GOOGLETRANSLATE(B14225,""en"",""es-ES"")"),"El video es con los créditos de cierre que se muestran en la pantalla.")</f>
        <v>El video es con los créditos de cierre que se muestran en la pantalla.</v>
      </c>
    </row>
    <row r="14226">
      <c r="A14226" s="4" t="s">
        <v>17909</v>
      </c>
      <c r="B14226" s="4" t="s">
        <v>17910</v>
      </c>
      <c r="C14226" s="5" t="str">
        <f>IFERROR(__xludf.DUMMYFUNCTION("GOOGLETRANSLATE(B14226,""en"",""es-ES"")"),"Hay una mujer con una camisa gris y medias negras y cabello muy corto realizando trucos con un pequeño palo en su patio trasero junto al columpio.")</f>
        <v>Hay una mujer con una camisa gris y medias negras y cabello muy corto realizando trucos con un pequeño palo en su patio trasero junto al columpio.</v>
      </c>
    </row>
    <row r="14227">
      <c r="A14227" s="4" t="s">
        <v>17909</v>
      </c>
      <c r="B14227" s="4" t="s">
        <v>17911</v>
      </c>
      <c r="C14227" s="5" t="str">
        <f>IFERROR(__xludf.DUMMYFUNCTION("GOOGLETRANSLATE(B14227,""en"",""es-ES"")"),"Ella está haciendo malabares entre dos palos en la mano y tratando de atrapar un palo mientras tira el otro en el aire.")</f>
        <v>Ella está haciendo malabares entre dos palos en la mano y tratando de atrapar un palo mientras tira el otro en el aire.</v>
      </c>
    </row>
    <row r="14228">
      <c r="A14228" s="4" t="s">
        <v>17912</v>
      </c>
      <c r="B14228" s="4" t="s">
        <v>17913</v>
      </c>
      <c r="C14228" s="5" t="str">
        <f>IFERROR(__xludf.DUMMYFUNCTION("GOOGLETRANSLATE(B14228,""en"",""es-ES"")"),"Un hombre corre por una pista afuera.")</f>
        <v>Un hombre corre por una pista afuera.</v>
      </c>
    </row>
    <row r="14229">
      <c r="A14229" s="4" t="s">
        <v>17912</v>
      </c>
      <c r="B14229" s="4" t="s">
        <v>17914</v>
      </c>
      <c r="C14229" s="5" t="str">
        <f>IFERROR(__xludf.DUMMYFUNCTION("GOOGLETRANSLATE(B14229,""en"",""es-ES"")"),"Él está sosteniendo una larga jabalina.")</f>
        <v>Él está sosteniendo una larga jabalina.</v>
      </c>
    </row>
    <row r="14230">
      <c r="A14230" s="4" t="s">
        <v>17912</v>
      </c>
      <c r="B14230" s="4" t="s">
        <v>17915</v>
      </c>
      <c r="C14230" s="5" t="str">
        <f>IFERROR(__xludf.DUMMYFUNCTION("GOOGLETRANSLATE(B14230,""en"",""es-ES"")"),"El salto con pértiga sobre un bar.")</f>
        <v>El salto con pértiga sobre un bar.</v>
      </c>
    </row>
    <row r="14231">
      <c r="A14231" s="4" t="s">
        <v>17912</v>
      </c>
      <c r="B14231" s="4" t="s">
        <v>17916</v>
      </c>
      <c r="C14231" s="5" t="str">
        <f>IFERROR(__xludf.DUMMYFUNCTION("GOOGLETRANSLATE(B14231,""en"",""es-ES"")"),"Hace lo mismo nuevamente en el interior.")</f>
        <v>Hace lo mismo nuevamente en el interior.</v>
      </c>
    </row>
    <row r="14232">
      <c r="A14232" s="4" t="s">
        <v>17917</v>
      </c>
      <c r="B14232" s="4" t="s">
        <v>17918</v>
      </c>
      <c r="C14232" s="5" t="str">
        <f>IFERROR(__xludf.DUMMYFUNCTION("GOOGLETRANSLATE(B14232,""en"",""es-ES"")"),"Se ve a una persona batir los huevos y mezclarlos en un tazón mientras separa las cáscaras de los huevos.")</f>
        <v>Se ve a una persona batir los huevos y mezclarlos en un tazón mientras separa las cáscaras de los huevos.</v>
      </c>
    </row>
    <row r="14233">
      <c r="A14233" s="4" t="s">
        <v>17917</v>
      </c>
      <c r="B14233" s="4" t="s">
        <v>17919</v>
      </c>
      <c r="C14233" s="5" t="str">
        <f>IFERROR(__xludf.DUMMYFUNCTION("GOOGLETRANSLATE(B14233,""en"",""es-ES"")"),"Mezcla los huevos alrededor de un tazón, colocan mantequilla y leche en otro tazón y los mezclan todos.")</f>
        <v>Mezcla los huevos alrededor de un tazón, colocan mantequilla y leche en otro tazón y los mezclan todos.</v>
      </c>
    </row>
    <row r="14234">
      <c r="A14234" s="4" t="s">
        <v>17917</v>
      </c>
      <c r="B14234" s="4" t="s">
        <v>17920</v>
      </c>
      <c r="C14234" s="5" t="str">
        <f>IFERROR(__xludf.DUMMYFUNCTION("GOOGLETRANSLATE(B14234,""en"",""es-ES"")"),"Agregan varios ingredientes más a la mezcla y muestran el resultado final de las galletas sentadas en un plato.")</f>
        <v>Agregan varios ingredientes más a la mezcla y muestran el resultado final de las galletas sentadas en un plato.</v>
      </c>
    </row>
    <row r="14235">
      <c r="A14235" s="4" t="s">
        <v>17921</v>
      </c>
      <c r="B14235" s="4" t="s">
        <v>17922</v>
      </c>
      <c r="C14235" s="5" t="str">
        <f>IFERROR(__xludf.DUMMYFUNCTION("GOOGLETRANSLATE(B14235,""en"",""es-ES"")"),"Un hombre está cerca de la cámara que presenta el video.")</f>
        <v>Un hombre está cerca de la cámara que presenta el video.</v>
      </c>
    </row>
    <row r="14236">
      <c r="A14236" s="4" t="s">
        <v>17921</v>
      </c>
      <c r="B14236" s="4" t="s">
        <v>17923</v>
      </c>
      <c r="C14236" s="5" t="str">
        <f>IFERROR(__xludf.DUMMYFUNCTION("GOOGLETRANSLATE(B14236,""en"",""es-ES"")"),"Su esposa está limpiando un trozo de marco blanco rápidamente.")</f>
        <v>Su esposa está limpiando un trozo de marco blanco rápidamente.</v>
      </c>
    </row>
    <row r="14237">
      <c r="A14237" s="4" t="s">
        <v>17921</v>
      </c>
      <c r="B14237" s="4" t="s">
        <v>17924</v>
      </c>
      <c r="C14237" s="5" t="str">
        <f>IFERROR(__xludf.DUMMYFUNCTION("GOOGLETRANSLATE(B14237,""en"",""es-ES"")"),"El hombre nuevamente muestra su rostro y vuelve a su esposa.")</f>
        <v>El hombre nuevamente muestra su rostro y vuelve a su esposa.</v>
      </c>
    </row>
    <row r="14238">
      <c r="A14238" s="4" t="s">
        <v>17925</v>
      </c>
      <c r="B14238" s="4" t="s">
        <v>17926</v>
      </c>
      <c r="C14238" s="5" t="str">
        <f>IFERROR(__xludf.DUMMYFUNCTION("GOOGLETRANSLATE(B14238,""en"",""es-ES"")"),"Aparece una pantalla de introducción negra e incluye mucho texto en blanco, azul y verde que incluyen números y letras, y luego un logotipo del lado derecho que es para Quicksilver y los clips serán de una competencia de surf en Piha, Auckland Nueva Zelan"&amp;"da .")</f>
        <v>Aparece una pantalla de introducción negra e incluye mucho texto en blanco, azul y verde que incluyen números y letras, y luego un logotipo del lado derecho que es para Quicksilver y los clips serán de una competencia de surf en Piha, Auckland Nueva Zelanda .</v>
      </c>
    </row>
    <row r="14239">
      <c r="A14239" s="4" t="s">
        <v>17925</v>
      </c>
      <c r="B14239" s="4" t="s">
        <v>17927</v>
      </c>
      <c r="C14239" s="5" t="str">
        <f>IFERROR(__xludf.DUMMYFUNCTION("GOOGLETRANSLATE(B14239,""en"",""es-ES"")"),"Se muestra la playa y hay varias personas y tiendas de campaña y la gente está mirando y animando a varios surfistas diferentes que surfean olas grandes y largas.")</f>
        <v>Se muestra la playa y hay varias personas y tiendas de campaña y la gente está mirando y animando a varios surfistas diferentes que surfean olas grandes y largas.</v>
      </c>
    </row>
    <row r="14240">
      <c r="A14240" s="4" t="s">
        <v>17925</v>
      </c>
      <c r="B14240" s="4" t="s">
        <v>17928</v>
      </c>
      <c r="C14240" s="5" t="str">
        <f>IFERROR(__xludf.DUMMYFUNCTION("GOOGLETRANSLATE(B14240,""en"",""es-ES"")"),"Aparece el outro y es la misma pantalla negra con el logotipo y el texto como lo fue para la introducción.")</f>
        <v>Aparece el outro y es la misma pantalla negra con el logotipo y el texto como lo fue para la introducción.</v>
      </c>
    </row>
    <row r="14241">
      <c r="A14241" s="4" t="s">
        <v>17929</v>
      </c>
      <c r="B14241" s="4" t="s">
        <v>17930</v>
      </c>
      <c r="C14241" s="5" t="str">
        <f>IFERROR(__xludf.DUMMYFUNCTION("GOOGLETRANSLATE(B14241,""en"",""es-ES"")"),"Se ve a una mujer con cuchillas de rodillos y mirando hacia la cámara.")</f>
        <v>Se ve a una mujer con cuchillas de rodillos y mirando hacia la cámara.</v>
      </c>
    </row>
    <row r="14242">
      <c r="A14242" s="4" t="s">
        <v>17929</v>
      </c>
      <c r="B14242" s="4" t="s">
        <v>17931</v>
      </c>
      <c r="C14242" s="5" t="str">
        <f>IFERROR(__xludf.DUMMYFUNCTION("GOOGLETRANSLATE(B14242,""en"",""es-ES"")"),"Ella intenta viajar mientras otra persona a su lado intenta ayudar.")</f>
        <v>Ella intenta viajar mientras otra persona a su lado intenta ayudar.</v>
      </c>
    </row>
    <row r="14243">
      <c r="A14243" s="4" t="s">
        <v>17929</v>
      </c>
      <c r="B14243" s="4" t="s">
        <v>17932</v>
      </c>
      <c r="C14243" s="5" t="str">
        <f>IFERROR(__xludf.DUMMYFUNCTION("GOOGLETRANSLATE(B14243,""en"",""es-ES"")"),"Se ve a otra persona sosteniendo palos en la distancia y caminando hacia la cámara.")</f>
        <v>Se ve a otra persona sosteniendo palos en la distancia y caminando hacia la cámara.</v>
      </c>
    </row>
    <row r="14244">
      <c r="A14244" s="4" t="s">
        <v>17933</v>
      </c>
      <c r="B14244" s="4" t="s">
        <v>17934</v>
      </c>
      <c r="C14244" s="5" t="str">
        <f>IFERROR(__xludf.DUMMYFUNCTION("GOOGLETRANSLATE(B14244,""en"",""es-ES"")"),"Un adolescente habla, luego quita una lente de contacto del ojo derecho.")</f>
        <v>Un adolescente habla, luego quita una lente de contacto del ojo derecho.</v>
      </c>
    </row>
    <row r="14245">
      <c r="A14245" s="4" t="s">
        <v>17933</v>
      </c>
      <c r="B14245" s="4" t="s">
        <v>17935</v>
      </c>
      <c r="C14245" s="5" t="str">
        <f>IFERROR(__xludf.DUMMYFUNCTION("GOOGLETRANSLATE(B14245,""en"",""es-ES"")"),"Luego, Teen pone la lente de contacto en el dedo índice y luego lo pone nuevamente en su aye derecho.")</f>
        <v>Luego, Teen pone la lente de contacto en el dedo índice y luego lo pone nuevamente en su aye derecho.</v>
      </c>
    </row>
    <row r="14246">
      <c r="A14246" s="4" t="s">
        <v>17933</v>
      </c>
      <c r="B14246" s="4" t="s">
        <v>17936</v>
      </c>
      <c r="C14246" s="5" t="str">
        <f>IFERROR(__xludf.DUMMYFUNCTION("GOOGLETRANSLATE(B14246,""en"",""es-ES"")"),"Después, el adolescente continúa hablando.")</f>
        <v>Después, el adolescente continúa hablando.</v>
      </c>
    </row>
    <row r="14247">
      <c r="A14247" s="4" t="s">
        <v>17937</v>
      </c>
      <c r="B14247" s="4" t="s">
        <v>17938</v>
      </c>
      <c r="C14247" s="5" t="str">
        <f>IFERROR(__xludf.DUMMYFUNCTION("GOOGLETRANSLATE(B14247,""en"",""es-ES"")"),"Una persona que pone pesas es seguida por una mujer que levanta pesas en su espalda.")</f>
        <v>Una persona que pone pesas es seguida por una mujer que levanta pesas en su espalda.</v>
      </c>
    </row>
    <row r="14248">
      <c r="A14248" s="4" t="s">
        <v>17937</v>
      </c>
      <c r="B14248" s="4" t="s">
        <v>17939</v>
      </c>
      <c r="C14248" s="5" t="str">
        <f>IFERROR(__xludf.DUMMYFUNCTION("GOOGLETRANSLATE(B14248,""en"",""es-ES"")"),"Ella baja los pesos y se muestra a otra mujer levantando un gran conjunto de pesas.")</f>
        <v>Ella baja los pesos y se muestra a otra mujer levantando un gran conjunto de pesas.</v>
      </c>
    </row>
    <row r="14249">
      <c r="A14249" s="4" t="s">
        <v>17937</v>
      </c>
      <c r="B14249" s="4" t="s">
        <v>17940</v>
      </c>
      <c r="C14249" s="5" t="str">
        <f>IFERROR(__xludf.DUMMYFUNCTION("GOOGLETRANSLATE(B14249,""en"",""es-ES"")"),"Se muestra a varias personas más realizando sus talentos de elevación y termina con un logotipo del gimnasio que se muestra.")</f>
        <v>Se muestra a varias personas más realizando sus talentos de elevación y termina con un logotipo del gimnasio que se muestra.</v>
      </c>
    </row>
    <row r="14250">
      <c r="A14250" s="4" t="s">
        <v>17941</v>
      </c>
      <c r="B14250" s="4" t="s">
        <v>17942</v>
      </c>
      <c r="C14250" s="5" t="str">
        <f>IFERROR(__xludf.DUMMYFUNCTION("GOOGLETRANSLATE(B14250,""en"",""es-ES"")"),"Una mujer habla, luego pone rebanadas de pan en una bandeja para hornear caliente en la estufa.")</f>
        <v>Una mujer habla, luego pone rebanadas de pan en una bandeja para hornear caliente en la estufa.</v>
      </c>
    </row>
    <row r="14251">
      <c r="A14251" s="4" t="s">
        <v>17941</v>
      </c>
      <c r="B14251" s="4" t="s">
        <v>17943</v>
      </c>
      <c r="C14251" s="5" t="str">
        <f>IFERROR(__xludf.DUMMYFUNCTION("GOOGLETRANSLATE(B14251,""en"",""es-ES"")"),"Luego, la mujer pone queso crema en el pan y cocina carne.")</f>
        <v>Luego, la mujer pone queso crema en el pan y cocina carne.</v>
      </c>
    </row>
    <row r="14252">
      <c r="A14252" s="4" t="s">
        <v>17941</v>
      </c>
      <c r="B14252" s="4" t="s">
        <v>17944</v>
      </c>
      <c r="C14252" s="5" t="str">
        <f>IFERROR(__xludf.DUMMYFUNCTION("GOOGLETRANSLATE(B14252,""en"",""es-ES"")"),"Cuando la carne está lista, la mujer pone chucrut y queso en la parte superior, luego cúbrala y hace sándwiches.")</f>
        <v>Cuando la carne está lista, la mujer pone chucrut y queso en la parte superior, luego cúbrala y hace sándwiches.</v>
      </c>
    </row>
    <row r="14253">
      <c r="A14253" s="4" t="s">
        <v>17945</v>
      </c>
      <c r="B14253" s="4" t="s">
        <v>17946</v>
      </c>
      <c r="C14253" s="5" t="str">
        <f>IFERROR(__xludf.DUMMYFUNCTION("GOOGLETRANSLATE(B14253,""en"",""es-ES"")"),"Un instructor de voleibol está dando información sobre sus habilidades de voleibol en Salt Lake City.")</f>
        <v>Un instructor de voleibol está dando información sobre sus habilidades de voleibol en Salt Lake City.</v>
      </c>
    </row>
    <row r="14254">
      <c r="A14254" s="4" t="s">
        <v>17945</v>
      </c>
      <c r="B14254" s="4" t="s">
        <v>17947</v>
      </c>
      <c r="C14254" s="5" t="str">
        <f>IFERROR(__xludf.DUMMYFUNCTION("GOOGLETRANSLATE(B14254,""en"",""es-ES"")"),"Toca con otro instructor en la cancha.")</f>
        <v>Toca con otro instructor en la cancha.</v>
      </c>
    </row>
    <row r="14255">
      <c r="A14255" s="4" t="s">
        <v>17945</v>
      </c>
      <c r="B14255" s="4" t="s">
        <v>17948</v>
      </c>
      <c r="C14255" s="5" t="str">
        <f>IFERROR(__xludf.DUMMYFUNCTION("GOOGLETRANSLATE(B14255,""en"",""es-ES"")"),"Él solo habla y habla por un tiempo sobre todo.")</f>
        <v>Él solo habla y habla por un tiempo sobre todo.</v>
      </c>
    </row>
    <row r="14256">
      <c r="A14256" s="4" t="s">
        <v>17945</v>
      </c>
      <c r="B14256" s="4" t="s">
        <v>17949</v>
      </c>
      <c r="C14256" s="5" t="str">
        <f>IFERROR(__xludf.DUMMYFUNCTION("GOOGLETRANSLATE(B14256,""en"",""es-ES"")"),"Ves la red de voleos y luego el entrenador continúa hablando.")</f>
        <v>Ves la red de voleos y luego el entrenador continúa hablando.</v>
      </c>
    </row>
    <row r="14257">
      <c r="A14257" s="4" t="s">
        <v>17950</v>
      </c>
      <c r="B14257" s="4" t="s">
        <v>17951</v>
      </c>
      <c r="C14257" s="5" t="str">
        <f>IFERROR(__xludf.DUMMYFUNCTION("GOOGLETRANSLATE(B14257,""en"",""es-ES"")"),"Una banda de marcha toca en un estadio mientras las animadoras actúan de lado.")</f>
        <v>Una banda de marcha toca en un estadio mientras las animadoras actúan de lado.</v>
      </c>
    </row>
    <row r="14258">
      <c r="A14258" s="4" t="s">
        <v>17950</v>
      </c>
      <c r="B14258" s="4" t="s">
        <v>17952</v>
      </c>
      <c r="C14258" s="5" t="str">
        <f>IFERROR(__xludf.DUMMYFUNCTION("GOOGLETRANSLATE(B14258,""en"",""es-ES"")"),"Un equipo de jugadores de fútbol se reúne detrás de la banda de música.")</f>
        <v>Un equipo de jugadores de fútbol se reúne detrás de la banda de música.</v>
      </c>
    </row>
    <row r="14259">
      <c r="A14259" s="4" t="s">
        <v>17950</v>
      </c>
      <c r="B14259" s="4" t="s">
        <v>17953</v>
      </c>
      <c r="C14259" s="5" t="str">
        <f>IFERROR(__xludf.DUMMYFUNCTION("GOOGLETRANSLATE(B14259,""en"",""es-ES"")"),"Un pase de porrista detrás de la banda de música.")</f>
        <v>Un pase de porrista detrás de la banda de música.</v>
      </c>
    </row>
    <row r="14260">
      <c r="A14260" s="4" t="s">
        <v>17950</v>
      </c>
      <c r="B14260" s="4" t="s">
        <v>17954</v>
      </c>
      <c r="C14260" s="5" t="str">
        <f>IFERROR(__xludf.DUMMYFUNCTION("GOOGLETRANSLATE(B14260,""en"",""es-ES"")"),"Las animadoras en las gradas se desempeñan con Pom Poms.")</f>
        <v>Las animadoras en las gradas se desempeñan con Pom Poms.</v>
      </c>
    </row>
    <row r="14261">
      <c r="A14261" s="4" t="s">
        <v>17950</v>
      </c>
      <c r="B14261" s="4" t="s">
        <v>17955</v>
      </c>
      <c r="C14261" s="5" t="str">
        <f>IFERROR(__xludf.DUMMYFUNCTION("GOOGLETRANSLATE(B14261,""en"",""es-ES"")"),"Luego, las animadoras al lado de la banda realizan saltos y moviéndose.")</f>
        <v>Luego, las animadoras al lado de la banda realizan saltos y moviéndose.</v>
      </c>
    </row>
    <row r="14262">
      <c r="A14262" s="4" t="s">
        <v>17956</v>
      </c>
      <c r="B14262" s="4" t="s">
        <v>1251</v>
      </c>
      <c r="C14262" s="5" t="str">
        <f>IFERROR(__xludf.DUMMYFUNCTION("GOOGLETRANSLATE(B14262,""en"",""es-ES"")"),"Se muestran los créditos del clip.")</f>
        <v>Se muestran los créditos del clip.</v>
      </c>
    </row>
    <row r="14263">
      <c r="A14263" s="4" t="s">
        <v>17956</v>
      </c>
      <c r="B14263" s="4" t="s">
        <v>17957</v>
      </c>
      <c r="C14263" s="5" t="str">
        <f>IFERROR(__xludf.DUMMYFUNCTION("GOOGLETRANSLATE(B14263,""en"",""es-ES"")"),"La gente patea una pelota interior entre conos amarillos en hierba falsa.")</f>
        <v>La gente patea una pelota interior entre conos amarillos en hierba falsa.</v>
      </c>
    </row>
    <row r="14264">
      <c r="A14264" s="4" t="s">
        <v>17956</v>
      </c>
      <c r="B14264" s="4" t="s">
        <v>17958</v>
      </c>
      <c r="C14264" s="5" t="str">
        <f>IFERROR(__xludf.DUMMYFUNCTION("GOOGLETRANSLATE(B14264,""en"",""es-ES"")"),"Un jugador patea una pelota sobre la cabeza de un chico.")</f>
        <v>Un jugador patea una pelota sobre la cabeza de un chico.</v>
      </c>
    </row>
    <row r="14265">
      <c r="A14265" s="4" t="s">
        <v>17956</v>
      </c>
      <c r="B14265" s="4" t="s">
        <v>17959</v>
      </c>
      <c r="C14265" s="5" t="str">
        <f>IFERROR(__xludf.DUMMYFUNCTION("GOOGLETRANSLATE(B14265,""en"",""es-ES"")"),"Los jugadores patean una pelota que derriba un cono amarillo que recogen.")</f>
        <v>Los jugadores patean una pelota que derriba un cono amarillo que recogen.</v>
      </c>
    </row>
    <row r="14266">
      <c r="A14266" s="4" t="s">
        <v>17960</v>
      </c>
      <c r="B14266" s="4" t="s">
        <v>17961</v>
      </c>
      <c r="C14266" s="5" t="str">
        <f>IFERROR(__xludf.DUMMYFUNCTION("GOOGLETRANSLATE(B14266,""en"",""es-ES"")"),"Una persona se sienta sosteniendo una computadora portátil mientras una mujer se acurruca el cabello.")</f>
        <v>Una persona se sienta sosteniendo una computadora portátil mientras una mujer se acurruca el cabello.</v>
      </c>
    </row>
    <row r="14267">
      <c r="A14267" s="4" t="s">
        <v>17960</v>
      </c>
      <c r="B14267" s="4" t="s">
        <v>17962</v>
      </c>
      <c r="C14267" s="5" t="str">
        <f>IFERROR(__xludf.DUMMYFUNCTION("GOOGLETRANSLATE(B14267,""en"",""es-ES"")"),"La mujer toma un mechón de cabello y pone sobre la cabeza, luego se enrosca el cabello con un rizado.")</f>
        <v>La mujer toma un mechón de cabello y pone sobre la cabeza, luego se enrosca el cabello con un rizado.</v>
      </c>
    </row>
    <row r="14268">
      <c r="A14268" s="4" t="s">
        <v>17963</v>
      </c>
      <c r="B14268" s="4" t="s">
        <v>17964</v>
      </c>
      <c r="C14268" s="5" t="str">
        <f>IFERROR(__xludf.DUMMYFUNCTION("GOOGLETRANSLATE(B14268,""en"",""es-ES"")"),"Un hombre y una mujer se prepararon para bailar ante una audiencia.")</f>
        <v>Un hombre y una mujer se prepararon para bailar ante una audiencia.</v>
      </c>
    </row>
    <row r="14269">
      <c r="A14269" s="4" t="s">
        <v>17963</v>
      </c>
      <c r="B14269" s="4" t="s">
        <v>17965</v>
      </c>
      <c r="C14269" s="5" t="str">
        <f>IFERROR(__xludf.DUMMYFUNCTION("GOOGLETRANSLATE(B14269,""en"",""es-ES"")"),"El hombre y la mujer bailan ante la audiencia.")</f>
        <v>El hombre y la mujer bailan ante la audiencia.</v>
      </c>
    </row>
    <row r="14270">
      <c r="A14270" s="4" t="s">
        <v>17963</v>
      </c>
      <c r="B14270" s="4" t="s">
        <v>17966</v>
      </c>
      <c r="C14270" s="5" t="str">
        <f>IFERROR(__xludf.DUMMYFUNCTION("GOOGLETRANSLATE(B14270,""en"",""es-ES"")"),"La cámara muestra a tres jueces del evento de pie y aplaudiendo o apuntando.")</f>
        <v>La cámara muestra a tres jueces del evento de pie y aplaudiendo o apuntando.</v>
      </c>
    </row>
    <row r="14271">
      <c r="A14271" s="4" t="s">
        <v>17967</v>
      </c>
      <c r="B14271" s="4" t="s">
        <v>17968</v>
      </c>
      <c r="C14271" s="5" t="str">
        <f>IFERROR(__xludf.DUMMYFUNCTION("GOOGLETRANSLATE(B14271,""en"",""es-ES"")"),"Dos mujeres están luchando contra la mesa en una mesa.")</f>
        <v>Dos mujeres están luchando contra la mesa en una mesa.</v>
      </c>
    </row>
    <row r="14272">
      <c r="A14272" s="4" t="s">
        <v>17967</v>
      </c>
      <c r="B14272" s="4" t="s">
        <v>17969</v>
      </c>
      <c r="C14272" s="5" t="str">
        <f>IFERROR(__xludf.DUMMYFUNCTION("GOOGLETRANSLATE(B14272,""en"",""es-ES"")"),"Una mujer con uniforme de árbitro está parado detrás de ellos.")</f>
        <v>Una mujer con uniforme de árbitro está parado detrás de ellos.</v>
      </c>
    </row>
    <row r="14273">
      <c r="A14273" s="4" t="s">
        <v>17967</v>
      </c>
      <c r="B14273" s="4" t="s">
        <v>17970</v>
      </c>
      <c r="C14273" s="5" t="str">
        <f>IFERROR(__xludf.DUMMYFUNCTION("GOOGLETRANSLATE(B14273,""en"",""es-ES"")"),"Una de las chicas se aleja.")</f>
        <v>Una de las chicas se aleja.</v>
      </c>
    </row>
    <row r="14274">
      <c r="A14274" s="4" t="s">
        <v>17971</v>
      </c>
      <c r="B14274" s="4" t="s">
        <v>17972</v>
      </c>
      <c r="C14274" s="5" t="str">
        <f>IFERROR(__xludf.DUMMYFUNCTION("GOOGLETRANSLATE(B14274,""en"",""es-ES"")"),"Un grupo de personas mayores se reúne en un parque.")</f>
        <v>Un grupo de personas mayores se reúne en un parque.</v>
      </c>
    </row>
    <row r="14275">
      <c r="A14275" s="4" t="s">
        <v>17971</v>
      </c>
      <c r="B14275" s="4" t="s">
        <v>17973</v>
      </c>
      <c r="C14275" s="5" t="str">
        <f>IFERROR(__xludf.DUMMYFUNCTION("GOOGLETRANSLATE(B14275,""en"",""es-ES"")"),"Hablan y hacen yoga juntos.")</f>
        <v>Hablan y hacen yoga juntos.</v>
      </c>
    </row>
    <row r="14276">
      <c r="A14276" s="4" t="s">
        <v>17971</v>
      </c>
      <c r="B14276" s="4" t="s">
        <v>17974</v>
      </c>
      <c r="C14276" s="5" t="str">
        <f>IFERROR(__xludf.DUMMYFUNCTION("GOOGLETRANSLATE(B14276,""en"",""es-ES"")"),"Realizan varios movimientos de yoga con la ayuda de un instructor.")</f>
        <v>Realizan varios movimientos de yoga con la ayuda de un instructor.</v>
      </c>
    </row>
    <row r="14277">
      <c r="A14277" s="4" t="s">
        <v>17971</v>
      </c>
      <c r="B14277" s="4" t="s">
        <v>17975</v>
      </c>
      <c r="C14277" s="5" t="str">
        <f>IFERROR(__xludf.DUMMYFUNCTION("GOOGLETRANSLATE(B14277,""en"",""es-ES"")"),"Luego se despiden y siguen su camino.")</f>
        <v>Luego se despiden y siguen su camino.</v>
      </c>
    </row>
    <row r="14278">
      <c r="A14278" s="4" t="s">
        <v>17976</v>
      </c>
      <c r="B14278" s="4" t="s">
        <v>17977</v>
      </c>
      <c r="C14278" s="5" t="str">
        <f>IFERROR(__xludf.DUMMYFUNCTION("GOOGLETRANSLATE(B14278,""en"",""es-ES"")"),"Una gimnasta sostiene una pelota unida con una cuerda y luego gira sosteniendo la pelota.")</f>
        <v>Una gimnasta sostiene una pelota unida con una cuerda y luego gira sosteniendo la pelota.</v>
      </c>
    </row>
    <row r="14279">
      <c r="A14279" s="4" t="s">
        <v>17976</v>
      </c>
      <c r="B14279" s="4" t="s">
        <v>17978</v>
      </c>
      <c r="C14279" s="5" t="str">
        <f>IFERROR(__xludf.DUMMYFUNCTION("GOOGLETRANSLATE(B14279,""en"",""es-ES"")"),"Luego, la gimnasta arroja la pelota mientras gira en el campo.")</f>
        <v>Luego, la gimnasta arroja la pelota mientras gira en el campo.</v>
      </c>
    </row>
    <row r="14280">
      <c r="A14280" s="4" t="s">
        <v>17979</v>
      </c>
      <c r="B14280" s="4" t="s">
        <v>17980</v>
      </c>
      <c r="C14280" s="5" t="str">
        <f>IFERROR(__xludf.DUMMYFUNCTION("GOOGLETRANSLATE(B14280,""en"",""es-ES"")"),"Un hombre está cortando el césped.")</f>
        <v>Un hombre está cortando el césped.</v>
      </c>
    </row>
    <row r="14281">
      <c r="A14281" s="4" t="s">
        <v>17979</v>
      </c>
      <c r="B14281" s="4" t="s">
        <v>17981</v>
      </c>
      <c r="C14281" s="5" t="str">
        <f>IFERROR(__xludf.DUMMYFUNCTION("GOOGLETRANSLATE(B14281,""en"",""es-ES"")"),"Él mira hacia arriba y habla con alguien.")</f>
        <v>Él mira hacia arriba y habla con alguien.</v>
      </c>
    </row>
    <row r="14282">
      <c r="A14282" s="4" t="s">
        <v>17979</v>
      </c>
      <c r="B14282" s="4" t="s">
        <v>17982</v>
      </c>
      <c r="C14282" s="5" t="str">
        <f>IFERROR(__xludf.DUMMYFUNCTION("GOOGLETRANSLATE(B14282,""en"",""es-ES"")"),"El hombre continúa cortando el césped.")</f>
        <v>El hombre continúa cortando el césped.</v>
      </c>
    </row>
    <row r="14283">
      <c r="A14283" s="4" t="s">
        <v>17983</v>
      </c>
      <c r="B14283" s="4" t="s">
        <v>17984</v>
      </c>
      <c r="C14283" s="5" t="str">
        <f>IFERROR(__xludf.DUMMYFUNCTION("GOOGLETRANSLATE(B14283,""en"",""es-ES"")"),"Una chef femenina con uniforme blanco muestra una pila de bandejas para hornear en una gran cocina que las presenta.")</f>
        <v>Una chef femenina con uniforme blanco muestra una pila de bandejas para hornear en una gran cocina que las presenta.</v>
      </c>
    </row>
    <row r="14284">
      <c r="A14284" s="4" t="s">
        <v>17983</v>
      </c>
      <c r="B14284" s="4" t="s">
        <v>17985</v>
      </c>
      <c r="C14284" s="5" t="str">
        <f>IFERROR(__xludf.DUMMYFUNCTION("GOOGLETRANSLATE(B14284,""en"",""es-ES"")"),"Las sartenes están llenas de pasteles y se cargan en el horno.")</f>
        <v>Las sartenes están llenas de pasteles y se cargan en el horno.</v>
      </c>
    </row>
    <row r="14285">
      <c r="A14285" s="4" t="s">
        <v>17983</v>
      </c>
      <c r="B14285" s="4" t="s">
        <v>17986</v>
      </c>
      <c r="C14285" s="5" t="str">
        <f>IFERROR(__xludf.DUMMYFUNCTION("GOOGLETRANSLATE(B14285,""en"",""es-ES"")"),"Se usa un cuchillo para cortar la masa en forma de cilindro en rondas.")</f>
        <v>Se usa un cuchillo para cortar la masa en forma de cilindro en rondas.</v>
      </c>
    </row>
    <row r="14286">
      <c r="A14286" s="4" t="s">
        <v>17983</v>
      </c>
      <c r="B14286" s="4" t="s">
        <v>17987</v>
      </c>
      <c r="C14286" s="5" t="str">
        <f>IFERROR(__xludf.DUMMYFUNCTION("GOOGLETRANSLATE(B14286,""en"",""es-ES"")"),"Una bandeja de papas se carga en el horno y se retira.")</f>
        <v>Una bandeja de papas se carga en el horno y se retira.</v>
      </c>
    </row>
    <row r="14287">
      <c r="A14287" s="4" t="s">
        <v>17983</v>
      </c>
      <c r="B14287" s="4" t="s">
        <v>17988</v>
      </c>
      <c r="C14287" s="5" t="str">
        <f>IFERROR(__xludf.DUMMYFUNCTION("GOOGLETRANSLATE(B14287,""en"",""es-ES"")"),"Se voltea una gran bandeja de pastel y se coloca en el mostrador.")</f>
        <v>Se voltea una gran bandeja de pastel y se coloca en el mostrador.</v>
      </c>
    </row>
    <row r="14288">
      <c r="A14288" s="4" t="s">
        <v>17983</v>
      </c>
      <c r="B14288" s="4" t="s">
        <v>17989</v>
      </c>
      <c r="C14288" s="5" t="str">
        <f>IFERROR(__xludf.DUMMYFUNCTION("GOOGLETRANSLATE(B14288,""en"",""es-ES"")"),"Se prepara una gran bandeja de carne y luego se retira del horno por un ayudante cuando se hace.")</f>
        <v>Se prepara una gran bandeja de carne y luego se retira del horno por un ayudante cuando se hace.</v>
      </c>
    </row>
    <row r="14289">
      <c r="A14289" s="4" t="s">
        <v>17983</v>
      </c>
      <c r="B14289" s="4" t="s">
        <v>17990</v>
      </c>
      <c r="C14289" s="5" t="str">
        <f>IFERROR(__xludf.DUMMYFUNCTION("GOOGLETRANSLATE(B14289,""en"",""es-ES"")"),"La mujer chef está detrás de la pila de latas y recoge uno.")</f>
        <v>La mujer chef está detrás de la pila de latas y recoge uno.</v>
      </c>
    </row>
    <row r="14290">
      <c r="A14290" s="4" t="s">
        <v>17991</v>
      </c>
      <c r="B14290" s="4" t="s">
        <v>17992</v>
      </c>
      <c r="C14290" s="5" t="str">
        <f>IFERROR(__xludf.DUMMYFUNCTION("GOOGLETRANSLATE(B14290,""en"",""es-ES"")"),"El hombre de camisa amarilla está rebotando la pelota en la paleta.")</f>
        <v>El hombre de camisa amarilla está rebotando la pelota en la paleta.</v>
      </c>
    </row>
    <row r="14291">
      <c r="A14291" s="4" t="s">
        <v>17991</v>
      </c>
      <c r="B14291" s="4" t="s">
        <v>17993</v>
      </c>
      <c r="C14291" s="5" t="str">
        <f>IFERROR(__xludf.DUMMYFUNCTION("GOOGLETRANSLATE(B14291,""en"",""es-ES"")"),"El jugador casi golpeó la pelota con la paleta.")</f>
        <v>El jugador casi golpeó la pelota con la paleta.</v>
      </c>
    </row>
    <row r="14292">
      <c r="A14292" s="4" t="s">
        <v>17991</v>
      </c>
      <c r="B14292" s="4" t="s">
        <v>17994</v>
      </c>
      <c r="C14292" s="5" t="str">
        <f>IFERROR(__xludf.DUMMYFUNCTION("GOOGLETRANSLATE(B14292,""en"",""es-ES"")"),"Dos jugadores como empujándose unos a otros.")</f>
        <v>Dos jugadores como empujándose unos a otros.</v>
      </c>
    </row>
    <row r="14293">
      <c r="A14293" s="4" t="s">
        <v>17995</v>
      </c>
      <c r="B14293" s="4" t="s">
        <v>17996</v>
      </c>
      <c r="C14293" s="5" t="str">
        <f>IFERROR(__xludf.DUMMYFUNCTION("GOOGLETRANSLATE(B14293,""en"",""es-ES"")"),"Se ve a una mujer hablando en medio de un gran gimnasio y conduce a varios gimnastas diferentes que se realizan uno tras otro en bares desiguales.")</f>
        <v>Se ve a una mujer hablando en medio de un gran gimnasio y conduce a varios gimnastas diferentes que se realizan uno tras otro en bares desiguales.</v>
      </c>
    </row>
    <row r="14294">
      <c r="A14294" s="4" t="s">
        <v>17995</v>
      </c>
      <c r="B14294" s="4" t="s">
        <v>17997</v>
      </c>
      <c r="C14294" s="5" t="str">
        <f>IFERROR(__xludf.DUMMYFUNCTION("GOOGLETRANSLATE(B14294,""en"",""es-ES"")"),"Las gimnastas continúan moviéndose alrededor de las barras y terminan con una chica yendo una y otra vez y todos agitan al final.")</f>
        <v>Las gimnastas continúan moviéndose alrededor de las barras y terminan con una chica yendo una y otra vez y todos agitan al final.</v>
      </c>
    </row>
    <row r="14295">
      <c r="A14295" s="4" t="s">
        <v>17998</v>
      </c>
      <c r="B14295" s="4" t="s">
        <v>17999</v>
      </c>
      <c r="C14295" s="5" t="str">
        <f>IFERROR(__xludf.DUMMYFUNCTION("GOOGLETRANSLATE(B14295,""en"",""es-ES"")"),"La mujer está en un lago Windsurf con un Windsurf rojo.")</f>
        <v>La mujer está en un lago Windsurf con un Windsurf rojo.</v>
      </c>
    </row>
    <row r="14296">
      <c r="A14296" s="4" t="s">
        <v>17998</v>
      </c>
      <c r="B14296" s="4" t="s">
        <v>18000</v>
      </c>
      <c r="C14296" s="5" t="str">
        <f>IFERROR(__xludf.DUMMYFUNCTION("GOOGLETRANSLATE(B14296,""en"",""es-ES"")"),"Otras personas están en la parte posterior de Windsurf en el lago.")</f>
        <v>Otras personas están en la parte posterior de Windsurf en el lago.</v>
      </c>
    </row>
    <row r="14297">
      <c r="A14297" s="4" t="s">
        <v>17998</v>
      </c>
      <c r="B14297" s="4" t="s">
        <v>18001</v>
      </c>
      <c r="C14297" s="5" t="str">
        <f>IFERROR(__xludf.DUMMYFUNCTION("GOOGLETRANSLATE(B14297,""en"",""es-ES"")"),"Sailboat está de pie en la parte trasera de la gente de Windsurf.")</f>
        <v>Sailboat está de pie en la parte trasera de la gente de Windsurf.</v>
      </c>
    </row>
    <row r="14298">
      <c r="A14298" s="4" t="s">
        <v>18002</v>
      </c>
      <c r="B14298" s="4" t="s">
        <v>18003</v>
      </c>
      <c r="C14298" s="5" t="str">
        <f>IFERROR(__xludf.DUMMYFUNCTION("GOOGLETRANSLATE(B14298,""en"",""es-ES"")"),"Se ve a dos mujeres hablando con la cámara y conducen a frotar muebles, así como para mostrar esmalte.")</f>
        <v>Se ve a dos mujeres hablando con la cámara y conducen a frotar muebles, así como para mostrar esmalte.</v>
      </c>
    </row>
    <row r="14299">
      <c r="A14299" s="4" t="s">
        <v>18002</v>
      </c>
      <c r="B14299" s="4" t="s">
        <v>18004</v>
      </c>
      <c r="C14299" s="5" t="str">
        <f>IFERROR(__xludf.DUMMYFUNCTION("GOOGLETRANSLATE(B14299,""en"",""es-ES"")"),"Las mujeres continúan hablando mientras muestran cómo funciona el polaco, así como el paisaje en el área y otra mujer que habla con la cámara.")</f>
        <v>Las mujeres continúan hablando mientras muestran cómo funciona el polaco, así como el paisaje en el área y otra mujer que habla con la cámara.</v>
      </c>
    </row>
    <row r="14300">
      <c r="A14300" s="4" t="s">
        <v>18005</v>
      </c>
      <c r="B14300" s="4" t="s">
        <v>18006</v>
      </c>
      <c r="C14300" s="5" t="str">
        <f>IFERROR(__xludf.DUMMYFUNCTION("GOOGLETRANSLATE(B14300,""en"",""es-ES"")"),"Una persona baila y voltea a Capoeira mientras una banda toca música.")</f>
        <v>Una persona baila y voltea a Capoeira mientras una banda toca música.</v>
      </c>
    </row>
    <row r="14301">
      <c r="A14301" s="4" t="s">
        <v>18005</v>
      </c>
      <c r="B14301" s="4" t="s">
        <v>18007</v>
      </c>
      <c r="C14301" s="5" t="str">
        <f>IFERROR(__xludf.DUMMYFUNCTION("GOOGLETRANSLATE(B14301,""en"",""es-ES"")"),"Luego, una mujer habla con el hombre, después de que el hombre baila en grupo con otras personas.")</f>
        <v>Luego, una mujer habla con el hombre, después de que el hombre baila en grupo con otras personas.</v>
      </c>
    </row>
    <row r="14302">
      <c r="A14302" s="4" t="s">
        <v>18005</v>
      </c>
      <c r="B14302" s="4" t="s">
        <v>18008</v>
      </c>
      <c r="C14302" s="5" t="str">
        <f>IFERROR(__xludf.DUMMYFUNCTION("GOOGLETRANSLATE(B14302,""en"",""es-ES"")"),"Después, el hombre baila en grupo y con un compañero, entonces todos dicen adiós.")</f>
        <v>Después, el hombre baila en grupo y con un compañero, entonces todos dicen adiós.</v>
      </c>
    </row>
    <row r="14303">
      <c r="A14303" s="4" t="s">
        <v>18009</v>
      </c>
      <c r="B14303" s="4" t="s">
        <v>18010</v>
      </c>
      <c r="C14303" s="5" t="str">
        <f>IFERROR(__xludf.DUMMYFUNCTION("GOOGLETRANSLATE(B14303,""en"",""es-ES"")"),"Una banda está en el escenario y una niña con una trompeta y un niño golpeando la batería.")</f>
        <v>Una banda está en el escenario y una niña con una trompeta y un niño golpeando la batería.</v>
      </c>
    </row>
    <row r="14304">
      <c r="A14304" s="4" t="s">
        <v>18009</v>
      </c>
      <c r="B14304" s="4" t="s">
        <v>18011</v>
      </c>
      <c r="C14304" s="5" t="str">
        <f>IFERROR(__xludf.DUMMYFUNCTION("GOOGLETRANSLATE(B14304,""en"",""es-ES"")"),"Tienen un pequeño dúo, mientras que los saxofones en el banco se detienen.")</f>
        <v>Tienen un pequeño dúo, mientras que los saxofones en el banco se detienen.</v>
      </c>
    </row>
    <row r="14305">
      <c r="A14305" s="4" t="s">
        <v>18009</v>
      </c>
      <c r="B14305" s="4" t="s">
        <v>18012</v>
      </c>
      <c r="C14305" s="5" t="str">
        <f>IFERROR(__xludf.DUMMYFUNCTION("GOOGLETRANSLATE(B14305,""en"",""es-ES"")"),"El trompetista se acerca y recoge una campana.")</f>
        <v>El trompetista se acerca y recoge una campana.</v>
      </c>
    </row>
    <row r="14306">
      <c r="A14306" s="4" t="s">
        <v>18009</v>
      </c>
      <c r="B14306" s="4" t="s">
        <v>18013</v>
      </c>
      <c r="C14306" s="5" t="str">
        <f>IFERROR(__xludf.DUMMYFUNCTION("GOOGLETRANSLATE(B14306,""en"",""es-ES"")"),"Entonces es solo el baterista golpeando la batería.")</f>
        <v>Entonces es solo el baterista golpeando la batería.</v>
      </c>
    </row>
    <row r="14307">
      <c r="A14307" s="4" t="s">
        <v>18014</v>
      </c>
      <c r="B14307" s="4" t="s">
        <v>18015</v>
      </c>
      <c r="C14307" s="5" t="str">
        <f>IFERROR(__xludf.DUMMYFUNCTION("GOOGLETRANSLATE(B14307,""en"",""es-ES"")"),"Un hombre con una camisa verde está agitando una toalla roja.")</f>
        <v>Un hombre con una camisa verde está agitando una toalla roja.</v>
      </c>
    </row>
    <row r="14308">
      <c r="A14308" s="4" t="s">
        <v>18014</v>
      </c>
      <c r="B14308" s="4" t="s">
        <v>18016</v>
      </c>
      <c r="C14308" s="5" t="str">
        <f>IFERROR(__xludf.DUMMYFUNCTION("GOOGLETRANSLATE(B14308,""en"",""es-ES"")"),"Un toro marrón golpea a una persona al suelo.")</f>
        <v>Un toro marrón golpea a una persona al suelo.</v>
      </c>
    </row>
    <row r="14309">
      <c r="A14309" s="4" t="s">
        <v>18014</v>
      </c>
      <c r="B14309" s="4" t="s">
        <v>18017</v>
      </c>
      <c r="C14309" s="5" t="str">
        <f>IFERROR(__xludf.DUMMYFUNCTION("GOOGLETRANSLATE(B14309,""en"",""es-ES"")"),"La gente está de pie en los lados observando.")</f>
        <v>La gente está de pie en los lados observando.</v>
      </c>
    </row>
    <row r="14310">
      <c r="A14310" s="4" t="s">
        <v>18018</v>
      </c>
      <c r="B14310" s="4" t="s">
        <v>18019</v>
      </c>
      <c r="C14310" s="5" t="str">
        <f>IFERROR(__xludf.DUMMYFUNCTION("GOOGLETRANSLATE(B14310,""en"",""es-ES"")"),"Se ve a un niño pequeño deambulando por un patio de recreo mientras la cámara sigue de cerca.")</f>
        <v>Se ve a un niño pequeño deambulando por un patio de recreo mientras la cámara sigue de cerca.</v>
      </c>
    </row>
    <row r="14311">
      <c r="A14311" s="4" t="s">
        <v>18018</v>
      </c>
      <c r="B14311" s="4" t="s">
        <v>18020</v>
      </c>
      <c r="C14311" s="5" t="str">
        <f>IFERROR(__xludf.DUMMYFUNCTION("GOOGLETRANSLATE(B14311,""en"",""es-ES"")"),"El niño juega con varios otros niños en el patio de recreo y se ve trepando por los lados y bajando por el tobogán.")</f>
        <v>El niño juega con varios otros niños en el patio de recreo y se ve trepando por los lados y bajando por el tobogán.</v>
      </c>
    </row>
    <row r="14312">
      <c r="A14312" s="4" t="s">
        <v>18018</v>
      </c>
      <c r="B14312" s="4" t="s">
        <v>18021</v>
      </c>
      <c r="C14312" s="5" t="str">
        <f>IFERROR(__xludf.DUMMYFUNCTION("GOOGLETRANSLATE(B14312,""en"",""es-ES"")"),"Se muestran más clips de los niños jugando entre ellos y riendo a la cámara.")</f>
        <v>Se muestran más clips de los niños jugando entre ellos y riendo a la cámara.</v>
      </c>
    </row>
    <row r="14313">
      <c r="A14313" s="4" t="s">
        <v>18022</v>
      </c>
      <c r="B14313" s="4" t="s">
        <v>18023</v>
      </c>
      <c r="C14313" s="5" t="str">
        <f>IFERROR(__xludf.DUMMYFUNCTION("GOOGLETRANSLATE(B14313,""en"",""es-ES"")"),"Se ve a un hombre alejarse de la cámara y comienza una rutina de ejercicios mientras habla con la cámara.")</f>
        <v>Se ve a un hombre alejarse de la cámara y comienza una rutina de ejercicios mientras habla con la cámara.</v>
      </c>
    </row>
    <row r="14314">
      <c r="A14314" s="4" t="s">
        <v>18022</v>
      </c>
      <c r="B14314" s="4" t="s">
        <v>18024</v>
      </c>
      <c r="C14314" s="5" t="str">
        <f>IFERROR(__xludf.DUMMYFUNCTION("GOOGLETRANSLATE(B14314,""en"",""es-ES"")"),"El hombre se mueve hacia arriba y hacia abajo de una barra mientras se balancea y camina hacia la cámara al final.")</f>
        <v>El hombre se mueve hacia arriba y hacia abajo de una barra mientras se balancea y camina hacia la cámara al final.</v>
      </c>
    </row>
    <row r="14315">
      <c r="A14315" s="4" t="s">
        <v>18025</v>
      </c>
      <c r="B14315" s="4" t="s">
        <v>18026</v>
      </c>
      <c r="C14315" s="5" t="str">
        <f>IFERROR(__xludf.DUMMYFUNCTION("GOOGLETRANSLATE(B14315,""en"",""es-ES"")"),"Una gimnasta con un uniforme rojo y negro salta sobre la barra de caballos.")</f>
        <v>Una gimnasta con un uniforme rojo y negro salta sobre la barra de caballos.</v>
      </c>
    </row>
    <row r="14316">
      <c r="A14316" s="4" t="s">
        <v>18025</v>
      </c>
      <c r="B14316" s="4" t="s">
        <v>18027</v>
      </c>
      <c r="C14316" s="5" t="str">
        <f>IFERROR(__xludf.DUMMYFUNCTION("GOOGLETRANSLATE(B14316,""en"",""es-ES"")"),"Ella viene corriendo de nuevo y salta sobre la barra de caballos y hace un volteo delantero.")</f>
        <v>Ella viene corriendo de nuevo y salta sobre la barra de caballos y hace un volteo delantero.</v>
      </c>
    </row>
    <row r="14317">
      <c r="A14317" s="4" t="s">
        <v>18025</v>
      </c>
      <c r="B14317" s="4" t="s">
        <v>18028</v>
      </c>
      <c r="C14317" s="5" t="str">
        <f>IFERROR(__xludf.DUMMYFUNCTION("GOOGLETRANSLATE(B14317,""en"",""es-ES"")"),"La tercera vez que salta nuevamente en la barra de caballos y levanta el pie izquierdo, se voltea delantero y sale de la barra.")</f>
        <v>La tercera vez que salta nuevamente en la barra de caballos y levanta el pie izquierdo, se voltea delantero y sale de la barra.</v>
      </c>
    </row>
    <row r="14318">
      <c r="A14318" s="4" t="s">
        <v>18025</v>
      </c>
      <c r="B14318" s="4" t="s">
        <v>18029</v>
      </c>
      <c r="C14318" s="5" t="str">
        <f>IFERROR(__xludf.DUMMYFUNCTION("GOOGLETRANSLATE(B14318,""en"",""es-ES"")"),"Ella repite los mismos pasos nuevamente y salta de la barra de caballos.")</f>
        <v>Ella repite los mismos pasos nuevamente y salta de la barra de caballos.</v>
      </c>
    </row>
    <row r="14319">
      <c r="A14319" s="4" t="s">
        <v>18030</v>
      </c>
      <c r="B14319" s="4" t="s">
        <v>18031</v>
      </c>
      <c r="C14319" s="5" t="str">
        <f>IFERROR(__xludf.DUMMYFUNCTION("GOOGLETRANSLATE(B14319,""en"",""es-ES"")"),"Se ven dos personas realizando movimientos de tango lentamente mientras que el texto aparece en la pantalla.")</f>
        <v>Se ven dos personas realizando movimientos de tango lentamente mientras que el texto aparece en la pantalla.</v>
      </c>
    </row>
    <row r="14320">
      <c r="A14320" s="4" t="s">
        <v>18030</v>
      </c>
      <c r="B14320" s="4" t="s">
        <v>18032</v>
      </c>
      <c r="C14320" s="5" t="str">
        <f>IFERROR(__xludf.DUMMYFUNCTION("GOOGLETRANSLATE(B14320,""en"",""es-ES"")"),"Luego, la mujer hace los mismos movimientos solos mientras la silueta del hombre y la mujer se muestra a su lado.")</f>
        <v>Luego, la mujer hace los mismos movimientos solos mientras la silueta del hombre y la mujer se muestra a su lado.</v>
      </c>
    </row>
    <row r="14321">
      <c r="A14321" s="4" t="s">
        <v>18030</v>
      </c>
      <c r="B14321" s="4" t="s">
        <v>18033</v>
      </c>
      <c r="C14321" s="5" t="str">
        <f>IFERROR(__xludf.DUMMYFUNCTION("GOOGLETRANSLATE(B14321,""en"",""es-ES"")"),"Luego, el hombre realiza sus movimientos solo y conduce a la pareja a actuar nuevamente.")</f>
        <v>Luego, el hombre realiza sus movimientos solo y conduce a la pareja a actuar nuevamente.</v>
      </c>
    </row>
    <row r="14322">
      <c r="A14322" s="4" t="s">
        <v>18034</v>
      </c>
      <c r="B14322" s="4" t="s">
        <v>18035</v>
      </c>
      <c r="C14322" s="5" t="str">
        <f>IFERROR(__xludf.DUMMYFUNCTION("GOOGLETRANSLATE(B14322,""en"",""es-ES"")"),"Un equipo está en el hielo, jugando un juego de hockey.")</f>
        <v>Un equipo está en el hielo, jugando un juego de hockey.</v>
      </c>
    </row>
    <row r="14323">
      <c r="A14323" s="4" t="s">
        <v>18034</v>
      </c>
      <c r="B14323" s="4" t="s">
        <v>18036</v>
      </c>
      <c r="C14323" s="5" t="str">
        <f>IFERROR(__xludf.DUMMYFUNCTION("GOOGLETRANSLATE(B14323,""en"",""es-ES"")"),"Se deslizan, golpeando el disco y tratando de mantenerlo alejado de sus oponentes.")</f>
        <v>Se deslizan, golpeando el disco y tratando de mantenerlo alejado de sus oponentes.</v>
      </c>
    </row>
    <row r="14324">
      <c r="A14324" s="4" t="s">
        <v>18034</v>
      </c>
      <c r="B14324" s="4" t="s">
        <v>18037</v>
      </c>
      <c r="C14324" s="5" t="str">
        <f>IFERROR(__xludf.DUMMYFUNCTION("GOOGLETRANSLATE(B14324,""en"",""es-ES"")"),"El portero entienda para evitar que el disco entre en la meta.")</f>
        <v>El portero entienda para evitar que el disco entre en la meta.</v>
      </c>
    </row>
    <row r="14325">
      <c r="A14325" s="4" t="s">
        <v>18038</v>
      </c>
      <c r="B14325" s="4" t="s">
        <v>18039</v>
      </c>
      <c r="C14325" s="5" t="str">
        <f>IFERROR(__xludf.DUMMYFUNCTION("GOOGLETRANSLATE(B14325,""en"",""es-ES"")"),"Una introducción conduce a varias imágenes de herramientas de caballos y una mujer que habla con la cámara que sostiene un cepillo.")</f>
        <v>Una introducción conduce a varias imágenes de herramientas de caballos y una mujer que habla con la cámara que sostiene un cepillo.</v>
      </c>
    </row>
    <row r="14326">
      <c r="A14326" s="4" t="s">
        <v>18038</v>
      </c>
      <c r="B14326" s="4" t="s">
        <v>18040</v>
      </c>
      <c r="C14326" s="5" t="str">
        <f>IFERROR(__xludf.DUMMYFUNCTION("GOOGLETRANSLATE(B14326,""en"",""es-ES"")"),"Luego cepilla la melena del caballo a fondo mientras mira a la cámara y habla.")</f>
        <v>Luego cepilla la melena del caballo a fondo mientras mira a la cámara y habla.</v>
      </c>
    </row>
    <row r="14327">
      <c r="A14327" s="4" t="s">
        <v>18041</v>
      </c>
      <c r="B14327" s="4" t="s">
        <v>18042</v>
      </c>
      <c r="C14327" s="5" t="str">
        <f>IFERROR(__xludf.DUMMYFUNCTION("GOOGLETRANSLATE(B14327,""en"",""es-ES"")"),"Un hombre habla con una vendedora que recorta una planta en una maceta, luego el hombre guardó la planta.")</f>
        <v>Un hombre habla con una vendedora que recorta una planta en una maceta, luego el hombre guardó la planta.</v>
      </c>
    </row>
    <row r="14328">
      <c r="A14328" s="4" t="s">
        <v>18041</v>
      </c>
      <c r="B14328" s="4" t="s">
        <v>18043</v>
      </c>
      <c r="C14328" s="5" t="str">
        <f>IFERROR(__xludf.DUMMYFUNCTION("GOOGLETRANSLATE(B14328,""en"",""es-ES"")"),"Después, el hombre pone un arbusto en el frente a la vendedora que lo recorta mientras el hombre señala la planta y habla con la mujer.")</f>
        <v>Después, el hombre pone un arbusto en el frente a la vendedora que lo recorta mientras el hombre señala la planta y habla con la mujer.</v>
      </c>
    </row>
    <row r="14329">
      <c r="A14329" s="4" t="s">
        <v>18044</v>
      </c>
      <c r="B14329" s="4" t="s">
        <v>18045</v>
      </c>
      <c r="C14329" s="5" t="str">
        <f>IFERROR(__xludf.DUMMYFUNCTION("GOOGLETRANSLATE(B14329,""en"",""es-ES"")"),"Se ve a una persona montando un tablero a lo largo del agua con una cometa en la parte superior.")</f>
        <v>Se ve a una persona montando un tablero a lo largo del agua con una cometa en la parte superior.</v>
      </c>
    </row>
    <row r="14330">
      <c r="A14330" s="4" t="s">
        <v>18044</v>
      </c>
      <c r="B14330" s="4" t="s">
        <v>18046</v>
      </c>
      <c r="C14330" s="5" t="str">
        <f>IFERROR(__xludf.DUMMYFUNCTION("GOOGLETRANSLATE(B14330,""en"",""es-ES"")"),"Se muestran más clips de la persona que viaja de regreso y cuarto en el tablero.")</f>
        <v>Se muestran más clips de la persona que viaja de regreso y cuarto en el tablero.</v>
      </c>
    </row>
    <row r="14331">
      <c r="A14331" s="4" t="s">
        <v>18044</v>
      </c>
      <c r="B14331" s="4" t="s">
        <v>18047</v>
      </c>
      <c r="C14331" s="5" t="str">
        <f>IFERROR(__xludf.DUMMYFUNCTION("GOOGLETRANSLATE(B14331,""en"",""es-ES"")"),"La persona continúa montando el tablero a lo largo del agua.")</f>
        <v>La persona continúa montando el tablero a lo largo del agua.</v>
      </c>
    </row>
    <row r="14332">
      <c r="A14332" s="4" t="s">
        <v>18048</v>
      </c>
      <c r="B14332" s="4" t="s">
        <v>18049</v>
      </c>
      <c r="C14332" s="5" t="str">
        <f>IFERROR(__xludf.DUMMYFUNCTION("GOOGLETRANSLATE(B14332,""en"",""es-ES"")"),"Un hombre surge en una gran ola en el agua.")</f>
        <v>Un hombre surge en una gran ola en el agua.</v>
      </c>
    </row>
    <row r="14333">
      <c r="A14333" s="4" t="s">
        <v>18048</v>
      </c>
      <c r="B14333" s="4" t="s">
        <v>18050</v>
      </c>
      <c r="C14333" s="5" t="str">
        <f>IFERROR(__xludf.DUMMYFUNCTION("GOOGLETRANSLATE(B14333,""en"",""es-ES"")"),"El agua y el cielo están rojos.")</f>
        <v>El agua y el cielo están rojos.</v>
      </c>
    </row>
    <row r="14334">
      <c r="A14334" s="4" t="s">
        <v>18048</v>
      </c>
      <c r="B14334" s="4" t="s">
        <v>18051</v>
      </c>
      <c r="C14334" s="5" t="str">
        <f>IFERROR(__xludf.DUMMYFUNCTION("GOOGLETRANSLATE(B14334,""en"",""es-ES"")"),"Varias personas navegan en el agua.")</f>
        <v>Varias personas navegan en el agua.</v>
      </c>
    </row>
    <row r="14335">
      <c r="A14335" s="4" t="s">
        <v>18052</v>
      </c>
      <c r="B14335" s="4" t="s">
        <v>18053</v>
      </c>
      <c r="C14335" s="5" t="str">
        <f>IFERROR(__xludf.DUMMYFUNCTION("GOOGLETRANSLATE(B14335,""en"",""es-ES"")"),"Una mujer con gafas encendido es tejer.")</f>
        <v>Una mujer con gafas encendido es tejer.</v>
      </c>
    </row>
    <row r="14336">
      <c r="A14336" s="4" t="s">
        <v>18052</v>
      </c>
      <c r="B14336" s="4" t="s">
        <v>18054</v>
      </c>
      <c r="C14336" s="5" t="str">
        <f>IFERROR(__xludf.DUMMYFUNCTION("GOOGLETRANSLATE(B14336,""en"",""es-ES"")"),"Una chica con una camisa negra está sentada hablando.")</f>
        <v>Una chica con una camisa negra está sentada hablando.</v>
      </c>
    </row>
    <row r="14337">
      <c r="A14337" s="4" t="s">
        <v>18052</v>
      </c>
      <c r="B14337" s="4" t="s">
        <v>18055</v>
      </c>
      <c r="C14337" s="5" t="str">
        <f>IFERROR(__xludf.DUMMYFUNCTION("GOOGLETRANSLATE(B14337,""en"",""es-ES"")"),"La mujer tejiendo de regreso a la niña.")</f>
        <v>La mujer tejiendo de regreso a la niña.</v>
      </c>
    </row>
    <row r="14338">
      <c r="A14338" s="4" t="s">
        <v>18056</v>
      </c>
      <c r="B14338" s="4" t="s">
        <v>18057</v>
      </c>
      <c r="C14338" s="5" t="str">
        <f>IFERROR(__xludf.DUMMYFUNCTION("GOOGLETRANSLATE(B14338,""en"",""es-ES"")"),"Un hombre habla con la cámara cuando la gente comienza a bajar un río de aguas blancas hechas en kayaks.")</f>
        <v>Un hombre habla con la cámara cuando la gente comienza a bajar un río de aguas blancas hechas en kayaks.</v>
      </c>
    </row>
    <row r="14339">
      <c r="A14339" s="4" t="s">
        <v>18056</v>
      </c>
      <c r="B14339" s="4" t="s">
        <v>18058</v>
      </c>
      <c r="C14339" s="5" t="str">
        <f>IFERROR(__xludf.DUMMYFUNCTION("GOOGLETRANSLATE(B14339,""en"",""es-ES"")"),"La gente se atasca un poco, luego se desprende mientras bajan pequeñas cascadas.")</f>
        <v>La gente se atasca un poco, luego se desprende mientras bajan pequeñas cascadas.</v>
      </c>
    </row>
    <row r="14340">
      <c r="A14340" s="4" t="s">
        <v>18056</v>
      </c>
      <c r="B14340" s="4" t="s">
        <v>18059</v>
      </c>
      <c r="C14340" s="5" t="str">
        <f>IFERROR(__xludf.DUMMYFUNCTION("GOOGLETRANSLATE(B14340,""en"",""es-ES"")"),"Una mujer se cae y es recogida por otra persona.")</f>
        <v>Una mujer se cae y es recogida por otra persona.</v>
      </c>
    </row>
    <row r="14341">
      <c r="A14341" s="4" t="s">
        <v>18056</v>
      </c>
      <c r="B14341" s="4" t="s">
        <v>18060</v>
      </c>
      <c r="C14341" s="5" t="str">
        <f>IFERROR(__xludf.DUMMYFUNCTION("GOOGLETRANSLATE(B14341,""en"",""es-ES"")"),"Luego vemos varias imágenes de personas en kayaks en los rápidos.")</f>
        <v>Luego vemos varias imágenes de personas en kayaks en los rápidos.</v>
      </c>
    </row>
    <row r="14342">
      <c r="A14342" s="4" t="s">
        <v>18061</v>
      </c>
      <c r="B14342" s="4" t="s">
        <v>18062</v>
      </c>
      <c r="C14342" s="5" t="str">
        <f>IFERROR(__xludf.DUMMYFUNCTION("GOOGLETRANSLATE(B14342,""en"",""es-ES"")"),"Una persona habla en la calle, luego la persona para patinetas en el camino.")</f>
        <v>Una persona habla en la calle, luego la persona para patinetas en el camino.</v>
      </c>
    </row>
    <row r="14343">
      <c r="A14343" s="4" t="s">
        <v>18061</v>
      </c>
      <c r="B14343" s="4" t="s">
        <v>18063</v>
      </c>
      <c r="C14343" s="5" t="str">
        <f>IFERROR(__xludf.DUMMYFUNCTION("GOOGLETRANSLATE(B14343,""en"",""es-ES"")"),"Luego, la persona retrocede la patineta.")</f>
        <v>Luego, la persona retrocede la patineta.</v>
      </c>
    </row>
    <row r="14344">
      <c r="A14344" s="4" t="s">
        <v>18061</v>
      </c>
      <c r="B14344" s="4" t="s">
        <v>18064</v>
      </c>
      <c r="C14344" s="5" t="str">
        <f>IFERROR(__xludf.DUMMYFUNCTION("GOOGLETRANSLATE(B14344,""en"",""es-ES"")"),"Después de que la persona salta y la patineta se desliza en el camino.")</f>
        <v>Después de que la persona salta y la patineta se desliza en el camino.</v>
      </c>
    </row>
    <row r="14345">
      <c r="A14345" s="4" t="s">
        <v>18061</v>
      </c>
      <c r="B14345" s="4" t="s">
        <v>18065</v>
      </c>
      <c r="C14345" s="5" t="str">
        <f>IFERROR(__xludf.DUMMYFUNCTION("GOOGLETRANSLATE(B14345,""en"",""es-ES"")"),"A continuación, la persona practica el skate arrastrando un pie, después de que la persona usa el césped para hacer trucos.")</f>
        <v>A continuación, la persona practica el skate arrastrando un pie, después de que la persona usa el césped para hacer trucos.</v>
      </c>
    </row>
    <row r="14346">
      <c r="A14346" s="4" t="s">
        <v>18066</v>
      </c>
      <c r="B14346" s="4" t="s">
        <v>18067</v>
      </c>
      <c r="C14346" s="5" t="str">
        <f>IFERROR(__xludf.DUMMYFUNCTION("GOOGLETRANSLATE(B14346,""en"",""es-ES"")"),"La mujer está de pie en una gran habitación sosteniendo un épée y Aman entra y sostiene otro épée y comienza a pelear con la mujer.")</f>
        <v>La mujer está de pie en una gran habitación sosteniendo un épée y Aman entra y sostiene otro épée y comienza a pelear con la mujer.</v>
      </c>
    </row>
    <row r="14347">
      <c r="A14347" s="4" t="s">
        <v>18066</v>
      </c>
      <c r="B14347" s="4" t="s">
        <v>18068</v>
      </c>
      <c r="C14347" s="5" t="str">
        <f>IFERROR(__xludf.DUMMYFUNCTION("GOOGLETRANSLATE(B14347,""en"",""es-ES"")"),"Los niños entra en una habitación y corren hacia el hombre y la mujer.")</f>
        <v>Los niños entra en una habitación y corren hacia el hombre y la mujer.</v>
      </c>
    </row>
    <row r="14348">
      <c r="A14348" s="4" t="s">
        <v>18066</v>
      </c>
      <c r="B14348" s="4" t="s">
        <v>18069</v>
      </c>
      <c r="C14348" s="5" t="str">
        <f>IFERROR(__xludf.DUMMYFUNCTION("GOOGLETRANSLATE(B14348,""en"",""es-ES"")"),"El hombre le da una máscara negra a la mujer y la usa.")</f>
        <v>El hombre le da una máscara negra a la mujer y la usa.</v>
      </c>
    </row>
    <row r="14349">
      <c r="A14349" s="4" t="s">
        <v>18070</v>
      </c>
      <c r="B14349" s="4" t="s">
        <v>18071</v>
      </c>
      <c r="C14349" s="5" t="str">
        <f>IFERROR(__xludf.DUMMYFUNCTION("GOOGLETRANSLATE(B14349,""en"",""es-ES"")"),"Un niño en un establo cepillando un cabello de caballo.")</f>
        <v>Un niño en un establo cepillando un cabello de caballo.</v>
      </c>
    </row>
    <row r="14350">
      <c r="A14350" s="4" t="s">
        <v>18070</v>
      </c>
      <c r="B14350" s="4" t="s">
        <v>18072</v>
      </c>
      <c r="C14350" s="5" t="str">
        <f>IFERROR(__xludf.DUMMYFUNCTION("GOOGLETRANSLATE(B14350,""en"",""es-ES"")"),"El niño se aleja del caballo mientras habla para obtener una botella de líquido y luego regresa para cepillarse el cabello del caballo.")</f>
        <v>El niño se aleja del caballo mientras habla para obtener una botella de líquido y luego regresa para cepillarse el cabello del caballo.</v>
      </c>
    </row>
    <row r="14351">
      <c r="A14351" s="4" t="s">
        <v>18073</v>
      </c>
      <c r="B14351" s="4" t="s">
        <v>18074</v>
      </c>
      <c r="C14351" s="5" t="str">
        <f>IFERROR(__xludf.DUMMYFUNCTION("GOOGLETRANSLATE(B14351,""en"",""es-ES"")"),"Una cámara se acerca a una persona que realiza una rutina en un gran escenario girando un bastón en el aire.")</f>
        <v>Una cámara se acerca a una persona que realiza una rutina en un gran escenario girando un bastón en el aire.</v>
      </c>
    </row>
    <row r="14352">
      <c r="A14352" s="4" t="s">
        <v>18073</v>
      </c>
      <c r="B14352" s="4" t="s">
        <v>18075</v>
      </c>
      <c r="C14352" s="5" t="str">
        <f>IFERROR(__xludf.DUMMYFUNCTION("GOOGLETRANSLATE(B14352,""en"",""es-ES"")"),"La persona continúa la rutina y termina con una división y el público aplaude.")</f>
        <v>La persona continúa la rutina y termina con una división y el público aplaude.</v>
      </c>
    </row>
    <row r="14353">
      <c r="A14353" s="4" t="s">
        <v>18076</v>
      </c>
      <c r="B14353" s="4" t="s">
        <v>18077</v>
      </c>
      <c r="C14353" s="5" t="str">
        <f>IFERROR(__xludf.DUMMYFUNCTION("GOOGLETRANSLATE(B14353,""en"",""es-ES"")"),"Se ve a un niño de pie en la parte superior de un tobogán y subiendo hacia abajo.")</f>
        <v>Se ve a un niño de pie en la parte superior de un tobogán y subiendo hacia abajo.</v>
      </c>
    </row>
    <row r="14354">
      <c r="A14354" s="4" t="s">
        <v>18076</v>
      </c>
      <c r="B14354" s="4" t="s">
        <v>18078</v>
      </c>
      <c r="C14354" s="5" t="str">
        <f>IFERROR(__xludf.DUMMYFUNCTION("GOOGLETRANSLATE(B14354,""en"",""es-ES"")"),"El niño se mueve por la toba y la cámara lo sigue caminando después.")</f>
        <v>El niño se mueve por la toba y la cámara lo sigue caminando después.</v>
      </c>
    </row>
    <row r="14355">
      <c r="A14355" s="4" t="s">
        <v>18079</v>
      </c>
      <c r="B14355" s="4" t="s">
        <v>18080</v>
      </c>
      <c r="C14355" s="5" t="str">
        <f>IFERROR(__xludf.DUMMYFUNCTION("GOOGLETRANSLATE(B14355,""en"",""es-ES"")"),"Un niño se para en un fregadero en una cocina.")</f>
        <v>Un niño se para en un fregadero en una cocina.</v>
      </c>
    </row>
    <row r="14356">
      <c r="A14356" s="4" t="s">
        <v>18079</v>
      </c>
      <c r="B14356" s="4" t="s">
        <v>18081</v>
      </c>
      <c r="C14356" s="5" t="str">
        <f>IFERROR(__xludf.DUMMYFUNCTION("GOOGLETRANSLATE(B14356,""en"",""es-ES"")"),"Él está limpiando su zapato.")</f>
        <v>Él está limpiando su zapato.</v>
      </c>
    </row>
    <row r="14357">
      <c r="A14357" s="4" t="s">
        <v>18079</v>
      </c>
      <c r="B14357" s="4" t="s">
        <v>18082</v>
      </c>
      <c r="C14357" s="5" t="str">
        <f>IFERROR(__xludf.DUMMYFUNCTION("GOOGLETRANSLATE(B14357,""en"",""es-ES"")"),"Se da la vuelta y sonríe a la cámara.")</f>
        <v>Se da la vuelta y sonríe a la cámara.</v>
      </c>
    </row>
    <row r="14358">
      <c r="A14358" s="4" t="s">
        <v>18083</v>
      </c>
      <c r="B14358" s="4" t="s">
        <v>18084</v>
      </c>
      <c r="C14358" s="5" t="str">
        <f>IFERROR(__xludf.DUMMYFUNCTION("GOOGLETRANSLATE(B14358,""en"",""es-ES"")"),"Una mujer está hablando con su clase sobre saltar cuerda.")</f>
        <v>Una mujer está hablando con su clase sobre saltar cuerda.</v>
      </c>
    </row>
    <row r="14359">
      <c r="A14359" s="4" t="s">
        <v>18083</v>
      </c>
      <c r="B14359" s="4" t="s">
        <v>18085</v>
      </c>
      <c r="C14359" s="5" t="str">
        <f>IFERROR(__xludf.DUMMYFUNCTION("GOOGLETRANSLATE(B14359,""en"",""es-ES"")"),"Ella pone la cuerda debajo de sus pies y comienza a demostrar un poco.")</f>
        <v>Ella pone la cuerda debajo de sus pies y comienza a demostrar un poco.</v>
      </c>
    </row>
    <row r="14360">
      <c r="A14360" s="4" t="s">
        <v>18083</v>
      </c>
      <c r="B14360" s="4" t="s">
        <v>18086</v>
      </c>
      <c r="C14360" s="5" t="str">
        <f>IFERROR(__xludf.DUMMYFUNCTION("GOOGLETRANSLATE(B14360,""en"",""es-ES"")"),"Ella comienza a saltar la cuerda que va muy rápido.")</f>
        <v>Ella comienza a saltar la cuerda que va muy rápido.</v>
      </c>
    </row>
    <row r="14361">
      <c r="A14361" s="4" t="s">
        <v>18083</v>
      </c>
      <c r="B14361" s="4" t="s">
        <v>18087</v>
      </c>
      <c r="C14361" s="5" t="str">
        <f>IFERROR(__xludf.DUMMYFUNCTION("GOOGLETRANSLATE(B14361,""en"",""es-ES"")"),"Ella se detiene y continúa hablando más antes de comenzar a saltar nuevamente.")</f>
        <v>Ella se detiene y continúa hablando más antes de comenzar a saltar nuevamente.</v>
      </c>
    </row>
    <row r="14362">
      <c r="A14362" s="4" t="s">
        <v>18088</v>
      </c>
      <c r="B14362" s="4" t="s">
        <v>18089</v>
      </c>
      <c r="C14362" s="5" t="str">
        <f>IFERROR(__xludf.DUMMYFUNCTION("GOOGLETRANSLATE(B14362,""en"",""es-ES"")"),"Una mujer lleva una toalla y de pie al lado de una bañera.")</f>
        <v>Una mujer lleva una toalla y de pie al lado de una bañera.</v>
      </c>
    </row>
    <row r="14363">
      <c r="A14363" s="4" t="s">
        <v>18088</v>
      </c>
      <c r="B14363" s="4" t="s">
        <v>18090</v>
      </c>
      <c r="C14363" s="5" t="str">
        <f>IFERROR(__xludf.DUMMYFUNCTION("GOOGLETRANSLATE(B14363,""en"",""es-ES"")"),"Ella pone crema de afeitar en su pierna y se afeita la pierna.")</f>
        <v>Ella pone crema de afeitar en su pierna y se afeita la pierna.</v>
      </c>
    </row>
    <row r="14364">
      <c r="A14364" s="4" t="s">
        <v>18091</v>
      </c>
      <c r="B14364" s="4" t="s">
        <v>18092</v>
      </c>
      <c r="C14364" s="5" t="str">
        <f>IFERROR(__xludf.DUMMYFUNCTION("GOOGLETRANSLATE(B14364,""en"",""es-ES"")"),"Un hombre en el esmoquin comienza a explicar Black Jack.")</f>
        <v>Un hombre en el esmoquin comienza a explicar Black Jack.</v>
      </c>
    </row>
    <row r="14365">
      <c r="A14365" s="4" t="s">
        <v>18091</v>
      </c>
      <c r="B14365" s="4" t="s">
        <v>18093</v>
      </c>
      <c r="C14365" s="5" t="str">
        <f>IFERROR(__xludf.DUMMYFUNCTION("GOOGLETRANSLATE(B14365,""en"",""es-ES"")"),"Un concesionario ofrece cartas a cuatro jugadores.")</f>
        <v>Un concesionario ofrece cartas a cuatro jugadores.</v>
      </c>
    </row>
    <row r="14366">
      <c r="A14366" s="4" t="s">
        <v>18091</v>
      </c>
      <c r="B14366" s="4" t="s">
        <v>18094</v>
      </c>
      <c r="C14366" s="5" t="str">
        <f>IFERROR(__xludf.DUMMYFUNCTION("GOOGLETRANSLATE(B14366,""en"",""es-ES"")"),"Se muestran varios primeros planos de tarjetas.")</f>
        <v>Se muestran varios primeros planos de tarjetas.</v>
      </c>
    </row>
    <row r="14367">
      <c r="A14367" s="4" t="s">
        <v>18091</v>
      </c>
      <c r="B14367" s="4" t="s">
        <v>18095</v>
      </c>
      <c r="C14367" s="5" t="str">
        <f>IFERROR(__xludf.DUMMYFUNCTION("GOOGLETRANSLATE(B14367,""en"",""es-ES"")"),"El hombre en el esmoquin continúa explicando las reglas del blackjack.")</f>
        <v>El hombre en el esmoquin continúa explicando las reglas del blackjack.</v>
      </c>
    </row>
    <row r="14368">
      <c r="A14368" s="4" t="s">
        <v>18096</v>
      </c>
      <c r="B14368" s="4" t="s">
        <v>18097</v>
      </c>
      <c r="C14368" s="5" t="str">
        <f>IFERROR(__xludf.DUMMYFUNCTION("GOOGLETRANSLATE(B14368,""en"",""es-ES"")"),"Dos mujeres no están de pie sin una lucha en el brazo de mesa en el medio del escenario.")</f>
        <v>Dos mujeres no están de pie sin una lucha en el brazo de mesa en el medio del escenario.</v>
      </c>
    </row>
    <row r="14369">
      <c r="A14369" s="4" t="s">
        <v>18096</v>
      </c>
      <c r="B14369" s="4" t="s">
        <v>18098</v>
      </c>
      <c r="C14369" s="5" t="str">
        <f>IFERROR(__xludf.DUMMYFUNCTION("GOOGLETRANSLATE(B14369,""en"",""es-ES"")"),"El árbitro que usa camisa en blanco y negro está de pie detrás de las chicas.")</f>
        <v>El árbitro que usa camisa en blanco y negro está de pie detrás de las chicas.</v>
      </c>
    </row>
    <row r="14370">
      <c r="A14370" s="4" t="s">
        <v>18096</v>
      </c>
      <c r="B14370" s="4" t="s">
        <v>18099</v>
      </c>
      <c r="C14370" s="5" t="str">
        <f>IFERROR(__xludf.DUMMYFUNCTION("GOOGLETRANSLATE(B14370,""en"",""es-ES"")"),"Dos mujeres calientes están luchando contra la mesa en una mesa y los árbitros están parados al frente o sentados en la parte de atrás.")</f>
        <v>Dos mujeres calientes están luchando contra la mesa en una mesa y los árbitros están parados al frente o sentados en la parte de atrás.</v>
      </c>
    </row>
    <row r="14371">
      <c r="A14371" s="4" t="s">
        <v>18096</v>
      </c>
      <c r="B14371" s="4" t="s">
        <v>18100</v>
      </c>
      <c r="C14371" s="5" t="str">
        <f>IFERROR(__xludf.DUMMYFUNCTION("GOOGLETRANSLATE(B14371,""en"",""es-ES"")"),"Las mujeres están en una lucha libre de brazos y mucha gente está a su alrededor.")</f>
        <v>Las mujeres están en una lucha libre de brazos y mucha gente está a su alrededor.</v>
      </c>
    </row>
    <row r="14372">
      <c r="A14372" s="4" t="s">
        <v>18101</v>
      </c>
      <c r="B14372" s="4" t="s">
        <v>18102</v>
      </c>
      <c r="C14372" s="5" t="str">
        <f>IFERROR(__xludf.DUMMYFUNCTION("GOOGLETRANSLATE(B14372,""en"",""es-ES"")"),"Una mujer juega un juego de cerveza pong con un hombre corto vestido como un duende.")</f>
        <v>Una mujer juega un juego de cerveza pong con un hombre corto vestido como un duende.</v>
      </c>
    </row>
    <row r="14373">
      <c r="A14373" s="4" t="s">
        <v>18101</v>
      </c>
      <c r="B14373" s="4" t="s">
        <v>18103</v>
      </c>
      <c r="C14373" s="5" t="str">
        <f>IFERROR(__xludf.DUMMYFUNCTION("GOOGLETRANSLATE(B14373,""en"",""es-ES"")"),"Un DJ toca gira un par de plataformas en el escenario para la multitud.")</f>
        <v>Un DJ toca gira un par de plataformas en el escenario para la multitud.</v>
      </c>
    </row>
    <row r="14374">
      <c r="A14374" s="4" t="s">
        <v>18101</v>
      </c>
      <c r="B14374" s="4" t="s">
        <v>18104</v>
      </c>
      <c r="C14374" s="5" t="str">
        <f>IFERROR(__xludf.DUMMYFUNCTION("GOOGLETRANSLATE(B14374,""en"",""es-ES"")"),"La mujer anota un tiro y celebra.")</f>
        <v>La mujer anota un tiro y celebra.</v>
      </c>
    </row>
    <row r="14375">
      <c r="A14375" s="4" t="s">
        <v>18101</v>
      </c>
      <c r="B14375" s="4" t="s">
        <v>18105</v>
      </c>
      <c r="C14375" s="5" t="str">
        <f>IFERROR(__xludf.DUMMYFUNCTION("GOOGLETRANSLATE(B14375,""en"",""es-ES"")"),"Los dos jugadores se abrazan y levantan el brazo de la mujer en la victoria.")</f>
        <v>Los dos jugadores se abrazan y levantan el brazo de la mujer en la victoria.</v>
      </c>
    </row>
    <row r="14376">
      <c r="A14376" s="4" t="s">
        <v>18106</v>
      </c>
      <c r="B14376" s="4" t="s">
        <v>18107</v>
      </c>
      <c r="C14376" s="5" t="str">
        <f>IFERROR(__xludf.DUMMYFUNCTION("GOOGLETRANSLATE(B14376,""en"",""es-ES"")"),"Se muestra un nuevo recorte de papel animado y el video consiste en un montón de letras en letras de bloque negro que dan el título.")</f>
        <v>Se muestra un nuevo recorte de papel animado y el video consiste en un montón de letras en letras de bloque negro que dan el título.</v>
      </c>
    </row>
    <row r="14377">
      <c r="A14377" s="4" t="s">
        <v>18106</v>
      </c>
      <c r="B14377" s="4" t="s">
        <v>18108</v>
      </c>
      <c r="C14377" s="5" t="str">
        <f>IFERROR(__xludf.DUMMYFUNCTION("GOOGLETRANSLATE(B14377,""en"",""es-ES"")"),"Poco después, una mujer joven comienza a hablar mientras y arroja un objeto rizado.")</f>
        <v>Poco después, una mujer joven comienza a hablar mientras y arroja un objeto rizado.</v>
      </c>
    </row>
    <row r="14378">
      <c r="A14378" s="4" t="s">
        <v>18106</v>
      </c>
      <c r="B14378" s="4" t="s">
        <v>18109</v>
      </c>
      <c r="C14378" s="5" t="str">
        <f>IFERROR(__xludf.DUMMYFUNCTION("GOOGLETRANSLATE(B14378,""en"",""es-ES"")"),"La joven luego camina hacia un hombre vestido de negro y comienza a hacerle preguntas sobre el juego.")</f>
        <v>La joven luego camina hacia un hombre vestido de negro y comienza a hacerle preguntas sobre el juego.</v>
      </c>
    </row>
    <row r="14379">
      <c r="A14379" s="4" t="s">
        <v>18106</v>
      </c>
      <c r="B14379" s="4" t="s">
        <v>18110</v>
      </c>
      <c r="C14379" s="5" t="str">
        <f>IFERROR(__xludf.DUMMYFUNCTION("GOOGLETRANSLATE(B14379,""en"",""es-ES"")"),"Mientras hablan, se juega un juego y los dos los observan.")</f>
        <v>Mientras hablan, se juega un juego y los dos los observan.</v>
      </c>
    </row>
    <row r="14380">
      <c r="A14380" s="4" t="s">
        <v>18106</v>
      </c>
      <c r="B14380" s="4" t="s">
        <v>18111</v>
      </c>
      <c r="C14380" s="5" t="str">
        <f>IFERROR(__xludf.DUMMYFUNCTION("GOOGLETRANSLATE(B14380,""en"",""es-ES"")"),"Después, el hombre comienza a enseñarle varias técnicas utilizadas en el juego y comienzan a deslizarse por el piso.")</f>
        <v>Después, el hombre comienza a enseñarle varias técnicas utilizadas en el juego y comienzan a deslizarse por el piso.</v>
      </c>
    </row>
    <row r="14381">
      <c r="A14381" s="4" t="s">
        <v>18106</v>
      </c>
      <c r="B14381" s="4" t="s">
        <v>18112</v>
      </c>
      <c r="C14381" s="5" t="str">
        <f>IFERROR(__xludf.DUMMYFUNCTION("GOOGLETRANSLATE(B14381,""en"",""es-ES"")"),"Una vez que hayan terminado, la mujer regresa a la cámara y comienza a hablar sobre el deporte.")</f>
        <v>Una vez que hayan terminado, la mujer regresa a la cámara y comienza a hablar sobre el deporte.</v>
      </c>
    </row>
    <row r="14382">
      <c r="A14382" s="4" t="s">
        <v>18113</v>
      </c>
      <c r="B14382" s="4" t="s">
        <v>18114</v>
      </c>
      <c r="C14382" s="5" t="str">
        <f>IFERROR(__xludf.DUMMYFUNCTION("GOOGLETRANSLATE(B14382,""en"",""es-ES"")"),"Un perro gris camina al aire libre, y el dueño es un joven blanco que camina junto con el perro al aire libre y habla con la cámara.")</f>
        <v>Un perro gris camina al aire libre, y el dueño es un joven blanco que camina junto con el perro al aire libre y habla con la cámara.</v>
      </c>
    </row>
    <row r="14383">
      <c r="A14383" s="4" t="s">
        <v>18113</v>
      </c>
      <c r="B14383" s="4" t="s">
        <v>18115</v>
      </c>
      <c r="C14383" s="5" t="str">
        <f>IFERROR(__xludf.DUMMYFUNCTION("GOOGLETRANSLATE(B14383,""en"",""es-ES"")"),"Aparece una pantalla que muestra dos logotipos en el Middel y el texto de arriba de los logotipos se lee ""detrás de escena"" y debajo de las palabras del logotipo leídos ""Presentado por: Geico"".")</f>
        <v>Aparece una pantalla que muestra dos logotipos en el Middel y el texto de arriba de los logotipos se lee "detrás de escena" y debajo de las palabras del logotipo leídos "Presentado por: Geico".</v>
      </c>
    </row>
    <row r="14384">
      <c r="A14384" s="4" t="s">
        <v>18113</v>
      </c>
      <c r="B14384" s="4" t="s">
        <v>18116</v>
      </c>
      <c r="C14384" s="5" t="str">
        <f>IFERROR(__xludf.DUMMYFUNCTION("GOOGLETRANSLATE(B14384,""en"",""es-ES"")"),"Un hombre ahora está vestido con equipo de protección y se le une muchos otros que están vestidos de la misma manera y clips de ellos jugando pistolas de paintball en un área abierta y en un curso.")</f>
        <v>Un hombre ahora está vestido con equipo de protección y se le une muchos otros que están vestidos de la misma manera y clips de ellos jugando pistolas de paintball en un área abierta y en un curso.</v>
      </c>
    </row>
    <row r="14385">
      <c r="A14385" s="4" t="s">
        <v>18113</v>
      </c>
      <c r="B14385" s="4" t="s">
        <v>18117</v>
      </c>
      <c r="C14385" s="5" t="str">
        <f>IFERROR(__xludf.DUMMYFUNCTION("GOOGLETRANSLATE(B14385,""en"",""es-ES"")"),"Un hombre ahora está parado en una plataforma muy alta mirando a un gran grupo de personas, y las palabras ""Comic-Con San Diego CA"" están en la parte inferior derecha, y el hombre salta a un colchón de aire muy grande, se levanta. y comienza a correr a "&amp;"lo largo de una carrera de obstáculos muy larga que le exige que haga varias cosas diferentes y la vista es desde una cámara que lleva alrededor de su cuello.")</f>
        <v>Un hombre ahora está parado en una plataforma muy alta mirando a un gran grupo de personas, y las palabras "Comic-Con San Diego CA" están en la parte inferior derecha, y el hombre salta a un colchón de aire muy grande, se levanta. y comienza a correr a lo largo de una carrera de obstáculos muy larga que le exige que haga varias cosas diferentes y la vista es desde una cámara que lleva alrededor de su cuello.</v>
      </c>
    </row>
    <row r="14386">
      <c r="A14386" s="4" t="s">
        <v>18113</v>
      </c>
      <c r="B14386" s="4" t="s">
        <v>18118</v>
      </c>
      <c r="C14386" s="5" t="str">
        <f>IFERROR(__xludf.DUMMYFUNCTION("GOOGLETRANSLATE(B14386,""en"",""es-ES"")"),"Completa la carrera de obstáculos y aparece una pantalla de outro con 3 pequeñas pantallas de video diferentes que se reproducen sobre la pantalla principal y las palabras principales en la pantalla dicen ""Presentado por Geico"".")</f>
        <v>Completa la carrera de obstáculos y aparece una pantalla de outro con 3 pequeñas pantallas de video diferentes que se reproducen sobre la pantalla principal y las palabras principales en la pantalla dicen "Presentado por Geico".</v>
      </c>
    </row>
    <row r="14387">
      <c r="A14387" s="4" t="s">
        <v>18119</v>
      </c>
      <c r="B14387" s="4" t="s">
        <v>18120</v>
      </c>
      <c r="C14387" s="5" t="str">
        <f>IFERROR(__xludf.DUMMYFUNCTION("GOOGLETRANSLATE(B14387,""en"",""es-ES"")"),"Se muestra a una niña hablando con la cámara y que muestra varias pinturas.")</f>
        <v>Se muestra a una niña hablando con la cámara y que muestra varias pinturas.</v>
      </c>
    </row>
    <row r="14388">
      <c r="A14388" s="4" t="s">
        <v>18119</v>
      </c>
      <c r="B14388" s="4" t="s">
        <v>18121</v>
      </c>
      <c r="C14388" s="5" t="str">
        <f>IFERROR(__xludf.DUMMYFUNCTION("GOOGLETRANSLATE(B14388,""en"",""es-ES"")"),"Ella se acerca a los productos que posee y pone pintura en un palet.")</f>
        <v>Ella se acerca a los productos que posee y pone pintura en un palet.</v>
      </c>
    </row>
    <row r="14389">
      <c r="A14389" s="4" t="s">
        <v>18119</v>
      </c>
      <c r="B14389" s="4" t="s">
        <v>18122</v>
      </c>
      <c r="C14389" s="5" t="str">
        <f>IFERROR(__xludf.DUMMYFUNCTION("GOOGLETRANSLATE(B14389,""en"",""es-ES"")"),"Ella llama un cepillo en la pintura y comienza a pintarse las uñas.")</f>
        <v>Ella llama un cepillo en la pintura y comienza a pintarse las uñas.</v>
      </c>
    </row>
    <row r="14390">
      <c r="A14390" s="4" t="s">
        <v>18119</v>
      </c>
      <c r="B14390" s="4" t="s">
        <v>18123</v>
      </c>
      <c r="C14390" s="5" t="str">
        <f>IFERROR(__xludf.DUMMYFUNCTION("GOOGLETRANSLATE(B14390,""en"",""es-ES"")"),"Ella realiza varios estilos diferentes en las uñas y varias imágenes de uñas terminadas.")</f>
        <v>Ella realiza varios estilos diferentes en las uñas y varias imágenes de uñas terminadas.</v>
      </c>
    </row>
    <row r="14391">
      <c r="A14391" s="4" t="s">
        <v>18124</v>
      </c>
      <c r="B14391" s="4" t="s">
        <v>18125</v>
      </c>
      <c r="C14391" s="5" t="str">
        <f>IFERROR(__xludf.DUMMYFUNCTION("GOOGLETRANSLATE(B14391,""en"",""es-ES"")"),"Un hombre se encuentra en una cancha de tenis que se prepara para servir la pelota.")</f>
        <v>Un hombre se encuentra en una cancha de tenis que se prepara para servir la pelota.</v>
      </c>
    </row>
    <row r="14392">
      <c r="A14392" s="4" t="s">
        <v>18124</v>
      </c>
      <c r="B14392" s="4" t="s">
        <v>18126</v>
      </c>
      <c r="C14392" s="5" t="str">
        <f>IFERROR(__xludf.DUMMYFUNCTION("GOOGLETRANSLATE(B14392,""en"",""es-ES"")"),"El hombre golpea la pelota de tenis en la cancha.")</f>
        <v>El hombre golpea la pelota de tenis en la cancha.</v>
      </c>
    </row>
    <row r="14393">
      <c r="A14393" s="4" t="s">
        <v>18124</v>
      </c>
      <c r="B14393" s="4" t="s">
        <v>18127</v>
      </c>
      <c r="C14393" s="5" t="str">
        <f>IFERROR(__xludf.DUMMYFUNCTION("GOOGLETRANSLATE(B14393,""en"",""es-ES"")"),"El hombre gira y camina de regreso a su canasta y agarra una pelota de su bolsillo.")</f>
        <v>El hombre gira y camina de regreso a su canasta y agarra una pelota de su bolsillo.</v>
      </c>
    </row>
    <row r="14394">
      <c r="A14394" s="4" t="s">
        <v>18124</v>
      </c>
      <c r="B14394" s="4" t="s">
        <v>18128</v>
      </c>
      <c r="C14394" s="5" t="str">
        <f>IFERROR(__xludf.DUMMYFUNCTION("GOOGLETRANSLATE(B14394,""en"",""es-ES"")"),"El hombre rebota la pelota en el suelo.")</f>
        <v>El hombre rebota la pelota en el suelo.</v>
      </c>
    </row>
    <row r="14395">
      <c r="A14395" s="4" t="s">
        <v>18129</v>
      </c>
      <c r="B14395" s="4" t="s">
        <v>18130</v>
      </c>
      <c r="C14395" s="5" t="str">
        <f>IFERROR(__xludf.DUMMYFUNCTION("GOOGLETRANSLATE(B14395,""en"",""es-ES"")"),"Se ve a una mujer inclinándose para tomar un sorbo de agua y lo lleva a girar un hula hoop a su alrededor.")</f>
        <v>Se ve a una mujer inclinándose para tomar un sorbo de agua y lo lleva a girar un hula hoop a su alrededor.</v>
      </c>
    </row>
    <row r="14396">
      <c r="A14396" s="4" t="s">
        <v>18129</v>
      </c>
      <c r="B14396" s="4" t="s">
        <v>18131</v>
      </c>
      <c r="C14396" s="5" t="str">
        <f>IFERROR(__xludf.DUMMYFUNCTION("GOOGLETRANSLATE(B14396,""en"",""es-ES"")"),"La mujer continúa girando el hula hoop mientras agarra varios más y realiza trucos en el centro de la ciudad.")</f>
        <v>La mujer continúa girando el hula hoop mientras agarra varios más y realiza trucos en el centro de la ciudad.</v>
      </c>
    </row>
    <row r="14397">
      <c r="A14397" s="4" t="s">
        <v>18132</v>
      </c>
      <c r="B14397" s="4" t="s">
        <v>18133</v>
      </c>
      <c r="C14397" s="5" t="str">
        <f>IFERROR(__xludf.DUMMYFUNCTION("GOOGLETRANSLATE(B14397,""en"",""es-ES"")"),"Se ve a un hombre colgando una rueda de bicicleta y hablando con la cámara.")</f>
        <v>Se ve a un hombre colgando una rueda de bicicleta y hablando con la cámara.</v>
      </c>
    </row>
    <row r="14398">
      <c r="A14398" s="4" t="s">
        <v>18132</v>
      </c>
      <c r="B14398" s="4" t="s">
        <v>18134</v>
      </c>
      <c r="C14398" s="5" t="str">
        <f>IFERROR(__xludf.DUMMYFUNCTION("GOOGLETRANSLATE(B14398,""en"",""es-ES"")"),"Comienza a ajustar la bicicleta y desenroscar la configuración en la parte posterior.")</f>
        <v>Comienza a ajustar la bicicleta y desenroscar la configuración en la parte posterior.</v>
      </c>
    </row>
    <row r="14399">
      <c r="A14399" s="4" t="s">
        <v>18132</v>
      </c>
      <c r="B14399" s="4" t="s">
        <v>18135</v>
      </c>
      <c r="C14399" s="5" t="str">
        <f>IFERROR(__xludf.DUMMYFUNCTION("GOOGLETRANSLATE(B14399,""en"",""es-ES"")"),"Luego se pone un par de ruedas de entrenamiento y muestra cómo se mueve.")</f>
        <v>Luego se pone un par de ruedas de entrenamiento y muestra cómo se mueve.</v>
      </c>
    </row>
    <row r="14400">
      <c r="A14400" s="4" t="s">
        <v>18136</v>
      </c>
      <c r="B14400" s="4" t="s">
        <v>18137</v>
      </c>
      <c r="C14400" s="5" t="str">
        <f>IFERROR(__xludf.DUMMYFUNCTION("GOOGLETRANSLATE(B14400,""en"",""es-ES"")"),"Se ve a un perro corriendo alrededor de un hombre en medio de un campo abierto.")</f>
        <v>Se ve a un perro corriendo alrededor de un hombre en medio de un campo abierto.</v>
      </c>
    </row>
    <row r="14401">
      <c r="A14401" s="4" t="s">
        <v>18136</v>
      </c>
      <c r="B14401" s="4" t="s">
        <v>18138</v>
      </c>
      <c r="C14401" s="5" t="str">
        <f>IFERROR(__xludf.DUMMYFUNCTION("GOOGLETRANSLATE(B14401,""en"",""es-ES"")"),"El hombre realiza trucos con el perro mientras el perro salta sobre su espalda.")</f>
        <v>El hombre realiza trucos con el perro mientras el perro salta sobre su espalda.</v>
      </c>
    </row>
    <row r="14402">
      <c r="A14402" s="4" t="s">
        <v>18136</v>
      </c>
      <c r="B14402" s="4" t="s">
        <v>18139</v>
      </c>
      <c r="C14402" s="5" t="str">
        <f>IFERROR(__xludf.DUMMYFUNCTION("GOOGLETRANSLATE(B14402,""en"",""es-ES"")"),"Continúa deambulando con el perro realizando trucos con el perro y el frisbee.")</f>
        <v>Continúa deambulando con el perro realizando trucos con el perro y el frisbee.</v>
      </c>
    </row>
    <row r="14403">
      <c r="A14403" s="4" t="s">
        <v>18140</v>
      </c>
      <c r="B14403" s="4" t="s">
        <v>18141</v>
      </c>
      <c r="C14403" s="5" t="str">
        <f>IFERROR(__xludf.DUMMYFUNCTION("GOOGLETRANSLATE(B14403,""en"",""es-ES"")"),"Se muestra gráfico sobre cómo hacer papel tapiz digital.")</f>
        <v>Se muestra gráfico sobre cómo hacer papel tapiz digital.</v>
      </c>
    </row>
    <row r="14404">
      <c r="A14404" s="4" t="s">
        <v>18140</v>
      </c>
      <c r="B14404" s="4" t="s">
        <v>18142</v>
      </c>
      <c r="C14404" s="5" t="str">
        <f>IFERROR(__xludf.DUMMYFUNCTION("GOOGLETRANSLATE(B14404,""en"",""es-ES"")"),"El hombre está en una habitación con una máquina de papel digital y la máquina está imprimiendo un letrero.")</f>
        <v>El hombre está en una habitación con una máquina de papel digital y la máquina está imprimiendo un letrero.</v>
      </c>
    </row>
    <row r="14405">
      <c r="A14405" s="4" t="s">
        <v>18140</v>
      </c>
      <c r="B14405" s="4" t="s">
        <v>18143</v>
      </c>
      <c r="C14405" s="5" t="str">
        <f>IFERROR(__xludf.DUMMYFUNCTION("GOOGLETRANSLATE(B14405,""en"",""es-ES"")"),"Los hombres están pegando el fondo de pantalla a una pared blanca.")</f>
        <v>Los hombres están pegando el fondo de pantalla a una pared blanca.</v>
      </c>
    </row>
    <row r="14406">
      <c r="A14406" s="4" t="s">
        <v>18144</v>
      </c>
      <c r="B14406" s="4" t="s">
        <v>18145</v>
      </c>
      <c r="C14406" s="5" t="str">
        <f>IFERROR(__xludf.DUMMYFUNCTION("GOOGLETRANSLATE(B14406,""en"",""es-ES"")"),"Un niño está saltando la cuerda y está haciendo trucos en círculos.")</f>
        <v>Un niño está saltando la cuerda y está haciendo trucos en círculos.</v>
      </c>
    </row>
    <row r="14407">
      <c r="A14407" s="4" t="s">
        <v>18144</v>
      </c>
      <c r="B14407" s="4" t="s">
        <v>18146</v>
      </c>
      <c r="C14407" s="5" t="str">
        <f>IFERROR(__xludf.DUMMYFUNCTION("GOOGLETRANSLATE(B14407,""en"",""es-ES"")"),"Luego, otro niño también está saltando la cuerda y la gira y finalmente arroja su cuerda.")</f>
        <v>Luego, otro niño también está saltando la cuerda y la gira y finalmente arroja su cuerda.</v>
      </c>
    </row>
    <row r="14408">
      <c r="A14408" s="4" t="s">
        <v>18144</v>
      </c>
      <c r="B14408" s="4" t="s">
        <v>18147</v>
      </c>
      <c r="C14408" s="5" t="str">
        <f>IFERROR(__xludf.DUMMYFUNCTION("GOOGLETRANSLATE(B14408,""en"",""es-ES"")"),"Hay un grupo más grande de 5 que salta de la cuerda sincronizada y hacen muchos trucos geniales.")</f>
        <v>Hay un grupo más grande de 5 que salta de la cuerda sincronizada y hacen muchos trucos geniales.</v>
      </c>
    </row>
    <row r="14409">
      <c r="A14409" s="4" t="s">
        <v>18144</v>
      </c>
      <c r="B14409" s="4" t="s">
        <v>18148</v>
      </c>
      <c r="C14409" s="5" t="str">
        <f>IFERROR(__xludf.DUMMYFUNCTION("GOOGLETRANSLATE(B14409,""en"",""es-ES"")"),"Seguido de muchos videos de muchas personas diferentes saltando y en grupos juntos haciéndolo en competiciones y por diversión o práctica.")</f>
        <v>Seguido de muchos videos de muchas personas diferentes saltando y en grupos juntos haciéndolo en competiciones y por diversión o práctica.</v>
      </c>
    </row>
    <row r="14410">
      <c r="A14410" s="4" t="s">
        <v>18149</v>
      </c>
      <c r="B14410" s="4" t="s">
        <v>18150</v>
      </c>
      <c r="C14410" s="5" t="str">
        <f>IFERROR(__xludf.DUMMYFUNCTION("GOOGLETRANSLATE(B14410,""en"",""es-ES"")"),"Una mujer aplaudiendo al margen, animando a alguien.")</f>
        <v>Una mujer aplaudiendo al margen, animando a alguien.</v>
      </c>
    </row>
    <row r="14411">
      <c r="A14411" s="4" t="s">
        <v>18149</v>
      </c>
      <c r="B14411" s="4" t="s">
        <v>18151</v>
      </c>
      <c r="C14411" s="5" t="str">
        <f>IFERROR(__xludf.DUMMYFUNCTION("GOOGLETRANSLATE(B14411,""en"",""es-ES"")"),"Entrenadores de pie al otro lado de la cerca observando para calificar.")</f>
        <v>Entrenadores de pie al otro lado de la cerca observando para calificar.</v>
      </c>
    </row>
    <row r="14412">
      <c r="A14412" s="4" t="s">
        <v>18149</v>
      </c>
      <c r="B14412" s="4" t="s">
        <v>18152</v>
      </c>
      <c r="C14412" s="5" t="str">
        <f>IFERROR(__xludf.DUMMYFUNCTION("GOOGLETRANSLATE(B14412,""en"",""es-ES"")"),"El corredor corre por el césped súper rápido.")</f>
        <v>El corredor corre por el césped súper rápido.</v>
      </c>
    </row>
    <row r="14413">
      <c r="A14413" s="4" t="s">
        <v>18149</v>
      </c>
      <c r="B14413" s="4" t="s">
        <v>18153</v>
      </c>
      <c r="C14413" s="5" t="str">
        <f>IFERROR(__xludf.DUMMYFUNCTION("GOOGLETRANSLATE(B14413,""en"",""es-ES"")"),"Salta al final y aterriza suavemente en la arena, mientras que uno de los entrenadores detiene una cuerda.")</f>
        <v>Salta al final y aterriza suavemente en la arena, mientras que uno de los entrenadores detiene una cuerda.</v>
      </c>
    </row>
    <row r="14414">
      <c r="A14414" s="4" t="s">
        <v>18154</v>
      </c>
      <c r="B14414" s="4" t="s">
        <v>18155</v>
      </c>
      <c r="C14414" s="5" t="str">
        <f>IFERROR(__xludf.DUMMYFUNCTION("GOOGLETRANSLATE(B14414,""en"",""es-ES"")"),"El anfitrión saluda el video y presenta su receta.")</f>
        <v>El anfitrión saluda el video y presenta su receta.</v>
      </c>
    </row>
    <row r="14415">
      <c r="A14415" s="4" t="s">
        <v>18154</v>
      </c>
      <c r="B14415" s="4" t="s">
        <v>18156</v>
      </c>
      <c r="C14415" s="5" t="str">
        <f>IFERROR(__xludf.DUMMYFUNCTION("GOOGLETRANSLATE(B14415,""en"",""es-ES"")"),"Aparece la lista de ingredientes y el anfitrión habla de ellos.")</f>
        <v>Aparece la lista de ingredientes y el anfitrión habla de ellos.</v>
      </c>
    </row>
    <row r="14416">
      <c r="A14416" s="4" t="s">
        <v>18154</v>
      </c>
      <c r="B14416" s="4" t="s">
        <v>18157</v>
      </c>
      <c r="C14416" s="5" t="str">
        <f>IFERROR(__xludf.DUMMYFUNCTION("GOOGLETRANSLATE(B14416,""en"",""es-ES"")"),"El anfitrión comienza a hacer la bebida comenzando un jarabe.")</f>
        <v>El anfitrión comienza a hacer la bebida comenzando un jarabe.</v>
      </c>
    </row>
    <row r="14417">
      <c r="A14417" s="4" t="s">
        <v>18154</v>
      </c>
      <c r="B14417" s="4" t="s">
        <v>18158</v>
      </c>
      <c r="C14417" s="5" t="str">
        <f>IFERROR(__xludf.DUMMYFUNCTION("GOOGLETRANSLATE(B14417,""en"",""es-ES"")"),"A continuación, los limones se cortan en una tabla de cortar.")</f>
        <v>A continuación, los limones se cortan en una tabla de cortar.</v>
      </c>
    </row>
    <row r="14418">
      <c r="A14418" s="4" t="s">
        <v>18154</v>
      </c>
      <c r="B14418" s="4" t="s">
        <v>18159</v>
      </c>
      <c r="C14418" s="5" t="str">
        <f>IFERROR(__xludf.DUMMYFUNCTION("GOOGLETRANSLATE(B14418,""en"",""es-ES"")"),"Los muchos limones están jugados uno por uno.")</f>
        <v>Los muchos limones están jugados uno por uno.</v>
      </c>
    </row>
    <row r="14419">
      <c r="A14419" s="4" t="s">
        <v>18154</v>
      </c>
      <c r="B14419" s="4" t="s">
        <v>18160</v>
      </c>
      <c r="C14419" s="5" t="str">
        <f>IFERROR(__xludf.DUMMYFUNCTION("GOOGLETRANSLATE(B14419,""en"",""es-ES"")"),"El huésped llena el recipiente con hielo y vierte los ingredientes líquidos, seguido de albahaca y rodajas de limón.")</f>
        <v>El huésped llena el recipiente con hielo y vierte los ingredientes líquidos, seguido de albahaca y rodajas de limón.</v>
      </c>
    </row>
    <row r="14420">
      <c r="A14420" s="4" t="s">
        <v>18154</v>
      </c>
      <c r="B14420" s="4" t="s">
        <v>18161</v>
      </c>
      <c r="C14420" s="5" t="str">
        <f>IFERROR(__xludf.DUMMYFUNCTION("GOOGLETRANSLATE(B14420,""en"",""es-ES"")"),"El anfitrión decora algunas pajitas y termina su bebida.")</f>
        <v>El anfitrión decora algunas pajitas y termina su bebida.</v>
      </c>
    </row>
    <row r="14421">
      <c r="A14421" s="4" t="s">
        <v>18162</v>
      </c>
      <c r="B14421" s="4" t="s">
        <v>18163</v>
      </c>
      <c r="C14421" s="5" t="str">
        <f>IFERROR(__xludf.DUMMYFUNCTION("GOOGLETRANSLATE(B14421,""en"",""es-ES"")"),"Se ve una gran piscina seguida por una persona que entra y cae de un tablero.")</f>
        <v>Se ve una gran piscina seguida por una persona que entra y cae de un tablero.</v>
      </c>
    </row>
    <row r="14422">
      <c r="A14422" s="4" t="s">
        <v>18162</v>
      </c>
      <c r="B14422" s="4" t="s">
        <v>18164</v>
      </c>
      <c r="C14422" s="5" t="str">
        <f>IFERROR(__xludf.DUMMYFUNCTION("GOOGLETRANSLATE(B14422,""en"",""es-ES"")"),"Se ve a otra persona caminando fuera de un tablero de buceo y saltando al agua.")</f>
        <v>Se ve a otra persona caminando fuera de un tablero de buceo y saltando al agua.</v>
      </c>
    </row>
    <row r="14423">
      <c r="A14423" s="4" t="s">
        <v>18162</v>
      </c>
      <c r="B14423" s="4" t="s">
        <v>18165</v>
      </c>
      <c r="C14423" s="5" t="str">
        <f>IFERROR(__xludf.DUMMYFUNCTION("GOOGLETRANSLATE(B14423,""en"",""es-ES"")"),"Se muestran varios clips más de personas que intentan bucear en el agua pero fallando.")</f>
        <v>Se muestran varios clips más de personas que intentan bucear en el agua pero fallando.</v>
      </c>
    </row>
    <row r="14424">
      <c r="A14424" s="4" t="s">
        <v>18166</v>
      </c>
      <c r="B14424" s="4" t="s">
        <v>18167</v>
      </c>
      <c r="C14424" s="5" t="str">
        <f>IFERROR(__xludf.DUMMYFUNCTION("GOOGLETRANSLATE(B14424,""en"",""es-ES"")"),"Una banda con escocesa escocesas toca gaita y otros instrumentos en el auditorio de la Universidad Front.")</f>
        <v>Una banda con escocesa escocesas toca gaita y otros instrumentos en el auditorio de la Universidad Front.</v>
      </c>
    </row>
    <row r="14425">
      <c r="A14425" s="4" t="s">
        <v>18166</v>
      </c>
      <c r="B14425" s="4" t="s">
        <v>18168</v>
      </c>
      <c r="C14425" s="5" t="str">
        <f>IFERROR(__xludf.DUMMYFUNCTION("GOOGLETRANSLATE(B14425,""en"",""es-ES"")"),"La multitud mira a su alrededor y anticipa el evento.")</f>
        <v>La multitud mira a su alrededor y anticipa el evento.</v>
      </c>
    </row>
    <row r="14426">
      <c r="A14426" s="4" t="s">
        <v>18166</v>
      </c>
      <c r="B14426" s="4" t="s">
        <v>18169</v>
      </c>
      <c r="C14426" s="5" t="str">
        <f>IFERROR(__xludf.DUMMYFUNCTION("GOOGLETRANSLATE(B14426,""en"",""es-ES"")"),"El letrero de la escuela se ve colgando sobre el podio.")</f>
        <v>El letrero de la escuela se ve colgando sobre el podio.</v>
      </c>
    </row>
    <row r="14427">
      <c r="A14427" s="4" t="s">
        <v>18170</v>
      </c>
      <c r="B14427" s="4" t="s">
        <v>18171</v>
      </c>
      <c r="C14427" s="5" t="str">
        <f>IFERROR(__xludf.DUMMYFUNCTION("GOOGLETRANSLATE(B14427,""en"",""es-ES"")"),"Un hombre con traje marrón está hablando.")</f>
        <v>Un hombre con traje marrón está hablando.</v>
      </c>
    </row>
    <row r="14428">
      <c r="A14428" s="4" t="s">
        <v>18170</v>
      </c>
      <c r="B14428" s="4" t="s">
        <v>18172</v>
      </c>
      <c r="C14428" s="5" t="str">
        <f>IFERROR(__xludf.DUMMYFUNCTION("GOOGLETRANSLATE(B14428,""en"",""es-ES"")"),"La gente corre en un campo jugando lacrosse.")</f>
        <v>La gente corre en un campo jugando lacrosse.</v>
      </c>
    </row>
    <row r="14429">
      <c r="A14429" s="4" t="s">
        <v>18173</v>
      </c>
      <c r="B14429" s="4" t="s">
        <v>18174</v>
      </c>
      <c r="C14429" s="5" t="str">
        <f>IFERROR(__xludf.DUMMYFUNCTION("GOOGLETRANSLATE(B14429,""en"",""es-ES"")"),"Una mujer entra en la pantalla arrodillada hacia abajo sosteniendo un palo.")</f>
        <v>Una mujer entra en la pantalla arrodillada hacia abajo sosteniendo un palo.</v>
      </c>
    </row>
    <row r="14430">
      <c r="A14430" s="4" t="s">
        <v>18173</v>
      </c>
      <c r="B14430" s="4" t="s">
        <v>18175</v>
      </c>
      <c r="C14430" s="5" t="str">
        <f>IFERROR(__xludf.DUMMYFUNCTION("GOOGLETRANSLATE(B14430,""en"",""es-ES"")"),"Ella comienza a estirarse más profundamente en la posición mientras sostiene el palo para el equilibrio.")</f>
        <v>Ella comienza a estirarse más profundamente en la posición mientras sostiene el palo para el equilibrio.</v>
      </c>
    </row>
    <row r="14431">
      <c r="A14431" s="4" t="s">
        <v>18173</v>
      </c>
      <c r="B14431" s="4" t="s">
        <v>18176</v>
      </c>
      <c r="C14431" s="5" t="str">
        <f>IFERROR(__xludf.DUMMYFUNCTION("GOOGLETRANSLATE(B14431,""en"",""es-ES"")"),"Ella se detiene justo antes de que termine el video.")</f>
        <v>Ella se detiene justo antes de que termine el video.</v>
      </c>
    </row>
    <row r="14432">
      <c r="A14432" s="4" t="s">
        <v>18177</v>
      </c>
      <c r="B14432" s="4" t="s">
        <v>18178</v>
      </c>
      <c r="C14432" s="5" t="str">
        <f>IFERROR(__xludf.DUMMYFUNCTION("GOOGLETRANSLATE(B14432,""en"",""es-ES"")"),"La gente cabalga en barcos de vela en el agua.")</f>
        <v>La gente cabalga en barcos de vela en el agua.</v>
      </c>
    </row>
    <row r="14433">
      <c r="A14433" s="4" t="s">
        <v>18177</v>
      </c>
      <c r="B14433" s="4" t="s">
        <v>18179</v>
      </c>
      <c r="C14433" s="5" t="str">
        <f>IFERROR(__xludf.DUMMYFUNCTION("GOOGLETRANSLATE(B14433,""en"",""es-ES"")"),"La gente está parada en un bar en un bote.")</f>
        <v>La gente está parada en un bar en un bote.</v>
      </c>
    </row>
    <row r="14434">
      <c r="A14434" s="4" t="s">
        <v>18177</v>
      </c>
      <c r="B14434" s="4" t="s">
        <v>18180</v>
      </c>
      <c r="C14434" s="5" t="str">
        <f>IFERROR(__xludf.DUMMYFUNCTION("GOOGLETRANSLATE(B14434,""en"",""es-ES"")"),"La gente saca la vela del bote.")</f>
        <v>La gente saca la vela del bote.</v>
      </c>
    </row>
    <row r="14435">
      <c r="A14435" s="4" t="s">
        <v>18181</v>
      </c>
      <c r="B14435" s="4" t="s">
        <v>18182</v>
      </c>
      <c r="C14435" s="5" t="str">
        <f>IFERROR(__xludf.DUMMYFUNCTION("GOOGLETRANSLATE(B14435,""en"",""es-ES"")"),"El hombre comienza a desgarrar la capa de alfombra.")</f>
        <v>El hombre comienza a desgarrar la capa de alfombra.</v>
      </c>
    </row>
    <row r="14436">
      <c r="A14436" s="4" t="s">
        <v>18181</v>
      </c>
      <c r="B14436" s="4" t="s">
        <v>18183</v>
      </c>
      <c r="C14436" s="5" t="str">
        <f>IFERROR(__xludf.DUMMYFUNCTION("GOOGLETRANSLATE(B14436,""en"",""es-ES"")"),"Mide los listones para poner entre la puerta de la puerta.")</f>
        <v>Mide los listones para poner entre la puerta de la puerta.</v>
      </c>
    </row>
    <row r="14437">
      <c r="A14437" s="4" t="s">
        <v>18181</v>
      </c>
      <c r="B14437" s="4" t="s">
        <v>18184</v>
      </c>
      <c r="C14437" s="5" t="str">
        <f>IFERROR(__xludf.DUMMYFUNCTION("GOOGLETRANSLATE(B14437,""en"",""es-ES"")"),"Luego coloca materiales debajo de la alfombra subyacente.")</f>
        <v>Luego coloca materiales debajo de la alfombra subyacente.</v>
      </c>
    </row>
    <row r="14438">
      <c r="A14438" s="4" t="s">
        <v>18181</v>
      </c>
      <c r="B14438" s="4" t="s">
        <v>18185</v>
      </c>
      <c r="C14438" s="5" t="str">
        <f>IFERROR(__xludf.DUMMYFUNCTION("GOOGLETRANSLATE(B14438,""en"",""es-ES"")"),"Él pone una lata de madera en la entrada de la puerta.")</f>
        <v>Él pone una lata de madera en la entrada de la puerta.</v>
      </c>
    </row>
    <row r="14439">
      <c r="A14439" s="4" t="s">
        <v>18181</v>
      </c>
      <c r="B14439" s="4" t="s">
        <v>18186</v>
      </c>
      <c r="C14439" s="5" t="str">
        <f>IFERROR(__xludf.DUMMYFUNCTION("GOOGLETRANSLATE(B14439,""en"",""es-ES"")"),"Él recoge el listón.")</f>
        <v>Él recoge el listón.</v>
      </c>
    </row>
    <row r="14440">
      <c r="A14440" s="4" t="s">
        <v>18181</v>
      </c>
      <c r="B14440" s="4" t="s">
        <v>18187</v>
      </c>
      <c r="C14440" s="5" t="str">
        <f>IFERROR(__xludf.DUMMYFUNCTION("GOOGLETRANSLATE(B14440,""en"",""es-ES"")"),"Él corta los listones.")</f>
        <v>Él corta los listones.</v>
      </c>
    </row>
    <row r="14441">
      <c r="A14441" s="4" t="s">
        <v>18181</v>
      </c>
      <c r="B14441" s="4" t="s">
        <v>18188</v>
      </c>
      <c r="C14441" s="5" t="str">
        <f>IFERROR(__xludf.DUMMYFUNCTION("GOOGLETRANSLATE(B14441,""en"",""es-ES"")"),"Él pone la listones nuevamente.")</f>
        <v>Él pone la listones nuevamente.</v>
      </c>
    </row>
    <row r="14442">
      <c r="A14442" s="4" t="s">
        <v>18181</v>
      </c>
      <c r="B14442" s="4" t="s">
        <v>18189</v>
      </c>
      <c r="C14442" s="5" t="str">
        <f>IFERROR(__xludf.DUMMYFUNCTION("GOOGLETRANSLATE(B14442,""en"",""es-ES"")"),"Lo perfora en su lugar.")</f>
        <v>Lo perfora en su lugar.</v>
      </c>
    </row>
    <row r="14443">
      <c r="A14443" s="4" t="s">
        <v>18181</v>
      </c>
      <c r="B14443" s="4" t="s">
        <v>18190</v>
      </c>
      <c r="C14443" s="5" t="str">
        <f>IFERROR(__xludf.DUMMYFUNCTION("GOOGLETRANSLATE(B14443,""en"",""es-ES"")"),"Luego pone las manos en la parte superior de la listones.")</f>
        <v>Luego pone las manos en la parte superior de la listones.</v>
      </c>
    </row>
    <row r="14444">
      <c r="A14444" s="4" t="s">
        <v>18191</v>
      </c>
      <c r="B14444" s="4" t="s">
        <v>18192</v>
      </c>
      <c r="C14444" s="5" t="str">
        <f>IFERROR(__xludf.DUMMYFUNCTION("GOOGLETRANSLATE(B14444,""en"",""es-ES"")"),"Una dama está alimentando un helado de bebé en un automóvil.")</f>
        <v>Una dama está alimentando un helado de bebé en un automóvil.</v>
      </c>
    </row>
    <row r="14445">
      <c r="A14445" s="4" t="s">
        <v>18191</v>
      </c>
      <c r="B14445" s="4" t="s">
        <v>18193</v>
      </c>
      <c r="C14445" s="5" t="str">
        <f>IFERROR(__xludf.DUMMYFUNCTION("GOOGLETRANSLATE(B14445,""en"",""es-ES"")"),"La señora le entrega el helado a la dama a su lado y alimenta al bebé algo más.")</f>
        <v>La señora le entrega el helado a la dama a su lado y alimenta al bebé algo más.</v>
      </c>
    </row>
    <row r="14446">
      <c r="A14446" s="4" t="s">
        <v>18191</v>
      </c>
      <c r="B14446" s="4" t="s">
        <v>18194</v>
      </c>
      <c r="C14446" s="5" t="str">
        <f>IFERROR(__xludf.DUMMYFUNCTION("GOOGLETRANSLATE(B14446,""en"",""es-ES"")"),"El bebé alcanza la comida.")</f>
        <v>El bebé alcanza la comida.</v>
      </c>
    </row>
    <row r="14447">
      <c r="A14447" s="4" t="s">
        <v>18191</v>
      </c>
      <c r="B14447" s="4" t="s">
        <v>18195</v>
      </c>
      <c r="C14447" s="5" t="str">
        <f>IFERROR(__xludf.DUMMYFUNCTION("GOOGLETRANSLATE(B14447,""en"",""es-ES"")"),"El bebé alcanza la comida nuevamente.")</f>
        <v>El bebé alcanza la comida nuevamente.</v>
      </c>
    </row>
    <row r="14448">
      <c r="A14448" s="4" t="s">
        <v>18191</v>
      </c>
      <c r="B14448" s="4" t="s">
        <v>18196</v>
      </c>
      <c r="C14448" s="5" t="str">
        <f>IFERROR(__xludf.DUMMYFUNCTION("GOOGLETRANSLATE(B14448,""en"",""es-ES"")"),"La señora limpia los bebés y la levanta.")</f>
        <v>La señora limpia los bebés y la levanta.</v>
      </c>
    </row>
    <row r="14449">
      <c r="A14449" s="4" t="s">
        <v>18191</v>
      </c>
      <c r="B14449" s="4" t="s">
        <v>18197</v>
      </c>
      <c r="C14449" s="5" t="str">
        <f>IFERROR(__xludf.DUMMYFUNCTION("GOOGLETRANSLATE(B14449,""en"",""es-ES"")"),"Vemos a las damas hablando.")</f>
        <v>Vemos a las damas hablando.</v>
      </c>
    </row>
    <row r="14450">
      <c r="A14450" s="4" t="s">
        <v>18198</v>
      </c>
      <c r="B14450" s="4" t="s">
        <v>18199</v>
      </c>
      <c r="C14450" s="5" t="str">
        <f>IFERROR(__xludf.DUMMYFUNCTION("GOOGLETRANSLATE(B14450,""en"",""es-ES"")"),"Hay una dama haciendo un tutorial sobre cómo hacer un pastel de ogura suave algodón.")</f>
        <v>Hay una dama haciendo un tutorial sobre cómo hacer un pastel de ogura suave algodón.</v>
      </c>
    </row>
    <row r="14451">
      <c r="A14451" s="4" t="s">
        <v>18198</v>
      </c>
      <c r="B14451" s="4" t="s">
        <v>18200</v>
      </c>
      <c r="C14451" s="5" t="str">
        <f>IFERROR(__xludf.DUMMYFUNCTION("GOOGLETRANSLATE(B14451,""en"",""es-ES"")"),"Ella comienza mezclando los ingredientes en un tazón grande colocado en el mostrador de su cocina.")</f>
        <v>Ella comienza mezclando los ingredientes en un tazón grande colocado en el mostrador de su cocina.</v>
      </c>
    </row>
    <row r="14452">
      <c r="A14452" s="4" t="s">
        <v>18198</v>
      </c>
      <c r="B14452" s="4" t="s">
        <v>18201</v>
      </c>
      <c r="C14452" s="5" t="str">
        <f>IFERROR(__xludf.DUMMYFUNCTION("GOOGLETRANSLATE(B14452,""en"",""es-ES"")"),"Agrega algunos huevos a la harina junto con la esencia de vainilla.")</f>
        <v>Agrega algunos huevos a la harina junto con la esencia de vainilla.</v>
      </c>
    </row>
    <row r="14453">
      <c r="A14453" s="4" t="s">
        <v>18198</v>
      </c>
      <c r="B14453" s="4" t="s">
        <v>18202</v>
      </c>
      <c r="C14453" s="5" t="str">
        <f>IFERROR(__xludf.DUMMYFUNCTION("GOOGLETRANSLATE(B14453,""en"",""es-ES"")"),"Luego usa una batidora de manos para mezclar los ingredientes.")</f>
        <v>Luego usa una batidora de manos para mezclar los ingredientes.</v>
      </c>
    </row>
    <row r="14454">
      <c r="A14454" s="4" t="s">
        <v>18198</v>
      </c>
      <c r="B14454" s="4" t="s">
        <v>18203</v>
      </c>
      <c r="C14454" s="5" t="str">
        <f>IFERROR(__xludf.DUMMYFUNCTION("GOOGLETRANSLATE(B14454,""en"",""es-ES"")"),"Luego levanta un poco de crema y azúcar para hacer glaseado.")</f>
        <v>Luego levanta un poco de crema y azúcar para hacer glaseado.</v>
      </c>
    </row>
    <row r="14455">
      <c r="A14455" s="4" t="s">
        <v>18198</v>
      </c>
      <c r="B14455" s="4" t="s">
        <v>18204</v>
      </c>
      <c r="C14455" s="5" t="str">
        <f>IFERROR(__xludf.DUMMYFUNCTION("GOOGLETRANSLATE(B14455,""en"",""es-ES"")"),"Ella agrega el glaseado a la masa de pastel y la mezcla bien.")</f>
        <v>Ella agrega el glaseado a la masa de pastel y la mezcla bien.</v>
      </c>
    </row>
    <row r="14456">
      <c r="A14456" s="4" t="s">
        <v>18198</v>
      </c>
      <c r="B14456" s="4" t="s">
        <v>18205</v>
      </c>
      <c r="C14456" s="5" t="str">
        <f>IFERROR(__xludf.DUMMYFUNCTION("GOOGLETRANSLATE(B14456,""en"",""es-ES"")"),"Luego vierte la mezcla en un tazón para hornear.")</f>
        <v>Luego vierte la mezcla en un tazón para hornear.</v>
      </c>
    </row>
    <row r="14457">
      <c r="A14457" s="4" t="s">
        <v>18198</v>
      </c>
      <c r="B14457" s="4" t="s">
        <v>18206</v>
      </c>
      <c r="C14457" s="5" t="str">
        <f>IFERROR(__xludf.DUMMYFUNCTION("GOOGLETRANSLATE(B14457,""en"",""es-ES"")"),"Ella coloca el tazón en una bandeja para galletas y lo coloca en la rejilla del horno.")</f>
        <v>Ella coloca el tazón en una bandeja para galletas y lo coloca en la rejilla del horno.</v>
      </c>
    </row>
    <row r="14458">
      <c r="A14458" s="4" t="s">
        <v>18198</v>
      </c>
      <c r="B14458" s="4" t="s">
        <v>18207</v>
      </c>
      <c r="C14458" s="5" t="str">
        <f>IFERROR(__xludf.DUMMYFUNCTION("GOOGLETRANSLATE(B14458,""en"",""es-ES"")"),"Ella hornea el pastel y lo saca cuando está listo.")</f>
        <v>Ella hornea el pastel y lo saca cuando está listo.</v>
      </c>
    </row>
    <row r="14459">
      <c r="A14459" s="4" t="s">
        <v>18198</v>
      </c>
      <c r="B14459" s="4" t="s">
        <v>18208</v>
      </c>
      <c r="C14459" s="5" t="str">
        <f>IFERROR(__xludf.DUMMYFUNCTION("GOOGLETRANSLATE(B14459,""en"",""es-ES"")"),"También muestra otras golosinas horneadas que ha preparado.")</f>
        <v>También muestra otras golosinas horneadas que ha preparado.</v>
      </c>
    </row>
    <row r="14460">
      <c r="A14460" s="4" t="s">
        <v>18209</v>
      </c>
      <c r="B14460" s="4" t="s">
        <v>18210</v>
      </c>
      <c r="C14460" s="5" t="str">
        <f>IFERROR(__xludf.DUMMYFUNCTION("GOOGLETRANSLATE(B14460,""en"",""es-ES"")"),"Se ve a una mujer organizando un segmento de noticias que conduce a un clip de un perro saltando.")</f>
        <v>Se ve a una mujer organizando un segmento de noticias que conduce a un clip de un perro saltando.</v>
      </c>
    </row>
    <row r="14461">
      <c r="A14461" s="4" t="s">
        <v>18209</v>
      </c>
      <c r="B14461" s="4" t="s">
        <v>18211</v>
      </c>
      <c r="C14461" s="5" t="str">
        <f>IFERROR(__xludf.DUMMYFUNCTION("GOOGLETRANSLATE(B14461,""en"",""es-ES"")"),"Se muestra a las personas haciendo trucos con sus perros y corriendo por un campo.")</f>
        <v>Se muestra a las personas haciendo trucos con sus perros y corriendo por un campo.</v>
      </c>
    </row>
    <row r="14462">
      <c r="A14462" s="4" t="s">
        <v>18209</v>
      </c>
      <c r="B14462" s="4" t="s">
        <v>18212</v>
      </c>
      <c r="C14462" s="5" t="str">
        <f>IFERROR(__xludf.DUMMYFUNCTION("GOOGLETRANSLATE(B14462,""en"",""es-ES"")"),"Se muestran más clips de personas que arrojan frisbees y perros después.")</f>
        <v>Se muestran más clips de personas que arrojan frisbees y perros después.</v>
      </c>
    </row>
    <row r="14463">
      <c r="A14463" s="4" t="s">
        <v>18213</v>
      </c>
      <c r="B14463" s="4" t="s">
        <v>18214</v>
      </c>
      <c r="C14463" s="5" t="str">
        <f>IFERROR(__xludf.DUMMYFUNCTION("GOOGLETRANSLATE(B14463,""en"",""es-ES"")"),"Varias personas están al aire libre, lavando la ropa en cuencas abiertas.")</f>
        <v>Varias personas están al aire libre, lavando la ropa en cuencas abiertas.</v>
      </c>
    </row>
    <row r="14464">
      <c r="A14464" s="4" t="s">
        <v>18213</v>
      </c>
      <c r="B14464" s="4" t="s">
        <v>18215</v>
      </c>
      <c r="C14464" s="5" t="str">
        <f>IFERROR(__xludf.DUMMYFUNCTION("GOOGLETRANSLATE(B14464,""en"",""es-ES"")"),"Las mujeres usan una bomba para traer agua a las cuencas.")</f>
        <v>Las mujeres usan una bomba para traer agua a las cuencas.</v>
      </c>
    </row>
    <row r="14465">
      <c r="A14465" s="4" t="s">
        <v>18216</v>
      </c>
      <c r="B14465" s="4" t="s">
        <v>18217</v>
      </c>
      <c r="C14465" s="5" t="str">
        <f>IFERROR(__xludf.DUMMYFUNCTION("GOOGLETRANSLATE(B14465,""en"",""es-ES"")"),"Se ve a una mujer hablando con la cámara mientras sostiene un hula hoop y luego procede a girar el objeto a su alrededor.")</f>
        <v>Se ve a una mujer hablando con la cámara mientras sostiene un hula hoop y luego procede a girar el objeto a su alrededor.</v>
      </c>
    </row>
    <row r="14466">
      <c r="A14466" s="4" t="s">
        <v>18216</v>
      </c>
      <c r="B14466" s="4" t="s">
        <v>18218</v>
      </c>
      <c r="C14466" s="5" t="str">
        <f>IFERROR(__xludf.DUMMYFUNCTION("GOOGLETRANSLATE(B14466,""en"",""es-ES"")"),"Ella continúa hula holgando una y otra vez y conduce a las fotos de personas que al final al final.")</f>
        <v>Ella continúa hula holgando una y otra vez y conduce a las fotos de personas que al final al final.</v>
      </c>
    </row>
    <row r="14467">
      <c r="A14467" s="4" t="s">
        <v>18219</v>
      </c>
      <c r="B14467" s="4" t="s">
        <v>18220</v>
      </c>
      <c r="C14467" s="5" t="str">
        <f>IFERROR(__xludf.DUMMYFUNCTION("GOOGLETRANSLATE(B14467,""en"",""es-ES"")"),"Un hombre levanta una pelota en el aire y la sostiene contra su cuello y lanza la pelota lejos.")</f>
        <v>Un hombre levanta una pelota en el aire y la sostiene contra su cuello y lanza la pelota lejos.</v>
      </c>
    </row>
    <row r="14468">
      <c r="A14468" s="4" t="s">
        <v>18219</v>
      </c>
      <c r="B14468" s="4" t="s">
        <v>18221</v>
      </c>
      <c r="C14468" s="5" t="str">
        <f>IFERROR(__xludf.DUMMYFUNCTION("GOOGLETRANSLATE(B14468,""en"",""es-ES"")"),"El hombre sostiene la pelota contra su cuello y se tuerce la espalda y la arroja.")</f>
        <v>El hombre sostiene la pelota contra su cuello y se tuerce la espalda y la arroja.</v>
      </c>
    </row>
    <row r="14469">
      <c r="A14469" s="4" t="s">
        <v>18219</v>
      </c>
      <c r="B14469" s="4" t="s">
        <v>18222</v>
      </c>
      <c r="C14469" s="5" t="str">
        <f>IFERROR(__xludf.DUMMYFUNCTION("GOOGLETRANSLATE(B14469,""en"",""es-ES"")"),"El hombre agarra la pelota y da un gran paso detrás de él y lanza la pelota.")</f>
        <v>El hombre agarra la pelota y da un gran paso detrás de él y lanza la pelota.</v>
      </c>
    </row>
    <row r="14470">
      <c r="A14470" s="4" t="s">
        <v>18219</v>
      </c>
      <c r="B14470" s="4" t="s">
        <v>18223</v>
      </c>
      <c r="C14470" s="5" t="str">
        <f>IFERROR(__xludf.DUMMYFUNCTION("GOOGLETRANSLATE(B14470,""en"",""es-ES"")"),"El hombre tuerce su cuerpo varias veces mientras sostiene la pelota contra su cuello.")</f>
        <v>El hombre tuerce su cuerpo varias veces mientras sostiene la pelota contra su cuello.</v>
      </c>
    </row>
    <row r="14471">
      <c r="A14471" s="4" t="s">
        <v>18219</v>
      </c>
      <c r="B14471" s="4" t="s">
        <v>18224</v>
      </c>
      <c r="C14471" s="5" t="str">
        <f>IFERROR(__xludf.DUMMYFUNCTION("GOOGLETRANSLATE(B14471,""en"",""es-ES"")"),"El hombre hace un movimiento de 90 grados mientras sostiene la pelota contra su cuello.")</f>
        <v>El hombre hace un movimiento de 90 grados mientras sostiene la pelota contra su cuello.</v>
      </c>
    </row>
    <row r="14472">
      <c r="A14472" s="4" t="s">
        <v>18219</v>
      </c>
      <c r="B14472" s="4" t="s">
        <v>18225</v>
      </c>
      <c r="C14472" s="5" t="str">
        <f>IFERROR(__xludf.DUMMYFUNCTION("GOOGLETRANSLATE(B14472,""en"",""es-ES"")"),"El hombre sostiene la pelota contra su cuello mientras hace una rotación completa de 180 grados con su cuerpo.")</f>
        <v>El hombre sostiene la pelota contra su cuello mientras hace una rotación completa de 180 grados con su cuerpo.</v>
      </c>
    </row>
    <row r="14473">
      <c r="A14473" s="4" t="s">
        <v>18219</v>
      </c>
      <c r="B14473" s="4" t="s">
        <v>18226</v>
      </c>
      <c r="C14473" s="5" t="str">
        <f>IFERROR(__xludf.DUMMYFUNCTION("GOOGLETRANSLATE(B14473,""en"",""es-ES"")"),"Finge sostener la pelota mientras gira su cuerpo en un movimiento de 270 grados.")</f>
        <v>Finge sostener la pelota mientras gira su cuerpo en un movimiento de 270 grados.</v>
      </c>
    </row>
    <row r="14474">
      <c r="A14474" s="4" t="s">
        <v>18227</v>
      </c>
      <c r="B14474" s="4" t="s">
        <v>18228</v>
      </c>
      <c r="C14474" s="5" t="str">
        <f>IFERROR(__xludf.DUMMYFUNCTION("GOOGLETRANSLATE(B14474,""en"",""es-ES"")"),"Se ve a un hombre hablando con la cámara y lo lleva a sostener varios objetos en una mesa.")</f>
        <v>Se ve a un hombre hablando con la cámara y lo lleva a sostener varios objetos en una mesa.</v>
      </c>
    </row>
    <row r="14475">
      <c r="A14475" s="4" t="s">
        <v>18227</v>
      </c>
      <c r="B14475" s="4" t="s">
        <v>18229</v>
      </c>
      <c r="C14475" s="5" t="str">
        <f>IFERROR(__xludf.DUMMYFUNCTION("GOOGLETRANSLATE(B14475,""en"",""es-ES"")"),"Luego, el hombre agudiza un objeto en un tablero y termina cepillando el tablero.")</f>
        <v>Luego, el hombre agudiza un objeto en un tablero y termina cepillando el tablero.</v>
      </c>
    </row>
    <row r="14476">
      <c r="A14476" s="4" t="s">
        <v>18230</v>
      </c>
      <c r="B14476" s="4" t="s">
        <v>18231</v>
      </c>
      <c r="C14476" s="5" t="str">
        <f>IFERROR(__xludf.DUMMYFUNCTION("GOOGLETRANSLATE(B14476,""en"",""es-ES"")"),"Un hombre está de pie tocando un saxofón.")</f>
        <v>Un hombre está de pie tocando un saxofón.</v>
      </c>
    </row>
    <row r="14477">
      <c r="A14477" s="4" t="s">
        <v>18230</v>
      </c>
      <c r="B14477" s="4" t="s">
        <v>18232</v>
      </c>
      <c r="C14477" s="5" t="str">
        <f>IFERROR(__xludf.DUMMYFUNCTION("GOOGLETRANSLATE(B14477,""en"",""es-ES"")"),"Una banda está tocando detrás de él.")</f>
        <v>Una banda está tocando detrás de él.</v>
      </c>
    </row>
    <row r="14478">
      <c r="A14478" s="4" t="s">
        <v>18230</v>
      </c>
      <c r="B14478" s="4" t="s">
        <v>18233</v>
      </c>
      <c r="C14478" s="5" t="str">
        <f>IFERROR(__xludf.DUMMYFUNCTION("GOOGLETRANSLATE(B14478,""en"",""es-ES"")"),"Las palabras azules y blancas entran en la pantalla.")</f>
        <v>Las palabras azules y blancas entran en la pantalla.</v>
      </c>
    </row>
    <row r="14479">
      <c r="A14479" s="4" t="s">
        <v>18234</v>
      </c>
      <c r="B14479" s="4" t="s">
        <v>18235</v>
      </c>
      <c r="C14479" s="5" t="str">
        <f>IFERROR(__xludf.DUMMYFUNCTION("GOOGLETRANSLATE(B14479,""en"",""es-ES"")"),"Vemos la pantalla de apertura en gris.")</f>
        <v>Vemos la pantalla de apertura en gris.</v>
      </c>
    </row>
    <row r="14480">
      <c r="A14480" s="4" t="s">
        <v>18234</v>
      </c>
      <c r="B14480" s="4" t="s">
        <v>18236</v>
      </c>
      <c r="C14480" s="5" t="str">
        <f>IFERROR(__xludf.DUMMYFUNCTION("GOOGLETRANSLATE(B14480,""en"",""es-ES"")"),"Luego vemos a un hombre en discos alisando un piso de concreto.")</f>
        <v>Luego vemos a un hombre en discos alisando un piso de concreto.</v>
      </c>
    </row>
    <row r="14481">
      <c r="A14481" s="4" t="s">
        <v>18234</v>
      </c>
      <c r="B14481" s="4" t="s">
        <v>18237</v>
      </c>
      <c r="C14481" s="5" t="str">
        <f>IFERROR(__xludf.DUMMYFUNCTION("GOOGLETRANSLATE(B14481,""en"",""es-ES"")"),"El hombre elimina el concreto de su llana.")</f>
        <v>El hombre elimina el concreto de su llana.</v>
      </c>
    </row>
    <row r="14482">
      <c r="A14482" s="4" t="s">
        <v>18234</v>
      </c>
      <c r="B14482" s="4" t="s">
        <v>18238</v>
      </c>
      <c r="C14482" s="5" t="str">
        <f>IFERROR(__xludf.DUMMYFUNCTION("GOOGLETRANSLATE(B14482,""en"",""es-ES"")"),"El hombre usa su mano para eliminar el concreto.")</f>
        <v>El hombre usa su mano para eliminar el concreto.</v>
      </c>
    </row>
    <row r="14483">
      <c r="A14483" s="4" t="s">
        <v>18234</v>
      </c>
      <c r="B14483" s="4" t="s">
        <v>1380</v>
      </c>
      <c r="C14483" s="5" t="str">
        <f>IFERROR(__xludf.DUMMYFUNCTION("GOOGLETRANSLATE(B14483,""en"",""es-ES"")"),"Luego vemos los créditos finales.")</f>
        <v>Luego vemos los créditos finales.</v>
      </c>
    </row>
    <row r="14484">
      <c r="A14484" s="4" t="s">
        <v>18239</v>
      </c>
      <c r="B14484" s="4" t="s">
        <v>18240</v>
      </c>
      <c r="C14484" s="5" t="str">
        <f>IFERROR(__xludf.DUMMYFUNCTION("GOOGLETRANSLATE(B14484,""en"",""es-ES"")"),"La mujer está sentada en el estudio dando las noticias.")</f>
        <v>La mujer está sentada en el estudio dando las noticias.</v>
      </c>
    </row>
    <row r="14485">
      <c r="A14485" s="4" t="s">
        <v>18239</v>
      </c>
      <c r="B14485" s="4" t="s">
        <v>18241</v>
      </c>
      <c r="C14485" s="5" t="str">
        <f>IFERROR(__xludf.DUMMYFUNCTION("GOOGLETRANSLATE(B14485,""en"",""es-ES"")"),"Una persona está en un patio que barre las hojas secas.")</f>
        <v>Una persona está en un patio que barre las hojas secas.</v>
      </c>
    </row>
    <row r="14486">
      <c r="A14486" s="4" t="s">
        <v>18239</v>
      </c>
      <c r="B14486" s="4" t="s">
        <v>18242</v>
      </c>
      <c r="C14486" s="5" t="str">
        <f>IFERROR(__xludf.DUMMYFUNCTION("GOOGLETRANSLATE(B14486,""en"",""es-ES"")"),"La anciana está siendo entrevistada y está hablando con la cámara en una sala de estar.")</f>
        <v>La anciana está siendo entrevistada y está hablando con la cámara en una sala de estar.</v>
      </c>
    </row>
    <row r="14487">
      <c r="A14487" s="4" t="s">
        <v>18239</v>
      </c>
      <c r="B14487" s="4" t="s">
        <v>18243</v>
      </c>
      <c r="C14487" s="5" t="str">
        <f>IFERROR(__xludf.DUMMYFUNCTION("GOOGLETRANSLATE(B14487,""en"",""es-ES"")"),"Una mujer y un hombre están siendo entrevistados y están hablando con la cámara mientras barren las hojas.")</f>
        <v>Una mujer y un hombre están siendo entrevistados y están hablando con la cámara mientras barren las hojas.</v>
      </c>
    </row>
    <row r="14488">
      <c r="A14488" s="4" t="s">
        <v>18239</v>
      </c>
      <c r="B14488" s="4" t="s">
        <v>18244</v>
      </c>
      <c r="C14488" s="5" t="str">
        <f>IFERROR(__xludf.DUMMYFUNCTION("GOOGLETRANSLATE(B14488,""en"",""es-ES"")"),"Old Woman está agani y de regreso en el estudio hablando con la cámara.")</f>
        <v>Old Woman está agani y de regreso en el estudio hablando con la cámara.</v>
      </c>
    </row>
    <row r="14489">
      <c r="A14489" s="4" t="s">
        <v>18245</v>
      </c>
      <c r="B14489" s="4" t="s">
        <v>18246</v>
      </c>
      <c r="C14489" s="5" t="str">
        <f>IFERROR(__xludf.DUMMYFUNCTION("GOOGLETRANSLATE(B14489,""en"",""es-ES"")"),"Un asistente de comida prepara un cono de helado de un dispensador de yogurt congelado.")</f>
        <v>Un asistente de comida prepara un cono de helado de un dispensador de yogurt congelado.</v>
      </c>
    </row>
    <row r="14490">
      <c r="A14490" s="4" t="s">
        <v>18245</v>
      </c>
      <c r="B14490" s="4" t="s">
        <v>18247</v>
      </c>
      <c r="C14490" s="5" t="str">
        <f>IFERROR(__xludf.DUMMYFUNCTION("GOOGLETRANSLATE(B14490,""en"",""es-ES"")"),"El hombre felizmente observa su helado preparado.")</f>
        <v>El hombre felizmente observa su helado preparado.</v>
      </c>
    </row>
    <row r="14491">
      <c r="A14491" s="4" t="s">
        <v>18245</v>
      </c>
      <c r="B14491" s="4" t="s">
        <v>18248</v>
      </c>
      <c r="C14491" s="5" t="str">
        <f>IFERROR(__xludf.DUMMYFUNCTION("GOOGLETRANSLATE(B14491,""en"",""es-ES"")"),"El hombre disfruta es el helado que lo come tan rápido como puede.")</f>
        <v>El hombre disfruta es el helado que lo come tan rápido como puede.</v>
      </c>
    </row>
    <row r="14492">
      <c r="A14492" s="4" t="s">
        <v>18245</v>
      </c>
      <c r="B14492" s="4" t="s">
        <v>18249</v>
      </c>
      <c r="C14492" s="5" t="str">
        <f>IFERROR(__xludf.DUMMYFUNCTION("GOOGLETRANSLATE(B14492,""en"",""es-ES"")"),"El hombre se frota la cabeza y se alivia.")</f>
        <v>El hombre se frota la cabeza y se alivia.</v>
      </c>
    </row>
    <row r="14493">
      <c r="A14493" s="4" t="s">
        <v>18250</v>
      </c>
      <c r="B14493" s="4" t="s">
        <v>18251</v>
      </c>
      <c r="C14493" s="5" t="str">
        <f>IFERROR(__xludf.DUMMYFUNCTION("GOOGLETRANSLATE(B14493,""en"",""es-ES"")"),"Un hombre está hablando dentro de un gimnasio.")</f>
        <v>Un hombre está hablando dentro de un gimnasio.</v>
      </c>
    </row>
    <row r="14494">
      <c r="A14494" s="4" t="s">
        <v>18250</v>
      </c>
      <c r="B14494" s="4" t="s">
        <v>18252</v>
      </c>
      <c r="C14494" s="5" t="str">
        <f>IFERROR(__xludf.DUMMYFUNCTION("GOOGLETRANSLATE(B14494,""en"",""es-ES"")"),"Se encuentra en el suelo para hacer sentadillas, hablando sobre la mecánica del acto.")</f>
        <v>Se encuentra en el suelo para hacer sentadillas, hablando sobre la mecánica del acto.</v>
      </c>
    </row>
    <row r="14495">
      <c r="A14495" s="4" t="s">
        <v>18250</v>
      </c>
      <c r="B14495" s="4" t="s">
        <v>18253</v>
      </c>
      <c r="C14495" s="5" t="str">
        <f>IFERROR(__xludf.DUMMYFUNCTION("GOOGLETRANSLATE(B14495,""en"",""es-ES"")"),"El hombre demuestra cómo hacer sentadillas una y otra vez.")</f>
        <v>El hombre demuestra cómo hacer sentadillas una y otra vez.</v>
      </c>
    </row>
    <row r="14496">
      <c r="A14496" s="4" t="s">
        <v>18254</v>
      </c>
      <c r="B14496" s="4" t="s">
        <v>18255</v>
      </c>
      <c r="C14496" s="5" t="str">
        <f>IFERROR(__xludf.DUMMYFUNCTION("GOOGLETRANSLATE(B14496,""en"",""es-ES"")"),"Se ve a una mujer con cabello largo sentado detrás de un piano y hablando con la cámara.")</f>
        <v>Se ve a una mujer con cabello largo sentado detrás de un piano y hablando con la cámara.</v>
      </c>
    </row>
    <row r="14497">
      <c r="A14497" s="4" t="s">
        <v>18254</v>
      </c>
      <c r="B14497" s="4" t="s">
        <v>18256</v>
      </c>
      <c r="C14497" s="5" t="str">
        <f>IFERROR(__xludf.DUMMYFUNCTION("GOOGLETRANSLATE(B14497,""en"",""es-ES"")"),"Ella coloca sus manos alrededor del piano y comienza a tocar una canción.")</f>
        <v>Ella coloca sus manos alrededor del piano y comienza a tocar una canción.</v>
      </c>
    </row>
    <row r="14498">
      <c r="A14498" s="4" t="s">
        <v>18254</v>
      </c>
      <c r="B14498" s="4" t="s">
        <v>18257</v>
      </c>
      <c r="C14498" s="5" t="str">
        <f>IFERROR(__xludf.DUMMYFUNCTION("GOOGLETRANSLATE(B14498,""en"",""es-ES"")"),"Ella continúa tocando el instrumento y hace una pausa para hablar un poco con la cámara.")</f>
        <v>Ella continúa tocando el instrumento y hace una pausa para hablar un poco con la cámara.</v>
      </c>
    </row>
    <row r="14499">
      <c r="A14499" s="4" t="s">
        <v>18254</v>
      </c>
      <c r="B14499" s="4" t="s">
        <v>18258</v>
      </c>
      <c r="C14499" s="5" t="str">
        <f>IFERROR(__xludf.DUMMYFUNCTION("GOOGLETRANSLATE(B14499,""en"",""es-ES"")"),"Ella juega un poco más y termina con ella hablando con la cámara.")</f>
        <v>Ella juega un poco más y termina con ella hablando con la cámara.</v>
      </c>
    </row>
    <row r="14500">
      <c r="A14500" s="4" t="s">
        <v>18259</v>
      </c>
      <c r="B14500" s="4" t="s">
        <v>18260</v>
      </c>
      <c r="C14500" s="5" t="str">
        <f>IFERROR(__xludf.DUMMYFUNCTION("GOOGLETRANSLATE(B14500,""en"",""es-ES"")"),"Se muestra un banco en un patio trasero frente a los arbustos.")</f>
        <v>Se muestra un banco en un patio trasero frente a los arbustos.</v>
      </c>
    </row>
    <row r="14501">
      <c r="A14501" s="4" t="s">
        <v>18259</v>
      </c>
      <c r="B14501" s="4" t="s">
        <v>18261</v>
      </c>
      <c r="C14501" s="5" t="str">
        <f>IFERROR(__xludf.DUMMYFUNCTION("GOOGLETRANSLATE(B14501,""en"",""es-ES"")"),"Un hombre está usando una escalera para recortar los setos.")</f>
        <v>Un hombre está usando una escalera para recortar los setos.</v>
      </c>
    </row>
    <row r="14502">
      <c r="A14502" s="4" t="s">
        <v>18259</v>
      </c>
      <c r="B14502" s="4" t="s">
        <v>18262</v>
      </c>
      <c r="C14502" s="5" t="str">
        <f>IFERROR(__xludf.DUMMYFUNCTION("GOOGLETRANSLATE(B14502,""en"",""es-ES"")"),"Se mueve el banco y camina con la escalera, continuando recortando setos.")</f>
        <v>Se mueve el banco y camina con la escalera, continuando recortando setos.</v>
      </c>
    </row>
    <row r="14503">
      <c r="A14503" s="4" t="s">
        <v>18263</v>
      </c>
      <c r="B14503" s="4" t="s">
        <v>18264</v>
      </c>
      <c r="C14503" s="5" t="str">
        <f>IFERROR(__xludf.DUMMYFUNCTION("GOOGLETRANSLATE(B14503,""en"",""es-ES"")"),"Se ve a un hombre saltar sobre bares y lanzar un objeto en diferentes lugares.")</f>
        <v>Se ve a un hombre saltar sobre bares y lanzar un objeto en diferentes lugares.</v>
      </c>
    </row>
    <row r="14504">
      <c r="A14504" s="4" t="s">
        <v>18263</v>
      </c>
      <c r="B14504" s="4" t="s">
        <v>18265</v>
      </c>
      <c r="C14504" s="5" t="str">
        <f>IFERROR(__xludf.DUMMYFUNCTION("GOOGLETRANSLATE(B14504,""en"",""es-ES"")"),"Luego se ve a los hombres levantando pesas, así como arrojar el objeto más y alejarse de la cámara.")</f>
        <v>Luego se ve a los hombres levantando pesas, así como arrojar el objeto más y alejarse de la cámara.</v>
      </c>
    </row>
    <row r="14505">
      <c r="A14505" s="4" t="s">
        <v>18263</v>
      </c>
      <c r="B14505" s="4" t="s">
        <v>18266</v>
      </c>
      <c r="C14505" s="5" t="str">
        <f>IFERROR(__xludf.DUMMYFUNCTION("GOOGLETRANSLATE(B14505,""en"",""es-ES"")"),"Continúa practicando arrojando el objeto y la cámara siguiendo sus movimientos.")</f>
        <v>Continúa practicando arrojando el objeto y la cámara siguiendo sus movimientos.</v>
      </c>
    </row>
    <row r="14506">
      <c r="A14506" s="4" t="s">
        <v>18267</v>
      </c>
      <c r="B14506" s="4" t="s">
        <v>18268</v>
      </c>
      <c r="C14506" s="5" t="str">
        <f>IFERROR(__xludf.DUMMYFUNCTION("GOOGLETRANSLATE(B14506,""en"",""es-ES"")"),"Una niña camina hasta un tobogán, se sienta y luego baja por el tobogán.")</f>
        <v>Una niña camina hasta un tobogán, se sienta y luego baja por el tobogán.</v>
      </c>
    </row>
    <row r="14507">
      <c r="A14507" s="4" t="s">
        <v>18267</v>
      </c>
      <c r="B14507" s="4" t="s">
        <v>18269</v>
      </c>
      <c r="C14507" s="5" t="str">
        <f>IFERROR(__xludf.DUMMYFUNCTION("GOOGLETRANSLATE(B14507,""en"",""es-ES"")"),"Ella regresa para hacerlo de nuevo.")</f>
        <v>Ella regresa para hacerlo de nuevo.</v>
      </c>
    </row>
    <row r="14508">
      <c r="A14508" s="4" t="s">
        <v>18270</v>
      </c>
      <c r="B14508" s="4" t="s">
        <v>18271</v>
      </c>
      <c r="C14508" s="5" t="str">
        <f>IFERROR(__xludf.DUMMYFUNCTION("GOOGLETRANSLATE(B14508,""en"",""es-ES"")"),"Un pequeño caballo está afuera en un campo sostenido por una cuerda que está unida a un cinturón envuelto alrededor del cuello del caballo.")</f>
        <v>Un pequeño caballo está afuera en un campo sostenido por una cuerda que está unida a un cinturón envuelto alrededor del cuello del caballo.</v>
      </c>
    </row>
    <row r="14509">
      <c r="A14509" s="4" t="s">
        <v>18270</v>
      </c>
      <c r="B14509" s="4" t="s">
        <v>18272</v>
      </c>
      <c r="C14509" s="5" t="str">
        <f>IFERROR(__xludf.DUMMYFUNCTION("GOOGLETRANSLATE(B14509,""en"",""es-ES"")"),"La persona con la cuerda en la mano tiene un elemento de antorcha en su mano derecha, pero parece tener aire y comienza a moverla de un lado a otro a través de la cara y la boca de los caballos.")</f>
        <v>La persona con la cuerda en la mano tiene un elemento de antorcha en su mano derecha, pero parece tener aire y comienza a moverla de un lado a otro a través de la cara y la boca de los caballos.</v>
      </c>
    </row>
    <row r="14510">
      <c r="A14510" s="4" t="s">
        <v>18270</v>
      </c>
      <c r="B14510" s="4" t="s">
        <v>18273</v>
      </c>
      <c r="C14510" s="5" t="str">
        <f>IFERROR(__xludf.DUMMYFUNCTION("GOOGLETRANSLATE(B14510,""en"",""es-ES"")"),"Sin embargo, el caballo no parece complacer y comienza a mover el labio tratando de evitar el tratamiento.")</f>
        <v>Sin embargo, el caballo no parece complacer y comienza a mover el labio tratando de evitar el tratamiento.</v>
      </c>
    </row>
    <row r="14511">
      <c r="A14511" s="4" t="s">
        <v>18274</v>
      </c>
      <c r="B14511" s="4" t="s">
        <v>18275</v>
      </c>
      <c r="C14511" s="5" t="str">
        <f>IFERROR(__xludf.DUMMYFUNCTION("GOOGLETRANSLATE(B14511,""en"",""es-ES"")"),"Un niño demuestra cómo montar una patineta en la calle a través del ejemplo.")</f>
        <v>Un niño demuestra cómo montar una patineta en la calle a través del ejemplo.</v>
      </c>
    </row>
    <row r="14512">
      <c r="A14512" s="4" t="s">
        <v>18274</v>
      </c>
      <c r="B14512" s="4" t="s">
        <v>18276</v>
      </c>
      <c r="C14512" s="5" t="str">
        <f>IFERROR(__xludf.DUMMYFUNCTION("GOOGLETRANSLATE(B14512,""en"",""es-ES"")"),"Un niño se para, al aire libre, sosteniendo una patineta en sus brazos y luego baja el tablero y comienza a pisarlo.")</f>
        <v>Un niño se para, al aire libre, sosteniendo una patineta en sus brazos y luego baja el tablero y comienza a pisarlo.</v>
      </c>
    </row>
    <row r="14513">
      <c r="A14513" s="4" t="s">
        <v>18274</v>
      </c>
      <c r="B14513" s="4" t="s">
        <v>18277</v>
      </c>
      <c r="C14513" s="5" t="str">
        <f>IFERROR(__xludf.DUMMYFUNCTION("GOOGLETRANSLATE(B14513,""en"",""es-ES"")"),"El niño luego se encuentra en el tablero balanceándose de un lado a otro.")</f>
        <v>El niño luego se encuentra en el tablero balanceándose de un lado a otro.</v>
      </c>
    </row>
    <row r="14514">
      <c r="A14514" s="4" t="s">
        <v>18274</v>
      </c>
      <c r="B14514" s="4" t="s">
        <v>18278</v>
      </c>
      <c r="C14514" s="5" t="str">
        <f>IFERROR(__xludf.DUMMYFUNCTION("GOOGLETRANSLATE(B14514,""en"",""es-ES"")"),"Luego, el niño exhibe giros de la parte superior del cuerpo mientras está de pie en la patineta y finalmente empuja y se mueve hacia la calle en la patineta.")</f>
        <v>Luego, el niño exhibe giros de la parte superior del cuerpo mientras está de pie en la patineta y finalmente empuja y se mueve hacia la calle en la patineta.</v>
      </c>
    </row>
    <row r="14515">
      <c r="A14515" s="4" t="s">
        <v>18274</v>
      </c>
      <c r="B14515" s="4" t="s">
        <v>18279</v>
      </c>
      <c r="C14515" s="5" t="str">
        <f>IFERROR(__xludf.DUMMYFUNCTION("GOOGLETRANSLATE(B14515,""en"",""es-ES"")"),"El niño luego regresa a la acera y pone un pie en el tablero y el otro en el suelo mientras se queda quieto.")</f>
        <v>El niño luego regresa a la acera y pone un pie en el tablero y el otro en el suelo mientras se queda quieto.</v>
      </c>
    </row>
    <row r="14516">
      <c r="A14516" s="4" t="s">
        <v>18280</v>
      </c>
      <c r="B14516" s="4" t="s">
        <v>18281</v>
      </c>
      <c r="C14516" s="5" t="str">
        <f>IFERROR(__xludf.DUMMYFUNCTION("GOOGLETRANSLATE(B14516,""en"",""es-ES"")"),"Vemos un guante de goma en el piso.")</f>
        <v>Vemos un guante de goma en el piso.</v>
      </c>
    </row>
    <row r="14517">
      <c r="A14517" s="4" t="s">
        <v>18280</v>
      </c>
      <c r="B14517" s="4" t="s">
        <v>18282</v>
      </c>
      <c r="C14517" s="5" t="str">
        <f>IFERROR(__xludf.DUMMYFUNCTION("GOOGLETRANSLATE(B14517,""en"",""es-ES"")"),"Una persona corta el guante por la mitad y pone un agujero al final.")</f>
        <v>Una persona corta el guante por la mitad y pone un agujero al final.</v>
      </c>
    </row>
    <row r="14518">
      <c r="A14518" s="4" t="s">
        <v>18280</v>
      </c>
      <c r="B14518" s="4" t="s">
        <v>18283</v>
      </c>
      <c r="C14518" s="5" t="str">
        <f>IFERROR(__xludf.DUMMYFUNCTION("GOOGLETRANSLATE(B14518,""en"",""es-ES"")"),"La persona pone el guante en un perro con su garra que se asomaba por el agujero.")</f>
        <v>La persona pone el guante en un perro con su garra que se asomaba por el agujero.</v>
      </c>
    </row>
    <row r="14519">
      <c r="A14519" s="4" t="s">
        <v>18280</v>
      </c>
      <c r="B14519" s="4" t="s">
        <v>18284</v>
      </c>
      <c r="C14519" s="5" t="str">
        <f>IFERROR(__xludf.DUMMYFUNCTION("GOOGLETRANSLATE(B14519,""en"",""es-ES"")"),"Una persona muestra una herramienta de recorte.")</f>
        <v>Una persona muestra una herramienta de recorte.</v>
      </c>
    </row>
    <row r="14520">
      <c r="A14520" s="4" t="s">
        <v>18280</v>
      </c>
      <c r="B14520" s="4" t="s">
        <v>18285</v>
      </c>
      <c r="C14520" s="5" t="str">
        <f>IFERROR(__xludf.DUMMYFUNCTION("GOOGLETRANSLATE(B14520,""en"",""es-ES"")"),"La persona luego arena a los perros con una lijadora eléctrica.")</f>
        <v>La persona luego arena a los perros con una lijadora eléctrica.</v>
      </c>
    </row>
    <row r="14521">
      <c r="A14521" s="4" t="s">
        <v>18286</v>
      </c>
      <c r="B14521" s="4" t="s">
        <v>18287</v>
      </c>
      <c r="C14521" s="5" t="str">
        <f>IFERROR(__xludf.DUMMYFUNCTION("GOOGLETRANSLATE(B14521,""en"",""es-ES"")"),"Dos jóvenes están en un fregadero.")</f>
        <v>Dos jóvenes están en un fregadero.</v>
      </c>
    </row>
    <row r="14522">
      <c r="A14522" s="4" t="s">
        <v>18286</v>
      </c>
      <c r="B14522" s="4" t="s">
        <v>18288</v>
      </c>
      <c r="C14522" s="5" t="str">
        <f>IFERROR(__xludf.DUMMYFUNCTION("GOOGLETRANSLATE(B14522,""en"",""es-ES"")"),"Uno de los chicos no tiene manos.")</f>
        <v>Uno de los chicos no tiene manos.</v>
      </c>
    </row>
    <row r="14523">
      <c r="A14523" s="4" t="s">
        <v>18286</v>
      </c>
      <c r="B14523" s="4" t="s">
        <v>18289</v>
      </c>
      <c r="C14523" s="5" t="str">
        <f>IFERROR(__xludf.DUMMYFUNCTION("GOOGLETRANSLATE(B14523,""en"",""es-ES"")"),"Él está lavando los platos.")</f>
        <v>Él está lavando los platos.</v>
      </c>
    </row>
    <row r="14524">
      <c r="A14524" s="4" t="s">
        <v>18286</v>
      </c>
      <c r="B14524" s="4" t="s">
        <v>18290</v>
      </c>
      <c r="C14524" s="5" t="str">
        <f>IFERROR(__xludf.DUMMYFUNCTION("GOOGLETRANSLATE(B14524,""en"",""es-ES"")"),"El otro chico lo ayuda a limpiar.")</f>
        <v>El otro chico lo ayuda a limpiar.</v>
      </c>
    </row>
    <row r="14525">
      <c r="A14525" s="4" t="s">
        <v>18291</v>
      </c>
      <c r="B14525" s="4" t="s">
        <v>18292</v>
      </c>
      <c r="C14525" s="5" t="str">
        <f>IFERROR(__xludf.DUMMYFUNCTION("GOOGLETRANSLATE(B14525,""en"",""es-ES"")"),"Las animadoras se paran en un gimnasio en el grupo.")</f>
        <v>Las animadoras se paran en un gimnasio en el grupo.</v>
      </c>
    </row>
    <row r="14526">
      <c r="A14526" s="4" t="s">
        <v>18291</v>
      </c>
      <c r="B14526" s="4" t="s">
        <v>18293</v>
      </c>
      <c r="C14526" s="5" t="str">
        <f>IFERROR(__xludf.DUMMYFUNCTION("GOOGLETRANSLATE(B14526,""en"",""es-ES"")"),"Las chicas luego realizan una rutina.")</f>
        <v>Las chicas luego realizan una rutina.</v>
      </c>
    </row>
    <row r="14527">
      <c r="A14527" s="4" t="s">
        <v>18291</v>
      </c>
      <c r="B14527" s="4" t="s">
        <v>18294</v>
      </c>
      <c r="C14527" s="5" t="str">
        <f>IFERROR(__xludf.DUMMYFUNCTION("GOOGLETRANSLATE(B14527,""en"",""es-ES"")"),"Las chicas entran en tres grupos y los dos en los lados se arrodillan mientras el grupo medio se pone en cuclillas.")</f>
        <v>Las chicas entran en tres grupos y los dos en los lados se arrodillan mientras el grupo medio se pone en cuclillas.</v>
      </c>
    </row>
    <row r="14528">
      <c r="A14528" s="4" t="s">
        <v>18291</v>
      </c>
      <c r="B14528" s="4" t="s">
        <v>18295</v>
      </c>
      <c r="C14528" s="5" t="str">
        <f>IFERROR(__xludf.DUMMYFUNCTION("GOOGLETRANSLATE(B14528,""en"",""es-ES"")"),"Se arrodillan y arrojan sus manos al aire al final.")</f>
        <v>Se arrodillan y arrojan sus manos al aire al final.</v>
      </c>
    </row>
    <row r="14529">
      <c r="A14529" s="4" t="s">
        <v>18296</v>
      </c>
      <c r="B14529" s="4" t="s">
        <v>18297</v>
      </c>
      <c r="C14529" s="5" t="str">
        <f>IFERROR(__xludf.DUMMYFUNCTION("GOOGLETRANSLATE(B14529,""en"",""es-ES"")"),"Una mujer con una camisa negra está sentada en un banco.")</f>
        <v>Una mujer con una camisa negra está sentada en un banco.</v>
      </c>
    </row>
    <row r="14530">
      <c r="A14530" s="4" t="s">
        <v>18296</v>
      </c>
      <c r="B14530" s="4" t="s">
        <v>18298</v>
      </c>
      <c r="C14530" s="5" t="str">
        <f>IFERROR(__xludf.DUMMYFUNCTION("GOOGLETRANSLATE(B14530,""en"",""es-ES"")"),"Un hombre se sienta detrás de un escritorio.")</f>
        <v>Un hombre se sienta detrás de un escritorio.</v>
      </c>
    </row>
    <row r="14531">
      <c r="A14531" s="4" t="s">
        <v>18296</v>
      </c>
      <c r="B14531" s="4" t="s">
        <v>18299</v>
      </c>
      <c r="C14531" s="5" t="str">
        <f>IFERROR(__xludf.DUMMYFUNCTION("GOOGLETRANSLATE(B14531,""en"",""es-ES"")"),"Dos personas están sentadas en una silla de bolsas de frijoles.")</f>
        <v>Dos personas están sentadas en una silla de bolsas de frijoles.</v>
      </c>
    </row>
    <row r="14532">
      <c r="A14532" s="4" t="s">
        <v>18296</v>
      </c>
      <c r="B14532" s="4" t="s">
        <v>18300</v>
      </c>
      <c r="C14532" s="5" t="str">
        <f>IFERROR(__xludf.DUMMYFUNCTION("GOOGLETRANSLATE(B14532,""en"",""es-ES"")"),"Un hombre está bebiendo de una taza.")</f>
        <v>Un hombre está bebiendo de una taza.</v>
      </c>
    </row>
    <row r="14533">
      <c r="A14533" s="4" t="s">
        <v>18301</v>
      </c>
      <c r="B14533" s="4" t="s">
        <v>18302</v>
      </c>
      <c r="C14533" s="5" t="str">
        <f>IFERROR(__xludf.DUMMYFUNCTION("GOOGLETRANSLATE(B14533,""en"",""es-ES"")"),"Una mujer con una camisa rosa está hablando.")</f>
        <v>Una mujer con una camisa rosa está hablando.</v>
      </c>
    </row>
    <row r="14534">
      <c r="A14534" s="4" t="s">
        <v>18301</v>
      </c>
      <c r="B14534" s="4" t="s">
        <v>18303</v>
      </c>
      <c r="C14534" s="5" t="str">
        <f>IFERROR(__xludf.DUMMYFUNCTION("GOOGLETRANSLATE(B14534,""en"",""es-ES"")"),"Ella toma una caja transparente y la abre.")</f>
        <v>Ella toma una caja transparente y la abre.</v>
      </c>
    </row>
    <row r="14535">
      <c r="A14535" s="4" t="s">
        <v>18301</v>
      </c>
      <c r="B14535" s="4" t="s">
        <v>18304</v>
      </c>
      <c r="C14535" s="5" t="str">
        <f>IFERROR(__xludf.DUMMYFUNCTION("GOOGLETRANSLATE(B14535,""en"",""es-ES"")"),"Ella cierra la caja y la guarda.")</f>
        <v>Ella cierra la caja y la guarda.</v>
      </c>
    </row>
    <row r="14536">
      <c r="A14536" s="4" t="s">
        <v>18301</v>
      </c>
      <c r="B14536" s="4" t="s">
        <v>18305</v>
      </c>
      <c r="C14536" s="5" t="str">
        <f>IFERROR(__xludf.DUMMYFUNCTION("GOOGLETRANSLATE(B14536,""en"",""es-ES"")"),"Ella recoge un animal de peluche grande.")</f>
        <v>Ella recoge un animal de peluche grande.</v>
      </c>
    </row>
    <row r="14537">
      <c r="A14537" s="4" t="s">
        <v>18301</v>
      </c>
      <c r="B14537" s="4" t="s">
        <v>18306</v>
      </c>
      <c r="C14537" s="5" t="str">
        <f>IFERROR(__xludf.DUMMYFUNCTION("GOOGLETRANSLATE(B14537,""en"",""es-ES"")"),"Luego recoge una pequeña bolsa roja.")</f>
        <v>Luego recoge una pequeña bolsa roja.</v>
      </c>
    </row>
    <row r="14538">
      <c r="A14538" s="4" t="s">
        <v>18301</v>
      </c>
      <c r="B14538" s="4" t="s">
        <v>18307</v>
      </c>
      <c r="C14538" s="5" t="str">
        <f>IFERROR(__xludf.DUMMYFUNCTION("GOOGLETRANSLATE(B14538,""en"",""es-ES"")"),"Ella recoge algunas telas y cintas diferentes.")</f>
        <v>Ella recoge algunas telas y cintas diferentes.</v>
      </c>
    </row>
    <row r="14539">
      <c r="A14539" s="4" t="s">
        <v>18308</v>
      </c>
      <c r="B14539" s="4" t="s">
        <v>18309</v>
      </c>
      <c r="C14539" s="5" t="str">
        <f>IFERROR(__xludf.DUMMYFUNCTION("GOOGLETRANSLATE(B14539,""en"",""es-ES"")"),"Las piezas de vacío se muestran en el piso.")</f>
        <v>Las piezas de vacío se muestran en el piso.</v>
      </c>
    </row>
    <row r="14540">
      <c r="A14540" s="4" t="s">
        <v>18308</v>
      </c>
      <c r="B14540" s="4" t="s">
        <v>18310</v>
      </c>
      <c r="C14540" s="5" t="str">
        <f>IFERROR(__xludf.DUMMYFUNCTION("GOOGLETRANSLATE(B14540,""en"",""es-ES"")"),"Una persona aspira la alfombra.")</f>
        <v>Una persona aspira la alfombra.</v>
      </c>
    </row>
    <row r="14541">
      <c r="A14541" s="4" t="s">
        <v>18308</v>
      </c>
      <c r="B14541" s="4" t="s">
        <v>18311</v>
      </c>
      <c r="C14541" s="5" t="str">
        <f>IFERROR(__xludf.DUMMYFUNCTION("GOOGLETRANSLATE(B14541,""en"",""es-ES"")"),"Una persona moja y aspira la alfombra.")</f>
        <v>Una persona moja y aspira la alfombra.</v>
      </c>
    </row>
    <row r="14542">
      <c r="A14542" s="4" t="s">
        <v>18308</v>
      </c>
      <c r="B14542" s="4" t="s">
        <v>18312</v>
      </c>
      <c r="C14542" s="5" t="str">
        <f>IFERROR(__xludf.DUMMYFUNCTION("GOOGLETRANSLATE(B14542,""en"",""es-ES"")"),"Una persona aspira o empapa el café de la alfombra.")</f>
        <v>Una persona aspira o empapa el café de la alfombra.</v>
      </c>
    </row>
    <row r="14543">
      <c r="A14543" s="4" t="s">
        <v>18308</v>
      </c>
      <c r="B14543" s="4" t="s">
        <v>18313</v>
      </c>
      <c r="C14543" s="5" t="str">
        <f>IFERROR(__xludf.DUMMYFUNCTION("GOOGLETRANSLATE(B14543,""en"",""es-ES"")"),"Una persona fraza y seca un piso de mosaico con un vacío.")</f>
        <v>Una persona fraza y seca un piso de mosaico con un vacío.</v>
      </c>
    </row>
    <row r="14544">
      <c r="A14544" s="4" t="s">
        <v>18308</v>
      </c>
      <c r="B14544" s="4" t="s">
        <v>18314</v>
      </c>
      <c r="C14544" s="5" t="str">
        <f>IFERROR(__xludf.DUMMYFUNCTION("GOOGLETRANSLATE(B14544,""en"",""es-ES"")"),"Una persona vacía el contenido del vacío en un fregadero blanco.")</f>
        <v>Una persona vacía el contenido del vacío en un fregadero blanco.</v>
      </c>
    </row>
    <row r="14545">
      <c r="A14545" s="4" t="s">
        <v>18308</v>
      </c>
      <c r="B14545" s="4" t="s">
        <v>18315</v>
      </c>
      <c r="C14545" s="5" t="str">
        <f>IFERROR(__xludf.DUMMYFUNCTION("GOOGLETRANSLATE(B14545,""en"",""es-ES"")"),"Formas en que se puede usar un vacío se muestran en pantallas divididas.")</f>
        <v>Formas en que se puede usar un vacío se muestran en pantallas divididas.</v>
      </c>
    </row>
    <row r="14546">
      <c r="A14546" s="4" t="s">
        <v>18316</v>
      </c>
      <c r="B14546" s="4" t="s">
        <v>18317</v>
      </c>
      <c r="C14546" s="5" t="str">
        <f>IFERROR(__xludf.DUMMYFUNCTION("GOOGLETRANSLATE(B14546,""en"",""es-ES"")"),"Se ve una gran ola moviéndose sobre el agua seguida de varias personas que transportan tablas de surf y surfean a lo largo del agua.")</f>
        <v>Se ve una gran ola moviéndose sobre el agua seguida de varias personas que transportan tablas de surf y surfean a lo largo del agua.</v>
      </c>
    </row>
    <row r="14547">
      <c r="A14547" s="4" t="s">
        <v>18316</v>
      </c>
      <c r="B14547" s="4" t="s">
        <v>18318</v>
      </c>
      <c r="C14547" s="5" t="str">
        <f>IFERROR(__xludf.DUMMYFUNCTION("GOOGLETRANSLATE(B14547,""en"",""es-ES"")"),"La gente continúa montando por el agua en tablas de surf y caminando por la playa.")</f>
        <v>La gente continúa montando por el agua en tablas de surf y caminando por la playa.</v>
      </c>
    </row>
    <row r="14548">
      <c r="A14548" s="4" t="s">
        <v>18319</v>
      </c>
      <c r="B14548" s="4" t="s">
        <v>18320</v>
      </c>
      <c r="C14548" s="5" t="str">
        <f>IFERROR(__xludf.DUMMYFUNCTION("GOOGLETRANSLATE(B14548,""en"",""es-ES"")"),"Un robot está sentado detrás de un piano en una habitación.")</f>
        <v>Un robot está sentado detrás de un piano en una habitación.</v>
      </c>
    </row>
    <row r="14549">
      <c r="A14549" s="4" t="s">
        <v>18319</v>
      </c>
      <c r="B14549" s="4" t="s">
        <v>18321</v>
      </c>
      <c r="C14549" s="5" t="str">
        <f>IFERROR(__xludf.DUMMYFUNCTION("GOOGLETRANSLATE(B14549,""en"",""es-ES"")"),"Sus manos están iluminando las teclas de piano.")</f>
        <v>Sus manos están iluminando las teclas de piano.</v>
      </c>
    </row>
    <row r="14550">
      <c r="A14550" s="4" t="s">
        <v>18322</v>
      </c>
      <c r="B14550" s="4" t="s">
        <v>18323</v>
      </c>
      <c r="C14550" s="5" t="str">
        <f>IFERROR(__xludf.DUMMYFUNCTION("GOOGLETRANSLATE(B14550,""en"",""es-ES"")"),"Se ve a una persona cabalgando por una larga calle en una patineta mientras la cámara sigue desde atrás.")</f>
        <v>Se ve a una persona cabalgando por una larga calle en una patineta mientras la cámara sigue desde atrás.</v>
      </c>
    </row>
    <row r="14551">
      <c r="A14551" s="4" t="s">
        <v>18322</v>
      </c>
      <c r="B14551" s="4" t="s">
        <v>18324</v>
      </c>
      <c r="C14551" s="5" t="str">
        <f>IFERROR(__xludf.DUMMYFUNCTION("GOOGLETRANSLATE(B14551,""en"",""es-ES"")"),"La persona continúa bajando por la colina con la cámara capturando paisajes y autos, así como colocando su mano en el huésped frente a él.")</f>
        <v>La persona continúa bajando por la colina con la cámara capturando paisajes y autos, así como colocando su mano en el huésped frente a él.</v>
      </c>
    </row>
    <row r="14552">
      <c r="A14552" s="4" t="s">
        <v>18322</v>
      </c>
      <c r="B14552" s="4" t="s">
        <v>18325</v>
      </c>
      <c r="C14552" s="5" t="str">
        <f>IFERROR(__xludf.DUMMYFUNCTION("GOOGLETRANSLATE(B14552,""en"",""es-ES"")"),"Al final, pasa por el huésped y hace una parada por el auto.")</f>
        <v>Al final, pasa por el huésped y hace una parada por el auto.</v>
      </c>
    </row>
    <row r="14553">
      <c r="A14553" s="4" t="s">
        <v>18326</v>
      </c>
      <c r="B14553" s="4" t="s">
        <v>18327</v>
      </c>
      <c r="C14553" s="5" t="str">
        <f>IFERROR(__xludf.DUMMYFUNCTION("GOOGLETRANSLATE(B14553,""en"",""es-ES"")"),"Un hombre está acostado sobre su espalda en un piso de baldosas.")</f>
        <v>Un hombre está acostado sobre su espalda en un piso de baldosas.</v>
      </c>
    </row>
    <row r="14554">
      <c r="A14554" s="4" t="s">
        <v>18326</v>
      </c>
      <c r="B14554" s="4" t="s">
        <v>18328</v>
      </c>
      <c r="C14554" s="5" t="str">
        <f>IFERROR(__xludf.DUMMYFUNCTION("GOOGLETRANSLATE(B14554,""en"",""es-ES"")"),"Está tratando de hacer sentadillas, disminuyendo la velocidad y las muecas a medida que el esfuerzo se vuelve más difícil con cada uno.")</f>
        <v>Está tratando de hacer sentadillas, disminuyendo la velocidad y las muecas a medida que el esfuerzo se vuelve más difícil con cada uno.</v>
      </c>
    </row>
    <row r="14555">
      <c r="A14555" s="4" t="s">
        <v>18326</v>
      </c>
      <c r="B14555" s="4" t="s">
        <v>18329</v>
      </c>
      <c r="C14555" s="5" t="str">
        <f>IFERROR(__xludf.DUMMYFUNCTION("GOOGLETRANSLATE(B14555,""en"",""es-ES"")"),"Se detiene, recostado y riendo.")</f>
        <v>Se detiene, recostado y riendo.</v>
      </c>
    </row>
    <row r="14556">
      <c r="A14556" s="4" t="s">
        <v>18330</v>
      </c>
      <c r="B14556" s="4" t="s">
        <v>18331</v>
      </c>
      <c r="C14556" s="5" t="str">
        <f>IFERROR(__xludf.DUMMYFUNCTION("GOOGLETRANSLATE(B14556,""en"",""es-ES"")"),"Una niña está jugando a la raya en un porche trasero.")</f>
        <v>Una niña está jugando a la raya en un porche trasero.</v>
      </c>
    </row>
    <row r="14557">
      <c r="A14557" s="4" t="s">
        <v>18330</v>
      </c>
      <c r="B14557" s="4" t="s">
        <v>18332</v>
      </c>
      <c r="C14557" s="5" t="str">
        <f>IFERROR(__xludf.DUMMYFUNCTION("GOOGLETRANSLATE(B14557,""en"",""es-ES"")"),"Una persona está sentada en una mesa de picnic mirándolos.")</f>
        <v>Una persona está sentada en una mesa de picnic mirándolos.</v>
      </c>
    </row>
    <row r="14558">
      <c r="A14558" s="4" t="s">
        <v>18330</v>
      </c>
      <c r="B14558" s="4" t="s">
        <v>18333</v>
      </c>
      <c r="C14558" s="5" t="str">
        <f>IFERROR(__xludf.DUMMYFUNCTION("GOOGLETRANSLATE(B14558,""en"",""es-ES"")"),"La otra persona se levanta y comienza a jugar.")</f>
        <v>La otra persona se levanta y comienza a jugar.</v>
      </c>
    </row>
    <row r="14559">
      <c r="A14559" s="4" t="s">
        <v>18334</v>
      </c>
      <c r="B14559" s="4" t="s">
        <v>18335</v>
      </c>
      <c r="C14559" s="5" t="str">
        <f>IFERROR(__xludf.DUMMYFUNCTION("GOOGLETRANSLATE(B14559,""en"",""es-ES"")"),"Se ve a una persona sacando elementos de una caja y preséntalos a la cámara.")</f>
        <v>Se ve a una persona sacando elementos de una caja y preséntalos a la cámara.</v>
      </c>
    </row>
    <row r="14560">
      <c r="A14560" s="4" t="s">
        <v>18334</v>
      </c>
      <c r="B14560" s="4" t="s">
        <v>18336</v>
      </c>
      <c r="C14560" s="5" t="str">
        <f>IFERROR(__xludf.DUMMYFUNCTION("GOOGLETRANSLATE(B14560,""en"",""es-ES"")"),"Luego, el hombre frota un zapato con un trapo y presenta más artículos a la cámara mientras se desplaza.")</f>
        <v>Luego, el hombre frota un zapato con un trapo y presenta más artículos a la cámara mientras se desplaza.</v>
      </c>
    </row>
    <row r="14561">
      <c r="A14561" s="4" t="s">
        <v>18337</v>
      </c>
      <c r="B14561" s="4" t="s">
        <v>18338</v>
      </c>
      <c r="C14561" s="5" t="str">
        <f>IFERROR(__xludf.DUMMYFUNCTION("GOOGLETRANSLATE(B14561,""en"",""es-ES"")"),"Se ve a una persona atar sus zapatos y conducir a varias tomas de personas que saltan y se mueven sobre la cuerda.")</f>
        <v>Se ve a una persona atar sus zapatos y conducir a varias tomas de personas que saltan y se mueven sobre la cuerda.</v>
      </c>
    </row>
    <row r="14562">
      <c r="A14562" s="4" t="s">
        <v>18337</v>
      </c>
      <c r="B14562" s="4" t="s">
        <v>18339</v>
      </c>
      <c r="C14562" s="5" t="str">
        <f>IFERROR(__xludf.DUMMYFUNCTION("GOOGLETRANSLATE(B14562,""en"",""es-ES"")"),"Se muestran varias tomas de paisajes, así como más personas que intentan saltos y trucos en una larga cuerda atada a los árboles.")</f>
        <v>Se muestran varias tomas de paisajes, así como más personas que intentan saltos y trucos en una larga cuerda atada a los árboles.</v>
      </c>
    </row>
    <row r="14563">
      <c r="A14563" s="4" t="s">
        <v>18340</v>
      </c>
      <c r="B14563" s="4" t="s">
        <v>18341</v>
      </c>
      <c r="C14563" s="5" t="str">
        <f>IFERROR(__xludf.DUMMYFUNCTION("GOOGLETRANSLATE(B14563,""en"",""es-ES"")"),"Una mujer y un niño un niño se balancean sobre un balanceo de neumáticos.")</f>
        <v>Una mujer y un niño un niño se balancean sobre un balanceo de neumáticos.</v>
      </c>
    </row>
    <row r="14564">
      <c r="A14564" s="4" t="s">
        <v>18340</v>
      </c>
      <c r="B14564" s="4" t="s">
        <v>18342</v>
      </c>
      <c r="C14564" s="5" t="str">
        <f>IFERROR(__xludf.DUMMYFUNCTION("GOOGLETRANSLATE(B14564,""en"",""es-ES"")"),"Una persona que empuja un cochecito está detrás de ellos.")</f>
        <v>Una persona que empuja un cochecito está detrás de ellos.</v>
      </c>
    </row>
    <row r="14565">
      <c r="A14565" s="4" t="s">
        <v>18340</v>
      </c>
      <c r="B14565" s="4" t="s">
        <v>18343</v>
      </c>
      <c r="C14565" s="5" t="str">
        <f>IFERROR(__xludf.DUMMYFUNCTION("GOOGLETRANSLATE(B14565,""en"",""es-ES"")"),"El niño se aleja de la cámara.")</f>
        <v>El niño se aleja de la cámara.</v>
      </c>
    </row>
    <row r="14566">
      <c r="A14566" s="4" t="s">
        <v>18344</v>
      </c>
      <c r="B14566" s="4" t="s">
        <v>18345</v>
      </c>
      <c r="C14566" s="5" t="str">
        <f>IFERROR(__xludf.DUMMYFUNCTION("GOOGLETRANSLATE(B14566,""en"",""es-ES"")"),"Una mujer está bajo el agua y ella viene con gracia de debajo.")</f>
        <v>Una mujer está bajo el agua y ella viene con gracia de debajo.</v>
      </c>
    </row>
    <row r="14567">
      <c r="A14567" s="4" t="s">
        <v>18344</v>
      </c>
      <c r="B14567" s="4" t="s">
        <v>18346</v>
      </c>
      <c r="C14567" s="5" t="str">
        <f>IFERROR(__xludf.DUMMYFUNCTION("GOOGLETRANSLATE(B14567,""en"",""es-ES"")"),"Más tarde está nadando con Tom y Jerry muy bonita y extrañamente.")</f>
        <v>Más tarde está nadando con Tom y Jerry muy bonita y extrañamente.</v>
      </c>
    </row>
    <row r="14568">
      <c r="A14568" s="4" t="s">
        <v>18344</v>
      </c>
      <c r="B14568" s="4" t="s">
        <v>18347</v>
      </c>
      <c r="C14568" s="5" t="str">
        <f>IFERROR(__xludf.DUMMYFUNCTION("GOOGLETRANSLATE(B14568,""en"",""es-ES"")"),"Luego, está colgando de un aro arriba y salta hacia el agua.")</f>
        <v>Luego, está colgando de un aro arriba y salta hacia el agua.</v>
      </c>
    </row>
    <row r="14569">
      <c r="A14569" s="4" t="s">
        <v>18344</v>
      </c>
      <c r="B14569" s="4" t="s">
        <v>18348</v>
      </c>
      <c r="C14569" s="5" t="str">
        <f>IFERROR(__xludf.DUMMYFUNCTION("GOOGLETRANSLATE(B14569,""en"",""es-ES"")"),"Ella hace muchos espectáculos diferentes que involucran a ella bailando y nadando en el agua.")</f>
        <v>Ella hace muchos espectáculos diferentes que involucran a ella bailando y nadando en el agua.</v>
      </c>
    </row>
    <row r="14570">
      <c r="A14570" s="4" t="s">
        <v>18349</v>
      </c>
      <c r="B14570" s="4" t="s">
        <v>18350</v>
      </c>
      <c r="C14570" s="5" t="str">
        <f>IFERROR(__xludf.DUMMYFUNCTION("GOOGLETRANSLATE(B14570,""en"",""es-ES"")"),"Aparece una pantalla blanca con una marca negra que dice ""The Shingle Hog"" y tiene una imagen de un cerdo en la O de la palabra cerdo.")</f>
        <v>Aparece una pantalla blanca con una marca negra que dice "The Shingle Hog" y tiene una imagen de un cerdo en la O de la palabra cerdo.</v>
      </c>
    </row>
    <row r="14571">
      <c r="A14571" s="4" t="s">
        <v>18349</v>
      </c>
      <c r="B14571" s="4" t="s">
        <v>18351</v>
      </c>
      <c r="C14571" s="5" t="str">
        <f>IFERROR(__xludf.DUMMYFUNCTION("GOOGLETRANSLATE(B14571,""en"",""es-ES"")"),"Se muestra una imagen rápida de una herramienta roja y negra, luego un hombre está hablando y los clips de personas que eliminan el juego de tejas en los momentos que se muestran cuando el hombre habla.")</f>
        <v>Se muestra una imagen rápida de una herramienta roja y negra, luego un hombre está hablando y los clips de personas que eliminan el juego de tejas en los momentos que se muestran cuando el hombre habla.</v>
      </c>
    </row>
    <row r="14572">
      <c r="A14572" s="4" t="s">
        <v>18349</v>
      </c>
      <c r="B14572" s="4" t="s">
        <v>18352</v>
      </c>
      <c r="C14572" s="5" t="str">
        <f>IFERROR(__xludf.DUMMYFUNCTION("GOOGLETRANSLATE(B14572,""en"",""es-ES"")"),"La herramienta ahora se muestra por sí misma y la marca y el logotipo se muestran en la pantalla a la parte superior derecha.")</f>
        <v>La herramienta ahora se muestra por sí misma y la marca y el logotipo se muestran en la pantalla a la parte superior derecha.</v>
      </c>
    </row>
    <row r="14573">
      <c r="A14573" s="4" t="s">
        <v>18349</v>
      </c>
      <c r="B14573" s="4" t="s">
        <v>18353</v>
      </c>
      <c r="C14573" s="5" t="str">
        <f>IFERROR(__xludf.DUMMYFUNCTION("GOOGLETRANSLATE(B14573,""en"",""es-ES"")"),"Ahora hay clips de personas en el techo que usan la herramienta para eliminar las tejas y una vez más el hombre parece hablar entre clips.")</f>
        <v>Ahora hay clips de personas en el techo que usan la herramienta para eliminar las tejas y una vez más el hombre parece hablar entre clips.</v>
      </c>
    </row>
    <row r="14574">
      <c r="A14574" s="4" t="s">
        <v>18349</v>
      </c>
      <c r="B14574" s="4" t="s">
        <v>18354</v>
      </c>
      <c r="C14574" s="5" t="str">
        <f>IFERROR(__xludf.DUMMYFUNCTION("GOOGLETRANSLATE(B14574,""en"",""es-ES"")"),"Aparece una pantalla negra y tiene una lista con muchas palabras blancas y el título es ""ahorros de cerdo de tejas"".")</f>
        <v>Aparece una pantalla negra y tiene una lista con muchas palabras blancas y el título es "ahorros de cerdo de tejas".</v>
      </c>
    </row>
    <row r="14575">
      <c r="A14575" s="4" t="s">
        <v>18349</v>
      </c>
      <c r="B14575" s="4" t="s">
        <v>18355</v>
      </c>
      <c r="C14575" s="5" t="str">
        <f>IFERROR(__xludf.DUMMYFUNCTION("GOOGLETRANSLATE(B14575,""en"",""es-ES"")"),"El hombre que habla y los clips del hombre que usa la máquina de tejas se reproduce hasta que aparece una pantalla de outro blanca que incluye la marca, el logotipo, la información del producto y el sitio web.")</f>
        <v>El hombre que habla y los clips del hombre que usa la máquina de tejas se reproduce hasta que aparece una pantalla de outro blanca que incluye la marca, el logotipo, la información del producto y el sitio web.</v>
      </c>
    </row>
    <row r="14576">
      <c r="A14576" s="4" t="s">
        <v>18356</v>
      </c>
      <c r="B14576" s="4" t="s">
        <v>18357</v>
      </c>
      <c r="C14576" s="5" t="str">
        <f>IFERROR(__xludf.DUMMYFUNCTION("GOOGLETRANSLATE(B14576,""en"",""es-ES"")"),"Se muestran cuatro hombres con uniformes deportivos junto con información sobre AIB.")</f>
        <v>Se muestran cuatro hombres con uniformes deportivos junto con información sobre AIB.</v>
      </c>
    </row>
    <row r="14577">
      <c r="A14577" s="4" t="s">
        <v>18356</v>
      </c>
      <c r="B14577" s="4" t="s">
        <v>18358</v>
      </c>
      <c r="C14577" s="5" t="str">
        <f>IFERROR(__xludf.DUMMYFUNCTION("GOOGLETRANSLATE(B14577,""en"",""es-ES"")"),"El primer hombre se presenta a sí mismo.")</f>
        <v>El primer hombre se presenta a sí mismo.</v>
      </c>
    </row>
    <row r="14578">
      <c r="A14578" s="4" t="s">
        <v>18356</v>
      </c>
      <c r="B14578" s="4" t="s">
        <v>18359</v>
      </c>
      <c r="C14578" s="5" t="str">
        <f>IFERROR(__xludf.DUMMYFUNCTION("GOOGLETRANSLATE(B14578,""en"",""es-ES"")"),"El segundo hombre se presenta a sí mismo.")</f>
        <v>El segundo hombre se presenta a sí mismo.</v>
      </c>
    </row>
    <row r="14579">
      <c r="A14579" s="4" t="s">
        <v>18356</v>
      </c>
      <c r="B14579" s="4" t="s">
        <v>18360</v>
      </c>
      <c r="C14579" s="5" t="str">
        <f>IFERROR(__xludf.DUMMYFUNCTION("GOOGLETRANSLATE(B14579,""en"",""es-ES"")"),"El tercer hombre se presenta a sí mismo.")</f>
        <v>El tercer hombre se presenta a sí mismo.</v>
      </c>
    </row>
    <row r="14580">
      <c r="A14580" s="4" t="s">
        <v>18356</v>
      </c>
      <c r="B14580" s="4" t="s">
        <v>18361</v>
      </c>
      <c r="C14580" s="5" t="str">
        <f>IFERROR(__xludf.DUMMYFUNCTION("GOOGLETRANSLATE(B14580,""en"",""es-ES"")"),"Finalmente, el cuarto hombre se presenta a sí mismo.")</f>
        <v>Finalmente, el cuarto hombre se presenta a sí mismo.</v>
      </c>
    </row>
    <row r="14581">
      <c r="A14581" s="4" t="s">
        <v>18356</v>
      </c>
      <c r="B14581" s="4" t="s">
        <v>18362</v>
      </c>
      <c r="C14581" s="5" t="str">
        <f>IFERROR(__xludf.DUMMYFUNCTION("GOOGLETRANSLATE(B14581,""en"",""es-ES"")"),"Luego se muestra al primer hombre practicando tratando de alcanzar objetivos en la pared.")</f>
        <v>Luego se muestra al primer hombre practicando tratando de alcanzar objetivos en la pared.</v>
      </c>
    </row>
    <row r="14582">
      <c r="A14582" s="4" t="s">
        <v>18356</v>
      </c>
      <c r="B14582" s="4" t="s">
        <v>18363</v>
      </c>
      <c r="C14582" s="5" t="str">
        <f>IFERROR(__xludf.DUMMYFUNCTION("GOOGLETRANSLATE(B14582,""en"",""es-ES"")"),"El segundo hombre en presentarse da un giro tratando de golpear los objetivos en la pared.")</f>
        <v>El segundo hombre en presentarse da un giro tratando de golpear los objetivos en la pared.</v>
      </c>
    </row>
    <row r="14583">
      <c r="A14583" s="4" t="s">
        <v>18356</v>
      </c>
      <c r="B14583" s="4" t="s">
        <v>18364</v>
      </c>
      <c r="C14583" s="5" t="str">
        <f>IFERROR(__xludf.DUMMYFUNCTION("GOOGLETRANSLATE(B14583,""en"",""es-ES"")"),"El hombre que usa pantalones cortos blancos intenta la pared de práctica.")</f>
        <v>El hombre que usa pantalones cortos blancos intenta la pared de práctica.</v>
      </c>
    </row>
    <row r="14584">
      <c r="A14584" s="4" t="s">
        <v>18356</v>
      </c>
      <c r="B14584" s="4" t="s">
        <v>18365</v>
      </c>
      <c r="C14584" s="5" t="str">
        <f>IFERROR(__xludf.DUMMYFUNCTION("GOOGLETRANSLATE(B14584,""en"",""es-ES"")"),"Y finalmente el hombre con cabello rojo lo intenta.")</f>
        <v>Y finalmente el hombre con cabello rojo lo intenta.</v>
      </c>
    </row>
    <row r="14585">
      <c r="A14585" s="4" t="s">
        <v>18356</v>
      </c>
      <c r="B14585" s="4" t="s">
        <v>18366</v>
      </c>
      <c r="C14585" s="5" t="str">
        <f>IFERROR(__xludf.DUMMYFUNCTION("GOOGLETRANSLATE(B14585,""en"",""es-ES"")"),"El primer hombre en practicar da un comentario sobre su actuación.")</f>
        <v>El primer hombre en practicar da un comentario sobre su actuación.</v>
      </c>
    </row>
    <row r="14586">
      <c r="A14586" s="4" t="s">
        <v>18356</v>
      </c>
      <c r="B14586" s="4" t="s">
        <v>18367</v>
      </c>
      <c r="C14586" s="5" t="str">
        <f>IFERROR(__xludf.DUMMYFUNCTION("GOOGLETRANSLATE(B14586,""en"",""es-ES"")"),"El último hombre en practicar con las conversaciones de cabello rojo.")</f>
        <v>El último hombre en practicar con las conversaciones de cabello rojo.</v>
      </c>
    </row>
    <row r="14587">
      <c r="A14587" s="4" t="s">
        <v>18356</v>
      </c>
      <c r="B14587" s="4" t="s">
        <v>18368</v>
      </c>
      <c r="C14587" s="5" t="str">
        <f>IFERROR(__xludf.DUMMYFUNCTION("GOOGLETRANSLATE(B14587,""en"",""es-ES"")"),"Se muestra información sobre el AIB y el próximo juego.")</f>
        <v>Se muestra información sobre el AIB y el próximo juego.</v>
      </c>
    </row>
    <row r="14588">
      <c r="A14588" s="4" t="s">
        <v>18369</v>
      </c>
      <c r="B14588" s="4" t="s">
        <v>18370</v>
      </c>
      <c r="C14588" s="5" t="str">
        <f>IFERROR(__xludf.DUMMYFUNCTION("GOOGLETRANSLATE(B14588,""en"",""es-ES"")"),"Se ve a un gran grupo de personas sentados en una playa con varios protectores solar en todos sus cuerpos.")</f>
        <v>Se ve a un gran grupo de personas sentados en una playa con varios protectores solar en todos sus cuerpos.</v>
      </c>
    </row>
    <row r="14589">
      <c r="A14589" s="4" t="s">
        <v>18369</v>
      </c>
      <c r="B14589" s="4" t="s">
        <v>18371</v>
      </c>
      <c r="C14589" s="5" t="str">
        <f>IFERROR(__xludf.DUMMYFUNCTION("GOOGLETRANSLATE(B14589,""en"",""es-ES"")"),"Se muestran tomas de científicos haciendo la pantalla solar mientras interactúan entre sí y hablan con la cámara.")</f>
        <v>Se muestran tomas de científicos haciendo la pantalla solar mientras interactúan entre sí y hablan con la cámara.</v>
      </c>
    </row>
    <row r="14590">
      <c r="A14590" s="4" t="s">
        <v>18369</v>
      </c>
      <c r="B14590" s="4" t="s">
        <v>18372</v>
      </c>
      <c r="C14590" s="5" t="str">
        <f>IFERROR(__xludf.DUMMYFUNCTION("GOOGLETRANSLATE(B14590,""en"",""es-ES"")"),"Finalmente se ve a un hombre empacando un pescado en una tienda.")</f>
        <v>Finalmente se ve a un hombre empacando un pescado en una tienda.</v>
      </c>
    </row>
    <row r="14591">
      <c r="A14591" s="4" t="s">
        <v>18373</v>
      </c>
      <c r="B14591" s="4" t="s">
        <v>18374</v>
      </c>
      <c r="C14591" s="5" t="str">
        <f>IFERROR(__xludf.DUMMYFUNCTION("GOOGLETRANSLATE(B14591,""en"",""es-ES"")"),"Kid sostiene un soplador y está soplando hojas de la calle.")</f>
        <v>Kid sostiene un soplador y está soplando hojas de la calle.</v>
      </c>
    </row>
    <row r="14592">
      <c r="A14592" s="4" t="s">
        <v>18373</v>
      </c>
      <c r="B14592" s="4" t="s">
        <v>18375</v>
      </c>
      <c r="C14592" s="5" t="str">
        <f>IFERROR(__xludf.DUMMYFUNCTION("GOOGLETRANSLATE(B14592,""en"",""es-ES"")"),"El niño camina en una acera y limpia las hojas secas con el soplador y un hombre lo ayuda.")</f>
        <v>El niño camina en una acera y limpia las hojas secas con el soplador y un hombre lo ayuda.</v>
      </c>
    </row>
    <row r="14593">
      <c r="A14593" s="4" t="s">
        <v>18373</v>
      </c>
      <c r="B14593" s="4" t="s">
        <v>18376</v>
      </c>
      <c r="C14593" s="5" t="str">
        <f>IFERROR(__xludf.DUMMYFUNCTION("GOOGLETRANSLATE(B14593,""en"",""es-ES"")"),"Old Man sostiene un rastrillo rastrillando las hojas secas.")</f>
        <v>Old Man sostiene un rastrillo rastrillando las hojas secas.</v>
      </c>
    </row>
    <row r="14594">
      <c r="A14594" s="4" t="s">
        <v>18377</v>
      </c>
      <c r="B14594" s="4" t="s">
        <v>18378</v>
      </c>
      <c r="C14594" s="5" t="str">
        <f>IFERROR(__xludf.DUMMYFUNCTION("GOOGLETRANSLATE(B14594,""en"",""es-ES"")"),"Un niño pequeño está en una sala de estar desordenada.")</f>
        <v>Un niño pequeño está en una sala de estar desordenada.</v>
      </c>
    </row>
    <row r="14595">
      <c r="A14595" s="4" t="s">
        <v>18377</v>
      </c>
      <c r="B14595" s="4" t="s">
        <v>18379</v>
      </c>
      <c r="C14595" s="5" t="str">
        <f>IFERROR(__xludf.DUMMYFUNCTION("GOOGLETRANSLATE(B14595,""en"",""es-ES"")"),"Está usando un cepillo de dientes eléctrico.")</f>
        <v>Está usando un cepillo de dientes eléctrico.</v>
      </c>
    </row>
    <row r="14596">
      <c r="A14596" s="4" t="s">
        <v>18377</v>
      </c>
      <c r="B14596" s="4" t="s">
        <v>18380</v>
      </c>
      <c r="C14596" s="5" t="str">
        <f>IFERROR(__xludf.DUMMYFUNCTION("GOOGLETRANSLATE(B14596,""en"",""es-ES"")"),"Se frota los dientes con el cepillo de dientes mientras sonríe.")</f>
        <v>Se frota los dientes con el cepillo de dientes mientras sonríe.</v>
      </c>
    </row>
    <row r="14597">
      <c r="A14597" s="4" t="s">
        <v>18381</v>
      </c>
      <c r="B14597" s="4" t="s">
        <v>18382</v>
      </c>
      <c r="C14597" s="5" t="str">
        <f>IFERROR(__xludf.DUMMYFUNCTION("GOOGLETRANSLATE(B14597,""en"",""es-ES"")"),"Un hombre con una camisa azul claro rompe las bolas de la piscina para comenzar el juego.")</f>
        <v>Un hombre con una camisa azul claro rompe las bolas de la piscina para comenzar el juego.</v>
      </c>
    </row>
    <row r="14598">
      <c r="A14598" s="4" t="s">
        <v>18381</v>
      </c>
      <c r="B14598" s="4" t="s">
        <v>18383</v>
      </c>
      <c r="C14598" s="5" t="str">
        <f>IFERROR(__xludf.DUMMYFUNCTION("GOOGLETRANSLATE(B14598,""en"",""es-ES"")"),"Camina por la mesa buscando un buen lugar para golpear.")</f>
        <v>Camina por la mesa buscando un buen lugar para golpear.</v>
      </c>
    </row>
    <row r="14599">
      <c r="A14599" s="4" t="s">
        <v>18381</v>
      </c>
      <c r="B14599" s="4" t="s">
        <v>18384</v>
      </c>
      <c r="C14599" s="5" t="str">
        <f>IFERROR(__xludf.DUMMYFUNCTION("GOOGLETRANSLATE(B14599,""en"",""es-ES"")"),"Luego se mueve alrededor de la mesa nuevamente y vuelve a entrar.")</f>
        <v>Luego se mueve alrededor de la mesa nuevamente y vuelve a entrar.</v>
      </c>
    </row>
    <row r="14600">
      <c r="A14600" s="4" t="s">
        <v>18381</v>
      </c>
      <c r="B14600" s="4" t="s">
        <v>18385</v>
      </c>
      <c r="C14600" s="5" t="str">
        <f>IFERROR(__xludf.DUMMYFUNCTION("GOOGLETRANSLATE(B14600,""en"",""es-ES"")"),"Finalmente golpea la pelota negra y termina el juego.")</f>
        <v>Finalmente golpea la pelota negra y termina el juego.</v>
      </c>
    </row>
    <row r="14601">
      <c r="A14601" s="4" t="s">
        <v>18386</v>
      </c>
      <c r="B14601" s="4" t="s">
        <v>18387</v>
      </c>
      <c r="C14601" s="5" t="str">
        <f>IFERROR(__xludf.DUMMYFUNCTION("GOOGLETRANSLATE(B14601,""en"",""es-ES"")"),"Una mujer salta a una piscina.")</f>
        <v>Una mujer salta a una piscina.</v>
      </c>
    </row>
    <row r="14602">
      <c r="A14602" s="4" t="s">
        <v>18386</v>
      </c>
      <c r="B14602" s="4" t="s">
        <v>18388</v>
      </c>
      <c r="C14602" s="5" t="str">
        <f>IFERROR(__xludf.DUMMYFUNCTION("GOOGLETRANSLATE(B14602,""en"",""es-ES"")"),"Una mujer sostiene una cámara grande riendo.")</f>
        <v>Una mujer sostiene una cámara grande riendo.</v>
      </c>
    </row>
    <row r="14603">
      <c r="A14603" s="4" t="s">
        <v>18386</v>
      </c>
      <c r="B14603" s="4" t="s">
        <v>18389</v>
      </c>
      <c r="C14603" s="5" t="str">
        <f>IFERROR(__xludf.DUMMYFUNCTION("GOOGLETRANSLATE(B14603,""en"",""es-ES"")"),"Varias mujeres más se sumergen en las tablas de buceo en el agua.")</f>
        <v>Varias mujeres más se sumergen en las tablas de buceo en el agua.</v>
      </c>
    </row>
    <row r="14604">
      <c r="A14604" s="4" t="s">
        <v>18390</v>
      </c>
      <c r="B14604" s="4" t="s">
        <v>18391</v>
      </c>
      <c r="C14604" s="5" t="str">
        <f>IFERROR(__xludf.DUMMYFUNCTION("GOOGLETRANSLATE(B14604,""en"",""es-ES"")"),"Un chef habla con la cámara.")</f>
        <v>Un chef habla con la cámara.</v>
      </c>
    </row>
    <row r="14605">
      <c r="A14605" s="4" t="s">
        <v>18390</v>
      </c>
      <c r="B14605" s="4" t="s">
        <v>18392</v>
      </c>
      <c r="C14605" s="5" t="str">
        <f>IFERROR(__xludf.DUMMYFUNCTION("GOOGLETRANSLATE(B14605,""en"",""es-ES"")"),"Ella se mueve para cortar muchos hongos.")</f>
        <v>Ella se mueve para cortar muchos hongos.</v>
      </c>
    </row>
    <row r="14606">
      <c r="A14606" s="4" t="s">
        <v>18390</v>
      </c>
      <c r="B14606" s="4" t="s">
        <v>18393</v>
      </c>
      <c r="C14606" s="5" t="str">
        <f>IFERROR(__xludf.DUMMYFUNCTION("GOOGLETRANSLATE(B14606,""en"",""es-ES"")"),"Se mueve alrededor de los hongos que acaba de cortar.")</f>
        <v>Se mueve alrededor de los hongos que acaba de cortar.</v>
      </c>
    </row>
    <row r="14607">
      <c r="A14607" s="4" t="s">
        <v>18394</v>
      </c>
      <c r="B14607" s="4" t="s">
        <v>18395</v>
      </c>
      <c r="C14607" s="5" t="str">
        <f>IFERROR(__xludf.DUMMYFUNCTION("GOOGLETRANSLATE(B14607,""en"",""es-ES"")"),"Vemos la tarjeta de título inicial.")</f>
        <v>Vemos la tarjeta de título inicial.</v>
      </c>
    </row>
    <row r="14608">
      <c r="A14608" s="4" t="s">
        <v>18394</v>
      </c>
      <c r="B14608" s="4" t="s">
        <v>18396</v>
      </c>
      <c r="C14608" s="5" t="str">
        <f>IFERROR(__xludf.DUMMYFUNCTION("GOOGLETRANSLATE(B14608,""en"",""es-ES"")"),"Una animadora salta y un niño se acerca y habla.")</f>
        <v>Una animadora salta y un niño se acerca y habla.</v>
      </c>
    </row>
    <row r="14609">
      <c r="A14609" s="4" t="s">
        <v>18394</v>
      </c>
      <c r="B14609" s="4" t="s">
        <v>18397</v>
      </c>
      <c r="C14609" s="5" t="str">
        <f>IFERROR(__xludf.DUMMYFUNCTION("GOOGLETRANSLATE(B14609,""en"",""es-ES"")"),"Vemos a la niña realizar saltos de porristas y maniobras de brazo.")</f>
        <v>Vemos a la niña realizar saltos de porristas y maniobras de brazo.</v>
      </c>
    </row>
    <row r="14610">
      <c r="A14610" s="4" t="s">
        <v>18394</v>
      </c>
      <c r="B14610" s="4" t="s">
        <v>18398</v>
      </c>
      <c r="C14610" s="5" t="str">
        <f>IFERROR(__xludf.DUMMYFUNCTION("GOOGLETRANSLATE(B14610,""en"",""es-ES"")"),"Vemos sus pies de cerca.")</f>
        <v>Vemos sus pies de cerca.</v>
      </c>
    </row>
    <row r="14611">
      <c r="A14611" s="4" t="s">
        <v>18394</v>
      </c>
      <c r="B14611" s="4" t="s">
        <v>18399</v>
      </c>
      <c r="C14611" s="5" t="str">
        <f>IFERROR(__xludf.DUMMYFUNCTION("GOOGLETRANSLATE(B14611,""en"",""es-ES"")"),"La niña se estira doblando al suelo y se sienta en el suelo estirando.")</f>
        <v>La niña se estira doblando al suelo y se sienta en el suelo estirando.</v>
      </c>
    </row>
    <row r="14612">
      <c r="A14612" s="4" t="s">
        <v>18394</v>
      </c>
      <c r="B14612" s="4" t="s">
        <v>777</v>
      </c>
      <c r="C14612" s="5" t="str">
        <f>IFERROR(__xludf.DUMMYFUNCTION("GOOGLETRANSLATE(B14612,""en"",""es-ES"")"),"Vemos la pantalla de título final.")</f>
        <v>Vemos la pantalla de título final.</v>
      </c>
    </row>
    <row r="14613">
      <c r="A14613" s="4" t="s">
        <v>18400</v>
      </c>
      <c r="B14613" s="4" t="s">
        <v>18401</v>
      </c>
      <c r="C14613" s="5" t="str">
        <f>IFERROR(__xludf.DUMMYFUNCTION("GOOGLETRANSLATE(B14613,""en"",""es-ES"")"),"La joven con cabello largo y rubio le muestra una muñeca que tiene algunas cicatrices de una cirugía.")</f>
        <v>La joven con cabello largo y rubio le muestra una muñeca que tiene algunas cicatrices de una cirugía.</v>
      </c>
    </row>
    <row r="14614">
      <c r="A14614" s="4" t="s">
        <v>18400</v>
      </c>
      <c r="B14614" s="4" t="s">
        <v>18402</v>
      </c>
      <c r="C14614" s="5" t="str">
        <f>IFERROR(__xludf.DUMMYFUNCTION("GOOGLETRANSLATE(B14614,""en"",""es-ES"")"),"Luego toma un hula hoop de color verde neón y lo gira alrededor de su cuerpo.")</f>
        <v>Luego toma un hula hoop de color verde neón y lo gira alrededor de su cuerpo.</v>
      </c>
    </row>
    <row r="14615">
      <c r="A14615" s="4" t="s">
        <v>18400</v>
      </c>
      <c r="B14615" s="4" t="s">
        <v>18403</v>
      </c>
      <c r="C14615" s="5" t="str">
        <f>IFERROR(__xludf.DUMMYFUNCTION("GOOGLETRANSLATE(B14615,""en"",""es-ES"")"),"Ella demuestra cómo usar el Hula Hoop de manera efectiva sosteniendo el aro hacia su pecho.")</f>
        <v>Ella demuestra cómo usar el Hula Hoop de manera efectiva sosteniendo el aro hacia su pecho.</v>
      </c>
    </row>
    <row r="14616">
      <c r="A14616" s="4" t="s">
        <v>18400</v>
      </c>
      <c r="B14616" s="4" t="s">
        <v>18404</v>
      </c>
      <c r="C14616" s="5" t="str">
        <f>IFERROR(__xludf.DUMMYFUNCTION("GOOGLETRANSLATE(B14616,""en"",""es-ES"")"),"Luego comienza a girar con el aro en su pecho.")</f>
        <v>Luego comienza a girar con el aro en su pecho.</v>
      </c>
    </row>
    <row r="14617">
      <c r="A14617" s="4" t="s">
        <v>18400</v>
      </c>
      <c r="B14617" s="4" t="s">
        <v>18405</v>
      </c>
      <c r="C14617" s="5" t="str">
        <f>IFERROR(__xludf.DUMMYFUNCTION("GOOGLETRANSLATE(B14617,""en"",""es-ES"")"),"Ella muestra cómo girar el aro y rotar el aro alrededor de su cuerpo sin dejarlo caer.")</f>
        <v>Ella muestra cómo girar el aro y rotar el aro alrededor de su cuerpo sin dejarlo caer.</v>
      </c>
    </row>
    <row r="14618">
      <c r="A14618" s="4" t="s">
        <v>18400</v>
      </c>
      <c r="B14618" s="4" t="s">
        <v>18406</v>
      </c>
      <c r="C14618" s="5" t="str">
        <f>IFERROR(__xludf.DUMMYFUNCTION("GOOGLETRANSLATE(B14618,""en"",""es-ES"")"),"Ella continúa mostrando cómo girar adecuadamente y girar el aro con las manos bajadas junto a su cuerpo.")</f>
        <v>Ella continúa mostrando cómo girar adecuadamente y girar el aro con las manos bajadas junto a su cuerpo.</v>
      </c>
    </row>
    <row r="14619">
      <c r="A14619" s="4" t="s">
        <v>18400</v>
      </c>
      <c r="B14619" s="4" t="s">
        <v>18407</v>
      </c>
      <c r="C14619" s="5" t="str">
        <f>IFERROR(__xludf.DUMMYFUNCTION("GOOGLETRANSLATE(B14619,""en"",""es-ES"")"),"Luego se detiene y gira el aro en su mano.")</f>
        <v>Luego se detiene y gira el aro en su mano.</v>
      </c>
    </row>
    <row r="14620">
      <c r="A14620" s="4" t="s">
        <v>18408</v>
      </c>
      <c r="B14620" s="4" t="s">
        <v>18409</v>
      </c>
      <c r="C14620" s="5" t="str">
        <f>IFERROR(__xludf.DUMMYFUNCTION("GOOGLETRANSLATE(B14620,""en"",""es-ES"")"),"Un hombre está soldando una pieza de metal circular.")</f>
        <v>Un hombre está soldando una pieza de metal circular.</v>
      </c>
    </row>
    <row r="14621">
      <c r="A14621" s="4" t="s">
        <v>18408</v>
      </c>
      <c r="B14621" s="4" t="s">
        <v>18410</v>
      </c>
      <c r="C14621" s="5" t="str">
        <f>IFERROR(__xludf.DUMMYFUNCTION("GOOGLETRANSLATE(B14621,""en"",""es-ES"")"),"Aparece una luz verde de ninguna donde.")</f>
        <v>Aparece una luz verde de ninguna donde.</v>
      </c>
    </row>
    <row r="14622">
      <c r="A14622" s="4" t="s">
        <v>18408</v>
      </c>
      <c r="B14622" s="4" t="s">
        <v>18411</v>
      </c>
      <c r="C14622" s="5" t="str">
        <f>IFERROR(__xludf.DUMMYFUNCTION("GOOGLETRANSLATE(B14622,""en"",""es-ES"")"),"El hombre continúa soldando la pieza de metal circular.")</f>
        <v>El hombre continúa soldando la pieza de metal circular.</v>
      </c>
    </row>
    <row r="14623">
      <c r="A14623" s="4" t="s">
        <v>18412</v>
      </c>
      <c r="B14623" s="4" t="s">
        <v>18413</v>
      </c>
      <c r="C14623" s="5" t="str">
        <f>IFERROR(__xludf.DUMMYFUNCTION("GOOGLETRANSLATE(B14623,""en"",""es-ES"")"),"Un perro blanco y negro está en un parque para perros y el dueño se inclina y se mueve frente al perro mientras lo mira.")</f>
        <v>Un perro blanco y negro está en un parque para perros y el dueño se inclina y se mueve frente al perro mientras lo mira.</v>
      </c>
    </row>
    <row r="14624">
      <c r="A14624" s="4" t="s">
        <v>18412</v>
      </c>
      <c r="B14624" s="4" t="s">
        <v>18414</v>
      </c>
      <c r="C14624" s="5" t="str">
        <f>IFERROR(__xludf.DUMMYFUNCTION("GOOGLETRANSLATE(B14624,""en"",""es-ES"")"),"Luego, el dueño camina más hacia la hierba que se aferran a Frisbees y no solo se une al perro blanco y negro, sino a otro perro marrón y blanco.")</f>
        <v>Luego, el dueño camina más hacia la hierba que se aferran a Frisbees y no solo se une al perro blanco y negro, sino a otro perro marrón y blanco.</v>
      </c>
    </row>
    <row r="14625">
      <c r="A14625" s="4" t="s">
        <v>18412</v>
      </c>
      <c r="B14625" s="4" t="s">
        <v>18415</v>
      </c>
      <c r="C14625" s="5" t="str">
        <f>IFERROR(__xludf.DUMMYFUNCTION("GOOGLETRANSLATE(B14625,""en"",""es-ES"")"),"El hombre comienza a tirar a los Frisbees en el aire y los perros se turnan para atraparlos y hacer trucos para obtenerlos que incluso incluyen saltar sobre la espalda del hombre.")</f>
        <v>El hombre comienza a tirar a los Frisbees en el aire y los perros se turnan para atraparlos y hacer trucos para obtenerlos que incluso incluyen saltar sobre la espalda del hombre.</v>
      </c>
    </row>
    <row r="14626">
      <c r="A14626" s="4" t="s">
        <v>18416</v>
      </c>
      <c r="B14626" s="4" t="s">
        <v>18417</v>
      </c>
      <c r="C14626" s="5" t="str">
        <f>IFERROR(__xludf.DUMMYFUNCTION("GOOGLETRANSLATE(B14626,""en"",""es-ES"")"),"La gente monta a caballo en un campo.")</f>
        <v>La gente monta a caballo en un campo.</v>
      </c>
    </row>
    <row r="14627">
      <c r="A14627" s="4" t="s">
        <v>18416</v>
      </c>
      <c r="B14627" s="4" t="s">
        <v>18418</v>
      </c>
      <c r="C14627" s="5" t="str">
        <f>IFERROR(__xludf.DUMMYFUNCTION("GOOGLETRANSLATE(B14627,""en"",""es-ES"")"),"Están jugando polo en caballos.")</f>
        <v>Están jugando polo en caballos.</v>
      </c>
    </row>
    <row r="14628">
      <c r="A14628" s="4" t="s">
        <v>18416</v>
      </c>
      <c r="B14628" s="4" t="s">
        <v>18419</v>
      </c>
      <c r="C14628" s="5" t="str">
        <f>IFERROR(__xludf.DUMMYFUNCTION("GOOGLETRANSLATE(B14628,""en"",""es-ES"")"),"Una persona parada al margen agita una bandera blanca.")</f>
        <v>Una persona parada al margen agita una bandera blanca.</v>
      </c>
    </row>
    <row r="14629">
      <c r="A14629" s="4" t="s">
        <v>18420</v>
      </c>
      <c r="B14629" s="4" t="s">
        <v>18421</v>
      </c>
      <c r="C14629" s="5" t="str">
        <f>IFERROR(__xludf.DUMMYFUNCTION("GOOGLETRANSLATE(B14629,""en"",""es-ES"")"),"Dos chicas caminan hasta una piscina, listas para bucear.")</f>
        <v>Dos chicas caminan hasta una piscina, listas para bucear.</v>
      </c>
    </row>
    <row r="14630">
      <c r="A14630" s="4" t="s">
        <v>18420</v>
      </c>
      <c r="B14630" s="4" t="s">
        <v>18422</v>
      </c>
      <c r="C14630" s="5" t="str">
        <f>IFERROR(__xludf.DUMMYFUNCTION("GOOGLETRANSLATE(B14630,""en"",""es-ES"")"),"Uno de ellos levanta los brazos en el aire, luego se sumerge en el agua antes de surgir.")</f>
        <v>Uno de ellos levanta los brazos en el aire, luego se sumerge en el agua antes de surgir.</v>
      </c>
    </row>
    <row r="14631">
      <c r="A14631" s="4" t="s">
        <v>18423</v>
      </c>
      <c r="B14631" s="4" t="s">
        <v>18424</v>
      </c>
      <c r="C14631" s="5" t="str">
        <f>IFERROR(__xludf.DUMMYFUNCTION("GOOGLETRANSLATE(B14631,""en"",""es-ES"")"),"Se aplica una herramienta de soldadura a una superficie.")</f>
        <v>Se aplica una herramienta de soldadura a una superficie.</v>
      </c>
    </row>
    <row r="14632">
      <c r="A14632" s="4" t="s">
        <v>18423</v>
      </c>
      <c r="B14632" s="4" t="s">
        <v>18425</v>
      </c>
      <c r="C14632" s="5" t="str">
        <f>IFERROR(__xludf.DUMMYFUNCTION("GOOGLETRANSLATE(B14632,""en"",""es-ES"")"),"Un tipo que sostiene una herramienta de soldadura lleva un casco.")</f>
        <v>Un tipo que sostiene una herramienta de soldadura lleva un casco.</v>
      </c>
    </row>
    <row r="14633">
      <c r="A14633" s="4" t="s">
        <v>18423</v>
      </c>
      <c r="B14633" s="4" t="s">
        <v>18426</v>
      </c>
      <c r="C14633" s="5" t="str">
        <f>IFERROR(__xludf.DUMMYFUNCTION("GOOGLETRANSLATE(B14633,""en"",""es-ES"")"),"Dos manos enguantadas usan una pistola de soldadura y pegan en un objeto.")</f>
        <v>Dos manos enguantadas usan una pistola de soldadura y pegan en un objeto.</v>
      </c>
    </row>
    <row r="14634">
      <c r="A14634" s="4" t="s">
        <v>18427</v>
      </c>
      <c r="B14634" s="4" t="s">
        <v>18428</v>
      </c>
      <c r="C14634" s="5" t="str">
        <f>IFERROR(__xludf.DUMMYFUNCTION("GOOGLETRANSLATE(B14634,""en"",""es-ES"")"),"Un hombre está vestido con una armadura medieval oscura.")</f>
        <v>Un hombre está vestido con una armadura medieval oscura.</v>
      </c>
    </row>
    <row r="14635">
      <c r="A14635" s="4" t="s">
        <v>18427</v>
      </c>
      <c r="B14635" s="4" t="s">
        <v>18429</v>
      </c>
      <c r="C14635" s="5" t="str">
        <f>IFERROR(__xludf.DUMMYFUNCTION("GOOGLETRANSLATE(B14635,""en"",""es-ES"")"),"Varios casos de hombres vestidos con diferentes tipos de armadura y sosteniendo varios escudos están mostrando justos entre sí.")</f>
        <v>Varios casos de hombres vestidos con diferentes tipos de armadura y sosteniendo varios escudos están mostrando justos entre sí.</v>
      </c>
    </row>
    <row r="14636">
      <c r="A14636" s="4" t="s">
        <v>18427</v>
      </c>
      <c r="B14636" s="4" t="s">
        <v>18430</v>
      </c>
      <c r="C14636" s="5" t="str">
        <f>IFERROR(__xludf.DUMMYFUNCTION("GOOGLETRANSLATE(B14636,""en"",""es-ES"")"),"Finalmente, el hombre con el escudo redondo es derrotado cuando cae al suelo y apuñalado en la parte de atrás.")</f>
        <v>Finalmente, el hombre con el escudo redondo es derrotado cuando cae al suelo y apuñalado en la parte de atrás.</v>
      </c>
    </row>
    <row r="14637">
      <c r="A14637" s="4" t="s">
        <v>18427</v>
      </c>
      <c r="B14637" s="4" t="s">
        <v>18431</v>
      </c>
      <c r="C14637" s="5" t="str">
        <f>IFERROR(__xludf.DUMMYFUNCTION("GOOGLETRANSLATE(B14637,""en"",""es-ES"")"),"El ganador ahora se justifica contra un hombre que lleva un escudo en forma de diamante azul.")</f>
        <v>El ganador ahora se justifica contra un hombre que lleva un escudo en forma de diamante azul.</v>
      </c>
    </row>
    <row r="14638">
      <c r="A14638" s="4" t="s">
        <v>18427</v>
      </c>
      <c r="B14638" s="4" t="s">
        <v>18432</v>
      </c>
      <c r="C14638" s="5" t="str">
        <f>IFERROR(__xludf.DUMMYFUNCTION("GOOGLETRANSLATE(B14638,""en"",""es-ES"")"),"Se justifican varias veces, pero el hombre con el escudo azul es derrotado cuando es golpeado en la cabeza y el pecho y cae sobre su espalda sobre las rodillas del otro guerrero.")</f>
        <v>Se justifican varias veces, pero el hombre con el escudo azul es derrotado cuando es golpeado en la cabeza y el pecho y cae sobre su espalda sobre las rodillas del otro guerrero.</v>
      </c>
    </row>
    <row r="14639">
      <c r="A14639" s="4" t="s">
        <v>18427</v>
      </c>
      <c r="B14639" s="4" t="s">
        <v>18433</v>
      </c>
      <c r="C14639" s="5" t="str">
        <f>IFERROR(__xludf.DUMMYFUNCTION("GOOGLETRANSLATE(B14639,""en"",""es-ES"")"),"Se muestra un primer plano del guerrero sobreviviente, claramente satisfecho con sus victorias.")</f>
        <v>Se muestra un primer plano del guerrero sobreviviente, claramente satisfecho con sus victorias.</v>
      </c>
    </row>
    <row r="14640">
      <c r="A14640" s="4" t="s">
        <v>18434</v>
      </c>
      <c r="B14640" s="4" t="s">
        <v>18435</v>
      </c>
      <c r="C14640" s="5" t="str">
        <f>IFERROR(__xludf.DUMMYFUNCTION("GOOGLETRANSLATE(B14640,""en"",""es-ES"")"),"El video comienza con una secuencia de título y logotipo.")</f>
        <v>El video comienza con una secuencia de título y logotipo.</v>
      </c>
    </row>
    <row r="14641">
      <c r="A14641" s="4" t="s">
        <v>18434</v>
      </c>
      <c r="B14641" s="4" t="s">
        <v>18436</v>
      </c>
      <c r="C14641" s="5" t="str">
        <f>IFERROR(__xludf.DUMMYFUNCTION("GOOGLETRANSLATE(B14641,""en"",""es-ES"")"),"Varios clips comienzan a jugar con los campos de voleibol con espectadores.")</f>
        <v>Varios clips comienzan a jugar con los campos de voleibol con espectadores.</v>
      </c>
    </row>
    <row r="14642">
      <c r="A14642" s="4" t="s">
        <v>18434</v>
      </c>
      <c r="B14642" s="4" t="s">
        <v>18437</v>
      </c>
      <c r="C14642" s="5" t="str">
        <f>IFERROR(__xludf.DUMMYFUNCTION("GOOGLETRANSLATE(B14642,""en"",""es-ES"")"),"El primer clip muestra a los jugadores celebrando.")</f>
        <v>El primer clip muestra a los jugadores celebrando.</v>
      </c>
    </row>
    <row r="14643">
      <c r="A14643" s="4" t="s">
        <v>18434</v>
      </c>
      <c r="B14643" s="4" t="s">
        <v>18438</v>
      </c>
      <c r="C14643" s="5" t="str">
        <f>IFERROR(__xludf.DUMMYFUNCTION("GOOGLETRANSLATE(B14643,""en"",""es-ES"")"),"El video pasa a los miembros de una banda.")</f>
        <v>El video pasa a los miembros de una banda.</v>
      </c>
    </row>
    <row r="14644">
      <c r="A14644" s="4" t="s">
        <v>18434</v>
      </c>
      <c r="B14644" s="4" t="s">
        <v>18439</v>
      </c>
      <c r="C14644" s="5" t="str">
        <f>IFERROR(__xludf.DUMMYFUNCTION("GOOGLETRANSLATE(B14644,""en"",""es-ES"")"),"Luego continúa mostrando clips de hombres jugando voleibol.")</f>
        <v>Luego continúa mostrando clips de hombres jugando voleibol.</v>
      </c>
    </row>
    <row r="14645">
      <c r="A14645" s="4" t="s">
        <v>18434</v>
      </c>
      <c r="B14645" s="4" t="s">
        <v>18440</v>
      </c>
      <c r="C14645" s="5" t="str">
        <f>IFERROR(__xludf.DUMMYFUNCTION("GOOGLETRANSLATE(B14645,""en"",""es-ES"")"),"El video termina con un primer plano de la audiencia y una secuencia de título.")</f>
        <v>El video termina con un primer plano de la audiencia y una secuencia de título.</v>
      </c>
    </row>
    <row r="14646">
      <c r="A14646" s="4" t="s">
        <v>18441</v>
      </c>
      <c r="B14646" s="4" t="s">
        <v>18442</v>
      </c>
      <c r="C14646" s="5" t="str">
        <f>IFERROR(__xludf.DUMMYFUNCTION("GOOGLETRANSLATE(B14646,""en"",""es-ES"")"),"La gente comienza a sumergirse en una piscina vacía y las ves debajo del agua.")</f>
        <v>La gente comienza a sumergirse en una piscina vacía y las ves debajo del agua.</v>
      </c>
    </row>
    <row r="14647">
      <c r="A14647" s="4" t="s">
        <v>18441</v>
      </c>
      <c r="B14647" s="4" t="s">
        <v>18443</v>
      </c>
      <c r="C14647" s="5" t="str">
        <f>IFERROR(__xludf.DUMMYFUNCTION("GOOGLETRANSLATE(B14647,""en"",""es-ES"")"),"Luego, por encima del tablero de buceo, se están quedando dos nadadores y uno de ellos se sumerge.")</f>
        <v>Luego, por encima del tablero de buceo, se están quedando dos nadadores y uno de ellos se sumerge.</v>
      </c>
    </row>
    <row r="14648">
      <c r="A14648" s="4" t="s">
        <v>18441</v>
      </c>
      <c r="B14648" s="4" t="s">
        <v>18444</v>
      </c>
      <c r="C14648" s="5" t="str">
        <f>IFERROR(__xludf.DUMMYFUNCTION("GOOGLETRANSLATE(B14648,""en"",""es-ES"")"),"Un grupo de niños que sostienen la película de la cámara se sumergen y se ponen trucos geniales y se voltean en la piscina.")</f>
        <v>Un grupo de niños que sostienen la película de la cámara se sumergen y se ponen trucos geniales y se voltean en la piscina.</v>
      </c>
    </row>
    <row r="14649">
      <c r="A14649" s="4" t="s">
        <v>18441</v>
      </c>
      <c r="B14649" s="4" t="s">
        <v>18445</v>
      </c>
      <c r="C14649" s="5" t="str">
        <f>IFERROR(__xludf.DUMMYFUNCTION("GOOGLETRANSLATE(B14649,""en"",""es-ES"")"),"Desde muy altos, registran su vista desde la parte superior hasta el agua y la natación una vez que están adentro.")</f>
        <v>Desde muy altos, registran su vista desde la parte superior hasta el agua y la natación una vez que están adentro.</v>
      </c>
    </row>
    <row r="14650">
      <c r="A14650" s="4" t="s">
        <v>18446</v>
      </c>
      <c r="B14650" s="4" t="s">
        <v>18447</v>
      </c>
      <c r="C14650" s="5" t="str">
        <f>IFERROR(__xludf.DUMMYFUNCTION("GOOGLETRANSLATE(B14650,""en"",""es-ES"")"),"Dos mujeres de lucha luchan en un anillo.")</f>
        <v>Dos mujeres de lucha luchan en un anillo.</v>
      </c>
    </row>
    <row r="14651">
      <c r="A14651" s="4" t="s">
        <v>18446</v>
      </c>
      <c r="B14651" s="4" t="s">
        <v>18448</v>
      </c>
      <c r="C14651" s="5" t="str">
        <f>IFERROR(__xludf.DUMMYFUNCTION("GOOGLETRANSLATE(B14651,""en"",""es-ES"")"),"Hacen un suplex, y el árbitro cuenta con tres mientras gana la mujer de cabello oscuro.")</f>
        <v>Hacen un suplex, y el árbitro cuenta con tres mientras gana la mujer de cabello oscuro.</v>
      </c>
    </row>
    <row r="14652">
      <c r="A14652" s="4" t="s">
        <v>18449</v>
      </c>
      <c r="B14652" s="4" t="s">
        <v>18450</v>
      </c>
      <c r="C14652" s="5" t="str">
        <f>IFERROR(__xludf.DUMMYFUNCTION("GOOGLETRANSLATE(B14652,""en"",""es-ES"")"),"Un grupo de niños está jugando a la pelota en una cancha.")</f>
        <v>Un grupo de niños está jugando a la pelota en una cancha.</v>
      </c>
    </row>
    <row r="14653">
      <c r="A14653" s="4" t="s">
        <v>18449</v>
      </c>
      <c r="B14653" s="4" t="s">
        <v>18451</v>
      </c>
      <c r="C14653" s="5" t="str">
        <f>IFERROR(__xludf.DUMMYFUNCTION("GOOGLETRANSLATE(B14653,""en"",""es-ES"")"),"Están siendo guiados por su entrenador.")</f>
        <v>Están siendo guiados por su entrenador.</v>
      </c>
    </row>
    <row r="14654">
      <c r="A14654" s="4" t="s">
        <v>18449</v>
      </c>
      <c r="B14654" s="4" t="s">
        <v>18452</v>
      </c>
      <c r="C14654" s="5" t="str">
        <f>IFERROR(__xludf.DUMMYFUNCTION("GOOGLETRANSLATE(B14654,""en"",""es-ES"")"),"Corren con las bolas, tratando de hacer canastas.")</f>
        <v>Corren con las bolas, tratando de hacer canastas.</v>
      </c>
    </row>
    <row r="14655">
      <c r="A14655" s="4" t="s">
        <v>18453</v>
      </c>
      <c r="B14655" s="4" t="s">
        <v>18454</v>
      </c>
      <c r="C14655" s="5" t="str">
        <f>IFERROR(__xludf.DUMMYFUNCTION("GOOGLETRANSLATE(B14655,""en"",""es-ES"")"),"Una mano llena una taza con agua.")</f>
        <v>Una mano llena una taza con agua.</v>
      </c>
    </row>
    <row r="14656">
      <c r="A14656" s="4" t="s">
        <v>18453</v>
      </c>
      <c r="B14656" s="4" t="s">
        <v>18455</v>
      </c>
      <c r="C14656" s="5" t="str">
        <f>IFERROR(__xludf.DUMMYFUNCTION("GOOGLETRANSLATE(B14656,""en"",""es-ES"")"),"Una mujer pone dos vasos en el mostrador.")</f>
        <v>Una mujer pone dos vasos en el mostrador.</v>
      </c>
    </row>
    <row r="14657">
      <c r="A14657" s="4" t="s">
        <v>18453</v>
      </c>
      <c r="B14657" s="4" t="s">
        <v>18456</v>
      </c>
      <c r="C14657" s="5" t="str">
        <f>IFERROR(__xludf.DUMMYFUNCTION("GOOGLETRANSLATE(B14657,""en"",""es-ES"")"),"La mujer pone cerveza y jugo de naranja en un gran vaso, luego vierte licor en el pequeño vaso.")</f>
        <v>La mujer pone cerveza y jugo de naranja en un gran vaso, luego vierte licor en el pequeño vaso.</v>
      </c>
    </row>
    <row r="14658">
      <c r="A14658" s="4" t="s">
        <v>18453</v>
      </c>
      <c r="B14658" s="4" t="s">
        <v>18457</v>
      </c>
      <c r="C14658" s="5" t="str">
        <f>IFERROR(__xludf.DUMMYFUNCTION("GOOGLETRANSLATE(B14658,""en"",""es-ES"")"),"Después, la mujer pone el pequeño vaso dentro del gran vaso.")</f>
        <v>Después, la mujer pone el pequeño vaso dentro del gran vaso.</v>
      </c>
    </row>
    <row r="14659">
      <c r="A14659" s="4" t="s">
        <v>18458</v>
      </c>
      <c r="B14659" s="4" t="s">
        <v>18459</v>
      </c>
      <c r="C14659" s="5" t="str">
        <f>IFERROR(__xludf.DUMMYFUNCTION("GOOGLETRANSLATE(B14659,""en"",""es-ES"")"),"Se muestra una gran ola seguida por una persona de pie en una tabla de surf.")</f>
        <v>Se muestra una gran ola seguida por una persona de pie en una tabla de surf.</v>
      </c>
    </row>
    <row r="14660">
      <c r="A14660" s="4" t="s">
        <v>18458</v>
      </c>
      <c r="B14660" s="4" t="s">
        <v>18460</v>
      </c>
      <c r="C14660" s="5" t="str">
        <f>IFERROR(__xludf.DUMMYFUNCTION("GOOGLETRANSLATE(B14660,""en"",""es-ES"")"),"Se muestra a la persona navegando a lo largo del agua mientras la cámara filma desde atrás.")</f>
        <v>Se muestra a la persona navegando a lo largo del agua mientras la cámara filma desde atrás.</v>
      </c>
    </row>
    <row r="14661">
      <c r="A14661" s="4" t="s">
        <v>18458</v>
      </c>
      <c r="B14661" s="4" t="s">
        <v>18461</v>
      </c>
      <c r="C14661" s="5" t="str">
        <f>IFERROR(__xludf.DUMMYFUNCTION("GOOGLETRANSLATE(B14661,""en"",""es-ES"")"),"El hombre continúa surfeando y se remula hacia un bote.")</f>
        <v>El hombre continúa surfeando y se remula hacia un bote.</v>
      </c>
    </row>
    <row r="14662">
      <c r="A14662" s="4" t="s">
        <v>18462</v>
      </c>
      <c r="B14662" s="4" t="s">
        <v>18463</v>
      </c>
      <c r="C14662" s="5" t="str">
        <f>IFERROR(__xludf.DUMMYFUNCTION("GOOGLETRANSLATE(B14662,""en"",""es-ES"")"),"Un hombre con una camisa roja conduce un tractor naranja alrededor del césped.")</f>
        <v>Un hombre con una camisa roja conduce un tractor naranja alrededor del césped.</v>
      </c>
    </row>
    <row r="14663">
      <c r="A14663" s="4" t="s">
        <v>18462</v>
      </c>
      <c r="B14663" s="4" t="s">
        <v>18464</v>
      </c>
      <c r="C14663" s="5" t="str">
        <f>IFERROR(__xludf.DUMMYFUNCTION("GOOGLETRANSLATE(B14663,""en"",""es-ES"")"),"Un perro corre por el patio.")</f>
        <v>Un perro corre por el patio.</v>
      </c>
    </row>
    <row r="14664">
      <c r="A14664" s="4" t="s">
        <v>18462</v>
      </c>
      <c r="B14664" s="4" t="s">
        <v>18465</v>
      </c>
      <c r="C14664" s="5" t="str">
        <f>IFERROR(__xludf.DUMMYFUNCTION("GOOGLETRANSLATE(B14664,""en"",""es-ES"")"),"Una mujer conduce el tractor naranja.")</f>
        <v>Una mujer conduce el tractor naranja.</v>
      </c>
    </row>
    <row r="14665">
      <c r="A14665" s="4" t="s">
        <v>18466</v>
      </c>
      <c r="B14665" s="4" t="s">
        <v>18467</v>
      </c>
      <c r="C14665" s="5" t="str">
        <f>IFERROR(__xludf.DUMMYFUNCTION("GOOGLETRANSLATE(B14665,""en"",""es-ES"")"),"Se ven dos mujeres caminando en el escenario y conducen a ellas realizando una rutina de baile del vientre.")</f>
        <v>Se ven dos mujeres caminando en el escenario y conducen a ellas realizando una rutina de baile del vientre.</v>
      </c>
    </row>
    <row r="14666">
      <c r="A14666" s="4" t="s">
        <v>18466</v>
      </c>
      <c r="B14666" s="4" t="s">
        <v>18468</v>
      </c>
      <c r="C14666" s="5" t="str">
        <f>IFERROR(__xludf.DUMMYFUNCTION("GOOGLETRANSLATE(B14666,""en"",""es-ES"")"),"Las mujeres bailan por todo el escenario mientras las luces parpadean a su alrededor.")</f>
        <v>Las mujeres bailan por todo el escenario mientras las luces parpadean a su alrededor.</v>
      </c>
    </row>
    <row r="14667">
      <c r="A14667" s="4" t="s">
        <v>18466</v>
      </c>
      <c r="B14667" s="4" t="s">
        <v>18469</v>
      </c>
      <c r="C14667" s="5" t="str">
        <f>IFERROR(__xludf.DUMMYFUNCTION("GOOGLETRANSLATE(B14667,""en"",""es-ES"")"),"Las mujeres continúan bailando entre sí y terminan riéndose entre ellas.")</f>
        <v>Las mujeres continúan bailando entre sí y terminan riéndose entre ellas.</v>
      </c>
    </row>
    <row r="14668">
      <c r="A14668" s="4" t="s">
        <v>18470</v>
      </c>
      <c r="B14668" s="4" t="s">
        <v>18471</v>
      </c>
      <c r="C14668" s="5" t="str">
        <f>IFERROR(__xludf.DUMMYFUNCTION("GOOGLETRANSLATE(B14668,""en"",""es-ES"")"),"Una mujer de noticias está hablando con una cámara.")</f>
        <v>Una mujer de noticias está hablando con una cámara.</v>
      </c>
    </row>
    <row r="14669">
      <c r="A14669" s="4" t="s">
        <v>18470</v>
      </c>
      <c r="B14669" s="4" t="s">
        <v>18472</v>
      </c>
      <c r="C14669" s="5" t="str">
        <f>IFERROR(__xludf.DUMMYFUNCTION("GOOGLETRANSLATE(B14669,""en"",""es-ES"")"),"Ella tiene una conversación con un hombre que también es un presentador de noticias.")</f>
        <v>Ella tiene una conversación con un hombre que también es un presentador de noticias.</v>
      </c>
    </row>
    <row r="14670">
      <c r="A14670" s="4" t="s">
        <v>18470</v>
      </c>
      <c r="B14670" s="4" t="s">
        <v>18473</v>
      </c>
      <c r="C14670" s="5" t="str">
        <f>IFERROR(__xludf.DUMMYFUNCTION("GOOGLETRANSLATE(B14670,""en"",""es-ES"")"),"Las imágenes de moldes de manos se muestran en el fondo.")</f>
        <v>Las imágenes de moldes de manos se muestran en el fondo.</v>
      </c>
    </row>
    <row r="14671">
      <c r="A14671" s="4" t="s">
        <v>18474</v>
      </c>
      <c r="B14671" s="4" t="s">
        <v>18475</v>
      </c>
      <c r="C14671" s="5" t="str">
        <f>IFERROR(__xludf.DUMMYFUNCTION("GOOGLETRANSLATE(B14671,""en"",""es-ES"")"),"Aparece una pantalla negra y las palabras blancas en ella decían ""Rob Lane es el hombre de Millionairemintenance"".")</f>
        <v>Aparece una pantalla negra y las palabras blancas en ella decían "Rob Lane es el hombre de Millionairemintenance".</v>
      </c>
    </row>
    <row r="14672">
      <c r="A14672" s="4" t="s">
        <v>18474</v>
      </c>
      <c r="B14672" s="4" t="s">
        <v>18476</v>
      </c>
      <c r="C14672" s="5" t="str">
        <f>IFERROR(__xludf.DUMMYFUNCTION("GOOGLETRANSLATE(B14672,""en"",""es-ES"")"),"Un hombre que usa vasos aparece al aire libre frente a una cerca y sostiene una máquina de cepillo de aire y habla.")</f>
        <v>Un hombre que usa vasos aparece al aire libre frente a una cerca y sostiene una máquina de cepillo de aire y habla.</v>
      </c>
    </row>
    <row r="14673">
      <c r="A14673" s="4" t="s">
        <v>18474</v>
      </c>
      <c r="B14673" s="4" t="s">
        <v>18477</v>
      </c>
      <c r="C14673" s="5" t="str">
        <f>IFERROR(__xludf.DUMMYFUNCTION("GOOGLETRANSLATE(B14673,""en"",""es-ES"")"),"El hombre luego se da vuelta y camina hacia la cerca y comienza a aerógrafo sobre él.")</f>
        <v>El hombre luego se da vuelta y camina hacia la cerca y comienza a aerógrafo sobre él.</v>
      </c>
    </row>
    <row r="14674">
      <c r="A14674" s="4" t="s">
        <v>18474</v>
      </c>
      <c r="B14674" s="4" t="s">
        <v>18478</v>
      </c>
      <c r="C14674" s="5" t="str">
        <f>IFERROR(__xludf.DUMMYFUNCTION("GOOGLETRANSLATE(B14674,""en"",""es-ES"")"),"El hombre deja de aerógrafo y comienza a hablar nuevamente mientras se pone gestionando la cerca y hacia esta máquina de aerógrafo.")</f>
        <v>El hombre deja de aerógrafo y comienza a hablar nuevamente mientras se pone gestionando la cerca y hacia esta máquina de aerógrafo.</v>
      </c>
    </row>
    <row r="14675">
      <c r="A14675" s="4" t="s">
        <v>18479</v>
      </c>
      <c r="B14675" s="4" t="s">
        <v>18480</v>
      </c>
      <c r="C14675" s="5" t="str">
        <f>IFERROR(__xludf.DUMMYFUNCTION("GOOGLETRANSLATE(B14675,""en"",""es-ES"")"),"Se ve a una mujer hablando con la cámara mientras una pequeña mesa de fooseball se sienta ante ella.")</f>
        <v>Se ve a una mujer hablando con la cámara mientras una pequeña mesa de fooseball se sienta ante ella.</v>
      </c>
    </row>
    <row r="14676">
      <c r="A14676" s="4" t="s">
        <v>18479</v>
      </c>
      <c r="B14676" s="4" t="s">
        <v>18481</v>
      </c>
      <c r="C14676" s="5" t="str">
        <f>IFERROR(__xludf.DUMMYFUNCTION("GOOGLETRANSLATE(B14676,""en"",""es-ES"")"),"La mujer continúa hablando mientras gira por el juego ocasionalmente y la lleva a jugar con otra chica.")</f>
        <v>La mujer continúa hablando mientras gira por el juego ocasionalmente y la lleva a jugar con otra chica.</v>
      </c>
    </row>
    <row r="14677">
      <c r="A14677" s="4" t="s">
        <v>18482</v>
      </c>
      <c r="B14677" s="4" t="s">
        <v>18483</v>
      </c>
      <c r="C14677" s="5" t="str">
        <f>IFERROR(__xludf.DUMMYFUNCTION("GOOGLETRANSLATE(B14677,""en"",""es-ES"")"),"Un idiota aparece en la pantalla con las palabras ""Catalyst Athletics"" superpuesto.")</f>
        <v>Un idiota aparece en la pantalla con las palabras "Catalyst Athletics" superpuesto.</v>
      </c>
    </row>
    <row r="14678">
      <c r="A14678" s="4" t="s">
        <v>18482</v>
      </c>
      <c r="B14678" s="4" t="s">
        <v>18484</v>
      </c>
      <c r="C14678" s="5" t="str">
        <f>IFERROR(__xludf.DUMMYFUNCTION("GOOGLETRANSLATE(B14678,""en"",""es-ES"")"),"Un hombre levanta pesas sobre su cabeza en un gimnasio.")</f>
        <v>Un hombre levanta pesas sobre su cabeza en un gimnasio.</v>
      </c>
    </row>
    <row r="14679">
      <c r="A14679" s="4" t="s">
        <v>18482</v>
      </c>
      <c r="B14679" s="4" t="s">
        <v>18485</v>
      </c>
      <c r="C14679" s="5" t="str">
        <f>IFERROR(__xludf.DUMMYFUNCTION("GOOGLETRANSLATE(B14679,""en"",""es-ES"")"),"Una mujer luego levanta pesas sobre su cabeza.")</f>
        <v>Una mujer luego levanta pesas sobre su cabeza.</v>
      </c>
    </row>
    <row r="14680">
      <c r="A14680" s="4" t="s">
        <v>18482</v>
      </c>
      <c r="B14680" s="4" t="s">
        <v>18486</v>
      </c>
      <c r="C14680" s="5" t="str">
        <f>IFERROR(__xludf.DUMMYFUNCTION("GOOGLETRANSLATE(B14680,""en"",""es-ES"")"),"Aparece un logotipo de ""Catalyst Athletics"" con los enlaces de las redes sociales.")</f>
        <v>Aparece un logotipo de "Catalyst Athletics" con los enlaces de las redes sociales.</v>
      </c>
    </row>
    <row r="14681">
      <c r="A14681" s="4" t="s">
        <v>18487</v>
      </c>
      <c r="B14681" s="4" t="s">
        <v>18488</v>
      </c>
      <c r="C14681" s="5" t="str">
        <f>IFERROR(__xludf.DUMMYFUNCTION("GOOGLETRANSLATE(B14681,""en"",""es-ES"")"),"Un niño está equilibrado al final de una tabla de buceo.")</f>
        <v>Un niño está equilibrado al final de una tabla de buceo.</v>
      </c>
    </row>
    <row r="14682">
      <c r="A14682" s="4" t="s">
        <v>18487</v>
      </c>
      <c r="B14682" s="4" t="s">
        <v>18489</v>
      </c>
      <c r="C14682" s="5" t="str">
        <f>IFERROR(__xludf.DUMMYFUNCTION("GOOGLETRANSLATE(B14682,""en"",""es-ES"")"),"Se sumerge, volteando hacia atrás a medida que avanza.")</f>
        <v>Se sumerge, volteando hacia atrás a medida que avanza.</v>
      </c>
    </row>
    <row r="14683">
      <c r="A14683" s="4" t="s">
        <v>18487</v>
      </c>
      <c r="B14683" s="4" t="s">
        <v>18490</v>
      </c>
      <c r="C14683" s="5" t="str">
        <f>IFERROR(__xludf.DUMMYFUNCTION("GOOGLETRANSLATE(B14683,""en"",""es-ES"")"),"Él aterriza con gracia en el agua.")</f>
        <v>Él aterriza con gracia en el agua.</v>
      </c>
    </row>
    <row r="14684">
      <c r="A14684" s="4" t="s">
        <v>18491</v>
      </c>
      <c r="B14684" s="4" t="s">
        <v>18492</v>
      </c>
      <c r="C14684" s="5" t="str">
        <f>IFERROR(__xludf.DUMMYFUNCTION("GOOGLETRANSLATE(B14684,""en"",""es-ES"")"),"Un hombre usa un cepillo de curso y una toalla de mano para preparar el esquí para trabajar mientras se sienta en un estante.")</f>
        <v>Un hombre usa un cepillo de curso y una toalla de mano para preparar el esquí para trabajar mientras se sienta en un estante.</v>
      </c>
    </row>
    <row r="14685">
      <c r="A14685" s="4" t="s">
        <v>18491</v>
      </c>
      <c r="B14685" s="4" t="s">
        <v>18493</v>
      </c>
      <c r="C14685" s="5" t="str">
        <f>IFERROR(__xludf.DUMMYFUNCTION("GOOGLETRANSLATE(B14685,""en"",""es-ES"")"),"El hombre derrite una barra de cera a través de la superficie de esquí con un hierro y luego lo usa para mezclar en la cera.")</f>
        <v>El hombre derrite una barra de cera a través de la superficie de esquí con un hierro y luego lo usa para mezclar en la cera.</v>
      </c>
    </row>
    <row r="14686">
      <c r="A14686" s="4" t="s">
        <v>18491</v>
      </c>
      <c r="B14686" s="4" t="s">
        <v>18494</v>
      </c>
      <c r="C14686" s="5" t="str">
        <f>IFERROR(__xludf.DUMMYFUNCTION("GOOGLETRANSLATE(B14686,""en"",""es-ES"")"),"Un hombre agudiza un borde plano y luego raspa la capa externa de cera de la superficie de esquís.")</f>
        <v>Un hombre agudiza un borde plano y luego raspa la capa externa de cera de la superficie de esquís.</v>
      </c>
    </row>
    <row r="14687">
      <c r="A14687" s="4" t="s">
        <v>18491</v>
      </c>
      <c r="B14687" s="4" t="s">
        <v>18495</v>
      </c>
      <c r="C14687" s="5" t="str">
        <f>IFERROR(__xludf.DUMMYFUNCTION("GOOGLETRANSLATE(B14687,""en"",""es-ES"")"),"El hombre usa un cepillo de curso y luego una toalla para terminar de preparar la superficie de esquís.")</f>
        <v>El hombre usa un cepillo de curso y luego una toalla para terminar de preparar la superficie de esquís.</v>
      </c>
    </row>
    <row r="14688">
      <c r="A14688" s="4" t="s">
        <v>18496</v>
      </c>
      <c r="B14688" s="4" t="s">
        <v>18497</v>
      </c>
      <c r="C14688" s="5" t="str">
        <f>IFERROR(__xludf.DUMMYFUNCTION("GOOGLETRANSLATE(B14688,""en"",""es-ES"")"),"Se muestra un plato de cabonara cremoso y los ingredientes aparecen en pequeños platos transparentes.")</f>
        <v>Se muestra un plato de cabonara cremoso y los ingredientes aparecen en pequeños platos transparentes.</v>
      </c>
    </row>
    <row r="14689">
      <c r="A14689" s="4" t="s">
        <v>18496</v>
      </c>
      <c r="B14689" s="4" t="s">
        <v>18498</v>
      </c>
      <c r="C14689" s="5" t="str">
        <f>IFERROR(__xludf.DUMMYFUNCTION("GOOGLETRANSLATE(B14689,""en"",""es-ES"")"),"Luego se agrega sal a una sartén y el espagueti comienza a hervir.")</f>
        <v>Luego se agrega sal a una sartén y el espagueti comienza a hervir.</v>
      </c>
    </row>
    <row r="14690">
      <c r="A14690" s="4" t="s">
        <v>18496</v>
      </c>
      <c r="B14690" s="4" t="s">
        <v>18499</v>
      </c>
      <c r="C14690" s="5" t="str">
        <f>IFERROR(__xludf.DUMMYFUNCTION("GOOGLETRANSLATE(B14690,""en"",""es-ES"")"),"Luego se coloca un poco de aceite en una sartén y se fríe el tocino y las cebollas canadienses.")</f>
        <v>Luego se coloca un poco de aceite en una sartén y se fríe el tocino y las cebollas canadienses.</v>
      </c>
    </row>
    <row r="14691">
      <c r="A14691" s="4" t="s">
        <v>18496</v>
      </c>
      <c r="B14691" s="4" t="s">
        <v>18500</v>
      </c>
      <c r="C14691" s="5" t="str">
        <f>IFERROR(__xludf.DUMMYFUNCTION("GOOGLETRANSLATE(B14691,""en"",""es-ES"")"),"A continuación, se agregan más ingredientes con pasta y yemas de huevo.")</f>
        <v>A continuación, se agregan más ingredientes con pasta y yemas de huevo.</v>
      </c>
    </row>
    <row r="14692">
      <c r="A14692" s="4" t="s">
        <v>18496</v>
      </c>
      <c r="B14692" s="4" t="s">
        <v>18501</v>
      </c>
      <c r="C14692" s="5" t="str">
        <f>IFERROR(__xludf.DUMMYFUNCTION("GOOGLETRANSLATE(B14692,""en"",""es-ES"")"),"Finalmente, la salsa está hecha y todos los ingredientes se compilan y se agrega queso al plato a medida que se coloca en el plato.")</f>
        <v>Finalmente, la salsa está hecha y todos los ingredientes se compilan y se agrega queso al plato a medida que se coloca en el plato.</v>
      </c>
    </row>
    <row r="14693">
      <c r="A14693" s="4" t="s">
        <v>18496</v>
      </c>
      <c r="B14693" s="4" t="s">
        <v>18502</v>
      </c>
      <c r="C14693" s="5" t="str">
        <f>IFERROR(__xludf.DUMMYFUNCTION("GOOGLETRANSLATE(B14693,""en"",""es-ES"")"),"Después, se muestran más entradas y la pantalla termina en la URL del sitio web de Ulampinoy.")</f>
        <v>Después, se muestran más entradas y la pantalla termina en la URL del sitio web de Ulampinoy.</v>
      </c>
    </row>
    <row r="14694">
      <c r="A14694" s="4" t="s">
        <v>18503</v>
      </c>
      <c r="B14694" s="4" t="s">
        <v>18504</v>
      </c>
      <c r="C14694" s="5" t="str">
        <f>IFERROR(__xludf.DUMMYFUNCTION("GOOGLETRANSLATE(B14694,""en"",""es-ES"")"),"Una mujer demuestra cómo usar un recipiente de pigmento en polvo para hacer muchos productos diferentes de maquillaje de cabello, uñas y faciales.")</f>
        <v>Una mujer demuestra cómo usar un recipiente de pigmento en polvo para hacer muchos productos diferentes de maquillaje de cabello, uñas y faciales.</v>
      </c>
    </row>
    <row r="14695">
      <c r="A14695" s="4" t="s">
        <v>18503</v>
      </c>
      <c r="B14695" s="4" t="s">
        <v>18505</v>
      </c>
      <c r="C14695" s="5" t="str">
        <f>IFERROR(__xludf.DUMMYFUNCTION("GOOGLETRANSLATE(B14695,""en"",""es-ES"")"),"Una mujer habla con la cámara frente a un mostrador lleno de maquillaje.")</f>
        <v>Una mujer habla con la cámara frente a un mostrador lleno de maquillaje.</v>
      </c>
    </row>
    <row r="14696">
      <c r="A14696" s="4" t="s">
        <v>18503</v>
      </c>
      <c r="B14696" s="4" t="s">
        <v>18506</v>
      </c>
      <c r="C14696" s="5" t="str">
        <f>IFERROR(__xludf.DUMMYFUNCTION("GOOGLETRANSLATE(B14696,""en"",""es-ES"")"),"La cámara muestra diferentes piezas de maquillaje con tarjetas de descripciones que lo acompañan entre cortar la mujer que habla.")</f>
        <v>La cámara muestra diferentes piezas de maquillaje con tarjetas de descripciones que lo acompañan entre cortar la mujer que habla.</v>
      </c>
    </row>
    <row r="14697">
      <c r="A14697" s="4" t="s">
        <v>18503</v>
      </c>
      <c r="B14697" s="4" t="s">
        <v>18507</v>
      </c>
      <c r="C14697" s="5" t="str">
        <f>IFERROR(__xludf.DUMMYFUNCTION("GOOGLETRANSLATE(B14697,""en"",""es-ES"")"),"La mujer comienza a aplicar parte del maquillaje en su rostro, incluidos los labios y las uñas a través del esmalte de uñas.")</f>
        <v>La mujer comienza a aplicar parte del maquillaje en su rostro, incluidos los labios y las uñas a través del esmalte de uñas.</v>
      </c>
    </row>
    <row r="14698">
      <c r="A14698" s="4" t="s">
        <v>18503</v>
      </c>
      <c r="B14698" s="4" t="s">
        <v>18508</v>
      </c>
      <c r="C14698" s="5" t="str">
        <f>IFERROR(__xludf.DUMMYFUNCTION("GOOGLETRANSLATE(B14698,""en"",""es-ES"")"),"La mujer usa parte del maquillaje para hacer rayas para el cabello en el cabello de otra persona.")</f>
        <v>La mujer usa parte del maquillaje para hacer rayas para el cabello en el cabello de otra persona.</v>
      </c>
    </row>
    <row r="14699">
      <c r="A14699" s="4" t="s">
        <v>18503</v>
      </c>
      <c r="B14699" s="4" t="s">
        <v>18509</v>
      </c>
      <c r="C14699" s="5" t="str">
        <f>IFERROR(__xludf.DUMMYFUNCTION("GOOGLETRANSLATE(B14699,""en"",""es-ES"")"),"Luego, la mujer usa los contenedores de maquillaje en polvo para hacer cimientos y sombras de ojos antes de sonreír y mostrar toda la línea de colores y mostrar un gráfico de marketing.")</f>
        <v>Luego, la mujer usa los contenedores de maquillaje en polvo para hacer cimientos y sombras de ojos antes de sonreír y mostrar toda la línea de colores y mostrar un gráfico de marketing.</v>
      </c>
    </row>
    <row r="14700">
      <c r="A14700" s="4" t="s">
        <v>18510</v>
      </c>
      <c r="B14700" s="4" t="s">
        <v>18511</v>
      </c>
      <c r="C14700" s="5" t="str">
        <f>IFERROR(__xludf.DUMMYFUNCTION("GOOGLETRANSLATE(B14700,""en"",""es-ES"")"),"Se ve a un pequeño grupo de niños parados en el borde de una piscina y agarrándose por los lados.")</f>
        <v>Se ve a un pequeño grupo de niños parados en el borde de una piscina y agarrándose por los lados.</v>
      </c>
    </row>
    <row r="14701">
      <c r="A14701" s="4" t="s">
        <v>18510</v>
      </c>
      <c r="B14701" s="4" t="s">
        <v>18512</v>
      </c>
      <c r="C14701" s="5" t="str">
        <f>IFERROR(__xludf.DUMMYFUNCTION("GOOGLETRANSLATE(B14701,""en"",""es-ES"")"),"Los muchachos saltan juntos a la piscina a la vez con algunos mirando la cámara.")</f>
        <v>Los muchachos saltan juntos a la piscina a la vez con algunos mirando la cámara.</v>
      </c>
    </row>
    <row r="14702">
      <c r="A14702" s="4" t="s">
        <v>18513</v>
      </c>
      <c r="B14702" s="4" t="s">
        <v>18514</v>
      </c>
      <c r="C14702" s="5" t="str">
        <f>IFERROR(__xludf.DUMMYFUNCTION("GOOGLETRANSLATE(B14702,""en"",""es-ES"")"),"Se ve a un hombre hablando con la cámara mientras la cámara se desplaza a una mesa de tarjetas y al hombre que trae tarjetas.")</f>
        <v>Se ve a un hombre hablando con la cámara mientras la cámara se desplaza a una mesa de tarjetas y al hombre que trae tarjetas.</v>
      </c>
    </row>
    <row r="14703">
      <c r="A14703" s="4" t="s">
        <v>18513</v>
      </c>
      <c r="B14703" s="4" t="s">
        <v>18515</v>
      </c>
      <c r="C14703" s="5" t="str">
        <f>IFERROR(__xludf.DUMMYFUNCTION("GOOGLETRANSLATE(B14703,""en"",""es-ES"")"),"El hombre presenta varias tarjetas mientras se voltea más y apunta a los objetos establecidos en la mesa.")</f>
        <v>El hombre presenta varias tarjetas mientras se voltea más y apunta a los objetos establecidos en la mesa.</v>
      </c>
    </row>
    <row r="14704">
      <c r="A14704" s="4" t="s">
        <v>18516</v>
      </c>
      <c r="B14704" s="4" t="s">
        <v>18517</v>
      </c>
      <c r="C14704" s="5" t="str">
        <f>IFERROR(__xludf.DUMMYFUNCTION("GOOGLETRANSLATE(B14704,""en"",""es-ES"")"),"Varios ingredientes se colocan sobre una mesa y conducen a una persona vertiendo los ingredientes en un tazón.")</f>
        <v>Varios ingredientes se colocan sobre una mesa y conducen a una persona vertiendo los ingredientes en un tazón.</v>
      </c>
    </row>
    <row r="14705">
      <c r="A14705" s="4" t="s">
        <v>18516</v>
      </c>
      <c r="B14705" s="4" t="s">
        <v>18518</v>
      </c>
      <c r="C14705" s="5" t="str">
        <f>IFERROR(__xludf.DUMMYFUNCTION("GOOGLETRANSLATE(B14705,""en"",""es-ES"")"),"La persona se agita a fondo y luego limpia una mesa con un paño.")</f>
        <v>La persona se agita a fondo y luego limpia una mesa con un paño.</v>
      </c>
    </row>
    <row r="14706">
      <c r="A14706" s="4" t="s">
        <v>18519</v>
      </c>
      <c r="B14706" s="4" t="s">
        <v>18520</v>
      </c>
      <c r="C14706" s="5" t="str">
        <f>IFERROR(__xludf.DUMMYFUNCTION("GOOGLETRANSLATE(B14706,""en"",""es-ES"")"),"Un presentador de televisión y una actriz están poniendo Google para tocar rock, papel y tijeras en el frente de un pastel con crema blanca.")</f>
        <v>Un presentador de televisión y una actriz están poniendo Google para tocar rock, papel y tijeras en el frente de un pastel con crema blanca.</v>
      </c>
    </row>
    <row r="14707">
      <c r="A14707" s="4" t="s">
        <v>18519</v>
      </c>
      <c r="B14707" s="4" t="s">
        <v>18521</v>
      </c>
      <c r="C14707" s="5" t="str">
        <f>IFERROR(__xludf.DUMMYFUNCTION("GOOGLETRANSLATE(B14707,""en"",""es-ES"")"),"Después de jugar un rato, la mujer gira un mango que eleva el pastel que aterriza en la faz de la actriz.")</f>
        <v>Después de jugar un rato, la mujer gira un mango que eleva el pastel que aterriza en la faz de la actriz.</v>
      </c>
    </row>
    <row r="14708">
      <c r="A14708" s="4" t="s">
        <v>18519</v>
      </c>
      <c r="B14708" s="4" t="s">
        <v>18522</v>
      </c>
      <c r="C14708" s="5" t="str">
        <f>IFERROR(__xludf.DUMMYFUNCTION("GOOGLETRANSLATE(B14708,""en"",""es-ES"")"),"Luego, el pastel aterriza por segunda vez en la faz de la actriz, así como en la cara del presentador de televisión.")</f>
        <v>Luego, el pastel aterriza por segunda vez en la faz de la actriz, así como en la cara del presentador de televisión.</v>
      </c>
    </row>
    <row r="14709">
      <c r="A14709" s="4" t="s">
        <v>18519</v>
      </c>
      <c r="B14709" s="4" t="s">
        <v>18523</v>
      </c>
      <c r="C14709" s="5" t="str">
        <f>IFERROR(__xludf.DUMMYFUNCTION("GOOGLETRANSLATE(B14709,""en"",""es-ES"")"),"El presentador de televisión se encuentra sosteniendo patos en ambas manos, luego finge comer el pato en la mano derecha.")</f>
        <v>El presentador de televisión se encuentra sosteniendo patos en ambas manos, luego finge comer el pato en la mano derecha.</v>
      </c>
    </row>
    <row r="14710">
      <c r="A14710" s="4" t="s">
        <v>18524</v>
      </c>
      <c r="B14710" s="4" t="s">
        <v>18525</v>
      </c>
      <c r="C14710" s="5" t="str">
        <f>IFERROR(__xludf.DUMMYFUNCTION("GOOGLETRANSLATE(B14710,""en"",""es-ES"")"),"Se muestran varias tomas de una ciudad, así como personas que caminan y hablan entre sí.")</f>
        <v>Se muestran varias tomas de una ciudad, así como personas que caminan y hablan entre sí.</v>
      </c>
    </row>
    <row r="14711">
      <c r="A14711" s="4" t="s">
        <v>18524</v>
      </c>
      <c r="B14711" s="4" t="s">
        <v>18526</v>
      </c>
      <c r="C14711" s="5" t="str">
        <f>IFERROR(__xludf.DUMMYFUNCTION("GOOGLETRANSLATE(B14711,""en"",""es-ES"")"),"Luego se ve a las personas pavimentar a lo largo de las paredes, así como entregar folletos y hablar entre sí.")</f>
        <v>Luego se ve a las personas pavimentar a lo largo de las paredes, así como entregar folletos y hablar entre sí.</v>
      </c>
    </row>
    <row r="14712">
      <c r="A14712" s="4" t="s">
        <v>18524</v>
      </c>
      <c r="B14712" s="4" t="s">
        <v>18527</v>
      </c>
      <c r="C14712" s="5" t="str">
        <f>IFERROR(__xludf.DUMMYFUNCTION("GOOGLETRANSLATE(B14712,""en"",""es-ES"")"),"La gente toca los materiales en las paredes y termina hablando con la cámara.")</f>
        <v>La gente toca los materiales en las paredes y termina hablando con la cámara.</v>
      </c>
    </row>
    <row r="14713">
      <c r="A14713" s="4" t="s">
        <v>18528</v>
      </c>
      <c r="B14713" s="4" t="s">
        <v>18529</v>
      </c>
      <c r="C14713" s="5" t="str">
        <f>IFERROR(__xludf.DUMMYFUNCTION("GOOGLETRANSLATE(B14713,""en"",""es-ES"")"),"Se muestran algunos suministros necesarios para brillar zapatos.")</f>
        <v>Se muestran algunos suministros necesarios para brillar zapatos.</v>
      </c>
    </row>
    <row r="14714">
      <c r="A14714" s="4" t="s">
        <v>18528</v>
      </c>
      <c r="B14714" s="4" t="s">
        <v>18530</v>
      </c>
      <c r="C14714" s="5" t="str">
        <f>IFERROR(__xludf.DUMMYFUNCTION("GOOGLETRANSLATE(B14714,""en"",""es-ES"")"),"Un hombre mayor brilla un zapato y habla sobre cómo brilla los zapatos y cómo aprendió a brillar los zapatos cuando era niño.")</f>
        <v>Un hombre mayor brilla un zapato y habla sobre cómo brilla los zapatos y cómo aprendió a brillar los zapatos cuando era niño.</v>
      </c>
    </row>
    <row r="14715">
      <c r="A14715" s="4" t="s">
        <v>18528</v>
      </c>
      <c r="B14715" s="4" t="s">
        <v>18531</v>
      </c>
      <c r="C14715" s="5" t="str">
        <f>IFERROR(__xludf.DUMMYFUNCTION("GOOGLETRANSLATE(B14715,""en"",""es-ES"")"),"Se muestra al mismo hombre brillando con otros zapatos de hombre.")</f>
        <v>Se muestra al mismo hombre brillando con otros zapatos de hombre.</v>
      </c>
    </row>
    <row r="14716">
      <c r="A14716" s="4" t="s">
        <v>18528</v>
      </c>
      <c r="B14716" s="4" t="s">
        <v>18532</v>
      </c>
      <c r="C14716" s="5" t="str">
        <f>IFERROR(__xludf.DUMMYFUNCTION("GOOGLETRANSLATE(B14716,""en"",""es-ES"")"),"El mismo hombre brilla los zapatos en una tienda mientras otras personas se sientan o caminan.")</f>
        <v>El mismo hombre brilla los zapatos en una tienda mientras otras personas se sientan o caminan.</v>
      </c>
    </row>
    <row r="14717">
      <c r="A14717" s="4" t="s">
        <v>18528</v>
      </c>
      <c r="B14717" s="4" t="s">
        <v>18533</v>
      </c>
      <c r="C14717" s="5" t="str">
        <f>IFERROR(__xludf.DUMMYFUNCTION("GOOGLETRANSLATE(B14717,""en"",""es-ES"")"),"Se muestra una vieja foto en blanco y negro de una barbería.")</f>
        <v>Se muestra una vieja foto en blanco y negro de una barbería.</v>
      </c>
    </row>
    <row r="14718">
      <c r="A14718" s="4" t="s">
        <v>18528</v>
      </c>
      <c r="B14718" s="4" t="s">
        <v>18534</v>
      </c>
      <c r="C14718" s="5" t="str">
        <f>IFERROR(__xludf.DUMMYFUNCTION("GOOGLETRANSLATE(B14718,""en"",""es-ES"")"),"El hombre mayor brilla otro zapato y habla de zapatos brillantes.")</f>
        <v>El hombre mayor brilla otro zapato y habla de zapatos brillantes.</v>
      </c>
    </row>
    <row r="14719">
      <c r="A14719" s="4" t="s">
        <v>18528</v>
      </c>
      <c r="B14719" s="4" t="s">
        <v>18535</v>
      </c>
      <c r="C14719" s="5" t="str">
        <f>IFERROR(__xludf.DUMMYFUNCTION("GOOGLETRANSLATE(B14719,""en"",""es-ES"")"),"Se ve a un hombre diferente en el fondo que se aleja.")</f>
        <v>Se ve a un hombre diferente en el fondo que se aleja.</v>
      </c>
    </row>
    <row r="14720">
      <c r="A14720" s="4" t="s">
        <v>18536</v>
      </c>
      <c r="B14720" s="4" t="s">
        <v>18537</v>
      </c>
      <c r="C14720" s="5" t="str">
        <f>IFERROR(__xludf.DUMMYFUNCTION("GOOGLETRANSLATE(B14720,""en"",""es-ES"")"),"El hombre está de pie en un trampolín y realiza un salto mortal de Vig en la piscina.")</f>
        <v>El hombre está de pie en un trampolín y realiza un salto mortal de Vig en la piscina.</v>
      </c>
    </row>
    <row r="14721">
      <c r="A14721" s="4" t="s">
        <v>18536</v>
      </c>
      <c r="B14721" s="4" t="s">
        <v>18538</v>
      </c>
      <c r="C14721" s="5" t="str">
        <f>IFERROR(__xludf.DUMMYFUNCTION("GOOGLETRANSLATE(B14721,""en"",""es-ES"")"),"Dos hombres están sentados en el primer piso del trampolín mirando el salto.")</f>
        <v>Dos hombres están sentados en el primer piso del trampolín mirando el salto.</v>
      </c>
    </row>
    <row r="14722">
      <c r="A14722" s="4" t="s">
        <v>18536</v>
      </c>
      <c r="B14722" s="4" t="s">
        <v>18539</v>
      </c>
      <c r="C14722" s="5" t="str">
        <f>IFERROR(__xludf.DUMMYFUNCTION("GOOGLETRANSLATE(B14722,""en"",""es-ES"")"),"El hombre sale de la piscina, toma una toalla y seca su rostro.")</f>
        <v>El hombre sale de la piscina, toma una toalla y seca su rostro.</v>
      </c>
    </row>
    <row r="14723">
      <c r="A14723" s="4" t="s">
        <v>18536</v>
      </c>
      <c r="B14723" s="4" t="s">
        <v>18540</v>
      </c>
      <c r="C14723" s="5" t="str">
        <f>IFERROR(__xludf.DUMMYFUNCTION("GOOGLETRANSLATE(B14723,""en"",""es-ES"")"),"La gente camina por la piscina que lleva bolsas.")</f>
        <v>La gente camina por la piscina que lleva bolsas.</v>
      </c>
    </row>
    <row r="14724">
      <c r="A14724" s="4" t="s">
        <v>18541</v>
      </c>
      <c r="B14724" s="4" t="s">
        <v>18542</v>
      </c>
      <c r="C14724" s="5" t="str">
        <f>IFERROR(__xludf.DUMMYFUNCTION("GOOGLETRANSLATE(B14724,""en"",""es-ES"")"),"Un hombre está sentado dentro de una habitación.")</f>
        <v>Un hombre está sentado dentro de una habitación.</v>
      </c>
    </row>
    <row r="14725">
      <c r="A14725" s="4" t="s">
        <v>18541</v>
      </c>
      <c r="B14725" s="4" t="s">
        <v>18543</v>
      </c>
      <c r="C14725" s="5" t="str">
        <f>IFERROR(__xludf.DUMMYFUNCTION("GOOGLETRANSLATE(B14725,""en"",""es-ES"")"),"Está hablando con la cámara animada.")</f>
        <v>Está hablando con la cámara animada.</v>
      </c>
    </row>
    <row r="14726">
      <c r="A14726" s="4" t="s">
        <v>18541</v>
      </c>
      <c r="B14726" s="4" t="s">
        <v>18544</v>
      </c>
      <c r="C14726" s="5" t="str">
        <f>IFERROR(__xludf.DUMMYFUNCTION("GOOGLETRANSLATE(B14726,""en"",""es-ES"")"),"Está hablando y demostrando cómo jugar una armónica.")</f>
        <v>Está hablando y demostrando cómo jugar una armónica.</v>
      </c>
    </row>
    <row r="14727">
      <c r="A14727" s="4" t="s">
        <v>18545</v>
      </c>
      <c r="B14727" s="4" t="s">
        <v>18546</v>
      </c>
      <c r="C14727" s="5" t="str">
        <f>IFERROR(__xludf.DUMMYFUNCTION("GOOGLETRANSLATE(B14727,""en"",""es-ES"")"),"Varias personas que caminan o a los jinetes caminan por primer plano mientras la cámara se centra en un grupo de personas en el fondo.")</f>
        <v>Varias personas que caminan o a los jinetes caminan por primer plano mientras la cámara se centra en un grupo de personas en el fondo.</v>
      </c>
    </row>
    <row r="14728">
      <c r="A14728" s="4" t="s">
        <v>18545</v>
      </c>
      <c r="B14728" s="4" t="s">
        <v>18547</v>
      </c>
      <c r="C14728" s="5" t="str">
        <f>IFERROR(__xludf.DUMMYFUNCTION("GOOGLETRANSLATE(B14728,""en"",""es-ES"")"),"Se abre una puerta y un hombre de caballos persigue a una vaca.")</f>
        <v>Se abre una puerta y un hombre de caballos persigue a una vaca.</v>
      </c>
    </row>
    <row r="14729">
      <c r="A14729" s="4" t="s">
        <v>18545</v>
      </c>
      <c r="B14729" s="4" t="s">
        <v>18548</v>
      </c>
      <c r="C14729" s="5" t="str">
        <f>IFERROR(__xludf.DUMMYFUNCTION("GOOGLETRANSLATE(B14729,""en"",""es-ES"")"),"El hombre Lassos y asegura la vaca.")</f>
        <v>El hombre Lassos y asegura la vaca.</v>
      </c>
    </row>
    <row r="14730">
      <c r="A14730" s="4" t="s">
        <v>18545</v>
      </c>
      <c r="B14730" s="4" t="s">
        <v>18549</v>
      </c>
      <c r="C14730" s="5" t="str">
        <f>IFERROR(__xludf.DUMMYFUNCTION("GOOGLETRANSLATE(B14730,""en"",""es-ES"")"),"Otros corren para ayudar con la vaca.")</f>
        <v>Otros corren para ayudar con la vaca.</v>
      </c>
    </row>
    <row r="14731">
      <c r="A14731" s="4" t="s">
        <v>18550</v>
      </c>
      <c r="B14731" s="4" t="s">
        <v>18551</v>
      </c>
      <c r="C14731" s="5" t="str">
        <f>IFERROR(__xludf.DUMMYFUNCTION("GOOGLETRANSLATE(B14731,""en"",""es-ES"")"),"Una mujer con camisa blanca y gris está hablando, luego se muestra un vaso y una jarra de limonada con paja.")</f>
        <v>Una mujer con camisa blanca y gris está hablando, luego se muestra un vaso y una jarra de limonada con paja.</v>
      </c>
    </row>
    <row r="14732">
      <c r="A14732" s="4" t="s">
        <v>18550</v>
      </c>
      <c r="B14732" s="4" t="s">
        <v>18552</v>
      </c>
      <c r="C14732" s="5" t="str">
        <f>IFERROR(__xludf.DUMMYFUNCTION("GOOGLETRANSLATE(B14732,""en"",""es-ES"")"),"Dos limones están en un tazón pequeño, luego la mujer rubia habla en la cámara, una mano corta el limón, aprieta el limón en el tazón, vierte el limón en la jarra con un colador.")</f>
        <v>Dos limones están en un tazón pequeño, luego la mujer rubia habla en la cámara, una mano corta el limón, aprieta el limón en el tazón, vierte el limón en la jarra con un colador.</v>
      </c>
    </row>
    <row r="14733">
      <c r="A14733" s="4" t="s">
        <v>18550</v>
      </c>
      <c r="B14733" s="4" t="s">
        <v>18553</v>
      </c>
      <c r="C14733" s="5" t="str">
        <f>IFERROR(__xludf.DUMMYFUNCTION("GOOGLETRANSLATE(B14733,""en"",""es-ES"")"),"La mujer habla, luego la olla se coloca en la estufa, se agrega agua, luego agregó el azúcar, agregó la ralladura de limón y mezcló la olla, la mujer agregó líquido amarillo en la jarra, agregó el hielo y los limones en rodajas y vierte el jugo. el crista"&amp;"l.")</f>
        <v>La mujer habla, luego la olla se coloca en la estufa, se agrega agua, luego agregó el azúcar, agregó la ralladura de limón y mezcló la olla, la mujer agregó líquido amarillo en la jarra, agregó el hielo y los limones en rodajas y vierte el jugo. el cristal.</v>
      </c>
    </row>
    <row r="14734">
      <c r="A14734" s="4" t="s">
        <v>18554</v>
      </c>
      <c r="B14734" s="4" t="s">
        <v>18555</v>
      </c>
      <c r="C14734" s="5" t="str">
        <f>IFERROR(__xludf.DUMMYFUNCTION("GOOGLETRANSLATE(B14734,""en"",""es-ES"")"),"Se ve a una persona montar a lo largo del agua en una tabla de surf, así como a otras que hablan entre sí.")</f>
        <v>Se ve a una persona montar a lo largo del agua en una tabla de surf, así como a otras que hablan entre sí.</v>
      </c>
    </row>
    <row r="14735">
      <c r="A14735" s="4" t="s">
        <v>18554</v>
      </c>
      <c r="B14735" s="4" t="s">
        <v>18556</v>
      </c>
      <c r="C14735" s="5" t="str">
        <f>IFERROR(__xludf.DUMMYFUNCTION("GOOGLETRANSLATE(B14735,""en"",""es-ES"")"),"Se ve a un hombre hablando con la cámara, así como más clips de personas que viajan en el agua.")</f>
        <v>Se ve a un hombre hablando con la cámara, así como más clips de personas que viajan en el agua.</v>
      </c>
    </row>
    <row r="14736">
      <c r="A14736" s="4" t="s">
        <v>18554</v>
      </c>
      <c r="B14736" s="4" t="s">
        <v>18557</v>
      </c>
      <c r="C14736" s="5" t="str">
        <f>IFERROR(__xludf.DUMMYFUNCTION("GOOGLETRANSLATE(B14736,""en"",""es-ES"")"),"Más personas hablan entre sí y se encuentran en la cámara y terminan montando en los tableros.")</f>
        <v>Más personas hablan entre sí y se encuentran en la cámara y terminan montando en los tableros.</v>
      </c>
    </row>
    <row r="14737">
      <c r="A14737" s="4" t="s">
        <v>18558</v>
      </c>
      <c r="B14737" s="4" t="s">
        <v>18559</v>
      </c>
      <c r="C14737" s="5" t="str">
        <f>IFERROR(__xludf.DUMMYFUNCTION("GOOGLETRANSLATE(B14737,""en"",""es-ES"")"),"Una mujer que lleva un sujetador está de pie en una habitación.")</f>
        <v>Una mujer que lleva un sujetador está de pie en una habitación.</v>
      </c>
    </row>
    <row r="14738">
      <c r="A14738" s="4" t="s">
        <v>18558</v>
      </c>
      <c r="B14738" s="4" t="s">
        <v>18560</v>
      </c>
      <c r="C14738" s="5" t="str">
        <f>IFERROR(__xludf.DUMMYFUNCTION("GOOGLETRANSLATE(B14738,""en"",""es-ES"")"),"Ella arroja un dardo por la habitación.")</f>
        <v>Ella arroja un dardo por la habitación.</v>
      </c>
    </row>
    <row r="14739">
      <c r="A14739" s="4" t="s">
        <v>18558</v>
      </c>
      <c r="B14739" s="4" t="s">
        <v>18561</v>
      </c>
      <c r="C14739" s="5" t="str">
        <f>IFERROR(__xludf.DUMMYFUNCTION("GOOGLETRANSLATE(B14739,""en"",""es-ES"")"),"Un hombre con un sombrero se encuentra junto a ella.")</f>
        <v>Un hombre con un sombrero se encuentra junto a ella.</v>
      </c>
    </row>
    <row r="14740">
      <c r="A14740" s="4" t="s">
        <v>18562</v>
      </c>
      <c r="B14740" s="4" t="s">
        <v>18563</v>
      </c>
      <c r="C14740" s="5" t="str">
        <f>IFERROR(__xludf.DUMMYFUNCTION("GOOGLETRANSLATE(B14740,""en"",""es-ES"")"),"Una joven con hombros anchos y colas de cerdo se acerca a un escenario en preparación de su mente.")</f>
        <v>Una joven con hombros anchos y colas de cerdo se acerca a un escenario en preparación de su mente.</v>
      </c>
    </row>
    <row r="14741">
      <c r="A14741" s="4" t="s">
        <v>18562</v>
      </c>
      <c r="B14741" s="4" t="s">
        <v>18564</v>
      </c>
      <c r="C14741" s="5" t="str">
        <f>IFERROR(__xludf.DUMMYFUNCTION("GOOGLETRANSLATE(B14741,""en"",""es-ES"")"),"La señora se rompe los nudillos y luego se dobla e intenta levantar los pesos.")</f>
        <v>La señora se rompe los nudillos y luego se dobla e intenta levantar los pesos.</v>
      </c>
    </row>
    <row r="14742">
      <c r="A14742" s="4" t="s">
        <v>18562</v>
      </c>
      <c r="B14742" s="4" t="s">
        <v>18565</v>
      </c>
      <c r="C14742" s="5" t="str">
        <f>IFERROR(__xludf.DUMMYFUNCTION("GOOGLETRANSLATE(B14742,""en"",""es-ES"")"),"Demasiado peso hay en la barra y las chicas termina girando su brazo en un círculo, deja caer la barra y llora en agonía.")</f>
        <v>Demasiado peso hay en la barra y las chicas termina girando su brazo en un círculo, deja caer la barra y llora en agonía.</v>
      </c>
    </row>
    <row r="14743">
      <c r="A14743" s="4" t="s">
        <v>18562</v>
      </c>
      <c r="B14743" s="4" t="s">
        <v>18566</v>
      </c>
      <c r="C14743" s="5" t="str">
        <f>IFERROR(__xludf.DUMMYFUNCTION("GOOGLETRANSLATE(B14743,""en"",""es-ES"")"),"Otra chica luego camina y levanta la barra a mitad de camino, se da cuenta de que ella es incapaz y lo deja caer.")</f>
        <v>Otra chica luego camina y levanta la barra a mitad de camino, se da cuenta de que ella es incapaz y lo deja caer.</v>
      </c>
    </row>
    <row r="14744">
      <c r="A14744" s="4" t="s">
        <v>18562</v>
      </c>
      <c r="B14744" s="4" t="s">
        <v>18567</v>
      </c>
      <c r="C14744" s="5" t="str">
        <f>IFERROR(__xludf.DUMMYFUNCTION("GOOGLETRANSLATE(B14744,""en"",""es-ES"")"),"Después de que ella se va, se desactiva e intenta nuevamente y la levanta sobre su cabeza, la deja caer y se aleja felicitándose.")</f>
        <v>Después de que ella se va, se desactiva e intenta nuevamente y la levanta sobre su cabeza, la deja caer y se aleja felicitándose.</v>
      </c>
    </row>
    <row r="14745">
      <c r="A14745" s="4" t="s">
        <v>18562</v>
      </c>
      <c r="B14745" s="4" t="s">
        <v>18568</v>
      </c>
      <c r="C14745" s="5" t="str">
        <f>IFERROR(__xludf.DUMMYFUNCTION("GOOGLETRANSLATE(B14745,""en"",""es-ES"")"),"Luego se muestra una pantalla de puntajes y una chica diferente intenta el peso.")</f>
        <v>Luego se muestra una pantalla de puntajes y una chica diferente intenta el peso.</v>
      </c>
    </row>
    <row r="14746">
      <c r="A14746" s="4" t="s">
        <v>18562</v>
      </c>
      <c r="B14746" s="4" t="s">
        <v>18569</v>
      </c>
      <c r="C14746" s="5" t="str">
        <f>IFERROR(__xludf.DUMMYFUNCTION("GOOGLETRANSLATE(B14746,""en"",""es-ES"")"),"La segunda joven regresa y hace lo mismo, así como la mujer que la persiguió.")</f>
        <v>La segunda joven regresa y hace lo mismo, así como la mujer que la persiguió.</v>
      </c>
    </row>
    <row r="14747">
      <c r="A14747" s="4" t="s">
        <v>18562</v>
      </c>
      <c r="B14747" s="4" t="s">
        <v>18570</v>
      </c>
      <c r="C14747" s="5" t="str">
        <f>IFERROR(__xludf.DUMMYFUNCTION("GOOGLETRANSLATE(B14747,""en"",""es-ES"")"),"La niña regresa pero se da cuenta de que el peso es demasiado pesado y deja de levantarlo.")</f>
        <v>La niña regresa pero se da cuenta de que el peso es demasiado pesado y deja de levantarlo.</v>
      </c>
    </row>
    <row r="14748">
      <c r="A14748" s="4" t="s">
        <v>18562</v>
      </c>
      <c r="B14748" s="4" t="s">
        <v>18571</v>
      </c>
      <c r="C14748" s="5" t="str">
        <f>IFERROR(__xludf.DUMMYFUNCTION("GOOGLETRANSLATE(B14748,""en"",""es-ES"")"),"Sin embargo, la chica original regresa y continúa levantando más y más peso con facilidad hasta la última vez, luego se inclina y caminan hacia un escenario olímpico y reciben su metal.")</f>
        <v>Sin embargo, la chica original regresa y continúa levantando más y más peso con facilidad hasta la última vez, luego se inclina y caminan hacia un escenario olímpico y reciben su metal.</v>
      </c>
    </row>
    <row r="14749">
      <c r="A14749" s="4" t="s">
        <v>18572</v>
      </c>
      <c r="B14749" s="4" t="s">
        <v>18573</v>
      </c>
      <c r="C14749" s="5" t="str">
        <f>IFERROR(__xludf.DUMMYFUNCTION("GOOGLETRANSLATE(B14749,""en"",""es-ES"")"),"Una foto se acerca a un hombre que es aburrido por un toro.")</f>
        <v>Una foto se acerca a un hombre que es aburrido por un toro.</v>
      </c>
    </row>
    <row r="14750">
      <c r="A14750" s="4" t="s">
        <v>18572</v>
      </c>
      <c r="B14750" s="4" t="s">
        <v>18574</v>
      </c>
      <c r="C14750" s="5" t="str">
        <f>IFERROR(__xludf.DUMMYFUNCTION("GOOGLETRANSLATE(B14750,""en"",""es-ES"")"),"Un toro cobra a un hombre y lo golpea hasta que la gente sale y lo distrae.")</f>
        <v>Un toro cobra a un hombre y lo golpea hasta que la gente sale y lo distrae.</v>
      </c>
    </row>
    <row r="14751">
      <c r="A14751" s="4" t="s">
        <v>18572</v>
      </c>
      <c r="B14751" s="4" t="s">
        <v>18575</v>
      </c>
      <c r="C14751" s="5" t="str">
        <f>IFERROR(__xludf.DUMMYFUNCTION("GOOGLETRANSLATE(B14751,""en"",""es-ES"")"),"Corta al hombre nuevamente cargado por el toro.")</f>
        <v>Corta al hombre nuevamente cargado por el toro.</v>
      </c>
    </row>
    <row r="14752">
      <c r="A14752" s="4" t="s">
        <v>18572</v>
      </c>
      <c r="B14752" s="4" t="s">
        <v>18576</v>
      </c>
      <c r="C14752" s="5" t="str">
        <f>IFERROR(__xludf.DUMMYFUNCTION("GOOGLETRANSLATE(B14752,""en"",""es-ES"")"),"Lo golpean nuevamente hasta que la gente sale para distraer el toro.")</f>
        <v>Lo golpean nuevamente hasta que la gente sale para distraer el toro.</v>
      </c>
    </row>
    <row r="14753">
      <c r="A14753" s="4" t="s">
        <v>18572</v>
      </c>
      <c r="B14753" s="4" t="s">
        <v>18577</v>
      </c>
      <c r="C14753" s="5" t="str">
        <f>IFERROR(__xludf.DUMMYFUNCTION("GOOGLETRANSLATE(B14753,""en"",""es-ES"")"),"Se lo lleva fuera del ring.")</f>
        <v>Se lo lleva fuera del ring.</v>
      </c>
    </row>
    <row r="14754">
      <c r="A14754" s="4" t="s">
        <v>18572</v>
      </c>
      <c r="B14754" s="4" t="s">
        <v>18578</v>
      </c>
      <c r="C14754" s="5" t="str">
        <f>IFERROR(__xludf.DUMMYFUNCTION("GOOGLETRANSLATE(B14754,""en"",""es-ES"")"),"Una vez más, el toro cobra al hombre y lo derriba.")</f>
        <v>Una vez más, el toro cobra al hombre y lo derriba.</v>
      </c>
    </row>
    <row r="14755">
      <c r="A14755" s="4" t="s">
        <v>18572</v>
      </c>
      <c r="B14755" s="4" t="s">
        <v>18579</v>
      </c>
      <c r="C14755" s="5" t="str">
        <f>IFERROR(__xludf.DUMMYFUNCTION("GOOGLETRANSLATE(B14755,""en"",""es-ES"")"),"La gente sale y distrae al toro.")</f>
        <v>La gente sale y distrae al toro.</v>
      </c>
    </row>
    <row r="14756">
      <c r="A14756" s="4" t="s">
        <v>18572</v>
      </c>
      <c r="B14756" s="4" t="s">
        <v>18580</v>
      </c>
      <c r="C14756" s="5" t="str">
        <f>IFERROR(__xludf.DUMMYFUNCTION("GOOGLETRANSLATE(B14756,""en"",""es-ES"")"),"Se lleva a cabo por última vez.")</f>
        <v>Se lleva a cabo por última vez.</v>
      </c>
    </row>
    <row r="14757">
      <c r="A14757" s="4" t="s">
        <v>18581</v>
      </c>
      <c r="B14757" s="4" t="s">
        <v>18582</v>
      </c>
      <c r="C14757" s="5" t="str">
        <f>IFERROR(__xludf.DUMMYFUNCTION("GOOGLETRANSLATE(B14757,""en"",""es-ES"")"),"Se ve a un hombre mayor sentado en un registro en un espacio público frente a un piano.")</f>
        <v>Se ve a un hombre mayor sentado en un registro en un espacio público frente a un piano.</v>
      </c>
    </row>
    <row r="14758">
      <c r="A14758" s="4" t="s">
        <v>18581</v>
      </c>
      <c r="B14758" s="4" t="s">
        <v>18583</v>
      </c>
      <c r="C14758" s="5" t="str">
        <f>IFERROR(__xludf.DUMMYFUNCTION("GOOGLETRANSLATE(B14758,""en"",""es-ES"")"),"El hombre luego toca el piano mientras la cámara lo captura tocando.")</f>
        <v>El hombre luego toca el piano mientras la cámara lo captura tocando.</v>
      </c>
    </row>
    <row r="14759">
      <c r="A14759" s="4" t="s">
        <v>18581</v>
      </c>
      <c r="B14759" s="4" t="s">
        <v>18584</v>
      </c>
      <c r="C14759" s="5" t="str">
        <f>IFERROR(__xludf.DUMMYFUNCTION("GOOGLETRANSLATE(B14759,""en"",""es-ES"")"),"El hombre canta a la cámara mientras continúa jugando y la cámara moviéndose alrededor de sus movimientos.")</f>
        <v>El hombre canta a la cámara mientras continúa jugando y la cámara moviéndose alrededor de sus movimientos.</v>
      </c>
    </row>
    <row r="14760">
      <c r="A14760" s="4" t="s">
        <v>18585</v>
      </c>
      <c r="B14760" s="4" t="s">
        <v>18586</v>
      </c>
      <c r="C14760" s="5" t="str">
        <f>IFERROR(__xludf.DUMMYFUNCTION("GOOGLETRANSLATE(B14760,""en"",""es-ES"")"),"Se recoge una gran multitud afuera.")</f>
        <v>Se recoge una gran multitud afuera.</v>
      </c>
    </row>
    <row r="14761">
      <c r="A14761" s="4" t="s">
        <v>18585</v>
      </c>
      <c r="B14761" s="4" t="s">
        <v>18587</v>
      </c>
      <c r="C14761" s="5" t="str">
        <f>IFERROR(__xludf.DUMMYFUNCTION("GOOGLETRANSLATE(B14761,""en"",""es-ES"")"),"Todos están realizando un baile de ejercicios conocido como Zumba.")</f>
        <v>Todos están realizando un baile de ejercicios conocido como Zumba.</v>
      </c>
    </row>
    <row r="14762">
      <c r="A14762" s="4" t="s">
        <v>18588</v>
      </c>
      <c r="B14762" s="4" t="s">
        <v>18589</v>
      </c>
      <c r="C14762" s="5" t="str">
        <f>IFERROR(__xludf.DUMMYFUNCTION("GOOGLETRANSLATE(B14762,""en"",""es-ES"")"),"Se ve a un hombre atlético de pie con los brazos y comienza a realizar una rutina de gimnasia.")</f>
        <v>Se ve a un hombre atlético de pie con los brazos y comienza a realizar una rutina de gimnasia.</v>
      </c>
    </row>
    <row r="14763">
      <c r="A14763" s="4" t="s">
        <v>18588</v>
      </c>
      <c r="B14763" s="4" t="s">
        <v>18590</v>
      </c>
      <c r="C14763" s="5" t="str">
        <f>IFERROR(__xludf.DUMMYFUNCTION("GOOGLETRANSLATE(B14763,""en"",""es-ES"")"),"Se gira alrededor de la barra realizando varios volteos y trucos y termina con él metiendo los brazos en el aire.")</f>
        <v>Se gira alrededor de la barra realizando varios volteos y trucos y termina con él metiendo los brazos en el aire.</v>
      </c>
    </row>
    <row r="14764">
      <c r="A14764" s="4" t="s">
        <v>18591</v>
      </c>
      <c r="B14764" s="4" t="s">
        <v>18592</v>
      </c>
      <c r="C14764" s="5" t="str">
        <f>IFERROR(__xludf.DUMMYFUNCTION("GOOGLETRANSLATE(B14764,""en"",""es-ES"")"),"Un niño está hablando con la cámara en su habitación.")</f>
        <v>Un niño está hablando con la cámara en su habitación.</v>
      </c>
    </row>
    <row r="14765">
      <c r="A14765" s="4" t="s">
        <v>18591</v>
      </c>
      <c r="B14765" s="4" t="s">
        <v>18593</v>
      </c>
      <c r="C14765" s="5" t="str">
        <f>IFERROR(__xludf.DUMMYFUNCTION("GOOGLETRANSLATE(B14765,""en"",""es-ES"")"),"Elimina las cosas de los cajones, como el brillo de labios y lo pone para la cámara.")</f>
        <v>Elimina las cosas de los cajones, como el brillo de labios y lo pone para la cámara.</v>
      </c>
    </row>
    <row r="14766">
      <c r="A14766" s="4" t="s">
        <v>18591</v>
      </c>
      <c r="B14766" s="4" t="s">
        <v>18594</v>
      </c>
      <c r="C14766" s="5" t="str">
        <f>IFERROR(__xludf.DUMMYFUNCTION("GOOGLETRANSLATE(B14766,""en"",""es-ES"")"),"Aplica maquillaje desordenado y posa para la cámara.")</f>
        <v>Aplica maquillaje desordenado y posa para la cámara.</v>
      </c>
    </row>
    <row r="14767">
      <c r="A14767" s="4" t="s">
        <v>18595</v>
      </c>
      <c r="B14767" s="4" t="s">
        <v>18596</v>
      </c>
      <c r="C14767" s="5" t="str">
        <f>IFERROR(__xludf.DUMMYFUNCTION("GOOGLETRANSLATE(B14767,""en"",""es-ES"")"),"Una cámara se mueve alrededor de una playa que muestra agua chocando en las olas.")</f>
        <v>Una cámara se mueve alrededor de una playa que muestra agua chocando en las olas.</v>
      </c>
    </row>
    <row r="14768">
      <c r="A14768" s="4" t="s">
        <v>18595</v>
      </c>
      <c r="B14768" s="4" t="s">
        <v>18597</v>
      </c>
      <c r="C14768" s="5" t="str">
        <f>IFERROR(__xludf.DUMMYFUNCTION("GOOGLETRANSLATE(B14768,""en"",""es-ES"")"),"Luego se ve a una persona vistiendo guantes y pintando una silla de brazo.")</f>
        <v>Luego se ve a una persona vistiendo guantes y pintando una silla de brazo.</v>
      </c>
    </row>
    <row r="14769">
      <c r="A14769" s="4" t="s">
        <v>18595</v>
      </c>
      <c r="B14769" s="4" t="s">
        <v>18598</v>
      </c>
      <c r="C14769" s="5" t="str">
        <f>IFERROR(__xludf.DUMMYFUNCTION("GOOGLETRANSLATE(B14769,""en"",""es-ES"")"),"La persona continúa pintando la silla y mostrándola al final.")</f>
        <v>La persona continúa pintando la silla y mostrándola al final.</v>
      </c>
    </row>
    <row r="14770">
      <c r="A14770" s="4" t="s">
        <v>18599</v>
      </c>
      <c r="B14770" s="4" t="s">
        <v>18600</v>
      </c>
      <c r="C14770" s="5" t="str">
        <f>IFERROR(__xludf.DUMMYFUNCTION("GOOGLETRANSLATE(B14770,""en"",""es-ES"")"),"Los niños se muestran en el lado de un gimnasio jugando fútbol interior.")</f>
        <v>Los niños se muestran en el lado de un gimnasio jugando fútbol interior.</v>
      </c>
    </row>
    <row r="14771">
      <c r="A14771" s="4" t="s">
        <v>18599</v>
      </c>
      <c r="B14771" s="4" t="s">
        <v>18601</v>
      </c>
      <c r="C14771" s="5" t="str">
        <f>IFERROR(__xludf.DUMMYFUNCTION("GOOGLETRANSLATE(B14771,""en"",""es-ES"")"),"Uno de los niños hace un gran movimiento para evitar un defensor y casi anota.")</f>
        <v>Uno de los niños hace un gran movimiento para evitar un defensor y casi anota.</v>
      </c>
    </row>
    <row r="14772">
      <c r="A14772" s="4" t="s">
        <v>18599</v>
      </c>
      <c r="B14772" s="4" t="s">
        <v>18602</v>
      </c>
      <c r="C14772" s="5" t="str">
        <f>IFERROR(__xludf.DUMMYFUNCTION("GOOGLETRANSLATE(B14772,""en"",""es-ES"")"),"Luego se le muestra anotando en una ocasión diferente antes de que termine el video.")</f>
        <v>Luego se le muestra anotando en una ocasión diferente antes de que termine el video.</v>
      </c>
    </row>
    <row r="14773">
      <c r="A14773" s="4" t="s">
        <v>18603</v>
      </c>
      <c r="B14773" s="4" t="s">
        <v>18604</v>
      </c>
      <c r="C14773" s="5" t="str">
        <f>IFERROR(__xludf.DUMMYFUNCTION("GOOGLETRANSLATE(B14773,""en"",""es-ES"")"),"Se ve a un joven hablando con la cámara y lo lleva a arrojar dardos a un tablero.")</f>
        <v>Se ve a un joven hablando con la cámara y lo lleva a arrojar dardos a un tablero.</v>
      </c>
    </row>
    <row r="14774">
      <c r="A14774" s="4" t="s">
        <v>18603</v>
      </c>
      <c r="B14774" s="4" t="s">
        <v>18605</v>
      </c>
      <c r="C14774" s="5" t="str">
        <f>IFERROR(__xludf.DUMMYFUNCTION("GOOGLETRANSLATE(B14774,""en"",""es-ES"")"),"Levanta la emoción cuando la cámara se acerca a los dardos.")</f>
        <v>Levanta la emoción cuando la cámara se acerca a los dardos.</v>
      </c>
    </row>
    <row r="14775">
      <c r="A14775" s="4" t="s">
        <v>18606</v>
      </c>
      <c r="B14775" s="4" t="s">
        <v>18607</v>
      </c>
      <c r="C14775" s="5" t="str">
        <f>IFERROR(__xludf.DUMMYFUNCTION("GOOGLETRANSLATE(B14775,""en"",""es-ES"")"),"La mamá de MJ está jugando con su cabello alisando.")</f>
        <v>La mamá de MJ está jugando con su cabello alisando.</v>
      </c>
    </row>
    <row r="14776">
      <c r="A14776" s="4" t="s">
        <v>18606</v>
      </c>
      <c r="B14776" s="4" t="s">
        <v>18608</v>
      </c>
      <c r="C14776" s="5" t="str">
        <f>IFERROR(__xludf.DUMMYFUNCTION("GOOGLETRANSLATE(B14776,""en"",""es-ES"")"),"Ella va al baño con clips en el cabello y saca tratamientos y champús.")</f>
        <v>Ella va al baño con clips en el cabello y saca tratamientos y champús.</v>
      </c>
    </row>
    <row r="14777">
      <c r="A14777" s="4" t="s">
        <v>18606</v>
      </c>
      <c r="B14777" s="4" t="s">
        <v>18609</v>
      </c>
      <c r="C14777" s="5" t="str">
        <f>IFERROR(__xludf.DUMMYFUNCTION("GOOGLETRANSLATE(B14777,""en"",""es-ES"")"),"Ella comienza a aplicar las cosas del cabello en su cabello y peinándolo, comienza a separarse de su cabello y poner rizadores.")</f>
        <v>Ella comienza a aplicar las cosas del cabello en su cabello y peinándolo, comienza a separarse de su cabello y poner rizadores.</v>
      </c>
    </row>
    <row r="14778">
      <c r="A14778" s="4" t="s">
        <v>18606</v>
      </c>
      <c r="B14778" s="4" t="s">
        <v>18610</v>
      </c>
      <c r="C14778" s="5" t="str">
        <f>IFERROR(__xludf.DUMMYFUNCTION("GOOGLETRANSLATE(B14778,""en"",""es-ES"")"),"Ella comienza a hablar sobre lo que está haciendo con su cabello mientras espera para sacar a los rizadores, cuando los saca, su cabello está perfectamente rizado.")</f>
        <v>Ella comienza a hablar sobre lo que está haciendo con su cabello mientras espera para sacar a los rizadores, cuando los saca, su cabello está perfectamente rizado.</v>
      </c>
    </row>
    <row r="14779">
      <c r="A14779" s="4" t="s">
        <v>18611</v>
      </c>
      <c r="B14779" s="4" t="s">
        <v>18612</v>
      </c>
      <c r="C14779" s="5" t="str">
        <f>IFERROR(__xludf.DUMMYFUNCTION("GOOGLETRANSLATE(B14779,""en"",""es-ES"")"),"Se ve a un hombre hablando con la cámara mientras sostiene una raqueta de tenis y comienza a demostrar cómo golpear la pelota.")</f>
        <v>Se ve a un hombre hablando con la cámara mientras sostiene una raqueta de tenis y comienza a demostrar cómo golpear la pelota.</v>
      </c>
    </row>
    <row r="14780">
      <c r="A14780" s="4" t="s">
        <v>18611</v>
      </c>
      <c r="B14780" s="4" t="s">
        <v>18613</v>
      </c>
      <c r="C14780" s="5" t="str">
        <f>IFERROR(__xludf.DUMMYFUNCTION("GOOGLETRANSLATE(B14780,""en"",""es-ES"")"),"El hombre continúa hablando y golpeando la pelota mientras se mueve por el gimnasio y se dirige a la cámara.")</f>
        <v>El hombre continúa hablando y golpeando la pelota mientras se mueve por el gimnasio y se dirige a la cámara.</v>
      </c>
    </row>
    <row r="14781">
      <c r="A14781" s="4" t="s">
        <v>18614</v>
      </c>
      <c r="B14781" s="4" t="s">
        <v>18615</v>
      </c>
      <c r="C14781" s="5" t="str">
        <f>IFERROR(__xludf.DUMMYFUNCTION("GOOGLETRANSLATE(B14781,""en"",""es-ES"")"),"Se muestra un primer plano de un árbol de Navidad seguido de primeros planos de adornos.")</f>
        <v>Se muestra un primer plano de un árbol de Navidad seguido de primeros planos de adornos.</v>
      </c>
    </row>
    <row r="14782">
      <c r="A14782" s="4" t="s">
        <v>18614</v>
      </c>
      <c r="B14782" s="4" t="s">
        <v>18616</v>
      </c>
      <c r="C14782" s="5" t="str">
        <f>IFERROR(__xludf.DUMMYFUNCTION("GOOGLETRANSLATE(B14782,""en"",""es-ES"")"),"Luego se ven dos personas moviéndose alrededor de la decoración del árbol y apagar las luces.")</f>
        <v>Luego se ven dos personas moviéndose alrededor de la decoración del árbol y apagar las luces.</v>
      </c>
    </row>
    <row r="14783">
      <c r="A14783" s="4" t="s">
        <v>18614</v>
      </c>
      <c r="B14783" s="4" t="s">
        <v>18617</v>
      </c>
      <c r="C14783" s="5" t="str">
        <f>IFERROR(__xludf.DUMMYFUNCTION("GOOGLETRANSLATE(B14783,""en"",""es-ES"")"),"Terminan de decorar el árbol y jugando entre ellos y riendo.")</f>
        <v>Terminan de decorar el árbol y jugando entre ellos y riendo.</v>
      </c>
    </row>
    <row r="14784">
      <c r="A14784" s="4" t="s">
        <v>18614</v>
      </c>
      <c r="B14784" s="4" t="s">
        <v>18618</v>
      </c>
      <c r="C14784" s="5" t="str">
        <f>IFERROR(__xludf.DUMMYFUNCTION("GOOGLETRANSLATE(B14784,""en"",""es-ES"")"),"Al final se muestran los primeros planos de los árboles, así como un oso.")</f>
        <v>Al final se muestran los primeros planos de los árboles, así como un oso.</v>
      </c>
    </row>
    <row r="14785">
      <c r="A14785" s="4" t="s">
        <v>18619</v>
      </c>
      <c r="B14785" s="4" t="s">
        <v>18620</v>
      </c>
      <c r="C14785" s="5" t="str">
        <f>IFERROR(__xludf.DUMMYFUNCTION("GOOGLETRANSLATE(B14785,""en"",""es-ES"")"),"Se ve a un hombre soplando un beso y quitándose la chaqueta e interactuando con otro hombre.")</f>
        <v>Se ve a un hombre soplando un beso y quitándose la chaqueta e interactuando con otro hombre.</v>
      </c>
    </row>
    <row r="14786">
      <c r="A14786" s="4" t="s">
        <v>18619</v>
      </c>
      <c r="B14786" s="4" t="s">
        <v>18621</v>
      </c>
      <c r="C14786" s="5" t="str">
        <f>IFERROR(__xludf.DUMMYFUNCTION("GOOGLETRANSLATE(B14786,""en"",""es-ES"")"),"El hombre prepara su brazo mientras el otro agarra su mano y finge patearle la cabeza.")</f>
        <v>El hombre prepara su brazo mientras el otro agarra su mano y finge patearle la cabeza.</v>
      </c>
    </row>
    <row r="14787">
      <c r="A14787" s="4" t="s">
        <v>18619</v>
      </c>
      <c r="B14787" s="4" t="s">
        <v>18622</v>
      </c>
      <c r="C14787" s="5" t="str">
        <f>IFERROR(__xludf.DUMMYFUNCTION("GOOGLETRANSLATE(B14787,""en"",""es-ES"")"),"Más personas avanzan para luchar con el brazo a este hombre mientras se muestra la comida y el perdedor se lleva comida sobre él.")</f>
        <v>Más personas avanzan para luchar con el brazo a este hombre mientras se muestra la comida y el perdedor se lleva comida sobre él.</v>
      </c>
    </row>
    <row r="14788">
      <c r="A14788" s="4" t="s">
        <v>18623</v>
      </c>
      <c r="B14788" s="4" t="s">
        <v>18624</v>
      </c>
      <c r="C14788" s="5" t="str">
        <f>IFERROR(__xludf.DUMMYFUNCTION("GOOGLETRANSLATE(B14788,""en"",""es-ES"")"),"Se ve a dos personas arrodilladas ante una planta sentada en el suelo y hablando entre sí.")</f>
        <v>Se ve a dos personas arrodilladas ante una planta sentada en el suelo y hablando entre sí.</v>
      </c>
    </row>
    <row r="14789">
      <c r="A14789" s="4" t="s">
        <v>18623</v>
      </c>
      <c r="B14789" s="4" t="s">
        <v>18625</v>
      </c>
      <c r="C14789" s="5" t="str">
        <f>IFERROR(__xludf.DUMMYFUNCTION("GOOGLETRANSLATE(B14789,""en"",""es-ES"")"),"Los hombres continúan moviendo la tierra alrededor de la planta y terminan de pie al lado del árbol y tirando de las raíces y arrojando más tierra a su alrededor.")</f>
        <v>Los hombres continúan moviendo la tierra alrededor de la planta y terminan de pie al lado del árbol y tirando de las raíces y arrojando más tierra a su alrededor.</v>
      </c>
    </row>
    <row r="14790">
      <c r="A14790" s="4" t="s">
        <v>18626</v>
      </c>
      <c r="B14790" s="4" t="s">
        <v>18627</v>
      </c>
      <c r="C14790" s="5" t="str">
        <f>IFERROR(__xludf.DUMMYFUNCTION("GOOGLETRANSLATE(B14790,""en"",""es-ES"")"),"Se muestra un primer plano de una sala de billar.")</f>
        <v>Se muestra un primer plano de una sala de billar.</v>
      </c>
    </row>
    <row r="14791">
      <c r="A14791" s="4" t="s">
        <v>18626</v>
      </c>
      <c r="B14791" s="4" t="s">
        <v>18628</v>
      </c>
      <c r="C14791" s="5" t="str">
        <f>IFERROR(__xludf.DUMMYFUNCTION("GOOGLETRANSLATE(B14791,""en"",""es-ES"")"),"Un hombre y una mujer entran en la habitación, agarrando señales.")</f>
        <v>Un hombre y una mujer entran en la habitación, agarrando señales.</v>
      </c>
    </row>
    <row r="14792">
      <c r="A14792" s="4" t="s">
        <v>18626</v>
      </c>
      <c r="B14792" s="4" t="s">
        <v>18629</v>
      </c>
      <c r="C14792" s="5" t="str">
        <f>IFERROR(__xludf.DUMMYFUNCTION("GOOGLETRANSLATE(B14792,""en"",""es-ES"")"),"Se dedican a un juego de billar juntos, golpeando las bolas en los bolsillos.")</f>
        <v>Se dedican a un juego de billar juntos, golpeando las bolas en los bolsillos.</v>
      </c>
    </row>
    <row r="14793">
      <c r="A14793" s="4" t="s">
        <v>18630</v>
      </c>
      <c r="B14793" s="4" t="s">
        <v>18631</v>
      </c>
      <c r="C14793" s="5" t="str">
        <f>IFERROR(__xludf.DUMMYFUNCTION("GOOGLETRANSLATE(B14793,""en"",""es-ES"")"),"Instrucciones paso a paso para hacer pasta cremosa, primero poniendo la pasta en agua hirviendo y revolviéndola.")</f>
        <v>Instrucciones paso a paso para hacer pasta cremosa, primero poniendo la pasta en agua hirviendo y revolviéndola.</v>
      </c>
    </row>
    <row r="14794">
      <c r="A14794" s="4" t="s">
        <v>18630</v>
      </c>
      <c r="B14794" s="4" t="s">
        <v>18632</v>
      </c>
      <c r="C14794" s="5" t="str">
        <f>IFERROR(__xludf.DUMMYFUNCTION("GOOGLETRANSLATE(B14794,""en"",""es-ES"")"),"Luego, en otra sartén, agregue salchichas y cebollas y la revuelva todo.")</f>
        <v>Luego, en otra sartén, agregue salchichas y cebollas y la revuelva todo.</v>
      </c>
    </row>
    <row r="14795">
      <c r="A14795" s="4" t="s">
        <v>18630</v>
      </c>
      <c r="B14795" s="4" t="s">
        <v>18633</v>
      </c>
      <c r="C14795" s="5" t="str">
        <f>IFERROR(__xludf.DUMMYFUNCTION("GOOGLETRANSLATE(B14795,""en"",""es-ES"")"),"Agregar tomates y crema espesa para que sea pastel.")</f>
        <v>Agregar tomates y crema espesa para que sea pastel.</v>
      </c>
    </row>
    <row r="14796">
      <c r="A14796" s="4" t="s">
        <v>18630</v>
      </c>
      <c r="B14796" s="4" t="s">
        <v>18634</v>
      </c>
      <c r="C14796" s="5" t="str">
        <f>IFERROR(__xludf.DUMMYFUNCTION("GOOGLETRANSLATE(B14796,""en"",""es-ES"")"),"Finalmente agregando la pasta, junto con un poco de queso y copos de perejil y mezclarla todo.")</f>
        <v>Finalmente agregando la pasta, junto con un poco de queso y copos de perejil y mezclarla todo.</v>
      </c>
    </row>
    <row r="14797">
      <c r="A14797" s="4" t="s">
        <v>18635</v>
      </c>
      <c r="B14797" s="4" t="s">
        <v>18636</v>
      </c>
      <c r="C14797" s="5" t="str">
        <f>IFERROR(__xludf.DUMMYFUNCTION("GOOGLETRANSLATE(B14797,""en"",""es-ES"")"),"Un hombre se encuentra junto a una joven vestida con un atuendo de gimnasia en un gimnasio y habla con la cámara.")</f>
        <v>Un hombre se encuentra junto a una joven vestida con un atuendo de gimnasia en un gimnasio y habla con la cámara.</v>
      </c>
    </row>
    <row r="14798">
      <c r="A14798" s="4" t="s">
        <v>18635</v>
      </c>
      <c r="B14798" s="4" t="s">
        <v>18637</v>
      </c>
      <c r="C14798" s="5" t="str">
        <f>IFERROR(__xludf.DUMMYFUNCTION("GOOGLETRANSLATE(B14798,""en"",""es-ES"")"),"El hombre luego entrena a la niña en los bares del gimnasio en una sesión de práctica de gimnasia mientras la niña se balancea en los bares en un gimnasio lleno de otros niños que practican gimnasia.")</f>
        <v>El hombre luego entrena a la niña en los bares del gimnasio en una sesión de práctica de gimnasia mientras la niña se balancea en los bares en un gimnasio lleno de otros niños que practican gimnasia.</v>
      </c>
    </row>
    <row r="14799">
      <c r="A14799" s="4" t="s">
        <v>18635</v>
      </c>
      <c r="B14799" s="4" t="s">
        <v>18638</v>
      </c>
      <c r="C14799" s="5" t="str">
        <f>IFERROR(__xludf.DUMMYFUNCTION("GOOGLETRANSLATE(B14799,""en"",""es-ES"")"),"El hombre luego cierra de pie al lado de la niña nuevamente y hablando con la cámara.")</f>
        <v>El hombre luego cierra de pie al lado de la niña nuevamente y hablando con la cámara.</v>
      </c>
    </row>
    <row r="14800">
      <c r="A14800" s="4" t="s">
        <v>18639</v>
      </c>
      <c r="B14800" s="4" t="s">
        <v>18640</v>
      </c>
      <c r="C14800" s="5" t="str">
        <f>IFERROR(__xludf.DUMMYFUNCTION("GOOGLETRANSLATE(B14800,""en"",""es-ES"")"),"Una persona surf de surf en el agua entrecortada del océano.")</f>
        <v>Una persona surf de surf en el agua entrecortada del océano.</v>
      </c>
    </row>
    <row r="14801">
      <c r="A14801" s="4" t="s">
        <v>18639</v>
      </c>
      <c r="B14801" s="4" t="s">
        <v>18641</v>
      </c>
      <c r="C14801" s="5" t="str">
        <f>IFERROR(__xludf.DUMMYFUNCTION("GOOGLETRANSLATE(B14801,""en"",""es-ES"")"),"Una mujer se para en el frente de una piscina que habla, luego se muestra una diapositiva de fotos y un hombre que habla en un evento.")</f>
        <v>Una mujer se para en el frente de una piscina que habla, luego se muestra una diapositiva de fotos y un hombre que habla en un evento.</v>
      </c>
    </row>
    <row r="14802">
      <c r="A14802" s="4" t="s">
        <v>18639</v>
      </c>
      <c r="B14802" s="4" t="s">
        <v>18642</v>
      </c>
      <c r="C14802" s="5" t="str">
        <f>IFERROR(__xludf.DUMMYFUNCTION("GOOGLETRANSLATE(B14802,""en"",""es-ES"")"),"Luego, el Príncipe Harry de Inglaterra se encuentra en un evento mientras la gente baila y actúa.")</f>
        <v>Luego, el Príncipe Harry de Inglaterra se encuentra en un evento mientras la gente baila y actúa.</v>
      </c>
    </row>
    <row r="14803">
      <c r="A14803" s="4" t="s">
        <v>18639</v>
      </c>
      <c r="B14803" s="4" t="s">
        <v>18643</v>
      </c>
      <c r="C14803" s="5" t="str">
        <f>IFERROR(__xludf.DUMMYFUNCTION("GOOGLETRANSLATE(B14803,""en"",""es-ES"")"),"Después, la gente juega con polo en un caballo de montar y arroja una pelota con un poste, también la mujer y el hombre habla.")</f>
        <v>Después, la gente juega con polo en un caballo de montar y arroja una pelota con un poste, también la mujer y el hombre habla.</v>
      </c>
    </row>
    <row r="14804">
      <c r="A14804" s="4" t="s">
        <v>18644</v>
      </c>
      <c r="B14804" s="4" t="s">
        <v>18645</v>
      </c>
      <c r="C14804" s="5" t="str">
        <f>IFERROR(__xludf.DUMMYFUNCTION("GOOGLETRANSLATE(B14804,""en"",""es-ES"")"),"Se muestran varias tomas de personas que realizan impresionantes gotas de gimnasia en un gran gimnasio.")</f>
        <v>Se muestran varias tomas de personas que realizan impresionantes gotas de gimnasia en un gran gimnasio.</v>
      </c>
    </row>
    <row r="14805">
      <c r="A14805" s="4" t="s">
        <v>18644</v>
      </c>
      <c r="B14805" s="4" t="s">
        <v>18646</v>
      </c>
      <c r="C14805" s="5" t="str">
        <f>IFERROR(__xludf.DUMMYFUNCTION("GOOGLETRANSLATE(B14805,""en"",""es-ES"")"),"Las personas realizan continuamente volteos y trucos en las esteras y algunas se muestran en cámara lenta y en imágenes.")</f>
        <v>Las personas realizan continuamente volteos y trucos en las esteras y algunas se muestran en cámara lenta y en imágenes.</v>
      </c>
    </row>
    <row r="14806">
      <c r="A14806" s="4" t="s">
        <v>18647</v>
      </c>
      <c r="B14806" s="4" t="s">
        <v>18648</v>
      </c>
      <c r="C14806" s="5" t="str">
        <f>IFERROR(__xludf.DUMMYFUNCTION("GOOGLETRANSLATE(B14806,""en"",""es-ES"")"),"Un hombre sostiene una copa de vino y habla.")</f>
        <v>Un hombre sostiene una copa de vino y habla.</v>
      </c>
    </row>
    <row r="14807">
      <c r="A14807" s="4" t="s">
        <v>18647</v>
      </c>
      <c r="B14807" s="4" t="s">
        <v>18649</v>
      </c>
      <c r="C14807" s="5" t="str">
        <f>IFERROR(__xludf.DUMMYFUNCTION("GOOGLETRANSLATE(B14807,""en"",""es-ES"")"),"Toma un trago del vino y coloca la copa.")</f>
        <v>Toma un trago del vino y coloca la copa.</v>
      </c>
    </row>
    <row r="14808">
      <c r="A14808" s="4" t="s">
        <v>18647</v>
      </c>
      <c r="B14808" s="4" t="s">
        <v>18650</v>
      </c>
      <c r="C14808" s="5" t="str">
        <f>IFERROR(__xludf.DUMMYFUNCTION("GOOGLETRANSLATE(B14808,""en"",""es-ES"")"),"Muestra botellas que están sentadas en un mostrador.")</f>
        <v>Muestra botellas que están sentadas en un mostrador.</v>
      </c>
    </row>
    <row r="14809">
      <c r="A14809" s="4" t="s">
        <v>18647</v>
      </c>
      <c r="B14809" s="4" t="s">
        <v>18651</v>
      </c>
      <c r="C14809" s="5" t="str">
        <f>IFERROR(__xludf.DUMMYFUNCTION("GOOGLETRANSLATE(B14809,""en"",""es-ES"")"),"Vierte aceite en una sartén en una estufa.")</f>
        <v>Vierte aceite en una sartén en una estufa.</v>
      </c>
    </row>
    <row r="14810">
      <c r="A14810" s="4" t="s">
        <v>18647</v>
      </c>
      <c r="B14810" s="4" t="s">
        <v>18652</v>
      </c>
      <c r="C14810" s="5" t="str">
        <f>IFERROR(__xludf.DUMMYFUNCTION("GOOGLETRANSLATE(B14810,""en"",""es-ES"")"),"Agrega condimentos a la sartén.")</f>
        <v>Agrega condimentos a la sartén.</v>
      </c>
    </row>
    <row r="14811">
      <c r="A14811" s="4" t="s">
        <v>18647</v>
      </c>
      <c r="B14811" s="4" t="s">
        <v>18653</v>
      </c>
      <c r="C14811" s="5" t="str">
        <f>IFERROR(__xludf.DUMMYFUNCTION("GOOGLETRANSLATE(B14811,""en"",""es-ES"")"),"Él revuelve una olla que está en la estufa.")</f>
        <v>Él revuelve una olla que está en la estufa.</v>
      </c>
    </row>
    <row r="14812">
      <c r="A14812" s="4" t="s">
        <v>18647</v>
      </c>
      <c r="B14812" s="4" t="s">
        <v>18654</v>
      </c>
      <c r="C14812" s="5" t="str">
        <f>IFERROR(__xludf.DUMMYFUNCTION("GOOGLETRANSLATE(B14812,""en"",""es-ES"")"),"Toma una cucharada de lo que hay en la olla y la agrega a la sartén.")</f>
        <v>Toma una cucharada de lo que hay en la olla y la agrega a la sartén.</v>
      </c>
    </row>
    <row r="14813">
      <c r="A14813" s="4" t="s">
        <v>18647</v>
      </c>
      <c r="B14813" s="4" t="s">
        <v>18655</v>
      </c>
      <c r="C14813" s="5" t="str">
        <f>IFERROR(__xludf.DUMMYFUNCTION("GOOGLETRANSLATE(B14813,""en"",""es-ES"")"),"Comienza a agitar la pasta que está en la sartén.")</f>
        <v>Comienza a agitar la pasta que está en la sartén.</v>
      </c>
    </row>
    <row r="14814">
      <c r="A14814" s="4" t="s">
        <v>18647</v>
      </c>
      <c r="B14814" s="4" t="s">
        <v>18656</v>
      </c>
      <c r="C14814" s="5" t="str">
        <f>IFERROR(__xludf.DUMMYFUNCTION("GOOGLETRANSLATE(B14814,""en"",""es-ES"")"),"Él saca la pasta de la sartén hacia un plato.")</f>
        <v>Él saca la pasta de la sartén hacia un plato.</v>
      </c>
    </row>
    <row r="14815">
      <c r="A14815" s="4" t="s">
        <v>18647</v>
      </c>
      <c r="B14815" s="4" t="s">
        <v>18657</v>
      </c>
      <c r="C14815" s="5" t="str">
        <f>IFERROR(__xludf.DUMMYFUNCTION("GOOGLETRANSLATE(B14815,""en"",""es-ES"")"),"Recoge su copa de vino nuevamente.")</f>
        <v>Recoge su copa de vino nuevamente.</v>
      </c>
    </row>
    <row r="14816">
      <c r="A14816" s="4" t="s">
        <v>18658</v>
      </c>
      <c r="B14816" s="4" t="s">
        <v>18659</v>
      </c>
      <c r="C14816" s="5" t="str">
        <f>IFERROR(__xludf.DUMMYFUNCTION("GOOGLETRANSLATE(B14816,""en"",""es-ES"")"),"Un grupo de ciclistas de tierra está esperando una rampa.")</f>
        <v>Un grupo de ciclistas de tierra está esperando una rampa.</v>
      </c>
    </row>
    <row r="14817">
      <c r="A14817" s="4" t="s">
        <v>18658</v>
      </c>
      <c r="B14817" s="4" t="s">
        <v>18660</v>
      </c>
      <c r="C14817" s="5" t="str">
        <f>IFERROR(__xludf.DUMMYFUNCTION("GOOGLETRANSLATE(B14817,""en"",""es-ES"")"),"Despegan cuando se abre, dando vueltas en círculos en la pista, corriendo unos a otros.")</f>
        <v>Despegan cuando se abre, dando vueltas en círculos en la pista, corriendo unos a otros.</v>
      </c>
    </row>
    <row r="14818">
      <c r="A14818" s="4" t="s">
        <v>18658</v>
      </c>
      <c r="B14818" s="4" t="s">
        <v>18661</v>
      </c>
      <c r="C14818" s="5" t="str">
        <f>IFERROR(__xludf.DUMMYFUNCTION("GOOGLETRANSLATE(B14818,""en"",""es-ES"")"),"Algunos se caen de sus bicicletas.")</f>
        <v>Algunos se caen de sus bicicletas.</v>
      </c>
    </row>
    <row r="14819">
      <c r="A14819" s="4" t="s">
        <v>18658</v>
      </c>
      <c r="B14819" s="4" t="s">
        <v>18662</v>
      </c>
      <c r="C14819" s="5" t="str">
        <f>IFERROR(__xludf.DUMMYFUNCTION("GOOGLETRANSLATE(B14819,""en"",""es-ES"")"),"Aprenden la línea de meta, terminando la carrera.")</f>
        <v>Aprenden la línea de meta, terminando la carrera.</v>
      </c>
    </row>
    <row r="14820">
      <c r="A14820" s="4" t="s">
        <v>18663</v>
      </c>
      <c r="B14820" s="4" t="s">
        <v>18664</v>
      </c>
      <c r="C14820" s="5" t="str">
        <f>IFERROR(__xludf.DUMMYFUNCTION("GOOGLETRANSLATE(B14820,""en"",""es-ES"")"),"Una mujer da algunos pasos con un par de aparatos de salto.")</f>
        <v>Una mujer da algunos pasos con un par de aparatos de salto.</v>
      </c>
    </row>
    <row r="14821">
      <c r="A14821" s="4" t="s">
        <v>18663</v>
      </c>
      <c r="B14821" s="4" t="s">
        <v>18665</v>
      </c>
      <c r="C14821" s="5" t="str">
        <f>IFERROR(__xludf.DUMMYFUNCTION("GOOGLETRANSLATE(B14821,""en"",""es-ES"")"),"La mujer comienza a saltar rápidamente.")</f>
        <v>La mujer comienza a saltar rápidamente.</v>
      </c>
    </row>
    <row r="14822">
      <c r="A14822" s="4" t="s">
        <v>18663</v>
      </c>
      <c r="B14822" s="4" t="s">
        <v>18666</v>
      </c>
      <c r="C14822" s="5" t="str">
        <f>IFERROR(__xludf.DUMMYFUNCTION("GOOGLETRANSLATE(B14822,""en"",""es-ES"")"),"A la mujer se unen a un hombre que también está saltando en un par de aparatos de salto.")</f>
        <v>A la mujer se unen a un hombre que también está saltando en un par de aparatos de salto.</v>
      </c>
    </row>
    <row r="14823">
      <c r="A14823" s="4" t="s">
        <v>18667</v>
      </c>
      <c r="B14823" s="4" t="s">
        <v>18668</v>
      </c>
      <c r="C14823" s="5" t="str">
        <f>IFERROR(__xludf.DUMMYFUNCTION("GOOGLETRANSLATE(B14823,""en"",""es-ES"")"),"Se ve a un hombre montando en un largo río con otra persona cabalgando.")</f>
        <v>Se ve a un hombre montando en un largo río con otra persona cabalgando.</v>
      </c>
    </row>
    <row r="14824">
      <c r="A14824" s="4" t="s">
        <v>18667</v>
      </c>
      <c r="B14824" s="4" t="s">
        <v>18669</v>
      </c>
      <c r="C14824" s="5" t="str">
        <f>IFERROR(__xludf.DUMMYFUNCTION("GOOGLETRANSLATE(B14824,""en"",""es-ES"")"),"La cámara pasa a varias personas montando en tubos y empujándose por un río.")</f>
        <v>La cámara pasa a varias personas montando en tubos y empujándose por un río.</v>
      </c>
    </row>
    <row r="14825">
      <c r="A14825" s="4" t="s">
        <v>18670</v>
      </c>
      <c r="B14825" s="4" t="s">
        <v>18671</v>
      </c>
      <c r="C14825" s="5" t="str">
        <f>IFERROR(__xludf.DUMMYFUNCTION("GOOGLETRANSLATE(B14825,""en"",""es-ES"")"),"Se ve a una niña acostada sobre una mesa mientras un hombre que usa guantes contiene tijeras en el ombligo.")</f>
        <v>Se ve a una niña acostada sobre una mesa mientras un hombre que usa guantes contiene tijeras en el ombligo.</v>
      </c>
    </row>
    <row r="14826">
      <c r="A14826" s="4" t="s">
        <v>18670</v>
      </c>
      <c r="B14826" s="4" t="s">
        <v>18672</v>
      </c>
      <c r="C14826" s="5" t="str">
        <f>IFERROR(__xludf.DUMMYFUNCTION("GOOGLETRANSLATE(B14826,""en"",""es-ES"")"),"Luego perfora el estómago de la niña y ella se sienta y se aleja al final sonriendo.")</f>
        <v>Luego perfora el estómago de la niña y ella se sienta y se aleja al final sonriendo.</v>
      </c>
    </row>
    <row r="14827">
      <c r="A14827" s="4" t="s">
        <v>18673</v>
      </c>
      <c r="B14827" s="4" t="s">
        <v>18674</v>
      </c>
      <c r="C14827" s="5" t="str">
        <f>IFERROR(__xludf.DUMMYFUNCTION("GOOGLETRANSLATE(B14827,""en"",""es-ES"")"),"Un hombre está peleando bull =, tiene una hoja rosa y está huyendo hacia atrás desde el toro que se acerca hacia él.")</f>
        <v>Un hombre está peleando bull =, tiene una hoja rosa y está huyendo hacia atrás desde el toro que se acerca hacia él.</v>
      </c>
    </row>
    <row r="14828">
      <c r="A14828" s="4" t="s">
        <v>18673</v>
      </c>
      <c r="B14828" s="4" t="s">
        <v>18675</v>
      </c>
      <c r="C14828" s="5" t="str">
        <f>IFERROR(__xludf.DUMMYFUNCTION("GOOGLETRANSLATE(B14828,""en"",""es-ES"")"),"Ahora hay tres hombres y uno de ellos es completamente pisoteado por el toro.")</f>
        <v>Ahora hay tres hombres y uno de ellos es completamente pisoteado por el toro.</v>
      </c>
    </row>
    <row r="14829">
      <c r="A14829" s="4" t="s">
        <v>18673</v>
      </c>
      <c r="B14829" s="4" t="s">
        <v>18676</v>
      </c>
      <c r="C14829" s="5" t="str">
        <f>IFERROR(__xludf.DUMMYFUNCTION("GOOGLETRANSLATE(B14829,""en"",""es-ES"")"),"Luego, unos seis hombres más se paran en una línea que se metía con el toro.")</f>
        <v>Luego, unos seis hombres más se paran en una línea que se metía con el toro.</v>
      </c>
    </row>
    <row r="14830">
      <c r="A14830" s="4" t="s">
        <v>18673</v>
      </c>
      <c r="B14830" s="4" t="s">
        <v>18677</v>
      </c>
      <c r="C14830" s="5" t="str">
        <f>IFERROR(__xludf.DUMMYFUNCTION("GOOGLETRANSLATE(B14830,""en"",""es-ES"")"),"Es muy peligroso jugar con un toro y burlarse de él, estas personas pueden ser lastimadas gravemente.")</f>
        <v>Es muy peligroso jugar con un toro y burlarse de él, estas personas pueden ser lastimadas gravemente.</v>
      </c>
    </row>
    <row r="14831">
      <c r="A14831" s="4" t="s">
        <v>18678</v>
      </c>
      <c r="B14831" s="4" t="s">
        <v>18679</v>
      </c>
      <c r="C14831" s="5" t="str">
        <f>IFERROR(__xludf.DUMMYFUNCTION("GOOGLETRANSLATE(B14831,""en"",""es-ES"")"),"Se ve la colorida pantalla de título.")</f>
        <v>Se ve la colorida pantalla de título.</v>
      </c>
    </row>
    <row r="14832">
      <c r="A14832" s="4" t="s">
        <v>18678</v>
      </c>
      <c r="B14832" s="4" t="s">
        <v>18680</v>
      </c>
      <c r="C14832" s="5" t="str">
        <f>IFERROR(__xludf.DUMMYFUNCTION("GOOGLETRANSLATE(B14832,""en"",""es-ES"")"),"Dos personas en una habitación bailan lentamente hacia atrás.")</f>
        <v>Dos personas en una habitación bailan lentamente hacia atrás.</v>
      </c>
    </row>
    <row r="14833">
      <c r="A14833" s="4" t="s">
        <v>18678</v>
      </c>
      <c r="B14833" s="4" t="s">
        <v>18681</v>
      </c>
      <c r="C14833" s="5" t="str">
        <f>IFERROR(__xludf.DUMMYFUNCTION("GOOGLETRANSLATE(B14833,""en"",""es-ES"")"),"Se carga una pantalla de título y vemos al hombre bailar solo.")</f>
        <v>Se carga una pantalla de título y vemos al hombre bailar solo.</v>
      </c>
    </row>
    <row r="14834">
      <c r="A14834" s="4" t="s">
        <v>18678</v>
      </c>
      <c r="B14834" s="4" t="s">
        <v>18682</v>
      </c>
      <c r="C14834" s="5" t="str">
        <f>IFERROR(__xludf.DUMMYFUNCTION("GOOGLETRANSLATE(B14834,""en"",""es-ES"")"),"Vemos un título y la dama en la sala verde bailando solos.")</f>
        <v>Vemos un título y la dama en la sala verde bailando solos.</v>
      </c>
    </row>
    <row r="14835">
      <c r="A14835" s="4" t="s">
        <v>18678</v>
      </c>
      <c r="B14835" s="4" t="s">
        <v>18683</v>
      </c>
      <c r="C14835" s="5" t="str">
        <f>IFERROR(__xludf.DUMMYFUNCTION("GOOGLETRANSLATE(B14835,""en"",""es-ES"")"),"Un título se carga y vemos los pies del hombre mientras baila.")</f>
        <v>Un título se carga y vemos los pies del hombre mientras baila.</v>
      </c>
    </row>
    <row r="14836">
      <c r="A14836" s="4" t="s">
        <v>18678</v>
      </c>
      <c r="B14836" s="4" t="s">
        <v>18684</v>
      </c>
      <c r="C14836" s="5" t="str">
        <f>IFERROR(__xludf.DUMMYFUNCTION("GOOGLETRANSLATE(B14836,""en"",""es-ES"")"),"Un título se carga y vemos a las damas mientras ella baila.")</f>
        <v>Un título se carga y vemos a las damas mientras ella baila.</v>
      </c>
    </row>
    <row r="14837">
      <c r="A14837" s="4" t="s">
        <v>18685</v>
      </c>
      <c r="B14837" s="4" t="s">
        <v>18686</v>
      </c>
      <c r="C14837" s="5" t="str">
        <f>IFERROR(__xludf.DUMMYFUNCTION("GOOGLETRANSLATE(B14837,""en"",""es-ES"")"),"Se ve a un hombre hablando con la cámara mientras se cepilla el cabello y mira alrededor de un baño.")</f>
        <v>Se ve a un hombre hablando con la cámara mientras se cepilla el cabello y mira alrededor de un baño.</v>
      </c>
    </row>
    <row r="14838">
      <c r="A14838" s="4" t="s">
        <v>18685</v>
      </c>
      <c r="B14838" s="4" t="s">
        <v>18687</v>
      </c>
      <c r="C14838" s="5" t="str">
        <f>IFERROR(__xludf.DUMMYFUNCTION("GOOGLETRANSLATE(B14838,""en"",""es-ES"")"),"El hombre continúa cepillándose el cabello y comienza a jugar con su vello facial.")</f>
        <v>El hombre continúa cepillándose el cabello y comienza a jugar con su vello facial.</v>
      </c>
    </row>
    <row r="14839">
      <c r="A14839" s="4" t="s">
        <v>18685</v>
      </c>
      <c r="B14839" s="4" t="s">
        <v>18688</v>
      </c>
      <c r="C14839" s="5" t="str">
        <f>IFERROR(__xludf.DUMMYFUNCTION("GOOGLETRANSLATE(B14839,""en"",""es-ES"")"),"El hombre señala la cámara alrededor de su cabeza mostrando su cabello y sonriendo a la cámara.")</f>
        <v>El hombre señala la cámara alrededor de su cabeza mostrando su cabello y sonriendo a la cámara.</v>
      </c>
    </row>
    <row r="14840">
      <c r="A14840" s="4" t="s">
        <v>18689</v>
      </c>
      <c r="B14840" s="4" t="s">
        <v>18690</v>
      </c>
      <c r="C14840" s="5" t="str">
        <f>IFERROR(__xludf.DUMMYFUNCTION("GOOGLETRANSLATE(B14840,""en"",""es-ES"")"),"Los hombres juegan tenis interior dentro de un edificio, mientras que el fútbol está en la televisión de fondo.")</f>
        <v>Los hombres juegan tenis interior dentro de un edificio, mientras que el fútbol está en la televisión de fondo.</v>
      </c>
    </row>
    <row r="14841">
      <c r="A14841" s="4" t="s">
        <v>18689</v>
      </c>
      <c r="B14841" s="4" t="s">
        <v>18691</v>
      </c>
      <c r="C14841" s="5" t="str">
        <f>IFERROR(__xludf.DUMMYFUNCTION("GOOGLETRANSLATE(B14841,""en"",""es-ES"")"),"Golpearon la pelota de un lado a otro por un tiempo.")</f>
        <v>Golpearon la pelota de un lado a otro por un tiempo.</v>
      </c>
    </row>
    <row r="14842">
      <c r="A14842" s="4" t="s">
        <v>18689</v>
      </c>
      <c r="B14842" s="4" t="s">
        <v>18692</v>
      </c>
      <c r="C14842" s="5" t="str">
        <f>IFERROR(__xludf.DUMMYFUNCTION("GOOGLETRANSLATE(B14842,""en"",""es-ES"")"),"Otros hombres en la habitación ocasionalmente miran hacia arriba.")</f>
        <v>Otros hombres en la habitación ocasionalmente miran hacia arriba.</v>
      </c>
    </row>
    <row r="14843">
      <c r="A14843" s="4" t="s">
        <v>18693</v>
      </c>
      <c r="B14843" s="4" t="s">
        <v>18694</v>
      </c>
      <c r="C14843" s="5" t="str">
        <f>IFERROR(__xludf.DUMMYFUNCTION("GOOGLETRANSLATE(B14843,""en"",""es-ES"")"),"Vemos un presentador de noticias en un estudio hablando.")</f>
        <v>Vemos un presentador de noticias en un estudio hablando.</v>
      </c>
    </row>
    <row r="14844">
      <c r="A14844" s="4" t="s">
        <v>18693</v>
      </c>
      <c r="B14844" s="4" t="s">
        <v>18695</v>
      </c>
      <c r="C14844" s="5" t="str">
        <f>IFERROR(__xludf.DUMMYFUNCTION("GOOGLETRANSLATE(B14844,""en"",""es-ES"")"),"Luego vemos un juego de fútbol en el interior.")</f>
        <v>Luego vemos un juego de fútbol en el interior.</v>
      </c>
    </row>
    <row r="14845">
      <c r="A14845" s="4" t="s">
        <v>18693</v>
      </c>
      <c r="B14845" s="4" t="s">
        <v>18696</v>
      </c>
      <c r="C14845" s="5" t="str">
        <f>IFERROR(__xludf.DUMMYFUNCTION("GOOGLETRANSLATE(B14845,""en"",""es-ES"")"),"Un hombre habla frente a la cámara y vemos a la multitud.")</f>
        <v>Un hombre habla frente a la cámara y vemos a la multitud.</v>
      </c>
    </row>
    <row r="14846">
      <c r="A14846" s="4" t="s">
        <v>18693</v>
      </c>
      <c r="B14846" s="4" t="s">
        <v>18697</v>
      </c>
      <c r="C14846" s="5" t="str">
        <f>IFERROR(__xludf.DUMMYFUNCTION("GOOGLETRANSLATE(B14846,""en"",""es-ES"")"),"Vemos el juego en progreso.")</f>
        <v>Vemos el juego en progreso.</v>
      </c>
    </row>
    <row r="14847">
      <c r="A14847" s="4" t="s">
        <v>18693</v>
      </c>
      <c r="B14847" s="4" t="s">
        <v>18698</v>
      </c>
      <c r="C14847" s="5" t="str">
        <f>IFERROR(__xludf.DUMMYFUNCTION("GOOGLETRANSLATE(B14847,""en"",""es-ES"")"),"El hombre vuelve a hablar y vemos el juego nuevamente.")</f>
        <v>El hombre vuelve a hablar y vemos el juego nuevamente.</v>
      </c>
    </row>
    <row r="14848">
      <c r="A14848" s="4" t="s">
        <v>18693</v>
      </c>
      <c r="B14848" s="4" t="s">
        <v>18699</v>
      </c>
      <c r="C14848" s="5" t="str">
        <f>IFERROR(__xludf.DUMMYFUNCTION("GOOGLETRANSLATE(B14848,""en"",""es-ES"")"),"El hombre habla una vez más y volvemos al juego.")</f>
        <v>El hombre habla una vez más y volvemos al juego.</v>
      </c>
    </row>
    <row r="14849">
      <c r="A14849" s="4" t="s">
        <v>18693</v>
      </c>
      <c r="B14849" s="4" t="s">
        <v>18700</v>
      </c>
      <c r="C14849" s="5" t="str">
        <f>IFERROR(__xludf.DUMMYFUNCTION("GOOGLETRANSLATE(B14849,""en"",""es-ES"")"),"Vemos al presentador de noticias en el estudio nuevamente.")</f>
        <v>Vemos al presentador de noticias en el estudio nuevamente.</v>
      </c>
    </row>
    <row r="14850">
      <c r="A14850" s="4" t="s">
        <v>18701</v>
      </c>
      <c r="B14850" s="4" t="s">
        <v>18702</v>
      </c>
      <c r="C14850" s="5" t="str">
        <f>IFERROR(__xludf.DUMMYFUNCTION("GOOGLETRANSLATE(B14850,""en"",""es-ES"")"),"Vemos a varios hombres lanzando dardos y una mujer que mantiene el puntaje.")</f>
        <v>Vemos a varios hombres lanzando dardos y una mujer que mantiene el puntaje.</v>
      </c>
    </row>
    <row r="14851">
      <c r="A14851" s="4" t="s">
        <v>18701</v>
      </c>
      <c r="B14851" s="4" t="s">
        <v>18703</v>
      </c>
      <c r="C14851" s="5" t="str">
        <f>IFERROR(__xludf.DUMMYFUNCTION("GOOGLETRANSLATE(B14851,""en"",""es-ES"")"),"El hombre agarra los dardos del tablero y se aleja.")</f>
        <v>El hombre agarra los dardos del tablero y se aleja.</v>
      </c>
    </row>
    <row r="14852">
      <c r="A14852" s="4" t="s">
        <v>18701</v>
      </c>
      <c r="B14852" s="4" t="s">
        <v>18704</v>
      </c>
      <c r="C14852" s="5" t="str">
        <f>IFERROR(__xludf.DUMMYFUNCTION("GOOGLETRANSLATE(B14852,""en"",""es-ES"")"),"Otro hombre dispara, agarra sus dardos y se va.")</f>
        <v>Otro hombre dispara, agarra sus dardos y se va.</v>
      </c>
    </row>
    <row r="14853">
      <c r="A14853" s="4" t="s">
        <v>18701</v>
      </c>
      <c r="B14853" s="4" t="s">
        <v>18705</v>
      </c>
      <c r="C14853" s="5" t="str">
        <f>IFERROR(__xludf.DUMMYFUNCTION("GOOGLETRANSLATE(B14853,""en"",""es-ES"")"),"Un tercer chico dispara a Darts y se va.")</f>
        <v>Un tercer chico dispara a Darts y se va.</v>
      </c>
    </row>
    <row r="14854">
      <c r="A14854" s="4" t="s">
        <v>18701</v>
      </c>
      <c r="B14854" s="4" t="s">
        <v>18706</v>
      </c>
      <c r="C14854" s="5" t="str">
        <f>IFERROR(__xludf.DUMMYFUNCTION("GOOGLETRANSLATE(B14854,""en"",""es-ES"")"),"El cuarto tipo dispara y se va.")</f>
        <v>El cuarto tipo dispara y se va.</v>
      </c>
    </row>
    <row r="14855">
      <c r="A14855" s="4" t="s">
        <v>18701</v>
      </c>
      <c r="B14855" s="4" t="s">
        <v>18707</v>
      </c>
      <c r="C14855" s="5" t="str">
        <f>IFERROR(__xludf.DUMMYFUNCTION("GOOGLETRANSLATE(B14855,""en"",""es-ES"")"),"El primer chico regresa para otra oportunidad.")</f>
        <v>El primer chico regresa para otra oportunidad.</v>
      </c>
    </row>
    <row r="14856">
      <c r="A14856" s="4" t="s">
        <v>18701</v>
      </c>
      <c r="B14856" s="4" t="s">
        <v>18708</v>
      </c>
      <c r="C14856" s="5" t="str">
        <f>IFERROR(__xludf.DUMMYFUNCTION("GOOGLETRANSLATE(B14856,""en"",""es-ES"")"),"El segundo tipo vuelve.")</f>
        <v>El segundo tipo vuelve.</v>
      </c>
    </row>
    <row r="14857">
      <c r="A14857" s="4" t="s">
        <v>18701</v>
      </c>
      <c r="B14857" s="4" t="s">
        <v>18709</v>
      </c>
      <c r="C14857" s="5" t="str">
        <f>IFERROR(__xludf.DUMMYFUNCTION("GOOGLETRANSLATE(B14857,""en"",""es-ES"")"),"El tercer chico juega de nuevo.")</f>
        <v>El tercer chico juega de nuevo.</v>
      </c>
    </row>
    <row r="14858">
      <c r="A14858" s="4" t="s">
        <v>18701</v>
      </c>
      <c r="B14858" s="4" t="s">
        <v>18710</v>
      </c>
      <c r="C14858" s="5" t="str">
        <f>IFERROR(__xludf.DUMMYFUNCTION("GOOGLETRANSLATE(B14858,""en"",""es-ES"")"),"El cuarto tipo toma su turno.")</f>
        <v>El cuarto tipo toma su turno.</v>
      </c>
    </row>
    <row r="14859">
      <c r="A14859" s="4" t="s">
        <v>18701</v>
      </c>
      <c r="B14859" s="4" t="s">
        <v>18711</v>
      </c>
      <c r="C14859" s="5" t="str">
        <f>IFERROR(__xludf.DUMMYFUNCTION("GOOGLETRANSLATE(B14859,""en"",""es-ES"")"),"Y los vemos repetir.")</f>
        <v>Y los vemos repetir.</v>
      </c>
    </row>
    <row r="14860">
      <c r="A14860" s="4" t="s">
        <v>18712</v>
      </c>
      <c r="B14860" s="4" t="s">
        <v>18713</v>
      </c>
      <c r="C14860" s="5" t="str">
        <f>IFERROR(__xludf.DUMMYFUNCTION("GOOGLETRANSLATE(B14860,""en"",""es-ES"")"),"Una gimnasta se prepara para montar una viga.")</f>
        <v>Una gimnasta se prepara para montar una viga.</v>
      </c>
    </row>
    <row r="14861">
      <c r="A14861" s="4" t="s">
        <v>18712</v>
      </c>
      <c r="B14861" s="4" t="s">
        <v>18714</v>
      </c>
      <c r="C14861" s="5" t="str">
        <f>IFERROR(__xludf.DUMMYFUNCTION("GOOGLETRANSLATE(B14861,""en"",""es-ES"")"),"Se monta, luego gira y voltea varias veces.")</f>
        <v>Se monta, luego gira y voltea varias veces.</v>
      </c>
    </row>
    <row r="14862">
      <c r="A14862" s="4" t="s">
        <v>18712</v>
      </c>
      <c r="B14862" s="4" t="s">
        <v>18715</v>
      </c>
      <c r="C14862" s="5" t="str">
        <f>IFERROR(__xludf.DUMMYFUNCTION("GOOGLETRANSLATE(B14862,""en"",""es-ES"")"),"Desmita, levantando los brazos en el aire.")</f>
        <v>Desmita, levantando los brazos en el aire.</v>
      </c>
    </row>
    <row r="14863">
      <c r="A14863" s="4" t="s">
        <v>18716</v>
      </c>
      <c r="B14863" s="4" t="s">
        <v>18717</v>
      </c>
      <c r="C14863" s="5" t="str">
        <f>IFERROR(__xludf.DUMMYFUNCTION("GOOGLETRANSLATE(B14863,""en"",""es-ES"")"),"Vemos un par de pantallas de apertura.")</f>
        <v>Vemos un par de pantallas de apertura.</v>
      </c>
    </row>
    <row r="14864">
      <c r="A14864" s="4" t="s">
        <v>18716</v>
      </c>
      <c r="B14864" s="4" t="s">
        <v>18718</v>
      </c>
      <c r="C14864" s="5" t="str">
        <f>IFERROR(__xludf.DUMMYFUNCTION("GOOGLETRANSLATE(B14864,""en"",""es-ES"")"),"Vemos a un hombre con una camisa azul boliche hablando en una bolera.")</f>
        <v>Vemos a un hombre con una camisa azul boliche hablando en una bolera.</v>
      </c>
    </row>
    <row r="14865">
      <c r="A14865" s="4" t="s">
        <v>18716</v>
      </c>
      <c r="B14865" s="4" t="s">
        <v>18719</v>
      </c>
      <c r="C14865" s="5" t="str">
        <f>IFERROR(__xludf.DUMMYFUNCTION("GOOGLETRANSLATE(B14865,""en"",""es-ES"")"),"El hombre recoge la pelota morada del dispensador y habla con la cámara.")</f>
        <v>El hombre recoge la pelota morada del dispensador y habla con la cámara.</v>
      </c>
    </row>
    <row r="14866">
      <c r="A14866" s="4" t="s">
        <v>18716</v>
      </c>
      <c r="B14866" s="4" t="s">
        <v>18720</v>
      </c>
      <c r="C14866" s="5" t="str">
        <f>IFERROR(__xludf.DUMMYFUNCTION("GOOGLETRANSLATE(B14866,""en"",""es-ES"")"),"El hombre extiende la pelota y luego lo vemos poniendo los dedos en la pelota y habla con la cámara.")</f>
        <v>El hombre extiende la pelota y luego lo vemos poniendo los dedos en la pelota y habla con la cámara.</v>
      </c>
    </row>
    <row r="14867">
      <c r="A14867" s="4" t="s">
        <v>18716</v>
      </c>
      <c r="B14867" s="4" t="s">
        <v>18721</v>
      </c>
      <c r="C14867" s="5" t="str">
        <f>IFERROR(__xludf.DUMMYFUNCTION("GOOGLETRANSLATE(B14867,""en"",""es-ES"")"),"El hombre baja la pelota y agarra otra, luego otra y habla.")</f>
        <v>El hombre baja la pelota y agarra otra, luego otra y habla.</v>
      </c>
    </row>
    <row r="14868">
      <c r="A14868" s="4" t="s">
        <v>18716</v>
      </c>
      <c r="B14868" s="4" t="s">
        <v>18722</v>
      </c>
      <c r="C14868" s="5" t="str">
        <f>IFERROR(__xludf.DUMMYFUNCTION("GOOGLETRANSLATE(B14868,""en"",""es-ES"")"),"Luego vemos al hombre rodar la pelota por el pasillo.")</f>
        <v>Luego vemos al hombre rodar la pelota por el pasillo.</v>
      </c>
    </row>
    <row r="14869">
      <c r="A14869" s="4" t="s">
        <v>18723</v>
      </c>
      <c r="B14869" s="4" t="s">
        <v>18724</v>
      </c>
      <c r="C14869" s="5" t="str">
        <f>IFERROR(__xludf.DUMMYFUNCTION("GOOGLETRANSLATE(B14869,""en"",""es-ES"")"),"Un hombre sirve una pelota de tenis con su raqueta.")</f>
        <v>Un hombre sirve una pelota de tenis con su raqueta.</v>
      </c>
    </row>
    <row r="14870">
      <c r="A14870" s="4" t="s">
        <v>18723</v>
      </c>
      <c r="B14870" s="4" t="s">
        <v>18725</v>
      </c>
      <c r="C14870" s="5" t="str">
        <f>IFERROR(__xludf.DUMMYFUNCTION("GOOGLETRANSLATE(B14870,""en"",""es-ES"")"),"Él trae la raqueta a su lado.")</f>
        <v>Él trae la raqueta a su lado.</v>
      </c>
    </row>
    <row r="14871">
      <c r="A14871" s="4" t="s">
        <v>18726</v>
      </c>
      <c r="B14871" s="4" t="s">
        <v>18727</v>
      </c>
      <c r="C14871" s="5" t="str">
        <f>IFERROR(__xludf.DUMMYFUNCTION("GOOGLETRANSLATE(B14871,""en"",""es-ES"")"),"La niña está haciendo gimnasia en el medio de la cancha sosteniendo bastones.")</f>
        <v>La niña está haciendo gimnasia en el medio de la cancha sosteniendo bastones.</v>
      </c>
    </row>
    <row r="14872">
      <c r="A14872" s="4" t="s">
        <v>18726</v>
      </c>
      <c r="B14872" s="4" t="s">
        <v>18728</v>
      </c>
      <c r="C14872" s="5" t="str">
        <f>IFERROR(__xludf.DUMMYFUNCTION("GOOGLETRANSLATE(B14872,""en"",""es-ES"")"),"Se muestran imágenes de mujer.")</f>
        <v>Se muestran imágenes de mujer.</v>
      </c>
    </row>
    <row r="14873">
      <c r="A14873" s="4" t="s">
        <v>18729</v>
      </c>
      <c r="B14873" s="4" t="s">
        <v>18730</v>
      </c>
      <c r="C14873" s="5" t="str">
        <f>IFERROR(__xludf.DUMMYFUNCTION("GOOGLETRANSLATE(B14873,""en"",""es-ES"")"),"Mujer con ropa deportiva está subiendo escaleras y hablando con la cámara.")</f>
        <v>Mujer con ropa deportiva está subiendo escaleras y hablando con la cámara.</v>
      </c>
    </row>
    <row r="14874">
      <c r="A14874" s="4" t="s">
        <v>18729</v>
      </c>
      <c r="B14874" s="4" t="s">
        <v>18731</v>
      </c>
      <c r="C14874" s="5" t="str">
        <f>IFERROR(__xludf.DUMMYFUNCTION("GOOGLETRANSLATE(B14874,""en"",""es-ES"")"),"La mujer está en el gimnasio hablando en la cámara y con otro hombre mientras una mujer hace ejercicio en un orbitrek.")</f>
        <v>La mujer está en el gimnasio hablando en la cámara y con otro hombre mientras una mujer hace ejercicio en un orbitrek.</v>
      </c>
    </row>
    <row r="14875">
      <c r="A14875" s="4" t="s">
        <v>18732</v>
      </c>
      <c r="B14875" s="4" t="s">
        <v>18733</v>
      </c>
      <c r="C14875" s="5" t="str">
        <f>IFERROR(__xludf.DUMMYFUNCTION("GOOGLETRANSLATE(B14875,""en"",""es-ES"")"),"Una persona quita la hoja de un césped y una pasarela con un soplador de hojas.")</f>
        <v>Una persona quita la hoja de un césped y una pasarela con un soplador de hojas.</v>
      </c>
    </row>
    <row r="14876">
      <c r="A14876" s="4" t="s">
        <v>18732</v>
      </c>
      <c r="B14876" s="4" t="s">
        <v>18734</v>
      </c>
      <c r="C14876" s="5" t="str">
        <f>IFERROR(__xludf.DUMMYFUNCTION("GOOGLETRANSLATE(B14876,""en"",""es-ES"")"),"La persona comienza apuntando al soplador de la hoja hacia las hojas alrededor de un arbusto y cerca de la hierba.")</f>
        <v>La persona comienza apuntando al soplador de la hoja hacia las hojas alrededor de un arbusto y cerca de la hierba.</v>
      </c>
    </row>
    <row r="14877">
      <c r="A14877" s="4" t="s">
        <v>18732</v>
      </c>
      <c r="B14877" s="4" t="s">
        <v>18735</v>
      </c>
      <c r="C14877" s="5" t="str">
        <f>IFERROR(__xludf.DUMMYFUNCTION("GOOGLETRANSLATE(B14877,""en"",""es-ES"")"),"La persona sopla sale de una esquina cerrada y luego avanza a una pasarela.")</f>
        <v>La persona sopla sale de una esquina cerrada y luego avanza a una pasarela.</v>
      </c>
    </row>
    <row r="14878">
      <c r="A14878" s="4" t="s">
        <v>18732</v>
      </c>
      <c r="B14878" s="4" t="s">
        <v>18736</v>
      </c>
      <c r="C14878" s="5" t="str">
        <f>IFERROR(__xludf.DUMMYFUNCTION("GOOGLETRANSLATE(B14878,""en"",""es-ES"")"),"La persona sopla se va de una pasarela y a través de un césped.")</f>
        <v>La persona sopla se va de una pasarela y a través de un césped.</v>
      </c>
    </row>
    <row r="14879">
      <c r="A14879" s="4" t="s">
        <v>18737</v>
      </c>
      <c r="B14879" s="4" t="s">
        <v>18738</v>
      </c>
      <c r="C14879" s="5" t="str">
        <f>IFERROR(__xludf.DUMMYFUNCTION("GOOGLETRANSLATE(B14879,""en"",""es-ES"")"),"Un chef en la cocina con un sombrero de chef está dando instrucciones sobre cómo afilar un cuchillo.")</f>
        <v>Un chef en la cocina con un sombrero de chef está dando instrucciones sobre cómo afilar un cuchillo.</v>
      </c>
    </row>
    <row r="14880">
      <c r="A14880" s="4" t="s">
        <v>18737</v>
      </c>
      <c r="B14880" s="4" t="s">
        <v>18739</v>
      </c>
      <c r="C14880" s="5" t="str">
        <f>IFERROR(__xludf.DUMMYFUNCTION("GOOGLETRANSLATE(B14880,""en"",""es-ES"")"),"Trae el cuchillo a un afilador y comienza lentamente para demostrar.")</f>
        <v>Trae el cuchillo a un afilador y comienza lentamente para demostrar.</v>
      </c>
    </row>
    <row r="14881">
      <c r="A14881" s="4" t="s">
        <v>18737</v>
      </c>
      <c r="B14881" s="4" t="s">
        <v>18740</v>
      </c>
      <c r="C14881" s="5" t="str">
        <f>IFERROR(__xludf.DUMMYFUNCTION("GOOGLETRANSLATE(B14881,""en"",""es-ES"")"),"Recoge la herramienta de afilado y habla sobre lo que hará a continuación y comienza a afilarse nuevamente.")</f>
        <v>Recoge la herramienta de afilado y habla sobre lo que hará a continuación y comienza a afilarse nuevamente.</v>
      </c>
    </row>
    <row r="14882">
      <c r="A14882" s="4" t="s">
        <v>18737</v>
      </c>
      <c r="B14882" s="4" t="s">
        <v>18741</v>
      </c>
      <c r="C14882" s="5" t="str">
        <f>IFERROR(__xludf.DUMMYFUNCTION("GOOGLETRANSLATE(B14882,""en"",""es-ES"")"),"Luego muestra todas las piezas que vienen con el kit y habla de todo.")</f>
        <v>Luego muestra todas las piezas que vienen con el kit y habla de todo.</v>
      </c>
    </row>
    <row r="14883">
      <c r="A14883" s="4" t="s">
        <v>18742</v>
      </c>
      <c r="B14883" s="4" t="s">
        <v>18743</v>
      </c>
      <c r="C14883" s="5" t="str">
        <f>IFERROR(__xludf.DUMMYFUNCTION("GOOGLETRANSLATE(B14883,""en"",""es-ES"")"),"Se ve a un pequeño grupo de niños corriendo alrededor de un campo de lacrosse jugando un juego entre ellos.")</f>
        <v>Se ve a un pequeño grupo de niños corriendo alrededor de un campo de lacrosse jugando un juego entre ellos.</v>
      </c>
    </row>
    <row r="14884">
      <c r="A14884" s="4" t="s">
        <v>18742</v>
      </c>
      <c r="B14884" s="4" t="s">
        <v>18744</v>
      </c>
      <c r="C14884" s="5" t="str">
        <f>IFERROR(__xludf.DUMMYFUNCTION("GOOGLETRANSLATE(B14884,""en"",""es-ES"")"),"La cámara continúa siguiendo a las personas alrededor mientras persiguen la pelota y corren por el campo.")</f>
        <v>La cámara continúa siguiendo a las personas alrededor mientras persiguen la pelota y corren por el campo.</v>
      </c>
    </row>
    <row r="14885">
      <c r="A14885" s="4" t="s">
        <v>18745</v>
      </c>
      <c r="B14885" s="4" t="s">
        <v>18746</v>
      </c>
      <c r="C14885" s="5" t="str">
        <f>IFERROR(__xludf.DUMMYFUNCTION("GOOGLETRANSLATE(B14885,""en"",""es-ES"")"),"Una pareja está sentada afuera hablando.")</f>
        <v>Una pareja está sentada afuera hablando.</v>
      </c>
    </row>
    <row r="14886">
      <c r="A14886" s="4" t="s">
        <v>18745</v>
      </c>
      <c r="B14886" s="4" t="s">
        <v>18747</v>
      </c>
      <c r="C14886" s="5" t="str">
        <f>IFERROR(__xludf.DUMMYFUNCTION("GOOGLETRANSLATE(B14886,""en"",""es-ES"")"),"Van a la casa y recogen suministros para afeitarse, que se enumeran en la pantalla.")</f>
        <v>Van a la casa y recogen suministros para afeitarse, que se enumeran en la pantalla.</v>
      </c>
    </row>
    <row r="14887">
      <c r="A14887" s="4" t="s">
        <v>18745</v>
      </c>
      <c r="B14887" s="4" t="s">
        <v>18748</v>
      </c>
      <c r="C14887" s="5" t="str">
        <f>IFERROR(__xludf.DUMMYFUNCTION("GOOGLETRANSLATE(B14887,""en"",""es-ES"")"),"La mujer se toca al hombre, luego se afeita la barba y el bigote usando un cepillo de jabalí y maquinilla de afeitar.")</f>
        <v>La mujer se toca al hombre, luego se afeita la barba y el bigote usando un cepillo de jabalí y maquinilla de afeitar.</v>
      </c>
    </row>
    <row r="14888">
      <c r="A14888" s="4" t="s">
        <v>18745</v>
      </c>
      <c r="B14888" s="4" t="s">
        <v>18749</v>
      </c>
      <c r="C14888" s="5" t="str">
        <f>IFERROR(__xludf.DUMMYFUNCTION("GOOGLETRANSLATE(B14888,""en"",""es-ES"")"),"Luego lo enjuague y aplica después del afeitado.")</f>
        <v>Luego lo enjuague y aplica después del afeitado.</v>
      </c>
    </row>
    <row r="14889">
      <c r="A14889" s="4" t="s">
        <v>18745</v>
      </c>
      <c r="B14889" s="4" t="s">
        <v>18750</v>
      </c>
      <c r="C14889" s="5" t="str">
        <f>IFERROR(__xludf.DUMMYFUNCTION("GOOGLETRANSLATE(B14889,""en"",""es-ES"")"),"Luego se le muestra dándole un frote de hombro.")</f>
        <v>Luego se le muestra dándole un frote de hombro.</v>
      </c>
    </row>
    <row r="14890">
      <c r="A14890" s="4" t="s">
        <v>18751</v>
      </c>
      <c r="B14890" s="4" t="s">
        <v>18752</v>
      </c>
      <c r="C14890" s="5" t="str">
        <f>IFERROR(__xludf.DUMMYFUNCTION("GOOGLETRANSLATE(B14890,""en"",""es-ES"")"),"Un hombre alto y delgado está de pie en una barra rodeada de licor.")</f>
        <v>Un hombre alto y delgado está de pie en una barra rodeada de licor.</v>
      </c>
    </row>
    <row r="14891">
      <c r="A14891" s="4" t="s">
        <v>18751</v>
      </c>
      <c r="B14891" s="4" t="s">
        <v>18753</v>
      </c>
      <c r="C14891" s="5" t="str">
        <f>IFERROR(__xludf.DUMMYFUNCTION("GOOGLETRANSLATE(B14891,""en"",""es-ES"")"),"El macho tiene una taza de hielo frente a él en el que se vierte en un vaso normal en el que luego agrega licor.")</f>
        <v>El macho tiene una taza de hielo frente a él en el que se vierte en un vaso normal en el que luego agrega licor.</v>
      </c>
    </row>
    <row r="14892">
      <c r="A14892" s="4" t="s">
        <v>18751</v>
      </c>
      <c r="B14892" s="4" t="s">
        <v>18754</v>
      </c>
      <c r="C14892" s="5" t="str">
        <f>IFERROR(__xludf.DUMMYFUNCTION("GOOGLETRANSLATE(B14892,""en"",""es-ES"")"),"Seguido de dos disparos más de diferentes licores transparentes.")</f>
        <v>Seguido de dos disparos más de diferentes licores transparentes.</v>
      </c>
    </row>
    <row r="14893">
      <c r="A14893" s="4" t="s">
        <v>18751</v>
      </c>
      <c r="B14893" s="4" t="s">
        <v>18755</v>
      </c>
      <c r="C14893" s="5" t="str">
        <f>IFERROR(__xludf.DUMMYFUNCTION("GOOGLETRANSLATE(B14893,""en"",""es-ES"")"),"Luego toma dos jarabe como licor y los vierte en la taza.")</f>
        <v>Luego toma dos jarabe como licor y los vierte en la taza.</v>
      </c>
    </row>
    <row r="14894">
      <c r="A14894" s="4" t="s">
        <v>18751</v>
      </c>
      <c r="B14894" s="4" t="s">
        <v>18756</v>
      </c>
      <c r="C14894" s="5" t="str">
        <f>IFERROR(__xludf.DUMMYFUNCTION("GOOGLETRANSLATE(B14894,""en"",""es-ES"")"),"Una vez que todo está en el vaso, pone la batidora encima y lo sacude.")</f>
        <v>Una vez que todo está en el vaso, pone la batidora encima y lo sacude.</v>
      </c>
    </row>
    <row r="14895">
      <c r="A14895" s="4" t="s">
        <v>18751</v>
      </c>
      <c r="B14895" s="4" t="s">
        <v>18757</v>
      </c>
      <c r="C14895" s="5" t="str">
        <f>IFERROR(__xludf.DUMMYFUNCTION("GOOGLETRANSLATE(B14895,""en"",""es-ES"")"),"Finalmente, la bebida está completa y la sirve en otro vaso y agrega una pajita para que se sirva.")</f>
        <v>Finalmente, la bebida está completa y la sirve en otro vaso y agrega una pajita para que se sirva.</v>
      </c>
    </row>
    <row r="14896">
      <c r="A14896" s="4" t="s">
        <v>18758</v>
      </c>
      <c r="B14896" s="4" t="s">
        <v>18759</v>
      </c>
      <c r="C14896" s="5" t="str">
        <f>IFERROR(__xludf.DUMMYFUNCTION("GOOGLETRANSLATE(B14896,""en"",""es-ES"")"),"Se ve a un joven parado frente a la cámara tocando un juego de gaitas.")</f>
        <v>Se ve a un joven parado frente a la cámara tocando un juego de gaitas.</v>
      </c>
    </row>
    <row r="14897">
      <c r="A14897" s="4" t="s">
        <v>18758</v>
      </c>
      <c r="B14897" s="4" t="s">
        <v>18760</v>
      </c>
      <c r="C14897" s="5" t="str">
        <f>IFERROR(__xludf.DUMMYFUNCTION("GOOGLETRANSLATE(B14897,""en"",""es-ES"")"),"Continúa tocando el instrumento y termina sosteniéndolo en sus manos y una foto de él tocando la guitarra.")</f>
        <v>Continúa tocando el instrumento y termina sosteniéndolo en sus manos y una foto de él tocando la guitarra.</v>
      </c>
    </row>
    <row r="14898">
      <c r="A14898" s="4" t="s">
        <v>18761</v>
      </c>
      <c r="B14898" s="4" t="s">
        <v>18762</v>
      </c>
      <c r="C14898" s="5" t="str">
        <f>IFERROR(__xludf.DUMMYFUNCTION("GOOGLETRANSLATE(B14898,""en"",""es-ES"")"),"Se ve a una persona montando una tabla de surf a través de una ola y conduce a varias personas más que montan olas y se sientan a lo largo del agua.")</f>
        <v>Se ve a una persona montando una tabla de surf a través de una ola y conduce a varias personas más que montan olas y se sientan a lo largo del agua.</v>
      </c>
    </row>
    <row r="14899">
      <c r="A14899" s="4" t="s">
        <v>18761</v>
      </c>
      <c r="B14899" s="4" t="s">
        <v>18763</v>
      </c>
      <c r="C14899" s="5" t="str">
        <f>IFERROR(__xludf.DUMMYFUNCTION("GOOGLETRANSLATE(B14899,""en"",""es-ES"")"),"Se muestran más tomas de personas que surjan olas increíbles con algunas limpiaciones, pero en general conducen.")</f>
        <v>Se muestran más tomas de personas que surjan olas increíbles con algunas limpiaciones, pero en general conducen.</v>
      </c>
    </row>
    <row r="14900">
      <c r="A14900" s="4" t="s">
        <v>18764</v>
      </c>
      <c r="B14900" s="4" t="s">
        <v>18765</v>
      </c>
      <c r="C14900" s="5" t="str">
        <f>IFERROR(__xludf.DUMMYFUNCTION("GOOGLETRANSLATE(B14900,""en"",""es-ES"")"),"Se ven barcos navegando a través del agua oscura del océano.")</f>
        <v>Se ven barcos navegando a través del agua oscura del océano.</v>
      </c>
    </row>
    <row r="14901">
      <c r="A14901" s="4" t="s">
        <v>18764</v>
      </c>
      <c r="B14901" s="4" t="s">
        <v>18766</v>
      </c>
      <c r="C14901" s="5" t="str">
        <f>IFERROR(__xludf.DUMMYFUNCTION("GOOGLETRANSLATE(B14901,""en"",""es-ES"")"),"Vemos una vista en primera persona de navegar en un bote.")</f>
        <v>Vemos una vista en primera persona de navegar en un bote.</v>
      </c>
    </row>
    <row r="14902">
      <c r="A14902" s="4" t="s">
        <v>18764</v>
      </c>
      <c r="B14902" s="4" t="s">
        <v>18767</v>
      </c>
      <c r="C14902" s="5" t="str">
        <f>IFERROR(__xludf.DUMMYFUNCTION("GOOGLETRANSLATE(B14902,""en"",""es-ES"")"),"Los barcos se ven flotando a través del agua.")</f>
        <v>Los barcos se ven flotando a través del agua.</v>
      </c>
    </row>
    <row r="14903">
      <c r="A14903" s="4" t="s">
        <v>18768</v>
      </c>
      <c r="B14903" s="4" t="s">
        <v>18769</v>
      </c>
      <c r="C14903" s="5" t="str">
        <f>IFERROR(__xludf.DUMMYFUNCTION("GOOGLETRANSLATE(B14903,""en"",""es-ES"")"),"La gente se sienta en un banco en un rodeo.")</f>
        <v>La gente se sienta en un banco en un rodeo.</v>
      </c>
    </row>
    <row r="14904">
      <c r="A14904" s="4" t="s">
        <v>18768</v>
      </c>
      <c r="B14904" s="4" t="s">
        <v>18770</v>
      </c>
      <c r="C14904" s="5" t="str">
        <f>IFERROR(__xludf.DUMMYFUNCTION("GOOGLETRANSLATE(B14904,""en"",""es-ES"")"),"Vemos gente parada alrededor de una cerca.")</f>
        <v>Vemos gente parada alrededor de una cerca.</v>
      </c>
    </row>
    <row r="14905">
      <c r="A14905" s="4" t="s">
        <v>18768</v>
      </c>
      <c r="B14905" s="4" t="s">
        <v>18771</v>
      </c>
      <c r="C14905" s="5" t="str">
        <f>IFERROR(__xludf.DUMMYFUNCTION("GOOGLETRANSLATE(B14905,""en"",""es-ES"")"),"La puerta se abre y un hombre y un hombre sale, vemos a cuatro hombres Hogtie Becerro.")</f>
        <v>La puerta se abre y un hombre y un hombre sale, vemos a cuatro hombres Hogtie Becerro.</v>
      </c>
    </row>
    <row r="14906">
      <c r="A14906" s="4" t="s">
        <v>18768</v>
      </c>
      <c r="B14906" s="4" t="s">
        <v>18772</v>
      </c>
      <c r="C14906" s="5" t="str">
        <f>IFERROR(__xludf.DUMMYFUNCTION("GOOGLETRANSLATE(B14906,""en"",""es-ES"")"),"Vemos un ternero en el ring y otro ternero que se acaba.")</f>
        <v>Vemos un ternero en el ring y otro ternero que se acaba.</v>
      </c>
    </row>
    <row r="14907">
      <c r="A14907" s="4" t="s">
        <v>18768</v>
      </c>
      <c r="B14907" s="4" t="s">
        <v>18773</v>
      </c>
      <c r="C14907" s="5" t="str">
        <f>IFERROR(__xludf.DUMMYFUNCTION("GOOGLETRANSLATE(B14907,""en"",""es-ES"")"),"Un hombre y un niño caminan y sostienen las riendas de un caballo.")</f>
        <v>Un hombre y un niño caminan y sostienen las riendas de un caballo.</v>
      </c>
    </row>
    <row r="14908">
      <c r="A14908" s="4" t="s">
        <v>18768</v>
      </c>
      <c r="B14908" s="4" t="s">
        <v>18774</v>
      </c>
      <c r="C14908" s="5" t="str">
        <f>IFERROR(__xludf.DUMMYFUNCTION("GOOGLETRANSLATE(B14908,""en"",""es-ES"")"),"Vemos a un hombre mayor sosteniendo las riendas de un caballo.")</f>
        <v>Vemos a un hombre mayor sosteniendo las riendas de un caballo.</v>
      </c>
    </row>
    <row r="14909">
      <c r="A14909" s="4" t="s">
        <v>18768</v>
      </c>
      <c r="B14909" s="4" t="s">
        <v>18775</v>
      </c>
      <c r="C14909" s="5" t="str">
        <f>IFERROR(__xludf.DUMMYFUNCTION("GOOGLETRANSLATE(B14909,""en"",""es-ES"")"),"La cámara apunta al suelo y el video termina.")</f>
        <v>La cámara apunta al suelo y el video termina.</v>
      </c>
    </row>
    <row r="14910">
      <c r="A14910" s="4" t="s">
        <v>18776</v>
      </c>
      <c r="B14910" s="4" t="s">
        <v>18777</v>
      </c>
      <c r="C14910" s="5" t="str">
        <f>IFERROR(__xludf.DUMMYFUNCTION("GOOGLETRANSLATE(B14910,""en"",""es-ES"")"),"Se ve a un hombre bebiendo de una taza sostenida por una mujer que también está bebiendo de una botella.")</f>
        <v>Se ve a un hombre bebiendo de una taza sostenida por una mujer que también está bebiendo de una botella.</v>
      </c>
    </row>
    <row r="14911">
      <c r="A14911" s="4" t="s">
        <v>18776</v>
      </c>
      <c r="B14911" s="4" t="s">
        <v>18778</v>
      </c>
      <c r="C14911" s="5" t="str">
        <f>IFERROR(__xludf.DUMMYFUNCTION("GOOGLETRANSLATE(B14911,""en"",""es-ES"")"),"Los dos continúan bebiendo mientras otros los registran y luego se detienen de inmediato.")</f>
        <v>Los dos continúan bebiendo mientras otros los registran y luego se detienen de inmediato.</v>
      </c>
    </row>
    <row r="14912">
      <c r="A14912" s="4" t="s">
        <v>18779</v>
      </c>
      <c r="B14912" s="4" t="s">
        <v>18780</v>
      </c>
      <c r="C14912" s="5" t="str">
        <f>IFERROR(__xludf.DUMMYFUNCTION("GOOGLETRANSLATE(B14912,""en"",""es-ES"")"),"Un grupo de estudiantes hace ejercicio y vítores en una competencia, luego los niños con camiseta roja arrojan bolas de bolos y lanzan todos los alfileres y celebran.")</f>
        <v>Un grupo de estudiantes hace ejercicio y vítores en una competencia, luego los niños con camiseta roja arrojan bolas de bolos y lanzan todos los alfileres y celebran.</v>
      </c>
    </row>
    <row r="14913">
      <c r="A14913" s="4" t="s">
        <v>18779</v>
      </c>
      <c r="B14913" s="4" t="s">
        <v>18781</v>
      </c>
      <c r="C14913" s="5" t="str">
        <f>IFERROR(__xludf.DUMMYFUNCTION("GOOGLETRANSLATE(B14913,""en"",""es-ES"")"),"Luego, los jóvenes que usan camisetas verdes tienen éxito jugando bolos.")</f>
        <v>Luego, los jóvenes que usan camisetas verdes tienen éxito jugando bolos.</v>
      </c>
    </row>
    <row r="14914">
      <c r="A14914" s="4" t="s">
        <v>18779</v>
      </c>
      <c r="B14914" s="4" t="s">
        <v>18782</v>
      </c>
      <c r="C14914" s="5" t="str">
        <f>IFERROR(__xludf.DUMMYFUNCTION("GOOGLETRANSLATE(B14914,""en"",""es-ES"")"),"Después, las chicas juegan a los bolos que lanzan todos los alfileres con el tazón de bolos.")</f>
        <v>Después, las chicas juegan a los bolos que lanzan todos los alfileres con el tazón de bolos.</v>
      </c>
    </row>
    <row r="14915">
      <c r="A14915" s="4" t="s">
        <v>18779</v>
      </c>
      <c r="B14915" s="4" t="s">
        <v>18783</v>
      </c>
      <c r="C14915" s="5" t="str">
        <f>IFERROR(__xludf.DUMMYFUNCTION("GOOGLETRANSLATE(B14915,""en"",""es-ES"")"),"Los ganadores de la competencia reciben sobres y trofeos cerrados.")</f>
        <v>Los ganadores de la competencia reciben sobres y trofeos cerrados.</v>
      </c>
    </row>
    <row r="14916">
      <c r="A14916" s="4" t="s">
        <v>18784</v>
      </c>
      <c r="B14916" s="4" t="s">
        <v>18785</v>
      </c>
      <c r="C14916" s="5" t="str">
        <f>IFERROR(__xludf.DUMMYFUNCTION("GOOGLETRANSLATE(B14916,""en"",""es-ES"")"),"Una mujer está arrodillada en la playa de arena.")</f>
        <v>Una mujer está arrodillada en la playa de arena.</v>
      </c>
    </row>
    <row r="14917">
      <c r="A14917" s="4" t="s">
        <v>18784</v>
      </c>
      <c r="B14917" s="4" t="s">
        <v>18786</v>
      </c>
      <c r="C14917" s="5" t="str">
        <f>IFERROR(__xludf.DUMMYFUNCTION("GOOGLETRANSLATE(B14917,""en"",""es-ES"")"),"Ella está ayudando a un bebé con loción sunta.")</f>
        <v>Ella está ayudando a un bebé con loción sunta.</v>
      </c>
    </row>
    <row r="14918">
      <c r="A14918" s="4" t="s">
        <v>18784</v>
      </c>
      <c r="B14918" s="4" t="s">
        <v>18787</v>
      </c>
      <c r="C14918" s="5" t="str">
        <f>IFERROR(__xludf.DUMMYFUNCTION("GOOGLETRANSLATE(B14918,""en"",""es-ES"")"),"Ella frota la loción en la piel del bebé.")</f>
        <v>Ella frota la loción en la piel del bebé.</v>
      </c>
    </row>
    <row r="14919">
      <c r="A14919" s="4" t="s">
        <v>18788</v>
      </c>
      <c r="B14919" s="4" t="s">
        <v>18789</v>
      </c>
      <c r="C14919" s="5" t="str">
        <f>IFERROR(__xludf.DUMMYFUNCTION("GOOGLETRANSLATE(B14919,""en"",""es-ES"")"),"Cuatro hombres están jugando con la mitad de la manopla.")</f>
        <v>Cuatro hombres están jugando con la mitad de la manopla.</v>
      </c>
    </row>
    <row r="14920">
      <c r="A14920" s="4" t="s">
        <v>18788</v>
      </c>
      <c r="B14920" s="4" t="s">
        <v>18790</v>
      </c>
      <c r="C14920" s="5" t="str">
        <f>IFERROR(__xludf.DUMMYFUNCTION("GOOGLETRANSLATE(B14920,""en"",""es-ES"")"),"Hay clips de excelentes tiros de equipos.")</f>
        <v>Hay clips de excelentes tiros de equipos.</v>
      </c>
    </row>
    <row r="14921">
      <c r="A14921" s="4" t="s">
        <v>18788</v>
      </c>
      <c r="B14921" s="4" t="s">
        <v>18791</v>
      </c>
      <c r="C14921" s="5" t="str">
        <f>IFERROR(__xludf.DUMMYFUNCTION("GOOGLETRANSLATE(B14921,""en"",""es-ES"")"),"El equipo amarillo hace varios puntos seguidos.")</f>
        <v>El equipo amarillo hace varios puntos seguidos.</v>
      </c>
    </row>
    <row r="14922">
      <c r="A14922" s="4" t="s">
        <v>18788</v>
      </c>
      <c r="B14922" s="4" t="s">
        <v>18792</v>
      </c>
      <c r="C14922" s="5" t="str">
        <f>IFERROR(__xludf.DUMMYFUNCTION("GOOGLETRANSLATE(B14922,""en"",""es-ES"")"),"El equipo de Dinamarca hizo varios puntos.")</f>
        <v>El equipo de Dinamarca hizo varios puntos.</v>
      </c>
    </row>
    <row r="14923">
      <c r="A14923" s="4" t="s">
        <v>18788</v>
      </c>
      <c r="B14923" s="4" t="s">
        <v>18793</v>
      </c>
      <c r="C14923" s="5" t="str">
        <f>IFERROR(__xludf.DUMMYFUNCTION("GOOGLETRANSLATE(B14923,""en"",""es-ES"")"),"El clip termina con el equipo amarillo sosteniendo trofeos.")</f>
        <v>El clip termina con el equipo amarillo sosteniendo trofeos.</v>
      </c>
    </row>
    <row r="14924">
      <c r="A14924" s="4" t="s">
        <v>18794</v>
      </c>
      <c r="B14924" s="4" t="s">
        <v>18795</v>
      </c>
      <c r="C14924" s="5" t="str">
        <f>IFERROR(__xludf.DUMMYFUNCTION("GOOGLETRANSLATE(B14924,""en"",""es-ES"")"),"Un hombre está tocando un ukelele para una mujer mientras un hombre observa detrás de una cortina.")</f>
        <v>Un hombre está tocando un ukelele para una mujer mientras un hombre observa detrás de una cortina.</v>
      </c>
    </row>
    <row r="14925">
      <c r="A14925" s="4" t="s">
        <v>18794</v>
      </c>
      <c r="B14925" s="4" t="s">
        <v>18796</v>
      </c>
      <c r="C14925" s="5" t="str">
        <f>IFERROR(__xludf.DUMMYFUNCTION("GOOGLETRANSLATE(B14925,""en"",""es-ES"")"),"De repente, el video se corta a varias personas diferentes haciendo trucos de lavado de ventanas.")</f>
        <v>De repente, el video se corta a varias personas diferentes haciendo trucos de lavado de ventanas.</v>
      </c>
    </row>
    <row r="14926">
      <c r="A14926" s="4" t="s">
        <v>18794</v>
      </c>
      <c r="B14926" s="4" t="s">
        <v>18797</v>
      </c>
      <c r="C14926" s="5" t="str">
        <f>IFERROR(__xludf.DUMMYFUNCTION("GOOGLETRANSLATE(B14926,""en"",""es-ES"")"),"El video termina con un hombre en el teléfono haciendo una parodia de comedia sobre Windows.")</f>
        <v>El video termina con un hombre en el teléfono haciendo una parodia de comedia sobre Windows.</v>
      </c>
    </row>
    <row r="14927">
      <c r="A14927" s="4" t="s">
        <v>18798</v>
      </c>
      <c r="B14927" s="4" t="s">
        <v>18799</v>
      </c>
      <c r="C14927" s="5" t="str">
        <f>IFERROR(__xludf.DUMMYFUNCTION("GOOGLETRANSLATE(B14927,""en"",""es-ES"")"),"Se ve a una persona utilizando un equipo de ejercicio que se mueve hacia arriba y hacia abajo en la máquina.")</f>
        <v>Se ve a una persona utilizando un equipo de ejercicio que se mueve hacia arriba y hacia abajo en la máquina.</v>
      </c>
    </row>
    <row r="14928">
      <c r="A14928" s="4" t="s">
        <v>18798</v>
      </c>
      <c r="B14928" s="4" t="s">
        <v>18800</v>
      </c>
      <c r="C14928" s="5" t="str">
        <f>IFERROR(__xludf.DUMMYFUNCTION("GOOGLETRANSLATE(B14928,""en"",""es-ES"")"),"La cámara se desplaza alrededor del hombre que usa la máquina y se acerca al hombre que se mueve.")</f>
        <v>La cámara se desplaza alrededor del hombre que usa la máquina y se acerca al hombre que se mueve.</v>
      </c>
    </row>
    <row r="14929">
      <c r="A14929" s="4" t="s">
        <v>18801</v>
      </c>
      <c r="B14929" s="4" t="s">
        <v>18802</v>
      </c>
      <c r="C14929" s="5" t="str">
        <f>IFERROR(__xludf.DUMMYFUNCTION("GOOGLETRANSLATE(B14929,""en"",""es-ES"")"),"Se ve una cámara acercándose a un edificio y conduce a un hombre que sube una gran roca.")</f>
        <v>Se ve una cámara acercándose a un edificio y conduce a un hombre que sube una gran roca.</v>
      </c>
    </row>
    <row r="14930">
      <c r="A14930" s="4" t="s">
        <v>18801</v>
      </c>
      <c r="B14930" s="4" t="s">
        <v>18803</v>
      </c>
      <c r="C14930" s="5" t="str">
        <f>IFERROR(__xludf.DUMMYFUNCTION("GOOGLETRANSLATE(B14930,""en"",""es-ES"")"),"El hombre sube continuamente por la roca mientras mira a su alrededor y finalmente llega a la cima mientras la cámara se acelera.")</f>
        <v>El hombre sube continuamente por la roca mientras mira a su alrededor y finalmente llega a la cima mientras la cámara se acelera.</v>
      </c>
    </row>
    <row r="14931">
      <c r="A14931" s="4" t="s">
        <v>18804</v>
      </c>
      <c r="B14931" s="4" t="s">
        <v>18805</v>
      </c>
      <c r="C14931" s="5" t="str">
        <f>IFERROR(__xludf.DUMMYFUNCTION("GOOGLETRANSLATE(B14931,""en"",""es-ES"")"),"Se muestra un pastel de esponja de vainilla en la pantalla del título.")</f>
        <v>Se muestra un pastel de esponja de vainilla en la pantalla del título.</v>
      </c>
    </row>
    <row r="14932">
      <c r="A14932" s="4" t="s">
        <v>18804</v>
      </c>
      <c r="B14932" s="4" t="s">
        <v>18806</v>
      </c>
      <c r="C14932" s="5" t="str">
        <f>IFERROR(__xludf.DUMMYFUNCTION("GOOGLETRANSLATE(B14932,""en"",""es-ES"")"),"Luego se coloca una placa blanca sobre una mesa marrón junto con cuatro huevos marrones.")</f>
        <v>Luego se coloca una placa blanca sobre una mesa marrón junto con cuatro huevos marrones.</v>
      </c>
    </row>
    <row r="14933">
      <c r="A14933" s="4" t="s">
        <v>18804</v>
      </c>
      <c r="B14933" s="4" t="s">
        <v>18807</v>
      </c>
      <c r="C14933" s="5" t="str">
        <f>IFERROR(__xludf.DUMMYFUNCTION("GOOGLETRANSLATE(B14933,""en"",""es-ES"")"),"Luego se colocan en un tazón de plata y se llevan a un ritmo rápido, ya que el azúcar lo agrega gradualmente y el azote continúa.")</f>
        <v>Luego se colocan en un tazón de plata y se llevan a un ritmo rápido, ya que el azúcar lo agrega gradualmente y el azote continúa.</v>
      </c>
    </row>
    <row r="14934">
      <c r="A14934" s="4" t="s">
        <v>18804</v>
      </c>
      <c r="B14934" s="4" t="s">
        <v>18808</v>
      </c>
      <c r="C14934" s="5" t="str">
        <f>IFERROR(__xludf.DUMMYFUNCTION("GOOGLETRANSLATE(B14934,""en"",""es-ES"")"),"Después, la leche, la mantequilla, la harina, el budín de plátano, la sal y el extracto de vainilla se muestran en una mesa.")</f>
        <v>Después, la leche, la mantequilla, la harina, el budín de plátano, la sal y el extracto de vainilla se muestran en una mesa.</v>
      </c>
    </row>
    <row r="14935">
      <c r="A14935" s="4" t="s">
        <v>18804</v>
      </c>
      <c r="B14935" s="4" t="s">
        <v>18809</v>
      </c>
      <c r="C14935" s="5" t="str">
        <f>IFERROR(__xludf.DUMMYFUNCTION("GOOGLETRANSLATE(B14935,""en"",""es-ES"")"),"La leche y la mantequilla se calientan y luego se agregan en un tazón grande con la masa para el pastel para que se muevan.")</f>
        <v>La leche y la mantequilla se calientan y luego se agregan en un tazón grande con la masa para el pastel para que se muevan.</v>
      </c>
    </row>
    <row r="14936">
      <c r="A14936" s="4" t="s">
        <v>18804</v>
      </c>
      <c r="B14936" s="4" t="s">
        <v>18810</v>
      </c>
      <c r="C14936" s="5" t="str">
        <f>IFERROR(__xludf.DUMMYFUNCTION("GOOGLETRANSLATE(B14936,""en"",""es-ES"")"),"Luego se agrega la vainilla y se vierte en otro tazón antes de que se muestre el producto final.")</f>
        <v>Luego se agrega la vainilla y se vierte en otro tazón antes de que se muestre el producto final.</v>
      </c>
    </row>
    <row r="14937">
      <c r="A14937" s="4" t="s">
        <v>18811</v>
      </c>
      <c r="B14937" s="4" t="s">
        <v>18812</v>
      </c>
      <c r="C14937" s="5" t="str">
        <f>IFERROR(__xludf.DUMMYFUNCTION("GOOGLETRANSLATE(B14937,""en"",""es-ES"")"),"Se ve a una mujer pateando a un hombre con guantes en sus manos.")</f>
        <v>Se ve a una mujer pateando a un hombre con guantes en sus manos.</v>
      </c>
    </row>
    <row r="14938">
      <c r="A14938" s="4" t="s">
        <v>18811</v>
      </c>
      <c r="B14938" s="4" t="s">
        <v>18813</v>
      </c>
      <c r="C14938" s="5" t="str">
        <f>IFERROR(__xludf.DUMMYFUNCTION("GOOGLETRANSLATE(B14938,""en"",""es-ES"")"),"El hombre luego camina alrededor del círculo mientras la gente se turna para golpear al hombre.")</f>
        <v>El hombre luego camina alrededor del círculo mientras la gente se turna para golpear al hombre.</v>
      </c>
    </row>
    <row r="14939">
      <c r="A14939" s="4" t="s">
        <v>18811</v>
      </c>
      <c r="B14939" s="4" t="s">
        <v>18814</v>
      </c>
      <c r="C14939" s="5" t="str">
        <f>IFERROR(__xludf.DUMMYFUNCTION("GOOGLETRANSLATE(B14939,""en"",""es-ES"")"),"El hombre continúa caminando mientras lo golpean.")</f>
        <v>El hombre continúa caminando mientras lo golpean.</v>
      </c>
    </row>
    <row r="14940">
      <c r="A14940" s="4" t="s">
        <v>18815</v>
      </c>
      <c r="B14940" s="4" t="s">
        <v>18816</v>
      </c>
      <c r="C14940" s="5" t="str">
        <f>IFERROR(__xludf.DUMMYFUNCTION("GOOGLETRANSLATE(B14940,""en"",""es-ES"")"),"Se muestra un entrenador elíptico, así como sus componentes.")</f>
        <v>Se muestra un entrenador elíptico, así como sus componentes.</v>
      </c>
    </row>
    <row r="14941">
      <c r="A14941" s="4" t="s">
        <v>18815</v>
      </c>
      <c r="B14941" s="4" t="s">
        <v>18817</v>
      </c>
      <c r="C14941" s="5" t="str">
        <f>IFERROR(__xludf.DUMMYFUNCTION("GOOGLETRANSLATE(B14941,""en"",""es-ES"")"),"Se muestra a una mujer trabajando en la elíptica.")</f>
        <v>Se muestra a una mujer trabajando en la elíptica.</v>
      </c>
    </row>
    <row r="14942">
      <c r="A14942" s="4" t="s">
        <v>18815</v>
      </c>
      <c r="B14942" s="4" t="s">
        <v>18818</v>
      </c>
      <c r="C14942" s="5" t="str">
        <f>IFERROR(__xludf.DUMMYFUNCTION("GOOGLETRANSLATE(B14942,""en"",""es-ES"")"),"Ella pedaliza y demuestra la mecánica de la pantalla de programación.")</f>
        <v>Ella pedaliza y demuestra la mecánica de la pantalla de programación.</v>
      </c>
    </row>
    <row r="14943">
      <c r="A14943" s="4" t="s">
        <v>18819</v>
      </c>
      <c r="B14943" s="4" t="s">
        <v>18820</v>
      </c>
      <c r="C14943" s="5" t="str">
        <f>IFERROR(__xludf.DUMMYFUNCTION("GOOGLETRANSLATE(B14943,""en"",""es-ES"")"),"Un perro está vestido de ropa y un humano está detrás de él solo mostrando sus manos.")</f>
        <v>Un perro está vestido de ropa y un humano está detrás de él solo mostrando sus manos.</v>
      </c>
    </row>
    <row r="14944">
      <c r="A14944" s="4" t="s">
        <v>18819</v>
      </c>
      <c r="B14944" s="4" t="s">
        <v>18821</v>
      </c>
      <c r="C14944" s="5" t="str">
        <f>IFERROR(__xludf.DUMMYFUNCTION("GOOGLETRANSLATE(B14944,""en"",""es-ES"")"),"Para parecer que el perro es parte humano y haciendo cosas como humanas.")</f>
        <v>Para parecer que el perro es parte humano y haciendo cosas como humanas.</v>
      </c>
    </row>
    <row r="14945">
      <c r="A14945" s="4" t="s">
        <v>18819</v>
      </c>
      <c r="B14945" s="4" t="s">
        <v>18822</v>
      </c>
      <c r="C14945" s="5" t="str">
        <f>IFERROR(__xludf.DUMMYFUNCTION("GOOGLETRANSLATE(B14945,""en"",""es-ES"")"),"Se está alimentando con el desayuno y luego se limpia la cara.")</f>
        <v>Se está alimentando con el desayuno y luego se limpia la cara.</v>
      </c>
    </row>
    <row r="14946">
      <c r="A14946" s="4" t="s">
        <v>18819</v>
      </c>
      <c r="B14946" s="4" t="s">
        <v>18823</v>
      </c>
      <c r="C14946" s="5" t="str">
        <f>IFERROR(__xludf.DUMMYFUNCTION("GOOGLETRANSLATE(B14946,""en"",""es-ES"")"),"Después de eso toma una taza de café para beber.")</f>
        <v>Después de eso toma una taza de café para beber.</v>
      </c>
    </row>
    <row r="14947">
      <c r="A14947" s="4" t="s">
        <v>18819</v>
      </c>
      <c r="B14947" s="4" t="s">
        <v>18824</v>
      </c>
      <c r="C14947" s="5" t="str">
        <f>IFERROR(__xludf.DUMMYFUNCTION("GOOGLETRANSLATE(B14947,""en"",""es-ES"")"),"Lucha por agarrar otra servilleta para limpiarse de nuevo.")</f>
        <v>Lucha por agarrar otra servilleta para limpiarse de nuevo.</v>
      </c>
    </row>
    <row r="14948">
      <c r="A14948" s="4" t="s">
        <v>18825</v>
      </c>
      <c r="B14948" s="4" t="s">
        <v>18826</v>
      </c>
      <c r="C14948" s="5" t="str">
        <f>IFERROR(__xludf.DUMMYFUNCTION("GOOGLETRANSLATE(B14948,""en"",""es-ES"")"),"Se ve a un hombre esquiar detrás de un bote.")</f>
        <v>Se ve a un hombre esquiar detrás de un bote.</v>
      </c>
    </row>
    <row r="14949">
      <c r="A14949" s="4" t="s">
        <v>18825</v>
      </c>
      <c r="B14949" s="4" t="s">
        <v>18827</v>
      </c>
      <c r="C14949" s="5" t="str">
        <f>IFERROR(__xludf.DUMMYFUNCTION("GOOGLETRANSLATE(B14949,""en"",""es-ES"")"),"Se aferra fuerte mientras lo atraviesan el agua.")</f>
        <v>Se aferra fuerte mientras lo atraviesan el agua.</v>
      </c>
    </row>
    <row r="14950">
      <c r="A14950" s="4" t="s">
        <v>18825</v>
      </c>
      <c r="B14950" s="4" t="s">
        <v>18828</v>
      </c>
      <c r="C14950" s="5" t="str">
        <f>IFERROR(__xludf.DUMMYFUNCTION("GOOGLETRANSLATE(B14950,""en"",""es-ES"")"),"El hombre está esquiando por agua hasta el final del clip.")</f>
        <v>El hombre está esquiando por agua hasta el final del clip.</v>
      </c>
    </row>
    <row r="14951">
      <c r="A14951" s="4" t="s">
        <v>18829</v>
      </c>
      <c r="B14951" s="4" t="s">
        <v>18830</v>
      </c>
      <c r="C14951" s="5" t="str">
        <f>IFERROR(__xludf.DUMMYFUNCTION("GOOGLETRANSLATE(B14951,""en"",""es-ES"")"),"Se ve a un hombre atlético de pie mientras sostiene una jabalina y luego corre por la pista y arroja el poste a un campo.")</f>
        <v>Se ve a un hombre atlético de pie mientras sostiene una jabalina y luego corre por la pista y arroja el poste a un campo.</v>
      </c>
    </row>
    <row r="14952">
      <c r="A14952" s="4" t="s">
        <v>18829</v>
      </c>
      <c r="B14952" s="4" t="s">
        <v>18831</v>
      </c>
      <c r="C14952" s="5" t="str">
        <f>IFERROR(__xludf.DUMMYFUNCTION("GOOGLETRANSLATE(B14952,""en"",""es-ES"")"),"Se aleja con las manos en las caderas y su mismo lanzamiento se muestra nuevamente.")</f>
        <v>Se aleja con las manos en las caderas y su mismo lanzamiento se muestra nuevamente.</v>
      </c>
    </row>
    <row r="14953">
      <c r="A14953" s="4" t="s">
        <v>18829</v>
      </c>
      <c r="B14953" s="4" t="s">
        <v>18832</v>
      </c>
      <c r="C14953" s="5" t="str">
        <f>IFERROR(__xludf.DUMMYFUNCTION("GOOGLETRANSLATE(B14953,""en"",""es-ES"")"),"Varios atletas más avanzan para tirar la jabalina al campo seguido de su mismo lanzamiento que se muestran nuevamente y se ríen de la cámara.")</f>
        <v>Varios atletas más avanzan para tirar la jabalina al campo seguido de su mismo lanzamiento que se muestran nuevamente y se ríen de la cámara.</v>
      </c>
    </row>
    <row r="14954">
      <c r="A14954" s="4" t="s">
        <v>18833</v>
      </c>
      <c r="B14954" s="4" t="s">
        <v>18834</v>
      </c>
      <c r="C14954" s="5" t="str">
        <f>IFERROR(__xludf.DUMMYFUNCTION("GOOGLETRANSLATE(B14954,""en"",""es-ES"")"),"Un hombre en un gran campo verde practica más de siete martillos lanzados en el campo con una cinta de medición frente a él estirada a lo largo del suelo.")</f>
        <v>Un hombre en un gran campo verde practica más de siete martillos lanzados en el campo con una cinta de medición frente a él estirada a lo largo del suelo.</v>
      </c>
    </row>
    <row r="14955">
      <c r="A14955" s="4" t="s">
        <v>18833</v>
      </c>
      <c r="B14955" s="4" t="s">
        <v>18835</v>
      </c>
      <c r="C14955" s="5" t="str">
        <f>IFERROR(__xludf.DUMMYFUNCTION("GOOGLETRANSLATE(B14955,""en"",""es-ES"")"),"Un hombre de pecho desnudo con pantalones de vía negra gira un martillo y alrededor hasta que se libera en un campo frente a él.")</f>
        <v>Un hombre de pecho desnudo con pantalones de vía negra gira un martillo y alrededor hasta que se libera en un campo frente a él.</v>
      </c>
    </row>
    <row r="14956">
      <c r="A14956" s="4" t="s">
        <v>18833</v>
      </c>
      <c r="B14956" s="4" t="s">
        <v>18836</v>
      </c>
      <c r="C14956" s="5" t="str">
        <f>IFERROR(__xludf.DUMMYFUNCTION("GOOGLETRANSLATE(B14956,""en"",""es-ES"")"),"Luego, el hombre realiza al menos seis lanzamientos de martillo más de la misma manera en la misma ubicación.")</f>
        <v>Luego, el hombre realiza al menos seis lanzamientos de martillo más de la misma manera en la misma ubicación.</v>
      </c>
    </row>
    <row r="14957">
      <c r="A14957" s="4" t="s">
        <v>18837</v>
      </c>
      <c r="B14957" s="4" t="s">
        <v>18838</v>
      </c>
      <c r="C14957" s="5" t="str">
        <f>IFERROR(__xludf.DUMMYFUNCTION("GOOGLETRANSLATE(B14957,""en"",""es-ES"")"),"El hombre está de pie en un campo de Gren y comienza a saltar la cuerda.")</f>
        <v>El hombre está de pie en un campo de Gren y comienza a saltar la cuerda.</v>
      </c>
    </row>
    <row r="14958">
      <c r="A14958" s="4" t="s">
        <v>18837</v>
      </c>
      <c r="B14958" s="4" t="s">
        <v>18839</v>
      </c>
      <c r="C14958" s="5" t="str">
        <f>IFERROR(__xludf.DUMMYFUNCTION("GOOGLETRANSLATE(B14958,""en"",""es-ES"")"),"El hombre deja caer la cuerda y explica cómo saltar y sostiene la cuerda nuevamente.")</f>
        <v>El hombre deja caer la cuerda y explica cómo saltar y sostiene la cuerda nuevamente.</v>
      </c>
    </row>
    <row r="14959">
      <c r="A14959" s="4" t="s">
        <v>18840</v>
      </c>
      <c r="B14959" s="4" t="s">
        <v>18841</v>
      </c>
      <c r="C14959" s="5" t="str">
        <f>IFERROR(__xludf.DUMMYFUNCTION("GOOGLETRANSLATE(B14959,""en"",""es-ES"")"),"Los chicos están jugando al billar frente a una audiencia.")</f>
        <v>Los chicos están jugando al billar frente a una audiencia.</v>
      </c>
    </row>
    <row r="14960">
      <c r="A14960" s="4" t="s">
        <v>18840</v>
      </c>
      <c r="B14960" s="4" t="s">
        <v>18842</v>
      </c>
      <c r="C14960" s="5" t="str">
        <f>IFERROR(__xludf.DUMMYFUNCTION("GOOGLETRANSLATE(B14960,""en"",""es-ES"")"),"Un chico cambia su palo de piscina.")</f>
        <v>Un chico cambia su palo de piscina.</v>
      </c>
    </row>
    <row r="14961">
      <c r="A14961" s="4" t="s">
        <v>18840</v>
      </c>
      <c r="B14961" s="4" t="s">
        <v>18843</v>
      </c>
      <c r="C14961" s="5" t="str">
        <f>IFERROR(__xludf.DUMMYFUNCTION("GOOGLETRANSLATE(B14961,""en"",""es-ES"")"),"Los dos hombres se unen y dan una entrevista.")</f>
        <v>Los dos hombres se unen y dan una entrevista.</v>
      </c>
    </row>
    <row r="14962">
      <c r="A14962" s="4" t="s">
        <v>18840</v>
      </c>
      <c r="B14962" s="4" t="s">
        <v>18844</v>
      </c>
      <c r="C14962" s="5" t="str">
        <f>IFERROR(__xludf.DUMMYFUNCTION("GOOGLETRANSLATE(B14962,""en"",""es-ES"")"),"Un hombre pone su brazo alrededor de los hombros de su compañero y su compañero baila.")</f>
        <v>Un hombre pone su brazo alrededor de los hombros de su compañero y su compañero baila.</v>
      </c>
    </row>
    <row r="14963">
      <c r="A14963" s="4" t="s">
        <v>18840</v>
      </c>
      <c r="B14963" s="4" t="s">
        <v>18845</v>
      </c>
      <c r="C14963" s="5" t="str">
        <f>IFERROR(__xludf.DUMMYFUNCTION("GOOGLETRANSLATE(B14963,""en"",""es-ES"")"),"Un hombre se sienta en el regazo de su compañero de juego después de hacer su tiro.")</f>
        <v>Un hombre se sienta en el regazo de su compañero de juego después de hacer su tiro.</v>
      </c>
    </row>
    <row r="14964">
      <c r="A14964" s="4" t="s">
        <v>18846</v>
      </c>
      <c r="B14964" s="4" t="s">
        <v>18847</v>
      </c>
      <c r="C14964" s="5" t="str">
        <f>IFERROR(__xludf.DUMMYFUNCTION("GOOGLETRANSLATE(B14964,""en"",""es-ES"")"),"Una persona aplica el lubricante en la pierna y luego procede a afeitarse la pierna y luego limpiarse la pierna con un trapo húmedo.")</f>
        <v>Una persona aplica el lubricante en la pierna y luego procede a afeitarse la pierna y luego limpiarse la pierna con un trapo húmedo.</v>
      </c>
    </row>
    <row r="14965">
      <c r="A14965" s="4" t="s">
        <v>18846</v>
      </c>
      <c r="B14965" s="4" t="s">
        <v>18848</v>
      </c>
      <c r="C14965" s="5" t="str">
        <f>IFERROR(__xludf.DUMMYFUNCTION("GOOGLETRANSLATE(B14965,""en"",""es-ES"")"),"Una persona en un baño, con un pie encima de una cubierta del inodoro, frota el lubricante en la pierna en la pierna.")</f>
        <v>Una persona en un baño, con un pie encima de una cubierta del inodoro, frota el lubricante en la pierna en la pierna.</v>
      </c>
    </row>
    <row r="14966">
      <c r="A14966" s="4" t="s">
        <v>18846</v>
      </c>
      <c r="B14966" s="4" t="s">
        <v>18849</v>
      </c>
      <c r="C14966" s="5" t="str">
        <f>IFERROR(__xludf.DUMMYFUNCTION("GOOGLETRANSLATE(B14966,""en"",""es-ES"")"),"La persona luego comienza a afeitarse a lo largo de su pierna con una navaja de afeitar azul.")</f>
        <v>La persona luego comienza a afeitarse a lo largo de su pierna con una navaja de afeitar azul.</v>
      </c>
    </row>
    <row r="14967">
      <c r="A14967" s="4" t="s">
        <v>18846</v>
      </c>
      <c r="B14967" s="4" t="s">
        <v>18850</v>
      </c>
      <c r="C14967" s="5" t="str">
        <f>IFERROR(__xludf.DUMMYFUNCTION("GOOGLETRANSLATE(B14967,""en"",""es-ES"")"),"La persona se limpia la pierna con trapo húmedo después de sostener el trapo debajo del toque del lavabo del baño antes de sostener una botella de lubricante en la mano en una vista de primer plano.")</f>
        <v>La persona se limpia la pierna con trapo húmedo después de sostener el trapo debajo del toque del lavabo del baño antes de sostener una botella de lubricante en la mano en una vista de primer plano.</v>
      </c>
    </row>
    <row r="14968">
      <c r="A14968" s="4" t="s">
        <v>18851</v>
      </c>
      <c r="B14968" s="4" t="s">
        <v>18852</v>
      </c>
      <c r="C14968" s="5" t="str">
        <f>IFERROR(__xludf.DUMMYFUNCTION("GOOGLETRANSLATE(B14968,""en"",""es-ES"")"),"Una mujer y un hombre están bailando en un escenario.")</f>
        <v>Una mujer y un hombre están bailando en un escenario.</v>
      </c>
    </row>
    <row r="14969">
      <c r="A14969" s="4" t="s">
        <v>18851</v>
      </c>
      <c r="B14969" s="4" t="s">
        <v>18853</v>
      </c>
      <c r="C14969" s="5" t="str">
        <f>IFERROR(__xludf.DUMMYFUNCTION("GOOGLETRANSLATE(B14969,""en"",""es-ES"")"),"Hay una banda que toca detrás de ellos.")</f>
        <v>Hay una banda que toca detrás de ellos.</v>
      </c>
    </row>
    <row r="14970">
      <c r="A14970" s="4" t="s">
        <v>18851</v>
      </c>
      <c r="B14970" s="4" t="s">
        <v>18854</v>
      </c>
      <c r="C14970" s="5" t="str">
        <f>IFERROR(__xludf.DUMMYFUNCTION("GOOGLETRANSLATE(B14970,""en"",""es-ES"")"),"Hay una audiencia sentada en sillas aplaudiendo para ellos.")</f>
        <v>Hay una audiencia sentada en sillas aplaudiendo para ellos.</v>
      </c>
    </row>
    <row r="14971">
      <c r="A14971" s="4" t="s">
        <v>18855</v>
      </c>
      <c r="B14971" s="4" t="s">
        <v>18856</v>
      </c>
      <c r="C14971" s="5" t="str">
        <f>IFERROR(__xludf.DUMMYFUNCTION("GOOGLETRANSLATE(B14971,""en"",""es-ES"")"),"Una niña en un leotardo verde comienza a girar un bastón y haciendo trucos.")</f>
        <v>Una niña en un leotardo verde comienza a girar un bastón y haciendo trucos.</v>
      </c>
    </row>
    <row r="14972">
      <c r="A14972" s="4" t="s">
        <v>18855</v>
      </c>
      <c r="B14972" s="4" t="s">
        <v>18857</v>
      </c>
      <c r="C14972" s="5" t="str">
        <f>IFERROR(__xludf.DUMMYFUNCTION("GOOGLETRANSLATE(B14972,""en"",""es-ES"")"),"La niña comienza a incorporar sus brazos y hace un volteo y continúa volteando el bastón sobre sus manos y brazos.")</f>
        <v>La niña comienza a incorporar sus brazos y hace un volteo y continúa volteando el bastón sobre sus manos y brazos.</v>
      </c>
    </row>
    <row r="14973">
      <c r="A14973" s="4" t="s">
        <v>18855</v>
      </c>
      <c r="B14973" s="4" t="s">
        <v>18858</v>
      </c>
      <c r="C14973" s="5" t="str">
        <f>IFERROR(__xludf.DUMMYFUNCTION("GOOGLETRANSLATE(B14973,""en"",""es-ES"")"),"Mientras la joven continúa su actuación, gira el bastón entre sus piernas y sobre su cabeza, la atrapa y hace un galope.")</f>
        <v>Mientras la joven continúa su actuación, gira el bastón entre sus piernas y sobre su cabeza, la atrapa y hace un galope.</v>
      </c>
    </row>
    <row r="14974">
      <c r="A14974" s="4" t="s">
        <v>18855</v>
      </c>
      <c r="B14974" s="4" t="s">
        <v>18859</v>
      </c>
      <c r="C14974" s="5" t="str">
        <f>IFERROR(__xludf.DUMMYFUNCTION("GOOGLETRANSLATE(B14974,""en"",""es-ES"")"),"El resto de la actuación de la joven es un conjunto de giros y giro y luego sale de la piso para terminar su actuación.")</f>
        <v>El resto de la actuación de la joven es un conjunto de giros y giro y luego sale de la piso para terminar su actuación.</v>
      </c>
    </row>
    <row r="14975">
      <c r="A14975" s="4" t="s">
        <v>18860</v>
      </c>
      <c r="B14975" s="4" t="s">
        <v>18861</v>
      </c>
      <c r="C14975" s="5" t="str">
        <f>IFERROR(__xludf.DUMMYFUNCTION("GOOGLETRANSLATE(B14975,""en"",""es-ES"")"),"Una persona levanta un peso de 90 kg hasta el hombro y luego sobre la cabeza, luego el hombre deja caer el peso al piso.")</f>
        <v>Una persona levanta un peso de 90 kg hasta el hombro y luego sobre la cabeza, luego el hombre deja caer el peso al piso.</v>
      </c>
    </row>
    <row r="14976">
      <c r="A14976" s="4" t="s">
        <v>18860</v>
      </c>
      <c r="B14976" s="4" t="s">
        <v>18862</v>
      </c>
      <c r="C14976" s="5" t="str">
        <f>IFERROR(__xludf.DUMMYFUNCTION("GOOGLETRANSLATE(B14976,""en"",""es-ES"")"),"Luego, el hombre levanta 95 kg de peso sobre su cabeza.")</f>
        <v>Luego, el hombre levanta 95 kg de peso sobre su cabeza.</v>
      </c>
    </row>
    <row r="14977">
      <c r="A14977" s="4" t="s">
        <v>18860</v>
      </c>
      <c r="B14977" s="4" t="s">
        <v>18863</v>
      </c>
      <c r="C14977" s="5" t="str">
        <f>IFERROR(__xludf.DUMMYFUNCTION("GOOGLETRANSLATE(B14977,""en"",""es-ES"")"),"Después, el hombre levanta un peso de 101 kg con éxito.")</f>
        <v>Después, el hombre levanta un peso de 101 kg con éxito.</v>
      </c>
    </row>
    <row r="14978">
      <c r="A14978" s="4" t="s">
        <v>18864</v>
      </c>
      <c r="B14978" s="4" t="s">
        <v>18865</v>
      </c>
      <c r="C14978" s="5" t="str">
        <f>IFERROR(__xludf.DUMMYFUNCTION("GOOGLETRANSLATE(B14978,""en"",""es-ES"")"),"Un primer plano de un automóvil es visto por una persona que sostiene un raspador.")</f>
        <v>Un primer plano de un automóvil es visto por una persona que sostiene un raspador.</v>
      </c>
    </row>
    <row r="14979">
      <c r="A14979" s="4" t="s">
        <v>18864</v>
      </c>
      <c r="B14979" s="4" t="s">
        <v>18866</v>
      </c>
      <c r="C14979" s="5" t="str">
        <f>IFERROR(__xludf.DUMMYFUNCTION("GOOGLETRANSLATE(B14979,""en"",""es-ES"")"),"La persona empuja el hielo a lo largo del auto mientras mira a la cámara.")</f>
        <v>La persona empuja el hielo a lo largo del auto mientras mira a la cámara.</v>
      </c>
    </row>
    <row r="14980">
      <c r="A14980" s="4" t="s">
        <v>18864</v>
      </c>
      <c r="B14980" s="4" t="s">
        <v>18867</v>
      </c>
      <c r="C14980" s="5" t="str">
        <f>IFERROR(__xludf.DUMMYFUNCTION("GOOGLETRANSLATE(B14980,""en"",""es-ES"")"),"La persona continúa limpiando el hielo con el raspador mientras la cámara captura sus movimientos.")</f>
        <v>La persona continúa limpiando el hielo con el raspador mientras la cámara captura sus movimientos.</v>
      </c>
    </row>
    <row r="14981">
      <c r="A14981" s="4" t="s">
        <v>18868</v>
      </c>
      <c r="B14981" s="4" t="s">
        <v>18869</v>
      </c>
      <c r="C14981" s="5" t="str">
        <f>IFERROR(__xludf.DUMMYFUNCTION("GOOGLETRANSLATE(B14981,""en"",""es-ES"")"),"Una luchadora femenina está sosteniendo a otro luchador al revés.")</f>
        <v>Una luchadora femenina está sosteniendo a otro luchador al revés.</v>
      </c>
    </row>
    <row r="14982">
      <c r="A14982" s="4" t="s">
        <v>18868</v>
      </c>
      <c r="B14982" s="4" t="s">
        <v>18870</v>
      </c>
      <c r="C14982" s="5" t="str">
        <f>IFERROR(__xludf.DUMMYFUNCTION("GOOGLETRANSLATE(B14982,""en"",""es-ES"")"),"Ella la golpea sobre la colchoneta, sobre su espalda.")</f>
        <v>Ella la golpea sobre la colchoneta, sobre su espalda.</v>
      </c>
    </row>
    <row r="14983">
      <c r="A14983" s="4" t="s">
        <v>18871</v>
      </c>
      <c r="B14983" s="4" t="s">
        <v>18872</v>
      </c>
      <c r="C14983" s="5" t="str">
        <f>IFERROR(__xludf.DUMMYFUNCTION("GOOGLETRANSLATE(B14983,""en"",""es-ES"")"),"Se muestran varias tomas de paisajes, incluidas cabezas de ciervo y casas de árboles y conducen a un hombre que dispara un arco y una flecha.")</f>
        <v>Se muestran varias tomas de paisajes, incluidas cabezas de ciervo y casas de árboles y conducen a un hombre que dispara un arco y una flecha.</v>
      </c>
    </row>
    <row r="14984">
      <c r="A14984" s="4" t="s">
        <v>18871</v>
      </c>
      <c r="B14984" s="4" t="s">
        <v>18873</v>
      </c>
      <c r="C14984" s="5" t="str">
        <f>IFERROR(__xludf.DUMMYFUNCTION("GOOGLETRANSLATE(B14984,""en"",""es-ES"")"),"Golpea al animal de peluche y conduce a más disparos de él y otro usando el arco y la flecha.")</f>
        <v>Golpea al animal de peluche y conduce a más disparos de él y otro usando el arco y la flecha.</v>
      </c>
    </row>
    <row r="14985">
      <c r="A14985" s="4" t="s">
        <v>18871</v>
      </c>
      <c r="B14985" s="4" t="s">
        <v>18874</v>
      </c>
      <c r="C14985" s="5" t="str">
        <f>IFERROR(__xludf.DUMMYFUNCTION("GOOGLETRANSLATE(B14985,""en"",""es-ES"")"),"La cámara se mueve alrededor de las áreas que golpean y muestra a un hombre alejándose.")</f>
        <v>La cámara se mueve alrededor de las áreas que golpean y muestra a un hombre alejándose.</v>
      </c>
    </row>
    <row r="14986">
      <c r="A14986" s="4" t="s">
        <v>18875</v>
      </c>
      <c r="B14986" s="4" t="s">
        <v>18876</v>
      </c>
      <c r="C14986" s="5" t="str">
        <f>IFERROR(__xludf.DUMMYFUNCTION("GOOGLETRANSLATE(B14986,""en"",""es-ES"")"),"Algunas personas navegan en ondas oceánicas ásperas.")</f>
        <v>Algunas personas navegan en ondas oceánicas ásperas.</v>
      </c>
    </row>
    <row r="14987">
      <c r="A14987" s="4" t="s">
        <v>18875</v>
      </c>
      <c r="B14987" s="4" t="s">
        <v>18877</v>
      </c>
      <c r="C14987" s="5" t="str">
        <f>IFERROR(__xludf.DUMMYFUNCTION("GOOGLETRANSLATE(B14987,""en"",""es-ES"")"),"Se tumbaron en sus tablas, desapareciendo en el agua.")</f>
        <v>Se tumbaron en sus tablas, desapareciendo en el agua.</v>
      </c>
    </row>
    <row r="14988">
      <c r="A14988" s="4" t="s">
        <v>18875</v>
      </c>
      <c r="B14988" s="4" t="s">
        <v>18878</v>
      </c>
      <c r="C14988" s="5" t="str">
        <f>IFERROR(__xludf.DUMMYFUNCTION("GOOGLETRANSLATE(B14988,""en"",""es-ES"")"),"La niña simplemente monta el surf con su padre ayudando.")</f>
        <v>La niña simplemente monta el surf con su padre ayudando.</v>
      </c>
    </row>
    <row r="14989">
      <c r="A14989" s="4" t="s">
        <v>18879</v>
      </c>
      <c r="B14989" s="4" t="s">
        <v>18880</v>
      </c>
      <c r="C14989" s="5" t="str">
        <f>IFERROR(__xludf.DUMMYFUNCTION("GOOGLETRANSLATE(B14989,""en"",""es-ES"")"),"Un hombre está parado en una escalera limpiando una pared.")</f>
        <v>Un hombre está parado en una escalera limpiando una pared.</v>
      </c>
    </row>
    <row r="14990">
      <c r="A14990" s="4" t="s">
        <v>18879</v>
      </c>
      <c r="B14990" s="4" t="s">
        <v>18881</v>
      </c>
      <c r="C14990" s="5" t="str">
        <f>IFERROR(__xludf.DUMMYFUNCTION("GOOGLETRANSLATE(B14990,""en"",""es-ES"")"),"Un cubo negro está sentado a su lado.")</f>
        <v>Un cubo negro está sentado a su lado.</v>
      </c>
    </row>
    <row r="14991">
      <c r="A14991" s="4" t="s">
        <v>18879</v>
      </c>
      <c r="B14991" s="4" t="s">
        <v>18882</v>
      </c>
      <c r="C14991" s="5" t="str">
        <f>IFERROR(__xludf.DUMMYFUNCTION("GOOGLETRANSLATE(B14991,""en"",""es-ES"")"),"Un hombre está de pie arrojando barro a la pared.")</f>
        <v>Un hombre está de pie arrojando barro a la pared.</v>
      </c>
    </row>
    <row r="14992">
      <c r="A14992" s="4" t="s">
        <v>18883</v>
      </c>
      <c r="B14992" s="4" t="s">
        <v>18884</v>
      </c>
      <c r="C14992" s="5" t="str">
        <f>IFERROR(__xludf.DUMMYFUNCTION("GOOGLETRANSLATE(B14992,""en"",""es-ES"")"),"Se ve a una mujer hablando con la cámara mientras está de pie junto a un caballo y acariciando al caballo a un lado.")</f>
        <v>Se ve a una mujer hablando con la cámara mientras está de pie junto a un caballo y acariciando al caballo a un lado.</v>
      </c>
    </row>
    <row r="14993">
      <c r="A14993" s="4" t="s">
        <v>18883</v>
      </c>
      <c r="B14993" s="4" t="s">
        <v>18885</v>
      </c>
      <c r="C14993" s="5" t="str">
        <f>IFERROR(__xludf.DUMMYFUNCTION("GOOGLETRANSLATE(B14993,""en"",""es-ES"")"),"El caballo huele a la mujer mientras ella lo recorre y gira la cabeza al final.")</f>
        <v>El caballo huele a la mujer mientras ella lo recorre y gira la cabeza al final.</v>
      </c>
    </row>
    <row r="14994">
      <c r="A14994" s="4" t="s">
        <v>18886</v>
      </c>
      <c r="B14994" s="4" t="s">
        <v>18887</v>
      </c>
      <c r="C14994" s="5" t="str">
        <f>IFERROR(__xludf.DUMMYFUNCTION("GOOGLETRANSLATE(B14994,""en"",""es-ES"")"),"Una cámara saca una mesa de madera con un niño con vasos que lo muestran.")</f>
        <v>Una cámara saca una mesa de madera con un niño con vasos que lo muestran.</v>
      </c>
    </row>
    <row r="14995">
      <c r="A14995" s="4" t="s">
        <v>18886</v>
      </c>
      <c r="B14995" s="4" t="s">
        <v>18888</v>
      </c>
      <c r="C14995" s="5" t="str">
        <f>IFERROR(__xludf.DUMMYFUNCTION("GOOGLETRANSLATE(B14995,""en"",""es-ES"")"),"El niño empuja varios discos a través del tablero de madera para ver dónde termina.")</f>
        <v>El niño empuja varios discos a través del tablero de madera para ver dónde termina.</v>
      </c>
    </row>
    <row r="14996">
      <c r="A14996" s="4" t="s">
        <v>18886</v>
      </c>
      <c r="B14996" s="4" t="s">
        <v>18889</v>
      </c>
      <c r="C14996" s="5" t="str">
        <f>IFERROR(__xludf.DUMMYFUNCTION("GOOGLETRANSLATE(B14996,""en"",""es-ES"")"),"El niño empuja varios discos más y el niño que sostiene la cámara camina hasta el final para mostrar los resultados.")</f>
        <v>El niño empuja varios discos más y el niño que sostiene la cámara camina hasta el final para mostrar los resultados.</v>
      </c>
    </row>
    <row r="14997">
      <c r="A14997" s="4" t="s">
        <v>18890</v>
      </c>
      <c r="B14997" s="4" t="s">
        <v>18891</v>
      </c>
      <c r="C14997" s="5" t="str">
        <f>IFERROR(__xludf.DUMMYFUNCTION("GOOGLETRANSLATE(B14997,""en"",""es-ES"")"),"Una niña está de pie con un grupo de personas en una larga plataforma hecha de madera.")</f>
        <v>Una niña está de pie con un grupo de personas en una larga plataforma hecha de madera.</v>
      </c>
    </row>
    <row r="14998">
      <c r="A14998" s="4" t="s">
        <v>18890</v>
      </c>
      <c r="B14998" s="4" t="s">
        <v>18892</v>
      </c>
      <c r="C14998" s="5" t="str">
        <f>IFERROR(__xludf.DUMMYFUNCTION("GOOGLETRANSLATE(B14998,""en"",""es-ES"")"),"Ella está unida a una cuerda y con varias personas detrás de ella, entonces es empujada del stand participando en una caída libre.")</f>
        <v>Ella está unida a una cuerda y con varias personas detrás de ella, entonces es empujada del stand participando en una caída libre.</v>
      </c>
    </row>
    <row r="14999">
      <c r="A14999" s="4" t="s">
        <v>18890</v>
      </c>
      <c r="B14999" s="4" t="s">
        <v>18893</v>
      </c>
      <c r="C14999" s="5" t="str">
        <f>IFERROR(__xludf.DUMMYFUNCTION("GOOGLETRANSLATE(B14999,""en"",""es-ES"")"),"La hembra cae luego cuelga sobre el agua durante un largo período de tiempo.")</f>
        <v>La hembra cae luego cuelga sobre el agua durante un largo período de tiempo.</v>
      </c>
    </row>
    <row r="15000">
      <c r="A15000" s="4" t="s">
        <v>18894</v>
      </c>
      <c r="B15000" s="4" t="s">
        <v>18895</v>
      </c>
      <c r="C15000" s="5" t="str">
        <f>IFERROR(__xludf.DUMMYFUNCTION("GOOGLETRANSLATE(B15000,""en"",""es-ES"")"),"Se ve a una mujer mirando la cámara mientras se cepilla el cabello y la lleva a poner su cabello en una cola de caballo.")</f>
        <v>Se ve a una mujer mirando la cámara mientras se cepilla el cabello y la lleva a poner su cabello en una cola de caballo.</v>
      </c>
    </row>
    <row r="15001">
      <c r="A15001" s="4" t="s">
        <v>18894</v>
      </c>
      <c r="B15001" s="4" t="s">
        <v>18896</v>
      </c>
      <c r="C15001" s="5" t="str">
        <f>IFERROR(__xludf.DUMMYFUNCTION("GOOGLETRANSLATE(B15001,""en"",""es-ES"")"),"La niña se trenza más cabello y termina saludando a la cámara.")</f>
        <v>La niña se trenza más cabello y termina saludando a la cámara.</v>
      </c>
    </row>
    <row r="15002">
      <c r="A15002" s="4" t="s">
        <v>18897</v>
      </c>
      <c r="B15002" s="4" t="s">
        <v>18898</v>
      </c>
      <c r="C15002" s="5" t="str">
        <f>IFERROR(__xludf.DUMMYFUNCTION("GOOGLETRANSLATE(B15002,""en"",""es-ES"")"),"Se conduce un camión en la carretera al comienzo del video.")</f>
        <v>Se conduce un camión en la carretera al comienzo del video.</v>
      </c>
    </row>
    <row r="15003">
      <c r="A15003" s="4" t="s">
        <v>18897</v>
      </c>
      <c r="B15003" s="4" t="s">
        <v>18899</v>
      </c>
      <c r="C15003" s="5" t="str">
        <f>IFERROR(__xludf.DUMMYFUNCTION("GOOGLETRANSLATE(B15003,""en"",""es-ES"")"),"Luego se muestra a un hombre sentado junto a la piscina, surfeando en el agua con otras personas.")</f>
        <v>Luego se muestra a un hombre sentado junto a la piscina, surfeando en el agua con otras personas.</v>
      </c>
    </row>
    <row r="15004">
      <c r="A15004" s="4" t="s">
        <v>18900</v>
      </c>
      <c r="B15004" s="4" t="s">
        <v>18901</v>
      </c>
      <c r="C15004" s="5" t="str">
        <f>IFERROR(__xludf.DUMMYFUNCTION("GOOGLETRANSLATE(B15004,""en"",""es-ES"")"),"Se ve a las personas caminando alrededor de una zona nevada que lleva tablas en sus manos y viajando por el sendero.")</f>
        <v>Se ve a las personas caminando alrededor de una zona nevada que lleva tablas en sus manos y viajando por el sendero.</v>
      </c>
    </row>
    <row r="15005">
      <c r="A15005" s="4" t="s">
        <v>18900</v>
      </c>
      <c r="B15005" s="4" t="s">
        <v>18902</v>
      </c>
      <c r="C15005" s="5" t="str">
        <f>IFERROR(__xludf.DUMMYFUNCTION("GOOGLETRANSLATE(B15005,""en"",""es-ES"")"),"La gente viaja por la montaña nevada continuamente mientras mira hacia la cámara.")</f>
        <v>La gente viaja por la montaña nevada continuamente mientras mira hacia la cámara.</v>
      </c>
    </row>
    <row r="15006">
      <c r="A15006" s="4" t="s">
        <v>18900</v>
      </c>
      <c r="B15006" s="4" t="s">
        <v>18903</v>
      </c>
      <c r="C15006" s="5" t="str">
        <f>IFERROR(__xludf.DUMMYFUNCTION("GOOGLETRANSLATE(B15006,""en"",""es-ES"")"),"La gente continúa viajando mientras se acerca a sus pies.")</f>
        <v>La gente continúa viajando mientras se acerca a sus pies.</v>
      </c>
    </row>
    <row r="15007">
      <c r="A15007" s="4" t="s">
        <v>18904</v>
      </c>
      <c r="B15007" s="4" t="s">
        <v>18905</v>
      </c>
      <c r="C15007" s="5" t="str">
        <f>IFERROR(__xludf.DUMMYFUNCTION("GOOGLETRANSLATE(B15007,""en"",""es-ES"")"),"Se ve a una mujer hablando con la cámara sosteniendo un hula hoop y lo lleva a girar alrededor del hula hoop.")</f>
        <v>Se ve a una mujer hablando con la cámara sosteniendo un hula hoop y lo lleva a girar alrededor del hula hoop.</v>
      </c>
    </row>
    <row r="15008">
      <c r="A15008" s="4" t="s">
        <v>18904</v>
      </c>
      <c r="B15008" s="4" t="s">
        <v>18906</v>
      </c>
      <c r="C15008" s="5" t="str">
        <f>IFERROR(__xludf.DUMMYFUNCTION("GOOGLETRANSLATE(B15008,""en"",""es-ES"")"),"La mujer continúa empujando el objeto alrededor de su cintura mientras se giraba, así como bailando en su lugar.")</f>
        <v>La mujer continúa empujando el objeto alrededor de su cintura mientras se giraba, así como bailando en su lugar.</v>
      </c>
    </row>
    <row r="15009">
      <c r="A15009" s="4" t="s">
        <v>18907</v>
      </c>
      <c r="B15009" s="4" t="s">
        <v>18908</v>
      </c>
      <c r="C15009" s="5" t="str">
        <f>IFERROR(__xludf.DUMMYFUNCTION("GOOGLETRANSLATE(B15009,""en"",""es-ES"")"),"Un hombre delgado y un hombre gordo realizan una lucha libre de brazos mientras un camarógrafo los filtra.")</f>
        <v>Un hombre delgado y un hombre gordo realizan una lucha libre de brazos mientras un camarógrafo los filtra.</v>
      </c>
    </row>
    <row r="15010">
      <c r="A15010" s="4" t="s">
        <v>18907</v>
      </c>
      <c r="B15010" s="4" t="s">
        <v>18909</v>
      </c>
      <c r="C15010" s="5" t="str">
        <f>IFERROR(__xludf.DUMMYFUNCTION("GOOGLETRANSLATE(B15010,""en"",""es-ES"")"),"El hombre delgado gana la competencia de lucha libre del brazo.")</f>
        <v>El hombre delgado gana la competencia de lucha libre del brazo.</v>
      </c>
    </row>
    <row r="15011">
      <c r="A15011" s="4" t="s">
        <v>18910</v>
      </c>
      <c r="B15011" s="4" t="s">
        <v>18911</v>
      </c>
      <c r="C15011" s="5" t="str">
        <f>IFERROR(__xludf.DUMMYFUNCTION("GOOGLETRANSLATE(B15011,""en"",""es-ES"")"),"Las personas en arneses caminan en una plataforma con árboles muy por debajo de un fondo.")</f>
        <v>Las personas en arneses caminan en una plataforma con árboles muy por debajo de un fondo.</v>
      </c>
    </row>
    <row r="15012">
      <c r="A15012" s="4" t="s">
        <v>18910</v>
      </c>
      <c r="B15012" s="4" t="s">
        <v>18912</v>
      </c>
      <c r="C15012" s="5" t="str">
        <f>IFERROR(__xludf.DUMMYFUNCTION("GOOGLETRANSLATE(B15012,""en"",""es-ES"")"),"El hombre se sienta en un banco y está enganchado a una gran cuerda blanca.")</f>
        <v>El hombre se sienta en un banco y está enganchado a una gran cuerda blanca.</v>
      </c>
    </row>
    <row r="15013">
      <c r="A15013" s="4" t="s">
        <v>18910</v>
      </c>
      <c r="B15013" s="4" t="s">
        <v>18913</v>
      </c>
      <c r="C15013" s="5" t="str">
        <f>IFERROR(__xludf.DUMMYFUNCTION("GOOGLETRANSLATE(B15013,""en"",""es-ES"")"),"El hombre sacude la mano de una dama.")</f>
        <v>El hombre sacude la mano de una dama.</v>
      </c>
    </row>
    <row r="15014">
      <c r="A15014" s="4" t="s">
        <v>18910</v>
      </c>
      <c r="B15014" s="4" t="s">
        <v>18914</v>
      </c>
      <c r="C15014" s="5" t="str">
        <f>IFERROR(__xludf.DUMMYFUNCTION("GOOGLETRANSLATE(B15014,""en"",""es-ES"")"),"El hombre se para y camina hasta el borde de la plataforma asistida por dos personas.")</f>
        <v>El hombre se para y camina hasta el borde de la plataforma asistida por dos personas.</v>
      </c>
    </row>
    <row r="15015">
      <c r="A15015" s="4" t="s">
        <v>18910</v>
      </c>
      <c r="B15015" s="4" t="s">
        <v>18915</v>
      </c>
      <c r="C15015" s="5" t="str">
        <f>IFERROR(__xludf.DUMMYFUNCTION("GOOGLETRANSLATE(B15015,""en"",""es-ES"")"),"La señora luego empuja al hombre del borde y la cámara se desplaza para ver saltar el bungee del hombre.")</f>
        <v>La señora luego empuja al hombre del borde y la cámara se desplaza para ver saltar el bungee del hombre.</v>
      </c>
    </row>
    <row r="15016">
      <c r="A15016" s="4" t="s">
        <v>18910</v>
      </c>
      <c r="B15016" s="4" t="s">
        <v>18916</v>
      </c>
      <c r="C15016" s="5" t="str">
        <f>IFERROR(__xludf.DUMMYFUNCTION("GOOGLETRANSLATE(B15016,""en"",""es-ES"")"),"Un hombre con palo lo sostiene y el hombre lo atrapa y liberan al hombre de la cuerda.")</f>
        <v>Un hombre con palo lo sostiene y el hombre lo atrapa y liberan al hombre de la cuerda.</v>
      </c>
    </row>
    <row r="15017">
      <c r="A15017" s="4" t="s">
        <v>18917</v>
      </c>
      <c r="B15017" s="4" t="s">
        <v>18918</v>
      </c>
      <c r="C15017" s="5" t="str">
        <f>IFERROR(__xludf.DUMMYFUNCTION("GOOGLETRANSLATE(B15017,""en"",""es-ES"")"),"Varias personas yacían en tubos en la nieve.")</f>
        <v>Varias personas yacían en tubos en la nieve.</v>
      </c>
    </row>
    <row r="15018">
      <c r="A15018" s="4" t="s">
        <v>18917</v>
      </c>
      <c r="B15018" s="4" t="s">
        <v>18919</v>
      </c>
      <c r="C15018" s="5" t="str">
        <f>IFERROR(__xludf.DUMMYFUNCTION("GOOGLETRANSLATE(B15018,""en"",""es-ES"")"),"Más personas están paradas a su alrededor.")</f>
        <v>Más personas están paradas a su alrededor.</v>
      </c>
    </row>
    <row r="15019">
      <c r="A15019" s="4" t="s">
        <v>18917</v>
      </c>
      <c r="B15019" s="4" t="s">
        <v>18920</v>
      </c>
      <c r="C15019" s="5" t="str">
        <f>IFERROR(__xludf.DUMMYFUNCTION("GOOGLETRANSLATE(B15019,""en"",""es-ES"")"),"Finalmente, algunos de ellos bajan por la colina.")</f>
        <v>Finalmente, algunos de ellos bajan por la colina.</v>
      </c>
    </row>
    <row r="15020">
      <c r="A15020" s="4" t="s">
        <v>18917</v>
      </c>
      <c r="B15020" s="4" t="s">
        <v>18921</v>
      </c>
      <c r="C15020" s="5" t="str">
        <f>IFERROR(__xludf.DUMMYFUNCTION("GOOGLETRANSLATE(B15020,""en"",""es-ES"")"),"Llegan al fondo de la colina.")</f>
        <v>Llegan al fondo de la colina.</v>
      </c>
    </row>
    <row r="15021">
      <c r="A15021" s="4" t="s">
        <v>18922</v>
      </c>
      <c r="B15021" s="4" t="s">
        <v>18923</v>
      </c>
      <c r="C15021" s="5" t="str">
        <f>IFERROR(__xludf.DUMMYFUNCTION("GOOGLETRANSLATE(B15021,""en"",""es-ES"")"),"Un hombre le pone crema de afeitar en la cara.")</f>
        <v>Un hombre le pone crema de afeitar en la cara.</v>
      </c>
    </row>
    <row r="15022">
      <c r="A15022" s="4" t="s">
        <v>18922</v>
      </c>
      <c r="B15022" s="4" t="s">
        <v>18924</v>
      </c>
      <c r="C15022" s="5" t="str">
        <f>IFERROR(__xludf.DUMMYFUNCTION("GOOGLETRANSLATE(B15022,""en"",""es-ES"")"),"Comienza a afeitarse la cara con una maquinilla de afeitar.")</f>
        <v>Comienza a afeitarse la cara con una maquinilla de afeitar.</v>
      </c>
    </row>
    <row r="15023">
      <c r="A15023" s="4" t="s">
        <v>18922</v>
      </c>
      <c r="B15023" s="4" t="s">
        <v>18925</v>
      </c>
      <c r="C15023" s="5" t="str">
        <f>IFERROR(__xludf.DUMMYFUNCTION("GOOGLETRANSLATE(B15023,""en"",""es-ES"")"),"Se seca la cara con una toalla.")</f>
        <v>Se seca la cara con una toalla.</v>
      </c>
    </row>
    <row r="15024">
      <c r="A15024" s="4" t="s">
        <v>18926</v>
      </c>
      <c r="B15024" s="4" t="s">
        <v>18927</v>
      </c>
      <c r="C15024" s="5" t="str">
        <f>IFERROR(__xludf.DUMMYFUNCTION("GOOGLETRANSLATE(B15024,""en"",""es-ES"")"),"Se muestra una foto de un gimnasio seguido de varios clips de una persona que intenta a Volt y otros socializando.")</f>
        <v>Se muestra una foto de un gimnasio seguido de varios clips de una persona que intenta a Volt y otros socializando.</v>
      </c>
    </row>
    <row r="15025">
      <c r="A15025" s="4" t="s">
        <v>18926</v>
      </c>
      <c r="B15025" s="4" t="s">
        <v>18928</v>
      </c>
      <c r="C15025" s="5" t="str">
        <f>IFERROR(__xludf.DUMMYFUNCTION("GOOGLETRANSLATE(B15025,""en"",""es-ES"")"),"Varias personas hablan con la cámara y conducen a ellos volando con poste.")</f>
        <v>Varias personas hablan con la cámara y conducen a ellos volando con poste.</v>
      </c>
    </row>
    <row r="15026">
      <c r="A15026" s="4" t="s">
        <v>18926</v>
      </c>
      <c r="B15026" s="4" t="s">
        <v>18929</v>
      </c>
      <c r="C15026" s="5" t="str">
        <f>IFERROR(__xludf.DUMMYFUNCTION("GOOGLETRANSLATE(B15026,""en"",""es-ES"")"),"Se ve a más personas hablando entre sí y con la cámara y usando un poste para superar una barra.")</f>
        <v>Se ve a más personas hablando entre sí y con la cámara y usando un poste para superar una barra.</v>
      </c>
    </row>
    <row r="15027">
      <c r="A15027" s="4" t="s">
        <v>18930</v>
      </c>
      <c r="B15027" s="4" t="s">
        <v>18931</v>
      </c>
      <c r="C15027" s="5" t="str">
        <f>IFERROR(__xludf.DUMMYFUNCTION("GOOGLETRANSLATE(B15027,""en"",""es-ES"")"),"Una pequeña bola blanca salió corriendo a la cancha y golpea a un jugador golpeado en la cabeza.")</f>
        <v>Una pequeña bola blanca salió corriendo a la cancha y golpea a un jugador golpeado en la cabeza.</v>
      </c>
    </row>
    <row r="15028">
      <c r="A15028" s="4" t="s">
        <v>18930</v>
      </c>
      <c r="B15028" s="4" t="s">
        <v>18932</v>
      </c>
      <c r="C15028" s="5" t="str">
        <f>IFERROR(__xludf.DUMMYFUNCTION("GOOGLETRANSLATE(B15028,""en"",""es-ES"")"),"Otro jugador luego roba la pelota y comienza a patearlo hasta que esté más en su control, y lo patea directamente hacia la meta.")</f>
        <v>Otro jugador luego roba la pelota y comienza a patearlo hasta que esté más en su control, y lo patea directamente hacia la meta.</v>
      </c>
    </row>
    <row r="15029">
      <c r="A15029" s="4" t="s">
        <v>18930</v>
      </c>
      <c r="B15029" s="4" t="s">
        <v>18933</v>
      </c>
      <c r="C15029" s="5" t="str">
        <f>IFERROR(__xludf.DUMMYFUNCTION("GOOGLETRANSLATE(B15029,""en"",""es-ES"")"),"Una pequeña repetición muestra cómo logró patearlo allí.")</f>
        <v>Una pequeña repetición muestra cómo logró patearlo allí.</v>
      </c>
    </row>
    <row r="15030">
      <c r="A15030" s="4" t="s">
        <v>18930</v>
      </c>
      <c r="B15030" s="4" t="s">
        <v>18934</v>
      </c>
      <c r="C15030" s="5" t="str">
        <f>IFERROR(__xludf.DUMMYFUNCTION("GOOGLETRANSLATE(B15030,""en"",""es-ES"")"),"Un corto montaje de movimientos similares, el jugador pateando una pelota directamente en la meta.")</f>
        <v>Un corto montaje de movimientos similares, el jugador pateando una pelota directamente en la meta.</v>
      </c>
    </row>
    <row r="15031">
      <c r="A15031" s="4" t="s">
        <v>18930</v>
      </c>
      <c r="B15031" s="4" t="s">
        <v>18935</v>
      </c>
      <c r="C15031" s="5" t="str">
        <f>IFERROR(__xludf.DUMMYFUNCTION("GOOGLETRANSLATE(B15031,""en"",""es-ES"")"),"Una breve cantidad de imágenes muestra cómo reacciona el jugador a su propia toma.")</f>
        <v>Una breve cantidad de imágenes muestra cómo reacciona el jugador a su propia toma.</v>
      </c>
    </row>
    <row r="15032">
      <c r="A15032" s="4" t="s">
        <v>18936</v>
      </c>
      <c r="B15032" s="4" t="s">
        <v>18937</v>
      </c>
      <c r="C15032" s="5" t="str">
        <f>IFERROR(__xludf.DUMMYFUNCTION("GOOGLETRANSLATE(B15032,""en"",""es-ES"")"),"Un hombre es una cometa surfeando en el borde del tablero.")</f>
        <v>Un hombre es una cometa surfeando en el borde del tablero.</v>
      </c>
    </row>
    <row r="15033">
      <c r="A15033" s="4" t="s">
        <v>18936</v>
      </c>
      <c r="B15033" s="4" t="s">
        <v>18938</v>
      </c>
      <c r="C15033" s="5" t="str">
        <f>IFERROR(__xludf.DUMMYFUNCTION("GOOGLETRANSLATE(B15033,""en"",""es-ES"")"),"La cámara se acerca y muestra la placa y luego se aleja.")</f>
        <v>La cámara se acerca y muestra la placa y luego se aleja.</v>
      </c>
    </row>
    <row r="15034">
      <c r="A15034" s="4" t="s">
        <v>18936</v>
      </c>
      <c r="B15034" s="4" t="s">
        <v>18939</v>
      </c>
      <c r="C15034" s="5" t="str">
        <f>IFERROR(__xludf.DUMMYFUNCTION("GOOGLETRANSLATE(B15034,""en"",""es-ES"")"),"Vemos el camino a lo lejos y vemos los autos conduciendo.")</f>
        <v>Vemos el camino a lo lejos y vemos los autos conduciendo.</v>
      </c>
    </row>
    <row r="15035">
      <c r="A15035" s="4" t="s">
        <v>18936</v>
      </c>
      <c r="B15035" s="4" t="s">
        <v>18940</v>
      </c>
      <c r="C15035" s="5" t="str">
        <f>IFERROR(__xludf.DUMMYFUNCTION("GOOGLETRANSLATE(B15035,""en"",""es-ES"")"),"Vemos a un kitesurf de segunda persona.")</f>
        <v>Vemos a un kitesurf de segunda persona.</v>
      </c>
    </row>
    <row r="15036">
      <c r="A15036" s="4" t="s">
        <v>18941</v>
      </c>
      <c r="B15036" s="4" t="s">
        <v>18942</v>
      </c>
      <c r="C15036" s="5" t="str">
        <f>IFERROR(__xludf.DUMMYFUNCTION("GOOGLETRANSLATE(B15036,""en"",""es-ES"")"),"Se ve a una gimnasta saltando sobre un conjunto de bares desiguales y realizando una rutina de gimnasia frente a otros.")</f>
        <v>Se ve a una gimnasta saltando sobre un conjunto de bares desiguales y realizando una rutina de gimnasia frente a otros.</v>
      </c>
    </row>
    <row r="15037">
      <c r="A15037" s="4" t="s">
        <v>18941</v>
      </c>
      <c r="B15037" s="4" t="s">
        <v>18943</v>
      </c>
      <c r="C15037" s="5" t="str">
        <f>IFERROR(__xludf.DUMMYFUNCTION("GOOGLETRANSLATE(B15037,""en"",""es-ES"")"),"El hombre continúa volteando las barras y termina con él saltando y inclinándose ante la multitud.")</f>
        <v>El hombre continúa volteando las barras y termina con él saltando y inclinándose ante la multitud.</v>
      </c>
    </row>
    <row r="15038">
      <c r="A15038" s="4" t="s">
        <v>18944</v>
      </c>
      <c r="B15038" s="4" t="s">
        <v>18945</v>
      </c>
      <c r="C15038" s="5" t="str">
        <f>IFERROR(__xludf.DUMMYFUNCTION("GOOGLETRANSLATE(B15038,""en"",""es-ES"")"),"Se ve a un niño pequeño trepando por un tobogán en un patio de recreo muy lentamente.")</f>
        <v>Se ve a un niño pequeño trepando por un tobogán en un patio de recreo muy lentamente.</v>
      </c>
    </row>
    <row r="15039">
      <c r="A15039" s="4" t="s">
        <v>18944</v>
      </c>
      <c r="B15039" s="4" t="s">
        <v>18946</v>
      </c>
      <c r="C15039" s="5" t="str">
        <f>IFERROR(__xludf.DUMMYFUNCTION("GOOGLETRANSLATE(B15039,""en"",""es-ES"")"),"Ella se abre paso hasta la cima y luego se desliza por el tobogán.")</f>
        <v>Ella se abre paso hasta la cima y luego se desliza por el tobogán.</v>
      </c>
    </row>
    <row r="15040">
      <c r="A15040" s="4" t="s">
        <v>18947</v>
      </c>
      <c r="B15040" s="4" t="s">
        <v>18948</v>
      </c>
      <c r="C15040" s="5" t="str">
        <f>IFERROR(__xludf.DUMMYFUNCTION("GOOGLETRANSLATE(B15040,""en"",""es-ES"")"),"Se muestra un primer plano de tazas en solitario, seguido de un hombre lanzando bolas.")</f>
        <v>Se muestra un primer plano de tazas en solitario, seguido de un hombre lanzando bolas.</v>
      </c>
    </row>
    <row r="15041">
      <c r="A15041" s="4" t="s">
        <v>18947</v>
      </c>
      <c r="B15041" s="4" t="s">
        <v>18949</v>
      </c>
      <c r="C15041" s="5" t="str">
        <f>IFERROR(__xludf.DUMMYFUNCTION("GOOGLETRANSLATE(B15041,""en"",""es-ES"")"),"Una persona mueve las tazas junto a la mesa mientras la persona continúa lanzando y los hombres cambian el lugar.")</f>
        <v>Una persona mueve las tazas junto a la mesa mientras la persona continúa lanzando y los hombres cambian el lugar.</v>
      </c>
    </row>
    <row r="15042">
      <c r="A15042" s="4" t="s">
        <v>18947</v>
      </c>
      <c r="B15042" s="4" t="s">
        <v>18950</v>
      </c>
      <c r="C15042" s="5" t="str">
        <f>IFERROR(__xludf.DUMMYFUNCTION("GOOGLETRANSLATE(B15042,""en"",""es-ES"")"),"Los dos continúan recibiendo turnos mientras la cámara captura sus movimientos.")</f>
        <v>Los dos continúan recibiendo turnos mientras la cámara captura sus movimientos.</v>
      </c>
    </row>
    <row r="15043">
      <c r="A15043" s="4" t="s">
        <v>18951</v>
      </c>
      <c r="B15043" s="4" t="s">
        <v>18952</v>
      </c>
      <c r="C15043" s="5" t="str">
        <f>IFERROR(__xludf.DUMMYFUNCTION("GOOGLETRANSLATE(B15043,""en"",""es-ES"")"),"Dos hombres con trajes de luchador de sumo inflable entretienen al público en la calle que actúa en una plaza pública.")</f>
        <v>Dos hombres con trajes de luchador de sumo inflable entretienen al público en la calle que actúa en una plaza pública.</v>
      </c>
    </row>
    <row r="15044">
      <c r="A15044" s="4" t="s">
        <v>18951</v>
      </c>
      <c r="B15044" s="4" t="s">
        <v>18953</v>
      </c>
      <c r="C15044" s="5" t="str">
        <f>IFERROR(__xludf.DUMMYFUNCTION("GOOGLETRANSLATE(B15044,""en"",""es-ES"")"),"Dos hombres con trajes de luchador de sumo inflable hablan con la cámara y comienzan a entretener a las personas que pasan mientras están en una plaza pública pavimentada.")</f>
        <v>Dos hombres con trajes de luchador de sumo inflable hablan con la cámara y comienzan a entretener a las personas que pasan mientras están en una plaza pública pavimentada.</v>
      </c>
    </row>
    <row r="15045">
      <c r="A15045" s="4" t="s">
        <v>18951</v>
      </c>
      <c r="B15045" s="4" t="s">
        <v>18954</v>
      </c>
      <c r="C15045" s="5" t="str">
        <f>IFERROR(__xludf.DUMMYFUNCTION("GOOGLETRANSLATE(B15045,""en"",""es-ES"")"),"Los dos hombres muestran a un niño cómo usar un scooter automatizado, realizar partidos de lucha de Sumo Mock y tomar fotos con la audiencia y bailar con la audiencia antes de terminar la actuación y hablar nuevamente con la cámara.")</f>
        <v>Los dos hombres muestran a un niño cómo usar un scooter automatizado, realizar partidos de lucha de Sumo Mock y tomar fotos con la audiencia y bailar con la audiencia antes de terminar la actuación y hablar nuevamente con la cámara.</v>
      </c>
    </row>
    <row r="15046">
      <c r="A15046" s="4" t="s">
        <v>18955</v>
      </c>
      <c r="B15046" s="4" t="s">
        <v>18956</v>
      </c>
      <c r="C15046" s="5" t="str">
        <f>IFERROR(__xludf.DUMMYFUNCTION("GOOGLETRANSLATE(B15046,""en"",""es-ES"")"),"Vemos a una persona llevar a un perro a un refugio.")</f>
        <v>Vemos a una persona llevar a un perro a un refugio.</v>
      </c>
    </row>
    <row r="15047">
      <c r="A15047" s="4" t="s">
        <v>18955</v>
      </c>
      <c r="B15047" s="4" t="s">
        <v>18957</v>
      </c>
      <c r="C15047" s="5" t="str">
        <f>IFERROR(__xludf.DUMMYFUNCTION("GOOGLETRANSLATE(B15047,""en"",""es-ES"")"),"Vemos una pantalla negra con escritura.")</f>
        <v>Vemos una pantalla negra con escritura.</v>
      </c>
    </row>
    <row r="15048">
      <c r="A15048" s="4" t="s">
        <v>18955</v>
      </c>
      <c r="B15048" s="4" t="s">
        <v>18958</v>
      </c>
      <c r="C15048" s="5" t="str">
        <f>IFERROR(__xludf.DUMMYFUNCTION("GOOGLETRANSLATE(B15048,""en"",""es-ES"")"),"Luego vemos a una señora usar una rasuradora eléctrica y luego tijera para preparar a un perro.")</f>
        <v>Luego vemos a una señora usar una rasuradora eléctrica y luego tijera para preparar a un perro.</v>
      </c>
    </row>
    <row r="15049">
      <c r="A15049" s="4" t="s">
        <v>18955</v>
      </c>
      <c r="B15049" s="4" t="s">
        <v>18959</v>
      </c>
      <c r="C15049" s="5" t="str">
        <f>IFERROR(__xludf.DUMMYFUNCTION("GOOGLETRANSLATE(B15049,""en"",""es-ES"")"),"El peluquero besa al cachorro.")</f>
        <v>El peluquero besa al cachorro.</v>
      </c>
    </row>
    <row r="15050">
      <c r="A15050" s="4" t="s">
        <v>18955</v>
      </c>
      <c r="B15050" s="4" t="s">
        <v>18960</v>
      </c>
      <c r="C15050" s="5" t="str">
        <f>IFERROR(__xludf.DUMMYFUNCTION("GOOGLETRANSLATE(B15050,""en"",""es-ES"")"),"Vemos disparos del perro después del arreglo.")</f>
        <v>Vemos disparos del perro después del arreglo.</v>
      </c>
    </row>
    <row r="15051">
      <c r="A15051" s="4" t="s">
        <v>18955</v>
      </c>
      <c r="B15051" s="4" t="s">
        <v>18961</v>
      </c>
      <c r="C15051" s="5" t="str">
        <f>IFERROR(__xludf.DUMMYFUNCTION("GOOGLETRANSLATE(B15051,""en"",""es-ES"")"),"Luego vemos una pantalla de título negro.")</f>
        <v>Luego vemos una pantalla de título negro.</v>
      </c>
    </row>
    <row r="15052">
      <c r="A15052" s="4" t="s">
        <v>18962</v>
      </c>
      <c r="B15052" s="4" t="s">
        <v>18963</v>
      </c>
      <c r="C15052" s="5" t="str">
        <f>IFERROR(__xludf.DUMMYFUNCTION("GOOGLETRANSLATE(B15052,""en"",""es-ES"")"),"La mujer monta un caballo en un granero y otra mujer guía al caballo con una cuerda.")</f>
        <v>La mujer monta un caballo en un granero y otra mujer guía al caballo con una cuerda.</v>
      </c>
    </row>
    <row r="15053">
      <c r="A15053" s="4" t="s">
        <v>18962</v>
      </c>
      <c r="B15053" s="4" t="s">
        <v>18964</v>
      </c>
      <c r="C15053" s="5" t="str">
        <f>IFERROR(__xludf.DUMMYFUNCTION("GOOGLETRANSLATE(B15053,""en"",""es-ES"")"),"Se muestran fotos de varias personas montando caballos.")</f>
        <v>Se muestran fotos de varias personas montando caballos.</v>
      </c>
    </row>
    <row r="15054">
      <c r="A15054" s="4" t="s">
        <v>18962</v>
      </c>
      <c r="B15054" s="4" t="s">
        <v>18965</v>
      </c>
      <c r="C15054" s="5" t="str">
        <f>IFERROR(__xludf.DUMMYFUNCTION("GOOGLETRANSLATE(B15054,""en"",""es-ES"")"),"Woma monta un caballo en un granero y fotos de personas montando a caballo.")</f>
        <v>Woma monta un caballo en un granero y fotos de personas montando a caballo.</v>
      </c>
    </row>
    <row r="15055">
      <c r="A15055" s="4" t="s">
        <v>18962</v>
      </c>
      <c r="B15055" s="4" t="s">
        <v>18966</v>
      </c>
      <c r="C15055" s="5" t="str">
        <f>IFERROR(__xludf.DUMMYFUNCTION("GOOGLETRANSLATE(B15055,""en"",""es-ES"")"),"La mujer monta un caballo en una pista de equitación.")</f>
        <v>La mujer monta un caballo en una pista de equitación.</v>
      </c>
    </row>
    <row r="15056">
      <c r="A15056" s="4" t="s">
        <v>18962</v>
      </c>
      <c r="B15056" s="4" t="s">
        <v>18967</v>
      </c>
      <c r="C15056" s="5" t="str">
        <f>IFERROR(__xludf.DUMMYFUNCTION("GOOGLETRANSLATE(B15056,""en"",""es-ES"")"),"Y una chica también está saltando en las pistas.")</f>
        <v>Y una chica también está saltando en las pistas.</v>
      </c>
    </row>
    <row r="15057">
      <c r="A15057" s="4" t="s">
        <v>18962</v>
      </c>
      <c r="B15057" s="4" t="s">
        <v>18968</v>
      </c>
      <c r="C15057" s="5" t="str">
        <f>IFERROR(__xludf.DUMMYFUNCTION("GOOGLETRANSLATE(B15057,""en"",""es-ES"")"),"Se muestran los niños en una sala de estar que juega frente a un televisor y se muestran imágenes suyas en el estado de ánimo.")</f>
        <v>Se muestran los niños en una sala de estar que juega frente a un televisor y se muestran imágenes suyas en el estado de ánimo.</v>
      </c>
    </row>
    <row r="15058">
      <c r="A15058" s="4" t="s">
        <v>18962</v>
      </c>
      <c r="B15058" s="4" t="s">
        <v>18969</v>
      </c>
      <c r="C15058" s="5" t="str">
        <f>IFERROR(__xludf.DUMMYFUNCTION("GOOGLETRANSLATE(B15058,""en"",""es-ES"")"),"Los niños están en un puente bailando y saltando a la piscina.")</f>
        <v>Los niños están en un puente bailando y saltando a la piscina.</v>
      </c>
    </row>
    <row r="15059">
      <c r="A15059" s="4" t="s">
        <v>18970</v>
      </c>
      <c r="B15059" s="4" t="s">
        <v>18971</v>
      </c>
      <c r="C15059" s="5" t="str">
        <f>IFERROR(__xludf.DUMMYFUNCTION("GOOGLETRANSLATE(B15059,""en"",""es-ES"")"),"El video conduce a varias tomas de surfistas que se mueven a lo largo del agua y pasan las olas más allá de otras personas.")</f>
        <v>El video conduce a varias tomas de surfistas que se mueven a lo largo del agua y pasan las olas más allá de otras personas.</v>
      </c>
    </row>
    <row r="15060">
      <c r="A15060" s="4" t="s">
        <v>18970</v>
      </c>
      <c r="B15060" s="4" t="s">
        <v>18972</v>
      </c>
      <c r="C15060" s="5" t="str">
        <f>IFERROR(__xludf.DUMMYFUNCTION("GOOGLETRANSLATE(B15060,""en"",""es-ES"")"),"Se muestran varias tomas en cómo surfear correctamente y se les sigue más tomas que se muestran en cámara lenta.")</f>
        <v>Se muestran varias tomas en cómo surfear correctamente y se les sigue más tomas que se muestran en cámara lenta.</v>
      </c>
    </row>
    <row r="15061">
      <c r="A15061" s="4" t="s">
        <v>18973</v>
      </c>
      <c r="B15061" s="4" t="s">
        <v>18974</v>
      </c>
      <c r="C15061" s="5" t="str">
        <f>IFERROR(__xludf.DUMMYFUNCTION("GOOGLETRANSLATE(B15061,""en"",""es-ES"")"),"La parte posterior de una lancha rápida se muestra seguidas de pies saltando al agua y mirando bajo el agua.")</f>
        <v>La parte posterior de una lancha rápida se muestra seguidas de pies saltando al agua y mirando bajo el agua.</v>
      </c>
    </row>
    <row r="15062">
      <c r="A15062" s="4" t="s">
        <v>18973</v>
      </c>
      <c r="B15062" s="4" t="s">
        <v>18975</v>
      </c>
      <c r="C15062" s="5" t="str">
        <f>IFERROR(__xludf.DUMMYFUNCTION("GOOGLETRANSLATE(B15062,""en"",""es-ES"")"),"Una persona sostiene un palo y agarra un pez y empuja a los tiburones.")</f>
        <v>Una persona sostiene un palo y agarra un pez y empuja a los tiburones.</v>
      </c>
    </row>
    <row r="15063">
      <c r="A15063" s="4" t="s">
        <v>18976</v>
      </c>
      <c r="B15063" s="4" t="s">
        <v>18977</v>
      </c>
      <c r="C15063" s="5" t="str">
        <f>IFERROR(__xludf.DUMMYFUNCTION("GOOGLETRANSLATE(B15063,""en"",""es-ES"")"),"Un hombre toca un saxofón mientras enfrenta la cámara.")</f>
        <v>Un hombre toca un saxofón mientras enfrenta la cámara.</v>
      </c>
    </row>
    <row r="15064">
      <c r="A15064" s="4" t="s">
        <v>18976</v>
      </c>
      <c r="B15064" s="4" t="s">
        <v>18978</v>
      </c>
      <c r="C15064" s="5" t="str">
        <f>IFERROR(__xludf.DUMMYFUNCTION("GOOGLETRANSLATE(B15064,""en"",""es-ES"")"),"El hombre termina tocando y sonríe en su instrumento.")</f>
        <v>El hombre termina tocando y sonríe en su instrumento.</v>
      </c>
    </row>
    <row r="15065">
      <c r="A15065" s="4" t="s">
        <v>18979</v>
      </c>
      <c r="B15065" s="4" t="s">
        <v>18980</v>
      </c>
      <c r="C15065" s="5" t="str">
        <f>IFERROR(__xludf.DUMMYFUNCTION("GOOGLETRANSLATE(B15065,""en"",""es-ES"")"),"Una persona pisa una alfombra de bronceado varias veces.")</f>
        <v>Una persona pisa una alfombra de bronceado varias veces.</v>
      </c>
    </row>
    <row r="15066">
      <c r="A15066" s="4" t="s">
        <v>18979</v>
      </c>
      <c r="B15066" s="4" t="s">
        <v>18981</v>
      </c>
      <c r="C15066" s="5" t="str">
        <f>IFERROR(__xludf.DUMMYFUNCTION("GOOGLETRANSLATE(B15066,""en"",""es-ES"")"),"Se quitan los zapatos y se ponen un par de zapatos diferentes.")</f>
        <v>Se quitan los zapatos y se ponen un par de zapatos diferentes.</v>
      </c>
    </row>
    <row r="15067">
      <c r="A15067" s="4" t="s">
        <v>18979</v>
      </c>
      <c r="B15067" s="4" t="s">
        <v>18982</v>
      </c>
      <c r="C15067" s="5" t="str">
        <f>IFERROR(__xludf.DUMMYFUNCTION("GOOGLETRANSLATE(B15067,""en"",""es-ES"")"),"Continúan pisando el tapete con los zapatos nuevos.")</f>
        <v>Continúan pisando el tapete con los zapatos nuevos.</v>
      </c>
    </row>
    <row r="15068">
      <c r="A15068" s="4" t="s">
        <v>18979</v>
      </c>
      <c r="B15068" s="4" t="s">
        <v>18983</v>
      </c>
      <c r="C15068" s="5" t="str">
        <f>IFERROR(__xludf.DUMMYFUNCTION("GOOGLETRANSLATE(B15068,""en"",""es-ES"")"),"Se quitan esos zapatos y se alejan.")</f>
        <v>Se quitan esos zapatos y se alejan.</v>
      </c>
    </row>
    <row r="15069">
      <c r="A15069" s="4" t="s">
        <v>18984</v>
      </c>
      <c r="B15069" s="4" t="s">
        <v>18985</v>
      </c>
      <c r="C15069" s="5" t="str">
        <f>IFERROR(__xludf.DUMMYFUNCTION("GOOGLETRANSLATE(B15069,""en"",""es-ES"")"),"Un hombre está en un bosque, y sus pies se muestran con y sin zapatos.")</f>
        <v>Un hombre está en un bosque, y sus pies se muestran con y sin zapatos.</v>
      </c>
    </row>
    <row r="15070">
      <c r="A15070" s="4" t="s">
        <v>18984</v>
      </c>
      <c r="B15070" s="4" t="s">
        <v>18986</v>
      </c>
      <c r="C15070" s="5" t="str">
        <f>IFERROR(__xludf.DUMMYFUNCTION("GOOGLETRANSLATE(B15070,""en"",""es-ES"")"),"Él monta una cuerda floja y lo equilibra.")</f>
        <v>Él monta una cuerda floja y lo equilibra.</v>
      </c>
    </row>
    <row r="15071">
      <c r="A15071" s="4" t="s">
        <v>18984</v>
      </c>
      <c r="B15071" s="4" t="s">
        <v>18987</v>
      </c>
      <c r="C15071" s="5" t="str">
        <f>IFERROR(__xludf.DUMMYFUNCTION("GOOGLETRANSLATE(B15071,""en"",""es-ES"")"),"Utiliza la cuerda floja para caminar, mostrando las posiciones adecuadas para mantener el equilibrio.")</f>
        <v>Utiliza la cuerda floja para caminar, mostrando las posiciones adecuadas para mantener el equilibrio.</v>
      </c>
    </row>
    <row r="15072">
      <c r="A15072" s="4" t="s">
        <v>18988</v>
      </c>
      <c r="B15072" s="4" t="s">
        <v>18989</v>
      </c>
      <c r="C15072" s="5" t="str">
        <f>IFERROR(__xludf.DUMMYFUNCTION("GOOGLETRANSLATE(B15072,""en"",""es-ES"")"),"Una mujer escribe una botella llena de balas rojas.")</f>
        <v>Una mujer escribe una botella llena de balas rojas.</v>
      </c>
    </row>
    <row r="15073">
      <c r="A15073" s="4" t="s">
        <v>18988</v>
      </c>
      <c r="B15073" s="4" t="s">
        <v>18990</v>
      </c>
      <c r="C15073" s="5" t="str">
        <f>IFERROR(__xludf.DUMMYFUNCTION("GOOGLETRANSLATE(B15073,""en"",""es-ES"")"),"Se retira la algodón, luego se carga una pistola.")</f>
        <v>Se retira la algodón, luego se carga una pistola.</v>
      </c>
    </row>
    <row r="15074">
      <c r="A15074" s="4" t="s">
        <v>18988</v>
      </c>
      <c r="B15074" s="4" t="s">
        <v>18991</v>
      </c>
      <c r="C15074" s="5" t="str">
        <f>IFERROR(__xludf.DUMMYFUNCTION("GOOGLETRANSLATE(B15074,""en"",""es-ES"")"),"Ella dispara las balas de pintura a un objetivo, salpicando rojo.")</f>
        <v>Ella dispara las balas de pintura a un objetivo, salpicando rojo.</v>
      </c>
    </row>
    <row r="15075">
      <c r="A15075" s="4" t="s">
        <v>18988</v>
      </c>
      <c r="B15075" s="4" t="s">
        <v>18992</v>
      </c>
      <c r="C15075" s="5" t="str">
        <f>IFERROR(__xludf.DUMMYFUNCTION("GOOGLETRANSLATE(B15075,""en"",""es-ES"")"),"Se muestran varios objetivos que se salpican.")</f>
        <v>Se muestran varios objetivos que se salpican.</v>
      </c>
    </row>
    <row r="15076">
      <c r="A15076" s="4" t="s">
        <v>18993</v>
      </c>
      <c r="B15076" s="4" t="s">
        <v>18994</v>
      </c>
      <c r="C15076" s="5" t="str">
        <f>IFERROR(__xludf.DUMMYFUNCTION("GOOGLETRANSLATE(B15076,""en"",""es-ES"")"),"Un hombre se está desarmando en bicicleta en un metro.")</f>
        <v>Un hombre se está desarmando en bicicleta en un metro.</v>
      </c>
    </row>
    <row r="15077">
      <c r="A15077" s="4" t="s">
        <v>18993</v>
      </c>
      <c r="B15077" s="4" t="s">
        <v>18995</v>
      </c>
      <c r="C15077" s="5" t="str">
        <f>IFERROR(__xludf.DUMMYFUNCTION("GOOGLETRANSLATE(B15077,""en"",""es-ES"")"),"Está volviendo a poner una llanta en la bicicleta.")</f>
        <v>Está volviendo a poner una llanta en la bicicleta.</v>
      </c>
    </row>
    <row r="15078">
      <c r="A15078" s="4" t="s">
        <v>18996</v>
      </c>
      <c r="B15078" s="4" t="s">
        <v>16432</v>
      </c>
      <c r="C15078" s="5" t="str">
        <f>IFERROR(__xludf.DUMMYFUNCTION("GOOGLETRANSLATE(B15078,""en"",""es-ES"")"),"Un hombre está goteando un baloncesto.")</f>
        <v>Un hombre está goteando un baloncesto.</v>
      </c>
    </row>
    <row r="15079">
      <c r="A15079" s="4" t="s">
        <v>18996</v>
      </c>
      <c r="B15079" s="4" t="s">
        <v>18997</v>
      </c>
      <c r="C15079" s="5" t="str">
        <f>IFERROR(__xludf.DUMMYFUNCTION("GOOGLETRANSLATE(B15079,""en"",""es-ES"")"),"Corren en la cancha y continúan goteando la pelota.")</f>
        <v>Corren en la cancha y continúan goteando la pelota.</v>
      </c>
    </row>
    <row r="15080">
      <c r="A15080" s="4" t="s">
        <v>18996</v>
      </c>
      <c r="B15080" s="4" t="s">
        <v>18998</v>
      </c>
      <c r="C15080" s="5" t="str">
        <f>IFERROR(__xludf.DUMMYFUNCTION("GOOGLETRANSLATE(B15080,""en"",""es-ES"")"),"Saltan y hacen una canasta.")</f>
        <v>Saltan y hacen una canasta.</v>
      </c>
    </row>
    <row r="15081">
      <c r="A15081" s="4" t="s">
        <v>18999</v>
      </c>
      <c r="B15081" s="4" t="s">
        <v>19000</v>
      </c>
      <c r="C15081" s="5" t="str">
        <f>IFERROR(__xludf.DUMMYFUNCTION("GOOGLETRANSLATE(B15081,""en"",""es-ES"")"),"Los atributos de un MOP se demuestran a través de primeros planos de gráficos de computadora de varias partes.")</f>
        <v>Los atributos de un MOP se demuestran a través de primeros planos de gráficos de computadora de varias partes.</v>
      </c>
    </row>
    <row r="15082">
      <c r="A15082" s="4" t="s">
        <v>18999</v>
      </c>
      <c r="B15082" s="4" t="s">
        <v>19001</v>
      </c>
      <c r="C15082" s="5" t="str">
        <f>IFERROR(__xludf.DUMMYFUNCTION("GOOGLETRANSLATE(B15082,""en"",""es-ES"")"),"El MOP se demuestra en uso real.")</f>
        <v>El MOP se demuestra en uso real.</v>
      </c>
    </row>
    <row r="15083">
      <c r="A15083" s="4" t="s">
        <v>18999</v>
      </c>
      <c r="B15083" s="4" t="s">
        <v>19002</v>
      </c>
      <c r="C15083" s="5" t="str">
        <f>IFERROR(__xludf.DUMMYFUNCTION("GOOGLETRANSLATE(B15083,""en"",""es-ES"")"),"Se muestra la preparación del cabezal de MOP.")</f>
        <v>Se muestra la preparación del cabezal de MOP.</v>
      </c>
    </row>
    <row r="15084">
      <c r="A15084" s="4" t="s">
        <v>18999</v>
      </c>
      <c r="B15084" s="4" t="s">
        <v>19003</v>
      </c>
      <c r="C15084" s="5" t="str">
        <f>IFERROR(__xludf.DUMMYFUNCTION("GOOGLETRANSLATE(B15084,""en"",""es-ES"")"),"Se muestran más primeros planos de componentes.")</f>
        <v>Se muestran más primeros planos de componentes.</v>
      </c>
    </row>
    <row r="15085">
      <c r="A15085" s="4" t="s">
        <v>18999</v>
      </c>
      <c r="B15085" s="4" t="s">
        <v>19004</v>
      </c>
      <c r="C15085" s="5" t="str">
        <f>IFERROR(__xludf.DUMMYFUNCTION("GOOGLETRANSLATE(B15085,""en"",""es-ES"")"),"La cabeza de la trapeación se demuestra nuevamente.")</f>
        <v>La cabeza de la trapeación se demuestra nuevamente.</v>
      </c>
    </row>
    <row r="15086">
      <c r="A15086" s="4" t="s">
        <v>19005</v>
      </c>
      <c r="B15086" s="4" t="s">
        <v>19006</v>
      </c>
      <c r="C15086" s="5" t="str">
        <f>IFERROR(__xludf.DUMMYFUNCTION("GOOGLETRANSLATE(B15086,""en"",""es-ES"")"),"Una persona está sentada tatuada el brazo.")</f>
        <v>Una persona está sentada tatuada el brazo.</v>
      </c>
    </row>
    <row r="15087">
      <c r="A15087" s="4" t="s">
        <v>19005</v>
      </c>
      <c r="B15087" s="4" t="s">
        <v>19007</v>
      </c>
      <c r="C15087" s="5" t="str">
        <f>IFERROR(__xludf.DUMMYFUNCTION("GOOGLETRANSLATE(B15087,""en"",""es-ES"")"),"Se levantan y muestran el tatuaje.")</f>
        <v>Se levantan y muestran el tatuaje.</v>
      </c>
    </row>
    <row r="15088">
      <c r="A15088" s="4" t="s">
        <v>19008</v>
      </c>
      <c r="B15088" s="4" t="s">
        <v>19009</v>
      </c>
      <c r="C15088" s="5" t="str">
        <f>IFERROR(__xludf.DUMMYFUNCTION("GOOGLETRANSLATE(B15088,""en"",""es-ES"")"),"Se ve a una gimnasta parada con los brazos en alto y gira para mirar la viga.")</f>
        <v>Se ve a una gimnasta parada con los brazos en alto y gira para mirar la viga.</v>
      </c>
    </row>
    <row r="15089">
      <c r="A15089" s="4" t="s">
        <v>19008</v>
      </c>
      <c r="B15089" s="4" t="s">
        <v>19010</v>
      </c>
      <c r="C15089" s="5" t="str">
        <f>IFERROR(__xludf.DUMMYFUNCTION("GOOGLETRANSLATE(B15089,""en"",""es-ES"")"),"Solo salta sobre la viga y comienza a realizar una rutina de gimnasia hasta que se cae.")</f>
        <v>Solo salta sobre la viga y comienza a realizar una rutina de gimnasia hasta que se cae.</v>
      </c>
    </row>
    <row r="15090">
      <c r="A15090" s="4" t="s">
        <v>19008</v>
      </c>
      <c r="B15090" s="4" t="s">
        <v>19011</v>
      </c>
      <c r="C15090" s="5" t="str">
        <f>IFERROR(__xludf.DUMMYFUNCTION("GOOGLETRANSLATE(B15090,""en"",""es-ES"")"),"Ella se sube a la viga y termina volteando la viga.")</f>
        <v>Ella se sube a la viga y termina volteando la viga.</v>
      </c>
    </row>
    <row r="15091">
      <c r="A15091" s="4" t="s">
        <v>19012</v>
      </c>
      <c r="B15091" s="4" t="s">
        <v>19013</v>
      </c>
      <c r="C15091" s="5" t="str">
        <f>IFERROR(__xludf.DUMMYFUNCTION("GOOGLETRANSLATE(B15091,""en"",""es-ES"")"),"Se ve a dos personas paradas en una playa de arena con una pateando la pelota y pasarla a otra.")</f>
        <v>Se ve a dos personas paradas en una playa de arena con una pateando la pelota y pasarla a otra.</v>
      </c>
    </row>
    <row r="15092">
      <c r="A15092" s="4" t="s">
        <v>19012</v>
      </c>
      <c r="B15092" s="4" t="s">
        <v>19014</v>
      </c>
      <c r="C15092" s="5" t="str">
        <f>IFERROR(__xludf.DUMMYFUNCTION("GOOGLETRANSLATE(B15092,""en"",""es-ES"")"),"Los muchachos continúan pasando la pelota hacia atrás y cuarto mientras que muchas personas son vistas caminando y jugando en el agua.")</f>
        <v>Los muchachos continúan pasando la pelota hacia atrás y cuarto mientras que muchas personas son vistas caminando y jugando en el agua.</v>
      </c>
    </row>
    <row r="15093">
      <c r="A15093" s="4" t="s">
        <v>19015</v>
      </c>
      <c r="B15093" s="4" t="s">
        <v>19016</v>
      </c>
      <c r="C15093" s="5" t="str">
        <f>IFERROR(__xludf.DUMMYFUNCTION("GOOGLETRANSLATE(B15093,""en"",""es-ES"")"),"Dos equipos de jugadores de hockey están dentro de la pista jugando un juego.")</f>
        <v>Dos equipos de jugadores de hockey están dentro de la pista jugando un juego.</v>
      </c>
    </row>
    <row r="15094">
      <c r="A15094" s="4" t="s">
        <v>19015</v>
      </c>
      <c r="B15094" s="4" t="s">
        <v>19017</v>
      </c>
      <c r="C15094" s="5" t="str">
        <f>IFERROR(__xludf.DUMMYFUNCTION("GOOGLETRANSLATE(B15094,""en"",""es-ES"")"),"El disco es golpeado detrás de la portería y el equipo lo golpea y el juego continúa.")</f>
        <v>El disco es golpeado detrás de la portería y el equipo lo golpea y el juego continúa.</v>
      </c>
    </row>
    <row r="15095">
      <c r="A15095" s="4" t="s">
        <v>19015</v>
      </c>
      <c r="B15095" s="4" t="s">
        <v>19018</v>
      </c>
      <c r="C15095" s="5" t="str">
        <f>IFERROR(__xludf.DUMMYFUNCTION("GOOGLETRANSLATE(B15095,""en"",""es-ES"")"),"Después de luchar por ello, los jugadores golpearon el disco en el otro extremo y el portero lo bloquea.")</f>
        <v>Después de luchar por ello, los jugadores golpearon el disco en el otro extremo y el portero lo bloquea.</v>
      </c>
    </row>
    <row r="15096">
      <c r="A15096" s="4" t="s">
        <v>19015</v>
      </c>
      <c r="B15096" s="4" t="s">
        <v>19019</v>
      </c>
      <c r="C15096" s="5" t="str">
        <f>IFERROR(__xludf.DUMMYFUNCTION("GOOGLETRANSLATE(B15096,""en"",""es-ES"")"),"Cada equipo se reúne de un lado a otro con el disco, pero ninguno de los dos tiene éxito y están bloqueados en ambos extremos de la pista.")</f>
        <v>Cada equipo se reúne de un lado a otro con el disco, pero ninguno de los dos tiene éxito y están bloqueados en ambos extremos de la pista.</v>
      </c>
    </row>
    <row r="15097">
      <c r="A15097" s="4" t="s">
        <v>19020</v>
      </c>
      <c r="B15097" s="4" t="s">
        <v>19021</v>
      </c>
      <c r="C15097" s="5" t="str">
        <f>IFERROR(__xludf.DUMMYFUNCTION("GOOGLETRANSLATE(B15097,""en"",""es-ES"")"),"Un hombre practica artes marciales en un gimnasio girando y girando.")</f>
        <v>Un hombre practica artes marciales en un gimnasio girando y girando.</v>
      </c>
    </row>
    <row r="15098">
      <c r="A15098" s="4" t="s">
        <v>19020</v>
      </c>
      <c r="B15098" s="4" t="s">
        <v>19022</v>
      </c>
      <c r="C15098" s="5" t="str">
        <f>IFERROR(__xludf.DUMMYFUNCTION("GOOGLETRANSLATE(B15098,""en"",""es-ES"")"),"Luego, el hombre se apoya en sus manos para girar su cuerpo y hacer turnos.")</f>
        <v>Luego, el hombre se apoya en sus manos para girar su cuerpo y hacer turnos.</v>
      </c>
    </row>
    <row r="15099">
      <c r="A15099" s="4" t="s">
        <v>19020</v>
      </c>
      <c r="B15099" s="4" t="s">
        <v>19023</v>
      </c>
      <c r="C15099" s="5" t="str">
        <f>IFERROR(__xludf.DUMMYFUNCTION("GOOGLETRANSLATE(B15099,""en"",""es-ES"")"),"Después, el hombre se para sobre sus manos e inclina su cuerpo hacia los lados y el frente.")</f>
        <v>Después, el hombre se para sobre sus manos e inclina su cuerpo hacia los lados y el frente.</v>
      </c>
    </row>
    <row r="15100">
      <c r="A15100" s="4" t="s">
        <v>19020</v>
      </c>
      <c r="B15100" s="4" t="s">
        <v>19024</v>
      </c>
      <c r="C15100" s="5" t="str">
        <f>IFERROR(__xludf.DUMMYFUNCTION("GOOGLETRANSLATE(B15100,""en"",""es-ES"")"),"Luego, las altas de sus manos y gira su cuerpo.")</f>
        <v>Luego, las altas de sus manos y gira su cuerpo.</v>
      </c>
    </row>
    <row r="15101">
      <c r="A15101" s="4" t="s">
        <v>19025</v>
      </c>
      <c r="B15101" s="4" t="s">
        <v>19026</v>
      </c>
      <c r="C15101" s="5" t="str">
        <f>IFERROR(__xludf.DUMMYFUNCTION("GOOGLETRANSLATE(B15101,""en"",""es-ES"")"),"Dos hombres están caminando por tablas con un papel enrollado y poniendo cinta adhesiva.")</f>
        <v>Dos hombres están caminando por tablas con un papel enrollado y poniendo cinta adhesiva.</v>
      </c>
    </row>
    <row r="15102">
      <c r="A15102" s="4" t="s">
        <v>19025</v>
      </c>
      <c r="B15102" s="4" t="s">
        <v>19027</v>
      </c>
      <c r="C15102" s="5" t="str">
        <f>IFERROR(__xludf.DUMMYFUNCTION("GOOGLETRANSLATE(B15102,""en"",""es-ES"")"),"Otros hombres colocan una hoja de papel verde y continúan grabando el papel.")</f>
        <v>Otros hombres colocan una hoja de papel verde y continúan grabando el papel.</v>
      </c>
    </row>
    <row r="15103">
      <c r="A15103" s="4" t="s">
        <v>19025</v>
      </c>
      <c r="B15103" s="4" t="s">
        <v>19028</v>
      </c>
      <c r="C15103" s="5" t="str">
        <f>IFERROR(__xludf.DUMMYFUNCTION("GOOGLETRANSLATE(B15103,""en"",""es-ES"")"),"Un último juego de papel se coloca con cinta y los hombres continúan trabajando.")</f>
        <v>Un último juego de papel se coloca con cinta y los hombres continúan trabajando.</v>
      </c>
    </row>
    <row r="15104">
      <c r="A15104" s="4" t="s">
        <v>19029</v>
      </c>
      <c r="B15104" s="4" t="s">
        <v>19030</v>
      </c>
      <c r="C15104" s="5" t="str">
        <f>IFERROR(__xludf.DUMMYFUNCTION("GOOGLETRANSLATE(B15104,""en"",""es-ES"")"),"Vemos un juego de voleibol universitario jugando por mujeres.")</f>
        <v>Vemos un juego de voleibol universitario jugando por mujeres.</v>
      </c>
    </row>
    <row r="15105">
      <c r="A15105" s="4" t="s">
        <v>19029</v>
      </c>
      <c r="B15105" s="4" t="s">
        <v>19031</v>
      </c>
      <c r="C15105" s="5" t="str">
        <f>IFERROR(__xludf.DUMMYFUNCTION("GOOGLETRANSLATE(B15105,""en"",""es-ES"")"),"Un grupo de damas pasa.")</f>
        <v>Un grupo de damas pasa.</v>
      </c>
    </row>
    <row r="15106">
      <c r="A15106" s="4" t="s">
        <v>19029</v>
      </c>
      <c r="B15106" s="4" t="s">
        <v>19032</v>
      </c>
      <c r="C15106" s="5" t="str">
        <f>IFERROR(__xludf.DUMMYFUNCTION("GOOGLETRANSLATE(B15106,""en"",""es-ES"")"),"Una dama cae y se desliza por el suelo.")</f>
        <v>Una dama cae y se desliza por el suelo.</v>
      </c>
    </row>
    <row r="15107">
      <c r="A15107" s="4" t="s">
        <v>19029</v>
      </c>
      <c r="B15107" s="4" t="s">
        <v>19033</v>
      </c>
      <c r="C15107" s="5" t="str">
        <f>IFERROR(__xludf.DUMMYFUNCTION("GOOGLETRANSLATE(B15107,""en"",""es-ES"")"),"Dos damas son cinco.")</f>
        <v>Dos damas son cinco.</v>
      </c>
    </row>
    <row r="15108">
      <c r="A15108" s="4" t="s">
        <v>19029</v>
      </c>
      <c r="B15108" s="4" t="s">
        <v>19034</v>
      </c>
      <c r="C15108" s="5" t="str">
        <f>IFERROR(__xludf.DUMMYFUNCTION("GOOGLETRANSLATE(B15108,""en"",""es-ES"")"),"Tres mujeres caen en la multitud a la izquierda.")</f>
        <v>Tres mujeres caen en la multitud a la izquierda.</v>
      </c>
    </row>
    <row r="15109">
      <c r="A15109" s="4" t="s">
        <v>19029</v>
      </c>
      <c r="B15109" s="4" t="s">
        <v>19035</v>
      </c>
      <c r="C15109" s="5" t="str">
        <f>IFERROR(__xludf.DUMMYFUNCTION("GOOGLETRANSLATE(B15109,""en"",""es-ES"")"),"Una dama falla y cae.")</f>
        <v>Una dama falla y cae.</v>
      </c>
    </row>
    <row r="15110">
      <c r="A15110" s="4" t="s">
        <v>19029</v>
      </c>
      <c r="B15110" s="4" t="s">
        <v>19036</v>
      </c>
      <c r="C15110" s="5" t="str">
        <f>IFERROR(__xludf.DUMMYFUNCTION("GOOGLETRANSLATE(B15110,""en"",""es-ES"")"),"Una persona cuelga un conjunto de llaves.")</f>
        <v>Una persona cuelga un conjunto de llaves.</v>
      </c>
    </row>
    <row r="15111">
      <c r="A15111" s="4" t="s">
        <v>19037</v>
      </c>
      <c r="B15111" s="4" t="s">
        <v>19038</v>
      </c>
      <c r="C15111" s="5" t="str">
        <f>IFERROR(__xludf.DUMMYFUNCTION("GOOGLETRANSLATE(B15111,""en"",""es-ES"")"),"Se muestra un primer plano de personas sentados en una colina nevada y mirando a la cámara.")</f>
        <v>Se muestra un primer plano de personas sentados en una colina nevada y mirando a la cámara.</v>
      </c>
    </row>
    <row r="15112">
      <c r="A15112" s="4" t="s">
        <v>19037</v>
      </c>
      <c r="B15112" s="4" t="s">
        <v>19039</v>
      </c>
      <c r="C15112" s="5" t="str">
        <f>IFERROR(__xludf.DUMMYFUNCTION("GOOGLETRANSLATE(B15112,""en"",""es-ES"")"),"Luego, la gente viaja en tubos por el sendero nevado con uno que se mueve en la parte inferior.")</f>
        <v>Luego, la gente viaja en tubos por el sendero nevado con uno que se mueve en la parte inferior.</v>
      </c>
    </row>
    <row r="15113">
      <c r="A15113" s="4" t="s">
        <v>19040</v>
      </c>
      <c r="B15113" s="4" t="s">
        <v>19041</v>
      </c>
      <c r="C15113" s="5" t="str">
        <f>IFERROR(__xludf.DUMMYFUNCTION("GOOGLETRANSLATE(B15113,""en"",""es-ES"")"),"Un adolescente tiene un montón de dardos en sus manos.")</f>
        <v>Un adolescente tiene un montón de dardos en sus manos.</v>
      </c>
    </row>
    <row r="15114">
      <c r="A15114" s="4" t="s">
        <v>19040</v>
      </c>
      <c r="B15114" s="4" t="s">
        <v>19042</v>
      </c>
      <c r="C15114" s="5" t="str">
        <f>IFERROR(__xludf.DUMMYFUNCTION("GOOGLETRANSLATE(B15114,""en"",""es-ES"")"),"Lanza a cada dardo, tratando de golpear a su objetivo en la pared.")</f>
        <v>Lanza a cada dardo, tratando de golpear a su objetivo en la pared.</v>
      </c>
    </row>
    <row r="15115">
      <c r="A15115" s="4" t="s">
        <v>19040</v>
      </c>
      <c r="B15115" s="4" t="s">
        <v>19043</v>
      </c>
      <c r="C15115" s="5" t="str">
        <f>IFERROR(__xludf.DUMMYFUNCTION("GOOGLETRANSLATE(B15115,""en"",""es-ES"")"),"Una cámara de teléfono celular sobre el tablero de dardos registra mientras lanza, luego es golpeado por un dardo antes de caer sobre la alfombra.")</f>
        <v>Una cámara de teléfono celular sobre el tablero de dardos registra mientras lanza, luego es golpeado por un dardo antes de caer sobre la alfombra.</v>
      </c>
    </row>
    <row r="15116">
      <c r="A15116" s="4" t="s">
        <v>19044</v>
      </c>
      <c r="B15116" s="4" t="s">
        <v>19045</v>
      </c>
      <c r="C15116" s="5" t="str">
        <f>IFERROR(__xludf.DUMMYFUNCTION("GOOGLETRANSLATE(B15116,""en"",""es-ES"")"),"Se ve a un gran grupo de niños bailando en una habitación seguido de hombres que se mueven y se ríen.")</f>
        <v>Se ve a un gran grupo de niños bailando en una habitación seguido de hombres que se mueven y se ríen.</v>
      </c>
    </row>
    <row r="15117">
      <c r="A15117" s="4" t="s">
        <v>19044</v>
      </c>
      <c r="B15117" s="4" t="s">
        <v>19046</v>
      </c>
      <c r="C15117" s="5" t="str">
        <f>IFERROR(__xludf.DUMMYFUNCTION("GOOGLETRANSLATE(B15117,""en"",""es-ES"")"),"Se muestran más clips de personas que saltan cuerdas en diferentes habitaciones y se ríen entre sí.")</f>
        <v>Se muestran más clips de personas que saltan cuerdas en diferentes habitaciones y se ríen entre sí.</v>
      </c>
    </row>
    <row r="15118">
      <c r="A15118" s="4" t="s">
        <v>19047</v>
      </c>
      <c r="B15118" s="4" t="s">
        <v>19048</v>
      </c>
      <c r="C15118" s="5" t="str">
        <f>IFERROR(__xludf.DUMMYFUNCTION("GOOGLETRANSLATE(B15118,""en"",""es-ES"")"),"Aparece una pantalla negra con escritura amarilla.")</f>
        <v>Aparece una pantalla negra con escritura amarilla.</v>
      </c>
    </row>
    <row r="15119">
      <c r="A15119" s="4" t="s">
        <v>19047</v>
      </c>
      <c r="B15119" s="4" t="s">
        <v>19049</v>
      </c>
      <c r="C15119" s="5" t="str">
        <f>IFERROR(__xludf.DUMMYFUNCTION("GOOGLETRANSLATE(B15119,""en"",""es-ES"")"),"Una vez que se haya ido, se muestra un campo y una hembra aficionada arroja un lanzamiento de bala al campo y se muestra una repetición.")</f>
        <v>Una vez que se haya ido, se muestra un campo y una hembra aficionada arroja un lanzamiento de bala al campo y se muestra una repetición.</v>
      </c>
    </row>
    <row r="15120">
      <c r="A15120" s="4" t="s">
        <v>19050</v>
      </c>
      <c r="B15120" s="4" t="s">
        <v>19051</v>
      </c>
      <c r="C15120" s="5" t="str">
        <f>IFERROR(__xludf.DUMMYFUNCTION("GOOGLETRANSLATE(B15120,""en"",""es-ES"")"),"Un cuerpo de hombre golpea a otro hombre en un anillo.")</f>
        <v>Un cuerpo de hombre golpea a otro hombre en un anillo.</v>
      </c>
    </row>
    <row r="15121">
      <c r="A15121" s="4" t="s">
        <v>19050</v>
      </c>
      <c r="B15121" s="4" t="s">
        <v>19052</v>
      </c>
      <c r="C15121" s="5" t="str">
        <f>IFERROR(__xludf.DUMMYFUNCTION("GOOGLETRANSLATE(B15121,""en"",""es-ES"")"),"Un árbitro toca el suelo varias veces.")</f>
        <v>Un árbitro toca el suelo varias veces.</v>
      </c>
    </row>
    <row r="15122">
      <c r="A15122" s="4" t="s">
        <v>19050</v>
      </c>
      <c r="B15122" s="4" t="s">
        <v>19053</v>
      </c>
      <c r="C15122" s="5" t="str">
        <f>IFERROR(__xludf.DUMMYFUNCTION("GOOGLETRANSLATE(B15122,""en"",""es-ES"")"),"La multitud anima a la gente.")</f>
        <v>La multitud anima a la gente.</v>
      </c>
    </row>
    <row r="15123">
      <c r="A15123" s="4" t="s">
        <v>19054</v>
      </c>
      <c r="B15123" s="4" t="s">
        <v>1487</v>
      </c>
      <c r="C15123" s="5" t="str">
        <f>IFERROR(__xludf.DUMMYFUNCTION("GOOGLETRANSLATE(B15123,""en"",""es-ES"")"),"Vemos una pantalla de título de apertura.")</f>
        <v>Vemos una pantalla de título de apertura.</v>
      </c>
    </row>
    <row r="15124">
      <c r="A15124" s="4" t="s">
        <v>19054</v>
      </c>
      <c r="B15124" s="4" t="s">
        <v>19055</v>
      </c>
      <c r="C15124" s="5" t="str">
        <f>IFERROR(__xludf.DUMMYFUNCTION("GOOGLETRANSLATE(B15124,""en"",""es-ES"")"),"Los hombres gritaron y vemos a la multitud y los tiros de juego de voleibol.")</f>
        <v>Los hombres gritaron y vemos a la multitud y los tiros de juego de voleibol.</v>
      </c>
    </row>
    <row r="15125">
      <c r="A15125" s="4" t="s">
        <v>19054</v>
      </c>
      <c r="B15125" s="4" t="s">
        <v>19056</v>
      </c>
      <c r="C15125" s="5" t="str">
        <f>IFERROR(__xludf.DUMMYFUNCTION("GOOGLETRANSLATE(B15125,""en"",""es-ES"")"),"Vemos damas al margen.")</f>
        <v>Vemos damas al margen.</v>
      </c>
    </row>
    <row r="15126">
      <c r="A15126" s="4" t="s">
        <v>19054</v>
      </c>
      <c r="B15126" s="4" t="s">
        <v>19057</v>
      </c>
      <c r="C15126" s="5" t="str">
        <f>IFERROR(__xludf.DUMMYFUNCTION("GOOGLETRANSLATE(B15126,""en"",""es-ES"")"),"Se muestra un hombre alto desde las piernas mientras salta.")</f>
        <v>Se muestra un hombre alto desde las piernas mientras salta.</v>
      </c>
    </row>
    <row r="15127">
      <c r="A15127" s="4" t="s">
        <v>19054</v>
      </c>
      <c r="B15127" s="4" t="s">
        <v>19058</v>
      </c>
      <c r="C15127" s="5" t="str">
        <f>IFERROR(__xludf.DUMMYFUNCTION("GOOGLETRANSLATE(B15127,""en"",""es-ES"")"),"Un hombre pierde un tiro y mira detrás de él y dos hombres miran detrás de ellos.")</f>
        <v>Un hombre pierde un tiro y mira detrás de él y dos hombres miran detrás de ellos.</v>
      </c>
    </row>
    <row r="15128">
      <c r="A15128" s="4" t="s">
        <v>19054</v>
      </c>
      <c r="B15128" s="4" t="s">
        <v>19059</v>
      </c>
      <c r="C15128" s="5" t="str">
        <f>IFERROR(__xludf.DUMMYFUNCTION("GOOGLETRANSLATE(B15128,""en"",""es-ES"")"),"Vemos a los hombres animar y saltar.")</f>
        <v>Vemos a los hombres animar y saltar.</v>
      </c>
    </row>
    <row r="15129">
      <c r="A15129" s="4" t="s">
        <v>19054</v>
      </c>
      <c r="B15129" s="4" t="s">
        <v>19060</v>
      </c>
      <c r="C15129" s="5" t="str">
        <f>IFERROR(__xludf.DUMMYFUNCTION("GOOGLETRANSLATE(B15129,""en"",""es-ES"")"),"Se hace un tiro y abrazos de equipo.")</f>
        <v>Se hace un tiro y abrazos de equipo.</v>
      </c>
    </row>
    <row r="15130">
      <c r="A15130" s="4" t="s">
        <v>19061</v>
      </c>
      <c r="B15130" s="4" t="s">
        <v>19062</v>
      </c>
      <c r="C15130" s="5" t="str">
        <f>IFERROR(__xludf.DUMMYFUNCTION("GOOGLETRANSLATE(B15130,""en"",""es-ES"")"),"Un hombre limpia el borde de una rueda con un cepillo, luego el hombre enjuague el auto con una manguera.")</f>
        <v>Un hombre limpia el borde de una rueda con un cepillo, luego el hombre enjuague el auto con una manguera.</v>
      </c>
    </row>
    <row r="15131">
      <c r="A15131" s="4" t="s">
        <v>19061</v>
      </c>
      <c r="B15131" s="4" t="s">
        <v>19063</v>
      </c>
      <c r="C15131" s="5" t="str">
        <f>IFERROR(__xludf.DUMMYFUNCTION("GOOGLETRANSLATE(B15131,""en"",""es-ES"")"),"Después, el hombre aplica detergente con un cepillo de lavado.")</f>
        <v>Después, el hombre aplica detergente con un cepillo de lavado.</v>
      </c>
    </row>
    <row r="15132">
      <c r="A15132" s="4" t="s">
        <v>19061</v>
      </c>
      <c r="B15132" s="4" t="s">
        <v>19064</v>
      </c>
      <c r="C15132" s="5" t="str">
        <f>IFERROR(__xludf.DUMMYFUNCTION("GOOGLETRANSLATE(B15132,""en"",""es-ES"")"),"A continuación, el automóvil ingresa dentro de una máquina automática de lavado de autos.")</f>
        <v>A continuación, el automóvil ingresa dentro de una máquina automática de lavado de autos.</v>
      </c>
    </row>
    <row r="15133">
      <c r="A15133" s="4" t="s">
        <v>19065</v>
      </c>
      <c r="B15133" s="4" t="s">
        <v>19066</v>
      </c>
      <c r="C15133" s="5" t="str">
        <f>IFERROR(__xludf.DUMMYFUNCTION("GOOGLETRANSLATE(B15133,""en"",""es-ES"")"),"Dos personas luchan con el brazo y se quitan la ropa.")</f>
        <v>Dos personas luchan con el brazo y se quitan la ropa.</v>
      </c>
    </row>
    <row r="15134">
      <c r="A15134" s="4" t="s">
        <v>19065</v>
      </c>
      <c r="B15134" s="4" t="s">
        <v>19067</v>
      </c>
      <c r="C15134" s="5" t="str">
        <f>IFERROR(__xludf.DUMMYFUNCTION("GOOGLETRANSLATE(B15134,""en"",""es-ES"")"),"Se visten y se vuelven cometas extremas volando en un huracán.")</f>
        <v>Se visten y se vuelven cometas extremas volando en un huracán.</v>
      </c>
    </row>
    <row r="15135">
      <c r="A15135" s="4" t="s">
        <v>19065</v>
      </c>
      <c r="B15135" s="4" t="s">
        <v>19068</v>
      </c>
      <c r="C15135" s="5" t="str">
        <f>IFERROR(__xludf.DUMMYFUNCTION("GOOGLETRANSLATE(B15135,""en"",""es-ES"")"),"Las cometas chocan con la gente una vez.")</f>
        <v>Las cometas chocan con la gente una vez.</v>
      </c>
    </row>
    <row r="15136">
      <c r="A15136" s="4" t="s">
        <v>19069</v>
      </c>
      <c r="B15136" s="4" t="s">
        <v>19070</v>
      </c>
      <c r="C15136" s="5" t="str">
        <f>IFERROR(__xludf.DUMMYFUNCTION("GOOGLETRANSLATE(B15136,""en"",""es-ES"")"),"La gente monta a caballo en un campo.")</f>
        <v>La gente monta a caballo en un campo.</v>
      </c>
    </row>
    <row r="15137">
      <c r="A15137" s="4" t="s">
        <v>19069</v>
      </c>
      <c r="B15137" s="4" t="s">
        <v>19071</v>
      </c>
      <c r="C15137" s="5" t="str">
        <f>IFERROR(__xludf.DUMMYFUNCTION("GOOGLETRANSLATE(B15137,""en"",""es-ES"")"),"Un perro y una persona se cruzan frente a la cámara.")</f>
        <v>Un perro y una persona se cruzan frente a la cámara.</v>
      </c>
    </row>
    <row r="15138">
      <c r="A15138" s="4" t="s">
        <v>19069</v>
      </c>
      <c r="B15138" s="4" t="s">
        <v>19072</v>
      </c>
      <c r="C15138" s="5" t="str">
        <f>IFERROR(__xludf.DUMMYFUNCTION("GOOGLETRANSLATE(B15138,""en"",""es-ES"")"),"Los caballos corren en el campo.")</f>
        <v>Los caballos corren en el campo.</v>
      </c>
    </row>
    <row r="15139">
      <c r="A15139" s="4" t="s">
        <v>19073</v>
      </c>
      <c r="B15139" s="4" t="s">
        <v>19074</v>
      </c>
      <c r="C15139" s="5" t="str">
        <f>IFERROR(__xludf.DUMMYFUNCTION("GOOGLETRANSLATE(B15139,""en"",""es-ES"")"),"Se muestra el exterior de un negocio y el letrero azul y blanco en el ""Boronia Boronia Grooming &amp; Pet Sumplies"" con una imagen de un perro en agua y cubierto de espuma y estampados de patas a los lados, y la palabra ""perro de perro La preparación ""est"&amp;"á a lo largo de la parte delantera de la repisa que sobresale.")</f>
        <v>Se muestra el exterior de un negocio y el letrero azul y blanco en el "Boronia Boronia Grooming &amp; Pet Sumplies" con una imagen de un perro en agua y cubierto de espuma y estampados de patas a los lados, y la palabra "perro de perro La preparación "está a lo largo de la parte delantera de la repisa que sobresale.</v>
      </c>
    </row>
    <row r="15140">
      <c r="A15140" s="4" t="s">
        <v>19073</v>
      </c>
      <c r="B15140" s="4" t="s">
        <v>19075</v>
      </c>
      <c r="C15140" s="5" t="str">
        <f>IFERROR(__xludf.DUMMYFUNCTION("GOOGLETRANSLATE(B15140,""en"",""es-ES"")"),"Una mujer está hablando y entre los clips de peluqueros que preparan perros, clientes, perros que caminan en la tienda, productos y perros que caminan en la tienda.")</f>
        <v>Una mujer está hablando y entre los clips de peluqueros que preparan perros, clientes, perros que caminan en la tienda, productos y perros que caminan en la tienda.</v>
      </c>
    </row>
    <row r="15141">
      <c r="A15141" s="4" t="s">
        <v>19073</v>
      </c>
      <c r="B15141" s="4" t="s">
        <v>19076</v>
      </c>
      <c r="C15141" s="5" t="str">
        <f>IFERROR(__xludf.DUMMYFUNCTION("GOOGLETRANSLATE(B15141,""en"",""es-ES"")"),"El mismo clip del exterior del edificio que se mostró al principio es la misma vista exterior que se muestra al final.")</f>
        <v>El mismo clip del exterior del edificio que se mostró al principio es la misma vista exterior que se muestra al final.</v>
      </c>
    </row>
    <row r="15142">
      <c r="A15142" s="4" t="s">
        <v>19077</v>
      </c>
      <c r="B15142" s="4" t="s">
        <v>19078</v>
      </c>
      <c r="C15142" s="5" t="str">
        <f>IFERROR(__xludf.DUMMYFUNCTION("GOOGLETRANSLATE(B15142,""en"",""es-ES"")"),"La mujer pone mantequilla en un tazón con azúcar y harina y mezcle en una ayuda de cocina, agregando huevos, vainilla y harina, cuando la mezcla es homogénea, agregue chispas de chocolate.")</f>
        <v>La mujer pone mantequilla en un tazón con azúcar y harina y mezcle en una ayuda de cocina, agregando huevos, vainilla y harina, cuando la mezcla es homogénea, agregue chispas de chocolate.</v>
      </c>
    </row>
    <row r="15143">
      <c r="A15143" s="4" t="s">
        <v>19077</v>
      </c>
      <c r="B15143" s="4" t="s">
        <v>19079</v>
      </c>
      <c r="C15143" s="5" t="str">
        <f>IFERROR(__xludf.DUMMYFUNCTION("GOOGLETRANSLATE(B15143,""en"",""es-ES"")"),"La masa se moldea en bolas y en una bandeja al horno.")</f>
        <v>La masa se moldea en bolas y en una bandeja al horno.</v>
      </c>
    </row>
    <row r="15144">
      <c r="A15144" s="4" t="s">
        <v>19080</v>
      </c>
      <c r="B15144" s="4" t="s">
        <v>19081</v>
      </c>
      <c r="C15144" s="5" t="str">
        <f>IFERROR(__xludf.DUMMYFUNCTION("GOOGLETRANSLATE(B15144,""en"",""es-ES"")"),"Una cámara se mueve alrededor de una cocina oscura y conduce a la persona que camina por un juego de escaleras.")</f>
        <v>Una cámara se mueve alrededor de una cocina oscura y conduce a la persona que camina por un juego de escaleras.</v>
      </c>
    </row>
    <row r="15145">
      <c r="A15145" s="4" t="s">
        <v>19080</v>
      </c>
      <c r="B15145" s="4" t="s">
        <v>19082</v>
      </c>
      <c r="C15145" s="5" t="str">
        <f>IFERROR(__xludf.DUMMYFUNCTION("GOOGLETRANSLATE(B15145,""en"",""es-ES"")"),"La ropa se ve en el piso seguida de una mujer en rizadores fumando un cigarrillo y jugando en la computadora.")</f>
        <v>La ropa se ve en el piso seguida de una mujer en rizadores fumando un cigarrillo y jugando en la computadora.</v>
      </c>
    </row>
    <row r="15146">
      <c r="A15146" s="4" t="s">
        <v>19080</v>
      </c>
      <c r="B15146" s="4" t="s">
        <v>19083</v>
      </c>
      <c r="C15146" s="5" t="str">
        <f>IFERROR(__xludf.DUMMYFUNCTION("GOOGLETRANSLATE(B15146,""en"",""es-ES"")"),"Ella habla con la cámara y recibe una foto de ella y del camarógrafo juntos.")</f>
        <v>Ella habla con la cámara y recibe una foto de ella y del camarógrafo juntos.</v>
      </c>
    </row>
    <row r="15147">
      <c r="A15147" s="4" t="s">
        <v>19084</v>
      </c>
      <c r="B15147" s="4" t="s">
        <v>19085</v>
      </c>
      <c r="C15147" s="5" t="str">
        <f>IFERROR(__xludf.DUMMYFUNCTION("GOOGLETRANSLATE(B15147,""en"",""es-ES"")"),"Un hombre está frente a una tabla de cortar cubierta de papas.")</f>
        <v>Un hombre está frente a una tabla de cortar cubierta de papas.</v>
      </c>
    </row>
    <row r="15148">
      <c r="A15148" s="4" t="s">
        <v>19084</v>
      </c>
      <c r="B15148" s="4" t="s">
        <v>19086</v>
      </c>
      <c r="C15148" s="5" t="str">
        <f>IFERROR(__xludf.DUMMYFUNCTION("GOOGLETRANSLATE(B15148,""en"",""es-ES"")"),"Utiliza un pelador para pelar la piel de una papa.")</f>
        <v>Utiliza un pelador para pelar la piel de una papa.</v>
      </c>
    </row>
    <row r="15149">
      <c r="A15149" s="4" t="s">
        <v>19084</v>
      </c>
      <c r="B15149" s="4" t="s">
        <v>19087</v>
      </c>
      <c r="C15149" s="5" t="str">
        <f>IFERROR(__xludf.DUMMYFUNCTION("GOOGLETRANSLATE(B15149,""en"",""es-ES"")"),"Se mueve rápidamente, pelado hasta que todas las papas estén desnudas.")</f>
        <v>Se mueve rápidamente, pelado hasta que todas las papas estén desnudas.</v>
      </c>
    </row>
    <row r="15150">
      <c r="A15150" s="4" t="s">
        <v>19088</v>
      </c>
      <c r="B15150" s="4" t="s">
        <v>19089</v>
      </c>
      <c r="C15150" s="5" t="str">
        <f>IFERROR(__xludf.DUMMYFUNCTION("GOOGLETRANSLATE(B15150,""en"",""es-ES"")"),"Un niño está sentado en una mesa de madera en un café.")</f>
        <v>Un niño está sentado en una mesa de madera en un café.</v>
      </c>
    </row>
    <row r="15151">
      <c r="A15151" s="4" t="s">
        <v>19088</v>
      </c>
      <c r="B15151" s="4" t="s">
        <v>19090</v>
      </c>
      <c r="C15151" s="5" t="str">
        <f>IFERROR(__xludf.DUMMYFUNCTION("GOOGLETRANSLATE(B15151,""en"",""es-ES"")"),"Él enciende una cachimba, luego tira de un arrastre sobre el humo.")</f>
        <v>Él enciende una cachimba, luego tira de un arrastre sobre el humo.</v>
      </c>
    </row>
    <row r="15152">
      <c r="A15152" s="4" t="s">
        <v>19088</v>
      </c>
      <c r="B15152" s="4" t="s">
        <v>19091</v>
      </c>
      <c r="C15152" s="5" t="str">
        <f>IFERROR(__xludf.DUMMYFUNCTION("GOOGLETRANSLATE(B15152,""en"",""es-ES"")"),"Se sienta hacia atrás, soplando humo de su boca.")</f>
        <v>Se sienta hacia atrás, soplando humo de su boca.</v>
      </c>
    </row>
    <row r="15153">
      <c r="A15153" s="4" t="s">
        <v>19092</v>
      </c>
      <c r="B15153" s="4" t="s">
        <v>19093</v>
      </c>
      <c r="C15153" s="5" t="str">
        <f>IFERROR(__xludf.DUMMYFUNCTION("GOOGLETRANSLATE(B15153,""en"",""es-ES"")"),"Una niña se sienta y soporta el dolor mientras se hace un tatuaje polinesio tradicional.")</f>
        <v>Una niña se sienta y soporta el dolor mientras se hace un tatuaje polinesio tradicional.</v>
      </c>
    </row>
    <row r="15154">
      <c r="A15154" s="4" t="s">
        <v>19092</v>
      </c>
      <c r="B15154" s="4" t="s">
        <v>19094</v>
      </c>
      <c r="C15154" s="5" t="str">
        <f>IFERROR(__xludf.DUMMYFUNCTION("GOOGLETRANSLATE(B15154,""en"",""es-ES"")"),"Los artistas se detienen por un momento y limpian el área.")</f>
        <v>Los artistas se detienen por un momento y limpian el área.</v>
      </c>
    </row>
    <row r="15155">
      <c r="A15155" s="4" t="s">
        <v>19092</v>
      </c>
      <c r="B15155" s="4" t="s">
        <v>19095</v>
      </c>
      <c r="C15155" s="5" t="str">
        <f>IFERROR(__xludf.DUMMYFUNCTION("GOOGLETRANSLATE(B15155,""en"",""es-ES"")"),"Comienzan a continuar tatorando su mano mientras ella soporta visiblemente el dolor.")</f>
        <v>Comienzan a continuar tatorando su mano mientras ella soporta visiblemente el dolor.</v>
      </c>
    </row>
    <row r="15156">
      <c r="A15156" s="4" t="s">
        <v>19096</v>
      </c>
      <c r="B15156" s="4" t="s">
        <v>19097</v>
      </c>
      <c r="C15156" s="5" t="str">
        <f>IFERROR(__xludf.DUMMYFUNCTION("GOOGLETRANSLATE(B15156,""en"",""es-ES"")"),"El video comienza con varias tomas de jinetes BMX que viajan a lo largo de una pista con una caída dura.")</f>
        <v>El video comienza con varias tomas de jinetes BMX que viajan a lo largo de una pista con una caída dura.</v>
      </c>
    </row>
    <row r="15157">
      <c r="A15157" s="4" t="s">
        <v>19096</v>
      </c>
      <c r="B15157" s="4" t="s">
        <v>19098</v>
      </c>
      <c r="C15157" s="5" t="str">
        <f>IFERROR(__xludf.DUMMYFUNCTION("GOOGLETRANSLATE(B15157,""en"",""es-ES"")"),"Se muestran varias tomas más de personas que viajan en una pista con muchas de pie al margen para ver.")</f>
        <v>Se muestran varias tomas más de personas que viajan en una pista con muchas de pie al margen para ver.</v>
      </c>
    </row>
    <row r="15158">
      <c r="A15158" s="4" t="s">
        <v>19096</v>
      </c>
      <c r="B15158" s="4" t="s">
        <v>19099</v>
      </c>
      <c r="C15158" s="5" t="str">
        <f>IFERROR(__xludf.DUMMYFUNCTION("GOOGLETRANSLATE(B15158,""en"",""es-ES"")"),"Se muestran más caídas con un efecto de cámara lenta y más personas continúan viajando.")</f>
        <v>Se muestran más caídas con un efecto de cámara lenta y más personas continúan viajando.</v>
      </c>
    </row>
    <row r="15159">
      <c r="A15159" s="4" t="s">
        <v>19100</v>
      </c>
      <c r="B15159" s="4" t="s">
        <v>19101</v>
      </c>
      <c r="C15159" s="5" t="str">
        <f>IFERROR(__xludf.DUMMYFUNCTION("GOOGLETRANSLATE(B15159,""en"",""es-ES"")"),"Aparece una pantalla negra con palabras blancas, rojas, verdes y azules que dicen ""películas de membrillo"" en una pantalla, ""Mateo Bervelillo"" y ""Trillizos"".")</f>
        <v>Aparece una pantalla negra con palabras blancas, rojas, verdes y azules que dicen "películas de membrillo" en una pantalla, "Mateo Bervelillo" y "Trillizos".</v>
      </c>
    </row>
    <row r="15160">
      <c r="A15160" s="4" t="s">
        <v>19100</v>
      </c>
      <c r="B15160" s="4" t="s">
        <v>19102</v>
      </c>
      <c r="C15160" s="5" t="str">
        <f>IFERROR(__xludf.DUMMYFUNCTION("GOOGLETRANSLATE(B15160,""en"",""es-ES"")"),"Un hombre ahora está al aire libre, se sienta en una caja de madera y comienza a tocar los dedos sobre la caja y rebotando los pies en el suelo.")</f>
        <v>Un hombre ahora está al aire libre, se sienta en una caja de madera y comienza a tocar los dedos sobre la caja y rebotando los pies en el suelo.</v>
      </c>
    </row>
    <row r="15161">
      <c r="A15161" s="4" t="s">
        <v>19100</v>
      </c>
      <c r="B15161" s="4" t="s">
        <v>19103</v>
      </c>
      <c r="C15161" s="5" t="str">
        <f>IFERROR(__xludf.DUMMYFUNCTION("GOOGLETRANSLATE(B15161,""en"",""es-ES"")"),"Otro hombre que parece el primer hombre sale de una puerta y se sienta en la silla al aire libre cerca del primer hombre y comienza a golpear un bongo.")</f>
        <v>Otro hombre que parece el primer hombre sale de una puerta y se sienta en la silla al aire libre cerca del primer hombre y comienza a golpear un bongo.</v>
      </c>
    </row>
    <row r="15162">
      <c r="A15162" s="4" t="s">
        <v>19100</v>
      </c>
      <c r="B15162" s="4" t="s">
        <v>19104</v>
      </c>
      <c r="C15162" s="5" t="str">
        <f>IFERROR(__xludf.DUMMYFUNCTION("GOOGLETRANSLATE(B15162,""en"",""es-ES"")"),"Un tercer hombre que se parece a los dos hombres anteriores antes que él, sale de una puerta y se sienta en la última silla y juega en su bongo.")</f>
        <v>Un tercer hombre que se parece a los dos hombres anteriores antes que él, sale de una puerta y se sienta en la última silla y juega en su bongo.</v>
      </c>
    </row>
    <row r="15163">
      <c r="A15163" s="4" t="s">
        <v>19105</v>
      </c>
      <c r="B15163" s="4" t="s">
        <v>19106</v>
      </c>
      <c r="C15163" s="5" t="str">
        <f>IFERROR(__xludf.DUMMYFUNCTION("GOOGLETRANSLATE(B15163,""en"",""es-ES"")"),"La mujer está parada frente a la cámara en una sala blanca jugando con su cabello.")</f>
        <v>La mujer está parada frente a la cámara en una sala blanca jugando con su cabello.</v>
      </c>
    </row>
    <row r="15164">
      <c r="A15164" s="4" t="s">
        <v>19105</v>
      </c>
      <c r="B15164" s="4" t="s">
        <v>19107</v>
      </c>
      <c r="C15164" s="5" t="str">
        <f>IFERROR(__xludf.DUMMYFUNCTION("GOOGLETRANSLATE(B15164,""en"",""es-ES"")"),"La mujer está sentada en un shair y una mujer detrás de ella comienza a agarrar una pequeña sección del cabello haciendo una trenza y anclándola con un alfiler de bobby y decorándolo con alfileres de pelo.")</f>
        <v>La mujer está sentada en un shair y una mujer detrás de ella comienza a agarrar una pequeña sección del cabello haciendo una trenza y anclándola con un alfiler de bobby y decorándolo con alfileres de pelo.</v>
      </c>
    </row>
    <row r="15165">
      <c r="A15165" s="4" t="s">
        <v>19108</v>
      </c>
      <c r="B15165" s="4" t="s">
        <v>19109</v>
      </c>
      <c r="C15165" s="5" t="str">
        <f>IFERROR(__xludf.DUMMYFUNCTION("GOOGLETRANSLATE(B15165,""en"",""es-ES"")"),"Vemos la pantalla de título negro.")</f>
        <v>Vemos la pantalla de título negro.</v>
      </c>
    </row>
    <row r="15166">
      <c r="A15166" s="4" t="s">
        <v>19108</v>
      </c>
      <c r="B15166" s="4" t="s">
        <v>19110</v>
      </c>
      <c r="C15166" s="5" t="str">
        <f>IFERROR(__xludf.DUMMYFUNCTION("GOOGLETRANSLATE(B15166,""en"",""es-ES"")"),"Vemos a una dama y un hombre trabajando en una máquina.")</f>
        <v>Vemos a una dama y un hombre trabajando en una máquina.</v>
      </c>
    </row>
    <row r="15167">
      <c r="A15167" s="4" t="s">
        <v>19108</v>
      </c>
      <c r="B15167" s="4" t="s">
        <v>19111</v>
      </c>
      <c r="C15167" s="5" t="str">
        <f>IFERROR(__xludf.DUMMYFUNCTION("GOOGLETRANSLATE(B15167,""en"",""es-ES"")"),"Vemos a la gente de pie y hablando sobre el producto con tomas de la máquina.")</f>
        <v>Vemos a la gente de pie y hablando sobre el producto con tomas de la máquina.</v>
      </c>
    </row>
    <row r="15168">
      <c r="A15168" s="4" t="s">
        <v>19108</v>
      </c>
      <c r="B15168" s="4" t="s">
        <v>19112</v>
      </c>
      <c r="C15168" s="5" t="str">
        <f>IFERROR(__xludf.DUMMYFUNCTION("GOOGLETRANSLATE(B15168,""en"",""es-ES"")"),"Vemos la pantalla en la máquina.")</f>
        <v>Vemos la pantalla en la máquina.</v>
      </c>
    </row>
    <row r="15169">
      <c r="A15169" s="4" t="s">
        <v>19108</v>
      </c>
      <c r="B15169" s="4" t="s">
        <v>19113</v>
      </c>
      <c r="C15169" s="5" t="str">
        <f>IFERROR(__xludf.DUMMYFUNCTION("GOOGLETRANSLATE(B15169,""en"",""es-ES"")"),"La señora se mantiene, establece la hora y se ejecuta en la máquina.")</f>
        <v>La señora se mantiene, establece la hora y se ejecuta en la máquina.</v>
      </c>
    </row>
    <row r="15170">
      <c r="A15170" s="4" t="s">
        <v>19108</v>
      </c>
      <c r="B15170" s="4" t="s">
        <v>19114</v>
      </c>
      <c r="C15170" s="5" t="str">
        <f>IFERROR(__xludf.DUMMYFUNCTION("GOOGLETRANSLATE(B15170,""en"",""es-ES"")"),"Vemos solo al hombre hablando y luego usando la máquina.")</f>
        <v>Vemos solo al hombre hablando y luego usando la máquina.</v>
      </c>
    </row>
    <row r="15171">
      <c r="A15171" s="4" t="s">
        <v>19108</v>
      </c>
      <c r="B15171" s="4" t="s">
        <v>19115</v>
      </c>
      <c r="C15171" s="5" t="str">
        <f>IFERROR(__xludf.DUMMYFUNCTION("GOOGLETRANSLATE(B15171,""en"",""es-ES"")"),"Regresamos a la gente que habla juntos.")</f>
        <v>Regresamos a la gente que habla juntos.</v>
      </c>
    </row>
    <row r="15172">
      <c r="A15172" s="4" t="s">
        <v>19108</v>
      </c>
      <c r="B15172" s="4" t="s">
        <v>19116</v>
      </c>
      <c r="C15172" s="5" t="str">
        <f>IFERROR(__xludf.DUMMYFUNCTION("GOOGLETRANSLATE(B15172,""en"",""es-ES"")"),"Vemos las pantallas de título de cierre.")</f>
        <v>Vemos las pantallas de título de cierre.</v>
      </c>
    </row>
    <row r="15173">
      <c r="A15173" s="4" t="s">
        <v>19117</v>
      </c>
      <c r="B15173" s="4" t="s">
        <v>19118</v>
      </c>
      <c r="C15173" s="5" t="str">
        <f>IFERROR(__xludf.DUMMYFUNCTION("GOOGLETRANSLATE(B15173,""en"",""es-ES"")"),"El video comienza con una secuencia de título que muestra a una niña arrojando ropa a un hombre y una pantalla de título.")</f>
        <v>El video comienza con una secuencia de título que muestra a una niña arrojando ropa a un hombre y una pantalla de título.</v>
      </c>
    </row>
    <row r="15174">
      <c r="A15174" s="4" t="s">
        <v>19117</v>
      </c>
      <c r="B15174" s="4" t="s">
        <v>19119</v>
      </c>
      <c r="C15174" s="5" t="str">
        <f>IFERROR(__xludf.DUMMYFUNCTION("GOOGLETRANSLATE(B15174,""en"",""es-ES"")"),"El hombre y su familia están en un patio trasero hablando con la cámara.")</f>
        <v>El hombre y su familia están en un patio trasero hablando con la cámara.</v>
      </c>
    </row>
    <row r="15175">
      <c r="A15175" s="4" t="s">
        <v>19117</v>
      </c>
      <c r="B15175" s="4" t="s">
        <v>19120</v>
      </c>
      <c r="C15175" s="5" t="str">
        <f>IFERROR(__xludf.DUMMYFUNCTION("GOOGLETRANSLATE(B15175,""en"",""es-ES"")"),"Después de hablar, animan.")</f>
        <v>Después de hablar, animan.</v>
      </c>
    </row>
    <row r="15176">
      <c r="A15176" s="4" t="s">
        <v>19117</v>
      </c>
      <c r="B15176" s="4" t="s">
        <v>19121</v>
      </c>
      <c r="C15176" s="5" t="str">
        <f>IFERROR(__xludf.DUMMYFUNCTION("GOOGLETRANSLATE(B15176,""en"",""es-ES"")"),"El hombre y la mujer se pusieron un tutú y los ojos vendados.")</f>
        <v>El hombre y la mujer se pusieron un tutú y los ojos vendados.</v>
      </c>
    </row>
    <row r="15177">
      <c r="A15177" s="4" t="s">
        <v>19117</v>
      </c>
      <c r="B15177" s="4" t="s">
        <v>19122</v>
      </c>
      <c r="C15177" s="5" t="str">
        <f>IFERROR(__xludf.DUMMYFUNCTION("GOOGLETRANSLATE(B15177,""en"",""es-ES"")"),"Luego comienzan a hula hoop hasta que la mujer pierde.")</f>
        <v>Luego comienzan a hula hoop hasta que la mujer pierde.</v>
      </c>
    </row>
    <row r="15178">
      <c r="A15178" s="4" t="s">
        <v>19117</v>
      </c>
      <c r="B15178" s="4" t="s">
        <v>19123</v>
      </c>
      <c r="C15178" s="5" t="str">
        <f>IFERROR(__xludf.DUMMYFUNCTION("GOOGLETRANSLATE(B15178,""en"",""es-ES"")"),"Después, hablan con la cámara y se despiden.")</f>
        <v>Después, hablan con la cámara y se despiden.</v>
      </c>
    </row>
    <row r="15179">
      <c r="A15179" s="4" t="s">
        <v>19124</v>
      </c>
      <c r="B15179" s="4" t="s">
        <v>19125</v>
      </c>
      <c r="C15179" s="5" t="str">
        <f>IFERROR(__xludf.DUMMYFUNCTION("GOOGLETRANSLATE(B15179,""en"",""es-ES"")"),"Se muestran varias tomas de paisajes seguidas por una persona que realiza un truco en una patineta y otras cuesta abajo.")</f>
        <v>Se muestran varias tomas de paisajes seguidas por una persona que realiza un truco en una patineta y otras cuesta abajo.</v>
      </c>
    </row>
    <row r="15180">
      <c r="A15180" s="4" t="s">
        <v>19124</v>
      </c>
      <c r="B15180" s="4" t="s">
        <v>19126</v>
      </c>
      <c r="C15180" s="5" t="str">
        <f>IFERROR(__xludf.DUMMYFUNCTION("GOOGLETRANSLATE(B15180,""en"",""es-ES"")"),"Se muestran varias tomas de personas que viajan por la calle en Skateboards y hacen varios trucos mientras la cámara se acerca.")</f>
        <v>Se muestran varias tomas de personas que viajan por la calle en Skateboards y hacen varios trucos mientras la cámara se acerca.</v>
      </c>
    </row>
    <row r="15181">
      <c r="A15181" s="4" t="s">
        <v>19124</v>
      </c>
      <c r="B15181" s="4" t="s">
        <v>19127</v>
      </c>
      <c r="C15181" s="5" t="str">
        <f>IFERROR(__xludf.DUMMYFUNCTION("GOOGLETRANSLATE(B15181,""en"",""es-ES"")"),"Un hombre cae al final y su tablero se estrella a lo largo del costado.")</f>
        <v>Un hombre cae al final y su tablero se estrella a lo largo del costado.</v>
      </c>
    </row>
    <row r="15182">
      <c r="A15182" s="4" t="s">
        <v>19128</v>
      </c>
      <c r="B15182" s="4" t="s">
        <v>19129</v>
      </c>
      <c r="C15182" s="5" t="str">
        <f>IFERROR(__xludf.DUMMYFUNCTION("GOOGLETRANSLATE(B15182,""en"",""es-ES"")"),"Se ve a un hombre hablando con la cámara mientras se destaca en un patio trasero.")</f>
        <v>Se ve a un hombre hablando con la cámara mientras se destaca en un patio trasero.</v>
      </c>
    </row>
    <row r="15183">
      <c r="A15183" s="4" t="s">
        <v>19128</v>
      </c>
      <c r="B15183" s="4" t="s">
        <v>19130</v>
      </c>
      <c r="C15183" s="5" t="str">
        <f>IFERROR(__xludf.DUMMYFUNCTION("GOOGLETRANSLATE(B15183,""en"",""es-ES"")"),"Camina con un hombre rociando una cerca con una manguera y otro hombre mirando a un lado.")</f>
        <v>Camina con un hombre rociando una cerca con una manguera y otro hombre mirando a un lado.</v>
      </c>
    </row>
    <row r="15184">
      <c r="A15184" s="4" t="s">
        <v>19128</v>
      </c>
      <c r="B15184" s="4" t="s">
        <v>19131</v>
      </c>
      <c r="C15184" s="5" t="str">
        <f>IFERROR(__xludf.DUMMYFUNCTION("GOOGLETRANSLATE(B15184,""en"",""es-ES"")"),"El hombre continúa rociando la manguera mientras otro observa a un lado y regresa al camarógrafo.")</f>
        <v>El hombre continúa rociando la manguera mientras otro observa a un lado y regresa al camarógrafo.</v>
      </c>
    </row>
    <row r="15185">
      <c r="A15185" s="4" t="s">
        <v>19132</v>
      </c>
      <c r="B15185" s="4" t="s">
        <v>19133</v>
      </c>
      <c r="C15185" s="5" t="str">
        <f>IFERROR(__xludf.DUMMYFUNCTION("GOOGLETRANSLATE(B15185,""en"",""es-ES"")"),"Una mujer joven pálida con un vestido blanco está parado en el bosque con el largo cabello rizado y rizado y rojo y comienza a saltarse.")</f>
        <v>Una mujer joven pálida con un vestido blanco está parado en el bosque con el largo cabello rizado y rizado y rojo y comienza a saltarse.</v>
      </c>
    </row>
    <row r="15186">
      <c r="A15186" s="4" t="s">
        <v>19132</v>
      </c>
      <c r="B15186" s="4" t="s">
        <v>19134</v>
      </c>
      <c r="C15186" s="5" t="str">
        <f>IFERROR(__xludf.DUMMYFUNCTION("GOOGLETRANSLATE(B15186,""en"",""es-ES"")"),"Luego se le muestra con una camisa negra y cabello largo y comienza a hablar en una escalera oscura.")</f>
        <v>Luego se le muestra con una camisa negra y cabello largo y comienza a hablar en una escalera oscura.</v>
      </c>
    </row>
    <row r="15187">
      <c r="A15187" s="4" t="s">
        <v>19132</v>
      </c>
      <c r="B15187" s="4" t="s">
        <v>19135</v>
      </c>
      <c r="C15187" s="5" t="str">
        <f>IFERROR(__xludf.DUMMYFUNCTION("GOOGLETRANSLATE(B15187,""en"",""es-ES"")"),"Ella se pone de pie, voltea la cola del pony y la cámara se prepara el atuendo y tiene una camisa negra y pantalones cortos azules y comienza a subir las escaleras.")</f>
        <v>Ella se pone de pie, voltea la cola del pony y la cámara se prepara el atuendo y tiene una camisa negra y pantalones cortos azules y comienza a subir las escaleras.</v>
      </c>
    </row>
    <row r="15188">
      <c r="A15188" s="4" t="s">
        <v>19132</v>
      </c>
      <c r="B15188" s="4" t="s">
        <v>19136</v>
      </c>
      <c r="C15188" s="5" t="str">
        <f>IFERROR(__xludf.DUMMYFUNCTION("GOOGLETRANSLATE(B15188,""en"",""es-ES"")"),"Luego, ella entra en una habitación y comienza a hablar con una mujer con una camisa negra y cabello rubio.")</f>
        <v>Luego, ella entra en una habitación y comienza a hablar con una mujer con una camisa negra y cabello rubio.</v>
      </c>
    </row>
    <row r="15189">
      <c r="A15189" s="4" t="s">
        <v>19132</v>
      </c>
      <c r="B15189" s="4" t="s">
        <v>19137</v>
      </c>
      <c r="C15189" s="5" t="str">
        <f>IFERROR(__xludf.DUMMYFUNCTION("GOOGLETRANSLATE(B15189,""en"",""es-ES"")"),"La señora sostiene una tarjeta de índice blanco con bocetos de dos cabezas.")</f>
        <v>La señora sostiene una tarjeta de índice blanco con bocetos de dos cabezas.</v>
      </c>
    </row>
    <row r="15190">
      <c r="A15190" s="4" t="s">
        <v>19132</v>
      </c>
      <c r="B15190" s="4" t="s">
        <v>19138</v>
      </c>
      <c r="C15190" s="5" t="str">
        <f>IFERROR(__xludf.DUMMYFUNCTION("GOOGLETRANSLATE(B15190,""en"",""es-ES"")"),"La señora se lava los pelos y comienza a cortarlo con un par de tijeras a una longitud muy corta.")</f>
        <v>La señora se lava los pelos y comienza a cortarlo con un par de tijeras a una longitud muy corta.</v>
      </c>
    </row>
    <row r="15191">
      <c r="A15191" s="4" t="s">
        <v>19132</v>
      </c>
      <c r="B15191" s="4" t="s">
        <v>19139</v>
      </c>
      <c r="C15191" s="5" t="str">
        <f>IFERROR(__xludf.DUMMYFUNCTION("GOOGLETRANSLATE(B15191,""en"",""es-ES"")"),"La niña se sienta en la silla y comienza a sacudir el cabello de la oreja y sostener el cabello cortado en sus manos.")</f>
        <v>La niña se sienta en la silla y comienza a sacudir el cabello de la oreja y sostener el cabello cortado en sus manos.</v>
      </c>
    </row>
    <row r="15192">
      <c r="A15192" s="4" t="s">
        <v>19132</v>
      </c>
      <c r="B15192" s="4" t="s">
        <v>19140</v>
      </c>
      <c r="C15192" s="5" t="str">
        <f>IFERROR(__xludf.DUMMYFUNCTION("GOOGLETRANSLATE(B15192,""en"",""es-ES"")"),"El peluquero comienza a soplarse por su cabello, cortarlo y peinarlo.")</f>
        <v>El peluquero comienza a soplarse por su cabello, cortarlo y peinarlo.</v>
      </c>
    </row>
    <row r="15193">
      <c r="A15193" s="4" t="s">
        <v>19132</v>
      </c>
      <c r="B15193" s="4" t="s">
        <v>19141</v>
      </c>
      <c r="C15193" s="5" t="str">
        <f>IFERROR(__xludf.DUMMYFUNCTION("GOOGLETRANSLATE(B15193,""en"",""es-ES"")"),"Ella continúa bajando el cabello mientras su cabello está revelado en el mostrador y el piso.")</f>
        <v>Ella continúa bajando el cabello mientras su cabello está revelado en el mostrador y el piso.</v>
      </c>
    </row>
    <row r="15194">
      <c r="A15194" s="4" t="s">
        <v>19132</v>
      </c>
      <c r="B15194" s="4" t="s">
        <v>19142</v>
      </c>
      <c r="C15194" s="5" t="str">
        <f>IFERROR(__xludf.DUMMYFUNCTION("GOOGLETRANSLATE(B15194,""en"",""es-ES"")"),"Luego se sienta en un banco y sonríe ante la idea de su corte de pelo corto.")</f>
        <v>Luego se sienta en un banco y sonríe ante la idea de su corte de pelo corto.</v>
      </c>
    </row>
    <row r="15195">
      <c r="A15195" s="4" t="s">
        <v>19143</v>
      </c>
      <c r="B15195" s="4" t="s">
        <v>19144</v>
      </c>
      <c r="C15195" s="5" t="str">
        <f>IFERROR(__xludf.DUMMYFUNCTION("GOOGLETRANSLATE(B15195,""en"",""es-ES"")"),"Se ve a una persona caminando en el marco frente a un gran armario.")</f>
        <v>Se ve a una persona caminando en el marco frente a un gran armario.</v>
      </c>
    </row>
    <row r="15196">
      <c r="A15196" s="4" t="s">
        <v>19143</v>
      </c>
      <c r="B15196" s="4" t="s">
        <v>19145</v>
      </c>
      <c r="C15196" s="5" t="str">
        <f>IFERROR(__xludf.DUMMYFUNCTION("GOOGLETRANSLATE(B15196,""en"",""es-ES"")"),"La mujer luego deja su cabello a lo largo de su espalda.")</f>
        <v>La mujer luego deja su cabello a lo largo de su espalda.</v>
      </c>
    </row>
    <row r="15197">
      <c r="A15197" s="4" t="s">
        <v>19143</v>
      </c>
      <c r="B15197" s="4" t="s">
        <v>19146</v>
      </c>
      <c r="C15197" s="5" t="str">
        <f>IFERROR(__xludf.DUMMYFUNCTION("GOOGLETRANSLATE(B15197,""en"",""es-ES"")"),"Se cepilla su cabello continuamente y termina saliendo del marco.")</f>
        <v>Se cepilla su cabello continuamente y termina saliendo del marco.</v>
      </c>
    </row>
    <row r="15198">
      <c r="A15198" s="4" t="s">
        <v>19147</v>
      </c>
      <c r="B15198" s="4" t="s">
        <v>19148</v>
      </c>
      <c r="C15198" s="5" t="str">
        <f>IFERROR(__xludf.DUMMYFUNCTION("GOOGLETRANSLATE(B15198,""en"",""es-ES"")"),"Se ve a un pequeño grupo de personas de pie ante una mesa de fooseball que agarra los postes.")</f>
        <v>Se ve a un pequeño grupo de personas de pie ante una mesa de fooseball que agarra los postes.</v>
      </c>
    </row>
    <row r="15199">
      <c r="A15199" s="4" t="s">
        <v>19147</v>
      </c>
      <c r="B15199" s="4" t="s">
        <v>19149</v>
      </c>
      <c r="C15199" s="5" t="str">
        <f>IFERROR(__xludf.DUMMYFUNCTION("GOOGLETRANSLATE(B15199,""en"",""es-ES"")"),"Los hombres juegan uno contra el otro mientras toman descansos para tomar una copa y hablar con compañeros de equipo.")</f>
        <v>Los hombres juegan uno contra el otro mientras toman descansos para tomar una copa y hablar con compañeros de equipo.</v>
      </c>
    </row>
    <row r="15200">
      <c r="A15200" s="4" t="s">
        <v>19147</v>
      </c>
      <c r="B15200" s="4" t="s">
        <v>19150</v>
      </c>
      <c r="C15200" s="5" t="str">
        <f>IFERROR(__xludf.DUMMYFUNCTION("GOOGLETRANSLATE(B15200,""en"",""es-ES"")"),"La gente se da la mano y abraza a amigos y familiares.")</f>
        <v>La gente se da la mano y abraza a amigos y familiares.</v>
      </c>
    </row>
    <row r="15201">
      <c r="A15201" s="4" t="s">
        <v>19151</v>
      </c>
      <c r="B15201" s="4" t="s">
        <v>19152</v>
      </c>
      <c r="C15201" s="5" t="str">
        <f>IFERROR(__xludf.DUMMYFUNCTION("GOOGLETRANSLATE(B15201,""en"",""es-ES"")"),"Una mujer se para y habla en un jardín al lado de una cama de hierbas y plantas y una carretilla llena de mantillo.")</f>
        <v>Una mujer se para y habla en un jardín al lado de una cama de hierbas y plantas y una carretilla llena de mantillo.</v>
      </c>
    </row>
    <row r="15202">
      <c r="A15202" s="4" t="s">
        <v>19151</v>
      </c>
      <c r="B15202" s="4" t="s">
        <v>19153</v>
      </c>
      <c r="C15202" s="5" t="str">
        <f>IFERROR(__xludf.DUMMYFUNCTION("GOOGLETRANSLATE(B15202,""en"",""es-ES"")"),"Aparece un jardín de hierbas con una mujer de pie junto a él en un gran jardín al lado de una carretilla llena de mantillo.")</f>
        <v>Aparece un jardín de hierbas con una mujer de pie junto a él en un gran jardín al lado de una carretilla llena de mantillo.</v>
      </c>
    </row>
    <row r="15203">
      <c r="A15203" s="4" t="s">
        <v>19151</v>
      </c>
      <c r="B15203" s="4" t="s">
        <v>19154</v>
      </c>
      <c r="C15203" s="5" t="str">
        <f>IFERROR(__xludf.DUMMYFUNCTION("GOOGLETRANSLATE(B15203,""en"",""es-ES"")"),"La mujer comienza a hablar con la cámara mientras se señalaba con el macizo de flores y el mantillo, antes de finalmente recoger un puñado del mantillo.")</f>
        <v>La mujer comienza a hablar con la cámara mientras se señalaba con el macizo de flores y el mantillo, antes de finalmente recoger un puñado del mantillo.</v>
      </c>
    </row>
    <row r="15204">
      <c r="A15204" s="4" t="s">
        <v>19151</v>
      </c>
      <c r="B15204" s="4" t="s">
        <v>19155</v>
      </c>
      <c r="C15204" s="5" t="str">
        <f>IFERROR(__xludf.DUMMYFUNCTION("GOOGLETRANSLATE(B15204,""en"",""es-ES"")"),"La mujer continúa hablando antes de que la escena se transforme en el video de una pequeña papas rojas en el suelo detenidas por la raíz.")</f>
        <v>La mujer continúa hablando antes de que la escena se transforme en el video de una pequeña papas rojas en el suelo detenidas por la raíz.</v>
      </c>
    </row>
    <row r="15205">
      <c r="A15205" s="4" t="s">
        <v>19156</v>
      </c>
      <c r="B15205" s="4" t="s">
        <v>19157</v>
      </c>
      <c r="C15205" s="5" t="str">
        <f>IFERROR(__xludf.DUMMYFUNCTION("GOOGLETRANSLATE(B15205,""en"",""es-ES"")"),"La gente está parada en un techo mirando hacia arriba.")</f>
        <v>La gente está parada en un techo mirando hacia arriba.</v>
      </c>
    </row>
    <row r="15206">
      <c r="A15206" s="4" t="s">
        <v>19156</v>
      </c>
      <c r="B15206" s="4" t="s">
        <v>19158</v>
      </c>
      <c r="C15206" s="5" t="str">
        <f>IFERROR(__xludf.DUMMYFUNCTION("GOOGLETRANSLATE(B15206,""en"",""es-ES"")"),"Una mujer con una camisa verde come papas fritas.")</f>
        <v>Una mujer con una camisa verde come papas fritas.</v>
      </c>
    </row>
    <row r="15207">
      <c r="A15207" s="4" t="s">
        <v>19156</v>
      </c>
      <c r="B15207" s="4" t="s">
        <v>19159</v>
      </c>
      <c r="C15207" s="5" t="str">
        <f>IFERROR(__xludf.DUMMYFUNCTION("GOOGLETRANSLATE(B15207,""en"",""es-ES"")"),"Un hombre con una camisa azul apunta al cielo y está moviendo su mano en círculos.")</f>
        <v>Un hombre con una camisa azul apunta al cielo y está moviendo su mano en círculos.</v>
      </c>
    </row>
    <row r="15208">
      <c r="A15208" s="4" t="s">
        <v>19156</v>
      </c>
      <c r="B15208" s="4" t="s">
        <v>19160</v>
      </c>
      <c r="C15208" s="5" t="str">
        <f>IFERROR(__xludf.DUMMYFUNCTION("GOOGLETRANSLATE(B15208,""en"",""es-ES"")"),"Hay muchas cometas en el cielo a su alrededor.")</f>
        <v>Hay muchas cometas en el cielo a su alrededor.</v>
      </c>
    </row>
    <row r="15209">
      <c r="A15209" s="4" t="s">
        <v>19161</v>
      </c>
      <c r="B15209" s="4" t="s">
        <v>19162</v>
      </c>
      <c r="C15209" s="5" t="str">
        <f>IFERROR(__xludf.DUMMYFUNCTION("GOOGLETRANSLATE(B15209,""en"",""es-ES"")"),"Vemos a un hombre que usa una lijadora eléctrica para afilar una variedad de cosas.")</f>
        <v>Vemos a un hombre que usa una lijadora eléctrica para afilar una variedad de cosas.</v>
      </c>
    </row>
    <row r="15210">
      <c r="A15210" s="4" t="s">
        <v>19161</v>
      </c>
      <c r="B15210" s="4" t="s">
        <v>19163</v>
      </c>
      <c r="C15210" s="5" t="str">
        <f>IFERROR(__xludf.DUMMYFUNCTION("GOOGLETRANSLATE(B15210,""en"",""es-ES"")"),"Utiliza una pinza y una regla en un artículo.")</f>
        <v>Utiliza una pinza y una regla en un artículo.</v>
      </c>
    </row>
    <row r="15211">
      <c r="A15211" s="4" t="s">
        <v>19161</v>
      </c>
      <c r="B15211" s="4" t="s">
        <v>19164</v>
      </c>
      <c r="C15211" s="5" t="str">
        <f>IFERROR(__xludf.DUMMYFUNCTION("GOOGLETRANSLATE(B15211,""en"",""es-ES"")"),"Lo vemos afilando más cosas y biselando una herramienta.")</f>
        <v>Lo vemos afilando más cosas y biselando una herramienta.</v>
      </c>
    </row>
    <row r="15212">
      <c r="A15212" s="4" t="s">
        <v>19161</v>
      </c>
      <c r="B15212" s="4" t="s">
        <v>19165</v>
      </c>
      <c r="C15212" s="5" t="str">
        <f>IFERROR(__xludf.DUMMYFUNCTION("GOOGLETRANSLATE(B15212,""en"",""es-ES"")"),"El hombre ajusta algunos tornillos y mueve un brazo.")</f>
        <v>El hombre ajusta algunos tornillos y mueve un brazo.</v>
      </c>
    </row>
    <row r="15213">
      <c r="A15213" s="4" t="s">
        <v>19161</v>
      </c>
      <c r="B15213" s="4" t="s">
        <v>19166</v>
      </c>
      <c r="C15213" s="5" t="str">
        <f>IFERROR(__xludf.DUMMYFUNCTION("GOOGLETRANSLATE(B15213,""en"",""es-ES"")"),"Vemos que el artículo viene con una garantía de 7 años.")</f>
        <v>Vemos que el artículo viene con una garantía de 7 años.</v>
      </c>
    </row>
    <row r="15214">
      <c r="A15214" s="4" t="s">
        <v>19161</v>
      </c>
      <c r="B15214" s="4" t="s">
        <v>19167</v>
      </c>
      <c r="C15214" s="5" t="str">
        <f>IFERROR(__xludf.DUMMYFUNCTION("GOOGLETRANSLATE(B15214,""en"",""es-ES"")"),"El hombre agrega un aceite al artículo y vemos el empaque.")</f>
        <v>El hombre agrega un aceite al artículo y vemos el empaque.</v>
      </c>
    </row>
    <row r="15215">
      <c r="A15215" s="4" t="s">
        <v>19161</v>
      </c>
      <c r="B15215" s="4" t="s">
        <v>19168</v>
      </c>
      <c r="C15215" s="5" t="str">
        <f>IFERROR(__xludf.DUMMYFUNCTION("GOOGLETRANSLATE(B15215,""en"",""es-ES"")"),"Vemos los créditos finales para el video.")</f>
        <v>Vemos los créditos finales para el video.</v>
      </c>
    </row>
    <row r="15216">
      <c r="A15216" s="4" t="s">
        <v>19169</v>
      </c>
      <c r="B15216" s="4" t="s">
        <v>19170</v>
      </c>
      <c r="C15216" s="5" t="str">
        <f>IFERROR(__xludf.DUMMYFUNCTION("GOOGLETRANSLATE(B15216,""en"",""es-ES"")"),"Se ve a un pequeño grupo de mujeres bailando juntas haciendo coreografía con una liderando al grupo en el frente.")</f>
        <v>Se ve a un pequeño grupo de mujeres bailando juntas haciendo coreografía con una liderando al grupo en el frente.</v>
      </c>
    </row>
    <row r="15217">
      <c r="A15217" s="4" t="s">
        <v>19169</v>
      </c>
      <c r="B15217" s="4" t="s">
        <v>19171</v>
      </c>
      <c r="C15217" s="5" t="str">
        <f>IFERROR(__xludf.DUMMYFUNCTION("GOOGLETRANSLATE(B15217,""en"",""es-ES"")"),"La mujer continúa bailando entre sí y termina con un logotipo de Zumba que se muestra en el fondo.")</f>
        <v>La mujer continúa bailando entre sí y termina con un logotipo de Zumba que se muestra en el fondo.</v>
      </c>
    </row>
    <row r="15218">
      <c r="A15218" s="4" t="s">
        <v>19172</v>
      </c>
      <c r="B15218" s="4" t="s">
        <v>19173</v>
      </c>
      <c r="C15218" s="5" t="str">
        <f>IFERROR(__xludf.DUMMYFUNCTION("GOOGLETRANSLATE(B15218,""en"",""es-ES"")"),"Se ve a una mujer parada frente a un espejo y comienza a saltar la cuerda mientras sonríe a la cámara.")</f>
        <v>Se ve a una mujer parada frente a un espejo y comienza a saltar la cuerda mientras sonríe a la cámara.</v>
      </c>
    </row>
    <row r="15219">
      <c r="A15219" s="4" t="s">
        <v>19172</v>
      </c>
      <c r="B15219" s="4" t="s">
        <v>19174</v>
      </c>
      <c r="C15219" s="5" t="str">
        <f>IFERROR(__xludf.DUMMYFUNCTION("GOOGLETRANSLATE(B15219,""en"",""es-ES"")"),"Ella continúa saltando una y otra vez balanceando los brazos y termina deteniéndose para sonreír a la cámara.")</f>
        <v>Ella continúa saltando una y otra vez balanceando los brazos y termina deteniéndose para sonreír a la cámara.</v>
      </c>
    </row>
    <row r="15220">
      <c r="A15220" s="4" t="s">
        <v>19175</v>
      </c>
      <c r="B15220" s="4" t="s">
        <v>19176</v>
      </c>
      <c r="C15220" s="5" t="str">
        <f>IFERROR(__xludf.DUMMYFUNCTION("GOOGLETRANSLATE(B15220,""en"",""es-ES"")"),"La mujer está de pie en una cocina frente a una cámara sosteniendo una puerta.")</f>
        <v>La mujer está de pie en una cocina frente a una cámara sosteniendo una puerta.</v>
      </c>
    </row>
    <row r="15221">
      <c r="A15221" s="4" t="s">
        <v>19175</v>
      </c>
      <c r="B15221" s="4" t="s">
        <v>19177</v>
      </c>
      <c r="C15221" s="5" t="str">
        <f>IFERROR(__xludf.DUMMYFUNCTION("GOOGLETRANSLATE(B15221,""en"",""es-ES"")"),"La mujer corta la puerta y extiende la crema de chocolate sobre él y pone otra capa de pastel.")</f>
        <v>La mujer corta la puerta y extiende la crema de chocolate sobre él y pone otra capa de pastel.</v>
      </c>
    </row>
    <row r="15222">
      <c r="A15222" s="4" t="s">
        <v>19175</v>
      </c>
      <c r="B15222" s="4" t="s">
        <v>19178</v>
      </c>
      <c r="C15222" s="5" t="str">
        <f>IFERROR(__xludf.DUMMYFUNCTION("GOOGLETRANSLATE(B15222,""en"",""es-ES"")"),"La mujer extendió la crema de chocolate nuevamente en la parte superior y pone otra capa de pastel y extiende la crema sobre la parte superior y a los lados.")</f>
        <v>La mujer extendió la crema de chocolate nuevamente en la parte superior y pone otra capa de pastel y extiende la crema sobre la parte superior y a los lados.</v>
      </c>
    </row>
    <row r="15223">
      <c r="A15223" s="4" t="s">
        <v>19175</v>
      </c>
      <c r="B15223" s="4" t="s">
        <v>19179</v>
      </c>
      <c r="C15223" s="5" t="str">
        <f>IFERROR(__xludf.DUMMYFUNCTION("GOOGLETRANSLATE(B15223,""en"",""es-ES"")"),"La mujer aplana la crema y la barniza.")</f>
        <v>La mujer aplana la crema y la barniza.</v>
      </c>
    </row>
    <row r="15224">
      <c r="A15224" s="4" t="s">
        <v>19175</v>
      </c>
      <c r="B15224" s="4" t="s">
        <v>19180</v>
      </c>
      <c r="C15224" s="5" t="str">
        <f>IFERROR(__xludf.DUMMYFUNCTION("GOOGLETRANSLATE(B15224,""en"",""es-ES"")"),"La mujer agarra el fondant blanco y lo amasta y luego cubre el pastel con las manos y corta el resto, agrega adornos encima.")</f>
        <v>La mujer agarra el fondant blanco y lo amasta y luego cubre el pastel con las manos y corta el resto, agrega adornos encima.</v>
      </c>
    </row>
    <row r="15225">
      <c r="A15225" s="4" t="s">
        <v>19181</v>
      </c>
      <c r="B15225" s="4" t="s">
        <v>19182</v>
      </c>
      <c r="C15225" s="5" t="str">
        <f>IFERROR(__xludf.DUMMYFUNCTION("GOOGLETRANSLATE(B15225,""en"",""es-ES"")"),"Un hombre está montando una bicicleta.")</f>
        <v>Un hombre está montando una bicicleta.</v>
      </c>
    </row>
    <row r="15226">
      <c r="A15226" s="4" t="s">
        <v>19181</v>
      </c>
      <c r="B15226" s="4" t="s">
        <v>19183</v>
      </c>
      <c r="C15226" s="5" t="str">
        <f>IFERROR(__xludf.DUMMYFUNCTION("GOOGLETRANSLATE(B15226,""en"",""es-ES"")"),"Está hablando por un teléfono celular en una cocina.")</f>
        <v>Está hablando por un teléfono celular en una cocina.</v>
      </c>
    </row>
    <row r="15227">
      <c r="A15227" s="4" t="s">
        <v>19181</v>
      </c>
      <c r="B15227" s="4" t="s">
        <v>19184</v>
      </c>
      <c r="C15227" s="5" t="str">
        <f>IFERROR(__xludf.DUMMYFUNCTION("GOOGLETRANSLATE(B15227,""en"",""es-ES"")"),"Luego está hablando en un teléfono cerca de un garaje.")</f>
        <v>Luego está hablando en un teléfono cerca de un garaje.</v>
      </c>
    </row>
    <row r="15228">
      <c r="A15228" s="4" t="s">
        <v>19181</v>
      </c>
      <c r="B15228" s="4" t="s">
        <v>19185</v>
      </c>
      <c r="C15228" s="5" t="str">
        <f>IFERROR(__xludf.DUMMYFUNCTION("GOOGLETRANSLATE(B15228,""en"",""es-ES"")"),"Comienza a pintar una cerca de madera.")</f>
        <v>Comienza a pintar una cerca de madera.</v>
      </c>
    </row>
    <row r="15229">
      <c r="A15229" s="4" t="s">
        <v>19181</v>
      </c>
      <c r="B15229" s="4" t="s">
        <v>19186</v>
      </c>
      <c r="C15229" s="5" t="str">
        <f>IFERROR(__xludf.DUMMYFUNCTION("GOOGLETRANSLATE(B15229,""en"",""es-ES"")"),"Se sienta y come comida.")</f>
        <v>Se sienta y come comida.</v>
      </c>
    </row>
    <row r="15230">
      <c r="A15230" s="4" t="s">
        <v>19181</v>
      </c>
      <c r="B15230" s="4" t="s">
        <v>19187</v>
      </c>
      <c r="C15230" s="5" t="str">
        <f>IFERROR(__xludf.DUMMYFUNCTION("GOOGLETRANSLATE(B15230,""en"",""es-ES"")"),"Luego terminó de pintar la cerca.")</f>
        <v>Luego terminó de pintar la cerca.</v>
      </c>
    </row>
    <row r="15231">
      <c r="A15231" s="4" t="s">
        <v>19181</v>
      </c>
      <c r="B15231" s="4" t="s">
        <v>19188</v>
      </c>
      <c r="C15231" s="5" t="str">
        <f>IFERROR(__xludf.DUMMYFUNCTION("GOOGLETRANSLATE(B15231,""en"",""es-ES"")"),"Salta al aire para celebrar.")</f>
        <v>Salta al aire para celebrar.</v>
      </c>
    </row>
    <row r="15232">
      <c r="A15232" s="4" t="s">
        <v>19189</v>
      </c>
      <c r="B15232" s="4" t="s">
        <v>19190</v>
      </c>
      <c r="C15232" s="5" t="str">
        <f>IFERROR(__xludf.DUMMYFUNCTION("GOOGLETRANSLATE(B15232,""en"",""es-ES"")"),"Un bebé está sentado en una pequeña mesa afuera.")</f>
        <v>Un bebé está sentado en una pequeña mesa afuera.</v>
      </c>
    </row>
    <row r="15233">
      <c r="A15233" s="4" t="s">
        <v>19189</v>
      </c>
      <c r="B15233" s="4" t="s">
        <v>19191</v>
      </c>
      <c r="C15233" s="5" t="str">
        <f>IFERROR(__xludf.DUMMYFUNCTION("GOOGLETRANSLATE(B15233,""en"",""es-ES"")"),"Está fumando un cigarrillo y saluda a los adultos.")</f>
        <v>Está fumando un cigarrillo y saluda a los adultos.</v>
      </c>
    </row>
    <row r="15234">
      <c r="A15234" s="4" t="s">
        <v>19189</v>
      </c>
      <c r="B15234" s="4" t="s">
        <v>19192</v>
      </c>
      <c r="C15234" s="5" t="str">
        <f>IFERROR(__xludf.DUMMYFUNCTION("GOOGLETRANSLATE(B15234,""en"",""es-ES"")"),"Él se convierte en una mujer, luego continúa fumando.")</f>
        <v>Él se convierte en una mujer, luego continúa fumando.</v>
      </c>
    </row>
    <row r="15235">
      <c r="A15235" s="4" t="s">
        <v>19193</v>
      </c>
      <c r="B15235" s="4" t="s">
        <v>19194</v>
      </c>
      <c r="C15235" s="5" t="str">
        <f>IFERROR(__xludf.DUMMYFUNCTION("GOOGLETRANSLATE(B15235,""en"",""es-ES"")"),"Se ve a una mujer sosteniendo ingredientes en sus manos mientras habla con la cámara y el agua hirviendo.")</f>
        <v>Se ve a una mujer sosteniendo ingredientes en sus manos mientras habla con la cámara y el agua hirviendo.</v>
      </c>
    </row>
    <row r="15236">
      <c r="A15236" s="4" t="s">
        <v>19193</v>
      </c>
      <c r="B15236" s="4" t="s">
        <v>19195</v>
      </c>
      <c r="C15236" s="5" t="str">
        <f>IFERROR(__xludf.DUMMYFUNCTION("GOOGLETRANSLATE(B15236,""en"",""es-ES"")"),"Peleos nueces sobre una sartén y las verta en un plato mientras mezcla más ingredientes en una sartén y lo verta sobre las nueces.")</f>
        <v>Peleos nueces sobre una sartén y las verta en un plato mientras mezcla más ingredientes en una sartén y lo verta sobre las nueces.</v>
      </c>
    </row>
    <row r="15237">
      <c r="A15237" s="4" t="s">
        <v>19193</v>
      </c>
      <c r="B15237" s="4" t="s">
        <v>19196</v>
      </c>
      <c r="C15237" s="5" t="str">
        <f>IFERROR(__xludf.DUMMYFUNCTION("GOOGLETRANSLATE(B15237,""en"",""es-ES"")"),"Ella los mezcla todos y muestra varias placas al final.")</f>
        <v>Ella los mezcla todos y muestra varias placas al final.</v>
      </c>
    </row>
    <row r="15238">
      <c r="A15238" s="4" t="s">
        <v>19197</v>
      </c>
      <c r="B15238" s="4" t="s">
        <v>19198</v>
      </c>
      <c r="C15238" s="5" t="str">
        <f>IFERROR(__xludf.DUMMYFUNCTION("GOOGLETRANSLATE(B15238,""en"",""es-ES"")"),"Se ve un primer plano de una guitarra seguido por una persona que rasguea la espalda.")</f>
        <v>Se ve un primer plano de una guitarra seguido por una persona que rasguea la espalda.</v>
      </c>
    </row>
    <row r="15239">
      <c r="A15239" s="4" t="s">
        <v>19197</v>
      </c>
      <c r="B15239" s="4" t="s">
        <v>19199</v>
      </c>
      <c r="C15239" s="5" t="str">
        <f>IFERROR(__xludf.DUMMYFUNCTION("GOOGLETRANSLATE(B15239,""en"",""es-ES"")"),"La persona mueve sus manos hacia arriba y hacia abajo del cuello de la guitarra mientras la mueve a tocar.")</f>
        <v>La persona mueve sus manos hacia arriba y hacia abajo del cuello de la guitarra mientras la mueve a tocar.</v>
      </c>
    </row>
    <row r="15240">
      <c r="A15240" s="4" t="s">
        <v>19197</v>
      </c>
      <c r="B15240" s="4" t="s">
        <v>19200</v>
      </c>
      <c r="C15240" s="5" t="str">
        <f>IFERROR(__xludf.DUMMYFUNCTION("GOOGLETRANSLATE(B15240,""en"",""es-ES"")"),"El hombre continúa tocando el instrumento y se detiene al final.")</f>
        <v>El hombre continúa tocando el instrumento y se detiene al final.</v>
      </c>
    </row>
    <row r="15241">
      <c r="A15241" s="4" t="s">
        <v>19201</v>
      </c>
      <c r="B15241" s="4" t="s">
        <v>19202</v>
      </c>
      <c r="C15241" s="5" t="str">
        <f>IFERROR(__xludf.DUMMYFUNCTION("GOOGLETRANSLATE(B15241,""en"",""es-ES"")"),"Se ve a una mujer caminando en el marco mientras habla con la cámara y pone su rostro en crema.")</f>
        <v>Se ve a una mujer caminando en el marco mientras habla con la cámara y pone su rostro en crema.</v>
      </c>
    </row>
    <row r="15242">
      <c r="A15242" s="4" t="s">
        <v>19201</v>
      </c>
      <c r="B15242" s="4" t="s">
        <v>19203</v>
      </c>
      <c r="C15242" s="5" t="str">
        <f>IFERROR(__xludf.DUMMYFUNCTION("GOOGLETRANSLATE(B15242,""en"",""es-ES"")"),"Luego, la mujer se frota la crema en la cara mientras sigue hablando con la cámara.")</f>
        <v>Luego, la mujer se frota la crema en la cara mientras sigue hablando con la cámara.</v>
      </c>
    </row>
    <row r="15243">
      <c r="A15243" s="4" t="s">
        <v>19201</v>
      </c>
      <c r="B15243" s="4" t="s">
        <v>19204</v>
      </c>
      <c r="C15243" s="5" t="str">
        <f>IFERROR(__xludf.DUMMYFUNCTION("GOOGLETRANSLATE(B15243,""en"",""es-ES"")"),"La cámara se mueve alrededor de la cocina mientras la mujer continúa frotando las manos en la loción.")</f>
        <v>La cámara se mueve alrededor de la cocina mientras la mujer continúa frotando las manos en la loción.</v>
      </c>
    </row>
    <row r="15244">
      <c r="A15244" s="4" t="s">
        <v>19205</v>
      </c>
      <c r="B15244" s="4" t="s">
        <v>19206</v>
      </c>
      <c r="C15244" s="5" t="str">
        <f>IFERROR(__xludf.DUMMYFUNCTION("GOOGLETRANSLATE(B15244,""en"",""es-ES"")"),"Vemos a una persona jet-eski detrás de un bote.")</f>
        <v>Vemos a una persona jet-eski detrás de un bote.</v>
      </c>
    </row>
    <row r="15245">
      <c r="A15245" s="4" t="s">
        <v>19205</v>
      </c>
      <c r="B15245" s="4" t="s">
        <v>19207</v>
      </c>
      <c r="C15245" s="5" t="str">
        <f>IFERROR(__xludf.DUMMYFUNCTION("GOOGLETRANSLATE(B15245,""en"",""es-ES"")"),"El bote corre encallado en un cepillo.")</f>
        <v>El bote corre encallado en un cepillo.</v>
      </c>
    </row>
    <row r="15246">
      <c r="A15246" s="4" t="s">
        <v>19205</v>
      </c>
      <c r="B15246" s="4" t="s">
        <v>19208</v>
      </c>
      <c r="C15246" s="5" t="str">
        <f>IFERROR(__xludf.DUMMYFUNCTION("GOOGLETRANSLATE(B15246,""en"",""es-ES"")"),"El esquiador está acostado en el lago.")</f>
        <v>El esquiador está acostado en el lago.</v>
      </c>
    </row>
    <row r="15247">
      <c r="A15247" s="4" t="s">
        <v>19209</v>
      </c>
      <c r="B15247" s="4" t="s">
        <v>19210</v>
      </c>
      <c r="C15247" s="5" t="str">
        <f>IFERROR(__xludf.DUMMYFUNCTION("GOOGLETRANSLATE(B15247,""en"",""es-ES"")"),"Un hombre juega un acordeón en la calle.")</f>
        <v>Un hombre juega un acordeón en la calle.</v>
      </c>
    </row>
    <row r="15248">
      <c r="A15248" s="4" t="s">
        <v>19209</v>
      </c>
      <c r="B15248" s="4" t="s">
        <v>19211</v>
      </c>
      <c r="C15248" s="5" t="str">
        <f>IFERROR(__xludf.DUMMYFUNCTION("GOOGLETRANSLATE(B15248,""en"",""es-ES"")"),"Lleva una sudadera con capucha.")</f>
        <v>Lleva una sudadera con capucha.</v>
      </c>
    </row>
    <row r="15249">
      <c r="A15249" s="4" t="s">
        <v>19209</v>
      </c>
      <c r="B15249" s="4" t="s">
        <v>19212</v>
      </c>
      <c r="C15249" s="5" t="str">
        <f>IFERROR(__xludf.DUMMYFUNCTION("GOOGLETRANSLATE(B15249,""en"",""es-ES"")"),"Está sentado al lado de su bicicleta.")</f>
        <v>Está sentado al lado de su bicicleta.</v>
      </c>
    </row>
    <row r="15250">
      <c r="A15250" s="4" t="s">
        <v>19209</v>
      </c>
      <c r="B15250" s="4" t="s">
        <v>19213</v>
      </c>
      <c r="C15250" s="5" t="str">
        <f>IFERROR(__xludf.DUMMYFUNCTION("GOOGLETRANSLATE(B15250,""en"",""es-ES"")"),"Un hombre camina en el fondo.")</f>
        <v>Un hombre camina en el fondo.</v>
      </c>
    </row>
    <row r="15251">
      <c r="A15251" s="4" t="s">
        <v>19214</v>
      </c>
      <c r="B15251" s="4" t="s">
        <v>19215</v>
      </c>
      <c r="C15251" s="5" t="str">
        <f>IFERROR(__xludf.DUMMYFUNCTION("GOOGLETRANSLATE(B15251,""en"",""es-ES"")"),"Las palabras ""el lanzamiento de bala"" aparecen en la pantalla sobre un atleta.")</f>
        <v>Las palabras "el lanzamiento de bala" aparecen en la pantalla sobre un atleta.</v>
      </c>
    </row>
    <row r="15252">
      <c r="A15252" s="4" t="s">
        <v>19214</v>
      </c>
      <c r="B15252" s="4" t="s">
        <v>19216</v>
      </c>
      <c r="C15252" s="5" t="str">
        <f>IFERROR(__xludf.DUMMYFUNCTION("GOOGLETRANSLATE(B15252,""en"",""es-ES"")"),"""La introducción de lanzamiento de peso"" aparece en la pantalla seguido de varios atletas que realizan el deporte.")</f>
        <v>"La introducción de lanzamiento de peso" aparece en la pantalla seguido de varios atletas que realizan el deporte.</v>
      </c>
    </row>
    <row r="15253">
      <c r="A15253" s="4" t="s">
        <v>19214</v>
      </c>
      <c r="B15253" s="4" t="s">
        <v>19217</v>
      </c>
      <c r="C15253" s="5" t="str">
        <f>IFERROR(__xludf.DUMMYFUNCTION("GOOGLETRANSLATE(B15253,""en"",""es-ES"")"),"Las palabras ""Gracias por ver"" aparecen en la pantalla.")</f>
        <v>Las palabras "Gracias por ver" aparecen en la pantalla.</v>
      </c>
    </row>
    <row r="15254">
      <c r="A15254" s="4" t="s">
        <v>19218</v>
      </c>
      <c r="B15254" s="4" t="s">
        <v>19219</v>
      </c>
      <c r="C15254" s="5" t="str">
        <f>IFERROR(__xludf.DUMMYFUNCTION("GOOGLETRANSLATE(B15254,""en"",""es-ES"")"),"Un hombre levanta una gran jarra de cerveza y comienza a beberla.")</f>
        <v>Un hombre levanta una gran jarra de cerveza y comienza a beberla.</v>
      </c>
    </row>
    <row r="15255">
      <c r="A15255" s="4" t="s">
        <v>19218</v>
      </c>
      <c r="B15255" s="4" t="s">
        <v>19220</v>
      </c>
      <c r="C15255" s="5" t="str">
        <f>IFERROR(__xludf.DUMMYFUNCTION("GOOGLETRANSLATE(B15255,""en"",""es-ES"")"),"La gente sentada alrededor de una mesa lo animó.")</f>
        <v>La gente sentada alrededor de una mesa lo animó.</v>
      </c>
    </row>
    <row r="15256">
      <c r="A15256" s="4" t="s">
        <v>19218</v>
      </c>
      <c r="B15256" s="4" t="s">
        <v>19221</v>
      </c>
      <c r="C15256" s="5" t="str">
        <f>IFERROR(__xludf.DUMMYFUNCTION("GOOGLETRANSLATE(B15256,""en"",""es-ES"")"),"El hombre pone sus manos en el aire y se ríe.")</f>
        <v>El hombre pone sus manos en el aire y se ríe.</v>
      </c>
    </row>
    <row r="15257">
      <c r="A15257" s="4" t="s">
        <v>19218</v>
      </c>
      <c r="B15257" s="4" t="s">
        <v>19222</v>
      </c>
      <c r="C15257" s="5" t="str">
        <f>IFERROR(__xludf.DUMMYFUNCTION("GOOGLETRANSLATE(B15257,""en"",""es-ES"")"),"Las personas que alrededor de la mesa comienzan a bombear las manos en el aire.")</f>
        <v>Las personas que alrededor de la mesa comienzan a bombear las manos en el aire.</v>
      </c>
    </row>
    <row r="15258">
      <c r="A15258" s="4" t="s">
        <v>19218</v>
      </c>
      <c r="B15258" s="4" t="s">
        <v>19223</v>
      </c>
      <c r="C15258" s="5" t="str">
        <f>IFERROR(__xludf.DUMMYFUNCTION("GOOGLETRANSLATE(B15258,""en"",""es-ES"")"),"El hombre aplaude las manos.")</f>
        <v>El hombre aplaude las manos.</v>
      </c>
    </row>
    <row r="15259">
      <c r="A15259" s="4" t="s">
        <v>19224</v>
      </c>
      <c r="B15259" s="4" t="s">
        <v>19225</v>
      </c>
      <c r="C15259" s="5" t="str">
        <f>IFERROR(__xludf.DUMMYFUNCTION("GOOGLETRANSLATE(B15259,""en"",""es-ES"")"),"Un hombre está parado sobre un horno cocinando algo en una sartén.")</f>
        <v>Un hombre está parado sobre un horno cocinando algo en una sartén.</v>
      </c>
    </row>
    <row r="15260">
      <c r="A15260" s="4" t="s">
        <v>19224</v>
      </c>
      <c r="B15260" s="4" t="s">
        <v>19226</v>
      </c>
      <c r="C15260" s="5" t="str">
        <f>IFERROR(__xludf.DUMMYFUNCTION("GOOGLETRANSLATE(B15260,""en"",""es-ES"")"),"Se dobla para revisar la llama.")</f>
        <v>Se dobla para revisar la llama.</v>
      </c>
    </row>
    <row r="15261">
      <c r="A15261" s="4" t="s">
        <v>19224</v>
      </c>
      <c r="B15261" s="4" t="s">
        <v>19227</v>
      </c>
      <c r="C15261" s="5" t="str">
        <f>IFERROR(__xludf.DUMMYFUNCTION("GOOGLETRANSLATE(B15261,""en"",""es-ES"")"),"Lanza la sartén varias veces.")</f>
        <v>Lanza la sartén varias veces.</v>
      </c>
    </row>
    <row r="15262">
      <c r="A15262" s="4" t="s">
        <v>19224</v>
      </c>
      <c r="B15262" s="4" t="s">
        <v>19228</v>
      </c>
      <c r="C15262" s="5" t="str">
        <f>IFERROR(__xludf.DUMMYFUNCTION("GOOGLETRANSLATE(B15262,""en"",""es-ES"")"),"Está agregando condimentos a la sartén.")</f>
        <v>Está agregando condimentos a la sartén.</v>
      </c>
    </row>
    <row r="15263">
      <c r="A15263" s="4" t="s">
        <v>19224</v>
      </c>
      <c r="B15263" s="4" t="s">
        <v>19229</v>
      </c>
      <c r="C15263" s="5" t="str">
        <f>IFERROR(__xludf.DUMMYFUNCTION("GOOGLETRANSLATE(B15263,""en"",""es-ES"")"),"Vierte un líquido en la sartén.")</f>
        <v>Vierte un líquido en la sartén.</v>
      </c>
    </row>
    <row r="15264">
      <c r="A15264" s="4" t="s">
        <v>19224</v>
      </c>
      <c r="B15264" s="4" t="s">
        <v>19230</v>
      </c>
      <c r="C15264" s="5" t="str">
        <f>IFERROR(__xludf.DUMMYFUNCTION("GOOGLETRANSLATE(B15264,""en"",""es-ES"")"),"Él sacude la sartén de nuevo.")</f>
        <v>Él sacude la sartén de nuevo.</v>
      </c>
    </row>
    <row r="15265">
      <c r="A15265" s="4" t="s">
        <v>19231</v>
      </c>
      <c r="B15265" s="4" t="s">
        <v>19232</v>
      </c>
      <c r="C15265" s="5" t="str">
        <f>IFERROR(__xludf.DUMMYFUNCTION("GOOGLETRANSLATE(B15265,""en"",""es-ES"")"),"Una persona ayuda a otra persona a caminar sobre zancos en la acera.")</f>
        <v>Una persona ayuda a otra persona a caminar sobre zancos en la acera.</v>
      </c>
    </row>
    <row r="15266">
      <c r="A15266" s="4" t="s">
        <v>19231</v>
      </c>
      <c r="B15266" s="4" t="s">
        <v>19233</v>
      </c>
      <c r="C15266" s="5" t="str">
        <f>IFERROR(__xludf.DUMMYFUNCTION("GOOGLETRANSLATE(B15266,""en"",""es-ES"")"),"La persona camina sola.")</f>
        <v>La persona camina sola.</v>
      </c>
    </row>
    <row r="15267">
      <c r="A15267" s="4" t="s">
        <v>19231</v>
      </c>
      <c r="B15267" s="4" t="s">
        <v>19234</v>
      </c>
      <c r="C15267" s="5" t="str">
        <f>IFERROR(__xludf.DUMMYFUNCTION("GOOGLETRANSLATE(B15267,""en"",""es-ES"")"),"El hombre se sienta en una silla.")</f>
        <v>El hombre se sienta en una silla.</v>
      </c>
    </row>
    <row r="15268">
      <c r="A15268" s="4" t="s">
        <v>19235</v>
      </c>
      <c r="B15268" s="4" t="s">
        <v>19236</v>
      </c>
      <c r="C15268" s="5" t="str">
        <f>IFERROR(__xludf.DUMMYFUNCTION("GOOGLETRANSLATE(B15268,""en"",""es-ES"")"),"Se muestran varias pantallas de letras de color naranja brillante sobre un fondo negro.")</f>
        <v>Se muestran varias pantallas de letras de color naranja brillante sobre un fondo negro.</v>
      </c>
    </row>
    <row r="15269">
      <c r="A15269" s="4" t="s">
        <v>19235</v>
      </c>
      <c r="B15269" s="4" t="s">
        <v>19237</v>
      </c>
      <c r="C15269" s="5" t="str">
        <f>IFERROR(__xludf.DUMMYFUNCTION("GOOGLETRANSLATE(B15269,""en"",""es-ES"")"),"Un hombre y una mujer están de pie en una piscina, y el hombre muestra técnicas de natación a la mujer.")</f>
        <v>Un hombre y una mujer están de pie en una piscina, y el hombre muestra técnicas de natación a la mujer.</v>
      </c>
    </row>
    <row r="15270">
      <c r="A15270" s="4" t="s">
        <v>19235</v>
      </c>
      <c r="B15270" s="4" t="s">
        <v>19238</v>
      </c>
      <c r="C15270" s="5" t="str">
        <f>IFERROR(__xludf.DUMMYFUNCTION("GOOGLETRANSLATE(B15270,""en"",""es-ES"")"),"La mujer comienza a emular las acciones del hombre, moviendo los brazos y sumergiendo la cabeza bajo el agua.")</f>
        <v>La mujer comienza a emular las acciones del hombre, moviendo los brazos y sumergiendo la cabeza bajo el agua.</v>
      </c>
    </row>
    <row r="15271">
      <c r="A15271" s="4" t="s">
        <v>19235</v>
      </c>
      <c r="B15271" s="4" t="s">
        <v>19239</v>
      </c>
      <c r="C15271" s="5" t="str">
        <f>IFERROR(__xludf.DUMMYFUNCTION("GOOGLETRANSLATE(B15271,""en"",""es-ES"")"),"El hombre le muestra cómo nadar hacia afuera al hacerlo él mismo.")</f>
        <v>El hombre le muestra cómo nadar hacia afuera al hacerlo él mismo.</v>
      </c>
    </row>
    <row r="15272">
      <c r="A15272" s="4" t="s">
        <v>19235</v>
      </c>
      <c r="B15272" s="4" t="s">
        <v>19240</v>
      </c>
      <c r="C15272" s="5" t="str">
        <f>IFERROR(__xludf.DUMMYFUNCTION("GOOGLETRANSLATE(B15272,""en"",""es-ES"")"),"La mujer mira mientras se aleja.")</f>
        <v>La mujer mira mientras se aleja.</v>
      </c>
    </row>
    <row r="15273">
      <c r="A15273" s="4" t="s">
        <v>19241</v>
      </c>
      <c r="B15273" s="4" t="s">
        <v>19242</v>
      </c>
      <c r="C15273" s="5" t="str">
        <f>IFERROR(__xludf.DUMMYFUNCTION("GOOGLETRANSLATE(B15273,""en"",""es-ES"")"),"Una niña está vertiendo ingredientes en un tazón y mezclándolos.")</f>
        <v>Una niña está vertiendo ingredientes en un tazón y mezclándolos.</v>
      </c>
    </row>
    <row r="15274">
      <c r="A15274" s="4" t="s">
        <v>19241</v>
      </c>
      <c r="B15274" s="4" t="s">
        <v>19243</v>
      </c>
      <c r="C15274" s="5" t="str">
        <f>IFERROR(__xludf.DUMMYFUNCTION("GOOGLETRANSLATE(B15274,""en"",""es-ES"")"),"Ella usa un cortador de galletas para cortar formas de la masa.")</f>
        <v>Ella usa un cortador de galletas para cortar formas de la masa.</v>
      </c>
    </row>
    <row r="15275">
      <c r="A15275" s="4" t="s">
        <v>19241</v>
      </c>
      <c r="B15275" s="4" t="s">
        <v>19244</v>
      </c>
      <c r="C15275" s="5" t="str">
        <f>IFERROR(__xludf.DUMMYFUNCTION("GOOGLETRANSLATE(B15275,""en"",""es-ES"")"),"Ella está sumergiendo la masa en un esmalte blanco.")</f>
        <v>Ella está sumergiendo la masa en un esmalte blanco.</v>
      </c>
    </row>
    <row r="15276">
      <c r="A15276" s="4" t="s">
        <v>19245</v>
      </c>
      <c r="B15276" s="4" t="s">
        <v>19246</v>
      </c>
      <c r="C15276" s="5" t="str">
        <f>IFERROR(__xludf.DUMMYFUNCTION("GOOGLETRANSLATE(B15276,""en"",""es-ES"")"),"Una persona está soplando hojas en el fondo de su patio.")</f>
        <v>Una persona está soplando hojas en el fondo de su patio.</v>
      </c>
    </row>
    <row r="15277">
      <c r="A15277" s="4" t="s">
        <v>19245</v>
      </c>
      <c r="B15277" s="4" t="s">
        <v>19247</v>
      </c>
      <c r="C15277" s="5" t="str">
        <f>IFERROR(__xludf.DUMMYFUNCTION("GOOGLETRANSLATE(B15277,""en"",""es-ES"")"),"El niño está teniendo algunos problemas, pero generalmente está haciendo un trabajo bueno.")</f>
        <v>El niño está teniendo algunos problemas, pero generalmente está haciendo un trabajo bueno.</v>
      </c>
    </row>
    <row r="15278">
      <c r="A15278" s="4" t="s">
        <v>19248</v>
      </c>
      <c r="B15278" s="4" t="s">
        <v>19249</v>
      </c>
      <c r="C15278" s="5" t="str">
        <f>IFERROR(__xludf.DUMMYFUNCTION("GOOGLETRANSLATE(B15278,""en"",""es-ES"")"),"Un presentador de noticias presenta una historia detrás de un escritorio en una gran sala de redacción.")</f>
        <v>Un presentador de noticias presenta una historia detrás de un escritorio en una gran sala de redacción.</v>
      </c>
    </row>
    <row r="15279">
      <c r="A15279" s="4" t="s">
        <v>19248</v>
      </c>
      <c r="B15279" s="4" t="s">
        <v>19250</v>
      </c>
      <c r="C15279" s="5" t="str">
        <f>IFERROR(__xludf.DUMMYFUNCTION("GOOGLETRANSLATE(B15279,""en"",""es-ES"")"),"Se ve a las personas fumando cigarrillos regulares y cigarrillos eléctricos.")</f>
        <v>Se ve a las personas fumando cigarrillos regulares y cigarrillos eléctricos.</v>
      </c>
    </row>
    <row r="15280">
      <c r="A15280" s="4" t="s">
        <v>19248</v>
      </c>
      <c r="B15280" s="4" t="s">
        <v>19251</v>
      </c>
      <c r="C15280" s="5" t="str">
        <f>IFERROR(__xludf.DUMMYFUNCTION("GOOGLETRANSLATE(B15280,""en"",""es-ES"")"),"El presentador de noticias habla con un invitado en la sala de redacción.")</f>
        <v>El presentador de noticias habla con un invitado en la sala de redacción.</v>
      </c>
    </row>
    <row r="15281">
      <c r="A15281" s="4" t="s">
        <v>19248</v>
      </c>
      <c r="B15281" s="4" t="s">
        <v>19252</v>
      </c>
      <c r="C15281" s="5" t="str">
        <f>IFERROR(__xludf.DUMMYFUNCTION("GOOGLETRANSLATE(B15281,""en"",""es-ES"")"),"Se ven profesionales en las oficinas que discuten el tema.")</f>
        <v>Se ven profesionales en las oficinas que discuten el tema.</v>
      </c>
    </row>
    <row r="15282">
      <c r="A15282" s="4" t="s">
        <v>19248</v>
      </c>
      <c r="B15282" s="4" t="s">
        <v>19253</v>
      </c>
      <c r="C15282" s="5" t="str">
        <f>IFERROR(__xludf.DUMMYFUNCTION("GOOGLETRANSLATE(B15282,""en"",""es-ES"")"),"El texto se ve en un fondo rojo con un sitio web e información.")</f>
        <v>El texto se ve en un fondo rojo con un sitio web e información.</v>
      </c>
    </row>
    <row r="15283">
      <c r="A15283" s="4" t="s">
        <v>19254</v>
      </c>
      <c r="B15283" s="4" t="s">
        <v>19255</v>
      </c>
      <c r="C15283" s="5" t="str">
        <f>IFERROR(__xludf.DUMMYFUNCTION("GOOGLETRANSLATE(B15283,""en"",""es-ES"")"),"Se muestra a un hombre sonriendo y hablando en la cámara y sosteniendo a un niño en un fregadero.")</f>
        <v>Se muestra a un hombre sonriendo y hablando en la cámara y sosteniendo a un niño en un fregadero.</v>
      </c>
    </row>
    <row r="15284">
      <c r="A15284" s="4" t="s">
        <v>19254</v>
      </c>
      <c r="B15284" s="4" t="s">
        <v>19256</v>
      </c>
      <c r="C15284" s="5" t="str">
        <f>IFERROR(__xludf.DUMMYFUNCTION("GOOGLETRANSLATE(B15284,""en"",""es-ES"")"),"El hombre sostiene los ojos de los niños mientras él se ríe y se cepilla los dientes.")</f>
        <v>El hombre sostiene los ojos de los niños mientras él se ríe y se cepilla los dientes.</v>
      </c>
    </row>
    <row r="15285">
      <c r="A15285" s="4" t="s">
        <v>19257</v>
      </c>
      <c r="B15285" s="4" t="s">
        <v>19258</v>
      </c>
      <c r="C15285" s="5" t="str">
        <f>IFERROR(__xludf.DUMMYFUNCTION("GOOGLETRANSLATE(B15285,""en"",""es-ES"")"),"Una bailarina comienza a bailar en un escenario.")</f>
        <v>Una bailarina comienza a bailar en un escenario.</v>
      </c>
    </row>
    <row r="15286">
      <c r="A15286" s="4" t="s">
        <v>19257</v>
      </c>
      <c r="B15286" s="4" t="s">
        <v>19259</v>
      </c>
      <c r="C15286" s="5" t="str">
        <f>IFERROR(__xludf.DUMMYFUNCTION("GOOGLETRANSLATE(B15286,""en"",""es-ES"")"),"Ella hace varios giros en el escenario.")</f>
        <v>Ella hace varios giros en el escenario.</v>
      </c>
    </row>
    <row r="15287">
      <c r="A15287" s="4" t="s">
        <v>19257</v>
      </c>
      <c r="B15287" s="4" t="s">
        <v>19260</v>
      </c>
      <c r="C15287" s="5" t="str">
        <f>IFERROR(__xludf.DUMMYFUNCTION("GOOGLETRANSLATE(B15287,""en"",""es-ES"")"),"Ella hace un salto en el escenario.")</f>
        <v>Ella hace un salto en el escenario.</v>
      </c>
    </row>
    <row r="15288">
      <c r="A15288" s="4" t="s">
        <v>19257</v>
      </c>
      <c r="B15288" s="4" t="s">
        <v>19261</v>
      </c>
      <c r="C15288" s="5" t="str">
        <f>IFERROR(__xludf.DUMMYFUNCTION("GOOGLETRANSLATE(B15288,""en"",""es-ES"")"),"Ella se acuesta en el escenario.")</f>
        <v>Ella se acuesta en el escenario.</v>
      </c>
    </row>
    <row r="15289">
      <c r="A15289" s="4" t="s">
        <v>19262</v>
      </c>
      <c r="B15289" s="4" t="s">
        <v>19263</v>
      </c>
      <c r="C15289" s="5" t="str">
        <f>IFERROR(__xludf.DUMMYFUNCTION("GOOGLETRANSLATE(B15289,""en"",""es-ES"")"),"Se ve a un hombre hablando con la cámara que conduce a una persona que juega crochet.")</f>
        <v>Se ve a un hombre hablando con la cámara que conduce a una persona que juega crochet.</v>
      </c>
    </row>
    <row r="15290">
      <c r="A15290" s="4" t="s">
        <v>19262</v>
      </c>
      <c r="B15290" s="4" t="s">
        <v>19264</v>
      </c>
      <c r="C15290" s="5" t="str">
        <f>IFERROR(__xludf.DUMMYFUNCTION("GOOGLETRANSLATE(B15290,""en"",""es-ES"")"),"Se muestran varias tomas de niños que golpean las bolas y hablan con la cámara.")</f>
        <v>Se muestran varias tomas de niños que golpean las bolas y hablan con la cámara.</v>
      </c>
    </row>
    <row r="15291">
      <c r="A15291" s="4" t="s">
        <v>19262</v>
      </c>
      <c r="B15291" s="4" t="s">
        <v>19265</v>
      </c>
      <c r="C15291" s="5" t="str">
        <f>IFERROR(__xludf.DUMMYFUNCTION("GOOGLETRANSLATE(B15291,""en"",""es-ES"")"),"Más niños y adultos hablan con la cámara mientras muestran cómo golpean la pelota.")</f>
        <v>Más niños y adultos hablan con la cámara mientras muestran cómo golpean la pelota.</v>
      </c>
    </row>
    <row r="15292">
      <c r="A15292" s="4" t="s">
        <v>19266</v>
      </c>
      <c r="B15292" s="4" t="s">
        <v>19267</v>
      </c>
      <c r="C15292" s="5" t="str">
        <f>IFERROR(__xludf.DUMMYFUNCTION("GOOGLETRANSLATE(B15292,""en"",""es-ES"")"),"Se ve a una persona corriendo por una larga pista con un poste e intentando empujarse hacia adelante.")</f>
        <v>Se ve a una persona corriendo por una larga pista con un poste e intentando empujarse hacia adelante.</v>
      </c>
    </row>
    <row r="15293">
      <c r="A15293" s="4" t="s">
        <v>19266</v>
      </c>
      <c r="B15293" s="4" t="s">
        <v>19268</v>
      </c>
      <c r="C15293" s="5" t="str">
        <f>IFERROR(__xludf.DUMMYFUNCTION("GOOGLETRANSLATE(B15293,""en"",""es-ES"")"),"Su carrera se muestra nuevamente en cámara lenta mientras otra persona intenta empujar sobre el poste y falla.")</f>
        <v>Su carrera se muestra nuevamente en cámara lenta mientras otra persona intenta empujar sobre el poste y falla.</v>
      </c>
    </row>
    <row r="15294">
      <c r="A15294" s="4" t="s">
        <v>19266</v>
      </c>
      <c r="B15294" s="4" t="s">
        <v>19269</v>
      </c>
      <c r="C15294" s="5" t="str">
        <f>IFERROR(__xludf.DUMMYFUNCTION("GOOGLETRANSLATE(B15294,""en"",""es-ES"")"),"Se muestran más clips de personas que intentan saltar sobre la pared y no hacerlo lo suficientemente alto.")</f>
        <v>Se muestran más clips de personas que intentan saltar sobre la pared y no hacerlo lo suficientemente alto.</v>
      </c>
    </row>
    <row r="15295">
      <c r="A15295" s="4" t="s">
        <v>19270</v>
      </c>
      <c r="B15295" s="4" t="s">
        <v>19271</v>
      </c>
      <c r="C15295" s="5" t="str">
        <f>IFERROR(__xludf.DUMMYFUNCTION("GOOGLETRANSLATE(B15295,""en"",""es-ES"")"),"Dos niños están jugando en la parte trasera de un camión.")</f>
        <v>Dos niños están jugando en la parte trasera de un camión.</v>
      </c>
    </row>
    <row r="15296">
      <c r="A15296" s="4" t="s">
        <v>19270</v>
      </c>
      <c r="B15296" s="4" t="s">
        <v>19272</v>
      </c>
      <c r="C15296" s="5" t="str">
        <f>IFERROR(__xludf.DUMMYFUNCTION("GOOGLETRANSLATE(B15296,""en"",""es-ES"")"),"La gente está de pie alrededor de un camión de helado amarillo.")</f>
        <v>La gente está de pie alrededor de un camión de helado amarillo.</v>
      </c>
    </row>
    <row r="15297">
      <c r="A15297" s="4" t="s">
        <v>19270</v>
      </c>
      <c r="B15297" s="4" t="s">
        <v>19273</v>
      </c>
      <c r="C15297" s="5" t="str">
        <f>IFERROR(__xludf.DUMMYFUNCTION("GOOGLETRANSLATE(B15297,""en"",""es-ES"")"),"Dos niños están sentados en una acera comiendo helado.")</f>
        <v>Dos niños están sentados en una acera comiendo helado.</v>
      </c>
    </row>
    <row r="15298">
      <c r="A15298" s="4" t="s">
        <v>19274</v>
      </c>
      <c r="B15298" s="4" t="s">
        <v>1487</v>
      </c>
      <c r="C15298" s="5" t="str">
        <f>IFERROR(__xludf.DUMMYFUNCTION("GOOGLETRANSLATE(B15298,""en"",""es-ES"")"),"Vemos una pantalla de título de apertura.")</f>
        <v>Vemos una pantalla de título de apertura.</v>
      </c>
    </row>
    <row r="15299">
      <c r="A15299" s="4" t="s">
        <v>19274</v>
      </c>
      <c r="B15299" s="4" t="s">
        <v>19275</v>
      </c>
      <c r="C15299" s="5" t="str">
        <f>IFERROR(__xludf.DUMMYFUNCTION("GOOGLETRANSLATE(B15299,""en"",""es-ES"")"),"Luego vemos a una chica correr y caer sobre un deslizamiento y deslizamiento.")</f>
        <v>Luego vemos a una chica correr y caer sobre un deslizamiento y deslizamiento.</v>
      </c>
    </row>
    <row r="15300">
      <c r="A15300" s="4" t="s">
        <v>19274</v>
      </c>
      <c r="B15300" s="4" t="s">
        <v>19276</v>
      </c>
      <c r="C15300" s="5" t="str">
        <f>IFERROR(__xludf.DUMMYFUNCTION("GOOGLETRANSLATE(B15300,""en"",""es-ES"")"),"Vemos otra pantalla de título y vemos que los niños se deslizan hacia abajo se deslizan hacia abajo y a través de su deslizamiento y deslizamiento.")</f>
        <v>Vemos otra pantalla de título y vemos que los niños se deslizan hacia abajo se deslizan hacia abajo y a través de su deslizamiento y deslizamiento.</v>
      </c>
    </row>
    <row r="15301">
      <c r="A15301" s="4" t="s">
        <v>19274</v>
      </c>
      <c r="B15301" s="4" t="s">
        <v>19277</v>
      </c>
      <c r="C15301" s="5" t="str">
        <f>IFERROR(__xludf.DUMMYFUNCTION("GOOGLETRANSLATE(B15301,""en"",""es-ES"")"),"Un niño se desliza por el tobogán sobre una balsa.")</f>
        <v>Un niño se desliza por el tobogán sobre una balsa.</v>
      </c>
    </row>
    <row r="15302">
      <c r="A15302" s="4" t="s">
        <v>19278</v>
      </c>
      <c r="B15302" s="4" t="s">
        <v>19279</v>
      </c>
      <c r="C15302" s="5" t="str">
        <f>IFERROR(__xludf.DUMMYFUNCTION("GOOGLETRANSLATE(B15302,""en"",""es-ES"")"),"Un hombre está demostrando cómo encender un pequeño pozo de fuego.")</f>
        <v>Un hombre está demostrando cómo encender un pequeño pozo de fuego.</v>
      </c>
    </row>
    <row r="15303">
      <c r="A15303" s="4" t="s">
        <v>19278</v>
      </c>
      <c r="B15303" s="4" t="s">
        <v>19280</v>
      </c>
      <c r="C15303" s="5" t="str">
        <f>IFERROR(__xludf.DUMMYFUNCTION("GOOGLETRANSLATE(B15303,""en"",""es-ES"")"),"Primero, el hombre muestra el pedernal que tiene para el fuego.")</f>
        <v>Primero, el hombre muestra el pedernal que tiene para el fuego.</v>
      </c>
    </row>
    <row r="15304">
      <c r="A15304" s="4" t="s">
        <v>19278</v>
      </c>
      <c r="B15304" s="4" t="s">
        <v>19281</v>
      </c>
      <c r="C15304" s="5" t="str">
        <f>IFERROR(__xludf.DUMMYFUNCTION("GOOGLETRANSLATE(B15304,""en"",""es-ES"")"),"Luego pone el pedernal en una pila de madera.")</f>
        <v>Luego pone el pedernal en una pila de madera.</v>
      </c>
    </row>
    <row r="15305">
      <c r="A15305" s="4" t="s">
        <v>19278</v>
      </c>
      <c r="B15305" s="4" t="s">
        <v>19282</v>
      </c>
      <c r="C15305" s="5" t="str">
        <f>IFERROR(__xludf.DUMMYFUNCTION("GOOGLETRANSLATE(B15305,""en"",""es-ES"")"),"El hombre luego enciende el fuego, que se extiende lentamente por la madera.")</f>
        <v>El hombre luego enciende el fuego, que se extiende lentamente por la madera.</v>
      </c>
    </row>
    <row r="15306">
      <c r="A15306" s="4" t="s">
        <v>19278</v>
      </c>
      <c r="B15306" s="4" t="s">
        <v>19283</v>
      </c>
      <c r="C15306" s="5" t="str">
        <f>IFERROR(__xludf.DUMMYFUNCTION("GOOGLETRANSLATE(B15306,""en"",""es-ES"")"),"El hombre luego empuja el fuego con trozos de madera plana para extender el fuego.")</f>
        <v>El hombre luego empuja el fuego con trozos de madera plana para extender el fuego.</v>
      </c>
    </row>
    <row r="15307">
      <c r="A15307" s="4" t="s">
        <v>19278</v>
      </c>
      <c r="B15307" s="4" t="s">
        <v>19284</v>
      </c>
      <c r="C15307" s="5" t="str">
        <f>IFERROR(__xludf.DUMMYFUNCTION("GOOGLETRANSLATE(B15307,""en"",""es-ES"")"),"El hombre luego sacude las ramitas en la madera para extender aún más el fuego.")</f>
        <v>El hombre luego sacude las ramitas en la madera para extender aún más el fuego.</v>
      </c>
    </row>
    <row r="15308">
      <c r="A15308" s="4" t="s">
        <v>19285</v>
      </c>
      <c r="B15308" s="4" t="s">
        <v>19286</v>
      </c>
      <c r="C15308" s="5" t="str">
        <f>IFERROR(__xludf.DUMMYFUNCTION("GOOGLETRANSLATE(B15308,""en"",""es-ES"")"),"Hay dos hombres jugando a Ping Pong en un sótano.")</f>
        <v>Hay dos hombres jugando a Ping Pong en un sótano.</v>
      </c>
    </row>
    <row r="15309">
      <c r="A15309" s="4" t="s">
        <v>19285</v>
      </c>
      <c r="B15309" s="4" t="s">
        <v>19287</v>
      </c>
      <c r="C15309" s="5" t="str">
        <f>IFERROR(__xludf.DUMMYFUNCTION("GOOGLETRANSLATE(B15309,""en"",""es-ES"")"),"Uno de los jugadores lleva una camisa negra y la otra es una camisa azul.")</f>
        <v>Uno de los jugadores lleva una camisa negra y la otra es una camisa azul.</v>
      </c>
    </row>
    <row r="15310">
      <c r="A15310" s="4" t="s">
        <v>19285</v>
      </c>
      <c r="B15310" s="4" t="s">
        <v>19288</v>
      </c>
      <c r="C15310" s="5" t="str">
        <f>IFERROR(__xludf.DUMMYFUNCTION("GOOGLETRANSLATE(B15310,""en"",""es-ES"")"),"Hay un colchón apoyado contra la pared del sótano.")</f>
        <v>Hay un colchón apoyado contra la pared del sótano.</v>
      </c>
    </row>
    <row r="15311">
      <c r="A15311" s="4" t="s">
        <v>19285</v>
      </c>
      <c r="B15311" s="4" t="s">
        <v>19289</v>
      </c>
      <c r="C15311" s="5" t="str">
        <f>IFERROR(__xludf.DUMMYFUNCTION("GOOGLETRANSLATE(B15311,""en"",""es-ES"")"),"Los jugadores continúan jugando un rally suave.")</f>
        <v>Los jugadores continúan jugando un rally suave.</v>
      </c>
    </row>
    <row r="15312">
      <c r="A15312" s="4" t="s">
        <v>19285</v>
      </c>
      <c r="B15312" s="4" t="s">
        <v>19290</v>
      </c>
      <c r="C15312" s="5" t="str">
        <f>IFERROR(__xludf.DUMMYFUNCTION("GOOGLETRANSLATE(B15312,""en"",""es-ES"")"),"Entonces la persona en negro pierde el tiro.")</f>
        <v>Entonces la persona en negro pierde el tiro.</v>
      </c>
    </row>
    <row r="15313">
      <c r="A15313" s="4" t="s">
        <v>19285</v>
      </c>
      <c r="B15313" s="4" t="s">
        <v>19291</v>
      </c>
      <c r="C15313" s="5" t="str">
        <f>IFERROR(__xludf.DUMMYFUNCTION("GOOGLETRANSLATE(B15313,""en"",""es-ES"")"),"Continúan jugando a Ping Pong por algunas rondas más.")</f>
        <v>Continúan jugando a Ping Pong por algunas rondas más.</v>
      </c>
    </row>
    <row r="15314">
      <c r="A15314" s="4" t="s">
        <v>19285</v>
      </c>
      <c r="B15314" s="4" t="s">
        <v>19292</v>
      </c>
      <c r="C15314" s="5" t="str">
        <f>IFERROR(__xludf.DUMMYFUNCTION("GOOGLETRANSLATE(B15314,""en"",""es-ES"")"),"La persona de azul golpea la pelota en la red.")</f>
        <v>La persona de azul golpea la pelota en la red.</v>
      </c>
    </row>
    <row r="15315">
      <c r="A15315" s="4" t="s">
        <v>19285</v>
      </c>
      <c r="B15315" s="4" t="s">
        <v>19293</v>
      </c>
      <c r="C15315" s="5" t="str">
        <f>IFERROR(__xludf.DUMMYFUNCTION("GOOGLETRANSLATE(B15315,""en"",""es-ES"")"),"Continúan jugando más hasta que la persona de azul deja caer la pelota en el suelo.")</f>
        <v>Continúan jugando más hasta que la persona de azul deja caer la pelota en el suelo.</v>
      </c>
    </row>
    <row r="15316">
      <c r="A15316" s="4" t="s">
        <v>19294</v>
      </c>
      <c r="B15316" s="4" t="s">
        <v>19295</v>
      </c>
      <c r="C15316" s="5" t="str">
        <f>IFERROR(__xludf.DUMMYFUNCTION("GOOGLETRANSLATE(B15316,""en"",""es-ES"")"),"Una persona recorta la parte superior de un seto rosado con una recortadora de cobertura.")</f>
        <v>Una persona recorta la parte superior de un seto rosado con una recortadora de cobertura.</v>
      </c>
    </row>
    <row r="15317">
      <c r="A15317" s="4" t="s">
        <v>19294</v>
      </c>
      <c r="B15317" s="4" t="s">
        <v>19296</v>
      </c>
      <c r="C15317" s="5" t="str">
        <f>IFERROR(__xludf.DUMMYFUNCTION("GOOGLETRANSLATE(B15317,""en"",""es-ES"")"),"Luego, el hombre recorta los lados del seto rosado en una casa.")</f>
        <v>Luego, el hombre recorta los lados del seto rosado en una casa.</v>
      </c>
    </row>
    <row r="15318">
      <c r="A15318" s="4" t="s">
        <v>19297</v>
      </c>
      <c r="B15318" s="4" t="s">
        <v>19298</v>
      </c>
      <c r="C15318" s="5" t="str">
        <f>IFERROR(__xludf.DUMMYFUNCTION("GOOGLETRANSLATE(B15318,""en"",""es-ES"")"),"Varias fotos de una niña y un caballo y conducen a una persona montando un caballo sobre saltos.")</f>
        <v>Varias fotos de una niña y un caballo y conducen a una persona montando un caballo sobre saltos.</v>
      </c>
    </row>
    <row r="15319">
      <c r="A15319" s="4" t="s">
        <v>19297</v>
      </c>
      <c r="B15319" s="4" t="s">
        <v>19299</v>
      </c>
      <c r="C15319" s="5" t="str">
        <f>IFERROR(__xludf.DUMMYFUNCTION("GOOGLETRANSLATE(B15319,""en"",""es-ES"")"),"Se muestran más fotos del caballo y la persona, seguidos de más clips de la niña montando el caballo.")</f>
        <v>Se muestran más fotos del caballo y la persona, seguidos de más clips de la niña montando el caballo.</v>
      </c>
    </row>
    <row r="15320">
      <c r="A15320" s="4" t="s">
        <v>19297</v>
      </c>
      <c r="B15320" s="4" t="s">
        <v>19300</v>
      </c>
      <c r="C15320" s="5" t="str">
        <f>IFERROR(__xludf.DUMMYFUNCTION("GOOGLETRANSLATE(B15320,""en"",""es-ES"")"),"Al final, el caballo se ve atado a los establos y la niña deambula a su alrededor.")</f>
        <v>Al final, el caballo se ve atado a los establos y la niña deambula a su alrededor.</v>
      </c>
    </row>
    <row r="15321">
      <c r="A15321" s="4" t="s">
        <v>19301</v>
      </c>
      <c r="B15321" s="4" t="s">
        <v>19302</v>
      </c>
      <c r="C15321" s="5" t="str">
        <f>IFERROR(__xludf.DUMMYFUNCTION("GOOGLETRANSLATE(B15321,""en"",""es-ES"")"),"Una mujer joven está sentada en un sillón rojo cuando una artista de tatuajes comienza a hacer su trabajo.")</f>
        <v>Una mujer joven está sentada en un sillón rojo cuando una artista de tatuajes comienza a hacer su trabajo.</v>
      </c>
    </row>
    <row r="15322">
      <c r="A15322" s="4" t="s">
        <v>19301</v>
      </c>
      <c r="B15322" s="4" t="s">
        <v>19303</v>
      </c>
      <c r="C15322" s="5" t="str">
        <f>IFERROR(__xludf.DUMMYFUNCTION("GOOGLETRANSLATE(B15322,""en"",""es-ES"")"),"Mientras aplica la aguja, la niña se frunce en la cara, pero se queda lo más quieto posible.")</f>
        <v>Mientras aplica la aguja, la niña se frunce en la cara, pero se queda lo más quieto posible.</v>
      </c>
    </row>
    <row r="15323">
      <c r="A15323" s="4" t="s">
        <v>19301</v>
      </c>
      <c r="B15323" s="4" t="s">
        <v>19304</v>
      </c>
      <c r="C15323" s="5" t="str">
        <f>IFERROR(__xludf.DUMMYFUNCTION("GOOGLETRANSLATE(B15323,""en"",""es-ES"")"),"El tatuaje finalmente ha terminado y el hombre abre el resto del tatuaje en su pie.")</f>
        <v>El tatuaje finalmente ha terminado y el hombre abre el resto del tatuaje en su pie.</v>
      </c>
    </row>
    <row r="15324">
      <c r="A15324" s="4" t="s">
        <v>19305</v>
      </c>
      <c r="B15324" s="4" t="s">
        <v>19306</v>
      </c>
      <c r="C15324" s="5" t="str">
        <f>IFERROR(__xludf.DUMMYFUNCTION("GOOGLETRANSLATE(B15324,""en"",""es-ES"")"),"Un hombre entra en círculo en un campo.")</f>
        <v>Un hombre entra en círculo en un campo.</v>
      </c>
    </row>
    <row r="15325">
      <c r="A15325" s="4" t="s">
        <v>19305</v>
      </c>
      <c r="B15325" s="4" t="s">
        <v>19307</v>
      </c>
      <c r="C15325" s="5" t="str">
        <f>IFERROR(__xludf.DUMMYFUNCTION("GOOGLETRANSLATE(B15325,""en"",""es-ES"")"),"Él gira mientras sostiene un disco.")</f>
        <v>Él gira mientras sostiene un disco.</v>
      </c>
    </row>
    <row r="15326">
      <c r="A15326" s="4" t="s">
        <v>19305</v>
      </c>
      <c r="B15326" s="4" t="s">
        <v>19308</v>
      </c>
      <c r="C15326" s="5" t="str">
        <f>IFERROR(__xludf.DUMMYFUNCTION("GOOGLETRANSLATE(B15326,""en"",""es-ES"")"),"Él suelta el disco, dejando que vuele por el aire.")</f>
        <v>Él suelta el disco, dejando que vuele por el aire.</v>
      </c>
    </row>
    <row r="15327">
      <c r="A15327" s="4" t="s">
        <v>19309</v>
      </c>
      <c r="B15327" s="4" t="s">
        <v>19310</v>
      </c>
      <c r="C15327" s="5" t="str">
        <f>IFERROR(__xludf.DUMMYFUNCTION("GOOGLETRANSLATE(B15327,""en"",""es-ES"")"),"Un hombre está sentado en una silla.")</f>
        <v>Un hombre está sentado en una silla.</v>
      </c>
    </row>
    <row r="15328">
      <c r="A15328" s="4" t="s">
        <v>19309</v>
      </c>
      <c r="B15328" s="4" t="s">
        <v>19311</v>
      </c>
      <c r="C15328" s="5" t="str">
        <f>IFERROR(__xludf.DUMMYFUNCTION("GOOGLETRANSLATE(B15328,""en"",""es-ES"")"),"Lleva una máscara en su rostro.")</f>
        <v>Lleva una máscara en su rostro.</v>
      </c>
    </row>
    <row r="15329">
      <c r="A15329" s="4" t="s">
        <v>19309</v>
      </c>
      <c r="B15329" s="4" t="s">
        <v>19312</v>
      </c>
      <c r="C15329" s="5" t="str">
        <f>IFERROR(__xludf.DUMMYFUNCTION("GOOGLETRANSLATE(B15329,""en"",""es-ES"")"),"Él está soldando algo frente a él.")</f>
        <v>Él está soldando algo frente a él.</v>
      </c>
    </row>
    <row r="15330">
      <c r="A15330" s="4" t="s">
        <v>19313</v>
      </c>
      <c r="B15330" s="4" t="s">
        <v>19314</v>
      </c>
      <c r="C15330" s="5" t="str">
        <f>IFERROR(__xludf.DUMMYFUNCTION("GOOGLETRANSLATE(B15330,""en"",""es-ES"")"),"Se ve a un niño sentado en una silla mirando hacia otro lado con otros caminando.")</f>
        <v>Se ve a un niño sentado en una silla mirando hacia otro lado con otros caminando.</v>
      </c>
    </row>
    <row r="15331">
      <c r="A15331" s="4" t="s">
        <v>19313</v>
      </c>
      <c r="B15331" s="4" t="s">
        <v>19315</v>
      </c>
      <c r="C15331" s="5" t="str">
        <f>IFERROR(__xludf.DUMMYFUNCTION("GOOGLETRANSLATE(B15331,""en"",""es-ES"")"),"El hombre toma un sorbo de una bebida y hace una cara divertida.")</f>
        <v>El hombre toma un sorbo de una bebida y hace una cara divertida.</v>
      </c>
    </row>
    <row r="15332">
      <c r="A15332" s="4" t="s">
        <v>19316</v>
      </c>
      <c r="B15332" s="4" t="s">
        <v>19317</v>
      </c>
      <c r="C15332" s="5" t="str">
        <f>IFERROR(__xludf.DUMMYFUNCTION("GOOGLETRANSLATE(B15332,""en"",""es-ES"")"),"Se ve a un gran grupo de personas caminando en la nieve y se entrevistan a varias en la cámara.")</f>
        <v>Se ve a un gran grupo de personas caminando en la nieve y se entrevistan a varias en la cámara.</v>
      </c>
    </row>
    <row r="15333">
      <c r="A15333" s="4" t="s">
        <v>19316</v>
      </c>
      <c r="B15333" s="4" t="s">
        <v>19318</v>
      </c>
      <c r="C15333" s="5" t="str">
        <f>IFERROR(__xludf.DUMMYFUNCTION("GOOGLETRANSLATE(B15333,""en"",""es-ES"")"),"Se ven dentro de una tienda afilando los esquí y riendo el uno con el otro.")</f>
        <v>Se ven dentro de una tienda afilando los esquí y riendo el uno con el otro.</v>
      </c>
    </row>
    <row r="15334">
      <c r="A15334" s="4" t="s">
        <v>19319</v>
      </c>
      <c r="B15334" s="4" t="s">
        <v>19320</v>
      </c>
      <c r="C15334" s="5" t="str">
        <f>IFERROR(__xludf.DUMMYFUNCTION("GOOGLETRANSLATE(B15334,""en"",""es-ES"")"),"Se ve a un pequeño grupo de personas de pie con una mujer con señales y conduce a personas que juegan tira y afloja.")</f>
        <v>Se ve a un pequeño grupo de personas de pie con una mujer con señales y conduce a personas que juegan tira y afloja.</v>
      </c>
    </row>
    <row r="15335">
      <c r="A15335" s="4" t="s">
        <v>19319</v>
      </c>
      <c r="B15335" s="4" t="s">
        <v>19321</v>
      </c>
      <c r="C15335" s="5" t="str">
        <f>IFERROR(__xludf.DUMMYFUNCTION("GOOGLETRANSLATE(B15335,""en"",""es-ES"")"),"Se muestran varias tomas de los juegos, así como una niña bailando y los niños se calientan.")</f>
        <v>Se muestran varias tomas de los juegos, así como una niña bailando y los niños se calientan.</v>
      </c>
    </row>
    <row r="15336">
      <c r="A15336" s="4" t="s">
        <v>19319</v>
      </c>
      <c r="B15336" s="4" t="s">
        <v>19322</v>
      </c>
      <c r="C15336" s="5" t="str">
        <f>IFERROR(__xludf.DUMMYFUNCTION("GOOGLETRANSLATE(B15336,""en"",""es-ES"")"),"Los niños juegan más tira y afloja y se ve un primer plano de la cara de una persona en cámara lenta.")</f>
        <v>Los niños juegan más tira y afloja y se ve un primer plano de la cara de una persona en cámara lenta.</v>
      </c>
    </row>
    <row r="15337">
      <c r="A15337" s="4" t="s">
        <v>19323</v>
      </c>
      <c r="B15337" s="4" t="s">
        <v>19324</v>
      </c>
      <c r="C15337" s="5" t="str">
        <f>IFERROR(__xludf.DUMMYFUNCTION("GOOGLETRANSLATE(B15337,""en"",""es-ES"")"),"Una mujer está sentada afuera en una silla blanca que juega en acordeón.")</f>
        <v>Una mujer está sentada afuera en una silla blanca que juega en acordeón.</v>
      </c>
    </row>
    <row r="15338">
      <c r="A15338" s="4" t="s">
        <v>19323</v>
      </c>
      <c r="B15338" s="4" t="s">
        <v>19325</v>
      </c>
      <c r="C15338" s="5" t="str">
        <f>IFERROR(__xludf.DUMMYFUNCTION("GOOGLETRANSLATE(B15338,""en"",""es-ES"")"),"Hay un puesto de música sentado frente a ella.")</f>
        <v>Hay un puesto de música sentado frente a ella.</v>
      </c>
    </row>
    <row r="15339">
      <c r="A15339" s="4" t="s">
        <v>19326</v>
      </c>
      <c r="B15339" s="4" t="s">
        <v>19327</v>
      </c>
      <c r="C15339" s="5" t="str">
        <f>IFERROR(__xludf.DUMMYFUNCTION("GOOGLETRANSLATE(B15339,""en"",""es-ES"")"),"Vemos a un hombre poniendo en marcha y luego jugador de hockey caminando hacia la pista.")</f>
        <v>Vemos a un hombre poniendo en marcha y luego jugador de hockey caminando hacia la pista.</v>
      </c>
    </row>
    <row r="15340">
      <c r="A15340" s="4" t="s">
        <v>19326</v>
      </c>
      <c r="B15340" s="4" t="s">
        <v>19328</v>
      </c>
      <c r="C15340" s="5" t="str">
        <f>IFERROR(__xludf.DUMMYFUNCTION("GOOGLETRANSLATE(B15340,""en"",""es-ES"")"),"Vemos a la multitud aplaudiendo.")</f>
        <v>Vemos a la multitud aplaudiendo.</v>
      </c>
    </row>
    <row r="15341">
      <c r="A15341" s="4" t="s">
        <v>19326</v>
      </c>
      <c r="B15341" s="4" t="s">
        <v>19329</v>
      </c>
      <c r="C15341" s="5" t="str">
        <f>IFERROR(__xludf.DUMMYFUNCTION("GOOGLETRANSLATE(B15341,""en"",""es-ES"")"),"Vemos un juego de hockey que se juega.")</f>
        <v>Vemos un juego de hockey que se juega.</v>
      </c>
    </row>
    <row r="15342">
      <c r="A15342" s="4" t="s">
        <v>19326</v>
      </c>
      <c r="B15342" s="4" t="s">
        <v>19330</v>
      </c>
      <c r="C15342" s="5" t="str">
        <f>IFERROR(__xludf.DUMMYFUNCTION("GOOGLETRANSLATE(B15342,""en"",""es-ES"")"),"Vemos gente aplaudiendo a la multitud.")</f>
        <v>Vemos gente aplaudiendo a la multitud.</v>
      </c>
    </row>
    <row r="15343">
      <c r="A15343" s="4" t="s">
        <v>19326</v>
      </c>
      <c r="B15343" s="4" t="s">
        <v>19331</v>
      </c>
      <c r="C15343" s="5" t="str">
        <f>IFERROR(__xludf.DUMMYFUNCTION("GOOGLETRANSLATE(B15343,""en"",""es-ES"")"),"La mano de un hombre se sacude y ve a todo el equipo en el hielo.")</f>
        <v>La mano de un hombre se sacude y ve a todo el equipo en el hielo.</v>
      </c>
    </row>
    <row r="15344">
      <c r="A15344" s="4" t="s">
        <v>19332</v>
      </c>
      <c r="B15344" s="4" t="s">
        <v>19333</v>
      </c>
      <c r="C15344" s="5" t="str">
        <f>IFERROR(__xludf.DUMMYFUNCTION("GOOGLETRANSLATE(B15344,""en"",""es-ES"")"),"Se ve a un hombre resolver un cubo de Rubix que otro se sienta a su lado y observa.")</f>
        <v>Se ve a un hombre resolver un cubo de Rubix que otro se sienta a su lado y observa.</v>
      </c>
    </row>
    <row r="15345">
      <c r="A15345" s="4" t="s">
        <v>19332</v>
      </c>
      <c r="B15345" s="4" t="s">
        <v>19334</v>
      </c>
      <c r="C15345" s="5" t="str">
        <f>IFERROR(__xludf.DUMMYFUNCTION("GOOGLETRANSLATE(B15345,""en"",""es-ES"")"),"Él resuelve el rompecabezas y lo pone en la mesa y luego sonríe a la cámara.")</f>
        <v>Él resuelve el rompecabezas y lo pone en la mesa y luego sonríe a la cámara.</v>
      </c>
    </row>
    <row r="15346">
      <c r="A15346" s="4" t="s">
        <v>19335</v>
      </c>
      <c r="B15346" s="4" t="s">
        <v>19336</v>
      </c>
      <c r="C15346" s="5" t="str">
        <f>IFERROR(__xludf.DUMMYFUNCTION("GOOGLETRANSLATE(B15346,""en"",""es-ES"")"),"Un video de montaje en un concurso de arco muestra batallas lanzadas que tienen lugar en campos, salas de convenciones de hoteles, arenas de interior y almacenes.")</f>
        <v>Un video de montaje en un concurso de arco muestra batallas lanzadas que tienen lugar en campos, salas de convenciones de hoteles, arenas de interior y almacenes.</v>
      </c>
    </row>
    <row r="15347">
      <c r="A15347" s="4" t="s">
        <v>19335</v>
      </c>
      <c r="B15347" s="4" t="s">
        <v>19337</v>
      </c>
      <c r="C15347" s="5" t="str">
        <f>IFERROR(__xludf.DUMMYFUNCTION("GOOGLETRANSLATE(B15347,""en"",""es-ES"")"),"Aparece un logotipo para la etiqueta de tiro con arco y se reproduce un anuncio para otro video y suscripción.")</f>
        <v>Aparece un logotipo para la etiqueta de tiro con arco y se reproduce un anuncio para otro video y suscripción.</v>
      </c>
    </row>
    <row r="15348">
      <c r="A15348" s="4" t="s">
        <v>19338</v>
      </c>
      <c r="B15348" s="4" t="s">
        <v>19339</v>
      </c>
      <c r="C15348" s="5" t="str">
        <f>IFERROR(__xludf.DUMMYFUNCTION("GOOGLETRANSLATE(B15348,""en"",""es-ES"")"),"Se muestra un primer plano de un fregadero seguido por una persona que se enciende en un grifo y agarra la cámara.")</f>
        <v>Se muestra un primer plano de un fregadero seguido por una persona que se enciende en un grifo y agarra la cámara.</v>
      </c>
    </row>
    <row r="15349">
      <c r="A15349" s="4" t="s">
        <v>19338</v>
      </c>
      <c r="B15349" s="4" t="s">
        <v>19340</v>
      </c>
      <c r="C15349" s="5" t="str">
        <f>IFERROR(__xludf.DUMMYFUNCTION("GOOGLETRANSLATE(B15349,""en"",""es-ES"")"),"Ella mira una mesa y rocía un trapo seguido de empujar el trapo a lo largo del piso.")</f>
        <v>Ella mira una mesa y rocía un trapo seguido de empujar el trapo a lo largo del piso.</v>
      </c>
    </row>
    <row r="15350">
      <c r="A15350" s="4" t="s">
        <v>19338</v>
      </c>
      <c r="B15350" s="4" t="s">
        <v>19341</v>
      </c>
      <c r="C15350" s="5" t="str">
        <f>IFERROR(__xludf.DUMMYFUNCTION("GOOGLETRANSLATE(B15350,""en"",""es-ES"")"),"La mujer continúa limpiando el piso y regresa a la cámara.")</f>
        <v>La mujer continúa limpiando el piso y regresa a la cámara.</v>
      </c>
    </row>
    <row r="15351">
      <c r="A15351" s="4" t="s">
        <v>19342</v>
      </c>
      <c r="B15351" s="4" t="s">
        <v>19343</v>
      </c>
      <c r="C15351" s="5" t="str">
        <f>IFERROR(__xludf.DUMMYFUNCTION("GOOGLETRANSLATE(B15351,""en"",""es-ES"")"),"Hay dos niñas de pie en una cancha interior aprendiendo a jugar squash.")</f>
        <v>Hay dos niñas de pie en una cancha interior aprendiendo a jugar squash.</v>
      </c>
    </row>
    <row r="15352">
      <c r="A15352" s="4" t="s">
        <v>19342</v>
      </c>
      <c r="B15352" s="4" t="s">
        <v>19344</v>
      </c>
      <c r="C15352" s="5" t="str">
        <f>IFERROR(__xludf.DUMMYFUNCTION("GOOGLETRANSLATE(B15352,""en"",""es-ES"")"),"Están de pie con sus raquetas e intentan golpear la pelota contra la pared.")</f>
        <v>Están de pie con sus raquetas e intentan golpear la pelota contra la pared.</v>
      </c>
    </row>
    <row r="15353">
      <c r="A15353" s="4" t="s">
        <v>19342</v>
      </c>
      <c r="B15353" s="4" t="s">
        <v>19345</v>
      </c>
      <c r="C15353" s="5" t="str">
        <f>IFERROR(__xludf.DUMMYFUNCTION("GOOGLETRANSLATE(B15353,""en"",""es-ES"")"),"Intentan golpear la pelota pero terminan cepillándola en el piso.")</f>
        <v>Intentan golpear la pelota pero terminan cepillándola en el piso.</v>
      </c>
    </row>
    <row r="15354">
      <c r="A15354" s="4" t="s">
        <v>19342</v>
      </c>
      <c r="B15354" s="4" t="s">
        <v>19346</v>
      </c>
      <c r="C15354" s="5" t="str">
        <f>IFERROR(__xludf.DUMMYFUNCTION("GOOGLETRANSLATE(B15354,""en"",""es-ES"")"),"Corren por la cancha tratando de atrapar la pelota con sus raquetas.")</f>
        <v>Corren por la cancha tratando de atrapar la pelota con sus raquetas.</v>
      </c>
    </row>
    <row r="15355">
      <c r="A15355" s="4" t="s">
        <v>19342</v>
      </c>
      <c r="B15355" s="4" t="s">
        <v>19347</v>
      </c>
      <c r="C15355" s="5" t="str">
        <f>IFERROR(__xludf.DUMMYFUNCTION("GOOGLETRANSLATE(B15355,""en"",""es-ES"")"),"Corren sonriendo con sus raquetas de gran tamaño y corren para seguir la pelota por la cancha.")</f>
        <v>Corren sonriendo con sus raquetas de gran tamaño y corren para seguir la pelota por la cancha.</v>
      </c>
    </row>
    <row r="15356">
      <c r="A15356" s="4" t="s">
        <v>19348</v>
      </c>
      <c r="B15356" s="4" t="s">
        <v>19349</v>
      </c>
      <c r="C15356" s="5" t="str">
        <f>IFERROR(__xludf.DUMMYFUNCTION("GOOGLETRANSLATE(B15356,""en"",""es-ES"")"),"Cuatro mujeres jóvenes y un hombre están en el escenario, mientras que una niña toca la guitarra.")</f>
        <v>Cuatro mujeres jóvenes y un hombre están en el escenario, mientras que una niña toca la guitarra.</v>
      </c>
    </row>
    <row r="15357">
      <c r="A15357" s="4" t="s">
        <v>19348</v>
      </c>
      <c r="B15357" s="4" t="s">
        <v>19350</v>
      </c>
      <c r="C15357" s="5" t="str">
        <f>IFERROR(__xludf.DUMMYFUNCTION("GOOGLETRANSLATE(B15357,""en"",""es-ES"")"),"La dama de amarillo comenzó a cantar, luego la dama con camisa rosa.")</f>
        <v>La dama de amarillo comenzó a cantar, luego la dama con camisa rosa.</v>
      </c>
    </row>
    <row r="15358">
      <c r="A15358" s="4" t="s">
        <v>19348</v>
      </c>
      <c r="B15358" s="4" t="s">
        <v>19351</v>
      </c>
      <c r="C15358" s="5" t="str">
        <f>IFERROR(__xludf.DUMMYFUNCTION("GOOGLETRANSLATE(B15358,""en"",""es-ES"")"),"Cuando las chicas terminan de cantar a la multitud aplaudieron.")</f>
        <v>Cuando las chicas terminan de cantar a la multitud aplaudieron.</v>
      </c>
    </row>
    <row r="15359">
      <c r="A15359" s="4" t="s">
        <v>19352</v>
      </c>
      <c r="B15359" s="4" t="s">
        <v>19353</v>
      </c>
      <c r="C15359" s="5" t="str">
        <f>IFERROR(__xludf.DUMMYFUNCTION("GOOGLETRANSLATE(B15359,""en"",""es-ES"")"),"Vemos a un hombre caer en el agua en reversa.")</f>
        <v>Vemos a un hombre caer en el agua en reversa.</v>
      </c>
    </row>
    <row r="15360">
      <c r="A15360" s="4" t="s">
        <v>19352</v>
      </c>
      <c r="B15360" s="4" t="s">
        <v>19354</v>
      </c>
      <c r="C15360" s="5" t="str">
        <f>IFERROR(__xludf.DUMMYFUNCTION("GOOGLETRANSLATE(B15360,""en"",""es-ES"")"),"Vemos a la gente caminar sobre una línea de holgura sobre un cuerpo de agua.")</f>
        <v>Vemos a la gente caminar sobre una línea de holgura sobre un cuerpo de agua.</v>
      </c>
    </row>
    <row r="15361">
      <c r="A15361" s="4" t="s">
        <v>19352</v>
      </c>
      <c r="B15361" s="4" t="s">
        <v>19355</v>
      </c>
      <c r="C15361" s="5" t="str">
        <f>IFERROR(__xludf.DUMMYFUNCTION("GOOGLETRANSLATE(B15361,""en"",""es-ES"")"),"Vemos una serie de caídas.")</f>
        <v>Vemos una serie de caídas.</v>
      </c>
    </row>
    <row r="15362">
      <c r="A15362" s="4" t="s">
        <v>19352</v>
      </c>
      <c r="B15362" s="4" t="s">
        <v>19356</v>
      </c>
      <c r="C15362" s="5" t="str">
        <f>IFERROR(__xludf.DUMMYFUNCTION("GOOGLETRANSLATE(B15362,""en"",""es-ES"")"),"Un hombre lo hace.")</f>
        <v>Un hombre lo hace.</v>
      </c>
    </row>
    <row r="15363">
      <c r="A15363" s="4" t="s">
        <v>19352</v>
      </c>
      <c r="B15363" s="4" t="s">
        <v>19357</v>
      </c>
      <c r="C15363" s="5" t="str">
        <f>IFERROR(__xludf.DUMMYFUNCTION("GOOGLETRANSLATE(B15363,""en"",""es-ES"")"),"Vemos a un hombre trepar un árbol y conseguir un coco.")</f>
        <v>Vemos a un hombre trepar un árbol y conseguir un coco.</v>
      </c>
    </row>
    <row r="15364">
      <c r="A15364" s="4" t="s">
        <v>19352</v>
      </c>
      <c r="B15364" s="4" t="s">
        <v>19358</v>
      </c>
      <c r="C15364" s="5" t="str">
        <f>IFERROR(__xludf.DUMMYFUNCTION("GOOGLETRANSLATE(B15364,""en"",""es-ES"")"),"La sartén pone un grifo en el coco y se la vierte en la boca mientras yacía en el suelo.")</f>
        <v>La sartén pone un grifo en el coco y se la vierte en la boca mientras yacía en el suelo.</v>
      </c>
    </row>
    <row r="15365">
      <c r="A15365" s="4" t="s">
        <v>19352</v>
      </c>
      <c r="B15365" s="4" t="s">
        <v>19359</v>
      </c>
      <c r="C15365" s="5" t="str">
        <f>IFERROR(__xludf.DUMMYFUNCTION("GOOGLETRANSLATE(B15365,""en"",""es-ES"")"),"El hombre se sienta y sonríe.")</f>
        <v>El hombre se sienta y sonríe.</v>
      </c>
    </row>
    <row r="15366">
      <c r="A15366" s="4" t="s">
        <v>19360</v>
      </c>
      <c r="B15366" s="4" t="s">
        <v>19361</v>
      </c>
      <c r="C15366" s="5" t="str">
        <f>IFERROR(__xludf.DUMMYFUNCTION("GOOGLETRANSLATE(B15366,""en"",""es-ES"")"),"Se ve un primer plano de botas, así como una persona cavando un agujero.")</f>
        <v>Se ve un primer plano de botas, así como una persona cavando un agujero.</v>
      </c>
    </row>
    <row r="15367">
      <c r="A15367" s="4" t="s">
        <v>19360</v>
      </c>
      <c r="B15367" s="4" t="s">
        <v>19362</v>
      </c>
      <c r="C15367" s="5" t="str">
        <f>IFERROR(__xludf.DUMMYFUNCTION("GOOGLETRANSLATE(B15367,""en"",""es-ES"")"),"La persona presenta tierra y le corta un agujero mientras coloca una planta dentro.")</f>
        <v>La persona presenta tierra y le corta un agujero mientras coloca una planta dentro.</v>
      </c>
    </row>
    <row r="15368">
      <c r="A15368" s="4" t="s">
        <v>19360</v>
      </c>
      <c r="B15368" s="4" t="s">
        <v>19363</v>
      </c>
      <c r="C15368" s="5" t="str">
        <f>IFERROR(__xludf.DUMMYFUNCTION("GOOGLETRANSLATE(B15368,""en"",""es-ES"")"),"La persona recoja la planta y termina colocando más suciedad.")</f>
        <v>La persona recoja la planta y termina colocando más suciedad.</v>
      </c>
    </row>
    <row r="15369">
      <c r="A15369" s="4" t="s">
        <v>19364</v>
      </c>
      <c r="B15369" s="4" t="s">
        <v>19365</v>
      </c>
      <c r="C15369" s="5" t="str">
        <f>IFERROR(__xludf.DUMMYFUNCTION("GOOGLETRANSLATE(B15369,""en"",""es-ES"")"),"Un niño está parado en el mostrador hacia atrás desde el tablero de dardos.")</f>
        <v>Un niño está parado en el mostrador hacia atrás desde el tablero de dardos.</v>
      </c>
    </row>
    <row r="15370">
      <c r="A15370" s="4" t="s">
        <v>19364</v>
      </c>
      <c r="B15370" s="4" t="s">
        <v>19366</v>
      </c>
      <c r="C15370" s="5" t="str">
        <f>IFERROR(__xludf.DUMMYFUNCTION("GOOGLETRANSLATE(B15370,""en"",""es-ES"")"),"Su madre está de pie a su lado y se está preparando para lanzar su dardo.")</f>
        <v>Su madre está de pie a su lado y se está preparando para lanzar su dardo.</v>
      </c>
    </row>
    <row r="15371">
      <c r="A15371" s="4" t="s">
        <v>19364</v>
      </c>
      <c r="B15371" s="4" t="s">
        <v>19367</v>
      </c>
      <c r="C15371" s="5" t="str">
        <f>IFERROR(__xludf.DUMMYFUNCTION("GOOGLETRANSLATE(B15371,""en"",""es-ES"")"),"Lo lanza y extraña por completo el tablero de dardos por completo.")</f>
        <v>Lo lanza y extraña por completo el tablero de dardos por completo.</v>
      </c>
    </row>
    <row r="15372">
      <c r="A15372" s="4" t="s">
        <v>19364</v>
      </c>
      <c r="B15372" s="4" t="s">
        <v>19368</v>
      </c>
      <c r="C15372" s="5" t="str">
        <f>IFERROR(__xludf.DUMMYFUNCTION("GOOGLETRANSLATE(B15372,""en"",""es-ES"")"),"Golpea la parte superior de la pared y se acerca para alcanzarlo y sacarlo.")</f>
        <v>Golpea la parte superior de la pared y se acerca para alcanzarlo y sacarlo.</v>
      </c>
    </row>
    <row r="15373">
      <c r="A15373" s="4" t="s">
        <v>19369</v>
      </c>
      <c r="B15373" s="4" t="s">
        <v>19370</v>
      </c>
      <c r="C15373" s="5" t="str">
        <f>IFERROR(__xludf.DUMMYFUNCTION("GOOGLETRANSLATE(B15373,""en"",""es-ES"")"),"Un hombre divide los registros para usar un hacha en un patio cubierto de hierba mientras su esposa recupera las piezas.")</f>
        <v>Un hombre divide los registros para usar un hacha en un patio cubierto de hierba mientras su esposa recupera las piezas.</v>
      </c>
    </row>
    <row r="15374">
      <c r="A15374" s="4" t="s">
        <v>19369</v>
      </c>
      <c r="B15374" s="4" t="s">
        <v>19371</v>
      </c>
      <c r="C15374" s="5" t="str">
        <f>IFERROR(__xludf.DUMMYFUNCTION("GOOGLETRANSLATE(B15374,""en"",""es-ES"")"),"Un hombre divide los registros en el patio solo.")</f>
        <v>Un hombre divide los registros en el patio solo.</v>
      </c>
    </row>
    <row r="15375">
      <c r="A15375" s="4" t="s">
        <v>19369</v>
      </c>
      <c r="B15375" s="4" t="s">
        <v>19372</v>
      </c>
      <c r="C15375" s="5" t="str">
        <f>IFERROR(__xludf.DUMMYFUNCTION("GOOGLETRANSLATE(B15375,""en"",""es-ES"")"),"El hombre coloca su hoja de hacha en el tronco y toma un freno.")</f>
        <v>El hombre coloca su hoja de hacha en el tronco y toma un freno.</v>
      </c>
    </row>
    <row r="15376">
      <c r="A15376" s="4" t="s">
        <v>19373</v>
      </c>
      <c r="B15376" s="4" t="s">
        <v>19374</v>
      </c>
      <c r="C15376" s="5" t="str">
        <f>IFERROR(__xludf.DUMMYFUNCTION("GOOGLETRANSLATE(B15376,""en"",""es-ES"")"),"Un hombre con una camisa azul está sentada sosteniendo un bar en una máquina de ejercicios.")</f>
        <v>Un hombre con una camisa azul está sentada sosteniendo un bar en una máquina de ejercicios.</v>
      </c>
    </row>
    <row r="15377">
      <c r="A15377" s="4" t="s">
        <v>19373</v>
      </c>
      <c r="B15377" s="4" t="s">
        <v>19375</v>
      </c>
      <c r="C15377" s="5" t="str">
        <f>IFERROR(__xludf.DUMMYFUNCTION("GOOGLETRANSLATE(B15377,""en"",""es-ES"")"),"Empuja y usa la máquina de ejercicios.")</f>
        <v>Empuja y usa la máquina de ejercicios.</v>
      </c>
    </row>
    <row r="15378">
      <c r="A15378" s="4" t="s">
        <v>19376</v>
      </c>
      <c r="B15378" s="4" t="s">
        <v>19377</v>
      </c>
      <c r="C15378" s="5" t="str">
        <f>IFERROR(__xludf.DUMMYFUNCTION("GOOGLETRANSLATE(B15378,""en"",""es-ES"")"),"Vemos a un hombre limpiando un piso debajo de los pies de las mujeres.")</f>
        <v>Vemos a un hombre limpiando un piso debajo de los pies de las mujeres.</v>
      </c>
    </row>
    <row r="15379">
      <c r="A15379" s="4" t="s">
        <v>19376</v>
      </c>
      <c r="B15379" s="4" t="s">
        <v>19378</v>
      </c>
      <c r="C15379" s="5" t="str">
        <f>IFERROR(__xludf.DUMMYFUNCTION("GOOGLETRANSLATE(B15379,""en"",""es-ES"")"),"La dama del medio usa su pie para mover el trapeador.")</f>
        <v>La dama del medio usa su pie para mover el trapeador.</v>
      </c>
    </row>
    <row r="15380">
      <c r="A15380" s="4" t="s">
        <v>19376</v>
      </c>
      <c r="B15380" s="4" t="s">
        <v>19379</v>
      </c>
      <c r="C15380" s="5" t="str">
        <f>IFERROR(__xludf.DUMMYFUNCTION("GOOGLETRANSLATE(B15380,""en"",""es-ES"")"),"La dama izquierda luego mueve el trapeador con su pie.")</f>
        <v>La dama izquierda luego mueve el trapeador con su pie.</v>
      </c>
    </row>
    <row r="15381">
      <c r="A15381" s="4" t="s">
        <v>19376</v>
      </c>
      <c r="B15381" s="4" t="s">
        <v>19380</v>
      </c>
      <c r="C15381" s="5" t="str">
        <f>IFERROR(__xludf.DUMMYFUNCTION("GOOGLETRANSLATE(B15381,""en"",""es-ES"")"),"La dama del medio lo hace de nuevo y luego el hombre termina de limpiar el piso.")</f>
        <v>La dama del medio lo hace de nuevo y luego el hombre termina de limpiar el piso.</v>
      </c>
    </row>
    <row r="15382">
      <c r="A15382" s="4" t="s">
        <v>19381</v>
      </c>
      <c r="B15382" s="4" t="s">
        <v>19382</v>
      </c>
      <c r="C15382" s="5" t="str">
        <f>IFERROR(__xludf.DUMMYFUNCTION("GOOGLETRANSLATE(B15382,""en"",""es-ES"")"),"Un chico se arrastra en el suelo.")</f>
        <v>Un chico se arrastra en el suelo.</v>
      </c>
    </row>
    <row r="15383">
      <c r="A15383" s="4" t="s">
        <v>19381</v>
      </c>
      <c r="B15383" s="4" t="s">
        <v>19383</v>
      </c>
      <c r="C15383" s="5" t="str">
        <f>IFERROR(__xludf.DUMMYFUNCTION("GOOGLETRANSLATE(B15383,""en"",""es-ES"")"),"El tipo está usando un cuchillo de caja para cortar la alfombra.")</f>
        <v>El tipo está usando un cuchillo de caja para cortar la alfombra.</v>
      </c>
    </row>
    <row r="15384">
      <c r="A15384" s="4" t="s">
        <v>19381</v>
      </c>
      <c r="B15384" s="4" t="s">
        <v>19384</v>
      </c>
      <c r="C15384" s="5" t="str">
        <f>IFERROR(__xludf.DUMMYFUNCTION("GOOGLETRANSLATE(B15384,""en"",""es-ES"")"),"El chico lo mira detrás de él.")</f>
        <v>El chico lo mira detrás de él.</v>
      </c>
    </row>
    <row r="15385">
      <c r="A15385" s="4" t="s">
        <v>19381</v>
      </c>
      <c r="B15385" s="4" t="s">
        <v>19385</v>
      </c>
      <c r="C15385" s="5" t="str">
        <f>IFERROR(__xludf.DUMMYFUNCTION("GOOGLETRANSLATE(B15385,""en"",""es-ES"")"),"Hay muchos papeles en la pared.")</f>
        <v>Hay muchos papeles en la pared.</v>
      </c>
    </row>
    <row r="15386">
      <c r="A15386" s="4" t="s">
        <v>19386</v>
      </c>
      <c r="B15386" s="4" t="s">
        <v>19387</v>
      </c>
      <c r="C15386" s="5" t="str">
        <f>IFERROR(__xludf.DUMMYFUNCTION("GOOGLETRANSLATE(B15386,""en"",""es-ES"")"),"Se ve a un grupo de hombres liderando un camello mientras una persona cabalga en la parte superior del camello.")</f>
        <v>Se ve a un grupo de hombres liderando un camello mientras una persona cabalga en la parte superior del camello.</v>
      </c>
    </row>
    <row r="15387">
      <c r="A15387" s="4" t="s">
        <v>19386</v>
      </c>
      <c r="B15387" s="4" t="s">
        <v>19388</v>
      </c>
      <c r="C15387" s="5" t="str">
        <f>IFERROR(__xludf.DUMMYFUNCTION("GOOGLETRANSLATE(B15387,""en"",""es-ES"")"),"Un hombre conduce la cámara con la persona en la cima y la gente la graba desde los lados.")</f>
        <v>Un hombre conduce la cámara con la persona en la cima y la gente la graba desde los lados.</v>
      </c>
    </row>
    <row r="15388">
      <c r="A15388" s="4" t="s">
        <v>19386</v>
      </c>
      <c r="B15388" s="4" t="s">
        <v>19389</v>
      </c>
      <c r="C15388" s="5" t="str">
        <f>IFERROR(__xludf.DUMMYFUNCTION("GOOGLETRANSLATE(B15388,""en"",""es-ES"")"),"El hombre coloca el camello para que la persona salga y el jinete sonríe y saluda a la cámara.")</f>
        <v>El hombre coloca el camello para que la persona salga y el jinete sonríe y saluda a la cámara.</v>
      </c>
    </row>
    <row r="15389">
      <c r="A15389" s="4" t="s">
        <v>19390</v>
      </c>
      <c r="B15389" s="4" t="s">
        <v>19391</v>
      </c>
      <c r="C15389" s="5" t="str">
        <f>IFERROR(__xludf.DUMMYFUNCTION("GOOGLETRANSLATE(B15389,""en"",""es-ES"")"),"Un hombre está corriendo por un camino en el campo en cámara lenta que se prepara para lanzar una jabalina.")</f>
        <v>Un hombre está corriendo por un camino en el campo en cámara lenta que se prepara para lanzar una jabalina.</v>
      </c>
    </row>
    <row r="15390">
      <c r="A15390" s="4" t="s">
        <v>19390</v>
      </c>
      <c r="B15390" s="4" t="s">
        <v>19392</v>
      </c>
      <c r="C15390" s="5" t="str">
        <f>IFERROR(__xludf.DUMMYFUNCTION("GOOGLETRANSLATE(B15390,""en"",""es-ES"")"),"A medida que se acerca, comienza a girar y corre de lado y arroja la jabalina.")</f>
        <v>A medida que se acerca, comienza a girar y corre de lado y arroja la jabalina.</v>
      </c>
    </row>
    <row r="15391">
      <c r="A15391" s="4" t="s">
        <v>19390</v>
      </c>
      <c r="B15391" s="4" t="s">
        <v>19393</v>
      </c>
      <c r="C15391" s="5" t="str">
        <f>IFERROR(__xludf.DUMMYFUNCTION("GOOGLETRANSLATE(B15391,""en"",""es-ES"")"),"Una vez que se libera, tropieza y tiene dificultades para tratar de ver el equilibrio cuando el resto de las personas que lo rodean miran para ver su distancia.")</f>
        <v>Una vez que se libera, tropieza y tiene dificultades para tratar de ver el equilibrio cuando el resto de las personas que lo rodean miran para ver su distancia.</v>
      </c>
    </row>
    <row r="15392">
      <c r="A15392" s="4" t="s">
        <v>19394</v>
      </c>
      <c r="B15392" s="4" t="s">
        <v>19395</v>
      </c>
      <c r="C15392" s="5" t="str">
        <f>IFERROR(__xludf.DUMMYFUNCTION("GOOGLETRANSLATE(B15392,""en"",""es-ES"")"),"Una gimnasta actúa en un caballo de pomo en el frente de una multitud en las gradas.")</f>
        <v>Una gimnasta actúa en un caballo de pomo en el frente de una multitud en las gradas.</v>
      </c>
    </row>
    <row r="15393">
      <c r="A15393" s="4" t="s">
        <v>19394</v>
      </c>
      <c r="B15393" s="4" t="s">
        <v>19396</v>
      </c>
      <c r="C15393" s="5" t="str">
        <f>IFERROR(__xludf.DUMMYFUNCTION("GOOGLETRANSLATE(B15393,""en"",""es-ES"")"),"Luego, ella voltea hacia atrás y tierras en la estera de espuma.")</f>
        <v>Luego, ella voltea hacia atrás y tierras en la estera de espuma.</v>
      </c>
    </row>
    <row r="15394">
      <c r="A15394" s="4" t="s">
        <v>19397</v>
      </c>
      <c r="B15394" s="4" t="s">
        <v>19398</v>
      </c>
      <c r="C15394" s="5" t="str">
        <f>IFERROR(__xludf.DUMMYFUNCTION("GOOGLETRANSLATE(B15394,""en"",""es-ES"")"),"Se ve a un hombre disparando un arco y una flecha seguido de otro hombre que hizo una reverencia y apuntando.")</f>
        <v>Se ve a un hombre disparando un arco y una flecha seguido de otro hombre que hizo una reverencia y apuntando.</v>
      </c>
    </row>
    <row r="15395">
      <c r="A15395" s="4" t="s">
        <v>19397</v>
      </c>
      <c r="B15395" s="4" t="s">
        <v>19399</v>
      </c>
      <c r="C15395" s="5" t="str">
        <f>IFERROR(__xludf.DUMMYFUNCTION("GOOGLETRANSLATE(B15395,""en"",""es-ES"")"),"Se ve a otro hombre arrodillado antes de los arcos y hablando con la cámara.")</f>
        <v>Se ve a otro hombre arrodillado antes de los arcos y hablando con la cámara.</v>
      </c>
    </row>
    <row r="15396">
      <c r="A15396" s="4" t="s">
        <v>19397</v>
      </c>
      <c r="B15396" s="4" t="s">
        <v>19400</v>
      </c>
      <c r="C15396" s="5" t="str">
        <f>IFERROR(__xludf.DUMMYFUNCTION("GOOGLETRANSLATE(B15396,""en"",""es-ES"")"),"Señala varias cajas y continúa mirando la cámara y hablando.")</f>
        <v>Señala varias cajas y continúa mirando la cámara y hablando.</v>
      </c>
    </row>
    <row r="15397">
      <c r="A15397" s="4" t="s">
        <v>19401</v>
      </c>
      <c r="B15397" s="4" t="s">
        <v>19402</v>
      </c>
      <c r="C15397" s="5" t="str">
        <f>IFERROR(__xludf.DUMMYFUNCTION("GOOGLETRANSLATE(B15397,""en"",""es-ES"")"),"El video es un tutorial sobre la instalación de fichas de cubierta.")</f>
        <v>El video es un tutorial sobre la instalación de fichas de cubierta.</v>
      </c>
    </row>
    <row r="15398">
      <c r="A15398" s="4" t="s">
        <v>19401</v>
      </c>
      <c r="B15398" s="4" t="s">
        <v>19403</v>
      </c>
      <c r="C15398" s="5" t="str">
        <f>IFERROR(__xludf.DUMMYFUNCTION("GOOGLETRANSLATE(B15398,""en"",""es-ES"")"),"Hay un contratista trabajando en un mazo.")</f>
        <v>Hay un contratista trabajando en un mazo.</v>
      </c>
    </row>
    <row r="15399">
      <c r="A15399" s="4" t="s">
        <v>19401</v>
      </c>
      <c r="B15399" s="4" t="s">
        <v>19404</v>
      </c>
      <c r="C15399" s="5" t="str">
        <f>IFERROR(__xludf.DUMMYFUNCTION("GOOGLETRANSLATE(B15399,""en"",""es-ES"")"),"Comienza a instalar las baldosas de madera entrelazadas en una superficie de cubierta de concreto.")</f>
        <v>Comienza a instalar las baldosas de madera entrelazadas en una superficie de cubierta de concreto.</v>
      </c>
    </row>
    <row r="15400">
      <c r="A15400" s="4" t="s">
        <v>19401</v>
      </c>
      <c r="B15400" s="4" t="s">
        <v>19405</v>
      </c>
      <c r="C15400" s="5" t="str">
        <f>IFERROR(__xludf.DUMMYFUNCTION("GOOGLETRANSLATE(B15400,""en"",""es-ES"")"),"Cubre toda la cubierta con las baldosas de madera para cubrir uniformemente la superficie.")</f>
        <v>Cubre toda la cubierta con las baldosas de madera para cubrir uniformemente la superficie.</v>
      </c>
    </row>
    <row r="15401">
      <c r="A15401" s="4" t="s">
        <v>19406</v>
      </c>
      <c r="B15401" s="4" t="s">
        <v>19407</v>
      </c>
      <c r="C15401" s="5" t="str">
        <f>IFERROR(__xludf.DUMMYFUNCTION("GOOGLETRANSLATE(B15401,""en"",""es-ES"")"),"Un hombre mayor está en una piscina y sostiene una bola amarilla frente a su cara.")</f>
        <v>Un hombre mayor está en una piscina y sostiene una bola amarilla frente a su cara.</v>
      </c>
    </row>
    <row r="15402">
      <c r="A15402" s="4" t="s">
        <v>19406</v>
      </c>
      <c r="B15402" s="4" t="s">
        <v>19408</v>
      </c>
      <c r="C15402" s="5" t="str">
        <f>IFERROR(__xludf.DUMMYFUNCTION("GOOGLETRANSLATE(B15402,""en"",""es-ES"")"),"El hombre lo arroja a un perro que se equilibra con un dispositivo flotante azul y el perro lo devuelve al hombre que usa la nariz.")</f>
        <v>El hombre lo arroja a un perro que se equilibra con un dispositivo flotante azul y el perro lo devuelve al hombre que usa la nariz.</v>
      </c>
    </row>
    <row r="15403">
      <c r="A15403" s="4" t="s">
        <v>19406</v>
      </c>
      <c r="B15403" s="4" t="s">
        <v>19409</v>
      </c>
      <c r="C15403" s="5" t="str">
        <f>IFERROR(__xludf.DUMMYFUNCTION("GOOGLETRANSLATE(B15403,""en"",""es-ES"")"),"El hombre lo arroja al perro y el perro lo devuelve y luego se desliza del dispositivo flotante y salpica en el agua.")</f>
        <v>El hombre lo arroja al perro y el perro lo devuelve y luego se desliza del dispositivo flotante y salpica en el agua.</v>
      </c>
    </row>
    <row r="15404">
      <c r="A15404" s="4" t="s">
        <v>19410</v>
      </c>
      <c r="B15404" s="4" t="s">
        <v>19411</v>
      </c>
      <c r="C15404" s="5" t="str">
        <f>IFERROR(__xludf.DUMMYFUNCTION("GOOGLETRANSLATE(B15404,""en"",""es-ES"")"),"Las mujeres son insistentes en una bañera que le tiran de las piernas con calado y agua.")</f>
        <v>Las mujeres son insistentes en una bañera que le tiran de las piernas con calado y agua.</v>
      </c>
    </row>
    <row r="15405">
      <c r="A15405" s="4" t="s">
        <v>19410</v>
      </c>
      <c r="B15405" s="4" t="s">
        <v>19412</v>
      </c>
      <c r="C15405" s="5" t="str">
        <f>IFERROR(__xludf.DUMMYFUNCTION("GOOGLETRANSLATE(B15405,""en"",""es-ES"")"),"Las mujeres se ríen frente a un espejo.")</f>
        <v>Las mujeres se ríen frente a un espejo.</v>
      </c>
    </row>
    <row r="15406">
      <c r="A15406" s="4" t="s">
        <v>19413</v>
      </c>
      <c r="B15406" s="4" t="s">
        <v>19414</v>
      </c>
      <c r="C15406" s="5" t="str">
        <f>IFERROR(__xludf.DUMMYFUNCTION("GOOGLETRANSLATE(B15406,""en"",""es-ES"")"),"Vemos a un lobo caer en la pantalla del título.")</f>
        <v>Vemos a un lobo caer en la pantalla del título.</v>
      </c>
    </row>
    <row r="15407">
      <c r="A15407" s="4" t="s">
        <v>19413</v>
      </c>
      <c r="B15407" s="4" t="s">
        <v>19415</v>
      </c>
      <c r="C15407" s="5" t="str">
        <f>IFERROR(__xludf.DUMMYFUNCTION("GOOGLETRANSLATE(B15407,""en"",""es-ES"")"),"Vemos el paisaje de un pequeño pueblo.")</f>
        <v>Vemos el paisaje de un pequeño pueblo.</v>
      </c>
    </row>
    <row r="15408">
      <c r="A15408" s="4" t="s">
        <v>19413</v>
      </c>
      <c r="B15408" s="4" t="s">
        <v>19416</v>
      </c>
      <c r="C15408" s="5" t="str">
        <f>IFERROR(__xludf.DUMMYFUNCTION("GOOGLETRANSLATE(B15408,""en"",""es-ES"")"),"Un niño monta por una calle en una patineta.")</f>
        <v>Un niño monta por una calle en una patineta.</v>
      </c>
    </row>
    <row r="15409">
      <c r="A15409" s="4" t="s">
        <v>19413</v>
      </c>
      <c r="B15409" s="4" t="s">
        <v>19417</v>
      </c>
      <c r="C15409" s="5" t="str">
        <f>IFERROR(__xludf.DUMMYFUNCTION("GOOGLETRANSLATE(B15409,""en"",""es-ES"")"),"Cuatro niños en Skateboards pasan.")</f>
        <v>Cuatro niños en Skateboards pasan.</v>
      </c>
    </row>
    <row r="15410">
      <c r="A15410" s="4" t="s">
        <v>19413</v>
      </c>
      <c r="B15410" s="4" t="s">
        <v>19418</v>
      </c>
      <c r="C15410" s="5" t="str">
        <f>IFERROR(__xludf.DUMMYFUNCTION("GOOGLETRANSLATE(B15410,""en"",""es-ES"")"),"Vemos a un niño casi caer dos veces.")</f>
        <v>Vemos a un niño casi caer dos veces.</v>
      </c>
    </row>
    <row r="15411">
      <c r="A15411" s="4" t="s">
        <v>19413</v>
      </c>
      <c r="B15411" s="4" t="s">
        <v>19419</v>
      </c>
      <c r="C15411" s="5" t="str">
        <f>IFERROR(__xludf.DUMMYFUNCTION("GOOGLETRANSLATE(B15411,""en"",""es-ES"")"),"Vemos el tablero en la acera.")</f>
        <v>Vemos el tablero en la acera.</v>
      </c>
    </row>
    <row r="15412">
      <c r="A15412" s="4" t="s">
        <v>19413</v>
      </c>
      <c r="B15412" s="4" t="s">
        <v>19420</v>
      </c>
      <c r="C15412" s="5" t="str">
        <f>IFERROR(__xludf.DUMMYFUNCTION("GOOGLETRANSLATE(B15412,""en"",""es-ES"")"),"Un grupo de niños caminando cuesta arriba.")</f>
        <v>Un grupo de niños caminando cuesta arriba.</v>
      </c>
    </row>
    <row r="15413">
      <c r="A15413" s="4" t="s">
        <v>19413</v>
      </c>
      <c r="B15413" s="4" t="s">
        <v>19421</v>
      </c>
      <c r="C15413" s="5" t="str">
        <f>IFERROR(__xludf.DUMMYFUNCTION("GOOGLETRANSLATE(B15413,""en"",""es-ES"")"),"Los créditos finales juegan y vemos a un niño en un autobús.")</f>
        <v>Los créditos finales juegan y vemos a un niño en un autobús.</v>
      </c>
    </row>
    <row r="15414">
      <c r="A15414" s="4" t="s">
        <v>19422</v>
      </c>
      <c r="B15414" s="4" t="s">
        <v>19423</v>
      </c>
      <c r="C15414" s="5" t="str">
        <f>IFERROR(__xludf.DUMMYFUNCTION("GOOGLETRANSLATE(B15414,""en"",""es-ES"")"),"Un hombre vestido con una sudadera negra y pantalones cortos negros, junto con otra persona vestida con ropa deportiva blanca están parados en una cancha de tenis cerca de la red.")</f>
        <v>Un hombre vestido con una sudadera negra y pantalones cortos negros, junto con otra persona vestida con ropa deportiva blanca están parados en una cancha de tenis cerca de la red.</v>
      </c>
    </row>
    <row r="15415">
      <c r="A15415" s="4" t="s">
        <v>19422</v>
      </c>
      <c r="B15415" s="4" t="s">
        <v>19424</v>
      </c>
      <c r="C15415" s="5" t="str">
        <f>IFERROR(__xludf.DUMMYFUNCTION("GOOGLETRANSLATE(B15415,""en"",""es-ES"")"),"Ambos sostienen raquetas de tenis.")</f>
        <v>Ambos sostienen raquetas de tenis.</v>
      </c>
    </row>
    <row r="15416">
      <c r="A15416" s="4" t="s">
        <v>19422</v>
      </c>
      <c r="B15416" s="4" t="s">
        <v>19425</v>
      </c>
      <c r="C15416" s="5" t="str">
        <f>IFERROR(__xludf.DUMMYFUNCTION("GOOGLETRANSLATE(B15416,""en"",""es-ES"")"),"La persona de negro está dando un tutorial sobre cómo devolver un servicio en el tenis.")</f>
        <v>La persona de negro está dando un tutorial sobre cómo devolver un servicio en el tenis.</v>
      </c>
    </row>
    <row r="15417">
      <c r="A15417" s="4" t="s">
        <v>19422</v>
      </c>
      <c r="B15417" s="4" t="s">
        <v>19426</v>
      </c>
      <c r="C15417" s="5" t="str">
        <f>IFERROR(__xludf.DUMMYFUNCTION("GOOGLETRANSLATE(B15417,""en"",""es-ES"")"),"Hay un jugador que demuestra el servicio como explica el entrenador.")</f>
        <v>Hay un jugador que demuestra el servicio como explica el entrenador.</v>
      </c>
    </row>
    <row r="15418">
      <c r="A15418" s="4" t="s">
        <v>19422</v>
      </c>
      <c r="B15418" s="4" t="s">
        <v>19427</v>
      </c>
      <c r="C15418" s="5" t="str">
        <f>IFERROR(__xludf.DUMMYFUNCTION("GOOGLETRANSLATE(B15418,""en"",""es-ES"")"),"Luego, la persona de White comienza a tomar más sobre el servicio de tenis y cómo jugar de manera efectiva.")</f>
        <v>Luego, la persona de White comienza a tomar más sobre el servicio de tenis y cómo jugar de manera efectiva.</v>
      </c>
    </row>
    <row r="15419">
      <c r="A15419" s="4" t="s">
        <v>19422</v>
      </c>
      <c r="B15419" s="4" t="s">
        <v>19428</v>
      </c>
      <c r="C15419" s="5" t="str">
        <f>IFERROR(__xludf.DUMMYFUNCTION("GOOGLETRANSLATE(B15419,""en"",""es-ES"")"),"El jugador continúa demostrando los servicios.")</f>
        <v>El jugador continúa demostrando los servicios.</v>
      </c>
    </row>
    <row r="15420">
      <c r="A15420" s="4" t="s">
        <v>19429</v>
      </c>
      <c r="B15420" s="4" t="s">
        <v>19430</v>
      </c>
      <c r="C15420" s="5" t="str">
        <f>IFERROR(__xludf.DUMMYFUNCTION("GOOGLETRANSLATE(B15420,""en"",""es-ES"")"),"La gente está haciendo trucos en las cuchillas de rodillos.")</f>
        <v>La gente está haciendo trucos en las cuchillas de rodillos.</v>
      </c>
    </row>
    <row r="15421">
      <c r="A15421" s="4" t="s">
        <v>19429</v>
      </c>
      <c r="B15421" s="4" t="s">
        <v>19431</v>
      </c>
      <c r="C15421" s="5" t="str">
        <f>IFERROR(__xludf.DUMMYFUNCTION("GOOGLETRANSLATE(B15421,""en"",""es-ES"")"),"Un hombre salta por un tramo de escaleras en las cuchillas.")</f>
        <v>Un hombre salta por un tramo de escaleras en las cuchillas.</v>
      </c>
    </row>
    <row r="15422">
      <c r="A15422" s="4" t="s">
        <v>19429</v>
      </c>
      <c r="B15422" s="4" t="s">
        <v>19432</v>
      </c>
      <c r="C15422" s="5" t="str">
        <f>IFERROR(__xludf.DUMMYFUNCTION("GOOGLETRANSLATE(B15422,""en"",""es-ES"")"),"Un hombre con una camisa blanca salta por un tramo de escaleras.")</f>
        <v>Un hombre con una camisa blanca salta por un tramo de escaleras.</v>
      </c>
    </row>
    <row r="15423">
      <c r="A15423" s="4" t="s">
        <v>19433</v>
      </c>
      <c r="B15423" s="4" t="s">
        <v>19434</v>
      </c>
      <c r="C15423" s="5" t="str">
        <f>IFERROR(__xludf.DUMMYFUNCTION("GOOGLETRANSLATE(B15423,""en"",""es-ES"")"),"Tres hombres están preparados para jugar dardos.")</f>
        <v>Tres hombres están preparados para jugar dardos.</v>
      </c>
    </row>
    <row r="15424">
      <c r="A15424" s="4" t="s">
        <v>19433</v>
      </c>
      <c r="B15424" s="4" t="s">
        <v>19435</v>
      </c>
      <c r="C15424" s="5" t="str">
        <f>IFERROR(__xludf.DUMMYFUNCTION("GOOGLETRANSLATE(B15424,""en"",""es-ES"")"),"El hombre en las camisas de durazno arroja un dardo al tablero de dardos.")</f>
        <v>El hombre en las camisas de durazno arroja un dardo al tablero de dardos.</v>
      </c>
    </row>
    <row r="15425">
      <c r="A15425" s="4" t="s">
        <v>19433</v>
      </c>
      <c r="B15425" s="4" t="s">
        <v>19436</v>
      </c>
      <c r="C15425" s="5" t="str">
        <f>IFERROR(__xludf.DUMMYFUNCTION("GOOGLETRANSLATE(B15425,""en"",""es-ES"")"),"Un hombre de azul golpea una pelota de referencia.")</f>
        <v>Un hombre de azul golpea una pelota de referencia.</v>
      </c>
    </row>
    <row r="15426">
      <c r="A15426" s="4" t="s">
        <v>19433</v>
      </c>
      <c r="B15426" s="4" t="s">
        <v>19437</v>
      </c>
      <c r="C15426" s="5" t="str">
        <f>IFERROR(__xludf.DUMMYFUNCTION("GOOGLETRANSLATE(B15426,""en"",""es-ES"")"),"El hombre en líneas de durazno retrocede y dispara tres dardos en el tablero de dardos y los elimina.")</f>
        <v>El hombre en líneas de durazno retrocede y dispara tres dardos en el tablero de dardos y los elimina.</v>
      </c>
    </row>
    <row r="15427">
      <c r="A15427" s="4" t="s">
        <v>19433</v>
      </c>
      <c r="B15427" s="4" t="s">
        <v>19438</v>
      </c>
      <c r="C15427" s="5" t="str">
        <f>IFERROR(__xludf.DUMMYFUNCTION("GOOGLETRANSLATE(B15427,""en"",""es-ES"")"),"Se dirige de nuevo frente al tablero y lanza un dardo más.")</f>
        <v>Se dirige de nuevo frente al tablero y lanza un dardo más.</v>
      </c>
    </row>
    <row r="15428">
      <c r="A15428" s="4" t="s">
        <v>19433</v>
      </c>
      <c r="B15428" s="4" t="s">
        <v>19439</v>
      </c>
      <c r="C15428" s="5" t="str">
        <f>IFERROR(__xludf.DUMMYFUNCTION("GOOGLETRANSLATE(B15428,""en"",""es-ES"")"),"Más personas se reúnen cuando dos hombres retiran los dardos de los dardos y caminan hacia atrás.")</f>
        <v>Más personas se reúnen cuando dos hombres retiran los dardos de los dardos y caminan hacia atrás.</v>
      </c>
    </row>
    <row r="15429">
      <c r="A15429" s="4" t="s">
        <v>19433</v>
      </c>
      <c r="B15429" s="4" t="s">
        <v>19440</v>
      </c>
      <c r="C15429" s="5" t="str">
        <f>IFERROR(__xludf.DUMMYFUNCTION("GOOGLETRANSLATE(B15429,""en"",""es-ES"")"),"Ambos hombres lanzan un dardo en la tabla de dardos.")</f>
        <v>Ambos hombres lanzan un dardo en la tabla de dardos.</v>
      </c>
    </row>
    <row r="15430">
      <c r="A15430" s="4" t="s">
        <v>19433</v>
      </c>
      <c r="B15430" s="4" t="s">
        <v>19441</v>
      </c>
      <c r="C15430" s="5" t="str">
        <f>IFERROR(__xludf.DUMMYFUNCTION("GOOGLETRANSLATE(B15430,""en"",""es-ES"")"),"El hombre en Peach camina para quitar los dardos.")</f>
        <v>El hombre en Peach camina para quitar los dardos.</v>
      </c>
    </row>
    <row r="15431">
      <c r="A15431" s="4" t="s">
        <v>19433</v>
      </c>
      <c r="B15431" s="4" t="s">
        <v>19442</v>
      </c>
      <c r="C15431" s="5" t="str">
        <f>IFERROR(__xludf.DUMMYFUNCTION("GOOGLETRANSLATE(B15431,""en"",""es-ES"")"),"Una mujer se encuentra junto al tablero de dardos y sonríe.")</f>
        <v>Una mujer se encuentra junto al tablero de dardos y sonríe.</v>
      </c>
    </row>
    <row r="15432">
      <c r="A15432" s="4" t="s">
        <v>19433</v>
      </c>
      <c r="B15432" s="4" t="s">
        <v>19443</v>
      </c>
      <c r="C15432" s="5" t="str">
        <f>IFERROR(__xludf.DUMMYFUNCTION("GOOGLETRANSLATE(B15432,""en"",""es-ES"")"),"El hombre en Peach arroja tres dardos en el tablero nuevamente y sonríe mientras los elimina.")</f>
        <v>El hombre en Peach arroja tres dardos en el tablero nuevamente y sonríe mientras los elimina.</v>
      </c>
    </row>
    <row r="15433">
      <c r="A15433" s="4" t="s">
        <v>19444</v>
      </c>
      <c r="B15433" s="4" t="s">
        <v>19445</v>
      </c>
      <c r="C15433" s="5" t="str">
        <f>IFERROR(__xludf.DUMMYFUNCTION("GOOGLETRANSLATE(B15433,""en"",""es-ES"")"),"Vemos a un niño parado en una plataforma en un gimnasio de la jungla.")</f>
        <v>Vemos a un niño parado en una plataforma en un gimnasio de la jungla.</v>
      </c>
    </row>
    <row r="15434">
      <c r="A15434" s="4" t="s">
        <v>19444</v>
      </c>
      <c r="B15434" s="4" t="s">
        <v>19446</v>
      </c>
      <c r="C15434" s="5" t="str">
        <f>IFERROR(__xludf.DUMMYFUNCTION("GOOGLETRANSLATE(B15434,""en"",""es-ES"")"),"El niño se sube a los bares de mono.")</f>
        <v>El niño se sube a los bares de mono.</v>
      </c>
    </row>
    <row r="15435">
      <c r="A15435" s="4" t="s">
        <v>19444</v>
      </c>
      <c r="B15435" s="4" t="s">
        <v>19447</v>
      </c>
      <c r="C15435" s="5" t="str">
        <f>IFERROR(__xludf.DUMMYFUNCTION("GOOGLETRANSLATE(B15435,""en"",""es-ES"")"),"El niño llega a la otra plataforma y gira y sonríe para la cámara.")</f>
        <v>El niño llega a la otra plataforma y gira y sonríe para la cámara.</v>
      </c>
    </row>
    <row r="15436">
      <c r="A15436" s="4" t="s">
        <v>19448</v>
      </c>
      <c r="B15436" s="4" t="s">
        <v>19449</v>
      </c>
      <c r="C15436" s="5" t="str">
        <f>IFERROR(__xludf.DUMMYFUNCTION("GOOGLETRANSLATE(B15436,""en"",""es-ES"")"),"Dos hombres se sientan en una habitación fumando cigarrillos uno tocando la guitarra la otra en el teclado.")</f>
        <v>Dos hombres se sientan en una habitación fumando cigarrillos uno tocando la guitarra la otra en el teclado.</v>
      </c>
    </row>
    <row r="15437">
      <c r="A15437" s="4" t="s">
        <v>19448</v>
      </c>
      <c r="B15437" s="4" t="s">
        <v>19450</v>
      </c>
      <c r="C15437" s="5" t="str">
        <f>IFERROR(__xludf.DUMMYFUNCTION("GOOGLETRANSLATE(B15437,""en"",""es-ES"")"),"El hombre de la guitarra a la derecha le quita el cigarrillo de la boca y lo baja.")</f>
        <v>El hombre de la guitarra a la derecha le quita el cigarrillo de la boca y lo baja.</v>
      </c>
    </row>
    <row r="15438">
      <c r="A15438" s="4" t="s">
        <v>19448</v>
      </c>
      <c r="B15438" s="4" t="s">
        <v>19451</v>
      </c>
      <c r="C15438" s="5" t="str">
        <f>IFERROR(__xludf.DUMMYFUNCTION("GOOGLETRANSLATE(B15438,""en"",""es-ES"")"),"El hombre de la izquierda saca su cigarrillo y se limpia la boca en su brazo.")</f>
        <v>El hombre de la izquierda saca su cigarrillo y se limpia la boca en su brazo.</v>
      </c>
    </row>
    <row r="15439">
      <c r="A15439" s="4" t="s">
        <v>19448</v>
      </c>
      <c r="B15439" s="4" t="s">
        <v>19452</v>
      </c>
      <c r="C15439" s="5" t="str">
        <f>IFERROR(__xludf.DUMMYFUNCTION("GOOGLETRANSLATE(B15439,""en"",""es-ES"")"),"Terminan y el hombre de la izquierda se limpia la boca y la derecha saca su cigarrillo y sopla humo.")</f>
        <v>Terminan y el hombre de la izquierda se limpia la boca y la derecha saca su cigarrillo y sopla humo.</v>
      </c>
    </row>
    <row r="15440">
      <c r="A15440" s="4" t="s">
        <v>19453</v>
      </c>
      <c r="B15440" s="4" t="s">
        <v>19454</v>
      </c>
      <c r="C15440" s="5" t="str">
        <f>IFERROR(__xludf.DUMMYFUNCTION("GOOGLETRANSLATE(B15440,""en"",""es-ES"")"),"Una mujer mayor y una niña pequeña se ven lavando platos en un fregadero y hablando entre sí.")</f>
        <v>Una mujer mayor y una niña pequeña se ven lavando platos en un fregadero y hablando entre sí.</v>
      </c>
    </row>
    <row r="15441">
      <c r="A15441" s="4" t="s">
        <v>19453</v>
      </c>
      <c r="B15441" s="4" t="s">
        <v>19455</v>
      </c>
      <c r="C15441" s="5" t="str">
        <f>IFERROR(__xludf.DUMMYFUNCTION("GOOGLETRANSLATE(B15441,""en"",""es-ES"")"),"La gente juega en el agua y la niña sopla burbujas mientras la mujer lava los platos.")</f>
        <v>La gente juega en el agua y la niña sopla burbujas mientras la mujer lava los platos.</v>
      </c>
    </row>
    <row r="15442">
      <c r="A15442" s="4" t="s">
        <v>19456</v>
      </c>
      <c r="B15442" s="4" t="s">
        <v>19457</v>
      </c>
      <c r="C15442" s="5" t="str">
        <f>IFERROR(__xludf.DUMMYFUNCTION("GOOGLETRANSLATE(B15442,""en"",""es-ES"")"),"Una colorida cometa con forma hexagonal está volando en el aire.")</f>
        <v>Una colorida cometa con forma hexagonal está volando en el aire.</v>
      </c>
    </row>
    <row r="15443">
      <c r="A15443" s="4" t="s">
        <v>19456</v>
      </c>
      <c r="B15443" s="4" t="s">
        <v>19458</v>
      </c>
      <c r="C15443" s="5" t="str">
        <f>IFERROR(__xludf.DUMMYFUNCTION("GOOGLETRANSLATE(B15443,""en"",""es-ES"")"),"Los cielos azules claros y el brillante sol que brilla hace que la cometa se vea muy colorida y radiante.")</f>
        <v>Los cielos azules claros y el brillante sol que brilla hace que la cometa se vea muy colorida y radiante.</v>
      </c>
    </row>
    <row r="15444">
      <c r="A15444" s="4" t="s">
        <v>19459</v>
      </c>
      <c r="B15444" s="4" t="s">
        <v>19460</v>
      </c>
      <c r="C15444" s="5" t="str">
        <f>IFERROR(__xludf.DUMMYFUNCTION("GOOGLETRANSLATE(B15444,""en"",""es-ES"")"),"Se muestra un video de animación de dibujos animados con personas deambulando y disparando cohetes.")</f>
        <v>Se muestra un video de animación de dibujos animados con personas deambulando y disparando cohetes.</v>
      </c>
    </row>
    <row r="15445">
      <c r="A15445" s="4" t="s">
        <v>19459</v>
      </c>
      <c r="B15445" s="4" t="s">
        <v>19461</v>
      </c>
      <c r="C15445" s="5" t="str">
        <f>IFERROR(__xludf.DUMMYFUNCTION("GOOGLETRANSLATE(B15445,""en"",""es-ES"")"),"Dos hombres luchan contra los robots del mal y terminan con un para continuar.")</f>
        <v>Dos hombres luchan contra los robots del mal y terminan con un para continuar.</v>
      </c>
    </row>
    <row r="15446">
      <c r="A15446" s="4" t="s">
        <v>19462</v>
      </c>
      <c r="B15446" s="4" t="s">
        <v>19463</v>
      </c>
      <c r="C15446" s="5" t="str">
        <f>IFERROR(__xludf.DUMMYFUNCTION("GOOGLETRANSLATE(B15446,""en"",""es-ES"")"),"Se ve a una mujer hablando con la cámara y la lleva a colocar varios alimentos y mezclar ingredientes en una licuadora.")</f>
        <v>Se ve a una mujer hablando con la cámara y la lleva a colocar varios alimentos y mezclar ingredientes en una licuadora.</v>
      </c>
    </row>
    <row r="15447">
      <c r="A15447" s="4" t="s">
        <v>19462</v>
      </c>
      <c r="B15447" s="4" t="s">
        <v>19464</v>
      </c>
      <c r="C15447" s="5" t="str">
        <f>IFERROR(__xludf.DUMMYFUNCTION("GOOGLETRANSLATE(B15447,""en"",""es-ES"")"),"Ella vierte más más harinas en la batidora y muestra varias tomas de galletas que se están haciendo.")</f>
        <v>Ella vierte más más harinas en la batidora y muestra varias tomas de galletas que se están haciendo.</v>
      </c>
    </row>
    <row r="15448">
      <c r="A15448" s="4" t="s">
        <v>19462</v>
      </c>
      <c r="B15448" s="4" t="s">
        <v>19465</v>
      </c>
      <c r="C15448" s="5" t="str">
        <f>IFERROR(__xludf.DUMMYFUNCTION("GOOGLETRANSLATE(B15448,""en"",""es-ES"")"),"Ella presenta más ingredientes, vierte una cucharada de masa en una sartén y luego rompe una galleta cocida.")</f>
        <v>Ella presenta más ingredientes, vierte una cucharada de masa en una sartén y luego rompe una galleta cocida.</v>
      </c>
    </row>
    <row r="15449">
      <c r="A15449" s="4" t="s">
        <v>19466</v>
      </c>
      <c r="B15449" s="4" t="s">
        <v>19467</v>
      </c>
      <c r="C15449" s="5" t="str">
        <f>IFERROR(__xludf.DUMMYFUNCTION("GOOGLETRANSLATE(B15449,""en"",""es-ES"")"),"Un hombre mayor está caminando y un gran pájaro blanco morde su pie derecho.")</f>
        <v>Un hombre mayor está caminando y un gran pájaro blanco morde su pie derecho.</v>
      </c>
    </row>
    <row r="15450">
      <c r="A15450" s="4" t="s">
        <v>19466</v>
      </c>
      <c r="B15450" s="4" t="s">
        <v>19468</v>
      </c>
      <c r="C15450" s="5" t="str">
        <f>IFERROR(__xludf.DUMMYFUNCTION("GOOGLETRANSLATE(B15450,""en"",""es-ES"")"),"El hombre se da vuelta y señala y regaña al pájaro y continúa caminando.")</f>
        <v>El hombre se da vuelta y señala y regaña al pájaro y continúa caminando.</v>
      </c>
    </row>
    <row r="15451">
      <c r="A15451" s="4" t="s">
        <v>19466</v>
      </c>
      <c r="B15451" s="4" t="s">
        <v>19469</v>
      </c>
      <c r="C15451" s="5" t="str">
        <f>IFERROR(__xludf.DUMMYFUNCTION("GOOGLETRANSLATE(B15451,""en"",""es-ES"")"),"El hombre luego se dobla cerca de algunas escaleras, limpia el exterior del edificio y el pájaro continúa atacando al hombre.")</f>
        <v>El hombre luego se dobla cerca de algunas escaleras, limpia el exterior del edificio y el pájaro continúa atacando al hombre.</v>
      </c>
    </row>
    <row r="15452">
      <c r="A15452" s="4" t="s">
        <v>19466</v>
      </c>
      <c r="B15452" s="4" t="s">
        <v>19470</v>
      </c>
      <c r="C15452" s="5" t="str">
        <f>IFERROR(__xludf.DUMMYFUNCTION("GOOGLETRANSLATE(B15452,""en"",""es-ES"")"),"El hombre regaña al pájaro nuevamente y se mueve al pequeño perro que también está allí que el perro y el pájaro deben interactuar, pero el pájaro sigue jugando con el hombre y el perro se mantiene fuera.")</f>
        <v>El hombre regaña al pájaro nuevamente y se mueve al pequeño perro que también está allí que el perro y el pájaro deben interactuar, pero el pájaro sigue jugando con el hombre y el perro se mantiene fuera.</v>
      </c>
    </row>
    <row r="15453">
      <c r="A15453" s="4" t="s">
        <v>19471</v>
      </c>
      <c r="B15453" s="4" t="s">
        <v>19472</v>
      </c>
      <c r="C15453" s="5" t="str">
        <f>IFERROR(__xludf.DUMMYFUNCTION("GOOGLETRANSLATE(B15453,""en"",""es-ES"")"),"Se ve a varias mujeres mirando la cámara seguida de un hombre que habla con la cámara.")</f>
        <v>Se ve a varias mujeres mirando la cámara seguida de un hombre que habla con la cámara.</v>
      </c>
    </row>
    <row r="15454">
      <c r="A15454" s="4" t="s">
        <v>19471</v>
      </c>
      <c r="B15454" s="4" t="s">
        <v>19473</v>
      </c>
      <c r="C15454" s="5" t="str">
        <f>IFERROR(__xludf.DUMMYFUNCTION("GOOGLETRANSLATE(B15454,""en"",""es-ES"")"),"Se muestran varias herramientas que Lea en una mujer se quita el cabello.")</f>
        <v>Se muestran varias herramientas que Lea en una mujer se quita el cabello.</v>
      </c>
    </row>
    <row r="15455">
      <c r="A15455" s="4" t="s">
        <v>19471</v>
      </c>
      <c r="B15455" s="4" t="s">
        <v>19474</v>
      </c>
      <c r="C15455" s="5" t="str">
        <f>IFERROR(__xludf.DUMMYFUNCTION("GOOGLETRANSLATE(B15455,""en"",""es-ES"")"),"Otra mujer se cepilla el cabello y conduce a más clips de mujeres sonriendo y mirando a la cámara.")</f>
        <v>Otra mujer se cepilla el cabello y conduce a más clips de mujeres sonriendo y mirando a la cámara.</v>
      </c>
    </row>
    <row r="15456">
      <c r="A15456" s="4" t="s">
        <v>19475</v>
      </c>
      <c r="B15456" s="4" t="s">
        <v>19476</v>
      </c>
      <c r="C15456" s="5" t="str">
        <f>IFERROR(__xludf.DUMMYFUNCTION("GOOGLETRANSLATE(B15456,""en"",""es-ES"")"),"Dos personas juegan a la pelota de pared en una habitación.")</f>
        <v>Dos personas juegan a la pelota de pared en una habitación.</v>
      </c>
    </row>
    <row r="15457">
      <c r="A15457" s="4" t="s">
        <v>19475</v>
      </c>
      <c r="B15457" s="4" t="s">
        <v>19477</v>
      </c>
      <c r="C15457" s="5" t="str">
        <f>IFERROR(__xludf.DUMMYFUNCTION("GOOGLETRANSLATE(B15457,""en"",""es-ES"")"),"Un niño cae buceando para la pelota.")</f>
        <v>Un niño cae buceando para la pelota.</v>
      </c>
    </row>
    <row r="15458">
      <c r="A15458" s="4" t="s">
        <v>19475</v>
      </c>
      <c r="B15458" s="4" t="s">
        <v>19478</v>
      </c>
      <c r="C15458" s="5" t="str">
        <f>IFERROR(__xludf.DUMMYFUNCTION("GOOGLETRANSLATE(B15458,""en"",""es-ES"")"),"Una persona camina frente a la habitación.")</f>
        <v>Una persona camina frente a la habitación.</v>
      </c>
    </row>
    <row r="15459">
      <c r="A15459" s="4" t="s">
        <v>19479</v>
      </c>
      <c r="B15459" s="4" t="s">
        <v>19480</v>
      </c>
      <c r="C15459" s="5" t="str">
        <f>IFERROR(__xludf.DUMMYFUNCTION("GOOGLETRANSLATE(B15459,""en"",""es-ES"")"),"Un hombre está en el interior, mientras elige un frisbee del suelo.")</f>
        <v>Un hombre está en el interior, mientras elige un frisbee del suelo.</v>
      </c>
    </row>
    <row r="15460">
      <c r="A15460" s="4" t="s">
        <v>19479</v>
      </c>
      <c r="B15460" s="4" t="s">
        <v>19481</v>
      </c>
      <c r="C15460" s="5" t="str">
        <f>IFERROR(__xludf.DUMMYFUNCTION("GOOGLETRANSLATE(B15460,""en"",""es-ES"")"),"Luego usa varios frisbees para entrenar y mostrar las acrobacias de un perro collie de tamaño mediano.")</f>
        <v>Luego usa varios frisbees para entrenar y mostrar las acrobacias de un perro collie de tamaño mediano.</v>
      </c>
    </row>
    <row r="15461">
      <c r="A15461" s="4" t="s">
        <v>19479</v>
      </c>
      <c r="B15461" s="4" t="s">
        <v>19482</v>
      </c>
      <c r="C15461" s="5" t="str">
        <f>IFERROR(__xludf.DUMMYFUNCTION("GOOGLETRANSLATE(B15461,""en"",""es-ES"")"),"El perro corre fuera de la pantalla y trae de vuelta los frisbees.")</f>
        <v>El perro corre fuera de la pantalla y trae de vuelta los frisbees.</v>
      </c>
    </row>
    <row r="15462">
      <c r="A15462" s="4" t="s">
        <v>19479</v>
      </c>
      <c r="B15462" s="4" t="s">
        <v>19483</v>
      </c>
      <c r="C15462" s="5" t="str">
        <f>IFERROR(__xludf.DUMMYFUNCTION("GOOGLETRANSLATE(B15462,""en"",""es-ES"")"),"La escena termina con el perro tratando de eliminar desesperadamente un frisbee de la mano del hombre sentado.")</f>
        <v>La escena termina con el perro tratando de eliminar desesperadamente un frisbee de la mano del hombre sentado.</v>
      </c>
    </row>
    <row r="15463">
      <c r="A15463" s="4" t="s">
        <v>19484</v>
      </c>
      <c r="B15463" s="4" t="s">
        <v>19485</v>
      </c>
      <c r="C15463" s="5" t="str">
        <f>IFERROR(__xludf.DUMMYFUNCTION("GOOGLETRANSLATE(B15463,""en"",""es-ES"")"),"Se ve a un hombre mayor caminando hacia la cámara y señala varias plantas a su alrededor.")</f>
        <v>Se ve a un hombre mayor caminando hacia la cámara y señala varias plantas a su alrededor.</v>
      </c>
    </row>
    <row r="15464">
      <c r="A15464" s="4" t="s">
        <v>19484</v>
      </c>
      <c r="B15464" s="4" t="s">
        <v>19486</v>
      </c>
      <c r="C15464" s="5" t="str">
        <f>IFERROR(__xludf.DUMMYFUNCTION("GOOGLETRANSLATE(B15464,""en"",""es-ES"")"),"La cámara se desplaza alrededor del área con todas las plantas que crecen y muestra al hombre que sostiene una herramienta.")</f>
        <v>La cámara se desplaza alrededor del área con todas las plantas que crecen y muestra al hombre que sostiene una herramienta.</v>
      </c>
    </row>
    <row r="15465">
      <c r="A15465" s="4" t="s">
        <v>19484</v>
      </c>
      <c r="B15465" s="4" t="s">
        <v>19487</v>
      </c>
      <c r="C15465" s="5" t="str">
        <f>IFERROR(__xludf.DUMMYFUNCTION("GOOGLETRANSLATE(B15465,""en"",""es-ES"")"),"Luego, el hombre usa la herramienta a lo largo de un seto de arbustos mientras mira hacia atrás y sonríe a la cámara.")</f>
        <v>Luego, el hombre usa la herramienta a lo largo de un seto de arbustos mientras mira hacia atrás y sonríe a la cámara.</v>
      </c>
    </row>
    <row r="15466">
      <c r="A15466" s="4" t="s">
        <v>19488</v>
      </c>
      <c r="B15466" s="4" t="s">
        <v>19489</v>
      </c>
      <c r="C15466" s="5" t="str">
        <f>IFERROR(__xludf.DUMMYFUNCTION("GOOGLETRANSLATE(B15466,""en"",""es-ES"")"),"Se ve a una niña hablando con la cámara de pie antes de que se produzca un juego de escocés Hop.")</f>
        <v>Se ve a una niña hablando con la cámara de pie antes de que se produzca un juego de escocés Hop.</v>
      </c>
    </row>
    <row r="15467">
      <c r="A15467" s="4" t="s">
        <v>19488</v>
      </c>
      <c r="B15467" s="4" t="s">
        <v>19490</v>
      </c>
      <c r="C15467" s="5" t="str">
        <f>IFERROR(__xludf.DUMMYFUNCTION("GOOGLETRANSLATE(B15467,""en"",""es-ES"")"),"La niña luego arroja una roca y salta para terminar mientras la agarra y salta hacia atrás.")</f>
        <v>La niña luego arroja una roca y salta para terminar mientras la agarra y salta hacia atrás.</v>
      </c>
    </row>
    <row r="15468">
      <c r="A15468" s="4" t="s">
        <v>19491</v>
      </c>
      <c r="B15468" s="4" t="s">
        <v>19492</v>
      </c>
      <c r="C15468" s="5" t="str">
        <f>IFERROR(__xludf.DUMMYFUNCTION("GOOGLETRANSLATE(B15468,""en"",""es-ES"")"),"Una mujer está parada detrás del vacío.")</f>
        <v>Una mujer está parada detrás del vacío.</v>
      </c>
    </row>
    <row r="15469">
      <c r="A15469" s="4" t="s">
        <v>19491</v>
      </c>
      <c r="B15469" s="4" t="s">
        <v>19493</v>
      </c>
      <c r="C15469" s="5" t="str">
        <f>IFERROR(__xludf.DUMMYFUNCTION("GOOGLETRANSLATE(B15469,""en"",""es-ES"")"),"Ella comienza a aspirar la alfombra.")</f>
        <v>Ella comienza a aspirar la alfombra.</v>
      </c>
    </row>
    <row r="15470">
      <c r="A15470" s="4" t="s">
        <v>19491</v>
      </c>
      <c r="B15470" s="4" t="s">
        <v>19494</v>
      </c>
      <c r="C15470" s="5" t="str">
        <f>IFERROR(__xludf.DUMMYFUNCTION("GOOGLETRANSLATE(B15470,""en"",""es-ES"")"),"Se quita el accesorio de la manguera y limpia una lámpara y las escaleras.")</f>
        <v>Se quita el accesorio de la manguera y limpia una lámpara y las escaleras.</v>
      </c>
    </row>
    <row r="15471">
      <c r="A15471" s="4" t="s">
        <v>19491</v>
      </c>
      <c r="B15471" s="4" t="s">
        <v>19495</v>
      </c>
      <c r="C15471" s="5" t="str">
        <f>IFERROR(__xludf.DUMMYFUNCTION("GOOGLETRANSLATE(B15471,""en"",""es-ES"")"),"Ella vacía el filtro del vacío en el bote de basura.")</f>
        <v>Ella vacía el filtro del vacío en el bote de basura.</v>
      </c>
    </row>
    <row r="15472">
      <c r="A15472" s="4" t="s">
        <v>19496</v>
      </c>
      <c r="B15472" s="4" t="s">
        <v>19497</v>
      </c>
      <c r="C15472" s="5" t="str">
        <f>IFERROR(__xludf.DUMMYFUNCTION("GOOGLETRANSLATE(B15472,""en"",""es-ES"")"),"Se muestra la receta para hacer limaade.")</f>
        <v>Se muestra la receta para hacer limaade.</v>
      </c>
    </row>
    <row r="15473">
      <c r="A15473" s="4" t="s">
        <v>19496</v>
      </c>
      <c r="B15473" s="4" t="s">
        <v>19498</v>
      </c>
      <c r="C15473" s="5" t="str">
        <f>IFERROR(__xludf.DUMMYFUNCTION("GOOGLETRANSLATE(B15473,""en"",""es-ES"")"),"Las limas están jugadas y luego se combinan con agua y azúcar.")</f>
        <v>Las limas están jugadas y luego se combinan con agua y azúcar.</v>
      </c>
    </row>
    <row r="15474">
      <c r="A15474" s="4" t="s">
        <v>19496</v>
      </c>
      <c r="B15474" s="4" t="s">
        <v>19499</v>
      </c>
      <c r="C15474" s="5" t="str">
        <f>IFERROR(__xludf.DUMMYFUNCTION("GOOGLETRANSLATE(B15474,""en"",""es-ES"")"),"Todo se agita.")</f>
        <v>Todo se agita.</v>
      </c>
    </row>
    <row r="15475">
      <c r="A15475" s="4" t="s">
        <v>19500</v>
      </c>
      <c r="B15475" s="4" t="s">
        <v>19501</v>
      </c>
      <c r="C15475" s="5" t="str">
        <f>IFERROR(__xludf.DUMMYFUNCTION("GOOGLETRANSLATE(B15475,""en"",""es-ES"")"),"Hay dos constructores de cuerpo vestidos con camisas negras que demuestran levantamiento de pesas en un gimnasio.")</f>
        <v>Hay dos constructores de cuerpo vestidos con camisas negras que demuestran levantamiento de pesas en un gimnasio.</v>
      </c>
    </row>
    <row r="15476">
      <c r="A15476" s="4" t="s">
        <v>19500</v>
      </c>
      <c r="B15476" s="4" t="s">
        <v>19502</v>
      </c>
      <c r="C15476" s="5" t="str">
        <f>IFERROR(__xludf.DUMMYFUNCTION("GOOGLETRANSLATE(B15476,""en"",""es-ES"")"),"Uno de los culturistas es levantar los pesos, mientras que el otro explica el método correcto para hacerlo.")</f>
        <v>Uno de los culturistas es levantar los pesos, mientras que el otro explica el método correcto para hacerlo.</v>
      </c>
    </row>
    <row r="15477">
      <c r="A15477" s="4" t="s">
        <v>19500</v>
      </c>
      <c r="B15477" s="4" t="s">
        <v>19503</v>
      </c>
      <c r="C15477" s="5" t="str">
        <f>IFERROR(__xludf.DUMMYFUNCTION("GOOGLETRANSLATE(B15477,""en"",""es-ES"")"),"El culturista levanta el peso gradualmente al principio y luego se levanta rápidamente para levantar los pesos.")</f>
        <v>El culturista levanta el peso gradualmente al principio y luego se levanta rápidamente para levantar los pesos.</v>
      </c>
    </row>
    <row r="15478">
      <c r="A15478" s="4" t="s">
        <v>19500</v>
      </c>
      <c r="B15478" s="4" t="s">
        <v>19504</v>
      </c>
      <c r="C15478" s="5" t="str">
        <f>IFERROR(__xludf.DUMMYFUNCTION("GOOGLETRANSLATE(B15478,""en"",""es-ES"")"),"El otro culturista continúa explicando las estrategias de levantamiento de pesas que se usan profesionalmente.")</f>
        <v>El otro culturista continúa explicando las estrategias de levantamiento de pesas que se usan profesionalmente.</v>
      </c>
    </row>
    <row r="15479">
      <c r="A15479" s="4" t="s">
        <v>19505</v>
      </c>
      <c r="B15479" s="4" t="s">
        <v>19506</v>
      </c>
      <c r="C15479" s="5" t="str">
        <f>IFERROR(__xludf.DUMMYFUNCTION("GOOGLETRANSLATE(B15479,""en"",""es-ES"")"),"Vemos una pantalla de título por la pantalla.")</f>
        <v>Vemos una pantalla de título por la pantalla.</v>
      </c>
    </row>
    <row r="15480">
      <c r="A15480" s="4" t="s">
        <v>19505</v>
      </c>
      <c r="B15480" s="4" t="s">
        <v>19507</v>
      </c>
      <c r="C15480" s="5" t="str">
        <f>IFERROR(__xludf.DUMMYFUNCTION("GOOGLETRANSLATE(B15480,""en"",""es-ES"")"),"Luego vemos a un niño mayor y un tazón de niño en una bolera.")</f>
        <v>Luego vemos a un niño mayor y un tazón de niño en una bolera.</v>
      </c>
    </row>
    <row r="15481">
      <c r="A15481" s="4" t="s">
        <v>19505</v>
      </c>
      <c r="B15481" s="4" t="s">
        <v>19508</v>
      </c>
      <c r="C15481" s="5" t="str">
        <f>IFERROR(__xludf.DUMMYFUNCTION("GOOGLETRANSLATE(B15481,""en"",""es-ES"")"),"Un niño pequeño con una camisa naranja roda la pelota por el pasillo.")</f>
        <v>Un niño pequeño con una camisa naranja roda la pelota por el pasillo.</v>
      </c>
    </row>
    <row r="15482">
      <c r="A15482" s="4" t="s">
        <v>19505</v>
      </c>
      <c r="B15482" s="4" t="s">
        <v>19509</v>
      </c>
      <c r="C15482" s="5" t="str">
        <f>IFERROR(__xludf.DUMMYFUNCTION("GOOGLETRANSLATE(B15482,""en"",""es-ES"")"),"Vemos a un niño mayor con una camisa verde rodar la pelota 5 veces y obtener 4 huelgas.")</f>
        <v>Vemos a un niño mayor con una camisa verde rodar la pelota 5 veces y obtener 4 huelgas.</v>
      </c>
    </row>
    <row r="15483">
      <c r="A15483" s="4" t="s">
        <v>19505</v>
      </c>
      <c r="B15483" s="4" t="s">
        <v>19510</v>
      </c>
      <c r="C15483" s="5" t="str">
        <f>IFERROR(__xludf.DUMMYFUNCTION("GOOGLETRANSLATE(B15483,""en"",""es-ES"")"),"Vemos una pantalla de título y una cámara lenta de una de las tomas del niño mayor.")</f>
        <v>Vemos una pantalla de título y una cámara lenta de una de las tomas del niño mayor.</v>
      </c>
    </row>
    <row r="15484">
      <c r="A15484" s="4" t="s">
        <v>19511</v>
      </c>
      <c r="B15484" s="4" t="s">
        <v>19512</v>
      </c>
      <c r="C15484" s="5" t="str">
        <f>IFERROR(__xludf.DUMMYFUNCTION("GOOGLETRANSLATE(B15484,""en"",""es-ES"")"),"Un hombre se muestra afuera en un parque para niños con pantalones cortos grises en un par de zapatillas de puma en blanco y negro.")</f>
        <v>Un hombre se muestra afuera en un parque para niños con pantalones cortos grises en un par de zapatillas de puma en blanco y negro.</v>
      </c>
    </row>
    <row r="15485">
      <c r="A15485" s="4" t="s">
        <v>19511</v>
      </c>
      <c r="B15485" s="4" t="s">
        <v>19513</v>
      </c>
      <c r="C15485" s="5" t="str">
        <f>IFERROR(__xludf.DUMMYFUNCTION("GOOGLETRANSLATE(B15485,""en"",""es-ES"")"),"Luego lo tira encima de las barras de mono y se para encima de ellas y entra en un soporte de mano.")</f>
        <v>Luego lo tira encima de las barras de mono y se para encima de ellas y entra en un soporte de mano.</v>
      </c>
    </row>
    <row r="15486">
      <c r="A15486" s="4" t="s">
        <v>19511</v>
      </c>
      <c r="B15486" s="4" t="s">
        <v>19514</v>
      </c>
      <c r="C15486" s="5" t="str">
        <f>IFERROR(__xludf.DUMMYFUNCTION("GOOGLETRANSLATE(B15486,""en"",""es-ES"")"),"Una vez que tiene el equilibrio, viaja a través de IS y salta uno que ha llegado al final.")</f>
        <v>Una vez que tiene el equilibrio, viaja a través de IS y salta uno que ha llegado al final.</v>
      </c>
    </row>
    <row r="15487">
      <c r="A15487" s="4" t="s">
        <v>19515</v>
      </c>
      <c r="B15487" s="4" t="s">
        <v>19516</v>
      </c>
      <c r="C15487" s="5" t="str">
        <f>IFERROR(__xludf.DUMMYFUNCTION("GOOGLETRANSLATE(B15487,""en"",""es-ES"")"),"Tres personas se sientan en el escenario y tienen una conversación.")</f>
        <v>Tres personas se sientan en el escenario y tienen una conversación.</v>
      </c>
    </row>
    <row r="15488">
      <c r="A15488" s="4" t="s">
        <v>19515</v>
      </c>
      <c r="B15488" s="4" t="s">
        <v>19517</v>
      </c>
      <c r="C15488" s="5" t="str">
        <f>IFERROR(__xludf.DUMMYFUNCTION("GOOGLETRANSLATE(B15488,""en"",""es-ES"")"),"Dos niños bailan de la misma manera.")</f>
        <v>Dos niños bailan de la misma manera.</v>
      </c>
    </row>
    <row r="15489">
      <c r="A15489" s="4" t="s">
        <v>19515</v>
      </c>
      <c r="B15489" s="4" t="s">
        <v>19518</v>
      </c>
      <c r="C15489" s="5" t="str">
        <f>IFERROR(__xludf.DUMMYFUNCTION("GOOGLETRANSLATE(B15489,""en"",""es-ES"")"),"Una imagen de un hombre se incorpora a la pantalla con los bailarines.")</f>
        <v>Una imagen de un hombre se incorpora a la pantalla con los bailarines.</v>
      </c>
    </row>
    <row r="15490">
      <c r="A15490" s="4" t="s">
        <v>19515</v>
      </c>
      <c r="B15490" s="4" t="s">
        <v>19519</v>
      </c>
      <c r="C15490" s="5" t="str">
        <f>IFERROR(__xludf.DUMMYFUNCTION("GOOGLETRANSLATE(B15490,""en"",""es-ES"")"),"El hombre se cubre la cara con la mano.")</f>
        <v>El hombre se cubre la cara con la mano.</v>
      </c>
    </row>
    <row r="15491">
      <c r="A15491" s="4" t="s">
        <v>19515</v>
      </c>
      <c r="B15491" s="4" t="s">
        <v>19520</v>
      </c>
      <c r="C15491" s="5" t="str">
        <f>IFERROR(__xludf.DUMMYFUNCTION("GOOGLETRANSLATE(B15491,""en"",""es-ES"")"),"El hombre y la mujer gestan los movimientos de la mano de los bailarines.")</f>
        <v>El hombre y la mujer gestan los movimientos de la mano de los bailarines.</v>
      </c>
    </row>
    <row r="15492">
      <c r="A15492" s="4" t="s">
        <v>19515</v>
      </c>
      <c r="B15492" s="4" t="s">
        <v>19521</v>
      </c>
      <c r="C15492" s="5" t="str">
        <f>IFERROR(__xludf.DUMMYFUNCTION("GOOGLETRANSLATE(B15492,""en"",""es-ES"")"),"Este hombre se quita el asiento y las rodillas.")</f>
        <v>Este hombre se quita el asiento y las rodillas.</v>
      </c>
    </row>
    <row r="15493">
      <c r="A15493" s="4" t="s">
        <v>19515</v>
      </c>
      <c r="B15493" s="4" t="s">
        <v>19522</v>
      </c>
      <c r="C15493" s="5" t="str">
        <f>IFERROR(__xludf.DUMMYFUNCTION("GOOGLETRANSLATE(B15493,""en"",""es-ES"")"),"El hombre se pone de rodillas y se sienta hacia abajo.")</f>
        <v>El hombre se pone de rodillas y se sienta hacia abajo.</v>
      </c>
    </row>
    <row r="15494">
      <c r="A15494" s="4" t="s">
        <v>19515</v>
      </c>
      <c r="B15494" s="4" t="s">
        <v>19523</v>
      </c>
      <c r="C15494" s="5" t="str">
        <f>IFERROR(__xludf.DUMMYFUNCTION("GOOGLETRANSLATE(B15494,""en"",""es-ES"")"),"El hombre y la mujer tocan las manos mientras están sentados.")</f>
        <v>El hombre y la mujer tocan las manos mientras están sentados.</v>
      </c>
    </row>
    <row r="15495">
      <c r="A15495" s="4" t="s">
        <v>19515</v>
      </c>
      <c r="B15495" s="4" t="s">
        <v>19524</v>
      </c>
      <c r="C15495" s="5" t="str">
        <f>IFERROR(__xludf.DUMMYFUNCTION("GOOGLETRANSLATE(B15495,""en"",""es-ES"")"),"El hombre aplaude sus manos.")</f>
        <v>El hombre aplaude sus manos.</v>
      </c>
    </row>
    <row r="15496">
      <c r="A15496" s="4" t="s">
        <v>19515</v>
      </c>
      <c r="B15496" s="4" t="s">
        <v>19525</v>
      </c>
      <c r="C15496" s="5" t="str">
        <f>IFERROR(__xludf.DUMMYFUNCTION("GOOGLETRANSLATE(B15496,""en"",""es-ES"")"),"El hombre saluda a un hombre detrás del escenario para unirse a ellos.")</f>
        <v>El hombre saluda a un hombre detrás del escenario para unirse a ellos.</v>
      </c>
    </row>
    <row r="15497">
      <c r="A15497" s="4" t="s">
        <v>19515</v>
      </c>
      <c r="B15497" s="4" t="s">
        <v>19526</v>
      </c>
      <c r="C15497" s="5" t="str">
        <f>IFERROR(__xludf.DUMMYFUNCTION("GOOGLETRANSLATE(B15497,""en"",""es-ES"")"),"Un hombre de pie que está detrás del escenario.")</f>
        <v>Un hombre de pie que está detrás del escenario.</v>
      </c>
    </row>
    <row r="15498">
      <c r="A15498" s="4" t="s">
        <v>19515</v>
      </c>
      <c r="B15498" s="4" t="s">
        <v>19527</v>
      </c>
      <c r="C15498" s="5" t="str">
        <f>IFERROR(__xludf.DUMMYFUNCTION("GOOGLETRANSLATE(B15498,""en"",""es-ES"")"),"Se muestra a los dos bailarines que extienden una mano.")</f>
        <v>Se muestra a los dos bailarines que extienden una mano.</v>
      </c>
    </row>
    <row r="15499">
      <c r="A15499" s="4" t="s">
        <v>19515</v>
      </c>
      <c r="B15499" s="4" t="s">
        <v>19528</v>
      </c>
      <c r="C15499" s="5" t="str">
        <f>IFERROR(__xludf.DUMMYFUNCTION("GOOGLETRANSLATE(B15499,""en"",""es-ES"")"),"Un hombre camina desde detrás del escenario.")</f>
        <v>Un hombre camina desde detrás del escenario.</v>
      </c>
    </row>
    <row r="15500">
      <c r="A15500" s="4" t="s">
        <v>19515</v>
      </c>
      <c r="B15500" s="4" t="s">
        <v>19529</v>
      </c>
      <c r="C15500" s="5" t="str">
        <f>IFERROR(__xludf.DUMMYFUNCTION("GOOGLETRANSLATE(B15500,""en"",""es-ES"")"),"El hombre se da la mano y abraza a uno de los hombres en el escenario.")</f>
        <v>El hombre se da la mano y abraza a uno de los hombres en el escenario.</v>
      </c>
    </row>
    <row r="15501">
      <c r="A15501" s="4" t="s">
        <v>19515</v>
      </c>
      <c r="B15501" s="4" t="s">
        <v>19530</v>
      </c>
      <c r="C15501" s="5" t="str">
        <f>IFERROR(__xludf.DUMMYFUNCTION("GOOGLETRANSLATE(B15501,""en"",""es-ES"")"),"La mujer se para y también abraza al hombre.")</f>
        <v>La mujer se para y también abraza al hombre.</v>
      </c>
    </row>
    <row r="15502">
      <c r="A15502" s="4" t="s">
        <v>19515</v>
      </c>
      <c r="B15502" s="4" t="s">
        <v>19531</v>
      </c>
      <c r="C15502" s="5" t="str">
        <f>IFERROR(__xludf.DUMMYFUNCTION("GOOGLETRANSLATE(B15502,""en"",""es-ES"")"),"Un hombre de pie y luego se sienta.")</f>
        <v>Un hombre de pie y luego se sienta.</v>
      </c>
    </row>
    <row r="15503">
      <c r="A15503" s="4" t="s">
        <v>19515</v>
      </c>
      <c r="B15503" s="4" t="s">
        <v>19532</v>
      </c>
      <c r="C15503" s="5" t="str">
        <f>IFERROR(__xludf.DUMMYFUNCTION("GOOGLETRANSLATE(B15503,""en"",""es-ES"")"),"El hombre con un traje negro baila y luego se sienta.")</f>
        <v>El hombre con un traje negro baila y luego se sienta.</v>
      </c>
    </row>
    <row r="15504">
      <c r="A15504" s="4" t="s">
        <v>19515</v>
      </c>
      <c r="B15504" s="4" t="s">
        <v>19533</v>
      </c>
      <c r="C15504" s="5" t="str">
        <f>IFERROR(__xludf.DUMMYFUNCTION("GOOGLETRANSLATE(B15504,""en"",""es-ES"")"),"El hombre con un traje marrón regresa al área de backstage.")</f>
        <v>El hombre con un traje marrón regresa al área de backstage.</v>
      </c>
    </row>
    <row r="15505">
      <c r="A15505" s="4" t="s">
        <v>19515</v>
      </c>
      <c r="B15505" s="4" t="s">
        <v>19534</v>
      </c>
      <c r="C15505" s="5" t="str">
        <f>IFERROR(__xludf.DUMMYFUNCTION("GOOGLETRANSLATE(B15505,""en"",""es-ES"")"),"El hombre se muestra mientras está en el backstage.")</f>
        <v>El hombre se muestra mientras está en el backstage.</v>
      </c>
    </row>
    <row r="15506">
      <c r="A15506" s="4" t="s">
        <v>19515</v>
      </c>
      <c r="B15506" s="4" t="s">
        <v>19535</v>
      </c>
      <c r="C15506" s="5" t="str">
        <f>IFERROR(__xludf.DUMMYFUNCTION("GOOGLETRANSLATE(B15506,""en"",""es-ES"")"),"Se muestra el nombre del programa.")</f>
        <v>Se muestra el nombre del programa.</v>
      </c>
    </row>
    <row r="15507">
      <c r="A15507" s="4" t="s">
        <v>19536</v>
      </c>
      <c r="B15507" s="4" t="s">
        <v>19537</v>
      </c>
      <c r="C15507" s="5" t="str">
        <f>IFERROR(__xludf.DUMMYFUNCTION("GOOGLETRANSLATE(B15507,""en"",""es-ES"")"),"Se muestran varios disparos de personas que empujan barcos de vela al agua y los montan.")</f>
        <v>Se muestran varios disparos de personas que empujan barcos de vela al agua y los montan.</v>
      </c>
    </row>
    <row r="15508">
      <c r="A15508" s="4" t="s">
        <v>19536</v>
      </c>
      <c r="B15508" s="4" t="s">
        <v>19538</v>
      </c>
      <c r="C15508" s="5" t="str">
        <f>IFERROR(__xludf.DUMMYFUNCTION("GOOGLETRANSLATE(B15508,""en"",""es-ES"")"),"Se ve a las personas cabalgando en motos de agua después del bote, así como los primeros planos de los botes que se muestran y bajo el agua.")</f>
        <v>Se ve a las personas cabalgando en motos de agua después del bote, así como los primeros planos de los botes que se muestran y bajo el agua.</v>
      </c>
    </row>
    <row r="15509">
      <c r="A15509" s="4" t="s">
        <v>19536</v>
      </c>
      <c r="B15509" s="4" t="s">
        <v>19539</v>
      </c>
      <c r="C15509" s="5" t="str">
        <f>IFERROR(__xludf.DUMMYFUNCTION("GOOGLETRANSLATE(B15509,""en"",""es-ES"")"),"Se ve a más personas montando en botes más pequeños y terminan arrastrando un bote a la orilla.")</f>
        <v>Se ve a más personas montando en botes más pequeños y terminan arrastrando un bote a la orilla.</v>
      </c>
    </row>
    <row r="15510">
      <c r="A15510" s="4" t="s">
        <v>19540</v>
      </c>
      <c r="B15510" s="4" t="s">
        <v>19541</v>
      </c>
      <c r="C15510" s="5" t="str">
        <f>IFERROR(__xludf.DUMMYFUNCTION("GOOGLETRANSLATE(B15510,""en"",""es-ES"")"),"Los niños montan bicicletas alrededor de una pista de tierra.")</f>
        <v>Los niños montan bicicletas alrededor de una pista de tierra.</v>
      </c>
    </row>
    <row r="15511">
      <c r="A15511" s="4" t="s">
        <v>19540</v>
      </c>
      <c r="B15511" s="4" t="s">
        <v>19542</v>
      </c>
      <c r="C15511" s="5" t="str">
        <f>IFERROR(__xludf.DUMMYFUNCTION("GOOGLETRANSLATE(B15511,""en"",""es-ES"")"),"Uno de ellos se inclina y cae.")</f>
        <v>Uno de ellos se inclina y cae.</v>
      </c>
    </row>
    <row r="15512">
      <c r="A15512" s="4" t="s">
        <v>19540</v>
      </c>
      <c r="B15512" s="4" t="s">
        <v>19543</v>
      </c>
      <c r="C15512" s="5" t="str">
        <f>IFERROR(__xludf.DUMMYFUNCTION("GOOGLETRANSLATE(B15512,""en"",""es-ES"")"),"Continúan dando la vuelta a la pista.")</f>
        <v>Continúan dando la vuelta a la pista.</v>
      </c>
    </row>
    <row r="15513">
      <c r="A15513" s="4" t="s">
        <v>19540</v>
      </c>
      <c r="B15513" s="4" t="s">
        <v>19544</v>
      </c>
      <c r="C15513" s="5" t="str">
        <f>IFERROR(__xludf.DUMMYFUNCTION("GOOGLETRANSLATE(B15513,""en"",""es-ES"")"),"Otra persona se estrella y cae.")</f>
        <v>Otra persona se estrella y cae.</v>
      </c>
    </row>
    <row r="15514">
      <c r="A15514" s="4" t="s">
        <v>19545</v>
      </c>
      <c r="B15514" s="4" t="s">
        <v>19546</v>
      </c>
      <c r="C15514" s="5" t="str">
        <f>IFERROR(__xludf.DUMMYFUNCTION("GOOGLETRANSLATE(B15514,""en"",""es-ES"")"),"Un grupo de bailarines con atuendos rojos bailan en el escenario.")</f>
        <v>Un grupo de bailarines con atuendos rojos bailan en el escenario.</v>
      </c>
    </row>
    <row r="15515">
      <c r="A15515" s="4" t="s">
        <v>19545</v>
      </c>
      <c r="B15515" s="4" t="s">
        <v>19547</v>
      </c>
      <c r="C15515" s="5" t="str">
        <f>IFERROR(__xludf.DUMMYFUNCTION("GOOGLETRANSLATE(B15515,""en"",""es-ES"")"),"Un grupo de animadoras en Pink se paran en un campo mientras un grupo de blanco camina hasta Great the Coach.")</f>
        <v>Un grupo de animadoras en Pink se paran en un campo mientras un grupo de blanco camina hasta Great the Coach.</v>
      </c>
    </row>
    <row r="15516">
      <c r="A15516" s="4" t="s">
        <v>19545</v>
      </c>
      <c r="B15516" s="4" t="s">
        <v>19548</v>
      </c>
      <c r="C15516" s="5" t="str">
        <f>IFERROR(__xludf.DUMMYFUNCTION("GOOGLETRANSLATE(B15516,""en"",""es-ES"")"),"Una mujer solista en una blusa roja analiza los eventos en una habitación con letras iluminadas en el fondo.")</f>
        <v>Una mujer solista en una blusa roja analiza los eventos en una habitación con letras iluminadas en el fondo.</v>
      </c>
    </row>
    <row r="15517">
      <c r="A15517" s="4" t="s">
        <v>19545</v>
      </c>
      <c r="B15517" s="4" t="s">
        <v>19549</v>
      </c>
      <c r="C15517" s="5" t="str">
        <f>IFERROR(__xludf.DUMMYFUNCTION("GOOGLETRANSLATE(B15517,""en"",""es-ES"")"),"Ambos equipos de mujeres se alinean juntas en el campo.")</f>
        <v>Ambos equipos de mujeres se alinean juntas en el campo.</v>
      </c>
    </row>
    <row r="15518">
      <c r="A15518" s="4" t="s">
        <v>19545</v>
      </c>
      <c r="B15518" s="4" t="s">
        <v>19550</v>
      </c>
      <c r="C15518" s="5" t="str">
        <f>IFERROR(__xludf.DUMMYFUNCTION("GOOGLETRANSLATE(B15518,""en"",""es-ES"")"),"Ambos grupos de mujeres bailan juntas al unísono con el entrenador que conduce al frente.")</f>
        <v>Ambos grupos de mujeres bailan juntas al unísono con el entrenador que conduce al frente.</v>
      </c>
    </row>
    <row r="15519">
      <c r="A15519" s="4" t="s">
        <v>19545</v>
      </c>
      <c r="B15519" s="4" t="s">
        <v>19551</v>
      </c>
      <c r="C15519" s="5" t="str">
        <f>IFERROR(__xludf.DUMMYFUNCTION("GOOGLETRANSLATE(B15519,""en"",""es-ES"")"),"Las mujeres en uniformes rosas bailan en el campo.")</f>
        <v>Las mujeres en uniformes rosas bailan en el campo.</v>
      </c>
    </row>
    <row r="15520">
      <c r="A15520" s="4" t="s">
        <v>19545</v>
      </c>
      <c r="B15520" s="4" t="s">
        <v>19552</v>
      </c>
      <c r="C15520" s="5" t="str">
        <f>IFERROR(__xludf.DUMMYFUNCTION("GOOGLETRANSLATE(B15520,""en"",""es-ES"")"),"Las mujeres con uniformes blancos bailan en el campo.")</f>
        <v>Las mujeres con uniformes blancos bailan en el campo.</v>
      </c>
    </row>
    <row r="15521">
      <c r="A15521" s="4" t="s">
        <v>19553</v>
      </c>
      <c r="B15521" s="4" t="s">
        <v>1487</v>
      </c>
      <c r="C15521" s="5" t="str">
        <f>IFERROR(__xludf.DUMMYFUNCTION("GOOGLETRANSLATE(B15521,""en"",""es-ES"")"),"Vemos una pantalla de título de apertura.")</f>
        <v>Vemos una pantalla de título de apertura.</v>
      </c>
    </row>
    <row r="15522">
      <c r="A15522" s="4" t="s">
        <v>19553</v>
      </c>
      <c r="B15522" s="4" t="s">
        <v>19554</v>
      </c>
      <c r="C15522" s="5" t="str">
        <f>IFERROR(__xludf.DUMMYFUNCTION("GOOGLETRANSLATE(B15522,""en"",""es-ES"")"),"Vemos a un hombre tratando de tejas alrededor de una pipa.")</f>
        <v>Vemos a un hombre tratando de tejas alrededor de una pipa.</v>
      </c>
    </row>
    <row r="15523">
      <c r="A15523" s="4" t="s">
        <v>19553</v>
      </c>
      <c r="B15523" s="4" t="s">
        <v>19555</v>
      </c>
      <c r="C15523" s="5" t="str">
        <f>IFERROR(__xludf.DUMMYFUNCTION("GOOGLETRANSLATE(B15523,""en"",""es-ES"")"),"El hombre luego empuja la tubería hacia abajo y la clava.")</f>
        <v>El hombre luego empuja la tubería hacia abajo y la clava.</v>
      </c>
    </row>
    <row r="15524">
      <c r="A15524" s="4" t="s">
        <v>19553</v>
      </c>
      <c r="B15524" s="4" t="s">
        <v>19556</v>
      </c>
      <c r="C15524" s="5" t="str">
        <f>IFERROR(__xludf.DUMMYFUNCTION("GOOGLETRANSLATE(B15524,""en"",""es-ES"")"),"El hombre agrega alquitrán a la base de la tubería y las clavos se ateñan a su alrededor.")</f>
        <v>El hombre agrega alquitrán a la base de la tubería y las clavos se ateñan a su alrededor.</v>
      </c>
    </row>
    <row r="15525">
      <c r="A15525" s="4" t="s">
        <v>19553</v>
      </c>
      <c r="B15525" s="4" t="s">
        <v>19557</v>
      </c>
      <c r="C15525" s="5" t="str">
        <f>IFERROR(__xludf.DUMMYFUNCTION("GOOGLETRANSLATE(B15525,""en"",""es-ES"")"),"El hombre luego pone al alquitrán debajo de la teja superior.")</f>
        <v>El hombre luego pone al alquitrán debajo de la teja superior.</v>
      </c>
    </row>
    <row r="15526">
      <c r="A15526" s="4" t="s">
        <v>19553</v>
      </c>
      <c r="B15526" s="4" t="s">
        <v>19558</v>
      </c>
      <c r="C15526" s="5" t="str">
        <f>IFERROR(__xludf.DUMMYFUNCTION("GOOGLETRANSLATE(B15526,""en"",""es-ES"")"),"Vemos la casa y un camión estacionado en el camino de entrada.")</f>
        <v>Vemos la casa y un camión estacionado en el camino de entrada.</v>
      </c>
    </row>
    <row r="15527">
      <c r="A15527" s="4" t="s">
        <v>19559</v>
      </c>
      <c r="B15527" s="4" t="s">
        <v>19560</v>
      </c>
      <c r="C15527" s="5" t="str">
        <f>IFERROR(__xludf.DUMMYFUNCTION("GOOGLETRANSLATE(B15527,""en"",""es-ES"")"),"Una mujer se arrodilla al aire libre en un molido de concreto y enjuague la ropa y la lava con un cubo de metal para el enjuague y el suelo como tablero de lavar para la ropa.")</f>
        <v>Una mujer se arrodilla al aire libre en un molido de concreto y enjuague la ropa y la lava con un cubo de metal para el enjuague y el suelo como tablero de lavar para la ropa.</v>
      </c>
    </row>
    <row r="15528">
      <c r="A15528" s="4" t="s">
        <v>19559</v>
      </c>
      <c r="B15528" s="4" t="s">
        <v>19561</v>
      </c>
      <c r="C15528" s="5" t="str">
        <f>IFERROR(__xludf.DUMMYFUNCTION("GOOGLETRANSLATE(B15528,""en"",""es-ES"")"),"Una niña se acerca a la mujer y vierte más agua en el cubo de metal de la mujer y luego se aleja para pararse junto a un pozo donde otra mujer está arrodillada y lavando la ropa de la misma manera.")</f>
        <v>Una niña se acerca a la mujer y vierte más agua en el cubo de metal de la mujer y luego se aleja para pararse junto a un pozo donde otra mujer está arrodillada y lavando la ropa de la misma manera.</v>
      </c>
    </row>
    <row r="15529">
      <c r="A15529" s="4" t="s">
        <v>19559</v>
      </c>
      <c r="B15529" s="4" t="s">
        <v>19562</v>
      </c>
      <c r="C15529" s="5" t="str">
        <f>IFERROR(__xludf.DUMMYFUNCTION("GOOGLETRANSLATE(B15529,""en"",""es-ES"")"),"La primera mujer se muestra nuevamente esta vez lavando una gran sábana blanca contra el suelo usando el cubo de metal nuevamente para el suministro de agua.")</f>
        <v>La primera mujer se muestra nuevamente esta vez lavando una gran sábana blanca contra el suelo usando el cubo de metal nuevamente para el suministro de agua.</v>
      </c>
    </row>
    <row r="15530">
      <c r="A15530" s="4" t="s">
        <v>19563</v>
      </c>
      <c r="B15530" s="4" t="s">
        <v>19564</v>
      </c>
      <c r="C15530" s="5" t="str">
        <f>IFERROR(__xludf.DUMMYFUNCTION("GOOGLETRANSLATE(B15530,""en"",""es-ES"")"),"Un hombre fuerte está levantando sus piernas hacia arriba y hacia abajo a través de barras paralelas.")</f>
        <v>Un hombre fuerte está levantando sus piernas hacia arriba y hacia abajo a través de barras paralelas.</v>
      </c>
    </row>
    <row r="15531">
      <c r="A15531" s="4" t="s">
        <v>19563</v>
      </c>
      <c r="B15531" s="4" t="s">
        <v>19565</v>
      </c>
      <c r="C15531" s="5" t="str">
        <f>IFERROR(__xludf.DUMMYFUNCTION("GOOGLETRANSLATE(B15531,""en"",""es-ES"")"),"Comienza a encogerse de hombros en los bares.")</f>
        <v>Comienza a encogerse de hombros en los bares.</v>
      </c>
    </row>
    <row r="15532">
      <c r="A15532" s="4" t="s">
        <v>19563</v>
      </c>
      <c r="B15532" s="4" t="s">
        <v>19566</v>
      </c>
      <c r="C15532" s="5" t="str">
        <f>IFERROR(__xludf.DUMMYFUNCTION("GOOGLETRANSLATE(B15532,""en"",""es-ES"")"),"Comienza a caminar con su cuerpo con las manos.")</f>
        <v>Comienza a caminar con su cuerpo con las manos.</v>
      </c>
    </row>
    <row r="15533">
      <c r="A15533" s="4" t="s">
        <v>19563</v>
      </c>
      <c r="B15533" s="4" t="s">
        <v>19567</v>
      </c>
      <c r="C15533" s="5" t="str">
        <f>IFERROR(__xludf.DUMMYFUNCTION("GOOGLETRANSLATE(B15533,""en"",""es-ES"")"),"Se da vuelta en el borde de las barras con los brazos.")</f>
        <v>Se da vuelta en el borde de las barras con los brazos.</v>
      </c>
    </row>
    <row r="15534">
      <c r="A15534" s="4" t="s">
        <v>19563</v>
      </c>
      <c r="B15534" s="4" t="s">
        <v>19568</v>
      </c>
      <c r="C15534" s="5" t="str">
        <f>IFERROR(__xludf.DUMMYFUNCTION("GOOGLETRANSLATE(B15534,""en"",""es-ES"")"),"Se balancea las piernas y salta con los brazos a través de las barras paralelas.")</f>
        <v>Se balancea las piernas y salta con los brazos a través de las barras paralelas.</v>
      </c>
    </row>
    <row r="15535">
      <c r="A15535" s="4" t="s">
        <v>19563</v>
      </c>
      <c r="B15535" s="4" t="s">
        <v>19569</v>
      </c>
      <c r="C15535" s="5" t="str">
        <f>IFERROR(__xludf.DUMMYFUNCTION("GOOGLETRANSLATE(B15535,""en"",""es-ES"")"),"Un hombre se sumerge en las barras paralelas.")</f>
        <v>Un hombre se sumerge en las barras paralelas.</v>
      </c>
    </row>
    <row r="15536">
      <c r="A15536" s="4" t="s">
        <v>19563</v>
      </c>
      <c r="B15536" s="4" t="s">
        <v>19570</v>
      </c>
      <c r="C15536" s="5" t="str">
        <f>IFERROR(__xludf.DUMMYFUNCTION("GOOGLETRANSLATE(B15536,""en"",""es-ES"")"),"Otro hombre se sumerge hasta los codos en las barras paralelas.")</f>
        <v>Otro hombre se sumerge hasta los codos en las barras paralelas.</v>
      </c>
    </row>
    <row r="15537">
      <c r="A15537" s="4" t="s">
        <v>19563</v>
      </c>
      <c r="B15537" s="4" t="s">
        <v>19571</v>
      </c>
      <c r="C15537" s="5" t="str">
        <f>IFERROR(__xludf.DUMMYFUNCTION("GOOGLETRANSLATE(B15537,""en"",""es-ES"")"),"Luego comienza a hacer salsas a las axilas en las barras paralelas llamadas salsas rusas, mientras mantiene las piernas en el aire.")</f>
        <v>Luego comienza a hacer salsas a las axilas en las barras paralelas llamadas salsas rusas, mientras mantiene las piernas en el aire.</v>
      </c>
    </row>
    <row r="15538">
      <c r="A15538" s="4" t="s">
        <v>19563</v>
      </c>
      <c r="B15538" s="4" t="s">
        <v>19572</v>
      </c>
      <c r="C15538" s="5" t="str">
        <f>IFERROR(__xludf.DUMMYFUNCTION("GOOGLETRANSLATE(B15538,""en"",""es-ES"")"),"Un hombre se sumerge con su cuerpo frente a la barra y las piernas se abalanza debajo de la barra.")</f>
        <v>Un hombre se sumerge con su cuerpo frente a la barra y las piernas se abalanza debajo de la barra.</v>
      </c>
    </row>
    <row r="15539">
      <c r="A15539" s="4" t="s">
        <v>19563</v>
      </c>
      <c r="B15539" s="4" t="s">
        <v>19573</v>
      </c>
      <c r="C15539" s="5" t="str">
        <f>IFERROR(__xludf.DUMMYFUNCTION("GOOGLETRANSLATE(B15539,""en"",""es-ES"")"),"Luego hace flexiones en las barras paralelas, bajando, empujando hacia adelante, luego hacia arriba.")</f>
        <v>Luego hace flexiones en las barras paralelas, bajando, empujando hacia adelante, luego hacia arriba.</v>
      </c>
    </row>
    <row r="15540">
      <c r="A15540" s="4" t="s">
        <v>19563</v>
      </c>
      <c r="B15540" s="4" t="s">
        <v>19574</v>
      </c>
      <c r="C15540" s="5" t="str">
        <f>IFERROR(__xludf.DUMMYFUNCTION("GOOGLETRANSLATE(B15540,""en"",""es-ES"")"),"Comienza a hacer flexiones, con las rodillas escondidas, con las barras paralelas.")</f>
        <v>Comienza a hacer flexiones, con las rodillas escondidas, con las barras paralelas.</v>
      </c>
    </row>
    <row r="15541">
      <c r="A15541" s="4" t="s">
        <v>19563</v>
      </c>
      <c r="B15541" s="4" t="s">
        <v>19575</v>
      </c>
      <c r="C15541" s="5" t="str">
        <f>IFERROR(__xludf.DUMMYFUNCTION("GOOGLETRANSLATE(B15541,""en"",""es-ES"")"),"Un hombre diferente hace salsas de piernas, balancea las piernas hacia arriba y alrededor de cada barra paralela y empuja hacia adelante a través de las barras paralelas.")</f>
        <v>Un hombre diferente hace salsas de piernas, balancea las piernas hacia arriba y alrededor de cada barra paralela y empuja hacia adelante a través de las barras paralelas.</v>
      </c>
    </row>
    <row r="15542">
      <c r="A15542" s="4" t="s">
        <v>19563</v>
      </c>
      <c r="B15542" s="4" t="s">
        <v>19576</v>
      </c>
      <c r="C15542" s="5" t="str">
        <f>IFERROR(__xludf.DUMMYFUNCTION("GOOGLETRANSLATE(B15542,""en"",""es-ES"")"),"Cuando llega al final, se pone de rodillas y levanta su cuerpo y perpendicular a las barras.")</f>
        <v>Cuando llega al final, se pone de rodillas y levanta su cuerpo y perpendicular a las barras.</v>
      </c>
    </row>
    <row r="15543">
      <c r="A15543" s="4" t="s">
        <v>19563</v>
      </c>
      <c r="B15543" s="4" t="s">
        <v>19577</v>
      </c>
      <c r="C15543" s="5" t="str">
        <f>IFERROR(__xludf.DUMMYFUNCTION("GOOGLETRANSLATE(B15543,""en"",""es-ES"")"),"Luego se eleva la rodilla y las piernas.")</f>
        <v>Luego se eleva la rodilla y las piernas.</v>
      </c>
    </row>
    <row r="15544">
      <c r="A15544" s="4" t="s">
        <v>19563</v>
      </c>
      <c r="B15544" s="4" t="s">
        <v>19578</v>
      </c>
      <c r="C15544" s="5" t="str">
        <f>IFERROR(__xludf.DUMMYFUNCTION("GOOGLETRANSLATE(B15544,""en"",""es-ES"")"),"Un hombre diferente mantiene las piernas directamente y las mueve a través de cada barra.")</f>
        <v>Un hombre diferente mantiene las piernas directamente y las mueve a través de cada barra.</v>
      </c>
    </row>
    <row r="15545">
      <c r="A15545" s="4" t="s">
        <v>19563</v>
      </c>
      <c r="B15545" s="4" t="s">
        <v>19579</v>
      </c>
      <c r="C15545" s="5" t="str">
        <f>IFERROR(__xludf.DUMMYFUNCTION("GOOGLETRANSLATE(B15545,""en"",""es-ES"")"),"Un hombre diferente lleva sus piernas directamente a una forma de V en las barras.")</f>
        <v>Un hombre diferente lleva sus piernas directamente a una forma de V en las barras.</v>
      </c>
    </row>
    <row r="15546">
      <c r="A15546" s="4" t="s">
        <v>19563</v>
      </c>
      <c r="B15546" s="4" t="s">
        <v>19580</v>
      </c>
      <c r="C15546" s="5" t="str">
        <f>IFERROR(__xludf.DUMMYFUNCTION("GOOGLETRANSLATE(B15546,""en"",""es-ES"")"),"Luego descansa los codos en las barras y balancea su cuerpo perpendicular a las barras y luego es paralelo a las barras.")</f>
        <v>Luego descansa los codos en las barras y balancea su cuerpo perpendicular a las barras y luego es paralelo a las barras.</v>
      </c>
    </row>
    <row r="15547">
      <c r="A15547" s="4" t="s">
        <v>19563</v>
      </c>
      <c r="B15547" s="4" t="s">
        <v>19581</v>
      </c>
      <c r="C15547" s="5" t="str">
        <f>IFERROR(__xludf.DUMMYFUNCTION("GOOGLETRANSLATE(B15547,""en"",""es-ES"")"),"Comienza a hacer soportes para el hombro en las barras.")</f>
        <v>Comienza a hacer soportes para el hombro en las barras.</v>
      </c>
    </row>
    <row r="15548">
      <c r="A15548" s="4" t="s">
        <v>19563</v>
      </c>
      <c r="B15548" s="4" t="s">
        <v>19582</v>
      </c>
      <c r="C15548" s="5" t="str">
        <f>IFERROR(__xludf.DUMMYFUNCTION("GOOGLETRANSLATE(B15548,""en"",""es-ES"")"),"Cambia a hacer un soporte de cabeza y sostiene.")</f>
        <v>Cambia a hacer un soporte de cabeza y sostiene.</v>
      </c>
    </row>
    <row r="15549">
      <c r="A15549" s="4" t="s">
        <v>19563</v>
      </c>
      <c r="B15549" s="4" t="s">
        <v>19583</v>
      </c>
      <c r="C15549" s="5" t="str">
        <f>IFERROR(__xludf.DUMMYFUNCTION("GOOGLETRANSLATE(B15549,""en"",""es-ES"")"),"Un hombre diferente comienza a balancear su cuerpo desde debajo de las barras y se presiona hacia arriba y sobre las barras.")</f>
        <v>Un hombre diferente comienza a balancear su cuerpo desde debajo de las barras y se presiona hacia arriba y sobre las barras.</v>
      </c>
    </row>
    <row r="15550">
      <c r="A15550" s="4" t="s">
        <v>19584</v>
      </c>
      <c r="B15550" s="4" t="s">
        <v>19585</v>
      </c>
      <c r="C15550" s="5" t="str">
        <f>IFERROR(__xludf.DUMMYFUNCTION("GOOGLETRANSLATE(B15550,""en"",""es-ES"")"),"Un grupo de personas se reúne al aire libre en un mercado.")</f>
        <v>Un grupo de personas se reúne al aire libre en un mercado.</v>
      </c>
    </row>
    <row r="15551">
      <c r="A15551" s="4" t="s">
        <v>19584</v>
      </c>
      <c r="B15551" s="4" t="s">
        <v>19586</v>
      </c>
      <c r="C15551" s="5" t="str">
        <f>IFERROR(__xludf.DUMMYFUNCTION("GOOGLETRANSLATE(B15551,""en"",""es-ES"")"),"La gente camina mirando todas las mercancías.")</f>
        <v>La gente camina mirando todas las mercancías.</v>
      </c>
    </row>
    <row r="15552">
      <c r="A15552" s="4" t="s">
        <v>19584</v>
      </c>
      <c r="B15552" s="4" t="s">
        <v>19587</v>
      </c>
      <c r="C15552" s="5" t="str">
        <f>IFERROR(__xludf.DUMMYFUNCTION("GOOGLETRANSLATE(B15552,""en"",""es-ES"")"),"Aparece un perro, a medida que la gente continúa bullicio.")</f>
        <v>Aparece un perro, a medida que la gente continúa bullicio.</v>
      </c>
    </row>
    <row r="15553">
      <c r="A15553" s="4" t="s">
        <v>19588</v>
      </c>
      <c r="B15553" s="4" t="s">
        <v>19589</v>
      </c>
      <c r="C15553" s="5" t="str">
        <f>IFERROR(__xludf.DUMMYFUNCTION("GOOGLETRANSLATE(B15553,""en"",""es-ES"")"),"Una gimnasta monta una viga baja frente a una multitud.")</f>
        <v>Una gimnasta monta una viga baja frente a una multitud.</v>
      </c>
    </row>
    <row r="15554">
      <c r="A15554" s="4" t="s">
        <v>19588</v>
      </c>
      <c r="B15554" s="4" t="s">
        <v>19590</v>
      </c>
      <c r="C15554" s="5" t="str">
        <f>IFERROR(__xludf.DUMMYFUNCTION("GOOGLETRANSLATE(B15554,""en"",""es-ES"")"),"Ella se inclina, con las manos y las volteas hacia adelante y hacia atrás en la viga.")</f>
        <v>Ella se inclina, con las manos y las volteas hacia adelante y hacia atrás en la viga.</v>
      </c>
    </row>
    <row r="15555">
      <c r="A15555" s="4" t="s">
        <v>19588</v>
      </c>
      <c r="B15555" s="4" t="s">
        <v>19591</v>
      </c>
      <c r="C15555" s="5" t="str">
        <f>IFERROR(__xludf.DUMMYFUNCTION("GOOGLETRANSLATE(B15555,""en"",""es-ES"")"),"Ella desmonta con orgullo, levantando sus brazos en el aire.")</f>
        <v>Ella desmonta con orgullo, levantando sus brazos en el aire.</v>
      </c>
    </row>
    <row r="15556">
      <c r="A15556" s="4" t="s">
        <v>19592</v>
      </c>
      <c r="B15556" s="4" t="s">
        <v>19593</v>
      </c>
      <c r="C15556" s="5" t="str">
        <f>IFERROR(__xludf.DUMMYFUNCTION("GOOGLETRANSLATE(B15556,""en"",""es-ES"")"),"Se ve a un hombre sentado en un caballo con una cuerda en sus manos.")</f>
        <v>Se ve a un hombre sentado en un caballo con una cuerda en sus manos.</v>
      </c>
    </row>
    <row r="15557">
      <c r="A15557" s="4" t="s">
        <v>19592</v>
      </c>
      <c r="B15557" s="4" t="s">
        <v>19594</v>
      </c>
      <c r="C15557" s="5" t="str">
        <f>IFERROR(__xludf.DUMMYFUNCTION("GOOGLETRANSLATE(B15557,""en"",""es-ES"")"),"Luego se mueve sobre un caballo y acuerda una pantorrilla con la cuerda.")</f>
        <v>Luego se mueve sobre un caballo y acuerda una pantorrilla con la cuerda.</v>
      </c>
    </row>
    <row r="15558">
      <c r="A15558" s="4" t="s">
        <v>19592</v>
      </c>
      <c r="B15558" s="4" t="s">
        <v>19595</v>
      </c>
      <c r="C15558" s="5" t="str">
        <f>IFERROR(__xludf.DUMMYFUNCTION("GOOGLETRANSLATE(B15558,""en"",""es-ES"")"),"Se muestra a varias personas montando y acelerando ganado mientras otras miran a un lado.")</f>
        <v>Se muestra a varias personas montando y acelerando ganado mientras otras miran a un lado.</v>
      </c>
    </row>
    <row r="15559">
      <c r="A15559" s="4" t="s">
        <v>19596</v>
      </c>
      <c r="B15559" s="4" t="s">
        <v>19597</v>
      </c>
      <c r="C15559" s="5" t="str">
        <f>IFERROR(__xludf.DUMMYFUNCTION("GOOGLETRANSLATE(B15559,""en"",""es-ES"")"),"Un hombre se inclina sobre una mesa de billar, golpeando la pelota con su señal.")</f>
        <v>Un hombre se inclina sobre una mesa de billar, golpeando la pelota con su señal.</v>
      </c>
    </row>
    <row r="15560">
      <c r="A15560" s="4" t="s">
        <v>19596</v>
      </c>
      <c r="B15560" s="4" t="s">
        <v>19598</v>
      </c>
      <c r="C15560" s="5" t="str">
        <f>IFERROR(__xludf.DUMMYFUNCTION("GOOGLETRANSLATE(B15560,""en"",""es-ES"")"),"Una mujer con bikini rosa gira su señal mientras espera su turno.")</f>
        <v>Una mujer con bikini rosa gira su señal mientras espera su turno.</v>
      </c>
    </row>
    <row r="15561">
      <c r="A15561" s="4" t="s">
        <v>19596</v>
      </c>
      <c r="B15561" s="4" t="s">
        <v>19599</v>
      </c>
      <c r="C15561" s="5" t="str">
        <f>IFERROR(__xludf.DUMMYFUNCTION("GOOGLETRANSLATE(B15561,""en"",""es-ES"")"),"Luego toma un tiro en la pelota, golpeándolos en los agujeros.")</f>
        <v>Luego toma un tiro en la pelota, golpeándolos en los agujeros.</v>
      </c>
    </row>
    <row r="15562">
      <c r="A15562" s="4" t="s">
        <v>19600</v>
      </c>
      <c r="B15562" s="4" t="s">
        <v>19601</v>
      </c>
      <c r="C15562" s="5" t="str">
        <f>IFERROR(__xludf.DUMMYFUNCTION("GOOGLETRANSLATE(B15562,""en"",""es-ES"")"),"Dos hombres están en el medio de la corte luchando entre sí.")</f>
        <v>Dos hombres están en el medio de la corte luchando entre sí.</v>
      </c>
    </row>
    <row r="15563">
      <c r="A15563" s="4" t="s">
        <v>19600</v>
      </c>
      <c r="B15563" s="4" t="s">
        <v>19602</v>
      </c>
      <c r="C15563" s="5" t="str">
        <f>IFERROR(__xludf.DUMMYFUNCTION("GOOGLETRANSLATE(B15563,""en"",""es-ES"")"),"Están practicando sus movimientos mientras otros se mantienen y miran.")</f>
        <v>Están practicando sus movimientos mientras otros se mantienen y miran.</v>
      </c>
    </row>
    <row r="15564">
      <c r="A15564" s="4" t="s">
        <v>19600</v>
      </c>
      <c r="B15564" s="4" t="s">
        <v>19603</v>
      </c>
      <c r="C15564" s="5" t="str">
        <f>IFERROR(__xludf.DUMMYFUNCTION("GOOGLETRANSLATE(B15564,""en"",""es-ES"")"),"Es como una cultura practicada por muchos que realmente la disfrutan y piensan que es un deporte divertido.")</f>
        <v>Es como una cultura practicada por muchos que realmente la disfrutan y piensan que es un deporte divertido.</v>
      </c>
    </row>
    <row r="15565">
      <c r="A15565" s="4" t="s">
        <v>19600</v>
      </c>
      <c r="B15565" s="4" t="s">
        <v>19604</v>
      </c>
      <c r="C15565" s="5" t="str">
        <f>IFERROR(__xludf.DUMMYFUNCTION("GOOGLETRANSLATE(B15565,""en"",""es-ES"")"),"Lo toman muy en serio, algunos pelean y otros disfrutan de ver.")</f>
        <v>Lo toman muy en serio, algunos pelean y otros disfrutan de ver.</v>
      </c>
    </row>
    <row r="15566">
      <c r="A15566" s="4" t="s">
        <v>19605</v>
      </c>
      <c r="B15566" s="4" t="s">
        <v>19606</v>
      </c>
      <c r="C15566" s="5" t="str">
        <f>IFERROR(__xludf.DUMMYFUNCTION("GOOGLETRANSLATE(B15566,""en"",""es-ES"")"),"Un joven en el techo de un edificio alto, con el telón de fondo de un horizonte de la ciudad, realiza una serie de movimientos de baile, movimientos de gimnasia, movimientos de caída y patadas altas.")</f>
        <v>Un joven en el techo de un edificio alto, con el telón de fondo de un horizonte de la ciudad, realiza una serie de movimientos de baile, movimientos de gimnasia, movimientos de caída y patadas altas.</v>
      </c>
    </row>
    <row r="15567">
      <c r="A15567" s="4" t="s">
        <v>19605</v>
      </c>
      <c r="B15567" s="4" t="s">
        <v>19607</v>
      </c>
      <c r="C15567" s="5" t="str">
        <f>IFERROR(__xludf.DUMMYFUNCTION("GOOGLETRANSLATE(B15567,""en"",""es-ES"")"),"El hombre comienza de espaldas a la cámara y se encuentra frente al horizonte de la ciudad desde el techo.")</f>
        <v>El hombre comienza de espaldas a la cámara y se encuentra frente al horizonte de la ciudad desde el techo.</v>
      </c>
    </row>
    <row r="15568">
      <c r="A15568" s="4" t="s">
        <v>19605</v>
      </c>
      <c r="B15568" s="4" t="s">
        <v>19608</v>
      </c>
      <c r="C15568" s="5" t="str">
        <f>IFERROR(__xludf.DUMMYFUNCTION("GOOGLETRANSLATE(B15568,""en"",""es-ES"")"),"El hombre luego comienza una serie de patadas altas, volteos traseros sin mano y movimientos de breakdance.")</f>
        <v>El hombre luego comienza una serie de patadas altas, volteos traseros sin mano y movimientos de breakdance.</v>
      </c>
    </row>
    <row r="15569">
      <c r="A15569" s="4" t="s">
        <v>19605</v>
      </c>
      <c r="B15569" s="4" t="s">
        <v>19609</v>
      </c>
      <c r="C15569" s="5" t="str">
        <f>IFERROR(__xludf.DUMMYFUNCTION("GOOGLETRANSLATE(B15569,""en"",""es-ES"")"),"Los movimientos de baile terminan con más patadas altas, puestos de cabeza y movimientos de arte semi martial, mientras la cámara circula al hombre, mientras el hombre termina y camina, con la cámara de regreso a la cámara, al borde del techo nuevamente.")</f>
        <v>Los movimientos de baile terminan con más patadas altas, puestos de cabeza y movimientos de arte semi martial, mientras la cámara circula al hombre, mientras el hombre termina y camina, con la cámara de regreso a la cámara, al borde del techo nuevamente.</v>
      </c>
    </row>
    <row r="15570">
      <c r="A15570" s="4" t="s">
        <v>19610</v>
      </c>
      <c r="B15570" s="4" t="s">
        <v>19611</v>
      </c>
      <c r="C15570" s="5" t="str">
        <f>IFERROR(__xludf.DUMMYFUNCTION("GOOGLETRANSLATE(B15570,""en"",""es-ES"")"),"Se ve a una persona con un disfraz sentado en el medio de la calle tocando un acordeón.")</f>
        <v>Se ve a una persona con un disfraz sentado en el medio de la calle tocando un acordeón.</v>
      </c>
    </row>
    <row r="15571">
      <c r="A15571" s="4" t="s">
        <v>19610</v>
      </c>
      <c r="B15571" s="4" t="s">
        <v>19612</v>
      </c>
      <c r="C15571" s="5" t="str">
        <f>IFERROR(__xludf.DUMMYFUNCTION("GOOGLETRANSLATE(B15571,""en"",""es-ES"")"),"La persona continúa jugando mientras la cámara se acerca y varios autos y personas se mueven detrás de él.")</f>
        <v>La persona continúa jugando mientras la cámara se acerca y varios autos y personas se mueven detrás de él.</v>
      </c>
    </row>
    <row r="15572">
      <c r="A15572" s="4" t="s">
        <v>19613</v>
      </c>
      <c r="B15572" s="4" t="s">
        <v>19614</v>
      </c>
      <c r="C15572" s="5" t="str">
        <f>IFERROR(__xludf.DUMMYFUNCTION("GOOGLETRANSLATE(B15572,""en"",""es-ES"")"),"Vemos a un hombre hablando con una cámara.")</f>
        <v>Vemos a un hombre hablando con una cámara.</v>
      </c>
    </row>
    <row r="15573">
      <c r="A15573" s="4" t="s">
        <v>19613</v>
      </c>
      <c r="B15573" s="4" t="s">
        <v>19615</v>
      </c>
      <c r="C15573" s="5" t="str">
        <f>IFERROR(__xludf.DUMMYFUNCTION("GOOGLETRANSLATE(B15573,""en"",""es-ES"")"),"Vemos fotos de hombres y una multitud de personas.")</f>
        <v>Vemos fotos de hombres y una multitud de personas.</v>
      </c>
    </row>
    <row r="15574">
      <c r="A15574" s="4" t="s">
        <v>19613</v>
      </c>
      <c r="B15574" s="4" t="s">
        <v>19616</v>
      </c>
      <c r="C15574" s="5" t="str">
        <f>IFERROR(__xludf.DUMMYFUNCTION("GOOGLETRANSLATE(B15574,""en"",""es-ES"")"),"Los hombres tocan tijeras de papel de rock.")</f>
        <v>Los hombres tocan tijeras de papel de rock.</v>
      </c>
    </row>
    <row r="15575">
      <c r="A15575" s="4" t="s">
        <v>19613</v>
      </c>
      <c r="B15575" s="4" t="s">
        <v>19617</v>
      </c>
      <c r="C15575" s="5" t="str">
        <f>IFERROR(__xludf.DUMMYFUNCTION("GOOGLETRANSLATE(B15575,""en"",""es-ES"")"),"Una dama de la multitud salta hacia arriba y hacia abajo.")</f>
        <v>Una dama de la multitud salta hacia arriba y hacia abajo.</v>
      </c>
    </row>
    <row r="15576">
      <c r="A15576" s="4" t="s">
        <v>19613</v>
      </c>
      <c r="B15576" s="4" t="s">
        <v>19618</v>
      </c>
      <c r="C15576" s="5" t="str">
        <f>IFERROR(__xludf.DUMMYFUNCTION("GOOGLETRANSLATE(B15576,""en"",""es-ES"")"),"Vemos al hombre alto cinco.")</f>
        <v>Vemos al hombre alto cinco.</v>
      </c>
    </row>
    <row r="15577">
      <c r="A15577" s="4" t="s">
        <v>19613</v>
      </c>
      <c r="B15577" s="4" t="s">
        <v>19619</v>
      </c>
      <c r="C15577" s="5" t="str">
        <f>IFERROR(__xludf.DUMMYFUNCTION("GOOGLETRANSLATE(B15577,""en"",""es-ES"")"),"Vemos a una dama frente a una persona disfrazada.")</f>
        <v>Vemos a una dama frente a una persona disfrazada.</v>
      </c>
    </row>
    <row r="15578">
      <c r="A15578" s="4" t="s">
        <v>19613</v>
      </c>
      <c r="B15578" s="4" t="s">
        <v>19620</v>
      </c>
      <c r="C15578" s="5" t="str">
        <f>IFERROR(__xludf.DUMMYFUNCTION("GOOGLETRANSLATE(B15578,""en"",""es-ES"")"),"El hombre de rojo levanta las manos en triunfo.")</f>
        <v>El hombre de rojo levanta las manos en triunfo.</v>
      </c>
    </row>
    <row r="15579">
      <c r="A15579" s="4" t="s">
        <v>19613</v>
      </c>
      <c r="B15579" s="4" t="s">
        <v>19621</v>
      </c>
      <c r="C15579" s="5" t="str">
        <f>IFERROR(__xludf.DUMMYFUNCTION("GOOGLETRANSLATE(B15579,""en"",""es-ES"")"),"Las señoras traen un gran cheque al hombre en rojo.")</f>
        <v>Las señoras traen un gran cheque al hombre en rojo.</v>
      </c>
    </row>
    <row r="15580">
      <c r="A15580" s="4" t="s">
        <v>19622</v>
      </c>
      <c r="B15580" s="4" t="s">
        <v>19623</v>
      </c>
      <c r="C15580" s="5" t="str">
        <f>IFERROR(__xludf.DUMMYFUNCTION("GOOGLETRANSLATE(B15580,""en"",""es-ES"")"),"La gente se desliza sobre trineos inflables cuesta abajo.")</f>
        <v>La gente se desliza sobre trineos inflables cuesta abajo.</v>
      </c>
    </row>
    <row r="15581">
      <c r="A15581" s="4" t="s">
        <v>19622</v>
      </c>
      <c r="B15581" s="4" t="s">
        <v>19624</v>
      </c>
      <c r="C15581" s="5" t="str">
        <f>IFERROR(__xludf.DUMMYFUNCTION("GOOGLETRANSLATE(B15581,""en"",""es-ES"")"),"La gente se turna para trinear por las colinas.")</f>
        <v>La gente se turna para trinear por las colinas.</v>
      </c>
    </row>
    <row r="15582">
      <c r="A15582" s="4" t="s">
        <v>19622</v>
      </c>
      <c r="B15582" s="4" t="s">
        <v>19625</v>
      </c>
      <c r="C15582" s="5" t="str">
        <f>IFERROR(__xludf.DUMMYFUNCTION("GOOGLETRANSLATE(B15582,""en"",""es-ES"")"),"Entonces las personas se reúnen para trinear en el grupo.")</f>
        <v>Entonces las personas se reúnen para trinear en el grupo.</v>
      </c>
    </row>
    <row r="15583">
      <c r="A15583" s="4" t="s">
        <v>19622</v>
      </c>
      <c r="B15583" s="4" t="s">
        <v>19626</v>
      </c>
      <c r="C15583" s="5" t="str">
        <f>IFERROR(__xludf.DUMMYFUNCTION("GOOGLETRANSLATE(B15583,""en"",""es-ES"")"),"Además, la gente se atenuó en una línea cuesta abajo.")</f>
        <v>Además, la gente se atenuó en una línea cuesta abajo.</v>
      </c>
    </row>
    <row r="15584">
      <c r="A15584" s="4" t="s">
        <v>19627</v>
      </c>
      <c r="B15584" s="4" t="s">
        <v>19628</v>
      </c>
      <c r="C15584" s="5" t="str">
        <f>IFERROR(__xludf.DUMMYFUNCTION("GOOGLETRANSLATE(B15584,""en"",""es-ES"")"),"Se ve a una mujer bailando en la calle colocando un instrumento mientras otros miran a un lado.")</f>
        <v>Se ve a una mujer bailando en la calle colocando un instrumento mientras otros miran a un lado.</v>
      </c>
    </row>
    <row r="15585">
      <c r="A15585" s="4" t="s">
        <v>19627</v>
      </c>
      <c r="B15585" s="4" t="s">
        <v>19629</v>
      </c>
      <c r="C15585" s="5" t="str">
        <f>IFERROR(__xludf.DUMMYFUNCTION("GOOGLETRANSLATE(B15585,""en"",""es-ES"")"),"La mujer continúa tocando el instrumento mientras se mueve hacia arriba y hacia abajo y la gente aplaude por ella a un lado.")</f>
        <v>La mujer continúa tocando el instrumento mientras se mueve hacia arriba y hacia abajo y la gente aplaude por ella a un lado.</v>
      </c>
    </row>
    <row r="15586">
      <c r="A15586" s="4" t="s">
        <v>19630</v>
      </c>
      <c r="B15586" s="4" t="s">
        <v>19631</v>
      </c>
      <c r="C15586" s="5" t="str">
        <f>IFERROR(__xludf.DUMMYFUNCTION("GOOGLETRANSLATE(B15586,""en"",""es-ES"")"),"Primero, el hombre pone lápiz labial rosado en sus labios y dice que es un bromista.")</f>
        <v>Primero, el hombre pone lápiz labial rosado en sus labios y dice que es un bromista.</v>
      </c>
    </row>
    <row r="15587">
      <c r="A15587" s="4" t="s">
        <v>19630</v>
      </c>
      <c r="B15587" s="4" t="s">
        <v>19632</v>
      </c>
      <c r="C15587" s="5" t="str">
        <f>IFERROR(__xludf.DUMMYFUNCTION("GOOGLETRANSLATE(B15587,""en"",""es-ES"")"),"Luego lo pone en el costado de sus labios y la gente se ríe.")</f>
        <v>Luego lo pone en el costado de sus labios y la gente se ríe.</v>
      </c>
    </row>
    <row r="15588">
      <c r="A15588" s="4" t="s">
        <v>19630</v>
      </c>
      <c r="B15588" s="4" t="s">
        <v>19633</v>
      </c>
      <c r="C15588" s="5" t="str">
        <f>IFERROR(__xludf.DUMMYFUNCTION("GOOGLETRANSLATE(B15588,""en"",""es-ES"")"),"Luego pone 2 líneas gruesas debajo de sus ojos y dice algo, también intenta ponerlo en la barbilla, pero el video termina.")</f>
        <v>Luego pone 2 líneas gruesas debajo de sus ojos y dice algo, también intenta ponerlo en la barbilla, pero el video termina.</v>
      </c>
    </row>
    <row r="15589">
      <c r="A15589" s="4" t="s">
        <v>19634</v>
      </c>
      <c r="B15589" s="4" t="s">
        <v>19635</v>
      </c>
      <c r="C15589" s="5" t="str">
        <f>IFERROR(__xludf.DUMMYFUNCTION("GOOGLETRANSLATE(B15589,""en"",""es-ES"")"),"Una introducción de texto lleva a un niño sentado en un taburete sosteniendo un acordeón.")</f>
        <v>Una introducción de texto lleva a un niño sentado en un taburete sosteniendo un acordeón.</v>
      </c>
    </row>
    <row r="15590">
      <c r="A15590" s="4" t="s">
        <v>19634</v>
      </c>
      <c r="B15590" s="4" t="s">
        <v>19636</v>
      </c>
      <c r="C15590" s="5" t="str">
        <f>IFERROR(__xludf.DUMMYFUNCTION("GOOGLETRANSLATE(B15590,""en"",""es-ES"")"),"El niño luego comienza a tocar el instrumento mientras mira hacia la cámara.")</f>
        <v>El niño luego comienza a tocar el instrumento mientras mira hacia la cámara.</v>
      </c>
    </row>
    <row r="15591">
      <c r="A15591" s="4" t="s">
        <v>19634</v>
      </c>
      <c r="B15591" s="4" t="s">
        <v>19637</v>
      </c>
      <c r="C15591" s="5" t="str">
        <f>IFERROR(__xludf.DUMMYFUNCTION("GOOGLETRANSLATE(B15591,""en"",""es-ES"")"),"El niño continúa jugando mientras mira alrededor de la habitación y tira del acordeón.")</f>
        <v>El niño continúa jugando mientras mira alrededor de la habitación y tira del acordeón.</v>
      </c>
    </row>
    <row r="15592">
      <c r="A15592" s="4" t="s">
        <v>19638</v>
      </c>
      <c r="B15592" s="4" t="s">
        <v>19639</v>
      </c>
      <c r="C15592" s="5" t="str">
        <f>IFERROR(__xludf.DUMMYFUNCTION("GOOGLETRANSLATE(B15592,""en"",""es-ES"")"),"Una niña levanta el brazo y se prepara para montar el rayo de equilibrio en una arena.")</f>
        <v>Una niña levanta el brazo y se prepara para montar el rayo de equilibrio en una arena.</v>
      </c>
    </row>
    <row r="15593">
      <c r="A15593" s="4" t="s">
        <v>19638</v>
      </c>
      <c r="B15593" s="4" t="s">
        <v>19640</v>
      </c>
      <c r="C15593" s="5" t="str">
        <f>IFERROR(__xludf.DUMMYFUNCTION("GOOGLETRANSLATE(B15593,""en"",""es-ES"")"),"La niña se mantiene y realiza una rutina en el rayo de equilibrio.")</f>
        <v>La niña se mantiene y realiza una rutina en el rayo de equilibrio.</v>
      </c>
    </row>
    <row r="15594">
      <c r="A15594" s="4" t="s">
        <v>19638</v>
      </c>
      <c r="B15594" s="4" t="s">
        <v>19641</v>
      </c>
      <c r="C15594" s="5" t="str">
        <f>IFERROR(__xludf.DUMMYFUNCTION("GOOGLETRANSLATE(B15594,""en"",""es-ES"")"),"La niña está acostada en la viga y gira a la posición de pie.")</f>
        <v>La niña está acostada en la viga y gira a la posición de pie.</v>
      </c>
    </row>
    <row r="15595">
      <c r="A15595" s="4" t="s">
        <v>19638</v>
      </c>
      <c r="B15595" s="4" t="s">
        <v>19642</v>
      </c>
      <c r="C15595" s="5" t="str">
        <f>IFERROR(__xludf.DUMMYFUNCTION("GOOGLETRANSLATE(B15595,""en"",""es-ES"")"),"La niña voltea el rayo.")</f>
        <v>La niña voltea el rayo.</v>
      </c>
    </row>
    <row r="15596">
      <c r="A15596" s="4" t="s">
        <v>19638</v>
      </c>
      <c r="B15596" s="4" t="s">
        <v>19643</v>
      </c>
      <c r="C15596" s="5" t="str">
        <f>IFERROR(__xludf.DUMMYFUNCTION("GOOGLETRANSLATE(B15596,""en"",""es-ES"")"),"La niña corre y desmonta el rayo.")</f>
        <v>La niña corre y desmonta el rayo.</v>
      </c>
    </row>
    <row r="15597">
      <c r="A15597" s="4" t="s">
        <v>19638</v>
      </c>
      <c r="B15597" s="4" t="s">
        <v>19644</v>
      </c>
      <c r="C15597" s="5" t="str">
        <f>IFERROR(__xludf.DUMMYFUNCTION("GOOGLETRANSLATE(B15597,""en"",""es-ES"")"),"La multitud anima y aplaude a la niña mientras levanta las manos.")</f>
        <v>La multitud anima y aplaude a la niña mientras levanta las manos.</v>
      </c>
    </row>
    <row r="15598">
      <c r="A15598" s="4" t="s">
        <v>19645</v>
      </c>
      <c r="B15598" s="4" t="s">
        <v>19646</v>
      </c>
      <c r="C15598" s="5" t="str">
        <f>IFERROR(__xludf.DUMMYFUNCTION("GOOGLETRANSLATE(B15598,""en"",""es-ES"")"),"Se ve a una mujer hablando con la cámara que sostiene una herramienta de afilado en sus manos.")</f>
        <v>Se ve a una mujer hablando con la cámara que sostiene una herramienta de afilado en sus manos.</v>
      </c>
    </row>
    <row r="15599">
      <c r="A15599" s="4" t="s">
        <v>19645</v>
      </c>
      <c r="B15599" s="4" t="s">
        <v>19647</v>
      </c>
      <c r="C15599" s="5" t="str">
        <f>IFERROR(__xludf.DUMMYFUNCTION("GOOGLETRANSLATE(B15599,""en"",""es-ES"")"),"Luego demuestra cómo cortar adecuadamente el cuchillo y colocar el objeto mientras habla.")</f>
        <v>Luego demuestra cómo cortar adecuadamente el cuchillo y colocar el objeto mientras habla.</v>
      </c>
    </row>
    <row r="15600">
      <c r="A15600" s="4" t="s">
        <v>19648</v>
      </c>
      <c r="B15600" s="4" t="s">
        <v>19649</v>
      </c>
      <c r="C15600" s="5" t="str">
        <f>IFERROR(__xludf.DUMMYFUNCTION("GOOGLETRANSLATE(B15600,""en"",""es-ES"")"),"Un girador de batón está parado en el piso del gimnasio.")</f>
        <v>Un girador de batón está parado en el piso del gimnasio.</v>
      </c>
    </row>
    <row r="15601">
      <c r="A15601" s="4" t="s">
        <v>19648</v>
      </c>
      <c r="B15601" s="4" t="s">
        <v>19650</v>
      </c>
      <c r="C15601" s="5" t="str">
        <f>IFERROR(__xludf.DUMMYFUNCTION("GOOGLETRANSLATE(B15601,""en"",""es-ES"")"),"Ella comienza su rutina.")</f>
        <v>Ella comienza su rutina.</v>
      </c>
    </row>
    <row r="15602">
      <c r="A15602" s="4" t="s">
        <v>19648</v>
      </c>
      <c r="B15602" s="4" t="s">
        <v>19651</v>
      </c>
      <c r="C15602" s="5" t="str">
        <f>IFERROR(__xludf.DUMMYFUNCTION("GOOGLETRANSLATE(B15602,""en"",""es-ES"")"),"Ella arroja el bastón en el aire.")</f>
        <v>Ella arroja el bastón en el aire.</v>
      </c>
    </row>
    <row r="15603">
      <c r="A15603" s="4" t="s">
        <v>19648</v>
      </c>
      <c r="B15603" s="4" t="s">
        <v>19652</v>
      </c>
      <c r="C15603" s="5" t="str">
        <f>IFERROR(__xludf.DUMMYFUNCTION("GOOGLETRANSLATE(B15603,""en"",""es-ES"")"),"Ella hace volteas y giros.")</f>
        <v>Ella hace volteas y giros.</v>
      </c>
    </row>
    <row r="15604">
      <c r="A15604" s="4" t="s">
        <v>19648</v>
      </c>
      <c r="B15604" s="4" t="s">
        <v>19653</v>
      </c>
      <c r="C15604" s="5" t="str">
        <f>IFERROR(__xludf.DUMMYFUNCTION("GOOGLETRANSLATE(B15604,""en"",""es-ES"")"),"Ella continúa girando el bastón y el baile.")</f>
        <v>Ella continúa girando el bastón y el baile.</v>
      </c>
    </row>
    <row r="15605">
      <c r="A15605" s="4" t="s">
        <v>19648</v>
      </c>
      <c r="B15605" s="4" t="s">
        <v>19654</v>
      </c>
      <c r="C15605" s="5" t="str">
        <f>IFERROR(__xludf.DUMMYFUNCTION("GOOGLETRANSLATE(B15605,""en"",""es-ES"")"),"Ella deja caer su bastón y lo persigue.")</f>
        <v>Ella deja caer su bastón y lo persigue.</v>
      </c>
    </row>
    <row r="15606">
      <c r="A15606" s="4" t="s">
        <v>19648</v>
      </c>
      <c r="B15606" s="4" t="s">
        <v>19655</v>
      </c>
      <c r="C15606" s="5" t="str">
        <f>IFERROR(__xludf.DUMMYFUNCTION("GOOGLETRANSLATE(B15606,""en"",""es-ES"")"),"Ella está girando, bailando y volteando de nuevo.")</f>
        <v>Ella está girando, bailando y volteando de nuevo.</v>
      </c>
    </row>
    <row r="15607">
      <c r="A15607" s="4" t="s">
        <v>19648</v>
      </c>
      <c r="B15607" s="4" t="s">
        <v>19656</v>
      </c>
      <c r="C15607" s="5" t="str">
        <f>IFERROR(__xludf.DUMMYFUNCTION("GOOGLETRANSLATE(B15607,""en"",""es-ES"")"),"Ella deja caer el bastón nuevamente.")</f>
        <v>Ella deja caer el bastón nuevamente.</v>
      </c>
    </row>
    <row r="15608">
      <c r="A15608" s="4" t="s">
        <v>19648</v>
      </c>
      <c r="B15608" s="4" t="s">
        <v>19657</v>
      </c>
      <c r="C15608" s="5" t="str">
        <f>IFERROR(__xludf.DUMMYFUNCTION("GOOGLETRANSLATE(B15608,""en"",""es-ES"")"),"Ahora tiene dos bastones y está girando, bailando y arrojándolos al aire.")</f>
        <v>Ahora tiene dos bastones y está girando, bailando y arrojándolos al aire.</v>
      </c>
    </row>
    <row r="15609">
      <c r="A15609" s="4" t="s">
        <v>19648</v>
      </c>
      <c r="B15609" s="4" t="s">
        <v>19658</v>
      </c>
      <c r="C15609" s="5" t="str">
        <f>IFERROR(__xludf.DUMMYFUNCTION("GOOGLETRANSLATE(B15609,""en"",""es-ES"")"),"Ella lo dejó caer por tercera vez.")</f>
        <v>Ella lo dejó caer por tercera vez.</v>
      </c>
    </row>
    <row r="15610">
      <c r="A15610" s="4" t="s">
        <v>19648</v>
      </c>
      <c r="B15610" s="4" t="s">
        <v>19659</v>
      </c>
      <c r="C15610" s="5" t="str">
        <f>IFERROR(__xludf.DUMMYFUNCTION("GOOGLETRANSLATE(B15610,""en"",""es-ES"")"),"Lo recogió y agregó un tercer bastón y terminó su rutina.")</f>
        <v>Lo recogió y agregó un tercer bastón y terminó su rutina.</v>
      </c>
    </row>
    <row r="15611">
      <c r="A15611" s="4" t="s">
        <v>19660</v>
      </c>
      <c r="B15611" s="4" t="s">
        <v>19661</v>
      </c>
      <c r="C15611" s="5" t="str">
        <f>IFERROR(__xludf.DUMMYFUNCTION("GOOGLETRANSLATE(B15611,""en"",""es-ES"")"),"Old Man sostiene un poste verde que golpea una piñata en el medio de una habitación.")</f>
        <v>Old Man sostiene un poste verde que golpea una piñata en el medio de una habitación.</v>
      </c>
    </row>
    <row r="15612">
      <c r="A15612" s="4" t="s">
        <v>19660</v>
      </c>
      <c r="B15612" s="4" t="s">
        <v>19662</v>
      </c>
      <c r="C15612" s="5" t="str">
        <f>IFERROR(__xludf.DUMMYFUNCTION("GOOGLETRANSLATE(B15612,""en"",""es-ES"")"),"Los niños pequeños están bailando y saltan detrás del hombre.")</f>
        <v>Los niños pequeños están bailando y saltan detrás del hombre.</v>
      </c>
    </row>
    <row r="15613">
      <c r="A15613" s="4" t="s">
        <v>19660</v>
      </c>
      <c r="B15613" s="4" t="s">
        <v>19663</v>
      </c>
      <c r="C15613" s="5" t="str">
        <f>IFERROR(__xludf.DUMMYFUNCTION("GOOGLETRANSLATE(B15613,""en"",""es-ES"")"),"El hombre da el poste a un niño y otros niños se apoya detrás de él.")</f>
        <v>El hombre da el poste a un niño y otros niños se apoya detrás de él.</v>
      </c>
    </row>
    <row r="15614">
      <c r="A15614" s="4" t="s">
        <v>19664</v>
      </c>
      <c r="B15614" s="4" t="s">
        <v>19665</v>
      </c>
      <c r="C15614" s="5" t="str">
        <f>IFERROR(__xludf.DUMMYFUNCTION("GOOGLETRANSLATE(B15614,""en"",""es-ES"")"),"Hay algunas personas tejiendo con hilo y agujas de tejer en un centro cultural.")</f>
        <v>Hay algunas personas tejiendo con hilo y agujas de tejer en un centro cultural.</v>
      </c>
    </row>
    <row r="15615">
      <c r="A15615" s="4" t="s">
        <v>19664</v>
      </c>
      <c r="B15615" s="4" t="s">
        <v>19666</v>
      </c>
      <c r="C15615" s="5" t="str">
        <f>IFERROR(__xludf.DUMMYFUNCTION("GOOGLETRANSLATE(B15615,""en"",""es-ES"")"),"Un estante de sombreros y suéteres de punto está apilado contra la pared.")</f>
        <v>Un estante de sombreros y suéteres de punto está apilado contra la pared.</v>
      </c>
    </row>
    <row r="15616">
      <c r="A15616" s="4" t="s">
        <v>19664</v>
      </c>
      <c r="B15616" s="4" t="s">
        <v>19667</v>
      </c>
      <c r="C15616" s="5" t="str">
        <f>IFERROR(__xludf.DUMMYFUNCTION("GOOGLETRANSLATE(B15616,""en"",""es-ES"")"),"Se muestra un suéter gris terminado con bordado negro.")</f>
        <v>Se muestra un suéter gris terminado con bordado negro.</v>
      </c>
    </row>
    <row r="15617">
      <c r="A15617" s="4" t="s">
        <v>19664</v>
      </c>
      <c r="B15617" s="4" t="s">
        <v>19668</v>
      </c>
      <c r="C15617" s="5" t="str">
        <f>IFERROR(__xludf.DUMMYFUNCTION("GOOGLETRANSLATE(B15617,""en"",""es-ES"")"),"Una mujer que representa al Daily News Channel está hablando del suéter y luego lo usa.")</f>
        <v>Una mujer que representa al Daily News Channel está hablando del suéter y luego lo usa.</v>
      </c>
    </row>
    <row r="15618">
      <c r="A15618" s="4" t="s">
        <v>19664</v>
      </c>
      <c r="B15618" s="4" t="s">
        <v>19669</v>
      </c>
      <c r="C15618" s="5" t="str">
        <f>IFERROR(__xludf.DUMMYFUNCTION("GOOGLETRANSLATE(B15618,""en"",""es-ES"")"),"Hay personas sentadas y tejiendo con hilo y agujas.")</f>
        <v>Hay personas sentadas y tejiendo con hilo y agujas.</v>
      </c>
    </row>
    <row r="15619">
      <c r="A15619" s="4" t="s">
        <v>19664</v>
      </c>
      <c r="B15619" s="4" t="s">
        <v>19670</v>
      </c>
      <c r="C15619" s="5" t="str">
        <f>IFERROR(__xludf.DUMMYFUNCTION("GOOGLETRANSLATE(B15619,""en"",""es-ES"")"),"Hay un hombre llamado John George hablando de su experiencia de tejido en la clase.")</f>
        <v>Hay un hombre llamado John George hablando de su experiencia de tejido en la clase.</v>
      </c>
    </row>
    <row r="15620">
      <c r="A15620" s="4" t="s">
        <v>19664</v>
      </c>
      <c r="B15620" s="4" t="s">
        <v>19671</v>
      </c>
      <c r="C15620" s="5" t="str">
        <f>IFERROR(__xludf.DUMMYFUNCTION("GOOGLETRANSLATE(B15620,""en"",""es-ES"")"),"Él junto con sus otros compañeros de punto demuestra cómo se tejen.")</f>
        <v>Él junto con sus otros compañeros de punto demuestra cómo se tejen.</v>
      </c>
    </row>
    <row r="15621">
      <c r="A15621" s="4" t="s">
        <v>19664</v>
      </c>
      <c r="B15621" s="4" t="s">
        <v>19672</v>
      </c>
      <c r="C15621" s="5" t="str">
        <f>IFERROR(__xludf.DUMMYFUNCTION("GOOGLETRANSLATE(B15621,""en"",""es-ES"")"),"Otra persona llamada Charles Henry está hablando de su experiencia de tejido en el Centro Cultural.")</f>
        <v>Otra persona llamada Charles Henry está hablando de su experiencia de tejido en el Centro Cultural.</v>
      </c>
    </row>
    <row r="15622">
      <c r="A15622" s="4" t="s">
        <v>19664</v>
      </c>
      <c r="B15622" s="4" t="s">
        <v>19673</v>
      </c>
      <c r="C15622" s="5" t="str">
        <f>IFERROR(__xludf.DUMMYFUNCTION("GOOGLETRANSLATE(B15622,""en"",""es-ES"")"),"Varias personas son vistas en el Centro Cultural sentados juntos y tejiendo mientras uno de los organizadores habla.")</f>
        <v>Varias personas son vistas en el Centro Cultural sentados juntos y tejiendo mientras uno de los organizadores habla.</v>
      </c>
    </row>
    <row r="15623">
      <c r="A15623" s="4" t="s">
        <v>19664</v>
      </c>
      <c r="B15623" s="4" t="s">
        <v>19674</v>
      </c>
      <c r="C15623" s="5" t="str">
        <f>IFERROR(__xludf.DUMMYFUNCTION("GOOGLETRANSLATE(B15623,""en"",""es-ES"")"),"El reportero de noticias usa el suéter gris y se ve muy feliz en él.")</f>
        <v>El reportero de noticias usa el suéter gris y se ve muy feliz en él.</v>
      </c>
    </row>
    <row r="15624">
      <c r="A15624" s="4" t="s">
        <v>19675</v>
      </c>
      <c r="B15624" s="4" t="s">
        <v>19676</v>
      </c>
      <c r="C15624" s="5" t="str">
        <f>IFERROR(__xludf.DUMMYFUNCTION("GOOGLETRANSLATE(B15624,""en"",""es-ES"")"),"Dos personas están cerca en una habitación paredes de lunares, mientras se vestían con equipo de esgrima y máscaras de esgrima, incluido un arma de esgrima.")</f>
        <v>Dos personas están cerca en una habitación paredes de lunares, mientras se vestían con equipo de esgrima y máscaras de esgrima, incluido un arma de esgrima.</v>
      </c>
    </row>
    <row r="15625">
      <c r="A15625" s="4" t="s">
        <v>19675</v>
      </c>
      <c r="B15625" s="4" t="s">
        <v>19677</v>
      </c>
      <c r="C15625" s="5" t="str">
        <f>IFERROR(__xludf.DUMMYFUNCTION("GOOGLETRANSLATE(B15625,""en"",""es-ES"")"),"Un gráfico animado poblará que muestra el físico de los dos esgráficos en un patrón de cuadrícula con las dos figuras animadas que exhiben algún movimiento de cerca/arma.")</f>
        <v>Un gráfico animado poblará que muestra el físico de los dos esgráficos en un patrón de cuadrícula con las dos figuras animadas que exhiben algún movimiento de cerca/arma.</v>
      </c>
    </row>
    <row r="15626">
      <c r="A15626" s="4" t="s">
        <v>19675</v>
      </c>
      <c r="B15626" s="4" t="s">
        <v>19678</v>
      </c>
      <c r="C15626" s="5" t="str">
        <f>IFERROR(__xludf.DUMMYFUNCTION("GOOGLETRANSLATE(B15626,""en"",""es-ES"")"),"Un corte aparece de varias personas que entrevistan y hablan con la cámara frente a un letrero de esgrima extrema junto con imágenes fijas de personas que se preparan para la cerca.")</f>
        <v>Un corte aparece de varias personas que entrevistan y hablan con la cámara frente a un letrero de esgrima extrema junto con imágenes fijas de personas que se preparan para la cerca.</v>
      </c>
    </row>
    <row r="15627">
      <c r="A15627" s="4" t="s">
        <v>19675</v>
      </c>
      <c r="B15627" s="4" t="s">
        <v>19679</v>
      </c>
      <c r="C15627" s="5" t="str">
        <f>IFERROR(__xludf.DUMMYFUNCTION("GOOGLETRANSLATE(B15627,""en"",""es-ES"")"),"Las dos personas vestidas con atuendos de esgrima comienzan a cercar en una manifestación.")</f>
        <v>Las dos personas vestidas con atuendos de esgrima comienzan a cercar en una manifestación.</v>
      </c>
    </row>
    <row r="15628">
      <c r="A15628" s="4" t="s">
        <v>19680</v>
      </c>
      <c r="B15628" s="4" t="s">
        <v>19681</v>
      </c>
      <c r="C15628" s="5" t="str">
        <f>IFERROR(__xludf.DUMMYFUNCTION("GOOGLETRANSLATE(B15628,""en"",""es-ES"")"),"Un presentador de noticias de CBS informa sobre una historia.")</f>
        <v>Un presentador de noticias de CBS informa sobre una historia.</v>
      </c>
    </row>
    <row r="15629">
      <c r="A15629" s="4" t="s">
        <v>19680</v>
      </c>
      <c r="B15629" s="4" t="s">
        <v>19682</v>
      </c>
      <c r="C15629" s="5" t="str">
        <f>IFERROR(__xludf.DUMMYFUNCTION("GOOGLETRANSLATE(B15629,""en"",""es-ES"")"),"Una banda de música aparece en un gran campo que se presenta.")</f>
        <v>Una banda de música aparece en un gran campo que se presenta.</v>
      </c>
    </row>
    <row r="15630">
      <c r="A15630" s="4" t="s">
        <v>19680</v>
      </c>
      <c r="B15630" s="4" t="s">
        <v>19683</v>
      </c>
      <c r="C15630" s="5" t="str">
        <f>IFERROR(__xludf.DUMMYFUNCTION("GOOGLETRANSLATE(B15630,""en"",""es-ES"")"),"Un estudiante de la banda de marcha ofrece una entrevista junto con el instructor de la banda de marcha.")</f>
        <v>Un estudiante de la banda de marcha ofrece una entrevista junto con el instructor de la banda de marcha.</v>
      </c>
    </row>
    <row r="15631">
      <c r="A15631" s="4" t="s">
        <v>19680</v>
      </c>
      <c r="B15631" s="4" t="s">
        <v>19684</v>
      </c>
      <c r="C15631" s="5" t="str">
        <f>IFERROR(__xludf.DUMMYFUNCTION("GOOGLETRANSLATE(B15631,""en"",""es-ES"")"),"La banda de marcha practica su actuación.")</f>
        <v>La banda de marcha practica su actuación.</v>
      </c>
    </row>
    <row r="15632">
      <c r="A15632" s="4" t="s">
        <v>19685</v>
      </c>
      <c r="B15632" s="4" t="s">
        <v>19686</v>
      </c>
      <c r="C15632" s="5" t="str">
        <f>IFERROR(__xludf.DUMMYFUNCTION("GOOGLETRANSLATE(B15632,""en"",""es-ES"")"),"Esta joven está en el estudio tocando el piano.")</f>
        <v>Esta joven está en el estudio tocando el piano.</v>
      </c>
    </row>
    <row r="15633">
      <c r="A15633" s="4" t="s">
        <v>19685</v>
      </c>
      <c r="B15633" s="4" t="s">
        <v>19687</v>
      </c>
      <c r="C15633" s="5" t="str">
        <f>IFERROR(__xludf.DUMMYFUNCTION("GOOGLETRANSLATE(B15633,""en"",""es-ES"")"),"Nadie más está allí con ella y se ve muy seria sobre lo que está haciendo.")</f>
        <v>Nadie más está allí con ella y se ve muy seria sobre lo que está haciendo.</v>
      </c>
    </row>
    <row r="15634">
      <c r="A15634" s="4" t="s">
        <v>19685</v>
      </c>
      <c r="B15634" s="4" t="s">
        <v>19688</v>
      </c>
      <c r="C15634" s="5" t="str">
        <f>IFERROR(__xludf.DUMMYFUNCTION("GOOGLETRANSLATE(B15634,""en"",""es-ES"")"),"Lleva una camiseta rosa y leggings de color de flores, luego en algún momento se detiene.")</f>
        <v>Lleva una camiseta rosa y leggings de color de flores, luego en algún momento se detiene.</v>
      </c>
    </row>
    <row r="15635">
      <c r="A15635" s="4" t="s">
        <v>19689</v>
      </c>
      <c r="B15635" s="4" t="s">
        <v>19690</v>
      </c>
      <c r="C15635" s="5" t="str">
        <f>IFERROR(__xludf.DUMMYFUNCTION("GOOGLETRANSLATE(B15635,""en"",""es-ES"")"),"Un grupo de personas está parado en un puente al aire libre.")</f>
        <v>Un grupo de personas está parado en un puente al aire libre.</v>
      </c>
    </row>
    <row r="15636">
      <c r="A15636" s="4" t="s">
        <v>19689</v>
      </c>
      <c r="B15636" s="4" t="s">
        <v>19691</v>
      </c>
      <c r="C15636" s="5" t="str">
        <f>IFERROR(__xludf.DUMMYFUNCTION("GOOGLETRANSLATE(B15636,""en"",""es-ES"")"),"Están poniendo equipos alrededor de los cuerpos del otro para protegerlos.")</f>
        <v>Están poniendo equipos alrededor de los cuerpos del otro para protegerlos.</v>
      </c>
    </row>
    <row r="15637">
      <c r="A15637" s="4" t="s">
        <v>19689</v>
      </c>
      <c r="B15637" s="4" t="s">
        <v>19692</v>
      </c>
      <c r="C15637" s="5" t="str">
        <f>IFERROR(__xludf.DUMMYFUNCTION("GOOGLETRANSLATE(B15637,""en"",""es-ES"")"),"La persona salta del costado del puente sobre un cordón elaborante, balanceándose sobre el agua de abajo.")</f>
        <v>La persona salta del costado del puente sobre un cordón elaborante, balanceándose sobre el agua de abajo.</v>
      </c>
    </row>
    <row r="15638">
      <c r="A15638" s="4" t="s">
        <v>19693</v>
      </c>
      <c r="B15638" s="4" t="s">
        <v>19694</v>
      </c>
      <c r="C15638" s="5" t="str">
        <f>IFERROR(__xludf.DUMMYFUNCTION("GOOGLETRANSLATE(B15638,""en"",""es-ES"")"),"Mucha gente se reúne en un cuadrado.")</f>
        <v>Mucha gente se reúne en un cuadrado.</v>
      </c>
    </row>
    <row r="15639">
      <c r="A15639" s="4" t="s">
        <v>19693</v>
      </c>
      <c r="B15639" s="4" t="s">
        <v>19695</v>
      </c>
      <c r="C15639" s="5" t="str">
        <f>IFERROR(__xludf.DUMMYFUNCTION("GOOGLETRANSLATE(B15639,""en"",""es-ES"")"),"La gente comienza a correr en la calle y en la bahía.")</f>
        <v>La gente comienza a correr en la calle y en la bahía.</v>
      </c>
    </row>
    <row r="15640">
      <c r="A15640" s="4" t="s">
        <v>19696</v>
      </c>
      <c r="B15640" s="4" t="s">
        <v>19697</v>
      </c>
      <c r="C15640" s="5" t="str">
        <f>IFERROR(__xludf.DUMMYFUNCTION("GOOGLETRANSLATE(B15640,""en"",""es-ES"")"),"Un grupo de jóvenes está sentado en una mesa con cubos de rubik frente a ellos.")</f>
        <v>Un grupo de jóvenes está sentado en una mesa con cubos de rubik frente a ellos.</v>
      </c>
    </row>
    <row r="15641">
      <c r="A15641" s="4" t="s">
        <v>19696</v>
      </c>
      <c r="B15641" s="4" t="s">
        <v>19698</v>
      </c>
      <c r="C15641" s="5" t="str">
        <f>IFERROR(__xludf.DUMMYFUNCTION("GOOGLETRANSLATE(B15641,""en"",""es-ES"")"),"Los dos muchachos a la derecha ya han comenzado y los dos niños de la izquierda están en un retraso.")</f>
        <v>Los dos muchachos a la derecha ya han comenzado y los dos niños de la izquierda están en un retraso.</v>
      </c>
    </row>
    <row r="15642">
      <c r="A15642" s="4" t="s">
        <v>19696</v>
      </c>
      <c r="B15642" s="4" t="s">
        <v>19699</v>
      </c>
      <c r="C15642" s="5" t="str">
        <f>IFERROR(__xludf.DUMMYFUNCTION("GOOGLETRANSLATE(B15642,""en"",""es-ES"")"),"En ocho segundos, el niño resuelve su cubo y los muchachos detrás de ellos saltan y comienzan a felicitarlo mientras los demás continúan resolviendo su.")</f>
        <v>En ocho segundos, el niño resuelve su cubo y los muchachos detrás de ellos saltan y comienzan a felicitarlo mientras los demás continúan resolviendo su.</v>
      </c>
    </row>
    <row r="15643">
      <c r="A15643" s="4" t="s">
        <v>19700</v>
      </c>
      <c r="B15643" s="4" t="s">
        <v>19701</v>
      </c>
      <c r="C15643" s="5" t="str">
        <f>IFERROR(__xludf.DUMMYFUNCTION("GOOGLETRANSLATE(B15643,""en"",""es-ES"")"),"Se ve a una persona sentada en el agua con un par de esquís unidos a sus pies.")</f>
        <v>Se ve a una persona sentada en el agua con un par de esquís unidos a sus pies.</v>
      </c>
    </row>
    <row r="15644">
      <c r="A15644" s="4" t="s">
        <v>19700</v>
      </c>
      <c r="B15644" s="4" t="s">
        <v>19702</v>
      </c>
      <c r="C15644" s="5" t="str">
        <f>IFERROR(__xludf.DUMMYFUNCTION("GOOGLETRANSLATE(B15644,""en"",""es-ES"")"),"El hombre luego se levanta en los esquís y monta por el agua detrás de un bote.")</f>
        <v>El hombre luego se levanta en los esquís y monta por el agua detrás de un bote.</v>
      </c>
    </row>
    <row r="15645">
      <c r="A15645" s="4" t="s">
        <v>19703</v>
      </c>
      <c r="B15645" s="4" t="s">
        <v>19704</v>
      </c>
      <c r="C15645" s="5" t="str">
        <f>IFERROR(__xludf.DUMMYFUNCTION("GOOGLETRANSLATE(B15645,""en"",""es-ES"")"),"Se muestra una vista de una amplia litera de árboles en un bosque.")</f>
        <v>Se muestra una vista de una amplia litera de árboles en un bosque.</v>
      </c>
    </row>
    <row r="15646">
      <c r="A15646" s="4" t="s">
        <v>19703</v>
      </c>
      <c r="B15646" s="4" t="s">
        <v>19705</v>
      </c>
      <c r="C15646" s="5" t="str">
        <f>IFERROR(__xludf.DUMMYFUNCTION("GOOGLETRANSLATE(B15646,""en"",""es-ES"")"),"Una mujer sale sosteniendo un hula hoop.")</f>
        <v>Una mujer sale sosteniendo un hula hoop.</v>
      </c>
    </row>
    <row r="15647">
      <c r="A15647" s="4" t="s">
        <v>19703</v>
      </c>
      <c r="B15647" s="4" t="s">
        <v>19706</v>
      </c>
      <c r="C15647" s="5" t="str">
        <f>IFERROR(__xludf.DUMMYFUNCTION("GOOGLETRANSLATE(B15647,""en"",""es-ES"")"),"Ella comienza a usar el aro seductoramente mientras baila.")</f>
        <v>Ella comienza a usar el aro seductoramente mientras baila.</v>
      </c>
    </row>
    <row r="15648">
      <c r="A15648" s="4" t="s">
        <v>19703</v>
      </c>
      <c r="B15648" s="4" t="s">
        <v>19707</v>
      </c>
      <c r="C15648" s="5" t="str">
        <f>IFERROR(__xludf.DUMMYFUNCTION("GOOGLETRANSLATE(B15648,""en"",""es-ES"")"),"Ella gira, voltea y hace volteretas mientras usa el aro.")</f>
        <v>Ella gira, voltea y hace volteretas mientras usa el aro.</v>
      </c>
    </row>
    <row r="15649">
      <c r="A15649" s="4" t="s">
        <v>19703</v>
      </c>
      <c r="B15649" s="4" t="s">
        <v>19708</v>
      </c>
      <c r="C15649" s="5" t="str">
        <f>IFERROR(__xludf.DUMMYFUNCTION("GOOGLETRANSLATE(B15649,""en"",""es-ES"")"),"Ella termina su actuación con una pose congelada y mirada hacia arriba.")</f>
        <v>Ella termina su actuación con una pose congelada y mirada hacia arriba.</v>
      </c>
    </row>
    <row r="15650">
      <c r="A15650" s="4" t="s">
        <v>19709</v>
      </c>
      <c r="B15650" s="4" t="s">
        <v>19710</v>
      </c>
      <c r="C15650" s="5" t="str">
        <f>IFERROR(__xludf.DUMMYFUNCTION("GOOGLETRANSLATE(B15650,""en"",""es-ES"")"),"El hombre que mueve una camisa verde está parada junto a una niña.")</f>
        <v>El hombre que mueve una camisa verde está parada junto a una niña.</v>
      </c>
    </row>
    <row r="15651">
      <c r="A15651" s="4" t="s">
        <v>19709</v>
      </c>
      <c r="B15651" s="4" t="s">
        <v>19711</v>
      </c>
      <c r="C15651" s="5" t="str">
        <f>IFERROR(__xludf.DUMMYFUNCTION("GOOGLETRANSLATE(B15651,""en"",""es-ES"")"),"La chica con gafas está hablando con la cámara.")</f>
        <v>La chica con gafas está hablando con la cámara.</v>
      </c>
    </row>
    <row r="15652">
      <c r="A15652" s="4" t="s">
        <v>19709</v>
      </c>
      <c r="B15652" s="4" t="s">
        <v>19712</v>
      </c>
      <c r="C15652" s="5" t="str">
        <f>IFERROR(__xludf.DUMMYFUNCTION("GOOGLETRANSLATE(B15652,""en"",""es-ES"")"),"El hombre y la niña están bebiendo de una taza blanca.")</f>
        <v>El hombre y la niña están bebiendo de una taza blanca.</v>
      </c>
    </row>
    <row r="15653">
      <c r="A15653" s="4" t="s">
        <v>19709</v>
      </c>
      <c r="B15653" s="4" t="s">
        <v>19713</v>
      </c>
      <c r="C15653" s="5" t="str">
        <f>IFERROR(__xludf.DUMMYFUNCTION("GOOGLETRANSLATE(B15653,""en"",""es-ES"")"),"La niña sostiene la bebida en su boca y la escupe sobre la hierba y el hombre hace lo mismo.")</f>
        <v>La niña sostiene la bebida en su boca y la escupe sobre la hierba y el hombre hace lo mismo.</v>
      </c>
    </row>
    <row r="15654">
      <c r="A15654" s="4" t="s">
        <v>19714</v>
      </c>
      <c r="B15654" s="4" t="s">
        <v>19715</v>
      </c>
      <c r="C15654" s="5" t="str">
        <f>IFERROR(__xludf.DUMMYFUNCTION("GOOGLETRANSLATE(B15654,""en"",""es-ES"")"),"Una niña camina hasta el final de una tabla de buceo y levanta las manos.")</f>
        <v>Una niña camina hasta el final de una tabla de buceo y levanta las manos.</v>
      </c>
    </row>
    <row r="15655">
      <c r="A15655" s="4" t="s">
        <v>19714</v>
      </c>
      <c r="B15655" s="4" t="s">
        <v>19716</v>
      </c>
      <c r="C15655" s="5" t="str">
        <f>IFERROR(__xludf.DUMMYFUNCTION("GOOGLETRANSLATE(B15655,""en"",""es-ES"")"),"La niña salta a la tabla de buceo para prepararse.")</f>
        <v>La niña salta a la tabla de buceo para prepararse.</v>
      </c>
    </row>
    <row r="15656">
      <c r="A15656" s="4" t="s">
        <v>19714</v>
      </c>
      <c r="B15656" s="4" t="s">
        <v>19717</v>
      </c>
      <c r="C15656" s="5" t="str">
        <f>IFERROR(__xludf.DUMMYFUNCTION("GOOGLETRANSLATE(B15656,""en"",""es-ES"")"),"La niña luego voltea hacia atrás en la piscina.")</f>
        <v>La niña luego voltea hacia atrás en la piscina.</v>
      </c>
    </row>
    <row r="15657">
      <c r="A15657" s="4" t="s">
        <v>19718</v>
      </c>
      <c r="B15657" s="4" t="s">
        <v>19719</v>
      </c>
      <c r="C15657" s="5" t="str">
        <f>IFERROR(__xludf.DUMMYFUNCTION("GOOGLETRANSLATE(B15657,""en"",""es-ES"")"),"La gente mira a los competidores prepararse cerca de un escenario rojo.")</f>
        <v>La gente mira a los competidores prepararse cerca de un escenario rojo.</v>
      </c>
    </row>
    <row r="15658">
      <c r="A15658" s="4" t="s">
        <v>19718</v>
      </c>
      <c r="B15658" s="4" t="s">
        <v>19720</v>
      </c>
      <c r="C15658" s="5" t="str">
        <f>IFERROR(__xludf.DUMMYFUNCTION("GOOGLETRANSLATE(B15658,""en"",""es-ES"")"),"Los competidores pusieron sus robots en el círculo como los instruye el juez.")</f>
        <v>Los competidores pusieron sus robots en el círculo como los instruye el juez.</v>
      </c>
    </row>
    <row r="15659">
      <c r="A15659" s="4" t="s">
        <v>19718</v>
      </c>
      <c r="B15659" s="4" t="s">
        <v>19721</v>
      </c>
      <c r="C15659" s="5" t="str">
        <f>IFERROR(__xludf.DUMMYFUNCTION("GOOGLETRANSLATE(B15659,""en"",""es-ES"")"),"El juez señala el comienzo de la competencia.")</f>
        <v>El juez señala el comienzo de la competencia.</v>
      </c>
    </row>
    <row r="15660">
      <c r="A15660" s="4" t="s">
        <v>19718</v>
      </c>
      <c r="B15660" s="4" t="s">
        <v>19722</v>
      </c>
      <c r="C15660" s="5" t="str">
        <f>IFERROR(__xludf.DUMMYFUNCTION("GOOGLETRANSLATE(B15660,""en"",""es-ES"")"),"Los robots comienzan a moverse, y uno de los robots es expulsado del círculo.")</f>
        <v>Los robots comienzan a moverse, y uno de los robots es expulsado del círculo.</v>
      </c>
    </row>
    <row r="15661">
      <c r="A15661" s="4" t="s">
        <v>19718</v>
      </c>
      <c r="B15661" s="4" t="s">
        <v>19723</v>
      </c>
      <c r="C15661" s="5" t="str">
        <f>IFERROR(__xludf.DUMMYFUNCTION("GOOGLETRANSLATE(B15661,""en"",""es-ES"")"),"Los competidores regresan al escenario y reemplazan sus robots.")</f>
        <v>Los competidores regresan al escenario y reemplazan sus robots.</v>
      </c>
    </row>
    <row r="15662">
      <c r="A15662" s="4" t="s">
        <v>19718</v>
      </c>
      <c r="B15662" s="4" t="s">
        <v>19724</v>
      </c>
      <c r="C15662" s="5" t="str">
        <f>IFERROR(__xludf.DUMMYFUNCTION("GOOGLETRANSLATE(B15662,""en"",""es-ES"")"),"El juez indica que la competencia comience nuevamente y todos aplauden cuando uno de ellos gana.")</f>
        <v>El juez indica que la competencia comience nuevamente y todos aplauden cuando uno de ellos gana.</v>
      </c>
    </row>
    <row r="15663">
      <c r="A15663" s="4" t="s">
        <v>19725</v>
      </c>
      <c r="B15663" s="4" t="s">
        <v>19726</v>
      </c>
      <c r="C15663" s="5" t="str">
        <f>IFERROR(__xludf.DUMMYFUNCTION("GOOGLETRANSLATE(B15663,""en"",""es-ES"")"),"Un hombre se para en una habitación con azul.")</f>
        <v>Un hombre se para en una habitación con azul.</v>
      </c>
    </row>
    <row r="15664">
      <c r="A15664" s="4" t="s">
        <v>19725</v>
      </c>
      <c r="B15664" s="4" t="s">
        <v>19727</v>
      </c>
      <c r="C15664" s="5" t="str">
        <f>IFERROR(__xludf.DUMMYFUNCTION("GOOGLETRANSLATE(B15664,""en"",""es-ES"")"),"Él está aplicando una imagen en la pared.")</f>
        <v>Él está aplicando una imagen en la pared.</v>
      </c>
    </row>
    <row r="15665">
      <c r="A15665" s="4" t="s">
        <v>19725</v>
      </c>
      <c r="B15665" s="4" t="s">
        <v>19728</v>
      </c>
      <c r="C15665" s="5" t="str">
        <f>IFERROR(__xludf.DUMMYFUNCTION("GOOGLETRANSLATE(B15665,""en"",""es-ES"")"),"Utiliza una herramienta para suavizarla.")</f>
        <v>Utiliza una herramienta para suavizarla.</v>
      </c>
    </row>
    <row r="15666">
      <c r="A15666" s="4" t="s">
        <v>19725</v>
      </c>
      <c r="B15666" s="4" t="s">
        <v>19729</v>
      </c>
      <c r="C15666" s="5" t="str">
        <f>IFERROR(__xludf.DUMMYFUNCTION("GOOGLETRANSLATE(B15666,""en"",""es-ES"")"),"Corta el papel en la parte inferior.")</f>
        <v>Corta el papel en la parte inferior.</v>
      </c>
    </row>
    <row r="15667">
      <c r="A15667" s="4" t="s">
        <v>19730</v>
      </c>
      <c r="B15667" s="4" t="s">
        <v>19731</v>
      </c>
      <c r="C15667" s="5" t="str">
        <f>IFERROR(__xludf.DUMMYFUNCTION("GOOGLETRANSLATE(B15667,""en"",""es-ES"")"),"Un hombre parado afuera de una ventana de edificio limpiando con una gran escobilla.")</f>
        <v>Un hombre parado afuera de una ventana de edificio limpiando con una gran escobilla.</v>
      </c>
    </row>
    <row r="15668">
      <c r="A15668" s="4" t="s">
        <v>19730</v>
      </c>
      <c r="B15668" s="4" t="s">
        <v>19732</v>
      </c>
      <c r="C15668" s="5" t="str">
        <f>IFERROR(__xludf.DUMMYFUNCTION("GOOGLETRANSLATE(B15668,""en"",""es-ES"")"),"Se acerca a la ventana de la puerta y luego usa otro gadget después para limpiar el jabón.")</f>
        <v>Se acerca a la ventana de la puerta y luego usa otro gadget después para limpiar el jabón.</v>
      </c>
    </row>
    <row r="15669">
      <c r="A15669" s="4" t="s">
        <v>19730</v>
      </c>
      <c r="B15669" s="4" t="s">
        <v>19733</v>
      </c>
      <c r="C15669" s="5" t="str">
        <f>IFERROR(__xludf.DUMMYFUNCTION("GOOGLETRANSLATE(B15669,""en"",""es-ES"")"),"Comienza todo el camino en la parte superior asegurándose de meterse en las esquinas de la ventana.")</f>
        <v>Comienza todo el camino en la parte superior asegurándose de meterse en las esquinas de la ventana.</v>
      </c>
    </row>
    <row r="15670">
      <c r="A15670" s="4" t="s">
        <v>19730</v>
      </c>
      <c r="B15670" s="4" t="s">
        <v>19734</v>
      </c>
      <c r="C15670" s="5" t="str">
        <f>IFERROR(__xludf.DUMMYFUNCTION("GOOGLETRANSLATE(B15670,""en"",""es-ES"")"),"La ventana se ve muy limpia y agradable una vez que está abajo haciendo todo eso.")</f>
        <v>La ventana se ve muy limpia y agradable una vez que está abajo haciendo todo eso.</v>
      </c>
    </row>
    <row r="15671">
      <c r="A15671" s="4" t="s">
        <v>19735</v>
      </c>
      <c r="B15671" s="4" t="s">
        <v>19736</v>
      </c>
      <c r="C15671" s="5" t="str">
        <f>IFERROR(__xludf.DUMMYFUNCTION("GOOGLETRANSLATE(B15671,""en"",""es-ES"")"),"Un grupo de animadoras actúa en el escenario mientras la gente mira.")</f>
        <v>Un grupo de animadoras actúa en el escenario mientras la gente mira.</v>
      </c>
    </row>
    <row r="15672">
      <c r="A15672" s="4" t="s">
        <v>19735</v>
      </c>
      <c r="B15672" s="4" t="s">
        <v>19737</v>
      </c>
      <c r="C15672" s="5" t="str">
        <f>IFERROR(__xludf.DUMMYFUNCTION("GOOGLETRANSLATE(B15672,""en"",""es-ES"")"),"Luego, las animadoras hacen una torre y luego saltan, luego hacen volteretas.")</f>
        <v>Luego, las animadoras hacen una torre y luego saltan, luego hacen volteretas.</v>
      </c>
    </row>
    <row r="15673">
      <c r="A15673" s="4" t="s">
        <v>19735</v>
      </c>
      <c r="B15673" s="4" t="s">
        <v>19738</v>
      </c>
      <c r="C15673" s="5" t="str">
        <f>IFERROR(__xludf.DUMMYFUNCTION("GOOGLETRANSLATE(B15673,""en"",""es-ES"")"),"Dos animadoras se levantan en una torre y luego voltean y caen sobre los brazos de las personas.")</f>
        <v>Dos animadoras se levantan en una torre y luego voltean y caen sobre los brazos de las personas.</v>
      </c>
    </row>
    <row r="15674">
      <c r="A15674" s="4" t="s">
        <v>19735</v>
      </c>
      <c r="B15674" s="4" t="s">
        <v>19739</v>
      </c>
      <c r="C15674" s="5" t="str">
        <f>IFERROR(__xludf.DUMMYFUNCTION("GOOGLETRANSLATE(B15674,""en"",""es-ES"")"),"Las chicas vuelven a hacer una torre y luego girar y saltar.")</f>
        <v>Las chicas vuelven a hacer una torre y luego girar y saltar.</v>
      </c>
    </row>
    <row r="15675">
      <c r="A15675" s="4" t="s">
        <v>19735</v>
      </c>
      <c r="B15675" s="4" t="s">
        <v>19740</v>
      </c>
      <c r="C15675" s="5" t="str">
        <f>IFERROR(__xludf.DUMMYFUNCTION("GOOGLETRANSLATE(B15675,""en"",""es-ES"")"),"Las animadoras levantan a las chicas y luego voltean, luego continúan actuando.")</f>
        <v>Las animadoras levantan a las chicas y luego voltean, luego continúan actuando.</v>
      </c>
    </row>
    <row r="15676">
      <c r="A15676" s="4" t="s">
        <v>19741</v>
      </c>
      <c r="B15676" s="4" t="s">
        <v>19742</v>
      </c>
      <c r="C15676" s="5" t="str">
        <f>IFERROR(__xludf.DUMMYFUNCTION("GOOGLETRANSLATE(B15676,""en"",""es-ES"")"),"Dos hombres están abordando por una colina.")</f>
        <v>Dos hombres están abordando por una colina.</v>
      </c>
    </row>
    <row r="15677">
      <c r="A15677" s="4" t="s">
        <v>19741</v>
      </c>
      <c r="B15677" s="4" t="s">
        <v>19743</v>
      </c>
      <c r="C15677" s="5" t="str">
        <f>IFERROR(__xludf.DUMMYFUNCTION("GOOGLETRANSLATE(B15677,""en"",""es-ES"")"),"Se detiene y pone su pie en el suelo.")</f>
        <v>Se detiene y pone su pie en el suelo.</v>
      </c>
    </row>
    <row r="15678">
      <c r="A15678" s="4" t="s">
        <v>19741</v>
      </c>
      <c r="B15678" s="4" t="s">
        <v>19744</v>
      </c>
      <c r="C15678" s="5" t="str">
        <f>IFERROR(__xludf.DUMMYFUNCTION("GOOGLETRANSLATE(B15678,""en"",""es-ES"")"),"Está parado en su tablero al revés.")</f>
        <v>Está parado en su tablero al revés.</v>
      </c>
    </row>
    <row r="15679">
      <c r="A15679" s="4" t="s">
        <v>19741</v>
      </c>
      <c r="B15679" s="4" t="s">
        <v>19745</v>
      </c>
      <c r="C15679" s="5" t="str">
        <f>IFERROR(__xludf.DUMMYFUNCTION("GOOGLETRANSLATE(B15679,""en"",""es-ES"")"),"Un hombre con una camisa verde está sentada en el suelo con su largo tablero frente a él.")</f>
        <v>Un hombre con una camisa verde está sentada en el suelo con su largo tablero frente a él.</v>
      </c>
    </row>
    <row r="15680">
      <c r="A15680" s="4" t="s">
        <v>19746</v>
      </c>
      <c r="B15680" s="4" t="s">
        <v>19747</v>
      </c>
      <c r="C15680" s="5" t="str">
        <f>IFERROR(__xludf.DUMMYFUNCTION("GOOGLETRANSLATE(B15680,""en"",""es-ES"")"),"Se muestra a la persona mezclando los ingredientes.")</f>
        <v>Se muestra a la persona mezclando los ingredientes.</v>
      </c>
    </row>
    <row r="15681">
      <c r="A15681" s="4" t="s">
        <v>19746</v>
      </c>
      <c r="B15681" s="4" t="s">
        <v>19748</v>
      </c>
      <c r="C15681" s="5" t="str">
        <f>IFERROR(__xludf.DUMMYFUNCTION("GOOGLETRANSLATE(B15681,""en"",""es-ES"")"),"La persona enrolla la masa y la corta en pequeños pedazos y aplana las pequeñas bolas con sus manos.")</f>
        <v>La persona enrolla la masa y la corta en pequeños pedazos y aplana las pequeñas bolas con sus manos.</v>
      </c>
    </row>
    <row r="15682">
      <c r="A15682" s="4" t="s">
        <v>19746</v>
      </c>
      <c r="B15682" s="4" t="s">
        <v>19749</v>
      </c>
      <c r="C15682" s="5" t="str">
        <f>IFERROR(__xludf.DUMMYFUNCTION("GOOGLETRANSLATE(B15682,""en"",""es-ES"")"),"La persona usa un tenedor para poner líneas en la masa.")</f>
        <v>La persona usa un tenedor para poner líneas en la masa.</v>
      </c>
    </row>
    <row r="15683">
      <c r="A15683" s="4" t="s">
        <v>19746</v>
      </c>
      <c r="B15683" s="4" t="s">
        <v>19750</v>
      </c>
      <c r="C15683" s="5" t="str">
        <f>IFERROR(__xludf.DUMMYFUNCTION("GOOGLETRANSLATE(B15683,""en"",""es-ES"")"),"Luego, la persona pone las galletas en una bandeja para hornear en una sartén y las hornea durante 15 minutos.")</f>
        <v>Luego, la persona pone las galletas en una bandeja para hornear en una sartén y las hornea durante 15 minutos.</v>
      </c>
    </row>
    <row r="15684">
      <c r="A15684" s="4" t="s">
        <v>19746</v>
      </c>
      <c r="B15684" s="4" t="s">
        <v>19751</v>
      </c>
      <c r="C15684" s="5" t="str">
        <f>IFERROR(__xludf.DUMMYFUNCTION("GOOGLETRANSLATE(B15684,""en"",""es-ES"")"),"Luego saca las galletas cuando hayan terminado.")</f>
        <v>Luego saca las galletas cuando hayan terminado.</v>
      </c>
    </row>
    <row r="15685">
      <c r="A15685" s="4" t="s">
        <v>19752</v>
      </c>
      <c r="B15685" s="4" t="s">
        <v>19753</v>
      </c>
      <c r="C15685" s="5" t="str">
        <f>IFERROR(__xludf.DUMMYFUNCTION("GOOGLETRANSLATE(B15685,""en"",""es-ES"")"),"Una persona voltea y arroja al aire un anillo de hula, luego la mujer pasa el anillo de hula a través de su cuerpo.")</f>
        <v>Una persona voltea y arroja al aire un anillo de hula, luego la mujer pasa el anillo de hula a través de su cuerpo.</v>
      </c>
    </row>
    <row r="15686">
      <c r="A15686" s="4" t="s">
        <v>19752</v>
      </c>
      <c r="B15686" s="4" t="s">
        <v>19754</v>
      </c>
      <c r="C15686" s="5" t="str">
        <f>IFERROR(__xludf.DUMMYFUNCTION("GOOGLETRANSLATE(B15686,""en"",""es-ES"")"),"Después, la mujer pasa el anillo de hula alrededor de su cintura rápidamente.")</f>
        <v>Después, la mujer pasa el anillo de hula alrededor de su cintura rápidamente.</v>
      </c>
    </row>
    <row r="15687">
      <c r="A15687" s="4" t="s">
        <v>19752</v>
      </c>
      <c r="B15687" s="4" t="s">
        <v>19755</v>
      </c>
      <c r="C15687" s="5" t="str">
        <f>IFERROR(__xludf.DUMMYFUNCTION("GOOGLETRANSLATE(B15687,""en"",""es-ES"")"),"Luego, la mujer hace un ejercicio con los pies y el cuerpo.")</f>
        <v>Luego, la mujer hace un ejercicio con los pies y el cuerpo.</v>
      </c>
    </row>
    <row r="15688">
      <c r="A15688" s="4" t="s">
        <v>19756</v>
      </c>
      <c r="B15688" s="4" t="s">
        <v>19757</v>
      </c>
      <c r="C15688" s="5" t="str">
        <f>IFERROR(__xludf.DUMMYFUNCTION("GOOGLETRANSLATE(B15688,""en"",""es-ES"")"),"La abuela está hablando con un niño rubio sentado en un entrenador mientras se teje en un hilo rojo en una sala de mentiras.")</f>
        <v>La abuela está hablando con un niño rubio sentado en un entrenador mientras se teje en un hilo rojo en una sala de mentiras.</v>
      </c>
    </row>
    <row r="15689">
      <c r="A15689" s="4" t="s">
        <v>19756</v>
      </c>
      <c r="B15689" s="4" t="s">
        <v>19758</v>
      </c>
      <c r="C15689" s="5" t="str">
        <f>IFERROR(__xludf.DUMMYFUNCTION("GOOGLETRANSLATE(B15689,""en"",""es-ES"")"),"El niño sostiene el hilo y corre en la habitación tirando de él y la mujer está hablando con él, el niño agarra el hilo del piso y corre en la sala de estar.")</f>
        <v>El niño sostiene el hilo y corre en la habitación tirando de él y la mujer está hablando con él, el niño agarra el hilo del piso y corre en la sala de estar.</v>
      </c>
    </row>
    <row r="15690">
      <c r="A15690" s="4" t="s">
        <v>19759</v>
      </c>
      <c r="B15690" s="4" t="s">
        <v>19760</v>
      </c>
      <c r="C15690" s="5" t="str">
        <f>IFERROR(__xludf.DUMMYFUNCTION("GOOGLETRANSLATE(B15690,""en"",""es-ES"")"),"Se muestran varios logotipos de noticias y luego un reportero masculino aparece hablando detrás de su escritorio.")</f>
        <v>Se muestran varios logotipos de noticias y luego un reportero masculino aparece hablando detrás de su escritorio.</v>
      </c>
    </row>
    <row r="15691">
      <c r="A15691" s="4" t="s">
        <v>19759</v>
      </c>
      <c r="B15691" s="4" t="s">
        <v>19761</v>
      </c>
      <c r="C15691" s="5" t="str">
        <f>IFERROR(__xludf.DUMMYFUNCTION("GOOGLETRANSLATE(B15691,""en"",""es-ES"")"),"La cámara luego voltea a una mujer y ella comienza a hacer entrevistas con hombres que estaban jugando un juego de fútbol.")</f>
        <v>La cámara luego voltea a una mujer y ella comienza a hacer entrevistas con hombres que estaban jugando un juego de fútbol.</v>
      </c>
    </row>
    <row r="15692">
      <c r="A15692" s="4" t="s">
        <v>19759</v>
      </c>
      <c r="B15692" s="4" t="s">
        <v>19762</v>
      </c>
      <c r="C15692" s="5" t="str">
        <f>IFERROR(__xludf.DUMMYFUNCTION("GOOGLETRANSLATE(B15692,""en"",""es-ES"")"),"Se están jugando muchos cuartos y después de que se hacen los goles, los jugadores comienzan a saltar sobre la espalda del otro y saltar de alegría y mostrar su felicidad.")</f>
        <v>Se están jugando muchos cuartos y después de que se hacen los goles, los jugadores comienzan a saltar sobre la espalda del otro y saltar de alegría y mostrar su felicidad.</v>
      </c>
    </row>
    <row r="15693">
      <c r="A15693" s="4" t="s">
        <v>19763</v>
      </c>
      <c r="B15693" s="4" t="s">
        <v>19764</v>
      </c>
      <c r="C15693" s="5" t="str">
        <f>IFERROR(__xludf.DUMMYFUNCTION("GOOGLETRANSLATE(B15693,""en"",""es-ES"")"),"Dos hombres realizan Kick Box en una habitación mientras un hombre supervisa los movimientos.")</f>
        <v>Dos hombres realizan Kick Box en una habitación mientras un hombre supervisa los movimientos.</v>
      </c>
    </row>
    <row r="15694">
      <c r="A15694" s="4" t="s">
        <v>19763</v>
      </c>
      <c r="B15694" s="4" t="s">
        <v>19765</v>
      </c>
      <c r="C15694" s="5" t="str">
        <f>IFERROR(__xludf.DUMMYFUNCTION("GOOGLETRANSLATE(B15694,""en"",""es-ES"")"),"Una persona se apoya en la pared detrás de los hombres.")</f>
        <v>Una persona se apoya en la pared detrás de los hombres.</v>
      </c>
    </row>
    <row r="15695">
      <c r="A15695" s="4" t="s">
        <v>19763</v>
      </c>
      <c r="B15695" s="4" t="s">
        <v>19766</v>
      </c>
      <c r="C15695" s="5" t="str">
        <f>IFERROR(__xludf.DUMMYFUNCTION("GOOGLETRANSLATE(B15695,""en"",""es-ES"")"),"Un niño pequeño pasa en frente a los hombres.")</f>
        <v>Un niño pequeño pasa en frente a los hombres.</v>
      </c>
    </row>
    <row r="15696">
      <c r="A15696" s="4" t="s">
        <v>19763</v>
      </c>
      <c r="B15696" s="4" t="s">
        <v>19767</v>
      </c>
      <c r="C15696" s="5" t="str">
        <f>IFERROR(__xludf.DUMMYFUNCTION("GOOGLETRANSLATE(B15696,""en"",""es-ES"")"),"Una mujer camina y se para al frente de los hombres.")</f>
        <v>Una mujer camina y se para al frente de los hombres.</v>
      </c>
    </row>
    <row r="15697">
      <c r="A15697" s="4" t="s">
        <v>19768</v>
      </c>
      <c r="B15697" s="4" t="s">
        <v>19769</v>
      </c>
      <c r="C15697" s="5" t="str">
        <f>IFERROR(__xludf.DUMMYFUNCTION("GOOGLETRANSLATE(B15697,""en"",""es-ES"")"),"Un hombre grande está parado en una cúpula circular en un campo.")</f>
        <v>Un hombre grande está parado en una cúpula circular en un campo.</v>
      </c>
    </row>
    <row r="15698">
      <c r="A15698" s="4" t="s">
        <v>19768</v>
      </c>
      <c r="B15698" s="4" t="s">
        <v>19770</v>
      </c>
      <c r="C15698" s="5" t="str">
        <f>IFERROR(__xludf.DUMMYFUNCTION("GOOGLETRANSLATE(B15698,""en"",""es-ES"")"),"Sostiene una bola de acero en una cuerda mientras habla.")</f>
        <v>Sostiene una bola de acero en una cuerda mientras habla.</v>
      </c>
    </row>
    <row r="15699">
      <c r="A15699" s="4" t="s">
        <v>19768</v>
      </c>
      <c r="B15699" s="4" t="s">
        <v>19771</v>
      </c>
      <c r="C15699" s="5" t="str">
        <f>IFERROR(__xludf.DUMMYFUNCTION("GOOGLETRANSLATE(B15699,""en"",""es-ES"")"),"Luego muestra cómo pararse antes de balancear la pelota alrededor de su cabeza en círculos.")</f>
        <v>Luego muestra cómo pararse antes de balancear la pelota alrededor de su cabeza en círculos.</v>
      </c>
    </row>
    <row r="15700">
      <c r="A15700" s="4" t="s">
        <v>19768</v>
      </c>
      <c r="B15700" s="4" t="s">
        <v>19772</v>
      </c>
      <c r="C15700" s="5" t="str">
        <f>IFERROR(__xludf.DUMMYFUNCTION("GOOGLETRANSLATE(B15700,""en"",""es-ES"")"),"Él soltamos, y la pelota vuela muy lejos del campo mientras se aleja.")</f>
        <v>Él soltamos, y la pelota vuela muy lejos del campo mientras se aleja.</v>
      </c>
    </row>
    <row r="15701">
      <c r="A15701" s="4" t="s">
        <v>19773</v>
      </c>
      <c r="B15701" s="4" t="s">
        <v>19774</v>
      </c>
      <c r="C15701" s="5" t="str">
        <f>IFERROR(__xludf.DUMMYFUNCTION("GOOGLETRANSLATE(B15701,""en"",""es-ES"")"),"Una madre está sentada en la parte superior de un tobogán con su pequeño bebé.")</f>
        <v>Una madre está sentada en la parte superior de un tobogán con su pequeño bebé.</v>
      </c>
    </row>
    <row r="15702">
      <c r="A15702" s="4" t="s">
        <v>19773</v>
      </c>
      <c r="B15702" s="4" t="s">
        <v>19775</v>
      </c>
      <c r="C15702" s="5" t="str">
        <f>IFERROR(__xludf.DUMMYFUNCTION("GOOGLETRANSLATE(B15702,""en"",""es-ES"")"),"Ella está contemplando caer por un tiempo.")</f>
        <v>Ella está contemplando caer por un tiempo.</v>
      </c>
    </row>
    <row r="15703">
      <c r="A15703" s="4" t="s">
        <v>19773</v>
      </c>
      <c r="B15703" s="4" t="s">
        <v>19776</v>
      </c>
      <c r="C15703" s="5" t="str">
        <f>IFERROR(__xludf.DUMMYFUNCTION("GOOGLETRANSLATE(B15703,""en"",""es-ES"")"),"Finalmente se desliza hacia abajo con el bebé.")</f>
        <v>Finalmente se desliza hacia abajo con el bebé.</v>
      </c>
    </row>
    <row r="15704">
      <c r="A15704" s="4" t="s">
        <v>19773</v>
      </c>
      <c r="B15704" s="4" t="s">
        <v>19777</v>
      </c>
      <c r="C15704" s="5" t="str">
        <f>IFERROR(__xludf.DUMMYFUNCTION("GOOGLETRANSLATE(B15704,""en"",""es-ES"")"),"Cuando llegan al fondo, ella lo deja ir y él comienza a caminar.")</f>
        <v>Cuando llegan al fondo, ella lo deja ir y él comienza a caminar.</v>
      </c>
    </row>
    <row r="15705">
      <c r="A15705" s="4" t="s">
        <v>19778</v>
      </c>
      <c r="B15705" s="4" t="s">
        <v>19779</v>
      </c>
      <c r="C15705" s="5" t="str">
        <f>IFERROR(__xludf.DUMMYFUNCTION("GOOGLETRANSLATE(B15705,""en"",""es-ES"")"),"Un niño está de pie en medio de un estacionamiento.")</f>
        <v>Un niño está de pie en medio de un estacionamiento.</v>
      </c>
    </row>
    <row r="15706">
      <c r="A15706" s="4" t="s">
        <v>19778</v>
      </c>
      <c r="B15706" s="4" t="s">
        <v>19780</v>
      </c>
      <c r="C15706" s="5" t="str">
        <f>IFERROR(__xludf.DUMMYFUNCTION("GOOGLETRANSLATE(B15706,""en"",""es-ES"")"),"Lleva un sombrero con una pluma y gafas de sol.")</f>
        <v>Lleva un sombrero con una pluma y gafas de sol.</v>
      </c>
    </row>
    <row r="15707">
      <c r="A15707" s="4" t="s">
        <v>19778</v>
      </c>
      <c r="B15707" s="4" t="s">
        <v>19781</v>
      </c>
      <c r="C15707" s="5" t="str">
        <f>IFERROR(__xludf.DUMMYFUNCTION("GOOGLETRANSLATE(B15707,""en"",""es-ES"")"),"Él está jugando una gaita.")</f>
        <v>Él está jugando una gaita.</v>
      </c>
    </row>
    <row r="15708">
      <c r="A15708" s="4" t="s">
        <v>19782</v>
      </c>
      <c r="B15708" s="4" t="s">
        <v>19783</v>
      </c>
      <c r="C15708" s="5" t="str">
        <f>IFERROR(__xludf.DUMMYFUNCTION("GOOGLETRANSLATE(B15708,""en"",""es-ES"")"),"Se ve a un hombre pateando una pelota de fútbol sobre sus pies y pasando gradualmente a una pared.")</f>
        <v>Se ve a un hombre pateando una pelota de fútbol sobre sus pies y pasando gradualmente a una pared.</v>
      </c>
    </row>
    <row r="15709">
      <c r="A15709" s="4" t="s">
        <v>19782</v>
      </c>
      <c r="B15709" s="4" t="s">
        <v>19784</v>
      </c>
      <c r="C15709" s="5" t="str">
        <f>IFERROR(__xludf.DUMMYFUNCTION("GOOGLETRANSLATE(B15709,""en"",""es-ES"")"),"El hombre continúa pateando la pelota de su pie y contra la pared mientras la cámara lo captura.")</f>
        <v>El hombre continúa pateando la pelota de su pie y contra la pared mientras la cámara lo captura.</v>
      </c>
    </row>
    <row r="15710">
      <c r="A15710" s="4" t="s">
        <v>19785</v>
      </c>
      <c r="B15710" s="4" t="s">
        <v>19786</v>
      </c>
      <c r="C15710" s="5" t="str">
        <f>IFERROR(__xludf.DUMMYFUNCTION("GOOGLETRANSLATE(B15710,""en"",""es-ES"")"),"Los hombres están de pie sobre la pesca de hielo en una gran región de hielo.")</f>
        <v>Los hombres están de pie sobre la pesca de hielo en una gran región de hielo.</v>
      </c>
    </row>
    <row r="15711">
      <c r="A15711" s="4" t="s">
        <v>19785</v>
      </c>
      <c r="B15711" s="4" t="s">
        <v>19787</v>
      </c>
      <c r="C15711" s="5" t="str">
        <f>IFERROR(__xludf.DUMMYFUNCTION("GOOGLETRANSLATE(B15711,""en"",""es-ES"")"),"El hombre agarró un pez del hielo y se tumbó en el suelo.")</f>
        <v>El hombre agarró un pez del hielo y se tumbó en el suelo.</v>
      </c>
    </row>
    <row r="15712">
      <c r="A15712" s="4" t="s">
        <v>19788</v>
      </c>
      <c r="B15712" s="4" t="s">
        <v>19789</v>
      </c>
      <c r="C15712" s="5" t="str">
        <f>IFERROR(__xludf.DUMMYFUNCTION("GOOGLETRANSLATE(B15712,""en"",""es-ES"")"),"Un hombre está en un snowboard en una colina nevada.")</f>
        <v>Un hombre está en un snowboard en una colina nevada.</v>
      </c>
    </row>
    <row r="15713">
      <c r="A15713" s="4" t="s">
        <v>19788</v>
      </c>
      <c r="B15713" s="4" t="s">
        <v>19790</v>
      </c>
      <c r="C15713" s="5" t="str">
        <f>IFERROR(__xludf.DUMMYFUNCTION("GOOGLETRANSLATE(B15713,""en"",""es-ES"")"),"Se desliza sobre la nieve gruesa.")</f>
        <v>Se desliza sobre la nieve gruesa.</v>
      </c>
    </row>
    <row r="15714">
      <c r="A15714" s="4" t="s">
        <v>19788</v>
      </c>
      <c r="B15714" s="4" t="s">
        <v>19791</v>
      </c>
      <c r="C15714" s="5" t="str">
        <f>IFERROR(__xludf.DUMMYFUNCTION("GOOGLETRANSLATE(B15714,""en"",""es-ES"")"),"Él pasa por un marcador y salta sobre obstáculos.")</f>
        <v>Él pasa por un marcador y salta sobre obstáculos.</v>
      </c>
    </row>
    <row r="15715">
      <c r="A15715" s="4" t="s">
        <v>19792</v>
      </c>
      <c r="B15715" s="4" t="s">
        <v>19793</v>
      </c>
      <c r="C15715" s="5" t="str">
        <f>IFERROR(__xludf.DUMMYFUNCTION("GOOGLETRANSLATE(B15715,""en"",""es-ES"")"),"Aparecen un par de piernas de pie y las palabras ""Rutina de piernas de verano"" se muestran en la pantalla.")</f>
        <v>Aparecen un par de piernas de pie y las palabras "Rutina de piernas de verano" se muestran en la pantalla.</v>
      </c>
    </row>
    <row r="15716">
      <c r="A15716" s="4" t="s">
        <v>19792</v>
      </c>
      <c r="B15716" s="4" t="s">
        <v>19794</v>
      </c>
      <c r="C15716" s="5" t="str">
        <f>IFERROR(__xludf.DUMMYFUNCTION("GOOGLETRANSLATE(B15716,""en"",""es-ES"")"),"Las piernas ahora están dobladas con la rodilla hacia arriba desde el suelo y la niña frota el matorral de mango sobre sus piernas, luego limpia el exceso con una toalla.")</f>
        <v>Las piernas ahora están dobladas con la rodilla hacia arriba desde el suelo y la niña frota el matorral de mango sobre sus piernas, luego limpia el exceso con una toalla.</v>
      </c>
    </row>
    <row r="15717">
      <c r="A15717" s="4" t="s">
        <v>19792</v>
      </c>
      <c r="B15717" s="4" t="s">
        <v>19795</v>
      </c>
      <c r="C15717" s="5" t="str">
        <f>IFERROR(__xludf.DUMMYFUNCTION("GOOGLETRANSLATE(B15717,""en"",""es-ES"")"),"En la parte superior derecha de la pantalla se reproduce un pequeño video y muestra un producto VEET mientras la niña toma dos tiras de cera VEET y las pone en su pierna, luego las elimina en el orden en que se les puso.")</f>
        <v>En la parte superior derecha de la pantalla se reproduce un pequeño video y muestra un producto VEET mientras la niña toma dos tiras de cera VEET y las pone en su pierna, luego las elimina en el orden en que se les puso.</v>
      </c>
    </row>
    <row r="15718">
      <c r="A15718" s="4" t="s">
        <v>19792</v>
      </c>
      <c r="B15718" s="4" t="s">
        <v>19796</v>
      </c>
      <c r="C15718" s="5" t="str">
        <f>IFERROR(__xludf.DUMMYFUNCTION("GOOGLETRANSLATE(B15718,""en"",""es-ES"")"),"Luego, la niña toma otro producto VEET que resulta ser tiras de limpieza y se limpia las piernas, luego se lleva una toalla a las piernas.")</f>
        <v>Luego, la niña toma otro producto VEET que resulta ser tiras de limpieza y se limpia las piernas, luego se lleva una toalla a las piernas.</v>
      </c>
    </row>
    <row r="15719">
      <c r="A15719" s="4" t="s">
        <v>19792</v>
      </c>
      <c r="B15719" s="4" t="s">
        <v>19797</v>
      </c>
      <c r="C15719" s="5" t="str">
        <f>IFERROR(__xludf.DUMMYFUNCTION("GOOGLETRANSLATE(B15719,""en"",""es-ES"")"),"Después de haber terminado de limpiarse las piernas, toma la loción de Nivea y las frota por todas las piernas, se levanta y luego muestra las piernas a la cámara en varios ángulos.")</f>
        <v>Después de haber terminado de limpiarse las piernas, toma la loción de Nivea y las frota por todas las piernas, se levanta y luego muestra las piernas a la cámara en varios ángulos.</v>
      </c>
    </row>
    <row r="15720">
      <c r="A15720" s="4" t="s">
        <v>19798</v>
      </c>
      <c r="B15720" s="4" t="s">
        <v>19799</v>
      </c>
      <c r="C15720" s="5" t="str">
        <f>IFERROR(__xludf.DUMMYFUNCTION("GOOGLETRANSLATE(B15720,""en"",""es-ES"")"),"Una gimnasta está haciendo flips y manos en una barra alta.")</f>
        <v>Una gimnasta está haciendo flips y manos en una barra alta.</v>
      </c>
    </row>
    <row r="15721">
      <c r="A15721" s="4" t="s">
        <v>19798</v>
      </c>
      <c r="B15721" s="4" t="s">
        <v>19800</v>
      </c>
      <c r="C15721" s="5" t="str">
        <f>IFERROR(__xludf.DUMMYFUNCTION("GOOGLETRANSLATE(B15721,""en"",""es-ES"")"),"Ella avanza y atrasada varias veces.")</f>
        <v>Ella avanza y atrasada varias veces.</v>
      </c>
    </row>
    <row r="15722">
      <c r="A15722" s="4" t="s">
        <v>19798</v>
      </c>
      <c r="B15722" s="4" t="s">
        <v>19801</v>
      </c>
      <c r="C15722" s="5" t="str">
        <f>IFERROR(__xludf.DUMMYFUNCTION("GOOGLETRANSLATE(B15722,""en"",""es-ES"")"),"La pantalla se detiene mientras ella va a la parte superior de la viga.")</f>
        <v>La pantalla se detiene mientras ella va a la parte superior de la viga.</v>
      </c>
    </row>
    <row r="15723">
      <c r="A15723" s="4" t="s">
        <v>19802</v>
      </c>
      <c r="B15723" s="4" t="s">
        <v>19803</v>
      </c>
      <c r="C15723" s="5" t="str">
        <f>IFERROR(__xludf.DUMMYFUNCTION("GOOGLETRANSLATE(B15723,""en"",""es-ES"")"),"Una cámara se mueve alrededor de una gran colina nevada, así como personas sentadas en un ascensor de esquí y montando una montaña.")</f>
        <v>Una cámara se mueve alrededor de una gran colina nevada, así como personas sentadas en un ascensor de esquí y montando una montaña.</v>
      </c>
    </row>
    <row r="15724">
      <c r="A15724" s="4" t="s">
        <v>19802</v>
      </c>
      <c r="B15724" s="4" t="s">
        <v>19804</v>
      </c>
      <c r="C15724" s="5" t="str">
        <f>IFERROR(__xludf.DUMMYFUNCTION("GOOGLETRANSLATE(B15724,""en"",""es-ES"")"),"La gente hace volteas y trucos, así como se somete a una colina y se apoderan del esquiamiento desde varios ángulos.")</f>
        <v>La gente hace volteas y trucos, así como se somete a una colina y se apoderan del esquiamiento desde varios ángulos.</v>
      </c>
    </row>
    <row r="15725">
      <c r="A15725" s="4" t="s">
        <v>19805</v>
      </c>
      <c r="B15725" s="4" t="s">
        <v>19806</v>
      </c>
      <c r="C15725" s="5" t="str">
        <f>IFERROR(__xludf.DUMMYFUNCTION("GOOGLETRANSLATE(B15725,""en"",""es-ES"")"),"Un hombre con un abrigo está tirando de una tabla cuesta arriba de nieve.")</f>
        <v>Un hombre con un abrigo está tirando de una tabla cuesta arriba de nieve.</v>
      </c>
    </row>
    <row r="15726">
      <c r="A15726" s="4" t="s">
        <v>19805</v>
      </c>
      <c r="B15726" s="4" t="s">
        <v>19807</v>
      </c>
      <c r="C15726" s="5" t="str">
        <f>IFERROR(__xludf.DUMMYFUNCTION("GOOGLETRANSLATE(B15726,""en"",""es-ES"")"),"Comienza a snowboard cuesta abajo.")</f>
        <v>Comienza a snowboard cuesta abajo.</v>
      </c>
    </row>
    <row r="15727">
      <c r="A15727" s="4" t="s">
        <v>19805</v>
      </c>
      <c r="B15727" s="4" t="s">
        <v>19808</v>
      </c>
      <c r="C15727" s="5" t="str">
        <f>IFERROR(__xludf.DUMMYFUNCTION("GOOGLETRANSLATE(B15727,""en"",""es-ES"")"),"El hombre levanta las gafas de su rostro y sonríe.")</f>
        <v>El hombre levanta las gafas de su rostro y sonríe.</v>
      </c>
    </row>
    <row r="15728">
      <c r="A15728" s="4" t="s">
        <v>19805</v>
      </c>
      <c r="B15728" s="4" t="s">
        <v>19809</v>
      </c>
      <c r="C15728" s="5" t="str">
        <f>IFERROR(__xludf.DUMMYFUNCTION("GOOGLETRANSLATE(B15728,""en"",""es-ES"")"),"La gente está haciendo snowboard cuesta abajo juntos.")</f>
        <v>La gente está haciendo snowboard cuesta abajo juntos.</v>
      </c>
    </row>
    <row r="15729">
      <c r="A15729" s="4" t="s">
        <v>19810</v>
      </c>
      <c r="B15729" s="4" t="s">
        <v>19811</v>
      </c>
      <c r="C15729" s="5" t="str">
        <f>IFERROR(__xludf.DUMMYFUNCTION("GOOGLETRANSLATE(B15729,""en"",""es-ES"")"),"Un hombre pone golosinas para perros en la mano de otro hombre.")</f>
        <v>Un hombre pone golosinas para perros en la mano de otro hombre.</v>
      </c>
    </row>
    <row r="15730">
      <c r="A15730" s="4" t="s">
        <v>19810</v>
      </c>
      <c r="B15730" s="4" t="s">
        <v>19812</v>
      </c>
      <c r="C15730" s="5" t="str">
        <f>IFERROR(__xludf.DUMMYFUNCTION("GOOGLETRANSLATE(B15730,""en"",""es-ES"")"),"El hombre está paseando a un perro por la acera.")</f>
        <v>El hombre está paseando a un perro por la acera.</v>
      </c>
    </row>
    <row r="15731">
      <c r="A15731" s="4" t="s">
        <v>19810</v>
      </c>
      <c r="B15731" s="4" t="s">
        <v>19813</v>
      </c>
      <c r="C15731" s="5" t="str">
        <f>IFERROR(__xludf.DUMMYFUNCTION("GOOGLETRANSLATE(B15731,""en"",""es-ES"")"),"Alguien más camina detrás de ellos.")</f>
        <v>Alguien más camina detrás de ellos.</v>
      </c>
    </row>
    <row r="15732">
      <c r="A15732" s="4" t="s">
        <v>19814</v>
      </c>
      <c r="B15732" s="4" t="s">
        <v>19815</v>
      </c>
      <c r="C15732" s="5" t="str">
        <f>IFERROR(__xludf.DUMMYFUNCTION("GOOGLETRANSLATE(B15732,""en"",""es-ES"")"),"Se ve a un hombre arrodillado con una navaja de afeitar y mirar hacia la cámara.")</f>
        <v>Se ve a un hombre arrodillado con una navaja de afeitar y mirar hacia la cámara.</v>
      </c>
    </row>
    <row r="15733">
      <c r="A15733" s="4" t="s">
        <v>19814</v>
      </c>
      <c r="B15733" s="4" t="s">
        <v>19816</v>
      </c>
      <c r="C15733" s="5" t="str">
        <f>IFERROR(__xludf.DUMMYFUNCTION("GOOGLETRANSLATE(B15733,""en"",""es-ES"")"),"El hombre se afeita parte de su pierna y levanta un objeto mientras se aleja.")</f>
        <v>El hombre se afeita parte de su pierna y levanta un objeto mientras se aleja.</v>
      </c>
    </row>
    <row r="15734">
      <c r="A15734" s="4" t="s">
        <v>19817</v>
      </c>
      <c r="B15734" s="4" t="s">
        <v>19818</v>
      </c>
      <c r="C15734" s="5" t="str">
        <f>IFERROR(__xludf.DUMMYFUNCTION("GOOGLETRANSLATE(B15734,""en"",""es-ES"")"),"Una pantalla negra con una pancarta blanca en la parte inferior tiene varias información que incluye un sitio web, estado, número de teléfono y logotipo.")</f>
        <v>Una pantalla negra con una pancarta blanca en la parte inferior tiene varias información que incluye un sitio web, estado, número de teléfono y logotipo.</v>
      </c>
    </row>
    <row r="15735">
      <c r="A15735" s="4" t="s">
        <v>19817</v>
      </c>
      <c r="B15735" s="4" t="s">
        <v>19819</v>
      </c>
      <c r="C15735" s="5" t="str">
        <f>IFERROR(__xludf.DUMMYFUNCTION("GOOGLETRANSLATE(B15735,""en"",""es-ES"")"),"Sigue una pantalla blanca e incluye un logotipo, el nombre de los productos e indica que este es un ""video instructivo"".")</f>
        <v>Sigue una pantalla blanca e incluye un logotipo, el nombre de los productos e indica que este es un "video instructivo".</v>
      </c>
    </row>
    <row r="15736">
      <c r="A15736" s="4" t="s">
        <v>19817</v>
      </c>
      <c r="B15736" s="4" t="s">
        <v>19820</v>
      </c>
      <c r="C15736" s="5" t="str">
        <f>IFERROR(__xludf.DUMMYFUNCTION("GOOGLETRANSLATE(B15736,""en"",""es-ES"")"),"Aparece otra pantalla blanca y aparece una lista de contenido y allí 1-5.")</f>
        <v>Aparece otra pantalla blanca y aparece una lista de contenido y allí 1-5.</v>
      </c>
    </row>
    <row r="15737">
      <c r="A15737" s="4" t="s">
        <v>19817</v>
      </c>
      <c r="B15737" s="4" t="s">
        <v>19821</v>
      </c>
      <c r="C15737" s="5" t="str">
        <f>IFERROR(__xludf.DUMMYFUNCTION("GOOGLETRANSLATE(B15737,""en"",""es-ES"")"),"En la siguiente pantalla blanca se muestra una caja de cartón y luego comienza a mostrar los muchos contenidos diferentes que vienen en el cuadro, junto con los nombres de ellos al lado.")</f>
        <v>En la siguiente pantalla blanca se muestra una caja de cartón y luego comienza a mostrar los muchos contenidos diferentes que vienen en el cuadro, junto con los nombres de ellos al lado.</v>
      </c>
    </row>
    <row r="15738">
      <c r="A15738" s="4" t="s">
        <v>19817</v>
      </c>
      <c r="B15738" s="4" t="s">
        <v>19822</v>
      </c>
      <c r="C15738" s="5" t="str">
        <f>IFERROR(__xludf.DUMMYFUNCTION("GOOGLETRANSLATE(B15738,""en"",""es-ES"")"),"Una mujer ahora está parada en un pasillo mientras reúne su herramienta de limpieza follando la porción superior sobre su poste y aplicando un paño al final, luego le ataca su botella de spray sobre su cadera.")</f>
        <v>Una mujer ahora está parada en un pasillo mientras reúne su herramienta de limpieza follando la porción superior sobre su poste y aplicando un paño al final, luego le ataca su botella de spray sobre su cadera.</v>
      </c>
    </row>
    <row r="15739">
      <c r="A15739" s="4" t="s">
        <v>19817</v>
      </c>
      <c r="B15739" s="4" t="s">
        <v>19823</v>
      </c>
      <c r="C15739" s="5" t="str">
        <f>IFERROR(__xludf.DUMMYFUNCTION("GOOGLETRANSLATE(B15739,""en"",""es-ES"")"),"Luego, la mujer comienza a rociar la tela en la herramienta de limpieza y comienza a limpiar varias áreas diferentes en la oficina, incluidas ventanas, puertas de ascensores, televisores y cambiar la ropa en el medio para adaptarse a la superficie en la q"&amp;"ue está trabajando.")</f>
        <v>Luego, la mujer comienza a rociar la tela en la herramienta de limpieza y comienza a limpiar varias áreas diferentes en la oficina, incluidas ventanas, puertas de ascensores, televisores y cambiar la ropa en el medio para adaptarse a la superficie en la que está trabajando.</v>
      </c>
    </row>
    <row r="15740">
      <c r="A15740" s="4" t="s">
        <v>19817</v>
      </c>
      <c r="B15740" s="4" t="s">
        <v>19824</v>
      </c>
      <c r="C15740" s="5" t="str">
        <f>IFERROR(__xludf.DUMMYFUNCTION("GOOGLETRANSLATE(B15740,""en"",""es-ES"")"),"La mujer ahora se ve en una puerta de vidrio doble, ya que ahora sostiene una tela en la mano para limpiar las puertas y otras superficies.")</f>
        <v>La mujer ahora se ve en una puerta de vidrio doble, ya que ahora sostiene una tela en la mano para limpiar las puertas y otras superficies.</v>
      </c>
    </row>
    <row r="15741">
      <c r="A15741" s="4" t="s">
        <v>19817</v>
      </c>
      <c r="B15741" s="4" t="s">
        <v>19825</v>
      </c>
      <c r="C15741" s="5" t="str">
        <f>IFERROR(__xludf.DUMMYFUNCTION("GOOGLETRANSLATE(B15741,""en"",""es-ES"")"),"Luego se muestra a la mujer colocando la ropa diferente en la lavadora y luego colgando su herramienta de limpieza en la pared.")</f>
        <v>Luego se muestra a la mujer colocando la ropa diferente en la lavadora y luego colgando su herramienta de limpieza en la pared.</v>
      </c>
    </row>
    <row r="15742">
      <c r="A15742" s="4" t="s">
        <v>19817</v>
      </c>
      <c r="B15742" s="4" t="s">
        <v>19826</v>
      </c>
      <c r="C15742" s="5" t="str">
        <f>IFERROR(__xludf.DUMMYFUNCTION("GOOGLETRANSLATE(B15742,""en"",""es-ES"")"),"Aparece una pantalla negra e incluye el mismo banner blanco que lo hizo desde el principio.")</f>
        <v>Aparece una pantalla negra e incluye el mismo banner blanco que lo hizo desde el principio.</v>
      </c>
    </row>
    <row r="15743">
      <c r="A15743" s="4" t="s">
        <v>19827</v>
      </c>
      <c r="B15743" s="4" t="s">
        <v>19828</v>
      </c>
      <c r="C15743" s="5" t="str">
        <f>IFERROR(__xludf.DUMMYFUNCTION("GOOGLETRANSLATE(B15743,""en"",""es-ES"")"),"Un hombre se frota las manos de una manera frenética mientras se para junto a una mujer.")</f>
        <v>Un hombre se frota las manos de una manera frenética mientras se para junto a una mujer.</v>
      </c>
    </row>
    <row r="15744">
      <c r="A15744" s="4" t="s">
        <v>19827</v>
      </c>
      <c r="B15744" s="4" t="s">
        <v>19829</v>
      </c>
      <c r="C15744" s="5" t="str">
        <f>IFERROR(__xludf.DUMMYFUNCTION("GOOGLETRANSLATE(B15744,""en"",""es-ES"")"),"La cámara cambia y puedes ver que está en un casino jugando un juego de Black Jack.")</f>
        <v>La cámara cambia y puedes ver que está en un casino jugando un juego de Black Jack.</v>
      </c>
    </row>
    <row r="15745">
      <c r="A15745" s="4" t="s">
        <v>19827</v>
      </c>
      <c r="B15745" s="4" t="s">
        <v>19830</v>
      </c>
      <c r="C15745" s="5" t="str">
        <f>IFERROR(__xludf.DUMMYFUNCTION("GOOGLETRANSLATE(B15745,""en"",""es-ES"")"),"Una vez que el concesionario se ha vuelto sobre todas las cartas, los dos se muestran nuevamente hablando y sonriendo.")</f>
        <v>Una vez que el concesionario se ha vuelto sobre todas las cartas, los dos se muestran nuevamente hablando y sonriendo.</v>
      </c>
    </row>
    <row r="15746">
      <c r="A15746" s="4" t="s">
        <v>19831</v>
      </c>
      <c r="B15746" s="4" t="s">
        <v>19832</v>
      </c>
      <c r="C15746" s="5" t="str">
        <f>IFERROR(__xludf.DUMMYFUNCTION("GOOGLETRANSLATE(B15746,""en"",""es-ES"")"),"Se muestra una gran cascada entrecortada.")</f>
        <v>Se muestra una gran cascada entrecortada.</v>
      </c>
    </row>
    <row r="15747">
      <c r="A15747" s="4" t="s">
        <v>19831</v>
      </c>
      <c r="B15747" s="4" t="s">
        <v>19833</v>
      </c>
      <c r="C15747" s="5" t="str">
        <f>IFERROR(__xludf.DUMMYFUNCTION("GOOGLETRANSLATE(B15747,""en"",""es-ES"")"),"Un hombre está acostado en una línea floja sobre el agua.")</f>
        <v>Un hombre está acostado en una línea floja sobre el agua.</v>
      </c>
    </row>
    <row r="15748">
      <c r="A15748" s="4" t="s">
        <v>19831</v>
      </c>
      <c r="B15748" s="4" t="s">
        <v>19834</v>
      </c>
      <c r="C15748" s="5" t="str">
        <f>IFERROR(__xludf.DUMMYFUNCTION("GOOGLETRANSLATE(B15748,""en"",""es-ES"")"),"Una persona está tocando la guitarra sentada en un rock.")</f>
        <v>Una persona está tocando la guitarra sentada en un rock.</v>
      </c>
    </row>
    <row r="15749">
      <c r="A15749" s="4" t="s">
        <v>19835</v>
      </c>
      <c r="B15749" s="4" t="s">
        <v>19836</v>
      </c>
      <c r="C15749" s="5" t="str">
        <f>IFERROR(__xludf.DUMMYFUNCTION("GOOGLETRANSLATE(B15749,""en"",""es-ES"")"),"Los niños de diferentes edades están jugando en un patio de recreo.")</f>
        <v>Los niños de diferentes edades están jugando en un patio de recreo.</v>
      </c>
    </row>
    <row r="15750">
      <c r="A15750" s="4" t="s">
        <v>19835</v>
      </c>
      <c r="B15750" s="4" t="s">
        <v>19837</v>
      </c>
      <c r="C15750" s="5" t="str">
        <f>IFERROR(__xludf.DUMMYFUNCTION("GOOGLETRANSLATE(B15750,""en"",""es-ES"")"),"Un par de mujeres están hablando en el área de juegos.")</f>
        <v>Un par de mujeres están hablando en el área de juegos.</v>
      </c>
    </row>
    <row r="15751">
      <c r="A15751" s="4" t="s">
        <v>19835</v>
      </c>
      <c r="B15751" s="4" t="s">
        <v>19838</v>
      </c>
      <c r="C15751" s="5" t="str">
        <f>IFERROR(__xludf.DUMMYFUNCTION("GOOGLETRANSLATE(B15751,""en"",""es-ES"")"),"Una mujer joven que sostiene a un bebé camina hacia un columpio y pone al bebé en el columpio.")</f>
        <v>Una mujer joven que sostiene a un bebé camina hacia un columpio y pone al bebé en el columpio.</v>
      </c>
    </row>
    <row r="15752">
      <c r="A15752" s="4" t="s">
        <v>19835</v>
      </c>
      <c r="B15752" s="4" t="s">
        <v>19839</v>
      </c>
      <c r="C15752" s="5" t="str">
        <f>IFERROR(__xludf.DUMMYFUNCTION("GOOGLETRANSLATE(B15752,""en"",""es-ES"")"),"Luego camina frente al bebé y se sienta en el asiento para adultos unido al columpio del bebé.")</f>
        <v>Luego camina frente al bebé y se sienta en el asiento para adultos unido al columpio del bebé.</v>
      </c>
    </row>
    <row r="15753">
      <c r="A15753" s="4" t="s">
        <v>19835</v>
      </c>
      <c r="B15753" s="4" t="s">
        <v>19840</v>
      </c>
      <c r="C15753" s="5" t="str">
        <f>IFERROR(__xludf.DUMMYFUNCTION("GOOGLETRANSLATE(B15753,""en"",""es-ES"")"),"Otra mujer pasa con algunos hijos.")</f>
        <v>Otra mujer pasa con algunos hijos.</v>
      </c>
    </row>
    <row r="15754">
      <c r="A15754" s="4" t="s">
        <v>19835</v>
      </c>
      <c r="B15754" s="4" t="s">
        <v>19841</v>
      </c>
      <c r="C15754" s="5" t="str">
        <f>IFERROR(__xludf.DUMMYFUNCTION("GOOGLETRANSLATE(B15754,""en"",""es-ES"")"),"La mujer en el columpio balancea al bebé mientras habla con él y le hace caras.")</f>
        <v>La mujer en el columpio balancea al bebé mientras habla con él y le hace caras.</v>
      </c>
    </row>
    <row r="15755">
      <c r="A15755" s="4" t="s">
        <v>19842</v>
      </c>
      <c r="B15755" s="4" t="s">
        <v>19843</v>
      </c>
      <c r="C15755" s="5" t="str">
        <f>IFERROR(__xludf.DUMMYFUNCTION("GOOGLETRANSLATE(B15755,""en"",""es-ES"")"),"Un hombre muestra cómo cambiar un tubo en un neumático.")</f>
        <v>Un hombre muestra cómo cambiar un tubo en un neumático.</v>
      </c>
    </row>
    <row r="15756">
      <c r="A15756" s="4" t="s">
        <v>19842</v>
      </c>
      <c r="B15756" s="4" t="s">
        <v>19844</v>
      </c>
      <c r="C15756" s="5" t="str">
        <f>IFERROR(__xludf.DUMMYFUNCTION("GOOGLETRANSLATE(B15756,""en"",""es-ES"")"),"Saca el tubo viejo, pone el nuevo y luego lo bombea.")</f>
        <v>Saca el tubo viejo, pone el nuevo y luego lo bombea.</v>
      </c>
    </row>
    <row r="15757">
      <c r="A15757" s="4" t="s">
        <v>19845</v>
      </c>
      <c r="B15757" s="4" t="s">
        <v>19846</v>
      </c>
      <c r="C15757" s="5" t="str">
        <f>IFERROR(__xludf.DUMMYFUNCTION("GOOGLETRANSLATE(B15757,""en"",""es-ES"")"),"Se muestran varias tomas de texto seguidas por una persona que camina hacia el marco.")</f>
        <v>Se muestran varias tomas de texto seguidas por una persona que camina hacia el marco.</v>
      </c>
    </row>
    <row r="15758">
      <c r="A15758" s="4" t="s">
        <v>19845</v>
      </c>
      <c r="B15758" s="4" t="s">
        <v>19847</v>
      </c>
      <c r="C15758" s="5" t="str">
        <f>IFERROR(__xludf.DUMMYFUNCTION("GOOGLETRANSLATE(B15758,""en"",""es-ES"")"),"Luego, la persona entra y sale del marco realizando varios movimientos de baile en el suelo.")</f>
        <v>Luego, la persona entra y sale del marco realizando varios movimientos de baile en el suelo.</v>
      </c>
    </row>
    <row r="15759">
      <c r="A15759" s="4" t="s">
        <v>19845</v>
      </c>
      <c r="B15759" s="4" t="s">
        <v>19848</v>
      </c>
      <c r="C15759" s="5" t="str">
        <f>IFERROR(__xludf.DUMMYFUNCTION("GOOGLETRANSLATE(B15759,""en"",""es-ES"")"),"La persona continúa moviéndose en el suelo y demostrando cómo realizar movimientos.")</f>
        <v>La persona continúa moviéndose en el suelo y demostrando cómo realizar movimientos.</v>
      </c>
    </row>
    <row r="15760">
      <c r="A15760" s="4" t="s">
        <v>19849</v>
      </c>
      <c r="B15760" s="4" t="s">
        <v>19850</v>
      </c>
      <c r="C15760" s="5" t="str">
        <f>IFERROR(__xludf.DUMMYFUNCTION("GOOGLETRANSLATE(B15760,""en"",""es-ES"")"),"Se ve a la gente sentada en una mesa mientras un hombre se para a su lado y sacando una pala de una cachimba.")</f>
        <v>Se ve a la gente sentada en una mesa mientras un hombre se para a su lado y sacando una pala de una cachimba.</v>
      </c>
    </row>
    <row r="15761">
      <c r="A15761" s="4" t="s">
        <v>19849</v>
      </c>
      <c r="B15761" s="4" t="s">
        <v>19851</v>
      </c>
      <c r="C15761" s="5" t="str">
        <f>IFERROR(__xludf.DUMMYFUNCTION("GOOGLETRANSLATE(B15761,""en"",""es-ES"")"),"Él entrega la manguera a una chica sentada que toma algunas rasgaduras y se muestra al hombre hablando con la cámara.")</f>
        <v>Él entrega la manguera a una chica sentada que toma algunas rasgaduras y se muestra al hombre hablando con la cámara.</v>
      </c>
    </row>
    <row r="15762">
      <c r="A15762" s="4" t="s">
        <v>19849</v>
      </c>
      <c r="B15762" s="4" t="s">
        <v>19852</v>
      </c>
      <c r="C15762" s="5" t="str">
        <f>IFERROR(__xludf.DUMMYFUNCTION("GOOGLETRANSLATE(B15762,""en"",""es-ES"")"),"Las chicas entregan la manguera a otra mientras ella recibe algunos golpes y se la pasa a la otra persona.")</f>
        <v>Las chicas entregan la manguera a otra mientras ella recibe algunos golpes y se la pasa a la otra persona.</v>
      </c>
    </row>
    <row r="15763">
      <c r="A15763" s="4" t="s">
        <v>19853</v>
      </c>
      <c r="B15763" s="4" t="s">
        <v>19854</v>
      </c>
      <c r="C15763" s="5" t="str">
        <f>IFERROR(__xludf.DUMMYFUNCTION("GOOGLETRANSLATE(B15763,""en"",""es-ES"")"),"Dos niños patinatoria por las calles en diferentes momentos con cascos.")</f>
        <v>Dos niños patinatoria por las calles en diferentes momentos con cascos.</v>
      </c>
    </row>
    <row r="15764">
      <c r="A15764" s="4" t="s">
        <v>19853</v>
      </c>
      <c r="B15764" s="4" t="s">
        <v>19855</v>
      </c>
      <c r="C15764" s="5" t="str">
        <f>IFERROR(__xludf.DUMMYFUNCTION("GOOGLETRANSLATE(B15764,""en"",""es-ES"")"),"Un patinador con una camiseta azul y patinetas de casco negro a través de calles que bordean campiños y barrios residenciales.")</f>
        <v>Un patinador con una camiseta azul y patinetas de casco negro a través de calles que bordean campiños y barrios residenciales.</v>
      </c>
    </row>
    <row r="15765">
      <c r="A15765" s="4" t="s">
        <v>19853</v>
      </c>
      <c r="B15765" s="4" t="s">
        <v>19856</v>
      </c>
      <c r="C15765" s="5" t="str">
        <f>IFERROR(__xludf.DUMMYFUNCTION("GOOGLETRANSLATE(B15765,""en"",""es-ES"")"),"Un patinador que lleva todas las caídas negras de la patineta hacia la calle pavimentada, se levanta y se va.")</f>
        <v>Un patinador que lleva todas las caídas negras de la patineta hacia la calle pavimentada, se levanta y se va.</v>
      </c>
    </row>
    <row r="15766">
      <c r="A15766" s="4" t="s">
        <v>19857</v>
      </c>
      <c r="B15766" s="4" t="s">
        <v>19858</v>
      </c>
      <c r="C15766" s="5" t="str">
        <f>IFERROR(__xludf.DUMMYFUNCTION("GOOGLETRANSLATE(B15766,""en"",""es-ES"")"),"Se ve a un hombre con una cuerda en la boca y se mete en un caballo inmediatamente acordando un ternero.")</f>
        <v>Se ve a un hombre con una cuerda en la boca y se mete en un caballo inmediatamente acordando un ternero.</v>
      </c>
    </row>
    <row r="15767">
      <c r="A15767" s="4" t="s">
        <v>19857</v>
      </c>
      <c r="B15767" s="4" t="s">
        <v>19859</v>
      </c>
      <c r="C15767" s="5" t="str">
        <f>IFERROR(__xludf.DUMMYFUNCTION("GOOGLETRANSLATE(B15767,""en"",""es-ES"")"),"Él arroja la pantorrilla y lo ata, seguido de varios otros hombres realizando el mismo truco a diferentes velocidades.")</f>
        <v>Él arroja la pantorrilla y lo ata, seguido de varios otros hombres realizando el mismo truco a diferentes velocidades.</v>
      </c>
    </row>
    <row r="15768">
      <c r="A15768" s="4" t="s">
        <v>19860</v>
      </c>
      <c r="B15768" s="4" t="s">
        <v>19861</v>
      </c>
      <c r="C15768" s="5" t="str">
        <f>IFERROR(__xludf.DUMMYFUNCTION("GOOGLETRANSLATE(B15768,""en"",""es-ES"")"),"Una mujer limpia un piso de cafetería con un trapeador mientras ocasionalmente habla con la cámara.")</f>
        <v>Una mujer limpia un piso de cafetería con un trapeador mientras ocasionalmente habla con la cámara.</v>
      </c>
    </row>
    <row r="15769">
      <c r="A15769" s="4" t="s">
        <v>19860</v>
      </c>
      <c r="B15769" s="4" t="s">
        <v>19862</v>
      </c>
      <c r="C15769" s="5" t="str">
        <f>IFERROR(__xludf.DUMMYFUNCTION("GOOGLETRANSLATE(B15769,""en"",""es-ES"")"),"La mujer camina y limpia una parte diferente del piso de la cafetería.")</f>
        <v>La mujer camina y limpia una parte diferente del piso de la cafetería.</v>
      </c>
    </row>
    <row r="15770">
      <c r="A15770" s="4" t="s">
        <v>19860</v>
      </c>
      <c r="B15770" s="4" t="s">
        <v>19863</v>
      </c>
      <c r="C15770" s="5" t="str">
        <f>IFERROR(__xludf.DUMMYFUNCTION("GOOGLETRANSLATE(B15770,""en"",""es-ES"")"),"La mujer sumerge la cabeza del trapeador en un cubo.")</f>
        <v>La mujer sumerge la cabeza del trapeador en un cubo.</v>
      </c>
    </row>
    <row r="15771">
      <c r="A15771" s="4" t="s">
        <v>19860</v>
      </c>
      <c r="B15771" s="4" t="s">
        <v>19864</v>
      </c>
      <c r="C15771" s="5" t="str">
        <f>IFERROR(__xludf.DUMMYFUNCTION("GOOGLETRANSLATE(B15771,""en"",""es-ES"")"),"Varias personas pasan en segundo plano.")</f>
        <v>Varias personas pasan en segundo plano.</v>
      </c>
    </row>
    <row r="15772">
      <c r="A15772" s="4" t="s">
        <v>19860</v>
      </c>
      <c r="B15772" s="4" t="s">
        <v>7146</v>
      </c>
      <c r="C15772" s="5" t="str">
        <f>IFERROR(__xludf.DUMMYFUNCTION("GOOGLETRANSLATE(B15772,""en"",""es-ES"")"),"La mujer habla con la cámara.")</f>
        <v>La mujer habla con la cámara.</v>
      </c>
    </row>
    <row r="15773">
      <c r="A15773" s="4" t="s">
        <v>19865</v>
      </c>
      <c r="B15773" s="4" t="s">
        <v>19866</v>
      </c>
      <c r="C15773" s="5" t="str">
        <f>IFERROR(__xludf.DUMMYFUNCTION("GOOGLETRANSLATE(B15773,""en"",""es-ES"")"),"Un hombre está de pie después de un caballo marrón.")</f>
        <v>Un hombre está de pie después de un caballo marrón.</v>
      </c>
    </row>
    <row r="15774">
      <c r="A15774" s="4" t="s">
        <v>19865</v>
      </c>
      <c r="B15774" s="4" t="s">
        <v>5248</v>
      </c>
      <c r="C15774" s="5" t="str">
        <f>IFERROR(__xludf.DUMMYFUNCTION("GOOGLETRANSLATE(B15774,""en"",""es-ES"")"),"La gente monta a caballo a lo largo de un sendero de tierra.")</f>
        <v>La gente monta a caballo a lo largo de un sendero de tierra.</v>
      </c>
    </row>
    <row r="15775">
      <c r="A15775" s="4" t="s">
        <v>19865</v>
      </c>
      <c r="B15775" s="4" t="s">
        <v>19867</v>
      </c>
      <c r="C15775" s="5" t="str">
        <f>IFERROR(__xludf.DUMMYFUNCTION("GOOGLETRANSLATE(B15775,""en"",""es-ES"")"),"Los caballos están tomando un trago de agua.")</f>
        <v>Los caballos están tomando un trago de agua.</v>
      </c>
    </row>
    <row r="15776">
      <c r="A15776" s="4" t="s">
        <v>19865</v>
      </c>
      <c r="B15776" s="4" t="s">
        <v>19868</v>
      </c>
      <c r="C15776" s="5" t="str">
        <f>IFERROR(__xludf.DUMMYFUNCTION("GOOGLETRANSLATE(B15776,""en"",""es-ES"")"),"Continúan caminando por el sendero en los caballos.")</f>
        <v>Continúan caminando por el sendero en los caballos.</v>
      </c>
    </row>
    <row r="15777">
      <c r="A15777" s="4" t="s">
        <v>19865</v>
      </c>
      <c r="B15777" s="4" t="s">
        <v>19869</v>
      </c>
      <c r="C15777" s="5" t="str">
        <f>IFERROR(__xludf.DUMMYFUNCTION("GOOGLETRANSLATE(B15777,""en"",""es-ES"")"),"Se muestra una imagen de una casa marrón.")</f>
        <v>Se muestra una imagen de una casa marrón.</v>
      </c>
    </row>
    <row r="15778">
      <c r="A15778" s="4" t="s">
        <v>19870</v>
      </c>
      <c r="B15778" s="4" t="s">
        <v>19871</v>
      </c>
      <c r="C15778" s="5" t="str">
        <f>IFERROR(__xludf.DUMMYFUNCTION("GOOGLETRANSLATE(B15778,""en"",""es-ES"")"),"Una introducción comienza para DX Sports y muestra a dos hombres patinando por un camino.")</f>
        <v>Una introducción comienza para DX Sports y muestra a dos hombres patinando por un camino.</v>
      </c>
    </row>
    <row r="15779">
      <c r="A15779" s="4" t="s">
        <v>19870</v>
      </c>
      <c r="B15779" s="4" t="s">
        <v>19872</v>
      </c>
      <c r="C15779" s="5" t="str">
        <f>IFERROR(__xludf.DUMMYFUNCTION("GOOGLETRANSLATE(B15779,""en"",""es-ES"")"),"Continúa montando por la carretera mientras la cámara los sigue cerca de la carretera sinuosa.")</f>
        <v>Continúa montando por la carretera mientras la cámara los sigue cerca de la carretera sinuosa.</v>
      </c>
    </row>
    <row r="15780">
      <c r="A15780" s="4" t="s">
        <v>19870</v>
      </c>
      <c r="B15780" s="4" t="s">
        <v>19873</v>
      </c>
      <c r="C15780" s="5" t="str">
        <f>IFERROR(__xludf.DUMMYFUNCTION("GOOGLETRANSLATE(B15780,""en"",""es-ES"")"),"Los hombres finalmente llegan a un automóvil y su viaje por el largo camino.")</f>
        <v>Los hombres finalmente llegan a un automóvil y su viaje por el largo camino.</v>
      </c>
    </row>
    <row r="15781">
      <c r="A15781" s="4" t="s">
        <v>19874</v>
      </c>
      <c r="B15781" s="4" t="s">
        <v>19875</v>
      </c>
      <c r="C15781" s="5" t="str">
        <f>IFERROR(__xludf.DUMMYFUNCTION("GOOGLETRANSLATE(B15781,""en"",""es-ES"")"),"Un hombre muestra una bota y herramientas brillantes.")</f>
        <v>Un hombre muestra una bota y herramientas brillantes.</v>
      </c>
    </row>
    <row r="15782">
      <c r="A15782" s="4" t="s">
        <v>19874</v>
      </c>
      <c r="B15782" s="4" t="s">
        <v>19876</v>
      </c>
      <c r="C15782" s="5" t="str">
        <f>IFERROR(__xludf.DUMMYFUNCTION("GOOGLETRANSLATE(B15782,""en"",""es-ES"")"),"Luego, el hombre limpia el zapato con un paño.")</f>
        <v>Luego, el hombre limpia el zapato con un paño.</v>
      </c>
    </row>
    <row r="15783">
      <c r="A15783" s="4" t="s">
        <v>19874</v>
      </c>
      <c r="B15783" s="4" t="s">
        <v>19877</v>
      </c>
      <c r="C15783" s="5" t="str">
        <f>IFERROR(__xludf.DUMMYFUNCTION("GOOGLETRANSLATE(B15783,""en"",""es-ES"")"),"Después, el hombre señala la punta del zapato y aplica pintura negra y muestra plantillas.")</f>
        <v>Después, el hombre señala la punta del zapato y aplica pintura negra y muestra plantillas.</v>
      </c>
    </row>
    <row r="15784">
      <c r="A15784" s="4" t="s">
        <v>19874</v>
      </c>
      <c r="B15784" s="4" t="s">
        <v>19878</v>
      </c>
      <c r="C15784" s="5" t="str">
        <f>IFERROR(__xludf.DUMMYFUNCTION("GOOGLETRANSLATE(B15784,""en"",""es-ES"")"),"Luego, el hombre pule los zapatos con una crema, después de rociar los zapatos.")</f>
        <v>Luego, el hombre pule los zapatos con una crema, después de rociar los zapatos.</v>
      </c>
    </row>
    <row r="15785">
      <c r="A15785" s="4" t="s">
        <v>19879</v>
      </c>
      <c r="B15785" s="4" t="s">
        <v>19880</v>
      </c>
      <c r="C15785" s="5" t="str">
        <f>IFERROR(__xludf.DUMMYFUNCTION("GOOGLETRANSLATE(B15785,""en"",""es-ES"")"),"Un niño está sentado detrás de una batería.")</f>
        <v>Un niño está sentado detrás de una batería.</v>
      </c>
    </row>
    <row r="15786">
      <c r="A15786" s="4" t="s">
        <v>19879</v>
      </c>
      <c r="B15786" s="4" t="s">
        <v>19881</v>
      </c>
      <c r="C15786" s="5" t="str">
        <f>IFERROR(__xludf.DUMMYFUNCTION("GOOGLETRANSLATE(B15786,""en"",""es-ES"")"),"Comienza a tocar la batería frente a él.")</f>
        <v>Comienza a tocar la batería frente a él.</v>
      </c>
    </row>
    <row r="15787">
      <c r="A15787" s="4" t="s">
        <v>19879</v>
      </c>
      <c r="B15787" s="4" t="s">
        <v>19882</v>
      </c>
      <c r="C15787" s="5" t="str">
        <f>IFERROR(__xludf.DUMMYFUNCTION("GOOGLETRANSLATE(B15787,""en"",""es-ES"")"),"Él se levanta y saluda a la multitud.")</f>
        <v>Él se levanta y saluda a la multitud.</v>
      </c>
    </row>
    <row r="15788">
      <c r="A15788" s="4" t="s">
        <v>19883</v>
      </c>
      <c r="B15788" s="4" t="s">
        <v>19884</v>
      </c>
      <c r="C15788" s="5" t="str">
        <f>IFERROR(__xludf.DUMMYFUNCTION("GOOGLETRANSLATE(B15788,""en"",""es-ES"")"),"El hombre está jugando con una pelota haciendo equilibrio con un poste de lacrosse.")</f>
        <v>El hombre está jugando con una pelota haciendo equilibrio con un poste de lacrosse.</v>
      </c>
    </row>
    <row r="15789">
      <c r="A15789" s="4" t="s">
        <v>19883</v>
      </c>
      <c r="B15789" s="4" t="s">
        <v>19885</v>
      </c>
      <c r="C15789" s="5" t="str">
        <f>IFERROR(__xludf.DUMMYFUNCTION("GOOGLETRANSLATE(B15789,""en"",""es-ES"")"),"Pequeño niño agarra la pelota del piso con el poste.")</f>
        <v>Pequeño niño agarra la pelota del piso con el poste.</v>
      </c>
    </row>
    <row r="15790">
      <c r="A15790" s="4" t="s">
        <v>19883</v>
      </c>
      <c r="B15790" s="4" t="s">
        <v>19886</v>
      </c>
      <c r="C15790" s="5" t="str">
        <f>IFERROR(__xludf.DUMMYFUNCTION("GOOGLETRANSLATE(B15790,""en"",""es-ES"")"),"Kid está jugando con una pelota en un campo verde cubierto de hierba.")</f>
        <v>Kid está jugando con una pelota en un campo verde cubierto de hierba.</v>
      </c>
    </row>
    <row r="15791">
      <c r="A15791" s="4" t="s">
        <v>19887</v>
      </c>
      <c r="B15791" s="4" t="s">
        <v>19888</v>
      </c>
      <c r="C15791" s="5" t="str">
        <f>IFERROR(__xludf.DUMMYFUNCTION("GOOGLETRANSLATE(B15791,""en"",""es-ES"")"),"Se ve una zona boscosa y los jóvenes caminan por la calle.")</f>
        <v>Se ve una zona boscosa y los jóvenes caminan por la calle.</v>
      </c>
    </row>
    <row r="15792">
      <c r="A15792" s="4" t="s">
        <v>19887</v>
      </c>
      <c r="B15792" s="4" t="s">
        <v>19889</v>
      </c>
      <c r="C15792" s="5" t="str">
        <f>IFERROR(__xludf.DUMMYFUNCTION("GOOGLETRANSLATE(B15792,""en"",""es-ES"")"),"Los grupos de patinetas corren entre sí por una carretera boscosa y son tirados por autos de tranvía de regreso a la cima.")</f>
        <v>Los grupos de patinetas corren entre sí por una carretera boscosa y son tirados por autos de tranvía de regreso a la cima.</v>
      </c>
    </row>
    <row r="15793">
      <c r="A15793" s="4" t="s">
        <v>19887</v>
      </c>
      <c r="B15793" s="4" t="s">
        <v>19890</v>
      </c>
      <c r="C15793" s="5" t="str">
        <f>IFERROR(__xludf.DUMMYFUNCTION("GOOGLETRANSLATE(B15793,""en"",""es-ES"")"),"Los patinetas viajan por una calle boscosa una tras otra que hace patines y giros duros mientras los amigos miran a un lado.")</f>
        <v>Los patinetas viajan por una calle boscosa una tras otra que hace patines y giros duros mientras los amigos miran a un lado.</v>
      </c>
    </row>
    <row r="15794">
      <c r="A15794" s="4" t="s">
        <v>19891</v>
      </c>
      <c r="B15794" s="4" t="s">
        <v>19892</v>
      </c>
      <c r="C15794" s="5" t="str">
        <f>IFERROR(__xludf.DUMMYFUNCTION("GOOGLETRANSLATE(B15794,""en"",""es-ES"")"),"Se ve a un gran grupo de personas sentados en un escenario y conduce a un hombre y una mujer que anfla.")</f>
        <v>Se ve a un gran grupo de personas sentados en un escenario y conduce a un hombre y una mujer que anfla.</v>
      </c>
    </row>
    <row r="15795">
      <c r="A15795" s="4" t="s">
        <v>19891</v>
      </c>
      <c r="B15795" s="4" t="s">
        <v>19893</v>
      </c>
      <c r="C15795" s="5" t="str">
        <f>IFERROR(__xludf.DUMMYFUNCTION("GOOGLETRANSLATE(B15795,""en"",""es-ES"")"),"Los anfitriones conducen a un gran grupo de personas en el escenario que realizan una rutina de baile entre ellos.")</f>
        <v>Los anfitriones conducen a un gran grupo de personas en el escenario que realizan una rutina de baile entre ellos.</v>
      </c>
    </row>
    <row r="15796">
      <c r="A15796" s="4" t="s">
        <v>19891</v>
      </c>
      <c r="B15796" s="4" t="s">
        <v>19894</v>
      </c>
      <c r="C15796" s="5" t="str">
        <f>IFERROR(__xludf.DUMMYFUNCTION("GOOGLETRANSLATE(B15796,""en"",""es-ES"")"),"La gente continúa bailando entre sí y termina con los jueces aplaudiendo y el anfitrión los lleva.")</f>
        <v>La gente continúa bailando entre sí y termina con los jueces aplaudiendo y el anfitrión los lleva.</v>
      </c>
    </row>
    <row r="15797">
      <c r="A15797" s="4" t="s">
        <v>19895</v>
      </c>
      <c r="B15797" s="4" t="s">
        <v>19896</v>
      </c>
      <c r="C15797" s="5" t="str">
        <f>IFERROR(__xludf.DUMMYFUNCTION("GOOGLETRANSLATE(B15797,""en"",""es-ES"")"),"Little Kid está jugando saxofón frente a una pared.")</f>
        <v>Little Kid está jugando saxofón frente a una pared.</v>
      </c>
    </row>
    <row r="15798">
      <c r="A15798" s="4" t="s">
        <v>19895</v>
      </c>
      <c r="B15798" s="4" t="s">
        <v>19897</v>
      </c>
      <c r="C15798" s="5" t="str">
        <f>IFERROR(__xludf.DUMMYFUNCTION("GOOGLETRANSLATE(B15798,""en"",""es-ES"")"),"La gente está pasando frente al niño.")</f>
        <v>La gente está pasando frente al niño.</v>
      </c>
    </row>
    <row r="15799">
      <c r="A15799" s="4" t="s">
        <v>19895</v>
      </c>
      <c r="B15799" s="4" t="s">
        <v>19898</v>
      </c>
      <c r="C15799" s="5" t="str">
        <f>IFERROR(__xludf.DUMMYFUNCTION("GOOGLETRANSLATE(B15799,""en"",""es-ES"")"),"Old Man se arrodilla y pone algunas monedas en el sombrero del niño.")</f>
        <v>Old Man se arrodilla y pone algunas monedas en el sombrero del niño.</v>
      </c>
    </row>
    <row r="15800">
      <c r="A15800" s="4" t="s">
        <v>19899</v>
      </c>
      <c r="B15800" s="4" t="s">
        <v>19900</v>
      </c>
      <c r="C15800" s="5" t="str">
        <f>IFERROR(__xludf.DUMMYFUNCTION("GOOGLETRANSLATE(B15800,""en"",""es-ES"")"),"Se ve a un hombre atlético parado en un círculo con los brazos hacia un lado.")</f>
        <v>Se ve a un hombre atlético parado en un círculo con los brazos hacia un lado.</v>
      </c>
    </row>
    <row r="15801">
      <c r="A15801" s="4" t="s">
        <v>19899</v>
      </c>
      <c r="B15801" s="4" t="s">
        <v>19901</v>
      </c>
      <c r="C15801" s="5" t="str">
        <f>IFERROR(__xludf.DUMMYFUNCTION("GOOGLETRANSLATE(B15801,""en"",""es-ES"")"),"El hombre luego comienza a balancearse alrededor de un objeto alrededor y alrededor.")</f>
        <v>El hombre luego comienza a balancearse alrededor de un objeto alrededor y alrededor.</v>
      </c>
    </row>
    <row r="15802">
      <c r="A15802" s="4" t="s">
        <v>19899</v>
      </c>
      <c r="B15802" s="4" t="s">
        <v>19902</v>
      </c>
      <c r="C15802" s="5" t="str">
        <f>IFERROR(__xludf.DUMMYFUNCTION("GOOGLETRANSLATE(B15802,""en"",""es-ES"")"),"El hombre continúa girando y termina arrojándolo a la distancia.")</f>
        <v>El hombre continúa girando y termina arrojándolo a la distancia.</v>
      </c>
    </row>
    <row r="15803">
      <c r="A15803" s="4" t="s">
        <v>19903</v>
      </c>
      <c r="B15803" s="4" t="s">
        <v>19904</v>
      </c>
      <c r="C15803" s="5" t="str">
        <f>IFERROR(__xludf.DUMMYFUNCTION("GOOGLETRANSLATE(B15803,""en"",""es-ES"")"),"Hay tres personas jugando racquetball en la cancha cerrada y la vista es de la persona que usa la cámara.")</f>
        <v>Hay tres personas jugando racquetball en la cancha cerrada y la vista es de la persona que usa la cámara.</v>
      </c>
    </row>
    <row r="15804">
      <c r="A15804" s="4" t="s">
        <v>19903</v>
      </c>
      <c r="B15804" s="4" t="s">
        <v>19905</v>
      </c>
      <c r="C15804" s="5" t="str">
        <f>IFERROR(__xludf.DUMMYFUNCTION("GOOGLETRANSLATE(B15804,""en"",""es-ES"")"),"La persona de la cámara recoge la pelota con raqueta lo equilibra en la raqueta, la roda y luego golpea a la pared.")</f>
        <v>La persona de la cámara recoge la pelota con raqueta lo equilibra en la raqueta, la roda y luego golpea a la pared.</v>
      </c>
    </row>
    <row r="15805">
      <c r="A15805" s="4" t="s">
        <v>19903</v>
      </c>
      <c r="B15805" s="4" t="s">
        <v>19906</v>
      </c>
      <c r="C15805" s="5" t="str">
        <f>IFERROR(__xludf.DUMMYFUNCTION("GOOGLETRANSLATE(B15805,""en"",""es-ES"")"),"La vista cambia a la puerta y hay dos hombres parados en la puerta esperando para golpear la pelota.")</f>
        <v>La vista cambia a la puerta y hay dos hombres parados en la puerta esperando para golpear la pelota.</v>
      </c>
    </row>
    <row r="15806">
      <c r="A15806" s="4" t="s">
        <v>19907</v>
      </c>
      <c r="B15806" s="4" t="s">
        <v>19908</v>
      </c>
      <c r="C15806" s="5" t="str">
        <f>IFERROR(__xludf.DUMMYFUNCTION("GOOGLETRANSLATE(B15806,""en"",""es-ES"")"),"Vemos imágenes intermitentes de motocicletas.")</f>
        <v>Vemos imágenes intermitentes de motocicletas.</v>
      </c>
    </row>
    <row r="15807">
      <c r="A15807" s="4" t="s">
        <v>19907</v>
      </c>
      <c r="B15807" s="4" t="s">
        <v>19909</v>
      </c>
      <c r="C15807" s="5" t="str">
        <f>IFERROR(__xludf.DUMMYFUNCTION("GOOGLETRANSLATE(B15807,""en"",""es-ES"")"),"Vemos a un hombre hablar de pie por encima de una ciudad.")</f>
        <v>Vemos a un hombre hablar de pie por encima de una ciudad.</v>
      </c>
    </row>
    <row r="15808">
      <c r="A15808" s="4" t="s">
        <v>19907</v>
      </c>
      <c r="B15808" s="4" t="s">
        <v>19910</v>
      </c>
      <c r="C15808" s="5" t="str">
        <f>IFERROR(__xludf.DUMMYFUNCTION("GOOGLETRANSLATE(B15808,""en"",""es-ES"")"),"Luego vemos acrobacias de motocicletas.")</f>
        <v>Luego vemos acrobacias de motocicletas.</v>
      </c>
    </row>
    <row r="15809">
      <c r="A15809" s="4" t="s">
        <v>19907</v>
      </c>
      <c r="B15809" s="4" t="s">
        <v>19911</v>
      </c>
      <c r="C15809" s="5" t="str">
        <f>IFERROR(__xludf.DUMMYFUNCTION("GOOGLETRANSLATE(B15809,""en"",""es-ES"")"),"Una bicicleta salta a un grupo de personas en una plaza.")</f>
        <v>Una bicicleta salta a un grupo de personas en una plaza.</v>
      </c>
    </row>
    <row r="15810">
      <c r="A15810" s="4" t="s">
        <v>19907</v>
      </c>
      <c r="B15810" s="4" t="s">
        <v>19912</v>
      </c>
      <c r="C15810" s="5" t="str">
        <f>IFERROR(__xludf.DUMMYFUNCTION("GOOGLETRANSLATE(B15810,""en"",""es-ES"")"),"Vemos cuatro bicicletas saltar una rampa una tras otra.")</f>
        <v>Vemos cuatro bicicletas saltar una rampa una tras otra.</v>
      </c>
    </row>
    <row r="15811">
      <c r="A15811" s="4" t="s">
        <v>19907</v>
      </c>
      <c r="B15811" s="4" t="s">
        <v>19913</v>
      </c>
      <c r="C15811" s="5" t="str">
        <f>IFERROR(__xludf.DUMMYFUNCTION("GOOGLETRANSLATE(B15811,""en"",""es-ES"")"),"Vemos a un hombre en rojo hablando.")</f>
        <v>Vemos a un hombre en rojo hablando.</v>
      </c>
    </row>
    <row r="15812">
      <c r="A15812" s="4" t="s">
        <v>19907</v>
      </c>
      <c r="B15812" s="4" t="s">
        <v>19914</v>
      </c>
      <c r="C15812" s="5" t="str">
        <f>IFERROR(__xludf.DUMMYFUNCTION("GOOGLETRANSLATE(B15812,""en"",""es-ES"")"),"Un hombre salta de su bicicleta.")</f>
        <v>Un hombre salta de su bicicleta.</v>
      </c>
    </row>
    <row r="15813">
      <c r="A15813" s="4" t="s">
        <v>19907</v>
      </c>
      <c r="B15813" s="4" t="s">
        <v>19915</v>
      </c>
      <c r="C15813" s="5" t="str">
        <f>IFERROR(__xludf.DUMMYFUNCTION("GOOGLETRANSLATE(B15813,""en"",""es-ES"")"),"Un hombre besa a una mujer en su bicicleta.")</f>
        <v>Un hombre besa a una mujer en su bicicleta.</v>
      </c>
    </row>
    <row r="15814">
      <c r="A15814" s="4" t="s">
        <v>19907</v>
      </c>
      <c r="B15814" s="4" t="s">
        <v>19916</v>
      </c>
      <c r="C15814" s="5" t="str">
        <f>IFERROR(__xludf.DUMMYFUNCTION("GOOGLETRANSLATE(B15814,""en"",""es-ES"")"),"Vemos que Boy está hablando.")</f>
        <v>Vemos que Boy está hablando.</v>
      </c>
    </row>
    <row r="15815">
      <c r="A15815" s="4" t="s">
        <v>19907</v>
      </c>
      <c r="B15815" s="4" t="s">
        <v>19917</v>
      </c>
      <c r="C15815" s="5" t="str">
        <f>IFERROR(__xludf.DUMMYFUNCTION("GOOGLETRANSLATE(B15815,""en"",""es-ES"")"),"Una bicicleta está levantando humo.")</f>
        <v>Una bicicleta está levantando humo.</v>
      </c>
    </row>
    <row r="15816">
      <c r="A15816" s="4" t="s">
        <v>19907</v>
      </c>
      <c r="B15816" s="4" t="s">
        <v>19918</v>
      </c>
      <c r="C15816" s="5" t="str">
        <f>IFERROR(__xludf.DUMMYFUNCTION("GOOGLETRANSLATE(B15816,""en"",""es-ES"")"),"Un hombre pone su brazo en el aire.")</f>
        <v>Un hombre pone su brazo en el aire.</v>
      </c>
    </row>
    <row r="15817">
      <c r="A15817" s="4" t="s">
        <v>19907</v>
      </c>
      <c r="B15817" s="4" t="s">
        <v>19919</v>
      </c>
      <c r="C15817" s="5" t="str">
        <f>IFERROR(__xludf.DUMMYFUNCTION("GOOGLETRANSLATE(B15817,""en"",""es-ES"")"),"Vemos una bicicleta aplastar una botella.")</f>
        <v>Vemos una bicicleta aplastar una botella.</v>
      </c>
    </row>
    <row r="15818">
      <c r="A15818" s="4" t="s">
        <v>19920</v>
      </c>
      <c r="B15818" s="4" t="s">
        <v>19921</v>
      </c>
      <c r="C15818" s="5" t="str">
        <f>IFERROR(__xludf.DUMMYFUNCTION("GOOGLETRANSLATE(B15818,""en"",""es-ES"")"),"Se muestra un video en blanco y negro de una joven banda de música que camina por la calle en un desfile.")</f>
        <v>Se muestra un video en blanco y negro de una joven banda de música que camina por la calle en un desfile.</v>
      </c>
    </row>
    <row r="15819">
      <c r="A15819" s="4" t="s">
        <v>19920</v>
      </c>
      <c r="B15819" s="4" t="s">
        <v>19922</v>
      </c>
      <c r="C15819" s="5" t="str">
        <f>IFERROR(__xludf.DUMMYFUNCTION("GOOGLETRANSLATE(B15819,""en"",""es-ES"")"),"Varias personas en la banda caminan para entonces un primer plano de un niño tocando la trompeta y se destaca.")</f>
        <v>Varias personas en la banda caminan para entonces un primer plano de un niño tocando la trompeta y se destaca.</v>
      </c>
    </row>
    <row r="15820">
      <c r="A15820" s="4" t="s">
        <v>19920</v>
      </c>
      <c r="B15820" s="4" t="s">
        <v>19923</v>
      </c>
      <c r="C15820" s="5" t="str">
        <f>IFERROR(__xludf.DUMMYFUNCTION("GOOGLETRANSLATE(B15820,""en"",""es-ES"")"),"El video continúa y las chicas Majorette comienzan a bailar.")</f>
        <v>El video continúa y las chicas Majorette comienzan a bailar.</v>
      </c>
    </row>
    <row r="15821">
      <c r="A15821" s="4" t="s">
        <v>19920</v>
      </c>
      <c r="B15821" s="4" t="s">
        <v>19924</v>
      </c>
      <c r="C15821" s="5" t="str">
        <f>IFERROR(__xludf.DUMMYFUNCTION("GOOGLETRANSLATE(B15821,""en"",""es-ES"")"),"Ahora están quietas y juegan sin marchar mientras los niños pequeños comienzan a verlos.")</f>
        <v>Ahora están quietas y juegan sin marchar mientras los niños pequeños comienzan a verlos.</v>
      </c>
    </row>
    <row r="15822">
      <c r="A15822" s="4" t="s">
        <v>19925</v>
      </c>
      <c r="B15822" s="4" t="s">
        <v>19926</v>
      </c>
      <c r="C15822" s="5" t="str">
        <f>IFERROR(__xludf.DUMMYFUNCTION("GOOGLETRANSLATE(B15822,""en"",""es-ES"")"),"Dos niños están rastrillando hojas en un patio con grandes rastrillos verdes y rojos.")</f>
        <v>Dos niños están rastrillando hojas en un patio con grandes rastrillos verdes y rojos.</v>
      </c>
    </row>
    <row r="15823">
      <c r="A15823" s="4" t="s">
        <v>19925</v>
      </c>
      <c r="B15823" s="4" t="s">
        <v>19927</v>
      </c>
      <c r="C15823" s="5" t="str">
        <f>IFERROR(__xludf.DUMMYFUNCTION("GOOGLETRANSLATE(B15823,""en"",""es-ES"")"),"Un perro corre continuamente a través de las hojas, arruinándolas.")</f>
        <v>Un perro corre continuamente a través de las hojas, arruinándolas.</v>
      </c>
    </row>
    <row r="15824">
      <c r="A15824" s="4" t="s">
        <v>19925</v>
      </c>
      <c r="B15824" s="4" t="s">
        <v>19928</v>
      </c>
      <c r="C15824" s="5" t="str">
        <f>IFERROR(__xludf.DUMMYFUNCTION("GOOGLETRANSLATE(B15824,""en"",""es-ES"")"),"Los chicos se ríen y siguen tratando de rastrillar las hojas.")</f>
        <v>Los chicos se ríen y siguen tratando de rastrillar las hojas.</v>
      </c>
    </row>
    <row r="15825">
      <c r="A15825" s="4" t="s">
        <v>19929</v>
      </c>
      <c r="B15825" s="4" t="s">
        <v>19930</v>
      </c>
      <c r="C15825" s="5" t="str">
        <f>IFERROR(__xludf.DUMMYFUNCTION("GOOGLETRANSLATE(B15825,""en"",""es-ES"")"),"Se ve una gran etapa que las transiciones a varios ángulos de personas que realizan trucos de cuerda de salto en un escenario en cámara lenta.")</f>
        <v>Se ve una gran etapa que las transiciones a varios ángulos de personas que realizan trucos de cuerda de salto en un escenario en cámara lenta.</v>
      </c>
    </row>
    <row r="15826">
      <c r="A15826" s="4" t="s">
        <v>19929</v>
      </c>
      <c r="B15826" s="4" t="s">
        <v>19931</v>
      </c>
      <c r="C15826" s="5" t="str">
        <f>IFERROR(__xludf.DUMMYFUNCTION("GOOGLETRANSLATE(B15826,""en"",""es-ES"")"),"Se muestran más tomas de varias personas que realizan habilidades de cuerda de salto increíbles y termina con un grupo sosteniendo sus brazos.")</f>
        <v>Se muestran más tomas de varias personas que realizan habilidades de cuerda de salto increíbles y termina con un grupo sosteniendo sus brazos.</v>
      </c>
    </row>
    <row r="15827">
      <c r="A15827" s="4" t="s">
        <v>19932</v>
      </c>
      <c r="B15827" s="4" t="s">
        <v>19933</v>
      </c>
      <c r="C15827" s="5" t="str">
        <f>IFERROR(__xludf.DUMMYFUNCTION("GOOGLETRANSLATE(B15827,""en"",""es-ES"")"),"Una cámara se mueve alrededor de un patio y muestra dos perros en correas.")</f>
        <v>Una cámara se mueve alrededor de un patio y muestra dos perros en correas.</v>
      </c>
    </row>
    <row r="15828">
      <c r="A15828" s="4" t="s">
        <v>19932</v>
      </c>
      <c r="B15828" s="4" t="s">
        <v>19934</v>
      </c>
      <c r="C15828" s="5" t="str">
        <f>IFERROR(__xludf.DUMMYFUNCTION("GOOGLETRANSLATE(B15828,""en"",""es-ES"")"),"Los perros se mueven con la persona a medida que los automóviles se mueven dentro y fuera de cuadro.")</f>
        <v>Los perros se mueven con la persona a medida que los automóviles se mueven dentro y fuera de cuadro.</v>
      </c>
    </row>
    <row r="15829">
      <c r="A15829" s="4" t="s">
        <v>19932</v>
      </c>
      <c r="B15829" s="4" t="s">
        <v>19935</v>
      </c>
      <c r="C15829" s="5" t="str">
        <f>IFERROR(__xludf.DUMMYFUNCTION("GOOGLETRANSLATE(B15829,""en"",""es-ES"")"),"La cámara se mueve alrededor del cielo al final.")</f>
        <v>La cámara se mueve alrededor del cielo al final.</v>
      </c>
    </row>
    <row r="15830">
      <c r="A15830" s="4" t="s">
        <v>19936</v>
      </c>
      <c r="B15830" s="4" t="s">
        <v>19937</v>
      </c>
      <c r="C15830" s="5" t="str">
        <f>IFERROR(__xludf.DUMMYFUNCTION("GOOGLETRANSLATE(B15830,""en"",""es-ES"")"),"1 La apertura del video.")</f>
        <v>1 La apertura del video.</v>
      </c>
    </row>
    <row r="15831">
      <c r="A15831" s="4" t="s">
        <v>19936</v>
      </c>
      <c r="B15831" s="4" t="s">
        <v>19938</v>
      </c>
      <c r="C15831" s="5" t="str">
        <f>IFERROR(__xludf.DUMMYFUNCTION("GOOGLETRANSLATE(B15831,""en"",""es-ES"")"),"2 Una niña hace muchas volteas en las barras.")</f>
        <v>2 Una niña hace muchas volteas en las barras.</v>
      </c>
    </row>
    <row r="15832">
      <c r="A15832" s="4" t="s">
        <v>19939</v>
      </c>
      <c r="B15832" s="4" t="s">
        <v>19940</v>
      </c>
      <c r="C15832" s="5" t="str">
        <f>IFERROR(__xludf.DUMMYFUNCTION("GOOGLETRANSLATE(B15832,""en"",""es-ES"")"),"Una niña está en una cocina hablando.")</f>
        <v>Una niña está en una cocina hablando.</v>
      </c>
    </row>
    <row r="15833">
      <c r="A15833" s="4" t="s">
        <v>19939</v>
      </c>
      <c r="B15833" s="4" t="s">
        <v>19941</v>
      </c>
      <c r="C15833" s="5" t="str">
        <f>IFERROR(__xludf.DUMMYFUNCTION("GOOGLETRANSLATE(B15833,""en"",""es-ES"")"),"La niña mezcla varias cosas de tazones pequeños en un tazón más grande.")</f>
        <v>La niña mezcla varias cosas de tazones pequeños en un tazón más grande.</v>
      </c>
    </row>
    <row r="15834">
      <c r="A15834" s="4" t="s">
        <v>19939</v>
      </c>
      <c r="B15834" s="4" t="s">
        <v>19942</v>
      </c>
      <c r="C15834" s="5" t="str">
        <f>IFERROR(__xludf.DUMMYFUNCTION("GOOGLETRANSLATE(B15834,""en"",""es-ES"")"),"Un adulto ayuda a la niña a rociar sus sartenes para hornear.")</f>
        <v>Un adulto ayuda a la niña a rociar sus sartenes para hornear.</v>
      </c>
    </row>
    <row r="15835">
      <c r="A15835" s="4" t="s">
        <v>19939</v>
      </c>
      <c r="B15835" s="4" t="s">
        <v>19943</v>
      </c>
      <c r="C15835" s="5" t="str">
        <f>IFERROR(__xludf.DUMMYFUNCTION("GOOGLETRANSLATE(B15835,""en"",""es-ES"")"),"La niña pone su mezcla en las sartenes y las pone en un horno fácil de hornear.")</f>
        <v>La niña pone su mezcla en las sartenes y las pone en un horno fácil de hornear.</v>
      </c>
    </row>
    <row r="15836">
      <c r="A15836" s="4" t="s">
        <v>19939</v>
      </c>
      <c r="B15836" s="4" t="s">
        <v>19944</v>
      </c>
      <c r="C15836" s="5" t="str">
        <f>IFERROR(__xludf.DUMMYFUNCTION("GOOGLETRANSLATE(B15836,""en"",""es-ES"")"),"La niña elimina lo que hizo del horno.")</f>
        <v>La niña elimina lo que hizo del horno.</v>
      </c>
    </row>
    <row r="15837">
      <c r="A15837" s="4" t="s">
        <v>19939</v>
      </c>
      <c r="B15837" s="4" t="s">
        <v>19945</v>
      </c>
      <c r="C15837" s="5" t="str">
        <f>IFERROR(__xludf.DUMMYFUNCTION("GOOGLETRANSLATE(B15837,""en"",""es-ES"")"),"Un niño más joven mira mientras come un pastelito.")</f>
        <v>Un niño más joven mira mientras come un pastelito.</v>
      </c>
    </row>
    <row r="15838">
      <c r="A15838" s="4" t="s">
        <v>19939</v>
      </c>
      <c r="B15838" s="4" t="s">
        <v>19946</v>
      </c>
      <c r="C15838" s="5" t="str">
        <f>IFERROR(__xludf.DUMMYFUNCTION("GOOGLETRANSLATE(B15838,""en"",""es-ES"")"),"Las jóvenes cortan el desierto que hizo y lo come.")</f>
        <v>Las jóvenes cortan el desierto que hizo y lo come.</v>
      </c>
    </row>
    <row r="15839">
      <c r="A15839" s="4" t="s">
        <v>19947</v>
      </c>
      <c r="B15839" s="4" t="s">
        <v>19948</v>
      </c>
      <c r="C15839" s="5" t="str">
        <f>IFERROR(__xludf.DUMMYFUNCTION("GOOGLETRANSLATE(B15839,""en"",""es-ES"")"),"Se ve a un hombre hablando con la cámara mientras una mujer hace ejercicio en una máquina frente a él y ajusta la configuración.")</f>
        <v>Se ve a un hombre hablando con la cámara mientras una mujer hace ejercicio en una máquina frente a él y ajusta la configuración.</v>
      </c>
    </row>
    <row r="15840">
      <c r="A15840" s="4" t="s">
        <v>19947</v>
      </c>
      <c r="B15840" s="4" t="s">
        <v>19949</v>
      </c>
      <c r="C15840" s="5" t="str">
        <f>IFERROR(__xludf.DUMMYFUNCTION("GOOGLETRANSLATE(B15840,""en"",""es-ES"")"),"El hombre continúa moviéndose sobre la máquina mostrando su configuración diferente mientras el hombre continúa hablando con la cámara.")</f>
        <v>El hombre continúa moviéndose sobre la máquina mostrando su configuración diferente mientras el hombre continúa hablando con la cámara.</v>
      </c>
    </row>
    <row r="15841">
      <c r="A15841" s="4" t="s">
        <v>19950</v>
      </c>
      <c r="B15841" s="4" t="s">
        <v>19951</v>
      </c>
      <c r="C15841" s="5" t="str">
        <f>IFERROR(__xludf.DUMMYFUNCTION("GOOGLETRANSLATE(B15841,""en"",""es-ES"")"),"Una persona está golpeando las uñas en un techo.")</f>
        <v>Una persona está golpeando las uñas en un techo.</v>
      </c>
    </row>
    <row r="15842">
      <c r="A15842" s="4" t="s">
        <v>19950</v>
      </c>
      <c r="B15842" s="4" t="s">
        <v>19952</v>
      </c>
      <c r="C15842" s="5" t="str">
        <f>IFERROR(__xludf.DUMMYFUNCTION("GOOGLETRANSLATE(B15842,""en"",""es-ES"")"),"Ella desliza las baldosas sobre el techo y las clavó en su lugar.")</f>
        <v>Ella desliza las baldosas sobre el techo y las clavó en su lugar.</v>
      </c>
    </row>
    <row r="15843">
      <c r="A15843" s="4" t="s">
        <v>19953</v>
      </c>
      <c r="B15843" s="4" t="s">
        <v>19954</v>
      </c>
      <c r="C15843" s="5" t="str">
        <f>IFERROR(__xludf.DUMMYFUNCTION("GOOGLETRANSLATE(B15843,""en"",""es-ES"")"),"Un grupo de personas está sentada en camellos en la arena al lado de una colina.")</f>
        <v>Un grupo de personas está sentada en camellos en la arena al lado de una colina.</v>
      </c>
    </row>
    <row r="15844">
      <c r="A15844" s="4" t="s">
        <v>19953</v>
      </c>
      <c r="B15844" s="4" t="s">
        <v>19955</v>
      </c>
      <c r="C15844" s="5" t="str">
        <f>IFERROR(__xludf.DUMMYFUNCTION("GOOGLETRANSLATE(B15844,""en"",""es-ES"")"),"Un hombre alcanza la cadena en la boca de los camellos mientras se sienta el camello.")</f>
        <v>Un hombre alcanza la cadena en la boca de los camellos mientras se sienta el camello.</v>
      </c>
    </row>
    <row r="15845">
      <c r="A15845" s="4" t="s">
        <v>19953</v>
      </c>
      <c r="B15845" s="4" t="s">
        <v>19956</v>
      </c>
      <c r="C15845" s="5" t="str">
        <f>IFERROR(__xludf.DUMMYFUNCTION("GOOGLETRANSLATE(B15845,""en"",""es-ES"")"),"El hombre de azul claro ayuda al hombre de azul oscuro a desatar.")</f>
        <v>El hombre de azul claro ayuda al hombre de azul oscuro a desatar.</v>
      </c>
    </row>
    <row r="15846">
      <c r="A15846" s="4" t="s">
        <v>19953</v>
      </c>
      <c r="B15846" s="4" t="s">
        <v>19957</v>
      </c>
      <c r="C15846" s="5" t="str">
        <f>IFERROR(__xludf.DUMMYFUNCTION("GOOGLETRANSLATE(B15846,""en"",""es-ES"")"),"El segundo camello que sostiene a la siguiente pareja comienza a sentarse en el suelo.")</f>
        <v>El segundo camello que sostiene a la siguiente pareja comienza a sentarse en el suelo.</v>
      </c>
    </row>
    <row r="15847">
      <c r="A15847" s="4" t="s">
        <v>19958</v>
      </c>
      <c r="B15847" s="4" t="s">
        <v>19959</v>
      </c>
      <c r="C15847" s="5" t="str">
        <f>IFERROR(__xludf.DUMMYFUNCTION("GOOGLETRANSLATE(B15847,""en"",""es-ES"")"),"Una mujer trenza su cabello lentamente.")</f>
        <v>Una mujer trenza su cabello lentamente.</v>
      </c>
    </row>
    <row r="15848">
      <c r="A15848" s="4" t="s">
        <v>19958</v>
      </c>
      <c r="B15848" s="4" t="s">
        <v>19960</v>
      </c>
      <c r="C15848" s="5" t="str">
        <f>IFERROR(__xludf.DUMMYFUNCTION("GOOGLETRANSLATE(B15848,""en"",""es-ES"")"),"Luego une las trenzas y une el final.")</f>
        <v>Luego une las trenzas y une el final.</v>
      </c>
    </row>
    <row r="15849">
      <c r="A15849" s="4" t="s">
        <v>19961</v>
      </c>
      <c r="B15849" s="4" t="s">
        <v>19962</v>
      </c>
      <c r="C15849" s="5" t="str">
        <f>IFERROR(__xludf.DUMMYFUNCTION("GOOGLETRANSLATE(B15849,""en"",""es-ES"")"),"Una mujer y un niño pelan las papas en el frente de una basura.")</f>
        <v>Una mujer y un niño pelan las papas en el frente de una basura.</v>
      </c>
    </row>
    <row r="15850">
      <c r="A15850" s="4" t="s">
        <v>19961</v>
      </c>
      <c r="B15850" s="4" t="s">
        <v>19963</v>
      </c>
      <c r="C15850" s="5" t="str">
        <f>IFERROR(__xludf.DUMMYFUNCTION("GOOGLETRANSLATE(B15850,""en"",""es-ES"")"),"Luego, el niño pone la papa y el pelador sobre el mostrador, pero nuevamente la toma.")</f>
        <v>Luego, el niño pone la papa y el pelador sobre el mostrador, pero nuevamente la toma.</v>
      </c>
    </row>
    <row r="15851">
      <c r="A15851" s="4" t="s">
        <v>19961</v>
      </c>
      <c r="B15851" s="4" t="s">
        <v>19964</v>
      </c>
      <c r="C15851" s="5" t="str">
        <f>IFERROR(__xludf.DUMMYFUNCTION("GOOGLETRANSLATE(B15851,""en"",""es-ES"")"),"La mujer termina para cortar la papa.")</f>
        <v>La mujer termina para cortar la papa.</v>
      </c>
    </row>
    <row r="15852">
      <c r="A15852" s="4" t="s">
        <v>19965</v>
      </c>
      <c r="B15852" s="4" t="s">
        <v>19966</v>
      </c>
      <c r="C15852" s="5" t="str">
        <f>IFERROR(__xludf.DUMMYFUNCTION("GOOGLETRANSLATE(B15852,""en"",""es-ES"")"),"Un niño pequeño jugando en un gimnasio de la jungla.")</f>
        <v>Un niño pequeño jugando en un gimnasio de la jungla.</v>
      </c>
    </row>
    <row r="15853">
      <c r="A15853" s="4" t="s">
        <v>19965</v>
      </c>
      <c r="B15853" s="4" t="s">
        <v>19967</v>
      </c>
      <c r="C15853" s="5" t="str">
        <f>IFERROR(__xludf.DUMMYFUNCTION("GOOGLETRANSLATE(B15853,""en"",""es-ES"")"),"Él está subiendo por un juego de escaleras.")</f>
        <v>Él está subiendo por un juego de escaleras.</v>
      </c>
    </row>
    <row r="15854">
      <c r="A15854" s="4" t="s">
        <v>19965</v>
      </c>
      <c r="B15854" s="4" t="s">
        <v>19968</v>
      </c>
      <c r="C15854" s="5" t="str">
        <f>IFERROR(__xludf.DUMMYFUNCTION("GOOGLETRANSLATE(B15854,""en"",""es-ES"")"),"Ahora se desliza rápidamente por una diapositiva.")</f>
        <v>Ahora se desliza rápidamente por una diapositiva.</v>
      </c>
    </row>
    <row r="15855">
      <c r="A15855" s="4" t="s">
        <v>19965</v>
      </c>
      <c r="B15855" s="4" t="s">
        <v>19969</v>
      </c>
      <c r="C15855" s="5" t="str">
        <f>IFERROR(__xludf.DUMMYFUNCTION("GOOGLETRANSLATE(B15855,""en"",""es-ES"")"),"Se muestra a otro chico jugando en la hierba.")</f>
        <v>Se muestra a otro chico jugando en la hierba.</v>
      </c>
    </row>
    <row r="15856">
      <c r="A15856" s="4" t="s">
        <v>19965</v>
      </c>
      <c r="B15856" s="4" t="s">
        <v>19970</v>
      </c>
      <c r="C15856" s="5" t="str">
        <f>IFERROR(__xludf.DUMMYFUNCTION("GOOGLETRANSLATE(B15856,""en"",""es-ES"")"),"Ahora el primer niño está siendo recogido por una mujer.")</f>
        <v>Ahora el primer niño está siendo recogido por una mujer.</v>
      </c>
    </row>
    <row r="15857">
      <c r="A15857" s="4" t="s">
        <v>19965</v>
      </c>
      <c r="B15857" s="4" t="s">
        <v>19971</v>
      </c>
      <c r="C15857" s="5" t="str">
        <f>IFERROR(__xludf.DUMMYFUNCTION("GOOGLETRANSLATE(B15857,""en"",""es-ES"")"),"Ahora va a bajar por la diapositiva una vez más.")</f>
        <v>Ahora va a bajar por la diapositiva una vez más.</v>
      </c>
    </row>
    <row r="15858">
      <c r="A15858" s="4" t="s">
        <v>19965</v>
      </c>
      <c r="B15858" s="4" t="s">
        <v>19972</v>
      </c>
      <c r="C15858" s="5" t="str">
        <f>IFERROR(__xludf.DUMMYFUNCTION("GOOGLETRANSLATE(B15858,""en"",""es-ES"")"),"Al niño le gusta jugar con una rueda grande en el patio de recreo.")</f>
        <v>Al niño le gusta jugar con una rueda grande en el patio de recreo.</v>
      </c>
    </row>
    <row r="15859">
      <c r="A15859" s="4" t="s">
        <v>19965</v>
      </c>
      <c r="B15859" s="4" t="s">
        <v>19973</v>
      </c>
      <c r="C15859" s="5" t="str">
        <f>IFERROR(__xludf.DUMMYFUNCTION("GOOGLETRANSLATE(B15859,""en"",""es-ES"")"),"Una vez más, baja por el tobogán, pero con papá justo detrás de él.")</f>
        <v>Una vez más, baja por el tobogán, pero con papá justo detrás de él.</v>
      </c>
    </row>
    <row r="15860">
      <c r="A15860" s="4" t="s">
        <v>19965</v>
      </c>
      <c r="B15860" s="4" t="s">
        <v>19974</v>
      </c>
      <c r="C15860" s="5" t="str">
        <f>IFERROR(__xludf.DUMMYFUNCTION("GOOGLETRANSLATE(B15860,""en"",""es-ES"")"),"Él baja por la diapositiva por cuarta vez pero con otro niño pequeño.")</f>
        <v>Él baja por la diapositiva por cuarta vez pero con otro niño pequeño.</v>
      </c>
    </row>
    <row r="15861">
      <c r="A15861" s="4" t="s">
        <v>19965</v>
      </c>
      <c r="B15861" s="4" t="s">
        <v>19975</v>
      </c>
      <c r="C15861" s="5" t="str">
        <f>IFERROR(__xludf.DUMMYFUNCTION("GOOGLETRANSLATE(B15861,""en"",""es-ES"")"),"Él baja por la diapositiva varias veces más.")</f>
        <v>Él baja por la diapositiva varias veces más.</v>
      </c>
    </row>
    <row r="15862">
      <c r="A15862" s="4" t="s">
        <v>19976</v>
      </c>
      <c r="B15862" s="4" t="s">
        <v>19977</v>
      </c>
      <c r="C15862" s="5" t="str">
        <f>IFERROR(__xludf.DUMMYFUNCTION("GOOGLETRANSLATE(B15862,""en"",""es-ES"")"),"Se muestra a un grupo de equipos haciendo varios eventos deportivos que involucran nieve.")</f>
        <v>Se muestra a un grupo de equipos haciendo varios eventos deportivos que involucran nieve.</v>
      </c>
    </row>
    <row r="15863">
      <c r="A15863" s="4" t="s">
        <v>19976</v>
      </c>
      <c r="B15863" s="4" t="s">
        <v>19978</v>
      </c>
      <c r="C15863" s="5" t="str">
        <f>IFERROR(__xludf.DUMMYFUNCTION("GOOGLETRANSLATE(B15863,""en"",""es-ES"")"),"Luego, la cámara muestra a personas de discapacidad que juegan un juego donde están sentados en una silla de ruedas empujando el disco como objetos con manijas.")</f>
        <v>Luego, la cámara muestra a personas de discapacidad que juegan un juego donde están sentados en una silla de ruedas empujando el disco como objetos con manijas.</v>
      </c>
    </row>
    <row r="15864">
      <c r="A15864" s="4" t="s">
        <v>19976</v>
      </c>
      <c r="B15864" s="4" t="s">
        <v>19979</v>
      </c>
      <c r="C15864" s="5" t="str">
        <f>IFERROR(__xludf.DUMMYFUNCTION("GOOGLETRANSLATE(B15864,""en"",""es-ES"")"),"Luego se muestra a un hombre y comienza a hablar describiendo el juego que está teniendo lugar.")</f>
        <v>Luego se muestra a un hombre y comienza a hablar describiendo el juego que está teniendo lugar.</v>
      </c>
    </row>
    <row r="15865">
      <c r="A15865" s="4" t="s">
        <v>19980</v>
      </c>
      <c r="B15865" s="4" t="s">
        <v>19981</v>
      </c>
      <c r="C15865" s="5" t="str">
        <f>IFERROR(__xludf.DUMMYFUNCTION("GOOGLETRANSLATE(B15865,""en"",""es-ES"")"),"Una introducción conduce a varias herramientas establecidas en una mesa y una mujer que camina en una eliminación de una planta.")</f>
        <v>Una introducción conduce a varias herramientas establecidas en una mesa y una mujer que camina en una eliminación de una planta.</v>
      </c>
    </row>
    <row r="15866">
      <c r="A15866" s="4" t="s">
        <v>19980</v>
      </c>
      <c r="B15866" s="4" t="s">
        <v>19982</v>
      </c>
      <c r="C15866" s="5" t="str">
        <f>IFERROR(__xludf.DUMMYFUNCTION("GOOGLETRANSLATE(B15866,""en"",""es-ES"")"),"La mujer luego saca un trapo y limpia la mesa.")</f>
        <v>La mujer luego saca un trapo y limpia la mesa.</v>
      </c>
    </row>
    <row r="15867">
      <c r="A15867" s="4" t="s">
        <v>19980</v>
      </c>
      <c r="B15867" s="4" t="s">
        <v>19983</v>
      </c>
      <c r="C15867" s="5" t="str">
        <f>IFERROR(__xludf.DUMMYFUNCTION("GOOGLETRANSLATE(B15867,""en"",""es-ES"")"),"Ella tiende a sostener el trapo nuevamente, rocía la mesa y limpia la mesa en un movimiento adecuado.")</f>
        <v>Ella tiende a sostener el trapo nuevamente, rocía la mesa y limpia la mesa en un movimiento adecuado.</v>
      </c>
    </row>
    <row r="15868">
      <c r="A15868" s="4" t="s">
        <v>19980</v>
      </c>
      <c r="B15868" s="4" t="s">
        <v>19984</v>
      </c>
      <c r="C15868" s="5" t="str">
        <f>IFERROR(__xludf.DUMMYFUNCTION("GOOGLETRANSLATE(B15868,""en"",""es-ES"")"),"Luego se muestra nuevamente desempolvando varias áreas y coloca la planta sobre la mesa y empujando las sillas.")</f>
        <v>Luego se muestra nuevamente desempolvando varias áreas y coloca la planta sobre la mesa y empujando las sillas.</v>
      </c>
    </row>
    <row r="15869">
      <c r="A15869" s="4" t="s">
        <v>19985</v>
      </c>
      <c r="B15869" s="4" t="s">
        <v>19986</v>
      </c>
      <c r="C15869" s="5" t="str">
        <f>IFERROR(__xludf.DUMMYFUNCTION("GOOGLETRANSLATE(B15869,""en"",""es-ES"")"),"Una mujer se sienta junto a la playa aplicando protector solar hasta la parte superior de su espalda.")</f>
        <v>Una mujer se sienta junto a la playa aplicando protector solar hasta la parte superior de su espalda.</v>
      </c>
    </row>
    <row r="15870">
      <c r="A15870" s="4" t="s">
        <v>19985</v>
      </c>
      <c r="B15870" s="4" t="s">
        <v>19987</v>
      </c>
      <c r="C15870" s="5" t="str">
        <f>IFERROR(__xludf.DUMMYFUNCTION("GOOGLETRANSLATE(B15870,""en"",""es-ES"")"),"Un globo aéreo vuela por el aire.")</f>
        <v>Un globo aéreo vuela por el aire.</v>
      </c>
    </row>
    <row r="15871">
      <c r="A15871" s="4" t="s">
        <v>19985</v>
      </c>
      <c r="B15871" s="4" t="s">
        <v>19988</v>
      </c>
      <c r="C15871" s="5" t="str">
        <f>IFERROR(__xludf.DUMMYFUNCTION("GOOGLETRANSLATE(B15871,""en"",""es-ES"")"),"Se ve a un DJ girando un disco.")</f>
        <v>Se ve a un DJ girando un disco.</v>
      </c>
    </row>
    <row r="15872">
      <c r="A15872" s="4" t="s">
        <v>19985</v>
      </c>
      <c r="B15872" s="4" t="s">
        <v>19989</v>
      </c>
      <c r="C15872" s="5" t="str">
        <f>IFERROR(__xludf.DUMMYFUNCTION("GOOGLETRANSLATE(B15872,""en"",""es-ES"")"),"Una mujer acompaña su maleta.")</f>
        <v>Una mujer acompaña su maleta.</v>
      </c>
    </row>
    <row r="15873">
      <c r="A15873" s="4" t="s">
        <v>19985</v>
      </c>
      <c r="B15873" s="4" t="s">
        <v>19990</v>
      </c>
      <c r="C15873" s="5" t="str">
        <f>IFERROR(__xludf.DUMMYFUNCTION("GOOGLETRANSLATE(B15873,""en"",""es-ES"")"),"Algunos autos gráficos chocan entre sí.")</f>
        <v>Algunos autos gráficos chocan entre sí.</v>
      </c>
    </row>
    <row r="15874">
      <c r="A15874" s="4" t="s">
        <v>19985</v>
      </c>
      <c r="B15874" s="4" t="s">
        <v>19991</v>
      </c>
      <c r="C15874" s="5" t="str">
        <f>IFERROR(__xludf.DUMMYFUNCTION("GOOGLETRANSLATE(B15874,""en"",""es-ES"")"),"Se ven llamas de naranja altas.")</f>
        <v>Se ven llamas de naranja altas.</v>
      </c>
    </row>
    <row r="15875">
      <c r="A15875" s="4" t="s">
        <v>19992</v>
      </c>
      <c r="B15875" s="4" t="s">
        <v>19993</v>
      </c>
      <c r="C15875" s="5" t="str">
        <f>IFERROR(__xludf.DUMMYFUNCTION("GOOGLETRANSLATE(B15875,""en"",""es-ES"")"),"Tres mujeres diferentes se muestran en sucesión.")</f>
        <v>Tres mujeres diferentes se muestran en sucesión.</v>
      </c>
    </row>
    <row r="15876">
      <c r="A15876" s="4" t="s">
        <v>19992</v>
      </c>
      <c r="B15876" s="4" t="s">
        <v>19994</v>
      </c>
      <c r="C15876" s="5" t="str">
        <f>IFERROR(__xludf.DUMMYFUNCTION("GOOGLETRANSLATE(B15876,""en"",""es-ES"")"),"Cada mujer está sentada, tocando tambores y platillos.")</f>
        <v>Cada mujer está sentada, tocando tambores y platillos.</v>
      </c>
    </row>
    <row r="15877">
      <c r="A15877" s="4" t="s">
        <v>19992</v>
      </c>
      <c r="B15877" s="4" t="s">
        <v>19995</v>
      </c>
      <c r="C15877" s="5" t="str">
        <f>IFERROR(__xludf.DUMMYFUNCTION("GOOGLETRANSLATE(B15877,""en"",""es-ES"")"),"Se les anuncia como las tres principales bateristas del mundo mientras juegan continuamente.")</f>
        <v>Se les anuncia como las tres principales bateristas del mundo mientras juegan continuamente.</v>
      </c>
    </row>
    <row r="15878">
      <c r="A15878" s="4" t="s">
        <v>19996</v>
      </c>
      <c r="B15878" s="4" t="s">
        <v>19997</v>
      </c>
      <c r="C15878" s="5" t="str">
        <f>IFERROR(__xludf.DUMMYFUNCTION("GOOGLETRANSLATE(B15878,""en"",""es-ES"")"),"Este video muestra cómo hacer un pastel de microondas con glaseado de ganache.")</f>
        <v>Este video muestra cómo hacer un pastel de microondas con glaseado de ganache.</v>
      </c>
    </row>
    <row r="15879">
      <c r="A15879" s="4" t="s">
        <v>19996</v>
      </c>
      <c r="B15879" s="4" t="s">
        <v>19998</v>
      </c>
      <c r="C15879" s="5" t="str">
        <f>IFERROR(__xludf.DUMMYFUNCTION("GOOGLETRANSLATE(B15879,""en"",""es-ES"")"),"Primero, la mujer agrega 1 taza de azúcar a 1/4 taza de aceite vegetal y lo pone en un tazón.")</f>
        <v>Primero, la mujer agrega 1 taza de azúcar a 1/4 taza de aceite vegetal y lo pone en un tazón.</v>
      </c>
    </row>
    <row r="15880">
      <c r="A15880" s="4" t="s">
        <v>19996</v>
      </c>
      <c r="B15880" s="4" t="s">
        <v>19999</v>
      </c>
      <c r="C15880" s="5" t="str">
        <f>IFERROR(__xludf.DUMMYFUNCTION("GOOGLETRANSLATE(B15880,""en"",""es-ES"")"),"Luego mezcla el azúcar hasta que se disuelve y él agrega 1 taza entera de leche junto con dos cucharaditas de jugo de limón.")</f>
        <v>Luego mezcla el azúcar hasta que se disuelve y él agrega 1 taza entera de leche junto con dos cucharaditas de jugo de limón.</v>
      </c>
    </row>
    <row r="15881">
      <c r="A15881" s="4" t="s">
        <v>19996</v>
      </c>
      <c r="B15881" s="4" t="s">
        <v>20000</v>
      </c>
      <c r="C15881" s="5" t="str">
        <f>IFERROR(__xludf.DUMMYFUNCTION("GOOGLETRANSLATE(B15881,""en"",""es-ES"")"),"A continuación, agrega 1 cucharadita de extracto de vainilla y mezcla todo, luego agrega 1 1/4 tazas de harina con todo propósito junto con 1/4 taza de cacao sin azúcar en polvo y sal.")</f>
        <v>A continuación, agrega 1 cucharadita de extracto de vainilla y mezcla todo, luego agrega 1 1/4 tazas de harina con todo propósito junto con 1/4 taza de cacao sin azúcar en polvo y sal.</v>
      </c>
    </row>
    <row r="15882">
      <c r="A15882" s="4" t="s">
        <v>19996</v>
      </c>
      <c r="B15882" s="4" t="s">
        <v>20001</v>
      </c>
      <c r="C15882" s="5" t="str">
        <f>IFERROR(__xludf.DUMMYFUNCTION("GOOGLETRANSLATE(B15882,""en"",""es-ES"")"),"Luego agrega polvo de hornear y bicarbonato de sodio y lo bate hasta que esté suave.")</f>
        <v>Luego agrega polvo de hornear y bicarbonato de sodio y lo bate hasta que esté suave.</v>
      </c>
    </row>
    <row r="15883">
      <c r="A15883" s="4" t="s">
        <v>19996</v>
      </c>
      <c r="B15883" s="4" t="s">
        <v>20002</v>
      </c>
      <c r="C15883" s="5" t="str">
        <f>IFERROR(__xludf.DUMMYFUNCTION("GOOGLETRANSLATE(B15883,""en"",""es-ES"")"),"Finalmente, ella vierte la mezcla en un plato seguro de microondas y está listo.")</f>
        <v>Finalmente, ella vierte la mezcla en un plato seguro de microondas y está listo.</v>
      </c>
    </row>
    <row r="15884">
      <c r="A15884" s="4" t="s">
        <v>19996</v>
      </c>
      <c r="B15884" s="4" t="s">
        <v>20003</v>
      </c>
      <c r="C15884" s="5" t="str">
        <f>IFERROR(__xludf.DUMMYFUNCTION("GOOGLETRANSLATE(B15884,""en"",""es-ES"")"),"Luego deja que el pastel se mantenga por 15 minutos.")</f>
        <v>Luego deja que el pastel se mantenga por 15 minutos.</v>
      </c>
    </row>
    <row r="15885">
      <c r="A15885" s="4" t="s">
        <v>20004</v>
      </c>
      <c r="B15885" s="4" t="s">
        <v>20005</v>
      </c>
      <c r="C15885" s="5" t="str">
        <f>IFERROR(__xludf.DUMMYFUNCTION("GOOGLETRANSLATE(B15885,""en"",""es-ES"")"),"Un hombre que usa gafas de sol está hablando con la cámara.")</f>
        <v>Un hombre que usa gafas de sol está hablando con la cámara.</v>
      </c>
    </row>
    <row r="15886">
      <c r="A15886" s="4" t="s">
        <v>20004</v>
      </c>
      <c r="B15886" s="4" t="s">
        <v>20006</v>
      </c>
      <c r="C15886" s="5" t="str">
        <f>IFERROR(__xludf.DUMMYFUNCTION("GOOGLETRANSLATE(B15886,""en"",""es-ES"")"),"Muestra cómo cortar las cuerdas en la parte delantera de una bicicleta y retirar parte del neumático.")</f>
        <v>Muestra cómo cortar las cuerdas en la parte delantera de una bicicleta y retirar parte del neumático.</v>
      </c>
    </row>
    <row r="15887">
      <c r="A15887" s="4" t="s">
        <v>20004</v>
      </c>
      <c r="B15887" s="4" t="s">
        <v>20007</v>
      </c>
      <c r="C15887" s="5" t="str">
        <f>IFERROR(__xludf.DUMMYFUNCTION("GOOGLETRANSLATE(B15887,""en"",""es-ES"")"),"Él reemplaza la parte, explicando cómo se realiza el proceso a medida que avanza.")</f>
        <v>Él reemplaza la parte, explicando cómo se realiza el proceso a medida que avanza.</v>
      </c>
    </row>
    <row r="15888">
      <c r="A15888" s="4" t="s">
        <v>20004</v>
      </c>
      <c r="B15888" s="4" t="s">
        <v>20008</v>
      </c>
      <c r="C15888" s="5" t="str">
        <f>IFERROR(__xludf.DUMMYFUNCTION("GOOGLETRANSLATE(B15888,""en"",""es-ES"")"),"Luego habla más a la cámara.")</f>
        <v>Luego habla más a la cámara.</v>
      </c>
    </row>
    <row r="15889">
      <c r="A15889" s="4" t="s">
        <v>20009</v>
      </c>
      <c r="B15889" s="4" t="s">
        <v>20010</v>
      </c>
      <c r="C15889" s="5" t="str">
        <f>IFERROR(__xludf.DUMMYFUNCTION("GOOGLETRANSLATE(B15889,""en"",""es-ES"")"),"Un hombre sentado en un equipo de ejercicio.")</f>
        <v>Un hombre sentado en un equipo de ejercicio.</v>
      </c>
    </row>
    <row r="15890">
      <c r="A15890" s="4" t="s">
        <v>20009</v>
      </c>
      <c r="B15890" s="4" t="s">
        <v>20011</v>
      </c>
      <c r="C15890" s="5" t="str">
        <f>IFERROR(__xludf.DUMMYFUNCTION("GOOGLETRANSLATE(B15890,""en"",""es-ES"")"),"Puso los pies sobre un soporte y se puso la correa.")</f>
        <v>Puso los pies sobre un soporte y se puso la correa.</v>
      </c>
    </row>
    <row r="15891">
      <c r="A15891" s="4" t="s">
        <v>20009</v>
      </c>
      <c r="B15891" s="4" t="s">
        <v>20012</v>
      </c>
      <c r="C15891" s="5" t="str">
        <f>IFERROR(__xludf.DUMMYFUNCTION("GOOGLETRANSLATE(B15891,""en"",""es-ES"")"),"Tiró la barra, al mismo tiempo, empujó sus piernas.")</f>
        <v>Tiró la barra, al mismo tiempo, empujó sus piernas.</v>
      </c>
    </row>
    <row r="15892">
      <c r="A15892" s="4" t="s">
        <v>20009</v>
      </c>
      <c r="B15892" s="4" t="s">
        <v>20013</v>
      </c>
      <c r="C15892" s="5" t="str">
        <f>IFERROR(__xludf.DUMMYFUNCTION("GOOGLETRANSLATE(B15892,""en"",""es-ES"")"),"Repita el proceso varias veces.")</f>
        <v>Repita el proceso varias veces.</v>
      </c>
    </row>
    <row r="15893">
      <c r="A15893" s="4" t="s">
        <v>20014</v>
      </c>
      <c r="B15893" s="4" t="s">
        <v>20015</v>
      </c>
      <c r="C15893" s="5" t="str">
        <f>IFERROR(__xludf.DUMMYFUNCTION("GOOGLETRANSLATE(B15893,""en"",""es-ES"")"),"Una persona aspira la suciedad de un sofá con una aspiradora con una boquilla de cepillo.")</f>
        <v>Una persona aspira la suciedad de un sofá con una aspiradora con una boquilla de cepillo.</v>
      </c>
    </row>
    <row r="15894">
      <c r="A15894" s="4" t="s">
        <v>20014</v>
      </c>
      <c r="B15894" s="4" t="s">
        <v>20016</v>
      </c>
      <c r="C15894" s="5" t="str">
        <f>IFERROR(__xludf.DUMMYFUNCTION("GOOGLETRANSLATE(B15894,""en"",""es-ES"")"),"Luego, la persona aspira las grietas del sofá usando un fideos de grietas y luego, la persona usa una aspiradora para limpiar la parte superior del sofá y el piso.")</f>
        <v>Luego, la persona aspira las grietas del sofá usando un fideos de grietas y luego, la persona usa una aspiradora para limpiar la parte superior del sofá y el piso.</v>
      </c>
    </row>
    <row r="15895">
      <c r="A15895" s="4" t="s">
        <v>20014</v>
      </c>
      <c r="B15895" s="4" t="s">
        <v>20017</v>
      </c>
      <c r="C15895" s="5" t="str">
        <f>IFERROR(__xludf.DUMMYFUNCTION("GOOGLETRANSLATE(B15895,""en"",""es-ES"")"),"Después, la mujer muestra la batería del vacío y luego la mantiene.")</f>
        <v>Después, la mujer muestra la batería del vacío y luego la mantiene.</v>
      </c>
    </row>
    <row r="15896">
      <c r="A15896" s="4" t="s">
        <v>20018</v>
      </c>
      <c r="B15896" s="4" t="s">
        <v>20019</v>
      </c>
      <c r="C15896" s="5" t="str">
        <f>IFERROR(__xludf.DUMMYFUNCTION("GOOGLETRANSLATE(B15896,""en"",""es-ES"")"),"Hay una piscina al aire libre con una tabla de buceo muy alta.")</f>
        <v>Hay una piscina al aire libre con una tabla de buceo muy alta.</v>
      </c>
    </row>
    <row r="15897">
      <c r="A15897" s="4" t="s">
        <v>20018</v>
      </c>
      <c r="B15897" s="4" t="s">
        <v>20020</v>
      </c>
      <c r="C15897" s="5" t="str">
        <f>IFERROR(__xludf.DUMMYFUNCTION("GOOGLETRANSLATE(B15897,""en"",""es-ES"")"),"Hay una mujer con un traje de baño verde que se sumerge en la piscina.")</f>
        <v>Hay una mujer con un traje de baño verde que se sumerge en la piscina.</v>
      </c>
    </row>
    <row r="15898">
      <c r="A15898" s="4" t="s">
        <v>20018</v>
      </c>
      <c r="B15898" s="4" t="s">
        <v>20021</v>
      </c>
      <c r="C15898" s="5" t="str">
        <f>IFERROR(__xludf.DUMMYFUNCTION("GOOGLETRANSLATE(B15898,""en"",""es-ES"")"),"Ella está haciendo varios movimientos de buceo, como hacia atrás, hacia adelante y Pike.")</f>
        <v>Ella está haciendo varios movimientos de buceo, como hacia atrás, hacia adelante y Pike.</v>
      </c>
    </row>
    <row r="15899">
      <c r="A15899" s="4" t="s">
        <v>20018</v>
      </c>
      <c r="B15899" s="4" t="s">
        <v>20022</v>
      </c>
      <c r="C15899" s="5" t="str">
        <f>IFERROR(__xludf.DUMMYFUNCTION("GOOGLETRANSLATE(B15899,""en"",""es-ES"")"),"Ella también hace la mano antes de sumergirse rápidamente en la piscina.")</f>
        <v>Ella también hace la mano antes de sumergirse rápidamente en la piscina.</v>
      </c>
    </row>
    <row r="15900">
      <c r="A15900" s="4" t="s">
        <v>20018</v>
      </c>
      <c r="B15900" s="4" t="s">
        <v>20023</v>
      </c>
      <c r="C15900" s="5" t="str">
        <f>IFERROR(__xludf.DUMMYFUNCTION("GOOGLETRANSLATE(B15900,""en"",""es-ES"")"),"Ella repite sus pasos y se sumerge varias veces en la piscina.")</f>
        <v>Ella repite sus pasos y se sumerge varias veces en la piscina.</v>
      </c>
    </row>
    <row r="15901">
      <c r="A15901" s="4" t="s">
        <v>20024</v>
      </c>
      <c r="B15901" s="4" t="s">
        <v>20025</v>
      </c>
      <c r="C15901" s="5" t="str">
        <f>IFERROR(__xludf.DUMMYFUNCTION("GOOGLETRANSLATE(B15901,""en"",""es-ES"")"),"Se ve a un pequeño grupo de personas parado en un parque con los brazos y las piernas a los costados.")</f>
        <v>Se ve a un pequeño grupo de personas parado en un parque con los brazos y las piernas a los costados.</v>
      </c>
    </row>
    <row r="15902">
      <c r="A15902" s="4" t="s">
        <v>20024</v>
      </c>
      <c r="B15902" s="4" t="s">
        <v>20026</v>
      </c>
      <c r="C15902" s="5" t="str">
        <f>IFERROR(__xludf.DUMMYFUNCTION("GOOGLETRANSLATE(B15902,""en"",""es-ES"")"),"Luego, el grupo comienza a moverse con los fanáticos en sus manos moviendo sus brazos y piernas.")</f>
        <v>Luego, el grupo comienza a moverse con los fanáticos en sus manos moviendo sus brazos y piernas.</v>
      </c>
    </row>
    <row r="15903">
      <c r="A15903" s="4" t="s">
        <v>20024</v>
      </c>
      <c r="B15903" s="4" t="s">
        <v>20027</v>
      </c>
      <c r="C15903" s="5" t="str">
        <f>IFERROR(__xludf.DUMMYFUNCTION("GOOGLETRANSLATE(B15903,""en"",""es-ES"")"),"El grupo continúa moviéndose juntos y termina con ellos parados juntos y mirando a lo lejos.")</f>
        <v>El grupo continúa moviéndose juntos y termina con ellos parados juntos y mirando a lo lejos.</v>
      </c>
    </row>
    <row r="15904">
      <c r="A15904" s="4" t="s">
        <v>20028</v>
      </c>
      <c r="B15904" s="4" t="s">
        <v>20029</v>
      </c>
      <c r="C15904" s="5" t="str">
        <f>IFERROR(__xludf.DUMMYFUNCTION("GOOGLETRANSLATE(B15904,""en"",""es-ES"")"),"Un buzo se extiende en una plataforma de alta buceo que se dobla en la cintura.")</f>
        <v>Un buzo se extiende en una plataforma de alta buceo que se dobla en la cintura.</v>
      </c>
    </row>
    <row r="15905">
      <c r="A15905" s="4" t="s">
        <v>20028</v>
      </c>
      <c r="B15905" s="4" t="s">
        <v>20030</v>
      </c>
      <c r="C15905" s="5" t="str">
        <f>IFERROR(__xludf.DUMMYFUNCTION("GOOGLETRANSLATE(B15905,""en"",""es-ES"")"),"Las toallas de buzo se lanza por su toalla y se acerca al final de la tabla de buceo para un primer intento.")</f>
        <v>Las toallas de buzo se lanza por su toalla y se acerca al final de la tabla de buceo para un primer intento.</v>
      </c>
    </row>
    <row r="15906">
      <c r="A15906" s="4" t="s">
        <v>20028</v>
      </c>
      <c r="B15906" s="4" t="s">
        <v>20031</v>
      </c>
      <c r="C15906" s="5" t="str">
        <f>IFERROR(__xludf.DUMMYFUNCTION("GOOGLETRANSLATE(B15906,""en"",""es-ES"")"),"El buzo hace múltiples inmersiones haciendo flips en el aire antes de aterrizar en el agua.")</f>
        <v>El buzo hace múltiples inmersiones haciendo flips en el aire antes de aterrizar en el agua.</v>
      </c>
    </row>
    <row r="15907">
      <c r="A15907" s="4" t="s">
        <v>20032</v>
      </c>
      <c r="B15907" s="4" t="s">
        <v>20033</v>
      </c>
      <c r="C15907" s="5" t="str">
        <f>IFERROR(__xludf.DUMMYFUNCTION("GOOGLETRANSLATE(B15907,""en"",""es-ES"")"),"El vidrio roto se sienta en el suelo.")</f>
        <v>El vidrio roto se sienta en el suelo.</v>
      </c>
    </row>
    <row r="15908">
      <c r="A15908" s="4" t="s">
        <v>20032</v>
      </c>
      <c r="B15908" s="4" t="s">
        <v>20034</v>
      </c>
      <c r="C15908" s="5" t="str">
        <f>IFERROR(__xludf.DUMMYFUNCTION("GOOGLETRANSLATE(B15908,""en"",""es-ES"")"),"Un joven se estira frente a él.")</f>
        <v>Un joven se estira frente a él.</v>
      </c>
    </row>
    <row r="15909">
      <c r="A15909" s="4" t="s">
        <v>20032</v>
      </c>
      <c r="B15909" s="4" t="s">
        <v>20035</v>
      </c>
      <c r="C15909" s="5" t="str">
        <f>IFERROR(__xludf.DUMMYFUNCTION("GOOGLETRANSLATE(B15909,""en"",""es-ES"")"),"Luego se mueve el baile de break.")</f>
        <v>Luego se mueve el baile de break.</v>
      </c>
    </row>
    <row r="15910">
      <c r="A15910" s="4" t="s">
        <v>20032</v>
      </c>
      <c r="B15910" s="4" t="s">
        <v>20036</v>
      </c>
      <c r="C15910" s="5" t="str">
        <f>IFERROR(__xludf.DUMMYFUNCTION("GOOGLETRANSLATE(B15910,""en"",""es-ES"")"),"Él pone sus piernas detrás de su cabeza.")</f>
        <v>Él pone sus piernas detrás de su cabeza.</v>
      </c>
    </row>
    <row r="15911">
      <c r="A15911" s="4" t="s">
        <v>20037</v>
      </c>
      <c r="B15911" s="4" t="s">
        <v>20038</v>
      </c>
      <c r="C15911" s="5" t="str">
        <f>IFERROR(__xludf.DUMMYFUNCTION("GOOGLETRANSLATE(B15911,""en"",""es-ES"")"),"Un niño está sentado en una mesa en una habitación llena de gente.")</f>
        <v>Un niño está sentado en una mesa en una habitación llena de gente.</v>
      </c>
    </row>
    <row r="15912">
      <c r="A15912" s="4" t="s">
        <v>20037</v>
      </c>
      <c r="B15912" s="4" t="s">
        <v>20039</v>
      </c>
      <c r="C15912" s="5" t="str">
        <f>IFERROR(__xludf.DUMMYFUNCTION("GOOGLETRANSLATE(B15912,""en"",""es-ES"")"),"Tiene un cubo de Rubik e intenta resolver el rompecabezas.")</f>
        <v>Tiene un cubo de Rubik e intenta resolver el rompecabezas.</v>
      </c>
    </row>
    <row r="15913">
      <c r="A15913" s="4" t="s">
        <v>20037</v>
      </c>
      <c r="B15913" s="4" t="s">
        <v>20040</v>
      </c>
      <c r="C15913" s="5" t="str">
        <f>IFERROR(__xludf.DUMMYFUNCTION("GOOGLETRANSLATE(B15913,""en"",""es-ES"")"),"Se veces mientras termina el cubo, arrojándolo sobre la mesa.")</f>
        <v>Se veces mientras termina el cubo, arrojándolo sobre la mesa.</v>
      </c>
    </row>
    <row r="15914">
      <c r="A15914" s="4" t="s">
        <v>20041</v>
      </c>
      <c r="B15914" s="4" t="s">
        <v>20042</v>
      </c>
      <c r="C15914" s="5" t="str">
        <f>IFERROR(__xludf.DUMMYFUNCTION("GOOGLETRANSLATE(B15914,""en"",""es-ES"")"),"El video comienza con varias palabras e instrucciones sobre cómo insertar y eliminar las lentes de contacto de Halloween.")</f>
        <v>El video comienza con varias palabras e instrucciones sobre cómo insertar y eliminar las lentes de contacto de Halloween.</v>
      </c>
    </row>
    <row r="15915">
      <c r="A15915" s="4" t="s">
        <v>20041</v>
      </c>
      <c r="B15915" s="4" t="s">
        <v>20043</v>
      </c>
      <c r="C15915" s="5" t="str">
        <f>IFERROR(__xludf.DUMMYFUNCTION("GOOGLETRANSLATE(B15915,""en"",""es-ES"")"),"Luego se llena un contenedor de lente de contacto con la solución de contacto y los contactos en ambos lados del contenedor.")</f>
        <v>Luego se llena un contenedor de lente de contacto con la solución de contacto y los contactos en ambos lados del contenedor.</v>
      </c>
    </row>
    <row r="15916">
      <c r="A15916" s="4" t="s">
        <v>20041</v>
      </c>
      <c r="B15916" s="4" t="s">
        <v>20044</v>
      </c>
      <c r="C15916" s="5" t="str">
        <f>IFERROR(__xludf.DUMMYFUNCTION("GOOGLETRANSLATE(B15916,""en"",""es-ES"")"),"Luego, la mujer le pone el pulgar y el dedo en el lado izquierdo y saca una lente de contacto blanca y lo inserta en su ojo derecho y parpadea varias veces como las palabras ""con lente de contacto blanca"" en la parte inferior de la pantalla.")</f>
        <v>Luego, la mujer le pone el pulgar y el dedo en el lado izquierdo y saca una lente de contacto blanca y lo inserta en su ojo derecho y parpadea varias veces como las palabras "con lente de contacto blanca" en la parte inferior de la pantalla.</v>
      </c>
    </row>
    <row r="15917">
      <c r="A15917" s="4" t="s">
        <v>20041</v>
      </c>
      <c r="B15917" s="4" t="s">
        <v>20045</v>
      </c>
      <c r="C15917" s="5" t="str">
        <f>IFERROR(__xludf.DUMMYFUNCTION("GOOGLETRANSLATE(B15917,""en"",""es-ES"")"),"La mujer se extiende hacia el lado derecho del contenedor de lentes de contacto y saca la otra lente de contacto y la inserta en su ojo izquierdo y luego parpadea varias veces.")</f>
        <v>La mujer se extiende hacia el lado derecho del contenedor de lentes de contacto y saca la otra lente de contacto y la inserta en su ojo izquierdo y luego parpadea varias veces.</v>
      </c>
    </row>
    <row r="15918">
      <c r="A15918" s="4" t="s">
        <v>20041</v>
      </c>
      <c r="B15918" s="4" t="s">
        <v>20046</v>
      </c>
      <c r="C15918" s="5" t="str">
        <f>IFERROR(__xludf.DUMMYFUNCTION("GOOGLETRANSLATE(B15918,""en"",""es-ES"")"),"Luego, la mujer regresa a su ojo izquierdo primero, luego a su derecha para quitar las lentes de contacto y aparece una foto de ellas sentadas en el recipiente de lentes de contacto.")</f>
        <v>Luego, la mujer regresa a su ojo izquierdo primero, luego a su derecha para quitar las lentes de contacto y aparece una foto de ellas sentadas en el recipiente de lentes de contacto.</v>
      </c>
    </row>
    <row r="15919">
      <c r="A15919" s="4" t="s">
        <v>20041</v>
      </c>
      <c r="B15919" s="4" t="s">
        <v>20047</v>
      </c>
      <c r="C15919" s="5" t="str">
        <f>IFERROR(__xludf.DUMMYFUNCTION("GOOGLETRANSLATE(B15919,""en"",""es-ES"")"),"El video termina con una pantalla que le dice que se suscriba a su canal de YouTube para obtener videos más útiles.")</f>
        <v>El video termina con una pantalla que le dice que se suscriba a su canal de YouTube para obtener videos más útiles.</v>
      </c>
    </row>
    <row r="15920">
      <c r="A15920" s="4" t="s">
        <v>20048</v>
      </c>
      <c r="B15920" s="4" t="s">
        <v>20049</v>
      </c>
      <c r="C15920" s="5" t="str">
        <f>IFERROR(__xludf.DUMMYFUNCTION("GOOGLETRANSLATE(B15920,""en"",""es-ES"")"),"Una mujer y un hombre están rastrillando las hojas fuera de su casa.")</f>
        <v>Una mujer y un hombre están rastrillando las hojas fuera de su casa.</v>
      </c>
    </row>
    <row r="15921">
      <c r="A15921" s="4" t="s">
        <v>20048</v>
      </c>
      <c r="B15921" s="4" t="s">
        <v>20050</v>
      </c>
      <c r="C15921" s="5" t="str">
        <f>IFERROR(__xludf.DUMMYFUNCTION("GOOGLETRANSLATE(B15921,""en"",""es-ES"")"),"Mueven las hojas a una fuego, quemándolas.")</f>
        <v>Mueven las hojas a una fuego, quemándolas.</v>
      </c>
    </row>
    <row r="15922">
      <c r="A15922" s="4" t="s">
        <v>20051</v>
      </c>
      <c r="B15922" s="4" t="s">
        <v>20052</v>
      </c>
      <c r="C15922" s="5" t="str">
        <f>IFERROR(__xludf.DUMMYFUNCTION("GOOGLETRANSLATE(B15922,""en"",""es-ES"")"),"Los brazos de los niños luchan en un partido para una gran multitud.")</f>
        <v>Los brazos de los niños luchan en un partido para una gran multitud.</v>
      </c>
    </row>
    <row r="15923">
      <c r="A15923" s="4" t="s">
        <v>20051</v>
      </c>
      <c r="B15923" s="4" t="s">
        <v>20053</v>
      </c>
      <c r="C15923" s="5" t="str">
        <f>IFERROR(__xludf.DUMMYFUNCTION("GOOGLETRANSLATE(B15923,""en"",""es-ES"")"),"La multitud felicita al ganador.")</f>
        <v>La multitud felicita al ganador.</v>
      </c>
    </row>
    <row r="15924">
      <c r="A15924" s="4" t="s">
        <v>20051</v>
      </c>
      <c r="B15924" s="4" t="s">
        <v>20054</v>
      </c>
      <c r="C15924" s="5" t="str">
        <f>IFERROR(__xludf.DUMMYFUNCTION("GOOGLETRANSLATE(B15924,""en"",""es-ES"")"),"Los dos chicos se dan la mano después del partido.")</f>
        <v>Los dos chicos se dan la mano después del partido.</v>
      </c>
    </row>
    <row r="15925">
      <c r="A15925" s="4" t="s">
        <v>20055</v>
      </c>
      <c r="B15925" s="4" t="s">
        <v>20056</v>
      </c>
      <c r="C15925" s="5" t="str">
        <f>IFERROR(__xludf.DUMMYFUNCTION("GOOGLETRANSLATE(B15925,""en"",""es-ES"")"),"Se ve a un niño con casco, hablando con la cámara y sosteniendo almohadillas.")</f>
        <v>Se ve a un niño con casco, hablando con la cámara y sosteniendo almohadillas.</v>
      </c>
    </row>
    <row r="15926">
      <c r="A15926" s="4" t="s">
        <v>20055</v>
      </c>
      <c r="B15926" s="4" t="s">
        <v>20057</v>
      </c>
      <c r="C15926" s="5" t="str">
        <f>IFERROR(__xludf.DUMMYFUNCTION("GOOGLETRANSLATE(B15926,""en"",""es-ES"")"),"El niño se muestra en varios clips que viajan en el tablero mientras también habla con la cámara.")</f>
        <v>El niño se muestra en varios clips que viajan en el tablero mientras también habla con la cámara.</v>
      </c>
    </row>
    <row r="15927">
      <c r="A15927" s="4" t="s">
        <v>20055</v>
      </c>
      <c r="B15927" s="4" t="s">
        <v>20058</v>
      </c>
      <c r="C15927" s="5" t="str">
        <f>IFERROR(__xludf.DUMMYFUNCTION("GOOGLETRANSLATE(B15927,""en"",""es-ES"")"),"El niño demuestra cómo realizar movimientos de patinaje adecuados mientras se agacha y agarra su tabla.")</f>
        <v>El niño demuestra cómo realizar movimientos de patinaje adecuados mientras se agacha y agarra su tabla.</v>
      </c>
    </row>
    <row r="15928">
      <c r="A15928" s="4" t="s">
        <v>20059</v>
      </c>
      <c r="B15928" s="4" t="s">
        <v>20060</v>
      </c>
      <c r="C15928" s="5" t="str">
        <f>IFERROR(__xludf.DUMMYFUNCTION("GOOGLETRANSLATE(B15928,""en"",""es-ES"")"),"Un hombre habla por teléfono.")</f>
        <v>Un hombre habla por teléfono.</v>
      </c>
    </row>
    <row r="15929">
      <c r="A15929" s="4" t="s">
        <v>20059</v>
      </c>
      <c r="B15929" s="4" t="s">
        <v>20061</v>
      </c>
      <c r="C15929" s="5" t="str">
        <f>IFERROR(__xludf.DUMMYFUNCTION("GOOGLETRANSLATE(B15929,""en"",""es-ES"")"),"El hombre se pone un cigarrillo en la boca.")</f>
        <v>El hombre se pone un cigarrillo en la boca.</v>
      </c>
    </row>
    <row r="15930">
      <c r="A15930" s="4" t="s">
        <v>20059</v>
      </c>
      <c r="B15930" s="4" t="s">
        <v>20062</v>
      </c>
      <c r="C15930" s="5" t="str">
        <f>IFERROR(__xludf.DUMMYFUNCTION("GOOGLETRANSLATE(B15930,""en"",""es-ES"")"),"El hombre enciende el cigarrillo.")</f>
        <v>El hombre enciende el cigarrillo.</v>
      </c>
    </row>
    <row r="15931">
      <c r="A15931" s="4" t="s">
        <v>20059</v>
      </c>
      <c r="B15931" s="4" t="s">
        <v>20063</v>
      </c>
      <c r="C15931" s="5" t="str">
        <f>IFERROR(__xludf.DUMMYFUNCTION("GOOGLETRANSLATE(B15931,""en"",""es-ES"")"),"El hombre se quita el cigarrillo de la boca y lo sostiene en su mano.")</f>
        <v>El hombre se quita el cigarrillo de la boca y lo sostiene en su mano.</v>
      </c>
    </row>
    <row r="15932">
      <c r="A15932" s="4" t="s">
        <v>20064</v>
      </c>
      <c r="B15932" s="4" t="s">
        <v>20065</v>
      </c>
      <c r="C15932" s="5" t="str">
        <f>IFERROR(__xludf.DUMMYFUNCTION("GOOGLETRANSLATE(B15932,""en"",""es-ES"")"),"Un grupo de adultos juega un juego de voleibol de playa.")</f>
        <v>Un grupo de adultos juega un juego de voleibol de playa.</v>
      </c>
    </row>
    <row r="15933">
      <c r="A15933" s="4" t="s">
        <v>20064</v>
      </c>
      <c r="B15933" s="4" t="s">
        <v>20066</v>
      </c>
      <c r="C15933" s="5" t="str">
        <f>IFERROR(__xludf.DUMMYFUNCTION("GOOGLETRANSLATE(B15933,""en"",""es-ES"")"),"Grupos de niños de niños juegan un juego de voleibol de playa.")</f>
        <v>Grupos de niños de niños juegan un juego de voleibol de playa.</v>
      </c>
    </row>
    <row r="15934">
      <c r="A15934" s="4" t="s">
        <v>20064</v>
      </c>
      <c r="B15934" s="4" t="s">
        <v>20067</v>
      </c>
      <c r="C15934" s="5" t="str">
        <f>IFERROR(__xludf.DUMMYFUNCTION("GOOGLETRANSLATE(B15934,""en"",""es-ES"")"),"Las reglas se muestran para el juego.")</f>
        <v>Las reglas se muestran para el juego.</v>
      </c>
    </row>
    <row r="15935">
      <c r="A15935" s="4" t="s">
        <v>20064</v>
      </c>
      <c r="B15935" s="4" t="s">
        <v>20068</v>
      </c>
      <c r="C15935" s="5" t="str">
        <f>IFERROR(__xludf.DUMMYFUNCTION("GOOGLETRANSLATE(B15935,""en"",""es-ES"")"),"Un grupo de chicas juega un juego de volea.")</f>
        <v>Un grupo de chicas juega un juego de volea.</v>
      </c>
    </row>
    <row r="15936">
      <c r="A15936" s="4" t="s">
        <v>20064</v>
      </c>
      <c r="B15936" s="4" t="s">
        <v>20069</v>
      </c>
      <c r="C15936" s="5" t="str">
        <f>IFERROR(__xludf.DUMMYFUNCTION("GOOGLETRANSLATE(B15936,""en"",""es-ES"")"),"Un grupo de adultos juega un juego de voleibol en un día nublado.")</f>
        <v>Un grupo de adultos juega un juego de voleibol en un día nublado.</v>
      </c>
    </row>
    <row r="15937">
      <c r="A15937" s="4" t="s">
        <v>20070</v>
      </c>
      <c r="B15937" s="4" t="s">
        <v>20071</v>
      </c>
      <c r="C15937" s="5" t="str">
        <f>IFERROR(__xludf.DUMMYFUNCTION("GOOGLETRANSLATE(B15937,""en"",""es-ES"")"),"Se ve un estadio desde arriba con una gran audiencia.")</f>
        <v>Se ve un estadio desde arriba con una gran audiencia.</v>
      </c>
    </row>
    <row r="15938">
      <c r="A15938" s="4" t="s">
        <v>20070</v>
      </c>
      <c r="B15938" s="4" t="s">
        <v>20072</v>
      </c>
      <c r="C15938" s="5" t="str">
        <f>IFERROR(__xludf.DUMMYFUNCTION("GOOGLETRANSLATE(B15938,""en"",""es-ES"")"),"Las gimnastas compiten en un evento y realizan una rutina de plataforma estacionaria con agarres de manos.")</f>
        <v>Las gimnastas compiten en un evento y realizan una rutina de plataforma estacionaria con agarres de manos.</v>
      </c>
    </row>
    <row r="15939">
      <c r="A15939" s="4" t="s">
        <v>20070</v>
      </c>
      <c r="B15939" s="4" t="s">
        <v>20073</v>
      </c>
      <c r="C15939" s="5" t="str">
        <f>IFERROR(__xludf.DUMMYFUNCTION("GOOGLETRANSLATE(B15939,""en"",""es-ES"")"),"Los medallistas de la competencia reciben sus premios y se unen saludando.")</f>
        <v>Los medallistas de la competencia reciben sus premios y se unen saludando.</v>
      </c>
    </row>
    <row r="15940">
      <c r="A15940" s="4" t="s">
        <v>20070</v>
      </c>
      <c r="B15940" s="4" t="s">
        <v>20074</v>
      </c>
      <c r="C15940" s="5" t="str">
        <f>IFERROR(__xludf.DUMMYFUNCTION("GOOGLETRANSLATE(B15940,""en"",""es-ES"")"),"Los atletas dan entrevistas después de la competencia.")</f>
        <v>Los atletas dan entrevistas después de la competencia.</v>
      </c>
    </row>
    <row r="15941">
      <c r="A15941" s="4" t="s">
        <v>20075</v>
      </c>
      <c r="B15941" s="4" t="s">
        <v>20076</v>
      </c>
      <c r="C15941" s="5" t="str">
        <f>IFERROR(__xludf.DUMMYFUNCTION("GOOGLETRANSLATE(B15941,""en"",""es-ES"")"),"La mujer está frente a un espejo, haz un bostezo y bebe enjuague bucal y lo escupe en el lavado de manos y se mueve en la cámara.")</f>
        <v>La mujer está frente a un espejo, haz un bostezo y bebe enjuague bucal y lo escupe en el lavado de manos y se mueve en la cámara.</v>
      </c>
    </row>
    <row r="15942">
      <c r="A15942" s="4" t="s">
        <v>20075</v>
      </c>
      <c r="B15942" s="4" t="s">
        <v>20077</v>
      </c>
      <c r="C15942" s="5" t="str">
        <f>IFERROR(__xludf.DUMMYFUNCTION("GOOGLETRANSLATE(B15942,""en"",""es-ES"")"),"El hombre se para frente al espejo intenta abrir la botella de enjuague bucal y bebidas y está disgustado por ella.")</f>
        <v>El hombre se para frente al espejo intenta abrir la botella de enjuague bucal y bebidas y está disgustado por ella.</v>
      </c>
    </row>
    <row r="15943">
      <c r="A15943" s="4" t="s">
        <v>20078</v>
      </c>
      <c r="B15943" s="4" t="s">
        <v>20079</v>
      </c>
      <c r="C15943" s="5" t="str">
        <f>IFERROR(__xludf.DUMMYFUNCTION("GOOGLETRANSLATE(B15943,""en"",""es-ES"")"),"Varias introducción de texto conducen a un hombre que sostiene un lanzamiento de bala y girándose a sí mismo.")</f>
        <v>Varias introducción de texto conducen a un hombre que sostiene un lanzamiento de bala y girándose a sí mismo.</v>
      </c>
    </row>
    <row r="15944">
      <c r="A15944" s="4" t="s">
        <v>20078</v>
      </c>
      <c r="B15944" s="4" t="s">
        <v>20080</v>
      </c>
      <c r="C15944" s="5" t="str">
        <f>IFERROR(__xludf.DUMMYFUNCTION("GOOGLETRANSLATE(B15944,""en"",""es-ES"")"),"El hombre arroja el objeto a la distancia mientras la cámara sigue su lanzamiento.")</f>
        <v>El hombre arroja el objeto a la distancia mientras la cámara sigue su lanzamiento.</v>
      </c>
    </row>
    <row r="15945">
      <c r="A15945" s="4" t="s">
        <v>20081</v>
      </c>
      <c r="B15945" s="4" t="s">
        <v>20082</v>
      </c>
      <c r="C15945" s="5" t="str">
        <f>IFERROR(__xludf.DUMMYFUNCTION("GOOGLETRANSLATE(B15945,""en"",""es-ES"")"),"Se ven varias mujeres moviéndose alrededor de un gimnasio realizando varios ejercicios en una viga.")</f>
        <v>Se ven varias mujeres moviéndose alrededor de un gimnasio realizando varios ejercicios en una viga.</v>
      </c>
    </row>
    <row r="15946">
      <c r="A15946" s="4" t="s">
        <v>20081</v>
      </c>
      <c r="B15946" s="4" t="s">
        <v>20083</v>
      </c>
      <c r="C15946" s="5" t="str">
        <f>IFERROR(__xludf.DUMMYFUNCTION("GOOGLETRANSLATE(B15946,""en"",""es-ES"")"),"La mujer continúa saltando hacia arriba y hacia abajo y conduce a uno moviendo una llanta, así como saltando hacia arriba y hacia abajo de una bolsa.")</f>
        <v>La mujer continúa saltando hacia arriba y hacia abajo y conduce a uno moviendo una llanta, así como saltando hacia arriba y hacia abajo de una bolsa.</v>
      </c>
    </row>
    <row r="15947">
      <c r="A15947" s="4" t="s">
        <v>20081</v>
      </c>
      <c r="B15947" s="4" t="s">
        <v>20084</v>
      </c>
      <c r="C15947" s="5" t="str">
        <f>IFERROR(__xludf.DUMMYFUNCTION("GOOGLETRANSLATE(B15947,""en"",""es-ES"")"),"El entrenador luego habla con la cámara.")</f>
        <v>El entrenador luego habla con la cámara.</v>
      </c>
    </row>
    <row r="15948">
      <c r="A15948" s="4" t="s">
        <v>20085</v>
      </c>
      <c r="B15948" s="4" t="s">
        <v>20086</v>
      </c>
      <c r="C15948" s="5" t="str">
        <f>IFERROR(__xludf.DUMMYFUNCTION("GOOGLETRANSLATE(B15948,""en"",""es-ES"")"),"Un hombre calvo y una mujer con pañuelo en su puesto de cabello y saludan junto a un autobús personalizado.")</f>
        <v>Un hombre calvo y una mujer con pañuelo en su puesto de cabello y saludan junto a un autobús personalizado.</v>
      </c>
    </row>
    <row r="15949">
      <c r="A15949" s="4" t="s">
        <v>20085</v>
      </c>
      <c r="B15949" s="4" t="s">
        <v>20087</v>
      </c>
      <c r="C15949" s="5" t="str">
        <f>IFERROR(__xludf.DUMMYFUNCTION("GOOGLETRANSLATE(B15949,""en"",""es-ES"")"),"La señora anuncia una cucharada de helado a un cono de azúcar.")</f>
        <v>La señora anuncia una cucharada de helado a un cono de azúcar.</v>
      </c>
    </row>
    <row r="15950">
      <c r="A15950" s="4" t="s">
        <v>20085</v>
      </c>
      <c r="B15950" s="4" t="s">
        <v>20088</v>
      </c>
      <c r="C15950" s="5" t="str">
        <f>IFERROR(__xludf.DUMMYFUNCTION("GOOGLETRANSLATE(B15950,""en"",""es-ES"")"),"El hombre de cabeza calva coloca un menú al costado del autobús.")</f>
        <v>El hombre de cabeza calva coloca un menú al costado del autobús.</v>
      </c>
    </row>
    <row r="15951">
      <c r="A15951" s="4" t="s">
        <v>20085</v>
      </c>
      <c r="B15951" s="4" t="s">
        <v>20089</v>
      </c>
      <c r="C15951" s="5" t="str">
        <f>IFERROR(__xludf.DUMMYFUNCTION("GOOGLETRANSLATE(B15951,""en"",""es-ES"")"),"La dama del helado de la sala de helados entrega un cono de helado a un cliente.")</f>
        <v>La dama del helado de la sala de helados entrega un cono de helado a un cliente.</v>
      </c>
    </row>
    <row r="15952">
      <c r="A15952" s="4" t="s">
        <v>20085</v>
      </c>
      <c r="B15952" s="4" t="s">
        <v>20090</v>
      </c>
      <c r="C15952" s="5" t="str">
        <f>IFERROR(__xludf.DUMMYFUNCTION("GOOGLETRANSLATE(B15952,""en"",""es-ES"")"),"Múltiples imágenes y clips de muchas personas diferentes que comen y muestran su helado.")</f>
        <v>Múltiples imágenes y clips de muchas personas diferentes que comen y muestran su helado.</v>
      </c>
    </row>
    <row r="15953">
      <c r="A15953" s="4" t="s">
        <v>20085</v>
      </c>
      <c r="B15953" s="4" t="s">
        <v>20091</v>
      </c>
      <c r="C15953" s="5" t="str">
        <f>IFERROR(__xludf.DUMMYFUNCTION("GOOGLETRANSLATE(B15953,""en"",""es-ES"")"),"El hombre calvo y la dama dentro del autobús de helado se muestran trabajando y recogiendo suministros a medida que más imágenes de clientes comen y muestran sus golosinas para helados.")</f>
        <v>El hombre calvo y la dama dentro del autobús de helado se muestran trabajando y recogiendo suministros a medida que más imágenes de clientes comen y muestran sus golosinas para helados.</v>
      </c>
    </row>
    <row r="15954">
      <c r="A15954" s="4" t="s">
        <v>20092</v>
      </c>
      <c r="B15954" s="4" t="s">
        <v>20093</v>
      </c>
      <c r="C15954" s="5" t="str">
        <f>IFERROR(__xludf.DUMMYFUNCTION("GOOGLETRANSLATE(B15954,""en"",""es-ES"")"),"Un grupo de ciclistas va por una calle concurrida llena de autos.")</f>
        <v>Un grupo de ciclistas va por una calle concurrida llena de autos.</v>
      </c>
    </row>
    <row r="15955">
      <c r="A15955" s="4" t="s">
        <v>20092</v>
      </c>
      <c r="B15955" s="4" t="s">
        <v>20094</v>
      </c>
      <c r="C15955" s="5" t="str">
        <f>IFERROR(__xludf.DUMMYFUNCTION("GOOGLETRANSLATE(B15955,""en"",""es-ES"")"),"Se ven con cámaras montadas en patinetas antes de comenzar a abordar en el tráfico.")</f>
        <v>Se ven con cámaras montadas en patinetas antes de comenzar a abordar en el tráfico.</v>
      </c>
    </row>
    <row r="15956">
      <c r="A15956" s="4" t="s">
        <v>20092</v>
      </c>
      <c r="B15956" s="4" t="s">
        <v>20095</v>
      </c>
      <c r="C15956" s="5" t="str">
        <f>IFERROR(__xludf.DUMMYFUNCTION("GOOGLETRANSLATE(B15956,""en"",""es-ES"")"),"El hombre desmonta su tabla y se quita el casco antes de correr.")</f>
        <v>El hombre desmonta su tabla y se quita el casco antes de correr.</v>
      </c>
    </row>
    <row r="15957">
      <c r="A15957" s="4" t="s">
        <v>20096</v>
      </c>
      <c r="B15957" s="4" t="s">
        <v>20097</v>
      </c>
      <c r="C15957" s="5" t="str">
        <f>IFERROR(__xludf.DUMMYFUNCTION("GOOGLETRANSLATE(B15957,""en"",""es-ES"")"),"Se ve a una mujer parada al final de un tablero de buceo con los brazos hacia abajo y hacia adelante.")</f>
        <v>Se ve a una mujer parada al final de un tablero de buceo con los brazos hacia abajo y hacia adelante.</v>
      </c>
    </row>
    <row r="15958">
      <c r="A15958" s="4" t="s">
        <v>20096</v>
      </c>
      <c r="B15958" s="4" t="s">
        <v>20098</v>
      </c>
      <c r="C15958" s="5" t="str">
        <f>IFERROR(__xludf.DUMMYFUNCTION("GOOGLETRANSLATE(B15958,""en"",""es-ES"")"),"La mujer luego comienza a saltar arriba y abajo en el tablero y volver a sumergirse en el agua.")</f>
        <v>La mujer luego comienza a saltar arriba y abajo en el tablero y volver a sumergirse en el agua.</v>
      </c>
    </row>
    <row r="15959">
      <c r="A15959" s="4" t="s">
        <v>20099</v>
      </c>
      <c r="B15959" s="4" t="s">
        <v>20100</v>
      </c>
      <c r="C15959" s="5" t="str">
        <f>IFERROR(__xludf.DUMMYFUNCTION("GOOGLETRANSLATE(B15959,""en"",""es-ES"")"),"Se muestra un primer plano en el interior de una nave espacial, seguido de una mujer con cabello loco que habla en el micrófono.")</f>
        <v>Se muestra un primer plano en el interior de una nave espacial, seguido de una mujer con cabello loco que habla en el micrófono.</v>
      </c>
    </row>
    <row r="15960">
      <c r="A15960" s="4" t="s">
        <v>20099</v>
      </c>
      <c r="B15960" s="4" t="s">
        <v>20101</v>
      </c>
      <c r="C15960" s="5" t="str">
        <f>IFERROR(__xludf.DUMMYFUNCTION("GOOGLETRANSLATE(B15960,""en"",""es-ES"")"),"Luego toca una canción en una flauta con tomas de otro hombre en un lugar diferente tocando una flauta.")</f>
        <v>Luego toca una canción en una flauta con tomas de otro hombre en un lugar diferente tocando una flauta.</v>
      </c>
    </row>
    <row r="15961">
      <c r="A15961" s="4" t="s">
        <v>20099</v>
      </c>
      <c r="B15961" s="4" t="s">
        <v>20102</v>
      </c>
      <c r="C15961" s="5" t="str">
        <f>IFERROR(__xludf.DUMMYFUNCTION("GOOGLETRANSLATE(B15961,""en"",""es-ES"")"),"La cámara se remonta y cuarto entre los dos y termina con el hombre hablando con la cámara, la mujer agitando y el hombre solucionando.")</f>
        <v>La cámara se remonta y cuarto entre los dos y termina con el hombre hablando con la cámara, la mujer agitando y el hombre solucionando.</v>
      </c>
    </row>
    <row r="15962">
      <c r="A15962" s="4" t="s">
        <v>20103</v>
      </c>
      <c r="B15962" s="4" t="s">
        <v>20104</v>
      </c>
      <c r="C15962" s="5" t="str">
        <f>IFERROR(__xludf.DUMMYFUNCTION("GOOGLETRANSLATE(B15962,""en"",""es-ES"")"),"Se ve a un hombre limpiando una puerta y luego pone un póster grande sobre la puerta.")</f>
        <v>Se ve a un hombre limpiando una puerta y luego pone un póster grande sobre la puerta.</v>
      </c>
    </row>
    <row r="15963">
      <c r="A15963" s="4" t="s">
        <v>20103</v>
      </c>
      <c r="B15963" s="4" t="s">
        <v>20105</v>
      </c>
      <c r="C15963" s="5" t="str">
        <f>IFERROR(__xludf.DUMMYFUNCTION("GOOGLETRANSLATE(B15963,""en"",""es-ES"")"),"Él baja el papel y se recorta los bordes, terminando con varias imágenes de carteles que se muestran y cómo comprar.")</f>
        <v>Él baja el papel y se recorta los bordes, terminando con varias imágenes de carteles que se muestran y cómo comprar.</v>
      </c>
    </row>
    <row r="15964">
      <c r="A15964" s="4" t="s">
        <v>20106</v>
      </c>
      <c r="B15964" s="4" t="s">
        <v>20107</v>
      </c>
      <c r="C15964" s="5" t="str">
        <f>IFERROR(__xludf.DUMMYFUNCTION("GOOGLETRANSLATE(B15964,""en"",""es-ES"")"),"Las bolsas de hielo están sentadas en un mostrador.")</f>
        <v>Las bolsas de hielo están sentadas en un mostrador.</v>
      </c>
    </row>
    <row r="15965">
      <c r="A15965" s="4" t="s">
        <v>20106</v>
      </c>
      <c r="B15965" s="4" t="s">
        <v>20108</v>
      </c>
      <c r="C15965" s="5" t="str">
        <f>IFERROR(__xludf.DUMMYFUNCTION("GOOGLETRANSLATE(B15965,""en"",""es-ES"")"),"Alguien pone la guinda en pasteles y moldes para muffins.")</f>
        <v>Alguien pone la guinda en pasteles y moldes para muffins.</v>
      </c>
    </row>
    <row r="15966">
      <c r="A15966" s="4" t="s">
        <v>20106</v>
      </c>
      <c r="B15966" s="4" t="s">
        <v>20109</v>
      </c>
      <c r="C15966" s="5" t="str">
        <f>IFERROR(__xludf.DUMMYFUNCTION("GOOGLETRANSLATE(B15966,""en"",""es-ES"")"),"Los hornean en el horno.")</f>
        <v>Los hornean en el horno.</v>
      </c>
    </row>
    <row r="15967">
      <c r="A15967" s="4" t="s">
        <v>20106</v>
      </c>
      <c r="B15967" s="4" t="s">
        <v>20110</v>
      </c>
      <c r="C15967" s="5" t="str">
        <f>IFERROR(__xludf.DUMMYFUNCTION("GOOGLETRANSLATE(B15967,""en"",""es-ES"")"),"Los pusieron en un plato y comienzan a helados.")</f>
        <v>Los pusieron en un plato y comienzan a helados.</v>
      </c>
    </row>
    <row r="15968">
      <c r="A15968" s="4" t="s">
        <v>20111</v>
      </c>
      <c r="B15968" s="4" t="s">
        <v>20112</v>
      </c>
      <c r="C15968" s="5" t="str">
        <f>IFERROR(__xludf.DUMMYFUNCTION("GOOGLETRANSLATE(B15968,""en"",""es-ES"")"),"Una mujer se muestra afuera de los cinco hijos que están jugando cerca de ella.")</f>
        <v>Una mujer se muestra afuera de los cinco hijos que están jugando cerca de ella.</v>
      </c>
    </row>
    <row r="15969">
      <c r="A15969" s="4" t="s">
        <v>20111</v>
      </c>
      <c r="B15969" s="4" t="s">
        <v>20113</v>
      </c>
      <c r="C15969" s="5" t="str">
        <f>IFERROR(__xludf.DUMMYFUNCTION("GOOGLETRANSLATE(B15969,""en"",""es-ES"")"),"La mujer ayuda a la niña a bajar y salta por el suelo hasta que se cae.")</f>
        <v>La mujer ayuda a la niña a bajar y salta por el suelo hasta que se cae.</v>
      </c>
    </row>
    <row r="15970">
      <c r="A15970" s="4" t="s">
        <v>20114</v>
      </c>
      <c r="B15970" s="4" t="s">
        <v>20115</v>
      </c>
      <c r="C15970" s="5" t="str">
        <f>IFERROR(__xludf.DUMMYFUNCTION("GOOGLETRANSLATE(B15970,""en"",""es-ES"")"),"Una mujer mira fijamente a la cámara.")</f>
        <v>Una mujer mira fijamente a la cámara.</v>
      </c>
    </row>
    <row r="15971">
      <c r="A15971" s="4" t="s">
        <v>20114</v>
      </c>
      <c r="B15971" s="4" t="s">
        <v>20116</v>
      </c>
      <c r="C15971" s="5" t="str">
        <f>IFERROR(__xludf.DUMMYFUNCTION("GOOGLETRANSLATE(B15971,""en"",""es-ES"")"),"Ella toma un trago de té.")</f>
        <v>Ella toma un trago de té.</v>
      </c>
    </row>
    <row r="15972">
      <c r="A15972" s="4" t="s">
        <v>20114</v>
      </c>
      <c r="B15972" s="4" t="s">
        <v>20117</v>
      </c>
      <c r="C15972" s="5" t="str">
        <f>IFERROR(__xludf.DUMMYFUNCTION("GOOGLETRANSLATE(B15972,""en"",""es-ES"")"),"Ella repite la misma acción exactamente.")</f>
        <v>Ella repite la misma acción exactamente.</v>
      </c>
    </row>
    <row r="15973">
      <c r="A15973" s="4" t="s">
        <v>20114</v>
      </c>
      <c r="B15973" s="4" t="s">
        <v>20118</v>
      </c>
      <c r="C15973" s="5" t="str">
        <f>IFERROR(__xludf.DUMMYFUNCTION("GOOGLETRANSLATE(B15973,""en"",""es-ES"")"),"Luego toma otra bebida y hace una cara amenazadora.")</f>
        <v>Luego toma otra bebida y hace una cara amenazadora.</v>
      </c>
    </row>
    <row r="15974">
      <c r="A15974" s="4" t="s">
        <v>20119</v>
      </c>
      <c r="B15974" s="4" t="s">
        <v>20120</v>
      </c>
      <c r="C15974" s="5" t="str">
        <f>IFERROR(__xludf.DUMMYFUNCTION("GOOGLETRANSLATE(B15974,""en"",""es-ES"")"),"Un niño y su perro son vistos nadando bajo el agua en un tazón grande.")</f>
        <v>Un niño y su perro son vistos nadando bajo el agua en un tazón grande.</v>
      </c>
    </row>
    <row r="15975">
      <c r="A15975" s="4" t="s">
        <v>20119</v>
      </c>
      <c r="B15975" s="4" t="s">
        <v>20121</v>
      </c>
      <c r="C15975" s="5" t="str">
        <f>IFERROR(__xludf.DUMMYFUNCTION("GOOGLETRANSLATE(B15975,""en"",""es-ES"")"),"Los dos vienen sobre la superficie y el perro corre mientras el niño se frota los ojos.")</f>
        <v>Los dos vienen sobre la superficie y el perro corre mientras el niño se frota los ojos.</v>
      </c>
    </row>
    <row r="15976">
      <c r="A15976" s="4" t="s">
        <v>20122</v>
      </c>
      <c r="B15976" s="4" t="s">
        <v>20123</v>
      </c>
      <c r="C15976" s="5" t="str">
        <f>IFERROR(__xludf.DUMMYFUNCTION("GOOGLETRANSLATE(B15976,""en"",""es-ES"")"),"Un hombre está parado en una habitación practicando su violín.")</f>
        <v>Un hombre está parado en una habitación practicando su violín.</v>
      </c>
    </row>
    <row r="15977">
      <c r="A15977" s="4" t="s">
        <v>20122</v>
      </c>
      <c r="B15977" s="4" t="s">
        <v>20124</v>
      </c>
      <c r="C15977" s="5" t="str">
        <f>IFERROR(__xludf.DUMMYFUNCTION("GOOGLETRANSLATE(B15977,""en"",""es-ES"")"),"Pasa otro día y ahora es la luz del sol afuera mientras el niño practica tocar su instrumento una vez más.")</f>
        <v>Pasa otro día y ahora es la luz del sol afuera mientras el niño practica tocar su instrumento una vez más.</v>
      </c>
    </row>
    <row r="15978">
      <c r="A15978" s="4" t="s">
        <v>20122</v>
      </c>
      <c r="B15978" s="4" t="s">
        <v>20125</v>
      </c>
      <c r="C15978" s="5" t="str">
        <f>IFERROR(__xludf.DUMMYFUNCTION("GOOGLETRANSLATE(B15978,""en"",""es-ES"")"),"La práctica continúa durante varios días más en la misma habitación y termina hasta el día 7.")</f>
        <v>La práctica continúa durante varios días más en la misma habitación y termina hasta el día 7.</v>
      </c>
    </row>
    <row r="15979">
      <c r="A15979" s="4" t="s">
        <v>20122</v>
      </c>
      <c r="B15979" s="4" t="s">
        <v>20126</v>
      </c>
      <c r="C15979" s="5" t="str">
        <f>IFERROR(__xludf.DUMMYFUNCTION("GOOGLETRANSLATE(B15979,""en"",""es-ES"")"),"Finalmente, el hombre toma un set en la habitación y comienza a hablar y demostrando formas efectivas de sostener el violín y jugarlo de manera eficiente.")</f>
        <v>Finalmente, el hombre toma un set en la habitación y comienza a hablar y demostrando formas efectivas de sostener el violín y jugarlo de manera eficiente.</v>
      </c>
    </row>
    <row r="15980">
      <c r="A15980" s="4" t="s">
        <v>20127</v>
      </c>
      <c r="B15980" s="4" t="s">
        <v>20128</v>
      </c>
      <c r="C15980" s="5" t="str">
        <f>IFERROR(__xludf.DUMMYFUNCTION("GOOGLETRANSLATE(B15980,""en"",""es-ES"")"),"Vemos una pantalla de apertura en negro.")</f>
        <v>Vemos una pantalla de apertura en negro.</v>
      </c>
    </row>
    <row r="15981">
      <c r="A15981" s="4" t="s">
        <v>20127</v>
      </c>
      <c r="B15981" s="4" t="s">
        <v>20129</v>
      </c>
      <c r="C15981" s="5" t="str">
        <f>IFERROR(__xludf.DUMMYFUNCTION("GOOGLETRANSLATE(B15981,""en"",""es-ES"")"),"Vemos a un hombre y una mujer lavando platos y hablando.")</f>
        <v>Vemos a un hombre y una mujer lavando platos y hablando.</v>
      </c>
    </row>
    <row r="15982">
      <c r="A15982" s="4" t="s">
        <v>20127</v>
      </c>
      <c r="B15982" s="4" t="s">
        <v>20130</v>
      </c>
      <c r="C15982" s="5" t="str">
        <f>IFERROR(__xludf.DUMMYFUNCTION("GOOGLETRANSLATE(B15982,""en"",""es-ES"")"),"Una imagen de una dama aparece en la pantalla.")</f>
        <v>Una imagen de una dama aparece en la pantalla.</v>
      </c>
    </row>
    <row r="15983">
      <c r="A15983" s="4" t="s">
        <v>20127</v>
      </c>
      <c r="B15983" s="4" t="s">
        <v>20131</v>
      </c>
      <c r="C15983" s="5" t="str">
        <f>IFERROR(__xludf.DUMMYFUNCTION("GOOGLETRANSLATE(B15983,""en"",""es-ES"")"),"Vemos la imagen de las damas de nuevo.")</f>
        <v>Vemos la imagen de las damas de nuevo.</v>
      </c>
    </row>
    <row r="15984">
      <c r="A15984" s="4" t="s">
        <v>20127</v>
      </c>
      <c r="B15984" s="4" t="s">
        <v>20132</v>
      </c>
      <c r="C15984" s="5" t="str">
        <f>IFERROR(__xludf.DUMMYFUNCTION("GOOGLETRANSLATE(B15984,""en"",""es-ES"")"),"La dama aparece en los subtítulos.")</f>
        <v>La dama aparece en los subtítulos.</v>
      </c>
    </row>
    <row r="15985">
      <c r="A15985" s="4" t="s">
        <v>20127</v>
      </c>
      <c r="B15985" s="4" t="s">
        <v>20133</v>
      </c>
      <c r="C15985" s="5" t="str">
        <f>IFERROR(__xludf.DUMMYFUNCTION("GOOGLETRANSLATE(B15985,""en"",""es-ES"")"),"Los vemos desde una cámara más oscura y más alta.")</f>
        <v>Los vemos desde una cámara más oscura y más alta.</v>
      </c>
    </row>
    <row r="15986">
      <c r="A15986" s="4" t="s">
        <v>20127</v>
      </c>
      <c r="B15986" s="4" t="s">
        <v>20134</v>
      </c>
      <c r="C15986" s="5" t="str">
        <f>IFERROR(__xludf.DUMMYFUNCTION("GOOGLETRANSLATE(B15986,""en"",""es-ES"")"),"Los vemos desde la cámara más alta nuevamente.")</f>
        <v>Los vemos desde la cámara más alta nuevamente.</v>
      </c>
    </row>
    <row r="15987">
      <c r="A15987" s="4" t="s">
        <v>20135</v>
      </c>
      <c r="B15987" s="4" t="s">
        <v>20136</v>
      </c>
      <c r="C15987" s="5" t="str">
        <f>IFERROR(__xludf.DUMMYFUNCTION("GOOGLETRANSLATE(B15987,""en"",""es-ES"")"),"La mujer está posando a la cámara en un juego blanco en una presentación.")</f>
        <v>La mujer está posando a la cámara en un juego blanco en una presentación.</v>
      </c>
    </row>
    <row r="15988">
      <c r="A15988" s="4" t="s">
        <v>20135</v>
      </c>
      <c r="B15988" s="4" t="s">
        <v>20137</v>
      </c>
      <c r="C15988" s="5" t="str">
        <f>IFERROR(__xludf.DUMMYFUNCTION("GOOGLETRANSLATE(B15988,""en"",""es-ES"")"),"La mujer está de pie en una cocina hablando con la cámara y mostrando un plato de pasta y los ingedientes.")</f>
        <v>La mujer está de pie en una cocina hablando con la cámara y mostrando un plato de pasta y los ingedientes.</v>
      </c>
    </row>
    <row r="15989">
      <c r="A15989" s="4" t="s">
        <v>20135</v>
      </c>
      <c r="B15989" s="4" t="s">
        <v>20138</v>
      </c>
      <c r="C15989" s="5" t="str">
        <f>IFERROR(__xludf.DUMMYFUNCTION("GOOGLETRANSLATE(B15989,""en"",""es-ES"")"),"La mujer pica verduras y saltea las verduras en una sartén.")</f>
        <v>La mujer pica verduras y saltea las verduras en una sartén.</v>
      </c>
    </row>
    <row r="15990">
      <c r="A15990" s="4" t="s">
        <v>20135</v>
      </c>
      <c r="B15990" s="4" t="s">
        <v>20139</v>
      </c>
      <c r="C15990" s="5" t="str">
        <f>IFERROR(__xludf.DUMMYFUNCTION("GOOGLETRANSLATE(B15990,""en"",""es-ES"")"),"Hen Mezcle las verduras con pasta.")</f>
        <v>Hen Mezcle las verduras con pasta.</v>
      </c>
    </row>
    <row r="15991">
      <c r="A15991" s="4" t="s">
        <v>20140</v>
      </c>
      <c r="B15991" s="4" t="s">
        <v>20141</v>
      </c>
      <c r="C15991" s="5" t="str">
        <f>IFERROR(__xludf.DUMMYFUNCTION("GOOGLETRANSLATE(B15991,""en"",""es-ES"")"),"Vemos una cancha de curling.")</f>
        <v>Vemos una cancha de curling.</v>
      </c>
    </row>
    <row r="15992">
      <c r="A15992" s="4" t="s">
        <v>20140</v>
      </c>
      <c r="B15992" s="4" t="s">
        <v>20142</v>
      </c>
      <c r="C15992" s="5" t="str">
        <f>IFERROR(__xludf.DUMMYFUNCTION("GOOGLETRANSLATE(B15992,""en"",""es-ES"")"),"Las flechas apuntan a piedras en la cancha.")</f>
        <v>Las flechas apuntan a piedras en la cancha.</v>
      </c>
    </row>
    <row r="15993">
      <c r="A15993" s="4" t="s">
        <v>20140</v>
      </c>
      <c r="B15993" s="4" t="s">
        <v>20143</v>
      </c>
      <c r="C15993" s="5" t="str">
        <f>IFERROR(__xludf.DUMMYFUNCTION("GOOGLETRANSLATE(B15993,""en"",""es-ES"")"),"Una dama se va y regresa.")</f>
        <v>Una dama se va y regresa.</v>
      </c>
    </row>
    <row r="15994">
      <c r="A15994" s="4" t="s">
        <v>20140</v>
      </c>
      <c r="B15994" s="4" t="s">
        <v>20144</v>
      </c>
      <c r="C15994" s="5" t="str">
        <f>IFERROR(__xludf.DUMMYFUNCTION("GOOGLETRANSLATE(B15994,""en"",""es-ES"")"),"Las flechas parecen apuntar a las piedras.")</f>
        <v>Las flechas parecen apuntar a las piedras.</v>
      </c>
    </row>
    <row r="15995">
      <c r="A15995" s="4" t="s">
        <v>20140</v>
      </c>
      <c r="B15995" s="4" t="s">
        <v>20145</v>
      </c>
      <c r="C15995" s="5" t="str">
        <f>IFERROR(__xludf.DUMMYFUNCTION("GOOGLETRANSLATE(B15995,""en"",""es-ES"")"),"Vemos a dos damas, una dama diferente, luego otras.")</f>
        <v>Vemos a dos damas, una dama diferente, luego otras.</v>
      </c>
    </row>
    <row r="15996">
      <c r="A15996" s="4" t="s">
        <v>20140</v>
      </c>
      <c r="B15996" s="4" t="s">
        <v>20146</v>
      </c>
      <c r="C15996" s="5" t="str">
        <f>IFERROR(__xludf.DUMMYFUNCTION("GOOGLETRANSLATE(B15996,""en"",""es-ES"")"),"Vemos a un equipo de jugadores tirar las piedras.")</f>
        <v>Vemos a un equipo de jugadores tirar las piedras.</v>
      </c>
    </row>
    <row r="15997">
      <c r="A15997" s="4" t="s">
        <v>20140</v>
      </c>
      <c r="B15997" s="4" t="s">
        <v>20147</v>
      </c>
      <c r="C15997" s="5" t="str">
        <f>IFERROR(__xludf.DUMMYFUNCTION("GOOGLETRANSLATE(B15997,""en"",""es-ES"")"),"Vemos a la multitud aplaudir.")</f>
        <v>Vemos a la multitud aplaudir.</v>
      </c>
    </row>
    <row r="15998">
      <c r="A15998" s="4" t="s">
        <v>20140</v>
      </c>
      <c r="B15998" s="4" t="s">
        <v>20148</v>
      </c>
      <c r="C15998" s="5" t="str">
        <f>IFERROR(__xludf.DUMMYFUNCTION("GOOGLETRANSLATE(B15998,""en"",""es-ES"")"),"Vemos que la puntuación aparece en la pantalla.")</f>
        <v>Vemos que la puntuación aparece en la pantalla.</v>
      </c>
    </row>
    <row r="15999">
      <c r="A15999" s="4" t="s">
        <v>20149</v>
      </c>
      <c r="B15999" s="4" t="s">
        <v>20150</v>
      </c>
      <c r="C15999" s="5" t="str">
        <f>IFERROR(__xludf.DUMMYFUNCTION("GOOGLETRANSLATE(B15999,""en"",""es-ES"")"),"Un niño pequeño toca una gaita al lado de un gaita para adultos.")</f>
        <v>Un niño pequeño toca una gaita al lado de un gaita para adultos.</v>
      </c>
    </row>
    <row r="16000">
      <c r="A16000" s="4" t="s">
        <v>20149</v>
      </c>
      <c r="B16000" s="4" t="s">
        <v>20151</v>
      </c>
      <c r="C16000" s="5" t="str">
        <f>IFERROR(__xludf.DUMMYFUNCTION("GOOGLETRANSLATE(B16000,""en"",""es-ES"")"),"El gaitero joven marcha en su lugar mientras toca su gaita mientras los espectadores miran desde atrás.")</f>
        <v>El gaitero joven marcha en su lugar mientras toca su gaita mientras los espectadores miran desde atrás.</v>
      </c>
    </row>
    <row r="16001">
      <c r="A16001" s="4" t="s">
        <v>20149</v>
      </c>
      <c r="B16001" s="4" t="s">
        <v>20152</v>
      </c>
      <c r="C16001" s="5" t="str">
        <f>IFERROR(__xludf.DUMMYFUNCTION("GOOGLETRANSLATE(B16001,""en"",""es-ES"")"),"El gaitero adulto y el niño se paran uno al lado del otro mientras se realizan.")</f>
        <v>El gaitero adulto y el niño se paran uno al lado del otro mientras se realizan.</v>
      </c>
    </row>
    <row r="16002">
      <c r="A16002" s="4" t="s">
        <v>20149</v>
      </c>
      <c r="B16002" s="4" t="s">
        <v>20153</v>
      </c>
      <c r="C16002" s="5" t="str">
        <f>IFERROR(__xludf.DUMMYFUNCTION("GOOGLETRANSLATE(B16002,""en"",""es-ES"")"),"El niño termina de jugar y camina hacia la cámara.")</f>
        <v>El niño termina de jugar y camina hacia la cámara.</v>
      </c>
    </row>
    <row r="16003">
      <c r="A16003" s="4" t="s">
        <v>20154</v>
      </c>
      <c r="B16003" s="4" t="s">
        <v>20155</v>
      </c>
      <c r="C16003" s="5" t="str">
        <f>IFERROR(__xludf.DUMMYFUNCTION("GOOGLETRANSLATE(B16003,""en"",""es-ES"")"),"Se muestra a un niño pequeño balanceándose en un columpio en el patio público.")</f>
        <v>Se muestra a un niño pequeño balanceándose en un columpio en el patio público.</v>
      </c>
    </row>
    <row r="16004">
      <c r="A16004" s="4" t="s">
        <v>20154</v>
      </c>
      <c r="B16004" s="4" t="s">
        <v>20156</v>
      </c>
      <c r="C16004" s="5" t="str">
        <f>IFERROR(__xludf.DUMMYFUNCTION("GOOGLETRANSLATE(B16004,""en"",""es-ES"")"),"Se balancea en el aire cuando alguien lo empuja.")</f>
        <v>Se balancea en el aire cuando alguien lo empuja.</v>
      </c>
    </row>
    <row r="16005">
      <c r="A16005" s="4" t="s">
        <v>20154</v>
      </c>
      <c r="B16005" s="4" t="s">
        <v>20157</v>
      </c>
      <c r="C16005" s="5" t="str">
        <f>IFERROR(__xludf.DUMMYFUNCTION("GOOGLETRANSLATE(B16005,""en"",""es-ES"")"),"El niño sonríe y habla con la persona con la cámara.")</f>
        <v>El niño sonríe y habla con la persona con la cámara.</v>
      </c>
    </row>
    <row r="16006">
      <c r="A16006" s="4" t="s">
        <v>20158</v>
      </c>
      <c r="B16006" s="4" t="s">
        <v>20159</v>
      </c>
      <c r="C16006" s="5" t="str">
        <f>IFERROR(__xludf.DUMMYFUNCTION("GOOGLETRANSLATE(B16006,""en"",""es-ES"")"),"Los hombres están jugando un deporte en la arena.")</f>
        <v>Los hombres están jugando un deporte en la arena.</v>
      </c>
    </row>
    <row r="16007">
      <c r="A16007" s="4" t="s">
        <v>20158</v>
      </c>
      <c r="B16007" s="4" t="s">
        <v>20160</v>
      </c>
      <c r="C16007" s="5" t="str">
        <f>IFERROR(__xludf.DUMMYFUNCTION("GOOGLETRANSLATE(B16007,""en"",""es-ES"")"),"Un hombre se sienta en la arena herido.")</f>
        <v>Un hombre se sienta en la arena herido.</v>
      </c>
    </row>
    <row r="16008">
      <c r="A16008" s="4" t="s">
        <v>20161</v>
      </c>
      <c r="B16008" s="4" t="s">
        <v>20162</v>
      </c>
      <c r="C16008" s="5" t="str">
        <f>IFERROR(__xludf.DUMMYFUNCTION("GOOGLETRANSLATE(B16008,""en"",""es-ES"")"),"Una banda de música toca en la calle.")</f>
        <v>Una banda de música toca en la calle.</v>
      </c>
    </row>
    <row r="16009">
      <c r="A16009" s="4" t="s">
        <v>20161</v>
      </c>
      <c r="B16009" s="4" t="s">
        <v>20163</v>
      </c>
      <c r="C16009" s="5" t="str">
        <f>IFERROR(__xludf.DUMMYFUNCTION("GOOGLETRANSLATE(B16009,""en"",""es-ES"")"),"La gente camina detrás de la banda de música.")</f>
        <v>La gente camina detrás de la banda de música.</v>
      </c>
    </row>
    <row r="16010">
      <c r="A16010" s="4" t="s">
        <v>20161</v>
      </c>
      <c r="B16010" s="4" t="s">
        <v>20164</v>
      </c>
      <c r="C16010" s="5" t="str">
        <f>IFERROR(__xludf.DUMMYFUNCTION("GOOGLETRANSLATE(B16010,""en"",""es-ES"")"),"La gente pasa por la ventana de una tienda.")</f>
        <v>La gente pasa por la ventana de una tienda.</v>
      </c>
    </row>
    <row r="16011">
      <c r="A16011" s="4" t="s">
        <v>20165</v>
      </c>
      <c r="B16011" s="4" t="s">
        <v>20166</v>
      </c>
      <c r="C16011" s="5" t="str">
        <f>IFERROR(__xludf.DUMMYFUNCTION("GOOGLETRANSLATE(B16011,""en"",""es-ES"")"),"Un hombre está pintando el algo en el piso verde.")</f>
        <v>Un hombre está pintando el algo en el piso verde.</v>
      </c>
    </row>
    <row r="16012">
      <c r="A16012" s="4" t="s">
        <v>20165</v>
      </c>
      <c r="B16012" s="4" t="s">
        <v>20167</v>
      </c>
      <c r="C16012" s="5" t="str">
        <f>IFERROR(__xludf.DUMMYFUNCTION("GOOGLETRANSLATE(B16012,""en"",""es-ES"")"),"Ella hacia arriba y hacia abajo tratando repetidamente de asegurarse de que no se pierda ningún lugar en el área.")</f>
        <v>Ella hacia arriba y hacia abajo tratando repetidamente de asegurarse de que no se pierda ningún lugar en el área.</v>
      </c>
    </row>
    <row r="16013">
      <c r="A16013" s="4" t="s">
        <v>20165</v>
      </c>
      <c r="B16013" s="4" t="s">
        <v>20168</v>
      </c>
      <c r="C16013" s="5" t="str">
        <f>IFERROR(__xludf.DUMMYFUNCTION("GOOGLETRANSLATE(B16013,""en"",""es-ES"")"),"Se levanta un poco y mira la pieza un poco antes de sumergir su pincel en la pintura y comenzar de nuevo.")</f>
        <v>Se levanta un poco y mira la pieza un poco antes de sumergir su pincel en la pintura y comenzar de nuevo.</v>
      </c>
    </row>
    <row r="16014">
      <c r="A16014" s="4" t="s">
        <v>20165</v>
      </c>
      <c r="B16014" s="4" t="s">
        <v>20169</v>
      </c>
      <c r="C16014" s="5" t="str">
        <f>IFERROR(__xludf.DUMMYFUNCTION("GOOGLETRANSLATE(B16014,""en"",""es-ES"")"),"Se mueve a partes que aún no se ha ido a pintar.")</f>
        <v>Se mueve a partes que aún no se ha ido a pintar.</v>
      </c>
    </row>
    <row r="16015">
      <c r="A16015" s="4" t="s">
        <v>20170</v>
      </c>
      <c r="B16015" s="4" t="s">
        <v>20171</v>
      </c>
      <c r="C16015" s="5" t="str">
        <f>IFERROR(__xludf.DUMMYFUNCTION("GOOGLETRANSLATE(B16015,""en"",""es-ES"")"),"Hay un juego competitivo de tira y afloja en un campo abierto.")</f>
        <v>Hay un juego competitivo de tira y afloja en un campo abierto.</v>
      </c>
    </row>
    <row r="16016">
      <c r="A16016" s="4" t="s">
        <v>20170</v>
      </c>
      <c r="B16016" s="4" t="s">
        <v>20172</v>
      </c>
      <c r="C16016" s="5" t="str">
        <f>IFERROR(__xludf.DUMMYFUNCTION("GOOGLETRANSLATE(B16016,""en"",""es-ES"")"),"Donde un equipo que lleva azul está compitiendo contra otro equipo.")</f>
        <v>Donde un equipo que lleva azul está compitiendo contra otro equipo.</v>
      </c>
    </row>
    <row r="16017">
      <c r="A16017" s="4" t="s">
        <v>20170</v>
      </c>
      <c r="B16017" s="4" t="s">
        <v>20173</v>
      </c>
      <c r="C16017" s="5" t="str">
        <f>IFERROR(__xludf.DUMMYFUNCTION("GOOGLETRANSLATE(B16017,""en"",""es-ES"")"),"El entrenador está dando instrucciones al equipo sobre cómo tirar de la cuerda.")</f>
        <v>El entrenador está dando instrucciones al equipo sobre cómo tirar de la cuerda.</v>
      </c>
    </row>
    <row r="16018">
      <c r="A16018" s="4" t="s">
        <v>20170</v>
      </c>
      <c r="B16018" s="4" t="s">
        <v>20174</v>
      </c>
      <c r="C16018" s="5" t="str">
        <f>IFERROR(__xludf.DUMMYFUNCTION("GOOGLETRANSLATE(B16018,""en"",""es-ES"")"),"Él los está alentando a no dar y continuar sus esfuerzos.")</f>
        <v>Él los está alentando a no dar y continuar sus esfuerzos.</v>
      </c>
    </row>
    <row r="16019">
      <c r="A16019" s="4" t="s">
        <v>20170</v>
      </c>
      <c r="B16019" s="4" t="s">
        <v>20175</v>
      </c>
      <c r="C16019" s="5" t="str">
        <f>IFERROR(__xludf.DUMMYFUNCTION("GOOGLETRANSLATE(B16019,""en"",""es-ES"")"),"Hay espectadores mirando el evento y animando a los participantes.")</f>
        <v>Hay espectadores mirando el evento y animando a los participantes.</v>
      </c>
    </row>
    <row r="16020">
      <c r="A16020" s="4" t="s">
        <v>20170</v>
      </c>
      <c r="B16020" s="4" t="s">
        <v>20176</v>
      </c>
      <c r="C16020" s="5" t="str">
        <f>IFERROR(__xludf.DUMMYFUNCTION("GOOGLETRANSLATE(B16020,""en"",""es-ES"")"),"Hay pocas rondas más de tira y afloja que los espectadores observan y animan a los jugadores.")</f>
        <v>Hay pocas rondas más de tira y afloja que los espectadores observan y animan a los jugadores.</v>
      </c>
    </row>
    <row r="16021">
      <c r="A16021" s="4" t="s">
        <v>20170</v>
      </c>
      <c r="B16021" s="4" t="s">
        <v>20177</v>
      </c>
      <c r="C16021" s="5" t="str">
        <f>IFERROR(__xludf.DUMMYFUNCTION("GOOGLETRANSLATE(B16021,""en"",""es-ES"")"),"El entrenador continúa alentando a los jugadores.")</f>
        <v>El entrenador continúa alentando a los jugadores.</v>
      </c>
    </row>
    <row r="16022">
      <c r="A16022" s="4" t="s">
        <v>20170</v>
      </c>
      <c r="B16022" s="4" t="s">
        <v>20178</v>
      </c>
      <c r="C16022" s="5" t="str">
        <f>IFERROR(__xludf.DUMMYFUNCTION("GOOGLETRANSLATE(B16022,""en"",""es-ES"")"),"Después de ganar el tira y afloja, todos los espectadores se agotan y abrazan a los jugadores.")</f>
        <v>Después de ganar el tira y afloja, todos los espectadores se agotan y abrazan a los jugadores.</v>
      </c>
    </row>
    <row r="16023">
      <c r="A16023" s="4" t="s">
        <v>20170</v>
      </c>
      <c r="B16023" s="4" t="s">
        <v>20179</v>
      </c>
      <c r="C16023" s="5" t="str">
        <f>IFERROR(__xludf.DUMMYFUNCTION("GOOGLETRANSLATE(B16023,""en"",""es-ES"")"),"Un camarógrafo toma sus fotos.")</f>
        <v>Un camarógrafo toma sus fotos.</v>
      </c>
    </row>
    <row r="16024">
      <c r="A16024" s="4" t="s">
        <v>20170</v>
      </c>
      <c r="B16024" s="4" t="s">
        <v>20180</v>
      </c>
      <c r="C16024" s="5" t="str">
        <f>IFERROR(__xludf.DUMMYFUNCTION("GOOGLETRANSLATE(B16024,""en"",""es-ES"")"),"Todo el equipo posa para una foto del equipo después de su victoria.")</f>
        <v>Todo el equipo posa para una foto del equipo después de su victoria.</v>
      </c>
    </row>
    <row r="16025">
      <c r="A16025" s="4" t="s">
        <v>20181</v>
      </c>
      <c r="B16025" s="4" t="s">
        <v>20182</v>
      </c>
      <c r="C16025" s="5" t="str">
        <f>IFERROR(__xludf.DUMMYFUNCTION("GOOGLETRANSLATE(B16025,""en"",""es-ES"")"),"Una mujer comienza a cepillarse un caballo.")</f>
        <v>Una mujer comienza a cepillarse un caballo.</v>
      </c>
    </row>
    <row r="16026">
      <c r="A16026" s="4" t="s">
        <v>20181</v>
      </c>
      <c r="B16026" s="4" t="s">
        <v>20183</v>
      </c>
      <c r="C16026" s="5" t="str">
        <f>IFERROR(__xludf.DUMMYFUNCTION("GOOGLETRANSLATE(B16026,""en"",""es-ES"")"),"Ella recibe un cepillo rosa y comienza a cepillar al caballo nuevamente.")</f>
        <v>Ella recibe un cepillo rosa y comienza a cepillar al caballo nuevamente.</v>
      </c>
    </row>
    <row r="16027">
      <c r="A16027" s="4" t="s">
        <v>20181</v>
      </c>
      <c r="B16027" s="4" t="s">
        <v>20184</v>
      </c>
      <c r="C16027" s="5" t="str">
        <f>IFERROR(__xludf.DUMMYFUNCTION("GOOGLETRANSLATE(B16027,""en"",""es-ES"")"),"Ella recibe un cepillo negro y continúa cepillando el caballo.")</f>
        <v>Ella recibe un cepillo negro y continúa cepillando el caballo.</v>
      </c>
    </row>
    <row r="16028">
      <c r="A16028" s="4" t="s">
        <v>20181</v>
      </c>
      <c r="B16028" s="4" t="s">
        <v>20185</v>
      </c>
      <c r="C16028" s="5" t="str">
        <f>IFERROR(__xludf.DUMMYFUNCTION("GOOGLETRANSLATE(B16028,""en"",""es-ES"")"),"Ella comienza a cepillar las piernas del caballo.")</f>
        <v>Ella comienza a cepillar las piernas del caballo.</v>
      </c>
    </row>
    <row r="16029">
      <c r="A16029" s="4" t="s">
        <v>20181</v>
      </c>
      <c r="B16029" s="4" t="s">
        <v>20186</v>
      </c>
      <c r="C16029" s="5" t="str">
        <f>IFERROR(__xludf.DUMMYFUNCTION("GOOGLETRANSLATE(B16029,""en"",""es-ES"")"),"Ella levanta el pie de los caballos y limpia el fondo del pie.")</f>
        <v>Ella levanta el pie de los caballos y limpia el fondo del pie.</v>
      </c>
    </row>
    <row r="16030">
      <c r="A16030" s="4" t="s">
        <v>20187</v>
      </c>
      <c r="B16030" s="4" t="s">
        <v>20188</v>
      </c>
      <c r="C16030" s="5" t="str">
        <f>IFERROR(__xludf.DUMMYFUNCTION("GOOGLETRANSLATE(B16030,""en"",""es-ES"")"),"Se ve a un hombre hablando con la cámara y lo lleva a su altura de una sartén de cocina.")</f>
        <v>Se ve a un hombre hablando con la cámara y lo lleva a su altura de una sartén de cocina.</v>
      </c>
    </row>
    <row r="16031">
      <c r="A16031" s="4" t="s">
        <v>20187</v>
      </c>
      <c r="B16031" s="4" t="s">
        <v>20189</v>
      </c>
      <c r="C16031" s="5" t="str">
        <f>IFERROR(__xludf.DUMMYFUNCTION("GOOGLETRANSLATE(B16031,""en"",""es-ES"")"),"El hombre mezcla los ingredientes en un tazón y lo verta en una sartén mientras se agita continuamente.")</f>
        <v>El hombre mezcla los ingredientes en un tazón y lo verta en una sartén mientras se agita continuamente.</v>
      </c>
    </row>
    <row r="16032">
      <c r="A16032" s="4" t="s">
        <v>20187</v>
      </c>
      <c r="B16032" s="4" t="s">
        <v>20190</v>
      </c>
      <c r="C16032" s="5" t="str">
        <f>IFERROR(__xludf.DUMMYFUNCTION("GOOGLETRANSLATE(B16032,""en"",""es-ES"")"),"Vierte la comida en un plato y todavía sostiene la sartén en la mano.")</f>
        <v>Vierte la comida en un plato y todavía sostiene la sartén en la mano.</v>
      </c>
    </row>
    <row r="16033">
      <c r="A16033" s="4" t="s">
        <v>20191</v>
      </c>
      <c r="B16033" s="4" t="s">
        <v>20192</v>
      </c>
      <c r="C16033" s="5" t="str">
        <f>IFERROR(__xludf.DUMMYFUNCTION("GOOGLETRANSLATE(B16033,""en"",""es-ES"")"),"Un montaje de un sacerdote está dando comunión a las personas.")</f>
        <v>Un montaje de un sacerdote está dando comunión a las personas.</v>
      </c>
    </row>
    <row r="16034">
      <c r="A16034" s="4" t="s">
        <v>20191</v>
      </c>
      <c r="B16034" s="4" t="s">
        <v>20193</v>
      </c>
      <c r="C16034" s="5" t="str">
        <f>IFERROR(__xludf.DUMMYFUNCTION("GOOGLETRANSLATE(B16034,""en"",""es-ES"")"),"Jesús y la Madre Teresa se muestran como un montaje continúa.")</f>
        <v>Jesús y la Madre Teresa se muestran como un montaje continúa.</v>
      </c>
    </row>
    <row r="16035">
      <c r="A16035" s="4" t="s">
        <v>20194</v>
      </c>
      <c r="B16035" s="4" t="s">
        <v>20195</v>
      </c>
      <c r="C16035" s="5" t="str">
        <f>IFERROR(__xludf.DUMMYFUNCTION("GOOGLETRANSLATE(B16035,""en"",""es-ES"")"),"Una joven con cabello Burnette está parado detrás de un mostrador negro en un bar con varios alcohol.")</f>
        <v>Una joven con cabello Burnette está parado detrás de un mostrador negro en un bar con varios alcohol.</v>
      </c>
    </row>
    <row r="16036">
      <c r="A16036" s="4" t="s">
        <v>20194</v>
      </c>
      <c r="B16036" s="4" t="s">
        <v>20196</v>
      </c>
      <c r="C16036" s="5" t="str">
        <f>IFERROR(__xludf.DUMMYFUNCTION("GOOGLETRANSLATE(B16036,""en"",""es-ES"")"),"Luego agarra un vaso transparente y pone hielo en él.")</f>
        <v>Luego agarra un vaso transparente y pone hielo en él.</v>
      </c>
    </row>
    <row r="16037">
      <c r="A16037" s="4" t="s">
        <v>20194</v>
      </c>
      <c r="B16037" s="4" t="s">
        <v>20197</v>
      </c>
      <c r="C16037" s="5" t="str">
        <f>IFERROR(__xludf.DUMMYFUNCTION("GOOGLETRANSLATE(B16037,""en"",""es-ES"")"),"Luego viene el licor y ella vierte, jugo de naranja y jarabe y la bebida está completa.")</f>
        <v>Luego viene el licor y ella vierte, jugo de naranja y jarabe y la bebida está completa.</v>
      </c>
    </row>
    <row r="16038">
      <c r="A16038" s="4" t="s">
        <v>20198</v>
      </c>
      <c r="B16038" s="4" t="s">
        <v>20199</v>
      </c>
      <c r="C16038" s="5" t="str">
        <f>IFERROR(__xludf.DUMMYFUNCTION("GOOGLETRANSLATE(B16038,""en"",""es-ES"")"),"Cuatro hombres están parados en la cancha de racquetball.")</f>
        <v>Cuatro hombres están parados en la cancha de racquetball.</v>
      </c>
    </row>
    <row r="16039">
      <c r="A16039" s="4" t="s">
        <v>20198</v>
      </c>
      <c r="B16039" s="4" t="s">
        <v>20200</v>
      </c>
      <c r="C16039" s="5" t="str">
        <f>IFERROR(__xludf.DUMMYFUNCTION("GOOGLETRANSLATE(B16039,""en"",""es-ES"")"),"Un hombre sirve la pelota.")</f>
        <v>Un hombre sirve la pelota.</v>
      </c>
    </row>
    <row r="16040">
      <c r="A16040" s="4" t="s">
        <v>20198</v>
      </c>
      <c r="B16040" s="4" t="s">
        <v>20201</v>
      </c>
      <c r="C16040" s="5" t="str">
        <f>IFERROR(__xludf.DUMMYFUNCTION("GOOGLETRANSLATE(B16040,""en"",""es-ES"")"),"Los hombres comienzan a volear.")</f>
        <v>Los hombres comienzan a volear.</v>
      </c>
    </row>
    <row r="16041">
      <c r="A16041" s="4" t="s">
        <v>20198</v>
      </c>
      <c r="B16041" s="4" t="s">
        <v>20202</v>
      </c>
      <c r="C16041" s="5" t="str">
        <f>IFERROR(__xludf.DUMMYFUNCTION("GOOGLETRANSLATE(B16041,""en"",""es-ES"")"),"Un equipo anota un punto.")</f>
        <v>Un equipo anota un punto.</v>
      </c>
    </row>
    <row r="16042">
      <c r="A16042" s="4" t="s">
        <v>20198</v>
      </c>
      <c r="B16042" s="4" t="s">
        <v>20203</v>
      </c>
      <c r="C16042" s="5" t="str">
        <f>IFERROR(__xludf.DUMMYFUNCTION("GOOGLETRANSLATE(B16042,""en"",""es-ES"")"),"Todos repiten el proceso.")</f>
        <v>Todos repiten el proceso.</v>
      </c>
    </row>
    <row r="16043">
      <c r="A16043" s="4" t="s">
        <v>20204</v>
      </c>
      <c r="B16043" s="4" t="s">
        <v>20205</v>
      </c>
      <c r="C16043" s="5" t="str">
        <f>IFERROR(__xludf.DUMMYFUNCTION("GOOGLETRANSLATE(B16043,""en"",""es-ES"")"),"Una persona con un traje de protección naranja y una máscara negra de metal solda algo en un entorno industrial.")</f>
        <v>Una persona con un traje de protección naranja y una máscara negra de metal solda algo en un entorno industrial.</v>
      </c>
    </row>
    <row r="16044">
      <c r="A16044" s="4" t="s">
        <v>20204</v>
      </c>
      <c r="B16044" s="4" t="s">
        <v>20206</v>
      </c>
      <c r="C16044" s="5" t="str">
        <f>IFERROR(__xludf.DUMMYFUNCTION("GOOGLETRANSLATE(B16044,""en"",""es-ES"")"),"Una persona se para junto a una caja negra en un casco de metal mientras las chispas de fuego surgen de una caja con cable a la derecha.")</f>
        <v>Una persona se para junto a una caja negra en un casco de metal mientras las chispas de fuego surgen de una caja con cable a la derecha.</v>
      </c>
    </row>
    <row r="16045">
      <c r="A16045" s="4" t="s">
        <v>20204</v>
      </c>
      <c r="B16045" s="4" t="s">
        <v>20207</v>
      </c>
      <c r="C16045" s="5" t="str">
        <f>IFERROR(__xludf.DUMMYFUNCTION("GOOGLETRANSLATE(B16045,""en"",""es-ES"")"),"Una gran rueda gris gira detrás del trabajador en medio de las chispas de fuego y otro trabajador que camina con un traje de protección azul.")</f>
        <v>Una gran rueda gris gira detrás del trabajador en medio de las chispas de fuego y otro trabajador que camina con un traje de protección azul.</v>
      </c>
    </row>
    <row r="16046">
      <c r="A16046" s="4" t="s">
        <v>20208</v>
      </c>
      <c r="B16046" s="4" t="s">
        <v>20209</v>
      </c>
      <c r="C16046" s="5" t="str">
        <f>IFERROR(__xludf.DUMMYFUNCTION("GOOGLETRANSLATE(B16046,""en"",""es-ES"")"),"Dos mujeres están parados sobre los hombros de los demás.")</f>
        <v>Dos mujeres están parados sobre los hombros de los demás.</v>
      </c>
    </row>
    <row r="16047">
      <c r="A16047" s="4" t="s">
        <v>20208</v>
      </c>
      <c r="B16047" s="4" t="s">
        <v>20210</v>
      </c>
      <c r="C16047" s="5" t="str">
        <f>IFERROR(__xludf.DUMMYFUNCTION("GOOGLETRANSLATE(B16047,""en"",""es-ES"")"),"Levantan a otra mujer en el aire, equilibrándola entre ellos antes de dejarla atrapar.")</f>
        <v>Levantan a otra mujer en el aire, equilibrándola entre ellos antes de dejarla atrapar.</v>
      </c>
    </row>
    <row r="16048">
      <c r="A16048" s="4" t="s">
        <v>20208</v>
      </c>
      <c r="B16048" s="4" t="s">
        <v>20211</v>
      </c>
      <c r="C16048" s="5" t="str">
        <f>IFERROR(__xludf.DUMMYFUNCTION("GOOGLETRANSLATE(B16048,""en"",""es-ES"")"),"Sin embargo, las chicas de abajo son llamadas al suelo.")</f>
        <v>Sin embargo, las chicas de abajo son llamadas al suelo.</v>
      </c>
    </row>
    <row r="16049">
      <c r="A16049" s="4" t="s">
        <v>20212</v>
      </c>
      <c r="B16049" s="4" t="s">
        <v>20213</v>
      </c>
      <c r="C16049" s="5" t="str">
        <f>IFERROR(__xludf.DUMMYFUNCTION("GOOGLETRANSLATE(B16049,""en"",""es-ES"")"),"Un hombre corta un trozo de madera con un hacha.")</f>
        <v>Un hombre corta un trozo de madera con un hacha.</v>
      </c>
    </row>
    <row r="16050">
      <c r="A16050" s="4" t="s">
        <v>20212</v>
      </c>
      <c r="B16050" s="4" t="s">
        <v>20214</v>
      </c>
      <c r="C16050" s="5" t="str">
        <f>IFERROR(__xludf.DUMMYFUNCTION("GOOGLETRANSLATE(B16050,""en"",""es-ES"")"),"Luego, su acción se reproduce en cámara lenta.")</f>
        <v>Luego, su acción se reproduce en cámara lenta.</v>
      </c>
    </row>
    <row r="16051">
      <c r="A16051" s="4" t="s">
        <v>20212</v>
      </c>
      <c r="B16051" s="4" t="s">
        <v>20215</v>
      </c>
      <c r="C16051" s="5" t="str">
        <f>IFERROR(__xludf.DUMMYFUNCTION("GOOGLETRANSLATE(B16051,""en"",""es-ES"")"),"Luego toma un trozo de madera, lo corta en una pila.")</f>
        <v>Luego toma un trozo de madera, lo corta en una pila.</v>
      </c>
    </row>
    <row r="16052">
      <c r="A16052" s="4" t="s">
        <v>20216</v>
      </c>
      <c r="B16052" s="4" t="s">
        <v>20217</v>
      </c>
      <c r="C16052" s="5" t="str">
        <f>IFERROR(__xludf.DUMMYFUNCTION("GOOGLETRANSLATE(B16052,""en"",""es-ES"")"),"Una introducción llega a la pantalla para un video sobre la reparación de muebles.")</f>
        <v>Una introducción llega a la pantalla para un video sobre la reparación de muebles.</v>
      </c>
    </row>
    <row r="16053">
      <c r="A16053" s="4" t="s">
        <v>20216</v>
      </c>
      <c r="B16053" s="4" t="s">
        <v>20218</v>
      </c>
      <c r="C16053" s="5" t="str">
        <f>IFERROR(__xludf.DUMMYFUNCTION("GOOGLETRANSLATE(B16053,""en"",""es-ES"")"),"Una mujer se muestra en la pantalla con guantes y una tela en la crema de frotamiento de la mano en una otomana de cuero para reparar el desgaste.")</f>
        <v>Una mujer se muestra en la pantalla con guantes y una tela en la crema de frotamiento de la mano en una otomana de cuero para reparar el desgaste.</v>
      </c>
    </row>
    <row r="16054">
      <c r="A16054" s="4" t="s">
        <v>20216</v>
      </c>
      <c r="B16054" s="4" t="s">
        <v>20219</v>
      </c>
      <c r="C16054" s="5" t="str">
        <f>IFERROR(__xludf.DUMMYFUNCTION("GOOGLETRANSLATE(B16054,""en"",""es-ES"")"),"El video termina con los gráficos para los créditos de cierre al final.")</f>
        <v>El video termina con los gráficos para los créditos de cierre al final.</v>
      </c>
    </row>
    <row r="16055">
      <c r="A16055" s="4" t="s">
        <v>20220</v>
      </c>
      <c r="B16055" s="4" t="s">
        <v>20221</v>
      </c>
      <c r="C16055" s="5" t="str">
        <f>IFERROR(__xludf.DUMMYFUNCTION("GOOGLETRANSLATE(B16055,""en"",""es-ES"")"),"El hombre está parado en la cancha con una red detrás de él.")</f>
        <v>El hombre está parado en la cancha con una red detrás de él.</v>
      </c>
    </row>
    <row r="16056">
      <c r="A16056" s="4" t="s">
        <v>20220</v>
      </c>
      <c r="B16056" s="4" t="s">
        <v>20222</v>
      </c>
      <c r="C16056" s="5" t="str">
        <f>IFERROR(__xludf.DUMMYFUNCTION("GOOGLETRANSLATE(B16056,""en"",""es-ES"")"),"Los hombres están jugando Volyball en un gimnasio de la cancha.")</f>
        <v>Los hombres están jugando Volyball en un gimnasio de la cancha.</v>
      </c>
    </row>
    <row r="16057">
      <c r="A16057" s="4" t="s">
        <v>20223</v>
      </c>
      <c r="B16057" s="4" t="s">
        <v>20224</v>
      </c>
      <c r="C16057" s="5" t="str">
        <f>IFERROR(__xludf.DUMMYFUNCTION("GOOGLETRANSLATE(B16057,""en"",""es-ES"")"),"Un joven atleta masculino está parado en un campo y gira hacia atrás en un pequeño círculo.")</f>
        <v>Un joven atleta masculino está parado en un campo y gira hacia atrás en un pequeño círculo.</v>
      </c>
    </row>
    <row r="16058">
      <c r="A16058" s="4" t="s">
        <v>20223</v>
      </c>
      <c r="B16058" s="4" t="s">
        <v>20225</v>
      </c>
      <c r="C16058" s="5" t="str">
        <f>IFERROR(__xludf.DUMMYFUNCTION("GOOGLETRANSLATE(B16058,""en"",""es-ES"")"),"Luego extiende sus brazos y comienza a moverlos de un lado a otro.")</f>
        <v>Luego extiende sus brazos y comienza a moverlos de un lado a otro.</v>
      </c>
    </row>
    <row r="16059">
      <c r="A16059" s="4" t="s">
        <v>20223</v>
      </c>
      <c r="B16059" s="4" t="s">
        <v>20226</v>
      </c>
      <c r="C16059" s="5" t="str">
        <f>IFERROR(__xludf.DUMMYFUNCTION("GOOGLETRANSLATE(B16059,""en"",""es-ES"")"),"Una vez listo, gira y tira el disco en el campo, se aleja y mira hacia atrás a la distancia.")</f>
        <v>Una vez listo, gira y tira el disco en el campo, se aleja y mira hacia atrás a la distancia.</v>
      </c>
    </row>
    <row r="16060">
      <c r="A16060" s="4" t="s">
        <v>20227</v>
      </c>
      <c r="B16060" s="4" t="s">
        <v>20228</v>
      </c>
      <c r="C16060" s="5" t="str">
        <f>IFERROR(__xludf.DUMMYFUNCTION("GOOGLETRANSLATE(B16060,""en"",""es-ES"")"),"Dos personas están rastrando hojas en un parque.")</f>
        <v>Dos personas están rastrando hojas en un parque.</v>
      </c>
    </row>
    <row r="16061">
      <c r="A16061" s="4" t="s">
        <v>20227</v>
      </c>
      <c r="B16061" s="4" t="s">
        <v>20229</v>
      </c>
      <c r="C16061" s="5" t="str">
        <f>IFERROR(__xludf.DUMMYFUNCTION("GOOGLETRANSLATE(B16061,""en"",""es-ES"")"),"El hombre en la parte trasera le da la espalda a la cámara.")</f>
        <v>El hombre en la parte trasera le da la espalda a la cámara.</v>
      </c>
    </row>
    <row r="16062">
      <c r="A16062" s="4" t="s">
        <v>20227</v>
      </c>
      <c r="B16062" s="4" t="s">
        <v>20230</v>
      </c>
      <c r="C16062" s="5" t="str">
        <f>IFERROR(__xludf.DUMMYFUNCTION("GOOGLETRANSLATE(B16062,""en"",""es-ES"")"),"La señora de la izquierda gira hacia la derecha.")</f>
        <v>La señora de la izquierda gira hacia la derecha.</v>
      </c>
    </row>
    <row r="16063">
      <c r="A16063" s="4" t="s">
        <v>20231</v>
      </c>
      <c r="B16063" s="4" t="s">
        <v>20232</v>
      </c>
      <c r="C16063" s="5" t="str">
        <f>IFERROR(__xludf.DUMMYFUNCTION("GOOGLETRANSLATE(B16063,""en"",""es-ES"")"),"El hombre usa su partido para prender fuego a los troncos de madera.")</f>
        <v>El hombre usa su partido para prender fuego a los troncos de madera.</v>
      </c>
    </row>
    <row r="16064">
      <c r="A16064" s="4" t="s">
        <v>20231</v>
      </c>
      <c r="B16064" s="4" t="s">
        <v>20233</v>
      </c>
      <c r="C16064" s="5" t="str">
        <f>IFERROR(__xludf.DUMMYFUNCTION("GOOGLETRANSLATE(B16064,""en"",""es-ES"")"),"El fuego es realmente pequeño al principio, pero luego crece y se hace más grande.")</f>
        <v>El fuego es realmente pequeño al principio, pero luego crece y se hace más grande.</v>
      </c>
    </row>
    <row r="16065">
      <c r="A16065" s="4" t="s">
        <v>20231</v>
      </c>
      <c r="B16065" s="4" t="s">
        <v>20234</v>
      </c>
      <c r="C16065" s="5" t="str">
        <f>IFERROR(__xludf.DUMMYFUNCTION("GOOGLETRANSLATE(B16065,""en"",""es-ES"")"),"Después de un tiempo, el video termina aún mostrando el fuego creado por partidos y ramas de árboles.")</f>
        <v>Después de un tiempo, el video termina aún mostrando el fuego creado por partidos y ramas de árboles.</v>
      </c>
    </row>
    <row r="16066">
      <c r="A16066" s="4" t="s">
        <v>20235</v>
      </c>
      <c r="B16066" s="4" t="s">
        <v>20236</v>
      </c>
      <c r="C16066" s="5" t="str">
        <f>IFERROR(__xludf.DUMMYFUNCTION("GOOGLETRANSLATE(B16066,""en"",""es-ES"")"),"El sitio web de Livestrong muestra un video sobre el boxeo.")</f>
        <v>El sitio web de Livestrong muestra un video sobre el boxeo.</v>
      </c>
    </row>
    <row r="16067">
      <c r="A16067" s="4" t="s">
        <v>20235</v>
      </c>
      <c r="B16067" s="4" t="s">
        <v>20237</v>
      </c>
      <c r="C16067" s="5" t="str">
        <f>IFERROR(__xludf.DUMMYFUNCTION("GOOGLETRANSLATE(B16067,""en"",""es-ES"")"),"Una boxeadora, Jolie Glassman está demostrando cómo golpear correctamente y boxear el saco de boxeo.")</f>
        <v>Una boxeadora, Jolie Glassman está demostrando cómo golpear correctamente y boxear el saco de boxeo.</v>
      </c>
    </row>
    <row r="16068">
      <c r="A16068" s="4" t="s">
        <v>20235</v>
      </c>
      <c r="B16068" s="4" t="s">
        <v>20238</v>
      </c>
      <c r="C16068" s="5" t="str">
        <f>IFERROR(__xludf.DUMMYFUNCTION("GOOGLETRANSLATE(B16068,""en"",""es-ES"")"),"Ella está en un gimnasio demostrando técnicas de patadas y golpes.")</f>
        <v>Ella está en un gimnasio demostrando técnicas de patadas y golpes.</v>
      </c>
    </row>
    <row r="16069">
      <c r="A16069" s="4" t="s">
        <v>20239</v>
      </c>
      <c r="B16069" s="4" t="s">
        <v>20240</v>
      </c>
      <c r="C16069" s="5" t="str">
        <f>IFERROR(__xludf.DUMMYFUNCTION("GOOGLETRANSLATE(B16069,""en"",""es-ES"")"),"Se ve a una persona cabalgando por una colina nevada de cerca, así como a otra persona y un niño montando por la montaña.")</f>
        <v>Se ve a una persona cabalgando por una colina nevada de cerca, así como a otra persona y un niño montando por la montaña.</v>
      </c>
    </row>
    <row r="16070">
      <c r="A16070" s="4" t="s">
        <v>20239</v>
      </c>
      <c r="B16070" s="4" t="s">
        <v>20241</v>
      </c>
      <c r="C16070" s="5" t="str">
        <f>IFERROR(__xludf.DUMMYFUNCTION("GOOGLETRANSLATE(B16070,""en"",""es-ES"")"),"Se muestran varios clips más de personas que viajan por la montaña desde varios ángulos con personas gritando y vitoreando.")</f>
        <v>Se muestran varios clips más de personas que viajan por la montaña desde varios ángulos con personas gritando y vitoreando.</v>
      </c>
    </row>
    <row r="16071">
      <c r="A16071" s="4" t="s">
        <v>20242</v>
      </c>
      <c r="B16071" s="4" t="s">
        <v>20243</v>
      </c>
      <c r="C16071" s="5" t="str">
        <f>IFERROR(__xludf.DUMMYFUNCTION("GOOGLETRANSLATE(B16071,""en"",""es-ES"")"),"Vemos a un niño jugando a la ruta en un patio.")</f>
        <v>Vemos a un niño jugando a la ruta en un patio.</v>
      </c>
    </row>
    <row r="16072">
      <c r="A16072" s="4" t="s">
        <v>20242</v>
      </c>
      <c r="B16072" s="4" t="s">
        <v>20244</v>
      </c>
      <c r="C16072" s="5" t="str">
        <f>IFERROR(__xludf.DUMMYFUNCTION("GOOGLETRANSLATE(B16072,""en"",""es-ES"")"),"Una niña mayor los saltos.")</f>
        <v>Una niña mayor los saltos.</v>
      </c>
    </row>
    <row r="16073">
      <c r="A16073" s="4" t="s">
        <v>20242</v>
      </c>
      <c r="B16073" s="4" t="s">
        <v>20245</v>
      </c>
      <c r="C16073" s="5" t="str">
        <f>IFERROR(__xludf.DUMMYFUNCTION("GOOGLETRANSLATE(B16073,""en"",""es-ES"")"),"La primera chica regresa al lugar de inicio.")</f>
        <v>La primera chica regresa al lugar de inicio.</v>
      </c>
    </row>
    <row r="16074">
      <c r="A16074" s="4" t="s">
        <v>20242</v>
      </c>
      <c r="B16074" s="4" t="s">
        <v>20246</v>
      </c>
      <c r="C16074" s="5" t="str">
        <f>IFERROR(__xludf.DUMMYFUNCTION("GOOGLETRANSLATE(B16074,""en"",""es-ES"")"),"La niña mayor luego va de nuevo.")</f>
        <v>La niña mayor luego va de nuevo.</v>
      </c>
    </row>
    <row r="16075">
      <c r="A16075" s="4" t="s">
        <v>20247</v>
      </c>
      <c r="B16075" s="4" t="s">
        <v>20248</v>
      </c>
      <c r="C16075" s="5" t="str">
        <f>IFERROR(__xludf.DUMMYFUNCTION("GOOGLETRANSLATE(B16075,""en"",""es-ES"")"),"Un hombre demuestra, a través del ejemplo de cómo jugar la grabadora.")</f>
        <v>Un hombre demuestra, a través del ejemplo de cómo jugar la grabadora.</v>
      </c>
    </row>
    <row r="16076">
      <c r="A16076" s="4" t="s">
        <v>20247</v>
      </c>
      <c r="B16076" s="4" t="s">
        <v>20249</v>
      </c>
      <c r="C16076" s="5" t="str">
        <f>IFERROR(__xludf.DUMMYFUNCTION("GOOGLETRANSLATE(B16076,""en"",""es-ES"")"),"Un hombre se para frente a dos ventanas cubiertas de persianas cerradas de color beige, sosteniendo un instrumento de grabadora de madera con ambas manos frente a él, mientras habla con la cámara.")</f>
        <v>Un hombre se para frente a dos ventanas cubiertas de persianas cerradas de color beige, sosteniendo un instrumento de grabadora de madera con ambas manos frente a él, mientras habla con la cámara.</v>
      </c>
    </row>
    <row r="16077">
      <c r="A16077" s="4" t="s">
        <v>20247</v>
      </c>
      <c r="B16077" s="4" t="s">
        <v>20250</v>
      </c>
      <c r="C16077" s="5" t="str">
        <f>IFERROR(__xludf.DUMMYFUNCTION("GOOGLETRANSLATE(B16077,""en"",""es-ES"")"),"La cámara se cierra en el cuerpo de la grabadora de madera cuando el hombre comienza a jugar levantando los dedos de los diversos agujeros para hacer ruido.")</f>
        <v>La cámara se cierra en el cuerpo de la grabadora de madera cuando el hombre comienza a jugar levantando los dedos de los diversos agujeros para hacer ruido.</v>
      </c>
    </row>
    <row r="16078">
      <c r="A16078" s="4" t="s">
        <v>20247</v>
      </c>
      <c r="B16078" s="4" t="s">
        <v>20251</v>
      </c>
      <c r="C16078" s="5" t="str">
        <f>IFERROR(__xludf.DUMMYFUNCTION("GOOGLETRANSLATE(B16078,""en"",""es-ES"")"),"La cámara permanece en una toma de cerca de las manos del hombre y la parte inferior de la grabadora para el resto del clip.")</f>
        <v>La cámara permanece en una toma de cerca de las manos del hombre y la parte inferior de la grabadora para el resto del clip.</v>
      </c>
    </row>
    <row r="16079">
      <c r="A16079" s="4" t="s">
        <v>20252</v>
      </c>
      <c r="B16079" s="4" t="s">
        <v>20253</v>
      </c>
      <c r="C16079" s="5" t="str">
        <f>IFERROR(__xludf.DUMMYFUNCTION("GOOGLETRANSLATE(B16079,""en"",""es-ES"")"),"Se muestra un grupo de rocas arrastradas contra las orillas de un gran río azul.")</f>
        <v>Se muestra un grupo de rocas arrastradas contra las orillas de un gran río azul.</v>
      </c>
    </row>
    <row r="16080">
      <c r="A16080" s="4" t="s">
        <v>20252</v>
      </c>
      <c r="B16080" s="4" t="s">
        <v>20254</v>
      </c>
      <c r="C16080" s="5" t="str">
        <f>IFERROR(__xludf.DUMMYFUNCTION("GOOGLETRANSLATE(B16080,""en"",""es-ES"")"),"La cámara continúa abarcando el río y se muestra una cordillera.")</f>
        <v>La cámara continúa abarcando el río y se muestra una cordillera.</v>
      </c>
    </row>
    <row r="16081">
      <c r="A16081" s="4" t="s">
        <v>20252</v>
      </c>
      <c r="B16081" s="4" t="s">
        <v>20255</v>
      </c>
      <c r="C16081" s="5" t="str">
        <f>IFERROR(__xludf.DUMMYFUNCTION("GOOGLETRANSLATE(B16081,""en"",""es-ES"")"),"Se muestra otro ángulo y aparece un pequeño círculo en la pantalla.")</f>
        <v>Se muestra otro ángulo y aparece un pequeño círculo en la pantalla.</v>
      </c>
    </row>
    <row r="16082">
      <c r="A16082" s="4" t="s">
        <v>20252</v>
      </c>
      <c r="B16082" s="4" t="s">
        <v>20256</v>
      </c>
      <c r="C16082" s="5" t="str">
        <f>IFERROR(__xludf.DUMMYFUNCTION("GOOGLETRANSLATE(B16082,""en"",""es-ES"")"),"Dos excursionistas con mochilas son visibles y muestran una cuerda.")</f>
        <v>Dos excursionistas con mochilas son visibles y muestran una cuerda.</v>
      </c>
    </row>
    <row r="16083">
      <c r="A16083" s="4" t="s">
        <v>20252</v>
      </c>
      <c r="B16083" s="4" t="s">
        <v>20257</v>
      </c>
      <c r="C16083" s="5" t="str">
        <f>IFERROR(__xludf.DUMMYFUNCTION("GOOGLETRANSLATE(B16083,""en"",""es-ES"")"),"Luego, un hombre se sube al agua y aprieta las cuerdas alrededor de un árbol desde un lado del agua hasta el otro y se sienta en la cuerda.")</f>
        <v>Luego, un hombre se sube al agua y aprieta las cuerdas alrededor de un árbol desde un lado del agua hasta el otro y se sienta en la cuerda.</v>
      </c>
    </row>
    <row r="16084">
      <c r="A16084" s="4" t="s">
        <v>20252</v>
      </c>
      <c r="B16084" s="4" t="s">
        <v>20258</v>
      </c>
      <c r="C16084" s="5" t="str">
        <f>IFERROR(__xludf.DUMMYFUNCTION("GOOGLETRANSLATE(B16084,""en"",""es-ES"")"),"El hombre luego se levanta e intenta apretar la cuerda a través del agua pero cae al agua.")</f>
        <v>El hombre luego se levanta e intenta apretar la cuerda a través del agua pero cae al agua.</v>
      </c>
    </row>
    <row r="16085">
      <c r="A16085" s="4" t="s">
        <v>20259</v>
      </c>
      <c r="B16085" s="4" t="s">
        <v>20260</v>
      </c>
      <c r="C16085" s="5" t="str">
        <f>IFERROR(__xludf.DUMMYFUNCTION("GOOGLETRANSLATE(B16085,""en"",""es-ES"")"),"Se ve a un hombre de pie antes de un rayo de ejercicio y comienza a moverse en las barras mientras otros practican a su alrededor.")</f>
        <v>Se ve a un hombre de pie antes de un rayo de ejercicio y comienza a moverse en las barras mientras otros practican a su alrededor.</v>
      </c>
    </row>
    <row r="16086">
      <c r="A16086" s="4" t="s">
        <v>20259</v>
      </c>
      <c r="B16086" s="4" t="s">
        <v>20261</v>
      </c>
      <c r="C16086" s="5" t="str">
        <f>IFERROR(__xludf.DUMMYFUNCTION("GOOGLETRANSLATE(B16086,""en"",""es-ES"")"),"El hombre continúa entrenando en la viga y se detiene para hablar con la cámara mientras usa sus manos.")</f>
        <v>El hombre continúa entrenando en la viga y se detiene para hablar con la cámara mientras usa sus manos.</v>
      </c>
    </row>
    <row r="16087">
      <c r="A16087" s="4" t="s">
        <v>20262</v>
      </c>
      <c r="B16087" s="4" t="s">
        <v>20263</v>
      </c>
      <c r="C16087" s="5" t="str">
        <f>IFERROR(__xludf.DUMMYFUNCTION("GOOGLETRANSLATE(B16087,""en"",""es-ES"")"),"Se ve a una persona limpiando un trapo seguido de varios ingredientes unidos a su cadera.")</f>
        <v>Se ve a una persona limpiando un trapo seguido de varios ingredientes unidos a su cadera.</v>
      </c>
    </row>
    <row r="16088">
      <c r="A16088" s="4" t="s">
        <v>20262</v>
      </c>
      <c r="B16088" s="4" t="s">
        <v>20264</v>
      </c>
      <c r="C16088" s="5" t="str">
        <f>IFERROR(__xludf.DUMMYFUNCTION("GOOGLETRANSLATE(B16088,""en"",""es-ES"")"),"Ella rocía el trapo y luego se ve nuevamente lavando varias ventanas alrededor de una oficina.")</f>
        <v>Ella rocía el trapo y luego se ve nuevamente lavando varias ventanas alrededor de una oficina.</v>
      </c>
    </row>
    <row r="16089">
      <c r="A16089" s="4" t="s">
        <v>20262</v>
      </c>
      <c r="B16089" s="4" t="s">
        <v>20265</v>
      </c>
      <c r="C16089" s="5" t="str">
        <f>IFERROR(__xludf.DUMMYFUNCTION("GOOGLETRANSLATE(B16089,""en"",""es-ES"")"),"Ella limpia las manijas de la puerta también y luego pone los trapos en una lavadora, colgando el poste al final.")</f>
        <v>Ella limpia las manijas de la puerta también y luego pone los trapos en una lavadora, colgando el poste al final.</v>
      </c>
    </row>
    <row r="16090">
      <c r="A16090" s="4" t="s">
        <v>20266</v>
      </c>
      <c r="B16090" s="4" t="s">
        <v>20267</v>
      </c>
      <c r="C16090" s="5" t="str">
        <f>IFERROR(__xludf.DUMMYFUNCTION("GOOGLETRANSLATE(B16090,""en"",""es-ES"")"),"Un grupo de patinadores va rápidamente por una pista al aire libre.")</f>
        <v>Un grupo de patinadores va rápidamente por una pista al aire libre.</v>
      </c>
    </row>
    <row r="16091">
      <c r="A16091" s="4" t="s">
        <v>20266</v>
      </c>
      <c r="B16091" s="4" t="s">
        <v>20268</v>
      </c>
      <c r="C16091" s="5" t="str">
        <f>IFERROR(__xludf.DUMMYFUNCTION("GOOGLETRANSLATE(B16091,""en"",""es-ES"")"),"Un hombre que se acurruca en una silla de ruedas habla con la cámara.")</f>
        <v>Un hombre que se acurruca en una silla de ruedas habla con la cámara.</v>
      </c>
    </row>
    <row r="16092">
      <c r="A16092" s="4" t="s">
        <v>20266</v>
      </c>
      <c r="B16092" s="4" t="s">
        <v>20269</v>
      </c>
      <c r="C16092" s="5" t="str">
        <f>IFERROR(__xludf.DUMMYFUNCTION("GOOGLETRANSLATE(B16092,""en"",""es-ES"")"),"Un hombre se muestra con un disco, actuando.")</f>
        <v>Un hombre se muestra con un disco, actuando.</v>
      </c>
    </row>
    <row r="16093">
      <c r="A16093" s="4" t="s">
        <v>20266</v>
      </c>
      <c r="B16093" s="4" t="s">
        <v>20270</v>
      </c>
      <c r="C16093" s="5" t="str">
        <f>IFERROR(__xludf.DUMMYFUNCTION("GOOGLETRANSLATE(B16093,""en"",""es-ES"")"),"Varias personas alternan jugando con la cámara.")</f>
        <v>Varias personas alternan jugando con la cámara.</v>
      </c>
    </row>
    <row r="16094">
      <c r="A16094" s="4" t="s">
        <v>20271</v>
      </c>
      <c r="B16094" s="4" t="s">
        <v>20272</v>
      </c>
      <c r="C16094" s="5" t="str">
        <f>IFERROR(__xludf.DUMMYFUNCTION("GOOGLETRANSLATE(B16094,""en"",""es-ES"")"),"Una persona está navegando por un cuerpo de agua.")</f>
        <v>Una persona está navegando por un cuerpo de agua.</v>
      </c>
    </row>
    <row r="16095">
      <c r="A16095" s="4" t="s">
        <v>20271</v>
      </c>
      <c r="B16095" s="4" t="s">
        <v>20273</v>
      </c>
      <c r="C16095" s="5" t="str">
        <f>IFERROR(__xludf.DUMMYFUNCTION("GOOGLETRANSLATE(B16095,""en"",""es-ES"")"),"La persona pasa a alguien nadando.")</f>
        <v>La persona pasa a alguien nadando.</v>
      </c>
    </row>
    <row r="16096">
      <c r="A16096" s="4" t="s">
        <v>20271</v>
      </c>
      <c r="B16096" s="4" t="s">
        <v>20274</v>
      </c>
      <c r="C16096" s="5" t="str">
        <f>IFERROR(__xludf.DUMMYFUNCTION("GOOGLETRANSLATE(B16096,""en"",""es-ES"")"),"La persona enciende su tablero.")</f>
        <v>La persona enciende su tablero.</v>
      </c>
    </row>
    <row r="16097">
      <c r="A16097" s="4" t="s">
        <v>20275</v>
      </c>
      <c r="B16097" s="4" t="s">
        <v>20276</v>
      </c>
      <c r="C16097" s="5" t="str">
        <f>IFERROR(__xludf.DUMMYFUNCTION("GOOGLETRANSLATE(B16097,""en"",""es-ES"")"),"Un grupo de animadoras lleva uniformes rojos, blancos y negros oscuros de pie en formación que se preparan para hacer su rutina, y las palabras a continuación en la pantalla dicen ""Mill Creek HS Class AAAAA"".")</f>
        <v>Un grupo de animadoras lleva uniformes rojos, blancos y negros oscuros de pie en formación que se preparan para hacer su rutina, y las palabras a continuación en la pantalla dicen "Mill Creek HS Class AAAAA".</v>
      </c>
    </row>
    <row r="16098">
      <c r="A16098" s="4" t="s">
        <v>20275</v>
      </c>
      <c r="B16098" s="4" t="s">
        <v>20277</v>
      </c>
      <c r="C16098" s="5" t="str">
        <f>IFERROR(__xludf.DUMMYFUNCTION("GOOGLETRANSLATE(B16098,""en"",""es-ES"")"),"Las animadoras comienzan su rutina e incluye muchos saltos, vítores, volteos, ya sea sincronizados o separados, lanzando y atrapando a otras animadoras, y muchos otros movimientos.")</f>
        <v>Las animadoras comienzan su rutina e incluye muchos saltos, vítores, volteos, ya sea sincronizados o separados, lanzando y atrapando a otras animadoras, y muchos otros movimientos.</v>
      </c>
    </row>
    <row r="16099">
      <c r="A16099" s="4" t="s">
        <v>20275</v>
      </c>
      <c r="B16099" s="4" t="s">
        <v>20278</v>
      </c>
      <c r="C16099" s="5" t="str">
        <f>IFERROR(__xludf.DUMMYFUNCTION("GOOGLETRANSLATE(B16099,""en"",""es-ES"")"),"Terminan su rutina, se animan y 2 mujeres de la audiencia corren y abrazan a algunas de las animadoras.")</f>
        <v>Terminan su rutina, se animan y 2 mujeres de la audiencia corren y abrazan a algunas de las animadoras.</v>
      </c>
    </row>
    <row r="16100">
      <c r="A16100" s="4" t="s">
        <v>20279</v>
      </c>
      <c r="B16100" s="4" t="s">
        <v>20280</v>
      </c>
      <c r="C16100" s="5" t="str">
        <f>IFERROR(__xludf.DUMMYFUNCTION("GOOGLETRANSLATE(B16100,""en"",""es-ES"")"),"Un adolescente sacude su mano en el frente un vaso de agua mientras un juventud lo mira.")</f>
        <v>Un adolescente sacude su mano en el frente un vaso de agua mientras un juventud lo mira.</v>
      </c>
    </row>
    <row r="16101">
      <c r="A16101" s="4" t="s">
        <v>20279</v>
      </c>
      <c r="B16101" s="4" t="s">
        <v>20281</v>
      </c>
      <c r="C16101" s="5" t="str">
        <f>IFERROR(__xludf.DUMMYFUNCTION("GOOGLETRANSLATE(B16101,""en"",""es-ES"")"),"Luego, el adolescente toma el vaso estrechando su mano y bebe el agua mientras se ríe.")</f>
        <v>Luego, el adolescente toma el vaso estrechando su mano y bebe el agua mientras se ríe.</v>
      </c>
    </row>
    <row r="16102">
      <c r="A16102" s="4" t="s">
        <v>20279</v>
      </c>
      <c r="B16102" s="4" t="s">
        <v>20282</v>
      </c>
      <c r="C16102" s="5" t="str">
        <f>IFERROR(__xludf.DUMMYFUNCTION("GOOGLETRANSLATE(B16102,""en"",""es-ES"")"),"Después, el joven toma el vaso, luego sostiene una taza mientras el adolescente dobla la mano derecha.")</f>
        <v>Después, el joven toma el vaso, luego sostiene una taza mientras el adolescente dobla la mano derecha.</v>
      </c>
    </row>
    <row r="16103">
      <c r="A16103" s="4" t="s">
        <v>20279</v>
      </c>
      <c r="B16103" s="4" t="s">
        <v>20283</v>
      </c>
      <c r="C16103" s="5" t="str">
        <f>IFERROR(__xludf.DUMMYFUNCTION("GOOGLETRANSLATE(B16103,""en"",""es-ES"")"),"Luego, el adolescente toma una taza y finge beber mientras hace gestos de dolor.")</f>
        <v>Luego, el adolescente toma una taza y finge beber mientras hace gestos de dolor.</v>
      </c>
    </row>
    <row r="16104">
      <c r="A16104" s="4" t="s">
        <v>20284</v>
      </c>
      <c r="B16104" s="4" t="s">
        <v>20285</v>
      </c>
      <c r="C16104" s="5" t="str">
        <f>IFERROR(__xludf.DUMMYFUNCTION("GOOGLETRANSLATE(B16104,""en"",""es-ES"")"),"Vemos gente trotando en una calle de la ciudad.")</f>
        <v>Vemos gente trotando en una calle de la ciudad.</v>
      </c>
    </row>
    <row r="16105">
      <c r="A16105" s="4" t="s">
        <v>20284</v>
      </c>
      <c r="B16105" s="4" t="s">
        <v>20286</v>
      </c>
      <c r="C16105" s="5" t="str">
        <f>IFERROR(__xludf.DUMMYFUNCTION("GOOGLETRANSLATE(B16105,""en"",""es-ES"")"),"Nos acercamos a un hombre sin camisa haciendo malabares.")</f>
        <v>Nos acercamos a un hombre sin camisa haciendo malabares.</v>
      </c>
    </row>
    <row r="16106">
      <c r="A16106" s="4" t="s">
        <v>20284</v>
      </c>
      <c r="B16106" s="4" t="s">
        <v>20287</v>
      </c>
      <c r="C16106" s="5" t="str">
        <f>IFERROR(__xludf.DUMMYFUNCTION("GOOGLETRANSLATE(B16106,""en"",""es-ES"")"),"Estamos al revés hacia los otros corredores.")</f>
        <v>Estamos al revés hacia los otros corredores.</v>
      </c>
    </row>
    <row r="16107">
      <c r="A16107" s="4" t="s">
        <v>20288</v>
      </c>
      <c r="B16107" s="4" t="s">
        <v>20289</v>
      </c>
      <c r="C16107" s="5" t="str">
        <f>IFERROR(__xludf.DUMMYFUNCTION("GOOGLETRANSLATE(B16107,""en"",""es-ES"")"),"Una mujer habla en un bar, luego pone hielo en un vaso de acero inoxidable.")</f>
        <v>Una mujer habla en un bar, luego pone hielo en un vaso de acero inoxidable.</v>
      </c>
    </row>
    <row r="16108">
      <c r="A16108" s="4" t="s">
        <v>20288</v>
      </c>
      <c r="B16108" s="4" t="s">
        <v>20290</v>
      </c>
      <c r="C16108" s="5" t="str">
        <f>IFERROR(__xludf.DUMMYFUNCTION("GOOGLETRANSLATE(B16108,""en"",""es-ES"")"),"Luego, la mujer se suma a la taza dos medidas de licor, jugo y azúcar.")</f>
        <v>Luego, la mujer se suma a la taza dos medidas de licor, jugo y azúcar.</v>
      </c>
    </row>
    <row r="16109">
      <c r="A16109" s="4" t="s">
        <v>20288</v>
      </c>
      <c r="B16109" s="4" t="s">
        <v>20291</v>
      </c>
      <c r="C16109" s="5" t="str">
        <f>IFERROR(__xludf.DUMMYFUNCTION("GOOGLETRANSLATE(B16109,""en"",""es-ES"")"),"Después, la mujer pone una taza encima y la sacude, y sirve en una taza con una rodaja de limón.")</f>
        <v>Después, la mujer pone una taza encima y la sacude, y sirve en una taza con una rodaja de limón.</v>
      </c>
    </row>
    <row r="16110">
      <c r="A16110" s="4" t="s">
        <v>20292</v>
      </c>
      <c r="B16110" s="4" t="s">
        <v>20293</v>
      </c>
      <c r="C16110" s="5" t="str">
        <f>IFERROR(__xludf.DUMMYFUNCTION("GOOGLETRANSLATE(B16110,""en"",""es-ES"")"),"Una mujer con una camisa amarilla sostiene una botella en la mano.")</f>
        <v>Una mujer con una camisa amarilla sostiene una botella en la mano.</v>
      </c>
    </row>
    <row r="16111">
      <c r="A16111" s="4" t="s">
        <v>20292</v>
      </c>
      <c r="B16111" s="4" t="s">
        <v>20294</v>
      </c>
      <c r="C16111" s="5" t="str">
        <f>IFERROR(__xludf.DUMMYFUNCTION("GOOGLETRANSLATE(B16111,""en"",""es-ES"")"),"Ella abre la botella y la vierte en un cubo en el suelo.")</f>
        <v>Ella abre la botella y la vierte en un cubo en el suelo.</v>
      </c>
    </row>
    <row r="16112">
      <c r="A16112" s="4" t="s">
        <v>20292</v>
      </c>
      <c r="B16112" s="4" t="s">
        <v>20295</v>
      </c>
      <c r="C16112" s="5" t="str">
        <f>IFERROR(__xludf.DUMMYFUNCTION("GOOGLETRANSLATE(B16112,""en"",""es-ES"")"),"Ella pone un trapo de trapeador en el cubo y lo pone en su trapeador.")</f>
        <v>Ella pone un trapo de trapeador en el cubo y lo pone en su trapeador.</v>
      </c>
    </row>
    <row r="16113">
      <c r="A16113" s="4" t="s">
        <v>20292</v>
      </c>
      <c r="B16113" s="4" t="s">
        <v>20296</v>
      </c>
      <c r="C16113" s="5" t="str">
        <f>IFERROR(__xludf.DUMMYFUNCTION("GOOGLETRANSLATE(B16113,""en"",""es-ES"")"),"Luego levanta el cubo de la habitación.")</f>
        <v>Luego levanta el cubo de la habitación.</v>
      </c>
    </row>
    <row r="16114">
      <c r="A16114" s="4" t="s">
        <v>20292</v>
      </c>
      <c r="B16114" s="4" t="s">
        <v>20297</v>
      </c>
      <c r="C16114" s="5" t="str">
        <f>IFERROR(__xludf.DUMMYFUNCTION("GOOGLETRANSLATE(B16114,""en"",""es-ES"")"),"Ella comienza a limpiar el mosaico en el piso.")</f>
        <v>Ella comienza a limpiar el mosaico en el piso.</v>
      </c>
    </row>
    <row r="16115">
      <c r="A16115" s="4" t="s">
        <v>20298</v>
      </c>
      <c r="B16115" s="4" t="s">
        <v>20299</v>
      </c>
      <c r="C16115" s="5" t="str">
        <f>IFERROR(__xludf.DUMMYFUNCTION("GOOGLETRANSLATE(B16115,""en"",""es-ES"")"),"La pantalla de mosaico se reproduce con una imagen de un campo largo.")</f>
        <v>La pantalla de mosaico se reproduce con una imagen de un campo largo.</v>
      </c>
    </row>
    <row r="16116">
      <c r="A16116" s="4" t="s">
        <v>20298</v>
      </c>
      <c r="B16116" s="4" t="s">
        <v>20300</v>
      </c>
      <c r="C16116" s="5" t="str">
        <f>IFERROR(__xludf.DUMMYFUNCTION("GOOGLETRANSLATE(B16116,""en"",""es-ES"")"),"Un hombre camina con un disco y un perro se aferran a él mientras pasa a algunas personas.")</f>
        <v>Un hombre camina con un disco y un perro se aferran a él mientras pasa a algunas personas.</v>
      </c>
    </row>
    <row r="16117">
      <c r="A16117" s="4" t="s">
        <v>20298</v>
      </c>
      <c r="B16117" s="4" t="s">
        <v>20301</v>
      </c>
      <c r="C16117" s="5" t="str">
        <f>IFERROR(__xludf.DUMMYFUNCTION("GOOGLETRANSLATE(B16117,""en"",""es-ES"")"),"El hombre comienza a jugar con el perro lanzando el pensamiento y haciendo que lo traiga de vuelta.")</f>
        <v>El hombre comienza a jugar con el perro lanzando el pensamiento y haciendo que lo traiga de vuelta.</v>
      </c>
    </row>
    <row r="16118">
      <c r="A16118" s="4" t="s">
        <v>20298</v>
      </c>
      <c r="B16118" s="4" t="s">
        <v>20302</v>
      </c>
      <c r="C16118" s="5" t="str">
        <f>IFERROR(__xludf.DUMMYFUNCTION("GOOGLETRANSLATE(B16118,""en"",""es-ES"")"),"Luego aplaude para el perro.")</f>
        <v>Luego aplaude para el perro.</v>
      </c>
    </row>
    <row r="16119">
      <c r="A16119" s="4" t="s">
        <v>20298</v>
      </c>
      <c r="B16119" s="4" t="s">
        <v>20303</v>
      </c>
      <c r="C16119" s="5" t="str">
        <f>IFERROR(__xludf.DUMMYFUNCTION("GOOGLETRANSLATE(B16119,""en"",""es-ES"")"),"Los créditos rodan al final.")</f>
        <v>Los créditos rodan al final.</v>
      </c>
    </row>
    <row r="16120">
      <c r="A16120" s="4" t="s">
        <v>20304</v>
      </c>
      <c r="B16120" s="4" t="s">
        <v>20305</v>
      </c>
      <c r="C16120" s="5" t="str">
        <f>IFERROR(__xludf.DUMMYFUNCTION("GOOGLETRANSLATE(B16120,""en"",""es-ES"")"),"Una bola roja se encuentra entre dos polos.")</f>
        <v>Una bola roja se encuentra entre dos polos.</v>
      </c>
    </row>
    <row r="16121">
      <c r="A16121" s="4" t="s">
        <v>20304</v>
      </c>
      <c r="B16121" s="4" t="s">
        <v>20306</v>
      </c>
      <c r="C16121" s="5" t="str">
        <f>IFERROR(__xludf.DUMMYFUNCTION("GOOGLETRANSLATE(B16121,""en"",""es-ES"")"),"Un bate de cricket comienza a balancearse.")</f>
        <v>Un bate de cricket comienza a balancearse.</v>
      </c>
    </row>
    <row r="16122">
      <c r="A16122" s="4" t="s">
        <v>20304</v>
      </c>
      <c r="B16122" s="4" t="s">
        <v>20307</v>
      </c>
      <c r="C16122" s="5" t="str">
        <f>IFERROR(__xludf.DUMMYFUNCTION("GOOGLETRANSLATE(B16122,""en"",""es-ES"")"),"Dos zapatos se sientan a ambos lados.")</f>
        <v>Dos zapatos se sientan a ambos lados.</v>
      </c>
    </row>
    <row r="16123">
      <c r="A16123" s="4" t="s">
        <v>20304</v>
      </c>
      <c r="B16123" s="4" t="s">
        <v>20308</v>
      </c>
      <c r="C16123" s="5" t="str">
        <f>IFERROR(__xludf.DUMMYFUNCTION("GOOGLETRANSLATE(B16123,""en"",""es-ES"")"),"El murciélago golpea la pelota.")</f>
        <v>El murciélago golpea la pelota.</v>
      </c>
    </row>
    <row r="16124">
      <c r="A16124" s="4" t="s">
        <v>20309</v>
      </c>
      <c r="B16124" s="4" t="s">
        <v>20310</v>
      </c>
      <c r="C16124" s="5" t="str">
        <f>IFERROR(__xludf.DUMMYFUNCTION("GOOGLETRANSLATE(B16124,""en"",""es-ES"")"),"Un gran grupo de chicas vestidas con atuendos de porristas están de pie en formación y en el mismo momento exacto, las chicas se sincronizan y comienzan su rutina muy detallada que incluye saltos, volteos, aplausos y etc.")</f>
        <v>Un gran grupo de chicas vestidas con atuendos de porristas están de pie en formación y en el mismo momento exacto, las chicas se sincronizan y comienzan su rutina muy detallada que incluye saltos, volteos, aplausos y etc.</v>
      </c>
    </row>
    <row r="16125">
      <c r="A16125" s="4" t="s">
        <v>20309</v>
      </c>
      <c r="B16125" s="4" t="s">
        <v>20311</v>
      </c>
      <c r="C16125" s="5" t="str">
        <f>IFERROR(__xludf.DUMMYFUNCTION("GOOGLETRANSLATE(B16125,""en"",""es-ES"")"),"Se rompen en 5 grupos diferentes donde todas las chicas se acurrucan en cada grupo y arrojan a una chica al aire y la sostienen, pero de repente el grupo delantero es inestable y la chica que sostienen gotas, y las chicas debajo de la atrapan Y solo esper"&amp;"an hasta que las chicas terminen para reanudar su rutina en sincronización.")</f>
        <v>Se rompen en 5 grupos diferentes donde todas las chicas se acurrucan en cada grupo y arrojan a una chica al aire y la sostienen, pero de repente el grupo delantero es inestable y la chica que sostienen gotas, y las chicas debajo de la atrapan Y solo esperan hasta que las chicas terminen para reanudar su rutina en sincronización.</v>
      </c>
    </row>
    <row r="16126">
      <c r="A16126" s="4" t="s">
        <v>20309</v>
      </c>
      <c r="B16126" s="4" t="s">
        <v>20312</v>
      </c>
      <c r="C16126" s="5" t="str">
        <f>IFERROR(__xludf.DUMMYFUNCTION("GOOGLETRANSLATE(B16126,""en"",""es-ES"")"),"Todos están parados en formación cuando de repente una de las chicas se quita el zapato izquierdo y lo tira a un lado y todas permanecen quietas durante unos segundos.")</f>
        <v>Todos están parados en formación cuando de repente una de las chicas se quita el zapato izquierdo y lo tira a un lado y todas permanecen quietas durante unos segundos.</v>
      </c>
    </row>
    <row r="16127">
      <c r="A16127" s="4" t="s">
        <v>20309</v>
      </c>
      <c r="B16127" s="4" t="s">
        <v>20313</v>
      </c>
      <c r="C16127" s="5" t="str">
        <f>IFERROR(__xludf.DUMMYFUNCTION("GOOGLETRANSLATE(B16127,""en"",""es-ES"")"),"Las chicas reanudan su alegría y rompen en 5 secciones una vez más para sostener a una niña en el aire, pero una vez más, el grupo medio pierde el equilibrio de la niña en la cima y fallan y se cae en su captura y reanudan su Rutina que ahora incluye múlt"&amp;"iples volteretas de cada niña hasta el final.")</f>
        <v>Las chicas reanudan su alegría y rompen en 5 secciones una vez más para sostener a una niña en el aire, pero una vez más, el grupo medio pierde el equilibrio de la niña en la cima y fallan y se cae en su captura y reanudan su Rutina que ahora incluye múltiples volteretas de cada niña hasta el final.</v>
      </c>
    </row>
    <row r="16128">
      <c r="A16128" s="4" t="s">
        <v>20314</v>
      </c>
      <c r="B16128" s="4" t="s">
        <v>20315</v>
      </c>
      <c r="C16128" s="5" t="str">
        <f>IFERROR(__xludf.DUMMYFUNCTION("GOOGLETRANSLATE(B16128,""en"",""es-ES"")"),"Un hombre se inclina hacia adelante cuando un bebé en un columpio intenta agarrar y masticar su cabello.")</f>
        <v>Un hombre se inclina hacia adelante cuando un bebé en un columpio intenta agarrar y masticar su cabello.</v>
      </c>
    </row>
    <row r="16129">
      <c r="A16129" s="4" t="s">
        <v>20314</v>
      </c>
      <c r="B16129" s="4" t="s">
        <v>20316</v>
      </c>
      <c r="C16129" s="5" t="str">
        <f>IFERROR(__xludf.DUMMYFUNCTION("GOOGLETRANSLATE(B16129,""en"",""es-ES"")"),"El bebé se ríe, balanceándose de un lado a otro, luego trata de agarrar la cámara.")</f>
        <v>El bebé se ríe, balanceándose de un lado a otro, luego trata de agarrar la cámara.</v>
      </c>
    </row>
    <row r="16130">
      <c r="A16130" s="4" t="s">
        <v>20317</v>
      </c>
      <c r="B16130" s="4" t="s">
        <v>20318</v>
      </c>
      <c r="C16130" s="5" t="str">
        <f>IFERROR(__xludf.DUMMYFUNCTION("GOOGLETRANSLATE(B16130,""en"",""es-ES"")"),"Algunas personas van a surfear en olas.")</f>
        <v>Algunas personas van a surfear en olas.</v>
      </c>
    </row>
    <row r="16131">
      <c r="A16131" s="4" t="s">
        <v>20317</v>
      </c>
      <c r="B16131" s="4" t="s">
        <v>20319</v>
      </c>
      <c r="C16131" s="5" t="str">
        <f>IFERROR(__xludf.DUMMYFUNCTION("GOOGLETRANSLATE(B16131,""en"",""es-ES"")"),"A veces caen pero están bien.")</f>
        <v>A veces caen pero están bien.</v>
      </c>
    </row>
    <row r="16132">
      <c r="A16132" s="4" t="s">
        <v>20320</v>
      </c>
      <c r="B16132" s="4" t="s">
        <v>20321</v>
      </c>
      <c r="C16132" s="5" t="str">
        <f>IFERROR(__xludf.DUMMYFUNCTION("GOOGLETRANSLATE(B16132,""en"",""es-ES"")"),"Los miembros de la banda con un vestido completo se paran en un patio.")</f>
        <v>Los miembros de la banda con un vestido completo se paran en un patio.</v>
      </c>
    </row>
    <row r="16133">
      <c r="A16133" s="4" t="s">
        <v>20320</v>
      </c>
      <c r="B16133" s="4" t="s">
        <v>20322</v>
      </c>
      <c r="C16133" s="5" t="str">
        <f>IFERROR(__xludf.DUMMYFUNCTION("GOOGLETRANSLATE(B16133,""en"",""es-ES"")"),"Están usando un rastrillo para rastrillar las hojas.")</f>
        <v>Están usando un rastrillo para rastrillar las hojas.</v>
      </c>
    </row>
    <row r="16134">
      <c r="A16134" s="4" t="s">
        <v>20320</v>
      </c>
      <c r="B16134" s="4" t="s">
        <v>20323</v>
      </c>
      <c r="C16134" s="5" t="str">
        <f>IFERROR(__xludf.DUMMYFUNCTION("GOOGLETRANSLATE(B16134,""en"",""es-ES"")"),"Un hombre camina mientras rastrilla.")</f>
        <v>Un hombre camina mientras rastrilla.</v>
      </c>
    </row>
    <row r="16135">
      <c r="A16135" s="4" t="s">
        <v>20324</v>
      </c>
      <c r="B16135" s="4" t="s">
        <v>20325</v>
      </c>
      <c r="C16135" s="5" t="str">
        <f>IFERROR(__xludf.DUMMYFUNCTION("GOOGLETRANSLATE(B16135,""en"",""es-ES"")"),"Se ve a una mujer parada detrás de un mostrador hablando con la cámara y luego comenzando a pelar una papa.")</f>
        <v>Se ve a una mujer parada detrás de un mostrador hablando con la cámara y luego comenzando a pelar una papa.</v>
      </c>
    </row>
    <row r="16136">
      <c r="A16136" s="4" t="s">
        <v>20324</v>
      </c>
      <c r="B16136" s="4" t="s">
        <v>20326</v>
      </c>
      <c r="C16136" s="5" t="str">
        <f>IFERROR(__xludf.DUMMYFUNCTION("GOOGLETRANSLATE(B16136,""en"",""es-ES"")"),"Ella continúa pelando las papas mientras se detiene para hablar con la cámara y sonreír.")</f>
        <v>Ella continúa pelando las papas mientras se detiene para hablar con la cámara y sonreír.</v>
      </c>
    </row>
    <row r="16137">
      <c r="A16137" s="4" t="s">
        <v>20327</v>
      </c>
      <c r="B16137" s="4" t="s">
        <v>20328</v>
      </c>
      <c r="C16137" s="5" t="str">
        <f>IFERROR(__xludf.DUMMYFUNCTION("GOOGLETRANSLATE(B16137,""en"",""es-ES"")"),"Hombres jóvenes y un auto y juegan antes de llegar a la pendiente de esquí.")</f>
        <v>Hombres jóvenes y un auto y juegan antes de llegar a la pendiente de esquí.</v>
      </c>
    </row>
    <row r="16138">
      <c r="A16138" s="4" t="s">
        <v>20327</v>
      </c>
      <c r="B16138" s="4" t="s">
        <v>20329</v>
      </c>
      <c r="C16138" s="5" t="str">
        <f>IFERROR(__xludf.DUMMYFUNCTION("GOOGLETRANSLATE(B16138,""en"",""es-ES"")"),"Vemos a los hombres snowboard sobre obstáculos y rampas en la pendiente de esquí.")</f>
        <v>Vemos a los hombres snowboard sobre obstáculos y rampas en la pendiente de esquí.</v>
      </c>
    </row>
    <row r="16139">
      <c r="A16139" s="4" t="s">
        <v>20327</v>
      </c>
      <c r="B16139" s="4" t="s">
        <v>20330</v>
      </c>
      <c r="C16139" s="5" t="str">
        <f>IFERROR(__xludf.DUMMYFUNCTION("GOOGLETRANSLATE(B16139,""en"",""es-ES"")"),"Un hombre salta una rampa y cae al suelo.")</f>
        <v>Un hombre salta una rampa y cae al suelo.</v>
      </c>
    </row>
    <row r="16140">
      <c r="A16140" s="4" t="s">
        <v>20327</v>
      </c>
      <c r="B16140" s="4" t="s">
        <v>20331</v>
      </c>
      <c r="C16140" s="5" t="str">
        <f>IFERROR(__xludf.DUMMYFUNCTION("GOOGLETRANSLATE(B16140,""en"",""es-ES"")"),"Vemos a los niños de pie en el estacionamiento y se les muestra sus nombres.")</f>
        <v>Vemos a los niños de pie en el estacionamiento y se les muestra sus nombres.</v>
      </c>
    </row>
    <row r="16141">
      <c r="A16141" s="4" t="s">
        <v>20327</v>
      </c>
      <c r="B16141" s="4" t="s">
        <v>20332</v>
      </c>
      <c r="C16141" s="5" t="str">
        <f>IFERROR(__xludf.DUMMYFUNCTION("GOOGLETRANSLATE(B16141,""en"",""es-ES"")"),"El último niño se quita el casco, se sacude el pelo y sonríe a la cámara.")</f>
        <v>El último niño se quita el casco, se sacude el pelo y sonríe a la cámara.</v>
      </c>
    </row>
    <row r="16142">
      <c r="A16142" s="4" t="s">
        <v>20327</v>
      </c>
      <c r="B16142" s="4" t="s">
        <v>1380</v>
      </c>
      <c r="C16142" s="5" t="str">
        <f>IFERROR(__xludf.DUMMYFUNCTION("GOOGLETRANSLATE(B16142,""en"",""es-ES"")"),"Luego vemos los créditos finales.")</f>
        <v>Luego vemos los créditos finales.</v>
      </c>
    </row>
    <row r="16143">
      <c r="A16143" s="4" t="s">
        <v>20333</v>
      </c>
      <c r="B16143" s="4" t="s">
        <v>20334</v>
      </c>
      <c r="C16143" s="5" t="str">
        <f>IFERROR(__xludf.DUMMYFUNCTION("GOOGLETRANSLATE(B16143,""en"",""es-ES"")"),"Un hombre está de pie detrás de una mujer sentada en una silla.")</f>
        <v>Un hombre está de pie detrás de una mujer sentada en una silla.</v>
      </c>
    </row>
    <row r="16144">
      <c r="A16144" s="4" t="s">
        <v>20333</v>
      </c>
      <c r="B16144" s="4" t="s">
        <v>20335</v>
      </c>
      <c r="C16144" s="5" t="str">
        <f>IFERROR(__xludf.DUMMYFUNCTION("GOOGLETRANSLATE(B16144,""en"",""es-ES"")"),"Él está poniendo un producto en su cabello.")</f>
        <v>Él está poniendo un producto en su cabello.</v>
      </c>
    </row>
    <row r="16145">
      <c r="A16145" s="4" t="s">
        <v>20333</v>
      </c>
      <c r="B16145" s="4" t="s">
        <v>20336</v>
      </c>
      <c r="C16145" s="5" t="str">
        <f>IFERROR(__xludf.DUMMYFUNCTION("GOOGLETRANSLATE(B16145,""en"",""es-ES"")"),"Él comienza a secar su cabello.")</f>
        <v>Él comienza a secar su cabello.</v>
      </c>
    </row>
    <row r="16146">
      <c r="A16146" s="4" t="s">
        <v>20333</v>
      </c>
      <c r="B16146" s="4" t="s">
        <v>20337</v>
      </c>
      <c r="C16146" s="5" t="str">
        <f>IFERROR(__xludf.DUMMYFUNCTION("GOOGLETRANSLATE(B16146,""en"",""es-ES"")"),"Ella comienza a soplarse su cabello ella misma.")</f>
        <v>Ella comienza a soplarse su cabello ella misma.</v>
      </c>
    </row>
    <row r="16147">
      <c r="A16147" s="4" t="s">
        <v>20338</v>
      </c>
      <c r="B16147" s="4" t="s">
        <v>20339</v>
      </c>
      <c r="C16147" s="5" t="str">
        <f>IFERROR(__xludf.DUMMYFUNCTION("GOOGLETRANSLATE(B16147,""en"",""es-ES"")"),"Una mujer sostiene una flauta y practica las llaves mientras está acostado.")</f>
        <v>Una mujer sostiene una flauta y practica las llaves mientras está acostado.</v>
      </c>
    </row>
    <row r="16148">
      <c r="A16148" s="4" t="s">
        <v>20338</v>
      </c>
      <c r="B16148" s="4" t="s">
        <v>20340</v>
      </c>
      <c r="C16148" s="5" t="str">
        <f>IFERROR(__xludf.DUMMYFUNCTION("GOOGLETRANSLATE(B16148,""en"",""es-ES"")"),"Una mujer con un vestido formal sostiene una flauta y gestos mientras habla.")</f>
        <v>Una mujer con un vestido formal sostiene una flauta y gestos mientras habla.</v>
      </c>
    </row>
    <row r="16149">
      <c r="A16149" s="4" t="s">
        <v>20338</v>
      </c>
      <c r="B16149" s="4" t="s">
        <v>20341</v>
      </c>
      <c r="C16149" s="5" t="str">
        <f>IFERROR(__xludf.DUMMYFUNCTION("GOOGLETRANSLATE(B16149,""en"",""es-ES"")"),"Una mujer toca la flauta con un soplado exagerado.")</f>
        <v>Una mujer toca la flauta con un soplado exagerado.</v>
      </c>
    </row>
    <row r="16150">
      <c r="A16150" s="4" t="s">
        <v>20338</v>
      </c>
      <c r="B16150" s="4" t="s">
        <v>20342</v>
      </c>
      <c r="C16150" s="5" t="str">
        <f>IFERROR(__xludf.DUMMYFUNCTION("GOOGLETRANSLATE(B16150,""en"",""es-ES"")"),"Una mujer toca una flauta en una habitación con otros instrumentos colgando en el fondo.")</f>
        <v>Una mujer toca una flauta en una habitación con otros instrumentos colgando en el fondo.</v>
      </c>
    </row>
    <row r="16151">
      <c r="A16151" s="4" t="s">
        <v>20338</v>
      </c>
      <c r="B16151" s="4" t="s">
        <v>20343</v>
      </c>
      <c r="C16151" s="5" t="str">
        <f>IFERROR(__xludf.DUMMYFUNCTION("GOOGLETRANSLATE(B16151,""en"",""es-ES"")"),"Las dos mujeres juegan flautas juntas.")</f>
        <v>Las dos mujeres juegan flautas juntas.</v>
      </c>
    </row>
    <row r="16152">
      <c r="A16152" s="4" t="s">
        <v>20338</v>
      </c>
      <c r="B16152" s="4" t="s">
        <v>20344</v>
      </c>
      <c r="C16152" s="5" t="str">
        <f>IFERROR(__xludf.DUMMYFUNCTION("GOOGLETRANSLATE(B16152,""en"",""es-ES"")"),"La mujer estrecha la mano con un calambre.")</f>
        <v>La mujer estrecha la mano con un calambre.</v>
      </c>
    </row>
    <row r="16153">
      <c r="A16153" s="4" t="s">
        <v>20345</v>
      </c>
      <c r="B16153" s="4" t="s">
        <v>20346</v>
      </c>
      <c r="C16153" s="5" t="str">
        <f>IFERROR(__xludf.DUMMYFUNCTION("GOOGLETRANSLATE(B16153,""en"",""es-ES"")"),"Se muestra una escena de la teoría del Big Bang y el hombre está acostado en una mesa en una sala de tatuajes y un artista de tatuajes lo está parado.")</f>
        <v>Se muestra una escena de la teoría del Big Bang y el hombre está acostado en una mesa en una sala de tatuajes y un artista de tatuajes lo está parado.</v>
      </c>
    </row>
    <row r="16154">
      <c r="A16154" s="4" t="s">
        <v>20345</v>
      </c>
      <c r="B16154" s="4" t="s">
        <v>20347</v>
      </c>
      <c r="C16154" s="5" t="str">
        <f>IFERROR(__xludf.DUMMYFUNCTION("GOOGLETRANSLATE(B16154,""en"",""es-ES"")"),"El hombre en la cama se encuentra y habla con una mujer y quita las mangas del tatuaje falsas.")</f>
        <v>El hombre en la cama se encuentra y habla con una mujer y quita las mangas del tatuaje falsas.</v>
      </c>
    </row>
    <row r="16155">
      <c r="A16155" s="4" t="s">
        <v>20348</v>
      </c>
      <c r="B16155" s="4" t="s">
        <v>20349</v>
      </c>
      <c r="C16155" s="5" t="str">
        <f>IFERROR(__xludf.DUMMYFUNCTION("GOOGLETRANSLATE(B16155,""en"",""es-ES"")"),"Un primer plano de los pies de una persona se muestra seguido por dos hombres vistos en una habitación abierta que sostiene raquetas de tenis y golpeando una pelota.")</f>
        <v>Un primer plano de los pies de una persona se muestra seguido por dos hombres vistos en una habitación abierta que sostiene raquetas de tenis y golpeando una pelota.</v>
      </c>
    </row>
    <row r="16156">
      <c r="A16156" s="4" t="s">
        <v>20348</v>
      </c>
      <c r="B16156" s="4" t="s">
        <v>20350</v>
      </c>
      <c r="C16156" s="5" t="str">
        <f>IFERROR(__xludf.DUMMYFUNCTION("GOOGLETRANSLATE(B16156,""en"",""es-ES"")"),"Luego, los hombres golpearon la pelota por toda la habitación mientras corrían hacia cada lado para golpear la pelota.")</f>
        <v>Luego, los hombres golpearon la pelota por toda la habitación mientras corrían hacia cada lado para golpear la pelota.</v>
      </c>
    </row>
    <row r="16157">
      <c r="A16157" s="4" t="s">
        <v>20351</v>
      </c>
      <c r="B16157" s="4" t="s">
        <v>20352</v>
      </c>
      <c r="C16157" s="5" t="str">
        <f>IFERROR(__xludf.DUMMYFUNCTION("GOOGLETRANSLATE(B16157,""en"",""es-ES"")"),"Se ve una playa vacante y la gente comenzó a levantar sus autos contra la costa.")</f>
        <v>Se ve una playa vacante y la gente comenzó a levantar sus autos contra la costa.</v>
      </c>
    </row>
    <row r="16158">
      <c r="A16158" s="4" t="s">
        <v>20351</v>
      </c>
      <c r="B16158" s="4" t="s">
        <v>20353</v>
      </c>
      <c r="C16158" s="5" t="str">
        <f>IFERROR(__xludf.DUMMYFUNCTION("GOOGLETRANSLATE(B16158,""en"",""es-ES"")"),"Luego aparece la acera y un niño comienza a patinar por la carretera cerca de la playa.")</f>
        <v>Luego aparece la acera y un niño comienza a patinar por la carretera cerca de la playa.</v>
      </c>
    </row>
    <row r="16159">
      <c r="A16159" s="4" t="s">
        <v>20351</v>
      </c>
      <c r="B16159" s="4" t="s">
        <v>20354</v>
      </c>
      <c r="C16159" s="5" t="str">
        <f>IFERROR(__xludf.DUMMYFUNCTION("GOOGLETRANSLATE(B16159,""en"",""es-ES"")"),"Continúa haciendo trucos y patinando a través de la ciudad que pasa a la gente y a los autos.")</f>
        <v>Continúa haciendo trucos y patinando a través de la ciudad que pasa a la gente y a los autos.</v>
      </c>
    </row>
    <row r="16160">
      <c r="A16160" s="4" t="s">
        <v>20351</v>
      </c>
      <c r="B16160" s="4" t="s">
        <v>20355</v>
      </c>
      <c r="C16160" s="5" t="str">
        <f>IFERROR(__xludf.DUMMYFUNCTION("GOOGLETRANSLATE(B16160,""en"",""es-ES"")"),"Después de un tiempo, se sienta y se toma un descanso y comienza a hablar con otro tipo antes de que finalmente vuelva a subir para continuar el skate.")</f>
        <v>Después de un tiempo, se sienta y se toma un descanso y comienza a hablar con otro tipo antes de que finalmente vuelva a subir para continuar el skate.</v>
      </c>
    </row>
    <row r="16161">
      <c r="A16161" s="4" t="s">
        <v>20356</v>
      </c>
      <c r="B16161" s="4" t="s">
        <v>20357</v>
      </c>
      <c r="C16161" s="5" t="str">
        <f>IFERROR(__xludf.DUMMYFUNCTION("GOOGLETRANSLATE(B16161,""en"",""es-ES"")"),"Un chico está esquiando con una cámara en su casco para mostrarnos lo que está viendo mientras esquía.")</f>
        <v>Un chico está esquiando con una cámara en su casco para mostrarnos lo que está viendo mientras esquía.</v>
      </c>
    </row>
    <row r="16162">
      <c r="A16162" s="4" t="s">
        <v>20356</v>
      </c>
      <c r="B16162" s="4" t="s">
        <v>20358</v>
      </c>
      <c r="C16162" s="5" t="str">
        <f>IFERROR(__xludf.DUMMYFUNCTION("GOOGLETRANSLATE(B16162,""en"",""es-ES"")"),"El chico esquía por la colina y pasa a un chico que estaba frente a él.")</f>
        <v>El chico esquía por la colina y pasa a un chico que estaba frente a él.</v>
      </c>
    </row>
    <row r="16163">
      <c r="A16163" s="4" t="s">
        <v>20356</v>
      </c>
      <c r="B16163" s="4" t="s">
        <v>20359</v>
      </c>
      <c r="C16163" s="5" t="str">
        <f>IFERROR(__xludf.DUMMYFUNCTION("GOOGLETRANSLATE(B16163,""en"",""es-ES"")"),"Cuando el tipo es esquivo, comienza a cruzar a otros esquiadores también esquiando, finalmente el esquiador llega al final de la pendiente de la colina y se detiene.")</f>
        <v>Cuando el tipo es esquivo, comienza a cruzar a otros esquiadores también esquiando, finalmente el esquiador llega al final de la pendiente de la colina y se detiene.</v>
      </c>
    </row>
    <row r="16164">
      <c r="A16164" s="4" t="s">
        <v>20360</v>
      </c>
      <c r="B16164" s="4" t="s">
        <v>20361</v>
      </c>
      <c r="C16164" s="5" t="str">
        <f>IFERROR(__xludf.DUMMYFUNCTION("GOOGLETRANSLATE(B16164,""en"",""es-ES"")"),"Un hombre y una mujer están tocando tijeras de papel rock.")</f>
        <v>Un hombre y una mujer están tocando tijeras de papel rock.</v>
      </c>
    </row>
    <row r="16165">
      <c r="A16165" s="4" t="s">
        <v>20360</v>
      </c>
      <c r="B16165" s="4" t="s">
        <v>20362</v>
      </c>
      <c r="C16165" s="5" t="str">
        <f>IFERROR(__xludf.DUMMYFUNCTION("GOOGLETRANSLATE(B16165,""en"",""es-ES"")"),"El hombre se pone de rodilla y saca un anillo.")</f>
        <v>El hombre se pone de rodilla y saca un anillo.</v>
      </c>
    </row>
    <row r="16166">
      <c r="A16166" s="4" t="s">
        <v>20360</v>
      </c>
      <c r="B16166" s="4" t="s">
        <v>20363</v>
      </c>
      <c r="C16166" s="5" t="str">
        <f>IFERROR(__xludf.DUMMYFUNCTION("GOOGLETRANSLATE(B16166,""en"",""es-ES"")"),"Se abrazan al lado de la piscina.")</f>
        <v>Se abrazan al lado de la piscina.</v>
      </c>
    </row>
    <row r="16167">
      <c r="A16167" s="4" t="s">
        <v>20360</v>
      </c>
      <c r="B16167" s="4" t="s">
        <v>20364</v>
      </c>
      <c r="C16167" s="5" t="str">
        <f>IFERROR(__xludf.DUMMYFUNCTION("GOOGLETRANSLATE(B16167,""en"",""es-ES"")"),"Se dan un beso.")</f>
        <v>Se dan un beso.</v>
      </c>
    </row>
    <row r="16168">
      <c r="A16168" s="4" t="s">
        <v>20365</v>
      </c>
      <c r="B16168" s="4" t="s">
        <v>20366</v>
      </c>
      <c r="C16168" s="5" t="str">
        <f>IFERROR(__xludf.DUMMYFUNCTION("GOOGLETRANSLATE(B16168,""en"",""es-ES"")"),"Un hombre está corriendo por una pista que salta a un montón de arena.")</f>
        <v>Un hombre está corriendo por una pista que salta a un montón de arena.</v>
      </c>
    </row>
    <row r="16169">
      <c r="A16169" s="4" t="s">
        <v>20365</v>
      </c>
      <c r="B16169" s="4" t="s">
        <v>20367</v>
      </c>
      <c r="C16169" s="5" t="str">
        <f>IFERROR(__xludf.DUMMYFUNCTION("GOOGLETRANSLATE(B16169,""en"",""es-ES"")"),"Él corre por la pista nuevamente y salta a la arena varias veces.")</f>
        <v>Él corre por la pista nuevamente y salta a la arena varias veces.</v>
      </c>
    </row>
    <row r="16170">
      <c r="A16170" s="4" t="s">
        <v>20365</v>
      </c>
      <c r="B16170" s="4" t="s">
        <v>20368</v>
      </c>
      <c r="C16170" s="5" t="str">
        <f>IFERROR(__xludf.DUMMYFUNCTION("GOOGLETRANSLATE(B16170,""en"",""es-ES"")"),"Los puntajes se muestran en la pantalla.")</f>
        <v>Los puntajes se muestran en la pantalla.</v>
      </c>
    </row>
    <row r="16171">
      <c r="A16171" s="4" t="s">
        <v>20369</v>
      </c>
      <c r="B16171" s="4" t="s">
        <v>20370</v>
      </c>
      <c r="C16171" s="5" t="str">
        <f>IFERROR(__xludf.DUMMYFUNCTION("GOOGLETRANSLATE(B16171,""en"",""es-ES"")"),"Un hombre que lleva un atuendo verde lidera un camello.")</f>
        <v>Un hombre que lleva un atuendo verde lidera un camello.</v>
      </c>
    </row>
    <row r="16172">
      <c r="A16172" s="4" t="s">
        <v>20369</v>
      </c>
      <c r="B16172" s="4" t="s">
        <v>20371</v>
      </c>
      <c r="C16172" s="5" t="str">
        <f>IFERROR(__xludf.DUMMYFUNCTION("GOOGLETRANSLATE(B16172,""en"",""es-ES"")"),"Dos personas están sentadas sobre el camello.")</f>
        <v>Dos personas están sentadas sobre el camello.</v>
      </c>
    </row>
    <row r="16173">
      <c r="A16173" s="4" t="s">
        <v>20369</v>
      </c>
      <c r="B16173" s="4" t="s">
        <v>20372</v>
      </c>
      <c r="C16173" s="5" t="str">
        <f>IFERROR(__xludf.DUMMYFUNCTION("GOOGLETRANSLATE(B16173,""en"",""es-ES"")"),"Un hombre camina al lado del camello.")</f>
        <v>Un hombre camina al lado del camello.</v>
      </c>
    </row>
    <row r="16174">
      <c r="A16174" s="4" t="s">
        <v>20373</v>
      </c>
      <c r="B16174" s="4" t="s">
        <v>20374</v>
      </c>
      <c r="C16174" s="5" t="str">
        <f>IFERROR(__xludf.DUMMYFUNCTION("GOOGLETRANSLATE(B16174,""en"",""es-ES"")"),"La gente está jugando un juego en un campo usando caballos.")</f>
        <v>La gente está jugando un juego en un campo usando caballos.</v>
      </c>
    </row>
    <row r="16175">
      <c r="A16175" s="4" t="s">
        <v>20373</v>
      </c>
      <c r="B16175" s="4" t="s">
        <v>20375</v>
      </c>
      <c r="C16175" s="5" t="str">
        <f>IFERROR(__xludf.DUMMYFUNCTION("GOOGLETRANSLATE(B16175,""en"",""es-ES"")"),"La persona de la cámara se acerca al estacionamiento a la derecha.")</f>
        <v>La persona de la cámara se acerca al estacionamiento a la derecha.</v>
      </c>
    </row>
    <row r="16176">
      <c r="A16176" s="4" t="s">
        <v>20373</v>
      </c>
      <c r="B16176" s="4" t="s">
        <v>20376</v>
      </c>
      <c r="C16176" s="5" t="str">
        <f>IFERROR(__xludf.DUMMYFUNCTION("GOOGLETRANSLATE(B16176,""en"",""es-ES"")"),"La persona de la cámara vuela cerca del estacionamiento nuevamente.")</f>
        <v>La persona de la cámara vuela cerca del estacionamiento nuevamente.</v>
      </c>
    </row>
    <row r="16177">
      <c r="A16177" s="4" t="s">
        <v>20373</v>
      </c>
      <c r="B16177" s="4" t="s">
        <v>20377</v>
      </c>
      <c r="C16177" s="5" t="str">
        <f>IFERROR(__xludf.DUMMYFUNCTION("GOOGLETRANSLATE(B16177,""en"",""es-ES"")"),"La persona se ralentiza cerca de la meta.")</f>
        <v>La persona se ralentiza cerca de la meta.</v>
      </c>
    </row>
    <row r="16178">
      <c r="A16178" s="4" t="s">
        <v>20378</v>
      </c>
      <c r="B16178" s="4" t="s">
        <v>20379</v>
      </c>
      <c r="C16178" s="5" t="str">
        <f>IFERROR(__xludf.DUMMYFUNCTION("GOOGLETRANSLATE(B16178,""en"",""es-ES"")"),"Un gráfico muestra y luego las fotos siguen a una niña que crece con montar a caballo.")</f>
        <v>Un gráfico muestra y luego las fotos siguen a una niña que crece con montar a caballo.</v>
      </c>
    </row>
    <row r="16179">
      <c r="A16179" s="4" t="s">
        <v>20378</v>
      </c>
      <c r="B16179" s="4" t="s">
        <v>20380</v>
      </c>
      <c r="C16179" s="5" t="str">
        <f>IFERROR(__xludf.DUMMYFUNCTION("GOOGLETRANSLATE(B16179,""en"",""es-ES"")"),"Tres años después de esas fotos, la niña se mueve y se la muestra montando caballos.")</f>
        <v>Tres años después de esas fotos, la niña se mueve y se la muestra montando caballos.</v>
      </c>
    </row>
    <row r="16180">
      <c r="A16180" s="4" t="s">
        <v>20378</v>
      </c>
      <c r="B16180" s="4" t="s">
        <v>20381</v>
      </c>
      <c r="C16180" s="5" t="str">
        <f>IFERROR(__xludf.DUMMYFUNCTION("GOOGLETRANSLATE(B16180,""en"",""es-ES"")"),"La niña se muestra con otras chicas posando con algunos premios por montar a caballo.")</f>
        <v>La niña se muestra con otras chicas posando con algunos premios por montar a caballo.</v>
      </c>
    </row>
    <row r="16181">
      <c r="A16181" s="4" t="s">
        <v>20378</v>
      </c>
      <c r="B16181" s="4" t="s">
        <v>20382</v>
      </c>
      <c r="C16181" s="5" t="str">
        <f>IFERROR(__xludf.DUMMYFUNCTION("GOOGLETRANSLATE(B16181,""en"",""es-ES"")"),"Se muestra otro video de la niña que monta el caballo en el interior.")</f>
        <v>Se muestra otro video de la niña que monta el caballo en el interior.</v>
      </c>
    </row>
    <row r="16182">
      <c r="A16182" s="4" t="s">
        <v>20378</v>
      </c>
      <c r="B16182" s="4" t="s">
        <v>20383</v>
      </c>
      <c r="C16182" s="5" t="str">
        <f>IFERROR(__xludf.DUMMYFUNCTION("GOOGLETRANSLATE(B16182,""en"",""es-ES"")"),"Fotos de la chica cuidando sus caballos cierran el video.")</f>
        <v>Fotos de la chica cuidando sus caballos cierran el video.</v>
      </c>
    </row>
    <row r="16183">
      <c r="A16183" s="4" t="s">
        <v>20384</v>
      </c>
      <c r="B16183" s="4" t="s">
        <v>20385</v>
      </c>
      <c r="C16183" s="5" t="str">
        <f>IFERROR(__xludf.DUMMYFUNCTION("GOOGLETRANSLATE(B16183,""en"",""es-ES"")"),"Se ve a una mujer cepillándose los dientes y conduce a la pasta de dientes que se extiende sobre un cepillo de dientes.")</f>
        <v>Se ve a una mujer cepillándose los dientes y conduce a la pasta de dientes que se extiende sobre un cepillo de dientes.</v>
      </c>
    </row>
    <row r="16184">
      <c r="A16184" s="4" t="s">
        <v>20384</v>
      </c>
      <c r="B16184" s="4" t="s">
        <v>20386</v>
      </c>
      <c r="C16184" s="5" t="str">
        <f>IFERROR(__xludf.DUMMYFUNCTION("GOOGLETRANSLATE(B16184,""en"",""es-ES"")"),"Otra chica se cepilla los dientes y muestra varias imágenes sobre cómo cepillarse adecuadamente.")</f>
        <v>Otra chica se cepilla los dientes y muestra varias imágenes sobre cómo cepillarse adecuadamente.</v>
      </c>
    </row>
    <row r="16185">
      <c r="A16185" s="4" t="s">
        <v>20384</v>
      </c>
      <c r="B16185" s="4" t="s">
        <v>20387</v>
      </c>
      <c r="C16185" s="5" t="str">
        <f>IFERROR(__xludf.DUMMYFUNCTION("GOOGLETRANSLATE(B16185,""en"",""es-ES"")"),"Se muestran más clips de personas que se cepillan los dientes.")</f>
        <v>Se muestran más clips de personas que se cepillan los dientes.</v>
      </c>
    </row>
    <row r="16186">
      <c r="A16186" s="4" t="s">
        <v>20388</v>
      </c>
      <c r="B16186" s="4" t="s">
        <v>20389</v>
      </c>
      <c r="C16186" s="5" t="str">
        <f>IFERROR(__xludf.DUMMYFUNCTION("GOOGLETRANSLATE(B16186,""en"",""es-ES"")"),"Varias personas están en scooters de parachoques moviéndose en un pequeño atrapamiento.")</f>
        <v>Varias personas están en scooters de parachoques moviéndose en un pequeño atrapamiento.</v>
      </c>
    </row>
    <row r="16187">
      <c r="A16187" s="4" t="s">
        <v>20388</v>
      </c>
      <c r="B16187" s="4" t="s">
        <v>20390</v>
      </c>
      <c r="C16187" s="5" t="str">
        <f>IFERROR(__xludf.DUMMYFUNCTION("GOOGLETRANSLATE(B16187,""en"",""es-ES"")"),"Finalmente, salen del gran grupo y comienzan a moverse por el gimnasio más fácilmente.")</f>
        <v>Finalmente, salen del gran grupo y comienzan a moverse por el gimnasio más fácilmente.</v>
      </c>
    </row>
    <row r="16188">
      <c r="A16188" s="4" t="s">
        <v>20388</v>
      </c>
      <c r="B16188" s="4" t="s">
        <v>20391</v>
      </c>
      <c r="C16188" s="5" t="str">
        <f>IFERROR(__xludf.DUMMYFUNCTION("GOOGLETRANSLATE(B16188,""en"",""es-ES"")"),"El viaje finalmente termina, y toda la gente sale y una niña y un niño caminan hacia la cámara dando un pulgar hacia arriba.")</f>
        <v>El viaje finalmente termina, y toda la gente sale y una niña y un niño caminan hacia la cámara dando un pulgar hacia arriba.</v>
      </c>
    </row>
    <row r="16189">
      <c r="A16189" s="4" t="s">
        <v>20392</v>
      </c>
      <c r="B16189" s="4" t="s">
        <v>20393</v>
      </c>
      <c r="C16189" s="5" t="str">
        <f>IFERROR(__xludf.DUMMYFUNCTION("GOOGLETRANSLATE(B16189,""en"",""es-ES"")"),"Se ve a un gran grupo de personas deambulando por una zona varada seguida de personas que bailan y disfrutan de la playa.")</f>
        <v>Se ve a un gran grupo de personas deambulando por una zona varada seguida de personas que bailan y disfrutan de la playa.</v>
      </c>
    </row>
    <row r="16190">
      <c r="A16190" s="4" t="s">
        <v>20392</v>
      </c>
      <c r="B16190" s="4" t="s">
        <v>20394</v>
      </c>
      <c r="C16190" s="5" t="str">
        <f>IFERROR(__xludf.DUMMYFUNCTION("GOOGLETRANSLATE(B16190,""en"",""es-ES"")"),"Se muestran varios clips de un partido de fútbol, ​​así como a los fanáticos que celebran a la cámara.")</f>
        <v>Se muestran varios clips de un partido de fútbol, ​​así como a los fanáticos que celebran a la cámara.</v>
      </c>
    </row>
    <row r="16191">
      <c r="A16191" s="4" t="s">
        <v>20392</v>
      </c>
      <c r="B16191" s="4" t="s">
        <v>20395</v>
      </c>
      <c r="C16191" s="5" t="str">
        <f>IFERROR(__xludf.DUMMYFUNCTION("GOOGLETRANSLATE(B16191,""en"",""es-ES"")"),"Al final, todo el equipo celebra juntos mientras confeti cae del cielo.")</f>
        <v>Al final, todo el equipo celebra juntos mientras confeti cae del cielo.</v>
      </c>
    </row>
    <row r="16192">
      <c r="A16192" s="4" t="s">
        <v>20396</v>
      </c>
      <c r="B16192" s="4" t="s">
        <v>20397</v>
      </c>
      <c r="C16192" s="5" t="str">
        <f>IFERROR(__xludf.DUMMYFUNCTION("GOOGLETRANSLATE(B16192,""en"",""es-ES"")"),"Una mujer está tocando música en un estéreo en una ciudad ocupada.")</f>
        <v>Una mujer está tocando música en un estéreo en una ciudad ocupada.</v>
      </c>
    </row>
    <row r="16193">
      <c r="A16193" s="4" t="s">
        <v>20396</v>
      </c>
      <c r="B16193" s="4" t="s">
        <v>20398</v>
      </c>
      <c r="C16193" s="5" t="str">
        <f>IFERROR(__xludf.DUMMYFUNCTION("GOOGLETRANSLATE(B16193,""en"",""es-ES"")"),"Otra mujer está parada en la acera con auriculares.")</f>
        <v>Otra mujer está parada en la acera con auriculares.</v>
      </c>
    </row>
    <row r="16194">
      <c r="A16194" s="4" t="s">
        <v>20396</v>
      </c>
      <c r="B16194" s="4" t="s">
        <v>20399</v>
      </c>
      <c r="C16194" s="5" t="str">
        <f>IFERROR(__xludf.DUMMYFUNCTION("GOOGLETRANSLATE(B16194,""en"",""es-ES"")"),"Ambos se sonríen el uno al otro mientras salen a la música.")</f>
        <v>Ambos se sonríen el uno al otro mientras salen a la música.</v>
      </c>
    </row>
    <row r="16195">
      <c r="A16195" s="4" t="s">
        <v>20396</v>
      </c>
      <c r="B16195" s="4" t="s">
        <v>20400</v>
      </c>
      <c r="C16195" s="5" t="str">
        <f>IFERROR(__xludf.DUMMYFUNCTION("GOOGLETRANSLATE(B16195,""en"",""es-ES"")"),"La mujer recoge el estéreo y comienza a caminar.")</f>
        <v>La mujer recoge el estéreo y comienza a caminar.</v>
      </c>
    </row>
    <row r="16196">
      <c r="A16196" s="4" t="s">
        <v>20396</v>
      </c>
      <c r="B16196" s="4" t="s">
        <v>20401</v>
      </c>
      <c r="C16196" s="5" t="str">
        <f>IFERROR(__xludf.DUMMYFUNCTION("GOOGLETRANSLATE(B16196,""en"",""es-ES"")"),"La otra mujer la sigue en la misma acera.")</f>
        <v>La otra mujer la sigue en la misma acera.</v>
      </c>
    </row>
    <row r="16197">
      <c r="A16197" s="4" t="s">
        <v>20396</v>
      </c>
      <c r="B16197" s="4" t="s">
        <v>20402</v>
      </c>
      <c r="C16197" s="5" t="str">
        <f>IFERROR(__xludf.DUMMYFUNCTION("GOOGLETRANSLATE(B16197,""en"",""es-ES"")"),"Caminan juntos sosteniendo el estéreo.")</f>
        <v>Caminan juntos sosteniendo el estéreo.</v>
      </c>
    </row>
    <row r="16198">
      <c r="A16198" s="4" t="s">
        <v>20396</v>
      </c>
      <c r="B16198" s="4" t="s">
        <v>20403</v>
      </c>
      <c r="C16198" s="5" t="str">
        <f>IFERROR(__xludf.DUMMYFUNCTION("GOOGLETRANSLATE(B16198,""en"",""es-ES"")"),"Un hombre con una camisa roja comienza a bailar junto a un auto con otra mujer.")</f>
        <v>Un hombre con una camisa roja comienza a bailar junto a un auto con otra mujer.</v>
      </c>
    </row>
    <row r="16199">
      <c r="A16199" s="4" t="s">
        <v>20396</v>
      </c>
      <c r="B16199" s="4" t="s">
        <v>20404</v>
      </c>
      <c r="C16199" s="5" t="str">
        <f>IFERROR(__xludf.DUMMYFUNCTION("GOOGLETRANSLATE(B16199,""en"",""es-ES"")"),"Se unen a la mujer caminando con el estéreo en la mano.")</f>
        <v>Se unen a la mujer caminando con el estéreo en la mano.</v>
      </c>
    </row>
    <row r="16200">
      <c r="A16200" s="4" t="s">
        <v>20396</v>
      </c>
      <c r="B16200" s="4" t="s">
        <v>20405</v>
      </c>
      <c r="C16200" s="5" t="str">
        <f>IFERROR(__xludf.DUMMYFUNCTION("GOOGLETRANSLATE(B16200,""en"",""es-ES"")"),"Varias otras personas se unen a ellos mientras caminan y bailan con la música.")</f>
        <v>Varias otras personas se unen a ellos mientras caminan y bailan con la música.</v>
      </c>
    </row>
    <row r="16201">
      <c r="A16201" s="4" t="s">
        <v>20396</v>
      </c>
      <c r="B16201" s="4" t="s">
        <v>20406</v>
      </c>
      <c r="C16201" s="5" t="str">
        <f>IFERROR(__xludf.DUMMYFUNCTION("GOOGLETRANSLATE(B16201,""en"",""es-ES"")"),"Toda la gente se divide en un baile sincronizado justo en la calle.")</f>
        <v>Toda la gente se divide en un baile sincronizado justo en la calle.</v>
      </c>
    </row>
    <row r="16202">
      <c r="A16202" s="4" t="s">
        <v>20407</v>
      </c>
      <c r="B16202" s="4" t="s">
        <v>20408</v>
      </c>
      <c r="C16202" s="5" t="str">
        <f>IFERROR(__xludf.DUMMYFUNCTION("GOOGLETRANSLATE(B16202,""en"",""es-ES"")"),"Un anciano habla a continuación un velero en la orilla, luego el hombre lleva el velero al océano.")</f>
        <v>Un anciano habla a continuación un velero en la orilla, luego el hombre lleva el velero al océano.</v>
      </c>
    </row>
    <row r="16203">
      <c r="A16203" s="4" t="s">
        <v>20407</v>
      </c>
      <c r="B16203" s="4" t="s">
        <v>20409</v>
      </c>
      <c r="C16203" s="5" t="str">
        <f>IFERROR(__xludf.DUMMYFUNCTION("GOOGLETRANSLATE(B16203,""en"",""es-ES"")"),"El viejo navega el bote sentado en el borde del bote y tira de un asa.")</f>
        <v>El viejo navega el bote sentado en el borde del bote y tira de un asa.</v>
      </c>
    </row>
    <row r="16204">
      <c r="A16204" s="4" t="s">
        <v>20407</v>
      </c>
      <c r="B16204" s="4" t="s">
        <v>20410</v>
      </c>
      <c r="C16204" s="5" t="str">
        <f>IFERROR(__xludf.DUMMYFUNCTION("GOOGLETRANSLATE(B16204,""en"",""es-ES"")"),"Luego, el viejo se sienta por un tiempo, y luego continúa navegando y se detiene cuando habla.")</f>
        <v>Luego, el viejo se sienta por un tiempo, y luego continúa navegando y se detiene cuando habla.</v>
      </c>
    </row>
    <row r="16205">
      <c r="A16205" s="4" t="s">
        <v>20407</v>
      </c>
      <c r="B16205" s="4" t="s">
        <v>20411</v>
      </c>
      <c r="C16205" s="5" t="str">
        <f>IFERROR(__xludf.DUMMYFUNCTION("GOOGLETRANSLATE(B16205,""en"",""es-ES"")"),"Después, el viejo se detiene y el bote se da vuelta, luego tira del bote a la orilla.")</f>
        <v>Después, el viejo se detiene y el bote se da vuelta, luego tira del bote a la orilla.</v>
      </c>
    </row>
    <row r="16206">
      <c r="A16206" s="4" t="s">
        <v>20407</v>
      </c>
      <c r="B16206" s="4" t="s">
        <v>20412</v>
      </c>
      <c r="C16206" s="5" t="str">
        <f>IFERROR(__xludf.DUMMYFUNCTION("GOOGLETRANSLATE(B16206,""en"",""es-ES"")"),"Después, el viejo continúa navegando en el océano.")</f>
        <v>Después, el viejo continúa navegando en el océano.</v>
      </c>
    </row>
    <row r="16207">
      <c r="A16207" s="4" t="s">
        <v>20413</v>
      </c>
      <c r="B16207" s="4" t="s">
        <v>20414</v>
      </c>
      <c r="C16207" s="5" t="str">
        <f>IFERROR(__xludf.DUMMYFUNCTION("GOOGLETRANSLATE(B16207,""en"",""es-ES"")"),"Se ve las manos de una persona tocando un conjunto de tambores de bongo y deteniéndose para hablar con la cámara.")</f>
        <v>Se ve las manos de una persona tocando un conjunto de tambores de bongo y deteniéndose para hablar con la cámara.</v>
      </c>
    </row>
    <row r="16208">
      <c r="A16208" s="4" t="s">
        <v>20413</v>
      </c>
      <c r="B16208" s="4" t="s">
        <v>20415</v>
      </c>
      <c r="C16208" s="5" t="str">
        <f>IFERROR(__xludf.DUMMYFUNCTION("GOOGLETRANSLATE(B16208,""en"",""es-ES"")"),"Presiona un botón en su teléfono y toca la batería nuevamente y termina con un último golpe en el tambor.")</f>
        <v>Presiona un botón en su teléfono y toca la batería nuevamente y termina con un último golpe en el tambor.</v>
      </c>
    </row>
    <row r="16209">
      <c r="A16209" s="4" t="s">
        <v>20416</v>
      </c>
      <c r="B16209" s="4" t="s">
        <v>20417</v>
      </c>
      <c r="C16209" s="5" t="str">
        <f>IFERROR(__xludf.DUMMYFUNCTION("GOOGLETRANSLATE(B16209,""en"",""es-ES"")"),"La gente está de pie en una línea con espadas.")</f>
        <v>La gente está de pie en una línea con espadas.</v>
      </c>
    </row>
    <row r="16210">
      <c r="A16210" s="4" t="s">
        <v>20416</v>
      </c>
      <c r="B16210" s="4" t="s">
        <v>20418</v>
      </c>
      <c r="C16210" s="5" t="str">
        <f>IFERROR(__xludf.DUMMYFUNCTION("GOOGLETRANSLATE(B16210,""en"",""es-ES"")"),"Un hombre con una chaqueta blanca está hablando en un micrófono.")</f>
        <v>Un hombre con una chaqueta blanca está hablando en un micrófono.</v>
      </c>
    </row>
    <row r="16211">
      <c r="A16211" s="4" t="s">
        <v>20416</v>
      </c>
      <c r="B16211" s="4" t="s">
        <v>20419</v>
      </c>
      <c r="C16211" s="5" t="str">
        <f>IFERROR(__xludf.DUMMYFUNCTION("GOOGLETRANSLATE(B16211,""en"",""es-ES"")"),"Otro caballero mayor está hablando con un micrófono.")</f>
        <v>Otro caballero mayor está hablando con un micrófono.</v>
      </c>
    </row>
    <row r="16212">
      <c r="A16212" s="4" t="s">
        <v>20420</v>
      </c>
      <c r="B16212" s="4" t="s">
        <v>20421</v>
      </c>
      <c r="C16212" s="5" t="str">
        <f>IFERROR(__xludf.DUMMYFUNCTION("GOOGLETRANSLATE(B16212,""en"",""es-ES"")"),"Un hombre cubre una pared con cemento usando una manguera.")</f>
        <v>Un hombre cubre una pared con cemento usando una manguera.</v>
      </c>
    </row>
    <row r="16213">
      <c r="A16213" s="4" t="s">
        <v>20420</v>
      </c>
      <c r="B16213" s="4" t="s">
        <v>20422</v>
      </c>
      <c r="C16213" s="5" t="str">
        <f>IFERROR(__xludf.DUMMYFUNCTION("GOOGLETRANSLATE(B16213,""en"",""es-ES"")"),"Una persona trabaja detrás de la pared.")</f>
        <v>Una persona trabaja detrás de la pared.</v>
      </c>
    </row>
    <row r="16214">
      <c r="A16214" s="4" t="s">
        <v>20420</v>
      </c>
      <c r="B16214" s="4" t="s">
        <v>20423</v>
      </c>
      <c r="C16214" s="5" t="str">
        <f>IFERROR(__xludf.DUMMYFUNCTION("GOOGLETRANSLATE(B16214,""en"",""es-ES"")"),"La persona está cubriendo la última sección de la pared.")</f>
        <v>La persona está cubriendo la última sección de la pared.</v>
      </c>
    </row>
    <row r="16215">
      <c r="A16215" s="4" t="s">
        <v>20424</v>
      </c>
      <c r="B16215" s="4" t="s">
        <v>20425</v>
      </c>
      <c r="C16215" s="5" t="str">
        <f>IFERROR(__xludf.DUMMYFUNCTION("GOOGLETRANSLATE(B16215,""en"",""es-ES"")"),"Se ve a una persona caminando hacia el marco sosteniendo un instrumento frente a un piano.")</f>
        <v>Se ve a una persona caminando hacia el marco sosteniendo un instrumento frente a un piano.</v>
      </c>
    </row>
    <row r="16216">
      <c r="A16216" s="4" t="s">
        <v>20424</v>
      </c>
      <c r="B16216" s="4" t="s">
        <v>20426</v>
      </c>
      <c r="C16216" s="5" t="str">
        <f>IFERROR(__xludf.DUMMYFUNCTION("GOOGLETRANSLATE(B16216,""en"",""es-ES"")"),"Toca el instrumento frente al piano y regresa a la cámara.")</f>
        <v>Toca el instrumento frente al piano y regresa a la cámara.</v>
      </c>
    </row>
    <row r="16217">
      <c r="A16217" s="4" t="s">
        <v>20427</v>
      </c>
      <c r="B16217" s="4" t="s">
        <v>20428</v>
      </c>
      <c r="C16217" s="5" t="str">
        <f>IFERROR(__xludf.DUMMYFUNCTION("GOOGLETRANSLATE(B16217,""en"",""es-ES"")"),"El logotipo ""Fab"" aparece con dos espadas cruzadas.")</f>
        <v>El logotipo "Fab" aparece con dos espadas cruzadas.</v>
      </c>
    </row>
    <row r="16218">
      <c r="A16218" s="4" t="s">
        <v>20427</v>
      </c>
      <c r="B16218" s="4" t="s">
        <v>20429</v>
      </c>
      <c r="C16218" s="5" t="str">
        <f>IFERROR(__xludf.DUMMYFUNCTION("GOOGLETRANSLATE(B16218,""en"",""es-ES"")"),"Las palabras ""Prueba de corte de machete Meyerco"" siguen en la pantalla.")</f>
        <v>Las palabras "Prueba de corte de machete Meyerco" siguen en la pantalla.</v>
      </c>
    </row>
    <row r="16219">
      <c r="A16219" s="4" t="s">
        <v>20427</v>
      </c>
      <c r="B16219" s="4" t="s">
        <v>20430</v>
      </c>
      <c r="C16219" s="5" t="str">
        <f>IFERROR(__xludf.DUMMYFUNCTION("GOOGLETRANSLATE(B16219,""en"",""es-ES"")"),"Un hombre está recortando un arbusto dañado con una Machette.")</f>
        <v>Un hombre está recortando un arbusto dañado con una Machette.</v>
      </c>
    </row>
    <row r="16220">
      <c r="A16220" s="4" t="s">
        <v>20427</v>
      </c>
      <c r="B16220" s="4" t="s">
        <v>20431</v>
      </c>
      <c r="C16220" s="5" t="str">
        <f>IFERROR(__xludf.DUMMYFUNCTION("GOOGLETRANSLATE(B16220,""en"",""es-ES"")"),"El hombre continúa cortando la rama de corte en una cubierta.")</f>
        <v>El hombre continúa cortando la rama de corte en una cubierta.</v>
      </c>
    </row>
    <row r="16221">
      <c r="A16221" s="4" t="s">
        <v>20432</v>
      </c>
      <c r="B16221" s="4" t="s">
        <v>20433</v>
      </c>
      <c r="C16221" s="5" t="str">
        <f>IFERROR(__xludf.DUMMYFUNCTION("GOOGLETRANSLATE(B16221,""en"",""es-ES"")"),"Un grupo de ballet de bailarines compiten con un grupo de bailarines de hip hop.")</f>
        <v>Un grupo de ballet de bailarines compiten con un grupo de bailarines de hip hop.</v>
      </c>
    </row>
    <row r="16222">
      <c r="A16222" s="4" t="s">
        <v>20432</v>
      </c>
      <c r="B16222" s="4" t="s">
        <v>20434</v>
      </c>
      <c r="C16222" s="5" t="str">
        <f>IFERROR(__xludf.DUMMYFUNCTION("GOOGLETRANSLATE(B16222,""en"",""es-ES"")"),"Un niño baile hip hop, gira y hace un giro.")</f>
        <v>Un niño baile hip hop, gira y hace un giro.</v>
      </c>
    </row>
    <row r="16223">
      <c r="A16223" s="4" t="s">
        <v>20432</v>
      </c>
      <c r="B16223" s="4" t="s">
        <v>20435</v>
      </c>
      <c r="C16223" s="5" t="str">
        <f>IFERROR(__xludf.DUMMYFUNCTION("GOOGLETRANSLATE(B16223,""en"",""es-ES"")"),"Después, el niño sube a una columna para hacer un volteo hacia atrás y pararse sobre sus manos, luego sus amigos crían a un bailarín de ballet.")</f>
        <v>Después, el niño sube a una columna para hacer un volteo hacia atrás y pararse sobre sus manos, luego sus amigos crían a un bailarín de ballet.</v>
      </c>
    </row>
    <row r="16224">
      <c r="A16224" s="4" t="s">
        <v>20432</v>
      </c>
      <c r="B16224" s="4" t="s">
        <v>20436</v>
      </c>
      <c r="C16224" s="5" t="str">
        <f>IFERROR(__xludf.DUMMYFUNCTION("GOOGLETRANSLATE(B16224,""en"",""es-ES"")"),"Luego, un niño corre y rompe una puerta para entrar al otro lado donde una niña se sorprende.")</f>
        <v>Luego, un niño corre y rompe una puerta para entrar al otro lado donde una niña se sorprende.</v>
      </c>
    </row>
    <row r="16225">
      <c r="A16225" s="4" t="s">
        <v>20437</v>
      </c>
      <c r="B16225" s="4" t="s">
        <v>20438</v>
      </c>
      <c r="C16225" s="5" t="str">
        <f>IFERROR(__xludf.DUMMYFUNCTION("GOOGLETRANSLATE(B16225,""en"",""es-ES"")"),"Una niña sonríe a una cámara que sostiene un violín y le tira el pelo detrás de la cabeza.")</f>
        <v>Una niña sonríe a una cámara que sostiene un violín y le tira el pelo detrás de la cabeza.</v>
      </c>
    </row>
    <row r="16226">
      <c r="A16226" s="4" t="s">
        <v>20437</v>
      </c>
      <c r="B16226" s="4" t="s">
        <v>20439</v>
      </c>
      <c r="C16226" s="5" t="str">
        <f>IFERROR(__xludf.DUMMYFUNCTION("GOOGLETRANSLATE(B16226,""en"",""es-ES"")"),"Ella continúa hablando con la cámara seguida de ella tocando el violín.")</f>
        <v>Ella continúa hablando con la cámara seguida de ella tocando el violín.</v>
      </c>
    </row>
    <row r="16227">
      <c r="A16227" s="4" t="s">
        <v>20437</v>
      </c>
      <c r="B16227" s="4" t="s">
        <v>20440</v>
      </c>
      <c r="C16227" s="5" t="str">
        <f>IFERROR(__xludf.DUMMYFUNCTION("GOOGLETRANSLATE(B16227,""en"",""es-ES"")"),"Ella se lleva el pelo hacia abajo y continúa hablando con la cámara y mostrando varios movimientos de violín mientras canta.")</f>
        <v>Ella se lleva el pelo hacia abajo y continúa hablando con la cámara y mostrando varios movimientos de violín mientras canta.</v>
      </c>
    </row>
    <row r="16228">
      <c r="A16228" s="4" t="s">
        <v>20437</v>
      </c>
      <c r="B16228" s="4" t="s">
        <v>20441</v>
      </c>
      <c r="C16228" s="5" t="str">
        <f>IFERROR(__xludf.DUMMYFUNCTION("GOOGLETRANSLATE(B16228,""en"",""es-ES"")"),"Ella una vez más se pone el cabello y continúa con ella jugando.")</f>
        <v>Ella una vez más se pone el cabello y continúa con ella jugando.</v>
      </c>
    </row>
    <row r="16229">
      <c r="A16229" s="4" t="s">
        <v>20442</v>
      </c>
      <c r="B16229" s="4" t="s">
        <v>20443</v>
      </c>
      <c r="C16229" s="5" t="str">
        <f>IFERROR(__xludf.DUMMYFUNCTION("GOOGLETRANSLATE(B16229,""en"",""es-ES"")"),"Una persona enciende las luces de emergencia de un automóvil y saca el neumático de emergencia.")</f>
        <v>Una persona enciende las luces de emergencia de un automóvil y saca el neumático de emergencia.</v>
      </c>
    </row>
    <row r="16230">
      <c r="A16230" s="4" t="s">
        <v>20442</v>
      </c>
      <c r="B16230" s="4" t="s">
        <v>20444</v>
      </c>
      <c r="C16230" s="5" t="str">
        <f>IFERROR(__xludf.DUMMYFUNCTION("GOOGLETRANSLATE(B16230,""en"",""es-ES"")"),"Luego, el hombre pierde las tuercas de la llanta, y luego lee el manual.")</f>
        <v>Luego, el hombre pierde las tuercas de la llanta, y luego lee el manual.</v>
      </c>
    </row>
    <row r="16231">
      <c r="A16231" s="4" t="s">
        <v>20442</v>
      </c>
      <c r="B16231" s="4" t="s">
        <v>20445</v>
      </c>
      <c r="C16231" s="5" t="str">
        <f>IFERROR(__xludf.DUMMYFUNCTION("GOOGLETRANSLATE(B16231,""en"",""es-ES"")"),"Después, el hombre pone un gato debajo del auto para elevarlo.")</f>
        <v>Después, el hombre pone un gato debajo del auto para elevarlo.</v>
      </c>
    </row>
    <row r="16232">
      <c r="A16232" s="4" t="s">
        <v>20442</v>
      </c>
      <c r="B16232" s="4" t="s">
        <v>20446</v>
      </c>
      <c r="C16232" s="5" t="str">
        <f>IFERROR(__xludf.DUMMYFUNCTION("GOOGLETRANSLATE(B16232,""en"",""es-ES"")"),"Luego, el hombre pone el neumático de emergencia y aprieta las tuercas.")</f>
        <v>Luego, el hombre pone el neumático de emergencia y aprieta las tuercas.</v>
      </c>
    </row>
    <row r="16233">
      <c r="A16233" s="4" t="s">
        <v>20442</v>
      </c>
      <c r="B16233" s="4" t="s">
        <v>20447</v>
      </c>
      <c r="C16233" s="5" t="str">
        <f>IFERROR(__xludf.DUMMYFUNCTION("GOOGLETRANSLATE(B16233,""en"",""es-ES"")"),"Al final, el hombre guarda el gato y la llanta pinchada.")</f>
        <v>Al final, el hombre guarda el gato y la llanta pinchada.</v>
      </c>
    </row>
    <row r="16234">
      <c r="A16234" s="4" t="s">
        <v>20448</v>
      </c>
      <c r="B16234" s="4" t="s">
        <v>20449</v>
      </c>
      <c r="C16234" s="5" t="str">
        <f>IFERROR(__xludf.DUMMYFUNCTION("GOOGLETRANSLATE(B16234,""en"",""es-ES"")"),"Se ve a una mujer hablando con la cámara mientras sostiene un violín.")</f>
        <v>Se ve a una mujer hablando con la cámara mientras sostiene un violín.</v>
      </c>
    </row>
    <row r="16235">
      <c r="A16235" s="4" t="s">
        <v>20448</v>
      </c>
      <c r="B16235" s="4" t="s">
        <v>20450</v>
      </c>
      <c r="C16235" s="5" t="str">
        <f>IFERROR(__xludf.DUMMYFUNCTION("GOOGLETRANSLATE(B16235,""en"",""es-ES"")"),"La mujer continúa hablando y comienza a demostrar cómo tocar una canción.")</f>
        <v>La mujer continúa hablando y comienza a demostrar cómo tocar una canción.</v>
      </c>
    </row>
    <row r="16236">
      <c r="A16236" s="4" t="s">
        <v>20448</v>
      </c>
      <c r="B16236" s="4" t="s">
        <v>20451</v>
      </c>
      <c r="C16236" s="5" t="str">
        <f>IFERROR(__xludf.DUMMYFUNCTION("GOOGLETRANSLATE(B16236,""en"",""es-ES"")"),"Ella termina tocando la canción y sonríe a la cámara.")</f>
        <v>Ella termina tocando la canción y sonríe a la cámara.</v>
      </c>
    </row>
    <row r="16237">
      <c r="A16237" s="4" t="s">
        <v>20452</v>
      </c>
      <c r="B16237" s="4" t="s">
        <v>20453</v>
      </c>
      <c r="C16237" s="5" t="str">
        <f>IFERROR(__xludf.DUMMYFUNCTION("GOOGLETRANSLATE(B16237,""en"",""es-ES"")"),"Se ve a una persona inclinándose sobre sus piernas con una persona que pone crema de afeitar por toda la pierna.")</f>
        <v>Se ve a una persona inclinándose sobre sus piernas con una persona que pone crema de afeitar por toda la pierna.</v>
      </c>
    </row>
    <row r="16238">
      <c r="A16238" s="4" t="s">
        <v>20452</v>
      </c>
      <c r="B16238" s="4" t="s">
        <v>20454</v>
      </c>
      <c r="C16238" s="5" t="str">
        <f>IFERROR(__xludf.DUMMYFUNCTION("GOOGLETRANSLATE(B16238,""en"",""es-ES"")"),"La persona luego toma una navaja de afeitar y comienza a afeitarse la pierna del hombre mientras la sumerge en un fregadero.")</f>
        <v>La persona luego toma una navaja de afeitar y comienza a afeitarse la pierna del hombre mientras la sumerge en un fregadero.</v>
      </c>
    </row>
    <row r="16239">
      <c r="A16239" s="4" t="s">
        <v>20452</v>
      </c>
      <c r="B16239" s="4" t="s">
        <v>20455</v>
      </c>
      <c r="C16239" s="5" t="str">
        <f>IFERROR(__xludf.DUMMYFUNCTION("GOOGLETRANSLATE(B16239,""en"",""es-ES"")"),"La mujer continúa afeitándose la pierna mientras vuelve al fregadero y él tomaba una copa.")</f>
        <v>La mujer continúa afeitándose la pierna mientras vuelve al fregadero y él tomaba una copa.</v>
      </c>
    </row>
    <row r="16240">
      <c r="A16240" s="4" t="s">
        <v>20456</v>
      </c>
      <c r="B16240" s="4" t="s">
        <v>20457</v>
      </c>
      <c r="C16240" s="5" t="str">
        <f>IFERROR(__xludf.DUMMYFUNCTION("GOOGLETRANSLATE(B16240,""en"",""es-ES"")"),"Una pelota de hombre rueda a través de un campo de béisbol y un niño pequeño con una camisa verde patea la pelota y corre alrededor de las bases.")</f>
        <v>Una pelota de hombre rueda a través de un campo de béisbol y un niño pequeño con una camisa verde patea la pelota y corre alrededor de las bases.</v>
      </c>
    </row>
    <row r="16241">
      <c r="A16241" s="4" t="s">
        <v>20456</v>
      </c>
      <c r="B16241" s="4" t="s">
        <v>20458</v>
      </c>
      <c r="C16241" s="5" t="str">
        <f>IFERROR(__xludf.DUMMYFUNCTION("GOOGLETRANSLATE(B16241,""en"",""es-ES"")"),"El niño se detiene y mira la cámara y luego comienza a correr de nuevo.")</f>
        <v>El niño se detiene y mira la cámara y luego comienza a correr de nuevo.</v>
      </c>
    </row>
    <row r="16242">
      <c r="A16242" s="4" t="s">
        <v>20456</v>
      </c>
      <c r="B16242" s="4" t="s">
        <v>20459</v>
      </c>
      <c r="C16242" s="5" t="str">
        <f>IFERROR(__xludf.DUMMYFUNCTION("GOOGLETRANSLATE(B16242,""en"",""es-ES"")"),"Una persona corre frente a la cámara.")</f>
        <v>Una persona corre frente a la cámara.</v>
      </c>
    </row>
    <row r="16243">
      <c r="A16243" s="4" t="s">
        <v>20456</v>
      </c>
      <c r="B16243" s="4" t="s">
        <v>20460</v>
      </c>
      <c r="C16243" s="5" t="str">
        <f>IFERROR(__xludf.DUMMYFUNCTION("GOOGLETRANSLATE(B16243,""en"",""es-ES"")"),"El niño llega a casa cuando una dama persigue una pelota a la cerca.")</f>
        <v>El niño llega a casa cuando una dama persigue una pelota a la cerca.</v>
      </c>
    </row>
    <row r="16244">
      <c r="A16244" s="4" t="s">
        <v>20461</v>
      </c>
      <c r="B16244" s="4" t="s">
        <v>20462</v>
      </c>
      <c r="C16244" s="5" t="str">
        <f>IFERROR(__xludf.DUMMYFUNCTION("GOOGLETRANSLATE(B16244,""en"",""es-ES"")"),"El niño con el sombrero rojo y el abrigo azul está siendo arrastrado en un tubo rojo por una cuerda sobre algunas carreteras heladas.")</f>
        <v>El niño con el sombrero rojo y el abrigo azul está siendo arrastrado en un tubo rojo por una cuerda sobre algunas carreteras heladas.</v>
      </c>
    </row>
    <row r="16245">
      <c r="A16245" s="4" t="s">
        <v>20461</v>
      </c>
      <c r="B16245" s="4" t="s">
        <v>20463</v>
      </c>
      <c r="C16245" s="5" t="str">
        <f>IFERROR(__xludf.DUMMYFUNCTION("GOOGLETRANSLATE(B16245,""en"",""es-ES"")"),"Un hombre con un sombrero negro tiene su turno con el tubo.")</f>
        <v>Un hombre con un sombrero negro tiene su turno con el tubo.</v>
      </c>
    </row>
    <row r="16246">
      <c r="A16246" s="4" t="s">
        <v>20461</v>
      </c>
      <c r="B16246" s="4" t="s">
        <v>20464</v>
      </c>
      <c r="C16246" s="5" t="str">
        <f>IFERROR(__xludf.DUMMYFUNCTION("GOOGLETRANSLATE(B16246,""en"",""es-ES"")"),"Un hombre con un sombrero gris golpea un terraplén de nieve con el tubo.")</f>
        <v>Un hombre con un sombrero gris golpea un terraplén de nieve con el tubo.</v>
      </c>
    </row>
    <row r="16247">
      <c r="A16247" s="4" t="s">
        <v>20461</v>
      </c>
      <c r="B16247" s="4" t="s">
        <v>20465</v>
      </c>
      <c r="C16247" s="5" t="str">
        <f>IFERROR(__xludf.DUMMYFUNCTION("GOOGLETRANSLATE(B16247,""en"",""es-ES"")"),"Un hombre sube por una colina de nieve en el tubo.")</f>
        <v>Un hombre sube por una colina de nieve en el tubo.</v>
      </c>
    </row>
    <row r="16248">
      <c r="A16248" s="4" t="s">
        <v>20461</v>
      </c>
      <c r="B16248" s="4" t="s">
        <v>20466</v>
      </c>
      <c r="C16248" s="5" t="str">
        <f>IFERROR(__xludf.DUMMYFUNCTION("GOOGLETRANSLATE(B16248,""en"",""es-ES"")"),"Más personas comienzan a deslizarse, pero esta vez es con un pequeño trineo, no un tubo.")</f>
        <v>Más personas comienzan a deslizarse, pero esta vez es con un pequeño trineo, no un tubo.</v>
      </c>
    </row>
    <row r="16249">
      <c r="A16249" s="4" t="s">
        <v>20461</v>
      </c>
      <c r="B16249" s="4" t="s">
        <v>20467</v>
      </c>
      <c r="C16249" s="5" t="str">
        <f>IFERROR(__xludf.DUMMYFUNCTION("GOOGLETRANSLATE(B16249,""en"",""es-ES"")"),"Un hombre suelta la cuerda y golpea un terraplén de nieve.")</f>
        <v>Un hombre suelta la cuerda y golpea un terraplén de nieve.</v>
      </c>
    </row>
    <row r="16250">
      <c r="A16250" s="4" t="s">
        <v>20461</v>
      </c>
      <c r="B16250" s="4" t="s">
        <v>20468</v>
      </c>
      <c r="C16250" s="5" t="str">
        <f>IFERROR(__xludf.DUMMYFUNCTION("GOOGLETRANSLATE(B16250,""en"",""es-ES"")"),"Un grupo de amigos se sientan juntos en un sofá.")</f>
        <v>Un grupo de amigos se sientan juntos en un sofá.</v>
      </c>
    </row>
    <row r="16251">
      <c r="A16251" s="4" t="s">
        <v>20469</v>
      </c>
      <c r="B16251" s="4" t="s">
        <v>20470</v>
      </c>
      <c r="C16251" s="5" t="str">
        <f>IFERROR(__xludf.DUMMYFUNCTION("GOOGLETRANSLATE(B16251,""en"",""es-ES"")"),"Un hombre que usa solo pantalones cortos negros, sandalias y un cinturón de engranajes, sube una roca con una cuerda en un entorno natural lleno de árboles y follaje.")</f>
        <v>Un hombre que usa solo pantalones cortos negros, sandalias y un cinturón de engranajes, sube una roca con una cuerda en un entorno natural lleno de árboles y follaje.</v>
      </c>
    </row>
    <row r="16252">
      <c r="A16252" s="4" t="s">
        <v>20469</v>
      </c>
      <c r="B16252" s="4" t="s">
        <v>20471</v>
      </c>
      <c r="C16252" s="5" t="str">
        <f>IFERROR(__xludf.DUMMYFUNCTION("GOOGLETRANSLATE(B16252,""en"",""es-ES"")"),"El hombre en los pantalones cortos negros se encuentra en el fondo de la roca y comienza a subir la roca.")</f>
        <v>El hombre en los pantalones cortos negros se encuentra en el fondo de la roca y comienza a subir la roca.</v>
      </c>
    </row>
    <row r="16253">
      <c r="A16253" s="4" t="s">
        <v>20469</v>
      </c>
      <c r="B16253" s="4" t="s">
        <v>20472</v>
      </c>
      <c r="C16253" s="5" t="str">
        <f>IFERROR(__xludf.DUMMYFUNCTION("GOOGLETRANSLATE(B16253,""en"",""es-ES"")"),"El hombre sube desde la parte inferior usando las rodillas para ganar equilibrio y una cuerda para estable cuando pierde el agarre con las rocas.")</f>
        <v>El hombre sube desde la parte inferior usando las rodillas para ganar equilibrio y una cuerda para estable cuando pierde el agarre con las rocas.</v>
      </c>
    </row>
    <row r="16254">
      <c r="A16254" s="4" t="s">
        <v>20469</v>
      </c>
      <c r="B16254" s="4" t="s">
        <v>20473</v>
      </c>
      <c r="C16254" s="5" t="str">
        <f>IFERROR(__xludf.DUMMYFUNCTION("GOOGLETRANSLATE(B16254,""en"",""es-ES"")"),"El hombre llega a la cima de la roca mientras la cuerda bronceada, detrás, cuelga.")</f>
        <v>El hombre llega a la cima de la roca mientras la cuerda bronceada, detrás, cuelga.</v>
      </c>
    </row>
    <row r="16255">
      <c r="A16255" s="4" t="s">
        <v>20474</v>
      </c>
      <c r="B16255" s="4" t="s">
        <v>20475</v>
      </c>
      <c r="C16255" s="5" t="str">
        <f>IFERROR(__xludf.DUMMYFUNCTION("GOOGLETRANSLATE(B16255,""en"",""es-ES"")"),"Un hombre se cae mientras intenta jugar un carril.")</f>
        <v>Un hombre se cae mientras intenta jugar un carril.</v>
      </c>
    </row>
    <row r="16256">
      <c r="A16256" s="4" t="s">
        <v>20474</v>
      </c>
      <c r="B16256" s="4" t="s">
        <v>20476</v>
      </c>
      <c r="C16256" s="5" t="str">
        <f>IFERROR(__xludf.DUMMYFUNCTION("GOOGLETRANSLATE(B16256,""en"",""es-ES"")"),"Una mujer se cae tratando de jugar.")</f>
        <v>Una mujer se cae tratando de jugar.</v>
      </c>
    </row>
    <row r="16257">
      <c r="A16257" s="4" t="s">
        <v>20474</v>
      </c>
      <c r="B16257" s="4" t="s">
        <v>20477</v>
      </c>
      <c r="C16257" s="5" t="str">
        <f>IFERROR(__xludf.DUMMYFUNCTION("GOOGLETRANSLATE(B16257,""en"",""es-ES"")"),"Un hombre lanza una bola de boliche y golpea el techo.")</f>
        <v>Un hombre lanza una bola de boliche y golpea el techo.</v>
      </c>
    </row>
    <row r="16258">
      <c r="A16258" s="4" t="s">
        <v>20474</v>
      </c>
      <c r="B16258" s="4" t="s">
        <v>20478</v>
      </c>
      <c r="C16258" s="5" t="str">
        <f>IFERROR(__xludf.DUMMYFUNCTION("GOOGLETRANSLATE(B16258,""en"",""es-ES"")"),"Un hombre se desliza y cae mientras intenta jugar.")</f>
        <v>Un hombre se desliza y cae mientras intenta jugar.</v>
      </c>
    </row>
    <row r="16259">
      <c r="A16259" s="4" t="s">
        <v>20479</v>
      </c>
      <c r="B16259" s="4" t="s">
        <v>20480</v>
      </c>
      <c r="C16259" s="5" t="str">
        <f>IFERROR(__xludf.DUMMYFUNCTION("GOOGLETRANSLATE(B16259,""en"",""es-ES"")"),"Una persona voltea un esquí al revés.")</f>
        <v>Una persona voltea un esquí al revés.</v>
      </c>
    </row>
    <row r="16260">
      <c r="A16260" s="4" t="s">
        <v>20479</v>
      </c>
      <c r="B16260" s="4" t="s">
        <v>20481</v>
      </c>
      <c r="C16260" s="5" t="str">
        <f>IFERROR(__xludf.DUMMYFUNCTION("GOOGLETRANSLATE(B16260,""en"",""es-ES"")"),"Se derriten en el fondo del esquí.")</f>
        <v>Se derriten en el fondo del esquí.</v>
      </c>
    </row>
    <row r="16261">
      <c r="A16261" s="4" t="s">
        <v>20479</v>
      </c>
      <c r="B16261" s="4" t="s">
        <v>20482</v>
      </c>
      <c r="C16261" s="5" t="str">
        <f>IFERROR(__xludf.DUMMYFUNCTION("GOOGLETRANSLATE(B16261,""en"",""es-ES"")"),"Corren el hierro sobre la parte superior de The Was en el esquí.")</f>
        <v>Corren el hierro sobre la parte superior de The Was en el esquí.</v>
      </c>
    </row>
    <row r="16262">
      <c r="A16262" s="4" t="s">
        <v>20483</v>
      </c>
      <c r="B16262" s="4" t="s">
        <v>20484</v>
      </c>
      <c r="C16262" s="5" t="str">
        <f>IFERROR(__xludf.DUMMYFUNCTION("GOOGLETRANSLATE(B16262,""en"",""es-ES"")"),"Una gimnasta se para y agita los brazos antes de una actuación.")</f>
        <v>Una gimnasta se para y agita los brazos antes de una actuación.</v>
      </c>
    </row>
    <row r="16263">
      <c r="A16263" s="4" t="s">
        <v>20483</v>
      </c>
      <c r="B16263" s="4" t="s">
        <v>20485</v>
      </c>
      <c r="C16263" s="5" t="str">
        <f>IFERROR(__xludf.DUMMYFUNCTION("GOOGLETRANSLATE(B16263,""en"",""es-ES"")"),"La gimnasta salta y monta el rayo de equilibrio.")</f>
        <v>La gimnasta salta y monta el rayo de equilibrio.</v>
      </c>
    </row>
    <row r="16264">
      <c r="A16264" s="4" t="s">
        <v>20483</v>
      </c>
      <c r="B16264" s="4" t="s">
        <v>20486</v>
      </c>
      <c r="C16264" s="5" t="str">
        <f>IFERROR(__xludf.DUMMYFUNCTION("GOOGLETRANSLATE(B16264,""en"",""es-ES"")"),"La gimnasta hace una rutina en la viga de equilibrio haciendo flips y resortes de manos.")</f>
        <v>La gimnasta hace una rutina en la viga de equilibrio haciendo flips y resortes de manos.</v>
      </c>
    </row>
    <row r="16265">
      <c r="A16265" s="4" t="s">
        <v>20483</v>
      </c>
      <c r="B16265" s="4" t="s">
        <v>20487</v>
      </c>
      <c r="C16265" s="5" t="str">
        <f>IFERROR(__xludf.DUMMYFUNCTION("GOOGLETRANSLATE(B16265,""en"",""es-ES"")"),"La gimnasta salta y hace las divisiones en el aire.")</f>
        <v>La gimnasta salta y hace las divisiones en el aire.</v>
      </c>
    </row>
    <row r="16266">
      <c r="A16266" s="4" t="s">
        <v>20483</v>
      </c>
      <c r="B16266" s="4" t="s">
        <v>20488</v>
      </c>
      <c r="C16266" s="5" t="str">
        <f>IFERROR(__xludf.DUMMYFUNCTION("GOOGLETRANSLATE(B16266,""en"",""es-ES"")"),"La gimnasta desmonta el rayo de equilibrio en la colchoneta.")</f>
        <v>La gimnasta desmonta el rayo de equilibrio en la colchoneta.</v>
      </c>
    </row>
    <row r="16267">
      <c r="A16267" s="4" t="s">
        <v>20489</v>
      </c>
      <c r="B16267" s="4" t="s">
        <v>20490</v>
      </c>
      <c r="C16267" s="5" t="str">
        <f>IFERROR(__xludf.DUMMYFUNCTION("GOOGLETRANSLATE(B16267,""en"",""es-ES"")"),"Vemos una escena de apertura blanca.")</f>
        <v>Vemos una escena de apertura blanca.</v>
      </c>
    </row>
    <row r="16268">
      <c r="A16268" s="4" t="s">
        <v>20489</v>
      </c>
      <c r="B16268" s="4" t="s">
        <v>20491</v>
      </c>
      <c r="C16268" s="5" t="str">
        <f>IFERROR(__xludf.DUMMYFUNCTION("GOOGLETRANSLATE(B16268,""en"",""es-ES"")"),"Vemos a una dama en una cocina hablando y cocinando.")</f>
        <v>Vemos a una dama en una cocina hablando y cocinando.</v>
      </c>
    </row>
    <row r="16269">
      <c r="A16269" s="4" t="s">
        <v>20489</v>
      </c>
      <c r="B16269" s="4" t="s">
        <v>20492</v>
      </c>
      <c r="C16269" s="5" t="str">
        <f>IFERROR(__xludf.DUMMYFUNCTION("GOOGLETRANSLATE(B16269,""en"",""es-ES"")"),"La señora corta una papa y la pone en el agua.")</f>
        <v>La señora corta una papa y la pone en el agua.</v>
      </c>
    </row>
    <row r="16270">
      <c r="A16270" s="4" t="s">
        <v>20489</v>
      </c>
      <c r="B16270" s="4" t="s">
        <v>20493</v>
      </c>
      <c r="C16270" s="5" t="str">
        <f>IFERROR(__xludf.DUMMYFUNCTION("GOOGLETRANSLATE(B16270,""en"",""es-ES"")"),"La señora pone la papa en agua fría.")</f>
        <v>La señora pone la papa en agua fría.</v>
      </c>
    </row>
    <row r="16271">
      <c r="A16271" s="4" t="s">
        <v>20489</v>
      </c>
      <c r="B16271" s="4" t="s">
        <v>20494</v>
      </c>
      <c r="C16271" s="5" t="str">
        <f>IFERROR(__xludf.DUMMYFUNCTION("GOOGLETRANSLATE(B16271,""en"",""es-ES"")"),"La señora pega la piel de la papa fácilmente.")</f>
        <v>La señora pega la piel de la papa fácilmente.</v>
      </c>
    </row>
    <row r="16272">
      <c r="A16272" s="4" t="s">
        <v>20489</v>
      </c>
      <c r="B16272" s="4" t="s">
        <v>2486</v>
      </c>
      <c r="C16272" s="5" t="str">
        <f>IFERROR(__xludf.DUMMYFUNCTION("GOOGLETRANSLATE(B16272,""en"",""es-ES"")"),"Vemos la pantalla de cierre.")</f>
        <v>Vemos la pantalla de cierre.</v>
      </c>
    </row>
    <row r="16273">
      <c r="A16273" s="4" t="s">
        <v>20495</v>
      </c>
      <c r="B16273" s="4" t="s">
        <v>20496</v>
      </c>
      <c r="C16273" s="5" t="str">
        <f>IFERROR(__xludf.DUMMYFUNCTION("GOOGLETRANSLATE(B16273,""en"",""es-ES"")"),"Un chef está mezclando agua y vinagre en un tazón de vidrio y agrega chiles secos.")</f>
        <v>Un chef está mezclando agua y vinagre en un tazón de vidrio y agrega chiles secos.</v>
      </c>
    </row>
    <row r="16274">
      <c r="A16274" s="4" t="s">
        <v>20495</v>
      </c>
      <c r="B16274" s="4" t="s">
        <v>20497</v>
      </c>
      <c r="C16274" s="5" t="str">
        <f>IFERROR(__xludf.DUMMYFUNCTION("GOOGLETRANSLATE(B16274,""en"",""es-ES"")"),"Luego, en una licuadora, el chef mezcla alcaparras, ajo, anchoas y aceitunas negras junto con un poco de aceite de oliva.")</f>
        <v>Luego, en una licuadora, el chef mezcla alcaparras, ajo, anchoas y aceitunas negras junto con un poco de aceite de oliva.</v>
      </c>
    </row>
    <row r="16275">
      <c r="A16275" s="4" t="s">
        <v>20495</v>
      </c>
      <c r="B16275" s="4" t="s">
        <v>20498</v>
      </c>
      <c r="C16275" s="5" t="str">
        <f>IFERROR(__xludf.DUMMYFUNCTION("GOOGLETRANSLATE(B16275,""en"",""es-ES"")"),"El chef mezcla los ingredientes en una pasta.")</f>
        <v>El chef mezcla los ingredientes en una pasta.</v>
      </c>
    </row>
    <row r="16276">
      <c r="A16276" s="4" t="s">
        <v>20495</v>
      </c>
      <c r="B16276" s="4" t="s">
        <v>20499</v>
      </c>
      <c r="C16276" s="5" t="str">
        <f>IFERROR(__xludf.DUMMYFUNCTION("GOOGLETRANSLATE(B16276,""en"",""es-ES"")"),"El chef agrega un poco de ajo al aceite en una sartén y lo salva con algunos tomates secos al sol.")</f>
        <v>El chef agrega un poco de ajo al aceite en una sartén y lo salva con algunos tomates secos al sol.</v>
      </c>
    </row>
    <row r="16277">
      <c r="A16277" s="4" t="s">
        <v>20495</v>
      </c>
      <c r="B16277" s="4" t="s">
        <v>20500</v>
      </c>
      <c r="C16277" s="5" t="str">
        <f>IFERROR(__xludf.DUMMYFUNCTION("GOOGLETRANSLATE(B16277,""en"",""es-ES"")"),"Luego agrega la tapenada de oliva a la sartén.")</f>
        <v>Luego agrega la tapenada de oliva a la sartén.</v>
      </c>
    </row>
    <row r="16278">
      <c r="A16278" s="4" t="s">
        <v>20495</v>
      </c>
      <c r="B16278" s="4" t="s">
        <v>20501</v>
      </c>
      <c r="C16278" s="5" t="str">
        <f>IFERROR(__xludf.DUMMYFUNCTION("GOOGLETRANSLATE(B16278,""en"",""es-ES"")"),"El chef luego corta un poco de perejil y ajo juntos.")</f>
        <v>El chef luego corta un poco de perejil y ajo juntos.</v>
      </c>
    </row>
    <row r="16279">
      <c r="A16279" s="4" t="s">
        <v>20495</v>
      </c>
      <c r="B16279" s="4" t="s">
        <v>20502</v>
      </c>
      <c r="C16279" s="5" t="str">
        <f>IFERROR(__xludf.DUMMYFUNCTION("GOOGLETRANSLATE(B16279,""en"",""es-ES"")"),"Luego agrega algunos espagueti al agua salada hirviendo y lo cocina.")</f>
        <v>Luego agrega algunos espagueti al agua salada hirviendo y lo cocina.</v>
      </c>
    </row>
    <row r="16280">
      <c r="A16280" s="4" t="s">
        <v>20495</v>
      </c>
      <c r="B16280" s="4" t="s">
        <v>20503</v>
      </c>
      <c r="C16280" s="5" t="str">
        <f>IFERROR(__xludf.DUMMYFUNCTION("GOOGLETRANSLATE(B16280,""en"",""es-ES"")"),"Agrega el perejil picado al espagueti y lo mezcla bien junto con la tapenada de oliva.")</f>
        <v>Agrega el perejil picado al espagueti y lo mezcla bien junto con la tapenada de oliva.</v>
      </c>
    </row>
    <row r="16281">
      <c r="A16281" s="4" t="s">
        <v>20504</v>
      </c>
      <c r="B16281" s="4" t="s">
        <v>20505</v>
      </c>
      <c r="C16281" s="5" t="str">
        <f>IFERROR(__xludf.DUMMYFUNCTION("GOOGLETRANSLATE(B16281,""en"",""es-ES"")"),"Una persona está poniendo glaseado negro en un pastel.")</f>
        <v>Una persona está poniendo glaseado negro en un pastel.</v>
      </c>
    </row>
    <row r="16282">
      <c r="A16282" s="4" t="s">
        <v>20504</v>
      </c>
      <c r="B16282" s="4" t="s">
        <v>20506</v>
      </c>
      <c r="C16282" s="5" t="str">
        <f>IFERROR(__xludf.DUMMYFUNCTION("GOOGLETRANSLATE(B16282,""en"",""es-ES"")"),"Vieren glaseado en la parte superior de una olla.")</f>
        <v>Vieren glaseado en la parte superior de una olla.</v>
      </c>
    </row>
    <row r="16283">
      <c r="A16283" s="4" t="s">
        <v>20504</v>
      </c>
      <c r="B16283" s="4" t="s">
        <v>20507</v>
      </c>
      <c r="C16283" s="5" t="str">
        <f>IFERROR(__xludf.DUMMYFUNCTION("GOOGLETRANSLATE(B16283,""en"",""es-ES"")"),"Ponen fresas, arándanos, frambuesas y bayas negras en la parte superior del pastel.")</f>
        <v>Ponen fresas, arándanos, frambuesas y bayas negras en la parte superior del pastel.</v>
      </c>
    </row>
    <row r="16284">
      <c r="A16284" s="4" t="s">
        <v>20508</v>
      </c>
      <c r="B16284" s="4" t="s">
        <v>20509</v>
      </c>
      <c r="C16284" s="5" t="str">
        <f>IFERROR(__xludf.DUMMYFUNCTION("GOOGLETRANSLATE(B16284,""en"",""es-ES"")"),"Un gran grupo de personas se ve rebotando en trampolines lanzán dodgeballs entre sí.")</f>
        <v>Un gran grupo de personas se ve rebotando en trampolines lanzán dodgeballs entre sí.</v>
      </c>
    </row>
    <row r="16285">
      <c r="A16285" s="4" t="s">
        <v>20508</v>
      </c>
      <c r="B16285" s="4" t="s">
        <v>20510</v>
      </c>
      <c r="C16285" s="5" t="str">
        <f>IFERROR(__xludf.DUMMYFUNCTION("GOOGLETRANSLATE(B16285,""en"",""es-ES"")"),"La cámara se desplaza a las personas en el exterior y vuelve a los niños jugando.")</f>
        <v>La cámara se desplaza a las personas en el exterior y vuelve a los niños jugando.</v>
      </c>
    </row>
    <row r="16286">
      <c r="A16286" s="4" t="s">
        <v>20511</v>
      </c>
      <c r="B16286" s="4" t="s">
        <v>20512</v>
      </c>
      <c r="C16286" s="5" t="str">
        <f>IFERROR(__xludf.DUMMYFUNCTION("GOOGLETRANSLATE(B16286,""en"",""es-ES"")"),"Aparece una pantalla rosa que tiene números negros y palabras que leen ""Handbaguye 82"", luego los corazones parecen desvanecerse la pantalla de introducción y una mujer rubia sonriente que usa verde parece hablar directamente a la cámara.")</f>
        <v>Aparece una pantalla rosa que tiene números negros y palabras que leen "Handbaguye 82", luego los corazones parecen desvanecerse la pantalla de introducción y una mujer rubia sonriente que usa verde parece hablar directamente a la cámara.</v>
      </c>
    </row>
    <row r="16287">
      <c r="A16287" s="4" t="s">
        <v>20511</v>
      </c>
      <c r="B16287" s="4" t="s">
        <v>20513</v>
      </c>
      <c r="C16287" s="5" t="str">
        <f>IFERROR(__xludf.DUMMYFUNCTION("GOOGLETRANSLATE(B16287,""en"",""es-ES"")"),"Luego, la mujer recoge una bandeja con una cubierta que incluye coloridos rizadores de diferentes tamaños y continúa hablando mientras los señala.")</f>
        <v>Luego, la mujer recoge una bandeja con una cubierta que incluye coloridos rizadores de diferentes tamaños y continúa hablando mientras los señala.</v>
      </c>
    </row>
    <row r="16288">
      <c r="A16288" s="4" t="s">
        <v>20511</v>
      </c>
      <c r="B16288" s="4" t="s">
        <v>20514</v>
      </c>
      <c r="C16288" s="5" t="str">
        <f>IFERROR(__xludf.DUMMYFUNCTION("GOOGLETRANSLATE(B16288,""en"",""es-ES"")"),"Luego, la mujer recoge una bolsa negra y agarra un clip plateado, lo vuelve a colocar en la bolsa y pone la bolsa a un lado y continúa hablando.")</f>
        <v>Luego, la mujer recoge una bolsa negra y agarra un clip plateado, lo vuelve a colocar en la bolsa y pone la bolsa a un lado y continúa hablando.</v>
      </c>
    </row>
    <row r="16289">
      <c r="A16289" s="4" t="s">
        <v>20511</v>
      </c>
      <c r="B16289" s="4" t="s">
        <v>20515</v>
      </c>
      <c r="C16289" s="5" t="str">
        <f>IFERROR(__xludf.DUMMYFUNCTION("GOOGLETRANSLATE(B16289,""en"",""es-ES"")"),"La mujer ahora está de pie en un baño con un suéter rojo con Hello Kitty en la parte delantera y se está cepillando el cabello, rodando en rizadores y recortando cada uno individualmente con el clip plateado y los rizadores que mostró antes.")</f>
        <v>La mujer ahora está de pie en un baño con un suéter rojo con Hello Kitty en la parte delantera y se está cepillando el cabello, rodando en rizadores y recortando cada uno individualmente con el clip plateado y los rizadores que mostró antes.</v>
      </c>
    </row>
    <row r="16290">
      <c r="A16290" s="4" t="s">
        <v>20511</v>
      </c>
      <c r="B16290" s="4" t="s">
        <v>20516</v>
      </c>
      <c r="C16290" s="5" t="str">
        <f>IFERROR(__xludf.DUMMYFUNCTION("GOOGLETRANSLATE(B16290,""en"",""es-ES"")"),"Cuando completa colocar todos los rizadores que pueden caber en toda su cabeza, sonríe a la cámara y gira la cabeza de lado a lado.")</f>
        <v>Cuando completa colocar todos los rizadores que pueden caber en toda su cabeza, sonríe a la cámara y gira la cabeza de lado a lado.</v>
      </c>
    </row>
    <row r="16291">
      <c r="A16291" s="4" t="s">
        <v>20511</v>
      </c>
      <c r="B16291" s="4" t="s">
        <v>20517</v>
      </c>
      <c r="C16291" s="5" t="str">
        <f>IFERROR(__xludf.DUMMYFUNCTION("GOOGLETRANSLATE(B16291,""en"",""es-ES"")"),"La mujer ahora está parada en el baño con verde nuevamente y se le deprime el pelo y está hablando y usando sus manos para mover su cabello para mostrar los rizos.")</f>
        <v>La mujer ahora está parada en el baño con verde nuevamente y se le deprime el pelo y está hablando y usando sus manos para mover su cabello para mostrar los rizos.</v>
      </c>
    </row>
    <row r="16292">
      <c r="A16292" s="4" t="s">
        <v>20511</v>
      </c>
      <c r="B16292" s="4" t="s">
        <v>20518</v>
      </c>
      <c r="C16292" s="5" t="str">
        <f>IFERROR(__xludf.DUMMYFUNCTION("GOOGLETRANSLATE(B16292,""en"",""es-ES"")"),"El SCREAN Outro es rosa y termina con palabras negras y luego una pantalla negra que tiene un par de labios rojos clip.")</f>
        <v>El SCREAN Outro es rosa y termina con palabras negras y luego una pantalla negra que tiene un par de labios rojos clip.</v>
      </c>
    </row>
    <row r="16293">
      <c r="A16293" s="4" t="s">
        <v>20519</v>
      </c>
      <c r="B16293" s="4" t="s">
        <v>20520</v>
      </c>
      <c r="C16293" s="5" t="str">
        <f>IFERROR(__xludf.DUMMYFUNCTION("GOOGLETRANSLATE(B16293,""en"",""es-ES"")"),"La mujer está de pie en un campo verde que practica equilibrar una pelota en un club de golf.")</f>
        <v>La mujer está de pie en un campo verde que practica equilibrar una pelota en un club de golf.</v>
      </c>
    </row>
    <row r="16294">
      <c r="A16294" s="4" t="s">
        <v>20519</v>
      </c>
      <c r="B16294" s="4" t="s">
        <v>20521</v>
      </c>
      <c r="C16294" s="5" t="str">
        <f>IFERROR(__xludf.DUMMYFUNCTION("GOOGLETRANSLATE(B16294,""en"",""es-ES"")"),"Otra mujer está en la cancha y está practicando con la niña que pasa la pelota de un club de golf a otro.")</f>
        <v>Otra mujer está en la cancha y está practicando con la niña que pasa la pelota de un club de golf a otro.</v>
      </c>
    </row>
    <row r="16295">
      <c r="A16295" s="4" t="s">
        <v>20519</v>
      </c>
      <c r="B16295" s="4" t="s">
        <v>20522</v>
      </c>
      <c r="C16295" s="5" t="str">
        <f>IFERROR(__xludf.DUMMYFUNCTION("GOOGLETRANSLATE(B16295,""en"",""es-ES"")"),"En el fondo, los autos están estacionados en un estacionamiento.")</f>
        <v>En el fondo, los autos están estacionados en un estacionamiento.</v>
      </c>
    </row>
    <row r="16296">
      <c r="A16296" s="4" t="s">
        <v>20523</v>
      </c>
      <c r="B16296" s="4" t="s">
        <v>20524</v>
      </c>
      <c r="C16296" s="5" t="str">
        <f>IFERROR(__xludf.DUMMYFUNCTION("GOOGLETRANSLATE(B16296,""en"",""es-ES"")"),"Se ve a un hombre hablando con la cámara mientras señala varias herramientas y objetos de madera frente a él.")</f>
        <v>Se ve a un hombre hablando con la cámara mientras señala varias herramientas y objetos de madera frente a él.</v>
      </c>
    </row>
    <row r="16297">
      <c r="A16297" s="4" t="s">
        <v>20523</v>
      </c>
      <c r="B16297" s="4" t="s">
        <v>20525</v>
      </c>
      <c r="C16297" s="5" t="str">
        <f>IFERROR(__xludf.DUMMYFUNCTION("GOOGLETRANSLATE(B16297,""en"",""es-ES"")"),"El hombre se desabrocha el lado seguido de lijarlo a un lado.")</f>
        <v>El hombre se desabrocha el lado seguido de lijarlo a un lado.</v>
      </c>
    </row>
    <row r="16298">
      <c r="A16298" s="4" t="s">
        <v>20523</v>
      </c>
      <c r="B16298" s="4" t="s">
        <v>20526</v>
      </c>
      <c r="C16298" s="5" t="str">
        <f>IFERROR(__xludf.DUMMYFUNCTION("GOOGLETRANSLATE(B16298,""en"",""es-ES"")"),"Luego, el hombre toma un destornillador y taladra en agujeros mientras se detiene para lijarlo y mostrarlo a la cámara.")</f>
        <v>Luego, el hombre toma un destornillador y taladra en agujeros mientras se detiene para lijarlo y mostrarlo a la cámara.</v>
      </c>
    </row>
    <row r="16299">
      <c r="A16299" s="4" t="s">
        <v>20527</v>
      </c>
      <c r="B16299" s="4" t="s">
        <v>20528</v>
      </c>
      <c r="C16299" s="5" t="str">
        <f>IFERROR(__xludf.DUMMYFUNCTION("GOOGLETRANSLATE(B16299,""en"",""es-ES"")"),"Una cámara se mueve alrededor de un lago congelado con árboles y conduce a un grupo de personas que pescan alrededor de un agujero.")</f>
        <v>Una cámara se mueve alrededor de un lago congelado con árboles y conduce a un grupo de personas que pescan alrededor de un agujero.</v>
      </c>
    </row>
    <row r="16300">
      <c r="A16300" s="4" t="s">
        <v>20527</v>
      </c>
      <c r="B16300" s="4" t="s">
        <v>20529</v>
      </c>
      <c r="C16300" s="5" t="str">
        <f>IFERROR(__xludf.DUMMYFUNCTION("GOOGLETRANSLATE(B16300,""en"",""es-ES"")"),"Los hombres continúan sentados alrededor de los agujeros con un poste hablando entre ellos y deambulando por el hielo.")</f>
        <v>Los hombres continúan sentados alrededor de los agujeros con un poste hablando entre ellos y deambulando por el hielo.</v>
      </c>
    </row>
    <row r="16301">
      <c r="A16301" s="4" t="s">
        <v>20530</v>
      </c>
      <c r="B16301" s="4" t="s">
        <v>20531</v>
      </c>
      <c r="C16301" s="5" t="str">
        <f>IFERROR(__xludf.DUMMYFUNCTION("GOOGLETRANSLATE(B16301,""en"",""es-ES"")"),"Se ve un primer plano de una calabaza, seguido de un niño que sale de la mitad.")</f>
        <v>Se ve un primer plano de una calabaza, seguido de un niño que sale de la mitad.</v>
      </c>
    </row>
    <row r="16302">
      <c r="A16302" s="4" t="s">
        <v>20530</v>
      </c>
      <c r="B16302" s="4" t="s">
        <v>20532</v>
      </c>
      <c r="C16302" s="5" t="str">
        <f>IFERROR(__xludf.DUMMYFUNCTION("GOOGLETRANSLATE(B16302,""en"",""es-ES"")"),"Se ve a otro niño a su lado cortando la calabaza cuando un adulto entra en el marco.")</f>
        <v>Se ve a otro niño a su lado cortando la calabaza cuando un adulto entra en el marco.</v>
      </c>
    </row>
    <row r="16303">
      <c r="A16303" s="4" t="s">
        <v>20530</v>
      </c>
      <c r="B16303" s="4" t="s">
        <v>20533</v>
      </c>
      <c r="C16303" s="5" t="str">
        <f>IFERROR(__xludf.DUMMYFUNCTION("GOOGLETRANSLATE(B16303,""en"",""es-ES"")"),"Los adultos ayudan a los niños con uno sonriendo a la cámara y sosteniendo semillas mientras la cámara se mueve alrededor de la habitación.")</f>
        <v>Los adultos ayudan a los niños con uno sonriendo a la cámara y sosteniendo semillas mientras la cámara se mueve alrededor de la habitación.</v>
      </c>
    </row>
    <row r="16304">
      <c r="A16304" s="4" t="s">
        <v>20534</v>
      </c>
      <c r="B16304" s="4" t="s">
        <v>20535</v>
      </c>
      <c r="C16304" s="5" t="str">
        <f>IFERROR(__xludf.DUMMYFUNCTION("GOOGLETRANSLATE(B16304,""en"",""es-ES"")"),"Se muestra a un hombre sosteniendo un cuchillo mientras se lleva a la cámara y sonríe.")</f>
        <v>Se muestra a un hombre sosteniendo un cuchillo mientras se lleva a la cámara y sonríe.</v>
      </c>
    </row>
    <row r="16305">
      <c r="A16305" s="4" t="s">
        <v>20534</v>
      </c>
      <c r="B16305" s="4" t="s">
        <v>20536</v>
      </c>
      <c r="C16305" s="5" t="str">
        <f>IFERROR(__xludf.DUMMYFUNCTION("GOOGLETRANSLATE(B16305,""en"",""es-ES"")"),"Comienza a cortar el tomate colocado sobre la mesa en varias secciones.")</f>
        <v>Comienza a cortar el tomate colocado sobre la mesa en varias secciones.</v>
      </c>
    </row>
    <row r="16306">
      <c r="A16306" s="4" t="s">
        <v>20534</v>
      </c>
      <c r="B16306" s="4" t="s">
        <v>20537</v>
      </c>
      <c r="C16306" s="5" t="str">
        <f>IFERROR(__xludf.DUMMYFUNCTION("GOOGLETRANSLATE(B16306,""en"",""es-ES"")"),"Luego agudiza el cuchillo en la máquina al lado de la verdura y muestra cuánto mejor funciona.")</f>
        <v>Luego agudiza el cuchillo en la máquina al lado de la verdura y muestra cuánto mejor funciona.</v>
      </c>
    </row>
    <row r="16307">
      <c r="A16307" s="4" t="s">
        <v>20538</v>
      </c>
      <c r="B16307" s="4" t="s">
        <v>20539</v>
      </c>
      <c r="C16307" s="5" t="str">
        <f>IFERROR(__xludf.DUMMYFUNCTION("GOOGLETRANSLATE(B16307,""en"",""es-ES"")"),"Un grupo de personas está en tubos flotando sobre el agua turbia con enormes rocas.")</f>
        <v>Un grupo de personas está en tubos flotando sobre el agua turbia con enormes rocas.</v>
      </c>
    </row>
    <row r="16308">
      <c r="A16308" s="4" t="s">
        <v>20538</v>
      </c>
      <c r="B16308" s="4" t="s">
        <v>20540</v>
      </c>
      <c r="C16308" s="5" t="str">
        <f>IFERROR(__xludf.DUMMYFUNCTION("GOOGLETRANSLATE(B16308,""en"",""es-ES"")"),"La cámara escanea a la multitud y a la gente continuamente reman a través del agua.")</f>
        <v>La cámara escanea a la multitud y a la gente continuamente reman a través del agua.</v>
      </c>
    </row>
    <row r="16309">
      <c r="A16309" s="4" t="s">
        <v>20541</v>
      </c>
      <c r="B16309" s="4" t="s">
        <v>20542</v>
      </c>
      <c r="C16309" s="5" t="str">
        <f>IFERROR(__xludf.DUMMYFUNCTION("GOOGLETRANSLATE(B16309,""en"",""es-ES"")"),"Los chicos luchan en el interior en presencia de dos árbitros.")</f>
        <v>Los chicos luchan en el interior en presencia de dos árbitros.</v>
      </c>
    </row>
    <row r="16310">
      <c r="A16310" s="4" t="s">
        <v>20541</v>
      </c>
      <c r="B16310" s="4" t="s">
        <v>20543</v>
      </c>
      <c r="C16310" s="5" t="str">
        <f>IFERROR(__xludf.DUMMYFUNCTION("GOOGLETRANSLATE(B16310,""en"",""es-ES"")"),"Los árbitros apuntan en la dirección del ganador.")</f>
        <v>Los árbitros apuntan en la dirección del ganador.</v>
      </c>
    </row>
    <row r="16311">
      <c r="A16311" s="4" t="s">
        <v>20541</v>
      </c>
      <c r="B16311" s="4" t="s">
        <v>20544</v>
      </c>
      <c r="C16311" s="5" t="str">
        <f>IFERROR(__xludf.DUMMYFUNCTION("GOOGLETRANSLATE(B16311,""en"",""es-ES"")"),"Los jugadores dan un apretón de manos.")</f>
        <v>Los jugadores dan un apretón de manos.</v>
      </c>
    </row>
    <row r="16312">
      <c r="A16312" s="4" t="s">
        <v>20545</v>
      </c>
      <c r="B16312" s="4" t="s">
        <v>20546</v>
      </c>
      <c r="C16312" s="5" t="str">
        <f>IFERROR(__xludf.DUMMYFUNCTION("GOOGLETRANSLATE(B16312,""en"",""es-ES"")"),"Las pantallas de título se muestran en el video.")</f>
        <v>Las pantallas de título se muestran en el video.</v>
      </c>
    </row>
    <row r="16313">
      <c r="A16313" s="4" t="s">
        <v>20545</v>
      </c>
      <c r="B16313" s="4" t="s">
        <v>20547</v>
      </c>
      <c r="C16313" s="5" t="str">
        <f>IFERROR(__xludf.DUMMYFUNCTION("GOOGLETRANSLATE(B16313,""en"",""es-ES"")"),"La mujer demuestra usar un hula hoop en una habitación grande mientras otra persona habla.")</f>
        <v>La mujer demuestra usar un hula hoop en una habitación grande mientras otra persona habla.</v>
      </c>
    </row>
    <row r="16314">
      <c r="A16314" s="4" t="s">
        <v>20545</v>
      </c>
      <c r="B16314" s="4" t="s">
        <v>20548</v>
      </c>
      <c r="C16314" s="5" t="str">
        <f>IFERROR(__xludf.DUMMYFUNCTION("GOOGLETRANSLATE(B16314,""en"",""es-ES"")"),"Otra persona mira por la ventana de la puerta.")</f>
        <v>Otra persona mira por la ventana de la puerta.</v>
      </c>
    </row>
    <row r="16315">
      <c r="A16315" s="4" t="s">
        <v>20545</v>
      </c>
      <c r="B16315" s="4" t="s">
        <v>20549</v>
      </c>
      <c r="C16315" s="5" t="str">
        <f>IFERROR(__xludf.DUMMYFUNCTION("GOOGLETRANSLATE(B16315,""en"",""es-ES"")"),"La mujer deja de armar y hace una reverencia.")</f>
        <v>La mujer deja de armar y hace una reverencia.</v>
      </c>
    </row>
    <row r="16316">
      <c r="A16316" s="4" t="s">
        <v>20545</v>
      </c>
      <c r="B16316" s="4" t="s">
        <v>20550</v>
      </c>
      <c r="C16316" s="5" t="str">
        <f>IFERROR(__xludf.DUMMYFUNCTION("GOOGLETRANSLATE(B16316,""en"",""es-ES"")"),"LLAME LOS CRÉDITOS EN FINALES.")</f>
        <v>LLAME LOS CRÉDITOS EN FINALES.</v>
      </c>
    </row>
    <row r="16317">
      <c r="A16317" s="4" t="s">
        <v>20551</v>
      </c>
      <c r="B16317" s="4" t="s">
        <v>20552</v>
      </c>
      <c r="C16317" s="5" t="str">
        <f>IFERROR(__xludf.DUMMYFUNCTION("GOOGLETRANSLATE(B16317,""en"",""es-ES"")"),"Dos personas están jugando tenis en una cancha.")</f>
        <v>Dos personas están jugando tenis en una cancha.</v>
      </c>
    </row>
    <row r="16318">
      <c r="A16318" s="4" t="s">
        <v>20551</v>
      </c>
      <c r="B16318" s="4" t="s">
        <v>20553</v>
      </c>
      <c r="C16318" s="5" t="str">
        <f>IFERROR(__xludf.DUMMYFUNCTION("GOOGLETRANSLATE(B16318,""en"",""es-ES"")"),"Una persona vuelve a su espalda.")</f>
        <v>Una persona vuelve a su espalda.</v>
      </c>
    </row>
    <row r="16319">
      <c r="A16319" s="4" t="s">
        <v>20554</v>
      </c>
      <c r="B16319" s="4" t="s">
        <v>20555</v>
      </c>
      <c r="C16319" s="5" t="str">
        <f>IFERROR(__xludf.DUMMYFUNCTION("GOOGLETRANSLATE(B16319,""en"",""es-ES"")"),"Un hombre tiene su saxo alrededor del cuello y está explicando sobre cañas y piezas de boca y cómo debes poner tu boca en él o qué ni.")</f>
        <v>Un hombre tiene su saxo alrededor del cuello y está explicando sobre cañas y piezas de boca y cómo debes poner tu boca en él o qué ni.</v>
      </c>
    </row>
    <row r="16320">
      <c r="A16320" s="4" t="s">
        <v>20554</v>
      </c>
      <c r="B16320" s="4" t="s">
        <v>20556</v>
      </c>
      <c r="C16320" s="5" t="str">
        <f>IFERROR(__xludf.DUMMYFUNCTION("GOOGLETRANSLATE(B16320,""en"",""es-ES"")"),"Él habla por un tiempo sobre esto, demuestra cómo moverías tu lengua para hacer sonido.")</f>
        <v>Él habla por un tiempo sobre esto, demuestra cómo moverías tu lengua para hacer sonido.</v>
      </c>
    </row>
    <row r="16321">
      <c r="A16321" s="4" t="s">
        <v>20554</v>
      </c>
      <c r="B16321" s="4" t="s">
        <v>20557</v>
      </c>
      <c r="C16321" s="5" t="str">
        <f>IFERROR(__xludf.DUMMYFUNCTION("GOOGLETRANSLATE(B16321,""en"",""es-ES"")"),"Él sopla en el saxo para demostrar un poco más.")</f>
        <v>Él sopla en el saxo para demostrar un poco más.</v>
      </c>
    </row>
    <row r="16322">
      <c r="A16322" s="4" t="s">
        <v>20554</v>
      </c>
      <c r="B16322" s="4" t="s">
        <v>20558</v>
      </c>
      <c r="C16322" s="5" t="str">
        <f>IFERROR(__xludf.DUMMYFUNCTION("GOOGLETRANSLATE(B16322,""en"",""es-ES"")"),"Incluso pone brevemente su dedo en la boca para tratar de explicar un poco mejor también.")</f>
        <v>Incluso pone brevemente su dedo en la boca para tratar de explicar un poco mejor también.</v>
      </c>
    </row>
    <row r="16323">
      <c r="A16323" s="4" t="s">
        <v>20559</v>
      </c>
      <c r="B16323" s="4" t="s">
        <v>20560</v>
      </c>
      <c r="C16323" s="5" t="str">
        <f>IFERROR(__xludf.DUMMYFUNCTION("GOOGLETRANSLATE(B16323,""en"",""es-ES"")"),"Un hombre empuja una cortadora de césped alrededor de un área de césped de césped con tiendas de campaña cortando la hierba.")</f>
        <v>Un hombre empuja una cortadora de césped alrededor de un área de césped de césped con tiendas de campaña cortando la hierba.</v>
      </c>
    </row>
    <row r="16324">
      <c r="A16324" s="4" t="s">
        <v>20559</v>
      </c>
      <c r="B16324" s="4" t="s">
        <v>20561</v>
      </c>
      <c r="C16324" s="5" t="str">
        <f>IFERROR(__xludf.DUMMYFUNCTION("GOOGLETRANSLATE(B16324,""en"",""es-ES"")"),"El hombre corta la hierba alta alrededor de un árbol.")</f>
        <v>El hombre corta la hierba alta alrededor de un árbol.</v>
      </c>
    </row>
    <row r="16325">
      <c r="A16325" s="4" t="s">
        <v>20559</v>
      </c>
      <c r="B16325" s="4" t="s">
        <v>20562</v>
      </c>
      <c r="C16325" s="5" t="str">
        <f>IFERROR(__xludf.DUMMYFUNCTION("GOOGLETRANSLATE(B16325,""en"",""es-ES"")"),"El hombre cierra la cortadora de césped y se toma un descanso.")</f>
        <v>El hombre cierra la cortadora de césped y se toma un descanso.</v>
      </c>
    </row>
    <row r="16326">
      <c r="A16326" s="4" t="s">
        <v>20563</v>
      </c>
      <c r="B16326" s="4" t="s">
        <v>20564</v>
      </c>
      <c r="C16326" s="5" t="str">
        <f>IFERROR(__xludf.DUMMYFUNCTION("GOOGLETRANSLATE(B16326,""en"",""es-ES"")"),"Se muestra un primer plano de un paisaje seguido de una mujer que sube una roca de lado.")</f>
        <v>Se muestra un primer plano de un paisaje seguido de una mujer que sube una roca de lado.</v>
      </c>
    </row>
    <row r="16327">
      <c r="A16327" s="4" t="s">
        <v>20563</v>
      </c>
      <c r="B16327" s="4" t="s">
        <v>20565</v>
      </c>
      <c r="C16327" s="5" t="str">
        <f>IFERROR(__xludf.DUMMYFUNCTION("GOOGLETRANSLATE(B16327,""en"",""es-ES"")"),"La mujer continúa escalando y termina con ella llegando a la cima y levantando los brazos.")</f>
        <v>La mujer continúa escalando y termina con ella llegando a la cima y levantando los brazos.</v>
      </c>
    </row>
    <row r="16328">
      <c r="A16328" s="4" t="s">
        <v>20566</v>
      </c>
      <c r="B16328" s="4" t="s">
        <v>20567</v>
      </c>
      <c r="C16328" s="5" t="str">
        <f>IFERROR(__xludf.DUMMYFUNCTION("GOOGLETRANSLATE(B16328,""en"",""es-ES"")"),"Un grupo de personas está jugando Dodge Ball en una cancha.")</f>
        <v>Un grupo de personas está jugando Dodge Ball en una cancha.</v>
      </c>
    </row>
    <row r="16329">
      <c r="A16329" s="4" t="s">
        <v>20566</v>
      </c>
      <c r="B16329" s="4" t="s">
        <v>20568</v>
      </c>
      <c r="C16329" s="5" t="str">
        <f>IFERROR(__xludf.DUMMYFUNCTION("GOOGLETRANSLATE(B16329,""en"",""es-ES"")"),"La gente bromea a la cámara.")</f>
        <v>La gente bromea a la cámara.</v>
      </c>
    </row>
    <row r="16330">
      <c r="A16330" s="4" t="s">
        <v>20569</v>
      </c>
      <c r="B16330" s="4" t="s">
        <v>20570</v>
      </c>
      <c r="C16330" s="5" t="str">
        <f>IFERROR(__xludf.DUMMYFUNCTION("GOOGLETRANSLATE(B16330,""en"",""es-ES"")"),"Se muestra una pared blanca con clavijas sobresaliendo y tiras de cinta colgada y una niña comienza a acantilarse que sube la pared cuando un hombre con una camisa azul comienza a hablar.")</f>
        <v>Se muestra una pared blanca con clavijas sobresaliendo y tiras de cinta colgada y una niña comienza a acantilarse que sube la pared cuando un hombre con una camisa azul comienza a hablar.</v>
      </c>
    </row>
    <row r="16331">
      <c r="A16331" s="4" t="s">
        <v>20569</v>
      </c>
      <c r="B16331" s="4" t="s">
        <v>20571</v>
      </c>
      <c r="C16331" s="5" t="str">
        <f>IFERROR(__xludf.DUMMYFUNCTION("GOOGLETRANSLATE(B16331,""en"",""es-ES"")"),"La joven continúa progresando por la pared mientras el hombre continúa hablando en una pantalla dividida.")</f>
        <v>La joven continúa progresando por la pared mientras el hombre continúa hablando en una pantalla dividida.</v>
      </c>
    </row>
    <row r="16332">
      <c r="A16332" s="4" t="s">
        <v>20569</v>
      </c>
      <c r="B16332" s="4" t="s">
        <v>20572</v>
      </c>
      <c r="C16332" s="5" t="str">
        <f>IFERROR(__xludf.DUMMYFUNCTION("GOOGLETRANSLATE(B16332,""en"",""es-ES"")"),"El hombre levanta el pie para hablar sobre una determinada posición y la niña lo demuestra cuando comienza a salir del plato.")</f>
        <v>El hombre levanta el pie para hablar sobre una determinada posición y la niña lo demuestra cuando comienza a salir del plato.</v>
      </c>
    </row>
    <row r="16333">
      <c r="A16333" s="4" t="s">
        <v>20573</v>
      </c>
      <c r="B16333" s="4" t="s">
        <v>20574</v>
      </c>
      <c r="C16333" s="5" t="str">
        <f>IFERROR(__xludf.DUMMYFUNCTION("GOOGLETRANSLATE(B16333,""en"",""es-ES"")"),"Un automóvil pequeño está cubierto de una gruesa capa de nieve.")</f>
        <v>Un automóvil pequeño está cubierto de una gruesa capa de nieve.</v>
      </c>
    </row>
    <row r="16334">
      <c r="A16334" s="4" t="s">
        <v>20573</v>
      </c>
      <c r="B16334" s="4" t="s">
        <v>20575</v>
      </c>
      <c r="C16334" s="5" t="str">
        <f>IFERROR(__xludf.DUMMYFUNCTION("GOOGLETRANSLATE(B16334,""en"",""es-ES"")"),"Un hombre aparece con un barrendero.")</f>
        <v>Un hombre aparece con un barrendero.</v>
      </c>
    </row>
    <row r="16335">
      <c r="A16335" s="4" t="s">
        <v>20573</v>
      </c>
      <c r="B16335" s="4" t="s">
        <v>20576</v>
      </c>
      <c r="C16335" s="5" t="str">
        <f>IFERROR(__xludf.DUMMYFUNCTION("GOOGLETRANSLATE(B16335,""en"",""es-ES"")"),"Lo usa para rastrillar toda la nieve del vehículo.")</f>
        <v>Lo usa para rastrillar toda la nieve del vehículo.</v>
      </c>
    </row>
    <row r="16336">
      <c r="A16336" s="4" t="s">
        <v>20577</v>
      </c>
      <c r="B16336" s="4" t="s">
        <v>20578</v>
      </c>
      <c r="C16336" s="5" t="str">
        <f>IFERROR(__xludf.DUMMYFUNCTION("GOOGLETRANSLATE(B16336,""en"",""es-ES"")"),"El hombre está arrodillado en el piso hablando con la cámara y mostrando las baldosas sobre el piso de madera.")</f>
        <v>El hombre está arrodillado en el piso hablando con la cámara y mostrando las baldosas sobre el piso de madera.</v>
      </c>
    </row>
    <row r="16337">
      <c r="A16337" s="4" t="s">
        <v>20577</v>
      </c>
      <c r="B16337" s="4" t="s">
        <v>20579</v>
      </c>
      <c r="C16337" s="5" t="str">
        <f>IFERROR(__xludf.DUMMYFUNCTION("GOOGLETRANSLATE(B16337,""en"",""es-ES"")"),"El hombre muestra un lugar sin el piso de madera y está colocando el poste de madera en el piso que mide el espacio.")</f>
        <v>El hombre muestra un lugar sin el piso de madera y está colocando el poste de madera en el piso que mide el espacio.</v>
      </c>
    </row>
    <row r="16338">
      <c r="A16338" s="4" t="s">
        <v>20577</v>
      </c>
      <c r="B16338" s="4" t="s">
        <v>20580</v>
      </c>
      <c r="C16338" s="5" t="str">
        <f>IFERROR(__xludf.DUMMYFUNCTION("GOOGLETRANSLATE(B16338,""en"",""es-ES"")"),"El hombre pone una sábana de madera en el espacio y coloca baldosas de piso.")</f>
        <v>El hombre pone una sábana de madera en el espacio y coloca baldosas de piso.</v>
      </c>
    </row>
    <row r="16339">
      <c r="A16339" s="4" t="s">
        <v>20581</v>
      </c>
      <c r="B16339" s="4" t="s">
        <v>20582</v>
      </c>
      <c r="C16339" s="5" t="str">
        <f>IFERROR(__xludf.DUMMYFUNCTION("GOOGLETRANSLATE(B16339,""en"",""es-ES"")"),"Hay un niño sentado en la cama mostrando sus quemaduras solar y poniéndolo crema.")</f>
        <v>Hay un niño sentado en la cama mostrando sus quemaduras solar y poniéndolo crema.</v>
      </c>
    </row>
    <row r="16340">
      <c r="A16340" s="4" t="s">
        <v>20581</v>
      </c>
      <c r="B16340" s="4" t="s">
        <v>20583</v>
      </c>
      <c r="C16340" s="5" t="str">
        <f>IFERROR(__xludf.DUMMYFUNCTION("GOOGLETRANSLATE(B16340,""en"",""es-ES"")"),"Un amigo está sacudiendo la cabeza debido a las quemaduras de sol del otro tipo.")</f>
        <v>Un amigo está sacudiendo la cabeza debido a las quemaduras de sol del otro tipo.</v>
      </c>
    </row>
    <row r="16341">
      <c r="A16341" s="4" t="s">
        <v>20581</v>
      </c>
      <c r="B16341" s="4" t="s">
        <v>20584</v>
      </c>
      <c r="C16341" s="5" t="str">
        <f>IFERROR(__xludf.DUMMYFUNCTION("GOOGLETRANSLATE(B16341,""en"",""es-ES"")"),"El amigo levanta su camisa para mostrar sus quemaduras solares también.")</f>
        <v>El amigo levanta su camisa para mostrar sus quemaduras solares también.</v>
      </c>
    </row>
    <row r="16342">
      <c r="A16342" s="4" t="s">
        <v>20581</v>
      </c>
      <c r="B16342" s="4" t="s">
        <v>20585</v>
      </c>
      <c r="C16342" s="5" t="str">
        <f>IFERROR(__xludf.DUMMYFUNCTION("GOOGLETRANSLATE(B16342,""en"",""es-ES"")"),"La cámara se mueve alrededor de la habitación y de regreso al primer tipo.")</f>
        <v>La cámara se mueve alrededor de la habitación y de regreso al primer tipo.</v>
      </c>
    </row>
    <row r="16343">
      <c r="A16343" s="4" t="s">
        <v>20581</v>
      </c>
      <c r="B16343" s="4" t="s">
        <v>20586</v>
      </c>
      <c r="C16343" s="5" t="str">
        <f>IFERROR(__xludf.DUMMYFUNCTION("GOOGLETRANSLATE(B16343,""en"",""es-ES"")"),"Una niña camina llevando un plato, lo pone sobre la mesa y baila.")</f>
        <v>Una niña camina llevando un plato, lo pone sobre la mesa y baila.</v>
      </c>
    </row>
    <row r="16344">
      <c r="A16344" s="4" t="s">
        <v>20581</v>
      </c>
      <c r="B16344" s="4" t="s">
        <v>20587</v>
      </c>
      <c r="C16344" s="5" t="str">
        <f>IFERROR(__xludf.DUMMYFUNCTION("GOOGLETRANSLATE(B16344,""en"",""es-ES"")"),"La cámara se dirige a un espejo con dos hombres parados en ella con un teléfono y saludando.")</f>
        <v>La cámara se dirige a un espejo con dos hombres parados en ella con un teléfono y saludando.</v>
      </c>
    </row>
    <row r="16345">
      <c r="A16345" s="4" t="s">
        <v>20581</v>
      </c>
      <c r="B16345" s="4" t="s">
        <v>20588</v>
      </c>
      <c r="C16345" s="5" t="str">
        <f>IFERROR(__xludf.DUMMYFUNCTION("GOOGLETRANSLATE(B16345,""en"",""es-ES"")"),"La cámara mira sobre el balcón de la habitación.")</f>
        <v>La cámara mira sobre el balcón de la habitación.</v>
      </c>
    </row>
    <row r="16346">
      <c r="A16346" s="4" t="s">
        <v>20581</v>
      </c>
      <c r="B16346" s="4" t="s">
        <v>20589</v>
      </c>
      <c r="C16346" s="5" t="str">
        <f>IFERROR(__xludf.DUMMYFUNCTION("GOOGLETRANSLATE(B16346,""en"",""es-ES"")"),"Una mujer pone un plato de comida en una mesa y un hombre camina hacia adentro.")</f>
        <v>Una mujer pone un plato de comida en una mesa y un hombre camina hacia adentro.</v>
      </c>
    </row>
    <row r="16347">
      <c r="A16347" s="4" t="s">
        <v>20581</v>
      </c>
      <c r="B16347" s="4" t="s">
        <v>20590</v>
      </c>
      <c r="C16347" s="5" t="str">
        <f>IFERROR(__xludf.DUMMYFUNCTION("GOOGLETRANSLATE(B16347,""en"",""es-ES"")"),"El hombre quemado por el sol se quita la camisa y la pone en la cama.")</f>
        <v>El hombre quemado por el sol se quita la camisa y la pone en la cama.</v>
      </c>
    </row>
    <row r="16348">
      <c r="A16348" s="4" t="s">
        <v>20581</v>
      </c>
      <c r="B16348" s="4" t="s">
        <v>20591</v>
      </c>
      <c r="C16348" s="5" t="str">
        <f>IFERROR(__xludf.DUMMYFUNCTION("GOOGLETRANSLATE(B16348,""en"",""es-ES"")"),"Sus amigos lo ayudan con crema en sus quemaduras solares.")</f>
        <v>Sus amigos lo ayudan con crema en sus quemaduras solares.</v>
      </c>
    </row>
    <row r="16349">
      <c r="A16349" s="4" t="s">
        <v>20581</v>
      </c>
      <c r="B16349" s="4" t="s">
        <v>20592</v>
      </c>
      <c r="C16349" s="5" t="str">
        <f>IFERROR(__xludf.DUMMYFUNCTION("GOOGLETRANSLATE(B16349,""en"",""es-ES"")"),"La mujer está sentada a la mesa comiendo.")</f>
        <v>La mujer está sentada a la mesa comiendo.</v>
      </c>
    </row>
    <row r="16350">
      <c r="A16350" s="4" t="s">
        <v>20593</v>
      </c>
      <c r="B16350" s="4" t="s">
        <v>20594</v>
      </c>
      <c r="C16350" s="5" t="str">
        <f>IFERROR(__xludf.DUMMYFUNCTION("GOOGLETRANSLATE(B16350,""en"",""es-ES"")"),"Se muestra a un hombre resolviendo un Rubix Rube a una velocidad de registro mientras un temporizador va y un hombre lo registra.")</f>
        <v>Se muestra a un hombre resolviendo un Rubix Rube a una velocidad de registro mientras un temporizador va y un hombre lo registra.</v>
      </c>
    </row>
    <row r="16351">
      <c r="A16351" s="4" t="s">
        <v>20593</v>
      </c>
      <c r="B16351" s="4" t="s">
        <v>20595</v>
      </c>
      <c r="C16351" s="5" t="str">
        <f>IFERROR(__xludf.DUMMYFUNCTION("GOOGLETRANSLATE(B16351,""en"",""es-ES"")"),"Se muestra otro jugador a una edad más temprana resolviendo el cubo Rubix, así como un tercer patrón poco después.")</f>
        <v>Se muestra otro jugador a una edad más temprana resolviendo el cubo Rubix, así como un tercer patrón poco después.</v>
      </c>
    </row>
    <row r="16352">
      <c r="A16352" s="4" t="s">
        <v>20596</v>
      </c>
      <c r="B16352" s="4" t="s">
        <v>20597</v>
      </c>
      <c r="C16352" s="5" t="str">
        <f>IFERROR(__xludf.DUMMYFUNCTION("GOOGLETRANSLATE(B16352,""en"",""es-ES"")"),"Las frutas confitadas están en el tazón, luego la mujer vierte licor en él y las mezcló.")</f>
        <v>Las frutas confitadas están en el tazón, luego la mujer vierte licor en él y las mezcló.</v>
      </c>
    </row>
    <row r="16353">
      <c r="A16353" s="4" t="s">
        <v>20596</v>
      </c>
      <c r="B16353" s="4" t="s">
        <v>20598</v>
      </c>
      <c r="C16353" s="5" t="str">
        <f>IFERROR(__xludf.DUMMYFUNCTION("GOOGLETRANSLATE(B16353,""en"",""es-ES"")"),"La mujer agregó azúcar morena en la mantequilla, luego agregó huevos uno por uno y se mezcló y luego crema, luego harina, bicarbonato de sodio, canela en polvo y los mezcló bien.")</f>
        <v>La mujer agregó azúcar morena en la mantequilla, luego agregó huevos uno por uno y se mezcló y luego crema, luego harina, bicarbonato de sodio, canela en polvo y los mezcló bien.</v>
      </c>
    </row>
    <row r="16354">
      <c r="A16354" s="4" t="s">
        <v>20596</v>
      </c>
      <c r="B16354" s="4" t="s">
        <v>20599</v>
      </c>
      <c r="C16354" s="5" t="str">
        <f>IFERROR(__xludf.DUMMYFUNCTION("GOOGLETRANSLATE(B16354,""en"",""es-ES"")"),"La mezcla de frutas secas se agrega en la masa, y luego se ralló las nueces y se mezclaron bien.")</f>
        <v>La mezcla de frutas secas se agrega en la masa, y luego se ralló las nueces y se mezclaron bien.</v>
      </c>
    </row>
    <row r="16355">
      <c r="A16355" s="4" t="s">
        <v>20596</v>
      </c>
      <c r="B16355" s="4" t="s">
        <v>20600</v>
      </c>
      <c r="C16355" s="5" t="str">
        <f>IFERROR(__xludf.DUMMYFUNCTION("GOOGLETRANSLATE(B16355,""en"",""es-ES"")"),"La masa se vierte en la sartén, alise la masa y asegurándose de que esté distribuida uniformemente.")</f>
        <v>La masa se vierte en la sartén, alise la masa y asegurándose de que esté distribuida uniformemente.</v>
      </c>
    </row>
    <row r="16356">
      <c r="A16356" s="4" t="s">
        <v>20601</v>
      </c>
      <c r="B16356" s="4" t="s">
        <v>20602</v>
      </c>
      <c r="C16356" s="5" t="str">
        <f>IFERROR(__xludf.DUMMYFUNCTION("GOOGLETRANSLATE(B16356,""en"",""es-ES"")"),"Se ve a un hombre de pie y mirando a su alrededor y luego limpia una pelota de bolos y se para antes de un carril.")</f>
        <v>Se ve a un hombre de pie y mirando a su alrededor y luego limpia una pelota de bolos y se para antes de un carril.</v>
      </c>
    </row>
    <row r="16357">
      <c r="A16357" s="4" t="s">
        <v>20601</v>
      </c>
      <c r="B16357" s="4" t="s">
        <v>20603</v>
      </c>
      <c r="C16357" s="5" t="str">
        <f>IFERROR(__xludf.DUMMYFUNCTION("GOOGLETRANSLATE(B16357,""en"",""es-ES"")"),"El hombre arroja la pelota hacia abajo y golpea varios alfileres.")</f>
        <v>El hombre arroja la pelota hacia abajo y golpea varios alfileres.</v>
      </c>
    </row>
    <row r="16358">
      <c r="A16358" s="4" t="s">
        <v>20604</v>
      </c>
      <c r="B16358" s="4" t="s">
        <v>20605</v>
      </c>
      <c r="C16358" s="5" t="str">
        <f>IFERROR(__xludf.DUMMYFUNCTION("GOOGLETRANSLATE(B16358,""en"",""es-ES"")"),"Se ve a una niña hablando con la cámara y entra en una peluquería y da la mano con un estilista.")</f>
        <v>Se ve a una niña hablando con la cámara y entra en una peluquería y da la mano con un estilista.</v>
      </c>
    </row>
    <row r="16359">
      <c r="A16359" s="4" t="s">
        <v>20604</v>
      </c>
      <c r="B16359" s="4" t="s">
        <v>20606</v>
      </c>
      <c r="C16359" s="5" t="str">
        <f>IFERROR(__xludf.DUMMYFUNCTION("GOOGLETRANSLATE(B16359,""en"",""es-ES"")"),"Se muestran varias tomas de un artista y el hombre comienza a cortar el cabello de la niña.")</f>
        <v>Se muestran varias tomas de un artista y el hombre comienza a cortar el cabello de la niña.</v>
      </c>
    </row>
    <row r="16360">
      <c r="A16360" s="4" t="s">
        <v>20604</v>
      </c>
      <c r="B16360" s="4" t="s">
        <v>20607</v>
      </c>
      <c r="C16360" s="5" t="str">
        <f>IFERROR(__xludf.DUMMYFUNCTION("GOOGLETRANSLATE(B16360,""en"",""es-ES"")"),"Él le entrega el cabello y se lava el cabello seguido de más cortes y mirando en un espejo.")</f>
        <v>Él le entrega el cabello y se lava el cabello seguido de más cortes y mirando en un espejo.</v>
      </c>
    </row>
    <row r="16361">
      <c r="A16361" s="4" t="s">
        <v>20604</v>
      </c>
      <c r="B16361" s="4" t="s">
        <v>20608</v>
      </c>
      <c r="C16361" s="5" t="str">
        <f>IFERROR(__xludf.DUMMYFUNCTION("GOOGLETRANSLATE(B16361,""en"",""es-ES"")"),"Al final, su cabello se parece a la artista y se la ve sonriendo y abraza a una persona, que termina con una imagen lado a lado de la artista y ella.")</f>
        <v>Al final, su cabello se parece a la artista y se la ve sonriendo y abraza a una persona, que termina con una imagen lado a lado de la artista y ella.</v>
      </c>
    </row>
    <row r="16362">
      <c r="A16362" s="4" t="s">
        <v>20609</v>
      </c>
      <c r="B16362" s="4" t="s">
        <v>20610</v>
      </c>
      <c r="C16362" s="5" t="str">
        <f>IFERROR(__xludf.DUMMYFUNCTION("GOOGLETRANSLATE(B16362,""en"",""es-ES"")"),"Se ve a una persona inclinarse cerca de una multitud y comienza a jugar un juego de shuffleboard.")</f>
        <v>Se ve a una persona inclinarse cerca de una multitud y comienza a jugar un juego de shuffleboard.</v>
      </c>
    </row>
    <row r="16363">
      <c r="A16363" s="4" t="s">
        <v>20609</v>
      </c>
      <c r="B16363" s="4" t="s">
        <v>20611</v>
      </c>
      <c r="C16363" s="5" t="str">
        <f>IFERROR(__xludf.DUMMYFUNCTION("GOOGLETRANSLATE(B16363,""en"",""es-ES"")"),"La gente continúa jugando y cuarto en el tapete mientras otras personas jugaban a su alrededor y caminan al marco.")</f>
        <v>La gente continúa jugando y cuarto en el tapete mientras otras personas jugaban a su alrededor y caminan al marco.</v>
      </c>
    </row>
    <row r="16364">
      <c r="A16364" s="4" t="s">
        <v>20609</v>
      </c>
      <c r="B16364" s="4" t="s">
        <v>20612</v>
      </c>
      <c r="C16364" s="5" t="str">
        <f>IFERROR(__xludf.DUMMYFUNCTION("GOOGLETRANSLATE(B16364,""en"",""es-ES"")"),"Se ve a un hombre y una mujer hablando entre sí y nuevamente se muestra empujando los discos.")</f>
        <v>Se ve a un hombre y una mujer hablando entre sí y nuevamente se muestra empujando los discos.</v>
      </c>
    </row>
    <row r="16365">
      <c r="A16365" s="4" t="s">
        <v>20613</v>
      </c>
      <c r="B16365" s="4" t="s">
        <v>20614</v>
      </c>
      <c r="C16365" s="5" t="str">
        <f>IFERROR(__xludf.DUMMYFUNCTION("GOOGLETRANSLATE(B16365,""en"",""es-ES"")"),"Se muestra una introducción para un juego de cricket.")</f>
        <v>Se muestra una introducción para un juego de cricket.</v>
      </c>
    </row>
    <row r="16366">
      <c r="A16366" s="4" t="s">
        <v>20613</v>
      </c>
      <c r="B16366" s="4" t="s">
        <v>20615</v>
      </c>
      <c r="C16366" s="5" t="str">
        <f>IFERROR(__xludf.DUMMYFUNCTION("GOOGLETRANSLATE(B16366,""en"",""es-ES"")"),"Varios jugadores comienzan a jugar un juego de cricket en un campo.")</f>
        <v>Varios jugadores comienzan a jugar un juego de cricket en un campo.</v>
      </c>
    </row>
    <row r="16367">
      <c r="A16367" s="4" t="s">
        <v>20613</v>
      </c>
      <c r="B16367" s="4" t="s">
        <v>20616</v>
      </c>
      <c r="C16367" s="5" t="str">
        <f>IFERROR(__xludf.DUMMYFUNCTION("GOOGLETRANSLATE(B16367,""en"",""es-ES"")"),"Un hombre tropieza con uno de los postes de cricket.")</f>
        <v>Un hombre tropieza con uno de los postes de cricket.</v>
      </c>
    </row>
    <row r="16368">
      <c r="A16368" s="4" t="s">
        <v>20613</v>
      </c>
      <c r="B16368" s="4" t="s">
        <v>20617</v>
      </c>
      <c r="C16368" s="5" t="str">
        <f>IFERROR(__xludf.DUMMYFUNCTION("GOOGLETRANSLATE(B16368,""en"",""es-ES"")"),"Los jugadores se dan la mano cuando el juego termina.")</f>
        <v>Los jugadores se dan la mano cuando el juego termina.</v>
      </c>
    </row>
    <row r="16369">
      <c r="A16369" s="4" t="s">
        <v>20613</v>
      </c>
      <c r="B16369" s="4" t="s">
        <v>20618</v>
      </c>
      <c r="C16369" s="5" t="str">
        <f>IFERROR(__xludf.DUMMYFUNCTION("GOOGLETRANSLATE(B16369,""en"",""es-ES"")"),"Los resultados del juego A se muestran en la pantalla.")</f>
        <v>Los resultados del juego A se muestran en la pantalla.</v>
      </c>
    </row>
    <row r="16370">
      <c r="A16370" s="4" t="s">
        <v>20619</v>
      </c>
      <c r="B16370" s="4" t="s">
        <v>20620</v>
      </c>
      <c r="C16370" s="5" t="str">
        <f>IFERROR(__xludf.DUMMYFUNCTION("GOOGLETRANSLATE(B16370,""en"",""es-ES"")"),"En una tienda con el nombre de Skinny Ski's hay una mesa configurada con las cosas necesarias para ver esquís.")</f>
        <v>En una tienda con el nombre de Skinny Ski's hay una mesa configurada con las cosas necesarias para ver esquís.</v>
      </c>
    </row>
    <row r="16371">
      <c r="A16371" s="4" t="s">
        <v>20619</v>
      </c>
      <c r="B16371" s="4" t="s">
        <v>20621</v>
      </c>
      <c r="C16371" s="5" t="str">
        <f>IFERROR(__xludf.DUMMYFUNCTION("GOOGLETRANSLATE(B16371,""en"",""es-ES"")"),"Un hombre usa algunos equipos para derretir algo de cera sobre un esquí, revisándolo varias veces.")</f>
        <v>Un hombre usa algunos equipos para derretir algo de cera sobre un esquí, revisándolo varias veces.</v>
      </c>
    </row>
    <row r="16372">
      <c r="A16372" s="4" t="s">
        <v>20619</v>
      </c>
      <c r="B16372" s="4" t="s">
        <v>20622</v>
      </c>
      <c r="C16372" s="5" t="str">
        <f>IFERROR(__xludf.DUMMYFUNCTION("GOOGLETRANSLATE(B16372,""en"",""es-ES"")"),"Luego usa directamente el hierro justo en el esquí también suaviza la cera que se derritió sobre ella, revisándola varias veces.")</f>
        <v>Luego usa directamente el hierro justo en el esquí también suaviza la cera que se derritió sobre ella, revisándola varias veces.</v>
      </c>
    </row>
    <row r="16373">
      <c r="A16373" s="4" t="s">
        <v>20619</v>
      </c>
      <c r="B16373" s="4" t="s">
        <v>20623</v>
      </c>
      <c r="C16373" s="5" t="str">
        <f>IFERROR(__xludf.DUMMYFUNCTION("GOOGLETRANSLATE(B16373,""en"",""es-ES"")"),"Luego muestra un paquete de cera caliente de baja fluoro de DiBloc e información sobre cómo contactar para los servicios.")</f>
        <v>Luego muestra un paquete de cera caliente de baja fluoro de DiBloc e información sobre cómo contactar para los servicios.</v>
      </c>
    </row>
    <row r="16374">
      <c r="A16374" s="4" t="s">
        <v>20624</v>
      </c>
      <c r="B16374" s="4" t="s">
        <v>13124</v>
      </c>
      <c r="C16374" s="5" t="str">
        <f>IFERROR(__xludf.DUMMYFUNCTION("GOOGLETRANSLATE(B16374,""en"",""es-ES"")"),"Vemos la tarjeta de título en negro.")</f>
        <v>Vemos la tarjeta de título en negro.</v>
      </c>
    </row>
    <row r="16375">
      <c r="A16375" s="4" t="s">
        <v>20624</v>
      </c>
      <c r="B16375" s="4" t="s">
        <v>20625</v>
      </c>
      <c r="C16375" s="5" t="str">
        <f>IFERROR(__xludf.DUMMYFUNCTION("GOOGLETRANSLATE(B16375,""en"",""es-ES"")"),"Un hombre está tocando la batería con las manos.")</f>
        <v>Un hombre está tocando la batería con las manos.</v>
      </c>
    </row>
    <row r="16376">
      <c r="A16376" s="4" t="s">
        <v>20624</v>
      </c>
      <c r="B16376" s="4" t="s">
        <v>20626</v>
      </c>
      <c r="C16376" s="5" t="str">
        <f>IFERROR(__xludf.DUMMYFUNCTION("GOOGLETRANSLATE(B16376,""en"",""es-ES"")"),"El hombre hace una pausa y luego vuelve a jugar.")</f>
        <v>El hombre hace una pausa y luego vuelve a jugar.</v>
      </c>
    </row>
    <row r="16377">
      <c r="A16377" s="4" t="s">
        <v>20624</v>
      </c>
      <c r="B16377" s="4" t="s">
        <v>20627</v>
      </c>
      <c r="C16377" s="5" t="str">
        <f>IFERROR(__xludf.DUMMYFUNCTION("GOOGLETRANSLATE(B16377,""en"",""es-ES"")"),"El hombre hace una pausa y juega más lento.")</f>
        <v>El hombre hace una pausa y juega más lento.</v>
      </c>
    </row>
    <row r="16378">
      <c r="A16378" s="4" t="s">
        <v>20628</v>
      </c>
      <c r="B16378" s="4" t="s">
        <v>20629</v>
      </c>
      <c r="C16378" s="5" t="str">
        <f>IFERROR(__xludf.DUMMYFUNCTION("GOOGLETRANSLATE(B16378,""en"",""es-ES"")"),"Un hombre afroamericano está parado afuera junto a una pared de roca alta.")</f>
        <v>Un hombre afroamericano está parado afuera junto a una pared de roca alta.</v>
      </c>
    </row>
    <row r="16379">
      <c r="A16379" s="4" t="s">
        <v>20628</v>
      </c>
      <c r="B16379" s="4" t="s">
        <v>20630</v>
      </c>
      <c r="C16379" s="5" t="str">
        <f>IFERROR(__xludf.DUMMYFUNCTION("GOOGLETRANSLATE(B16379,""en"",""es-ES"")"),"El hombre continúa tocando la roca y comienza a estirarse.")</f>
        <v>El hombre continúa tocando la roca y comienza a estirarse.</v>
      </c>
    </row>
    <row r="16380">
      <c r="A16380" s="4" t="s">
        <v>20628</v>
      </c>
      <c r="B16380" s="4" t="s">
        <v>20631</v>
      </c>
      <c r="C16380" s="5" t="str">
        <f>IFERROR(__xludf.DUMMYFUNCTION("GOOGLETRANSLATE(B16380,""en"",""es-ES"")"),"Después, comienza a subir activa y ferozmente la pared y bajar al otro lado, pero lo hace sin cuerdas adjuntas a él.")</f>
        <v>Después, comienza a subir activa y ferozmente la pared y bajar al otro lado, pero lo hace sin cuerdas adjuntas a él.</v>
      </c>
    </row>
    <row r="16381">
      <c r="A16381" s="4" t="s">
        <v>20632</v>
      </c>
      <c r="B16381" s="4" t="s">
        <v>20633</v>
      </c>
      <c r="C16381" s="5" t="str">
        <f>IFERROR(__xludf.DUMMYFUNCTION("GOOGLETRANSLATE(B16381,""en"",""es-ES"")"),"Un niño con una camisa azul está jugando en la arena en la playa.")</f>
        <v>Un niño con una camisa azul está jugando en la arena en la playa.</v>
      </c>
    </row>
    <row r="16382">
      <c r="A16382" s="4" t="s">
        <v>20632</v>
      </c>
      <c r="B16382" s="4" t="s">
        <v>20634</v>
      </c>
      <c r="C16382" s="5" t="str">
        <f>IFERROR(__xludf.DUMMYFUNCTION("GOOGLETRANSLATE(B16382,""en"",""es-ES"")"),"Un hombre con una camisa blanca está de pie detrás de él ayudándolo.")</f>
        <v>Un hombre con una camisa blanca está de pie detrás de él ayudándolo.</v>
      </c>
    </row>
    <row r="16383">
      <c r="A16383" s="4" t="s">
        <v>20632</v>
      </c>
      <c r="B16383" s="4" t="s">
        <v>20635</v>
      </c>
      <c r="C16383" s="5" t="str">
        <f>IFERROR(__xludf.DUMMYFUNCTION("GOOGLETRANSLATE(B16383,""en"",""es-ES"")"),"Un hombre con pantalones cortos azules también está ayudando al niño a hacer el castillo de arena.")</f>
        <v>Un hombre con pantalones cortos azules también está ayudando al niño a hacer el castillo de arena.</v>
      </c>
    </row>
    <row r="16384">
      <c r="A16384" s="4" t="s">
        <v>20636</v>
      </c>
      <c r="B16384" s="4" t="s">
        <v>20637</v>
      </c>
      <c r="C16384" s="5" t="str">
        <f>IFERROR(__xludf.DUMMYFUNCTION("GOOGLETRANSLATE(B16384,""en"",""es-ES"")"),"Se muestra un hombre con una mujer bailando frente a una gran multitud en un programa de televisión.")</f>
        <v>Se muestra un hombre con una mujer bailando frente a una gran multitud en un programa de televisión.</v>
      </c>
    </row>
    <row r="16385">
      <c r="A16385" s="4" t="s">
        <v>20636</v>
      </c>
      <c r="B16385" s="4" t="s">
        <v>20638</v>
      </c>
      <c r="C16385" s="5" t="str">
        <f>IFERROR(__xludf.DUMMYFUNCTION("GOOGLETRANSLATE(B16385,""en"",""es-ES"")"),"La mujer gira cuando el hombre la guía a través de la rutina.")</f>
        <v>La mujer gira cuando el hombre la guía a través de la rutina.</v>
      </c>
    </row>
    <row r="16386">
      <c r="A16386" s="4" t="s">
        <v>20636</v>
      </c>
      <c r="B16386" s="4" t="s">
        <v>20639</v>
      </c>
      <c r="C16386" s="5" t="str">
        <f>IFERROR(__xludf.DUMMYFUNCTION("GOOGLETRANSLATE(B16386,""en"",""es-ES"")"),"Luego se levanta y gira de nuevo.")</f>
        <v>Luego se levanta y gira de nuevo.</v>
      </c>
    </row>
    <row r="16387">
      <c r="A16387" s="4" t="s">
        <v>20636</v>
      </c>
      <c r="B16387" s="4" t="s">
        <v>20640</v>
      </c>
      <c r="C16387" s="5" t="str">
        <f>IFERROR(__xludf.DUMMYFUNCTION("GOOGLETRANSLATE(B16387,""en"",""es-ES"")"),"Bailan muy románticamente y el hombre ella la gira antes de que el hombre continúe bailando.")</f>
        <v>Bailan muy románticamente y el hombre ella la gira antes de que el hombre continúe bailando.</v>
      </c>
    </row>
    <row r="16388">
      <c r="A16388" s="4" t="s">
        <v>20636</v>
      </c>
      <c r="B16388" s="4" t="s">
        <v>20641</v>
      </c>
      <c r="C16388" s="5" t="str">
        <f>IFERROR(__xludf.DUMMYFUNCTION("GOOGLETRANSLATE(B16388,""en"",""es-ES"")"),"Los dos bailarines se comunican entre sí y la rutina termina.")</f>
        <v>Los dos bailarines se comunican entre sí y la rutina termina.</v>
      </c>
    </row>
    <row r="16389">
      <c r="A16389" s="4" t="s">
        <v>20642</v>
      </c>
      <c r="B16389" s="4" t="s">
        <v>20643</v>
      </c>
      <c r="C16389" s="5" t="str">
        <f>IFERROR(__xludf.DUMMYFUNCTION("GOOGLETRANSLATE(B16389,""en"",""es-ES"")"),"Un luchador es levantado sobre los hombros de un hombre.")</f>
        <v>Un luchador es levantado sobre los hombros de un hombre.</v>
      </c>
    </row>
    <row r="16390">
      <c r="A16390" s="4" t="s">
        <v>20642</v>
      </c>
      <c r="B16390" s="4" t="s">
        <v>20644</v>
      </c>
      <c r="C16390" s="5" t="str">
        <f>IFERROR(__xludf.DUMMYFUNCTION("GOOGLETRANSLATE(B16390,""en"",""es-ES"")"),"El hombre arroja al luchador sobre una mesa.")</f>
        <v>El hombre arroja al luchador sobre una mesa.</v>
      </c>
    </row>
    <row r="16391">
      <c r="A16391" s="4" t="s">
        <v>20642</v>
      </c>
      <c r="B16391" s="4" t="s">
        <v>20645</v>
      </c>
      <c r="C16391" s="5" t="str">
        <f>IFERROR(__xludf.DUMMYFUNCTION("GOOGLETRANSLATE(B16391,""en"",""es-ES"")"),"El otro hombre grita en voz alta.")</f>
        <v>El otro hombre grita en voz alta.</v>
      </c>
    </row>
    <row r="16392">
      <c r="A16392" s="4" t="s">
        <v>20642</v>
      </c>
      <c r="B16392" s="4" t="s">
        <v>20646</v>
      </c>
      <c r="C16392" s="5" t="str">
        <f>IFERROR(__xludf.DUMMYFUNCTION("GOOGLETRANSLATE(B16392,""en"",""es-ES"")"),"Uno de los otros hombres se encuentra sobre el hombre herido.")</f>
        <v>Uno de los otros hombres se encuentra sobre el hombre herido.</v>
      </c>
    </row>
    <row r="16393">
      <c r="A16393" s="4" t="s">
        <v>20647</v>
      </c>
      <c r="B16393" s="4" t="s">
        <v>20648</v>
      </c>
      <c r="C16393" s="5" t="str">
        <f>IFERROR(__xludf.DUMMYFUNCTION("GOOGLETRANSLATE(B16393,""en"",""es-ES"")"),"Un grupo de niños está jugando un juego de Foosball con chicas.")</f>
        <v>Un grupo de niños está jugando un juego de Foosball con chicas.</v>
      </c>
    </row>
    <row r="16394">
      <c r="A16394" s="4" t="s">
        <v>20647</v>
      </c>
      <c r="B16394" s="4" t="s">
        <v>20649</v>
      </c>
      <c r="C16394" s="5" t="str">
        <f>IFERROR(__xludf.DUMMYFUNCTION("GOOGLETRANSLATE(B16394,""en"",""es-ES"")"),"Los dos grupos se encuentran a ambos lados de la máquina.")</f>
        <v>Los dos grupos se encuentran a ambos lados de la máquina.</v>
      </c>
    </row>
    <row r="16395">
      <c r="A16395" s="4" t="s">
        <v>20647</v>
      </c>
      <c r="B16395" s="4" t="s">
        <v>20650</v>
      </c>
      <c r="C16395" s="5" t="str">
        <f>IFERROR(__xludf.DUMMYFUNCTION("GOOGLETRANSLATE(B16395,""en"",""es-ES"")"),"Usan a los pequeños hombres para golpear la pelota de un lado a otro.")</f>
        <v>Usan a los pequeños hombres para golpear la pelota de un lado a otro.</v>
      </c>
    </row>
    <row r="16396">
      <c r="A16396" s="4" t="s">
        <v>20651</v>
      </c>
      <c r="B16396" s="4" t="s">
        <v>20652</v>
      </c>
      <c r="C16396" s="5" t="str">
        <f>IFERROR(__xludf.DUMMYFUNCTION("GOOGLETRANSLATE(B16396,""en"",""es-ES"")"),"Teen Compite Skateboard por la carretera muy rápido.")</f>
        <v>Teen Compite Skateboard por la carretera muy rápido.</v>
      </c>
    </row>
    <row r="16397">
      <c r="A16397" s="4" t="s">
        <v>20651</v>
      </c>
      <c r="B16397" s="4" t="s">
        <v>20653</v>
      </c>
      <c r="C16397" s="5" t="str">
        <f>IFERROR(__xludf.DUMMYFUNCTION("GOOGLETRANSLATE(B16397,""en"",""es-ES"")"),"Un adolescente cae boca abajo de su patineta en el suelo.")</f>
        <v>Un adolescente cae boca abajo de su patineta en el suelo.</v>
      </c>
    </row>
    <row r="16398">
      <c r="A16398" s="4" t="s">
        <v>20651</v>
      </c>
      <c r="B16398" s="4" t="s">
        <v>20654</v>
      </c>
      <c r="C16398" s="5" t="str">
        <f>IFERROR(__xludf.DUMMYFUNCTION("GOOGLETRANSLATE(B16398,""en"",""es-ES"")"),"Otro adolescente cae en el camino.")</f>
        <v>Otro adolescente cae en el camino.</v>
      </c>
    </row>
    <row r="16399">
      <c r="A16399" s="4" t="s">
        <v>20651</v>
      </c>
      <c r="B16399" s="4" t="s">
        <v>20655</v>
      </c>
      <c r="C16399" s="5" t="str">
        <f>IFERROR(__xludf.DUMMYFUNCTION("GOOGLETRANSLATE(B16399,""en"",""es-ES"")"),"Otros adolescentes continúan patinando y algunos caen mientras patinan.")</f>
        <v>Otros adolescentes continúan patinando y algunos caen mientras patinan.</v>
      </c>
    </row>
    <row r="16400">
      <c r="A16400" s="4" t="s">
        <v>20656</v>
      </c>
      <c r="B16400" s="4" t="s">
        <v>20657</v>
      </c>
      <c r="C16400" s="5" t="str">
        <f>IFERROR(__xludf.DUMMYFUNCTION("GOOGLETRANSLATE(B16400,""en"",""es-ES"")"),"La gente monta bicicletas en un circuito de pista lleno de baches.")</f>
        <v>La gente monta bicicletas en un circuito de pista lleno de baches.</v>
      </c>
    </row>
    <row r="16401">
      <c r="A16401" s="4" t="s">
        <v>20656</v>
      </c>
      <c r="B16401" s="4" t="s">
        <v>20658</v>
      </c>
      <c r="C16401" s="5" t="str">
        <f>IFERROR(__xludf.DUMMYFUNCTION("GOOGLETRANSLATE(B16401,""en"",""es-ES"")"),"Luego, llegan a la línea de meta donde la gente está lavando la competencia.")</f>
        <v>Luego, llegan a la línea de meta donde la gente está lavando la competencia.</v>
      </c>
    </row>
    <row r="16402">
      <c r="A16402" s="4" t="s">
        <v>20659</v>
      </c>
      <c r="B16402" s="4" t="s">
        <v>20660</v>
      </c>
      <c r="C16402" s="5" t="str">
        <f>IFERROR(__xludf.DUMMYFUNCTION("GOOGLETRANSLATE(B16402,""en"",""es-ES"")"),"Se ve a un gran grupo de hombres corriendo alrededor de un campo interior cuando uno anota un gol y la audiencia aplaude.")</f>
        <v>Se ve a un gran grupo de hombres corriendo alrededor de un campo interior cuando uno anota un gol y la audiencia aplaude.</v>
      </c>
    </row>
    <row r="16403">
      <c r="A16403" s="4" t="s">
        <v>20659</v>
      </c>
      <c r="B16403" s="4" t="s">
        <v>20661</v>
      </c>
      <c r="C16403" s="5" t="str">
        <f>IFERROR(__xludf.DUMMYFUNCTION("GOOGLETRANSLATE(B16403,""en"",""es-ES"")"),"Se muestran varios disparos más de goles seguidos de disparos desacelerados de cada gol.")</f>
        <v>Se muestran varios disparos más de goles seguidos de disparos desacelerados de cada gol.</v>
      </c>
    </row>
    <row r="16404">
      <c r="A16404" s="4" t="s">
        <v>20659</v>
      </c>
      <c r="B16404" s="4" t="s">
        <v>20662</v>
      </c>
      <c r="C16404" s="5" t="str">
        <f>IFERROR(__xludf.DUMMYFUNCTION("GOOGLETRANSLATE(B16404,""en"",""es-ES"")"),"El primer plano de los jugadores se muestra y termina con un grupo de jugadores que se abrazan y animan unos con otros.")</f>
        <v>El primer plano de los jugadores se muestra y termina con un grupo de jugadores que se abrazan y animan unos con otros.</v>
      </c>
    </row>
    <row r="16405">
      <c r="A16405" s="4" t="s">
        <v>20663</v>
      </c>
      <c r="B16405" s="4" t="s">
        <v>20664</v>
      </c>
      <c r="C16405" s="5" t="str">
        <f>IFERROR(__xludf.DUMMYFUNCTION("GOOGLETRANSLATE(B16405,""en"",""es-ES"")"),"Un niño disfruta de un cono de helado.")</f>
        <v>Un niño disfruta de un cono de helado.</v>
      </c>
    </row>
    <row r="16406">
      <c r="A16406" s="4" t="s">
        <v>20663</v>
      </c>
      <c r="B16406" s="4" t="s">
        <v>20665</v>
      </c>
      <c r="C16406" s="5" t="str">
        <f>IFERROR(__xludf.DUMMYFUNCTION("GOOGLETRANSLATE(B16406,""en"",""es-ES"")"),"Una niña come lame y come un cono de helado.")</f>
        <v>Una niña come lame y come un cono de helado.</v>
      </c>
    </row>
    <row r="16407">
      <c r="A16407" s="4" t="s">
        <v>20663</v>
      </c>
      <c r="B16407" s="4" t="s">
        <v>20666</v>
      </c>
      <c r="C16407" s="5" t="str">
        <f>IFERROR(__xludf.DUMMYFUNCTION("GOOGLETRANSLATE(B16407,""en"",""es-ES"")"),"El niño termina el cono de helado.")</f>
        <v>El niño termina el cono de helado.</v>
      </c>
    </row>
    <row r="16408">
      <c r="A16408" s="4" t="s">
        <v>20663</v>
      </c>
      <c r="B16408" s="4" t="s">
        <v>20667</v>
      </c>
      <c r="C16408" s="5" t="str">
        <f>IFERROR(__xludf.DUMMYFUNCTION("GOOGLETRANSLATE(B16408,""en"",""es-ES"")"),"La chica lame ligeramente el cono de helado.")</f>
        <v>La chica lame ligeramente el cono de helado.</v>
      </c>
    </row>
    <row r="16409">
      <c r="A16409" s="4" t="s">
        <v>20668</v>
      </c>
      <c r="B16409" s="4" t="s">
        <v>20669</v>
      </c>
      <c r="C16409" s="5" t="str">
        <f>IFERROR(__xludf.DUMMYFUNCTION("GOOGLETRANSLATE(B16409,""en"",""es-ES"")"),"Comienza un torneo de tiro con arco y el montaje muestra a los jugadores que se esconden detrás de los escudos y disparan de un lado a otro.")</f>
        <v>Comienza un torneo de tiro con arco y el montaje muestra a los jugadores que se esconden detrás de los escudos y disparan de un lado a otro.</v>
      </c>
    </row>
    <row r="16410">
      <c r="A16410" s="4" t="s">
        <v>20668</v>
      </c>
      <c r="B16410" s="4" t="s">
        <v>20670</v>
      </c>
      <c r="C16410" s="5" t="str">
        <f>IFERROR(__xludf.DUMMYFUNCTION("GOOGLETRANSLATE(B16410,""en"",""es-ES"")"),"Se muestra a los padres de los niños mirando la batalla.")</f>
        <v>Se muestra a los padres de los niños mirando la batalla.</v>
      </c>
    </row>
    <row r="16411">
      <c r="A16411" s="4" t="s">
        <v>20671</v>
      </c>
      <c r="B16411" s="4" t="s">
        <v>20672</v>
      </c>
      <c r="C16411" s="5" t="str">
        <f>IFERROR(__xludf.DUMMYFUNCTION("GOOGLETRANSLATE(B16411,""en"",""es-ES"")"),"Una niña salta a un rayo de equilibrio.")</f>
        <v>Una niña salta a un rayo de equilibrio.</v>
      </c>
    </row>
    <row r="16412">
      <c r="A16412" s="4" t="s">
        <v>20671</v>
      </c>
      <c r="B16412" s="4" t="s">
        <v>20673</v>
      </c>
      <c r="C16412" s="5" t="str">
        <f>IFERROR(__xludf.DUMMYFUNCTION("GOOGLETRANSLATE(B16412,""en"",""es-ES"")"),"Ella comienza a hacer una rutina en el rayo de equilibrio.")</f>
        <v>Ella comienza a hacer una rutina en el rayo de equilibrio.</v>
      </c>
    </row>
    <row r="16413">
      <c r="A16413" s="4" t="s">
        <v>20671</v>
      </c>
      <c r="B16413" s="4" t="s">
        <v>20674</v>
      </c>
      <c r="C16413" s="5" t="str">
        <f>IFERROR(__xludf.DUMMYFUNCTION("GOOGLETRANSLATE(B16413,""en"",""es-ES"")"),"Ella desmonta y aterriza en la colchoneta con las manos en el aire.")</f>
        <v>Ella desmonta y aterriza en la colchoneta con las manos en el aire.</v>
      </c>
    </row>
    <row r="16414">
      <c r="A16414" s="4" t="s">
        <v>20675</v>
      </c>
      <c r="B16414" s="4" t="s">
        <v>20676</v>
      </c>
      <c r="C16414" s="5" t="str">
        <f>IFERROR(__xludf.DUMMYFUNCTION("GOOGLETRANSLATE(B16414,""en"",""es-ES"")"),"Hay una mujer bailando en el escenario frente a un hombre al principio.")</f>
        <v>Hay una mujer bailando en el escenario frente a un hombre al principio.</v>
      </c>
    </row>
    <row r="16415">
      <c r="A16415" s="4" t="s">
        <v>20675</v>
      </c>
      <c r="B16415" s="4" t="s">
        <v>20677</v>
      </c>
      <c r="C16415" s="5" t="str">
        <f>IFERROR(__xludf.DUMMYFUNCTION("GOOGLETRANSLATE(B16415,""en"",""es-ES"")"),"Hay muchas mujeres diferentes haciendo movimientos de hip hop.")</f>
        <v>Hay muchas mujeres diferentes haciendo movimientos de hip hop.</v>
      </c>
    </row>
    <row r="16416">
      <c r="A16416" s="4" t="s">
        <v>20678</v>
      </c>
      <c r="B16416" s="4" t="s">
        <v>20679</v>
      </c>
      <c r="C16416" s="5" t="str">
        <f>IFERROR(__xludf.DUMMYFUNCTION("GOOGLETRANSLATE(B16416,""en"",""es-ES"")"),"Dos sumos luchan ferozmente mientras un juez los observa.")</f>
        <v>Dos sumos luchan ferozmente mientras un juez los observa.</v>
      </c>
    </row>
    <row r="16417">
      <c r="A16417" s="4" t="s">
        <v>20678</v>
      </c>
      <c r="B16417" s="4" t="s">
        <v>20680</v>
      </c>
      <c r="C16417" s="5" t="str">
        <f>IFERROR(__xludf.DUMMYFUNCTION("GOOGLETRANSLATE(B16417,""en"",""es-ES"")"),"Luego, el sumo con resbalón negro salió del anillo del otro sumo.")</f>
        <v>Luego, el sumo con resbalón negro salió del anillo del otro sumo.</v>
      </c>
    </row>
    <row r="16418">
      <c r="A16418" s="4" t="s">
        <v>20678</v>
      </c>
      <c r="B16418" s="4" t="s">
        <v>20681</v>
      </c>
      <c r="C16418" s="5" t="str">
        <f>IFERROR(__xludf.DUMMYFUNCTION("GOOGLETRANSLATE(B16418,""en"",""es-ES"")"),"Luego, dos sumo luchan y viajen con el juez, uno de ellos cae.")</f>
        <v>Luego, dos sumo luchan y viajen con el juez, uno de ellos cae.</v>
      </c>
    </row>
    <row r="16419">
      <c r="A16419" s="4" t="s">
        <v>20678</v>
      </c>
      <c r="B16419" s="4" t="s">
        <v>20682</v>
      </c>
      <c r="C16419" s="5" t="str">
        <f>IFERROR(__xludf.DUMMYFUNCTION("GOOGLETRANSLATE(B16419,""en"",""es-ES"")"),"Después, el Sumosn continúa luchando y el sumo con deslizamiento negro cae por el anillo.")</f>
        <v>Después, el Sumosn continúa luchando y el sumo con deslizamiento negro cae por el anillo.</v>
      </c>
    </row>
    <row r="16420">
      <c r="A16420" s="4" t="s">
        <v>20683</v>
      </c>
      <c r="B16420" s="4" t="s">
        <v>20684</v>
      </c>
      <c r="C16420" s="5" t="str">
        <f>IFERROR(__xludf.DUMMYFUNCTION("GOOGLETRANSLATE(B16420,""en"",""es-ES"")"),"Se ve a un hombre hablando con la cámara mientras sostiene un trozo de papel.")</f>
        <v>Se ve a un hombre hablando con la cámara mientras sostiene un trozo de papel.</v>
      </c>
    </row>
    <row r="16421">
      <c r="A16421" s="4" t="s">
        <v>20683</v>
      </c>
      <c r="B16421" s="4" t="s">
        <v>20685</v>
      </c>
      <c r="C16421" s="5" t="str">
        <f>IFERROR(__xludf.DUMMYFUNCTION("GOOGLETRANSLATE(B16421,""en"",""es-ES"")"),"El hombre también sostiene una maquinilla de afeitar y comienza a escribir en el periódico.")</f>
        <v>El hombre también sostiene una maquinilla de afeitar y comienza a escribir en el periódico.</v>
      </c>
    </row>
    <row r="16422">
      <c r="A16422" s="4" t="s">
        <v>20683</v>
      </c>
      <c r="B16422" s="4" t="s">
        <v>20686</v>
      </c>
      <c r="C16422" s="5" t="str">
        <f>IFERROR(__xludf.DUMMYFUNCTION("GOOGLETRANSLATE(B16422,""en"",""es-ES"")"),"Luego se ve al hombre afeitándose la cara y terminando con créditos.")</f>
        <v>Luego se ve al hombre afeitándose la cara y terminando con créditos.</v>
      </c>
    </row>
    <row r="16423">
      <c r="A16423" s="4" t="s">
        <v>20687</v>
      </c>
      <c r="B16423" s="4" t="s">
        <v>20688</v>
      </c>
      <c r="C16423" s="5" t="str">
        <f>IFERROR(__xludf.DUMMYFUNCTION("GOOGLETRANSLATE(B16423,""en"",""es-ES"")"),"Vemos a una dama hablando en el baño.")</f>
        <v>Vemos a una dama hablando en el baño.</v>
      </c>
    </row>
    <row r="16424">
      <c r="A16424" s="4" t="s">
        <v>20687</v>
      </c>
      <c r="B16424" s="4" t="s">
        <v>20689</v>
      </c>
      <c r="C16424" s="5" t="str">
        <f>IFERROR(__xludf.DUMMYFUNCTION("GOOGLETRANSLATE(B16424,""en"",""es-ES"")"),"Ella nos muestra su caja de secador.")</f>
        <v>Ella nos muestra su caja de secador.</v>
      </c>
    </row>
    <row r="16425">
      <c r="A16425" s="4" t="s">
        <v>20687</v>
      </c>
      <c r="B16425" s="4" t="s">
        <v>20690</v>
      </c>
      <c r="C16425" s="5" t="str">
        <f>IFERROR(__xludf.DUMMYFUNCTION("GOOGLETRANSLATE(B16425,""en"",""es-ES"")"),"Ella trae a la vista la caja de secador de soplado.")</f>
        <v>Ella trae a la vista la caja de secador de soplado.</v>
      </c>
    </row>
    <row r="16426">
      <c r="A16426" s="4" t="s">
        <v>20687</v>
      </c>
      <c r="B16426" s="4" t="s">
        <v>20691</v>
      </c>
      <c r="C16426" s="5" t="str">
        <f>IFERROR(__xludf.DUMMYFUNCTION("GOOGLETRANSLATE(B16426,""en"",""es-ES"")"),"La señora agarra y se levanta el cabello.")</f>
        <v>La señora agarra y se levanta el cabello.</v>
      </c>
    </row>
    <row r="16427">
      <c r="A16427" s="4" t="s">
        <v>20687</v>
      </c>
      <c r="B16427" s="4" t="s">
        <v>20692</v>
      </c>
      <c r="C16427" s="5" t="str">
        <f>IFERROR(__xludf.DUMMYFUNCTION("GOOGLETRANSLATE(B16427,""en"",""es-ES"")"),"La señora nos muestra accesorios de secador y la secadora.")</f>
        <v>La señora nos muestra accesorios de secador y la secadora.</v>
      </c>
    </row>
    <row r="16428">
      <c r="A16428" s="4" t="s">
        <v>20687</v>
      </c>
      <c r="B16428" s="4" t="s">
        <v>20693</v>
      </c>
      <c r="C16428" s="5" t="str">
        <f>IFERROR(__xludf.DUMMYFUNCTION("GOOGLETRANSLATE(B16428,""en"",""es-ES"")"),"Los cepillos de la dama escuchan el cabello y agrega que se seca el cabello.")</f>
        <v>Los cepillos de la dama escuchan el cabello y agrega que se seca el cabello.</v>
      </c>
    </row>
    <row r="16429">
      <c r="A16429" s="4" t="s">
        <v>20694</v>
      </c>
      <c r="B16429" s="4" t="s">
        <v>20695</v>
      </c>
      <c r="C16429" s="5" t="str">
        <f>IFERROR(__xludf.DUMMYFUNCTION("GOOGLETRANSLATE(B16429,""en"",""es-ES"")"),"Se muestra un primer plano de una computadora, seguido de un hombre que se acerca al marco y canta en el micrófono.")</f>
        <v>Se muestra un primer plano de una computadora, seguido de un hombre que se acerca al marco y canta en el micrófono.</v>
      </c>
    </row>
    <row r="16430">
      <c r="A16430" s="4" t="s">
        <v>20694</v>
      </c>
      <c r="B16430" s="4" t="s">
        <v>20696</v>
      </c>
      <c r="C16430" s="5" t="str">
        <f>IFERROR(__xludf.DUMMYFUNCTION("GOOGLETRANSLATE(B16430,""en"",""es-ES"")"),"El hombre continúa cantando mientras la cámara lo captura y se desvanece al final al final.")</f>
        <v>El hombre continúa cantando mientras la cámara lo captura y se desvanece al final al final.</v>
      </c>
    </row>
    <row r="16431">
      <c r="A16431" s="4" t="s">
        <v>20697</v>
      </c>
      <c r="B16431" s="4" t="s">
        <v>20698</v>
      </c>
      <c r="C16431" s="5" t="str">
        <f>IFERROR(__xludf.DUMMYFUNCTION("GOOGLETRANSLATE(B16431,""en"",""es-ES"")"),"Una anciana habla antes de correr en un maratón donde participan mucha gente.")</f>
        <v>Una anciana habla antes de correr en un maratón donde participan mucha gente.</v>
      </c>
    </row>
    <row r="16432">
      <c r="A16432" s="4" t="s">
        <v>20697</v>
      </c>
      <c r="B16432" s="4" t="s">
        <v>20699</v>
      </c>
      <c r="C16432" s="5" t="str">
        <f>IFERROR(__xludf.DUMMYFUNCTION("GOOGLETRANSLATE(B16432,""en"",""es-ES"")"),"Luego, la mujer cruza la línea de meta y la gente la ayuda.")</f>
        <v>Luego, la mujer cruza la línea de meta y la gente la ayuda.</v>
      </c>
    </row>
    <row r="16433">
      <c r="A16433" s="4" t="s">
        <v>20697</v>
      </c>
      <c r="B16433" s="4" t="s">
        <v>20700</v>
      </c>
      <c r="C16433" s="5" t="str">
        <f>IFERROR(__xludf.DUMMYFUNCTION("GOOGLETRANSLATE(B16433,""en"",""es-ES"")"),"Una película de camarógrafo en la línea de meta mientras llega a la gente.")</f>
        <v>Una película de camarógrafo en la línea de meta mientras llega a la gente.</v>
      </c>
    </row>
    <row r="16434">
      <c r="A16434" s="4" t="s">
        <v>20697</v>
      </c>
      <c r="B16434" s="4" t="s">
        <v>20701</v>
      </c>
      <c r="C16434" s="5" t="str">
        <f>IFERROR(__xludf.DUMMYFUNCTION("GOOGLETRANSLATE(B16434,""en"",""es-ES"")"),"Una mujer levanta los brazos cuando cruzó la línea de meta.")</f>
        <v>Una mujer levanta los brazos cuando cruzó la línea de meta.</v>
      </c>
    </row>
    <row r="16435">
      <c r="A16435" s="4" t="s">
        <v>20702</v>
      </c>
      <c r="B16435" s="4" t="s">
        <v>20703</v>
      </c>
      <c r="C16435" s="5" t="str">
        <f>IFERROR(__xludf.DUMMYFUNCTION("GOOGLETRANSLATE(B16435,""en"",""es-ES"")"),"Un hombre muy grande que lleva un velocímetro negro está parado en una pista de lucha resoplando y hinchando.")</f>
        <v>Un hombre muy grande que lleva un velocímetro negro está parado en una pista de lucha resoplando y hinchando.</v>
      </c>
    </row>
    <row r="16436">
      <c r="A16436" s="4" t="s">
        <v>20702</v>
      </c>
      <c r="B16436" s="4" t="s">
        <v>20704</v>
      </c>
      <c r="C16436" s="5" t="str">
        <f>IFERROR(__xludf.DUMMYFUNCTION("GOOGLETRANSLATE(B16436,""en"",""es-ES"")"),"Un árbitro pasa junto al hombre, un hombre desde el suelo se levanta y el hombre muy grande lo patea, lo recoge y luego lo golpea en la pista.")</f>
        <v>Un árbitro pasa junto al hombre, un hombre desde el suelo se levanta y el hombre muy grande lo patea, lo recoge y luego lo golpea en la pista.</v>
      </c>
    </row>
    <row r="16437">
      <c r="A16437" s="4" t="s">
        <v>20702</v>
      </c>
      <c r="B16437" s="4" t="s">
        <v>20705</v>
      </c>
      <c r="C16437" s="5" t="str">
        <f>IFERROR(__xludf.DUMMYFUNCTION("GOOGLETRANSLATE(B16437,""en"",""es-ES"")"),"El hombre simplemente se acuesta de dolor.")</f>
        <v>El hombre simplemente se acuesta de dolor.</v>
      </c>
    </row>
    <row r="16438">
      <c r="A16438" s="4" t="s">
        <v>20706</v>
      </c>
      <c r="B16438" s="4" t="s">
        <v>20707</v>
      </c>
      <c r="C16438" s="5" t="str">
        <f>IFERROR(__xludf.DUMMYFUNCTION("GOOGLETRANSLATE(B16438,""en"",""es-ES"")"),"Se ven dos mujeres hablando entre ellas y llevan a ellas interpretando artes marciales entre ellas.")</f>
        <v>Se ven dos mujeres hablando entre ellas y llevan a ellas interpretando artes marciales entre ellas.</v>
      </c>
    </row>
    <row r="16439">
      <c r="A16439" s="4" t="s">
        <v>20706</v>
      </c>
      <c r="B16439" s="4" t="s">
        <v>20708</v>
      </c>
      <c r="C16439" s="5" t="str">
        <f>IFERROR(__xludf.DUMMYFUNCTION("GOOGLETRANSLATE(B16439,""en"",""es-ES"")"),"Las chicas continúan luchando y conducen a una sentada mientras la otra continúa realizando movimientos.")</f>
        <v>Las chicas continúan luchando y conducen a una sentada mientras la otra continúa realizando movimientos.</v>
      </c>
    </row>
    <row r="16440">
      <c r="A16440" s="4" t="s">
        <v>20709</v>
      </c>
      <c r="B16440" s="4" t="s">
        <v>20710</v>
      </c>
      <c r="C16440" s="5" t="str">
        <f>IFERROR(__xludf.DUMMYFUNCTION("GOOGLETRANSLATE(B16440,""en"",""es-ES"")"),"Una chica con atuendo rojo sirve la pelota a su amiga en un partido de tenis al aire libre.")</f>
        <v>Una chica con atuendo rojo sirve la pelota a su amiga en un partido de tenis al aire libre.</v>
      </c>
    </row>
    <row r="16441">
      <c r="A16441" s="4" t="s">
        <v>20709</v>
      </c>
      <c r="B16441" s="4" t="s">
        <v>20711</v>
      </c>
      <c r="C16441" s="5" t="str">
        <f>IFERROR(__xludf.DUMMYFUNCTION("GOOGLETRANSLATE(B16441,""en"",""es-ES"")"),"El amigo devuelve la pelota y los dos juegan una ronda de tenis.")</f>
        <v>El amigo devuelve la pelota y los dos juegan una ronda de tenis.</v>
      </c>
    </row>
    <row r="16442">
      <c r="A16442" s="4" t="s">
        <v>20709</v>
      </c>
      <c r="B16442" s="4" t="s">
        <v>20712</v>
      </c>
      <c r="C16442" s="5" t="str">
        <f>IFERROR(__xludf.DUMMYFUNCTION("GOOGLETRANSLATE(B16442,""en"",""es-ES"")"),"La bola es desviada por la red y el compañero pierde la ronda.")</f>
        <v>La bola es desviada por la red y el compañero pierde la ronda.</v>
      </c>
    </row>
    <row r="16443">
      <c r="A16443" s="4" t="s">
        <v>20713</v>
      </c>
      <c r="B16443" s="4" t="s">
        <v>20714</v>
      </c>
      <c r="C16443" s="5" t="str">
        <f>IFERROR(__xludf.DUMMYFUNCTION("GOOGLETRANSLATE(B16443,""en"",""es-ES"")"),"Varios hombres se paran en un muelle.")</f>
        <v>Varios hombres se paran en un muelle.</v>
      </c>
    </row>
    <row r="16444">
      <c r="A16444" s="4" t="s">
        <v>20713</v>
      </c>
      <c r="B16444" s="4" t="s">
        <v>20715</v>
      </c>
      <c r="C16444" s="5" t="str">
        <f>IFERROR(__xludf.DUMMYFUNCTION("GOOGLETRANSLATE(B16444,""en"",""es-ES"")"),"Uno de los hombres no tiene camisa.")</f>
        <v>Uno de los hombres no tiene camisa.</v>
      </c>
    </row>
    <row r="16445">
      <c r="A16445" s="4" t="s">
        <v>20713</v>
      </c>
      <c r="B16445" s="4" t="s">
        <v>20716</v>
      </c>
      <c r="C16445" s="5" t="str">
        <f>IFERROR(__xludf.DUMMYFUNCTION("GOOGLETRANSLATE(B16445,""en"",""es-ES"")"),"Sacan una carne cruda.")</f>
        <v>Sacan una carne cruda.</v>
      </c>
    </row>
    <row r="16446">
      <c r="A16446" s="4" t="s">
        <v>20713</v>
      </c>
      <c r="B16446" s="4" t="s">
        <v>20717</v>
      </c>
      <c r="C16446" s="5" t="str">
        <f>IFERROR(__xludf.DUMMYFUNCTION("GOOGLETRANSLATE(B16446,""en"",""es-ES"")"),"Uno de los hombres se pone en un tablero y hace trucos.")</f>
        <v>Uno de los hombres se pone en un tablero y hace trucos.</v>
      </c>
    </row>
    <row r="16447">
      <c r="A16447" s="4" t="s">
        <v>20718</v>
      </c>
      <c r="B16447" s="4" t="s">
        <v>20719</v>
      </c>
      <c r="C16447" s="5" t="str">
        <f>IFERROR(__xludf.DUMMYFUNCTION("GOOGLETRANSLATE(B16447,""en"",""es-ES"")"),"Un grupo se sienta en los caballos como el stand y descansa.")</f>
        <v>Un grupo se sienta en los caballos como el stand y descansa.</v>
      </c>
    </row>
    <row r="16448">
      <c r="A16448" s="4" t="s">
        <v>20718</v>
      </c>
      <c r="B16448" s="4" t="s">
        <v>20720</v>
      </c>
      <c r="C16448" s="5" t="str">
        <f>IFERROR(__xludf.DUMMYFUNCTION("GOOGLETRANSLATE(B16448,""en"",""es-ES"")"),"El grupo cabalga en los caballos a lo largo de un sendero.")</f>
        <v>El grupo cabalga en los caballos a lo largo de un sendero.</v>
      </c>
    </row>
    <row r="16449">
      <c r="A16449" s="4" t="s">
        <v>20721</v>
      </c>
      <c r="B16449" s="4" t="s">
        <v>20722</v>
      </c>
      <c r="C16449" s="5" t="str">
        <f>IFERROR(__xludf.DUMMYFUNCTION("GOOGLETRANSLATE(B16449,""en"",""es-ES"")"),"Se ve a una mujer hablando con la cámara y otras personas en un automóvil con ella.")</f>
        <v>Se ve a una mujer hablando con la cámara y otras personas en un automóvil con ella.</v>
      </c>
    </row>
    <row r="16450">
      <c r="A16450" s="4" t="s">
        <v>20721</v>
      </c>
      <c r="B16450" s="4" t="s">
        <v>20723</v>
      </c>
      <c r="C16450" s="5" t="str">
        <f>IFERROR(__xludf.DUMMYFUNCTION("GOOGLETRANSLATE(B16450,""en"",""es-ES"")"),"Las tomas de ella y su amiga se muestran a través de un marco y los llevan a mirar los tatuajes.")</f>
        <v>Las tomas de ella y su amiga se muestran a través de un marco y los llevan a mirar los tatuajes.</v>
      </c>
    </row>
    <row r="16451">
      <c r="A16451" s="4" t="s">
        <v>20721</v>
      </c>
      <c r="B16451" s="4" t="s">
        <v>20724</v>
      </c>
      <c r="C16451" s="5" t="str">
        <f>IFERROR(__xludf.DUMMYFUNCTION("GOOGLETRANSLATE(B16451,""en"",""es-ES"")"),"Se muestran cantando en el auto y esperando para tatuarse mientras todavía hablan con la cámara.")</f>
        <v>Se muestran cantando en el auto y esperando para tatuarse mientras todavía hablan con la cámara.</v>
      </c>
    </row>
    <row r="16452">
      <c r="A16452" s="4" t="s">
        <v>20721</v>
      </c>
      <c r="B16452" s="4" t="s">
        <v>20725</v>
      </c>
      <c r="C16452" s="5" t="str">
        <f>IFERROR(__xludf.DUMMYFUNCTION("GOOGLETRANSLATE(B16452,""en"",""es-ES"")"),"Las chicas se muestran a las que se muestran tatuajes y terminan con imágenes de sus tatuajes que se muestran.")</f>
        <v>Las chicas se muestran a las que se muestran tatuajes y terminan con imágenes de sus tatuajes que se muestran.</v>
      </c>
    </row>
    <row r="16453">
      <c r="A16453" s="4" t="s">
        <v>20726</v>
      </c>
      <c r="B16453" s="4" t="s">
        <v>20727</v>
      </c>
      <c r="C16453" s="5" t="str">
        <f>IFERROR(__xludf.DUMMYFUNCTION("GOOGLETRANSLATE(B16453,""en"",""es-ES"")"),"Una mujer que lleva una camisa rosa y blanca y medias negras está de pie en su patio delantero.")</f>
        <v>Una mujer que lleva una camisa rosa y blanca y medias negras está de pie en su patio delantero.</v>
      </c>
    </row>
    <row r="16454">
      <c r="A16454" s="4" t="s">
        <v>20726</v>
      </c>
      <c r="B16454" s="4" t="s">
        <v>20728</v>
      </c>
      <c r="C16454" s="5" t="str">
        <f>IFERROR(__xludf.DUMMYFUNCTION("GOOGLETRANSLATE(B16454,""en"",""es-ES"")"),"Ella está sosteniendo dos bastones en ella y las girando.")</f>
        <v>Ella está sosteniendo dos bastones en ella y las girando.</v>
      </c>
    </row>
    <row r="16455">
      <c r="A16455" s="4" t="s">
        <v>20726</v>
      </c>
      <c r="B16455" s="4" t="s">
        <v>20729</v>
      </c>
      <c r="C16455" s="5" t="str">
        <f>IFERROR(__xludf.DUMMYFUNCTION("GOOGLETRANSLATE(B16455,""en"",""es-ES"")"),"Ella gira su cuerpo y se da vuelta varias veces mientras gira los bastones en ambas manos.")</f>
        <v>Ella gira su cuerpo y se da vuelta varias veces mientras gira los bastones en ambas manos.</v>
      </c>
    </row>
    <row r="16456">
      <c r="A16456" s="4" t="s">
        <v>20726</v>
      </c>
      <c r="B16456" s="4" t="s">
        <v>20730</v>
      </c>
      <c r="C16456" s="5" t="str">
        <f>IFERROR(__xludf.DUMMYFUNCTION("GOOGLETRANSLATE(B16456,""en"",""es-ES"")"),"También mueve su pie de un lado a otro y camina y levanta el pie mientras gira.")</f>
        <v>También mueve su pie de un lado a otro y camina y levanta el pie mientras gira.</v>
      </c>
    </row>
    <row r="16457">
      <c r="A16457" s="4" t="s">
        <v>20726</v>
      </c>
      <c r="B16457" s="4" t="s">
        <v>20731</v>
      </c>
      <c r="C16457" s="5" t="str">
        <f>IFERROR(__xludf.DUMMYFUNCTION("GOOGLETRANSLATE(B16457,""en"",""es-ES"")"),"Luego tira el bastón de debajo de su pierna y la atrapa con su otra mano.")</f>
        <v>Luego tira el bastón de debajo de su pierna y la atrapa con su otra mano.</v>
      </c>
    </row>
    <row r="16458">
      <c r="A16458" s="4" t="s">
        <v>20726</v>
      </c>
      <c r="B16458" s="4" t="s">
        <v>20732</v>
      </c>
      <c r="C16458" s="5" t="str">
        <f>IFERROR(__xludf.DUMMYFUNCTION("GOOGLETRANSLATE(B16458,""en"",""es-ES"")"),"Ella continúa girando el bastón cerca de un árbol sombreado.")</f>
        <v>Ella continúa girando el bastón cerca de un árbol sombreado.</v>
      </c>
    </row>
    <row r="16459">
      <c r="A16459" s="4" t="s">
        <v>20726</v>
      </c>
      <c r="B16459" s="4" t="s">
        <v>20733</v>
      </c>
      <c r="C16459" s="5" t="str">
        <f>IFERROR(__xludf.DUMMYFUNCTION("GOOGLETRANSLATE(B16459,""en"",""es-ES"")"),"Ella da la vuelta a todo su cuerpo mientras gira los bastones.")</f>
        <v>Ella da la vuelta a todo su cuerpo mientras gira los bastones.</v>
      </c>
    </row>
    <row r="16460">
      <c r="A16460" s="4" t="s">
        <v>20726</v>
      </c>
      <c r="B16460" s="4" t="s">
        <v>20734</v>
      </c>
      <c r="C16460" s="5" t="str">
        <f>IFERROR(__xludf.DUMMYFUNCTION("GOOGLETRANSLATE(B16460,""en"",""es-ES"")"),"Finalmente se inclina y sostiene el bastón en la mano en su mano.")</f>
        <v>Finalmente se inclina y sostiene el bastón en la mano en su mano.</v>
      </c>
    </row>
    <row r="16461">
      <c r="A16461" s="4" t="s">
        <v>20735</v>
      </c>
      <c r="B16461" s="4" t="s">
        <v>20736</v>
      </c>
      <c r="C16461" s="5" t="str">
        <f>IFERROR(__xludf.DUMMYFUNCTION("GOOGLETRANSLATE(B16461,""en"",""es-ES"")"),"Vemos agua que fluye sobre un río.")</f>
        <v>Vemos agua que fluye sobre un río.</v>
      </c>
    </row>
    <row r="16462">
      <c r="A16462" s="4" t="s">
        <v>20735</v>
      </c>
      <c r="B16462" s="4" t="s">
        <v>20737</v>
      </c>
      <c r="C16462" s="5" t="str">
        <f>IFERROR(__xludf.DUMMYFUNCTION("GOOGLETRANSLATE(B16462,""en"",""es-ES"")"),"Aparece un título en la pantalla.")</f>
        <v>Aparece un título en la pantalla.</v>
      </c>
    </row>
    <row r="16463">
      <c r="A16463" s="4" t="s">
        <v>20735</v>
      </c>
      <c r="B16463" s="4" t="s">
        <v>20738</v>
      </c>
      <c r="C16463" s="5" t="str">
        <f>IFERROR(__xludf.DUMMYFUNCTION("GOOGLETRANSLATE(B16463,""en"",""es-ES"")"),"Una persona en una canoa pasa sobre la cascada.")</f>
        <v>Una persona en una canoa pasa sobre la cascada.</v>
      </c>
    </row>
    <row r="16464">
      <c r="A16464" s="4" t="s">
        <v>20735</v>
      </c>
      <c r="B16464" s="4" t="s">
        <v>20739</v>
      </c>
      <c r="C16464" s="5" t="str">
        <f>IFERROR(__xludf.DUMMYFUNCTION("GOOGLETRANSLATE(B16464,""en"",""es-ES"")"),"La persona monta los rápidos del río.")</f>
        <v>La persona monta los rápidos del río.</v>
      </c>
    </row>
    <row r="16465">
      <c r="A16465" s="4" t="s">
        <v>20735</v>
      </c>
      <c r="B16465" s="4" t="s">
        <v>20740</v>
      </c>
      <c r="C16465" s="5" t="str">
        <f>IFERROR(__xludf.DUMMYFUNCTION("GOOGLETRANSLATE(B16465,""en"",""es-ES"")"),"Vemos gente en una roca en la orilla del río mirando el canoer.")</f>
        <v>Vemos gente en una roca en la orilla del río mirando el canoer.</v>
      </c>
    </row>
    <row r="16466">
      <c r="A16466" s="4" t="s">
        <v>20735</v>
      </c>
      <c r="B16466" s="4" t="s">
        <v>20741</v>
      </c>
      <c r="C16466" s="5" t="str">
        <f>IFERROR(__xludf.DUMMYFUNCTION("GOOGLETRANSLATE(B16466,""en"",""es-ES"")"),"La persona en la canoa sonríe y habla con la cámara.")</f>
        <v>La persona en la canoa sonríe y habla con la cámara.</v>
      </c>
    </row>
    <row r="16467">
      <c r="A16467" s="4" t="s">
        <v>20742</v>
      </c>
      <c r="B16467" s="4" t="s">
        <v>20743</v>
      </c>
      <c r="C16467" s="5" t="str">
        <f>IFERROR(__xludf.DUMMYFUNCTION("GOOGLETRANSLATE(B16467,""en"",""es-ES"")"),"Se muestra un primer plano de neumáticos, seguido de un hombre que trabaja en un neumático, además de ser entrevistado en la cámara.")</f>
        <v>Se muestra un primer plano de neumáticos, seguido de un hombre que trabaja en un neumático, además de ser entrevistado en la cámara.</v>
      </c>
    </row>
    <row r="16468">
      <c r="A16468" s="4" t="s">
        <v>20742</v>
      </c>
      <c r="B16468" s="4" t="s">
        <v>20744</v>
      </c>
      <c r="C16468" s="5" t="str">
        <f>IFERROR(__xludf.DUMMYFUNCTION("GOOGLETRANSLATE(B16468,""en"",""es-ES"")"),"La cámara captura la herramienta en los neumáticos desde varios ángulos, así como para levantar el automóvil para trabajar debajo.")</f>
        <v>La cámara captura la herramienta en los neumáticos desde varios ángulos, así como para levantar el automóvil para trabajar debajo.</v>
      </c>
    </row>
    <row r="16469">
      <c r="A16469" s="4" t="s">
        <v>20742</v>
      </c>
      <c r="B16469" s="4" t="s">
        <v>20745</v>
      </c>
      <c r="C16469" s="5" t="str">
        <f>IFERROR(__xludf.DUMMYFUNCTION("GOOGLETRANSLATE(B16469,""en"",""es-ES"")"),"Más tomas de los hombres que trabajan como se muestran como uno habla con la cámara y termina desvaneciéndose a blanco.")</f>
        <v>Más tomas de los hombres que trabajan como se muestran como uno habla con la cámara y termina desvaneciéndose a blanco.</v>
      </c>
    </row>
    <row r="16470">
      <c r="A16470" s="4" t="s">
        <v>20746</v>
      </c>
      <c r="B16470" s="4" t="s">
        <v>20747</v>
      </c>
      <c r="C16470" s="5" t="str">
        <f>IFERROR(__xludf.DUMMYFUNCTION("GOOGLETRANSLATE(B16470,""en"",""es-ES"")"),"Un hombre y una mujer con chaquetas rojas, el hombre estaba vitoreando, mientras la mujer está tomando video usando su iPad, tiene muy seria en su rostro, la mujer le entregó el iPad al hombre.")</f>
        <v>Un hombre y una mujer con chaquetas rojas, el hombre estaba vitoreando, mientras la mujer está tomando video usando su iPad, tiene muy seria en su rostro, la mujer le entregó el iPad al hombre.</v>
      </c>
    </row>
    <row r="16471">
      <c r="A16471" s="4" t="s">
        <v>20746</v>
      </c>
      <c r="B16471" s="4" t="s">
        <v>20748</v>
      </c>
      <c r="C16471" s="5" t="str">
        <f>IFERROR(__xludf.DUMMYFUNCTION("GOOGLETRANSLATE(B16471,""en"",""es-ES"")"),"Una mujer está levantando un poste, colocándolo dentro del poste más grande, un hombre con chaqueta azul miró hacia arriba desde el suelo.")</f>
        <v>Una mujer está levantando un poste, colocándolo dentro del poste más grande, un hombre con chaqueta azul miró hacia arriba desde el suelo.</v>
      </c>
    </row>
    <row r="16472">
      <c r="A16472" s="4" t="s">
        <v>20746</v>
      </c>
      <c r="B16472" s="4" t="s">
        <v>20749</v>
      </c>
      <c r="C16472" s="5" t="str">
        <f>IFERROR(__xludf.DUMMYFUNCTION("GOOGLETRANSLATE(B16472,""en"",""es-ES"")"),"Un atleta masculino con tapa roja y azul, pantalones cortos azules corrió, saltó y saltó, cayó sobre la arena #18 y luego se levantó por la hierba y el campo hacia el grupo de personas.")</f>
        <v>Un atleta masculino con tapa roja y azul, pantalones cortos azules corrió, saltó y saltó, cayó sobre la arena #18 y luego se levantó por la hierba y el campo hacia el grupo de personas.</v>
      </c>
    </row>
    <row r="16473">
      <c r="A16473" s="4" t="s">
        <v>20746</v>
      </c>
      <c r="B16473" s="4" t="s">
        <v>20750</v>
      </c>
      <c r="C16473" s="5" t="str">
        <f>IFERROR(__xludf.DUMMYFUNCTION("GOOGLETRANSLATE(B16473,""en"",""es-ES"")"),"Un atleta masculino con top azul corrió hacia el carril, comenzó a saltar después de pasar la línea blanca y saltó a la arena, golpeó el suelo arenoso y luego se puso de pie, luego caminó hacia el jardín de atletismo.")</f>
        <v>Un atleta masculino con top azul corrió hacia el carril, comenzó a saltar después de pasar la línea blanca y saltó a la arena, golpeó el suelo arenoso y luego se puso de pie, luego caminó hacia el jardín de atletismo.</v>
      </c>
    </row>
    <row r="16474">
      <c r="A16474" s="4" t="s">
        <v>20746</v>
      </c>
      <c r="B16474" s="4" t="s">
        <v>20751</v>
      </c>
      <c r="C16474" s="5" t="str">
        <f>IFERROR(__xludf.DUMMYFUNCTION("GOOGLETRANSLATE(B16474,""en"",""es-ES"")"),"Un atleta masculino con uniforme rojo y azul comenzó a correr hacia el campo, saltó cuando pasó la línea blanca y luego saltó hacia la cama de tierra arenosa, golpeó el suelo, se cayó de lado y se levantó y caminó hacia el campo.")</f>
        <v>Un atleta masculino con uniforme rojo y azul comenzó a correr hacia el campo, saltó cuando pasó la línea blanca y luego saltó hacia la cama de tierra arenosa, golpeó el suelo, se cayó de lado y se levantó y caminó hacia el campo.</v>
      </c>
    </row>
    <row r="16475">
      <c r="A16475" s="4" t="s">
        <v>20746</v>
      </c>
      <c r="B16475" s="4" t="s">
        <v>20752</v>
      </c>
      <c r="C16475" s="5" t="str">
        <f>IFERROR(__xludf.DUMMYFUNCTION("GOOGLETRANSLATE(B16475,""en"",""es-ES"")"),"Se muestra una mujer en la parte superior roja.")</f>
        <v>Se muestra una mujer en la parte superior roja.</v>
      </c>
    </row>
    <row r="16476">
      <c r="A16476" s="4" t="s">
        <v>20753</v>
      </c>
      <c r="B16476" s="4" t="s">
        <v>20754</v>
      </c>
      <c r="C16476" s="5" t="str">
        <f>IFERROR(__xludf.DUMMYFUNCTION("GOOGLETRANSLATE(B16476,""en"",""es-ES"")"),"Una mujer está sentada en una cama de hospital con un mango de afeitar en la boca y las personas a su alrededor se mueven el pelo de la cara.")</f>
        <v>Una mujer está sentada en una cama de hospital con un mango de afeitar en la boca y las personas a su alrededor se mueven el pelo de la cara.</v>
      </c>
    </row>
    <row r="16477">
      <c r="A16477" s="4" t="s">
        <v>20753</v>
      </c>
      <c r="B16477" s="4" t="s">
        <v>20755</v>
      </c>
      <c r="C16477" s="5" t="str">
        <f>IFERROR(__xludf.DUMMYFUNCTION("GOOGLETRANSLATE(B16477,""en"",""es-ES"")"),"La mujer luego comienza a tirar de la navaja de afeitar por la parte de su pierna izquierda que puede alcanzar con su curva.")</f>
        <v>La mujer luego comienza a tirar de la navaja de afeitar por la parte de su pierna izquierda que puede alcanzar con su curva.</v>
      </c>
    </row>
    <row r="16478">
      <c r="A16478" s="4" t="s">
        <v>20753</v>
      </c>
      <c r="B16478" s="4" t="s">
        <v>20756</v>
      </c>
      <c r="C16478" s="5" t="str">
        <f>IFERROR(__xludf.DUMMYFUNCTION("GOOGLETRANSLATE(B16478,""en"",""es-ES"")"),"La mujer luego agarra la navaja de su boca con la mano derecha y comienza a afeitarse la pierna izquierda.")</f>
        <v>La mujer luego agarra la navaja de su boca con la mano derecha y comienza a afeitarse la pierna izquierda.</v>
      </c>
    </row>
    <row r="16479">
      <c r="A16479" s="4" t="s">
        <v>20753</v>
      </c>
      <c r="B16479" s="4" t="s">
        <v>20757</v>
      </c>
      <c r="C16479" s="5" t="str">
        <f>IFERROR(__xludf.DUMMYFUNCTION("GOOGLETRANSLATE(B16479,""en"",""es-ES"")"),"La mujer pone el mango de afeitar en su boca e intenta afeitarse nuevamente, pero se cae de su boca y deja caer la cabeza con frustración y luego se inclina hacia atrás en la cama, se ríe y luego cruza los brazos.")</f>
        <v>La mujer pone el mango de afeitar en su boca e intenta afeitarse nuevamente, pero se cae de su boca y deja caer la cabeza con frustración y luego se inclina hacia atrás en la cama, se ríe y luego cruza los brazos.</v>
      </c>
    </row>
    <row r="16480">
      <c r="A16480" s="4" t="s">
        <v>20758</v>
      </c>
      <c r="B16480" s="4" t="s">
        <v>20759</v>
      </c>
      <c r="C16480" s="5" t="str">
        <f>IFERROR(__xludf.DUMMYFUNCTION("GOOGLETRANSLATE(B16480,""en"",""es-ES"")"),"Un hombre con un sombrero negro está de pie en la calle.")</f>
        <v>Un hombre con un sombrero negro está de pie en la calle.</v>
      </c>
    </row>
    <row r="16481">
      <c r="A16481" s="4" t="s">
        <v>20758</v>
      </c>
      <c r="B16481" s="4" t="s">
        <v>20760</v>
      </c>
      <c r="C16481" s="5" t="str">
        <f>IFERROR(__xludf.DUMMYFUNCTION("GOOGLETRANSLATE(B16481,""en"",""es-ES"")"),"Una persona comienza a bailar en la calle.")</f>
        <v>Una persona comienza a bailar en la calle.</v>
      </c>
    </row>
    <row r="16482">
      <c r="A16482" s="4" t="s">
        <v>20758</v>
      </c>
      <c r="B16482" s="4" t="s">
        <v>20761</v>
      </c>
      <c r="C16482" s="5" t="str">
        <f>IFERROR(__xludf.DUMMYFUNCTION("GOOGLETRANSLATE(B16482,""en"",""es-ES"")"),"Un hombre comienza a romper bailando frente a un auto.")</f>
        <v>Un hombre comienza a romper bailando frente a un auto.</v>
      </c>
    </row>
    <row r="16483">
      <c r="A16483" s="4" t="s">
        <v>20762</v>
      </c>
      <c r="B16483" s="4" t="s">
        <v>20763</v>
      </c>
      <c r="C16483" s="5" t="str">
        <f>IFERROR(__xludf.DUMMYFUNCTION("GOOGLETRANSLATE(B16483,""en"",""es-ES"")"),"Un hombre que usa anteojos está sosteniendo un libro y hablando.")</f>
        <v>Un hombre que usa anteojos está sosteniendo un libro y hablando.</v>
      </c>
    </row>
    <row r="16484">
      <c r="A16484" s="4" t="s">
        <v>20762</v>
      </c>
      <c r="B16484" s="4" t="s">
        <v>20764</v>
      </c>
      <c r="C16484" s="5" t="str">
        <f>IFERROR(__xludf.DUMMYFUNCTION("GOOGLETRANSLATE(B16484,""en"",""es-ES"")"),"Se le muestra entrando en una bolera.")</f>
        <v>Se le muestra entrando en una bolera.</v>
      </c>
    </row>
    <row r="16485">
      <c r="A16485" s="4" t="s">
        <v>20762</v>
      </c>
      <c r="B16485" s="4" t="s">
        <v>20765</v>
      </c>
      <c r="C16485" s="5" t="str">
        <f>IFERROR(__xludf.DUMMYFUNCTION("GOOGLETRANSLATE(B16485,""en"",""es-ES"")"),"El hombre entrevista a los jugadores y se une a ellos en un juego de bolos.")</f>
        <v>El hombre entrevista a los jugadores y se une a ellos en un juego de bolos.</v>
      </c>
    </row>
    <row r="16486">
      <c r="A16486" s="4" t="s">
        <v>20762</v>
      </c>
      <c r="B16486" s="4" t="s">
        <v>20766</v>
      </c>
      <c r="C16486" s="5" t="str">
        <f>IFERROR(__xludf.DUMMYFUNCTION("GOOGLETRANSLATE(B16486,""en"",""es-ES"")"),"Un jugador explica las técnicas que usa.")</f>
        <v>Un jugador explica las técnicas que usa.</v>
      </c>
    </row>
    <row r="16487">
      <c r="A16487" s="4" t="s">
        <v>20767</v>
      </c>
      <c r="B16487" s="4" t="s">
        <v>20768</v>
      </c>
      <c r="C16487" s="5" t="str">
        <f>IFERROR(__xludf.DUMMYFUNCTION("GOOGLETRANSLATE(B16487,""en"",""es-ES"")"),"Una persona está remando por un río en una canoa.")</f>
        <v>Una persona está remando por un río en una canoa.</v>
      </c>
    </row>
    <row r="16488">
      <c r="A16488" s="4" t="s">
        <v>20767</v>
      </c>
      <c r="B16488" s="4" t="s">
        <v>20769</v>
      </c>
      <c r="C16488" s="5" t="str">
        <f>IFERROR(__xludf.DUMMYFUNCTION("GOOGLETRANSLATE(B16488,""en"",""es-ES"")"),"La persona se da vuelta y mira hacia atrás.")</f>
        <v>La persona se da vuelta y mira hacia atrás.</v>
      </c>
    </row>
    <row r="16489">
      <c r="A16489" s="4" t="s">
        <v>20770</v>
      </c>
      <c r="B16489" s="4" t="s">
        <v>20771</v>
      </c>
      <c r="C16489" s="5" t="str">
        <f>IFERROR(__xludf.DUMMYFUNCTION("GOOGLETRANSLATE(B16489,""en"",""es-ES"")"),"Se ve a un hombre hablando con la cámara mientras sostiene un instrumento.")</f>
        <v>Se ve a un hombre hablando con la cámara mientras sostiene un instrumento.</v>
      </c>
    </row>
    <row r="16490">
      <c r="A16490" s="4" t="s">
        <v>20770</v>
      </c>
      <c r="B16490" s="4" t="s">
        <v>20772</v>
      </c>
      <c r="C16490" s="5" t="str">
        <f>IFERROR(__xludf.DUMMYFUNCTION("GOOGLETRANSLATE(B16490,""en"",""es-ES"")"),"El hombre luego comienza a tocar el instrumento frente a la cámara.")</f>
        <v>El hombre luego comienza a tocar el instrumento frente a la cámara.</v>
      </c>
    </row>
    <row r="16491">
      <c r="A16491" s="4" t="s">
        <v>20770</v>
      </c>
      <c r="B16491" s="4" t="s">
        <v>20773</v>
      </c>
      <c r="C16491" s="5" t="str">
        <f>IFERROR(__xludf.DUMMYFUNCTION("GOOGLETRANSLATE(B16491,""en"",""es-ES"")"),"El hombre continúa tocando el instrumento y se detiene para mirar la cámara.")</f>
        <v>El hombre continúa tocando el instrumento y se detiene para mirar la cámara.</v>
      </c>
    </row>
    <row r="16492">
      <c r="A16492" s="4" t="s">
        <v>20774</v>
      </c>
      <c r="B16492" s="4" t="s">
        <v>20775</v>
      </c>
      <c r="C16492" s="5" t="str">
        <f>IFERROR(__xludf.DUMMYFUNCTION("GOOGLETRANSLATE(B16492,""en"",""es-ES"")"),"Un perro está cerca de la cámara, juega peleando con otro perro.")</f>
        <v>Un perro está cerca de la cámara, juega peleando con otro perro.</v>
      </c>
    </row>
    <row r="16493">
      <c r="A16493" s="4" t="s">
        <v>20774</v>
      </c>
      <c r="B16493" s="4" t="s">
        <v>20776</v>
      </c>
      <c r="C16493" s="5" t="str">
        <f>IFERROR(__xludf.DUMMYFUNCTION("GOOGLETRANSLATE(B16493,""en"",""es-ES"")"),"Saltan del regazo de un hombre, luego vuelven a seguir mientras continúan jugando.")</f>
        <v>Saltan del regazo de un hombre, luego vuelven a seguir mientras continúan jugando.</v>
      </c>
    </row>
    <row r="16494">
      <c r="A16494" s="4" t="s">
        <v>20774</v>
      </c>
      <c r="B16494" s="4" t="s">
        <v>20777</v>
      </c>
      <c r="C16494" s="5" t="str">
        <f>IFERROR(__xludf.DUMMYFUNCTION("GOOGLETRANSLATE(B16494,""en"",""es-ES"")"),"El hombre vuelve a poner sus gafas mientras los perros se calman y se acuestan en su regazo.")</f>
        <v>El hombre vuelve a poner sus gafas mientras los perros se calman y se acuestan en su regazo.</v>
      </c>
    </row>
    <row r="16495">
      <c r="A16495" s="4" t="s">
        <v>20778</v>
      </c>
      <c r="B16495" s="4" t="s">
        <v>20779</v>
      </c>
      <c r="C16495" s="5" t="str">
        <f>IFERROR(__xludf.DUMMYFUNCTION("GOOGLETRANSLATE(B16495,""en"",""es-ES"")"),"Dentro de un hombre y una mujer están jugando un juego de Raquet Ball.")</f>
        <v>Dentro de un hombre y una mujer están jugando un juego de Raquet Ball.</v>
      </c>
    </row>
    <row r="16496">
      <c r="A16496" s="4" t="s">
        <v>20778</v>
      </c>
      <c r="B16496" s="4" t="s">
        <v>20780</v>
      </c>
      <c r="C16496" s="5" t="str">
        <f>IFERROR(__xludf.DUMMYFUNCTION("GOOGLETRANSLATE(B16496,""en"",""es-ES"")"),"Ella comienza a hablar de eso por un poco muy causalmente.")</f>
        <v>Ella comienza a hablar de eso por un poco muy causalmente.</v>
      </c>
    </row>
    <row r="16497">
      <c r="A16497" s="4" t="s">
        <v>20778</v>
      </c>
      <c r="B16497" s="4" t="s">
        <v>20781</v>
      </c>
      <c r="C16497" s="5" t="str">
        <f>IFERROR(__xludf.DUMMYFUNCTION("GOOGLETRANSLATE(B16497,""en"",""es-ES"")"),"Luego, ella va a practicar golpearlo sola por un momento.")</f>
        <v>Luego, ella va a practicar golpearlo sola por un momento.</v>
      </c>
    </row>
    <row r="16498">
      <c r="A16498" s="4" t="s">
        <v>20778</v>
      </c>
      <c r="B16498" s="4" t="s">
        <v>20782</v>
      </c>
      <c r="C16498" s="5" t="str">
        <f>IFERROR(__xludf.DUMMYFUNCTION("GOOGLETRANSLATE(B16498,""en"",""es-ES"")"),"Este es un juego que realmente disfruta jugar, es un pasatiempo.")</f>
        <v>Este es un juego que realmente disfruta jugar, es un pasatiempo.</v>
      </c>
    </row>
    <row r="16499">
      <c r="A16499" s="4" t="s">
        <v>20783</v>
      </c>
      <c r="B16499" s="4" t="s">
        <v>20784</v>
      </c>
      <c r="C16499" s="5" t="str">
        <f>IFERROR(__xludf.DUMMYFUNCTION("GOOGLETRANSLATE(B16499,""en"",""es-ES"")"),"Un video muestra cómo hacer tostadas para curry.")</f>
        <v>Un video muestra cómo hacer tostadas para curry.</v>
      </c>
    </row>
    <row r="16500">
      <c r="A16500" s="4" t="s">
        <v>20783</v>
      </c>
      <c r="B16500" s="4" t="s">
        <v>20785</v>
      </c>
      <c r="C16500" s="5" t="str">
        <f>IFERROR(__xludf.DUMMYFUNCTION("GOOGLETRANSLATE(B16500,""en"",""es-ES"")"),"El curry está en una sartén y el pan y la mantequilla están en una bandeja.")</f>
        <v>El curry está en una sartén y el pan y la mantequilla están en una bandeja.</v>
      </c>
    </row>
    <row r="16501">
      <c r="A16501" s="4" t="s">
        <v>20783</v>
      </c>
      <c r="B16501" s="4" t="s">
        <v>20786</v>
      </c>
      <c r="C16501" s="5" t="str">
        <f>IFERROR(__xludf.DUMMYFUNCTION("GOOGLETRANSLATE(B16501,""en"",""es-ES"")"),"El hombre aplica la mantequilla, luego el curry al pan antes de tostarlo.")</f>
        <v>El hombre aplica la mantequilla, luego el curry al pan antes de tostarlo.</v>
      </c>
    </row>
    <row r="16502">
      <c r="A16502" s="4" t="s">
        <v>20783</v>
      </c>
      <c r="B16502" s="4" t="s">
        <v>20787</v>
      </c>
      <c r="C16502" s="5" t="str">
        <f>IFERROR(__xludf.DUMMYFUNCTION("GOOGLETRANSLATE(B16502,""en"",""es-ES"")"),"Una caricatura de dibujos animados de una persona de palo baila al final.")</f>
        <v>Una caricatura de dibujos animados de una persona de palo baila al final.</v>
      </c>
    </row>
    <row r="16503">
      <c r="A16503" s="4" t="s">
        <v>20788</v>
      </c>
      <c r="B16503" s="4" t="s">
        <v>20789</v>
      </c>
      <c r="C16503" s="5" t="str">
        <f>IFERROR(__xludf.DUMMYFUNCTION("GOOGLETRANSLATE(B16503,""en"",""es-ES"")"),"En los Juegos Olímpicos de 2008, un hombre se prepara para levantar una barra cargada.")</f>
        <v>En los Juegos Olímpicos de 2008, un hombre se prepara para levantar una barra cargada.</v>
      </c>
    </row>
    <row r="16504">
      <c r="A16504" s="4" t="s">
        <v>20788</v>
      </c>
      <c r="B16504" s="4" t="s">
        <v>20790</v>
      </c>
      <c r="C16504" s="5" t="str">
        <f>IFERROR(__xludf.DUMMYFUNCTION("GOOGLETRANSLATE(B16504,""en"",""es-ES"")"),"Se dobla y se abre camino con gran esfuerzo, finalmente levantando la barra sobre su cabeza.")</f>
        <v>Se dobla y se abre camino con gran esfuerzo, finalmente levantando la barra sobre su cabeza.</v>
      </c>
    </row>
    <row r="16505">
      <c r="A16505" s="4" t="s">
        <v>20788</v>
      </c>
      <c r="B16505" s="4" t="s">
        <v>20791</v>
      </c>
      <c r="C16505" s="5" t="str">
        <f>IFERROR(__xludf.DUMMYFUNCTION("GOOGLETRANSLATE(B16505,""en"",""es-ES"")"),"Él deja caer los pesos y se estrellan contra el suelo.")</f>
        <v>Él deja caer los pesos y se estrellan contra el suelo.</v>
      </c>
    </row>
    <row r="16506">
      <c r="A16506" s="4" t="s">
        <v>20788</v>
      </c>
      <c r="B16506" s="4" t="s">
        <v>20792</v>
      </c>
      <c r="C16506" s="5" t="str">
        <f>IFERROR(__xludf.DUMMYFUNCTION("GOOGLETRANSLATE(B16506,""en"",""es-ES"")"),"Celebra y vemos que el olímpico ha establecido un récord.")</f>
        <v>Celebra y vemos que el olímpico ha establecido un récord.</v>
      </c>
    </row>
    <row r="16507">
      <c r="A16507" s="4" t="s">
        <v>20793</v>
      </c>
      <c r="B16507" s="4" t="s">
        <v>20794</v>
      </c>
      <c r="C16507" s="5" t="str">
        <f>IFERROR(__xludf.DUMMYFUNCTION("GOOGLETRANSLATE(B16507,""en"",""es-ES"")"),"Se ve a un hombre lanzando una bicicleta y comienza a verificar los neumáticos con otro hombre.")</f>
        <v>Se ve a un hombre lanzando una bicicleta y comienza a verificar los neumáticos con otro hombre.</v>
      </c>
    </row>
    <row r="16508">
      <c r="A16508" s="4" t="s">
        <v>20793</v>
      </c>
      <c r="B16508" s="4" t="s">
        <v>20795</v>
      </c>
      <c r="C16508" s="5" t="str">
        <f>IFERROR(__xludf.DUMMYFUNCTION("GOOGLETRANSLATE(B16508,""en"",""es-ES"")"),"Un hombre corta un cable y verifica más neumáticos y otro hombre gira los neumáticos una vez más.")</f>
        <v>Un hombre corta un cable y verifica más neumáticos y otro hombre gira los neumáticos una vez más.</v>
      </c>
    </row>
    <row r="16509">
      <c r="A16509" s="4" t="s">
        <v>20796</v>
      </c>
      <c r="B16509" s="4" t="s">
        <v>20797</v>
      </c>
      <c r="C16509" s="5" t="str">
        <f>IFERROR(__xludf.DUMMYFUNCTION("GOOGLETRANSLATE(B16509,""en"",""es-ES"")"),"Se ve a un hombre calvo hablando con la cámara con la cabeza sentada detrás de él con la cabeza llena de cabello.")</f>
        <v>Se ve a un hombre calvo hablando con la cámara con la cabeza sentada detrás de él con la cabeza llena de cabello.</v>
      </c>
    </row>
    <row r="16510">
      <c r="A16510" s="4" t="s">
        <v>20796</v>
      </c>
      <c r="B16510" s="4" t="s">
        <v>20798</v>
      </c>
      <c r="C16510" s="5" t="str">
        <f>IFERROR(__xludf.DUMMYFUNCTION("GOOGLETRANSLATE(B16510,""en"",""es-ES"")"),"Luego corta el cabello en el ficticio de cierta manera y la cámara se acerca al resultado final en el final.")</f>
        <v>Luego corta el cabello en el ficticio de cierta manera y la cámara se acerca al resultado final en el final.</v>
      </c>
    </row>
    <row r="16511">
      <c r="A16511" s="4" t="s">
        <v>20799</v>
      </c>
      <c r="B16511" s="4" t="s">
        <v>20800</v>
      </c>
      <c r="C16511" s="5" t="str">
        <f>IFERROR(__xludf.DUMMYFUNCTION("GOOGLETRANSLATE(B16511,""en"",""es-ES"")"),"Dos equipos están juntos en la línea de scrimmage esperando para jugar.")</f>
        <v>Dos equipos están juntos en la línea de scrimmage esperando para jugar.</v>
      </c>
    </row>
    <row r="16512">
      <c r="A16512" s="4" t="s">
        <v>20799</v>
      </c>
      <c r="B16512" s="4" t="s">
        <v>20801</v>
      </c>
      <c r="C16512" s="5" t="str">
        <f>IFERROR(__xludf.DUMMYFUNCTION("GOOGLETRANSLATE(B16512,""en"",""es-ES"")"),"El juego comienza y los dos equipos luchan por cada uno ferozmente en un juego de lacrosse.")</f>
        <v>El juego comienza y los dos equipos luchan por cada uno ferozmente en un juego de lacrosse.</v>
      </c>
    </row>
    <row r="16513">
      <c r="A16513" s="4" t="s">
        <v>20799</v>
      </c>
      <c r="B16513" s="4" t="s">
        <v>20802</v>
      </c>
      <c r="C16513" s="5" t="str">
        <f>IFERROR(__xludf.DUMMYFUNCTION("GOOGLETRANSLATE(B16513,""en"",""es-ES"")"),"Una persona es golpeada tan mal que está fuera y sigue acostada en el campo mientras el resto de los jugadores despiertan por el campo.")</f>
        <v>Una persona es golpeada tan mal que está fuera y sigue acostada en el campo mientras el resto de los jugadores despiertan por el campo.</v>
      </c>
    </row>
    <row r="16514">
      <c r="A16514" s="4" t="s">
        <v>20803</v>
      </c>
      <c r="B16514" s="4" t="s">
        <v>20804</v>
      </c>
      <c r="C16514" s="5" t="str">
        <f>IFERROR(__xludf.DUMMYFUNCTION("GOOGLETRANSLATE(B16514,""en"",""es-ES"")"),"Se muestra a un bebé flotando boca abajo en una piscina.")</f>
        <v>Se muestra a un bebé flotando boca abajo en una piscina.</v>
      </c>
    </row>
    <row r="16515">
      <c r="A16515" s="4" t="s">
        <v>20803</v>
      </c>
      <c r="B16515" s="4" t="s">
        <v>20805</v>
      </c>
      <c r="C16515" s="5" t="str">
        <f>IFERROR(__xludf.DUMMYFUNCTION("GOOGLETRANSLATE(B16515,""en"",""es-ES"")"),"Los entrenadores le están enseñando al niño cómo mantenerse a flote.")</f>
        <v>Los entrenadores le están enseñando al niño cómo mantenerse a flote.</v>
      </c>
    </row>
    <row r="16516">
      <c r="A16516" s="4" t="s">
        <v>20803</v>
      </c>
      <c r="B16516" s="4" t="s">
        <v>20806</v>
      </c>
      <c r="C16516" s="5" t="str">
        <f>IFERROR(__xludf.DUMMYFUNCTION("GOOGLETRANSLATE(B16516,""en"",""es-ES"")"),"Está aprendiendo a nadar, manteniéndose por encima del agua.")</f>
        <v>Está aprendiendo a nadar, manteniéndose por encima del agua.</v>
      </c>
    </row>
    <row r="16517">
      <c r="A16517" s="4" t="s">
        <v>20807</v>
      </c>
      <c r="B16517" s="4" t="s">
        <v>20808</v>
      </c>
      <c r="C16517" s="5" t="str">
        <f>IFERROR(__xludf.DUMMYFUNCTION("GOOGLETRANSLATE(B16517,""en"",""es-ES"")"),"Se muestra una cometa de viento en el aire.")</f>
        <v>Se muestra una cometa de viento en el aire.</v>
      </c>
    </row>
    <row r="16518">
      <c r="A16518" s="4" t="s">
        <v>20807</v>
      </c>
      <c r="B16518" s="4" t="s">
        <v>20809</v>
      </c>
      <c r="C16518" s="5" t="str">
        <f>IFERROR(__xludf.DUMMYFUNCTION("GOOGLETRANSLATE(B16518,""en"",""es-ES"")"),"Un hombre con una camisa negra controla la cometa del viento y cae en el suelo.")</f>
        <v>Un hombre con una camisa negra controla la cometa del viento y cae en el suelo.</v>
      </c>
    </row>
    <row r="16519">
      <c r="A16519" s="4" t="s">
        <v>20807</v>
      </c>
      <c r="B16519" s="4" t="s">
        <v>20810</v>
      </c>
      <c r="C16519" s="5" t="str">
        <f>IFERROR(__xludf.DUMMYFUNCTION("GOOGLETRANSLATE(B16519,""en"",""es-ES"")"),"Los perros corren sobre la hierba.")</f>
        <v>Los perros corren sobre la hierba.</v>
      </c>
    </row>
    <row r="16520">
      <c r="A16520" s="4" t="s">
        <v>20811</v>
      </c>
      <c r="B16520" s="4" t="s">
        <v>20812</v>
      </c>
      <c r="C16520" s="5" t="str">
        <f>IFERROR(__xludf.DUMMYFUNCTION("GOOGLETRANSLATE(B16520,""en"",""es-ES"")"),"Un gráfico de introducción entra en la pantalla que presenta un campeonato de voleibol.")</f>
        <v>Un gráfico de introducción entra en la pantalla que presenta un campeonato de voleibol.</v>
      </c>
    </row>
    <row r="16521">
      <c r="A16521" s="4" t="s">
        <v>20811</v>
      </c>
      <c r="B16521" s="4" t="s">
        <v>20813</v>
      </c>
      <c r="C16521" s="5" t="str">
        <f>IFERROR(__xludf.DUMMYFUNCTION("GOOGLETRANSLATE(B16521,""en"",""es-ES"")"),"Un hombre entra en la pantalla anunciando la competencia antes de que comience.")</f>
        <v>Un hombre entra en la pantalla anunciando la competencia antes de que comience.</v>
      </c>
    </row>
    <row r="16522">
      <c r="A16522" s="4" t="s">
        <v>20811</v>
      </c>
      <c r="B16522" s="4" t="s">
        <v>20814</v>
      </c>
      <c r="C16522" s="5" t="str">
        <f>IFERROR(__xludf.DUMMYFUNCTION("GOOGLETRANSLATE(B16522,""en"",""es-ES"")"),"Se muestran a diferentes chicas jugando a Beach Volley Ball mientras el narrador cuenta la historia de su camino hacia el campeonato.")</f>
        <v>Se muestran a diferentes chicas jugando a Beach Volley Ball mientras el narrador cuenta la historia de su camino hacia el campeonato.</v>
      </c>
    </row>
    <row r="16523">
      <c r="A16523" s="4" t="s">
        <v>20811</v>
      </c>
      <c r="B16523" s="4" t="s">
        <v>20815</v>
      </c>
      <c r="C16523" s="5" t="str">
        <f>IFERROR(__xludf.DUMMYFUNCTION("GOOGLETRANSLATE(B16523,""en"",""es-ES"")"),"Muchos de los miembros del equipo se muestran hablando en la cancha y la estrategia para la victoria.")</f>
        <v>Muchos de los miembros del equipo se muestran hablando en la cancha y la estrategia para la victoria.</v>
      </c>
    </row>
    <row r="16524">
      <c r="A16524" s="4" t="s">
        <v>20811</v>
      </c>
      <c r="B16524" s="4" t="s">
        <v>20816</v>
      </c>
      <c r="C16524" s="5" t="str">
        <f>IFERROR(__xludf.DUMMYFUNCTION("GOOGLETRANSLATE(B16524,""en"",""es-ES"")"),"El video pasa a una sala de conferencias donde hay una discusión sobre los jugadores de voleibol.")</f>
        <v>El video pasa a una sala de conferencias donde hay una discusión sobre los jugadores de voleibol.</v>
      </c>
    </row>
    <row r="16525">
      <c r="A16525" s="4" t="s">
        <v>20811</v>
      </c>
      <c r="B16525" s="4" t="s">
        <v>20817</v>
      </c>
      <c r="C16525" s="5" t="str">
        <f>IFERROR(__xludf.DUMMYFUNCTION("GOOGLETRANSLATE(B16525,""en"",""es-ES"")"),"El video termina con los gráficos para los créditos de pérdida de C.")</f>
        <v>El video termina con los gráficos para los créditos de pérdida de C.</v>
      </c>
    </row>
    <row r="16526">
      <c r="A16526" s="4" t="s">
        <v>20818</v>
      </c>
      <c r="B16526" s="4" t="s">
        <v>20819</v>
      </c>
      <c r="C16526" s="5" t="str">
        <f>IFERROR(__xludf.DUMMYFUNCTION("GOOGLETRANSLATE(B16526,""en"",""es-ES"")"),"Los hombres se encuentran en una habitación oscura hablando con la cámara.")</f>
        <v>Los hombres se encuentran en una habitación oscura hablando con la cámara.</v>
      </c>
    </row>
    <row r="16527">
      <c r="A16527" s="4" t="s">
        <v>20818</v>
      </c>
      <c r="B16527" s="4" t="s">
        <v>20820</v>
      </c>
      <c r="C16527" s="5" t="str">
        <f>IFERROR(__xludf.DUMMYFUNCTION("GOOGLETRANSLATE(B16527,""en"",""es-ES"")"),"Los luchadores de sumo están parados en el escenario listos para luchar y las personas se reúnen a su alrededor y se sientan en las terrazas.")</f>
        <v>Los luchadores de sumo están parados en el escenario listos para luchar y las personas se reúnen a su alrededor y se sientan en las terrazas.</v>
      </c>
    </row>
    <row r="16528">
      <c r="A16528" s="4" t="s">
        <v>20818</v>
      </c>
      <c r="B16528" s="4" t="s">
        <v>20821</v>
      </c>
      <c r="C16528" s="5" t="str">
        <f>IFERROR(__xludf.DUMMYFUNCTION("GOOGLETRANSLATE(B16528,""en"",""es-ES"")"),"Los hombres están hablando en la sala oscura y explicando su punto de vista.")</f>
        <v>Los hombres están hablando en la sala oscura y explicando su punto de vista.</v>
      </c>
    </row>
    <row r="16529">
      <c r="A16529" s="4" t="s">
        <v>20822</v>
      </c>
      <c r="B16529" s="4" t="s">
        <v>20823</v>
      </c>
      <c r="C16529" s="5" t="str">
        <f>IFERROR(__xludf.DUMMYFUNCTION("GOOGLETRANSLATE(B16529,""en"",""es-ES"")"),"Un hombre comienza a correr hacia abajo con un palo, lo coloca y salta sobre un obstáculo realmente alto, aterriza y se gloja.")</f>
        <v>Un hombre comienza a correr hacia abajo con un palo, lo coloca y salta sobre un obstáculo realmente alto, aterriza y se gloja.</v>
      </c>
    </row>
    <row r="16530">
      <c r="A16530" s="4" t="s">
        <v>20822</v>
      </c>
      <c r="B16530" s="4" t="s">
        <v>20824</v>
      </c>
      <c r="C16530" s="5" t="str">
        <f>IFERROR(__xludf.DUMMYFUNCTION("GOOGLETRANSLATE(B16530,""en"",""es-ES"")"),"El siguiente hombre toma su turno y hace lo mismo con el palo para superar el obstáculo y saltar con emoción después del aterrizaje.")</f>
        <v>El siguiente hombre toma su turno y hace lo mismo con el palo para superar el obstáculo y saltar con emoción después del aterrizaje.</v>
      </c>
    </row>
    <row r="16531">
      <c r="A16531" s="4" t="s">
        <v>20822</v>
      </c>
      <c r="B16531" s="4" t="s">
        <v>20825</v>
      </c>
      <c r="C16531" s="5" t="str">
        <f>IFERROR(__xludf.DUMMYFUNCTION("GOOGLETRANSLATE(B16531,""en"",""es-ES"")"),"Luego, otro hombre toma su turno y cuando aterriza se quita el casco y grita y salta por alegría como los hombres anteriores.")</f>
        <v>Luego, otro hombre toma su turno y cuando aterriza se quita el casco y grita y salta por alegría como los hombres anteriores.</v>
      </c>
    </row>
    <row r="16532">
      <c r="A16532" s="4" t="s">
        <v>20822</v>
      </c>
      <c r="B16532" s="4" t="s">
        <v>20826</v>
      </c>
      <c r="C16532" s="5" t="str">
        <f>IFERROR(__xludf.DUMMYFUNCTION("GOOGLETRANSLATE(B16532,""en"",""es-ES"")"),"El público también está muy emocionado, todos toman más turnos tratando de obtener el mejor puntaje.")</f>
        <v>El público también está muy emocionado, todos toman más turnos tratando de obtener el mejor puntaje.</v>
      </c>
    </row>
    <row r="16533">
      <c r="A16533" s="4" t="s">
        <v>20827</v>
      </c>
      <c r="B16533" s="4" t="s">
        <v>1487</v>
      </c>
      <c r="C16533" s="5" t="str">
        <f>IFERROR(__xludf.DUMMYFUNCTION("GOOGLETRANSLATE(B16533,""en"",""es-ES"")"),"Vemos una pantalla de título de apertura.")</f>
        <v>Vemos una pantalla de título de apertura.</v>
      </c>
    </row>
    <row r="16534">
      <c r="A16534" s="4" t="s">
        <v>20827</v>
      </c>
      <c r="B16534" s="4" t="s">
        <v>20828</v>
      </c>
      <c r="C16534" s="5" t="str">
        <f>IFERROR(__xludf.DUMMYFUNCTION("GOOGLETRANSLATE(B16534,""en"",""es-ES"")"),"Vemos niños en pose púrpura para una foto.")</f>
        <v>Vemos niños en pose púrpura para una foto.</v>
      </c>
    </row>
    <row r="16535">
      <c r="A16535" s="4" t="s">
        <v>20827</v>
      </c>
      <c r="B16535" s="4" t="s">
        <v>20829</v>
      </c>
      <c r="C16535" s="5" t="str">
        <f>IFERROR(__xludf.DUMMYFUNCTION("GOOGLETRANSLATE(B16535,""en"",""es-ES"")"),"Luego, los niños juegan tira y afloja cuando dos chicas están cerca de vítores.")</f>
        <v>Luego, los niños juegan tira y afloja cuando dos chicas están cerca de vítores.</v>
      </c>
    </row>
    <row r="16536">
      <c r="A16536" s="4" t="s">
        <v>20827</v>
      </c>
      <c r="B16536" s="4" t="s">
        <v>20830</v>
      </c>
      <c r="C16536" s="5" t="str">
        <f>IFERROR(__xludf.DUMMYFUNCTION("GOOGLETRANSLATE(B16536,""en"",""es-ES"")"),"Cambiamos a una niña y a un niño animando.")</f>
        <v>Cambiamos a una niña y a un niño animando.</v>
      </c>
    </row>
    <row r="16537">
      <c r="A16537" s="4" t="s">
        <v>20827</v>
      </c>
      <c r="B16537" s="4" t="s">
        <v>20831</v>
      </c>
      <c r="C16537" s="5" t="str">
        <f>IFERROR(__xludf.DUMMYFUNCTION("GOOGLETRANSLATE(B16537,""en"",""es-ES"")"),"Vemos a dos niños diferentes vitoreando.")</f>
        <v>Vemos a dos niños diferentes vitoreando.</v>
      </c>
    </row>
    <row r="16538">
      <c r="A16538" s="4" t="s">
        <v>20827</v>
      </c>
      <c r="B16538" s="4" t="s">
        <v>20832</v>
      </c>
      <c r="C16538" s="5" t="str">
        <f>IFERROR(__xludf.DUMMYFUNCTION("GOOGLETRANSLATE(B16538,""en"",""es-ES"")"),"Cambiamos a los niños que vienen nuevamente.")</f>
        <v>Cambiamos a los niños que vienen nuevamente.</v>
      </c>
    </row>
    <row r="16539">
      <c r="A16539" s="4" t="s">
        <v>20827</v>
      </c>
      <c r="B16539" s="4" t="s">
        <v>20833</v>
      </c>
      <c r="C16539" s="5" t="str">
        <f>IFERROR(__xludf.DUMMYFUNCTION("GOOGLETRANSLATE(B16539,""en"",""es-ES"")"),"Los niños ganan y un salto y alegría cuando una niña habla con una maestra.")</f>
        <v>Los niños ganan y un salto y alegría cuando una niña habla con una maestra.</v>
      </c>
    </row>
    <row r="16540">
      <c r="A16540" s="4" t="s">
        <v>20827</v>
      </c>
      <c r="B16540" s="4" t="s">
        <v>4513</v>
      </c>
      <c r="C16540" s="5" t="str">
        <f>IFERROR(__xludf.DUMMYFUNCTION("GOOGLETRANSLATE(B16540,""en"",""es-ES"")"),"Vemos los créditos finales.")</f>
        <v>Vemos los créditos finales.</v>
      </c>
    </row>
    <row r="16541">
      <c r="A16541" s="4" t="s">
        <v>20834</v>
      </c>
      <c r="B16541" s="4" t="s">
        <v>20835</v>
      </c>
      <c r="C16541" s="5" t="str">
        <f>IFERROR(__xludf.DUMMYFUNCTION("GOOGLETRANSLATE(B16541,""en"",""es-ES"")"),"Varios hombres sin camisa se reúnen en una habitación, uno fuma un cigarrillo mientras el resto lo animan.")</f>
        <v>Varios hombres sin camisa se reúnen en una habitación, uno fuma un cigarrillo mientras el resto lo animan.</v>
      </c>
    </row>
    <row r="16542">
      <c r="A16542" s="4" t="s">
        <v>20834</v>
      </c>
      <c r="B16542" s="4" t="s">
        <v>20836</v>
      </c>
      <c r="C16542" s="5" t="str">
        <f>IFERROR(__xludf.DUMMYFUNCTION("GOOGLETRANSLATE(B16542,""en"",""es-ES"")"),"Él chupa el cigarrillo hasta el brote.")</f>
        <v>Él chupa el cigarrillo hasta el brote.</v>
      </c>
    </row>
    <row r="16543">
      <c r="A16543" s="4" t="s">
        <v>20834</v>
      </c>
      <c r="B16543" s="4" t="s">
        <v>20837</v>
      </c>
      <c r="C16543" s="5" t="str">
        <f>IFERROR(__xludf.DUMMYFUNCTION("GOOGLETRANSLATE(B16543,""en"",""es-ES"")"),"Tose un poco y luego lo inhala en la nariz, señalando la cámara después.")</f>
        <v>Tose un poco y luego lo inhala en la nariz, señalando la cámara después.</v>
      </c>
    </row>
    <row r="16544">
      <c r="A16544" s="4" t="s">
        <v>20838</v>
      </c>
      <c r="B16544" s="4" t="s">
        <v>20839</v>
      </c>
      <c r="C16544" s="5" t="str">
        <f>IFERROR(__xludf.DUMMYFUNCTION("GOOGLETRANSLATE(B16544,""en"",""es-ES"")"),"Se ve discos sentados a lo largo del hielo, así como un hombre que habla con la cámara y la gente que camina.")</f>
        <v>Se ve discos sentados a lo largo del hielo, así como un hombre que habla con la cámara y la gente que camina.</v>
      </c>
    </row>
    <row r="16545">
      <c r="A16545" s="4" t="s">
        <v>20838</v>
      </c>
      <c r="B16545" s="4" t="s">
        <v>20840</v>
      </c>
      <c r="C16545" s="5" t="str">
        <f>IFERROR(__xludf.DUMMYFUNCTION("GOOGLETRANSLATE(B16545,""en"",""es-ES"")"),"Se muestran más clips de personas que se acurrucan en el hielo mientras hablan con la cámara.")</f>
        <v>Se muestran más clips de personas que se acurrucan en el hielo mientras hablan con la cámara.</v>
      </c>
    </row>
    <row r="16546">
      <c r="A16546" s="4" t="s">
        <v>20838</v>
      </c>
      <c r="B16546" s="4" t="s">
        <v>20841</v>
      </c>
      <c r="C16546" s="5" t="str">
        <f>IFERROR(__xludf.DUMMYFUNCTION("GOOGLETRANSLATE(B16546,""en"",""es-ES"")"),"La gente continúa empujando el disco a lo largo del hielo mientras mira hacia la cámara y habla con la cámara.")</f>
        <v>La gente continúa empujando el disco a lo largo del hielo mientras mira hacia la cámara y habla con la cámara.</v>
      </c>
    </row>
    <row r="16547">
      <c r="A16547" s="4" t="s">
        <v>20842</v>
      </c>
      <c r="B16547" s="4" t="s">
        <v>20843</v>
      </c>
      <c r="C16547" s="5" t="str">
        <f>IFERROR(__xludf.DUMMYFUNCTION("GOOGLETRANSLATE(B16547,""en"",""es-ES"")"),"Vemos un neumático bien en una mesa en una abrazadera.")</f>
        <v>Vemos un neumático bien en una mesa en una abrazadera.</v>
      </c>
    </row>
    <row r="16548">
      <c r="A16548" s="4" t="s">
        <v>20842</v>
      </c>
      <c r="B16548" s="4" t="s">
        <v>20844</v>
      </c>
      <c r="C16548" s="5" t="str">
        <f>IFERROR(__xludf.DUMMYFUNCTION("GOOGLETRANSLATE(B16548,""en"",""es-ES"")"),"Un hombre pone un vicio en el pozo.")</f>
        <v>Un hombre pone un vicio en el pozo.</v>
      </c>
    </row>
    <row r="16549">
      <c r="A16549" s="4" t="s">
        <v>20842</v>
      </c>
      <c r="B16549" s="4" t="s">
        <v>20845</v>
      </c>
      <c r="C16549" s="5" t="str">
        <f>IFERROR(__xludf.DUMMYFUNCTION("GOOGLETRANSLATE(B16549,""en"",""es-ES"")"),"El hombre empuja y gira un neumático sobre la rueda bien.")</f>
        <v>El hombre empuja y gira un neumático sobre la rueda bien.</v>
      </c>
    </row>
    <row r="16550">
      <c r="A16550" s="4" t="s">
        <v>20846</v>
      </c>
      <c r="B16550" s="4" t="s">
        <v>20847</v>
      </c>
      <c r="C16550" s="5" t="str">
        <f>IFERROR(__xludf.DUMMYFUNCTION("GOOGLETRANSLATE(B16550,""en"",""es-ES"")"),"Vemos a Waterski y al lado de un bote.")</f>
        <v>Vemos a Waterski y al lado de un bote.</v>
      </c>
    </row>
    <row r="16551">
      <c r="A16551" s="4" t="s">
        <v>20846</v>
      </c>
      <c r="B16551" s="4" t="s">
        <v>20848</v>
      </c>
      <c r="C16551" s="5" t="str">
        <f>IFERROR(__xludf.DUMMYFUNCTION("GOOGLETRANSLATE(B16551,""en"",""es-ES"")"),"Vemos a un niño parado en un muelle, la gente gasta su bote y luego aborda.")</f>
        <v>Vemos a un niño parado en un muelle, la gente gasta su bote y luego aborda.</v>
      </c>
    </row>
    <row r="16552">
      <c r="A16552" s="4" t="s">
        <v>20846</v>
      </c>
      <c r="B16552" s="4" t="s">
        <v>20849</v>
      </c>
      <c r="C16552" s="5" t="str">
        <f>IFERROR(__xludf.DUMMYFUNCTION("GOOGLETRANSLATE(B16552,""en"",""es-ES"")"),"Vemos a dos chicos jugando.")</f>
        <v>Vemos a dos chicos jugando.</v>
      </c>
    </row>
    <row r="16553">
      <c r="A16553" s="4" t="s">
        <v>20846</v>
      </c>
      <c r="B16553" s="4" t="s">
        <v>20850</v>
      </c>
      <c r="C16553" s="5" t="str">
        <f>IFERROR(__xludf.DUMMYFUNCTION("GOOGLETRANSLATE(B16553,""en"",""es-ES"")"),"Vemos a una persona esquiar en agua en un lago.")</f>
        <v>Vemos a una persona esquiar en agua en un lago.</v>
      </c>
    </row>
    <row r="16554">
      <c r="A16554" s="4" t="s">
        <v>20846</v>
      </c>
      <c r="B16554" s="4" t="s">
        <v>20851</v>
      </c>
      <c r="C16554" s="5" t="str">
        <f>IFERROR(__xludf.DUMMYFUNCTION("GOOGLETRANSLATE(B16554,""en"",""es-ES"")"),"Vemos los autos en el estacionamiento cerca del lago y un perro olfatea la cámara.")</f>
        <v>Vemos los autos en el estacionamiento cerca del lago y un perro olfatea la cámara.</v>
      </c>
    </row>
    <row r="16555">
      <c r="A16555" s="4" t="s">
        <v>20846</v>
      </c>
      <c r="B16555" s="4" t="s">
        <v>20852</v>
      </c>
      <c r="C16555" s="5" t="str">
        <f>IFERROR(__xludf.DUMMYFUNCTION("GOOGLETRANSLATE(B16555,""en"",""es-ES"")"),"Vemos una tienda y luego una persona remando en un kayak.")</f>
        <v>Vemos una tienda y luego una persona remando en un kayak.</v>
      </c>
    </row>
    <row r="16556">
      <c r="A16556" s="4" t="s">
        <v>20846</v>
      </c>
      <c r="B16556" s="4" t="s">
        <v>20853</v>
      </c>
      <c r="C16556" s="5" t="str">
        <f>IFERROR(__xludf.DUMMYFUNCTION("GOOGLETRANSLATE(B16556,""en"",""es-ES"")"),"Una persona salta al agua y vemos nuevamente al esquiador de agua.")</f>
        <v>Una persona salta al agua y vemos nuevamente al esquiador de agua.</v>
      </c>
    </row>
    <row r="16557">
      <c r="A16557" s="4" t="s">
        <v>20846</v>
      </c>
      <c r="B16557" s="4" t="s">
        <v>20854</v>
      </c>
      <c r="C16557" s="5" t="str">
        <f>IFERROR(__xludf.DUMMYFUNCTION("GOOGLETRANSLATE(B16557,""en"",""es-ES"")"),"Un niño en un trampolín en una tienda, gente en una balsa y un niño salta al agua.")</f>
        <v>Un niño en un trampolín en una tienda, gente en una balsa y un niño salta al agua.</v>
      </c>
    </row>
    <row r="16558">
      <c r="A16558" s="4" t="s">
        <v>20846</v>
      </c>
      <c r="B16558" s="4" t="s">
        <v>20855</v>
      </c>
      <c r="C16558" s="5" t="str">
        <f>IFERROR(__xludf.DUMMYFUNCTION("GOOGLETRANSLATE(B16558,""en"",""es-ES"")"),"Vemos a un niño en una bicicleta de juguete, el esquiador de agua cae.")</f>
        <v>Vemos a un niño en una bicicleta de juguete, el esquiador de agua cae.</v>
      </c>
    </row>
    <row r="16559">
      <c r="A16559" s="4" t="s">
        <v>20846</v>
      </c>
      <c r="B16559" s="4" t="s">
        <v>20856</v>
      </c>
      <c r="C16559" s="5" t="str">
        <f>IFERROR(__xludf.DUMMYFUNCTION("GOOGLETRANSLATE(B16559,""en"",""es-ES"")"),"Una persona en esquís salta una rampa.")</f>
        <v>Una persona en esquís salta una rampa.</v>
      </c>
    </row>
    <row r="16560">
      <c r="A16560" s="4" t="s">
        <v>20857</v>
      </c>
      <c r="B16560" s="4" t="s">
        <v>20858</v>
      </c>
      <c r="C16560" s="5" t="str">
        <f>IFERROR(__xludf.DUMMYFUNCTION("GOOGLETRANSLATE(B16560,""en"",""es-ES"")"),"Un grupo de artistas está parado en un escenario.")</f>
        <v>Un grupo de artistas está parado en un escenario.</v>
      </c>
    </row>
    <row r="16561">
      <c r="A16561" s="4" t="s">
        <v>20857</v>
      </c>
      <c r="B16561" s="4" t="s">
        <v>20859</v>
      </c>
      <c r="C16561" s="5" t="str">
        <f>IFERROR(__xludf.DUMMYFUNCTION("GOOGLETRANSLATE(B16561,""en"",""es-ES"")"),"Giran y comienzan a tocar la batería.")</f>
        <v>Giran y comienzan a tocar la batería.</v>
      </c>
    </row>
    <row r="16562">
      <c r="A16562" s="4" t="s">
        <v>20857</v>
      </c>
      <c r="B16562" s="4" t="s">
        <v>20860</v>
      </c>
      <c r="C16562" s="5" t="str">
        <f>IFERROR(__xludf.DUMMYFUNCTION("GOOGLETRANSLATE(B16562,""en"",""es-ES"")"),"Se pusieron gafas de sol mientras juegan para la audiencia.")</f>
        <v>Se pusieron gafas de sol mientras juegan para la audiencia.</v>
      </c>
    </row>
    <row r="16563">
      <c r="A16563" s="4" t="s">
        <v>20861</v>
      </c>
      <c r="B16563" s="4" t="s">
        <v>20862</v>
      </c>
      <c r="C16563" s="5" t="str">
        <f>IFERROR(__xludf.DUMMYFUNCTION("GOOGLETRANSLATE(B16563,""en"",""es-ES"")"),"Un hombre de noticias está parado frente a una pantalla hablando mientras muestra un juego de voleibol en la playa.")</f>
        <v>Un hombre de noticias está parado frente a una pantalla hablando mientras muestra un juego de voleibol en la playa.</v>
      </c>
    </row>
    <row r="16564">
      <c r="A16564" s="4" t="s">
        <v>20861</v>
      </c>
      <c r="B16564" s="4" t="s">
        <v>20863</v>
      </c>
      <c r="C16564" s="5" t="str">
        <f>IFERROR(__xludf.DUMMYFUNCTION("GOOGLETRANSLATE(B16564,""en"",""es-ES"")"),"Luego vemos a los jugadores, peleando y pateando la pelota, alternando al hablar con la cámara individualmente antes de volver a las escenas del juego.")</f>
        <v>Luego vemos a los jugadores, peleando y pateando la pelota, alternando al hablar con la cámara individualmente antes de volver a las escenas del juego.</v>
      </c>
    </row>
    <row r="16565">
      <c r="A16565" s="4" t="s">
        <v>20864</v>
      </c>
      <c r="B16565" s="4" t="s">
        <v>20865</v>
      </c>
      <c r="C16565" s="5" t="str">
        <f>IFERROR(__xludf.DUMMYFUNCTION("GOOGLETRANSLATE(B16565,""en"",""es-ES"")"),"Un niño tiene un palo largo y está empujando un disco a través de un triángulo blanco con números.")</f>
        <v>Un niño tiene un palo largo y está empujando un disco a través de un triángulo blanco con números.</v>
      </c>
    </row>
    <row r="16566">
      <c r="A16566" s="4" t="s">
        <v>20864</v>
      </c>
      <c r="B16566" s="4" t="s">
        <v>20866</v>
      </c>
      <c r="C16566" s="5" t="str">
        <f>IFERROR(__xludf.DUMMYFUNCTION("GOOGLETRANSLATE(B16566,""en"",""es-ES"")"),"El disco llega al tablero y el niño lo persigue.")</f>
        <v>El disco llega al tablero y el niño lo persigue.</v>
      </c>
    </row>
    <row r="16567">
      <c r="A16567" s="4" t="s">
        <v>20864</v>
      </c>
      <c r="B16567" s="4" t="s">
        <v>20867</v>
      </c>
      <c r="C16567" s="5" t="str">
        <f>IFERROR(__xludf.DUMMYFUNCTION("GOOGLETRANSLATE(B16567,""en"",""es-ES"")"),"Una vez que el disco está de vuelta en el tablero, despega corriendo por el tablero.")</f>
        <v>Una vez que el disco está de vuelta en el tablero, despega corriendo por el tablero.</v>
      </c>
    </row>
    <row r="16568">
      <c r="A16568" s="4" t="s">
        <v>20868</v>
      </c>
      <c r="B16568" s="4" t="s">
        <v>20869</v>
      </c>
      <c r="C16568" s="5" t="str">
        <f>IFERROR(__xludf.DUMMYFUNCTION("GOOGLETRANSLATE(B16568,""en"",""es-ES"")"),"Un hombre se muestra profundamente bajo el agua en una piscina haciendo un golpe de pecho.")</f>
        <v>Un hombre se muestra profundamente bajo el agua en una piscina haciendo un golpe de pecho.</v>
      </c>
    </row>
    <row r="16569">
      <c r="A16569" s="4" t="s">
        <v>20868</v>
      </c>
      <c r="B16569" s="4" t="s">
        <v>20870</v>
      </c>
      <c r="C16569" s="5" t="str">
        <f>IFERROR(__xludf.DUMMYFUNCTION("GOOGLETRANSLATE(B16569,""en"",""es-ES"")"),"Mientras está nadando, un hombre con un polo naranja está parado en el exterior describiendo su técnica.")</f>
        <v>Mientras está nadando, un hombre con un polo naranja está parado en el exterior describiendo su técnica.</v>
      </c>
    </row>
    <row r="16570">
      <c r="A16570" s="4" t="s">
        <v>20871</v>
      </c>
      <c r="B16570" s="4" t="s">
        <v>20872</v>
      </c>
      <c r="C16570" s="5" t="str">
        <f>IFERROR(__xludf.DUMMYFUNCTION("GOOGLETRANSLATE(B16570,""en"",""es-ES"")"),"Una serie de destellos de pantalla y muestra estadísticas sobre conducir borrachos y cuándo tomar descansos conduciendo.")</f>
        <v>Una serie de destellos de pantalla y muestra estadísticas sobre conducir borrachos y cuándo tomar descansos conduciendo.</v>
      </c>
    </row>
    <row r="16571">
      <c r="A16571" s="4" t="s">
        <v>20871</v>
      </c>
      <c r="B16571" s="4" t="s">
        <v>20873</v>
      </c>
      <c r="C16571" s="5" t="str">
        <f>IFERROR(__xludf.DUMMYFUNCTION("GOOGLETRANSLATE(B16571,""en"",""es-ES"")"),"Después, un grupo de unos cuarenta personas está en una gran piscina jugando waterpolo.")</f>
        <v>Después, un grupo de unos cuarenta personas está en una gran piscina jugando waterpolo.</v>
      </c>
    </row>
    <row r="16572">
      <c r="A16572" s="4" t="s">
        <v>20871</v>
      </c>
      <c r="B16572" s="4" t="s">
        <v>20874</v>
      </c>
      <c r="C16572" s="5" t="str">
        <f>IFERROR(__xludf.DUMMYFUNCTION("GOOGLETRANSLATE(B16572,""en"",""es-ES"")"),"La gente se turna yendo y viniendo lanzando la pelota y una persona finalmente hace un gol.")</f>
        <v>La gente se turna yendo y viniendo lanzando la pelota y una persona finalmente hace un gol.</v>
      </c>
    </row>
    <row r="16573">
      <c r="A16573" s="4" t="s">
        <v>20875</v>
      </c>
      <c r="B16573" s="4" t="s">
        <v>20876</v>
      </c>
      <c r="C16573" s="5" t="str">
        <f>IFERROR(__xludf.DUMMYFUNCTION("GOOGLETRANSLATE(B16573,""en"",""es-ES"")"),"Un hombre está tocando un instrumento de madera inextrae a otro hombre, sentado dentro de una pequeña habitación.")</f>
        <v>Un hombre está tocando un instrumento de madera inextrae a otro hombre, sentado dentro de una pequeña habitación.</v>
      </c>
    </row>
    <row r="16574">
      <c r="A16574" s="4" t="s">
        <v>20875</v>
      </c>
      <c r="B16574" s="4" t="s">
        <v>20877</v>
      </c>
      <c r="C16574" s="5" t="str">
        <f>IFERROR(__xludf.DUMMYFUNCTION("GOOGLETRANSLATE(B16574,""en"",""es-ES"")"),"Cuando termina, baja su instrumento y sonríe ampliamente.")</f>
        <v>Cuando termina, baja su instrumento y sonríe ampliamente.</v>
      </c>
    </row>
    <row r="16575">
      <c r="A16575" s="4" t="s">
        <v>20875</v>
      </c>
      <c r="B16575" s="4" t="s">
        <v>20878</v>
      </c>
      <c r="C16575" s="5" t="str">
        <f>IFERROR(__xludf.DUMMYFUNCTION("GOOGLETRANSLATE(B16575,""en"",""es-ES"")"),"Parecen estar viajando dentro de un tren.")</f>
        <v>Parecen estar viajando dentro de un tren.</v>
      </c>
    </row>
    <row r="16576">
      <c r="A16576" s="4" t="s">
        <v>20879</v>
      </c>
      <c r="B16576" s="4" t="s">
        <v>20880</v>
      </c>
      <c r="C16576" s="5" t="str">
        <f>IFERROR(__xludf.DUMMYFUNCTION("GOOGLETRANSLATE(B16576,""en"",""es-ES"")"),"Se muestran el interior y los suministros de una barbería antigua.")</f>
        <v>Se muestran el interior y los suministros de una barbería antigua.</v>
      </c>
    </row>
    <row r="16577">
      <c r="A16577" s="4" t="s">
        <v>20879</v>
      </c>
      <c r="B16577" s="4" t="s">
        <v>20881</v>
      </c>
      <c r="C16577" s="5" t="str">
        <f>IFERROR(__xludf.DUMMYFUNCTION("GOOGLETRANSLATE(B16577,""en"",""es-ES"")"),"Un hombre agudiza una correa de afeitar.")</f>
        <v>Un hombre agudiza una correa de afeitar.</v>
      </c>
    </row>
    <row r="16578">
      <c r="A16578" s="4" t="s">
        <v>20879</v>
      </c>
      <c r="B16578" s="4" t="s">
        <v>20882</v>
      </c>
      <c r="C16578" s="5" t="str">
        <f>IFERROR(__xludf.DUMMYFUNCTION("GOOGLETRANSLATE(B16578,""en"",""es-ES"")"),"Muestra la crema mientras la pone en su cliente.")</f>
        <v>Muestra la crema mientras la pone en su cliente.</v>
      </c>
    </row>
    <row r="16579">
      <c r="A16579" s="4" t="s">
        <v>20879</v>
      </c>
      <c r="B16579" s="4" t="s">
        <v>20883</v>
      </c>
      <c r="C16579" s="5" t="str">
        <f>IFERROR(__xludf.DUMMYFUNCTION("GOOGLETRANSLATE(B16579,""en"",""es-ES"")"),"Luego le da gatamente y profesionalmente al hombre un afeitado barba.")</f>
        <v>Luego le da gatamente y profesionalmente al hombre un afeitado barba.</v>
      </c>
    </row>
    <row r="16580">
      <c r="A16580" s="4" t="s">
        <v>20879</v>
      </c>
      <c r="B16580" s="4" t="s">
        <v>20884</v>
      </c>
      <c r="C16580" s="5" t="str">
        <f>IFERROR(__xludf.DUMMYFUNCTION("GOOGLETRANSLATE(B16580,""en"",""es-ES"")"),"El hombre se encuentra quieto mientras aplica una tela, luego después del afeitado.")</f>
        <v>El hombre se encuentra quieto mientras aplica una tela, luego después del afeitado.</v>
      </c>
    </row>
    <row r="16581">
      <c r="A16581" s="4" t="s">
        <v>20879</v>
      </c>
      <c r="B16581" s="4" t="s">
        <v>20885</v>
      </c>
      <c r="C16581" s="5" t="str">
        <f>IFERROR(__xludf.DUMMYFUNCTION("GOOGLETRANSLATE(B16581,""en"",""es-ES"")"),"Se muestra un primer plano de la cara afeitada limpia.")</f>
        <v>Se muestra un primer plano de la cara afeitada limpia.</v>
      </c>
    </row>
    <row r="16582">
      <c r="A16582" s="4" t="s">
        <v>20886</v>
      </c>
      <c r="B16582" s="4" t="s">
        <v>20887</v>
      </c>
      <c r="C16582" s="5" t="str">
        <f>IFERROR(__xludf.DUMMYFUNCTION("GOOGLETRANSLATE(B16582,""en"",""es-ES"")"),"Vemos una escena de apertura sobre un fondo negro.")</f>
        <v>Vemos una escena de apertura sobre un fondo negro.</v>
      </c>
    </row>
    <row r="16583">
      <c r="A16583" s="4" t="s">
        <v>20886</v>
      </c>
      <c r="B16583" s="4" t="s">
        <v>20888</v>
      </c>
      <c r="C16583" s="5" t="str">
        <f>IFERROR(__xludf.DUMMYFUNCTION("GOOGLETRANSLATE(B16583,""en"",""es-ES"")"),"Vemos a un hombre golpear un clavo.")</f>
        <v>Vemos a un hombre golpear un clavo.</v>
      </c>
    </row>
    <row r="16584">
      <c r="A16584" s="4" t="s">
        <v>20886</v>
      </c>
      <c r="B16584" s="4" t="s">
        <v>20889</v>
      </c>
      <c r="C16584" s="5" t="str">
        <f>IFERROR(__xludf.DUMMYFUNCTION("GOOGLETRANSLATE(B16584,""en"",""es-ES"")"),"El hombre nos muestra algunos tornillos.")</f>
        <v>El hombre nos muestra algunos tornillos.</v>
      </c>
    </row>
    <row r="16585">
      <c r="A16585" s="4" t="s">
        <v>20886</v>
      </c>
      <c r="B16585" s="4" t="s">
        <v>20890</v>
      </c>
      <c r="C16585" s="5" t="str">
        <f>IFERROR(__xludf.DUMMYFUNCTION("GOOGLETRANSLATE(B16585,""en"",""es-ES"")"),"Vemos al hombre atornillar un tornillo.")</f>
        <v>Vemos al hombre atornillar un tornillo.</v>
      </c>
    </row>
    <row r="16586">
      <c r="A16586" s="4" t="s">
        <v>20891</v>
      </c>
      <c r="B16586" s="4" t="s">
        <v>20892</v>
      </c>
      <c r="C16586" s="5" t="str">
        <f>IFERROR(__xludf.DUMMYFUNCTION("GOOGLETRANSLATE(B16586,""en"",""es-ES"")"),"Se muestran varias tomas de paintball, seguidas de muchas imágenes de armas.")</f>
        <v>Se muestran varias tomas de paintball, seguidas de muchas imágenes de armas.</v>
      </c>
    </row>
    <row r="16587">
      <c r="A16587" s="4" t="s">
        <v>20891</v>
      </c>
      <c r="B16587" s="4" t="s">
        <v>20893</v>
      </c>
      <c r="C16587" s="5" t="str">
        <f>IFERROR(__xludf.DUMMYFUNCTION("GOOGLETRANSLATE(B16587,""en"",""es-ES"")"),"Se muestran y termina más imágenes de armas con texto en la pantalla.")</f>
        <v>Se muestran y termina más imágenes de armas con texto en la pantalla.</v>
      </c>
    </row>
    <row r="16588">
      <c r="A16588" s="4" t="s">
        <v>20894</v>
      </c>
      <c r="B16588" s="4" t="s">
        <v>20895</v>
      </c>
      <c r="C16588" s="5" t="str">
        <f>IFERROR(__xludf.DUMMYFUNCTION("GOOGLETRANSLATE(B16588,""en"",""es-ES"")"),"Vemos una pantalla de título de apertura y un hombre y una dama se ven felices y la señora arroja sus manos al aire.")</f>
        <v>Vemos una pantalla de título de apertura y un hombre y una dama se ven felices y la señora arroja sus manos al aire.</v>
      </c>
    </row>
    <row r="16589">
      <c r="A16589" s="4" t="s">
        <v>20894</v>
      </c>
      <c r="B16589" s="4" t="s">
        <v>20896</v>
      </c>
      <c r="C16589" s="5" t="str">
        <f>IFERROR(__xludf.DUMMYFUNCTION("GOOGLETRANSLATE(B16589,""en"",""es-ES"")"),"Vemos a un hombre que trata Blackjack frente a una pantalla.")</f>
        <v>Vemos a un hombre que trata Blackjack frente a una pantalla.</v>
      </c>
    </row>
    <row r="16590">
      <c r="A16590" s="4" t="s">
        <v>20894</v>
      </c>
      <c r="B16590" s="4" t="s">
        <v>20897</v>
      </c>
      <c r="C16590" s="5" t="str">
        <f>IFERROR(__xludf.DUMMYFUNCTION("GOOGLETRANSLATE(B16590,""en"",""es-ES"")"),"Vemos una pantalla de emblema C.")</f>
        <v>Vemos una pantalla de emblema C.</v>
      </c>
    </row>
    <row r="16591">
      <c r="A16591" s="4" t="s">
        <v>20894</v>
      </c>
      <c r="B16591" s="4" t="s">
        <v>20898</v>
      </c>
      <c r="C16591" s="5" t="str">
        <f>IFERROR(__xludf.DUMMYFUNCTION("GOOGLETRANSLATE(B16591,""en"",""es-ES"")"),"Vemos al hombre continuar tratando cartas.")</f>
        <v>Vemos al hombre continuar tratando cartas.</v>
      </c>
    </row>
    <row r="16592">
      <c r="A16592" s="4" t="s">
        <v>20894</v>
      </c>
      <c r="B16592" s="4" t="s">
        <v>3608</v>
      </c>
      <c r="C16592" s="5" t="str">
        <f>IFERROR(__xludf.DUMMYFUNCTION("GOOGLETRANSLATE(B16592,""en"",""es-ES"")"),"Vemos la pantalla final.")</f>
        <v>Vemos la pantalla final.</v>
      </c>
    </row>
    <row r="16593">
      <c r="A16593" s="4" t="s">
        <v>20899</v>
      </c>
      <c r="B16593" s="4" t="s">
        <v>20900</v>
      </c>
      <c r="C16593" s="5" t="str">
        <f>IFERROR(__xludf.DUMMYFUNCTION("GOOGLETRANSLATE(B16593,""en"",""es-ES"")"),"Una joven está en una habitación rodando un trozo de papel tapiz gris y blanco en una pared.")</f>
        <v>Una joven está en una habitación rodando un trozo de papel tapiz gris y blanco en una pared.</v>
      </c>
    </row>
    <row r="16594">
      <c r="A16594" s="4" t="s">
        <v>20899</v>
      </c>
      <c r="B16594" s="4" t="s">
        <v>20901</v>
      </c>
      <c r="C16594" s="5" t="str">
        <f>IFERROR(__xludf.DUMMYFUNCTION("GOOGLETRANSLATE(B16594,""en"",""es-ES"")"),"Ahora está en otra pared y está usando un utensilio para suavizar el papel.")</f>
        <v>Ahora está en otra pared y está usando un utensilio para suavizar el papel.</v>
      </c>
    </row>
    <row r="16595">
      <c r="A16595" s="4" t="s">
        <v>20899</v>
      </c>
      <c r="B16595" s="4" t="s">
        <v>20902</v>
      </c>
      <c r="C16595" s="5" t="str">
        <f>IFERROR(__xludf.DUMMYFUNCTION("GOOGLETRANSLATE(B16595,""en"",""es-ES"")"),"Luego, se le muestra cortando el fondo de pantalla gris y cepillándolo.")</f>
        <v>Luego, se le muestra cortando el fondo de pantalla gris y cepillándolo.</v>
      </c>
    </row>
    <row r="16596">
      <c r="A16596" s="4" t="s">
        <v>20899</v>
      </c>
      <c r="B16596" s="4" t="s">
        <v>20903</v>
      </c>
      <c r="C16596" s="5" t="str">
        <f>IFERROR(__xludf.DUMMYFUNCTION("GOOGLETRANSLATE(B16596,""en"",""es-ES"")"),"Finalmente, se mueve a otra pieza de flores y comienza a cortar el exceso de papel, asegurando que se mida correctamente.")</f>
        <v>Finalmente, se mueve a otra pieza de flores y comienza a cortar el exceso de papel, asegurando que se mida correctamente.</v>
      </c>
    </row>
    <row r="16597">
      <c r="A16597" s="4" t="s">
        <v>20904</v>
      </c>
      <c r="B16597" s="4" t="s">
        <v>20905</v>
      </c>
      <c r="C16597" s="5" t="str">
        <f>IFERROR(__xludf.DUMMYFUNCTION("GOOGLETRANSLATE(B16597,""en"",""es-ES"")"),"Se ve a una persona metiendo las manos bajo un toque y frotando jabón en sus manos.")</f>
        <v>Se ve a una persona metiendo las manos bajo un toque y frotando jabón en sus manos.</v>
      </c>
    </row>
    <row r="16598">
      <c r="A16598" s="4" t="s">
        <v>20904</v>
      </c>
      <c r="B16598" s="4" t="s">
        <v>20906</v>
      </c>
      <c r="C16598" s="5" t="str">
        <f>IFERROR(__xludf.DUMMYFUNCTION("GOOGLETRANSLATE(B16598,""en"",""es-ES"")"),"La persona fraza sus manos bien y luego las corre bajo un grifo.")</f>
        <v>La persona fraza sus manos bien y luego las corre bajo un grifo.</v>
      </c>
    </row>
    <row r="16599">
      <c r="A16599" s="4" t="s">
        <v>20904</v>
      </c>
      <c r="B16599" s="4" t="s">
        <v>20907</v>
      </c>
      <c r="C16599" s="5" t="str">
        <f>IFERROR(__xludf.DUMMYFUNCTION("GOOGLETRANSLATE(B16599,""en"",""es-ES"")"),"Luego agarra una toalla de papel para secar las manos y mostrarlas.")</f>
        <v>Luego agarra una toalla de papel para secar las manos y mostrarlas.</v>
      </c>
    </row>
    <row r="16600">
      <c r="A16600" s="4" t="s">
        <v>20908</v>
      </c>
      <c r="B16600" s="4" t="s">
        <v>20909</v>
      </c>
      <c r="C16600" s="5" t="str">
        <f>IFERROR(__xludf.DUMMYFUNCTION("GOOGLETRANSLATE(B16600,""en"",""es-ES"")"),"Se ve a un hombre estirando en el piso seguido de personas cercadas entre sí.")</f>
        <v>Se ve a un hombre estirando en el piso seguido de personas cercadas entre sí.</v>
      </c>
    </row>
    <row r="16601">
      <c r="A16601" s="4" t="s">
        <v>20908</v>
      </c>
      <c r="B16601" s="4" t="s">
        <v>20910</v>
      </c>
      <c r="C16601" s="5" t="str">
        <f>IFERROR(__xludf.DUMMYFUNCTION("GOOGLETRANSLATE(B16601,""en"",""es-ES"")"),"La gente retrocede y cuarto alrededor de una arena cercan entre sí y la cámara capturando sus movimientos.")</f>
        <v>La gente retrocede y cuarto alrededor de una arena cercan entre sí y la cámara capturando sus movimientos.</v>
      </c>
    </row>
    <row r="16602">
      <c r="A16602" s="4" t="s">
        <v>20908</v>
      </c>
      <c r="B16602" s="4" t="s">
        <v>20911</v>
      </c>
      <c r="C16602" s="5" t="str">
        <f>IFERROR(__xludf.DUMMYFUNCTION("GOOGLETRANSLATE(B16602,""en"",""es-ES"")"),"Continúan luchando y el cuarto y terminan alejándose.")</f>
        <v>Continúan luchando y el cuarto y terminan alejándose.</v>
      </c>
    </row>
    <row r="16603">
      <c r="A16603" s="4" t="s">
        <v>20912</v>
      </c>
      <c r="B16603" s="4" t="s">
        <v>20913</v>
      </c>
      <c r="C16603" s="5" t="str">
        <f>IFERROR(__xludf.DUMMYFUNCTION("GOOGLETRANSLATE(B16603,""en"",""es-ES"")"),"Hay un restaurante ocupado junto al lago donde casi todas las mesas están ocupadas por invitados que cenan allí.")</f>
        <v>Hay un restaurante ocupado junto al lago donde casi todas las mesas están ocupadas por invitados que cenan allí.</v>
      </c>
    </row>
    <row r="16604">
      <c r="A16604" s="4" t="s">
        <v>20912</v>
      </c>
      <c r="B16604" s="4" t="s">
        <v>20914</v>
      </c>
      <c r="C16604" s="5" t="str">
        <f>IFERROR(__xludf.DUMMYFUNCTION("GOOGLETRANSLATE(B16604,""en"",""es-ES"")"),"El servidor llena hielo en las gafas y Barista hace café.")</f>
        <v>El servidor llena hielo en las gafas y Barista hace café.</v>
      </c>
    </row>
    <row r="16605">
      <c r="A16605" s="4" t="s">
        <v>20912</v>
      </c>
      <c r="B16605" s="4" t="s">
        <v>20915</v>
      </c>
      <c r="C16605" s="5" t="str">
        <f>IFERROR(__xludf.DUMMYFUNCTION("GOOGLETRANSLATE(B16605,""en"",""es-ES"")"),"Los clientes están ocupados comiendo su comida que se sirve.")</f>
        <v>Los clientes están ocupados comiendo su comida que se sirve.</v>
      </c>
    </row>
    <row r="16606">
      <c r="A16606" s="4" t="s">
        <v>20912</v>
      </c>
      <c r="B16606" s="4" t="s">
        <v>20916</v>
      </c>
      <c r="C16606" s="5" t="str">
        <f>IFERROR(__xludf.DUMMYFUNCTION("GOOGLETRANSLATE(B16606,""en"",""es-ES"")"),"El cantinero está mezclando bebidas para hacer varios cócteles.")</f>
        <v>El cantinero está mezclando bebidas para hacer varios cócteles.</v>
      </c>
    </row>
    <row r="16607">
      <c r="A16607" s="4" t="s">
        <v>20912</v>
      </c>
      <c r="B16607" s="4" t="s">
        <v>20917</v>
      </c>
      <c r="C16607" s="5" t="str">
        <f>IFERROR(__xludf.DUMMYFUNCTION("GOOGLETRANSLATE(B16607,""en"",""es-ES"")"),"El barista está haciendo café con leche y capuchino.")</f>
        <v>El barista está haciendo café con leche y capuchino.</v>
      </c>
    </row>
    <row r="16608">
      <c r="A16608" s="4" t="s">
        <v>20912</v>
      </c>
      <c r="B16608" s="4" t="s">
        <v>20918</v>
      </c>
      <c r="C16608" s="5" t="str">
        <f>IFERROR(__xludf.DUMMYFUNCTION("GOOGLETRANSLATE(B16608,""en"",""es-ES"")"),"Se ve a una mujer cliente disfrutando de sus bebidas.")</f>
        <v>Se ve a una mujer cliente disfrutando de sus bebidas.</v>
      </c>
    </row>
    <row r="16609">
      <c r="A16609" s="4" t="s">
        <v>20919</v>
      </c>
      <c r="B16609" s="4" t="s">
        <v>20920</v>
      </c>
      <c r="C16609" s="5" t="str">
        <f>IFERROR(__xludf.DUMMYFUNCTION("GOOGLETRANSLATE(B16609,""en"",""es-ES"")"),"Un grupo de mujeres se encuentra frente a la cámara.")</f>
        <v>Un grupo de mujeres se encuentra frente a la cámara.</v>
      </c>
    </row>
    <row r="16610">
      <c r="A16610" s="4" t="s">
        <v>20919</v>
      </c>
      <c r="B16610" s="4" t="s">
        <v>20921</v>
      </c>
      <c r="C16610" s="5" t="str">
        <f>IFERROR(__xludf.DUMMYFUNCTION("GOOGLETRANSLATE(B16610,""en"",""es-ES"")"),"Una mujer mayor camina hacia la cabeza del grupo.")</f>
        <v>Una mujer mayor camina hacia la cabeza del grupo.</v>
      </c>
    </row>
    <row r="16611">
      <c r="A16611" s="4" t="s">
        <v>20919</v>
      </c>
      <c r="B16611" s="4" t="s">
        <v>20922</v>
      </c>
      <c r="C16611" s="5" t="str">
        <f>IFERROR(__xludf.DUMMYFUNCTION("GOOGLETRANSLATE(B16611,""en"",""es-ES"")"),"El grupo baila juntos frente a la cámara.")</f>
        <v>El grupo baila juntos frente a la cámara.</v>
      </c>
    </row>
    <row r="16612">
      <c r="A16612" s="4" t="s">
        <v>20923</v>
      </c>
      <c r="B16612" s="4" t="s">
        <v>20924</v>
      </c>
      <c r="C16612" s="5" t="str">
        <f>IFERROR(__xludf.DUMMYFUNCTION("GOOGLETRANSLATE(B16612,""en"",""es-ES"")"),"Un hombre en un estacionamiento cubierto de nieve lleno de altas lámparas de calles raspó la nieve endurecida y el hielo de su auto deportivo marrón por la noche.")</f>
        <v>Un hombre en un estacionamiento cubierto de nieve lleno de altas lámparas de calles raspó la nieve endurecida y el hielo de su auto deportivo marrón por la noche.</v>
      </c>
    </row>
    <row r="16613">
      <c r="A16613" s="4" t="s">
        <v>20923</v>
      </c>
      <c r="B16613" s="4" t="s">
        <v>20925</v>
      </c>
      <c r="C16613" s="5" t="str">
        <f>IFERROR(__xludf.DUMMYFUNCTION("GOOGLETRANSLATE(B16613,""en"",""es-ES"")"),"El hombre comienza raspando el hielo y la nieve del fondo de su parabrisas y la capucha de su auto y parrilla delantera.")</f>
        <v>El hombre comienza raspando el hielo y la nieve del fondo de su parabrisas y la capucha de su auto y parrilla delantera.</v>
      </c>
    </row>
    <row r="16614">
      <c r="A16614" s="4" t="s">
        <v>20923</v>
      </c>
      <c r="B16614" s="4" t="s">
        <v>20926</v>
      </c>
      <c r="C16614" s="5" t="str">
        <f>IFERROR(__xludf.DUMMYFUNCTION("GOOGLETRANSLATE(B16614,""en"",""es-ES"")"),"El hombre luego raspa y patea trozos de hielo que rodean el área alrededor del neumático del pasajero delantero.")</f>
        <v>El hombre luego raspa y patea trozos de hielo que rodean el área alrededor del neumático del pasajero delantero.</v>
      </c>
    </row>
    <row r="16615">
      <c r="A16615" s="4" t="s">
        <v>20923</v>
      </c>
      <c r="B16615" s="4" t="s">
        <v>20927</v>
      </c>
      <c r="C16615" s="5" t="str">
        <f>IFERROR(__xludf.DUMMYFUNCTION("GOOGLETRANSLATE(B16615,""en"",""es-ES"")"),"Por último, el hombre raspa el hielo del tronco del automóvil y el área de neumáticos del pasajero trasero antes de renunciar y caminar hacia la cámara.")</f>
        <v>Por último, el hombre raspa el hielo del tronco del automóvil y el área de neumáticos del pasajero trasero antes de renunciar y caminar hacia la cámara.</v>
      </c>
    </row>
    <row r="16616">
      <c r="A16616" s="4" t="s">
        <v>20928</v>
      </c>
      <c r="B16616" s="4" t="s">
        <v>20929</v>
      </c>
      <c r="C16616" s="5" t="str">
        <f>IFERROR(__xludf.DUMMYFUNCTION("GOOGLETRANSLATE(B16616,""en"",""es-ES"")"),"Una plantilla negra con impresión de desplazamiento con letras blancas atraviesa la pantalla con un movimiento ascendente.")</f>
        <v>Una plantilla negra con impresión de desplazamiento con letras blancas atraviesa la pantalla con un movimiento ascendente.</v>
      </c>
    </row>
    <row r="16617">
      <c r="A16617" s="4" t="s">
        <v>20928</v>
      </c>
      <c r="B16617" s="4" t="s">
        <v>20930</v>
      </c>
      <c r="C16617" s="5" t="str">
        <f>IFERROR(__xludf.DUMMYFUNCTION("GOOGLETRANSLATE(B16617,""en"",""es-ES"")"),"Un bote de motor con dos canoas como cascos a ambos lados de la vela, navega a través de un océano, a la luz del día, con dos personas colgando a un lado.")</f>
        <v>Un bote de motor con dos canoas como cascos a ambos lados de la vela, navega a través de un océano, a la luz del día, con dos personas colgando a un lado.</v>
      </c>
    </row>
    <row r="16618">
      <c r="A16618" s="4" t="s">
        <v>20928</v>
      </c>
      <c r="B16618" s="4" t="s">
        <v>20931</v>
      </c>
      <c r="C16618" s="5" t="str">
        <f>IFERROR(__xludf.DUMMYFUNCTION("GOOGLETRANSLATE(B16618,""en"",""es-ES"")"),"La imagen del bote en el agua cambia a la visión nocturna con solo colores verdes y blancos que se reflejan antes de que los créditos sean.")</f>
        <v>La imagen del bote en el agua cambia a la visión nocturna con solo colores verdes y blancos que se reflejan antes de que los créditos sean.</v>
      </c>
    </row>
    <row r="16619">
      <c r="A16619" s="4" t="s">
        <v>20932</v>
      </c>
      <c r="B16619" s="4" t="s">
        <v>20933</v>
      </c>
      <c r="C16619" s="5" t="str">
        <f>IFERROR(__xludf.DUMMYFUNCTION("GOOGLETRANSLATE(B16619,""en"",""es-ES"")"),"Hay cuatro personas que participan en la competencia BMX Dirt Ciclismo.")</f>
        <v>Hay cuatro personas que participan en la competencia BMX Dirt Ciclismo.</v>
      </c>
    </row>
    <row r="16620">
      <c r="A16620" s="4" t="s">
        <v>20932</v>
      </c>
      <c r="B16620" s="4" t="s">
        <v>20934</v>
      </c>
      <c r="C16620" s="5" t="str">
        <f>IFERROR(__xludf.DUMMYFUNCTION("GOOGLETRANSLATE(B16620,""en"",""es-ES"")"),"Están haciendo acrobacias increíbles en sus bicicletas saltando en alto sobre zanjas y terrenos empinados.")</f>
        <v>Están haciendo acrobacias increíbles en sus bicicletas saltando en alto sobre zanjas y terrenos empinados.</v>
      </c>
    </row>
    <row r="16621">
      <c r="A16621" s="4" t="s">
        <v>20932</v>
      </c>
      <c r="B16621" s="4" t="s">
        <v>20935</v>
      </c>
      <c r="C16621" s="5" t="str">
        <f>IFERROR(__xludf.DUMMYFUNCTION("GOOGLETRANSLATE(B16621,""en"",""es-ES"")"),"Uno de los ciclistas se cae después de que salta por un camino montañoso.")</f>
        <v>Uno de los ciclistas se cae después de que salta por un camino montañoso.</v>
      </c>
    </row>
    <row r="16622">
      <c r="A16622" s="4" t="s">
        <v>20932</v>
      </c>
      <c r="B16622" s="4" t="s">
        <v>20936</v>
      </c>
      <c r="C16622" s="5" t="str">
        <f>IFERROR(__xludf.DUMMYFUNCTION("GOOGLETRANSLATE(B16622,""en"",""es-ES"")"),"Varios otros ciclistas van a toda velocidad sobre terreno montañoso y colinas empinadas.")</f>
        <v>Varios otros ciclistas van a toda velocidad sobre terreno montañoso y colinas empinadas.</v>
      </c>
    </row>
    <row r="16623">
      <c r="A16623" s="4" t="s">
        <v>20932</v>
      </c>
      <c r="B16623" s="4" t="s">
        <v>20937</v>
      </c>
      <c r="C16623" s="5" t="str">
        <f>IFERROR(__xludf.DUMMYFUNCTION("GOOGLETRANSLATE(B16623,""en"",""es-ES"")"),"La gente se reunió para ver y participar en el evento BMX.")</f>
        <v>La gente se reunió para ver y participar en el evento BMX.</v>
      </c>
    </row>
    <row r="16624">
      <c r="A16624" s="4" t="s">
        <v>20932</v>
      </c>
      <c r="B16624" s="4" t="s">
        <v>20938</v>
      </c>
      <c r="C16624" s="5" t="str">
        <f>IFERROR(__xludf.DUMMYFUNCTION("GOOGLETRANSLATE(B16624,""en"",""es-ES"")"),"Los ciclistas continúan haciendo sus acrobacias mientras pasan por terreno montañoso y colinas.")</f>
        <v>Los ciclistas continúan haciendo sus acrobacias mientras pasan por terreno montañoso y colinas.</v>
      </c>
    </row>
    <row r="16625">
      <c r="A16625" s="4" t="s">
        <v>20932</v>
      </c>
      <c r="B16625" s="4" t="s">
        <v>20939</v>
      </c>
      <c r="C16625" s="5" t="str">
        <f>IFERROR(__xludf.DUMMYFUNCTION("GOOGLETRANSLATE(B16625,""en"",""es-ES"")"),"Los ganadores de la carrera reciben trofeos y certificados.")</f>
        <v>Los ganadores de la carrera reciben trofeos y certificados.</v>
      </c>
    </row>
    <row r="16626">
      <c r="A16626" s="4" t="s">
        <v>20932</v>
      </c>
      <c r="B16626" s="4" t="s">
        <v>20940</v>
      </c>
      <c r="C16626" s="5" t="str">
        <f>IFERROR(__xludf.DUMMYFUNCTION("GOOGLETRANSLATE(B16626,""en"",""es-ES"")"),"Orgullosamente levantan sus trofeos en lo alto para mostrar su logro.")</f>
        <v>Orgullosamente levantan sus trofeos en lo alto para mostrar su logro.</v>
      </c>
    </row>
    <row r="16627">
      <c r="A16627" s="4" t="s">
        <v>20941</v>
      </c>
      <c r="B16627" s="4" t="s">
        <v>20942</v>
      </c>
      <c r="C16627" s="5" t="str">
        <f>IFERROR(__xludf.DUMMYFUNCTION("GOOGLETRANSLATE(B16627,""en"",""es-ES"")"),"El hombre sube a un muro de roca atraído al arnés.")</f>
        <v>El hombre sube a un muro de roca atraído al arnés.</v>
      </c>
    </row>
    <row r="16628">
      <c r="A16628" s="4" t="s">
        <v>20941</v>
      </c>
      <c r="B16628" s="4" t="s">
        <v>20943</v>
      </c>
      <c r="C16628" s="5" t="str">
        <f>IFERROR(__xludf.DUMMYFUNCTION("GOOGLETRANSLATE(B16628,""en"",""es-ES"")"),"Un grupo de amigos está parado en el campo y sobre ellos, el hombre está subiendo el muro de roca.")</f>
        <v>Un grupo de amigos está parado en el campo y sobre ellos, el hombre está subiendo el muro de roca.</v>
      </c>
    </row>
    <row r="16629">
      <c r="A16629" s="4" t="s">
        <v>20941</v>
      </c>
      <c r="B16629" s="4" t="s">
        <v>20944</v>
      </c>
      <c r="C16629" s="5" t="str">
        <f>IFERROR(__xludf.DUMMYFUNCTION("GOOGLETRANSLATE(B16629,""en"",""es-ES"")"),"El hombre sube por el muro de roca que lo sostiene y las otras personas en el piso están unidas al arnés listos para escalar la pared también.")</f>
        <v>El hombre sube por el muro de roca que lo sostiene y las otras personas en el piso están unidas al arnés listos para escalar la pared también.</v>
      </c>
    </row>
    <row r="16630">
      <c r="A16630" s="4" t="s">
        <v>20945</v>
      </c>
      <c r="B16630" s="4" t="s">
        <v>20946</v>
      </c>
      <c r="C16630" s="5" t="str">
        <f>IFERROR(__xludf.DUMMYFUNCTION("GOOGLETRANSLATE(B16630,""en"",""es-ES"")"),"Se ve a un hombre que usa guantes hablando con la cámara mientras sostiene varios objetos a la cámara.")</f>
        <v>Se ve a un hombre que usa guantes hablando con la cámara mientras sostiene varios objetos a la cámara.</v>
      </c>
    </row>
    <row r="16631">
      <c r="A16631" s="4" t="s">
        <v>20945</v>
      </c>
      <c r="B16631" s="4" t="s">
        <v>20947</v>
      </c>
      <c r="C16631" s="5" t="str">
        <f>IFERROR(__xludf.DUMMYFUNCTION("GOOGLETRANSLATE(B16631,""en"",""es-ES"")"),"Luego junta los objetos para crear una llama grande y marea una herramienta al final y muestra los resultados.")</f>
        <v>Luego junta los objetos para crear una llama grande y marea una herramienta al final y muestra los resultados.</v>
      </c>
    </row>
    <row r="16632">
      <c r="A16632" s="4" t="s">
        <v>20948</v>
      </c>
      <c r="B16632" s="4" t="s">
        <v>20949</v>
      </c>
      <c r="C16632" s="5" t="str">
        <f>IFERROR(__xludf.DUMMYFUNCTION("GOOGLETRANSLATE(B16632,""en"",""es-ES"")"),"Un hombre con camisa gris aplica yeso con una espátula de mano a la pared interior de un edificio.")</f>
        <v>Un hombre con camisa gris aplica yeso con una espátula de mano a la pared interior de un edificio.</v>
      </c>
    </row>
    <row r="16633">
      <c r="A16633" s="4" t="s">
        <v>20948</v>
      </c>
      <c r="B16633" s="4" t="s">
        <v>20950</v>
      </c>
      <c r="C16633" s="5" t="str">
        <f>IFERROR(__xludf.DUMMYFUNCTION("GOOGLETRANSLATE(B16633,""en"",""es-ES"")"),"El principal apunta a las esquinas de la sala para mostrar la línea que está trabajando.")</f>
        <v>El principal apunta a las esquinas de la sala para mostrar la línea que está trabajando.</v>
      </c>
    </row>
    <row r="16634">
      <c r="A16634" s="4" t="s">
        <v>20948</v>
      </c>
      <c r="B16634" s="4" t="s">
        <v>20951</v>
      </c>
      <c r="C16634" s="5" t="str">
        <f>IFERROR(__xludf.DUMMYFUNCTION("GOOGLETRANSLATE(B16634,""en"",""es-ES"")"),"El hombre aplica más yeso la pared y cubre más área.")</f>
        <v>El hombre aplica más yeso la pared y cubre más área.</v>
      </c>
    </row>
    <row r="16635">
      <c r="A16635" s="4" t="s">
        <v>20948</v>
      </c>
      <c r="B16635" s="4" t="s">
        <v>20952</v>
      </c>
      <c r="C16635" s="5" t="str">
        <f>IFERROR(__xludf.DUMMYFUNCTION("GOOGLETRANSLATE(B16635,""en"",""es-ES"")"),"El hombre de gris se detiene para discutir con su pareja.")</f>
        <v>El hombre de gris se detiene para discutir con su pareja.</v>
      </c>
    </row>
    <row r="16636">
      <c r="A16636" s="4" t="s">
        <v>20948</v>
      </c>
      <c r="B16636" s="4" t="s">
        <v>20953</v>
      </c>
      <c r="C16636" s="5" t="str">
        <f>IFERROR(__xludf.DUMMYFUNCTION("GOOGLETRANSLATE(B16636,""en"",""es-ES"")"),"El hombre de gris junto con su compañero comienza a aplicar un revestimiento en la pared.")</f>
        <v>El hombre de gris junto con su compañero comienza a aplicar un revestimiento en la pared.</v>
      </c>
    </row>
    <row r="16637">
      <c r="A16637" s="4" t="s">
        <v>20948</v>
      </c>
      <c r="B16637" s="4" t="s">
        <v>20954</v>
      </c>
      <c r="C16637" s="5" t="str">
        <f>IFERROR(__xludf.DUMMYFUNCTION("GOOGLETRANSLATE(B16637,""en"",""es-ES"")"),"El hombre con relojes grises y le da consejos a su amigo.")</f>
        <v>El hombre con relojes grises y le da consejos a su amigo.</v>
      </c>
    </row>
    <row r="16638">
      <c r="A16638" s="4" t="s">
        <v>20948</v>
      </c>
      <c r="B16638" s="4" t="s">
        <v>20955</v>
      </c>
      <c r="C16638" s="5" t="str">
        <f>IFERROR(__xludf.DUMMYFUNCTION("GOOGLETRANSLATE(B16638,""en"",""es-ES"")"),"El hombre de gris y el amigo aplica yeso juntos más arriba en la pared y el techo.")</f>
        <v>El hombre de gris y el amigo aplica yeso juntos más arriba en la pared y el techo.</v>
      </c>
    </row>
    <row r="16639">
      <c r="A16639" s="4" t="s">
        <v>20956</v>
      </c>
      <c r="B16639" s="4" t="s">
        <v>20957</v>
      </c>
      <c r="C16639" s="5" t="str">
        <f>IFERROR(__xludf.DUMMYFUNCTION("GOOGLETRANSLATE(B16639,""en"",""es-ES"")"),"Se muestra a un cantante parado en un piano en un gran escenario y hablando con el micrófono mientras un baterista juega en el fondo.")</f>
        <v>Se muestra a un cantante parado en un piano en un gran escenario y hablando con el micrófono mientras un baterista juega en el fondo.</v>
      </c>
    </row>
    <row r="16640">
      <c r="A16640" s="4" t="s">
        <v>20956</v>
      </c>
      <c r="B16640" s="4" t="s">
        <v>20958</v>
      </c>
      <c r="C16640" s="5" t="str">
        <f>IFERROR(__xludf.DUMMYFUNCTION("GOOGLETRANSLATE(B16640,""en"",""es-ES"")"),"Continúa cantando a la audiencia seguido de saltar del piano y bailar por el escenario.")</f>
        <v>Continúa cantando a la audiencia seguido de saltar del piano y bailar por el escenario.</v>
      </c>
    </row>
    <row r="16641">
      <c r="A16641" s="4" t="s">
        <v>20956</v>
      </c>
      <c r="B16641" s="4" t="s">
        <v>20959</v>
      </c>
      <c r="C16641" s="5" t="str">
        <f>IFERROR(__xludf.DUMMYFUNCTION("GOOGLETRANSLATE(B16641,""en"",""es-ES"")"),"La batería continúa tocando y las luces parpadean detrás de él, mientras que las personas barajan otros tambores alrededor del set.")</f>
        <v>La batería continúa tocando y las luces parpadean detrás de él, mientras que las personas barajan otros tambores alrededor del set.</v>
      </c>
    </row>
    <row r="16642">
      <c r="A16642" s="4" t="s">
        <v>20956</v>
      </c>
      <c r="B16642" s="4" t="s">
        <v>20960</v>
      </c>
      <c r="C16642" s="5" t="str">
        <f>IFERROR(__xludf.DUMMYFUNCTION("GOOGLETRANSLATE(B16642,""en"",""es-ES"")"),"Los dos hombres comienzan a tocar los tambores consecutivos entre sí mientras cambian entre kits de batería y movimientos.")</f>
        <v>Los dos hombres comienzan a tocar los tambores consecutivos entre sí mientras cambian entre kits de batería y movimientos.</v>
      </c>
    </row>
    <row r="16643">
      <c r="A16643" s="4" t="s">
        <v>20961</v>
      </c>
      <c r="B16643" s="4" t="s">
        <v>20962</v>
      </c>
      <c r="C16643" s="5" t="str">
        <f>IFERROR(__xludf.DUMMYFUNCTION("GOOGLETRANSLATE(B16643,""en"",""es-ES"")"),"Una cámara se adentra en un televisor que conduce a un hombre que sostiene un palo frente a una gran multitud.")</f>
        <v>Una cámara se adentra en un televisor que conduce a un hombre que sostiene un palo frente a una gran multitud.</v>
      </c>
    </row>
    <row r="16644">
      <c r="A16644" s="4" t="s">
        <v>20961</v>
      </c>
      <c r="B16644" s="4" t="s">
        <v>20963</v>
      </c>
      <c r="C16644" s="5" t="str">
        <f>IFERROR(__xludf.DUMMYFUNCTION("GOOGLETRANSLATE(B16644,""en"",""es-ES"")"),"Él habla con una mujer y una foto de personas que juegan al tablero se muestran en cámara lenta.")</f>
        <v>Él habla con una mujer y una foto de personas que juegan al tablero se muestran en cámara lenta.</v>
      </c>
    </row>
    <row r="16645">
      <c r="A16645" s="4" t="s">
        <v>20964</v>
      </c>
      <c r="B16645" s="4" t="s">
        <v>20965</v>
      </c>
      <c r="C16645" s="5" t="str">
        <f>IFERROR(__xludf.DUMMYFUNCTION("GOOGLETRANSLATE(B16645,""en"",""es-ES"")"),"Una persona está afilando un cuchillo detrás de una mesa.")</f>
        <v>Una persona está afilando un cuchillo detrás de una mesa.</v>
      </c>
    </row>
    <row r="16646">
      <c r="A16646" s="4" t="s">
        <v>20964</v>
      </c>
      <c r="B16646" s="4" t="s">
        <v>20966</v>
      </c>
      <c r="C16646" s="5" t="str">
        <f>IFERROR(__xludf.DUMMYFUNCTION("GOOGLETRANSLATE(B16646,""en"",""es-ES"")"),"La gente está parada frente a la mesa observando.")</f>
        <v>La gente está parada frente a la mesa observando.</v>
      </c>
    </row>
    <row r="16647">
      <c r="A16647" s="4" t="s">
        <v>20964</v>
      </c>
      <c r="B16647" s="4" t="s">
        <v>20967</v>
      </c>
      <c r="C16647" s="5" t="str">
        <f>IFERROR(__xludf.DUMMYFUNCTION("GOOGLETRANSLATE(B16647,""en"",""es-ES"")"),"Recoge el afilador de cuchillos y lo usa para afilar el cuchillo.")</f>
        <v>Recoge el afilador de cuchillos y lo usa para afilar el cuchillo.</v>
      </c>
    </row>
    <row r="16648">
      <c r="A16648" s="4" t="s">
        <v>20968</v>
      </c>
      <c r="B16648" s="4" t="s">
        <v>20969</v>
      </c>
      <c r="C16648" s="5" t="str">
        <f>IFERROR(__xludf.DUMMYFUNCTION("GOOGLETRANSLATE(B16648,""en"",""es-ES"")"),"Se ve a una mujer lavar los platos en un fregadero mientras un hombre habla con la cámara y se acerca a los platos.")</f>
        <v>Se ve a una mujer lavar los platos en un fregadero mientras un hombre habla con la cámara y se acerca a los platos.</v>
      </c>
    </row>
    <row r="16649">
      <c r="A16649" s="4" t="s">
        <v>20968</v>
      </c>
      <c r="B16649" s="4" t="s">
        <v>20970</v>
      </c>
      <c r="C16649" s="5" t="str">
        <f>IFERROR(__xludf.DUMMYFUNCTION("GOOGLETRANSLATE(B16649,""en"",""es-ES"")"),"El hombre continúa hablando con la cámara y demuestra cómo lavar adecuadamente los platos.")</f>
        <v>El hombre continúa hablando con la cámara y demuestra cómo lavar adecuadamente los platos.</v>
      </c>
    </row>
    <row r="16650">
      <c r="A16650" s="4" t="s">
        <v>20971</v>
      </c>
      <c r="B16650" s="4" t="s">
        <v>20972</v>
      </c>
      <c r="C16650" s="5" t="str">
        <f>IFERROR(__xludf.DUMMYFUNCTION("GOOGLETRANSLATE(B16650,""en"",""es-ES"")"),"Se ve a una persona parada frente a una mesa de picnic que habla con la cámara mientras sostiene una rueda de bicicleta.")</f>
        <v>Se ve a una persona parada frente a una mesa de picnic que habla con la cámara mientras sostiene una rueda de bicicleta.</v>
      </c>
    </row>
    <row r="16651">
      <c r="A16651" s="4" t="s">
        <v>20971</v>
      </c>
      <c r="B16651" s="4" t="s">
        <v>20973</v>
      </c>
      <c r="C16651" s="5" t="str">
        <f>IFERROR(__xludf.DUMMYFUNCTION("GOOGLETRANSLATE(B16651,""en"",""es-ES"")"),"Luego pone el neumático en el suelo, moviendo las manos alrededor de la Asegúrese de que el neumático esté correctamente inflado.")</f>
        <v>Luego pone el neumático en el suelo, moviendo las manos alrededor de la Asegúrese de que el neumático esté correctamente inflado.</v>
      </c>
    </row>
    <row r="16652">
      <c r="A16652" s="4" t="s">
        <v>20971</v>
      </c>
      <c r="B16652" s="4" t="s">
        <v>20974</v>
      </c>
      <c r="C16652" s="5" t="str">
        <f>IFERROR(__xludf.DUMMYFUNCTION("GOOGLETRANSLATE(B16652,""en"",""es-ES"")"),"Se camina con el neumático de nuevo en la mesa y luego saca una cuerda para atarlo.")</f>
        <v>Se camina con el neumático de nuevo en la mesa y luego saca una cuerda para atarlo.</v>
      </c>
    </row>
    <row r="16653">
      <c r="A16653" s="4" t="s">
        <v>20975</v>
      </c>
      <c r="B16653" s="4" t="s">
        <v>20976</v>
      </c>
      <c r="C16653" s="5" t="str">
        <f>IFERROR(__xludf.DUMMYFUNCTION("GOOGLETRANSLATE(B16653,""en"",""es-ES"")"),"Se ve a dos personas retrocediendo y cuarto en una alfombra grande mientras se encuentran cerca.")</f>
        <v>Se ve a dos personas retrocediendo y cuarto en una alfombra grande mientras se encuentran cerca.</v>
      </c>
    </row>
    <row r="16654">
      <c r="A16654" s="4" t="s">
        <v>20975</v>
      </c>
      <c r="B16654" s="4" t="s">
        <v>20977</v>
      </c>
      <c r="C16654" s="5" t="str">
        <f>IFERROR(__xludf.DUMMYFUNCTION("GOOGLETRANSLATE(B16654,""en"",""es-ES"")"),"La audiencia anima cuando terminan y termina mostrando el partido nuevamente en cámara lenta.")</f>
        <v>La audiencia anima cuando terminan y termina mostrando el partido nuevamente en cámara lenta.</v>
      </c>
    </row>
    <row r="16655">
      <c r="A16655" s="4" t="s">
        <v>20978</v>
      </c>
      <c r="B16655" s="4" t="s">
        <v>20979</v>
      </c>
      <c r="C16655" s="5" t="str">
        <f>IFERROR(__xludf.DUMMYFUNCTION("GOOGLETRANSLATE(B16655,""en"",""es-ES"")"),"Se ve a una persona sentada en un tubo bebiendo una cerveza mientras se ve a otras personas ubicadas en la distancia.")</f>
        <v>Se ve a una persona sentada en un tubo bebiendo una cerveza mientras se ve a otras personas ubicadas en la distancia.</v>
      </c>
    </row>
    <row r="16656">
      <c r="A16656" s="4" t="s">
        <v>20978</v>
      </c>
      <c r="B16656" s="4" t="s">
        <v>20980</v>
      </c>
      <c r="C16656" s="5" t="str">
        <f>IFERROR(__xludf.DUMMYFUNCTION("GOOGLETRANSLATE(B16656,""en"",""es-ES"")"),"Se muestran más disparos de las personas que viajan en tubos mientras bebían cervezas y se hablan entre sí.")</f>
        <v>Se muestran más disparos de las personas que viajan en tubos mientras bebían cervezas y se hablan entre sí.</v>
      </c>
    </row>
    <row r="16657">
      <c r="A16657" s="4" t="s">
        <v>20981</v>
      </c>
      <c r="B16657" s="4" t="s">
        <v>20982</v>
      </c>
      <c r="C16657" s="5" t="str">
        <f>IFERROR(__xludf.DUMMYFUNCTION("GOOGLETRANSLATE(B16657,""en"",""es-ES"")"),"Se ve a una niña hablando con la cámara y la lleva a sostener botellas y lavarse la cara.")</f>
        <v>Se ve a una niña hablando con la cámara y la lleva a sostener botellas y lavarse la cara.</v>
      </c>
    </row>
    <row r="16658">
      <c r="A16658" s="4" t="s">
        <v>20981</v>
      </c>
      <c r="B16658" s="4" t="s">
        <v>20983</v>
      </c>
      <c r="C16658" s="5" t="str">
        <f>IFERROR(__xludf.DUMMYFUNCTION("GOOGLETRANSLATE(B16658,""en"",""es-ES"")"),"Se limpia la cara con una toalla y luego le pone loción por toda la cara.")</f>
        <v>Se limpia la cara con una toalla y luego le pone loción por toda la cara.</v>
      </c>
    </row>
    <row r="16659">
      <c r="A16659" s="4" t="s">
        <v>20984</v>
      </c>
      <c r="B16659" s="4" t="s">
        <v>20985</v>
      </c>
      <c r="C16659" s="5" t="str">
        <f>IFERROR(__xludf.DUMMYFUNCTION("GOOGLETRANSLATE(B16659,""en"",""es-ES"")"),"Un hombre vestido con una camisa negra y pantalones cortos con estampado de camuflaje está demostrando cómo arreglar los neumáticos de goma en el borde de la rueda de un automóvil.")</f>
        <v>Un hombre vestido con una camisa negra y pantalones cortos con estampado de camuflaje está demostrando cómo arreglar los neumáticos de goma en el borde de la rueda de un automóvil.</v>
      </c>
    </row>
    <row r="16660">
      <c r="A16660" s="4" t="s">
        <v>20984</v>
      </c>
      <c r="B16660" s="4" t="s">
        <v>20986</v>
      </c>
      <c r="C16660" s="5" t="str">
        <f>IFERROR(__xludf.DUMMYFUNCTION("GOOGLETRANSLATE(B16660,""en"",""es-ES"")"),"Muestra todas las herramientas que se requieren para hacer el proceso.")</f>
        <v>Muestra todas las herramientas que se requieren para hacer el proceso.</v>
      </c>
    </row>
    <row r="16661">
      <c r="A16661" s="4" t="s">
        <v>20984</v>
      </c>
      <c r="B16661" s="4" t="s">
        <v>20987</v>
      </c>
      <c r="C16661" s="5" t="str">
        <f>IFERROR(__xludf.DUMMYFUNCTION("GOOGLETRANSLATE(B16661,""en"",""es-ES"")"),"Toma el neumático de goma y la rocía con un líquido.")</f>
        <v>Toma el neumático de goma y la rocía con un líquido.</v>
      </c>
    </row>
    <row r="16662">
      <c r="A16662" s="4" t="s">
        <v>20984</v>
      </c>
      <c r="B16662" s="4" t="s">
        <v>20988</v>
      </c>
      <c r="C16662" s="5" t="str">
        <f>IFERROR(__xludf.DUMMYFUNCTION("GOOGLETRANSLATE(B16662,""en"",""es-ES"")"),"Luego se ajusta al borde interno de la rueda en el neumático.")</f>
        <v>Luego se ajusta al borde interno de la rueda en el neumático.</v>
      </c>
    </row>
    <row r="16663">
      <c r="A16663" s="4" t="s">
        <v>20984</v>
      </c>
      <c r="B16663" s="4" t="s">
        <v>20989</v>
      </c>
      <c r="C16663" s="5" t="str">
        <f>IFERROR(__xludf.DUMMYFUNCTION("GOOGLETRANSLATE(B16663,""en"",""es-ES"")"),"Utiliza un mazo para asegurarlo con fuerza.")</f>
        <v>Utiliza un mazo para asegurarlo con fuerza.</v>
      </c>
    </row>
    <row r="16664">
      <c r="A16664" s="4" t="s">
        <v>20984</v>
      </c>
      <c r="B16664" s="4" t="s">
        <v>20990</v>
      </c>
      <c r="C16664" s="5" t="str">
        <f>IFERROR(__xludf.DUMMYFUNCTION("GOOGLETRANSLATE(B16664,""en"",""es-ES"")"),"Luego usa una herramienta para apretar los diversos tornillos que corren a través de todo el diámetro del círculo interno del neumático.")</f>
        <v>Luego usa una herramienta para apretar los diversos tornillos que corren a través de todo el diámetro del círculo interno del neumático.</v>
      </c>
    </row>
    <row r="16665">
      <c r="A16665" s="4" t="s">
        <v>20984</v>
      </c>
      <c r="B16665" s="4" t="s">
        <v>20991</v>
      </c>
      <c r="C16665" s="5" t="str">
        <f>IFERROR(__xludf.DUMMYFUNCTION("GOOGLETRANSLATE(B16665,""en"",""es-ES"")"),"Luego usa una llave de par para apretar los tornillos aún más.")</f>
        <v>Luego usa una llave de par para apretar los tornillos aún más.</v>
      </c>
    </row>
    <row r="16666">
      <c r="A16666" s="4" t="s">
        <v>20984</v>
      </c>
      <c r="B16666" s="4" t="s">
        <v>20992</v>
      </c>
      <c r="C16666" s="5" t="str">
        <f>IFERROR(__xludf.DUMMYFUNCTION("GOOGLETRANSLATE(B16666,""en"",""es-ES"")"),"Llena el aire y verifica la presión de los neumáticos.")</f>
        <v>Llena el aire y verifica la presión de los neumáticos.</v>
      </c>
    </row>
    <row r="16667">
      <c r="A16667" s="4" t="s">
        <v>20993</v>
      </c>
      <c r="B16667" s="4" t="s">
        <v>20994</v>
      </c>
      <c r="C16667" s="5" t="str">
        <f>IFERROR(__xludf.DUMMYFUNCTION("GOOGLETRANSLATE(B16667,""en"",""es-ES"")"),"Un grupo de niñas posa para una foto.")</f>
        <v>Un grupo de niñas posa para una foto.</v>
      </c>
    </row>
    <row r="16668">
      <c r="A16668" s="4" t="s">
        <v>20993</v>
      </c>
      <c r="B16668" s="4" t="s">
        <v>20995</v>
      </c>
      <c r="C16668" s="5" t="str">
        <f>IFERROR(__xludf.DUMMYFUNCTION("GOOGLETRANSLATE(B16668,""en"",""es-ES"")"),"Luego se muestran jugando Volleyall en un campo frente a varias carpas.")</f>
        <v>Luego se muestran jugando Volleyall en un campo frente a varias carpas.</v>
      </c>
    </row>
    <row r="16669">
      <c r="A16669" s="4" t="s">
        <v>20993</v>
      </c>
      <c r="B16669" s="4" t="s">
        <v>20996</v>
      </c>
      <c r="C16669" s="5" t="str">
        <f>IFERROR(__xludf.DUMMYFUNCTION("GOOGLETRANSLATE(B16669,""en"",""es-ES"")"),"Lanzan la pelota de un lado a otro.")</f>
        <v>Lanzan la pelota de un lado a otro.</v>
      </c>
    </row>
    <row r="16670">
      <c r="A16670" s="4" t="s">
        <v>20993</v>
      </c>
      <c r="B16670" s="4" t="s">
        <v>20997</v>
      </c>
      <c r="C16670" s="5" t="str">
        <f>IFERROR(__xludf.DUMMYFUNCTION("GOOGLETRANSLATE(B16670,""en"",""es-ES"")"),"Un niño hace un gesto de mano frente a la cámara mientras sonríe.")</f>
        <v>Un niño hace un gesto de mano frente a la cámara mientras sonríe.</v>
      </c>
    </row>
    <row r="16671">
      <c r="A16671" s="4" t="s">
        <v>20993</v>
      </c>
      <c r="B16671" s="4" t="s">
        <v>20998</v>
      </c>
      <c r="C16671" s="5" t="str">
        <f>IFERROR(__xludf.DUMMYFUNCTION("GOOGLETRANSLATE(B16671,""en"",""es-ES"")"),"Nuevamente se nos muestra el grupo de chicas posando en la fotografía.")</f>
        <v>Nuevamente se nos muestra el grupo de chicas posando en la fotografía.</v>
      </c>
    </row>
    <row r="16672">
      <c r="A16672" s="4" t="s">
        <v>20999</v>
      </c>
      <c r="B16672" s="4" t="s">
        <v>21000</v>
      </c>
      <c r="C16672" s="5" t="str">
        <f>IFERROR(__xludf.DUMMYFUNCTION("GOOGLETRANSLATE(B16672,""en"",""es-ES"")"),"Se ve a una mujer hablando con la cámara mientras está de pie frente a un tablero.")</f>
        <v>Se ve a una mujer hablando con la cámara mientras está de pie frente a un tablero.</v>
      </c>
    </row>
    <row r="16673">
      <c r="A16673" s="4" t="s">
        <v>20999</v>
      </c>
      <c r="B16673" s="4" t="s">
        <v>21001</v>
      </c>
      <c r="C16673" s="5" t="str">
        <f>IFERROR(__xludf.DUMMYFUNCTION("GOOGLETRANSLATE(B16673,""en"",""es-ES"")"),"Ella comienza a moverse arriba y abajo del tablero mientras se giraba y se mueve su cuerpo.")</f>
        <v>Ella comienza a moverse arriba y abajo del tablero mientras se giraba y se mueve su cuerpo.</v>
      </c>
    </row>
    <row r="16674">
      <c r="A16674" s="4" t="s">
        <v>20999</v>
      </c>
      <c r="B16674" s="4" t="s">
        <v>21002</v>
      </c>
      <c r="C16674" s="5" t="str">
        <f>IFERROR(__xludf.DUMMYFUNCTION("GOOGLETRANSLATE(B16674,""en"",""es-ES"")"),"Ella continúa moviéndose y se detiene para enfrentar la cámara al final.")</f>
        <v>Ella continúa moviéndose y se detiene para enfrentar la cámara al final.</v>
      </c>
    </row>
    <row r="16675">
      <c r="A16675" s="4" t="s">
        <v>21003</v>
      </c>
      <c r="B16675" s="4" t="s">
        <v>21004</v>
      </c>
      <c r="C16675" s="5" t="str">
        <f>IFERROR(__xludf.DUMMYFUNCTION("GOOGLETRANSLATE(B16675,""en"",""es-ES"")"),"Vemos personas jugando al polo en una piscina.")</f>
        <v>Vemos personas jugando al polo en una piscina.</v>
      </c>
    </row>
    <row r="16676">
      <c r="A16676" s="4" t="s">
        <v>21003</v>
      </c>
      <c r="B16676" s="4" t="s">
        <v>21005</v>
      </c>
      <c r="C16676" s="5" t="str">
        <f>IFERROR(__xludf.DUMMYFUNCTION("GOOGLETRANSLATE(B16676,""en"",""es-ES"")"),"Un hombre en la parte trasera a la derecha lleva la pelota a un jugador más cerca de la meta.")</f>
        <v>Un hombre en la parte trasera a la derecha lleva la pelota a un jugador más cerca de la meta.</v>
      </c>
    </row>
    <row r="16677">
      <c r="A16677" s="4" t="s">
        <v>21003</v>
      </c>
      <c r="B16677" s="4" t="s">
        <v>21006</v>
      </c>
      <c r="C16677" s="5" t="str">
        <f>IFERROR(__xludf.DUMMYFUNCTION("GOOGLETRANSLATE(B16677,""en"",""es-ES"")"),"Ese jugador luego arroja la pelota a un hombre a la izquierda.")</f>
        <v>Ese jugador luego arroja la pelota a un hombre a la izquierda.</v>
      </c>
    </row>
    <row r="16678">
      <c r="A16678" s="4" t="s">
        <v>21003</v>
      </c>
      <c r="B16678" s="4" t="s">
        <v>21007</v>
      </c>
      <c r="C16678" s="5" t="str">
        <f>IFERROR(__xludf.DUMMYFUNCTION("GOOGLETRANSLATE(B16678,""en"",""es-ES"")"),"Un hombre agarra la pelota y la arroja a la meta.")</f>
        <v>Un hombre agarra la pelota y la arroja a la meta.</v>
      </c>
    </row>
    <row r="16679">
      <c r="A16679" s="4" t="s">
        <v>21008</v>
      </c>
      <c r="B16679" s="4" t="s">
        <v>21009</v>
      </c>
      <c r="C16679" s="5" t="str">
        <f>IFERROR(__xludf.DUMMYFUNCTION("GOOGLETRANSLATE(B16679,""en"",""es-ES"")"),"Se ve a un niño que cabalga a lo largo de una patineta seguido de varias fotos más de personas montando en tablas.")</f>
        <v>Se ve a un niño que cabalga a lo largo de una patineta seguido de varias fotos más de personas montando en tablas.</v>
      </c>
    </row>
    <row r="16680">
      <c r="A16680" s="4" t="s">
        <v>21008</v>
      </c>
      <c r="B16680" s="4" t="s">
        <v>21010</v>
      </c>
      <c r="C16680" s="5" t="str">
        <f>IFERROR(__xludf.DUMMYFUNCTION("GOOGLETRANSLATE(B16680,""en"",""es-ES"")"),"Los muchachos realizan varios trucos mientras la cámara se mueve hacia el cielo y se mueve hacia arriba y hacia abajo de la pista.")</f>
        <v>Los muchachos realizan varios trucos mientras la cámara se mueve hacia el cielo y se mueve hacia arriba y hacia abajo de la pista.</v>
      </c>
    </row>
    <row r="16681">
      <c r="A16681" s="4" t="s">
        <v>21011</v>
      </c>
      <c r="B16681" s="4" t="s">
        <v>21012</v>
      </c>
      <c r="C16681" s="5" t="str">
        <f>IFERROR(__xludf.DUMMYFUNCTION("GOOGLETRANSLATE(B16681,""en"",""es-ES"")"),"Una mujer está jugando con un juego de gaitas en una habitación.")</f>
        <v>Una mujer está jugando con un juego de gaitas en una habitación.</v>
      </c>
    </row>
    <row r="16682">
      <c r="A16682" s="4" t="s">
        <v>21011</v>
      </c>
      <c r="B16682" s="4" t="s">
        <v>21013</v>
      </c>
      <c r="C16682" s="5" t="str">
        <f>IFERROR(__xludf.DUMMYFUNCTION("GOOGLETRANSLATE(B16682,""en"",""es-ES"")"),"Ella se ríe mientras un hombre la ayuda a ajustar las tuberías y continúa jugando.")</f>
        <v>Ella se ríe mientras un hombre la ayuda a ajustar las tuberías y continúa jugando.</v>
      </c>
    </row>
    <row r="16683">
      <c r="A16683" s="4" t="s">
        <v>21014</v>
      </c>
      <c r="B16683" s="4" t="s">
        <v>21015</v>
      </c>
      <c r="C16683" s="5" t="str">
        <f>IFERROR(__xludf.DUMMYFUNCTION("GOOGLETRANSLATE(B16683,""en"",""es-ES"")"),"Un gran perro negro está caminando por la calle.")</f>
        <v>Un gran perro negro está caminando por la calle.</v>
      </c>
    </row>
    <row r="16684">
      <c r="A16684" s="4" t="s">
        <v>21014</v>
      </c>
      <c r="B16684" s="4" t="s">
        <v>21016</v>
      </c>
      <c r="C16684" s="5" t="str">
        <f>IFERROR(__xludf.DUMMYFUNCTION("GOOGLETRANSLATE(B16684,""en"",""es-ES"")"),"Él está sosteniendo la correa de otro perro en su boca.")</f>
        <v>Él está sosteniendo la correa de otro perro en su boca.</v>
      </c>
    </row>
    <row r="16685">
      <c r="A16685" s="4" t="s">
        <v>21014</v>
      </c>
      <c r="B16685" s="4" t="s">
        <v>21017</v>
      </c>
      <c r="C16685" s="5" t="str">
        <f>IFERROR(__xludf.DUMMYFUNCTION("GOOGLETRANSLATE(B16685,""en"",""es-ES"")"),"El segundo perro permite que el primero lo guíe a donde quiera que vaya.")</f>
        <v>El segundo perro permite que el primero lo guíe a donde quiera que vaya.</v>
      </c>
    </row>
    <row r="16686">
      <c r="A16686" s="4" t="s">
        <v>21018</v>
      </c>
      <c r="B16686" s="4" t="s">
        <v>21019</v>
      </c>
      <c r="C16686" s="5" t="str">
        <f>IFERROR(__xludf.DUMMYFUNCTION("GOOGLETRANSLATE(B16686,""en"",""es-ES"")"),"Una mujer se acuesta en el piso en una habitación.")</f>
        <v>Una mujer se acuesta en el piso en una habitación.</v>
      </c>
    </row>
    <row r="16687">
      <c r="A16687" s="4" t="s">
        <v>21018</v>
      </c>
      <c r="B16687" s="4" t="s">
        <v>21020</v>
      </c>
      <c r="C16687" s="5" t="str">
        <f>IFERROR(__xludf.DUMMYFUNCTION("GOOGLETRANSLATE(B16687,""en"",""es-ES"")"),"La música comienza a tocar y ella se levanta y comienza a bailar el vientre.")</f>
        <v>La música comienza a tocar y ella se levanta y comienza a bailar el vientre.</v>
      </c>
    </row>
    <row r="16688">
      <c r="A16688" s="4" t="s">
        <v>21018</v>
      </c>
      <c r="B16688" s="4" t="s">
        <v>21021</v>
      </c>
      <c r="C16688" s="5" t="str">
        <f>IFERROR(__xludf.DUMMYFUNCTION("GOOGLETRANSLATE(B16688,""en"",""es-ES"")"),"Mientras ella baila, otros miran.")</f>
        <v>Mientras ella baila, otros miran.</v>
      </c>
    </row>
    <row r="16689">
      <c r="A16689" s="4" t="s">
        <v>21018</v>
      </c>
      <c r="B16689" s="4" t="s">
        <v>21022</v>
      </c>
      <c r="C16689" s="5" t="str">
        <f>IFERROR(__xludf.DUMMYFUNCTION("GOOGLETRANSLATE(B16689,""en"",""es-ES"")"),"En el fondo, un niño le da a una mujer un abrazo mientras observan.")</f>
        <v>En el fondo, un niño le da a una mujer un abrazo mientras observan.</v>
      </c>
    </row>
    <row r="16690">
      <c r="A16690" s="4" t="s">
        <v>21018</v>
      </c>
      <c r="B16690" s="4" t="s">
        <v>21023</v>
      </c>
      <c r="C16690" s="5" t="str">
        <f>IFERROR(__xludf.DUMMYFUNCTION("GOOGLETRANSLATE(B16690,""en"",""es-ES"")"),"La música se detiene y el bailarín sale del escenario.")</f>
        <v>La música se detiene y el bailarín sale del escenario.</v>
      </c>
    </row>
    <row r="16691">
      <c r="A16691" s="4" t="s">
        <v>21024</v>
      </c>
      <c r="B16691" s="4" t="s">
        <v>21025</v>
      </c>
      <c r="C16691" s="5" t="str">
        <f>IFERROR(__xludf.DUMMYFUNCTION("GOOGLETRANSLATE(B16691,""en"",""es-ES"")"),"Una mujer joven está sentada una silla extremadamente quieta, ya que se están poniendo un par de tijeras.")</f>
        <v>Una mujer joven está sentada una silla extremadamente quieta, ya que se están poniendo un par de tijeras.</v>
      </c>
    </row>
    <row r="16692">
      <c r="A16692" s="4" t="s">
        <v>21024</v>
      </c>
      <c r="B16692" s="4" t="s">
        <v>21026</v>
      </c>
      <c r="C16692" s="5" t="str">
        <f>IFERROR(__xludf.DUMMYFUNCTION("GOOGLETRANSLATE(B16692,""en"",""es-ES"")"),"La persona que está perforando su tabique continúa sosteniéndolo y agarra la aguja con la otra mano.")</f>
        <v>La persona que está perforando su tabique continúa sosteniéndolo y agarra la aguja con la otra mano.</v>
      </c>
    </row>
    <row r="16693">
      <c r="A16693" s="4" t="s">
        <v>21024</v>
      </c>
      <c r="B16693" s="4" t="s">
        <v>21027</v>
      </c>
      <c r="C16693" s="5" t="str">
        <f>IFERROR(__xludf.DUMMYFUNCTION("GOOGLETRANSLATE(B16693,""en"",""es-ES"")"),"Una vez que lo atraviesa, una gota de mocos vuela de su nariz y la niña comienza a hablar hasta que las bolas estén al final del anillo.")</f>
        <v>Una vez que lo atraviesa, una gota de mocos vuela de su nariz y la niña comienza a hablar hasta que las bolas estén al final del anillo.</v>
      </c>
    </row>
    <row r="16694">
      <c r="A16694" s="4" t="s">
        <v>21028</v>
      </c>
      <c r="B16694" s="4" t="s">
        <v>21029</v>
      </c>
      <c r="C16694" s="5" t="str">
        <f>IFERROR(__xludf.DUMMYFUNCTION("GOOGLETRANSLATE(B16694,""en"",""es-ES"")"),"Un hombre pisa un tablero de buceo y salta.")</f>
        <v>Un hombre pisa un tablero de buceo y salta.</v>
      </c>
    </row>
    <row r="16695">
      <c r="A16695" s="4" t="s">
        <v>21028</v>
      </c>
      <c r="B16695" s="4" t="s">
        <v>21030</v>
      </c>
      <c r="C16695" s="5" t="str">
        <f>IFERROR(__xludf.DUMMYFUNCTION("GOOGLETRANSLATE(B16695,""en"",""es-ES"")"),"Luego, el hombre voltea tres veces y se bucee en la piscina.")</f>
        <v>Luego, el hombre voltea tres veces y se bucee en la piscina.</v>
      </c>
    </row>
    <row r="16696">
      <c r="A16696" s="4" t="s">
        <v>21031</v>
      </c>
      <c r="B16696" s="4" t="s">
        <v>21032</v>
      </c>
      <c r="C16696" s="5" t="str">
        <f>IFERROR(__xludf.DUMMYFUNCTION("GOOGLETRANSLATE(B16696,""en"",""es-ES"")"),"Una piñata cuelga del techo.")</f>
        <v>Una piñata cuelga del techo.</v>
      </c>
    </row>
    <row r="16697">
      <c r="A16697" s="4" t="s">
        <v>21031</v>
      </c>
      <c r="B16697" s="4" t="s">
        <v>21033</v>
      </c>
      <c r="C16697" s="5" t="str">
        <f>IFERROR(__xludf.DUMMYFUNCTION("GOOGLETRANSLATE(B16697,""en"",""es-ES"")"),"Un niño está golpeando la piñata con un palo.")</f>
        <v>Un niño está golpeando la piñata con un palo.</v>
      </c>
    </row>
    <row r="16698">
      <c r="A16698" s="4" t="s">
        <v>21031</v>
      </c>
      <c r="B16698" s="4" t="s">
        <v>21034</v>
      </c>
      <c r="C16698" s="5" t="str">
        <f>IFERROR(__xludf.DUMMYFUNCTION("GOOGLETRANSLATE(B16698,""en"",""es-ES"")"),"La gente está de pie detrás de él mirando.")</f>
        <v>La gente está de pie detrás de él mirando.</v>
      </c>
    </row>
    <row r="16699">
      <c r="A16699" s="4" t="s">
        <v>21035</v>
      </c>
      <c r="B16699" s="4" t="s">
        <v>21036</v>
      </c>
      <c r="C16699" s="5" t="str">
        <f>IFERROR(__xludf.DUMMYFUNCTION("GOOGLETRANSLATE(B16699,""en"",""es-ES"")"),"Un trabajador elimina el musgo de la parte superior de un techo.")</f>
        <v>Un trabajador elimina el musgo de la parte superior de un techo.</v>
      </c>
    </row>
    <row r="16700">
      <c r="A16700" s="4" t="s">
        <v>21035</v>
      </c>
      <c r="B16700" s="4" t="s">
        <v>21037</v>
      </c>
      <c r="C16700" s="5" t="str">
        <f>IFERROR(__xludf.DUMMYFUNCTION("GOOGLETRANSLATE(B16700,""en"",""es-ES"")"),"Otro trabajador rocía agua por todo el techo.")</f>
        <v>Otro trabajador rocía agua por todo el techo.</v>
      </c>
    </row>
    <row r="16701">
      <c r="A16701" s="4" t="s">
        <v>21035</v>
      </c>
      <c r="B16701" s="4" t="s">
        <v>21038</v>
      </c>
      <c r="C16701" s="5" t="str">
        <f>IFERROR(__xludf.DUMMYFUNCTION("GOOGLETRANSLATE(B16701,""en"",""es-ES"")"),"El techo está realmente limpio.")</f>
        <v>El techo está realmente limpio.</v>
      </c>
    </row>
    <row r="16702">
      <c r="A16702" s="4" t="s">
        <v>21039</v>
      </c>
      <c r="B16702" s="4" t="s">
        <v>21040</v>
      </c>
      <c r="C16702" s="5" t="str">
        <f>IFERROR(__xludf.DUMMYFUNCTION("GOOGLETRANSLATE(B16702,""en"",""es-ES"")"),"Se ve a dos hombres arrodillados entre ellos y comienzan a luchar unos a otros.")</f>
        <v>Se ve a dos hombres arrodillados entre ellos y comienzan a luchar unos a otros.</v>
      </c>
    </row>
    <row r="16703">
      <c r="A16703" s="4" t="s">
        <v>21039</v>
      </c>
      <c r="B16703" s="4" t="s">
        <v>21041</v>
      </c>
      <c r="C16703" s="5" t="str">
        <f>IFERROR(__xludf.DUMMYFUNCTION("GOOGLETRANSLATE(B16703,""en"",""es-ES"")"),"Se ve a un gran grupo de personas observando a un lado mientras los hombres pelean.")</f>
        <v>Se ve a un gran grupo de personas observando a un lado mientras los hombres pelean.</v>
      </c>
    </row>
    <row r="16704">
      <c r="A16704" s="4" t="s">
        <v>21039</v>
      </c>
      <c r="B16704" s="4" t="s">
        <v>21042</v>
      </c>
      <c r="C16704" s="5" t="str">
        <f>IFERROR(__xludf.DUMMYFUNCTION("GOOGLETRANSLATE(B16704,""en"",""es-ES"")"),"Los hombres continúan peleando con uno empujando al otro hacia el ring.")</f>
        <v>Los hombres continúan peleando con uno empujando al otro hacia el ring.</v>
      </c>
    </row>
    <row r="16705">
      <c r="A16705" s="4" t="s">
        <v>21043</v>
      </c>
      <c r="B16705" s="4" t="s">
        <v>21044</v>
      </c>
      <c r="C16705" s="5" t="str">
        <f>IFERROR(__xludf.DUMMYFUNCTION("GOOGLETRANSLATE(B16705,""en"",""es-ES"")"),"Dos hombres están vestidos con equipo de esgrima.")</f>
        <v>Dos hombres están vestidos con equipo de esgrima.</v>
      </c>
    </row>
    <row r="16706">
      <c r="A16706" s="4" t="s">
        <v>21043</v>
      </c>
      <c r="B16706" s="4" t="s">
        <v>21045</v>
      </c>
      <c r="C16706" s="5" t="str">
        <f>IFERROR(__xludf.DUMMYFUNCTION("GOOGLETRANSLATE(B16706,""en"",""es-ES"")"),"Están luchando en una cancha con sus espadas.")</f>
        <v>Están luchando en una cancha con sus espadas.</v>
      </c>
    </row>
    <row r="16707">
      <c r="A16707" s="4" t="s">
        <v>21043</v>
      </c>
      <c r="B16707" s="4" t="s">
        <v>21046</v>
      </c>
      <c r="C16707" s="5" t="str">
        <f>IFERROR(__xludf.DUMMYFUNCTION("GOOGLETRANSLATE(B16707,""en"",""es-ES"")"),"Las líneas verdes ocasionalmente indican los movimientos que están haciendo.")</f>
        <v>Las líneas verdes ocasionalmente indican los movimientos que están haciendo.</v>
      </c>
    </row>
    <row r="16708">
      <c r="A16708" s="4" t="s">
        <v>21043</v>
      </c>
      <c r="B16708" s="4" t="s">
        <v>21047</v>
      </c>
      <c r="C16708" s="5" t="str">
        <f>IFERROR(__xludf.DUMMYFUNCTION("GOOGLETRANSLATE(B16708,""en"",""es-ES"")"),"Se apuñalan el uno al otro con las espadas y saltan alrededor del escenario.")</f>
        <v>Se apuñalan el uno al otro con las espadas y saltan alrededor del escenario.</v>
      </c>
    </row>
    <row r="16709">
      <c r="A16709" s="4" t="s">
        <v>21048</v>
      </c>
      <c r="B16709" s="4" t="s">
        <v>21049</v>
      </c>
      <c r="C16709" s="5" t="str">
        <f>IFERROR(__xludf.DUMMYFUNCTION("GOOGLETRANSLATE(B16709,""en"",""es-ES"")"),"Una persona puso objetos en una calabaza en un escritorio mientras mira dentro.")</f>
        <v>Una persona puso objetos en una calabaza en un escritorio mientras mira dentro.</v>
      </c>
    </row>
    <row r="16710">
      <c r="A16710" s="4" t="s">
        <v>21048</v>
      </c>
      <c r="B16710" s="4" t="s">
        <v>21050</v>
      </c>
      <c r="C16710" s="5" t="str">
        <f>IFERROR(__xludf.DUMMYFUNCTION("GOOGLETRANSLATE(B16710,""en"",""es-ES"")"),"Cuando el hombre se aleja, la calabaza y enciende una luz para ver la boca y dos ojos.")</f>
        <v>Cuando el hombre se aleja, la calabaza y enciende una luz para ver la boca y dos ojos.</v>
      </c>
    </row>
    <row r="16711">
      <c r="A16711" s="4" t="s">
        <v>21051</v>
      </c>
      <c r="B16711" s="4" t="s">
        <v>21052</v>
      </c>
      <c r="C16711" s="5" t="str">
        <f>IFERROR(__xludf.DUMMYFUNCTION("GOOGLETRANSLATE(B16711,""en"",""es-ES"")"),"Un grupo de personas está esquiando por el costado de una montaña.")</f>
        <v>Un grupo de personas está esquiando por el costado de una montaña.</v>
      </c>
    </row>
    <row r="16712">
      <c r="A16712" s="4" t="s">
        <v>21051</v>
      </c>
      <c r="B16712" s="4" t="s">
        <v>21053</v>
      </c>
      <c r="C16712" s="5" t="str">
        <f>IFERROR(__xludf.DUMMYFUNCTION("GOOGLETRANSLATE(B16712,""en"",""es-ES"")"),"Un grupo de alces está jodiendo entre escenas de ascensores y helicópteros en lo alto.")</f>
        <v>Un grupo de alces está jodiendo entre escenas de ascensores y helicópteros en lo alto.</v>
      </c>
    </row>
    <row r="16713">
      <c r="A16713" s="4" t="s">
        <v>21051</v>
      </c>
      <c r="B16713" s="4" t="s">
        <v>21054</v>
      </c>
      <c r="C16713" s="5" t="str">
        <f>IFERROR(__xludf.DUMMYFUNCTION("GOOGLETRANSLATE(B16713,""en"",""es-ES"")"),"Las personas se dan los primeros cinco mientras esquían.")</f>
        <v>Las personas se dan los primeros cinco mientras esquían.</v>
      </c>
    </row>
    <row r="16714">
      <c r="A16714" s="4" t="s">
        <v>21055</v>
      </c>
      <c r="B16714" s="4" t="s">
        <v>21056</v>
      </c>
      <c r="C16714" s="5" t="str">
        <f>IFERROR(__xludf.DUMMYFUNCTION("GOOGLETRANSLATE(B16714,""en"",""es-ES"")"),"El hombre pone el trapeador en el cubo de trapeador azul primero y luego comienza a trapear.")</f>
        <v>El hombre pone el trapeador en el cubo de trapeador azul primero y luego comienza a trapear.</v>
      </c>
    </row>
    <row r="16715">
      <c r="A16715" s="4" t="s">
        <v>21055</v>
      </c>
      <c r="B16715" s="4" t="s">
        <v>21057</v>
      </c>
      <c r="C16715" s="5" t="str">
        <f>IFERROR(__xludf.DUMMYFUNCTION("GOOGLETRANSLATE(B16715,""en"",""es-ES"")"),"Primero se mueve cerca de la estufa y el mostrador.")</f>
        <v>Primero se mueve cerca de la estufa y el mostrador.</v>
      </c>
    </row>
    <row r="16716">
      <c r="A16716" s="4" t="s">
        <v>21055</v>
      </c>
      <c r="B16716" s="4" t="s">
        <v>21058</v>
      </c>
      <c r="C16716" s="5" t="str">
        <f>IFERROR(__xludf.DUMMYFUNCTION("GOOGLETRANSLATE(B16716,""en"",""es-ES"")"),"Luego saca el piso que entre el refrigerador y otro mostrador.")</f>
        <v>Luego saca el piso que entre el refrigerador y otro mostrador.</v>
      </c>
    </row>
    <row r="16717">
      <c r="A16717" s="4" t="s">
        <v>21055</v>
      </c>
      <c r="B16717" s="4" t="s">
        <v>21059</v>
      </c>
      <c r="C16717" s="5" t="str">
        <f>IFERROR(__xludf.DUMMYFUNCTION("GOOGLETRANSLATE(B16717,""en"",""es-ES"")"),"Luego traza el centro del piso de la cocina.")</f>
        <v>Luego traza el centro del piso de la cocina.</v>
      </c>
    </row>
    <row r="16718">
      <c r="A16718" s="4" t="s">
        <v>21060</v>
      </c>
      <c r="B16718" s="4" t="s">
        <v>21061</v>
      </c>
      <c r="C16718" s="5" t="str">
        <f>IFERROR(__xludf.DUMMYFUNCTION("GOOGLETRANSLATE(B16718,""en"",""es-ES"")"),"Vemos una foto de una arena de atletismo.")</f>
        <v>Vemos una foto de una arena de atletismo.</v>
      </c>
    </row>
    <row r="16719">
      <c r="A16719" s="4" t="s">
        <v>21060</v>
      </c>
      <c r="B16719" s="4" t="s">
        <v>21062</v>
      </c>
      <c r="C16719" s="5" t="str">
        <f>IFERROR(__xludf.DUMMYFUNCTION("GOOGLETRANSLATE(B16719,""en"",""es-ES"")"),"Una dama con una camisa azul de Uzbekistán corre y realiza un salto de altura y vemos su puntaje.")</f>
        <v>Una dama con una camisa azul de Uzbekistán corre y realiza un salto de altura y vemos su puntaje.</v>
      </c>
    </row>
    <row r="16720">
      <c r="A16720" s="4" t="s">
        <v>21060</v>
      </c>
      <c r="B16720" s="4" t="s">
        <v>21063</v>
      </c>
      <c r="C16720" s="5" t="str">
        <f>IFERROR(__xludf.DUMMYFUNCTION("GOOGLETRANSLATE(B16720,""en"",""es-ES"")"),"Vemos a una dama de China Run y ​​realizamos un salto de altura y vemos su puntaje y vemos a su gerente y una cámara lenta.")</f>
        <v>Vemos a una dama de China Run y ​​realizamos un salto de altura y vemos su puntaje y vemos a su gerente y una cámara lenta.</v>
      </c>
    </row>
    <row r="16721">
      <c r="A16721" s="4" t="s">
        <v>21060</v>
      </c>
      <c r="B16721" s="4" t="s">
        <v>21064</v>
      </c>
      <c r="C16721" s="5" t="str">
        <f>IFERROR(__xludf.DUMMYFUNCTION("GOOGLETRANSLATE(B16721,""en"",""es-ES"")"),"Una dama diferente de Uzbekistán realiza un salto de altura y vemos su puntaje.")</f>
        <v>Una dama diferente de Uzbekistán realiza un salto de altura y vemos su puntaje.</v>
      </c>
    </row>
    <row r="16722">
      <c r="A16722" s="4" t="s">
        <v>21060</v>
      </c>
      <c r="B16722" s="4" t="s">
        <v>21065</v>
      </c>
      <c r="C16722" s="5" t="str">
        <f>IFERROR(__xludf.DUMMYFUNCTION("GOOGLETRANSLATE(B16722,""en"",""es-ES"")"),"La primera dama actúa nuevamente y golpea el bar y se ve decepcionada.")</f>
        <v>La primera dama actúa nuevamente y golpea el bar y se ve decepcionada.</v>
      </c>
    </row>
    <row r="16723">
      <c r="A16723" s="4" t="s">
        <v>21060</v>
      </c>
      <c r="B16723" s="4" t="s">
        <v>21066</v>
      </c>
      <c r="C16723" s="5" t="str">
        <f>IFERROR(__xludf.DUMMYFUNCTION("GOOGLETRANSLATE(B16723,""en"",""es-ES"")"),"La señora de China tiene un segundo turno y también golpea el bar y se ve enojada.")</f>
        <v>La señora de China tiene un segundo turno y también golpea el bar y se ve enojada.</v>
      </c>
    </row>
    <row r="16724">
      <c r="A16724" s="4" t="s">
        <v>21060</v>
      </c>
      <c r="B16724" s="4" t="s">
        <v>21067</v>
      </c>
      <c r="C16724" s="5" t="str">
        <f>IFERROR(__xludf.DUMMYFUNCTION("GOOGLETRANSLATE(B16724,""en"",""es-ES"")"),"La segunda dama de Uzbekistán realiza y despeja el bar y casi llora.")</f>
        <v>La segunda dama de Uzbekistán realiza y despeja el bar y casi llora.</v>
      </c>
    </row>
    <row r="16725">
      <c r="A16725" s="4" t="s">
        <v>21060</v>
      </c>
      <c r="B16725" s="4" t="s">
        <v>21068</v>
      </c>
      <c r="C16725" s="5" t="str">
        <f>IFERROR(__xludf.DUMMYFUNCTION("GOOGLETRANSLATE(B16725,""en"",""es-ES"")"),"Vemos la arena y el marcador en la pantalla.")</f>
        <v>Vemos la arena y el marcador en la pantalla.</v>
      </c>
    </row>
    <row r="16726">
      <c r="A16726" s="4" t="s">
        <v>21069</v>
      </c>
      <c r="B16726" s="4" t="s">
        <v>21070</v>
      </c>
      <c r="C16726" s="5" t="str">
        <f>IFERROR(__xludf.DUMMYFUNCTION("GOOGLETRANSLATE(B16726,""en"",""es-ES"")"),"Se muestran varios clips de personas que viajan en patinetas en un parque mientras miran hacia atrás y sonreen a la cámara.")</f>
        <v>Se muestran varios clips de personas que viajan en patinetas en un parque mientras miran hacia atrás y sonreen a la cámara.</v>
      </c>
    </row>
    <row r="16727">
      <c r="A16727" s="4" t="s">
        <v>21069</v>
      </c>
      <c r="B16727" s="4" t="s">
        <v>21071</v>
      </c>
      <c r="C16727" s="5" t="str">
        <f>IFERROR(__xludf.DUMMYFUNCTION("GOOGLETRANSLATE(B16727,""en"",""es-ES"")"),"El video continúa con muchas más tomas de personas que realizan rutinas y trucos en sus patinetas y hablando con la cámara.")</f>
        <v>El video continúa con muchas más tomas de personas que realizan rutinas y trucos en sus patinetas y hablando con la cámara.</v>
      </c>
    </row>
    <row r="16728">
      <c r="A16728" s="4" t="s">
        <v>21069</v>
      </c>
      <c r="B16728" s="4" t="s">
        <v>21072</v>
      </c>
      <c r="C16728" s="5" t="str">
        <f>IFERROR(__xludf.DUMMYFUNCTION("GOOGLETRANSLATE(B16728,""en"",""es-ES"")"),"Al final se los ve conduciendo juntos en un automóvil y riendo el uno con el otro.")</f>
        <v>Al final se los ve conduciendo juntos en un automóvil y riendo el uno con el otro.</v>
      </c>
    </row>
    <row r="16729">
      <c r="A16729" s="4" t="s">
        <v>21073</v>
      </c>
      <c r="B16729" s="4" t="s">
        <v>21074</v>
      </c>
      <c r="C16729" s="5" t="str">
        <f>IFERROR(__xludf.DUMMYFUNCTION("GOOGLETRANSLATE(B16729,""en"",""es-ES"")"),"Un grupo de hombres y mujeres está haciendo una cuerda de salto para el ejercicio aeróbico.")</f>
        <v>Un grupo de hombres y mujeres está haciendo una cuerda de salto para el ejercicio aeróbico.</v>
      </c>
    </row>
    <row r="16730">
      <c r="A16730" s="4" t="s">
        <v>21073</v>
      </c>
      <c r="B16730" s="4" t="s">
        <v>21075</v>
      </c>
      <c r="C16730" s="5" t="str">
        <f>IFERROR(__xludf.DUMMYFUNCTION("GOOGLETRANSLATE(B16730,""en"",""es-ES"")"),"Corren en círculo, saltando mientras corren.")</f>
        <v>Corren en círculo, saltando mientras corren.</v>
      </c>
    </row>
    <row r="16731">
      <c r="A16731" s="4" t="s">
        <v>21073</v>
      </c>
      <c r="B16731" s="4" t="s">
        <v>21076</v>
      </c>
      <c r="C16731" s="5" t="str">
        <f>IFERROR(__xludf.DUMMYFUNCTION("GOOGLETRANSLATE(B16731,""en"",""es-ES"")"),"Luego presentan esteras y hacen varios movimientos de yoga enfriados.")</f>
        <v>Luego presentan esteras y hacen varios movimientos de yoga enfriados.</v>
      </c>
    </row>
    <row r="16732">
      <c r="A16732" s="4" t="s">
        <v>21077</v>
      </c>
      <c r="B16732" s="4" t="s">
        <v>21078</v>
      </c>
      <c r="C16732" s="5" t="str">
        <f>IFERROR(__xludf.DUMMYFUNCTION("GOOGLETRANSLATE(B16732,""en"",""es-ES"")"),"Vemos a un hombre y una mujer entrar en una habitación de bar en disfraces.")</f>
        <v>Vemos a un hombre y una mujer entrar en una habitación de bar en disfraces.</v>
      </c>
    </row>
    <row r="16733">
      <c r="A16733" s="4" t="s">
        <v>21077</v>
      </c>
      <c r="B16733" s="4" t="s">
        <v>21079</v>
      </c>
      <c r="C16733" s="5" t="str">
        <f>IFERROR(__xludf.DUMMYFUNCTION("GOOGLETRANSLATE(B16733,""en"",""es-ES"")"),"El hombre y la mujer realizan un baile.")</f>
        <v>El hombre y la mujer realizan un baile.</v>
      </c>
    </row>
    <row r="16734">
      <c r="A16734" s="4" t="s">
        <v>21077</v>
      </c>
      <c r="B16734" s="4" t="s">
        <v>21080</v>
      </c>
      <c r="C16734" s="5" t="str">
        <f>IFERROR(__xludf.DUMMYFUNCTION("GOOGLETRANSLATE(B16734,""en"",""es-ES"")"),"El hombre voltea a la mujer y la cambia.")</f>
        <v>El hombre voltea a la mujer y la cambia.</v>
      </c>
    </row>
    <row r="16735">
      <c r="A16735" s="4" t="s">
        <v>21077</v>
      </c>
      <c r="B16735" s="4" t="s">
        <v>21081</v>
      </c>
      <c r="C16735" s="5" t="str">
        <f>IFERROR(__xludf.DUMMYFUNCTION("GOOGLETRANSLATE(B16735,""en"",""es-ES"")"),"El hombre recoge a la mujer y la pone sobre sus hombros.")</f>
        <v>El hombre recoge a la mujer y la pone sobre sus hombros.</v>
      </c>
    </row>
    <row r="16736">
      <c r="A16736" s="4" t="s">
        <v>21077</v>
      </c>
      <c r="B16736" s="4" t="s">
        <v>21082</v>
      </c>
      <c r="C16736" s="5" t="str">
        <f>IFERROR(__xludf.DUMMYFUNCTION("GOOGLETRANSLATE(B16736,""en"",""es-ES"")"),"Luego la voltea y al suelo.")</f>
        <v>Luego la voltea y al suelo.</v>
      </c>
    </row>
    <row r="16737">
      <c r="A16737" s="4" t="s">
        <v>21077</v>
      </c>
      <c r="B16737" s="4" t="s">
        <v>21083</v>
      </c>
      <c r="C16737" s="5" t="str">
        <f>IFERROR(__xludf.DUMMYFUNCTION("GOOGLETRANSLATE(B16737,""en"",""es-ES"")"),"El hombre pone a la dama en su hombro y la voltea dos veces.")</f>
        <v>El hombre pone a la dama en su hombro y la voltea dos veces.</v>
      </c>
    </row>
    <row r="16738">
      <c r="A16738" s="4" t="s">
        <v>21077</v>
      </c>
      <c r="B16738" s="4" t="s">
        <v>21084</v>
      </c>
      <c r="C16738" s="5" t="str">
        <f>IFERROR(__xludf.DUMMYFUNCTION("GOOGLETRANSLATE(B16738,""en"",""es-ES"")"),"El hombre gira a la dama de alrededor y de sus alrededores y sumerge a la dama.")</f>
        <v>El hombre gira a la dama de alrededor y de sus alrededores y sumerge a la dama.</v>
      </c>
    </row>
    <row r="16739">
      <c r="A16739" s="4" t="s">
        <v>21077</v>
      </c>
      <c r="B16739" s="4" t="s">
        <v>21085</v>
      </c>
      <c r="C16739" s="5" t="str">
        <f>IFERROR(__xludf.DUMMYFUNCTION("GOOGLETRANSLATE(B16739,""en"",""es-ES"")"),"La multitud aplaude para la gente.")</f>
        <v>La multitud aplaude para la gente.</v>
      </c>
    </row>
    <row r="16740">
      <c r="A16740" s="4" t="s">
        <v>21077</v>
      </c>
      <c r="B16740" s="4" t="s">
        <v>21086</v>
      </c>
      <c r="C16740" s="5" t="str">
        <f>IFERROR(__xludf.DUMMYFUNCTION("GOOGLETRANSLATE(B16740,""en"",""es-ES"")"),"El hombre gira a la dama.")</f>
        <v>El hombre gira a la dama.</v>
      </c>
    </row>
    <row r="16741">
      <c r="A16741" s="4" t="s">
        <v>21077</v>
      </c>
      <c r="B16741" s="4" t="s">
        <v>21087</v>
      </c>
      <c r="C16741" s="5" t="str">
        <f>IFERROR(__xludf.DUMMYFUNCTION("GOOGLETRANSLATE(B16741,""en"",""es-ES"")"),"Los bailes terminan y toman sus arcos y se dan la mano.")</f>
        <v>Los bailes terminan y toman sus arcos y se dan la mano.</v>
      </c>
    </row>
    <row r="16742">
      <c r="A16742" s="4" t="s">
        <v>21088</v>
      </c>
      <c r="B16742" s="4" t="s">
        <v>21089</v>
      </c>
      <c r="C16742" s="5" t="str">
        <f>IFERROR(__xludf.DUMMYFUNCTION("GOOGLETRANSLATE(B16742,""en"",""es-ES"")"),"Varios hombres juegan fútbol de mesa mientras una audiencia observa.")</f>
        <v>Varios hombres juegan fútbol de mesa mientras una audiencia observa.</v>
      </c>
    </row>
    <row r="16743">
      <c r="A16743" s="4" t="s">
        <v>21088</v>
      </c>
      <c r="B16743" s="4" t="s">
        <v>21090</v>
      </c>
      <c r="C16743" s="5" t="str">
        <f>IFERROR(__xludf.DUMMYFUNCTION("GOOGLETRANSLATE(B16743,""en"",""es-ES"")"),"Un individuo calvo recupera la pelota y la reinserta en juego.")</f>
        <v>Un individuo calvo recupera la pelota y la reinserta en juego.</v>
      </c>
    </row>
    <row r="16744">
      <c r="A16744" s="4" t="s">
        <v>21088</v>
      </c>
      <c r="B16744" s="4" t="s">
        <v>21091</v>
      </c>
      <c r="C16744" s="5" t="str">
        <f>IFERROR(__xludf.DUMMYFUNCTION("GOOGLETRANSLATE(B16744,""en"",""es-ES"")"),"El individuo calvo alcanza la mesa por alguna razón.")</f>
        <v>El individuo calvo alcanza la mesa por alguna razón.</v>
      </c>
    </row>
    <row r="16745">
      <c r="A16745" s="4" t="s">
        <v>21088</v>
      </c>
      <c r="B16745" s="4" t="s">
        <v>21092</v>
      </c>
      <c r="C16745" s="5" t="str">
        <f>IFERROR(__xludf.DUMMYFUNCTION("GOOGLETRANSLATE(B16745,""en"",""es-ES"")"),"El individuo calvo recupera la pelota y la reinserta en juego nuevamente.")</f>
        <v>El individuo calvo recupera la pelota y la reinserta en juego nuevamente.</v>
      </c>
    </row>
    <row r="16746">
      <c r="A16746" s="4" t="s">
        <v>21088</v>
      </c>
      <c r="B16746" s="4" t="s">
        <v>21093</v>
      </c>
      <c r="C16746" s="5" t="str">
        <f>IFERROR(__xludf.DUMMYFUNCTION("GOOGLETRANSLATE(B16746,""en"",""es-ES"")"),"Los jugadores se dan la mano cuando el partido termina.")</f>
        <v>Los jugadores se dan la mano cuando el partido termina.</v>
      </c>
    </row>
    <row r="16747">
      <c r="A16747" s="4" t="s">
        <v>21094</v>
      </c>
      <c r="B16747" s="4" t="s">
        <v>21095</v>
      </c>
      <c r="C16747" s="5" t="str">
        <f>IFERROR(__xludf.DUMMYFUNCTION("GOOGLETRANSLATE(B16747,""en"",""es-ES"")"),"Se ve a un hombre hablando con la cámara y conduce a clips de él moviendo la tierra.")</f>
        <v>Se ve a un hombre hablando con la cámara y conduce a clips de él moviendo la tierra.</v>
      </c>
    </row>
    <row r="16748">
      <c r="A16748" s="4" t="s">
        <v>21094</v>
      </c>
      <c r="B16748" s="4" t="s">
        <v>21096</v>
      </c>
      <c r="C16748" s="5" t="str">
        <f>IFERROR(__xludf.DUMMYFUNCTION("GOOGLETRANSLATE(B16748,""en"",""es-ES"")"),"Otros hombres ayudan a plantar las áreas mientras se mueven alrededor de las carretillas y plantando plantas mientras hablan con la cámara.")</f>
        <v>Otros hombres ayudan a plantar las áreas mientras se mueven alrededor de las carretillas y plantando plantas mientras hablan con la cámara.</v>
      </c>
    </row>
    <row r="16749">
      <c r="A16749" s="4" t="s">
        <v>21097</v>
      </c>
      <c r="B16749" s="4" t="s">
        <v>21098</v>
      </c>
      <c r="C16749" s="5" t="str">
        <f>IFERROR(__xludf.DUMMYFUNCTION("GOOGLETRANSLATE(B16749,""en"",""es-ES"")"),"Un hombre lanza una bolas de bolos y lanza todos los alfileres cada vez.")</f>
        <v>Un hombre lanza una bolas de bolos y lanza todos los alfileres cada vez.</v>
      </c>
    </row>
    <row r="16750">
      <c r="A16750" s="4" t="s">
        <v>21097</v>
      </c>
      <c r="B16750" s="4" t="s">
        <v>21099</v>
      </c>
      <c r="C16750" s="5" t="str">
        <f>IFERROR(__xludf.DUMMYFUNCTION("GOOGLETRANSLATE(B16750,""en"",""es-ES"")"),"Luego, el hombre continúa jugando con éxito con éxito.")</f>
        <v>Luego, el hombre continúa jugando con éxito con éxito.</v>
      </c>
    </row>
    <row r="16751">
      <c r="A16751" s="4" t="s">
        <v>21097</v>
      </c>
      <c r="B16751" s="4" t="s">
        <v>21100</v>
      </c>
      <c r="C16751" s="5" t="str">
        <f>IFERROR(__xludf.DUMMYFUNCTION("GOOGLETRANSLATE(B16751,""en"",""es-ES"")"),"El hombre pierde un pin en la última jugada.")</f>
        <v>El hombre pierde un pin en la última jugada.</v>
      </c>
    </row>
    <row r="16752">
      <c r="A16752" s="4" t="s">
        <v>21101</v>
      </c>
      <c r="B16752" s="4" t="s">
        <v>21102</v>
      </c>
      <c r="C16752" s="5" t="str">
        <f>IFERROR(__xludf.DUMMYFUNCTION("GOOGLETRANSLATE(B16752,""en"",""es-ES"")"),"Un descansa debajo de un automóvil en su lugar pero no lo levanta del suelo.")</f>
        <v>Un descansa debajo de un automóvil en su lugar pero no lo levanta del suelo.</v>
      </c>
    </row>
    <row r="16753">
      <c r="A16753" s="4" t="s">
        <v>21101</v>
      </c>
      <c r="B16753" s="4" t="s">
        <v>21103</v>
      </c>
      <c r="C16753" s="5" t="str">
        <f>IFERROR(__xludf.DUMMYFUNCTION("GOOGLETRANSLATE(B16753,""en"",""es-ES"")"),"Un hombre usa un taladro eléctrico para terminar el gato del piso y levantar el neumático del automóvil del suelo.")</f>
        <v>Un hombre usa un taladro eléctrico para terminar el gato del piso y levantar el neumático del automóvil del suelo.</v>
      </c>
    </row>
    <row r="16754">
      <c r="A16754" s="4" t="s">
        <v>21101</v>
      </c>
      <c r="B16754" s="4" t="s">
        <v>21104</v>
      </c>
      <c r="C16754" s="5" t="str">
        <f>IFERROR(__xludf.DUMMYFUNCTION("GOOGLETRANSLATE(B16754,""en"",""es-ES"")"),"El hombre usa el taladro eléctrico nuevamente para tener en cuenta el gato del piso y bajar el automóvil.")</f>
        <v>El hombre usa el taladro eléctrico nuevamente para tener en cuenta el gato del piso y bajar el automóvil.</v>
      </c>
    </row>
    <row r="16755">
      <c r="A16755" s="4" t="s">
        <v>21105</v>
      </c>
      <c r="B16755" s="4" t="s">
        <v>21106</v>
      </c>
      <c r="C16755" s="5" t="str">
        <f>IFERROR(__xludf.DUMMYFUNCTION("GOOGLETRANSLATE(B16755,""en"",""es-ES"")"),"Una gimnasta masculina se acerca a una viga, pisando las manos.")</f>
        <v>Una gimnasta masculina se acerca a una viga, pisando las manos.</v>
      </c>
    </row>
    <row r="16756">
      <c r="A16756" s="4" t="s">
        <v>21105</v>
      </c>
      <c r="B16756" s="4" t="s">
        <v>21107</v>
      </c>
      <c r="C16756" s="5" t="str">
        <f>IFERROR(__xludf.DUMMYFUNCTION("GOOGLETRANSLATE(B16756,""en"",""es-ES"")"),"Él monta la viga, luego gira a su alrededor varias veces, cambiando entre barras.")</f>
        <v>Él monta la viga, luego gira a su alrededor varias veces, cambiando entre barras.</v>
      </c>
    </row>
    <row r="16757">
      <c r="A16757" s="4" t="s">
        <v>21105</v>
      </c>
      <c r="B16757" s="4" t="s">
        <v>21108</v>
      </c>
      <c r="C16757" s="5" t="str">
        <f>IFERROR(__xludf.DUMMYFUNCTION("GOOGLETRANSLATE(B16757,""en"",""es-ES"")"),"Desmita, luego levanta los brazos en el aire.")</f>
        <v>Desmita, luego levanta los brazos en el aire.</v>
      </c>
    </row>
    <row r="16758">
      <c r="A16758" s="4" t="s">
        <v>21109</v>
      </c>
      <c r="B16758" s="4" t="s">
        <v>21110</v>
      </c>
      <c r="C16758" s="5" t="str">
        <f>IFERROR(__xludf.DUMMYFUNCTION("GOOGLETRANSLATE(B16758,""en"",""es-ES"")"),"Una mujer joven está sosteniendo una tableta para grabar un video de personas que corren en una carrera y está parada en las gradas en una pista llena de personas.")</f>
        <v>Una mujer joven está sosteniendo una tableta para grabar un video de personas que corren en una carrera y está parada en las gradas en una pista llena de personas.</v>
      </c>
    </row>
    <row r="16759">
      <c r="A16759" s="4" t="s">
        <v>21109</v>
      </c>
      <c r="B16759" s="4" t="s">
        <v>21111</v>
      </c>
      <c r="C16759" s="5" t="str">
        <f>IFERROR(__xludf.DUMMYFUNCTION("GOOGLETRANSLATE(B16759,""en"",""es-ES"")"),"Un hombre corre por el campo de la hierba con una camisa naranja y una bandera en la hierba en el medio de la pista.")</f>
        <v>Un hombre corre por el campo de la hierba con una camisa naranja y una bandera en la hierba en el medio de la pista.</v>
      </c>
    </row>
    <row r="16760">
      <c r="A16760" s="4" t="s">
        <v>21109</v>
      </c>
      <c r="B16760" s="4" t="s">
        <v>21112</v>
      </c>
      <c r="C16760" s="5" t="str">
        <f>IFERROR(__xludf.DUMMYFUNCTION("GOOGLETRANSLATE(B16760,""en"",""es-ES"")"),"Otro hombre con una camisa negra corre hacia el hombre con la camisa naranja.")</f>
        <v>Otro hombre con una camisa negra corre hacia el hombre con la camisa naranja.</v>
      </c>
    </row>
    <row r="16761">
      <c r="A16761" s="4" t="s">
        <v>21109</v>
      </c>
      <c r="B16761" s="4" t="s">
        <v>21113</v>
      </c>
      <c r="C16761" s="5" t="str">
        <f>IFERROR(__xludf.DUMMYFUNCTION("GOOGLETRANSLATE(B16761,""en"",""es-ES"")"),"La joven continúa en video la pista con su tableta.")</f>
        <v>La joven continúa en video la pista con su tableta.</v>
      </c>
    </row>
    <row r="16762">
      <c r="A16762" s="4" t="s">
        <v>21109</v>
      </c>
      <c r="B16762" s="4" t="s">
        <v>21114</v>
      </c>
      <c r="C16762" s="5" t="str">
        <f>IFERROR(__xludf.DUMMYFUNCTION("GOOGLETRANSLATE(B16762,""en"",""es-ES"")"),"El hombre de la camisa naranja vuelve a correr por la hierba.")</f>
        <v>El hombre de la camisa naranja vuelve a correr por la hierba.</v>
      </c>
    </row>
    <row r="16763">
      <c r="A16763" s="4" t="s">
        <v>21109</v>
      </c>
      <c r="B16763" s="4" t="s">
        <v>21115</v>
      </c>
      <c r="C16763" s="5" t="str">
        <f>IFERROR(__xludf.DUMMYFUNCTION("GOOGLETRANSLATE(B16763,""en"",""es-ES"")"),"La joven baja su tableta después de tratar de video el juego y mira a la distancia a las personas en la pista.")</f>
        <v>La joven baja su tableta después de tratar de video el juego y mira a la distancia a las personas en la pista.</v>
      </c>
    </row>
    <row r="16764">
      <c r="A16764" s="4" t="s">
        <v>21109</v>
      </c>
      <c r="B16764" s="4" t="s">
        <v>21116</v>
      </c>
      <c r="C16764" s="5" t="str">
        <f>IFERROR(__xludf.DUMMYFUNCTION("GOOGLETRANSLATE(B16764,""en"",""es-ES"")"),"Todos comienzan a aplaudir en las gradas.")</f>
        <v>Todos comienzan a aplaudir en las gradas.</v>
      </c>
    </row>
    <row r="16765">
      <c r="A16765" s="4" t="s">
        <v>21109</v>
      </c>
      <c r="B16765" s="4" t="s">
        <v>21117</v>
      </c>
      <c r="C16765" s="5" t="str">
        <f>IFERROR(__xludf.DUMMYFUNCTION("GOOGLETRANSLATE(B16765,""en"",""es-ES"")"),"Hay una foto con un chico con un uniforme de pista.")</f>
        <v>Hay una foto con un chico con un uniforme de pista.</v>
      </c>
    </row>
    <row r="16766">
      <c r="A16766" s="4" t="s">
        <v>21118</v>
      </c>
      <c r="B16766" s="4" t="s">
        <v>21119</v>
      </c>
      <c r="C16766" s="5" t="str">
        <f>IFERROR(__xludf.DUMMYFUNCTION("GOOGLETRANSLATE(B16766,""en"",""es-ES"")"),"La puerta se abre y dos personas que usan zapatillas entran en la habitación.")</f>
        <v>La puerta se abre y dos personas que usan zapatillas entran en la habitación.</v>
      </c>
    </row>
    <row r="16767">
      <c r="A16767" s="4" t="s">
        <v>21118</v>
      </c>
      <c r="B16767" s="4" t="s">
        <v>21120</v>
      </c>
      <c r="C16767" s="5" t="str">
        <f>IFERROR(__xludf.DUMMYFUNCTION("GOOGLETRANSLATE(B16767,""en"",""es-ES"")"),"Un logotipo aparece brevemente en la pantalla.")</f>
        <v>Un logotipo aparece brevemente en la pantalla.</v>
      </c>
    </row>
    <row r="16768">
      <c r="A16768" s="4" t="s">
        <v>21118</v>
      </c>
      <c r="B16768" s="4" t="s">
        <v>21121</v>
      </c>
      <c r="C16768" s="5" t="str">
        <f>IFERROR(__xludf.DUMMYFUNCTION("GOOGLETRANSLATE(B16768,""en"",""es-ES"")"),"Dos hombres parados frente a un par de lavabos y espejos de baño retiran las túnicas que usan para revelar ropa spandex, luego girar para mirar la cámara para hablar.")</f>
        <v>Dos hombres parados frente a un par de lavabos y espejos de baño retiran las túnicas que usan para revelar ropa spandex, luego girar para mirar la cámara para hablar.</v>
      </c>
    </row>
    <row r="16769">
      <c r="A16769" s="4" t="s">
        <v>21118</v>
      </c>
      <c r="B16769" s="4" t="s">
        <v>21122</v>
      </c>
      <c r="C16769" s="5" t="str">
        <f>IFERROR(__xludf.DUMMYFUNCTION("GOOGLETRANSLATE(B16769,""en"",""es-ES"")"),"Un gran grupo de personas andar en bicicleta por el camino.")</f>
        <v>Un gran grupo de personas andar en bicicleta por el camino.</v>
      </c>
    </row>
    <row r="16770">
      <c r="A16770" s="4" t="s">
        <v>21118</v>
      </c>
      <c r="B16770" s="4" t="s">
        <v>21123</v>
      </c>
      <c r="C16770" s="5" t="str">
        <f>IFERROR(__xludf.DUMMYFUNCTION("GOOGLETRANSLATE(B16770,""en"",""es-ES"")"),"Un hombre descalzo se para en un baño.")</f>
        <v>Un hombre descalzo se para en un baño.</v>
      </c>
    </row>
    <row r="16771">
      <c r="A16771" s="4" t="s">
        <v>21118</v>
      </c>
      <c r="B16771" s="4" t="s">
        <v>21124</v>
      </c>
      <c r="C16771" s="5" t="str">
        <f>IFERROR(__xludf.DUMMYFUNCTION("GOOGLETRANSLATE(B16771,""en"",""es-ES"")"),"El título ""Cómo afeitarse las piernas"" aparece sobre un hombre que realiza esa acción.")</f>
        <v>El título "Cómo afeitarse las piernas" aparece sobre un hombre que realiza esa acción.</v>
      </c>
    </row>
    <row r="16772">
      <c r="A16772" s="4" t="s">
        <v>21118</v>
      </c>
      <c r="B16772" s="4" t="s">
        <v>21125</v>
      </c>
      <c r="C16772" s="5" t="str">
        <f>IFERROR(__xludf.DUMMYFUNCTION("GOOGLETRANSLATE(B16772,""en"",""es-ES"")"),"Los hombres discuten y demuestran usar una navaja de afeitar eléctrica para afeitarse las piernas.")</f>
        <v>Los hombres discuten y demuestran usar una navaja de afeitar eléctrica para afeitarse las piernas.</v>
      </c>
    </row>
    <row r="16773">
      <c r="A16773" s="4" t="s">
        <v>21118</v>
      </c>
      <c r="B16773" s="4" t="s">
        <v>21126</v>
      </c>
      <c r="C16773" s="5" t="str">
        <f>IFERROR(__xludf.DUMMYFUNCTION("GOOGLETRANSLATE(B16773,""en"",""es-ES"")"),"Uno luego discute qué tan altas deben afeitarse las piernas.")</f>
        <v>Uno luego discute qué tan altas deben afeitarse las piernas.</v>
      </c>
    </row>
    <row r="16774">
      <c r="A16774" s="4" t="s">
        <v>21118</v>
      </c>
      <c r="B16774" s="4" t="s">
        <v>21127</v>
      </c>
      <c r="C16774" s="5" t="str">
        <f>IFERROR(__xludf.DUMMYFUNCTION("GOOGLETRANSLATE(B16774,""en"",""es-ES"")"),"El hombre demuestra cómo enjuague las piernas.")</f>
        <v>El hombre demuestra cómo enjuague las piernas.</v>
      </c>
    </row>
    <row r="16775">
      <c r="A16775" s="4" t="s">
        <v>21118</v>
      </c>
      <c r="B16775" s="4" t="s">
        <v>21128</v>
      </c>
      <c r="C16775" s="5" t="str">
        <f>IFERROR(__xludf.DUMMYFUNCTION("GOOGLETRANSLATE(B16775,""en"",""es-ES"")"),"Los dos hombres demuestran cómo usar una maquinilla de afeitar para afeitarse las piernas.")</f>
        <v>Los dos hombres demuestran cómo usar una maquinilla de afeitar para afeitarse las piernas.</v>
      </c>
    </row>
    <row r="16776">
      <c r="A16776" s="4" t="s">
        <v>21118</v>
      </c>
      <c r="B16776" s="4" t="s">
        <v>21129</v>
      </c>
      <c r="C16776" s="5" t="str">
        <f>IFERROR(__xludf.DUMMYFUNCTION("GOOGLETRANSLATE(B16776,""en"",""es-ES"")"),"Luego demuestran cómo enjuagar las piernas.")</f>
        <v>Luego demuestran cómo enjuagar las piernas.</v>
      </c>
    </row>
    <row r="16777">
      <c r="A16777" s="4" t="s">
        <v>21118</v>
      </c>
      <c r="B16777" s="4" t="s">
        <v>21130</v>
      </c>
      <c r="C16777" s="5" t="str">
        <f>IFERROR(__xludf.DUMMYFUNCTION("GOOGLETRANSLATE(B16777,""en"",""es-ES"")"),"Un hombre monta una bicicleta por el camino.")</f>
        <v>Un hombre monta una bicicleta por el camino.</v>
      </c>
    </row>
    <row r="16778">
      <c r="A16778" s="4" t="s">
        <v>21118</v>
      </c>
      <c r="B16778" s="4" t="s">
        <v>21131</v>
      </c>
      <c r="C16778" s="5" t="str">
        <f>IFERROR(__xludf.DUMMYFUNCTION("GOOGLETRANSLATE(B16778,""en"",""es-ES"")"),"Los dos hombres afeitan su otra pierna.")</f>
        <v>Los dos hombres afeitan su otra pierna.</v>
      </c>
    </row>
    <row r="16779">
      <c r="A16779" s="4" t="s">
        <v>21132</v>
      </c>
      <c r="B16779" s="4" t="s">
        <v>21133</v>
      </c>
      <c r="C16779" s="5" t="str">
        <f>IFERROR(__xludf.DUMMYFUNCTION("GOOGLETRANSLATE(B16779,""en"",""es-ES"")"),"Dos niños están parados frente a un árbol de Navidad que muestra botas moradas que están en el árbol de Navidad colgando.")</f>
        <v>Dos niños están parados frente a un árbol de Navidad que muestra botas moradas que están en el árbol de Navidad colgando.</v>
      </c>
    </row>
    <row r="16780">
      <c r="A16780" s="4" t="s">
        <v>21132</v>
      </c>
      <c r="B16780" s="4" t="s">
        <v>21134</v>
      </c>
      <c r="C16780" s="5" t="str">
        <f>IFERROR(__xludf.DUMMYFUNCTION("GOOGLETRANSLATE(B16780,""en"",""es-ES"")"),"Los niños señalan las bolas y los ornamenses.")</f>
        <v>Los niños señalan las bolas y los ornamenses.</v>
      </c>
    </row>
    <row r="16781">
      <c r="A16781" s="4" t="s">
        <v>21132</v>
      </c>
      <c r="B16781" s="4" t="s">
        <v>21135</v>
      </c>
      <c r="C16781" s="5" t="str">
        <f>IFERROR(__xludf.DUMMYFUNCTION("GOOGLETRANSLATE(B16781,""en"",""es-ES"")"),"Los niños se paran al lado de los tres y se despiden de la cámara.")</f>
        <v>Los niños se paran al lado de los tres y se despiden de la cámara.</v>
      </c>
    </row>
    <row r="16782">
      <c r="A16782" s="4" t="s">
        <v>21136</v>
      </c>
      <c r="B16782" s="4" t="s">
        <v>3869</v>
      </c>
      <c r="C16782" s="5" t="str">
        <f>IFERROR(__xludf.DUMMYFUNCTION("GOOGLETRANSLATE(B16782,""en"",""es-ES"")"),"Una mujer está bailando en un escenario.")</f>
        <v>Una mujer está bailando en un escenario.</v>
      </c>
    </row>
    <row r="16783">
      <c r="A16783" s="4" t="s">
        <v>21136</v>
      </c>
      <c r="B16783" s="4" t="s">
        <v>21137</v>
      </c>
      <c r="C16783" s="5" t="str">
        <f>IFERROR(__xludf.DUMMYFUNCTION("GOOGLETRANSLATE(B16783,""en"",""es-ES"")"),"Una persona los levanta en el aire sobre ellos.")</f>
        <v>Una persona los levanta en el aire sobre ellos.</v>
      </c>
    </row>
    <row r="16784">
      <c r="A16784" s="4" t="s">
        <v>21136</v>
      </c>
      <c r="B16784" s="4" t="s">
        <v>21138</v>
      </c>
      <c r="C16784" s="5" t="str">
        <f>IFERROR(__xludf.DUMMYFUNCTION("GOOGLETRANSLATE(B16784,""en"",""es-ES"")"),"Las bailarinas están bailando en un escenario.")</f>
        <v>Las bailarinas están bailando en un escenario.</v>
      </c>
    </row>
    <row r="16785">
      <c r="A16785" s="4" t="s">
        <v>21139</v>
      </c>
      <c r="B16785" s="4" t="s">
        <v>21140</v>
      </c>
      <c r="C16785" s="5" t="str">
        <f>IFERROR(__xludf.DUMMYFUNCTION("GOOGLETRANSLATE(B16785,""en"",""es-ES"")"),"A la gente se les lleva cuesta arriba sobre una cuerda de remolcador sentada en los tubos.")</f>
        <v>A la gente se les lleva cuesta arriba sobre una cuerda de remolcador sentada en los tubos.</v>
      </c>
    </row>
    <row r="16786">
      <c r="A16786" s="4" t="s">
        <v>21139</v>
      </c>
      <c r="B16786" s="4" t="s">
        <v>21141</v>
      </c>
      <c r="C16786" s="5" t="str">
        <f>IFERROR(__xludf.DUMMYFUNCTION("GOOGLETRANSLATE(B16786,""en"",""es-ES"")"),"Una familia tira de sus tubos entre a mano y la cima de la colina.")</f>
        <v>Una familia tira de sus tubos entre a mano y la cima de la colina.</v>
      </c>
    </row>
    <row r="16787">
      <c r="A16787" s="4" t="s">
        <v>21139</v>
      </c>
      <c r="B16787" s="4" t="s">
        <v>21142</v>
      </c>
      <c r="C16787" s="5" t="str">
        <f>IFERROR(__xludf.DUMMYFUNCTION("GOOGLETRANSLATE(B16787,""en"",""es-ES"")"),"Una persona se sienta en un tubo en la cima de una colina y luego se mueve por la pendiente riendo.")</f>
        <v>Una persona se sienta en un tubo en la cima de una colina y luego se mueve por la pendiente riendo.</v>
      </c>
    </row>
    <row r="16788">
      <c r="A16788" s="4" t="s">
        <v>21139</v>
      </c>
      <c r="B16788" s="4" t="s">
        <v>21143</v>
      </c>
      <c r="C16788" s="5" t="str">
        <f>IFERROR(__xludf.DUMMYFUNCTION("GOOGLETRANSLATE(B16788,""en"",""es-ES"")"),"La familia junta los tubos entre una agrupación circular con los niños sentados en ellos.")</f>
        <v>La familia junta los tubos entre una agrupación circular con los niños sentados en ellos.</v>
      </c>
    </row>
    <row r="16789">
      <c r="A16789" s="4" t="s">
        <v>21139</v>
      </c>
      <c r="B16789" s="4" t="s">
        <v>21144</v>
      </c>
      <c r="C16789" s="5" t="str">
        <f>IFERROR(__xludf.DUMMYFUNCTION("GOOGLETRANSLATE(B16789,""en"",""es-ES"")"),"La familia monta en una gran agrupación de tubos entre una pendiente nevada.")</f>
        <v>La familia monta en una gran agrupación de tubos entre una pendiente nevada.</v>
      </c>
    </row>
    <row r="16790">
      <c r="A16790" s="4" t="s">
        <v>21145</v>
      </c>
      <c r="B16790" s="4" t="s">
        <v>21146</v>
      </c>
      <c r="C16790" s="5" t="str">
        <f>IFERROR(__xludf.DUMMYFUNCTION("GOOGLETRANSLATE(B16790,""en"",""es-ES"")"),"Se ve a un hombre atlético girando en círculos y lanzando una discusión por mucho tiempo en un campo.")</f>
        <v>Se ve a un hombre atlético girando en círculos y lanzando una discusión por mucho tiempo en un campo.</v>
      </c>
    </row>
    <row r="16791">
      <c r="A16791" s="4" t="s">
        <v>21145</v>
      </c>
      <c r="B16791" s="4" t="s">
        <v>21147</v>
      </c>
      <c r="C16791" s="5" t="str">
        <f>IFERROR(__xludf.DUMMYFUNCTION("GOOGLETRANSLATE(B16791,""en"",""es-ES"")"),"Pasa y arroja varias bolas más en círculo mientras al final se limpia el sudor de la cara con la camisa.")</f>
        <v>Pasa y arroja varias bolas más en círculo mientras al final se limpia el sudor de la cara con la camisa.</v>
      </c>
    </row>
    <row r="16792">
      <c r="A16792" s="4" t="s">
        <v>21148</v>
      </c>
      <c r="B16792" s="4" t="s">
        <v>21149</v>
      </c>
      <c r="C16792" s="5" t="str">
        <f>IFERROR(__xludf.DUMMYFUNCTION("GOOGLETRANSLATE(B16792,""en"",""es-ES"")"),"Se ve a un hombre caminando por un patio mientras sostiene un palo en la mano.")</f>
        <v>Se ve a un hombre caminando por un patio mientras sostiene un palo en la mano.</v>
      </c>
    </row>
    <row r="16793">
      <c r="A16793" s="4" t="s">
        <v>21148</v>
      </c>
      <c r="B16793" s="4" t="s">
        <v>21150</v>
      </c>
      <c r="C16793" s="5" t="str">
        <f>IFERROR(__xludf.DUMMYFUNCTION("GOOGLETRANSLATE(B16793,""en"",""es-ES"")"),"Luego se ve al hombre jugando un juego de crochet mientras otros miran a un lado.")</f>
        <v>Luego se ve al hombre jugando un juego de crochet mientras otros miran a un lado.</v>
      </c>
    </row>
    <row r="16794">
      <c r="A16794" s="4" t="s">
        <v>21148</v>
      </c>
      <c r="B16794" s="4" t="s">
        <v>21151</v>
      </c>
      <c r="C16794" s="5" t="str">
        <f>IFERROR(__xludf.DUMMYFUNCTION("GOOGLETRANSLATE(B16794,""en"",""es-ES"")"),"El hombre continúa golpeando la pelota, así como doblando hacia abajo y medir sus tiros.")</f>
        <v>El hombre continúa golpeando la pelota, así como doblando hacia abajo y medir sus tiros.</v>
      </c>
    </row>
    <row r="16795">
      <c r="A16795" s="4" t="s">
        <v>21152</v>
      </c>
      <c r="B16795" s="4" t="s">
        <v>21153</v>
      </c>
      <c r="C16795" s="5" t="str">
        <f>IFERROR(__xludf.DUMMYFUNCTION("GOOGLETRANSLATE(B16795,""en"",""es-ES"")"),"Se muestran los créditos del clip.")</f>
        <v>Se muestran los créditos del clip.</v>
      </c>
    </row>
    <row r="16796">
      <c r="A16796" s="4" t="s">
        <v>21152</v>
      </c>
      <c r="B16796" s="4" t="s">
        <v>21154</v>
      </c>
      <c r="C16796" s="5" t="str">
        <f>IFERROR(__xludf.DUMMYFUNCTION("GOOGLETRANSLATE(B16796,""en"",""es-ES"")"),"Las limas se cortan en pedazos en un tablero de corte blanco.")</f>
        <v>Las limas se cortan en pedazos en un tablero de corte blanco.</v>
      </c>
    </row>
    <row r="16797">
      <c r="A16797" s="4" t="s">
        <v>21152</v>
      </c>
      <c r="B16797" s="4" t="s">
        <v>21155</v>
      </c>
      <c r="C16797" s="5" t="str">
        <f>IFERROR(__xludf.DUMMYFUNCTION("GOOGLETRANSLATE(B16797,""en"",""es-ES"")"),"Las limas cortadas se colocan en una licuadora con un líquido y se mezclan.")</f>
        <v>Las limas cortadas se colocan en una licuadora con un líquido y se mezclan.</v>
      </c>
    </row>
    <row r="16798">
      <c r="A16798" s="4" t="s">
        <v>21152</v>
      </c>
      <c r="B16798" s="4" t="s">
        <v>21156</v>
      </c>
      <c r="C16798" s="5" t="str">
        <f>IFERROR(__xludf.DUMMYFUNCTION("GOOGLETRANSLATE(B16798,""en"",""es-ES"")"),"El líquido se agrega a un lanzador con un colador.")</f>
        <v>El líquido se agrega a un lanzador con un colador.</v>
      </c>
    </row>
    <row r="16799">
      <c r="A16799" s="4" t="s">
        <v>21152</v>
      </c>
      <c r="B16799" s="4" t="s">
        <v>21157</v>
      </c>
      <c r="C16799" s="5" t="str">
        <f>IFERROR(__xludf.DUMMYFUNCTION("GOOGLETRANSLATE(B16799,""en"",""es-ES"")"),"Se muestran los créditos de video.")</f>
        <v>Se muestran los créditos de video.</v>
      </c>
    </row>
    <row r="16800">
      <c r="A16800" s="4" t="s">
        <v>21158</v>
      </c>
      <c r="B16800" s="4" t="s">
        <v>21159</v>
      </c>
      <c r="C16800" s="5" t="str">
        <f>IFERROR(__xludf.DUMMYFUNCTION("GOOGLETRANSLATE(B16800,""en"",""es-ES"")"),"Una mujer de noticias se sienta en un escritorio, hablando.")</f>
        <v>Una mujer de noticias se sienta en un escritorio, hablando.</v>
      </c>
    </row>
    <row r="16801">
      <c r="A16801" s="4" t="s">
        <v>21158</v>
      </c>
      <c r="B16801" s="4" t="s">
        <v>21160</v>
      </c>
      <c r="C16801" s="5" t="str">
        <f>IFERROR(__xludf.DUMMYFUNCTION("GOOGLETRANSLATE(B16801,""en"",""es-ES"")"),"Vemos a numerosas personas corriendo al agua con kayaks, corriendo por un río de rápidos.")</f>
        <v>Vemos a numerosas personas corriendo al agua con kayaks, corriendo por un río de rápidos.</v>
      </c>
    </row>
    <row r="16802">
      <c r="A16802" s="4" t="s">
        <v>21158</v>
      </c>
      <c r="B16802" s="4" t="s">
        <v>21161</v>
      </c>
      <c r="C16802" s="5" t="str">
        <f>IFERROR(__xludf.DUMMYFUNCTION("GOOGLETRANSLATE(B16802,""en"",""es-ES"")"),"Cuando terminan, varios de los competidores son entrevistados en cámara, y otros caminan en el agua en kayaks falsos.")</f>
        <v>Cuando terminan, varios de los competidores son entrevistados en cámara, y otros caminan en el agua en kayaks falsos.</v>
      </c>
    </row>
    <row r="16803">
      <c r="A16803" s="4" t="s">
        <v>21162</v>
      </c>
      <c r="B16803" s="4" t="s">
        <v>21163</v>
      </c>
      <c r="C16803" s="5" t="str">
        <f>IFERROR(__xludf.DUMMYFUNCTION("GOOGLETRANSLATE(B16803,""en"",""es-ES"")"),"Vemos a una mujer embarazada haciendo ballet en un estudio.")</f>
        <v>Vemos a una mujer embarazada haciendo ballet en un estudio.</v>
      </c>
    </row>
    <row r="16804">
      <c r="A16804" s="4" t="s">
        <v>21162</v>
      </c>
      <c r="B16804" s="4" t="s">
        <v>21164</v>
      </c>
      <c r="C16804" s="5" t="str">
        <f>IFERROR(__xludf.DUMMYFUNCTION("GOOGLETRANSLATE(B16804,""en"",""es-ES"")"),"La dama gira y hace una pliea.")</f>
        <v>La dama gira y hace una pliea.</v>
      </c>
    </row>
    <row r="16805">
      <c r="A16805" s="4" t="s">
        <v>21162</v>
      </c>
      <c r="B16805" s="4" t="s">
        <v>21165</v>
      </c>
      <c r="C16805" s="5" t="str">
        <f>IFERROR(__xludf.DUMMYFUNCTION("GOOGLETRANSLATE(B16805,""en"",""es-ES"")"),"La gente en el fondo aplaude para la dama.")</f>
        <v>La gente en el fondo aplaude para la dama.</v>
      </c>
    </row>
    <row r="16806">
      <c r="A16806" s="4" t="s">
        <v>21162</v>
      </c>
      <c r="B16806" s="4" t="s">
        <v>21166</v>
      </c>
      <c r="C16806" s="5" t="str">
        <f>IFERROR(__xludf.DUMMYFUNCTION("GOOGLETRANSLATE(B16806,""en"",""es-ES"")"),"La señora luego sale de la cámara mientras se ríe.")</f>
        <v>La señora luego sale de la cámara mientras se ríe.</v>
      </c>
    </row>
    <row r="16807">
      <c r="A16807" s="4" t="s">
        <v>21167</v>
      </c>
      <c r="B16807" s="4" t="s">
        <v>21168</v>
      </c>
      <c r="C16807" s="5" t="str">
        <f>IFERROR(__xludf.DUMMYFUNCTION("GOOGLETRANSLATE(B16807,""en"",""es-ES"")"),"Dos grifos de agua están funcionando y muestran las manos de una persona debajo del fregadero.")</f>
        <v>Dos grifos de agua están funcionando y muestran las manos de una persona debajo del fregadero.</v>
      </c>
    </row>
    <row r="16808">
      <c r="A16808" s="4" t="s">
        <v>21167</v>
      </c>
      <c r="B16808" s="4" t="s">
        <v>21169</v>
      </c>
      <c r="C16808" s="5" t="str">
        <f>IFERROR(__xludf.DUMMYFUNCTION("GOOGLETRANSLATE(B16808,""en"",""es-ES"")"),"El hombre mueve sus manos y luego termina con él limpiando sus manos a través de su cabello.")</f>
        <v>El hombre mueve sus manos y luego termina con él limpiando sus manos a través de su cabello.</v>
      </c>
    </row>
    <row r="16809">
      <c r="A16809" s="4" t="s">
        <v>21170</v>
      </c>
      <c r="B16809" s="4" t="s">
        <v>21171</v>
      </c>
      <c r="C16809" s="5" t="str">
        <f>IFERROR(__xludf.DUMMYFUNCTION("GOOGLETRANSLATE(B16809,""en"",""es-ES"")"),"Un hombre con traje rosa habla con un hombre con un traje rojo y un hombre que no usa una camisa.")</f>
        <v>Un hombre con traje rosa habla con un hombre con un traje rojo y un hombre que no usa una camisa.</v>
      </c>
    </row>
    <row r="16810">
      <c r="A16810" s="4" t="s">
        <v>21170</v>
      </c>
      <c r="B16810" s="4" t="s">
        <v>21172</v>
      </c>
      <c r="C16810" s="5" t="str">
        <f>IFERROR(__xludf.DUMMYFUNCTION("GOOGLETRANSLATE(B16810,""en"",""es-ES"")"),"Tocan tijeras de papel rock.")</f>
        <v>Tocan tijeras de papel rock.</v>
      </c>
    </row>
    <row r="16811">
      <c r="A16811" s="4" t="s">
        <v>21170</v>
      </c>
      <c r="B16811" s="4" t="s">
        <v>21173</v>
      </c>
      <c r="C16811" s="5" t="str">
        <f>IFERROR(__xludf.DUMMYFUNCTION("GOOGLETRANSLATE(B16811,""en"",""es-ES"")"),"El hombre del traje rosa celebra.")</f>
        <v>El hombre del traje rosa celebra.</v>
      </c>
    </row>
    <row r="16812">
      <c r="A16812" s="4" t="s">
        <v>21170</v>
      </c>
      <c r="B16812" s="4" t="s">
        <v>21174</v>
      </c>
      <c r="C16812" s="5" t="str">
        <f>IFERROR(__xludf.DUMMYFUNCTION("GOOGLETRANSLATE(B16812,""en"",""es-ES"")"),"El hombre que no usa una camisa persigue al hombre con el traje rosa.")</f>
        <v>El hombre que no usa una camisa persigue al hombre con el traje rosa.</v>
      </c>
    </row>
    <row r="16813">
      <c r="A16813" s="4" t="s">
        <v>21170</v>
      </c>
      <c r="B16813" s="4" t="s">
        <v>21175</v>
      </c>
      <c r="C16813" s="5" t="str">
        <f>IFERROR(__xludf.DUMMYFUNCTION("GOOGLETRANSLATE(B16813,""en"",""es-ES"")"),"El hombre con el traje rosa se cae.")</f>
        <v>El hombre con el traje rosa se cae.</v>
      </c>
    </row>
    <row r="16814">
      <c r="A16814" s="4" t="s">
        <v>21170</v>
      </c>
      <c r="B16814" s="4" t="s">
        <v>21176</v>
      </c>
      <c r="C16814" s="5" t="str">
        <f>IFERROR(__xludf.DUMMYFUNCTION("GOOGLETRANSLATE(B16814,""en"",""es-ES"")"),"El hombre que no usa una camisa arroja un barril blanco al hombre en el suelo.")</f>
        <v>El hombre que no usa una camisa arroja un barril blanco al hombre en el suelo.</v>
      </c>
    </row>
    <row r="16815">
      <c r="A16815" s="4" t="s">
        <v>21170</v>
      </c>
      <c r="B16815" s="4" t="s">
        <v>21177</v>
      </c>
      <c r="C16815" s="5" t="str">
        <f>IFERROR(__xludf.DUMMYFUNCTION("GOOGLETRANSLATE(B16815,""en"",""es-ES"")"),"Un hombre con traje negro sale de los arbustos.")</f>
        <v>Un hombre con traje negro sale de los arbustos.</v>
      </c>
    </row>
    <row r="16816">
      <c r="A16816" s="4" t="s">
        <v>21170</v>
      </c>
      <c r="B16816" s="4" t="s">
        <v>21178</v>
      </c>
      <c r="C16816" s="5" t="str">
        <f>IFERROR(__xludf.DUMMYFUNCTION("GOOGLETRANSLATE(B16816,""en"",""es-ES"")"),"Lucha contra el hombre con el traje rojo.")</f>
        <v>Lucha contra el hombre con el traje rojo.</v>
      </c>
    </row>
    <row r="16817">
      <c r="A16817" s="4" t="s">
        <v>21170</v>
      </c>
      <c r="B16817" s="4" t="s">
        <v>21179</v>
      </c>
      <c r="C16817" s="5" t="str">
        <f>IFERROR(__xludf.DUMMYFUNCTION("GOOGLETRANSLATE(B16817,""en"",""es-ES"")"),"El hombre con una camisa arroja un barril al hombre con el traje negro.")</f>
        <v>El hombre con una camisa arroja un barril al hombre con el traje negro.</v>
      </c>
    </row>
    <row r="16818">
      <c r="A16818" s="4" t="s">
        <v>21180</v>
      </c>
      <c r="B16818" s="4" t="s">
        <v>21181</v>
      </c>
      <c r="C16818" s="5" t="str">
        <f>IFERROR(__xludf.DUMMYFUNCTION("GOOGLETRANSLATE(B16818,""en"",""es-ES"")"),"Un corredor de salto se calienta antes de salir a un salto de longitud.")</f>
        <v>Un corredor de salto se calienta antes de salir a un salto de longitud.</v>
      </c>
    </row>
    <row r="16819">
      <c r="A16819" s="4" t="s">
        <v>21180</v>
      </c>
      <c r="B16819" s="4" t="s">
        <v>21182</v>
      </c>
      <c r="C16819" s="5" t="str">
        <f>IFERROR(__xludf.DUMMYFUNCTION("GOOGLETRANSLATE(B16819,""en"",""es-ES"")"),"Él hace el salto de longitud, luego inmediatamente salta y corre hacia atrás, animando y celebrando con la multitud.")</f>
        <v>Él hace el salto de longitud, luego inmediatamente salta y corre hacia atrás, animando y celebrando con la multitud.</v>
      </c>
    </row>
    <row r="16820">
      <c r="A16820" s="4" t="s">
        <v>21180</v>
      </c>
      <c r="B16820" s="4" t="s">
        <v>21183</v>
      </c>
      <c r="C16820" s="5" t="str">
        <f>IFERROR(__xludf.DUMMYFUNCTION("GOOGLETRANSLATE(B16820,""en"",""es-ES"")"),"Le golpea el pecho y abraza a la gente.")</f>
        <v>Le golpea el pecho y abraza a la gente.</v>
      </c>
    </row>
    <row r="16821">
      <c r="A16821" s="4" t="s">
        <v>21180</v>
      </c>
      <c r="B16821" s="4" t="s">
        <v>21184</v>
      </c>
      <c r="C16821" s="5" t="str">
        <f>IFERROR(__xludf.DUMMYFUNCTION("GOOGLETRANSLATE(B16821,""en"",""es-ES"")"),"Luego posa frente a un marcador mientras la gente toma fotografías.")</f>
        <v>Luego posa frente a un marcador mientras la gente toma fotografías.</v>
      </c>
    </row>
    <row r="16822">
      <c r="A16822" s="4" t="s">
        <v>21185</v>
      </c>
      <c r="B16822" s="4" t="s">
        <v>21186</v>
      </c>
      <c r="C16822" s="5" t="str">
        <f>IFERROR(__xludf.DUMMYFUNCTION("GOOGLETRANSLATE(B16822,""en"",""es-ES"")"),"Un hombre hace reparaciones en una bicicleta en los pisos de madera dura de una habitación, mientras que dos gatos se ven.")</f>
        <v>Un hombre hace reparaciones en una bicicleta en los pisos de madera dura de una habitación, mientras que dos gatos se ven.</v>
      </c>
    </row>
    <row r="16823">
      <c r="A16823" s="4" t="s">
        <v>21185</v>
      </c>
      <c r="B16823" s="4" t="s">
        <v>21187</v>
      </c>
      <c r="C16823" s="5" t="str">
        <f>IFERROR(__xludf.DUMMYFUNCTION("GOOGLETRANSLATE(B16823,""en"",""es-ES"")"),"Un hombre entra en un dormitorio y toma una parte de una bicicleta en el piso de su habitación.")</f>
        <v>Un hombre entra en un dormitorio y toma una parte de una bicicleta en el piso de su habitación.</v>
      </c>
    </row>
    <row r="16824">
      <c r="A16824" s="4" t="s">
        <v>21185</v>
      </c>
      <c r="B16824" s="4" t="s">
        <v>21188</v>
      </c>
      <c r="C16824" s="5" t="str">
        <f>IFERROR(__xludf.DUMMYFUNCTION("GOOGLETRANSLATE(B16824,""en"",""es-ES"")"),"Luego, el hombre hace reparaciones usando herramientas mientras dos gatos caminan alrededor de la periferia observando y moviéndose.")</f>
        <v>Luego, el hombre hace reparaciones usando herramientas mientras dos gatos caminan alrededor de la periferia observando y moviéndose.</v>
      </c>
    </row>
    <row r="16825">
      <c r="A16825" s="4" t="s">
        <v>21185</v>
      </c>
      <c r="B16825" s="4" t="s">
        <v>21189</v>
      </c>
      <c r="C16825" s="5" t="str">
        <f>IFERROR(__xludf.DUMMYFUNCTION("GOOGLETRANSLATE(B16825,""en"",""es-ES"")"),"El hombre produce mucho polvo negro mientras hace las reparaciones de la bicicleta, y finalmente sale de la habitación, regresa y luego deja nuevamente cuando un gato se acerca al área desde la que trabajaba el hombre.")</f>
        <v>El hombre produce mucho polvo negro mientras hace las reparaciones de la bicicleta, y finalmente sale de la habitación, regresa y luego deja nuevamente cuando un gato se acerca al área desde la que trabajaba el hombre.</v>
      </c>
    </row>
    <row r="16826">
      <c r="A16826" s="4" t="s">
        <v>21190</v>
      </c>
      <c r="B16826" s="4" t="s">
        <v>21191</v>
      </c>
      <c r="C16826" s="5" t="str">
        <f>IFERROR(__xludf.DUMMYFUNCTION("GOOGLETRANSLATE(B16826,""en"",""es-ES"")"),"Un niño con una camisa azul es un abordaje largo.")</f>
        <v>Un niño con una camisa azul es un abordaje largo.</v>
      </c>
    </row>
    <row r="16827">
      <c r="A16827" s="4" t="s">
        <v>21190</v>
      </c>
      <c r="B16827" s="4" t="s">
        <v>21192</v>
      </c>
      <c r="C16827" s="5" t="str">
        <f>IFERROR(__xludf.DUMMYFUNCTION("GOOGLETRANSLATE(B16827,""en"",""es-ES"")"),"Se cae y se dirige a la calle.")</f>
        <v>Se cae y se dirige a la calle.</v>
      </c>
    </row>
    <row r="16828">
      <c r="A16828" s="4" t="s">
        <v>21190</v>
      </c>
      <c r="B16828" s="4" t="s">
        <v>21193</v>
      </c>
      <c r="C16828" s="5" t="str">
        <f>IFERROR(__xludf.DUMMYFUNCTION("GOOGLETRANSLATE(B16828,""en"",""es-ES"")"),"Sigue bajando por la calle en su largo tablero.")</f>
        <v>Sigue bajando por la calle en su largo tablero.</v>
      </c>
    </row>
    <row r="16829">
      <c r="A16829" s="4" t="s">
        <v>21194</v>
      </c>
      <c r="B16829" s="4" t="s">
        <v>21195</v>
      </c>
      <c r="C16829" s="5" t="str">
        <f>IFERROR(__xludf.DUMMYFUNCTION("GOOGLETRANSLATE(B16829,""en"",""es-ES"")"),"Una cámara se acerca a varios alimentos e ingredientes, así como una sartén en una estufa.")</f>
        <v>Una cámara se acerca a varios alimentos e ingredientes, así como una sartén en una estufa.</v>
      </c>
    </row>
    <row r="16830">
      <c r="A16830" s="4" t="s">
        <v>21194</v>
      </c>
      <c r="B16830" s="4" t="s">
        <v>21196</v>
      </c>
      <c r="C16830" s="5" t="str">
        <f>IFERROR(__xludf.DUMMYFUNCTION("GOOGLETRANSLATE(B16830,""en"",""es-ES"")"),"Se ve a una persona que usa guantes extendiendo comida en un plato seguido de una masa grande y una mantequilla extendida sobre él.")</f>
        <v>Se ve a una persona que usa guantes extendiendo comida en un plato seguido de una masa grande y una mantequilla extendida sobre él.</v>
      </c>
    </row>
    <row r="16831">
      <c r="A16831" s="4" t="s">
        <v>21194</v>
      </c>
      <c r="B16831" s="4" t="s">
        <v>21197</v>
      </c>
      <c r="C16831" s="5" t="str">
        <f>IFERROR(__xludf.DUMMYFUNCTION("GOOGLETRANSLATE(B16831,""en"",""es-ES"")"),"La persona continúa haciendo capas y luego deshace el pastel y muestra el pastel sólido.")</f>
        <v>La persona continúa haciendo capas y luego deshace el pastel y muestra el pastel sólido.</v>
      </c>
    </row>
    <row r="16832">
      <c r="A16832" s="4" t="s">
        <v>21194</v>
      </c>
      <c r="B16832" s="4" t="s">
        <v>21198</v>
      </c>
      <c r="C16832" s="5" t="str">
        <f>IFERROR(__xludf.DUMMYFUNCTION("GOOGLETRANSLATE(B16832,""en"",""es-ES"")"),"Saca cinta adhesiva y luego extiende más masa y la extiende por el pastel, mostrando el resultado final.")</f>
        <v>Saca cinta adhesiva y luego extiende más masa y la extiende por el pastel, mostrando el resultado final.</v>
      </c>
    </row>
    <row r="16833">
      <c r="A16833" s="4" t="s">
        <v>21199</v>
      </c>
      <c r="B16833" s="4" t="s">
        <v>21200</v>
      </c>
      <c r="C16833" s="5" t="str">
        <f>IFERROR(__xludf.DUMMYFUNCTION("GOOGLETRANSLATE(B16833,""en"",""es-ES"")"),"Un hombre se encuentra en una mesa llena de objetos mientras la gente escucha al hombre.")</f>
        <v>Un hombre se encuentra en una mesa llena de objetos mientras la gente escucha al hombre.</v>
      </c>
    </row>
    <row r="16834">
      <c r="A16834" s="4" t="s">
        <v>21199</v>
      </c>
      <c r="B16834" s="4" t="s">
        <v>21201</v>
      </c>
      <c r="C16834" s="5" t="str">
        <f>IFERROR(__xludf.DUMMYFUNCTION("GOOGLETRANSLATE(B16834,""en"",""es-ES"")"),"Una mujer exhibe bares de granola y explica a personas alrededor de la mesa.")</f>
        <v>Una mujer exhibe bares de granola y explica a personas alrededor de la mesa.</v>
      </c>
    </row>
    <row r="16835">
      <c r="A16835" s="4" t="s">
        <v>21199</v>
      </c>
      <c r="B16835" s="4" t="s">
        <v>21202</v>
      </c>
      <c r="C16835" s="5" t="str">
        <f>IFERROR(__xludf.DUMMYFUNCTION("GOOGLETRANSLATE(B16835,""en"",""es-ES"")"),"Luego, una persona puso cera en esquís con una pequeña máquina eléctrica en una habitación llena de esquís.")</f>
        <v>Luego, una persona puso cera en esquís con una pequeña máquina eléctrica en una habitación llena de esquís.</v>
      </c>
    </row>
    <row r="16836">
      <c r="A16836" s="4" t="s">
        <v>21203</v>
      </c>
      <c r="B16836" s="4" t="s">
        <v>21204</v>
      </c>
      <c r="C16836" s="5" t="str">
        <f>IFERROR(__xludf.DUMMYFUNCTION("GOOGLETRANSLATE(B16836,""en"",""es-ES"")"),"El hombre está entrevistando a algunas personas que miran a dos mujeres en la lucha libre de bikini, la mujer gana y comienza a saltar.")</f>
        <v>El hombre está entrevistando a algunas personas que miran a dos mujeres en la lucha libre de bikini, la mujer gana y comienza a saltar.</v>
      </c>
    </row>
    <row r="16837">
      <c r="A16837" s="4" t="s">
        <v>21203</v>
      </c>
      <c r="B16837" s="4" t="s">
        <v>21205</v>
      </c>
      <c r="C16837" s="5" t="str">
        <f>IFERROR(__xludf.DUMMYFUNCTION("GOOGLETRANSLATE(B16837,""en"",""es-ES"")"),"Dos mujeres en bikini están de pie con un enano y él está ganando la pelea mientras el entrevistador está hablando con personas en la audiencia.")</f>
        <v>Dos mujeres en bikini están de pie con un enano y él está ganando la pelea mientras el entrevistador está hablando con personas en la audiencia.</v>
      </c>
    </row>
    <row r="16838">
      <c r="A16838" s="4" t="s">
        <v>21203</v>
      </c>
      <c r="B16838" s="4" t="s">
        <v>21206</v>
      </c>
      <c r="C16838" s="5" t="str">
        <f>IFERROR(__xludf.DUMMYFUNCTION("GOOGLETRANSLATE(B16838,""en"",""es-ES"")"),"Las mujeres en bikini se están preparando para arrebatar en el ring.")</f>
        <v>Las mujeres en bikini se están preparando para arrebatar en el ring.</v>
      </c>
    </row>
    <row r="16839">
      <c r="A16839" s="4" t="s">
        <v>21203</v>
      </c>
      <c r="B16839" s="4" t="s">
        <v>21207</v>
      </c>
      <c r="C16839" s="5" t="str">
        <f>IFERROR(__xludf.DUMMYFUNCTION("GOOGLETRANSLATE(B16839,""en"",""es-ES"")"),"Se muestran algunos clips de videos de YouTube.")</f>
        <v>Se muestran algunos clips de videos de YouTube.</v>
      </c>
    </row>
    <row r="16840">
      <c r="A16840" s="4" t="s">
        <v>21208</v>
      </c>
      <c r="B16840" s="4" t="s">
        <v>21209</v>
      </c>
      <c r="C16840" s="5" t="str">
        <f>IFERROR(__xludf.DUMMYFUNCTION("GOOGLETRANSLATE(B16840,""en"",""es-ES"")"),"Se ven varios primeros planos de sándwiches, así como una persona que corta carne y verduras.")</f>
        <v>Se ven varios primeros planos de sándwiches, así como una persona que corta carne y verduras.</v>
      </c>
    </row>
    <row r="16841">
      <c r="A16841" s="4" t="s">
        <v>21208</v>
      </c>
      <c r="B16841" s="4" t="s">
        <v>21210</v>
      </c>
      <c r="C16841" s="5" t="str">
        <f>IFERROR(__xludf.DUMMYFUNCTION("GOOGLETRANSLATE(B16841,""en"",""es-ES"")"),"La persona corta el pan después de colocar varios ingredientes en el pan.")</f>
        <v>La persona corta el pan después de colocar varios ingredientes en el pan.</v>
      </c>
    </row>
    <row r="16842">
      <c r="A16842" s="4" t="s">
        <v>21208</v>
      </c>
      <c r="B16842" s="4" t="s">
        <v>21211</v>
      </c>
      <c r="C16842" s="5" t="str">
        <f>IFERROR(__xludf.DUMMYFUNCTION("GOOGLETRANSLATE(B16842,""en"",""es-ES"")"),"La persona cierra el pan para hacer sándwiches seguidos de ponerlos en una prensa francesa y presentarlos a la cámara.")</f>
        <v>La persona cierra el pan para hacer sándwiches seguidos de ponerlos en una prensa francesa y presentarlos a la cámara.</v>
      </c>
    </row>
    <row r="16843">
      <c r="A16843" s="4" t="s">
        <v>21212</v>
      </c>
      <c r="B16843" s="4" t="s">
        <v>21213</v>
      </c>
      <c r="C16843" s="5" t="str">
        <f>IFERROR(__xludf.DUMMYFUNCTION("GOOGLETRANSLATE(B16843,""en"",""es-ES"")"),"Se ve a un hombre realizando movimientos de baile de break en el medio de una plaza de la ciudad mientras la gente entra y sale fuera de cuadro.")</f>
        <v>Se ve a un hombre realizando movimientos de baile de break en el medio de una plaza de la ciudad mientras la gente entra y sale fuera de cuadro.</v>
      </c>
    </row>
    <row r="16844">
      <c r="A16844" s="4" t="s">
        <v>21212</v>
      </c>
      <c r="B16844" s="4" t="s">
        <v>21214</v>
      </c>
      <c r="C16844" s="5" t="str">
        <f>IFERROR(__xludf.DUMMYFUNCTION("GOOGLETRANSLATE(B16844,""en"",""es-ES"")"),"El hombre continúa bailando y sosteniendo posturas mientras mira hacia la cámara.")</f>
        <v>El hombre continúa bailando y sosteniendo posturas mientras mira hacia la cámara.</v>
      </c>
    </row>
    <row r="16845">
      <c r="A16845" s="4" t="s">
        <v>21215</v>
      </c>
      <c r="B16845" s="4" t="s">
        <v>21216</v>
      </c>
      <c r="C16845" s="5" t="str">
        <f>IFERROR(__xludf.DUMMYFUNCTION("GOOGLETRANSLATE(B16845,""en"",""es-ES"")"),"Dos personas hacen una caja en un anillo de boxeo en una multitud delante, mientras que el árbitro gira alrededor de los boxers.")</f>
        <v>Dos personas hacen una caja en un anillo de boxeo en una multitud delante, mientras que el árbitro gira alrededor de los boxers.</v>
      </c>
    </row>
    <row r="16846">
      <c r="A16846" s="4" t="s">
        <v>21215</v>
      </c>
      <c r="B16846" s="4" t="s">
        <v>21217</v>
      </c>
      <c r="C16846" s="5" t="str">
        <f>IFERROR(__xludf.DUMMYFUNCTION("GOOGLETRANSLATE(B16846,""en"",""es-ES"")"),"El árbitro arregla el casco del boxeador.")</f>
        <v>El árbitro arregla el casco del boxeador.</v>
      </c>
    </row>
    <row r="16847">
      <c r="A16847" s="4" t="s">
        <v>21215</v>
      </c>
      <c r="B16847" s="4" t="s">
        <v>21218</v>
      </c>
      <c r="C16847" s="5" t="str">
        <f>IFERROR(__xludf.DUMMYFUNCTION("GOOGLETRANSLATE(B16847,""en"",""es-ES"")"),"Un palo vuela y aterriza en el anillo de boxeo.")</f>
        <v>Un palo vuela y aterriza en el anillo de boxeo.</v>
      </c>
    </row>
    <row r="16848">
      <c r="A16848" s="4" t="s">
        <v>21219</v>
      </c>
      <c r="B16848" s="4" t="s">
        <v>21220</v>
      </c>
      <c r="C16848" s="5" t="str">
        <f>IFERROR(__xludf.DUMMYFUNCTION("GOOGLETRANSLATE(B16848,""en"",""es-ES"")"),"Se muestra una obra de teatro de un juego de cricket en la pantalla.")</f>
        <v>Se muestra una obra de teatro de un juego de cricket en la pantalla.</v>
      </c>
    </row>
    <row r="16849">
      <c r="A16849" s="4" t="s">
        <v>21219</v>
      </c>
      <c r="B16849" s="4" t="s">
        <v>21221</v>
      </c>
      <c r="C16849" s="5" t="str">
        <f>IFERROR(__xludf.DUMMYFUNCTION("GOOGLETRANSLATE(B16849,""en"",""es-ES"")"),"Los jugadores en el juego de cricket se muestran celebrando e interactuando entre sí.")</f>
        <v>Los jugadores en el juego de cricket se muestran celebrando e interactuando entre sí.</v>
      </c>
    </row>
    <row r="16850">
      <c r="A16850" s="4" t="s">
        <v>21219</v>
      </c>
      <c r="B16850" s="4" t="s">
        <v>21222</v>
      </c>
      <c r="C16850" s="5" t="str">
        <f>IFERROR(__xludf.DUMMYFUNCTION("GOOGLETRANSLATE(B16850,""en"",""es-ES"")"),"Se muestra una repetición y las estadísticas se muestran en la pantalla.")</f>
        <v>Se muestra una repetición y las estadísticas se muestran en la pantalla.</v>
      </c>
    </row>
    <row r="16851">
      <c r="A16851" s="4" t="s">
        <v>21219</v>
      </c>
      <c r="B16851" s="4" t="s">
        <v>21223</v>
      </c>
      <c r="C16851" s="5" t="str">
        <f>IFERROR(__xludf.DUMMYFUNCTION("GOOGLETRANSLATE(B16851,""en"",""es-ES"")"),"El juego continúa con otra jugada y se muestra una repetición de esa jugada.")</f>
        <v>El juego continúa con otra jugada y se muestra una repetición de esa jugada.</v>
      </c>
    </row>
    <row r="16852">
      <c r="A16852" s="4" t="s">
        <v>21219</v>
      </c>
      <c r="B16852" s="4" t="s">
        <v>21224</v>
      </c>
      <c r="C16852" s="5" t="str">
        <f>IFERROR(__xludf.DUMMYFUNCTION("GOOGLETRANSLATE(B16852,""en"",""es-ES"")"),"Se muestra otra jugada y también se muestra una repetición de esa jugada.")</f>
        <v>Se muestra otra jugada y también se muestra una repetición de esa jugada.</v>
      </c>
    </row>
    <row r="16853">
      <c r="A16853" s="4" t="s">
        <v>21219</v>
      </c>
      <c r="B16853" s="4" t="s">
        <v>21225</v>
      </c>
      <c r="C16853" s="5" t="str">
        <f>IFERROR(__xludf.DUMMYFUNCTION("GOOGLETRANSLATE(B16853,""en"",""es-ES"")"),"Se muestra la siguiente jugada y el equipo comienza a celebrar antes de que se muestre una repetición de esa jugada.")</f>
        <v>Se muestra la siguiente jugada y el equipo comienza a celebrar antes de que se muestre una repetición de esa jugada.</v>
      </c>
    </row>
    <row r="16854">
      <c r="A16854" s="4" t="s">
        <v>21219</v>
      </c>
      <c r="B16854" s="4" t="s">
        <v>21226</v>
      </c>
      <c r="C16854" s="5" t="str">
        <f>IFERROR(__xludf.DUMMYFUNCTION("GOOGLETRANSLATE(B16854,""en"",""es-ES"")"),"La siguiente reproducción se muestra y luego el video termina.")</f>
        <v>La siguiente reproducción se muestra y luego el video termina.</v>
      </c>
    </row>
    <row r="16855">
      <c r="A16855" s="4" t="s">
        <v>21227</v>
      </c>
      <c r="B16855" s="4" t="s">
        <v>21228</v>
      </c>
      <c r="C16855" s="5" t="str">
        <f>IFERROR(__xludf.DUMMYFUNCTION("GOOGLETRANSLATE(B16855,""en"",""es-ES"")"),"Una cámara se mueve alrededor de un área de playa seguida de personas que caminan con una tabla de surf y proceden a hacer trucos en el agua.")</f>
        <v>Una cámara se mueve alrededor de un área de playa seguida de personas que caminan con una tabla de surf y proceden a hacer trucos en el agua.</v>
      </c>
    </row>
    <row r="16856">
      <c r="A16856" s="4" t="s">
        <v>21227</v>
      </c>
      <c r="B16856" s="4" t="s">
        <v>21229</v>
      </c>
      <c r="C16856" s="5" t="str">
        <f>IFERROR(__xludf.DUMMYFUNCTION("GOOGLETRANSLATE(B16856,""en"",""es-ES"")"),"La cámara captura a los hombres que realizan diferentes trucos, así como nadan en el océano y se mueven en cámara lenta.")</f>
        <v>La cámara captura a los hombres que realizan diferentes trucos, así como nadan en el océano y se mueven en cámara lenta.</v>
      </c>
    </row>
    <row r="16857">
      <c r="A16857" s="4" t="s">
        <v>21230</v>
      </c>
      <c r="B16857" s="4" t="s">
        <v>21231</v>
      </c>
      <c r="C16857" s="5" t="str">
        <f>IFERROR(__xludf.DUMMYFUNCTION("GOOGLETRANSLATE(B16857,""en"",""es-ES"")"),"Se muestra un juego de waterpolo, con un jugador resaltado.")</f>
        <v>Se muestra un juego de waterpolo, con un jugador resaltado.</v>
      </c>
    </row>
    <row r="16858">
      <c r="A16858" s="4" t="s">
        <v>21230</v>
      </c>
      <c r="B16858" s="4" t="s">
        <v>21232</v>
      </c>
      <c r="C16858" s="5" t="str">
        <f>IFERROR(__xludf.DUMMYFUNCTION("GOOGLETRANSLATE(B16858,""en"",""es-ES"")"),"Un hombre vestido de blanco camina de un lado a otro junto a la piscina en el fondo.")</f>
        <v>Un hombre vestido de blanco camina de un lado a otro junto a la piscina en el fondo.</v>
      </c>
    </row>
    <row r="16859">
      <c r="A16859" s="4" t="s">
        <v>21230</v>
      </c>
      <c r="B16859" s="4" t="s">
        <v>21233</v>
      </c>
      <c r="C16859" s="5" t="str">
        <f>IFERROR(__xludf.DUMMYFUNCTION("GOOGLETRANSLATE(B16859,""en"",""es-ES"")"),"Un hombre vestido de blanco se muestra de pie en primer plano y gesticulando.")</f>
        <v>Un hombre vestido de blanco se muestra de pie en primer plano y gesticulando.</v>
      </c>
    </row>
    <row r="16860">
      <c r="A16860" s="4" t="s">
        <v>21234</v>
      </c>
      <c r="B16860" s="4" t="s">
        <v>21235</v>
      </c>
      <c r="C16860" s="5" t="str">
        <f>IFERROR(__xludf.DUMMYFUNCTION("GOOGLETRANSLATE(B16860,""en"",""es-ES"")"),"Un hombre vestido de ropa de invierno amarilla y negra de invierno peces en un lago congelado.")</f>
        <v>Un hombre vestido de ropa de invierno amarilla y negra de invierno peces en un lago congelado.</v>
      </c>
    </row>
    <row r="16861">
      <c r="A16861" s="4" t="s">
        <v>21234</v>
      </c>
      <c r="B16861" s="4" t="s">
        <v>21236</v>
      </c>
      <c r="C16861" s="5" t="str">
        <f>IFERROR(__xludf.DUMMYFUNCTION("GOOGLETRANSLATE(B16861,""en"",""es-ES"")"),"El hombre se tambalea en un pez durante mucho tiempo.")</f>
        <v>El hombre se tambalea en un pez durante mucho tiempo.</v>
      </c>
    </row>
    <row r="16862">
      <c r="A16862" s="4" t="s">
        <v>21234</v>
      </c>
      <c r="B16862" s="4" t="s">
        <v>21237</v>
      </c>
      <c r="C16862" s="5" t="str">
        <f>IFERROR(__xludf.DUMMYFUNCTION("GOOGLETRANSLATE(B16862,""en"",""es-ES"")"),"La captura del hombre finalmente llega a la superficie.")</f>
        <v>La captura del hombre finalmente llega a la superficie.</v>
      </c>
    </row>
    <row r="16863">
      <c r="A16863" s="4" t="s">
        <v>21238</v>
      </c>
      <c r="B16863" s="4" t="s">
        <v>21239</v>
      </c>
      <c r="C16863" s="5" t="str">
        <f>IFERROR(__xludf.DUMMYFUNCTION("GOOGLETRANSLATE(B16863,""en"",""es-ES"")"),"La gente está jugando un juego de waterpolo en una piscina.")</f>
        <v>La gente está jugando un juego de waterpolo en una piscina.</v>
      </c>
    </row>
    <row r="16864">
      <c r="A16864" s="4" t="s">
        <v>21238</v>
      </c>
      <c r="B16864" s="4" t="s">
        <v>21240</v>
      </c>
      <c r="C16864" s="5" t="str">
        <f>IFERROR(__xludf.DUMMYFUNCTION("GOOGLETRANSLATE(B16864,""en"",""es-ES"")"),"Una mujer de pie al costado de la piscina está hablando con la cámara.")</f>
        <v>Una mujer de pie al costado de la piscina está hablando con la cámara.</v>
      </c>
    </row>
    <row r="16865">
      <c r="A16865" s="4" t="s">
        <v>21238</v>
      </c>
      <c r="B16865" s="4" t="s">
        <v>21241</v>
      </c>
      <c r="C16865" s="5" t="str">
        <f>IFERROR(__xludf.DUMMYFUNCTION("GOOGLETRANSLATE(B16865,""en"",""es-ES"")"),"Un hombre sopla un silbato en el costado de la piscina.")</f>
        <v>Un hombre sopla un silbato en el costado de la piscina.</v>
      </c>
    </row>
    <row r="16866">
      <c r="A16866" s="4" t="s">
        <v>21242</v>
      </c>
      <c r="B16866" s="4" t="s">
        <v>21243</v>
      </c>
      <c r="C16866" s="5" t="str">
        <f>IFERROR(__xludf.DUMMYFUNCTION("GOOGLETRANSLATE(B16866,""en"",""es-ES"")"),"Un joven se muestra en una habitación jugando ping pong.")</f>
        <v>Un joven se muestra en una habitación jugando ping pong.</v>
      </c>
    </row>
    <row r="16867">
      <c r="A16867" s="4" t="s">
        <v>21242</v>
      </c>
      <c r="B16867" s="4" t="s">
        <v>21244</v>
      </c>
      <c r="C16867" s="5" t="str">
        <f>IFERROR(__xludf.DUMMYFUNCTION("GOOGLETRANSLATE(B16867,""en"",""es-ES"")"),"En un momento se encoge de hombros mientras espera que comience su oponente.")</f>
        <v>En un momento se encoge de hombros mientras espera que comience su oponente.</v>
      </c>
    </row>
    <row r="16868">
      <c r="A16868" s="4" t="s">
        <v>21242</v>
      </c>
      <c r="B16868" s="4" t="s">
        <v>21245</v>
      </c>
      <c r="C16868" s="5" t="str">
        <f>IFERROR(__xludf.DUMMYFUNCTION("GOOGLETRANSLATE(B16868,""en"",""es-ES"")"),"El video continúa mostrando al hombre tocando Ping Pong y, a veces, deteniéndose debido a que la pelota sale de la mesa.")</f>
        <v>El video continúa mostrando al hombre tocando Ping Pong y, a veces, deteniéndose debido a que la pelota sale de la mesa.</v>
      </c>
    </row>
    <row r="16869">
      <c r="A16869" s="4" t="s">
        <v>21242</v>
      </c>
      <c r="B16869" s="4" t="s">
        <v>21246</v>
      </c>
      <c r="C16869" s="5" t="str">
        <f>IFERROR(__xludf.DUMMYFUNCTION("GOOGLETRANSLATE(B16869,""en"",""es-ES"")"),"El video termina cuando el hombre se acerca a la cámara para apagarlo.")</f>
        <v>El video termina cuando el hombre se acerca a la cámara para apagarlo.</v>
      </c>
    </row>
    <row r="16870">
      <c r="A16870" s="4" t="s">
        <v>21247</v>
      </c>
      <c r="B16870" s="4" t="s">
        <v>21248</v>
      </c>
      <c r="C16870" s="5" t="str">
        <f>IFERROR(__xludf.DUMMYFUNCTION("GOOGLETRANSLATE(B16870,""en"",""es-ES"")"),"Hay varias personas en un parque que participan en actividades al aire libre.")</f>
        <v>Hay varias personas en un parque que participan en actividades al aire libre.</v>
      </c>
    </row>
    <row r="16871">
      <c r="A16871" s="4" t="s">
        <v>21247</v>
      </c>
      <c r="B16871" s="4" t="s">
        <v>21249</v>
      </c>
      <c r="C16871" s="5" t="str">
        <f>IFERROR(__xludf.DUMMYFUNCTION("GOOGLETRANSLATE(B16871,""en"",""es-ES"")"),"Hay una persona en bicicleta en una cuerda apretada, tratando de equilibrarse mientras cae hacia el final de la cuerda.")</f>
        <v>Hay una persona en bicicleta en una cuerda apretada, tratando de equilibrarse mientras cae hacia el final de la cuerda.</v>
      </c>
    </row>
    <row r="16872">
      <c r="A16872" s="4" t="s">
        <v>21247</v>
      </c>
      <c r="B16872" s="4" t="s">
        <v>21250</v>
      </c>
      <c r="C16872" s="5" t="str">
        <f>IFERROR(__xludf.DUMMYFUNCTION("GOOGLETRANSLATE(B16872,""en"",""es-ES"")"),"Hay niños corriendo en el suelo.")</f>
        <v>Hay niños corriendo en el suelo.</v>
      </c>
    </row>
    <row r="16873">
      <c r="A16873" s="4" t="s">
        <v>21247</v>
      </c>
      <c r="B16873" s="4" t="s">
        <v>21251</v>
      </c>
      <c r="C16873" s="5" t="str">
        <f>IFERROR(__xludf.DUMMYFUNCTION("GOOGLETRANSLATE(B16873,""en"",""es-ES"")"),"Hay otro hombre caminando sobre la cuerda apretada.")</f>
        <v>Hay otro hombre caminando sobre la cuerda apretada.</v>
      </c>
    </row>
    <row r="16874">
      <c r="A16874" s="4" t="s">
        <v>21247</v>
      </c>
      <c r="B16874" s="4" t="s">
        <v>21252</v>
      </c>
      <c r="C16874" s="5" t="str">
        <f>IFERROR(__xludf.DUMMYFUNCTION("GOOGLETRANSLATE(B16874,""en"",""es-ES"")"),"También hay muchas personas sentadas en el suelo mientras observan las actividades.")</f>
        <v>También hay muchas personas sentadas en el suelo mientras observan las actividades.</v>
      </c>
    </row>
    <row r="16875">
      <c r="A16875" s="4" t="s">
        <v>21247</v>
      </c>
      <c r="B16875" s="4" t="s">
        <v>21253</v>
      </c>
      <c r="C16875" s="5" t="str">
        <f>IFERROR(__xludf.DUMMYFUNCTION("GOOGLETRANSLATE(B16875,""en"",""es-ES"")"),"Un hombre continúa caminando, saltando y rebotando en la cuerda apretada, haciendo acrobacias mientras la gente lo mira.")</f>
        <v>Un hombre continúa caminando, saltando y rebotando en la cuerda apretada, haciendo acrobacias mientras la gente lo mira.</v>
      </c>
    </row>
    <row r="16876">
      <c r="A16876" s="4" t="s">
        <v>21247</v>
      </c>
      <c r="B16876" s="4" t="s">
        <v>21254</v>
      </c>
      <c r="C16876" s="5" t="str">
        <f>IFERROR(__xludf.DUMMYFUNCTION("GOOGLETRANSLATE(B16876,""en"",""es-ES"")"),"Hay una bicicleta que cae en el suelo con sus ruedas girando rápidamente.")</f>
        <v>Hay una bicicleta que cae en el suelo con sus ruedas girando rápidamente.</v>
      </c>
    </row>
    <row r="16877">
      <c r="A16877" s="4" t="s">
        <v>21255</v>
      </c>
      <c r="B16877" s="4" t="s">
        <v>21256</v>
      </c>
      <c r="C16877" s="5" t="str">
        <f>IFERROR(__xludf.DUMMYFUNCTION("GOOGLETRANSLATE(B16877,""en"",""es-ES"")"),"Un hombre corta el seto de una casa con una recortadora.")</f>
        <v>Un hombre corta el seto de una casa con una recortadora.</v>
      </c>
    </row>
    <row r="16878">
      <c r="A16878" s="4" t="s">
        <v>21255</v>
      </c>
      <c r="B16878" s="4" t="s">
        <v>21257</v>
      </c>
      <c r="C16878" s="5" t="str">
        <f>IFERROR(__xludf.DUMMYFUNCTION("GOOGLETRANSLATE(B16878,""en"",""es-ES"")"),"El hombre deja de cortar y tira del cable de la recortadora y continúa cortando.")</f>
        <v>El hombre deja de cortar y tira del cable de la recortadora y continúa cortando.</v>
      </c>
    </row>
    <row r="16879">
      <c r="A16879" s="4" t="s">
        <v>21258</v>
      </c>
      <c r="B16879" s="4" t="s">
        <v>21259</v>
      </c>
      <c r="C16879" s="5" t="str">
        <f>IFERROR(__xludf.DUMMYFUNCTION("GOOGLETRANSLATE(B16879,""en"",""es-ES"")"),"Se ve a un niño sentado en una silla hablando con la cámara.")</f>
        <v>Se ve a un niño sentado en una silla hablando con la cámara.</v>
      </c>
    </row>
    <row r="16880">
      <c r="A16880" s="4" t="s">
        <v>21258</v>
      </c>
      <c r="B16880" s="4" t="s">
        <v>21260</v>
      </c>
      <c r="C16880" s="5" t="str">
        <f>IFERROR(__xludf.DUMMYFUNCTION("GOOGLETRANSLATE(B16880,""en"",""es-ES"")"),"Muestra que su brazo está en un elenco y se pone sus calcetines y zapatos.")</f>
        <v>Muestra que su brazo está en un elenco y se pone sus calcetines y zapatos.</v>
      </c>
    </row>
    <row r="16881">
      <c r="A16881" s="4" t="s">
        <v>21258</v>
      </c>
      <c r="B16881" s="4" t="s">
        <v>21261</v>
      </c>
      <c r="C16881" s="5" t="str">
        <f>IFERROR(__xludf.DUMMYFUNCTION("GOOGLETRANSLATE(B16881,""en"",""es-ES"")"),"Finalmente ata sus zapatos y mira a la cámara.")</f>
        <v>Finalmente ata sus zapatos y mira a la cámara.</v>
      </c>
    </row>
    <row r="16882">
      <c r="A16882" s="4" t="s">
        <v>21262</v>
      </c>
      <c r="B16882" s="4" t="s">
        <v>21263</v>
      </c>
      <c r="C16882" s="5" t="str">
        <f>IFERROR(__xludf.DUMMYFUNCTION("GOOGLETRANSLATE(B16882,""en"",""es-ES"")"),"Algunos niños están vestidos para salir a las ciclistas.")</f>
        <v>Algunos niños están vestidos para salir a las ciclistas.</v>
      </c>
    </row>
    <row r="16883">
      <c r="A16883" s="4" t="s">
        <v>21262</v>
      </c>
      <c r="B16883" s="4" t="s">
        <v>21264</v>
      </c>
      <c r="C16883" s="5" t="str">
        <f>IFERROR(__xludf.DUMMYFUNCTION("GOOGLETRANSLATE(B16883,""en"",""es-ES"")"),"Los niños saltan y hacen giros rápidos.")</f>
        <v>Los niños saltan y hacen giros rápidos.</v>
      </c>
    </row>
    <row r="16884">
      <c r="A16884" s="4" t="s">
        <v>21262</v>
      </c>
      <c r="B16884" s="4" t="s">
        <v>21265</v>
      </c>
      <c r="C16884" s="5" t="str">
        <f>IFERROR(__xludf.DUMMYFUNCTION("GOOGLETRANSLATE(B16884,""en"",""es-ES"")"),"Una cámara a bordo captura toda la diversión.")</f>
        <v>Una cámara a bordo captura toda la diversión.</v>
      </c>
    </row>
    <row r="16885">
      <c r="A16885" s="4" t="s">
        <v>21266</v>
      </c>
      <c r="B16885" s="4" t="s">
        <v>21267</v>
      </c>
      <c r="C16885" s="5" t="str">
        <f>IFERROR(__xludf.DUMMYFUNCTION("GOOGLETRANSLATE(B16885,""en"",""es-ES"")"),"Un joven está pintando la cerca.")</f>
        <v>Un joven está pintando la cerca.</v>
      </c>
    </row>
    <row r="16886">
      <c r="A16886" s="4" t="s">
        <v>21266</v>
      </c>
      <c r="B16886" s="4" t="s">
        <v>21268</v>
      </c>
      <c r="C16886" s="5" t="str">
        <f>IFERROR(__xludf.DUMMYFUNCTION("GOOGLETRANSLATE(B16886,""en"",""es-ES"")"),"Un hombre con camisa blanca se acercó al hombre con rayas y habló con él.")</f>
        <v>Un hombre con camisa blanca se acercó al hombre con rayas y habló con él.</v>
      </c>
    </row>
    <row r="16887">
      <c r="A16887" s="4" t="s">
        <v>21266</v>
      </c>
      <c r="B16887" s="4" t="s">
        <v>21269</v>
      </c>
      <c r="C16887" s="5" t="str">
        <f>IFERROR(__xludf.DUMMYFUNCTION("GOOGLETRANSLATE(B16887,""en"",""es-ES"")"),"El hombre de rayas pintó el pan, luego está hablando en su teléfono celular.")</f>
        <v>El hombre de rayas pintó el pan, luego está hablando en su teléfono celular.</v>
      </c>
    </row>
    <row r="16888">
      <c r="A16888" s="4" t="s">
        <v>21270</v>
      </c>
      <c r="B16888" s="4" t="s">
        <v>21271</v>
      </c>
      <c r="C16888" s="5" t="str">
        <f>IFERROR(__xludf.DUMMYFUNCTION("GOOGLETRANSLATE(B16888,""en"",""es-ES"")"),"Hay dos personas que navegan en una lancha rápida a través del océano en un día soleado.")</f>
        <v>Hay dos personas que navegan en una lancha rápida a través del océano en un día soleado.</v>
      </c>
    </row>
    <row r="16889">
      <c r="A16889" s="4" t="s">
        <v>21270</v>
      </c>
      <c r="B16889" s="4" t="s">
        <v>21272</v>
      </c>
      <c r="C16889" s="5" t="str">
        <f>IFERROR(__xludf.DUMMYFUNCTION("GOOGLETRANSLATE(B16889,""en"",""es-ES"")"),"Pasan por el agua del océano constantemente y a alta velocidad.")</f>
        <v>Pasan por el agua del océano constantemente y a alta velocidad.</v>
      </c>
    </row>
    <row r="16890">
      <c r="A16890" s="4" t="s">
        <v>21270</v>
      </c>
      <c r="B16890" s="4" t="s">
        <v>21273</v>
      </c>
      <c r="C16890" s="5" t="str">
        <f>IFERROR(__xludf.DUMMYFUNCTION("GOOGLETRANSLATE(B16890,""en"",""es-ES"")"),"Uno de los marineros tira de una cuerda roja mientras se despierta en el barco de vapor.")</f>
        <v>Uno de los marineros tira de una cuerda roja mientras se despierta en el barco de vapor.</v>
      </c>
    </row>
    <row r="16891">
      <c r="A16891" s="4" t="s">
        <v>21270</v>
      </c>
      <c r="B16891" s="4" t="s">
        <v>21274</v>
      </c>
      <c r="C16891" s="5" t="str">
        <f>IFERROR(__xludf.DUMMYFUNCTION("GOOGLETRANSLATE(B16891,""en"",""es-ES"")"),"Aceleran a través del agua para alcanzar otro bote que está por delante de ellos.")</f>
        <v>Aceleran a través del agua para alcanzar otro bote que está por delante de ellos.</v>
      </c>
    </row>
    <row r="16892">
      <c r="A16892" s="4" t="s">
        <v>21270</v>
      </c>
      <c r="B16892" s="4" t="s">
        <v>21275</v>
      </c>
      <c r="C16892" s="5" t="str">
        <f>IFERROR(__xludf.DUMMYFUNCTION("GOOGLETRANSLATE(B16892,""en"",""es-ES"")"),"Varios otros barcos de vapor pasan junto a ellos mientras navegan por el océano.")</f>
        <v>Varios otros barcos de vapor pasan junto a ellos mientras navegan por el océano.</v>
      </c>
    </row>
    <row r="16893">
      <c r="A16893" s="4" t="s">
        <v>21276</v>
      </c>
      <c r="B16893" s="4" t="s">
        <v>21277</v>
      </c>
      <c r="C16893" s="5" t="str">
        <f>IFERROR(__xludf.DUMMYFUNCTION("GOOGLETRANSLATE(B16893,""en"",""es-ES"")"),"Una mujer está en un gimnasio en casa, hablando con la cámara.")</f>
        <v>Una mujer está en un gimnasio en casa, hablando con la cámara.</v>
      </c>
    </row>
    <row r="16894">
      <c r="A16894" s="4" t="s">
        <v>21276</v>
      </c>
      <c r="B16894" s="4" t="s">
        <v>21278</v>
      </c>
      <c r="C16894" s="5" t="str">
        <f>IFERROR(__xludf.DUMMYFUNCTION("GOOGLETRANSLATE(B16894,""en"",""es-ES"")"),"Ella demuestra cómo usar equipos de ejercicio, pedalear y tirar de cuerdas, incluso mientras está sentada en una computadora.")</f>
        <v>Ella demuestra cómo usar equipos de ejercicio, pedalear y tirar de cuerdas, incluso mientras está sentada en una computadora.</v>
      </c>
    </row>
    <row r="16895">
      <c r="A16895" s="4" t="s">
        <v>21276</v>
      </c>
      <c r="B16895" s="4" t="s">
        <v>21279</v>
      </c>
      <c r="C16895" s="5" t="str">
        <f>IFERROR(__xludf.DUMMYFUNCTION("GOOGLETRANSLATE(B16895,""en"",""es-ES"")"),"Ella habla con la cámara durante un período prolongado, salpicada de entrenamiento en el equipo.")</f>
        <v>Ella habla con la cámara durante un período prolongado, salpicada de entrenamiento en el equipo.</v>
      </c>
    </row>
    <row r="16896">
      <c r="A16896" s="4" t="s">
        <v>21280</v>
      </c>
      <c r="B16896" s="4" t="s">
        <v>21281</v>
      </c>
      <c r="C16896" s="5" t="str">
        <f>IFERROR(__xludf.DUMMYFUNCTION("GOOGLETRANSLATE(B16896,""en"",""es-ES"")"),"La audiencia observa los juegos.")</f>
        <v>La audiencia observa los juegos.</v>
      </c>
    </row>
    <row r="16897">
      <c r="A16897" s="4" t="s">
        <v>21280</v>
      </c>
      <c r="B16897" s="4" t="s">
        <v>21282</v>
      </c>
      <c r="C16897" s="5" t="str">
        <f>IFERROR(__xludf.DUMMYFUNCTION("GOOGLETRANSLATE(B16897,""en"",""es-ES"")"),"Un chico corre con un palo delgado y alargado y lanza el palo.")</f>
        <v>Un chico corre con un palo delgado y alargado y lanza el palo.</v>
      </c>
    </row>
    <row r="16898">
      <c r="A16898" s="4" t="s">
        <v>21280</v>
      </c>
      <c r="B16898" s="4" t="s">
        <v>21283</v>
      </c>
      <c r="C16898" s="5" t="str">
        <f>IFERROR(__xludf.DUMMYFUNCTION("GOOGLETRANSLATE(B16898,""en"",""es-ES"")"),"El chico le saca la lengua.")</f>
        <v>El chico le saca la lengua.</v>
      </c>
    </row>
    <row r="16899">
      <c r="A16899" s="4" t="s">
        <v>21280</v>
      </c>
      <c r="B16899" s="4" t="s">
        <v>21284</v>
      </c>
      <c r="C16899" s="5" t="str">
        <f>IFERROR(__xludf.DUMMYFUNCTION("GOOGLETRANSLATE(B16899,""en"",""es-ES"")"),"El tipo sostiene sus labios juntos y levanta la mano.")</f>
        <v>El tipo sostiene sus labios juntos y levanta la mano.</v>
      </c>
    </row>
    <row r="16900">
      <c r="A16900" s="4" t="s">
        <v>21280</v>
      </c>
      <c r="B16900" s="4" t="s">
        <v>21285</v>
      </c>
      <c r="C16900" s="5" t="str">
        <f>IFERROR(__xludf.DUMMYFUNCTION("GOOGLETRANSLATE(B16900,""en"",""es-ES"")"),"El chico sonríe y pone una tela.")</f>
        <v>El chico sonríe y pone una tela.</v>
      </c>
    </row>
    <row r="16901">
      <c r="A16901" s="4" t="s">
        <v>21286</v>
      </c>
      <c r="B16901" s="4" t="s">
        <v>21287</v>
      </c>
      <c r="C16901" s="5" t="str">
        <f>IFERROR(__xludf.DUMMYFUNCTION("GOOGLETRANSLATE(B16901,""en"",""es-ES"")"),"La Asociación de Archery Scottish se ha reunido en su rango con varias personas listas para participar en un evento.")</f>
        <v>La Asociación de Archery Scottish se ha reunido en su rango con varias personas listas para participar en un evento.</v>
      </c>
    </row>
    <row r="16902">
      <c r="A16902" s="4" t="s">
        <v>21286</v>
      </c>
      <c r="B16902" s="4" t="s">
        <v>21288</v>
      </c>
      <c r="C16902" s="5" t="str">
        <f>IFERROR(__xludf.DUMMYFUNCTION("GOOGLETRANSLATE(B16902,""en"",""es-ES"")"),"Los participantes se turnan para usar su arco y flecha para apuntar el arte. El tablero objetivo se colocó a varios metros de ellos.")</f>
        <v>Los participantes se turnan para usar su arco y flecha para apuntar el arte. El tablero objetivo se colocó a varios metros de ellos.</v>
      </c>
    </row>
    <row r="16903">
      <c r="A16903" s="4" t="s">
        <v>21286</v>
      </c>
      <c r="B16903" s="4" t="s">
        <v>21289</v>
      </c>
      <c r="C16903" s="5" t="str">
        <f>IFERROR(__xludf.DUMMYFUNCTION("GOOGLETRANSLATE(B16903,""en"",""es-ES"")"),"Los arqueros apuntan a sus flechas y disparan al objetivo para apuntar al ojo de los toros.")</f>
        <v>Los arqueros apuntan a sus flechas y disparan al objetivo para apuntar al ojo de los toros.</v>
      </c>
    </row>
    <row r="16904">
      <c r="A16904" s="4" t="s">
        <v>21290</v>
      </c>
      <c r="B16904" s="4" t="s">
        <v>21291</v>
      </c>
      <c r="C16904" s="5" t="str">
        <f>IFERROR(__xludf.DUMMYFUNCTION("GOOGLETRANSLATE(B16904,""en"",""es-ES"")"),"Una persona está caminando por una línea floja.")</f>
        <v>Una persona está caminando por una línea floja.</v>
      </c>
    </row>
    <row r="16905">
      <c r="A16905" s="4" t="s">
        <v>21290</v>
      </c>
      <c r="B16905" s="4" t="s">
        <v>21292</v>
      </c>
      <c r="C16905" s="5" t="str">
        <f>IFERROR(__xludf.DUMMYFUNCTION("GOOGLETRANSLATE(B16905,""en"",""es-ES"")"),"Se están moviendo de un lado a otro en la línea Slack.")</f>
        <v>Se están moviendo de un lado a otro en la línea Slack.</v>
      </c>
    </row>
    <row r="16906">
      <c r="A16906" s="4" t="s">
        <v>21290</v>
      </c>
      <c r="B16906" s="4" t="s">
        <v>21293</v>
      </c>
      <c r="C16906" s="5" t="str">
        <f>IFERROR(__xludf.DUMMYFUNCTION("GOOGLETRANSLATE(B16906,""en"",""es-ES"")"),"Se da la vuelta y comienza a caminar en la otra dirección.")</f>
        <v>Se da la vuelta y comienza a caminar en la otra dirección.</v>
      </c>
    </row>
    <row r="16907">
      <c r="A16907" s="4" t="s">
        <v>21294</v>
      </c>
      <c r="B16907" s="4" t="s">
        <v>21295</v>
      </c>
      <c r="C16907" s="5" t="str">
        <f>IFERROR(__xludf.DUMMYFUNCTION("GOOGLETRANSLATE(B16907,""en"",""es-ES"")"),"Un hombre y una mujer realizan varios movimientos de baile hacia atrás y cuarto en una habitación vacía.")</f>
        <v>Un hombre y una mujer realizan varios movimientos de baile hacia atrás y cuarto en una habitación vacía.</v>
      </c>
    </row>
    <row r="16908">
      <c r="A16908" s="4" t="s">
        <v>21294</v>
      </c>
      <c r="B16908" s="4" t="s">
        <v>21296</v>
      </c>
      <c r="C16908" s="5" t="str">
        <f>IFERROR(__xludf.DUMMYFUNCTION("GOOGLETRANSLATE(B16908,""en"",""es-ES"")"),"La pareja continúa girando y realizando la rutina de tango mientras el hombre la gira detrás de él.")</f>
        <v>La pareja continúa girando y realizando la rutina de tango mientras el hombre la gira detrás de él.</v>
      </c>
    </row>
    <row r="16909">
      <c r="A16909" s="4" t="s">
        <v>21297</v>
      </c>
      <c r="B16909" s="4" t="s">
        <v>21298</v>
      </c>
      <c r="C16909" s="5" t="str">
        <f>IFERROR(__xludf.DUMMYFUNCTION("GOOGLETRANSLATE(B16909,""en"",""es-ES"")"),"Se ve a un hombre hablando con la cámara mientras sostiene un cable en sus manos.")</f>
        <v>Se ve a un hombre hablando con la cámara mientras sostiene un cable en sus manos.</v>
      </c>
    </row>
    <row r="16910">
      <c r="A16910" s="4" t="s">
        <v>21297</v>
      </c>
      <c r="B16910" s="4" t="s">
        <v>21299</v>
      </c>
      <c r="C16910" s="5" t="str">
        <f>IFERROR(__xludf.DUMMYFUNCTION("GOOGLETRANSLATE(B16910,""en"",""es-ES"")"),"Continúa hablando mientras usa sus manos y camina por un área alfombrada.")</f>
        <v>Continúa hablando mientras usa sus manos y camina por un área alfombrada.</v>
      </c>
    </row>
    <row r="16911">
      <c r="A16911" s="4" t="s">
        <v>21297</v>
      </c>
      <c r="B16911" s="4" t="s">
        <v>21300</v>
      </c>
      <c r="C16911" s="5" t="str">
        <f>IFERROR(__xludf.DUMMYFUNCTION("GOOGLETRANSLATE(B16911,""en"",""es-ES"")"),"Luego usa un vacío en los pisos mientras todavía habla con la cámara.")</f>
        <v>Luego usa un vacío en los pisos mientras todavía habla con la cámara.</v>
      </c>
    </row>
    <row r="16912">
      <c r="A16912" s="4" t="s">
        <v>21301</v>
      </c>
      <c r="B16912" s="4" t="s">
        <v>21302</v>
      </c>
      <c r="C16912" s="5" t="str">
        <f>IFERROR(__xludf.DUMMYFUNCTION("GOOGLETRANSLATE(B16912,""en"",""es-ES"")"),"Se muestra un clip de un montón de personas con aves de agua blanca por algunas corrientes de río bastante duras.")</f>
        <v>Se muestra un clip de un montón de personas con aves de agua blanca por algunas corrientes de río bastante duras.</v>
      </c>
    </row>
    <row r="16913">
      <c r="A16913" s="4" t="s">
        <v>21301</v>
      </c>
      <c r="B16913" s="4" t="s">
        <v>21303</v>
      </c>
      <c r="C16913" s="5" t="str">
        <f>IFERROR(__xludf.DUMMYFUNCTION("GOOGLETRANSLATE(B16913,""en"",""es-ES"")"),"Trabajan al unísono y es muy duro.")</f>
        <v>Trabajan al unísono y es muy duro.</v>
      </c>
    </row>
    <row r="16914">
      <c r="A16914" s="4" t="s">
        <v>21301</v>
      </c>
      <c r="B16914" s="4" t="s">
        <v>21304</v>
      </c>
      <c r="C16914" s="5" t="str">
        <f>IFERROR(__xludf.DUMMYFUNCTION("GOOGLETRANSLATE(B16914,""en"",""es-ES"")"),"Casi golpean una roca ya que todos reman muy duro.")</f>
        <v>Casi golpean una roca ya que todos reman muy duro.</v>
      </c>
    </row>
    <row r="16915">
      <c r="A16915" s="4" t="s">
        <v>21301</v>
      </c>
      <c r="B16915" s="4" t="s">
        <v>21305</v>
      </c>
      <c r="C16915" s="5" t="str">
        <f>IFERROR(__xludf.DUMMYFUNCTION("GOOGLETRANSLATE(B16915,""en"",""es-ES"")"),"Una muestra de ellos después de hacerlo se muestra con ellos vitoreando.")</f>
        <v>Una muestra de ellos después de hacerlo se muestra con ellos vitoreando.</v>
      </c>
    </row>
    <row r="16916">
      <c r="A16916" s="4" t="s">
        <v>21301</v>
      </c>
      <c r="B16916" s="4" t="s">
        <v>21306</v>
      </c>
      <c r="C16916" s="5" t="str">
        <f>IFERROR(__xludf.DUMMYFUNCTION("GOOGLETRANSLATE(B16916,""en"",""es-ES"")"),"Luego se muestra una toma de ellos en cámara lenta de las partes más difíciles.")</f>
        <v>Luego se muestra una toma de ellos en cámara lenta de las partes más difíciles.</v>
      </c>
    </row>
    <row r="16917">
      <c r="A16917" s="4" t="s">
        <v>21301</v>
      </c>
      <c r="B16917" s="4" t="s">
        <v>21307</v>
      </c>
      <c r="C16917" s="5" t="str">
        <f>IFERROR(__xludf.DUMMYFUNCTION("GOOGLETRANSLATE(B16917,""en"",""es-ES"")"),"El video muestra más cámara lenta y movimiento rápido antes de llegar a su fin y mostrar créditos finales y un nombre de canal de YouTube.")</f>
        <v>El video muestra más cámara lenta y movimiento rápido antes de llegar a su fin y mostrar créditos finales y un nombre de canal de YouTube.</v>
      </c>
    </row>
    <row r="16918">
      <c r="A16918" s="4" t="s">
        <v>21308</v>
      </c>
      <c r="B16918" s="4" t="s">
        <v>21309</v>
      </c>
      <c r="C16918" s="5" t="str">
        <f>IFERROR(__xludf.DUMMYFUNCTION("GOOGLETRANSLATE(B16918,""en"",""es-ES"")"),"Una dama está de pie y sosteniendo un martillo.")</f>
        <v>Una dama está de pie y sosteniendo un martillo.</v>
      </c>
    </row>
    <row r="16919">
      <c r="A16919" s="4" t="s">
        <v>21308</v>
      </c>
      <c r="B16919" s="4" t="s">
        <v>21310</v>
      </c>
      <c r="C16919" s="5" t="str">
        <f>IFERROR(__xludf.DUMMYFUNCTION("GOOGLETRANSLATE(B16919,""en"",""es-ES"")"),"La señora gira con el martillo y lanza el martillo.")</f>
        <v>La señora gira con el martillo y lanza el martillo.</v>
      </c>
    </row>
    <row r="16920">
      <c r="A16920" s="4" t="s">
        <v>21308</v>
      </c>
      <c r="B16920" s="4" t="s">
        <v>21311</v>
      </c>
      <c r="C16920" s="5" t="str">
        <f>IFERROR(__xludf.DUMMYFUNCTION("GOOGLETRANSLATE(B16920,""en"",""es-ES"")"),"La señora se va después de soltar el martillo.")</f>
        <v>La señora se va después de soltar el martillo.</v>
      </c>
    </row>
    <row r="16921">
      <c r="A16921" s="4" t="s">
        <v>21312</v>
      </c>
      <c r="B16921" s="4" t="s">
        <v>21313</v>
      </c>
      <c r="C16921" s="5" t="str">
        <f>IFERROR(__xludf.DUMMYFUNCTION("GOOGLETRANSLATE(B16921,""en"",""es-ES"")"),"Los niños juegan en una piscina olimpica y una mujer está hablando con la cámara.")</f>
        <v>Los niños juegan en una piscina olimpica y una mujer está hablando con la cámara.</v>
      </c>
    </row>
    <row r="16922">
      <c r="A16922" s="4" t="s">
        <v>21312</v>
      </c>
      <c r="B16922" s="4" t="s">
        <v>21314</v>
      </c>
      <c r="C16922" s="5" t="str">
        <f>IFERROR(__xludf.DUMMYFUNCTION("GOOGLETRANSLATE(B16922,""en"",""es-ES"")"),"Kid está usando protector solar y una mujer está hablando del protector solar de Coppertone recomendado para niños.")</f>
        <v>Kid está usando protector solar y una mujer está hablando del protector solar de Coppertone recomendado para niños.</v>
      </c>
    </row>
    <row r="16923">
      <c r="A16923" s="4" t="s">
        <v>21315</v>
      </c>
      <c r="B16923" s="4" t="s">
        <v>21316</v>
      </c>
      <c r="C16923" s="5" t="str">
        <f>IFERROR(__xludf.DUMMYFUNCTION("GOOGLETRANSLATE(B16923,""en"",""es-ES"")"),"Un hombre habla sosteniendo un micrófono, luego el hombre realiza la lucha de brazos con una persona.")</f>
        <v>Un hombre habla sosteniendo un micrófono, luego el hombre realiza la lucha de brazos con una persona.</v>
      </c>
    </row>
    <row r="16924">
      <c r="A16924" s="4" t="s">
        <v>21315</v>
      </c>
      <c r="B16924" s="4" t="s">
        <v>21317</v>
      </c>
      <c r="C16924" s="5" t="str">
        <f>IFERROR(__xludf.DUMMYFUNCTION("GOOGLETRANSLATE(B16924,""en"",""es-ES"")"),"El hombre agarra un peso y practica levantar pesas con la mano izquierda.")</f>
        <v>El hombre agarra un peso y practica levantar pesas con la mano izquierda.</v>
      </c>
    </row>
    <row r="16925">
      <c r="A16925" s="4" t="s">
        <v>21315</v>
      </c>
      <c r="B16925" s="4" t="s">
        <v>21318</v>
      </c>
      <c r="C16925" s="5" t="str">
        <f>IFERROR(__xludf.DUMMYFUNCTION("GOOGLETRANSLATE(B16925,""en"",""es-ES"")"),"Después, el hombre toma su reloj y realiza la lucha de brazos con la persona y gana, luego salta felizmente.")</f>
        <v>Después, el hombre toma su reloj y realiza la lucha de brazos con la persona y gana, luego salta felizmente.</v>
      </c>
    </row>
    <row r="16926">
      <c r="A16926" s="4" t="s">
        <v>21319</v>
      </c>
      <c r="B16926" s="4" t="s">
        <v>21320</v>
      </c>
      <c r="C16926" s="5" t="str">
        <f>IFERROR(__xludf.DUMMYFUNCTION("GOOGLETRANSLATE(B16926,""en"",""es-ES"")"),"Una línea de batería está sucediendo en una calle de la ciudad.")</f>
        <v>Una línea de batería está sucediendo en una calle de la ciudad.</v>
      </c>
    </row>
    <row r="16927">
      <c r="A16927" s="4" t="s">
        <v>21319</v>
      </c>
      <c r="B16927" s="4" t="s">
        <v>21321</v>
      </c>
      <c r="C16927" s="5" t="str">
        <f>IFERROR(__xludf.DUMMYFUNCTION("GOOGLETRANSLATE(B16927,""en"",""es-ES"")"),"Entran en formación y luego comienzan a marchar por la calle.")</f>
        <v>Entran en formación y luego comienzan a marchar por la calle.</v>
      </c>
    </row>
    <row r="16928">
      <c r="A16928" s="4" t="s">
        <v>21322</v>
      </c>
      <c r="B16928" s="4" t="s">
        <v>21323</v>
      </c>
      <c r="C16928" s="5" t="str">
        <f>IFERROR(__xludf.DUMMYFUNCTION("GOOGLETRANSLATE(B16928,""en"",""es-ES"")"),"Un hombre está bolos y pierde un alfiler con su primera pelota.")</f>
        <v>Un hombre está bolos y pierde un alfiler con su primera pelota.</v>
      </c>
    </row>
    <row r="16929">
      <c r="A16929" s="4" t="s">
        <v>21322</v>
      </c>
      <c r="B16929" s="4" t="s">
        <v>21324</v>
      </c>
      <c r="C16929" s="5" t="str">
        <f>IFERROR(__xludf.DUMMYFUNCTION("GOOGLETRANSLATE(B16929,""en"",""es-ES"")"),"Obtiene todas las huelgas para las próximas seis rondas.")</f>
        <v>Obtiene todas las huelgas para las próximas seis rondas.</v>
      </c>
    </row>
    <row r="16930">
      <c r="A16930" s="4" t="s">
        <v>21322</v>
      </c>
      <c r="B16930" s="4" t="s">
        <v>21325</v>
      </c>
      <c r="C16930" s="5" t="str">
        <f>IFERROR(__xludf.DUMMYFUNCTION("GOOGLETRANSLATE(B16930,""en"",""es-ES"")"),"El hombre cambia de bolas y cuenca varias rondas más recibiendo en su mayoría huelgas.")</f>
        <v>El hombre cambia de bolas y cuenca varias rondas más recibiendo en su mayoría huelgas.</v>
      </c>
    </row>
    <row r="16931">
      <c r="A16931" s="4" t="s">
        <v>21322</v>
      </c>
      <c r="B16931" s="4" t="s">
        <v>21326</v>
      </c>
      <c r="C16931" s="5" t="str">
        <f>IFERROR(__xludf.DUMMYFUNCTION("GOOGLETRANSLATE(B16931,""en"",""es-ES"")"),"Cambia su pelota nuevamente y saca dos huelgas más.")</f>
        <v>Cambia su pelota nuevamente y saca dos huelgas más.</v>
      </c>
    </row>
    <row r="16932">
      <c r="A16932" s="4" t="s">
        <v>21322</v>
      </c>
      <c r="B16932" s="4" t="s">
        <v>21327</v>
      </c>
      <c r="C16932" s="5" t="str">
        <f>IFERROR(__xludf.DUMMYFUNCTION("GOOGLETRANSLATE(B16932,""en"",""es-ES"")"),"Se muestra una repetición del hombre bolos con cada bola.")</f>
        <v>Se muestra una repetición del hombre bolos con cada bola.</v>
      </c>
    </row>
    <row r="16933">
      <c r="A16933" s="4" t="s">
        <v>21328</v>
      </c>
      <c r="B16933" s="4" t="s">
        <v>21329</v>
      </c>
      <c r="C16933" s="5" t="str">
        <f>IFERROR(__xludf.DUMMYFUNCTION("GOOGLETRANSLATE(B16933,""en"",""es-ES"")"),"La gente está en una ciudad caminando, hablando y realizando actividades.")</f>
        <v>La gente está en una ciudad caminando, hablando y realizando actividades.</v>
      </c>
    </row>
    <row r="16934">
      <c r="A16934" s="4" t="s">
        <v>21328</v>
      </c>
      <c r="B16934" s="4" t="s">
        <v>21330</v>
      </c>
      <c r="C16934" s="5" t="str">
        <f>IFERROR(__xludf.DUMMYFUNCTION("GOOGLETRANSLATE(B16934,""en"",""es-ES"")"),"Dos hombres juegan en el papel de la calle, las tijeras y la piedra en el frente de otras personas.")</f>
        <v>Dos hombres juegan en el papel de la calle, las tijeras y la piedra en el frente de otras personas.</v>
      </c>
    </row>
    <row r="16935">
      <c r="A16935" s="4" t="s">
        <v>21328</v>
      </c>
      <c r="B16935" s="4" t="s">
        <v>21331</v>
      </c>
      <c r="C16935" s="5" t="str">
        <f>IFERROR(__xludf.DUMMYFUNCTION("GOOGLETRANSLATE(B16935,""en"",""es-ES"")"),"Un hombre habla con gente que lo mira.")</f>
        <v>Un hombre habla con gente que lo mira.</v>
      </c>
    </row>
    <row r="16936">
      <c r="A16936" s="4" t="s">
        <v>21332</v>
      </c>
      <c r="B16936" s="4" t="s">
        <v>21333</v>
      </c>
      <c r="C16936" s="5" t="str">
        <f>IFERROR(__xludf.DUMMYFUNCTION("GOOGLETRANSLATE(B16936,""en"",""es-ES"")"),"Se muestra a un hombre dentro de una piscina.")</f>
        <v>Se muestra a un hombre dentro de una piscina.</v>
      </c>
    </row>
    <row r="16937">
      <c r="A16937" s="4" t="s">
        <v>21332</v>
      </c>
      <c r="B16937" s="4" t="s">
        <v>21334</v>
      </c>
      <c r="C16937" s="5" t="str">
        <f>IFERROR(__xludf.DUMMYFUNCTION("GOOGLETRANSLATE(B16937,""en"",""es-ES"")"),"Lanza una pelota una y otra vez a su perro.")</f>
        <v>Lanza una pelota una y otra vez a su perro.</v>
      </c>
    </row>
    <row r="16938">
      <c r="A16938" s="4" t="s">
        <v>21332</v>
      </c>
      <c r="B16938" s="4" t="s">
        <v>21335</v>
      </c>
      <c r="C16938" s="5" t="str">
        <f>IFERROR(__xludf.DUMMYFUNCTION("GOOGLETRANSLATE(B16938,""en"",""es-ES"")"),"El perro rebota continuamente la pelota con la nariz.")</f>
        <v>El perro rebota continuamente la pelota con la nariz.</v>
      </c>
    </row>
    <row r="16939">
      <c r="A16939" s="4" t="s">
        <v>21336</v>
      </c>
      <c r="B16939" s="4" t="s">
        <v>21337</v>
      </c>
      <c r="C16939" s="5" t="str">
        <f>IFERROR(__xludf.DUMMYFUNCTION("GOOGLETRANSLATE(B16939,""en"",""es-ES"")"),"Una mujer con una camisa verde está parada afuera sosteniendo un hula hoop.")</f>
        <v>Una mujer con una camisa verde está parada afuera sosteniendo un hula hoop.</v>
      </c>
    </row>
    <row r="16940">
      <c r="A16940" s="4" t="s">
        <v>21336</v>
      </c>
      <c r="B16940" s="4" t="s">
        <v>21338</v>
      </c>
      <c r="C16940" s="5" t="str">
        <f>IFERROR(__xludf.DUMMYFUNCTION("GOOGLETRANSLATE(B16940,""en"",""es-ES"")"),"Ella comienza hula hooping con el hula hoop.")</f>
        <v>Ella comienza hula hooping con el hula hoop.</v>
      </c>
    </row>
    <row r="16941">
      <c r="A16941" s="4" t="s">
        <v>21336</v>
      </c>
      <c r="B16941" s="4" t="s">
        <v>21339</v>
      </c>
      <c r="C16941" s="5" t="str">
        <f>IFERROR(__xludf.DUMMYFUNCTION("GOOGLETRANSLATE(B16941,""en"",""es-ES"")"),"Las palabras suben en la pantalla al final.")</f>
        <v>Las palabras suben en la pantalla al final.</v>
      </c>
    </row>
    <row r="16942">
      <c r="A16942" s="4" t="s">
        <v>21340</v>
      </c>
      <c r="B16942" s="4" t="s">
        <v>21341</v>
      </c>
      <c r="C16942" s="5" t="str">
        <f>IFERROR(__xludf.DUMMYFUNCTION("GOOGLETRANSLATE(B16942,""en"",""es-ES"")"),"Un grupo de personas está fuera de una estación de esquí titulada Boulder Ridge y comienzan a esperar en línea con sus tubos.")</f>
        <v>Un grupo de personas está fuera de una estación de esquí titulada Boulder Ridge y comienzan a esperar en línea con sus tubos.</v>
      </c>
    </row>
    <row r="16943">
      <c r="A16943" s="4" t="s">
        <v>21340</v>
      </c>
      <c r="B16943" s="4" t="s">
        <v>21342</v>
      </c>
      <c r="C16943" s="5" t="str">
        <f>IFERROR(__xludf.DUMMYFUNCTION("GOOGLETRANSLATE(B16943,""en"",""es-ES"")"),"Mientras esperan, pueden ver a varias personas bajando la colina y el tubo antes de que finalmente sea su turno.")</f>
        <v>Mientras esperan, pueden ver a varias personas bajando la colina y el tubo antes de que finalmente sea su turno.</v>
      </c>
    </row>
    <row r="16944">
      <c r="A16944" s="4" t="s">
        <v>21340</v>
      </c>
      <c r="B16944" s="4" t="s">
        <v>21343</v>
      </c>
      <c r="C16944" s="5" t="str">
        <f>IFERROR(__xludf.DUMMYFUNCTION("GOOGLETRANSLATE(B16944,""en"",""es-ES"")"),"Una vez que llegan al fondo, agarran su tubo y comienzan a salir de la pendiente.")</f>
        <v>Una vez que llegan al fondo, agarran su tubo y comienzan a salir de la pendiente.</v>
      </c>
    </row>
    <row r="16945">
      <c r="A16945" s="4" t="s">
        <v>21344</v>
      </c>
      <c r="B16945" s="4" t="s">
        <v>21345</v>
      </c>
      <c r="C16945" s="5" t="str">
        <f>IFERROR(__xludf.DUMMYFUNCTION("GOOGLETRANSLATE(B16945,""en"",""es-ES"")"),"Un video de introducción con una pantalla azul que tiene una imagen de un barco dibujado es en el fondo, mientras que las palabras amarillas se desplazan desde abajo hasta la parte superior.")</f>
        <v>Un video de introducción con una pantalla azul que tiene una imagen de un barco dibujado es en el fondo, mientras que las palabras amarillas se desplazan desde abajo hasta la parte superior.</v>
      </c>
    </row>
    <row r="16946">
      <c r="A16946" s="4" t="s">
        <v>21344</v>
      </c>
      <c r="B16946" s="4" t="s">
        <v>21346</v>
      </c>
      <c r="C16946" s="5" t="str">
        <f>IFERROR(__xludf.DUMMYFUNCTION("GOOGLETRANSLATE(B16946,""en"",""es-ES"")"),"Comienza una vista del agua y se muestran algunas casas y muchos árboles en tierra.")</f>
        <v>Comienza una vista del agua y se muestran algunas casas y muchos árboles en tierra.</v>
      </c>
    </row>
    <row r="16947">
      <c r="A16947" s="4" t="s">
        <v>21344</v>
      </c>
      <c r="B16947" s="4" t="s">
        <v>21347</v>
      </c>
      <c r="C16947" s="5" t="str">
        <f>IFERROR(__xludf.DUMMYFUNCTION("GOOGLETRANSLATE(B16947,""en"",""es-ES"")"),"Una persona bajo el agua en equipo de snorkel ahora está nadando alrededor del fondo del agua y se encuentra con otro buceador y ambos van a un barco que está bajo el agua mientras ambos sostienen sus linternas y cámaras para explorar el barco y todo lo d"&amp;"emás en la parte inferior de el agua.")</f>
        <v>Una persona bajo el agua en equipo de snorkel ahora está nadando alrededor del fondo del agua y se encuentra con otro buceador y ambos van a un barco que está bajo el agua mientras ambos sostienen sus linternas y cámaras para explorar el barco y todo lo demás en la parte inferior de el agua.</v>
      </c>
    </row>
    <row r="16948">
      <c r="A16948" s="4" t="s">
        <v>21344</v>
      </c>
      <c r="B16948" s="4" t="s">
        <v>21348</v>
      </c>
      <c r="C16948" s="5" t="str">
        <f>IFERROR(__xludf.DUMMYFUNCTION("GOOGLETRANSLATE(B16948,""en"",""es-ES"")"),"Aparece una escuela de peces y están nadando y colgando alrededor del bote.")</f>
        <v>Aparece una escuela de peces y están nadando y colgando alrededor del bote.</v>
      </c>
    </row>
    <row r="16949">
      <c r="A16949" s="4" t="s">
        <v>21344</v>
      </c>
      <c r="B16949" s="4" t="s">
        <v>21349</v>
      </c>
      <c r="C16949" s="5" t="str">
        <f>IFERROR(__xludf.DUMMYFUNCTION("GOOGLETRANSLATE(B16949,""en"",""es-ES"")"),"El enfoque se remonta a los snorkelers mientras continúan explorando el área con sus linternas.")</f>
        <v>El enfoque se remonta a los snorkelers mientras continúan explorando el área con sus linternas.</v>
      </c>
    </row>
    <row r="16950">
      <c r="A16950" s="4" t="s">
        <v>21344</v>
      </c>
      <c r="B16950" s="4" t="s">
        <v>21350</v>
      </c>
      <c r="C16950" s="5" t="str">
        <f>IFERROR(__xludf.DUMMYFUNCTION("GOOGLETRANSLATE(B16950,""en"",""es-ES"")"),"Aparece el video de Outro y es la misma imagen azul que la introducción e incluye información de contacto en el video y los créditos comienzan a rodar con el texto desplazándose de abajo hacia arriba.")</f>
        <v>Aparece el video de Outro y es la misma imagen azul que la introducción e incluye información de contacto en el video y los créditos comienzan a rodar con el texto desplazándose de abajo hacia arriba.</v>
      </c>
    </row>
    <row r="16951">
      <c r="A16951" s="4" t="s">
        <v>21351</v>
      </c>
      <c r="B16951" s="4" t="s">
        <v>21352</v>
      </c>
      <c r="C16951" s="5" t="str">
        <f>IFERROR(__xludf.DUMMYFUNCTION("GOOGLETRANSLATE(B16951,""en"",""es-ES"")"),"Un hombre está sentado, tocando una guitarra.")</f>
        <v>Un hombre está sentado, tocando una guitarra.</v>
      </c>
    </row>
    <row r="16952">
      <c r="A16952" s="4" t="s">
        <v>21351</v>
      </c>
      <c r="B16952" s="4" t="s">
        <v>21353</v>
      </c>
      <c r="C16952" s="5" t="str">
        <f>IFERROR(__xludf.DUMMYFUNCTION("GOOGLETRANSLATE(B16952,""en"",""es-ES"")"),"Ocasionalmente se muestran los primeros planos del instrumento, luego de regreso al hombre tocando.")</f>
        <v>Ocasionalmente se muestran los primeros planos del instrumento, luego de regreso al hombre tocando.</v>
      </c>
    </row>
    <row r="16953">
      <c r="A16953" s="4" t="s">
        <v>21354</v>
      </c>
      <c r="B16953" s="4" t="s">
        <v>21355</v>
      </c>
      <c r="C16953" s="5" t="str">
        <f>IFERROR(__xludf.DUMMYFUNCTION("GOOGLETRANSLATE(B16953,""en"",""es-ES"")"),"La gente está jugando un partido de polo en un campo.")</f>
        <v>La gente está jugando un partido de polo en un campo.</v>
      </c>
    </row>
    <row r="16954">
      <c r="A16954" s="4" t="s">
        <v>21354</v>
      </c>
      <c r="B16954" s="4" t="s">
        <v>21356</v>
      </c>
      <c r="C16954" s="5" t="str">
        <f>IFERROR(__xludf.DUMMYFUNCTION("GOOGLETRANSLATE(B16954,""en"",""es-ES"")"),"El foco está en un hombre y un caballo que persigue la pelota.")</f>
        <v>El foco está en un hombre y un caballo que persigue la pelota.</v>
      </c>
    </row>
    <row r="16955">
      <c r="A16955" s="4" t="s">
        <v>21354</v>
      </c>
      <c r="B16955" s="4" t="s">
        <v>21357</v>
      </c>
      <c r="C16955" s="5" t="str">
        <f>IFERROR(__xludf.DUMMYFUNCTION("GOOGLETRANSLATE(B16955,""en"",""es-ES"")"),"La cámara permanece en el número 2 todo el tiempo.")</f>
        <v>La cámara permanece en el número 2 todo el tiempo.</v>
      </c>
    </row>
    <row r="16956">
      <c r="A16956" s="4" t="s">
        <v>21358</v>
      </c>
      <c r="B16956" s="4" t="s">
        <v>21359</v>
      </c>
      <c r="C16956" s="5" t="str">
        <f>IFERROR(__xludf.DUMMYFUNCTION("GOOGLETRANSLATE(B16956,""en"",""es-ES"")"),"Un hombre llamado Bob está corriendo y hace un salto de longitud.")</f>
        <v>Un hombre llamado Bob está corriendo y hace un salto de longitud.</v>
      </c>
    </row>
    <row r="16957">
      <c r="A16957" s="4" t="s">
        <v>21358</v>
      </c>
      <c r="B16957" s="4" t="s">
        <v>21360</v>
      </c>
      <c r="C16957" s="5" t="str">
        <f>IFERROR(__xludf.DUMMYFUNCTION("GOOGLETRANSLATE(B16957,""en"",""es-ES"")"),"Lo hace de nuevo aterrizando en un poco de arena.")</f>
        <v>Lo hace de nuevo aterrizando en un poco de arena.</v>
      </c>
    </row>
    <row r="16958">
      <c r="A16958" s="4" t="s">
        <v>21358</v>
      </c>
      <c r="B16958" s="4" t="s">
        <v>21361</v>
      </c>
      <c r="C16958" s="5" t="str">
        <f>IFERROR(__xludf.DUMMYFUNCTION("GOOGLETRANSLATE(B16958,""en"",""es-ES"")"),"Él continúa haciendo esta carrera y saltando nuevamente aterrizando como un profesional.")</f>
        <v>Él continúa haciendo esta carrera y saltando nuevamente aterrizando como un profesional.</v>
      </c>
    </row>
    <row r="16959">
      <c r="A16959" s="4" t="s">
        <v>21358</v>
      </c>
      <c r="B16959" s="4" t="s">
        <v>21362</v>
      </c>
      <c r="C16959" s="5" t="str">
        <f>IFERROR(__xludf.DUMMYFUNCTION("GOOGLETRANSLATE(B16959,""en"",""es-ES"")"),"Entonces otro hombre llamado Ralph tomará su propio turno a continuación.")</f>
        <v>Entonces otro hombre llamado Ralph tomará su propio turno a continuación.</v>
      </c>
    </row>
    <row r="16960">
      <c r="A16960" s="4" t="s">
        <v>21363</v>
      </c>
      <c r="B16960" s="4" t="s">
        <v>21364</v>
      </c>
      <c r="C16960" s="5" t="str">
        <f>IFERROR(__xludf.DUMMYFUNCTION("GOOGLETRANSLATE(B16960,""en"",""es-ES"")"),"Varias introducciones de texto conducen a varias personas corriendo por una larga pista.")</f>
        <v>Varias introducciones de texto conducen a varias personas corriendo por una larga pista.</v>
      </c>
    </row>
    <row r="16961">
      <c r="A16961" s="4" t="s">
        <v>21363</v>
      </c>
      <c r="B16961" s="4" t="s">
        <v>21365</v>
      </c>
      <c r="C16961" s="5" t="str">
        <f>IFERROR(__xludf.DUMMYFUNCTION("GOOGLETRANSLATE(B16961,""en"",""es-ES"")"),"La cámara captura a los corredores desde varios ángulos y conduce a ellos realizando saltos.")</f>
        <v>La cámara captura a los corredores desde varios ángulos y conduce a ellos realizando saltos.</v>
      </c>
    </row>
    <row r="16962">
      <c r="A16962" s="4" t="s">
        <v>21363</v>
      </c>
      <c r="B16962" s="4" t="s">
        <v>21366</v>
      </c>
      <c r="C16962" s="5" t="str">
        <f>IFERROR(__xludf.DUMMYFUNCTION("GOOGLETRANSLATE(B16962,""en"",""es-ES"")"),"Los corredores saltan continuamente al pozo y terminan con texto a través de la pantalla.")</f>
        <v>Los corredores saltan continuamente al pozo y terminan con texto a través de la pantalla.</v>
      </c>
    </row>
    <row r="16963">
      <c r="A16963" s="4" t="s">
        <v>21367</v>
      </c>
      <c r="B16963" s="4" t="s">
        <v>21368</v>
      </c>
      <c r="C16963" s="5" t="str">
        <f>IFERROR(__xludf.DUMMYFUNCTION("GOOGLETRANSLATE(B16963,""en"",""es-ES"")"),"Una mujer con traje rojo está hablando detrás de un escritorio.")</f>
        <v>Una mujer con traje rojo está hablando detrás de un escritorio.</v>
      </c>
    </row>
    <row r="16964">
      <c r="A16964" s="4" t="s">
        <v>21367</v>
      </c>
      <c r="B16964" s="4" t="s">
        <v>21369</v>
      </c>
      <c r="C16964" s="5" t="str">
        <f>IFERROR(__xludf.DUMMYFUNCTION("GOOGLETRANSLATE(B16964,""en"",""es-ES"")"),"Un hombre está de pie sosteniendo su pie detrás está atrás.")</f>
        <v>Un hombre está de pie sosteniendo su pie detrás está atrás.</v>
      </c>
    </row>
    <row r="16965">
      <c r="A16965" s="4" t="s">
        <v>21367</v>
      </c>
      <c r="B16965" s="4" t="s">
        <v>21370</v>
      </c>
      <c r="C16965" s="5" t="str">
        <f>IFERROR(__xludf.DUMMYFUNCTION("GOOGLETRANSLATE(B16965,""en"",""es-ES"")"),"La gente corre por la acera.")</f>
        <v>La gente corre por la acera.</v>
      </c>
    </row>
    <row r="16966">
      <c r="A16966" s="4" t="s">
        <v>21367</v>
      </c>
      <c r="B16966" s="4" t="s">
        <v>21371</v>
      </c>
      <c r="C16966" s="5" t="str">
        <f>IFERROR(__xludf.DUMMYFUNCTION("GOOGLETRANSLATE(B16966,""en"",""es-ES"")"),"Un hombre con una camisa azul está hablando con la cámara.")</f>
        <v>Un hombre con una camisa azul está hablando con la cámara.</v>
      </c>
    </row>
    <row r="16967">
      <c r="A16967" s="4" t="s">
        <v>21367</v>
      </c>
      <c r="B16967" s="4" t="s">
        <v>21372</v>
      </c>
      <c r="C16967" s="5" t="str">
        <f>IFERROR(__xludf.DUMMYFUNCTION("GOOGLETRANSLATE(B16967,""en"",""es-ES"")"),"Una mujer con una camisa negra está hablando con la cámara.")</f>
        <v>Una mujer con una camisa negra está hablando con la cámara.</v>
      </c>
    </row>
    <row r="16968">
      <c r="A16968" s="4" t="s">
        <v>21367</v>
      </c>
      <c r="B16968" s="4" t="s">
        <v>21373</v>
      </c>
      <c r="C16968" s="5" t="str">
        <f>IFERROR(__xludf.DUMMYFUNCTION("GOOGLETRANSLATE(B16968,""en"",""es-ES"")"),"La gente está corriendo por un sendero.")</f>
        <v>La gente está corriendo por un sendero.</v>
      </c>
    </row>
    <row r="16969">
      <c r="A16969" s="4" t="s">
        <v>21374</v>
      </c>
      <c r="B16969" s="4" t="s">
        <v>21375</v>
      </c>
      <c r="C16969" s="5" t="str">
        <f>IFERROR(__xludf.DUMMYFUNCTION("GOOGLETRANSLATE(B16969,""en"",""es-ES"")"),"Vemos hombres caminando por la calle y un skate cae.")</f>
        <v>Vemos hombres caminando por la calle y un skate cae.</v>
      </c>
    </row>
    <row r="16970">
      <c r="A16970" s="4" t="s">
        <v>21374</v>
      </c>
      <c r="B16970" s="4" t="s">
        <v>21376</v>
      </c>
      <c r="C16970" s="5" t="str">
        <f>IFERROR(__xludf.DUMMYFUNCTION("GOOGLETRANSLATE(B16970,""en"",""es-ES"")"),"Vemos niños y patinadores del club con pantallas de título.")</f>
        <v>Vemos niños y patinadores del club con pantallas de título.</v>
      </c>
    </row>
    <row r="16971">
      <c r="A16971" s="4" t="s">
        <v>21374</v>
      </c>
      <c r="B16971" s="4" t="s">
        <v>21377</v>
      </c>
      <c r="C16971" s="5" t="str">
        <f>IFERROR(__xludf.DUMMYFUNCTION("GOOGLETRANSLATE(B16971,""en"",""es-ES"")"),"Vemos a los hombres patinando por una calle y parados en grupos.")</f>
        <v>Vemos a los hombres patinando por una calle y parados en grupos.</v>
      </c>
    </row>
    <row r="16972">
      <c r="A16972" s="4" t="s">
        <v>21374</v>
      </c>
      <c r="B16972" s="4" t="s">
        <v>21378</v>
      </c>
      <c r="C16972" s="5" t="str">
        <f>IFERROR(__xludf.DUMMYFUNCTION("GOOGLETRANSLATE(B16972,""en"",""es-ES"")"),"Un hombre salta sobre las escaleras y se encuentra con la cámara.")</f>
        <v>Un hombre salta sobre las escaleras y se encuentra con la cámara.</v>
      </c>
    </row>
    <row r="16973">
      <c r="A16973" s="4" t="s">
        <v>21374</v>
      </c>
      <c r="B16973" s="4" t="s">
        <v>21379</v>
      </c>
      <c r="C16973" s="5" t="str">
        <f>IFERROR(__xludf.DUMMYFUNCTION("GOOGLETRANSLATE(B16973,""en"",""es-ES"")"),"Un hombre cae y otro se encuentra con la cámara.")</f>
        <v>Un hombre cae y otro se encuentra con la cámara.</v>
      </c>
    </row>
    <row r="16974">
      <c r="A16974" s="4" t="s">
        <v>21374</v>
      </c>
      <c r="B16974" s="4" t="s">
        <v>21380</v>
      </c>
      <c r="C16974" s="5" t="str">
        <f>IFERROR(__xludf.DUMMYFUNCTION("GOOGLETRANSLATE(B16974,""en"",""es-ES"")"),"Vemos a un hombre ondear y otro en una bocina.")</f>
        <v>Vemos a un hombre ondear y otro en una bocina.</v>
      </c>
    </row>
    <row r="16975">
      <c r="A16975" s="4" t="s">
        <v>21374</v>
      </c>
      <c r="B16975" s="4" t="s">
        <v>21381</v>
      </c>
      <c r="C16975" s="5" t="str">
        <f>IFERROR(__xludf.DUMMYFUNCTION("GOOGLETRANSLATE(B16975,""en"",""es-ES"")"),"El club luces flashe y una banda toca música mientras la gente baila.")</f>
        <v>El club luces flashe y una banda toca música mientras la gente baila.</v>
      </c>
    </row>
    <row r="16976">
      <c r="A16976" s="4" t="s">
        <v>21374</v>
      </c>
      <c r="B16976" s="4" t="s">
        <v>21382</v>
      </c>
      <c r="C16976" s="5" t="str">
        <f>IFERROR(__xludf.DUMMYFUNCTION("GOOGLETRANSLATE(B16976,""en"",""es-ES"")"),"Vemos los créditos y más patinaje.")</f>
        <v>Vemos los créditos y más patinaje.</v>
      </c>
    </row>
    <row r="16977">
      <c r="A16977" s="4" t="s">
        <v>21383</v>
      </c>
      <c r="B16977" s="4" t="s">
        <v>21384</v>
      </c>
      <c r="C16977" s="5" t="str">
        <f>IFERROR(__xludf.DUMMYFUNCTION("GOOGLETRANSLATE(B16977,""en"",""es-ES"")"),"Aparece un clip de introducción y es una animación de una mecedora gris que se balancea en una pantalla gris muy clara que tiene palabras naranjas que dicen ""¡los strippers!"" y las letras blancas M&amp;R ​​en un óvalo azul oscuro.")</f>
        <v>Aparece un clip de introducción y es una animación de una mecedora gris que se balancea en una pantalla gris muy clara que tiene palabras naranjas que dicen "¡los strippers!" y las letras blancas M&amp;R ​​en un óvalo azul oscuro.</v>
      </c>
    </row>
    <row r="16978">
      <c r="A16978" s="4" t="s">
        <v>21383</v>
      </c>
      <c r="B16978" s="4" t="s">
        <v>21385</v>
      </c>
      <c r="C16978" s="5" t="str">
        <f>IFERROR(__xludf.DUMMYFUNCTION("GOOGLETRANSLATE(B16978,""en"",""es-ES"")"),"Se muestran clips del exterior y el interior de la tienda e incluye a una persona en una oficina, personas en la tienda que trabajan en las piezas de madera, personas entrevistadas, suministros de madera y las piezas de madera terminadas.")</f>
        <v>Se muestran clips del exterior y el interior de la tienda e incluye a una persona en una oficina, personas en la tienda que trabajan en las piezas de madera, personas entrevistadas, suministros de madera y las piezas de madera terminadas.</v>
      </c>
    </row>
    <row r="16979">
      <c r="A16979" s="4" t="s">
        <v>21383</v>
      </c>
      <c r="B16979" s="4" t="s">
        <v>21386</v>
      </c>
      <c r="C16979" s="5" t="str">
        <f>IFERROR(__xludf.DUMMYFUNCTION("GOOGLETRANSLATE(B16979,""en"",""es-ES"")"),"Aparece el outro y es el video clip de los trabajadores que trabajan en las piezas de madera, y el texto aparece en la pantalla que incluye la dirección de las tiendas, el correo electrónico, el sitio web y el número de teléfono, la tienda exterior se mue"&amp;"stra nuevamente.")</f>
        <v>Aparece el outro y es el video clip de los trabajadores que trabajan en las piezas de madera, y el texto aparece en la pantalla que incluye la dirección de las tiendas, el correo electrónico, el sitio web y el número de teléfono, la tienda exterior se muestra nuevamente.</v>
      </c>
    </row>
    <row r="16980">
      <c r="A16980" s="4" t="s">
        <v>21383</v>
      </c>
      <c r="B16980" s="4" t="s">
        <v>21387</v>
      </c>
      <c r="C16980" s="5" t="str">
        <f>IFERROR(__xludf.DUMMYFUNCTION("GOOGLETRANSLATE(B16980,""en"",""es-ES"")"),"La última pantalla es la pantalla gris claro que se muestra por primera vez e incluye el nombre de la compañía, el número y el sitio web.")</f>
        <v>La última pantalla es la pantalla gris claro que se muestra por primera vez e incluye el nombre de la compañía, el número y el sitio web.</v>
      </c>
    </row>
    <row r="16981">
      <c r="A16981" s="4" t="s">
        <v>21388</v>
      </c>
      <c r="B16981" s="4" t="s">
        <v>21389</v>
      </c>
      <c r="C16981" s="5" t="str">
        <f>IFERROR(__xludf.DUMMYFUNCTION("GOOGLETRANSLATE(B16981,""en"",""es-ES"")"),"Una niña se sienta frente a una vuelta.")</f>
        <v>Una niña se sienta frente a una vuelta.</v>
      </c>
    </row>
    <row r="16982">
      <c r="A16982" s="4" t="s">
        <v>21388</v>
      </c>
      <c r="B16982" s="4" t="s">
        <v>21390</v>
      </c>
      <c r="C16982" s="5" t="str">
        <f>IFERROR(__xludf.DUMMYFUNCTION("GOOGLETRANSLATE(B16982,""en"",""es-ES"")"),"Ella está fumando una cachimba con una punta roja y soplando el humo de su boca.")</f>
        <v>Ella está fumando una cachimba con una punta roja y soplando el humo de su boca.</v>
      </c>
    </row>
    <row r="16983">
      <c r="A16983" s="4" t="s">
        <v>21388</v>
      </c>
      <c r="B16983" s="4" t="s">
        <v>21391</v>
      </c>
      <c r="C16983" s="5" t="str">
        <f>IFERROR(__xludf.DUMMYFUNCTION("GOOGLETRANSLATE(B16983,""en"",""es-ES"")"),"Ella se ríe, luego comparte la cachimba con otra mujer, que cambia la punta y también fuma.")</f>
        <v>Ella se ríe, luego comparte la cachimba con otra mujer, que cambia la punta y también fuma.</v>
      </c>
    </row>
    <row r="16984">
      <c r="A16984" s="4" t="s">
        <v>21388</v>
      </c>
      <c r="B16984" s="4" t="s">
        <v>21392</v>
      </c>
      <c r="C16984" s="5" t="str">
        <f>IFERROR(__xludf.DUMMYFUNCTION("GOOGLETRANSLATE(B16984,""en"",""es-ES"")"),"Las mujeres hablan y fuman en la mesa durante mucho tiempo.")</f>
        <v>Las mujeres hablan y fuman en la mesa durante mucho tiempo.</v>
      </c>
    </row>
    <row r="16985">
      <c r="A16985" s="4" t="s">
        <v>21393</v>
      </c>
      <c r="B16985" s="4" t="s">
        <v>21394</v>
      </c>
      <c r="C16985" s="5" t="str">
        <f>IFERROR(__xludf.DUMMYFUNCTION("GOOGLETRANSLATE(B16985,""en"",""es-ES"")"),"Se muestran imágenes de una oficina.")</f>
        <v>Se muestran imágenes de una oficina.</v>
      </c>
    </row>
    <row r="16986">
      <c r="A16986" s="4" t="s">
        <v>21393</v>
      </c>
      <c r="B16986" s="4" t="s">
        <v>21395</v>
      </c>
      <c r="C16986" s="5" t="str">
        <f>IFERROR(__xludf.DUMMYFUNCTION("GOOGLETRANSLATE(B16986,""en"",""es-ES"")"),"Una mujer está haciendo el pelo de otra mujer.")</f>
        <v>Una mujer está haciendo el pelo de otra mujer.</v>
      </c>
    </row>
    <row r="16987">
      <c r="A16987" s="4" t="s">
        <v>21393</v>
      </c>
      <c r="B16987" s="4" t="s">
        <v>21396</v>
      </c>
      <c r="C16987" s="5" t="str">
        <f>IFERROR(__xludf.DUMMYFUNCTION("GOOGLETRANSLATE(B16987,""en"",""es-ES"")"),"La gente se está peinando en una peluquería.")</f>
        <v>La gente se está peinando en una peluquería.</v>
      </c>
    </row>
    <row r="16988">
      <c r="A16988" s="4" t="s">
        <v>21397</v>
      </c>
      <c r="B16988" s="4" t="s">
        <v>21398</v>
      </c>
      <c r="C16988" s="5" t="str">
        <f>IFERROR(__xludf.DUMMYFUNCTION("GOOGLETRANSLATE(B16988,""en"",""es-ES"")"),"Se ve a una mujer hablando con la cámara mientras sostiene varios objetos en sus manos y comienza a rociar una ventana frente a ella.")</f>
        <v>Se ve a una mujer hablando con la cámara mientras sostiene varios objetos en sus manos y comienza a rociar una ventana frente a ella.</v>
      </c>
    </row>
    <row r="16989">
      <c r="A16989" s="4" t="s">
        <v>21397</v>
      </c>
      <c r="B16989" s="4" t="s">
        <v>21399</v>
      </c>
      <c r="C16989" s="5" t="str">
        <f>IFERROR(__xludf.DUMMYFUNCTION("GOOGLETRANSLATE(B16989,""en"",""es-ES"")"),"La mujer limpia la ventana con un trapo y un raspador y continúa mirando hacia atrás y hablando con la cámara.")</f>
        <v>La mujer limpia la ventana con un trapo y un raspador y continúa mirando hacia atrás y hablando con la cámara.</v>
      </c>
    </row>
    <row r="16990">
      <c r="A16990" s="4" t="s">
        <v>21400</v>
      </c>
      <c r="B16990" s="4" t="s">
        <v>21401</v>
      </c>
      <c r="C16990" s="5" t="str">
        <f>IFERROR(__xludf.DUMMYFUNCTION("GOOGLETRANSLATE(B16990,""en"",""es-ES"")"),"Una persona cabalga rápidamente en un tubo en un grupo de amigos en un río rocoso.")</f>
        <v>Una persona cabalga rápidamente en un tubo en un grupo de amigos en un río rocoso.</v>
      </c>
    </row>
    <row r="16991">
      <c r="A16991" s="4" t="s">
        <v>21400</v>
      </c>
      <c r="B16991" s="4" t="s">
        <v>21402</v>
      </c>
      <c r="C16991" s="5" t="str">
        <f>IFERROR(__xludf.DUMMYFUNCTION("GOOGLETRANSLATE(B16991,""en"",""es-ES"")"),"Las personas en los intertubes son ayudados por una guía de río en polo.")</f>
        <v>Las personas en los intertubes son ayudados por una guía de río en polo.</v>
      </c>
    </row>
    <row r="16992">
      <c r="A16992" s="4" t="s">
        <v>21403</v>
      </c>
      <c r="B16992" s="4" t="s">
        <v>21404</v>
      </c>
      <c r="C16992" s="5" t="str">
        <f>IFERROR(__xludf.DUMMYFUNCTION("GOOGLETRANSLATE(B16992,""en"",""es-ES"")"),"Una niña vierte líquido de una botella a una taza que sostiene a una joven, luego enjuague la boca mientras hace gestos y riendo.")</f>
        <v>Una niña vierte líquido de una botella a una taza que sostiene a una joven, luego enjuague la boca mientras hace gestos y riendo.</v>
      </c>
    </row>
    <row r="16993">
      <c r="A16993" s="4" t="s">
        <v>21403</v>
      </c>
      <c r="B16993" s="4" t="s">
        <v>21405</v>
      </c>
      <c r="C16993" s="5" t="str">
        <f>IFERROR(__xludf.DUMMYFUNCTION("GOOGLETRANSLATE(B16993,""en"",""es-ES"")"),"Después, la joven escupe el líquido y luego se apodera de la mejilla de la niña que escupe.")</f>
        <v>Después, la joven escupe el líquido y luego se apodera de la mejilla de la niña que escupe.</v>
      </c>
    </row>
    <row r="16994">
      <c r="A16994" s="4" t="s">
        <v>21403</v>
      </c>
      <c r="B16994" s="4" t="s">
        <v>21406</v>
      </c>
      <c r="C16994" s="5" t="str">
        <f>IFERROR(__xludf.DUMMYFUNCTION("GOOGLETRANSLATE(B16994,""en"",""es-ES"")"),"Luego, la niña enciende el grifo de la bañera y se dobla, después de que la niña apaga el grifo y se limpia las manos mientras habla.")</f>
        <v>Luego, la niña enciende el grifo de la bañera y se dobla, después de que la niña apaga el grifo y se limpia las manos mientras habla.</v>
      </c>
    </row>
    <row r="16995">
      <c r="A16995" s="4" t="s">
        <v>21407</v>
      </c>
      <c r="B16995" s="4" t="s">
        <v>1487</v>
      </c>
      <c r="C16995" s="5" t="str">
        <f>IFERROR(__xludf.DUMMYFUNCTION("GOOGLETRANSLATE(B16995,""en"",""es-ES"")"),"Vemos una pantalla de título de apertura.")</f>
        <v>Vemos una pantalla de título de apertura.</v>
      </c>
    </row>
    <row r="16996">
      <c r="A16996" s="4" t="s">
        <v>21407</v>
      </c>
      <c r="B16996" s="4" t="s">
        <v>21408</v>
      </c>
      <c r="C16996" s="5" t="str">
        <f>IFERROR(__xludf.DUMMYFUNCTION("GOOGLETRANSLATE(B16996,""en"",""es-ES"")"),"Vemos a un hombre hablando.")</f>
        <v>Vemos a un hombre hablando.</v>
      </c>
    </row>
    <row r="16997">
      <c r="A16997" s="4" t="s">
        <v>21407</v>
      </c>
      <c r="B16997" s="4" t="s">
        <v>21409</v>
      </c>
      <c r="C16997" s="5" t="str">
        <f>IFERROR(__xludf.DUMMYFUNCTION("GOOGLETRANSLATE(B16997,""en"",""es-ES"")"),"El hombre se mueve las manos y agrega jabón.")</f>
        <v>El hombre se mueve las manos y agrega jabón.</v>
      </c>
    </row>
    <row r="16998">
      <c r="A16998" s="4" t="s">
        <v>21407</v>
      </c>
      <c r="B16998" s="4" t="s">
        <v>21410</v>
      </c>
      <c r="C16998" s="5" t="str">
        <f>IFERROR(__xludf.DUMMYFUNCTION("GOOGLETRANSLATE(B16998,""en"",""es-ES"")"),"Vemos al hombre lavarse las manos.")</f>
        <v>Vemos al hombre lavarse las manos.</v>
      </c>
    </row>
    <row r="16999">
      <c r="A16999" s="4" t="s">
        <v>21407</v>
      </c>
      <c r="B16999" s="4" t="s">
        <v>21411</v>
      </c>
      <c r="C16999" s="5" t="str">
        <f>IFERROR(__xludf.DUMMYFUNCTION("GOOGLETRANSLATE(B16999,""en"",""es-ES"")"),"El hombre enjuague sus manos.")</f>
        <v>El hombre enjuague sus manos.</v>
      </c>
    </row>
    <row r="17000">
      <c r="A17000" s="4" t="s">
        <v>21407</v>
      </c>
      <c r="B17000" s="4" t="s">
        <v>21412</v>
      </c>
      <c r="C17000" s="5" t="str">
        <f>IFERROR(__xludf.DUMMYFUNCTION("GOOGLETRANSLATE(B17000,""en"",""es-ES"")"),"El hombre seca las manos y apaga el agua con la toalla de papel.")</f>
        <v>El hombre seca las manos y apaga el agua con la toalla de papel.</v>
      </c>
    </row>
    <row r="17001">
      <c r="A17001" s="4" t="s">
        <v>21407</v>
      </c>
      <c r="B17001" s="4" t="s">
        <v>1380</v>
      </c>
      <c r="C17001" s="5" t="str">
        <f>IFERROR(__xludf.DUMMYFUNCTION("GOOGLETRANSLATE(B17001,""en"",""es-ES"")"),"Luego vemos los créditos finales.")</f>
        <v>Luego vemos los créditos finales.</v>
      </c>
    </row>
    <row r="17002">
      <c r="A17002" s="4" t="s">
        <v>21413</v>
      </c>
      <c r="B17002" s="4" t="s">
        <v>21414</v>
      </c>
      <c r="C17002" s="5" t="str">
        <f>IFERROR(__xludf.DUMMYFUNCTION("GOOGLETRANSLATE(B17002,""en"",""es-ES"")"),"Varios hombres jóvenes practican saltos de larga duración, y hacia atrás salta dentro de un gimnasio con una bandera estadounidense que cuelga en la pared.")</f>
        <v>Varios hombres jóvenes practican saltos de larga duración, y hacia atrás salta dentro de un gimnasio con una bandera estadounidense que cuelga en la pared.</v>
      </c>
    </row>
    <row r="17003">
      <c r="A17003" s="4" t="s">
        <v>21413</v>
      </c>
      <c r="B17003" s="4" t="s">
        <v>21415</v>
      </c>
      <c r="C17003" s="5" t="str">
        <f>IFERROR(__xludf.DUMMYFUNCTION("GOOGLETRANSLATE(B17003,""en"",""es-ES"")"),"Un hombre practica un salto de longitud dentro de un gimnasio interior usando una caja de arena interior para aterrizar y una isla de pista de carreras dibujada.")</f>
        <v>Un hombre practica un salto de longitud dentro de un gimnasio interior usando una caja de arena interior para aterrizar y una isla de pista de carreras dibujada.</v>
      </c>
    </row>
    <row r="17004">
      <c r="A17004" s="4" t="s">
        <v>21413</v>
      </c>
      <c r="B17004" s="4" t="s">
        <v>21416</v>
      </c>
      <c r="C17004" s="5" t="str">
        <f>IFERROR(__xludf.DUMMYFUNCTION("GOOGLETRANSLATE(B17004,""en"",""es-ES"")"),"Otro hombre practica arrojarse hacia atrás sobre un poste en una alfombra de gimnasio dentro del gimnasio.")</f>
        <v>Otro hombre practica arrojarse hacia atrás sobre un poste en una alfombra de gimnasio dentro del gimnasio.</v>
      </c>
    </row>
    <row r="17005">
      <c r="A17005" s="4" t="s">
        <v>21413</v>
      </c>
      <c r="B17005" s="4" t="s">
        <v>21417</v>
      </c>
      <c r="C17005" s="5" t="str">
        <f>IFERROR(__xludf.DUMMYFUNCTION("GOOGLETRANSLATE(B17005,""en"",""es-ES"")"),"Varios hombres más practican saltos de larga duración y saltos hacia atrás dentro del gimnasio usando el sandbox y las alfombrillas de gimnasio como herramientas de aterrizaje.")</f>
        <v>Varios hombres más practican saltos de larga duración y saltos hacia atrás dentro del gimnasio usando el sandbox y las alfombrillas de gimnasio como herramientas de aterrizaje.</v>
      </c>
    </row>
    <row r="17006">
      <c r="A17006" s="4" t="s">
        <v>21418</v>
      </c>
      <c r="B17006" s="4" t="s">
        <v>21419</v>
      </c>
      <c r="C17006" s="5" t="str">
        <f>IFERROR(__xludf.DUMMYFUNCTION("GOOGLETRANSLATE(B17006,""en"",""es-ES"")"),"Hay dos concursantes que participan en la competencia Atletic Jump.")</f>
        <v>Hay dos concursantes que participan en la competencia Atletic Jump.</v>
      </c>
    </row>
    <row r="17007">
      <c r="A17007" s="4" t="s">
        <v>21418</v>
      </c>
      <c r="B17007" s="4" t="s">
        <v>21420</v>
      </c>
      <c r="C17007" s="5" t="str">
        <f>IFERROR(__xludf.DUMMYFUNCTION("GOOGLETRANSLATE(B17007,""en"",""es-ES"")"),"Hay varios espectadores y jueces que los observan mientras saltan sobre el bar en un gran estadio interior.")</f>
        <v>Hay varios espectadores y jueces que los observan mientras saltan sobre el bar en un gran estadio interior.</v>
      </c>
    </row>
    <row r="17008">
      <c r="A17008" s="4" t="s">
        <v>21418</v>
      </c>
      <c r="B17008" s="4" t="s">
        <v>21421</v>
      </c>
      <c r="C17008" s="5" t="str">
        <f>IFERROR(__xludf.DUMMYFUNCTION("GOOGLETRANSLATE(B17008,""en"",""es-ES"")"),"Ambos concursantes saltan con éxito sobre el bar.")</f>
        <v>Ambos concursantes saltan con éxito sobre el bar.</v>
      </c>
    </row>
    <row r="17009">
      <c r="A17009" s="4" t="s">
        <v>21418</v>
      </c>
      <c r="B17009" s="4" t="s">
        <v>21422</v>
      </c>
      <c r="C17009" s="5" t="str">
        <f>IFERROR(__xludf.DUMMYFUNCTION("GOOGLETRANSLATE(B17009,""en"",""es-ES"")"),"Hay un video en cámara lenta del concursante saltando sobre el bar.")</f>
        <v>Hay un video en cámara lenta del concursante saltando sobre el bar.</v>
      </c>
    </row>
    <row r="17010">
      <c r="A17010" s="4" t="s">
        <v>21423</v>
      </c>
      <c r="B17010" s="4" t="s">
        <v>21424</v>
      </c>
      <c r="C17010" s="5" t="str">
        <f>IFERROR(__xludf.DUMMYFUNCTION("GOOGLETRANSLATE(B17010,""en"",""es-ES"")"),"Hay varias personas que se preparan para esquiar.")</f>
        <v>Hay varias personas que se preparan para esquiar.</v>
      </c>
    </row>
    <row r="17011">
      <c r="A17011" s="4" t="s">
        <v>21423</v>
      </c>
      <c r="B17011" s="4" t="s">
        <v>21425</v>
      </c>
      <c r="C17011" s="5" t="str">
        <f>IFERROR(__xludf.DUMMYFUNCTION("GOOGLETRANSLATE(B17011,""en"",""es-ES"")"),"Hay una persona esquiando cuesta abajo a toda velocidad cuya sombra se puede ver.")</f>
        <v>Hay una persona esquiando cuesta abajo a toda velocidad cuya sombra se puede ver.</v>
      </c>
    </row>
    <row r="17012">
      <c r="A17012" s="4" t="s">
        <v>21423</v>
      </c>
      <c r="B17012" s="4" t="s">
        <v>21426</v>
      </c>
      <c r="C17012" s="5" t="str">
        <f>IFERROR(__xludf.DUMMYFUNCTION("GOOGLETRANSLATE(B17012,""en"",""es-ES"")"),"Hay gente sentada y esperando en la cima de una montaña esperando para comenzar a esquiar.")</f>
        <v>Hay gente sentada y esperando en la cima de una montaña esperando para comenzar a esquiar.</v>
      </c>
    </row>
    <row r="17013">
      <c r="A17013" s="4" t="s">
        <v>21423</v>
      </c>
      <c r="B17013" s="4" t="s">
        <v>21427</v>
      </c>
      <c r="C17013" s="5" t="str">
        <f>IFERROR(__xludf.DUMMYFUNCTION("GOOGLETRANSLATE(B17013,""en"",""es-ES"")"),"El esquiador que va rápidamente cuesta abajo está demostrando cómo girar y administrar la velocidad mientras va cuesta abajo.")</f>
        <v>El esquiador que va rápidamente cuesta abajo está demostrando cómo girar y administrar la velocidad mientras va cuesta abajo.</v>
      </c>
    </row>
    <row r="17014">
      <c r="A17014" s="4" t="s">
        <v>21423</v>
      </c>
      <c r="B17014" s="4" t="s">
        <v>21428</v>
      </c>
      <c r="C17014" s="5" t="str">
        <f>IFERROR(__xludf.DUMMYFUNCTION("GOOGLETRANSLATE(B17014,""en"",""es-ES"")"),"Hay algunas personas caminando hacia la montaña de esquí en una escalera mecánica.")</f>
        <v>Hay algunas personas caminando hacia la montaña de esquí en una escalera mecánica.</v>
      </c>
    </row>
    <row r="17015">
      <c r="A17015" s="4" t="s">
        <v>21423</v>
      </c>
      <c r="B17015" s="4" t="s">
        <v>21429</v>
      </c>
      <c r="C17015" s="5" t="str">
        <f>IFERROR(__xludf.DUMMYFUNCTION("GOOGLETRANSLATE(B17015,""en"",""es-ES"")"),"El esquiador continúa esquiando cuesta abajo sobre laderas empinadas y sinuosas.")</f>
        <v>El esquiador continúa esquiando cuesta abajo sobre laderas empinadas y sinuosas.</v>
      </c>
    </row>
    <row r="17016">
      <c r="A17016" s="4" t="s">
        <v>21430</v>
      </c>
      <c r="B17016" s="4" t="s">
        <v>21431</v>
      </c>
      <c r="C17016" s="5" t="str">
        <f>IFERROR(__xludf.DUMMYFUNCTION("GOOGLETRANSLATE(B17016,""en"",""es-ES"")"),"Hay una chica con ojos claros y cabello castaño oscuro que habla de lentes oculares de colores.")</f>
        <v>Hay una chica con ojos claros y cabello castaño oscuro que habla de lentes oculares de colores.</v>
      </c>
    </row>
    <row r="17017">
      <c r="A17017" s="4" t="s">
        <v>21430</v>
      </c>
      <c r="B17017" s="4" t="s">
        <v>21432</v>
      </c>
      <c r="C17017" s="5" t="str">
        <f>IFERROR(__xludf.DUMMYFUNCTION("GOOGLETRANSLATE(B17017,""en"",""es-ES"")"),"Ella está haciendo un tutorial sobre cómo usar lentes de colores en sus ojos.")</f>
        <v>Ella está haciendo un tutorial sobre cómo usar lentes de colores en sus ojos.</v>
      </c>
    </row>
    <row r="17018">
      <c r="A17018" s="4" t="s">
        <v>21430</v>
      </c>
      <c r="B17018" s="4" t="s">
        <v>21433</v>
      </c>
      <c r="C17018" s="5" t="str">
        <f>IFERROR(__xludf.DUMMYFUNCTION("GOOGLETRANSLATE(B17018,""en"",""es-ES"")"),"Ella abre una pequeña botella de vidrio que contiene las lentes de colores.")</f>
        <v>Ella abre una pequeña botella de vidrio que contiene las lentes de colores.</v>
      </c>
    </row>
    <row r="17019">
      <c r="A17019" s="4" t="s">
        <v>21430</v>
      </c>
      <c r="B17019" s="4" t="s">
        <v>21434</v>
      </c>
      <c r="C17019" s="5" t="str">
        <f>IFERROR(__xludf.DUMMYFUNCTION("GOOGLETRANSLATE(B17019,""en"",""es-ES"")"),"Ella quita la lente y la coloca en su dedo.")</f>
        <v>Ella quita la lente y la coloca en su dedo.</v>
      </c>
    </row>
    <row r="17020">
      <c r="A17020" s="4" t="s">
        <v>21430</v>
      </c>
      <c r="B17020" s="4" t="s">
        <v>21435</v>
      </c>
      <c r="C17020" s="5" t="str">
        <f>IFERROR(__xludf.DUMMYFUNCTION("GOOGLETRANSLATE(B17020,""en"",""es-ES"")"),"Luego usa suavemente la lente en su ojo derecho primero y luego en su ojo izquierdo.")</f>
        <v>Luego usa suavemente la lente en su ojo derecho primero y luego en su ojo izquierdo.</v>
      </c>
    </row>
    <row r="17021">
      <c r="A17021" s="4" t="s">
        <v>21430</v>
      </c>
      <c r="B17021" s="4" t="s">
        <v>21436</v>
      </c>
      <c r="C17021" s="5" t="str">
        <f>IFERROR(__xludf.DUMMYFUNCTION("GOOGLETRANSLATE(B17021,""en"",""es-ES"")"),"Ella muestra la lente de color amarillo que ha usado.")</f>
        <v>Ella muestra la lente de color amarillo que ha usado.</v>
      </c>
    </row>
    <row r="17022">
      <c r="A17022" s="4" t="s">
        <v>21437</v>
      </c>
      <c r="B17022" s="4" t="s">
        <v>21438</v>
      </c>
      <c r="C17022" s="5" t="str">
        <f>IFERROR(__xludf.DUMMYFUNCTION("GOOGLETRANSLATE(B17022,""en"",""es-ES"")"),"Vemos el título sobre la escena.")</f>
        <v>Vemos el título sobre la escena.</v>
      </c>
    </row>
    <row r="17023">
      <c r="A17023" s="4" t="s">
        <v>21437</v>
      </c>
      <c r="B17023" s="4" t="s">
        <v>21439</v>
      </c>
      <c r="C17023" s="5" t="str">
        <f>IFERROR(__xludf.DUMMYFUNCTION("GOOGLETRANSLATE(B17023,""en"",""es-ES"")"),"Vemos que el reverso de un hombre está cortando su césped con un cortacésped eléctrico.")</f>
        <v>Vemos que el reverso de un hombre está cortando su césped con un cortacésped eléctrico.</v>
      </c>
    </row>
    <row r="17024">
      <c r="A17024" s="4" t="s">
        <v>21437</v>
      </c>
      <c r="B17024" s="4" t="s">
        <v>21440</v>
      </c>
      <c r="C17024" s="5" t="str">
        <f>IFERROR(__xludf.DUMMYFUNCTION("GOOGLETRANSLATE(B17024,""en"",""es-ES"")"),"El hombre sube a la mitad del patio y se da la vuelta.")</f>
        <v>El hombre sube a la mitad del patio y se da la vuelta.</v>
      </c>
    </row>
    <row r="17025">
      <c r="A17025" s="4" t="s">
        <v>21437</v>
      </c>
      <c r="B17025" s="4" t="s">
        <v>21441</v>
      </c>
      <c r="C17025" s="5" t="str">
        <f>IFERROR(__xludf.DUMMYFUNCTION("GOOGLETRANSLATE(B17025,""en"",""es-ES"")"),"El título final vuelve a la pantalla.")</f>
        <v>El título final vuelve a la pantalla.</v>
      </c>
    </row>
    <row r="17026">
      <c r="A17026" s="4" t="s">
        <v>21442</v>
      </c>
      <c r="B17026" s="4" t="s">
        <v>21443</v>
      </c>
      <c r="C17026" s="5" t="str">
        <f>IFERROR(__xludf.DUMMYFUNCTION("GOOGLETRANSLATE(B17026,""en"",""es-ES"")"),"Un hombre monta sobre un pequeño carrito de riel que sopla hojas con un soplador de hojas.")</f>
        <v>Un hombre monta sobre un pequeño carrito de riel que sopla hojas con un soplador de hojas.</v>
      </c>
    </row>
    <row r="17027">
      <c r="A17027" s="4" t="s">
        <v>21442</v>
      </c>
      <c r="B17027" s="4" t="s">
        <v>21444</v>
      </c>
      <c r="C17027" s="5" t="str">
        <f>IFERROR(__xludf.DUMMYFUNCTION("GOOGLETRANSLATE(B17027,""en"",""es-ES"")"),"El hombre va justo en una bifurcación en las pistas de un carrito y alrededor de una curva.")</f>
        <v>El hombre va justo en una bifurcación en las pistas de un carrito y alrededor de una curva.</v>
      </c>
    </row>
    <row r="17028">
      <c r="A17028" s="4" t="s">
        <v>21445</v>
      </c>
      <c r="B17028" s="4" t="s">
        <v>21446</v>
      </c>
      <c r="C17028" s="5" t="str">
        <f>IFERROR(__xludf.DUMMYFUNCTION("GOOGLETRANSLATE(B17028,""en"",""es-ES"")"),"Un niño pequeño usa una aspiradora de juguete en un piso de madera.")</f>
        <v>Un niño pequeño usa una aspiradora de juguete en un piso de madera.</v>
      </c>
    </row>
    <row r="17029">
      <c r="A17029" s="4" t="s">
        <v>21445</v>
      </c>
      <c r="B17029" s="4" t="s">
        <v>21447</v>
      </c>
      <c r="C17029" s="5" t="str">
        <f>IFERROR(__xludf.DUMMYFUNCTION("GOOGLETRANSLATE(B17029,""en"",""es-ES"")"),"La madre viene y ayuda al niño.")</f>
        <v>La madre viene y ayuda al niño.</v>
      </c>
    </row>
    <row r="17030">
      <c r="A17030" s="4" t="s">
        <v>21448</v>
      </c>
      <c r="B17030" s="4" t="s">
        <v>21449</v>
      </c>
      <c r="C17030" s="5" t="str">
        <f>IFERROR(__xludf.DUMMYFUNCTION("GOOGLETRANSLATE(B17030,""en"",""es-ES"")"),"Varios hombres comienzan a comenzar a girar sus cuerpos lo más rápido posible.")</f>
        <v>Varios hombres comienzan a comenzar a girar sus cuerpos lo más rápido posible.</v>
      </c>
    </row>
    <row r="17031">
      <c r="A17031" s="4" t="s">
        <v>21448</v>
      </c>
      <c r="B17031" s="4" t="s">
        <v>21450</v>
      </c>
      <c r="C17031" s="5" t="str">
        <f>IFERROR(__xludf.DUMMYFUNCTION("GOOGLETRANSLATE(B17031,""en"",""es-ES"")"),"Cada uno en diferentes situaciones, pero todos practican el mismo deporte.")</f>
        <v>Cada uno en diferentes situaciones, pero todos practican el mismo deporte.</v>
      </c>
    </row>
    <row r="17032">
      <c r="A17032" s="4" t="s">
        <v>21448</v>
      </c>
      <c r="B17032" s="4" t="s">
        <v>21451</v>
      </c>
      <c r="C17032" s="5" t="str">
        <f>IFERROR(__xludf.DUMMYFUNCTION("GOOGLETRANSLATE(B17032,""en"",""es-ES"")"),"Aumentan la mayor velocidad posible para que puedan lanzar lo más posible.")</f>
        <v>Aumentan la mayor velocidad posible para que puedan lanzar lo más posible.</v>
      </c>
    </row>
    <row r="17033">
      <c r="A17033" s="4" t="s">
        <v>21448</v>
      </c>
      <c r="B17033" s="4" t="s">
        <v>21452</v>
      </c>
      <c r="C17033" s="5" t="str">
        <f>IFERROR(__xludf.DUMMYFUNCTION("GOOGLETRANSLATE(B17033,""en"",""es-ES"")"),"Incluso hay audiencia para este deporte que realmente viene a verlo.")</f>
        <v>Incluso hay audiencia para este deporte que realmente viene a verlo.</v>
      </c>
    </row>
    <row r="17034">
      <c r="A17034" s="4" t="s">
        <v>21453</v>
      </c>
      <c r="B17034" s="4" t="s">
        <v>21454</v>
      </c>
      <c r="C17034" s="5" t="str">
        <f>IFERROR(__xludf.DUMMYFUNCTION("GOOGLETRANSLATE(B17034,""en"",""es-ES"")"),"Vemos a un motociclista BMX mientras se prepara para montar.")</f>
        <v>Vemos a un motociclista BMX mientras se prepara para montar.</v>
      </c>
    </row>
    <row r="17035">
      <c r="A17035" s="4" t="s">
        <v>21453</v>
      </c>
      <c r="B17035" s="4" t="s">
        <v>21455</v>
      </c>
      <c r="C17035" s="5" t="str">
        <f>IFERROR(__xludf.DUMMYFUNCTION("GOOGLETRANSLATE(B17035,""en"",""es-ES"")"),"Vemos la puerta abierta y vemos el campo.")</f>
        <v>Vemos la puerta abierta y vemos el campo.</v>
      </c>
    </row>
    <row r="17036">
      <c r="A17036" s="4" t="s">
        <v>21453</v>
      </c>
      <c r="B17036" s="4" t="s">
        <v>21456</v>
      </c>
      <c r="C17036" s="5" t="str">
        <f>IFERROR(__xludf.DUMMYFUNCTION("GOOGLETRANSLATE(B17036,""en"",""es-ES"")"),"El jinete despega por el curso.")</f>
        <v>El jinete despega por el curso.</v>
      </c>
    </row>
    <row r="17037">
      <c r="A17037" s="4" t="s">
        <v>21453</v>
      </c>
      <c r="B17037" s="4" t="s">
        <v>21457</v>
      </c>
      <c r="C17037" s="5" t="str">
        <f>IFERROR(__xludf.DUMMYFUNCTION("GOOGLETRANSLATE(B17037,""en"",""es-ES"")"),"Vemos a los jinetes realizar saltos y personas montando bicicletas.")</f>
        <v>Vemos a los jinetes realizar saltos y personas montando bicicletas.</v>
      </c>
    </row>
    <row r="17038">
      <c r="A17038" s="4" t="s">
        <v>21453</v>
      </c>
      <c r="B17038" s="4" t="s">
        <v>21458</v>
      </c>
      <c r="C17038" s="5" t="str">
        <f>IFERROR(__xludf.DUMMYFUNCTION("GOOGLETRANSLATE(B17038,""en"",""es-ES"")"),"Vemos otro comienzo y un grupo de personas despegan en una pista interior.")</f>
        <v>Vemos otro comienzo y un grupo de personas despegan en una pista interior.</v>
      </c>
    </row>
    <row r="17039">
      <c r="A17039" s="4" t="s">
        <v>21453</v>
      </c>
      <c r="B17039" s="4" t="s">
        <v>21459</v>
      </c>
      <c r="C17039" s="5" t="str">
        <f>IFERROR(__xludf.DUMMYFUNCTION("GOOGLETRANSLATE(B17039,""en"",""es-ES"")"),"Vemos fotos de hombres que viajan al aire libre y se abre otra puerta.")</f>
        <v>Vemos fotos de hombres que viajan al aire libre y se abre otra puerta.</v>
      </c>
    </row>
    <row r="17040">
      <c r="A17040" s="4" t="s">
        <v>21453</v>
      </c>
      <c r="B17040" s="4" t="s">
        <v>21460</v>
      </c>
      <c r="C17040" s="5" t="str">
        <f>IFERROR(__xludf.DUMMYFUNCTION("GOOGLETRANSLATE(B17040,""en"",""es-ES"")"),"Vemos una bicicleta en su lado.")</f>
        <v>Vemos una bicicleta en su lado.</v>
      </c>
    </row>
    <row r="17041">
      <c r="A17041" s="4" t="s">
        <v>21461</v>
      </c>
      <c r="B17041" s="4" t="s">
        <v>21462</v>
      </c>
      <c r="C17041" s="5" t="str">
        <f>IFERROR(__xludf.DUMMYFUNCTION("GOOGLETRANSLATE(B17041,""en"",""es-ES"")"),"Una introducción comienza y muestra a un hombre sosteniendo una pala y hablando con la cámara.")</f>
        <v>Una introducción comienza y muestra a un hombre sosteniendo una pala y hablando con la cámara.</v>
      </c>
    </row>
    <row r="17042">
      <c r="A17042" s="4" t="s">
        <v>21461</v>
      </c>
      <c r="B17042" s="4" t="s">
        <v>21463</v>
      </c>
      <c r="C17042" s="5" t="str">
        <f>IFERROR(__xludf.DUMMYFUNCTION("GOOGLETRANSLATE(B17042,""en"",""es-ES"")"),"Poco a poco rasa las hojas y habla con la cámara y muestra a varias personas que también ayudan a recoger las hojas.")</f>
        <v>Poco a poco rasa las hojas y habla con la cámara y muestra a varias personas que también ayudan a recoger las hojas.</v>
      </c>
    </row>
    <row r="17043">
      <c r="A17043" s="4" t="s">
        <v>21461</v>
      </c>
      <c r="B17043" s="4" t="s">
        <v>21464</v>
      </c>
      <c r="C17043" s="5" t="str">
        <f>IFERROR(__xludf.DUMMYFUNCTION("GOOGLETRANSLATE(B17043,""en"",""es-ES"")"),"Se entrevistan a diferentes personas en la cámara, mientras que varias otras se muestran rastrillando las hojas.")</f>
        <v>Se entrevistan a diferentes personas en la cámara, mientras que varias otras se muestran rastrillando las hojas.</v>
      </c>
    </row>
    <row r="17044">
      <c r="A17044" s="4" t="s">
        <v>21461</v>
      </c>
      <c r="B17044" s="4" t="s">
        <v>21465</v>
      </c>
      <c r="C17044" s="5" t="str">
        <f>IFERROR(__xludf.DUMMYFUNCTION("GOOGLETRANSLATE(B17044,""en"",""es-ES"")"),"Se ve a un hombre sentado en su auto y otro se pone los guantes.")</f>
        <v>Se ve a un hombre sentado en su auto y otro se pone los guantes.</v>
      </c>
    </row>
    <row r="17045">
      <c r="A17045" s="4" t="s">
        <v>21461</v>
      </c>
      <c r="B17045" s="4" t="s">
        <v>21466</v>
      </c>
      <c r="C17045" s="5" t="str">
        <f>IFERROR(__xludf.DUMMYFUNCTION("GOOGLETRANSLATE(B17045,""en"",""es-ES"")"),"La cámara se abalanza sobre las hojas rastrilladas, mientras que varias otras discuten su arduo trabajo.")</f>
        <v>La cámara se abalanza sobre las hojas rastrilladas, mientras que varias otras discuten su arduo trabajo.</v>
      </c>
    </row>
    <row r="17046">
      <c r="A17046" s="4" t="s">
        <v>21467</v>
      </c>
      <c r="B17046" s="4" t="s">
        <v>21468</v>
      </c>
      <c r="C17046" s="5" t="str">
        <f>IFERROR(__xludf.DUMMYFUNCTION("GOOGLETRANSLATE(B17046,""en"",""es-ES"")"),"Vemos a dos chicas una sentada a la otra doblándose.")</f>
        <v>Vemos a dos chicas una sentada a la otra doblándose.</v>
      </c>
    </row>
    <row r="17047">
      <c r="A17047" s="4" t="s">
        <v>21467</v>
      </c>
      <c r="B17047" s="4" t="s">
        <v>21469</v>
      </c>
      <c r="C17047" s="5" t="str">
        <f>IFERROR(__xludf.DUMMYFUNCTION("GOOGLETRANSLATE(B17047,""en"",""es-ES"")"),"La niña doblada se pone de pie.")</f>
        <v>La niña doblada se pone de pie.</v>
      </c>
    </row>
    <row r="17048">
      <c r="A17048" s="4" t="s">
        <v>21467</v>
      </c>
      <c r="B17048" s="4" t="s">
        <v>21470</v>
      </c>
      <c r="C17048" s="5" t="str">
        <f>IFERROR(__xludf.DUMMYFUNCTION("GOOGLETRANSLATE(B17048,""en"",""es-ES"")"),"Vemos a una persona pintando las uñas de los pies de las chicas sentadas.")</f>
        <v>Vemos a una persona pintando las uñas de los pies de las chicas sentadas.</v>
      </c>
    </row>
    <row r="17049">
      <c r="A17049" s="4" t="s">
        <v>21471</v>
      </c>
      <c r="B17049" s="4" t="s">
        <v>21472</v>
      </c>
      <c r="C17049" s="5" t="str">
        <f>IFERROR(__xludf.DUMMYFUNCTION("GOOGLETRANSLATE(B17049,""en"",""es-ES"")"),"Little Kid está en un estacionamiento que juega con rayas junto a los autos.")</f>
        <v>Little Kid está en un estacionamiento que juega con rayas junto a los autos.</v>
      </c>
    </row>
    <row r="17050">
      <c r="A17050" s="4" t="s">
        <v>21471</v>
      </c>
      <c r="B17050" s="4" t="s">
        <v>21473</v>
      </c>
      <c r="C17050" s="5" t="str">
        <f>IFERROR(__xludf.DUMMYFUNCTION("GOOGLETRANSLATE(B17050,""en"",""es-ES"")"),"El hombre que usa pantalones cortos está de pie junto al juego de rayos hop.")</f>
        <v>El hombre que usa pantalones cortos está de pie junto al juego de rayos hop.</v>
      </c>
    </row>
    <row r="17051">
      <c r="A17051" s="4" t="s">
        <v>21471</v>
      </c>
      <c r="B17051" s="4" t="s">
        <v>21474</v>
      </c>
      <c r="C17051" s="5" t="str">
        <f>IFERROR(__xludf.DUMMYFUNCTION("GOOGLETRANSLATE(B17051,""en"",""es-ES"")"),"Litle Blond Kid está de pie en la calle jugando a la fuente de un hombre.")</f>
        <v>Litle Blond Kid está de pie en la calle jugando a la fuente de un hombre.</v>
      </c>
    </row>
    <row r="17052">
      <c r="A17052" s="4" t="s">
        <v>21475</v>
      </c>
      <c r="B17052" s="4" t="s">
        <v>21476</v>
      </c>
      <c r="C17052" s="5" t="str">
        <f>IFERROR(__xludf.DUMMYFUNCTION("GOOGLETRANSLATE(B17052,""en"",""es-ES"")"),"Hay caballos y se están bajando de un remolque.")</f>
        <v>Hay caballos y se están bajando de un remolque.</v>
      </c>
    </row>
    <row r="17053">
      <c r="A17053" s="4" t="s">
        <v>21475</v>
      </c>
      <c r="B17053" s="4" t="s">
        <v>21477</v>
      </c>
      <c r="C17053" s="5" t="str">
        <f>IFERROR(__xludf.DUMMYFUNCTION("GOOGLETRANSLATE(B17053,""en"",""es-ES"")"),"Van a viajar por el desierto, a través de diferentes partes del desierto.")</f>
        <v>Van a viajar por el desierto, a través de diferentes partes del desierto.</v>
      </c>
    </row>
    <row r="17054">
      <c r="A17054" s="4" t="s">
        <v>21478</v>
      </c>
      <c r="B17054" s="4" t="s">
        <v>21479</v>
      </c>
      <c r="C17054" s="5" t="str">
        <f>IFERROR(__xludf.DUMMYFUNCTION("GOOGLETRANSLATE(B17054,""en"",""es-ES"")"),"Se ve a una mujer lavando las manos debajo de un fregadero con una luz que aparece en el agua para la temperatura.")</f>
        <v>Se ve a una mujer lavando las manos debajo de un fregadero con una luz que aparece en el agua para la temperatura.</v>
      </c>
    </row>
    <row r="17055">
      <c r="A17055" s="4" t="s">
        <v>21478</v>
      </c>
      <c r="B17055" s="4" t="s">
        <v>21480</v>
      </c>
      <c r="C17055" s="5" t="str">
        <f>IFERROR(__xludf.DUMMYFUNCTION("GOOGLETRANSLATE(B17055,""en"",""es-ES"")"),"La persona continúa frotando sus manos y las sacude al final.")</f>
        <v>La persona continúa frotando sus manos y las sacude al final.</v>
      </c>
    </row>
    <row r="17056">
      <c r="A17056" s="4" t="s">
        <v>21481</v>
      </c>
      <c r="B17056" s="4" t="s">
        <v>21482</v>
      </c>
      <c r="C17056" s="5" t="str">
        <f>IFERROR(__xludf.DUMMYFUNCTION("GOOGLETRANSLATE(B17056,""en"",""es-ES"")"),"La gente navega en los veleros en el océano.")</f>
        <v>La gente navega en los veleros en el océano.</v>
      </c>
    </row>
    <row r="17057">
      <c r="A17057" s="4" t="s">
        <v>21481</v>
      </c>
      <c r="B17057" s="4" t="s">
        <v>21483</v>
      </c>
      <c r="C17057" s="5" t="str">
        <f>IFERROR(__xludf.DUMMYFUNCTION("GOOGLETRANSLATE(B17057,""en"",""es-ES"")"),"Un hombre navega en una vela que pasa por el frente a otros marineros.")</f>
        <v>Un hombre navega en una vela que pasa por el frente a otros marineros.</v>
      </c>
    </row>
    <row r="17058">
      <c r="A17058" s="4" t="s">
        <v>21481</v>
      </c>
      <c r="B17058" s="4" t="s">
        <v>21484</v>
      </c>
      <c r="C17058" s="5" t="str">
        <f>IFERROR(__xludf.DUMMYFUNCTION("GOOGLETRANSLATE(B17058,""en"",""es-ES"")"),"Un avión vuela sobre la playa donde navega la gente.")</f>
        <v>Un avión vuela sobre la playa donde navega la gente.</v>
      </c>
    </row>
    <row r="17059">
      <c r="A17059" s="4" t="s">
        <v>21481</v>
      </c>
      <c r="B17059" s="4" t="s">
        <v>21485</v>
      </c>
      <c r="C17059" s="5" t="str">
        <f>IFERROR(__xludf.DUMMYFUNCTION("GOOGLETRANSLATE(B17059,""en"",""es-ES"")"),"Una mujer toma una foto de la ciudad desde una colina.")</f>
        <v>Una mujer toma una foto de la ciudad desde una colina.</v>
      </c>
    </row>
    <row r="17060">
      <c r="A17060" s="4" t="s">
        <v>21486</v>
      </c>
      <c r="B17060" s="4" t="s">
        <v>21487</v>
      </c>
      <c r="C17060" s="5" t="str">
        <f>IFERROR(__xludf.DUMMYFUNCTION("GOOGLETRANSLATE(B17060,""en"",""es-ES"")"),"Varias personas son vistas en diferentes escenas, caminando en público.")</f>
        <v>Varias personas son vistas en diferentes escenas, caminando en público.</v>
      </c>
    </row>
    <row r="17061">
      <c r="A17061" s="4" t="s">
        <v>21486</v>
      </c>
      <c r="B17061" s="4" t="s">
        <v>21488</v>
      </c>
      <c r="C17061" s="5" t="str">
        <f>IFERROR(__xludf.DUMMYFUNCTION("GOOGLETRANSLATE(B17061,""en"",""es-ES"")"),"Un hombre ayuda a una mujer a montar un caballo en el bosque.")</f>
        <v>Un hombre ayuda a una mujer a montar un caballo en el bosque.</v>
      </c>
    </row>
    <row r="17062">
      <c r="A17062" s="4" t="s">
        <v>21486</v>
      </c>
      <c r="B17062" s="4" t="s">
        <v>21489</v>
      </c>
      <c r="C17062" s="5" t="str">
        <f>IFERROR(__xludf.DUMMYFUNCTION("GOOGLETRANSLATE(B17062,""en"",""es-ES"")"),"Ella alimenta las manzanas de los caballos mientras viajan a través de los caminos boscosos.")</f>
        <v>Ella alimenta las manzanas de los caballos mientras viajan a través de los caminos boscosos.</v>
      </c>
    </row>
    <row r="17063">
      <c r="A17063" s="4" t="s">
        <v>21490</v>
      </c>
      <c r="B17063" s="4" t="s">
        <v>21491</v>
      </c>
      <c r="C17063" s="5" t="str">
        <f>IFERROR(__xludf.DUMMYFUNCTION("GOOGLETRANSLATE(B17063,""en"",""es-ES"")"),"Un niño está destacando en el bosque sosteniendo un trozo de corteza y hablando con la cámara.")</f>
        <v>Un niño está destacando en el bosque sosteniendo un trozo de corteza y hablando con la cámara.</v>
      </c>
    </row>
    <row r="17064">
      <c r="A17064" s="4" t="s">
        <v>21490</v>
      </c>
      <c r="B17064" s="4" t="s">
        <v>21492</v>
      </c>
      <c r="C17064" s="5" t="str">
        <f>IFERROR(__xludf.DUMMYFUNCTION("GOOGLETRANSLATE(B17064,""en"",""es-ES"")"),"Se ve a una mujer haciendo una pila de troncos mientras el niño entra en el marco.")</f>
        <v>Se ve a una mujer haciendo una pila de troncos mientras el niño entra en el marco.</v>
      </c>
    </row>
    <row r="17065">
      <c r="A17065" s="4" t="s">
        <v>21490</v>
      </c>
      <c r="B17065" s="4" t="s">
        <v>21493</v>
      </c>
      <c r="C17065" s="5" t="str">
        <f>IFERROR(__xludf.DUMMYFUNCTION("GOOGLETRANSLATE(B17065,""en"",""es-ES"")"),"Ella continúa iluminando el palo hasta que comience una llama y la pone en el fuego.")</f>
        <v>Ella continúa iluminando el palo hasta que comience una llama y la pone en el fuego.</v>
      </c>
    </row>
    <row r="17066">
      <c r="A17066" s="4" t="s">
        <v>21490</v>
      </c>
      <c r="B17066" s="4" t="s">
        <v>21494</v>
      </c>
      <c r="C17066" s="5" t="str">
        <f>IFERROR(__xludf.DUMMYFUNCTION("GOOGLETRANSLATE(B17066,""en"",""es-ES"")"),"El fuego gradualmente se hace más grande y la mujer pone más y más ladridos en él.")</f>
        <v>El fuego gradualmente se hace más grande y la mujer pone más y más ladridos en él.</v>
      </c>
    </row>
    <row r="17067">
      <c r="A17067" s="4" t="s">
        <v>21495</v>
      </c>
      <c r="B17067" s="4" t="s">
        <v>21496</v>
      </c>
      <c r="C17067" s="5" t="str">
        <f>IFERROR(__xludf.DUMMYFUNCTION("GOOGLETRANSLATE(B17067,""en"",""es-ES"")"),"Se ve a un hombre con una camisa roja y de pie junto a una mesa de fooseball.")</f>
        <v>Se ve a un hombre con una camisa roja y de pie junto a una mesa de fooseball.</v>
      </c>
    </row>
    <row r="17068">
      <c r="A17068" s="4" t="s">
        <v>21495</v>
      </c>
      <c r="B17068" s="4" t="s">
        <v>21497</v>
      </c>
      <c r="C17068" s="5" t="str">
        <f>IFERROR(__xludf.DUMMYFUNCTION("GOOGLETRANSLATE(B17068,""en"",""es-ES"")"),"El hombre juega un poco seguido de sostener una lata de cerveza y presentarla a la cámara.")</f>
        <v>El hombre juega un poco seguido de sostener una lata de cerveza y presentarla a la cámara.</v>
      </c>
    </row>
    <row r="17069">
      <c r="A17069" s="4" t="s">
        <v>21495</v>
      </c>
      <c r="B17069" s="4" t="s">
        <v>21498</v>
      </c>
      <c r="C17069" s="5" t="str">
        <f>IFERROR(__xludf.DUMMYFUNCTION("GOOGLETRANSLATE(B17069,""en"",""es-ES"")"),"El hombre continúa jugando mientras la cámara se acerca a la mesa.")</f>
        <v>El hombre continúa jugando mientras la cámara se acerca a la mesa.</v>
      </c>
    </row>
    <row r="17070">
      <c r="A17070" s="4" t="s">
        <v>21499</v>
      </c>
      <c r="B17070" s="4" t="s">
        <v>21500</v>
      </c>
      <c r="C17070" s="5" t="str">
        <f>IFERROR(__xludf.DUMMYFUNCTION("GOOGLETRANSLATE(B17070,""en"",""es-ES"")"),"Un hombre corre por todas partes haciendo una cuerda de salto mientras la multitud aplaude.")</f>
        <v>Un hombre corre por todas partes haciendo una cuerda de salto mientras la multitud aplaude.</v>
      </c>
    </row>
    <row r="17071">
      <c r="A17071" s="4" t="s">
        <v>21499</v>
      </c>
      <c r="B17071" s="4" t="s">
        <v>21501</v>
      </c>
      <c r="C17071" s="5" t="str">
        <f>IFERROR(__xludf.DUMMYFUNCTION("GOOGLETRANSLATE(B17071,""en"",""es-ES"")"),"Algunas personas se arrastran en el fondo del piso.")</f>
        <v>Algunas personas se arrastran en el fondo del piso.</v>
      </c>
    </row>
    <row r="17072">
      <c r="A17072" s="4" t="s">
        <v>21499</v>
      </c>
      <c r="B17072" s="4" t="s">
        <v>21502</v>
      </c>
      <c r="C17072" s="5" t="str">
        <f>IFERROR(__xludf.DUMMYFUNCTION("GOOGLETRANSLATE(B17072,""en"",""es-ES"")"),"El hombre termina la rutina y luego corre para abrazar a una mujer.")</f>
        <v>El hombre termina la rutina y luego corre para abrazar a una mujer.</v>
      </c>
    </row>
    <row r="17073">
      <c r="A17073" s="4" t="s">
        <v>21503</v>
      </c>
      <c r="B17073" s="4" t="s">
        <v>21504</v>
      </c>
      <c r="C17073" s="5" t="str">
        <f>IFERROR(__xludf.DUMMYFUNCTION("GOOGLETRANSLATE(B17073,""en"",""es-ES"")"),"Se ve a dos niños parados en una habitación interior sosteniendo raquetas de tenis.")</f>
        <v>Se ve a dos niños parados en una habitación interior sosteniendo raquetas de tenis.</v>
      </c>
    </row>
    <row r="17074">
      <c r="A17074" s="4" t="s">
        <v>21503</v>
      </c>
      <c r="B17074" s="4" t="s">
        <v>21505</v>
      </c>
      <c r="C17074" s="5" t="str">
        <f>IFERROR(__xludf.DUMMYFUNCTION("GOOGLETRANSLATE(B17074,""en"",""es-ES"")"),"La cámara se desplaza a los niños que golpean la pelota sosteniendo raquetas de tenis.")</f>
        <v>La cámara se desplaza a los niños que golpean la pelota sosteniendo raquetas de tenis.</v>
      </c>
    </row>
    <row r="17075">
      <c r="A17075" s="4" t="s">
        <v>21503</v>
      </c>
      <c r="B17075" s="4" t="s">
        <v>21506</v>
      </c>
      <c r="C17075" s="5" t="str">
        <f>IFERROR(__xludf.DUMMYFUNCTION("GOOGLETRANSLATE(B17075,""en"",""es-ES"")"),"Los niños continúan golpeando la pelota uno con el otro.")</f>
        <v>Los niños continúan golpeando la pelota uno con el otro.</v>
      </c>
    </row>
    <row r="17076">
      <c r="A17076" s="4" t="s">
        <v>21507</v>
      </c>
      <c r="B17076" s="4" t="s">
        <v>21508</v>
      </c>
      <c r="C17076" s="5" t="str">
        <f>IFERROR(__xludf.DUMMYFUNCTION("GOOGLETRANSLATE(B17076,""en"",""es-ES"")"),"Se ve a un pequeño grupo de personas de pie entre sí y los lleva corriendo y jugando un juego de paintball.")</f>
        <v>Se ve a un pequeño grupo de personas de pie entre sí y los lleva corriendo y jugando un juego de paintball.</v>
      </c>
    </row>
    <row r="17077">
      <c r="A17077" s="4" t="s">
        <v>21507</v>
      </c>
      <c r="B17077" s="4" t="s">
        <v>21509</v>
      </c>
      <c r="C17077" s="5" t="str">
        <f>IFERROR(__xludf.DUMMYFUNCTION("GOOGLETRANSLATE(B17077,""en"",""es-ES"")"),"El camarógrafo apunta a su alrededor de capturar a otros y disparar varias veces a la distancia.")</f>
        <v>El camarógrafo apunta a su alrededor de capturar a otros y disparar varias veces a la distancia.</v>
      </c>
    </row>
    <row r="17078">
      <c r="A17078" s="4" t="s">
        <v>21507</v>
      </c>
      <c r="B17078" s="4" t="s">
        <v>21510</v>
      </c>
      <c r="C17078" s="5" t="str">
        <f>IFERROR(__xludf.DUMMYFUNCTION("GOOGLETRANSLATE(B17078,""en"",""es-ES"")"),"El juego continúa con el hombre corriendo y deteniéndose al final.")</f>
        <v>El juego continúa con el hombre corriendo y deteniéndose al final.</v>
      </c>
    </row>
    <row r="17079">
      <c r="A17079" s="4" t="s">
        <v>21511</v>
      </c>
      <c r="B17079" s="4" t="s">
        <v>21512</v>
      </c>
      <c r="C17079" s="5" t="str">
        <f>IFERROR(__xludf.DUMMYFUNCTION("GOOGLETRANSLATE(B17079,""en"",""es-ES"")"),"Un hombre está arrodillado sobre una alfombra azul.")</f>
        <v>Un hombre está arrodillado sobre una alfombra azul.</v>
      </c>
    </row>
    <row r="17080">
      <c r="A17080" s="4" t="s">
        <v>21511</v>
      </c>
      <c r="B17080" s="4" t="s">
        <v>21513</v>
      </c>
      <c r="C17080" s="5" t="str">
        <f>IFERROR(__xludf.DUMMYFUNCTION("GOOGLETRANSLATE(B17080,""en"",""es-ES"")"),"Otro hombre se arrodilla en el suelo junto a él.")</f>
        <v>Otro hombre se arrodilla en el suelo junto a él.</v>
      </c>
    </row>
    <row r="17081">
      <c r="A17081" s="4" t="s">
        <v>21511</v>
      </c>
      <c r="B17081" s="4" t="s">
        <v>21514</v>
      </c>
      <c r="C17081" s="5" t="str">
        <f>IFERROR(__xludf.DUMMYFUNCTION("GOOGLETRANSLATE(B17081,""en"",""es-ES"")"),"El hombre levanta un extremo de peso y lo levanta sobre su cabeza.")</f>
        <v>El hombre levanta un extremo de peso y lo levanta sobre su cabeza.</v>
      </c>
    </row>
    <row r="17082">
      <c r="A17082" s="4" t="s">
        <v>21515</v>
      </c>
      <c r="B17082" s="4" t="s">
        <v>21516</v>
      </c>
      <c r="C17082" s="5" t="str">
        <f>IFERROR(__xludf.DUMMYFUNCTION("GOOGLETRANSLATE(B17082,""en"",""es-ES"")"),"Se muestra a un hombre con calcetines negros poniéndose sus zapatos de cuero negro y atando sus cordones.")</f>
        <v>Se muestra a un hombre con calcetines negros poniéndose sus zapatos de cuero negro y atando sus cordones.</v>
      </c>
    </row>
    <row r="17083">
      <c r="A17083" s="4" t="s">
        <v>21515</v>
      </c>
      <c r="B17083" s="4" t="s">
        <v>21517</v>
      </c>
      <c r="C17083" s="5" t="str">
        <f>IFERROR(__xludf.DUMMYFUNCTION("GOOGLETRANSLATE(B17083,""en"",""es-ES"")"),"Hay otra persona con zapatos de cuero marrón en calcetines negros.")</f>
        <v>Hay otra persona con zapatos de cuero marrón en calcetines negros.</v>
      </c>
    </row>
    <row r="17084">
      <c r="A17084" s="4" t="s">
        <v>21515</v>
      </c>
      <c r="B17084" s="4" t="s">
        <v>21518</v>
      </c>
      <c r="C17084" s="5" t="str">
        <f>IFERROR(__xludf.DUMMYFUNCTION("GOOGLETRANSLATE(B17084,""en"",""es-ES"")"),"Él ata los cordones con fuerza para asegurarlos.")</f>
        <v>Él ata los cordones con fuerza para asegurarlos.</v>
      </c>
    </row>
    <row r="17085">
      <c r="A17085" s="4" t="s">
        <v>21515</v>
      </c>
      <c r="B17085" s="4" t="s">
        <v>21519</v>
      </c>
      <c r="C17085" s="5" t="str">
        <f>IFERROR(__xludf.DUMMYFUNCTION("GOOGLETRANSLATE(B17085,""en"",""es-ES"")"),"Luego, otra escena muestra a una persona con zapatos de cuero sobre calcetines negros.")</f>
        <v>Luego, otra escena muestra a una persona con zapatos de cuero sobre calcetines negros.</v>
      </c>
    </row>
    <row r="17086">
      <c r="A17086" s="4" t="s">
        <v>21515</v>
      </c>
      <c r="B17086" s="4" t="s">
        <v>21520</v>
      </c>
      <c r="C17086" s="5" t="str">
        <f>IFERROR(__xludf.DUMMYFUNCTION("GOOGLETRANSLATE(B17086,""en"",""es-ES"")"),"Seguido de varias escenas que muestran a la persona con zapatos de cuero marrón con cordones.")</f>
        <v>Seguido de varias escenas que muestran a la persona con zapatos de cuero marrón con cordones.</v>
      </c>
    </row>
    <row r="17087">
      <c r="A17087" s="4" t="s">
        <v>21515</v>
      </c>
      <c r="B17087" s="4" t="s">
        <v>21521</v>
      </c>
      <c r="C17087" s="5" t="str">
        <f>IFERROR(__xludf.DUMMYFUNCTION("GOOGLETRANSLATE(B17087,""en"",""es-ES"")"),"Lleva los zapatos sobre calcetines negros y ata los cordones de los zapatos de forma segura.")</f>
        <v>Lleva los zapatos sobre calcetines negros y ata los cordones de los zapatos de forma segura.</v>
      </c>
    </row>
    <row r="17088">
      <c r="A17088" s="4" t="s">
        <v>21515</v>
      </c>
      <c r="B17088" s="4" t="s">
        <v>21522</v>
      </c>
      <c r="C17088" s="5" t="str">
        <f>IFERROR(__xludf.DUMMYFUNCTION("GOOGLETRANSLATE(B17088,""en"",""es-ES"")"),"Luego se levanta después de haber terminado de usar los zapatos de cuero marrón.")</f>
        <v>Luego se levanta después de haber terminado de usar los zapatos de cuero marrón.</v>
      </c>
    </row>
    <row r="17089">
      <c r="A17089" s="4" t="s">
        <v>21523</v>
      </c>
      <c r="B17089" s="4" t="s">
        <v>21524</v>
      </c>
      <c r="C17089" s="5" t="str">
        <f>IFERROR(__xludf.DUMMYFUNCTION("GOOGLETRANSLATE(B17089,""en"",""es-ES"")"),"Las manos de una persona se ven recortando las uñas de un gato mientras el gato lucha un poco.")</f>
        <v>Las manos de una persona se ven recortando las uñas de un gato mientras el gato lucha un poco.</v>
      </c>
    </row>
    <row r="17090">
      <c r="A17090" s="4" t="s">
        <v>21523</v>
      </c>
      <c r="B17090" s="4" t="s">
        <v>21525</v>
      </c>
      <c r="C17090" s="5" t="str">
        <f>IFERROR(__xludf.DUMMYFUNCTION("GOOGLETRANSLATE(B17090,""en"",""es-ES"")"),"Se muestran más disparos de su recorte del gato y en un punto él se mueve y ella lo agarra por el cuello.")</f>
        <v>Se muestran más disparos de su recorte del gato y en un punto él se mueve y ella lo agarra por el cuello.</v>
      </c>
    </row>
    <row r="17091">
      <c r="A17091" s="4" t="s">
        <v>21526</v>
      </c>
      <c r="B17091" s="4" t="s">
        <v>21527</v>
      </c>
      <c r="C17091" s="5" t="str">
        <f>IFERROR(__xludf.DUMMYFUNCTION("GOOGLETRANSLATE(B17091,""en"",""es-ES"")"),"Los hombres están en un estadio limpiando la nieve de las gradas.")</f>
        <v>Los hombres están en un estadio limpiando la nieve de las gradas.</v>
      </c>
    </row>
    <row r="17092">
      <c r="A17092" s="4" t="s">
        <v>21526</v>
      </c>
      <c r="B17092" s="4" t="s">
        <v>21528</v>
      </c>
      <c r="C17092" s="5" t="str">
        <f>IFERROR(__xludf.DUMMYFUNCTION("GOOGLETRANSLATE(B17092,""en"",""es-ES"")"),"Los hombres montan a caballo en el campo nevado.")</f>
        <v>Los hombres montan a caballo en el campo nevado.</v>
      </c>
    </row>
    <row r="17093">
      <c r="A17093" s="4" t="s">
        <v>21526</v>
      </c>
      <c r="B17093" s="4" t="s">
        <v>21529</v>
      </c>
      <c r="C17093" s="5" t="str">
        <f>IFERROR(__xludf.DUMMYFUNCTION("GOOGLETRANSLATE(B17093,""en"",""es-ES"")"),"Los hombres ponen botas y uniformes de polo.")</f>
        <v>Los hombres ponen botas y uniformes de polo.</v>
      </c>
    </row>
    <row r="17094">
      <c r="A17094" s="4" t="s">
        <v>21526</v>
      </c>
      <c r="B17094" s="4" t="s">
        <v>21530</v>
      </c>
      <c r="C17094" s="5" t="str">
        <f>IFERROR(__xludf.DUMMYFUNCTION("GOOGLETRANSLATE(B17094,""en"",""es-ES"")"),"Las mujeres están de pie en un campo caminando y sentados en los puestos.")</f>
        <v>Las mujeres están de pie en un campo caminando y sentados en los puestos.</v>
      </c>
    </row>
    <row r="17095">
      <c r="A17095" s="4" t="s">
        <v>21526</v>
      </c>
      <c r="B17095" s="4" t="s">
        <v>21531</v>
      </c>
      <c r="C17095" s="5" t="str">
        <f>IFERROR(__xludf.DUMMYFUNCTION("GOOGLETRANSLATE(B17095,""en"",""es-ES"")"),"Los hombres juegan polo en el campo nevado mientras la gente los mira.")</f>
        <v>Los hombres juegan polo en el campo nevado mientras la gente los mira.</v>
      </c>
    </row>
    <row r="17096">
      <c r="A17096" s="4" t="s">
        <v>21532</v>
      </c>
      <c r="B17096" s="4" t="s">
        <v>21533</v>
      </c>
      <c r="C17096" s="5" t="str">
        <f>IFERROR(__xludf.DUMMYFUNCTION("GOOGLETRANSLATE(B17096,""en"",""es-ES"")"),"Se ve a un joven que lleva una camisa de corbata hablando con la cámara y luego lo muestra recogiendo algo de ropa.")</f>
        <v>Se ve a un joven que lleva una camisa de corbata hablando con la cámara y luego lo muestra recogiendo algo de ropa.</v>
      </c>
    </row>
    <row r="17097">
      <c r="A17097" s="4" t="s">
        <v>21532</v>
      </c>
      <c r="B17097" s="4" t="s">
        <v>21534</v>
      </c>
      <c r="C17097" s="5" t="str">
        <f>IFERROR(__xludf.DUMMYFUNCTION("GOOGLETRANSLATE(B17097,""en"",""es-ES"")"),"Se muestra en las piernas y luego pasa una afeitadora eléctrica por las piernas que se afeita el cabello.")</f>
        <v>Se muestra en las piernas y luego pasa una afeitadora eléctrica por las piernas que se afeita el cabello.</v>
      </c>
    </row>
    <row r="17098">
      <c r="A17098" s="4" t="s">
        <v>21532</v>
      </c>
      <c r="B17098" s="4" t="s">
        <v>21535</v>
      </c>
      <c r="C17098" s="5" t="str">
        <f>IFERROR(__xludf.DUMMYFUNCTION("GOOGLETRANSLATE(B17098,""en"",""es-ES"")"),"Luego pone crema de afeitar en sus piernas y las afeita, finalmente mostrando sus piernas desnudas al final y hablando con la cámara.")</f>
        <v>Luego pone crema de afeitar en sus piernas y las afeita, finalmente mostrando sus piernas desnudas al final y hablando con la cámara.</v>
      </c>
    </row>
    <row r="17099">
      <c r="A17099" s="4" t="s">
        <v>21536</v>
      </c>
      <c r="B17099" s="4" t="s">
        <v>21537</v>
      </c>
      <c r="C17099" s="5" t="str">
        <f>IFERROR(__xludf.DUMMYFUNCTION("GOOGLETRANSLATE(B17099,""en"",""es-ES"")"),"Vemos astronautas flotando en un barco.")</f>
        <v>Vemos astronautas flotando en un barco.</v>
      </c>
    </row>
    <row r="17100">
      <c r="A17100" s="4" t="s">
        <v>21536</v>
      </c>
      <c r="B17100" s="4" t="s">
        <v>21538</v>
      </c>
      <c r="C17100" s="5" t="str">
        <f>IFERROR(__xludf.DUMMYFUNCTION("GOOGLETRANSLATE(B17100,""en"",""es-ES"")"),"El hombre le da a la dama el micrófono.")</f>
        <v>El hombre le da a la dama el micrófono.</v>
      </c>
    </row>
    <row r="17101">
      <c r="A17101" s="4" t="s">
        <v>21536</v>
      </c>
      <c r="B17101" s="4" t="s">
        <v>21539</v>
      </c>
      <c r="C17101" s="5" t="str">
        <f>IFERROR(__xludf.DUMMYFUNCTION("GOOGLETRANSLATE(B17101,""en"",""es-ES"")"),"El intermediario cruza las manos y tiene el micrófono.")</f>
        <v>El intermediario cruza las manos y tiene el micrófono.</v>
      </c>
    </row>
    <row r="17102">
      <c r="A17102" s="4" t="s">
        <v>21536</v>
      </c>
      <c r="B17102" s="4" t="s">
        <v>21540</v>
      </c>
      <c r="C17102" s="5" t="str">
        <f>IFERROR(__xludf.DUMMYFUNCTION("GOOGLETRANSLATE(B17102,""en"",""es-ES"")"),"La señora recupera el micrófono y habla.")</f>
        <v>La señora recupera el micrófono y habla.</v>
      </c>
    </row>
    <row r="17103">
      <c r="A17103" s="4" t="s">
        <v>21536</v>
      </c>
      <c r="B17103" s="4" t="s">
        <v>21541</v>
      </c>
      <c r="C17103" s="5" t="str">
        <f>IFERROR(__xludf.DUMMYFUNCTION("GOOGLETRANSLATE(B17103,""en"",""es-ES"")"),"La dama agarra flauta y juega.")</f>
        <v>La dama agarra flauta y juega.</v>
      </c>
    </row>
    <row r="17104">
      <c r="A17104" s="4" t="s">
        <v>21542</v>
      </c>
      <c r="B17104" s="4" t="s">
        <v>21543</v>
      </c>
      <c r="C17104" s="5" t="str">
        <f>IFERROR(__xludf.DUMMYFUNCTION("GOOGLETRANSLATE(B17104,""en"",""es-ES"")"),"Se ve a una mujer caminando con un caballo y sartenes con otra chica que se aleja.")</f>
        <v>Se ve a una mujer caminando con un caballo y sartenes con otra chica que se aleja.</v>
      </c>
    </row>
    <row r="17105">
      <c r="A17105" s="4" t="s">
        <v>21542</v>
      </c>
      <c r="B17105" s="4" t="s">
        <v>21544</v>
      </c>
      <c r="C17105" s="5" t="str">
        <f>IFERROR(__xludf.DUMMYFUNCTION("GOOGLETRANSLATE(B17105,""en"",""es-ES"")"),"Se ve a más niñas sosteniendo un producto y hablando con la cámara y conduce a las chicas que muestran cómo limpiar el caballo y cepillando el caballo.")</f>
        <v>Se ve a más niñas sosteniendo un producto y hablando con la cámara y conduce a las chicas que muestran cómo limpiar el caballo y cepillando el caballo.</v>
      </c>
    </row>
    <row r="17106">
      <c r="A17106" s="4" t="s">
        <v>21545</v>
      </c>
      <c r="B17106" s="4" t="s">
        <v>21546</v>
      </c>
      <c r="C17106" s="5" t="str">
        <f>IFERROR(__xludf.DUMMYFUNCTION("GOOGLETRANSLATE(B17106,""en"",""es-ES"")"),"Un hombre está usando un entrenador elíptico mientras está de pie.")</f>
        <v>Un hombre está usando un entrenador elíptico mientras está de pie.</v>
      </c>
    </row>
    <row r="17107">
      <c r="A17107" s="4" t="s">
        <v>21545</v>
      </c>
      <c r="B17107" s="4" t="s">
        <v>21547</v>
      </c>
      <c r="C17107" s="5" t="str">
        <f>IFERROR(__xludf.DUMMYFUNCTION("GOOGLETRANSLATE(B17107,""en"",""es-ES"")"),"Entonces una mujer se sienta sobre él mientras lo usa de otra manera.")</f>
        <v>Entonces una mujer se sienta sobre él mientras lo usa de otra manera.</v>
      </c>
    </row>
    <row r="17108">
      <c r="A17108" s="4" t="s">
        <v>21545</v>
      </c>
      <c r="B17108" s="4" t="s">
        <v>21548</v>
      </c>
      <c r="C17108" s="5" t="str">
        <f>IFERROR(__xludf.DUMMYFUNCTION("GOOGLETRANSLATE(B17108,""en"",""es-ES"")"),"Cambia entre los dos mientras hacen ejercicio.")</f>
        <v>Cambia entre los dos mientras hacen ejercicio.</v>
      </c>
    </row>
    <row r="17109">
      <c r="A17109" s="4" t="s">
        <v>21545</v>
      </c>
      <c r="B17109" s="4" t="s">
        <v>21549</v>
      </c>
      <c r="C17109" s="5" t="str">
        <f>IFERROR(__xludf.DUMMYFUNCTION("GOOGLETRANSLATE(B17109,""en"",""es-ES"")"),"Se muestra un primer plano de cómo funciona la máquina y se pliega para un fácil almacenamiento.")</f>
        <v>Se muestra un primer plano de cómo funciona la máquina y se pliega para un fácil almacenamiento.</v>
      </c>
    </row>
    <row r="17110">
      <c r="A17110" s="4" t="s">
        <v>21550</v>
      </c>
      <c r="B17110" s="4" t="s">
        <v>21551</v>
      </c>
      <c r="C17110" s="5" t="str">
        <f>IFERROR(__xludf.DUMMYFUNCTION("GOOGLETRANSLATE(B17110,""en"",""es-ES"")"),"Un hombre y un niño están afuera en un camino de entrada.")</f>
        <v>Un hombre y un niño están afuera en un camino de entrada.</v>
      </c>
    </row>
    <row r="17111">
      <c r="A17111" s="4" t="s">
        <v>21550</v>
      </c>
      <c r="B17111" s="4" t="s">
        <v>21552</v>
      </c>
      <c r="C17111" s="5" t="str">
        <f>IFERROR(__xludf.DUMMYFUNCTION("GOOGLETRANSLATE(B17111,""en"",""es-ES"")"),"Están compitiendo para ver qué tan rápido pueden sacar la nieve del camino de nieve.")</f>
        <v>Están compitiendo para ver qué tan rápido pueden sacar la nieve del camino de nieve.</v>
      </c>
    </row>
    <row r="17112">
      <c r="A17112" s="4" t="s">
        <v>21550</v>
      </c>
      <c r="B17112" s="4" t="s">
        <v>21553</v>
      </c>
      <c r="C17112" s="5" t="str">
        <f>IFERROR(__xludf.DUMMYFUNCTION("GOOGLETRANSLATE(B17112,""en"",""es-ES"")"),"Corren de un lado a otro tan rápido como pueden.")</f>
        <v>Corren de un lado a otro tan rápido como pueden.</v>
      </c>
    </row>
    <row r="17113">
      <c r="A17113" s="4" t="s">
        <v>21554</v>
      </c>
      <c r="B17113" s="4" t="s">
        <v>21555</v>
      </c>
      <c r="C17113" s="5" t="str">
        <f>IFERROR(__xludf.DUMMYFUNCTION("GOOGLETRANSLATE(B17113,""en"",""es-ES"")"),"Un grupo de personas flotan en balsas en un río.")</f>
        <v>Un grupo de personas flotan en balsas en un río.</v>
      </c>
    </row>
    <row r="17114">
      <c r="A17114" s="4" t="s">
        <v>21554</v>
      </c>
      <c r="B17114" s="4" t="s">
        <v>21556</v>
      </c>
      <c r="C17114" s="5" t="str">
        <f>IFERROR(__xludf.DUMMYFUNCTION("GOOGLETRANSLATE(B17114,""en"",""es-ES"")"),"Están remando las balsas a través de los rápidos rápidos de aguas blancas.")</f>
        <v>Están remando las balsas a través de los rápidos rápidos de aguas blancas.</v>
      </c>
    </row>
    <row r="17115">
      <c r="A17115" s="4" t="s">
        <v>21554</v>
      </c>
      <c r="B17115" s="4" t="s">
        <v>21557</v>
      </c>
      <c r="C17115" s="5" t="str">
        <f>IFERROR(__xludf.DUMMYFUNCTION("GOOGLETRANSLATE(B17115,""en"",""es-ES"")"),"La gente se cae y son retiradas por otras vigas antes de continuar en su camino.")</f>
        <v>La gente se cae y son retiradas por otras vigas antes de continuar en su camino.</v>
      </c>
    </row>
    <row r="17116">
      <c r="A17116" s="4" t="s">
        <v>21558</v>
      </c>
      <c r="B17116" s="4" t="s">
        <v>21559</v>
      </c>
      <c r="C17116" s="5" t="str">
        <f>IFERROR(__xludf.DUMMYFUNCTION("GOOGLETRANSLATE(B17116,""en"",""es-ES"")"),"Se ve a un hombre hablando con la cámara mientras está sentado en un kayak y sosteniendo a una persona de juguete en un kayak en su regazo.")</f>
        <v>Se ve a un hombre hablando con la cámara mientras está sentado en un kayak y sosteniendo a una persona de juguete en un kayak en su regazo.</v>
      </c>
    </row>
    <row r="17117">
      <c r="A17117" s="4" t="s">
        <v>21558</v>
      </c>
      <c r="B17117" s="4" t="s">
        <v>21560</v>
      </c>
      <c r="C17117" s="5" t="str">
        <f>IFERROR(__xludf.DUMMYFUNCTION("GOOGLETRANSLATE(B17117,""en"",""es-ES"")"),"El hombre continúa hablando con la cámara mientras sostiene el objeto y lo lleva a montar en el kayak.")</f>
        <v>El hombre continúa hablando con la cámara mientras sostiene el objeto y lo lleva a montar en el kayak.</v>
      </c>
    </row>
    <row r="17118">
      <c r="A17118" s="4" t="s">
        <v>21561</v>
      </c>
      <c r="B17118" s="4" t="s">
        <v>21562</v>
      </c>
      <c r="C17118" s="5" t="str">
        <f>IFERROR(__xludf.DUMMYFUNCTION("GOOGLETRANSLATE(B17118,""en"",""es-ES"")"),"Un hombre se ve afuera frente a un porche empujando una cortadora de espaldas y cuarto.")</f>
        <v>Un hombre se ve afuera frente a un porche empujando una cortadora de espaldas y cuarto.</v>
      </c>
    </row>
    <row r="17119">
      <c r="A17119" s="4" t="s">
        <v>21561</v>
      </c>
      <c r="B17119" s="4" t="s">
        <v>21563</v>
      </c>
      <c r="C17119" s="5" t="str">
        <f>IFERROR(__xludf.DUMMYFUNCTION("GOOGLETRANSLATE(B17119,""en"",""es-ES"")"),"Corre el cortacésped a lo largo de la hierba y se mueve hacia arriba y hacia abajo por el césped.")</f>
        <v>Corre el cortacésped a lo largo de la hierba y se mueve hacia arriba y hacia abajo por el césped.</v>
      </c>
    </row>
    <row r="17120">
      <c r="A17120" s="4" t="s">
        <v>21564</v>
      </c>
      <c r="B17120" s="4" t="s">
        <v>21565</v>
      </c>
      <c r="C17120" s="5" t="str">
        <f>IFERROR(__xludf.DUMMYFUNCTION("GOOGLETRANSLATE(B17120,""en"",""es-ES"")"),"Un hombre lleva un traje y habla y las palabras en la pantalla dicen que su nombre es Rich Noonan y que es el presentador de la mejor televisión.")</f>
        <v>Un hombre lleva un traje y habla y las palabras en la pantalla dicen que su nombre es Rich Noonan y que es el presentador de la mejor televisión.</v>
      </c>
    </row>
    <row r="17121">
      <c r="A17121" s="4" t="s">
        <v>21564</v>
      </c>
      <c r="B17121" s="4" t="s">
        <v>21566</v>
      </c>
      <c r="C17121" s="5" t="str">
        <f>IFERROR(__xludf.DUMMYFUNCTION("GOOGLETRANSLATE(B17121,""en"",""es-ES"")"),"Una serie todavía tomaba fotos de casas, personas, trabajo de estuco que se realiza en una casa, una lista de información de estuco comienza a reproducirse y las palabras iniciales antes de que las imágenes comiencen a decir ""lo mejor de la mejor televis"&amp;"ión"".")</f>
        <v>Una serie todavía tomaba fotos de casas, personas, trabajo de estuco que se realiza en una casa, una lista de información de estuco comienza a reproducirse y las palabras iniciales antes de que las imágenes comiencen a decir "lo mejor de la mejor televisión".</v>
      </c>
    </row>
    <row r="17122">
      <c r="A17122" s="4" t="s">
        <v>21564</v>
      </c>
      <c r="B17122" s="4" t="s">
        <v>21567</v>
      </c>
      <c r="C17122" s="5" t="str">
        <f>IFERROR(__xludf.DUMMYFUNCTION("GOOGLETRANSLATE(B17122,""en"",""es-ES"")"),"Cuando se realizan las imágenes, aparece una pantalla gris oscuro que incluye el nombre de la compañía de estuco, su número de teléfono y su sitio web.")</f>
        <v>Cuando se realizan las imágenes, aparece una pantalla gris oscuro que incluye el nombre de la compañía de estuco, su número de teléfono y su sitio web.</v>
      </c>
    </row>
    <row r="17123">
      <c r="A17123" s="4" t="s">
        <v>21564</v>
      </c>
      <c r="B17123" s="4" t="s">
        <v>21568</v>
      </c>
      <c r="C17123" s="5" t="str">
        <f>IFERROR(__xludf.DUMMYFUNCTION("GOOGLETRANSLATE(B17123,""en"",""es-ES"")"),"El anfitrión aparece hablando una vez más y termina con las palabras una pantalla que dice lo mejor de la mejor televisión y luego una pantalla que nombra al productor y su sitio web.")</f>
        <v>El anfitrión aparece hablando una vez más y termina con las palabras una pantalla que dice lo mejor de la mejor televisión y luego una pantalla que nombra al productor y su sitio web.</v>
      </c>
    </row>
    <row r="17124">
      <c r="A17124" s="4" t="s">
        <v>21569</v>
      </c>
      <c r="B17124" s="4" t="s">
        <v>21570</v>
      </c>
      <c r="C17124" s="5" t="str">
        <f>IFERROR(__xludf.DUMMYFUNCTION("GOOGLETRANSLATE(B17124,""en"",""es-ES"")"),"Se ve un gráfico de introducción con el título.")</f>
        <v>Se ve un gráfico de introducción con el título.</v>
      </c>
    </row>
    <row r="17125">
      <c r="A17125" s="4" t="s">
        <v>21569</v>
      </c>
      <c r="B17125" s="4" t="s">
        <v>21571</v>
      </c>
      <c r="C17125" s="5" t="str">
        <f>IFERROR(__xludf.DUMMYFUNCTION("GOOGLETRANSLATE(B17125,""en"",""es-ES"")"),"Se ve una gran playa vacía desde la orilla.")</f>
        <v>Se ve una gran playa vacía desde la orilla.</v>
      </c>
    </row>
    <row r="17126">
      <c r="A17126" s="4" t="s">
        <v>21569</v>
      </c>
      <c r="B17126" s="4" t="s">
        <v>21572</v>
      </c>
      <c r="C17126" s="5" t="str">
        <f>IFERROR(__xludf.DUMMYFUNCTION("GOOGLETRANSLATE(B17126,""en"",""es-ES"")"),"Se ve a un pájaro caminando a lo largo de la costa.")</f>
        <v>Se ve a un pájaro caminando a lo largo de la costa.</v>
      </c>
    </row>
    <row r="17127">
      <c r="A17127" s="4" t="s">
        <v>21569</v>
      </c>
      <c r="B17127" s="4" t="s">
        <v>21573</v>
      </c>
      <c r="C17127" s="5" t="str">
        <f>IFERROR(__xludf.DUMMYFUNCTION("GOOGLETRANSLATE(B17127,""en"",""es-ES"")"),"Un grupo monta caballos a lo largo de la línea costera.")</f>
        <v>Un grupo monta caballos a lo largo de la línea costera.</v>
      </c>
    </row>
    <row r="17128">
      <c r="A17128" s="4" t="s">
        <v>21569</v>
      </c>
      <c r="B17128" s="4" t="s">
        <v>21574</v>
      </c>
      <c r="C17128" s="5" t="str">
        <f>IFERROR(__xludf.DUMMYFUNCTION("GOOGLETRANSLATE(B17128,""en"",""es-ES"")"),"Se ven diferentes especies de flores.")</f>
        <v>Se ven diferentes especies de flores.</v>
      </c>
    </row>
    <row r="17129">
      <c r="A17129" s="4" t="s">
        <v>21569</v>
      </c>
      <c r="B17129" s="4" t="s">
        <v>21575</v>
      </c>
      <c r="C17129" s="5" t="str">
        <f>IFERROR(__xludf.DUMMYFUNCTION("GOOGLETRANSLATE(B17129,""en"",""es-ES"")"),"El grupo sube a lo largo de los acantilados.")</f>
        <v>El grupo sube a lo largo de los acantilados.</v>
      </c>
    </row>
    <row r="17130">
      <c r="A17130" s="4" t="s">
        <v>21569</v>
      </c>
      <c r="B17130" s="4" t="s">
        <v>21576</v>
      </c>
      <c r="C17130" s="5" t="str">
        <f>IFERROR(__xludf.DUMMYFUNCTION("GOOGLETRANSLATE(B17130,""en"",""es-ES"")"),"Una jinete femenina viaja cerca del borde de las aguas.")</f>
        <v>Una jinete femenina viaja cerca del borde de las aguas.</v>
      </c>
    </row>
    <row r="17131">
      <c r="A17131" s="4" t="s">
        <v>21569</v>
      </c>
      <c r="B17131" s="4" t="s">
        <v>21577</v>
      </c>
      <c r="C17131" s="5" t="str">
        <f>IFERROR(__xludf.DUMMYFUNCTION("GOOGLETRANSLATE(B17131,""en"",""es-ES"")"),"El grupo monta a través de la arena suelta y los caballos lo patean en el aire.")</f>
        <v>El grupo monta a través de la arena suelta y los caballos lo patean en el aire.</v>
      </c>
    </row>
    <row r="17132">
      <c r="A17132" s="4" t="s">
        <v>21569</v>
      </c>
      <c r="B17132" s="4" t="s">
        <v>21578</v>
      </c>
      <c r="C17132" s="5" t="str">
        <f>IFERROR(__xludf.DUMMYFUNCTION("GOOGLETRANSLATE(B17132,""en"",""es-ES"")"),"El grupo monta a lo largo de una sección de dunas y a través de una baja vegetación.")</f>
        <v>El grupo monta a lo largo de una sección de dunas y a través de una baja vegetación.</v>
      </c>
    </row>
    <row r="17133">
      <c r="A17133" s="4" t="s">
        <v>21569</v>
      </c>
      <c r="B17133" s="4" t="s">
        <v>21579</v>
      </c>
      <c r="C17133" s="5" t="str">
        <f>IFERROR(__xludf.DUMMYFUNCTION("GOOGLETRANSLATE(B17133,""en"",""es-ES"")"),"El grupo cabalga en un Gallup a través del agua y a lo largo de la playa.")</f>
        <v>El grupo cabalga en un Gallup a través del agua y a lo largo de la playa.</v>
      </c>
    </row>
    <row r="17134">
      <c r="A17134" s="4" t="s">
        <v>21569</v>
      </c>
      <c r="B17134" s="4" t="s">
        <v>21580</v>
      </c>
      <c r="C17134" s="5" t="str">
        <f>IFERROR(__xludf.DUMMYFUNCTION("GOOGLETRANSLATE(B17134,""en"",""es-ES"")"),"Los jinetes conducen lentamente y luego se vuelve más tarde en el día y el sol se está bajando.")</f>
        <v>Los jinetes conducen lentamente y luego se vuelve más tarde en el día y el sol se está bajando.</v>
      </c>
    </row>
    <row r="17135">
      <c r="A17135" s="4" t="s">
        <v>21569</v>
      </c>
      <c r="B17135" s="4" t="s">
        <v>21581</v>
      </c>
      <c r="C17135" s="5" t="str">
        <f>IFERROR(__xludf.DUMMYFUNCTION("GOOGLETRANSLATE(B17135,""en"",""es-ES"")"),"La playa se ve desde la distancia como se ha puesto el sol.")</f>
        <v>La playa se ve desde la distancia como se ha puesto el sol.</v>
      </c>
    </row>
    <row r="17136">
      <c r="A17136" s="4" t="s">
        <v>21582</v>
      </c>
      <c r="B17136" s="4" t="s">
        <v>21583</v>
      </c>
      <c r="C17136" s="5" t="str">
        <f>IFERROR(__xludf.DUMMYFUNCTION("GOOGLETRANSLATE(B17136,""en"",""es-ES"")"),"Un texto blanco sobre un fondo negro explica que ningún humano resultaron heridos durante este video.")</f>
        <v>Un texto blanco sobre un fondo negro explica que ningún humano resultaron heridos durante este video.</v>
      </c>
    </row>
    <row r="17137">
      <c r="A17137" s="4" t="s">
        <v>21582</v>
      </c>
      <c r="B17137" s="4" t="s">
        <v>21584</v>
      </c>
      <c r="C17137" s="5" t="str">
        <f>IFERROR(__xludf.DUMMYFUNCTION("GOOGLETRANSLATE(B17137,""en"",""es-ES"")"),"Un joven está haciendo algunas caras a la cámara mientras está parado frente a una roca.")</f>
        <v>Un joven está haciendo algunas caras a la cámara mientras está parado frente a una roca.</v>
      </c>
    </row>
    <row r="17138">
      <c r="A17138" s="4" t="s">
        <v>21582</v>
      </c>
      <c r="B17138" s="4" t="s">
        <v>21585</v>
      </c>
      <c r="C17138" s="5" t="str">
        <f>IFERROR(__xludf.DUMMYFUNCTION("GOOGLETRANSLATE(B17138,""en"",""es-ES"")"),"Algunas imágenes de otras jugadas de otras personas caminan y hacen otros trucos en la cuerda apretada.")</f>
        <v>Algunas imágenes de otras jugadas de otras personas caminan y hacen otros trucos en la cuerda apretada.</v>
      </c>
    </row>
    <row r="17139">
      <c r="A17139" s="4" t="s">
        <v>21582</v>
      </c>
      <c r="B17139" s="4" t="s">
        <v>21586</v>
      </c>
      <c r="C17139" s="5" t="str">
        <f>IFERROR(__xludf.DUMMYFUNCTION("GOOGLETRANSLATE(B17139,""en"",""es-ES"")"),"Un hombre mayor está montando una pequeña bicicleta dentro de una tienda.")</f>
        <v>Un hombre mayor está montando una pequeña bicicleta dentro de una tienda.</v>
      </c>
    </row>
    <row r="17140">
      <c r="A17140" s="4" t="s">
        <v>21582</v>
      </c>
      <c r="B17140" s="4" t="s">
        <v>21587</v>
      </c>
      <c r="C17140" s="5" t="str">
        <f>IFERROR(__xludf.DUMMYFUNCTION("GOOGLETRANSLATE(B17140,""en"",""es-ES"")"),"Se muestran más imágenes de caminantes de cuerda apretados tropezando y cayendo.")</f>
        <v>Se muestran más imágenes de caminantes de cuerda apretados tropezando y cayendo.</v>
      </c>
    </row>
    <row r="17141">
      <c r="A17141" s="4" t="s">
        <v>21582</v>
      </c>
      <c r="B17141" s="4" t="s">
        <v>21588</v>
      </c>
      <c r="C17141" s="5" t="str">
        <f>IFERROR(__xludf.DUMMYFUNCTION("GOOGLETRANSLATE(B17141,""en"",""es-ES"")"),"Se muestran algunos gráficos de las organizaciones que hicieron el video.")</f>
        <v>Se muestran algunos gráficos de las organizaciones que hicieron el video.</v>
      </c>
    </row>
    <row r="17142">
      <c r="A17142" s="4" t="s">
        <v>21589</v>
      </c>
      <c r="B17142" s="4" t="s">
        <v>21590</v>
      </c>
      <c r="C17142" s="5" t="str">
        <f>IFERROR(__xludf.DUMMYFUNCTION("GOOGLETRANSLATE(B17142,""en"",""es-ES"")"),"Se ve a una persona montar a lo largo del agua en un kayak.")</f>
        <v>Se ve a una persona montar a lo largo del agua en un kayak.</v>
      </c>
    </row>
    <row r="17143">
      <c r="A17143" s="4" t="s">
        <v>21589</v>
      </c>
      <c r="B17143" s="4" t="s">
        <v>21591</v>
      </c>
      <c r="C17143" s="5" t="str">
        <f>IFERROR(__xludf.DUMMYFUNCTION("GOOGLETRANSLATE(B17143,""en"",""es-ES"")"),"La persona usa una paleta para empujarse alrededor del agua mientras mira a lo lejos.")</f>
        <v>La persona usa una paleta para empujarse alrededor del agua mientras mira a lo lejos.</v>
      </c>
    </row>
    <row r="17144">
      <c r="A17144" s="4" t="s">
        <v>21589</v>
      </c>
      <c r="B17144" s="4" t="s">
        <v>21592</v>
      </c>
      <c r="C17144" s="5" t="str">
        <f>IFERROR(__xludf.DUMMYFUNCTION("GOOGLETRANSLATE(B17144,""en"",""es-ES"")"),"La persona continúa montando en el agua y alejándose de la cámara.")</f>
        <v>La persona continúa montando en el agua y alejándose de la cámara.</v>
      </c>
    </row>
    <row r="17145">
      <c r="A17145" s="4" t="s">
        <v>21593</v>
      </c>
      <c r="B17145" s="4" t="s">
        <v>21594</v>
      </c>
      <c r="C17145" s="5" t="str">
        <f>IFERROR(__xludf.DUMMYFUNCTION("GOOGLETRANSLATE(B17145,""en"",""es-ES"")"),"Un hombre, con un saxofón alrededor de su cuello, demuestra cómo tocar el saxofón frente a una pizarra verde y al lado de un piano marrón.")</f>
        <v>Un hombre, con un saxofón alrededor de su cuello, demuestra cómo tocar el saxofón frente a una pizarra verde y al lado de un piano marrón.</v>
      </c>
    </row>
    <row r="17146">
      <c r="A17146" s="4" t="s">
        <v>21593</v>
      </c>
      <c r="B17146" s="4" t="s">
        <v>21595</v>
      </c>
      <c r="C17146" s="5" t="str">
        <f>IFERROR(__xludf.DUMMYFUNCTION("GOOGLETRANSLATE(B17146,""en"",""es-ES"")"),"El hombre apunta a diferentes secciones del saxofón mientras habla con la cámara.")</f>
        <v>El hombre apunta a diferentes secciones del saxofón mientras habla con la cámara.</v>
      </c>
    </row>
    <row r="17147">
      <c r="A17147" s="4" t="s">
        <v>21593</v>
      </c>
      <c r="B17147" s="4" t="s">
        <v>21596</v>
      </c>
      <c r="C17147" s="5" t="str">
        <f>IFERROR(__xludf.DUMMYFUNCTION("GOOGLETRANSLATE(B17147,""en"",""es-ES"")"),"El hombre comienza a tocar el saxofón brevemente y luego se dirige a la pizarra y comienza a escribir notas sobre él mientras habla con la cámara.")</f>
        <v>El hombre comienza a tocar el saxofón brevemente y luego se dirige a la pizarra y comienza a escribir notas sobre él mientras habla con la cámara.</v>
      </c>
    </row>
    <row r="17148">
      <c r="A17148" s="4" t="s">
        <v>21593</v>
      </c>
      <c r="B17148" s="4" t="s">
        <v>21597</v>
      </c>
      <c r="C17148" s="5" t="str">
        <f>IFERROR(__xludf.DUMMYFUNCTION("GOOGLETRANSLATE(B17148,""en"",""es-ES"")"),"El hombre señala las notas escritas en la pizarra antes de comenzar a jugar mientras lee las notas del tablero, antes de volver a hablar y jugar frente a la cámara.")</f>
        <v>El hombre señala las notas escritas en la pizarra antes de comenzar a jugar mientras lee las notas del tablero, antes de volver a hablar y jugar frente a la cámara.</v>
      </c>
    </row>
    <row r="17149">
      <c r="A17149" s="4" t="s">
        <v>21598</v>
      </c>
      <c r="B17149" s="4" t="s">
        <v>21599</v>
      </c>
      <c r="C17149" s="5" t="str">
        <f>IFERROR(__xludf.DUMMYFUNCTION("GOOGLETRANSLATE(B17149,""en"",""es-ES"")"),"Una persona entra en la vista de la cámara donde hay un juguete naranja en el piso.")</f>
        <v>Una persona entra en la vista de la cámara donde hay un juguete naranja en el piso.</v>
      </c>
    </row>
    <row r="17150">
      <c r="A17150" s="4" t="s">
        <v>21598</v>
      </c>
      <c r="B17150" s="4" t="s">
        <v>21600</v>
      </c>
      <c r="C17150" s="5" t="str">
        <f>IFERROR(__xludf.DUMMYFUNCTION("GOOGLETRANSLATE(B17150,""en"",""es-ES"")"),"La persona comienza a limpiarse vigorosamente el juguete.")</f>
        <v>La persona comienza a limpiarse vigorosamente el juguete.</v>
      </c>
    </row>
    <row r="17151">
      <c r="A17151" s="4" t="s">
        <v>21598</v>
      </c>
      <c r="B17151" s="4" t="s">
        <v>21601</v>
      </c>
      <c r="C17151" s="5" t="str">
        <f>IFERROR(__xludf.DUMMYFUNCTION("GOOGLETRANSLATE(B17151,""en"",""es-ES"")"),"La persona patea el juguete cuando terminan de limpiarse los pies sobre el juguete.")</f>
        <v>La persona patea el juguete cuando terminan de limpiarse los pies sobre el juguete.</v>
      </c>
    </row>
    <row r="17152">
      <c r="A17152" s="4" t="s">
        <v>21602</v>
      </c>
      <c r="B17152" s="4" t="s">
        <v>21603</v>
      </c>
      <c r="C17152" s="5" t="str">
        <f>IFERROR(__xludf.DUMMYFUNCTION("GOOGLETRANSLATE(B17152,""en"",""es-ES"")"),"Un hombre sentado está hablando con una habitación llena de jugadores de fútbol.")</f>
        <v>Un hombre sentado está hablando con una habitación llena de jugadores de fútbol.</v>
      </c>
    </row>
    <row r="17153">
      <c r="A17153" s="4" t="s">
        <v>21602</v>
      </c>
      <c r="B17153" s="4" t="s">
        <v>21604</v>
      </c>
      <c r="C17153" s="5" t="str">
        <f>IFERROR(__xludf.DUMMYFUNCTION("GOOGLETRANSLATE(B17153,""en"",""es-ES"")"),"Patan la pelota en su vestuario.")</f>
        <v>Patan la pelota en su vestuario.</v>
      </c>
    </row>
    <row r="17154">
      <c r="A17154" s="4" t="s">
        <v>21602</v>
      </c>
      <c r="B17154" s="4" t="s">
        <v>21605</v>
      </c>
      <c r="C17154" s="5" t="str">
        <f>IFERROR(__xludf.DUMMYFUNCTION("GOOGLETRANSLATE(B17154,""en"",""es-ES"")"),"El hombre habla con la cámara sobre el juego.")</f>
        <v>El hombre habla con la cámara sobre el juego.</v>
      </c>
    </row>
    <row r="17155">
      <c r="A17155" s="4" t="s">
        <v>21602</v>
      </c>
      <c r="B17155" s="4" t="s">
        <v>21606</v>
      </c>
      <c r="C17155" s="5" t="str">
        <f>IFERROR(__xludf.DUMMYFUNCTION("GOOGLETRANSLATE(B17155,""en"",""es-ES"")"),"Él sale y se muestra en progreso un juego mientras lo discute más.")</f>
        <v>Él sale y se muestra en progreso un juego mientras lo discute más.</v>
      </c>
    </row>
    <row r="17156">
      <c r="A17156" s="4" t="s">
        <v>21602</v>
      </c>
      <c r="B17156" s="4" t="s">
        <v>21607</v>
      </c>
      <c r="C17156" s="5" t="str">
        <f>IFERROR(__xludf.DUMMYFUNCTION("GOOGLETRANSLATE(B17156,""en"",""es-ES"")"),"Se muestra a los hombres hablando, jugando el juego y posando para una fotografía de equipo al final.")</f>
        <v>Se muestra a los hombres hablando, jugando el juego y posando para una fotografía de equipo al final.</v>
      </c>
    </row>
    <row r="17157">
      <c r="A17157" s="4" t="s">
        <v>21608</v>
      </c>
      <c r="B17157" s="4" t="s">
        <v>21609</v>
      </c>
      <c r="C17157" s="5" t="str">
        <f>IFERROR(__xludf.DUMMYFUNCTION("GOOGLETRANSLATE(B17157,""en"",""es-ES"")"),"Patinete de los adolescentes en la carretera y un estacionamiento durante el día.")</f>
        <v>Patinete de los adolescentes en la carretera y un estacionamiento durante el día.</v>
      </c>
    </row>
    <row r="17158">
      <c r="A17158" s="4" t="s">
        <v>21608</v>
      </c>
      <c r="B17158" s="4" t="s">
        <v>21610</v>
      </c>
      <c r="C17158" s="5" t="str">
        <f>IFERROR(__xludf.DUMMYFUNCTION("GOOGLETRANSLATE(B17158,""en"",""es-ES"")"),"La patineta adolescente en la calle día y noche.")</f>
        <v>La patineta adolescente en la calle día y noche.</v>
      </c>
    </row>
    <row r="17159">
      <c r="A17159" s="4" t="s">
        <v>21608</v>
      </c>
      <c r="B17159" s="4" t="s">
        <v>21611</v>
      </c>
      <c r="C17159" s="5" t="str">
        <f>IFERROR(__xludf.DUMMYFUNCTION("GOOGLETRANSLATE(B17159,""en"",""es-ES"")"),"Patinete de los adolescentes en una calle concurrida, luego patinan en los rieles de un edificio.")</f>
        <v>Patinete de los adolescentes en una calle concurrida, luego patinan en los rieles de un edificio.</v>
      </c>
    </row>
    <row r="17160">
      <c r="A17160" s="4" t="s">
        <v>21608</v>
      </c>
      <c r="B17160" s="4" t="s">
        <v>21612</v>
      </c>
      <c r="C17160" s="5" t="str">
        <f>IFERROR(__xludf.DUMMYFUNCTION("GOOGLETRANSLATE(B17160,""en"",""es-ES"")"),"Después, el patineta adolescente día y noche en la calle.")</f>
        <v>Después, el patineta adolescente día y noche en la calle.</v>
      </c>
    </row>
    <row r="17161">
      <c r="A17161" s="4" t="s">
        <v>21613</v>
      </c>
      <c r="B17161" s="4" t="s">
        <v>21614</v>
      </c>
      <c r="C17161" s="5" t="str">
        <f>IFERROR(__xludf.DUMMYFUNCTION("GOOGLETRANSLATE(B17161,""en"",""es-ES"")"),"Se ve a un hombre sosteniendo una camisa a la cámara mientras el camarógrafo habla y se dirige al hombre con la camisa.")</f>
        <v>Se ve a un hombre sosteniendo una camisa a la cámara mientras el camarógrafo habla y se dirige al hombre con la camisa.</v>
      </c>
    </row>
    <row r="17162">
      <c r="A17162" s="4" t="s">
        <v>21613</v>
      </c>
      <c r="B17162" s="4" t="s">
        <v>21615</v>
      </c>
      <c r="C17162" s="5" t="str">
        <f>IFERROR(__xludf.DUMMYFUNCTION("GOOGLETRANSLATE(B17162,""en"",""es-ES"")"),"El hombre que sostiene hablando y señala un hierro cerca de él.")</f>
        <v>El hombre que sostiene hablando y señala un hierro cerca de él.</v>
      </c>
    </row>
    <row r="17163">
      <c r="A17163" s="4" t="s">
        <v>21613</v>
      </c>
      <c r="B17163" s="4" t="s">
        <v>21616</v>
      </c>
      <c r="C17163" s="5" t="str">
        <f>IFERROR(__xludf.DUMMYFUNCTION("GOOGLETRANSLATE(B17163,""en"",""es-ES"")"),"Recoge la plancha esperando que se calienta, luego procede a planchar su camisa mientras mira la cámara.")</f>
        <v>Recoge la plancha esperando que se calienta, luego procede a planchar su camisa mientras mira la cámara.</v>
      </c>
    </row>
    <row r="17164">
      <c r="A17164" s="4" t="s">
        <v>21617</v>
      </c>
      <c r="B17164" s="4" t="s">
        <v>21618</v>
      </c>
      <c r="C17164" s="5" t="str">
        <f>IFERROR(__xludf.DUMMYFUNCTION("GOOGLETRANSLATE(B17164,""en"",""es-ES"")"),"Se ve a un pequeño grupo de personas de pie alrededor de un gimnasio con uno corriendo y disparando una canasta.")</f>
        <v>Se ve a un pequeño grupo de personas de pie alrededor de un gimnasio con uno corriendo y disparando una canasta.</v>
      </c>
    </row>
    <row r="17165">
      <c r="A17165" s="4" t="s">
        <v>21617</v>
      </c>
      <c r="B17165" s="4" t="s">
        <v>21619</v>
      </c>
      <c r="C17165" s="5" t="str">
        <f>IFERROR(__xludf.DUMMYFUNCTION("GOOGLETRANSLATE(B17165,""en"",""es-ES"")"),"Varias personas más se ven corriendo por el carril y disparando una canasta por encima de ellos.")</f>
        <v>Varias personas más se ven corriendo por el carril y disparando una canasta por encima de ellos.</v>
      </c>
    </row>
    <row r="17166">
      <c r="A17166" s="4" t="s">
        <v>21617</v>
      </c>
      <c r="B17166" s="4" t="s">
        <v>21620</v>
      </c>
      <c r="C17166" s="5" t="str">
        <f>IFERROR(__xludf.DUMMYFUNCTION("GOOGLETRANSLATE(B17166,""en"",""es-ES"")"),"Más chicas corren para disparar una canasta y terminan caminando de regreso.")</f>
        <v>Más chicas corren para disparar una canasta y terminan caminando de regreso.</v>
      </c>
    </row>
    <row r="17167">
      <c r="A17167" s="4" t="s">
        <v>21621</v>
      </c>
      <c r="B17167" s="4" t="s">
        <v>21622</v>
      </c>
      <c r="C17167" s="5" t="str">
        <f>IFERROR(__xludf.DUMMYFUNCTION("GOOGLETRANSLATE(B17167,""en"",""es-ES"")"),"Se muestra una imagen fija de un equipo de hockey y se muestra un número siete en la pantalla.")</f>
        <v>Se muestra una imagen fija de un equipo de hockey y se muestra un número siete en la pantalla.</v>
      </c>
    </row>
    <row r="17168">
      <c r="A17168" s="4" t="s">
        <v>21621</v>
      </c>
      <c r="B17168" s="4" t="s">
        <v>21623</v>
      </c>
      <c r="C17168" s="5" t="str">
        <f>IFERROR(__xludf.DUMMYFUNCTION("GOOGLETRANSLATE(B17168,""en"",""es-ES"")"),"Un círculo resalta al jugador y comienza el juego.")</f>
        <v>Un círculo resalta al jugador y comienza el juego.</v>
      </c>
    </row>
    <row r="17169">
      <c r="A17169" s="4" t="s">
        <v>21621</v>
      </c>
      <c r="B17169" s="4" t="s">
        <v>21624</v>
      </c>
      <c r="C17169" s="5" t="str">
        <f>IFERROR(__xludf.DUMMYFUNCTION("GOOGLETRANSLATE(B17169,""en"",""es-ES"")"),"A medida que el juego continúa, el atleta se muestra varias veces cuando hace algo espectacular.")</f>
        <v>A medida que el juego continúa, el atleta se muestra varias veces cuando hace algo espectacular.</v>
      </c>
    </row>
    <row r="17170">
      <c r="A17170" s="4" t="s">
        <v>21625</v>
      </c>
      <c r="B17170" s="4" t="s">
        <v>21626</v>
      </c>
      <c r="C17170" s="5" t="str">
        <f>IFERROR(__xludf.DUMMYFUNCTION("GOOGLETRANSLATE(B17170,""en"",""es-ES"")"),"Un hombre que sostiene un poste corre rápidamente hacia la línea de meta y lo lanza bastante lejos.")</f>
        <v>Un hombre que sostiene un poste corre rápidamente hacia la línea de meta y lo lanza bastante lejos.</v>
      </c>
    </row>
    <row r="17171">
      <c r="A17171" s="4" t="s">
        <v>21625</v>
      </c>
      <c r="B17171" s="4" t="s">
        <v>21627</v>
      </c>
      <c r="C17171" s="5" t="str">
        <f>IFERROR(__xludf.DUMMYFUNCTION("GOOGLETRANSLATE(B17171,""en"",""es-ES"")"),"El atleta parece orgulloso de su lanzamiento y su momento se muestra nuevamente en cámara lenta.")</f>
        <v>El atleta parece orgulloso de su lanzamiento y su momento se muestra nuevamente en cámara lenta.</v>
      </c>
    </row>
    <row r="17172">
      <c r="A17172" s="4" t="s">
        <v>21625</v>
      </c>
      <c r="B17172" s="4" t="s">
        <v>21628</v>
      </c>
      <c r="C17172" s="5" t="str">
        <f>IFERROR(__xludf.DUMMYFUNCTION("GOOGLETRANSLATE(B17172,""en"",""es-ES"")"),"El comentarista continúa discutiendo su técnica mientras reproduce el lanzamiento varias veces.")</f>
        <v>El comentarista continúa discutiendo su técnica mientras reproduce el lanzamiento varias veces.</v>
      </c>
    </row>
    <row r="17173">
      <c r="A17173" s="4" t="s">
        <v>21629</v>
      </c>
      <c r="B17173" s="4" t="s">
        <v>21630</v>
      </c>
      <c r="C17173" s="5" t="str">
        <f>IFERROR(__xludf.DUMMYFUNCTION("GOOGLETRANSLATE(B17173,""en"",""es-ES"")"),"Una persona está presionando botones en un horno.")</f>
        <v>Una persona está presionando botones en un horno.</v>
      </c>
    </row>
    <row r="17174">
      <c r="A17174" s="4" t="s">
        <v>21629</v>
      </c>
      <c r="B17174" s="4" t="s">
        <v>21631</v>
      </c>
      <c r="C17174" s="5" t="str">
        <f>IFERROR(__xludf.DUMMYFUNCTION("GOOGLETRANSLATE(B17174,""en"",""es-ES"")"),"Una niña vierte ingredientes en un tazón juntos.")</f>
        <v>Una niña vierte ingredientes en un tazón juntos.</v>
      </c>
    </row>
    <row r="17175">
      <c r="A17175" s="4" t="s">
        <v>21629</v>
      </c>
      <c r="B17175" s="4" t="s">
        <v>21632</v>
      </c>
      <c r="C17175" s="5" t="str">
        <f>IFERROR(__xludf.DUMMYFUNCTION("GOOGLETRANSLATE(B17175,""en"",""es-ES"")"),"Mezcla los ingredientes con una batidora y luego pone más ingredientes en el tazón.")</f>
        <v>Mezcla los ingredientes con una batidora y luego pone más ingredientes en el tazón.</v>
      </c>
    </row>
    <row r="17176">
      <c r="A17176" s="4" t="s">
        <v>21629</v>
      </c>
      <c r="B17176" s="4" t="s">
        <v>21633</v>
      </c>
      <c r="C17176" s="5" t="str">
        <f>IFERROR(__xludf.DUMMYFUNCTION("GOOGLETRANSLATE(B17176,""en"",""es-ES"")"),"La mezcla nuevamente y finalmente pone otra pequeña cantidad de ingredientes en el tazón.")</f>
        <v>La mezcla nuevamente y finalmente pone otra pequeña cantidad de ingredientes en el tazón.</v>
      </c>
    </row>
    <row r="17177">
      <c r="A17177" s="4" t="s">
        <v>21629</v>
      </c>
      <c r="B17177" s="4" t="s">
        <v>21634</v>
      </c>
      <c r="C17177" s="5" t="str">
        <f>IFERROR(__xludf.DUMMYFUNCTION("GOOGLETRANSLATE(B17177,""en"",""es-ES"")"),"Ella mezcla una tercera vez y agrega chispas de chocolate, finalmente mezcla una vez más.")</f>
        <v>Ella mezcla una tercera vez y agrega chispas de chocolate, finalmente mezcla una vez más.</v>
      </c>
    </row>
    <row r="17178">
      <c r="A17178" s="4" t="s">
        <v>21629</v>
      </c>
      <c r="B17178" s="4" t="s">
        <v>21635</v>
      </c>
      <c r="C17178" s="5" t="str">
        <f>IFERROR(__xludf.DUMMYFUNCTION("GOOGLETRANSLATE(B17178,""en"",""es-ES"")"),"El horno mira y ella prepara una sartén con masa de galletas.")</f>
        <v>El horno mira y ella prepara una sartén con masa de galletas.</v>
      </c>
    </row>
    <row r="17179">
      <c r="A17179" s="4" t="s">
        <v>21629</v>
      </c>
      <c r="B17179" s="4" t="s">
        <v>21636</v>
      </c>
      <c r="C17179" s="5" t="str">
        <f>IFERROR(__xludf.DUMMYFUNCTION("GOOGLETRANSLATE(B17179,""en"",""es-ES"")"),"Ella pone la masa en el horno y presiona opciones de horneado.")</f>
        <v>Ella pone la masa en el horno y presiona opciones de horneado.</v>
      </c>
    </row>
    <row r="17180">
      <c r="A17180" s="4" t="s">
        <v>21629</v>
      </c>
      <c r="B17180" s="4" t="s">
        <v>21637</v>
      </c>
      <c r="C17180" s="5" t="str">
        <f>IFERROR(__xludf.DUMMYFUNCTION("GOOGLETRANSLATE(B17180,""en"",""es-ES"")"),"Después de varios minutos saca la sartén y extiende las galletas.")</f>
        <v>Después de varios minutos saca la sartén y extiende las galletas.</v>
      </c>
    </row>
    <row r="17181">
      <c r="A17181" s="4" t="s">
        <v>21638</v>
      </c>
      <c r="B17181" s="4" t="s">
        <v>21639</v>
      </c>
      <c r="C17181" s="5" t="str">
        <f>IFERROR(__xludf.DUMMYFUNCTION("GOOGLETRANSLATE(B17181,""en"",""es-ES"")"),"Se ve a Lemonade siendo vertido en un vaso y una mujer que derrama agua.")</f>
        <v>Se ve a Lemonade siendo vertido en un vaso y una mujer que derrama agua.</v>
      </c>
    </row>
    <row r="17182">
      <c r="A17182" s="4" t="s">
        <v>21638</v>
      </c>
      <c r="B17182" s="4" t="s">
        <v>21640</v>
      </c>
      <c r="C17182" s="5" t="str">
        <f>IFERROR(__xludf.DUMMYFUNCTION("GOOGLETRANSLATE(B17182,""en"",""es-ES"")"),"Mezcla ingredientes en un recipiente y vierte más agua.")</f>
        <v>Mezcla ingredientes en un recipiente y vierte más agua.</v>
      </c>
    </row>
    <row r="17183">
      <c r="A17183" s="4" t="s">
        <v>21638</v>
      </c>
      <c r="B17183" s="4" t="s">
        <v>21641</v>
      </c>
      <c r="C17183" s="5" t="str">
        <f>IFERROR(__xludf.DUMMYFUNCTION("GOOGLETRANSLATE(B17183,""en"",""es-ES"")"),"En el que ella muestra su limonada.")</f>
        <v>En el que ella muestra su limonada.</v>
      </c>
    </row>
    <row r="17184">
      <c r="A17184" s="4" t="s">
        <v>21642</v>
      </c>
      <c r="B17184" s="4" t="s">
        <v>21643</v>
      </c>
      <c r="C17184" s="5" t="str">
        <f>IFERROR(__xludf.DUMMYFUNCTION("GOOGLETRANSLATE(B17184,""en"",""es-ES"")"),"Se ve a un gran grupo de personas de pie alrededor de varios hombres sosteniendo una cuerda que se prepara para jugar tira y afloja.")</f>
        <v>Se ve a un gran grupo de personas de pie alrededor de varios hombres sosteniendo una cuerda que se prepara para jugar tira y afloja.</v>
      </c>
    </row>
    <row r="17185">
      <c r="A17185" s="4" t="s">
        <v>21642</v>
      </c>
      <c r="B17185" s="4" t="s">
        <v>21644</v>
      </c>
      <c r="C17185" s="5" t="str">
        <f>IFERROR(__xludf.DUMMYFUNCTION("GOOGLETRANSLATE(B17185,""en"",""es-ES"")"),"Se ve a otro grupo de hombres tirando de la cuerda, mientras que una multitud de pie los anima.")</f>
        <v>Se ve a otro grupo de hombres tirando de la cuerda, mientras que una multitud de pie los anima.</v>
      </c>
    </row>
    <row r="17186">
      <c r="A17186" s="4" t="s">
        <v>21642</v>
      </c>
      <c r="B17186" s="4" t="s">
        <v>21645</v>
      </c>
      <c r="C17186" s="5" t="str">
        <f>IFERROR(__xludf.DUMMYFUNCTION("GOOGLETRANSLATE(B17186,""en"",""es-ES"")"),"Se ve a un tercer grupo de hombres jugando tira y afloja con una multitud a su alrededor.")</f>
        <v>Se ve a un tercer grupo de hombres jugando tira y afloja con una multitud a su alrededor.</v>
      </c>
    </row>
    <row r="17187">
      <c r="A17187" s="4" t="s">
        <v>21642</v>
      </c>
      <c r="B17187" s="4" t="s">
        <v>21646</v>
      </c>
      <c r="C17187" s="5" t="str">
        <f>IFERROR(__xludf.DUMMYFUNCTION("GOOGLETRANSLATE(B17187,""en"",""es-ES"")"),"Se muestra a un grupo de hombres también jugando tira y afloja en una multitud.")</f>
        <v>Se muestra a un grupo de hombres también jugando tira y afloja en una multitud.</v>
      </c>
    </row>
    <row r="17188">
      <c r="A17188" s="4" t="s">
        <v>21642</v>
      </c>
      <c r="B17188" s="4" t="s">
        <v>21647</v>
      </c>
      <c r="C17188" s="5" t="str">
        <f>IFERROR(__xludf.DUMMYFUNCTION("GOOGLETRANSLATE(B17188,""en"",""es-ES"")"),"Se muestra un quinto grupo de hombres jugando tira y afloja en una multitud de personas y perros.")</f>
        <v>Se muestra un quinto grupo de hombres jugando tira y afloja en una multitud de personas y perros.</v>
      </c>
    </row>
    <row r="17189">
      <c r="A17189" s="4" t="s">
        <v>21642</v>
      </c>
      <c r="B17189" s="4" t="s">
        <v>21648</v>
      </c>
      <c r="C17189" s="5" t="str">
        <f>IFERROR(__xludf.DUMMYFUNCTION("GOOGLETRANSLATE(B17189,""en"",""es-ES"")"),"Un grupo diferente de hombres juega tira y afloja con una multitud observando.")</f>
        <v>Un grupo diferente de hombres juega tira y afloja con una multitud observando.</v>
      </c>
    </row>
    <row r="17190">
      <c r="A17190" s="4" t="s">
        <v>21642</v>
      </c>
      <c r="B17190" s="4" t="s">
        <v>21649</v>
      </c>
      <c r="C17190" s="5" t="str">
        <f>IFERROR(__xludf.DUMMYFUNCTION("GOOGLETRANSLATE(B17190,""en"",""es-ES"")"),"Un séptimo grupo de hombres está jugando tira y afloja en una multitud.")</f>
        <v>Un séptimo grupo de hombres está jugando tira y afloja en una multitud.</v>
      </c>
    </row>
    <row r="17191">
      <c r="A17191" s="4" t="s">
        <v>21642</v>
      </c>
      <c r="B17191" s="4" t="s">
        <v>21650</v>
      </c>
      <c r="C17191" s="5" t="str">
        <f>IFERROR(__xludf.DUMMYFUNCTION("GOOGLETRANSLATE(B17191,""en"",""es-ES"")"),"Un grupo diferente de hombres está jugando si la guerra y parecen estar ganando mientras la multitud la animan.")</f>
        <v>Un grupo diferente de hombres está jugando si la guerra y parecen estar ganando mientras la multitud la animan.</v>
      </c>
    </row>
    <row r="17192">
      <c r="A17192" s="4" t="s">
        <v>21642</v>
      </c>
      <c r="B17192" s="4" t="s">
        <v>21651</v>
      </c>
      <c r="C17192" s="5" t="str">
        <f>IFERROR(__xludf.DUMMYFUNCTION("GOOGLETRANSLATE(B17192,""en"",""es-ES"")"),"Sin embargo, otro grupo de hombres está jugando tira y afloja mientras una multitud observa.")</f>
        <v>Sin embargo, otro grupo de hombres está jugando tira y afloja mientras una multitud observa.</v>
      </c>
    </row>
    <row r="17193">
      <c r="A17193" s="4" t="s">
        <v>21642</v>
      </c>
      <c r="B17193" s="4" t="s">
        <v>21652</v>
      </c>
      <c r="C17193" s="5" t="str">
        <f>IFERROR(__xludf.DUMMYFUNCTION("GOOGLETRANSLATE(B17193,""en"",""es-ES"")"),"Otro grupo de hombres se muestra jugando tirón si la guerra de cerca mientras una multitud observa.")</f>
        <v>Otro grupo de hombres se muestra jugando tirón si la guerra de cerca mientras una multitud observa.</v>
      </c>
    </row>
    <row r="17194">
      <c r="A17194" s="4" t="s">
        <v>21642</v>
      </c>
      <c r="B17194" s="4" t="s">
        <v>21653</v>
      </c>
      <c r="C17194" s="5" t="str">
        <f>IFERROR(__xludf.DUMMYFUNCTION("GOOGLETRANSLATE(B17194,""en"",""es-ES"")"),"Otro grupo de hombres juega mientras las personas se sientan y se paran en segundo plano.")</f>
        <v>Otro grupo de hombres juega mientras las personas se sientan y se paran en segundo plano.</v>
      </c>
    </row>
    <row r="17195">
      <c r="A17195" s="4" t="s">
        <v>21642</v>
      </c>
      <c r="B17195" s="4" t="s">
        <v>21654</v>
      </c>
      <c r="C17195" s="5" t="str">
        <f>IFERROR(__xludf.DUMMYFUNCTION("GOOGLETRANSLATE(B17195,""en"",""es-ES"")"),"Se ve a un grupo diferente de hombres jugando mientras las personas se sientan y se paran a su alrededor.")</f>
        <v>Se ve a un grupo diferente de hombres jugando mientras las personas se sientan y se paran a su alrededor.</v>
      </c>
    </row>
    <row r="17196">
      <c r="A17196" s="4" t="s">
        <v>21642</v>
      </c>
      <c r="B17196" s="4" t="s">
        <v>21655</v>
      </c>
      <c r="C17196" s="5" t="str">
        <f>IFERROR(__xludf.DUMMYFUNCTION("GOOGLETRANSLATE(B17196,""en"",""es-ES"")"),"Un grupo diferente de hombres se muestra de cerca mientras las personas se sientan y se paran en segundo plano.")</f>
        <v>Un grupo diferente de hombres se muestra de cerca mientras las personas se sientan y se paran en segundo plano.</v>
      </c>
    </row>
    <row r="17197">
      <c r="A17197" s="4" t="s">
        <v>21642</v>
      </c>
      <c r="B17197" s="4" t="s">
        <v>21656</v>
      </c>
      <c r="C17197" s="5" t="str">
        <f>IFERROR(__xludf.DUMMYFUNCTION("GOOGLETRANSLATE(B17197,""en"",""es-ES"")"),"Un grupo de hombres se muestra de cerca jugando a tira de guerra con personas a su alrededor.")</f>
        <v>Un grupo de hombres se muestra de cerca jugando a tira de guerra con personas a su alrededor.</v>
      </c>
    </row>
    <row r="17198">
      <c r="A17198" s="4" t="s">
        <v>21642</v>
      </c>
      <c r="B17198" s="4" t="s">
        <v>21657</v>
      </c>
      <c r="C17198" s="5" t="str">
        <f>IFERROR(__xludf.DUMMYFUNCTION("GOOGLETRANSLATE(B17198,""en"",""es-ES"")"),"Se ve a otro grupo de hombres jugando mientras la gente se encuentra en la acera observando.")</f>
        <v>Se ve a otro grupo de hombres jugando mientras la gente se encuentra en la acera observando.</v>
      </c>
    </row>
    <row r="17199">
      <c r="A17199" s="4" t="s">
        <v>21642</v>
      </c>
      <c r="B17199" s="4" t="s">
        <v>21658</v>
      </c>
      <c r="C17199" s="5" t="str">
        <f>IFERROR(__xludf.DUMMYFUNCTION("GOOGLETRANSLATE(B17199,""en"",""es-ES"")"),"Un grupo de hombres en All Black juega tira de guerra mientras la gente se encuentra a su alrededor.")</f>
        <v>Un grupo de hombres en All Black juega tira de guerra mientras la gente se encuentra a su alrededor.</v>
      </c>
    </row>
    <row r="17200">
      <c r="A17200" s="4" t="s">
        <v>21642</v>
      </c>
      <c r="B17200" s="4" t="s">
        <v>21659</v>
      </c>
      <c r="C17200" s="5" t="str">
        <f>IFERROR(__xludf.DUMMYFUNCTION("GOOGLETRANSLATE(B17200,""en"",""es-ES"")"),"Un grupo diferente de hombres juega tira y afloja entre una gran multitud que los animan.")</f>
        <v>Un grupo diferente de hombres juega tira y afloja entre una gran multitud que los animan.</v>
      </c>
    </row>
    <row r="17201">
      <c r="A17201" s="4" t="s">
        <v>21642</v>
      </c>
      <c r="B17201" s="4" t="s">
        <v>21660</v>
      </c>
      <c r="C17201" s="5" t="str">
        <f>IFERROR(__xludf.DUMMYFUNCTION("GOOGLETRANSLATE(B17201,""en"",""es-ES"")"),"Algunos de los hombres se caen mientras ganan el juego.")</f>
        <v>Algunos de los hombres se caen mientras ganan el juego.</v>
      </c>
    </row>
    <row r="17202">
      <c r="A17202" s="4" t="s">
        <v>21642</v>
      </c>
      <c r="B17202" s="4" t="s">
        <v>21661</v>
      </c>
      <c r="C17202" s="5" t="str">
        <f>IFERROR(__xludf.DUMMYFUNCTION("GOOGLETRANSLATE(B17202,""en"",""es-ES"")"),"Otro grupo se ve de cerca con una multitud de personas y una niña gritando.")</f>
        <v>Otro grupo se ve de cerca con una multitud de personas y una niña gritando.</v>
      </c>
    </row>
    <row r="17203">
      <c r="A17203" s="4" t="s">
        <v>21662</v>
      </c>
      <c r="B17203" s="4" t="s">
        <v>21663</v>
      </c>
      <c r="C17203" s="5" t="str">
        <f>IFERROR(__xludf.DUMMYFUNCTION("GOOGLETRANSLATE(B17203,""en"",""es-ES"")"),"Hay un tipo que usa guantes de goma amarillos que demuestra cómo arreglar un neumático en la rueda de un automóvil.")</f>
        <v>Hay un tipo que usa guantes de goma amarillos que demuestra cómo arreglar un neumático en la rueda de un automóvil.</v>
      </c>
    </row>
    <row r="17204">
      <c r="A17204" s="4" t="s">
        <v>21662</v>
      </c>
      <c r="B17204" s="4" t="s">
        <v>21664</v>
      </c>
      <c r="C17204" s="5" t="str">
        <f>IFERROR(__xludf.DUMMYFUNCTION("GOOGLETRANSLATE(B17204,""en"",""es-ES"")"),"Él está desenrosque los tornillos que sostienen las placas de la rueda.")</f>
        <v>Él está desenrosque los tornillos que sostienen las placas de la rueda.</v>
      </c>
    </row>
    <row r="17205">
      <c r="A17205" s="4" t="s">
        <v>21662</v>
      </c>
      <c r="B17205" s="4" t="s">
        <v>21665</v>
      </c>
      <c r="C17205" s="5" t="str">
        <f>IFERROR(__xludf.DUMMYFUNCTION("GOOGLETRANSLATE(B17205,""en"",""es-ES"")"),"Afloja los tornillos para quitar el neumático.")</f>
        <v>Afloja los tornillos para quitar el neumático.</v>
      </c>
    </row>
    <row r="17206">
      <c r="A17206" s="4" t="s">
        <v>21666</v>
      </c>
      <c r="B17206" s="4" t="s">
        <v>21667</v>
      </c>
      <c r="C17206" s="5" t="str">
        <f>IFERROR(__xludf.DUMMYFUNCTION("GOOGLETRANSLATE(B17206,""en"",""es-ES"")"),"Un grupo de hombres jóvenes está dentro de una habitación.")</f>
        <v>Un grupo de hombres jóvenes está dentro de una habitación.</v>
      </c>
    </row>
    <row r="17207">
      <c r="A17207" s="4" t="s">
        <v>21666</v>
      </c>
      <c r="B17207" s="4" t="s">
        <v>21668</v>
      </c>
      <c r="C17207" s="5" t="str">
        <f>IFERROR(__xludf.DUMMYFUNCTION("GOOGLETRANSLATE(B17207,""en"",""es-ES"")"),"Están comprometidos en un juego de Foosball juntos.")</f>
        <v>Están comprometidos en un juego de Foosball juntos.</v>
      </c>
    </row>
    <row r="17208">
      <c r="A17208" s="4" t="s">
        <v>21666</v>
      </c>
      <c r="B17208" s="4" t="s">
        <v>21669</v>
      </c>
      <c r="C17208" s="5" t="str">
        <f>IFERROR(__xludf.DUMMYFUNCTION("GOOGLETRANSLATE(B17208,""en"",""es-ES"")"),"Se ríen y patean a la gente de un lado a otro.")</f>
        <v>Se ríen y patean a la gente de un lado a otro.</v>
      </c>
    </row>
    <row r="17209">
      <c r="A17209" s="4" t="s">
        <v>21670</v>
      </c>
      <c r="B17209" s="4" t="s">
        <v>21671</v>
      </c>
      <c r="C17209" s="5" t="str">
        <f>IFERROR(__xludf.DUMMYFUNCTION("GOOGLETRANSLATE(B17209,""en"",""es-ES"")"),"Se muestran un Sreet Woth y automóviles cubiertos de nieve.")</f>
        <v>Se muestran un Sreet Woth y automóviles cubiertos de nieve.</v>
      </c>
    </row>
    <row r="17210">
      <c r="A17210" s="4" t="s">
        <v>21670</v>
      </c>
      <c r="B17210" s="4" t="s">
        <v>21672</v>
      </c>
      <c r="C17210" s="5" t="str">
        <f>IFERROR(__xludf.DUMMYFUNCTION("GOOGLETRANSLATE(B17210,""en"",""es-ES"")"),"El hombre está quitando una gruesa capa de nieve de un automóvil.")</f>
        <v>El hombre está quitando una gruesa capa de nieve de un automóvil.</v>
      </c>
    </row>
    <row r="17211">
      <c r="A17211" s="4" t="s">
        <v>21673</v>
      </c>
      <c r="B17211" s="4" t="s">
        <v>21674</v>
      </c>
      <c r="C17211" s="5" t="str">
        <f>IFERROR(__xludf.DUMMYFUNCTION("GOOGLETRANSLATE(B17211,""en"",""es-ES"")"),"Se ve a una mujer hablando con la cámara mientras está sentada en una silla y conduce a escuchar sentarse en una ducha con un perro.")</f>
        <v>Se ve a una mujer hablando con la cámara mientras está sentada en una silla y conduce a escuchar sentarse en una ducha con un perro.</v>
      </c>
    </row>
    <row r="17212">
      <c r="A17212" s="4" t="s">
        <v>21673</v>
      </c>
      <c r="B17212" s="4" t="s">
        <v>21675</v>
      </c>
      <c r="C17212" s="5" t="str">
        <f>IFERROR(__xludf.DUMMYFUNCTION("GOOGLETRANSLATE(B17212,""en"",""es-ES"")"),"Ella frota al perro con jabón y luego enjuague al perro mientras habla con la cámara.")</f>
        <v>Ella frota al perro con jabón y luego enjuague al perro mientras habla con la cámara.</v>
      </c>
    </row>
    <row r="17213">
      <c r="A17213" s="4" t="s">
        <v>21673</v>
      </c>
      <c r="B17213" s="4" t="s">
        <v>21676</v>
      </c>
      <c r="C17213" s="5" t="str">
        <f>IFERROR(__xludf.DUMMYFUNCTION("GOOGLETRANSLATE(B17213,""en"",""es-ES"")"),"Luego se la ve jugando con el perro afuera y hablando intermitentemente con la cámara.")</f>
        <v>Luego se la ve jugando con el perro afuera y hablando intermitentemente con la cámara.</v>
      </c>
    </row>
    <row r="17214">
      <c r="A17214" s="4" t="s">
        <v>21677</v>
      </c>
      <c r="B17214" s="4" t="s">
        <v>21678</v>
      </c>
      <c r="C17214" s="5" t="str">
        <f>IFERROR(__xludf.DUMMYFUNCTION("GOOGLETRANSLATE(B17214,""en"",""es-ES"")"),"Las palabras ""Conga The Entertainers Dance Company Flemington New Jersey"" aparecen en la pantalla.")</f>
        <v>Las palabras "Conga The Entertainers Dance Company Flemington New Jersey" aparecen en la pantalla.</v>
      </c>
    </row>
    <row r="17215">
      <c r="A17215" s="4" t="s">
        <v>21677</v>
      </c>
      <c r="B17215" s="4" t="s">
        <v>21679</v>
      </c>
      <c r="C17215" s="5" t="str">
        <f>IFERROR(__xludf.DUMMYFUNCTION("GOOGLETRANSLATE(B17215,""en"",""es-ES"")"),"Cuatro chicas jóvenes actúan en el escenario en el ""Campeonato de Danza Americana"".")</f>
        <v>Cuatro chicas jóvenes actúan en el escenario en el "Campeonato de Danza Americana".</v>
      </c>
    </row>
    <row r="17216">
      <c r="A17216" s="4" t="s">
        <v>21677</v>
      </c>
      <c r="B17216" s="4" t="s">
        <v>21680</v>
      </c>
      <c r="C17216" s="5" t="str">
        <f>IFERROR(__xludf.DUMMYFUNCTION("GOOGLETRANSLATE(B17216,""en"",""es-ES"")"),"""Las chicas caen al piso como parte de la rutina y continúan bailando.")</f>
        <v>"Las chicas caen al piso como parte de la rutina y continúan bailando.</v>
      </c>
    </row>
    <row r="17217">
      <c r="A17217" s="4" t="s">
        <v>21681</v>
      </c>
      <c r="B17217" s="4" t="s">
        <v>21682</v>
      </c>
      <c r="C17217" s="5" t="str">
        <f>IFERROR(__xludf.DUMMYFUNCTION("GOOGLETRANSLATE(B17217,""en"",""es-ES"")"),"Un hombre se encuentra alrededor de una bola gigante.")</f>
        <v>Un hombre se encuentra alrededor de una bola gigante.</v>
      </c>
    </row>
    <row r="17218">
      <c r="A17218" s="4" t="s">
        <v>21681</v>
      </c>
      <c r="B17218" s="4" t="s">
        <v>21683</v>
      </c>
      <c r="C17218" s="5" t="str">
        <f>IFERROR(__xludf.DUMMYFUNCTION("GOOGLETRANSLATE(B17218,""en"",""es-ES"")"),"El hombre se arrodilla y toma una pelota.")</f>
        <v>El hombre se arrodilla y toma una pelota.</v>
      </c>
    </row>
    <row r="17219">
      <c r="A17219" s="4" t="s">
        <v>21681</v>
      </c>
      <c r="B17219" s="4" t="s">
        <v>21684</v>
      </c>
      <c r="C17219" s="5" t="str">
        <f>IFERROR(__xludf.DUMMYFUNCTION("GOOGLETRANSLATE(B17219,""en"",""es-ES"")"),"El hombre se desliza con la pelota, deslizando la pelota frente a él.")</f>
        <v>El hombre se desliza con la pelota, deslizando la pelota frente a él.</v>
      </c>
    </row>
    <row r="17220">
      <c r="A17220" s="4" t="s">
        <v>21681</v>
      </c>
      <c r="B17220" s="4" t="s">
        <v>21685</v>
      </c>
      <c r="C17220" s="5" t="str">
        <f>IFERROR(__xludf.DUMMYFUNCTION("GOOGLETRANSLATE(B17220,""en"",""es-ES"")"),"Un hombre es golpeado por la pelota y cae al suelo.")</f>
        <v>Un hombre es golpeado por la pelota y cae al suelo.</v>
      </c>
    </row>
    <row r="17221">
      <c r="A17221" s="4" t="s">
        <v>21681</v>
      </c>
      <c r="B17221" s="4" t="s">
        <v>21686</v>
      </c>
      <c r="C17221" s="5" t="str">
        <f>IFERROR(__xludf.DUMMYFUNCTION("GOOGLETRANSLATE(B17221,""en"",""es-ES"")"),"El hombre se levanta y comienza a caminar.")</f>
        <v>El hombre se levanta y comienza a caminar.</v>
      </c>
    </row>
    <row r="17222">
      <c r="A17222" s="4" t="s">
        <v>21687</v>
      </c>
      <c r="B17222" s="4" t="s">
        <v>21688</v>
      </c>
      <c r="C17222" s="5" t="str">
        <f>IFERROR(__xludf.DUMMYFUNCTION("GOOGLETRANSLATE(B17222,""en"",""es-ES"")"),"Dos adolescentes están parados en una escuela tocando rock, papel y tijeras y están rodeados por un gran grupo de adolescentes que están observando.")</f>
        <v>Dos adolescentes están parados en una escuela tocando rock, papel y tijeras y están rodeados por un gran grupo de adolescentes que están observando.</v>
      </c>
    </row>
    <row r="17223">
      <c r="A17223" s="4" t="s">
        <v>21687</v>
      </c>
      <c r="B17223" s="4" t="s">
        <v>21689</v>
      </c>
      <c r="C17223" s="5" t="str">
        <f>IFERROR(__xludf.DUMMYFUNCTION("GOOGLETRANSLATE(B17223,""en"",""es-ES"")"),"Una mujer camina hacia ellos para mirar lo que están haciendo y luego regresa del círculo.")</f>
        <v>Una mujer camina hacia ellos para mirar lo que están haciendo y luego regresa del círculo.</v>
      </c>
    </row>
    <row r="17224">
      <c r="A17224" s="4" t="s">
        <v>21687</v>
      </c>
      <c r="B17224" s="4" t="s">
        <v>21690</v>
      </c>
      <c r="C17224" s="5" t="str">
        <f>IFERROR(__xludf.DUMMYFUNCTION("GOOGLETRANSLATE(B17224,""en"",""es-ES"")"),"Un hombre luego camina hacia los niños y los detiene poniendo sus manos sobre cada niño y alejándolos.")</f>
        <v>Un hombre luego camina hacia los niños y los detiene poniendo sus manos sobre cada niño y alejándolos.</v>
      </c>
    </row>
    <row r="17225">
      <c r="A17225" s="4" t="s">
        <v>21691</v>
      </c>
      <c r="B17225" s="4" t="s">
        <v>21692</v>
      </c>
      <c r="C17225" s="5" t="str">
        <f>IFERROR(__xludf.DUMMYFUNCTION("GOOGLETRANSLATE(B17225,""en"",""es-ES"")"),"Aparece un cielo nublado en movimiento con un rayo antes de ver texto blanco.")</f>
        <v>Aparece un cielo nublado en movimiento con un rayo antes de ver texto blanco.</v>
      </c>
    </row>
    <row r="17226">
      <c r="A17226" s="4" t="s">
        <v>21691</v>
      </c>
      <c r="B17226" s="4" t="s">
        <v>21693</v>
      </c>
      <c r="C17226" s="5" t="str">
        <f>IFERROR(__xludf.DUMMYFUNCTION("GOOGLETRANSLATE(B17226,""en"",""es-ES"")"),"Varias personas se muestran de cerca, fumando cigarrillos.")</f>
        <v>Varias personas se muestran de cerca, fumando cigarrillos.</v>
      </c>
    </row>
    <row r="17227">
      <c r="A17227" s="4" t="s">
        <v>21691</v>
      </c>
      <c r="B17227" s="4" t="s">
        <v>21694</v>
      </c>
      <c r="C17227" s="5" t="str">
        <f>IFERROR(__xludf.DUMMYFUNCTION("GOOGLETRANSLATE(B17227,""en"",""es-ES"")"),"Algunos hablan con la cámara.")</f>
        <v>Algunos hablan con la cámara.</v>
      </c>
    </row>
    <row r="17228">
      <c r="A17228" s="4" t="s">
        <v>21691</v>
      </c>
      <c r="B17228" s="4" t="s">
        <v>21695</v>
      </c>
      <c r="C17228" s="5" t="str">
        <f>IFERROR(__xludf.DUMMYFUNCTION("GOOGLETRANSLATE(B17228,""en"",""es-ES"")"),"El video termina con las palabras South Beach Smoke.")</f>
        <v>El video termina con las palabras South Beach Smoke.</v>
      </c>
    </row>
    <row r="17229">
      <c r="A17229" s="4" t="s">
        <v>21696</v>
      </c>
      <c r="B17229" s="4" t="s">
        <v>21697</v>
      </c>
      <c r="C17229" s="5" t="str">
        <f>IFERROR(__xludf.DUMMYFUNCTION("GOOGLETRANSLATE(B17229,""en"",""es-ES"")"),"Una mujer habla con la cámara, luego corta a un niño que usa un hula hoop.")</f>
        <v>Una mujer habla con la cámara, luego corta a un niño que usa un hula hoop.</v>
      </c>
    </row>
    <row r="17230">
      <c r="A17230" s="4" t="s">
        <v>21696</v>
      </c>
      <c r="B17230" s="4" t="s">
        <v>21698</v>
      </c>
      <c r="C17230" s="5" t="str">
        <f>IFERROR(__xludf.DUMMYFUNCTION("GOOGLETRANSLATE(B17230,""en"",""es-ES"")"),"La mujer muestra cinta de colores utilizada para envolver una manguera y crear el tubo mismo.")</f>
        <v>La mujer muestra cinta de colores utilizada para envolver una manguera y crear el tubo mismo.</v>
      </c>
    </row>
    <row r="17231">
      <c r="A17231" s="4" t="s">
        <v>21696</v>
      </c>
      <c r="B17231" s="4" t="s">
        <v>21699</v>
      </c>
      <c r="C17231" s="5" t="str">
        <f>IFERROR(__xludf.DUMMYFUNCTION("GOOGLETRANSLATE(B17231,""en"",""es-ES"")"),"Ella muestra el producto final, luego el niño usa el hula hoop nuevamente.")</f>
        <v>Ella muestra el producto final, luego el niño usa el hula hoop nuevamente.</v>
      </c>
    </row>
    <row r="17232">
      <c r="A17232" s="4" t="s">
        <v>21700</v>
      </c>
      <c r="B17232" s="4" t="s">
        <v>21701</v>
      </c>
      <c r="C17232" s="5" t="str">
        <f>IFERROR(__xludf.DUMMYFUNCTION("GOOGLETRANSLATE(B17232,""en"",""es-ES"")"),"Una mujer está ajustando una cámara en una habitación.")</f>
        <v>Una mujer está ajustando una cámara en una habitación.</v>
      </c>
    </row>
    <row r="17233">
      <c r="A17233" s="4" t="s">
        <v>21700</v>
      </c>
      <c r="B17233" s="4" t="s">
        <v>21702</v>
      </c>
      <c r="C17233" s="5" t="str">
        <f>IFERROR(__xludf.DUMMYFUNCTION("GOOGLETRANSLATE(B17233,""en"",""es-ES"")"),"Ella está fumando un cigarrillo y lo está haciendo en una bandeja.")</f>
        <v>Ella está fumando un cigarrillo y lo está haciendo en una bandeja.</v>
      </c>
    </row>
    <row r="17234">
      <c r="A17234" s="4" t="s">
        <v>21700</v>
      </c>
      <c r="B17234" s="4" t="s">
        <v>21703</v>
      </c>
      <c r="C17234" s="5" t="str">
        <f>IFERROR(__xludf.DUMMYFUNCTION("GOOGLETRANSLATE(B17234,""en"",""es-ES"")"),"Ella muele el cigarrillo en la bandeja cuando termina.")</f>
        <v>Ella muele el cigarrillo en la bandeja cuando termina.</v>
      </c>
    </row>
    <row r="17235">
      <c r="A17235" s="4" t="s">
        <v>21704</v>
      </c>
      <c r="B17235" s="4" t="s">
        <v>21705</v>
      </c>
      <c r="C17235" s="5" t="str">
        <f>IFERROR(__xludf.DUMMYFUNCTION("GOOGLETRANSLATE(B17235,""en"",""es-ES"")"),"Una mujer haciendo una presentación sobre cómo planchar una camisa.")</f>
        <v>Una mujer haciendo una presentación sobre cómo planchar una camisa.</v>
      </c>
    </row>
    <row r="17236">
      <c r="A17236" s="4" t="s">
        <v>21704</v>
      </c>
      <c r="B17236" s="4" t="s">
        <v>21706</v>
      </c>
      <c r="C17236" s="5" t="str">
        <f>IFERROR(__xludf.DUMMYFUNCTION("GOOGLETRANSLATE(B17236,""en"",""es-ES"")"),"Ella está discutiendo la camisa y saca un spray Startch.")</f>
        <v>Ella está discutiendo la camisa y saca un spray Startch.</v>
      </c>
    </row>
    <row r="17237">
      <c r="A17237" s="4" t="s">
        <v>21704</v>
      </c>
      <c r="B17237" s="4" t="s">
        <v>21707</v>
      </c>
      <c r="C17237" s="5" t="str">
        <f>IFERROR(__xludf.DUMMYFUNCTION("GOOGLETRANSLATE(B17237,""en"",""es-ES"")"),"Ella comienza a usar el spray en la camisa.")</f>
        <v>Ella comienza a usar el spray en la camisa.</v>
      </c>
    </row>
    <row r="17238">
      <c r="A17238" s="4" t="s">
        <v>21704</v>
      </c>
      <c r="B17238" s="4" t="s">
        <v>21708</v>
      </c>
      <c r="C17238" s="5" t="str">
        <f>IFERROR(__xludf.DUMMYFUNCTION("GOOGLETRANSLATE(B17238,""en"",""es-ES"")"),"Luego reorganiza la camisa.")</f>
        <v>Luego reorganiza la camisa.</v>
      </c>
    </row>
    <row r="17239">
      <c r="A17239" s="4" t="s">
        <v>21704</v>
      </c>
      <c r="B17239" s="4" t="s">
        <v>21709</v>
      </c>
      <c r="C17239" s="5" t="str">
        <f>IFERROR(__xludf.DUMMYFUNCTION("GOOGLETRANSLATE(B17239,""en"",""es-ES"")"),"Luego demuestra cómo planchar la camisa.")</f>
        <v>Luego demuestra cómo planchar la camisa.</v>
      </c>
    </row>
    <row r="17240">
      <c r="A17240" s="4" t="s">
        <v>21704</v>
      </c>
      <c r="B17240" s="4" t="s">
        <v>21710</v>
      </c>
      <c r="C17240" s="5" t="str">
        <f>IFERROR(__xludf.DUMMYFUNCTION("GOOGLETRANSLATE(B17240,""en"",""es-ES"")"),"Luego muestra cómo sacar los pliegues más duros.")</f>
        <v>Luego muestra cómo sacar los pliegues más duros.</v>
      </c>
    </row>
    <row r="17241">
      <c r="A17241" s="4" t="s">
        <v>21704</v>
      </c>
      <c r="B17241" s="4" t="s">
        <v>21711</v>
      </c>
      <c r="C17241" s="5" t="str">
        <f>IFERROR(__xludf.DUMMYFUNCTION("GOOGLETRANSLATE(B17241,""en"",""es-ES"")"),"Luego voltea la camisa y coloca la manga hacia abajo.")</f>
        <v>Luego voltea la camisa y coloca la manga hacia abajo.</v>
      </c>
    </row>
    <row r="17242">
      <c r="A17242" s="4" t="s">
        <v>21704</v>
      </c>
      <c r="B17242" s="4" t="s">
        <v>21712</v>
      </c>
      <c r="C17242" s="5" t="str">
        <f>IFERROR(__xludf.DUMMYFUNCTION("GOOGLETRANSLATE(B17242,""en"",""es-ES"")"),"Luego muestra cómo planchar la manga.")</f>
        <v>Luego muestra cómo planchar la manga.</v>
      </c>
    </row>
    <row r="17243">
      <c r="A17243" s="4" t="s">
        <v>21704</v>
      </c>
      <c r="B17243" s="4" t="s">
        <v>21713</v>
      </c>
      <c r="C17243" s="5" t="str">
        <f>IFERROR(__xludf.DUMMYFUNCTION("GOOGLETRANSLATE(B17243,""en"",""es-ES"")"),"Luego voltea la camisa.")</f>
        <v>Luego voltea la camisa.</v>
      </c>
    </row>
    <row r="17244">
      <c r="A17244" s="4" t="s">
        <v>21714</v>
      </c>
      <c r="B17244" s="4" t="s">
        <v>21715</v>
      </c>
      <c r="C17244" s="5" t="str">
        <f>IFERROR(__xludf.DUMMYFUNCTION("GOOGLETRANSLATE(B17244,""en"",""es-ES"")"),"Una persona está montando en una bicicleta de tierra.")</f>
        <v>Una persona está montando en una bicicleta de tierra.</v>
      </c>
    </row>
    <row r="17245">
      <c r="A17245" s="4" t="s">
        <v>21714</v>
      </c>
      <c r="B17245" s="4" t="s">
        <v>21716</v>
      </c>
      <c r="C17245" s="5" t="str">
        <f>IFERROR(__xludf.DUMMYFUNCTION("GOOGLETRANSLATE(B17245,""en"",""es-ES"")"),"Él se prepara para una carrera.")</f>
        <v>Él se prepara para una carrera.</v>
      </c>
    </row>
    <row r="17246">
      <c r="A17246" s="4" t="s">
        <v>21714</v>
      </c>
      <c r="B17246" s="4" t="s">
        <v>21717</v>
      </c>
      <c r="C17246" s="5" t="str">
        <f>IFERROR(__xludf.DUMMYFUNCTION("GOOGLETRANSLATE(B17246,""en"",""es-ES"")"),"Comienza a correr en su bicicleta de tierra.")</f>
        <v>Comienza a correr en su bicicleta de tierra.</v>
      </c>
    </row>
    <row r="17247">
      <c r="A17247" s="4" t="s">
        <v>21714</v>
      </c>
      <c r="B17247" s="4" t="s">
        <v>21718</v>
      </c>
      <c r="C17247" s="5" t="str">
        <f>IFERROR(__xludf.DUMMYFUNCTION("GOOGLETRANSLATE(B17247,""en"",""es-ES"")"),"El texto aparece en la pantalla a medida que se desvanece.")</f>
        <v>El texto aparece en la pantalla a medida que se desvanece.</v>
      </c>
    </row>
    <row r="17248">
      <c r="A17248" s="4" t="s">
        <v>21719</v>
      </c>
      <c r="B17248" s="4" t="s">
        <v>21720</v>
      </c>
      <c r="C17248" s="5" t="str">
        <f>IFERROR(__xludf.DUMMYFUNCTION("GOOGLETRANSLATE(B17248,""en"",""es-ES"")"),"Un hombre con una camisa blanca está de pie en un gimnasio.")</f>
        <v>Un hombre con una camisa blanca está de pie en un gimnasio.</v>
      </c>
    </row>
    <row r="17249">
      <c r="A17249" s="4" t="s">
        <v>21719</v>
      </c>
      <c r="B17249" s="4" t="s">
        <v>21721</v>
      </c>
      <c r="C17249" s="5" t="str">
        <f>IFERROR(__xludf.DUMMYFUNCTION("GOOGLETRANSLATE(B17249,""en"",""es-ES"")"),"Se sienta en una máquina de ejercicios y comienza a hacer ejercicio.")</f>
        <v>Se sienta en una máquina de ejercicios y comienza a hacer ejercicio.</v>
      </c>
    </row>
    <row r="17250">
      <c r="A17250" s="4" t="s">
        <v>21719</v>
      </c>
      <c r="B17250" s="4" t="s">
        <v>21722</v>
      </c>
      <c r="C17250" s="5" t="str">
        <f>IFERROR(__xludf.DUMMYFUNCTION("GOOGLETRANSLATE(B17250,""en"",""es-ES"")"),"Termina y baja la barra.")</f>
        <v>Termina y baja la barra.</v>
      </c>
    </row>
    <row r="17251">
      <c r="A17251" s="4" t="s">
        <v>21723</v>
      </c>
      <c r="B17251" s="4" t="s">
        <v>21724</v>
      </c>
      <c r="C17251" s="5" t="str">
        <f>IFERROR(__xludf.DUMMYFUNCTION("GOOGLETRANSLATE(B17251,""en"",""es-ES"")"),"Una dama baila y habla en interiores.")</f>
        <v>Una dama baila y habla en interiores.</v>
      </c>
    </row>
    <row r="17252">
      <c r="A17252" s="4" t="s">
        <v>21723</v>
      </c>
      <c r="B17252" s="4" t="s">
        <v>21725</v>
      </c>
      <c r="C17252" s="5" t="str">
        <f>IFERROR(__xludf.DUMMYFUNCTION("GOOGLETRANSLATE(B17252,""en"",""es-ES"")"),"La señora mezcla todos los ingredientes y hornea capas coloridas para un pastel.")</f>
        <v>La señora mezcla todos los ingredientes y hornea capas coloridas para un pastel.</v>
      </c>
    </row>
    <row r="17253">
      <c r="A17253" s="4" t="s">
        <v>21723</v>
      </c>
      <c r="B17253" s="4" t="s">
        <v>21726</v>
      </c>
      <c r="C17253" s="5" t="str">
        <f>IFERROR(__xludf.DUMMYFUNCTION("GOOGLETRANSLATE(B17253,""en"",""es-ES"")"),"La señora agregó mucho adorno colorido al pastel en capas.")</f>
        <v>La señora agregó mucho adorno colorido al pastel en capas.</v>
      </c>
    </row>
    <row r="17254">
      <c r="A17254" s="4" t="s">
        <v>21723</v>
      </c>
      <c r="B17254" s="4" t="s">
        <v>21727</v>
      </c>
      <c r="C17254" s="5" t="str">
        <f>IFERROR(__xludf.DUMMYFUNCTION("GOOGLETRANSLATE(B17254,""en"",""es-ES"")"),"La señora sale a una jaula de conejo.")</f>
        <v>La señora sale a una jaula de conejo.</v>
      </c>
    </row>
    <row r="17255">
      <c r="A17255" s="4" t="s">
        <v>21728</v>
      </c>
      <c r="B17255" s="4" t="s">
        <v>21729</v>
      </c>
      <c r="C17255" s="5" t="str">
        <f>IFERROR(__xludf.DUMMYFUNCTION("GOOGLETRANSLATE(B17255,""en"",""es-ES"")"),"Dos jóvenes se paran en una entrada residencial.")</f>
        <v>Dos jóvenes se paran en una entrada residencial.</v>
      </c>
    </row>
    <row r="17256">
      <c r="A17256" s="4" t="s">
        <v>21728</v>
      </c>
      <c r="B17256" s="4" t="s">
        <v>21730</v>
      </c>
      <c r="C17256" s="5" t="str">
        <f>IFERROR(__xludf.DUMMYFUNCTION("GOOGLETRANSLATE(B17256,""en"",""es-ES"")"),"El niño juega a la ramilla dos veces en el camino de entrada.")</f>
        <v>El niño juega a la ramilla dos veces en el camino de entrada.</v>
      </c>
    </row>
    <row r="17257">
      <c r="A17257" s="4" t="s">
        <v>21728</v>
      </c>
      <c r="B17257" s="4" t="s">
        <v>21731</v>
      </c>
      <c r="C17257" s="5" t="str">
        <f>IFERROR(__xludf.DUMMYFUNCTION("GOOGLETRANSLATE(B17257,""en"",""es-ES"")"),"Una niña también juega el juego y luego sigue a los otros niños lejos del camino de entrada.")</f>
        <v>Una niña también juega el juego y luego sigue a los otros niños lejos del camino de entrada.</v>
      </c>
    </row>
    <row r="17258">
      <c r="A17258" s="4" t="s">
        <v>21732</v>
      </c>
      <c r="B17258" s="4" t="s">
        <v>21733</v>
      </c>
      <c r="C17258" s="5" t="str">
        <f>IFERROR(__xludf.DUMMYFUNCTION("GOOGLETRANSLATE(B17258,""en"",""es-ES"")"),"La mujer en el campo está parada detrás de la red.")</f>
        <v>La mujer en el campo está parada detrás de la red.</v>
      </c>
    </row>
    <row r="17259">
      <c r="A17259" s="4" t="s">
        <v>21732</v>
      </c>
      <c r="B17259" s="4" t="s">
        <v>21734</v>
      </c>
      <c r="C17259" s="5" t="str">
        <f>IFERROR(__xludf.DUMMYFUNCTION("GOOGLETRANSLATE(B17259,""en"",""es-ES"")"),"La mujer giró y arrojó un pesado metal hacia el campo.")</f>
        <v>La mujer giró y arrojó un pesado metal hacia el campo.</v>
      </c>
    </row>
    <row r="17260">
      <c r="A17260" s="4" t="s">
        <v>21732</v>
      </c>
      <c r="B17260" s="4" t="s">
        <v>21735</v>
      </c>
      <c r="C17260" s="5" t="str">
        <f>IFERROR(__xludf.DUMMYFUNCTION("GOOGLETRANSLATE(B17260,""en"",""es-ES"")"),"El campo tiene gente en el hombre que está corriendo.")</f>
        <v>El campo tiene gente en el hombre que está corriendo.</v>
      </c>
    </row>
    <row r="17261">
      <c r="A17261" s="4" t="s">
        <v>21732</v>
      </c>
      <c r="B17261" s="4" t="s">
        <v>21736</v>
      </c>
      <c r="C17261" s="5" t="str">
        <f>IFERROR(__xludf.DUMMYFUNCTION("GOOGLETRANSLATE(B17261,""en"",""es-ES"")"),"El atleta en Pink Top está caminando hacia adelante.")</f>
        <v>El atleta en Pink Top está caminando hacia adelante.</v>
      </c>
    </row>
    <row r="17262">
      <c r="A17262" s="4" t="s">
        <v>21732</v>
      </c>
      <c r="B17262" s="4" t="s">
        <v>21737</v>
      </c>
      <c r="C17262" s="5" t="str">
        <f>IFERROR(__xludf.DUMMYFUNCTION("GOOGLETRANSLATE(B17262,""en"",""es-ES"")"),"Un atleta con la etiqueta Barrios en su camisa está parada detrás de la red.")</f>
        <v>Un atleta con la etiqueta Barrios en su camisa está parada detrás de la red.</v>
      </c>
    </row>
    <row r="17263">
      <c r="A17263" s="4" t="s">
        <v>21732</v>
      </c>
      <c r="B17263" s="4" t="s">
        <v>21738</v>
      </c>
      <c r="C17263" s="5" t="str">
        <f>IFERROR(__xludf.DUMMYFUNCTION("GOOGLETRANSLATE(B17263,""en"",""es-ES"")"),"La mujer levantó el metal circular y comenzó a girar y arrojó el metal.")</f>
        <v>La mujer levantó el metal circular y comenzó a girar y arrojó el metal.</v>
      </c>
    </row>
    <row r="17264">
      <c r="A17264" s="4" t="s">
        <v>21732</v>
      </c>
      <c r="B17264" s="4" t="s">
        <v>21739</v>
      </c>
      <c r="C17264" s="5" t="str">
        <f>IFERROR(__xludf.DUMMYFUNCTION("GOOGLETRANSLATE(B17264,""en"",""es-ES"")"),"El metal golpeó el campo.")</f>
        <v>El metal golpeó el campo.</v>
      </c>
    </row>
    <row r="17265">
      <c r="A17265" s="4" t="s">
        <v>21732</v>
      </c>
      <c r="B17265" s="4" t="s">
        <v>21740</v>
      </c>
      <c r="C17265" s="5" t="str">
        <f>IFERROR(__xludf.DUMMYFUNCTION("GOOGLETRANSLATE(B17265,""en"",""es-ES"")"),"Un hombre corre hacia el círculo blanco en el suelo.")</f>
        <v>Un hombre corre hacia el círculo blanco en el suelo.</v>
      </c>
    </row>
    <row r="17266">
      <c r="A17266" s="4" t="s">
        <v>21732</v>
      </c>
      <c r="B17266" s="4" t="s">
        <v>21741</v>
      </c>
      <c r="C17266" s="5" t="str">
        <f>IFERROR(__xludf.DUMMYFUNCTION("GOOGLETRANSLATE(B17266,""en"",""es-ES"")"),"Una mujer se estira detrás de la red.")</f>
        <v>Una mujer se estira detrás de la red.</v>
      </c>
    </row>
    <row r="17267">
      <c r="A17267" s="4" t="s">
        <v>21732</v>
      </c>
      <c r="B17267" s="4" t="s">
        <v>21742</v>
      </c>
      <c r="C17267" s="5" t="str">
        <f>IFERROR(__xludf.DUMMYFUNCTION("GOOGLETRANSLATE(B17267,""en"",""es-ES"")"),"Ella giró y arrojó algo hacia el campo.")</f>
        <v>Ella giró y arrojó algo hacia el campo.</v>
      </c>
    </row>
    <row r="17268">
      <c r="A17268" s="4" t="s">
        <v>21732</v>
      </c>
      <c r="B17268" s="4" t="s">
        <v>21743</v>
      </c>
      <c r="C17268" s="5" t="str">
        <f>IFERROR(__xludf.DUMMYFUNCTION("GOOGLETRANSLATE(B17268,""en"",""es-ES"")"),"Dos hombres corriendo el uno hacia el otro.")</f>
        <v>Dos hombres corriendo el uno hacia el otro.</v>
      </c>
    </row>
    <row r="17269">
      <c r="A17269" s="4" t="s">
        <v>21732</v>
      </c>
      <c r="B17269" s="4" t="s">
        <v>21744</v>
      </c>
      <c r="C17269" s="5" t="str">
        <f>IFERROR(__xludf.DUMMYFUNCTION("GOOGLETRANSLATE(B17269,""en"",""es-ES"")"),"La mujer dio un abrazo a otra mujer.")</f>
        <v>La mujer dio un abrazo a otra mujer.</v>
      </c>
    </row>
    <row r="17270">
      <c r="A17270" s="4" t="s">
        <v>21732</v>
      </c>
      <c r="B17270" s="4" t="s">
        <v>21745</v>
      </c>
      <c r="C17270" s="5" t="str">
        <f>IFERROR(__xludf.DUMMYFUNCTION("GOOGLETRANSLATE(B17270,""en"",""es-ES"")"),"El campo verde tiene audiencias en los lados del campo.")</f>
        <v>El campo verde tiene audiencias en los lados del campo.</v>
      </c>
    </row>
    <row r="17271">
      <c r="A17271" s="4" t="s">
        <v>21746</v>
      </c>
      <c r="B17271" s="4" t="s">
        <v>21747</v>
      </c>
      <c r="C17271" s="5" t="str">
        <f>IFERROR(__xludf.DUMMYFUNCTION("GOOGLETRANSLATE(B17271,""en"",""es-ES"")"),"Un hombre en el techo colocando algunas piezas de metal a través de las tejas.")</f>
        <v>Un hombre en el techo colocando algunas piezas de metal a través de las tejas.</v>
      </c>
    </row>
    <row r="17272">
      <c r="A17272" s="4" t="s">
        <v>21746</v>
      </c>
      <c r="B17272" s="4" t="s">
        <v>21748</v>
      </c>
      <c r="C17272" s="5" t="str">
        <f>IFERROR(__xludf.DUMMYFUNCTION("GOOGLETRANSLATE(B17272,""en"",""es-ES"")"),"Está poniendo pequeñas piezas de metal en el metal para mantenerlas sostenidas.")</f>
        <v>Está poniendo pequeñas piezas de metal en el metal para mantenerlas sostenidas.</v>
      </c>
    </row>
    <row r="17273">
      <c r="A17273" s="4" t="s">
        <v>21746</v>
      </c>
      <c r="B17273" s="4" t="s">
        <v>21749</v>
      </c>
      <c r="C17273" s="5" t="str">
        <f>IFERROR(__xludf.DUMMYFUNCTION("GOOGLETRANSLATE(B17273,""en"",""es-ES"")"),"Lo habla un poco en broma.")</f>
        <v>Lo habla un poco en broma.</v>
      </c>
    </row>
    <row r="17274">
      <c r="A17274" s="4" t="s">
        <v>21746</v>
      </c>
      <c r="B17274" s="4" t="s">
        <v>21750</v>
      </c>
      <c r="C17274" s="5" t="str">
        <f>IFERROR(__xludf.DUMMYFUNCTION("GOOGLETRANSLATE(B17274,""en"",""es-ES"")"),"Luego trató de ajustarlo un poco más.")</f>
        <v>Luego trató de ajustarlo un poco más.</v>
      </c>
    </row>
    <row r="17275">
      <c r="A17275" s="4" t="s">
        <v>21751</v>
      </c>
      <c r="B17275" s="4" t="s">
        <v>1251</v>
      </c>
      <c r="C17275" s="5" t="str">
        <f>IFERROR(__xludf.DUMMYFUNCTION("GOOGLETRANSLATE(B17275,""en"",""es-ES"")"),"Se muestran los créditos del clip.")</f>
        <v>Se muestran los créditos del clip.</v>
      </c>
    </row>
    <row r="17276">
      <c r="A17276" s="4" t="s">
        <v>21751</v>
      </c>
      <c r="B17276" s="4" t="s">
        <v>21752</v>
      </c>
      <c r="C17276" s="5" t="str">
        <f>IFERROR(__xludf.DUMMYFUNCTION("GOOGLETRANSLATE(B17276,""en"",""es-ES"")"),"Se muestran productos para el cabello y herramientas para el cabello.")</f>
        <v>Se muestran productos para el cabello y herramientas para el cabello.</v>
      </c>
    </row>
    <row r="17277">
      <c r="A17277" s="4" t="s">
        <v>21751</v>
      </c>
      <c r="B17277" s="4" t="s">
        <v>21753</v>
      </c>
      <c r="C17277" s="5" t="str">
        <f>IFERROR(__xludf.DUMMYFUNCTION("GOOGLETRANSLATE(B17277,""en"",""es-ES"")"),"El estilista masculino es el cabello de un cliente con productos, una corta y secadora de pelo.")</f>
        <v>El estilista masculino es el cabello de un cliente con productos, una corta y secadora de pelo.</v>
      </c>
    </row>
    <row r="17278">
      <c r="A17278" s="4" t="s">
        <v>21751</v>
      </c>
      <c r="B17278" s="4" t="s">
        <v>573</v>
      </c>
      <c r="C17278" s="5" t="str">
        <f>IFERROR(__xludf.DUMMYFUNCTION("GOOGLETRANSLATE(B17278,""en"",""es-ES"")"),"Se muestran los créditos del video.")</f>
        <v>Se muestran los créditos del video.</v>
      </c>
    </row>
    <row r="17279">
      <c r="A17279" s="4" t="s">
        <v>21754</v>
      </c>
      <c r="B17279" s="4" t="s">
        <v>21755</v>
      </c>
      <c r="C17279" s="5" t="str">
        <f>IFERROR(__xludf.DUMMYFUNCTION("GOOGLETRANSLATE(B17279,""en"",""es-ES"")"),"En un lugar de piscina, las personas se reúnen alrededor de algunas mesas de billar esperando que los jugadores se turnen.")</f>
        <v>En un lugar de piscina, las personas se reúnen alrededor de algunas mesas de billar esperando que los jugadores se turnen.</v>
      </c>
    </row>
    <row r="17280">
      <c r="A17280" s="4" t="s">
        <v>21754</v>
      </c>
      <c r="B17280" s="4" t="s">
        <v>21756</v>
      </c>
      <c r="C17280" s="5" t="str">
        <f>IFERROR(__xludf.DUMMYFUNCTION("GOOGLETRANSLATE(B17280,""en"",""es-ES"")"),"Un macho toma un giro y luego otro en rojo toma su bateo, pero Bot lo convirtió en.")</f>
        <v>Un macho toma un giro y luego otro en rojo toma su bateo, pero Bot lo convirtió en.</v>
      </c>
    </row>
    <row r="17281">
      <c r="A17281" s="4" t="s">
        <v>21754</v>
      </c>
      <c r="B17281" s="4" t="s">
        <v>21757</v>
      </c>
      <c r="C17281" s="5" t="str">
        <f>IFERROR(__xludf.DUMMYFUNCTION("GOOGLETRANSLATE(B17281,""en"",""es-ES"")"),"Nadie lo hace en su turno para que continúen con el próximo jugador.")</f>
        <v>Nadie lo hace en su turno para que continúen con el próximo jugador.</v>
      </c>
    </row>
    <row r="17282">
      <c r="A17282" s="4" t="s">
        <v>21754</v>
      </c>
      <c r="B17282" s="4" t="s">
        <v>21758</v>
      </c>
      <c r="C17282" s="5" t="str">
        <f>IFERROR(__xludf.DUMMYFUNCTION("GOOGLETRANSLATE(B17282,""en"",""es-ES"")"),"El juego continúa esperando que alguien haga algunos tiros.")</f>
        <v>El juego continúa esperando que alguien haga algunos tiros.</v>
      </c>
    </row>
    <row r="17283">
      <c r="A17283" s="4" t="s">
        <v>21759</v>
      </c>
      <c r="B17283" s="4" t="s">
        <v>21760</v>
      </c>
      <c r="C17283" s="5" t="str">
        <f>IFERROR(__xludf.DUMMYFUNCTION("GOOGLETRANSLATE(B17283,""en"",""es-ES"")"),"Un atleta de pista se prepara y se extiende en una línea de salida.")</f>
        <v>Un atleta de pista se prepara y se extiende en una línea de salida.</v>
      </c>
    </row>
    <row r="17284">
      <c r="A17284" s="4" t="s">
        <v>21759</v>
      </c>
      <c r="B17284" s="4" t="s">
        <v>21761</v>
      </c>
      <c r="C17284" s="5" t="str">
        <f>IFERROR(__xludf.DUMMYFUNCTION("GOOGLETRANSLATE(B17284,""en"",""es-ES"")"),"Un atleta de pista corre por una pista y salta sobre barra sobre una colchoneta.")</f>
        <v>Un atleta de pista corre por una pista y salta sobre barra sobre una colchoneta.</v>
      </c>
    </row>
    <row r="17285">
      <c r="A17285" s="4" t="s">
        <v>21759</v>
      </c>
      <c r="B17285" s="4" t="s">
        <v>21762</v>
      </c>
      <c r="C17285" s="5" t="str">
        <f>IFERROR(__xludf.DUMMYFUNCTION("GOOGLETRANSLATE(B17285,""en"",""es-ES"")"),"El atleta hace intentos de saltar sobre la barra, pero no tiene éxito derribándolo en el tapete.")</f>
        <v>El atleta hace intentos de saltar sobre la barra, pero no tiene éxito derribándolo en el tapete.</v>
      </c>
    </row>
    <row r="17286">
      <c r="A17286" s="4" t="s">
        <v>21763</v>
      </c>
      <c r="B17286" s="4" t="s">
        <v>21764</v>
      </c>
      <c r="C17286" s="5" t="str">
        <f>IFERROR(__xludf.DUMMYFUNCTION("GOOGLETRANSLATE(B17286,""en"",""es-ES"")"),"Una niña está haciendo volteos en un trampolín en un gimnasio.")</f>
        <v>Una niña está haciendo volteos en un trampolín en un gimnasio.</v>
      </c>
    </row>
    <row r="17287">
      <c r="A17287" s="4" t="s">
        <v>21763</v>
      </c>
      <c r="B17287" s="4" t="s">
        <v>21765</v>
      </c>
      <c r="C17287" s="5" t="str">
        <f>IFERROR(__xludf.DUMMYFUNCTION("GOOGLETRANSLATE(B17287,""en"",""es-ES"")"),"Luego vemos a un niño sumergirse hacia atrás en la piscina.")</f>
        <v>Luego vemos a un niño sumergirse hacia atrás en la piscina.</v>
      </c>
    </row>
    <row r="17288">
      <c r="A17288" s="4" t="s">
        <v>21763</v>
      </c>
      <c r="B17288" s="4" t="s">
        <v>21766</v>
      </c>
      <c r="C17288" s="5" t="str">
        <f>IFERROR(__xludf.DUMMYFUNCTION("GOOGLETRANSLATE(B17288,""en"",""es-ES"")"),"Vemos al niño en el trampolín.")</f>
        <v>Vemos al niño en el trampolín.</v>
      </c>
    </row>
    <row r="17289">
      <c r="A17289" s="4" t="s">
        <v>21763</v>
      </c>
      <c r="B17289" s="4" t="s">
        <v>21767</v>
      </c>
      <c r="C17289" s="5" t="str">
        <f>IFERROR(__xludf.DUMMYFUNCTION("GOOGLETRANSLATE(B17289,""en"",""es-ES"")"),"Luego vemos a los niños bucear de nuevo.")</f>
        <v>Luego vemos a los niños bucear de nuevo.</v>
      </c>
    </row>
    <row r="17290">
      <c r="A17290" s="4" t="s">
        <v>21763</v>
      </c>
      <c r="B17290" s="4" t="s">
        <v>21768</v>
      </c>
      <c r="C17290" s="5" t="str">
        <f>IFERROR(__xludf.DUMMYFUNCTION("GOOGLETRANSLATE(B17290,""en"",""es-ES"")"),"Regresamos a los niños que practican en el trampolín y volvemos a ellos bucear nuevamente.")</f>
        <v>Regresamos a los niños que practican en el trampolín y volvemos a ellos bucear nuevamente.</v>
      </c>
    </row>
    <row r="17291">
      <c r="A17291" s="4" t="s">
        <v>21769</v>
      </c>
      <c r="B17291" s="4" t="s">
        <v>21770</v>
      </c>
      <c r="C17291" s="5" t="str">
        <f>IFERROR(__xludf.DUMMYFUNCTION("GOOGLETRANSLATE(B17291,""en"",""es-ES"")"),"Se ve a una mujer realizando una rutina de baile en un escenario frente a una gran audiencia.")</f>
        <v>Se ve a una mujer realizando una rutina de baile en un escenario frente a una gran audiencia.</v>
      </c>
    </row>
    <row r="17292">
      <c r="A17292" s="4" t="s">
        <v>21769</v>
      </c>
      <c r="B17292" s="4" t="s">
        <v>21771</v>
      </c>
      <c r="C17292" s="5" t="str">
        <f>IFERROR(__xludf.DUMMYFUNCTION("GOOGLETRANSLATE(B17292,""en"",""es-ES"")"),"La mujer continúa bailando por todo el escenario y termina con un arco y saliendo del escenario.")</f>
        <v>La mujer continúa bailando por todo el escenario y termina con un arco y saliendo del escenario.</v>
      </c>
    </row>
    <row r="17293">
      <c r="A17293" s="4" t="s">
        <v>21772</v>
      </c>
      <c r="B17293" s="4" t="s">
        <v>21773</v>
      </c>
      <c r="C17293" s="5" t="str">
        <f>IFERROR(__xludf.DUMMYFUNCTION("GOOGLETRANSLATE(B17293,""en"",""es-ES"")"),"Un hombre está parado en un bar.")</f>
        <v>Un hombre está parado en un bar.</v>
      </c>
    </row>
    <row r="17294">
      <c r="A17294" s="4" t="s">
        <v>21772</v>
      </c>
      <c r="B17294" s="4" t="s">
        <v>21774</v>
      </c>
      <c r="C17294" s="5" t="str">
        <f>IFERROR(__xludf.DUMMYFUNCTION("GOOGLETRANSLATE(B17294,""en"",""es-ES"")"),"Vemos la pantalla del título sobre cómo hacer una bebida.")</f>
        <v>Vemos la pantalla del título sobre cómo hacer una bebida.</v>
      </c>
    </row>
    <row r="17295">
      <c r="A17295" s="4" t="s">
        <v>21772</v>
      </c>
      <c r="B17295" s="4" t="s">
        <v>21775</v>
      </c>
      <c r="C17295" s="5" t="str">
        <f>IFERROR(__xludf.DUMMYFUNCTION("GOOGLETRANSLATE(B17295,""en"",""es-ES"")"),"El hombre vierte tres licores y algunos refrescos de lima en un vaso.")</f>
        <v>El hombre vierte tres licores y algunos refrescos de lima en un vaso.</v>
      </c>
    </row>
    <row r="17296">
      <c r="A17296" s="4" t="s">
        <v>21772</v>
      </c>
      <c r="B17296" s="4" t="s">
        <v>21776</v>
      </c>
      <c r="C17296" s="5" t="str">
        <f>IFERROR(__xludf.DUMMYFUNCTION("GOOGLETRANSLATE(B17296,""en"",""es-ES"")"),"Él revuelve el vidrio con una herramienta de metal.")</f>
        <v>Él revuelve el vidrio con una herramienta de metal.</v>
      </c>
    </row>
    <row r="17297">
      <c r="A17297" s="4" t="s">
        <v>21772</v>
      </c>
      <c r="B17297" s="4" t="s">
        <v>21777</v>
      </c>
      <c r="C17297" s="5" t="str">
        <f>IFERROR(__xludf.DUMMYFUNCTION("GOOGLETRANSLATE(B17297,""en"",""es-ES"")"),"El hombre luego bebe del vaso.")</f>
        <v>El hombre luego bebe del vaso.</v>
      </c>
    </row>
    <row r="17298">
      <c r="A17298" s="4" t="s">
        <v>21772</v>
      </c>
      <c r="B17298" s="4" t="s">
        <v>21778</v>
      </c>
      <c r="C17298" s="5" t="str">
        <f>IFERROR(__xludf.DUMMYFUNCTION("GOOGLETRANSLATE(B17298,""en"",""es-ES"")"),"El hombre apunta a la cámara, vemos la secuencia final.")</f>
        <v>El hombre apunta a la cámara, vemos la secuencia final.</v>
      </c>
    </row>
    <row r="17299">
      <c r="A17299" s="4" t="s">
        <v>21779</v>
      </c>
      <c r="B17299" s="4" t="s">
        <v>21780</v>
      </c>
      <c r="C17299" s="5" t="str">
        <f>IFERROR(__xludf.DUMMYFUNCTION("GOOGLETRANSLATE(B17299,""en"",""es-ES"")"),"Un par de bailarines comienza a preformarse en la Copa de Danza Latina.")</f>
        <v>Un par de bailarines comienza a preformarse en la Copa de Danza Latina.</v>
      </c>
    </row>
    <row r="17300">
      <c r="A17300" s="4" t="s">
        <v>21779</v>
      </c>
      <c r="B17300" s="4" t="s">
        <v>21781</v>
      </c>
      <c r="C17300" s="5" t="str">
        <f>IFERROR(__xludf.DUMMYFUNCTION("GOOGLETRANSLATE(B17300,""en"",""es-ES"")"),"La mujer muestra el escote.")</f>
        <v>La mujer muestra el escote.</v>
      </c>
    </row>
    <row r="17301">
      <c r="A17301" s="4" t="s">
        <v>21779</v>
      </c>
      <c r="B17301" s="4" t="s">
        <v>21782</v>
      </c>
      <c r="C17301" s="5" t="str">
        <f>IFERROR(__xludf.DUMMYFUNCTION("GOOGLETRANSLATE(B17301,""en"",""es-ES"")"),"Los bailarines comienzan a girar entre sí.")</f>
        <v>Los bailarines comienzan a girar entre sí.</v>
      </c>
    </row>
    <row r="17302">
      <c r="A17302" s="4" t="s">
        <v>21779</v>
      </c>
      <c r="B17302" s="4" t="s">
        <v>21783</v>
      </c>
      <c r="C17302" s="5" t="str">
        <f>IFERROR(__xludf.DUMMYFUNCTION("GOOGLETRANSLATE(B17302,""en"",""es-ES"")"),"Los bailarines comienzan a preformar por separado.")</f>
        <v>Los bailarines comienzan a preformar por separado.</v>
      </c>
    </row>
    <row r="17303">
      <c r="A17303" s="4" t="s">
        <v>21779</v>
      </c>
      <c r="B17303" s="4" t="s">
        <v>21784</v>
      </c>
      <c r="C17303" s="5" t="str">
        <f>IFERROR(__xludf.DUMMYFUNCTION("GOOGLETRANSLATE(B17303,""en"",""es-ES"")"),"Los bailarines comienzan a moverse nuevamente juntos para un gran final.")</f>
        <v>Los bailarines comienzan a moverse nuevamente juntos para un gran final.</v>
      </c>
    </row>
    <row r="17304">
      <c r="A17304" s="4" t="s">
        <v>21785</v>
      </c>
      <c r="B17304" s="4" t="s">
        <v>21786</v>
      </c>
      <c r="C17304" s="5" t="str">
        <f>IFERROR(__xludf.DUMMYFUNCTION("GOOGLETRANSLATE(B17304,""en"",""es-ES"")"),"Se ve a un hombre hablando con la cámara afuera mientras varios objetos y herramientas se sientan a su alrededor.")</f>
        <v>Se ve a un hombre hablando con la cámara afuera mientras varios objetos y herramientas se sientan a su alrededor.</v>
      </c>
    </row>
    <row r="17305">
      <c r="A17305" s="4" t="s">
        <v>21785</v>
      </c>
      <c r="B17305" s="4" t="s">
        <v>21787</v>
      </c>
      <c r="C17305" s="5" t="str">
        <f>IFERROR(__xludf.DUMMYFUNCTION("GOOGLETRANSLATE(B17305,""en"",""es-ES"")"),"El hombre continúa hablando y conduce a clips de él empujando alrededor de un cortacésped.")</f>
        <v>El hombre continúa hablando y conduce a clips de él empujando alrededor de un cortacésped.</v>
      </c>
    </row>
    <row r="17306">
      <c r="A17306" s="4" t="s">
        <v>21785</v>
      </c>
      <c r="B17306" s="4" t="s">
        <v>21788</v>
      </c>
      <c r="C17306" s="5" t="str">
        <f>IFERROR(__xludf.DUMMYFUNCTION("GOOGLETRANSLATE(B17306,""en"",""es-ES"")"),"Continúa cortando la hierba y conduce a más clips de él hablando.")</f>
        <v>Continúa cortando la hierba y conduce a más clips de él hablando.</v>
      </c>
    </row>
    <row r="17307">
      <c r="A17307" s="4" t="s">
        <v>21789</v>
      </c>
      <c r="B17307" s="4" t="s">
        <v>21790</v>
      </c>
      <c r="C17307" s="5" t="str">
        <f>IFERROR(__xludf.DUMMYFUNCTION("GOOGLETRANSLATE(B17307,""en"",""es-ES"")"),"La animación de logotipo de la red de televisión de Awesomeness se reproduce.")</f>
        <v>La animación de logotipo de la red de televisión de Awesomeness se reproduce.</v>
      </c>
    </row>
    <row r="17308">
      <c r="A17308" s="4" t="s">
        <v>21789</v>
      </c>
      <c r="B17308" s="4" t="s">
        <v>21791</v>
      </c>
      <c r="C17308" s="5" t="str">
        <f>IFERROR(__xludf.DUMMYFUNCTION("GOOGLETRANSLATE(B17308,""en"",""es-ES"")"),"Un hombre voltea y cae por una estera.")</f>
        <v>Un hombre voltea y cae por una estera.</v>
      </c>
    </row>
    <row r="17309">
      <c r="A17309" s="4" t="s">
        <v>21789</v>
      </c>
      <c r="B17309" s="4" t="s">
        <v>21792</v>
      </c>
      <c r="C17309" s="5" t="str">
        <f>IFERROR(__xludf.DUMMYFUNCTION("GOOGLETRANSLATE(B17309,""en"",""es-ES"")"),"El mismo hombre vuelve a voltear la estera, esta vez sin usar una camisa.")</f>
        <v>El mismo hombre vuelve a voltear la estera, esta vez sin usar una camisa.</v>
      </c>
    </row>
    <row r="17310">
      <c r="A17310" s="4" t="s">
        <v>21789</v>
      </c>
      <c r="B17310" s="4" t="s">
        <v>21793</v>
      </c>
      <c r="C17310" s="5" t="str">
        <f>IFERROR(__xludf.DUMMYFUNCTION("GOOGLETRANSLATE(B17310,""en"",""es-ES"")"),"El hombre está hablando con la cámara.")</f>
        <v>El hombre está hablando con la cámara.</v>
      </c>
    </row>
    <row r="17311">
      <c r="A17311" s="4" t="s">
        <v>21789</v>
      </c>
      <c r="B17311" s="4" t="s">
        <v>21794</v>
      </c>
      <c r="C17311" s="5" t="str">
        <f>IFERROR(__xludf.DUMMYFUNCTION("GOOGLETRANSLATE(B17311,""en"",""es-ES"")"),"Una mujer con un arco azul en el cabello camina por la pantalla detrás del hombre y comienza a hablar con otra mujer que sale de la pantalla.")</f>
        <v>Una mujer con un arco azul en el cabello camina por la pantalla detrás del hombre y comienza a hablar con otra mujer que sale de la pantalla.</v>
      </c>
    </row>
    <row r="17312">
      <c r="A17312" s="4" t="s">
        <v>21789</v>
      </c>
      <c r="B17312" s="4" t="s">
        <v>21795</v>
      </c>
      <c r="C17312" s="5" t="str">
        <f>IFERROR(__xludf.DUMMYFUNCTION("GOOGLETRANSLATE(B17312,""en"",""es-ES"")"),"El hombre sin camisa se muestra volteando y caído por la pantalla nuevamente, esta vez no aterriza su giro final y cae de lado.")</f>
        <v>El hombre sin camisa se muestra volteando y caído por la pantalla nuevamente, esta vez no aterriza su giro final y cae de lado.</v>
      </c>
    </row>
    <row r="17313">
      <c r="A17313" s="4" t="s">
        <v>21789</v>
      </c>
      <c r="B17313" s="4" t="s">
        <v>21796</v>
      </c>
      <c r="C17313" s="5" t="str">
        <f>IFERROR(__xludf.DUMMYFUNCTION("GOOGLETRANSLATE(B17313,""en"",""es-ES"")"),"Luego comienza a caminar hacia un hombre al lado de la colchoneta.")</f>
        <v>Luego comienza a caminar hacia un hombre al lado de la colchoneta.</v>
      </c>
    </row>
    <row r="17314">
      <c r="A17314" s="4" t="s">
        <v>21789</v>
      </c>
      <c r="B17314" s="4" t="s">
        <v>21797</v>
      </c>
      <c r="C17314" s="5" t="str">
        <f>IFERROR(__xludf.DUMMYFUNCTION("GOOGLETRANSLATE(B17314,""en"",""es-ES"")"),"El espectador apunta a su cabeza y la gimnasta también hace lo mismo con su propia cabeza.")</f>
        <v>El espectador apunta a su cabeza y la gimnasta también hace lo mismo con su propia cabeza.</v>
      </c>
    </row>
    <row r="17315">
      <c r="A17315" s="4" t="s">
        <v>21789</v>
      </c>
      <c r="B17315" s="4" t="s">
        <v>21798</v>
      </c>
      <c r="C17315" s="5" t="str">
        <f>IFERROR(__xludf.DUMMYFUNCTION("GOOGLETRANSLATE(B17315,""en"",""es-ES"")"),"La gimnasta está hablando nuevamente con la cámara explicando lo que sucedió durante esa rutina.")</f>
        <v>La gimnasta está hablando nuevamente con la cámara explicando lo que sucedió durante esa rutina.</v>
      </c>
    </row>
    <row r="17316">
      <c r="A17316" s="4" t="s">
        <v>21789</v>
      </c>
      <c r="B17316" s="4" t="s">
        <v>21799</v>
      </c>
      <c r="C17316" s="5" t="str">
        <f>IFERROR(__xludf.DUMMYFUNCTION("GOOGLETRANSLATE(B17316,""en"",""es-ES"")"),"Un pequeño video aparece en la parte inferior derecha reproduciendo en el momento en que cae.")</f>
        <v>Un pequeño video aparece en la parte inferior derecha reproduciendo en el momento en que cae.</v>
      </c>
    </row>
    <row r="17317">
      <c r="A17317" s="4" t="s">
        <v>21789</v>
      </c>
      <c r="B17317" s="4" t="s">
        <v>21800</v>
      </c>
      <c r="C17317" s="5" t="str">
        <f>IFERROR(__xludf.DUMMYFUNCTION("GOOGLETRANSLATE(B17317,""en"",""es-ES"")"),"Comienza a voltear sobre la colchoneta nuevamente.")</f>
        <v>Comienza a voltear sobre la colchoneta nuevamente.</v>
      </c>
    </row>
    <row r="17318">
      <c r="A17318" s="4" t="s">
        <v>21789</v>
      </c>
      <c r="B17318" s="4" t="s">
        <v>21801</v>
      </c>
      <c r="C17318" s="5" t="str">
        <f>IFERROR(__xludf.DUMMYFUNCTION("GOOGLETRANSLATE(B17318,""en"",""es-ES"")"),"El hombre está de pie junto a un par de otros tipos, salta en el aire y hace algunas patadas.")</f>
        <v>El hombre está de pie junto a un par de otros tipos, salta en el aire y hace algunas patadas.</v>
      </c>
    </row>
    <row r="17319">
      <c r="A17319" s="4" t="s">
        <v>21789</v>
      </c>
      <c r="B17319" s="4" t="s">
        <v>21802</v>
      </c>
      <c r="C17319" s="5" t="str">
        <f>IFERROR(__xludf.DUMMYFUNCTION("GOOGLETRANSLATE(B17319,""en"",""es-ES"")"),"Ahora está haciendo volteos hacia atrás en la colchoneta.")</f>
        <v>Ahora está haciendo volteos hacia atrás en la colchoneta.</v>
      </c>
    </row>
    <row r="17320">
      <c r="A17320" s="4" t="s">
        <v>21789</v>
      </c>
      <c r="B17320" s="4" t="s">
        <v>21803</v>
      </c>
      <c r="C17320" s="5" t="str">
        <f>IFERROR(__xludf.DUMMYFUNCTION("GOOGLETRANSLATE(B17320,""en"",""es-ES"")"),"Él pasa de un volteo delantero a volteo trasero.")</f>
        <v>Él pasa de un volteo delantero a volteo trasero.</v>
      </c>
    </row>
    <row r="17321">
      <c r="A17321" s="4" t="s">
        <v>21789</v>
      </c>
      <c r="B17321" s="4" t="s">
        <v>21804</v>
      </c>
      <c r="C17321" s="5" t="str">
        <f>IFERROR(__xludf.DUMMYFUNCTION("GOOGLETRANSLATE(B17321,""en"",""es-ES"")"),"Ahora está parado en la línea lateral preparándose para hacer flips.")</f>
        <v>Ahora está parado en la línea lateral preparándose para hacer flips.</v>
      </c>
    </row>
    <row r="17322">
      <c r="A17322" s="4" t="s">
        <v>21789</v>
      </c>
      <c r="B17322" s="4" t="s">
        <v>21805</v>
      </c>
      <c r="C17322" s="5" t="str">
        <f>IFERROR(__xludf.DUMMYFUNCTION("GOOGLETRANSLATE(B17322,""en"",""es-ES"")"),"Está haciendo más volteos y aterrizando en la alfombra roja.")</f>
        <v>Está haciendo más volteos y aterrizando en la alfombra roja.</v>
      </c>
    </row>
    <row r="17323">
      <c r="A17323" s="4" t="s">
        <v>21789</v>
      </c>
      <c r="B17323" s="4" t="s">
        <v>21806</v>
      </c>
      <c r="C17323" s="5" t="str">
        <f>IFERROR(__xludf.DUMMYFUNCTION("GOOGLETRANSLATE(B17323,""en"",""es-ES"")"),"Ahora está volteando de nuevo y se invierte y comienza a voltear hacia el otro lado.")</f>
        <v>Ahora está volteando de nuevo y se invierte y comienza a voltear hacia el otro lado.</v>
      </c>
    </row>
    <row r="17324">
      <c r="A17324" s="4" t="s">
        <v>21789</v>
      </c>
      <c r="B17324" s="4" t="s">
        <v>21807</v>
      </c>
      <c r="C17324" s="5" t="str">
        <f>IFERROR(__xludf.DUMMYFUNCTION("GOOGLETRANSLATE(B17324,""en"",""es-ES"")"),"Esta vez lleva una camisa amarilla y comienza haciendo una patada, luego comienza a voltear hacia atrás.")</f>
        <v>Esta vez lleva una camisa amarilla y comienza haciendo una patada, luego comienza a voltear hacia atrás.</v>
      </c>
    </row>
    <row r="17325">
      <c r="A17325" s="4" t="s">
        <v>21789</v>
      </c>
      <c r="B17325" s="4" t="s">
        <v>21808</v>
      </c>
      <c r="C17325" s="5" t="str">
        <f>IFERROR(__xludf.DUMMYFUNCTION("GOOGLETRANSLATE(B17325,""en"",""es-ES"")"),"Ahora está caminando por la colchoneta lentamente.")</f>
        <v>Ahora está caminando por la colchoneta lentamente.</v>
      </c>
    </row>
    <row r="17326">
      <c r="A17326" s="4" t="s">
        <v>21809</v>
      </c>
      <c r="B17326" s="4" t="s">
        <v>21810</v>
      </c>
      <c r="C17326" s="5" t="str">
        <f>IFERROR(__xludf.DUMMYFUNCTION("GOOGLETRANSLATE(B17326,""en"",""es-ES"")"),"Se ve a un hombre parado en un gran campo que realiza varios trucos para perros con un perro.")</f>
        <v>Se ve a un hombre parado en un gran campo que realiza varios trucos para perros con un perro.</v>
      </c>
    </row>
    <row r="17327">
      <c r="A17327" s="4" t="s">
        <v>21809</v>
      </c>
      <c r="B17327" s="4" t="s">
        <v>21811</v>
      </c>
      <c r="C17327" s="5" t="str">
        <f>IFERROR(__xludf.DUMMYFUNCTION("GOOGLETRANSLATE(B17327,""en"",""es-ES"")"),"Otra persona observa a lo lejos mientras el hombre y el perro continúan realizando trucos y el perro corriendo por todas partes.")</f>
        <v>Otra persona observa a lo lejos mientras el hombre y el perro continúan realizando trucos y el perro corriendo por todas partes.</v>
      </c>
    </row>
    <row r="17328">
      <c r="A17328" s="4" t="s">
        <v>21812</v>
      </c>
      <c r="B17328" s="4" t="s">
        <v>21813</v>
      </c>
      <c r="C17328" s="5" t="str">
        <f>IFERROR(__xludf.DUMMYFUNCTION("GOOGLETRANSLATE(B17328,""en"",""es-ES"")"),"Un hombre mira a su alrededor y le agarra la cara.")</f>
        <v>Un hombre mira a su alrededor y le agarra la cara.</v>
      </c>
    </row>
    <row r="17329">
      <c r="A17329" s="4" t="s">
        <v>21812</v>
      </c>
      <c r="B17329" s="4" t="s">
        <v>21814</v>
      </c>
      <c r="C17329" s="5" t="str">
        <f>IFERROR(__xludf.DUMMYFUNCTION("GOOGLETRANSLATE(B17329,""en"",""es-ES"")"),"Él coloca una toalla sobre su rostro.")</f>
        <v>Él coloca una toalla sobre su rostro.</v>
      </c>
    </row>
    <row r="17330">
      <c r="A17330" s="4" t="s">
        <v>21812</v>
      </c>
      <c r="B17330" s="4" t="s">
        <v>21815</v>
      </c>
      <c r="C17330" s="5" t="str">
        <f>IFERROR(__xludf.DUMMYFUNCTION("GOOGLETRANSLATE(B17330,""en"",""es-ES"")"),"El hombre muestra una unidad de afeitar y un bálsamo.")</f>
        <v>El hombre muestra una unidad de afeitar y un bálsamo.</v>
      </c>
    </row>
    <row r="17331">
      <c r="A17331" s="4" t="s">
        <v>21812</v>
      </c>
      <c r="B17331" s="4" t="s">
        <v>21816</v>
      </c>
      <c r="C17331" s="5" t="str">
        <f>IFERROR(__xludf.DUMMYFUNCTION("GOOGLETRANSLATE(B17331,""en"",""es-ES"")"),"Muestra un tazón y gira el pincel de afeitado a su alrededor.")</f>
        <v>Muestra un tazón y gira el pincel de afeitado a su alrededor.</v>
      </c>
    </row>
    <row r="17332">
      <c r="A17332" s="4" t="s">
        <v>21812</v>
      </c>
      <c r="B17332" s="4" t="s">
        <v>21817</v>
      </c>
      <c r="C17332" s="5" t="str">
        <f>IFERROR(__xludf.DUMMYFUNCTION("GOOGLETRANSLATE(B17332,""en"",""es-ES"")"),"El hombre coloca la crema de afeitar en toda la cara con el uso de su cepillo de afeitar.")</f>
        <v>El hombre coloca la crema de afeitar en toda la cara con el uso de su cepillo de afeitar.</v>
      </c>
    </row>
    <row r="17333">
      <c r="A17333" s="4" t="s">
        <v>21812</v>
      </c>
      <c r="B17333" s="4" t="s">
        <v>21818</v>
      </c>
      <c r="C17333" s="5" t="str">
        <f>IFERROR(__xludf.DUMMYFUNCTION("GOOGLETRANSLATE(B17333,""en"",""es-ES"")"),"Toma una maquinilla de afeitar y se afeita.")</f>
        <v>Toma una maquinilla de afeitar y se afeita.</v>
      </c>
    </row>
    <row r="17334">
      <c r="A17334" s="4" t="s">
        <v>21812</v>
      </c>
      <c r="B17334" s="4" t="s">
        <v>21819</v>
      </c>
      <c r="C17334" s="5" t="str">
        <f>IFERROR(__xludf.DUMMYFUNCTION("GOOGLETRANSLATE(B17334,""en"",""es-ES"")"),"Agarra el tazón nuevamente y gira el pincel de afeitado alrededor del interior.")</f>
        <v>Agarra el tazón nuevamente y gira el pincel de afeitado alrededor del interior.</v>
      </c>
    </row>
    <row r="17335">
      <c r="A17335" s="4" t="s">
        <v>21812</v>
      </c>
      <c r="B17335" s="4" t="s">
        <v>21820</v>
      </c>
      <c r="C17335" s="5" t="str">
        <f>IFERROR(__xludf.DUMMYFUNCTION("GOOGLETRANSLATE(B17335,""en"",""es-ES"")"),"Smembres afeitar la crema sobre su cara.")</f>
        <v>Smembres afeitar la crema sobre su cara.</v>
      </c>
    </row>
    <row r="17336">
      <c r="A17336" s="4" t="s">
        <v>21812</v>
      </c>
      <c r="B17336" s="4" t="s">
        <v>21821</v>
      </c>
      <c r="C17336" s="5" t="str">
        <f>IFERROR(__xludf.DUMMYFUNCTION("GOOGLETRANSLATE(B17336,""en"",""es-ES"")"),"Se afeita la cara una vez más.")</f>
        <v>Se afeita la cara una vez más.</v>
      </c>
    </row>
    <row r="17337">
      <c r="A17337" s="4" t="s">
        <v>21812</v>
      </c>
      <c r="B17337" s="4" t="s">
        <v>21822</v>
      </c>
      <c r="C17337" s="5" t="str">
        <f>IFERROR(__xludf.DUMMYFUNCTION("GOOGLETRANSLATE(B17337,""en"",""es-ES"")"),"Se salpica la cara y la seca con una toalla morada.")</f>
        <v>Se salpica la cara y la seca con una toalla morada.</v>
      </c>
    </row>
    <row r="17338">
      <c r="A17338" s="4" t="s">
        <v>21812</v>
      </c>
      <c r="B17338" s="4" t="s">
        <v>21823</v>
      </c>
      <c r="C17338" s="5" t="str">
        <f>IFERROR(__xludf.DUMMYFUNCTION("GOOGLETRANSLATE(B17338,""en"",""es-ES"")"),"Se frota un aceite sobre su rostro y muestra con entusiasmo sus músculos.")</f>
        <v>Se frota un aceite sobre su rostro y muestra con entusiasmo sus músculos.</v>
      </c>
    </row>
    <row r="17339">
      <c r="A17339" s="4" t="s">
        <v>21824</v>
      </c>
      <c r="B17339" s="4" t="s">
        <v>21825</v>
      </c>
      <c r="C17339" s="5" t="str">
        <f>IFERROR(__xludf.DUMMYFUNCTION("GOOGLETRANSLATE(B17339,""en"",""es-ES"")"),"Un hombre con turbante rojo se encuentra en una cocina.")</f>
        <v>Un hombre con turbante rojo se encuentra en una cocina.</v>
      </c>
    </row>
    <row r="17340">
      <c r="A17340" s="4" t="s">
        <v>21824</v>
      </c>
      <c r="B17340" s="4" t="s">
        <v>21826</v>
      </c>
      <c r="C17340" s="5" t="str">
        <f>IFERROR(__xludf.DUMMYFUNCTION("GOOGLETRANSLATE(B17340,""en"",""es-ES"")"),"Él vierte algunos ingredientes en un vaso.")</f>
        <v>Él vierte algunos ingredientes en un vaso.</v>
      </c>
    </row>
    <row r="17341">
      <c r="A17341" s="4" t="s">
        <v>21824</v>
      </c>
      <c r="B17341" s="4" t="s">
        <v>21827</v>
      </c>
      <c r="C17341" s="5" t="str">
        <f>IFERROR(__xludf.DUMMYFUNCTION("GOOGLETRANSLATE(B17341,""en"",""es-ES"")"),"Explica sus métodos sosteniendo una cuchara.")</f>
        <v>Explica sus métodos sosteniendo una cuchara.</v>
      </c>
    </row>
    <row r="17342">
      <c r="A17342" s="4" t="s">
        <v>21824</v>
      </c>
      <c r="B17342" s="4" t="s">
        <v>21828</v>
      </c>
      <c r="C17342" s="5" t="str">
        <f>IFERROR(__xludf.DUMMYFUNCTION("GOOGLETRANSLATE(B17342,""en"",""es-ES"")"),"Luego termina la bebida con una guarnición.")</f>
        <v>Luego termina la bebida con una guarnición.</v>
      </c>
    </row>
    <row r="17343">
      <c r="A17343" s="4" t="s">
        <v>21829</v>
      </c>
      <c r="B17343" s="4" t="s">
        <v>21830</v>
      </c>
      <c r="C17343" s="5" t="str">
        <f>IFERROR(__xludf.DUMMYFUNCTION("GOOGLETRANSLATE(B17343,""en"",""es-ES"")"),"Se muestra un primer plano de un fondo del océano, así como un buceador y peces que nadan.")</f>
        <v>Se muestra un primer plano de un fondo del océano, así como un buceador y peces que nadan.</v>
      </c>
    </row>
    <row r="17344">
      <c r="A17344" s="4" t="s">
        <v>21829</v>
      </c>
      <c r="B17344" s="4" t="s">
        <v>21831</v>
      </c>
      <c r="C17344" s="5" t="str">
        <f>IFERROR(__xludf.DUMMYFUNCTION("GOOGLETRANSLATE(B17344,""en"",""es-ES"")"),"La cámara continúa capturando la parte inferior del piso, así como varios alimentadores de peces e inferior en el suelo.")</f>
        <v>La cámara continúa capturando la parte inferior del piso, así como varios alimentadores de peces e inferior en el suelo.</v>
      </c>
    </row>
    <row r="17345">
      <c r="A17345" s="4" t="s">
        <v>21829</v>
      </c>
      <c r="B17345" s="4" t="s">
        <v>21832</v>
      </c>
      <c r="C17345" s="5" t="str">
        <f>IFERROR(__xludf.DUMMYFUNCTION("GOOGLETRANSLATE(B17345,""en"",""es-ES"")"),"El buceador mueve una linterna para capturar el fondo y observa que la vida silvestre se mueve.")</f>
        <v>El buceador mueve una linterna para capturar el fondo y observa que la vida silvestre se mueve.</v>
      </c>
    </row>
    <row r="17346">
      <c r="A17346" s="4" t="s">
        <v>21833</v>
      </c>
      <c r="B17346" s="4" t="s">
        <v>21834</v>
      </c>
      <c r="C17346" s="5" t="str">
        <f>IFERROR(__xludf.DUMMYFUNCTION("GOOGLETRANSLATE(B17346,""en"",""es-ES"")"),"Un hombre camina sobre la hierba con zancos.")</f>
        <v>Un hombre camina sobre la hierba con zancos.</v>
      </c>
    </row>
    <row r="17347">
      <c r="A17347" s="4" t="s">
        <v>21833</v>
      </c>
      <c r="B17347" s="4" t="s">
        <v>21835</v>
      </c>
      <c r="C17347" s="5" t="str">
        <f>IFERROR(__xludf.DUMMYFUNCTION("GOOGLETRANSLATE(B17347,""en"",""es-ES"")"),"La gente lo está mirando junto a un estanque.")</f>
        <v>La gente lo está mirando junto a un estanque.</v>
      </c>
    </row>
    <row r="17348">
      <c r="A17348" s="4" t="s">
        <v>21833</v>
      </c>
      <c r="B17348" s="4" t="s">
        <v>21836</v>
      </c>
      <c r="C17348" s="5" t="str">
        <f>IFERROR(__xludf.DUMMYFUNCTION("GOOGLETRANSLATE(B17348,""en"",""es-ES"")"),"Continúa caminando sobre la hierba hacia la gente.")</f>
        <v>Continúa caminando sobre la hierba hacia la gente.</v>
      </c>
    </row>
    <row r="17349">
      <c r="A17349" s="4" t="s">
        <v>21837</v>
      </c>
      <c r="B17349" s="4" t="s">
        <v>21838</v>
      </c>
      <c r="C17349" s="5" t="str">
        <f>IFERROR(__xludf.DUMMYFUNCTION("GOOGLETRANSLATE(B17349,""en"",""es-ES"")"),"Se muestra un primer plano de una pintura seguido de un cepillo que se sumerge en pintura y que se mueve a lo largo de la imagen.")</f>
        <v>Se muestra un primer plano de una pintura seguido de un cepillo que se sumerge en pintura y que se mueve a lo largo de la imagen.</v>
      </c>
    </row>
    <row r="17350">
      <c r="A17350" s="4" t="s">
        <v>21837</v>
      </c>
      <c r="B17350" s="4" t="s">
        <v>21839</v>
      </c>
      <c r="C17350" s="5" t="str">
        <f>IFERROR(__xludf.DUMMYFUNCTION("GOOGLETRANSLATE(B17350,""en"",""es-ES"")"),"La persona continúa pintando arbustos en la imagen y termina con créditos rodando sobre la pantalla.")</f>
        <v>La persona continúa pintando arbustos en la imagen y termina con créditos rodando sobre la pantalla.</v>
      </c>
    </row>
    <row r="17351">
      <c r="A17351" s="4" t="s">
        <v>21840</v>
      </c>
      <c r="B17351" s="4" t="s">
        <v>21841</v>
      </c>
      <c r="C17351" s="5" t="str">
        <f>IFERROR(__xludf.DUMMYFUNCTION("GOOGLETRANSLATE(B17351,""en"",""es-ES"")"),"Se muestra un primer plano de papas seguido por una mujer que habla con la cámara.")</f>
        <v>Se muestra un primer plano de papas seguido por una mujer que habla con la cámara.</v>
      </c>
    </row>
    <row r="17352">
      <c r="A17352" s="4" t="s">
        <v>21840</v>
      </c>
      <c r="B17352" s="4" t="s">
        <v>21842</v>
      </c>
      <c r="C17352" s="5" t="str">
        <f>IFERROR(__xludf.DUMMYFUNCTION("GOOGLETRANSLATE(B17352,""en"",""es-ES"")"),"La mujer apunta a una olla y luego comienza a pelar las papas y ponerlas en una olla.")</f>
        <v>La mujer apunta a una olla y luego comienza a pelar las papas y ponerlas en una olla.</v>
      </c>
    </row>
    <row r="17353">
      <c r="A17353" s="4" t="s">
        <v>21840</v>
      </c>
      <c r="B17353" s="4" t="s">
        <v>21843</v>
      </c>
      <c r="C17353" s="5" t="str">
        <f>IFERROR(__xludf.DUMMYFUNCTION("GOOGLETRANSLATE(B17353,""en"",""es-ES"")"),"Ella lo mezcla con sal y sumerge las papas en agua helada, mirándolas terminar de pelar.")</f>
        <v>Ella lo mezcla con sal y sumerge las papas en agua helada, mirándolas terminar de pelar.</v>
      </c>
    </row>
    <row r="17354">
      <c r="A17354" s="4" t="s">
        <v>21844</v>
      </c>
      <c r="B17354" s="4" t="s">
        <v>21845</v>
      </c>
      <c r="C17354" s="5" t="str">
        <f>IFERROR(__xludf.DUMMYFUNCTION("GOOGLETRANSLATE(B17354,""en"",""es-ES"")"),"Se ve a una mujer mirando a lo lejos seguido de disparos de ella montando un caballo y mirando a lo lejos.")</f>
        <v>Se ve a una mujer mirando a lo lejos seguido de disparos de ella montando un caballo y mirando a lo lejos.</v>
      </c>
    </row>
    <row r="17355">
      <c r="A17355" s="4" t="s">
        <v>21844</v>
      </c>
      <c r="B17355" s="4" t="s">
        <v>21846</v>
      </c>
      <c r="C17355" s="5" t="str">
        <f>IFERROR(__xludf.DUMMYFUNCTION("GOOGLETRANSLATE(B17355,""en"",""es-ES"")"),"La mujer continúa montando en el caballo y termina con ella alejándose y saludando a la cámara.")</f>
        <v>La mujer continúa montando en el caballo y termina con ella alejándose y saludando a la cámara.</v>
      </c>
    </row>
    <row r="17356">
      <c r="A17356" s="4" t="s">
        <v>21847</v>
      </c>
      <c r="B17356" s="4" t="s">
        <v>21848</v>
      </c>
      <c r="C17356" s="5" t="str">
        <f>IFERROR(__xludf.DUMMYFUNCTION("GOOGLETRANSLATE(B17356,""en"",""es-ES"")"),"Un levantador de pesas femenino está intentando levantar un conjunto de pesas.")</f>
        <v>Un levantador de pesas femenino está intentando levantar un conjunto de pesas.</v>
      </c>
    </row>
    <row r="17357">
      <c r="A17357" s="4" t="s">
        <v>21847</v>
      </c>
      <c r="B17357" s="4" t="s">
        <v>21849</v>
      </c>
      <c r="C17357" s="5" t="str">
        <f>IFERROR(__xludf.DUMMYFUNCTION("GOOGLETRANSLATE(B17357,""en"",""es-ES"")"),"Ella levanta las rodillas lentamente.")</f>
        <v>Ella levanta las rodillas lentamente.</v>
      </c>
    </row>
    <row r="17358">
      <c r="A17358" s="4" t="s">
        <v>21847</v>
      </c>
      <c r="B17358" s="4" t="s">
        <v>21850</v>
      </c>
      <c r="C17358" s="5" t="str">
        <f>IFERROR(__xludf.DUMMYFUNCTION("GOOGLETRANSLATE(B17358,""en"",""es-ES"")"),"Ella levanta la barra a su pecho, deteniendo.")</f>
        <v>Ella levanta la barra a su pecho, deteniendo.</v>
      </c>
    </row>
    <row r="17359">
      <c r="A17359" s="4" t="s">
        <v>21847</v>
      </c>
      <c r="B17359" s="4" t="s">
        <v>21851</v>
      </c>
      <c r="C17359" s="5" t="str">
        <f>IFERROR(__xludf.DUMMYFUNCTION("GOOGLETRANSLATE(B17359,""en"",""es-ES"")"),"Luego lo levanta sobre su cabeza antes de agacharse debajo de ella.")</f>
        <v>Luego lo levanta sobre su cabeza antes de agacharse debajo de ella.</v>
      </c>
    </row>
    <row r="17360">
      <c r="A17360" s="4" t="s">
        <v>21852</v>
      </c>
      <c r="B17360" s="4" t="s">
        <v>21853</v>
      </c>
      <c r="C17360" s="5" t="str">
        <f>IFERROR(__xludf.DUMMYFUNCTION("GOOGLETRANSLATE(B17360,""en"",""es-ES"")"),"Dos personas están de pie cara a cara bajo un foco de atención.")</f>
        <v>Dos personas están de pie cara a cara bajo un foco de atención.</v>
      </c>
    </row>
    <row r="17361">
      <c r="A17361" s="4" t="s">
        <v>21852</v>
      </c>
      <c r="B17361" s="4" t="s">
        <v>21854</v>
      </c>
      <c r="C17361" s="5" t="str">
        <f>IFERROR(__xludf.DUMMYFUNCTION("GOOGLETRANSLATE(B17361,""en"",""es-ES"")"),"El hombre con un traje blanco y negro simula una bofetada a la mujer que lleva un vestido a la derecha.")</f>
        <v>El hombre con un traje blanco y negro simula una bofetada a la mujer que lleva un vestido a la derecha.</v>
      </c>
    </row>
    <row r="17362">
      <c r="A17362" s="4" t="s">
        <v>21852</v>
      </c>
      <c r="B17362" s="4" t="s">
        <v>21855</v>
      </c>
      <c r="C17362" s="5" t="str">
        <f>IFERROR(__xludf.DUMMYFUNCTION("GOOGLETRANSLATE(B17362,""en"",""es-ES"")"),"Un hombre que lleva una camiseta sin mangas negra se encuentra inmediatamente en el centro de atención para pararse entre los dos y todos comienzan a bailar mientras la habitación está iluminada para mostrar una gran área de baile con personas en la audie"&amp;"ncia mirándolos.")</f>
        <v>Un hombre que lleva una camiseta sin mangas negra se encuentra inmediatamente en el centro de atención para pararse entre los dos y todos comienzan a bailar mientras la habitación está iluminada para mostrar una gran área de baile con personas en la audiencia mirándolos.</v>
      </c>
    </row>
    <row r="17363">
      <c r="A17363" s="4" t="s">
        <v>21852</v>
      </c>
      <c r="B17363" s="4" t="s">
        <v>21856</v>
      </c>
      <c r="C17363" s="5" t="str">
        <f>IFERROR(__xludf.DUMMYFUNCTION("GOOGLETRANSLATE(B17363,""en"",""es-ES"")"),"Los tres continúan bailando hasta que el hombre de la camiseta sin mangas negra recoge a la mujer y la arroja al suelo y sale de la pista de baile.")</f>
        <v>Los tres continúan bailando hasta que el hombre de la camiseta sin mangas negra recoge a la mujer y la arroja al suelo y sale de la pista de baile.</v>
      </c>
    </row>
    <row r="17364">
      <c r="A17364" s="4" t="s">
        <v>21852</v>
      </c>
      <c r="B17364" s="4" t="s">
        <v>21857</v>
      </c>
      <c r="C17364" s="5" t="str">
        <f>IFERROR(__xludf.DUMMYFUNCTION("GOOGLETRANSLATE(B17364,""en"",""es-ES"")"),"El hombre del traje y la mujer continúan bailando sola.")</f>
        <v>El hombre del traje y la mujer continúan bailando sola.</v>
      </c>
    </row>
    <row r="17365">
      <c r="A17365" s="4" t="s">
        <v>21852</v>
      </c>
      <c r="B17365" s="4" t="s">
        <v>21858</v>
      </c>
      <c r="C17365" s="5" t="str">
        <f>IFERROR(__xludf.DUMMYFUNCTION("GOOGLETRANSLATE(B17365,""en"",""es-ES"")"),"El hombre en la camiseta sin mangas regresa a la pista de baile e intenta golpear al hombre con el traje, pero el hombre en el traje esquiva el golpe y empuja al hombre en la camiseta de la pista de baile.")</f>
        <v>El hombre en la camiseta sin mangas regresa a la pista de baile e intenta golpear al hombre con el traje, pero el hombre en el traje esquiva el golpe y empuja al hombre en la camiseta de la pista de baile.</v>
      </c>
    </row>
    <row r="17366">
      <c r="A17366" s="4" t="s">
        <v>21852</v>
      </c>
      <c r="B17366" s="4" t="s">
        <v>21859</v>
      </c>
      <c r="C17366" s="5" t="str">
        <f>IFERROR(__xludf.DUMMYFUNCTION("GOOGLETRANSLATE(B17366,""en"",""es-ES"")"),"El hombre del traje y la mujer del vestido continúan bailando sola y terminan dramáticamente en una pose con ella en el suelo y el hombre flotando sobre ella.")</f>
        <v>El hombre del traje y la mujer del vestido continúan bailando sola y terminan dramáticamente en una pose con ella en el suelo y el hombre flotando sobre ella.</v>
      </c>
    </row>
    <row r="17367">
      <c r="A17367" s="4" t="s">
        <v>21860</v>
      </c>
      <c r="B17367" s="4" t="s">
        <v>21861</v>
      </c>
      <c r="C17367" s="5" t="str">
        <f>IFERROR(__xludf.DUMMYFUNCTION("GOOGLETRANSLATE(B17367,""en"",""es-ES"")"),"Una niña atlética rubia con una cara seria tiene sus manos atascadas y está parada junto a un rayo de equilibrio de madera, vestido con un traje decorado en blanco y negro, y el banner en la parte inferior de la pantalla, su nombre es Shawn Johnson, prime"&amp;"r lugar Después de la segunda rotación.")</f>
        <v>Una niña atlética rubia con una cara seria tiene sus manos atascadas y está parada junto a un rayo de equilibrio de madera, vestido con un traje decorado en blanco y negro, y el banner en la parte inferior de la pantalla, su nombre es Shawn Johnson, primer lugar Después de la segunda rotación.</v>
      </c>
    </row>
    <row r="17368">
      <c r="A17368" s="4" t="s">
        <v>21860</v>
      </c>
      <c r="B17368" s="4" t="s">
        <v>21862</v>
      </c>
      <c r="C17368" s="5" t="str">
        <f>IFERROR(__xludf.DUMMYFUNCTION("GOOGLETRANSLATE(B17368,""en"",""es-ES"")"),"La niña se frota las manos varias veces, la audiencia aplaude, sonríe y levanta sus dos brazos en el aire, sonríe, gira hacia el caballo y corre y salta hasta que aterriza en la viga de equilibrio.")</f>
        <v>La niña se frota las manos varias veces, la audiencia aplaude, sonríe y levanta sus dos brazos en el aire, sonríe, gira hacia el caballo y corre y salta hasta que aterriza en la viga de equilibrio.</v>
      </c>
    </row>
    <row r="17369">
      <c r="A17369" s="4" t="s">
        <v>21860</v>
      </c>
      <c r="B17369" s="4" t="s">
        <v>21863</v>
      </c>
      <c r="C17369" s="5" t="str">
        <f>IFERROR(__xludf.DUMMYFUNCTION("GOOGLETRANSLATE(B17369,""en"",""es-ES"")"),"La niña inmediatamente comienza su rutina e incluye muchas flips, caminar, girar, movimientos de manos, giros y etc.")</f>
        <v>La niña inmediatamente comienza su rutina e incluye muchas flips, caminar, girar, movimientos de manos, giros y etc.</v>
      </c>
    </row>
    <row r="17370">
      <c r="A17370" s="4" t="s">
        <v>21860</v>
      </c>
      <c r="B17370" s="4" t="s">
        <v>21864</v>
      </c>
      <c r="C17370" s="5" t="str">
        <f>IFERROR(__xludf.DUMMYFUNCTION("GOOGLETRANSLATE(B17370,""en"",""es-ES"")"),"La niña va al extremo más alejado de la viga de equilibrio, mira el otro extremo, se voltea rápidamente en la viga de equilibrio y luego sale de la viga de equilibrio varias veces, aterriza sobre sus pies, levanta sus dos brazos en el aire y La multitud a"&amp;"plaude.")</f>
        <v>La niña va al extremo más alejado de la viga de equilibrio, mira el otro extremo, se voltea rápidamente en la viga de equilibrio y luego sale de la viga de equilibrio varias veces, aterriza sobre sus pies, levanta sus dos brazos en el aire y La multitud aplaude.</v>
      </c>
    </row>
    <row r="17371">
      <c r="A17371" s="4" t="s">
        <v>21865</v>
      </c>
      <c r="B17371" s="4" t="s">
        <v>21866</v>
      </c>
      <c r="C17371" s="5" t="str">
        <f>IFERROR(__xludf.DUMMYFUNCTION("GOOGLETRANSLATE(B17371,""en"",""es-ES"")"),"Un entrenador tiene un buey en una plaza de la ciudad.")</f>
        <v>Un entrenador tiene un buey en una plaza de la ciudad.</v>
      </c>
    </row>
    <row r="17372">
      <c r="A17372" s="4" t="s">
        <v>21865</v>
      </c>
      <c r="B17372" s="4" t="s">
        <v>21867</v>
      </c>
      <c r="C17372" s="5" t="str">
        <f>IFERROR(__xludf.DUMMYFUNCTION("GOOGLETRANSLATE(B17372,""en"",""es-ES"")"),"Dos duelo de buey con cuernos en un corral mientras los entrenadores los guían.")</f>
        <v>Dos duelo de buey con cuernos en un corral mientras los entrenadores los guían.</v>
      </c>
    </row>
    <row r="17373">
      <c r="A17373" s="4" t="s">
        <v>21865</v>
      </c>
      <c r="B17373" s="4" t="s">
        <v>21868</v>
      </c>
      <c r="C17373" s="5" t="str">
        <f>IFERROR(__xludf.DUMMYFUNCTION("GOOGLETRANSLATE(B17373,""en"",""es-ES"")"),"La carga de buey en los entrenadores se alineó contra la pared.")</f>
        <v>La carga de buey en los entrenadores se alineó contra la pared.</v>
      </c>
    </row>
    <row r="17374">
      <c r="A17374" s="4" t="s">
        <v>21865</v>
      </c>
      <c r="B17374" s="4" t="s">
        <v>21869</v>
      </c>
      <c r="C17374" s="5" t="str">
        <f>IFERROR(__xludf.DUMMYFUNCTION("GOOGLETRANSLATE(B17374,""en"",""es-ES"")"),"Los espectadores miran y caminan en las gradas durante el evento.")</f>
        <v>Los espectadores miran y caminan en las gradas durante el evento.</v>
      </c>
    </row>
    <row r="17375">
      <c r="A17375" s="4" t="s">
        <v>21870</v>
      </c>
      <c r="B17375" s="4" t="s">
        <v>21871</v>
      </c>
      <c r="C17375" s="5" t="str">
        <f>IFERROR(__xludf.DUMMYFUNCTION("GOOGLETRANSLATE(B17375,""en"",""es-ES"")"),"La gente está haciendo ejercicio en una habitación pisando taburetes.")</f>
        <v>La gente está haciendo ejercicio en una habitación pisando taburetes.</v>
      </c>
    </row>
    <row r="17376">
      <c r="A17376" s="4" t="s">
        <v>21870</v>
      </c>
      <c r="B17376" s="4" t="s">
        <v>21872</v>
      </c>
      <c r="C17376" s="5" t="str">
        <f>IFERROR(__xludf.DUMMYFUNCTION("GOOGLETRANSLATE(B17376,""en"",""es-ES"")"),"Un hombre con una camisa blanca lidera al grupo.")</f>
        <v>Un hombre con una camisa blanca lidera al grupo.</v>
      </c>
    </row>
    <row r="17377">
      <c r="A17377" s="4" t="s">
        <v>21870</v>
      </c>
      <c r="B17377" s="4" t="s">
        <v>21873</v>
      </c>
      <c r="C17377" s="5" t="str">
        <f>IFERROR(__xludf.DUMMYFUNCTION("GOOGLETRANSLATE(B17377,""en"",""es-ES"")"),"Luego se aleja detrás de la cámara.")</f>
        <v>Luego se aleja detrás de la cámara.</v>
      </c>
    </row>
    <row r="17378">
      <c r="A17378" s="4" t="s">
        <v>21874</v>
      </c>
      <c r="B17378" s="4" t="s">
        <v>21875</v>
      </c>
      <c r="C17378" s="5" t="str">
        <f>IFERROR(__xludf.DUMMYFUNCTION("GOOGLETRANSLATE(B17378,""en"",""es-ES"")"),"Se muestra una serie de atletas que participan en una competencia de lanzamiento de discos ante una multitud.")</f>
        <v>Se muestra una serie de atletas que participan en una competencia de lanzamiento de discos ante una multitud.</v>
      </c>
    </row>
    <row r="17379">
      <c r="A17379" s="4" t="s">
        <v>21874</v>
      </c>
      <c r="B17379" s="4" t="s">
        <v>21876</v>
      </c>
      <c r="C17379" s="5" t="str">
        <f>IFERROR(__xludf.DUMMYFUNCTION("GOOGLETRANSLATE(B17379,""en"",""es-ES"")"),"La multitud aplaude a los atletas como un hombre entrega premios a los atletas.")</f>
        <v>La multitud aplaude a los atletas como un hombre entrega premios a los atletas.</v>
      </c>
    </row>
    <row r="17380">
      <c r="A17380" s="4" t="s">
        <v>21874</v>
      </c>
      <c r="B17380" s="4" t="s">
        <v>21877</v>
      </c>
      <c r="C17380" s="5" t="str">
        <f>IFERROR(__xludf.DUMMYFUNCTION("GOOGLETRANSLATE(B17380,""en"",""es-ES"")"),"Los periodistas rodean a los atletas con cámaras.")</f>
        <v>Los periodistas rodean a los atletas con cámaras.</v>
      </c>
    </row>
    <row r="17381">
      <c r="A17381" s="4" t="s">
        <v>21874</v>
      </c>
      <c r="B17381" s="4" t="s">
        <v>21878</v>
      </c>
      <c r="C17381" s="5" t="str">
        <f>IFERROR(__xludf.DUMMYFUNCTION("GOOGLETRANSLATE(B17381,""en"",""es-ES"")"),"Se muestran más actuaciones de lanzamiento de discos.")</f>
        <v>Se muestran más actuaciones de lanzamiento de discos.</v>
      </c>
    </row>
    <row r="17382">
      <c r="A17382" s="4" t="s">
        <v>21874</v>
      </c>
      <c r="B17382" s="4" t="s">
        <v>21879</v>
      </c>
      <c r="C17382" s="5" t="str">
        <f>IFERROR(__xludf.DUMMYFUNCTION("GOOGLETRANSLATE(B17382,""en"",""es-ES"")"),"Un equipo de cámara se centra en un atleta sentado sudoroso.")</f>
        <v>Un equipo de cámara se centra en un atleta sentado sudoroso.</v>
      </c>
    </row>
    <row r="17383">
      <c r="A17383" s="4" t="s">
        <v>21874</v>
      </c>
      <c r="B17383" s="4" t="s">
        <v>21880</v>
      </c>
      <c r="C17383" s="5" t="str">
        <f>IFERROR(__xludf.DUMMYFUNCTION("GOOGLETRANSLATE(B17383,""en"",""es-ES"")"),"Se muestra otra actuación de lanzamiento de disco.")</f>
        <v>Se muestra otra actuación de lanzamiento de disco.</v>
      </c>
    </row>
    <row r="17384">
      <c r="A17384" s="4" t="s">
        <v>21874</v>
      </c>
      <c r="B17384" s="4" t="s">
        <v>21881</v>
      </c>
      <c r="C17384" s="5" t="str">
        <f>IFERROR(__xludf.DUMMYFUNCTION("GOOGLETRANSLATE(B17384,""en"",""es-ES"")"),"Tres personas se sientan hablando frente a una audiencia.")</f>
        <v>Tres personas se sientan hablando frente a una audiencia.</v>
      </c>
    </row>
    <row r="17385">
      <c r="A17385" s="4" t="s">
        <v>21882</v>
      </c>
      <c r="B17385" s="4" t="s">
        <v>21883</v>
      </c>
      <c r="C17385" s="5" t="str">
        <f>IFERROR(__xludf.DUMMYFUNCTION("GOOGLETRANSLATE(B17385,""en"",""es-ES"")"),"Un hombre está hablando de hacer un plato de pasta picante.")</f>
        <v>Un hombre está hablando de hacer un plato de pasta picante.</v>
      </c>
    </row>
    <row r="17386">
      <c r="A17386" s="4" t="s">
        <v>21882</v>
      </c>
      <c r="B17386" s="4" t="s">
        <v>21884</v>
      </c>
      <c r="C17386" s="5" t="str">
        <f>IFERROR(__xludf.DUMMYFUNCTION("GOOGLETRANSLATE(B17386,""en"",""es-ES"")"),"El hombre toma salchichas y lo cocina en una sartén.")</f>
        <v>El hombre toma salchichas y lo cocina en una sartén.</v>
      </c>
    </row>
    <row r="17387">
      <c r="A17387" s="4" t="s">
        <v>21882</v>
      </c>
      <c r="B17387" s="4" t="s">
        <v>21885</v>
      </c>
      <c r="C17387" s="5" t="str">
        <f>IFERROR(__xludf.DUMMYFUNCTION("GOOGLETRANSLATE(B17387,""en"",""es-ES"")"),"Se agrega perejil a la salchicha.")</f>
        <v>Se agrega perejil a la salchicha.</v>
      </c>
    </row>
    <row r="17388">
      <c r="A17388" s="4" t="s">
        <v>21882</v>
      </c>
      <c r="B17388" s="4" t="s">
        <v>21886</v>
      </c>
      <c r="C17388" s="5" t="str">
        <f>IFERROR(__xludf.DUMMYFUNCTION("GOOGLETRANSLATE(B17388,""en"",""es-ES"")"),"El vino blanco se agrega a la mezcla.")</f>
        <v>El vino blanco se agrega a la mezcla.</v>
      </c>
    </row>
    <row r="17389">
      <c r="A17389" s="4" t="s">
        <v>21882</v>
      </c>
      <c r="B17389" s="4" t="s">
        <v>21887</v>
      </c>
      <c r="C17389" s="5" t="str">
        <f>IFERROR(__xludf.DUMMYFUNCTION("GOOGLETRANSLATE(B17389,""en"",""es-ES"")"),"Se agrega crema espesa a la carne junto con un frasco de salsa marinara.")</f>
        <v>Se agrega crema espesa a la carne junto con un frasco de salsa marinara.</v>
      </c>
    </row>
    <row r="17390">
      <c r="A17390" s="4" t="s">
        <v>21882</v>
      </c>
      <c r="B17390" s="4" t="s">
        <v>21888</v>
      </c>
      <c r="C17390" s="5" t="str">
        <f>IFERROR(__xludf.DUMMYFUNCTION("GOOGLETRANSLATE(B17390,""en"",""es-ES"")"),"El agua se muestra hirviendo en la olla.")</f>
        <v>El agua se muestra hirviendo en la olla.</v>
      </c>
    </row>
    <row r="17391">
      <c r="A17391" s="4" t="s">
        <v>21882</v>
      </c>
      <c r="B17391" s="4" t="s">
        <v>21889</v>
      </c>
      <c r="C17391" s="5" t="str">
        <f>IFERROR(__xludf.DUMMYFUNCTION("GOOGLETRANSLATE(B17391,""en"",""es-ES"")"),"La pasta y la salsa se mezclan en la olla.")</f>
        <v>La pasta y la salsa se mezclan en la olla.</v>
      </c>
    </row>
    <row r="17392">
      <c r="A17392" s="4" t="s">
        <v>21882</v>
      </c>
      <c r="B17392" s="4" t="s">
        <v>21890</v>
      </c>
      <c r="C17392" s="5" t="str">
        <f>IFERROR(__xludf.DUMMYFUNCTION("GOOGLETRANSLATE(B17392,""en"",""es-ES"")"),"La pasta final se agrega a un tazón y se agrega queso parmesano.")</f>
        <v>La pasta final se agrega a un tazón y se agrega queso parmesano.</v>
      </c>
    </row>
    <row r="17393">
      <c r="A17393" s="4" t="s">
        <v>21891</v>
      </c>
      <c r="B17393" s="4" t="s">
        <v>21892</v>
      </c>
      <c r="C17393" s="5" t="str">
        <f>IFERROR(__xludf.DUMMYFUNCTION("GOOGLETRANSLATE(B17393,""en"",""es-ES"")"),"Un gran grupo de personas está sentada en caballos cerca de áreas cerradas.")</f>
        <v>Un gran grupo de personas está sentada en caballos cerca de áreas cerradas.</v>
      </c>
    </row>
    <row r="17394">
      <c r="A17394" s="4" t="s">
        <v>21891</v>
      </c>
      <c r="B17394" s="4" t="s">
        <v>21893</v>
      </c>
      <c r="C17394" s="5" t="str">
        <f>IFERROR(__xludf.DUMMYFUNCTION("GOOGLETRANSLATE(B17394,""en"",""es-ES"")"),"La gente mira a su alrededor con asombro mientras una equitación de un caballo atrapa una pantorrilla casi al instante.")</f>
        <v>La gente mira a su alrededor con asombro mientras una equitación de un caballo atrapa una pantorrilla casi al instante.</v>
      </c>
    </row>
    <row r="17395">
      <c r="A17395" s="4" t="s">
        <v>21891</v>
      </c>
      <c r="B17395" s="4" t="s">
        <v>21894</v>
      </c>
      <c r="C17395" s="5" t="str">
        <f>IFERROR(__xludf.DUMMYFUNCTION("GOOGLETRANSLATE(B17395,""en"",""es-ES"")"),"El hombre cuerdas del ternero y la multitud lo anima mientras el locutor le da su tiempo.")</f>
        <v>El hombre cuerdas del ternero y la multitud lo anima mientras el locutor le da su tiempo.</v>
      </c>
    </row>
    <row r="17396">
      <c r="A17396" s="4" t="s">
        <v>21895</v>
      </c>
      <c r="B17396" s="4" t="s">
        <v>21896</v>
      </c>
      <c r="C17396" s="5" t="str">
        <f>IFERROR(__xludf.DUMMYFUNCTION("GOOGLETRANSLATE(B17396,""en"",""es-ES"")"),"Se muestran imágenes de una ciudad cubierta y nieve.")</f>
        <v>Se muestran imágenes de una ciudad cubierta y nieve.</v>
      </c>
    </row>
    <row r="17397">
      <c r="A17397" s="4" t="s">
        <v>21895</v>
      </c>
      <c r="B17397" s="4" t="s">
        <v>21897</v>
      </c>
      <c r="C17397" s="5" t="str">
        <f>IFERROR(__xludf.DUMMYFUNCTION("GOOGLETRANSLATE(B17397,""en"",""es-ES"")"),"Una persona está sacando el hielo de su auto.")</f>
        <v>Una persona está sacando el hielo de su auto.</v>
      </c>
    </row>
    <row r="17398">
      <c r="A17398" s="4" t="s">
        <v>21898</v>
      </c>
      <c r="B17398" s="4" t="s">
        <v>21899</v>
      </c>
      <c r="C17398" s="5" t="str">
        <f>IFERROR(__xludf.DUMMYFUNCTION("GOOGLETRANSLATE(B17398,""en"",""es-ES"")"),"Un gato está acostado en la espalda en el regazo de alguien.")</f>
        <v>Un gato está acostado en la espalda en el regazo de alguien.</v>
      </c>
    </row>
    <row r="17399">
      <c r="A17399" s="4" t="s">
        <v>21898</v>
      </c>
      <c r="B17399" s="4" t="s">
        <v>21900</v>
      </c>
      <c r="C17399" s="5" t="str">
        <f>IFERROR(__xludf.DUMMYFUNCTION("GOOGLETRANSLATE(B17399,""en"",""es-ES"")"),"La persona comienza a recortar las uñas de los gatos con una corta de clavos.")</f>
        <v>La persona comienza a recortar las uñas de los gatos con una corta de clavos.</v>
      </c>
    </row>
    <row r="17400">
      <c r="A17400" s="4" t="s">
        <v>21898</v>
      </c>
      <c r="B17400" s="4" t="s">
        <v>21901</v>
      </c>
      <c r="C17400" s="5" t="str">
        <f>IFERROR(__xludf.DUMMYFUNCTION("GOOGLETRANSLATE(B17400,""en"",""es-ES"")"),"Terminan y acarician el pie del gato.")</f>
        <v>Terminan y acarician el pie del gato.</v>
      </c>
    </row>
    <row r="17401">
      <c r="A17401" s="4" t="s">
        <v>21902</v>
      </c>
      <c r="B17401" s="4" t="s">
        <v>21903</v>
      </c>
      <c r="C17401" s="5" t="str">
        <f>IFERROR(__xludf.DUMMYFUNCTION("GOOGLETRANSLATE(B17401,""en"",""es-ES"")"),"Una hembra está afuera en un sujetador deportivo y un bikini en la preparación de la preparación.")</f>
        <v>Una hembra está afuera en un sujetador deportivo y un bikini en la preparación de la preparación.</v>
      </c>
    </row>
    <row r="17402">
      <c r="A17402" s="4" t="s">
        <v>21902</v>
      </c>
      <c r="B17402" s="4" t="s">
        <v>21904</v>
      </c>
      <c r="C17402" s="5" t="str">
        <f>IFERROR(__xludf.DUMMYFUNCTION("GOOGLETRANSLATE(B17402,""en"",""es-ES"")"),"Ella se lleva el pelo hacia abajo y lo vuelve a poner en una cola de caballo.")</f>
        <v>Ella se lleva el pelo hacia abajo y lo vuelve a poner en una cola de caballo.</v>
      </c>
    </row>
    <row r="17403">
      <c r="A17403" s="4" t="s">
        <v>21902</v>
      </c>
      <c r="B17403" s="4" t="s">
        <v>21905</v>
      </c>
      <c r="C17403" s="5" t="str">
        <f>IFERROR(__xludf.DUMMYFUNCTION("GOOGLETRANSLATE(B17403,""en"",""es-ES"")"),"Ella le pegará el trasero y se queda allí preparándose para comenzar su carrera.")</f>
        <v>Ella le pegará el trasero y se queda allí preparándose para comenzar su carrera.</v>
      </c>
    </row>
    <row r="17404">
      <c r="A17404" s="4" t="s">
        <v>21902</v>
      </c>
      <c r="B17404" s="4" t="s">
        <v>21906</v>
      </c>
      <c r="C17404" s="5" t="str">
        <f>IFERROR(__xludf.DUMMYFUNCTION("GOOGLETRANSLATE(B17404,""en"",""es-ES"")"),"Ella comienza su carrera y salta sobre el curso y aterriza.")</f>
        <v>Ella comienza su carrera y salta sobre el curso y aterriza.</v>
      </c>
    </row>
    <row r="17405">
      <c r="A17405" s="4" t="s">
        <v>21907</v>
      </c>
      <c r="B17405" s="4" t="s">
        <v>21908</v>
      </c>
      <c r="C17405" s="5" t="str">
        <f>IFERROR(__xludf.DUMMYFUNCTION("GOOGLETRANSLATE(B17405,""en"",""es-ES"")"),"Hay dos chicas jóvenes que sostienen violines en sus manos, de pie con un puesto de música y un libro con notas de música detrás de ellas.")</f>
        <v>Hay dos chicas jóvenes que sostienen violines en sus manos, de pie con un puesto de música y un libro con notas de música detrás de ellas.</v>
      </c>
    </row>
    <row r="17406">
      <c r="A17406" s="4" t="s">
        <v>21907</v>
      </c>
      <c r="B17406" s="4" t="s">
        <v>21909</v>
      </c>
      <c r="C17406" s="5" t="str">
        <f>IFERROR(__xludf.DUMMYFUNCTION("GOOGLETRANSLATE(B17406,""en"",""es-ES"")"),"La niña mayor está ayudando y enseñando a su hermana menor a sostener adecuadamente el violín cambiando la posición de la cabeza.")</f>
        <v>La niña mayor está ayudando y enseñando a su hermana menor a sostener adecuadamente el violín cambiando la posición de la cabeza.</v>
      </c>
    </row>
    <row r="17407">
      <c r="A17407" s="4" t="s">
        <v>21907</v>
      </c>
      <c r="B17407" s="4" t="s">
        <v>21910</v>
      </c>
      <c r="C17407" s="5" t="str">
        <f>IFERROR(__xludf.DUMMYFUNCTION("GOOGLETRANSLATE(B17407,""en"",""es-ES"")"),"Entonces la hermana mayor la agarra del violín y ajusta las cuerdas del violín.")</f>
        <v>Entonces la hermana mayor la agarra del violín y ajusta las cuerdas del violín.</v>
      </c>
    </row>
    <row r="17408">
      <c r="A17408" s="4" t="s">
        <v>21907</v>
      </c>
      <c r="B17408" s="4" t="s">
        <v>21911</v>
      </c>
      <c r="C17408" s="5" t="str">
        <f>IFERROR(__xludf.DUMMYFUNCTION("GOOGLETRANSLATE(B17408,""en"",""es-ES"")"),"Entonces la hermana mayor comienza a tocar el violín mientras la hermana menor la mira.")</f>
        <v>Entonces la hermana mayor comienza a tocar el violín mientras la hermana menor la mira.</v>
      </c>
    </row>
    <row r="17409">
      <c r="A17409" s="4" t="s">
        <v>21907</v>
      </c>
      <c r="B17409" s="4" t="s">
        <v>21912</v>
      </c>
      <c r="C17409" s="5" t="str">
        <f>IFERROR(__xludf.DUMMYFUNCTION("GOOGLETRANSLATE(B17409,""en"",""es-ES"")"),"La niña mayor le muestra a su hermana cómo tocar el violín.")</f>
        <v>La niña mayor le muestra a su hermana cómo tocar el violín.</v>
      </c>
    </row>
    <row r="17410">
      <c r="A17410" s="4" t="s">
        <v>21907</v>
      </c>
      <c r="B17410" s="4" t="s">
        <v>21913</v>
      </c>
      <c r="C17410" s="5" t="str">
        <f>IFERROR(__xludf.DUMMYFUNCTION("GOOGLETRANSLATE(B17410,""en"",""es-ES"")"),"Luego ambos comienzan a jugar el violín juntos.")</f>
        <v>Luego ambos comienzan a jugar el violín juntos.</v>
      </c>
    </row>
    <row r="17411">
      <c r="A17411" s="4" t="s">
        <v>21914</v>
      </c>
      <c r="B17411" s="4" t="s">
        <v>21915</v>
      </c>
      <c r="C17411" s="5" t="str">
        <f>IFERROR(__xludf.DUMMYFUNCTION("GOOGLETRANSLATE(B17411,""en"",""es-ES"")"),"Un hombre se muestra en un escenario, tocando la batería.")</f>
        <v>Un hombre se muestra en un escenario, tocando la batería.</v>
      </c>
    </row>
    <row r="17412">
      <c r="A17412" s="4" t="s">
        <v>21914</v>
      </c>
      <c r="B17412" s="4" t="s">
        <v>21916</v>
      </c>
      <c r="C17412" s="5" t="str">
        <f>IFERROR(__xludf.DUMMYFUNCTION("GOOGLETRANSLATE(B17412,""en"",""es-ES"")"),"Golpea los platillos y la batería muy rápido.")</f>
        <v>Golpea los platillos y la batería muy rápido.</v>
      </c>
    </row>
    <row r="17413">
      <c r="A17413" s="4" t="s">
        <v>21914</v>
      </c>
      <c r="B17413" s="4" t="s">
        <v>21917</v>
      </c>
      <c r="C17413" s="5" t="str">
        <f>IFERROR(__xludf.DUMMYFUNCTION("GOOGLETRANSLATE(B17413,""en"",""es-ES"")"),"Él continúa, haciendo caras a medida que avanza.")</f>
        <v>Él continúa, haciendo caras a medida que avanza.</v>
      </c>
    </row>
    <row r="17414">
      <c r="A17414" s="4" t="s">
        <v>21918</v>
      </c>
      <c r="B17414" s="4" t="s">
        <v>21919</v>
      </c>
      <c r="C17414" s="5" t="str">
        <f>IFERROR(__xludf.DUMMYFUNCTION("GOOGLETRANSLATE(B17414,""en"",""es-ES"")"),"Un gran grupo de personas montando a caballo caminan entre sí en un gran campo.")</f>
        <v>Un gran grupo de personas montando a caballo caminan entre sí en un gran campo.</v>
      </c>
    </row>
    <row r="17415">
      <c r="A17415" s="4" t="s">
        <v>21918</v>
      </c>
      <c r="B17415" s="4" t="s">
        <v>21920</v>
      </c>
      <c r="C17415" s="5" t="str">
        <f>IFERROR(__xludf.DUMMYFUNCTION("GOOGLETRANSLATE(B17415,""en"",""es-ES"")"),"Uno de ellos lanza una pelota al campo y la gente comienza a jugar un juego en sus caballos.")</f>
        <v>Uno de ellos lanza una pelota al campo y la gente comienza a jugar un juego en sus caballos.</v>
      </c>
    </row>
    <row r="17416">
      <c r="A17416" s="4" t="s">
        <v>21921</v>
      </c>
      <c r="B17416" s="4" t="s">
        <v>21922</v>
      </c>
      <c r="C17416" s="5" t="str">
        <f>IFERROR(__xludf.DUMMYFUNCTION("GOOGLETRANSLATE(B17416,""en"",""es-ES"")"),"Hay un hombre vestido con todo el croquet blanco en un campo abierto.")</f>
        <v>Hay un hombre vestido con todo el croquet blanco en un campo abierto.</v>
      </c>
    </row>
    <row r="17417">
      <c r="A17417" s="4" t="s">
        <v>21921</v>
      </c>
      <c r="B17417" s="4" t="s">
        <v>21923</v>
      </c>
      <c r="C17417" s="5" t="str">
        <f>IFERROR(__xludf.DUMMYFUNCTION("GOOGLETRANSLATE(B17417,""en"",""es-ES"")"),"Hay varias sillas dispuestas en el campo.")</f>
        <v>Hay varias sillas dispuestas en el campo.</v>
      </c>
    </row>
    <row r="17418">
      <c r="A17418" s="4" t="s">
        <v>21921</v>
      </c>
      <c r="B17418" s="4" t="s">
        <v>21924</v>
      </c>
      <c r="C17418" s="5" t="str">
        <f>IFERROR(__xludf.DUMMYFUNCTION("GOOGLETRANSLATE(B17418,""en"",""es-ES"")"),"Lleva el mazo en su mano y golpea la pelota de croquet al aro.")</f>
        <v>Lleva el mazo en su mano y golpea la pelota de croquet al aro.</v>
      </c>
    </row>
    <row r="17419">
      <c r="A17419" s="4" t="s">
        <v>21921</v>
      </c>
      <c r="B17419" s="4" t="s">
        <v>21925</v>
      </c>
      <c r="C17419" s="5" t="str">
        <f>IFERROR(__xludf.DUMMYFUNCTION("GOOGLETRANSLATE(B17419,""en"",""es-ES"")"),"Golpea la pelota y aterriza directamente en el aro.")</f>
        <v>Golpea la pelota y aterriza directamente en el aro.</v>
      </c>
    </row>
    <row r="17420">
      <c r="A17420" s="4" t="s">
        <v>21926</v>
      </c>
      <c r="B17420" s="4" t="s">
        <v>21927</v>
      </c>
      <c r="C17420" s="5" t="str">
        <f>IFERROR(__xludf.DUMMYFUNCTION("GOOGLETRANSLATE(B17420,""en"",""es-ES"")"),"Un hombre recoge una pelota con su raqueta y se la balancea a su oponente sobre la red.")</f>
        <v>Un hombre recoge una pelota con su raqueta y se la balancea a su oponente sobre la red.</v>
      </c>
    </row>
    <row r="17421">
      <c r="A17421" s="4" t="s">
        <v>21926</v>
      </c>
      <c r="B17421" s="4" t="s">
        <v>21928</v>
      </c>
      <c r="C17421" s="5" t="str">
        <f>IFERROR(__xludf.DUMMYFUNCTION("GOOGLETRANSLATE(B17421,""en"",""es-ES"")"),"El oponente sirve la pelota.")</f>
        <v>El oponente sirve la pelota.</v>
      </c>
    </row>
    <row r="17422">
      <c r="A17422" s="4" t="s">
        <v>21926</v>
      </c>
      <c r="B17422" s="4" t="s">
        <v>21929</v>
      </c>
      <c r="C17422" s="5" t="str">
        <f>IFERROR(__xludf.DUMMYFUNCTION("GOOGLETRANSLATE(B17422,""en"",""es-ES"")"),"Los equipos participan en un rápido golpe de la pelota.")</f>
        <v>Los equipos participan en un rápido golpe de la pelota.</v>
      </c>
    </row>
    <row r="17423">
      <c r="A17423" s="4" t="s">
        <v>21926</v>
      </c>
      <c r="B17423" s="4" t="s">
        <v>21930</v>
      </c>
      <c r="C17423" s="5" t="str">
        <f>IFERROR(__xludf.DUMMYFUNCTION("GOOGLETRANSLATE(B17423,""en"",""es-ES"")"),"El juego se detiene por un segundo y se reanuda con uno de los equipos que sirven el balón.")</f>
        <v>El juego se detiene por un segundo y se reanuda con uno de los equipos que sirven el balón.</v>
      </c>
    </row>
    <row r="17424">
      <c r="A17424" s="4" t="s">
        <v>21926</v>
      </c>
      <c r="B17424" s="4" t="s">
        <v>21931</v>
      </c>
      <c r="C17424" s="5" t="str">
        <f>IFERROR(__xludf.DUMMYFUNCTION("GOOGLETRANSLATE(B17424,""en"",""es-ES"")"),"Se luchan entre sí en la cancha, enviando el balón de un lado a otro por la red.")</f>
        <v>Se luchan entre sí en la cancha, enviando el balón de un lado a otro por la red.</v>
      </c>
    </row>
    <row r="17425">
      <c r="A17425" s="4" t="s">
        <v>21926</v>
      </c>
      <c r="B17425" s="4" t="s">
        <v>21932</v>
      </c>
      <c r="C17425" s="5" t="str">
        <f>IFERROR(__xludf.DUMMYFUNCTION("GOOGLETRANSLATE(B17425,""en"",""es-ES"")"),"La pelota sale de los límites.")</f>
        <v>La pelota sale de los límites.</v>
      </c>
    </row>
    <row r="17426">
      <c r="A17426" s="4" t="s">
        <v>21926</v>
      </c>
      <c r="B17426" s="4" t="s">
        <v>21933</v>
      </c>
      <c r="C17426" s="5" t="str">
        <f>IFERROR(__xludf.DUMMYFUNCTION("GOOGLETRANSLATE(B17426,""en"",""es-ES"")"),"Un hombre sirve la pelota y participan en un breve de ida y vuelta de la pelota antes de que la pelota caiga al suelo.")</f>
        <v>Un hombre sirve la pelota y participan en un breve de ida y vuelta de la pelota antes de que la pelota caiga al suelo.</v>
      </c>
    </row>
    <row r="17427">
      <c r="A17427" s="4" t="s">
        <v>21934</v>
      </c>
      <c r="B17427" s="4" t="s">
        <v>7239</v>
      </c>
      <c r="C17427" s="5" t="str">
        <f>IFERROR(__xludf.DUMMYFUNCTION("GOOGLETRANSLATE(B17427,""en"",""es-ES"")"),"Vemos una pantalla de título negro.")</f>
        <v>Vemos una pantalla de título negro.</v>
      </c>
    </row>
    <row r="17428">
      <c r="A17428" s="4" t="s">
        <v>21934</v>
      </c>
      <c r="B17428" s="4" t="s">
        <v>21935</v>
      </c>
      <c r="C17428" s="5" t="str">
        <f>IFERROR(__xludf.DUMMYFUNCTION("GOOGLETRANSLATE(B17428,""en"",""es-ES"")"),"Un hombre camina hacia una pared de ladrillos con un escobillas y nos muestra una botella de Windex.")</f>
        <v>Un hombre camina hacia una pared de ladrillos con un escobillas y nos muestra una botella de Windex.</v>
      </c>
    </row>
    <row r="17429">
      <c r="A17429" s="4" t="s">
        <v>21934</v>
      </c>
      <c r="B17429" s="4" t="s">
        <v>21936</v>
      </c>
      <c r="C17429" s="5" t="str">
        <f>IFERROR(__xludf.DUMMYFUNCTION("GOOGLETRANSLATE(B17429,""en"",""es-ES"")"),"El hombre lava la ventana.")</f>
        <v>El hombre lava la ventana.</v>
      </c>
    </row>
    <row r="17430">
      <c r="A17430" s="4" t="s">
        <v>21934</v>
      </c>
      <c r="B17430" s="4" t="s">
        <v>21937</v>
      </c>
      <c r="C17430" s="5" t="str">
        <f>IFERROR(__xludf.DUMMYFUNCTION("GOOGLETRANSLATE(B17430,""en"",""es-ES"")"),"El hombre rocía Windex y se lava con Squeegee.")</f>
        <v>El hombre rocía Windex y se lava con Squeegee.</v>
      </c>
    </row>
    <row r="17431">
      <c r="A17431" s="4" t="s">
        <v>21934</v>
      </c>
      <c r="B17431" s="4" t="s">
        <v>21938</v>
      </c>
      <c r="C17431" s="5" t="str">
        <f>IFERROR(__xludf.DUMMYFUNCTION("GOOGLETRANSLATE(B17431,""en"",""es-ES"")"),"El hombre usa el soplador de hojas para secar la ventana.")</f>
        <v>El hombre usa el soplador de hojas para secar la ventana.</v>
      </c>
    </row>
    <row r="17432">
      <c r="A17432" s="4" t="s">
        <v>21934</v>
      </c>
      <c r="B17432" s="4" t="s">
        <v>21939</v>
      </c>
      <c r="C17432" s="5" t="str">
        <f>IFERROR(__xludf.DUMMYFUNCTION("GOOGLETRANSLATE(B17432,""en"",""es-ES"")"),"El hombre termina y habla sobre la ventana antes de irse.")</f>
        <v>El hombre termina y habla sobre la ventana antes de irse.</v>
      </c>
    </row>
    <row r="17433">
      <c r="A17433" s="4" t="s">
        <v>21940</v>
      </c>
      <c r="B17433" s="4" t="s">
        <v>21941</v>
      </c>
      <c r="C17433" s="5" t="str">
        <f>IFERROR(__xludf.DUMMYFUNCTION("GOOGLETRANSLATE(B17433,""en"",""es-ES"")"),"Dos niños están haciendo artes marciales mixtas frente a un televisor.")</f>
        <v>Dos niños están haciendo artes marciales mixtas frente a un televisor.</v>
      </c>
    </row>
    <row r="17434">
      <c r="A17434" s="4" t="s">
        <v>21940</v>
      </c>
      <c r="B17434" s="4" t="s">
        <v>21942</v>
      </c>
      <c r="C17434" s="5" t="str">
        <f>IFERROR(__xludf.DUMMYFUNCTION("GOOGLETRANSLATE(B17434,""en"",""es-ES"")"),"Se están golpeando y pateando el deporte.")</f>
        <v>Se están golpeando y pateando el deporte.</v>
      </c>
    </row>
    <row r="17435">
      <c r="A17435" s="4" t="s">
        <v>21943</v>
      </c>
      <c r="B17435" s="4" t="s">
        <v>21944</v>
      </c>
      <c r="C17435" s="5" t="str">
        <f>IFERROR(__xludf.DUMMYFUNCTION("GOOGLETRANSLATE(B17435,""en"",""es-ES"")"),"Se ve a un hombre en varias tomas en una patineta en un almacén oscuro.")</f>
        <v>Se ve a un hombre en varias tomas en una patineta en un almacén oscuro.</v>
      </c>
    </row>
    <row r="17436">
      <c r="A17436" s="4" t="s">
        <v>21943</v>
      </c>
      <c r="B17436" s="4" t="s">
        <v>21945</v>
      </c>
      <c r="C17436" s="5" t="str">
        <f>IFERROR(__xludf.DUMMYFUNCTION("GOOGLETRANSLATE(B17436,""en"",""es-ES"")"),"El hombre luego comienza a saltar sobre su tablero para demostrar movimientos.")</f>
        <v>El hombre luego comienza a saltar sobre su tablero para demostrar movimientos.</v>
      </c>
    </row>
    <row r="17437">
      <c r="A17437" s="4" t="s">
        <v>21943</v>
      </c>
      <c r="B17437" s="4" t="s">
        <v>21946</v>
      </c>
      <c r="C17437" s="5" t="str">
        <f>IFERROR(__xludf.DUMMYFUNCTION("GOOGLETRANSLATE(B17437,""en"",""es-ES"")"),"Continúa saltando por la habitación mientras la cámara captura sus movimientos.")</f>
        <v>Continúa saltando por la habitación mientras la cámara captura sus movimientos.</v>
      </c>
    </row>
    <row r="17438">
      <c r="A17438" s="4" t="s">
        <v>21947</v>
      </c>
      <c r="B17438" s="4" t="s">
        <v>21948</v>
      </c>
      <c r="C17438" s="5" t="str">
        <f>IFERROR(__xludf.DUMMYFUNCTION("GOOGLETRANSLATE(B17438,""en"",""es-ES"")"),"Vemos a un portero de hockey patinando en el hielo.")</f>
        <v>Vemos a un portero de hockey patinando en el hielo.</v>
      </c>
    </row>
    <row r="17439">
      <c r="A17439" s="4" t="s">
        <v>21947</v>
      </c>
      <c r="B17439" s="4" t="s">
        <v>21949</v>
      </c>
      <c r="C17439" s="5" t="str">
        <f>IFERROR(__xludf.DUMMYFUNCTION("GOOGLETRANSLATE(B17439,""en"",""es-ES"")"),"El portero bloquea los tiros repetidamente.")</f>
        <v>El portero bloquea los tiros repetidamente.</v>
      </c>
    </row>
    <row r="17440">
      <c r="A17440" s="4" t="s">
        <v>21947</v>
      </c>
      <c r="B17440" s="4" t="s">
        <v>21950</v>
      </c>
      <c r="C17440" s="5" t="str">
        <f>IFERROR(__xludf.DUMMYFUNCTION("GOOGLETRANSLATE(B17440,""en"",""es-ES"")"),"Vemos al portero en el hielo.")</f>
        <v>Vemos al portero en el hielo.</v>
      </c>
    </row>
    <row r="17441">
      <c r="A17441" s="4" t="s">
        <v>21947</v>
      </c>
      <c r="B17441" s="4" t="s">
        <v>21951</v>
      </c>
      <c r="C17441" s="5" t="str">
        <f>IFERROR(__xludf.DUMMYFUNCTION("GOOGLETRANSLATE(B17441,""en"",""es-ES"")"),"Un disparo lo pasa y el portero tiene un berrinche.")</f>
        <v>Un disparo lo pasa y el portero tiene un berrinche.</v>
      </c>
    </row>
    <row r="17442">
      <c r="A17442" s="4" t="s">
        <v>21947</v>
      </c>
      <c r="B17442" s="4" t="s">
        <v>21952</v>
      </c>
      <c r="C17442" s="5" t="str">
        <f>IFERROR(__xludf.DUMMYFUNCTION("GOOGLETRANSLATE(B17442,""en"",""es-ES"")"),"El portero se sienta en el suelo mientras una persona hace su disparo.")</f>
        <v>El portero se sienta en el suelo mientras una persona hace su disparo.</v>
      </c>
    </row>
    <row r="17443">
      <c r="A17443" s="4" t="s">
        <v>21953</v>
      </c>
      <c r="B17443" s="4" t="s">
        <v>21954</v>
      </c>
      <c r="C17443" s="5" t="str">
        <f>IFERROR(__xludf.DUMMYFUNCTION("GOOGLETRANSLATE(B17443,""en"",""es-ES"")"),"Un hombre con una camisa negra y jeans azules está tocando una guitarra acústica.")</f>
        <v>Un hombre con una camisa negra y jeans azules está tocando una guitarra acústica.</v>
      </c>
    </row>
    <row r="17444">
      <c r="A17444" s="4" t="s">
        <v>21953</v>
      </c>
      <c r="B17444" s="4" t="s">
        <v>21955</v>
      </c>
      <c r="C17444" s="5" t="str">
        <f>IFERROR(__xludf.DUMMYFUNCTION("GOOGLETRANSLATE(B17444,""en"",""es-ES"")"),"Él juega un riff mientras mueve las piernas rítmicamente.")</f>
        <v>Él juega un riff mientras mueve las piernas rítmicamente.</v>
      </c>
    </row>
    <row r="17445">
      <c r="A17445" s="4" t="s">
        <v>21953</v>
      </c>
      <c r="B17445" s="4" t="s">
        <v>21956</v>
      </c>
      <c r="C17445" s="5" t="str">
        <f>IFERROR(__xludf.DUMMYFUNCTION("GOOGLETRANSLATE(B17445,""en"",""es-ES"")"),"Continúa tocando la guitarra mientras la cámara se enfoca en sus manos y solo en la guitarra.")</f>
        <v>Continúa tocando la guitarra mientras la cámara se enfoca en sus manos y solo en la guitarra.</v>
      </c>
    </row>
    <row r="17446">
      <c r="A17446" s="4" t="s">
        <v>21953</v>
      </c>
      <c r="B17446" s="4" t="s">
        <v>21957</v>
      </c>
      <c r="C17446" s="5" t="str">
        <f>IFERROR(__xludf.DUMMYFUNCTION("GOOGLETRANSLATE(B17446,""en"",""es-ES"")"),"Toca varias canciones diferentes una tras otra mientras rasgue la guitarra con su elección.")</f>
        <v>Toca varias canciones diferentes una tras otra mientras rasgue la guitarra con su elección.</v>
      </c>
    </row>
    <row r="17447">
      <c r="A17447" s="4" t="s">
        <v>21958</v>
      </c>
      <c r="B17447" s="4" t="s">
        <v>21959</v>
      </c>
      <c r="C17447" s="5" t="str">
        <f>IFERROR(__xludf.DUMMYFUNCTION("GOOGLETRANSLATE(B17447,""en"",""es-ES"")"),"Se ve a un hombre riendo y sonriendo para sí mismo y lo lleva a tocar un piano antes que él.")</f>
        <v>Se ve a un hombre riendo y sonriendo para sí mismo y lo lleva a tocar un piano antes que él.</v>
      </c>
    </row>
    <row r="17448">
      <c r="A17448" s="4" t="s">
        <v>21958</v>
      </c>
      <c r="B17448" s="4" t="s">
        <v>21960</v>
      </c>
      <c r="C17448" s="5" t="str">
        <f>IFERROR(__xludf.DUMMYFUNCTION("GOOGLETRANSLATE(B17448,""en"",""es-ES"")"),"El hombre se detiene y mira a lo lejos para ver a otro hombre hablando con él y en un micrófono.")</f>
        <v>El hombre se detiene y mira a lo lejos para ver a otro hombre hablando con él y en un micrófono.</v>
      </c>
    </row>
    <row r="17449">
      <c r="A17449" s="4" t="s">
        <v>21961</v>
      </c>
      <c r="B17449" s="4" t="s">
        <v>21962</v>
      </c>
      <c r="C17449" s="5" t="str">
        <f>IFERROR(__xludf.DUMMYFUNCTION("GOOGLETRANSLATE(B17449,""en"",""es-ES"")"),"Una línea de jugadores está juntos en una cancha.")</f>
        <v>Una línea de jugadores está juntos en una cancha.</v>
      </c>
    </row>
    <row r="17450">
      <c r="A17450" s="4" t="s">
        <v>21961</v>
      </c>
      <c r="B17450" s="4" t="s">
        <v>21963</v>
      </c>
      <c r="C17450" s="5" t="str">
        <f>IFERROR(__xludf.DUMMYFUNCTION("GOOGLETRANSLATE(B17450,""en"",""es-ES"")"),"Comienzan a saltar la cuerda al unísono.")</f>
        <v>Comienzan a saltar la cuerda al unísono.</v>
      </c>
    </row>
    <row r="17451">
      <c r="A17451" s="4" t="s">
        <v>21961</v>
      </c>
      <c r="B17451" s="4" t="s">
        <v>21964</v>
      </c>
      <c r="C17451" s="5" t="str">
        <f>IFERROR(__xludf.DUMMYFUNCTION("GOOGLETRANSLATE(B17451,""en"",""es-ES"")"),"Se mueven por igual, bailando y volteando las cuerdas.")</f>
        <v>Se mueven por igual, bailando y volteando las cuerdas.</v>
      </c>
    </row>
    <row r="17452">
      <c r="A17452" s="4" t="s">
        <v>21965</v>
      </c>
      <c r="B17452" s="4" t="s">
        <v>21966</v>
      </c>
      <c r="C17452" s="5" t="str">
        <f>IFERROR(__xludf.DUMMYFUNCTION("GOOGLETRANSLATE(B17452,""en"",""es-ES"")"),"Un chico se prepara para tocar un instrumento.")</f>
        <v>Un chico se prepara para tocar un instrumento.</v>
      </c>
    </row>
    <row r="17453">
      <c r="A17453" s="4" t="s">
        <v>21965</v>
      </c>
      <c r="B17453" s="4" t="s">
        <v>21967</v>
      </c>
      <c r="C17453" s="5" t="str">
        <f>IFERROR(__xludf.DUMMYFUNCTION("GOOGLETRANSLATE(B17453,""en"",""es-ES"")"),"El tipo toca un saxofón y usa un micrófono.")</f>
        <v>El tipo toca un saxofón y usa un micrófono.</v>
      </c>
    </row>
    <row r="17454">
      <c r="A17454" s="4" t="s">
        <v>21965</v>
      </c>
      <c r="B17454" s="4" t="s">
        <v>21968</v>
      </c>
      <c r="C17454" s="5" t="str">
        <f>IFERROR(__xludf.DUMMYFUNCTION("GOOGLETRANSLATE(B17454,""en"",""es-ES"")"),"El tipo saca el saxofón de su boca y se dobla.")</f>
        <v>El tipo saca el saxofón de su boca y se dobla.</v>
      </c>
    </row>
    <row r="17455">
      <c r="A17455" s="4" t="s">
        <v>21969</v>
      </c>
      <c r="B17455" s="4" t="s">
        <v>21970</v>
      </c>
      <c r="C17455" s="5" t="str">
        <f>IFERROR(__xludf.DUMMYFUNCTION("GOOGLETRANSLATE(B17455,""en"",""es-ES"")"),"Una persona está pintando una cerca de madera.")</f>
        <v>Una persona está pintando una cerca de madera.</v>
      </c>
    </row>
    <row r="17456">
      <c r="A17456" s="4" t="s">
        <v>21969</v>
      </c>
      <c r="B17456" s="4" t="s">
        <v>21971</v>
      </c>
      <c r="C17456" s="5" t="str">
        <f>IFERROR(__xludf.DUMMYFUNCTION("GOOGLETRANSLATE(B17456,""en"",""es-ES"")"),"Se puede ver las patas de un gato saliendo de debajo de la cerca.")</f>
        <v>Se puede ver las patas de un gato saliendo de debajo de la cerca.</v>
      </c>
    </row>
    <row r="17457">
      <c r="A17457" s="4" t="s">
        <v>21969</v>
      </c>
      <c r="B17457" s="4" t="s">
        <v>21972</v>
      </c>
      <c r="C17457" s="5" t="str">
        <f>IFERROR(__xludf.DUMMYFUNCTION("GOOGLETRANSLATE(B17457,""en"",""es-ES"")"),"Un perro está mirando las patas del gato.")</f>
        <v>Un perro está mirando las patas del gato.</v>
      </c>
    </row>
    <row r="17458">
      <c r="A17458" s="4" t="s">
        <v>21973</v>
      </c>
      <c r="B17458" s="4" t="s">
        <v>21974</v>
      </c>
      <c r="C17458" s="5" t="str">
        <f>IFERROR(__xludf.DUMMYFUNCTION("GOOGLETRANSLATE(B17458,""en"",""es-ES"")"),"Un hombre ve una actuación en la televisión mientras toca un juego de tambores en casa.")</f>
        <v>Un hombre ve una actuación en la televisión mientras toca un juego de tambores en casa.</v>
      </c>
    </row>
    <row r="17459">
      <c r="A17459" s="4" t="s">
        <v>21973</v>
      </c>
      <c r="B17459" s="4" t="s">
        <v>21975</v>
      </c>
      <c r="C17459" s="5" t="str">
        <f>IFERROR(__xludf.DUMMYFUNCTION("GOOGLETRANSLATE(B17459,""en"",""es-ES"")"),"El hombre mira hacia adelante y se enfoca mientras toca la batería.")</f>
        <v>El hombre mira hacia adelante y se enfoca mientras toca la batería.</v>
      </c>
    </row>
    <row r="17460">
      <c r="A17460" s="4" t="s">
        <v>21973</v>
      </c>
      <c r="B17460" s="4" t="s">
        <v>21976</v>
      </c>
      <c r="C17460" s="5" t="str">
        <f>IFERROR(__xludf.DUMMYFUNCTION("GOOGLETRANSLATE(B17460,""en"",""es-ES"")"),"El hombre se inclina hacia atrás y toca vigorosamente en la batería.")</f>
        <v>El hombre se inclina hacia atrás y toca vigorosamente en la batería.</v>
      </c>
    </row>
    <row r="17461">
      <c r="A17461" s="4" t="s">
        <v>21977</v>
      </c>
      <c r="B17461" s="4" t="s">
        <v>21978</v>
      </c>
      <c r="C17461" s="5" t="str">
        <f>IFERROR(__xludf.DUMMYFUNCTION("GOOGLETRANSLATE(B17461,""en"",""es-ES"")"),"Se muestran muchos árboles y aguas profundas de un río.")</f>
        <v>Se muestran muchos árboles y aguas profundas de un río.</v>
      </c>
    </row>
    <row r="17462">
      <c r="A17462" s="4" t="s">
        <v>21977</v>
      </c>
      <c r="B17462" s="4" t="s">
        <v>21979</v>
      </c>
      <c r="C17462" s="5" t="str">
        <f>IFERROR(__xludf.DUMMYFUNCTION("GOOGLETRANSLATE(B17462,""en"",""es-ES"")"),"Un hombre está parado en la parte posterior de una lancha rápida.")</f>
        <v>Un hombre está parado en la parte posterior de una lancha rápida.</v>
      </c>
    </row>
    <row r="17463">
      <c r="A17463" s="4" t="s">
        <v>21977</v>
      </c>
      <c r="B17463" s="4" t="s">
        <v>21980</v>
      </c>
      <c r="C17463" s="5" t="str">
        <f>IFERROR(__xludf.DUMMYFUNCTION("GOOGLETRANSLATE(B17463,""en"",""es-ES"")"),"Él coloca su tabla en el agua y comienza a esquiar en agua.")</f>
        <v>Él coloca su tabla en el agua y comienza a esquiar en agua.</v>
      </c>
    </row>
    <row r="17464">
      <c r="A17464" s="4" t="s">
        <v>21977</v>
      </c>
      <c r="B17464" s="4" t="s">
        <v>21981</v>
      </c>
      <c r="C17464" s="5" t="str">
        <f>IFERROR(__xludf.DUMMYFUNCTION("GOOGLETRANSLATE(B17464,""en"",""es-ES"")"),"Realiza varios trucos mientras esquís.")</f>
        <v>Realiza varios trucos mientras esquís.</v>
      </c>
    </row>
    <row r="17465">
      <c r="A17465" s="4" t="s">
        <v>21982</v>
      </c>
      <c r="B17465" s="4" t="s">
        <v>21983</v>
      </c>
      <c r="C17465" s="5" t="str">
        <f>IFERROR(__xludf.DUMMYFUNCTION("GOOGLETRANSLATE(B17465,""en"",""es-ES"")"),"Un niño se balancea en una piñata sin recibir un buen golpe.")</f>
        <v>Un niño se balancea en una piñata sin recibir un buen golpe.</v>
      </c>
    </row>
    <row r="17466">
      <c r="A17466" s="4" t="s">
        <v>21982</v>
      </c>
      <c r="B17466" s="4" t="s">
        <v>21984</v>
      </c>
      <c r="C17466" s="5" t="str">
        <f>IFERROR(__xludf.DUMMYFUNCTION("GOOGLETRANSLATE(B17466,""en"",""es-ES"")"),"El niño esquiva la piñata que le está balanceando.")</f>
        <v>El niño esquiva la piñata que le está balanceando.</v>
      </c>
    </row>
    <row r="17467">
      <c r="A17467" s="4" t="s">
        <v>21982</v>
      </c>
      <c r="B17467" s="4" t="s">
        <v>21985</v>
      </c>
      <c r="C17467" s="5" t="str">
        <f>IFERROR(__xludf.DUMMYFUNCTION("GOOGLETRANSLATE(B17467,""en"",""es-ES"")"),"El niño se rinde y se aleja.")</f>
        <v>El niño se rinde y se aleja.</v>
      </c>
    </row>
    <row r="17468">
      <c r="A17468" s="4" t="s">
        <v>21986</v>
      </c>
      <c r="B17468" s="4" t="s">
        <v>21987</v>
      </c>
      <c r="C17468" s="5" t="str">
        <f>IFERROR(__xludf.DUMMYFUNCTION("GOOGLETRANSLATE(B17468,""en"",""es-ES"")"),"Un hombre entra en una habitación tocando sus gaitas.")</f>
        <v>Un hombre entra en una habitación tocando sus gaitas.</v>
      </c>
    </row>
    <row r="17469">
      <c r="A17469" s="4" t="s">
        <v>21986</v>
      </c>
      <c r="B17469" s="4" t="s">
        <v>21988</v>
      </c>
      <c r="C17469" s="5" t="str">
        <f>IFERROR(__xludf.DUMMYFUNCTION("GOOGLETRANSLATE(B17469,""en"",""es-ES"")"),"Deja de tocar sus gaitas.")</f>
        <v>Deja de tocar sus gaitas.</v>
      </c>
    </row>
    <row r="17470">
      <c r="A17470" s="4" t="s">
        <v>21989</v>
      </c>
      <c r="B17470" s="4" t="s">
        <v>21990</v>
      </c>
      <c r="C17470" s="5" t="str">
        <f>IFERROR(__xludf.DUMMYFUNCTION("GOOGLETRANSLATE(B17470,""en"",""es-ES"")"),"Un grupo de hombres está hablando en una habitación.")</f>
        <v>Un grupo de hombres está hablando en una habitación.</v>
      </c>
    </row>
    <row r="17471">
      <c r="A17471" s="4" t="s">
        <v>21989</v>
      </c>
      <c r="B17471" s="4" t="s">
        <v>21991</v>
      </c>
      <c r="C17471" s="5" t="str">
        <f>IFERROR(__xludf.DUMMYFUNCTION("GOOGLETRANSLATE(B17471,""en"",""es-ES"")"),"Varias escenas de lucha se muestran de una película de artes marciales.")</f>
        <v>Varias escenas de lucha se muestran de una película de artes marciales.</v>
      </c>
    </row>
    <row r="17472">
      <c r="A17472" s="4" t="s">
        <v>21989</v>
      </c>
      <c r="B17472" s="4" t="s">
        <v>21992</v>
      </c>
      <c r="C17472" s="5" t="str">
        <f>IFERROR(__xludf.DUMMYFUNCTION("GOOGLETRANSLATE(B17472,""en"",""es-ES"")"),"Se mueven rápidamente, fingiendo luchar por la cámara.")</f>
        <v>Se mueven rápidamente, fingiendo luchar por la cámara.</v>
      </c>
    </row>
    <row r="17473">
      <c r="A17473" s="4" t="s">
        <v>21993</v>
      </c>
      <c r="B17473" s="4" t="s">
        <v>21994</v>
      </c>
      <c r="C17473" s="5" t="str">
        <f>IFERROR(__xludf.DUMMYFUNCTION("GOOGLETRANSLATE(B17473,""en"",""es-ES"")"),"Se ve a un hombre hablando con la cámara y lo lleva a disparos de él caminando por un pasillo y tomando un café.")</f>
        <v>Se ve a un hombre hablando con la cámara y lo lleva a disparos de él caminando por un pasillo y tomando un café.</v>
      </c>
    </row>
    <row r="17474">
      <c r="A17474" s="4" t="s">
        <v>21993</v>
      </c>
      <c r="B17474" s="4" t="s">
        <v>21995</v>
      </c>
      <c r="C17474" s="5" t="str">
        <f>IFERROR(__xludf.DUMMYFUNCTION("GOOGLETRANSLATE(B17474,""en"",""es-ES"")"),"Agarra el azúcar, pone una tapa sobre su café y luego sonríe a lo lejos mientras se aleja.")</f>
        <v>Agarra el azúcar, pone una tapa sobre su café y luego sonríe a lo lejos mientras se aleja.</v>
      </c>
    </row>
    <row r="17475">
      <c r="A17475" s="4" t="s">
        <v>21996</v>
      </c>
      <c r="B17475" s="4" t="s">
        <v>21997</v>
      </c>
      <c r="C17475" s="5" t="str">
        <f>IFERROR(__xludf.DUMMYFUNCTION("GOOGLETRANSLATE(B17475,""en"",""es-ES"")"),"Un hombre pinta profesionalmente varios muebles con un pintor de spray en un taller de pintura mientras usa un mono, una camisa de mezclilla y una máscara de pintura.")</f>
        <v>Un hombre pinta profesionalmente varios muebles con un pintor de spray en un taller de pintura mientras usa un mono, una camisa de mezclilla y una máscara de pintura.</v>
      </c>
    </row>
    <row r="17476">
      <c r="A17476" s="4" t="s">
        <v>21996</v>
      </c>
      <c r="B17476" s="4" t="s">
        <v>21998</v>
      </c>
      <c r="C17476" s="5" t="str">
        <f>IFERROR(__xludf.DUMMYFUNCTION("GOOGLETRANSLATE(B17476,""en"",""es-ES"")"),"El hombre comienza pintando un sillón de madera gris metálico con una lata de pintura en aerosol dorada.")</f>
        <v>El hombre comienza pintando un sillón de madera gris metálico con una lata de pintura en aerosol dorada.</v>
      </c>
    </row>
    <row r="17477">
      <c r="A17477" s="4" t="s">
        <v>21996</v>
      </c>
      <c r="B17477" s="4" t="s">
        <v>21999</v>
      </c>
      <c r="C17477" s="5" t="str">
        <f>IFERROR(__xludf.DUMMYFUNCTION("GOOGLETRANSLATE(B17477,""en"",""es-ES"")"),"Luego, el hombre pinta una mesa lateral negra con luces brillando de la madera pintada negra.")</f>
        <v>Luego, el hombre pinta una mesa lateral negra con luces brillando de la madera pintada negra.</v>
      </c>
    </row>
    <row r="17478">
      <c r="A17478" s="4" t="s">
        <v>21996</v>
      </c>
      <c r="B17478" s="4" t="s">
        <v>22000</v>
      </c>
      <c r="C17478" s="5" t="str">
        <f>IFERROR(__xludf.DUMMYFUNCTION("GOOGLETRANSLATE(B17478,""en"",""es-ES"")"),"El hombre termina con pintar un cajón de tocador rosa antes de que la escena se desvanezca en un gráfico de marketing negro.")</f>
        <v>El hombre termina con pintar un cajón de tocador rosa antes de que la escena se desvanezca en un gráfico de marketing negro.</v>
      </c>
    </row>
    <row r="17479">
      <c r="A17479" s="4" t="s">
        <v>22001</v>
      </c>
      <c r="B17479" s="4" t="s">
        <v>22002</v>
      </c>
      <c r="C17479" s="5" t="str">
        <f>IFERROR(__xludf.DUMMYFUNCTION("GOOGLETRANSLATE(B17479,""en"",""es-ES"")"),"Un hombre comienza montando una bicicleta de tierra e inmediatamente se estrella contra el suelo detrás de él.")</f>
        <v>Un hombre comienza montando una bicicleta de tierra e inmediatamente se estrella contra el suelo detrás de él.</v>
      </c>
    </row>
    <row r="17480">
      <c r="A17480" s="4" t="s">
        <v>22001</v>
      </c>
      <c r="B17480" s="4" t="s">
        <v>22003</v>
      </c>
      <c r="C17480" s="5" t="str">
        <f>IFERROR(__xludf.DUMMYFUNCTION("GOOGLETRANSLATE(B17480,""en"",""es-ES"")"),"El video sigue a varias personas más que intentan correr una bicicleta de tierra y chocando instantáneamente en el camino frente a ellas.")</f>
        <v>El video sigue a varias personas más que intentan correr una bicicleta de tierra y chocando instantáneamente en el camino frente a ellas.</v>
      </c>
    </row>
    <row r="17481">
      <c r="A17481" s="4" t="s">
        <v>22004</v>
      </c>
      <c r="B17481" s="4" t="s">
        <v>22005</v>
      </c>
      <c r="C17481" s="5" t="str">
        <f>IFERROR(__xludf.DUMMYFUNCTION("GOOGLETRANSLATE(B17481,""en"",""es-ES"")"),"Un niño y una niña están sentados en su sala de estar con hilo colorido y demostrando cómo tejer.")</f>
        <v>Un niño y una niña están sentados en su sala de estar con hilo colorido y demostrando cómo tejer.</v>
      </c>
    </row>
    <row r="17482">
      <c r="A17482" s="4" t="s">
        <v>22004</v>
      </c>
      <c r="B17482" s="4" t="s">
        <v>22006</v>
      </c>
      <c r="C17482" s="5" t="str">
        <f>IFERROR(__xludf.DUMMYFUNCTION("GOOGLETRANSLATE(B17482,""en"",""es-ES"")"),"El niño lleva una sudadera con capucha azul y la niña lleva un suéter blanco con rayas horizontales azules.")</f>
        <v>El niño lleva una sudadera con capucha azul y la niña lleva un suéter blanco con rayas horizontales azules.</v>
      </c>
    </row>
    <row r="17483">
      <c r="A17483" s="4" t="s">
        <v>22004</v>
      </c>
      <c r="B17483" s="4" t="s">
        <v>22007</v>
      </c>
      <c r="C17483" s="5" t="str">
        <f>IFERROR(__xludf.DUMMYFUNCTION("GOOGLETRANSLATE(B17483,""en"",""es-ES"")"),"La madre que no está en la foto en el video los está grabando.")</f>
        <v>La madre que no está en la foto en el video los está grabando.</v>
      </c>
    </row>
    <row r="17484">
      <c r="A17484" s="4" t="s">
        <v>22004</v>
      </c>
      <c r="B17484" s="4" t="s">
        <v>22008</v>
      </c>
      <c r="C17484" s="5" t="str">
        <f>IFERROR(__xludf.DUMMYFUNCTION("GOOGLETRANSLATE(B17484,""en"",""es-ES"")"),"El niño sostiene las agujas y muestra cómo usa el hilo para tejer.")</f>
        <v>El niño sostiene las agujas y muestra cómo usa el hilo para tejer.</v>
      </c>
    </row>
    <row r="17485">
      <c r="A17485" s="4" t="s">
        <v>22009</v>
      </c>
      <c r="B17485" s="4" t="s">
        <v>22010</v>
      </c>
      <c r="C17485" s="5" t="str">
        <f>IFERROR(__xludf.DUMMYFUNCTION("GOOGLETRANSLATE(B17485,""en"",""es-ES"")"),"Un grupo de personas enmascaradas, con todo negro, juega un juego gráfico animado de paintball en un campo de guerra.")</f>
        <v>Un grupo de personas enmascaradas, con todo negro, juega un juego gráfico animado de paintball en un campo de guerra.</v>
      </c>
    </row>
    <row r="17486">
      <c r="A17486" s="4" t="s">
        <v>22009</v>
      </c>
      <c r="B17486" s="4" t="s">
        <v>22011</v>
      </c>
      <c r="C17486" s="5" t="str">
        <f>IFERROR(__xludf.DUMMYFUNCTION("GOOGLETRANSLATE(B17486,""en"",""es-ES"")"),"Una persona animada atraviesa un campo de soldados enmascarados negros con una pistola de pintura y comienza a disparar a personas, varias personas están heridas entre un campo de guerra lleno de chozas de piedra vacías y autos abandonados.")</f>
        <v>Una persona animada atraviesa un campo de soldados enmascarados negros con una pistola de pintura y comienza a disparar a personas, varias personas están heridas entre un campo de guerra lleno de chozas de piedra vacías y autos abandonados.</v>
      </c>
    </row>
    <row r="17487">
      <c r="A17487" s="4" t="s">
        <v>22009</v>
      </c>
      <c r="B17487" s="4" t="s">
        <v>22012</v>
      </c>
      <c r="C17487" s="5" t="str">
        <f>IFERROR(__xludf.DUMMYFUNCTION("GOOGLETRANSLATE(B17487,""en"",""es-ES"")"),"Los soldados de combate pasan a un perro animado con una correa con una persona vestida con un uniforme de árbitro blanco y negro que sostiene la correa.")</f>
        <v>Los soldados de combate pasan a un perro animado con una correa con una persona vestida con un uniforme de árbitro blanco y negro que sostiene la correa.</v>
      </c>
    </row>
    <row r="17488">
      <c r="A17488" s="4" t="s">
        <v>22009</v>
      </c>
      <c r="B17488" s="4" t="s">
        <v>22013</v>
      </c>
      <c r="C17488" s="5" t="str">
        <f>IFERROR(__xludf.DUMMYFUNCTION("GOOGLETRANSLATE(B17488,""en"",""es-ES"")"),"El tiroteo continúa entre los soldados enmascarados hasta que aparece una caja de cartas del ""equipo rojo"" y los soldados se dirigen a la derecha y se adelgazan en números.")</f>
        <v>El tiroteo continúa entre los soldados enmascarados hasta que aparece una caja de cartas del "equipo rojo" y los soldados se dirigen a la derecha y se adelgazan en números.</v>
      </c>
    </row>
    <row r="17489">
      <c r="A17489" s="4" t="s">
        <v>22014</v>
      </c>
      <c r="B17489" s="4" t="s">
        <v>22015</v>
      </c>
      <c r="C17489" s="5" t="str">
        <f>IFERROR(__xludf.DUMMYFUNCTION("GOOGLETRANSLATE(B17489,""en"",""es-ES"")"),"Se ve a un hombre doblándose hacia abajo mientras sostiene un bate de crochet y golpea una pelota a través de un agujero.")</f>
        <v>Se ve a un hombre doblándose hacia abajo mientras sostiene un bate de crochet y golpea una pelota a través de un agujero.</v>
      </c>
    </row>
    <row r="17490">
      <c r="A17490" s="4" t="s">
        <v>22014</v>
      </c>
      <c r="B17490" s="4" t="s">
        <v>22016</v>
      </c>
      <c r="C17490" s="5" t="str">
        <f>IFERROR(__xludf.DUMMYFUNCTION("GOOGLETRANSLATE(B17490,""en"",""es-ES"")"),"El hombre luego levanta las manos y mira hacia la cámara y sonríe.")</f>
        <v>El hombre luego levanta las manos y mira hacia la cámara y sonríe.</v>
      </c>
    </row>
    <row r="17491">
      <c r="A17491" s="4" t="s">
        <v>22017</v>
      </c>
      <c r="B17491" s="4" t="s">
        <v>22018</v>
      </c>
      <c r="C17491" s="5" t="str">
        <f>IFERROR(__xludf.DUMMYFUNCTION("GOOGLETRANSLATE(B17491,""en"",""es-ES"")"),"Los buzos se convierten en buceo de plataformas de alta buceo en una piscina.")</f>
        <v>Los buzos se convierten en buceo de plataformas de alta buceo en una piscina.</v>
      </c>
    </row>
    <row r="17492">
      <c r="A17492" s="4" t="s">
        <v>22017</v>
      </c>
      <c r="B17492" s="4" t="s">
        <v>22019</v>
      </c>
      <c r="C17492" s="5" t="str">
        <f>IFERROR(__xludf.DUMMYFUNCTION("GOOGLETRANSLATE(B17492,""en"",""es-ES"")"),"La multitud aplaude y observa la actuación de los buzos.")</f>
        <v>La multitud aplaude y observa la actuación de los buzos.</v>
      </c>
    </row>
    <row r="17493">
      <c r="A17493" s="4" t="s">
        <v>22017</v>
      </c>
      <c r="B17493" s="4" t="s">
        <v>22020</v>
      </c>
      <c r="C17493" s="5" t="str">
        <f>IFERROR(__xludf.DUMMYFUNCTION("GOOGLETRANSLATE(B17493,""en"",""es-ES"")"),"Un buzo hace una inmersión en la plataforma más alta en la piscina.")</f>
        <v>Un buzo hace una inmersión en la plataforma más alta en la piscina.</v>
      </c>
    </row>
    <row r="17494">
      <c r="A17494" s="4" t="s">
        <v>22021</v>
      </c>
      <c r="B17494" s="4" t="s">
        <v>22022</v>
      </c>
      <c r="C17494" s="5" t="str">
        <f>IFERROR(__xludf.DUMMYFUNCTION("GOOGLETRANSLATE(B17494,""en"",""es-ES"")"),"Una mujer está bailando el vientre en un escenario.")</f>
        <v>Una mujer está bailando el vientre en un escenario.</v>
      </c>
    </row>
    <row r="17495">
      <c r="A17495" s="4" t="s">
        <v>22021</v>
      </c>
      <c r="B17495" s="4" t="s">
        <v>22023</v>
      </c>
      <c r="C17495" s="5" t="str">
        <f>IFERROR(__xludf.DUMMYFUNCTION("GOOGLETRANSLATE(B17495,""en"",""es-ES"")"),"Hay un primer plano de su vientre.")</f>
        <v>Hay un primer plano de su vientre.</v>
      </c>
    </row>
    <row r="17496">
      <c r="A17496" s="4" t="s">
        <v>22021</v>
      </c>
      <c r="B17496" s="4" t="s">
        <v>22024</v>
      </c>
      <c r="C17496" s="5" t="str">
        <f>IFERROR(__xludf.DUMMYFUNCTION("GOOGLETRANSLATE(B17496,""en"",""es-ES"")"),"Ella ralentiza su baile y gira círculos.")</f>
        <v>Ella ralentiza su baile y gira círculos.</v>
      </c>
    </row>
    <row r="17497">
      <c r="A17497" s="4" t="s">
        <v>22025</v>
      </c>
      <c r="B17497" s="4" t="s">
        <v>22026</v>
      </c>
      <c r="C17497" s="5" t="str">
        <f>IFERROR(__xludf.DUMMYFUNCTION("GOOGLETRANSLATE(B17497,""en"",""es-ES"")"),"Una gran cascada se muestra afuera cerca de un rastro rocoso de agua.")</f>
        <v>Una gran cascada se muestra afuera cerca de un rastro rocoso de agua.</v>
      </c>
    </row>
    <row r="17498">
      <c r="A17498" s="4" t="s">
        <v>22025</v>
      </c>
      <c r="B17498" s="4" t="s">
        <v>22027</v>
      </c>
      <c r="C17498" s="5" t="str">
        <f>IFERROR(__xludf.DUMMYFUNCTION("GOOGLETRANSLATE(B17498,""en"",""es-ES"")"),"De repente, una persona en una balsa larga viene remando por el agua y pasa por la caída con facilidad.")</f>
        <v>De repente, una persona en una balsa larga viene remando por el agua y pasa por la caída con facilidad.</v>
      </c>
    </row>
    <row r="17499">
      <c r="A17499" s="4" t="s">
        <v>22025</v>
      </c>
      <c r="B17499" s="4" t="s">
        <v>22028</v>
      </c>
      <c r="C17499" s="5" t="str">
        <f>IFERROR(__xludf.DUMMYFUNCTION("GOOGLETRANSLATE(B17499,""en"",""es-ES"")"),"Una vez terminado, continúan remando y navegando a través del agua mientras las personas al lado observan.")</f>
        <v>Una vez terminado, continúan remando y navegando a través del agua mientras las personas al lado observan.</v>
      </c>
    </row>
    <row r="17500">
      <c r="A17500" s="4" t="s">
        <v>22029</v>
      </c>
      <c r="B17500" s="4" t="s">
        <v>22030</v>
      </c>
      <c r="C17500" s="5" t="str">
        <f>IFERROR(__xludf.DUMMYFUNCTION("GOOGLETRANSLATE(B17500,""en"",""es-ES"")"),"Primero, la cámara muestra a las tres personas que tienen un tubo de nieve por el deslizamiento nevado resbaladizo.")</f>
        <v>Primero, la cámara muestra a las tres personas que tienen un tubo de nieve por el deslizamiento nevado resbaladizo.</v>
      </c>
    </row>
    <row r="17501">
      <c r="A17501" s="4" t="s">
        <v>22029</v>
      </c>
      <c r="B17501" s="4" t="s">
        <v>22031</v>
      </c>
      <c r="C17501" s="5" t="str">
        <f>IFERROR(__xludf.DUMMYFUNCTION("GOOGLETRANSLATE(B17501,""en"",""es-ES"")"),"Luego se muestra a una persona con vasos y otro equipo de nieve en los tubos de nieve.")</f>
        <v>Luego se muestra a una persona con vasos y otro equipo de nieve en los tubos de nieve.</v>
      </c>
    </row>
    <row r="17502">
      <c r="A17502" s="4" t="s">
        <v>22029</v>
      </c>
      <c r="B17502" s="4" t="s">
        <v>22032</v>
      </c>
      <c r="C17502" s="5" t="str">
        <f>IFERROR(__xludf.DUMMYFUNCTION("GOOGLETRANSLATE(B17502,""en"",""es-ES"")"),"Luego se muestra una gran cantidad de otras personas con tubos de nieve uno al lado del otro.")</f>
        <v>Luego se muestra una gran cantidad de otras personas con tubos de nieve uno al lado del otro.</v>
      </c>
    </row>
    <row r="17503">
      <c r="A17503" s="4" t="s">
        <v>22033</v>
      </c>
      <c r="B17503" s="4" t="s">
        <v>22034</v>
      </c>
      <c r="C17503" s="5" t="str">
        <f>IFERROR(__xludf.DUMMYFUNCTION("GOOGLETRANSLATE(B17503,""en"",""es-ES"")"),"Se ve a una persona pintando una pared mientras la cámara lo captura moviéndose rápidamente y otros entrando y saliendo del marco.")</f>
        <v>Se ve a una persona pintando una pared mientras la cámara lo captura moviéndose rápidamente y otros entrando y saliendo del marco.</v>
      </c>
    </row>
    <row r="17504">
      <c r="A17504" s="4" t="s">
        <v>22033</v>
      </c>
      <c r="B17504" s="4" t="s">
        <v>22035</v>
      </c>
      <c r="C17504" s="5" t="str">
        <f>IFERROR(__xludf.DUMMYFUNCTION("GOOGLETRANSLATE(B17504,""en"",""es-ES"")"),"La persona continúa pintando a lo largo de la pared con otras personas de pie y ayudando.")</f>
        <v>La persona continúa pintando a lo largo de la pared con otras personas de pie y ayudando.</v>
      </c>
    </row>
    <row r="17505">
      <c r="A17505" s="4" t="s">
        <v>22036</v>
      </c>
      <c r="B17505" s="4" t="s">
        <v>22037</v>
      </c>
      <c r="C17505" s="5" t="str">
        <f>IFERROR(__xludf.DUMMYFUNCTION("GOOGLETRANSLATE(B17505,""en"",""es-ES"")"),"Un hombre está haciendo snowboard cuesta abajo en una colina muy empinada a un ritmo rápido.")</f>
        <v>Un hombre está haciendo snowboard cuesta abajo en una colina muy empinada a un ritmo rápido.</v>
      </c>
    </row>
    <row r="17506">
      <c r="A17506" s="4" t="s">
        <v>22036</v>
      </c>
      <c r="B17506" s="4" t="s">
        <v>22038</v>
      </c>
      <c r="C17506" s="5" t="str">
        <f>IFERROR(__xludf.DUMMYFUNCTION("GOOGLETRANSLATE(B17506,""en"",""es-ES"")"),"El video se intercala con varios ángulos que muestran este viaje por la montaña de una manera muy emocionante.")</f>
        <v>El video se intercala con varios ángulos que muestran este viaje por la montaña de una manera muy emocionante.</v>
      </c>
    </row>
    <row r="17507">
      <c r="A17507" s="4" t="s">
        <v>22036</v>
      </c>
      <c r="B17507" s="4" t="s">
        <v>22039</v>
      </c>
      <c r="C17507" s="5" t="str">
        <f>IFERROR(__xludf.DUMMYFUNCTION("GOOGLETRANSLATE(B17507,""en"",""es-ES"")"),"El niño salta de un tronco destinado a este propósito y continúa cuesta abajo.")</f>
        <v>El niño salta de un tronco destinado a este propósito y continúa cuesta abajo.</v>
      </c>
    </row>
    <row r="17508">
      <c r="A17508" s="4" t="s">
        <v>22036</v>
      </c>
      <c r="B17508" s="4" t="s">
        <v>22040</v>
      </c>
      <c r="C17508" s="5" t="str">
        <f>IFERROR(__xludf.DUMMYFUNCTION("GOOGLETRANSLATE(B17508,""en"",""es-ES"")"),"Otro hombre de amarillo se enfrenta a una pequeña rampa de nieve mientras baja por la montaña.")</f>
        <v>Otro hombre de amarillo se enfrenta a una pequeña rampa de nieve mientras baja por la montaña.</v>
      </c>
    </row>
    <row r="17509">
      <c r="A17509" s="4" t="s">
        <v>22036</v>
      </c>
      <c r="B17509" s="4" t="s">
        <v>22041</v>
      </c>
      <c r="C17509" s="5" t="str">
        <f>IFERROR(__xludf.DUMMYFUNCTION("GOOGLETRANSLATE(B17509,""en"",""es-ES"")"),"Otro hombre de azul hace lo mismo y hay varios cortes que van y vienen entre los tres.")</f>
        <v>Otro hombre de azul hace lo mismo y hay varios cortes que van y vienen entre los tres.</v>
      </c>
    </row>
    <row r="17510">
      <c r="A17510" s="4" t="s">
        <v>22036</v>
      </c>
      <c r="B17510" s="4" t="s">
        <v>22042</v>
      </c>
      <c r="C17510" s="5" t="str">
        <f>IFERROR(__xludf.DUMMYFUNCTION("GOOGLETRANSLATE(B17510,""en"",""es-ES"")"),"Son altamente hábiles y bajan cada obstáculo que puedan encontrar.")</f>
        <v>Son altamente hábiles y bajan cada obstáculo que puedan encontrar.</v>
      </c>
    </row>
    <row r="17511">
      <c r="A17511" s="4" t="s">
        <v>22036</v>
      </c>
      <c r="B17511" s="4" t="s">
        <v>22043</v>
      </c>
      <c r="C17511" s="5" t="str">
        <f>IFERROR(__xludf.DUMMYFUNCTION("GOOGLETRANSLATE(B17511,""en"",""es-ES"")"),"Luego, el video muestra a varias personas caminando por una montaña muy rocosa mientras hablan con la cámara.")</f>
        <v>Luego, el video muestra a varias personas caminando por una montaña muy rocosa mientras hablan con la cámara.</v>
      </c>
    </row>
    <row r="17512">
      <c r="A17512" s="4" t="s">
        <v>22036</v>
      </c>
      <c r="B17512" s="4" t="s">
        <v>22044</v>
      </c>
      <c r="C17512" s="5" t="str">
        <f>IFERROR(__xludf.DUMMYFUNCTION("GOOGLETRANSLATE(B17512,""en"",""es-ES"")"),"La gente que subió es luego snowboard en un temorario como un truco.")</f>
        <v>La gente que subió es luego snowboard en un temorario como un truco.</v>
      </c>
    </row>
    <row r="17513">
      <c r="A17513" s="4" t="s">
        <v>22045</v>
      </c>
      <c r="B17513" s="4" t="s">
        <v>22046</v>
      </c>
      <c r="C17513" s="5" t="str">
        <f>IFERROR(__xludf.DUMMYFUNCTION("GOOGLETRANSLATE(B17513,""en"",""es-ES"")"),"Una niña está usando una llana en una pared y se encuentra en el piso.")</f>
        <v>Una niña está usando una llana en una pared y se encuentra en el piso.</v>
      </c>
    </row>
    <row r="17514">
      <c r="A17514" s="4" t="s">
        <v>22045</v>
      </c>
      <c r="B17514" s="4" t="s">
        <v>22047</v>
      </c>
      <c r="C17514" s="5" t="str">
        <f>IFERROR(__xludf.DUMMYFUNCTION("GOOGLETRANSLATE(B17514,""en"",""es-ES"")"),"Ella se para y limpia su llana con un cepillo.")</f>
        <v>Ella se para y limpia su llana con un cepillo.</v>
      </c>
    </row>
    <row r="17515">
      <c r="A17515" s="4" t="s">
        <v>22045</v>
      </c>
      <c r="B17515" s="4" t="s">
        <v>22048</v>
      </c>
      <c r="C17515" s="5" t="str">
        <f>IFERROR(__xludf.DUMMYFUNCTION("GOOGLETRANSLATE(B17515,""en"",""es-ES"")"),"Ella regresa al trabajo de la pared.")</f>
        <v>Ella regresa al trabajo de la pared.</v>
      </c>
    </row>
    <row r="17516">
      <c r="A17516" s="4" t="s">
        <v>22045</v>
      </c>
      <c r="B17516" s="4" t="s">
        <v>22049</v>
      </c>
      <c r="C17516" s="5" t="str">
        <f>IFERROR(__xludf.DUMMYFUNCTION("GOOGLETRANSLATE(B17516,""en"",""es-ES"")"),"Ella se para y los puntos y el muro.")</f>
        <v>Ella se para y los puntos y el muro.</v>
      </c>
    </row>
    <row r="17517">
      <c r="A17517" s="4" t="s">
        <v>22045</v>
      </c>
      <c r="B17517" s="4" t="s">
        <v>22050</v>
      </c>
      <c r="C17517" s="5" t="str">
        <f>IFERROR(__xludf.DUMMYFUNCTION("GOOGLETRANSLATE(B17517,""en"",""es-ES"")"),"Ella limpia el cepillo de nuevo en la llana.")</f>
        <v>Ella limpia el cepillo de nuevo en la llana.</v>
      </c>
    </row>
    <row r="17518">
      <c r="A17518" s="4" t="s">
        <v>22045</v>
      </c>
      <c r="B17518" s="4" t="s">
        <v>22051</v>
      </c>
      <c r="C17518" s="5" t="str">
        <f>IFERROR(__xludf.DUMMYFUNCTION("GOOGLETRANSLATE(B17518,""en"",""es-ES"")"),"Ella suaviza la pared de nuevo.")</f>
        <v>Ella suaviza la pared de nuevo.</v>
      </c>
    </row>
    <row r="17519">
      <c r="A17519" s="4" t="s">
        <v>22045</v>
      </c>
      <c r="B17519" s="4" t="s">
        <v>22052</v>
      </c>
      <c r="C17519" s="5" t="str">
        <f>IFERROR(__xludf.DUMMYFUNCTION("GOOGLETRANSLATE(B17519,""en"",""es-ES"")"),"Las chicas usan el cepillo para limpiar su herramienta.")</f>
        <v>Las chicas usan el cepillo para limpiar su herramienta.</v>
      </c>
    </row>
    <row r="17520">
      <c r="A17520" s="4" t="s">
        <v>22045</v>
      </c>
      <c r="B17520" s="4" t="s">
        <v>22053</v>
      </c>
      <c r="C17520" s="5" t="str">
        <f>IFERROR(__xludf.DUMMYFUNCTION("GOOGLETRANSLATE(B17520,""en"",""es-ES"")"),"Ella limpia la pared nuevamente, luego limpia su cepillo nuevamente dos veces.")</f>
        <v>Ella limpia la pared nuevamente, luego limpia su cepillo nuevamente dos veces.</v>
      </c>
    </row>
    <row r="17521">
      <c r="A17521" s="4" t="s">
        <v>22045</v>
      </c>
      <c r="B17521" s="4" t="s">
        <v>22054</v>
      </c>
      <c r="C17521" s="5" t="str">
        <f>IFERROR(__xludf.DUMMYFUNCTION("GOOGLETRANSLATE(B17521,""en"",""es-ES"")"),"Estamos mostrando la parte superior de la pared y la niña mientras trabaja.")</f>
        <v>Estamos mostrando la parte superior de la pared y la niña mientras trabaja.</v>
      </c>
    </row>
    <row r="17522">
      <c r="A17522" s="4" t="s">
        <v>22055</v>
      </c>
      <c r="B17522" s="4" t="s">
        <v>22056</v>
      </c>
      <c r="C17522" s="5" t="str">
        <f>IFERROR(__xludf.DUMMYFUNCTION("GOOGLETRANSLATE(B17522,""en"",""es-ES"")"),"Aparece una pantalla de introducción con logotipos, nombres de empresas y sitio web.")</f>
        <v>Aparece una pantalla de introducción con logotipos, nombres de empresas y sitio web.</v>
      </c>
    </row>
    <row r="17523">
      <c r="A17523" s="4" t="s">
        <v>22055</v>
      </c>
      <c r="B17523" s="4" t="s">
        <v>22057</v>
      </c>
      <c r="C17523" s="5" t="str">
        <f>IFERROR(__xludf.DUMMYFUNCTION("GOOGLETRANSLATE(B17523,""en"",""es-ES"")"),"Una mujer se dobla frente a 3 cajas y comienza a sacar piezas de alfombra de azulejos de la caja superior.")</f>
        <v>Una mujer se dobla frente a 3 cajas y comienza a sacar piezas de alfombra de azulejos de la caja superior.</v>
      </c>
    </row>
    <row r="17524">
      <c r="A17524" s="4" t="s">
        <v>22055</v>
      </c>
      <c r="B17524" s="4" t="s">
        <v>22058</v>
      </c>
      <c r="C17524" s="5" t="str">
        <f>IFERROR(__xludf.DUMMYFUNCTION("GOOGLETRANSLATE(B17524,""en"",""es-ES"")"),"Aparecen un montón de herramientas en un piso de azulejos e incluyen: cinta de alfombra, cuchillo, pestañas pegajosas y un T-cuadrado.")</f>
        <v>Aparecen un montón de herramientas en un piso de azulejos e incluyen: cinta de alfombra, cuchillo, pestañas pegajosas y un T-cuadrado.</v>
      </c>
    </row>
    <row r="17525">
      <c r="A17525" s="4" t="s">
        <v>22055</v>
      </c>
      <c r="B17525" s="4" t="s">
        <v>22059</v>
      </c>
      <c r="C17525" s="5" t="str">
        <f>IFERROR(__xludf.DUMMYFUNCTION("GOOGLETRANSLATE(B17525,""en"",""es-ES"")"),"La mujer está en un piso de azulejos con una pila de alfombras de azulejos frente a ella y comienza a desempolvar el exceso de piezas de alfombra de la parte delantera y trasera de las piezas.")</f>
        <v>La mujer está en un piso de azulejos con una pila de alfombras de azulejos frente a ella y comienza a desempolvar el exceso de piezas de alfombra de la parte delantera y trasera de las piezas.</v>
      </c>
    </row>
    <row r="17526">
      <c r="A17526" s="4" t="s">
        <v>22055</v>
      </c>
      <c r="B17526" s="4" t="s">
        <v>22060</v>
      </c>
      <c r="C17526" s="5" t="str">
        <f>IFERROR(__xludf.DUMMYFUNCTION("GOOGLETRANSLATE(B17526,""en"",""es-ES"")"),"Aparece una pantalla con las palabras ""Métodos de instalación"" e incluye 3 diagramas diferentes de diseños, y luego muestra diferentes alfombras de azulejos en cada diseño.")</f>
        <v>Aparece una pantalla con las palabras "Métodos de instalación" e incluye 3 diagramas diferentes de diseños, y luego muestra diferentes alfombras de azulejos en cada diseño.</v>
      </c>
    </row>
    <row r="17527">
      <c r="A17527" s="4" t="s">
        <v>22055</v>
      </c>
      <c r="B17527" s="4" t="s">
        <v>22061</v>
      </c>
      <c r="C17527" s="5" t="str">
        <f>IFERROR(__xludf.DUMMYFUNCTION("GOOGLETRANSLATE(B17527,""en"",""es-ES"")"),"Una mujer ahora está arrodillada sobre un trozo de alfombra y está tirando de cintas pegajosas de doble cara de una sábana y las coloca sobre las alfombras de mosaico y las pega sobre el suelo.")</f>
        <v>Una mujer ahora está arrodillada sobre un trozo de alfombra y está tirando de cintas pegajosas de doble cara de una sábana y las coloca sobre las alfombras de mosaico y las pega sobre el suelo.</v>
      </c>
    </row>
    <row r="17528">
      <c r="A17528" s="4" t="s">
        <v>22055</v>
      </c>
      <c r="B17528" s="4" t="s">
        <v>22062</v>
      </c>
      <c r="C17528" s="5" t="str">
        <f>IFERROR(__xludf.DUMMYFUNCTION("GOOGLETRANSLATE(B17528,""en"",""es-ES"")"),"Una mujer diferente aparece cerca de una pared y está demostrando cómo cortar las baldosas una vez que se alcanza una pared y usa una regla larga para medir, cortar y separar las baldosas de la alfombra y volver al piso.")</f>
        <v>Una mujer diferente aparece cerca de una pared y está demostrando cómo cortar las baldosas una vez que se alcanza una pared y usa una regla larga para medir, cortar y separar las baldosas de la alfombra y volver al piso.</v>
      </c>
    </row>
    <row r="17529">
      <c r="A17529" s="4" t="s">
        <v>22055</v>
      </c>
      <c r="B17529" s="4" t="s">
        <v>22063</v>
      </c>
      <c r="C17529" s="5" t="str">
        <f>IFERROR(__xludf.DUMMYFUNCTION("GOOGLETRANSLATE(B17529,""en"",""es-ES"")"),"El outro es una pantalla blanca con los logotipos, los nombres de las empresas y el sitio web.")</f>
        <v>El outro es una pantalla blanca con los logotipos, los nombres de las empresas y el sitio web.</v>
      </c>
    </row>
    <row r="17530">
      <c r="A17530" s="4" t="s">
        <v>22064</v>
      </c>
      <c r="B17530" s="4" t="s">
        <v>22065</v>
      </c>
      <c r="C17530" s="5" t="str">
        <f>IFERROR(__xludf.DUMMYFUNCTION("GOOGLETRANSLATE(B17530,""en"",""es-ES"")"),"Se ve a un hombre caminando hacia adelante y hablando con la cámara mientras dos personas tiran de un objeto detrás de él.")</f>
        <v>Se ve a un hombre caminando hacia adelante y hablando con la cámara mientras dos personas tiran de un objeto detrás de él.</v>
      </c>
    </row>
    <row r="17531">
      <c r="A17531" s="4" t="s">
        <v>22064</v>
      </c>
      <c r="B17531" s="4" t="s">
        <v>22066</v>
      </c>
      <c r="C17531" s="5" t="str">
        <f>IFERROR(__xludf.DUMMYFUNCTION("GOOGLETRANSLATE(B17531,""en"",""es-ES"")"),"El hombre está hablando mientras una mujer hace ejercicio a su lado.")</f>
        <v>El hombre está hablando mientras una mujer hace ejercicio a su lado.</v>
      </c>
    </row>
    <row r="17532">
      <c r="A17532" s="4" t="s">
        <v>22064</v>
      </c>
      <c r="B17532" s="4" t="s">
        <v>22067</v>
      </c>
      <c r="C17532" s="5" t="str">
        <f>IFERROR(__xludf.DUMMYFUNCTION("GOOGLETRANSLATE(B17532,""en"",""es-ES"")"),"El hombre continúa hablando y el texto se muestra a través de la pantalla.")</f>
        <v>El hombre continúa hablando y el texto se muestra a través de la pantalla.</v>
      </c>
    </row>
    <row r="17533">
      <c r="A17533" s="4" t="s">
        <v>22068</v>
      </c>
      <c r="B17533" s="4" t="s">
        <v>22069</v>
      </c>
      <c r="C17533" s="5" t="str">
        <f>IFERROR(__xludf.DUMMYFUNCTION("GOOGLETRANSLATE(B17533,""en"",""es-ES"")"),"La gente se encuentra en una habitación.")</f>
        <v>La gente se encuentra en una habitación.</v>
      </c>
    </row>
    <row r="17534">
      <c r="A17534" s="4" t="s">
        <v>22068</v>
      </c>
      <c r="B17534" s="4" t="s">
        <v>22070</v>
      </c>
      <c r="C17534" s="5" t="str">
        <f>IFERROR(__xludf.DUMMYFUNCTION("GOOGLETRANSLATE(B17534,""en"",""es-ES"")"),"La gente hace karate mientras algunos tocan la batería.")</f>
        <v>La gente hace karate mientras algunos tocan la batería.</v>
      </c>
    </row>
    <row r="17535">
      <c r="A17535" s="4" t="s">
        <v>22068</v>
      </c>
      <c r="B17535" s="4" t="s">
        <v>22071</v>
      </c>
      <c r="C17535" s="5" t="str">
        <f>IFERROR(__xludf.DUMMYFUNCTION("GOOGLETRANSLATE(B17535,""en"",""es-ES"")"),"Los oponentes del karate se dan la mano y se abrazan.")</f>
        <v>Los oponentes del karate se dan la mano y se abrazan.</v>
      </c>
    </row>
    <row r="17536">
      <c r="A17536" s="4" t="s">
        <v>22072</v>
      </c>
      <c r="B17536" s="4" t="s">
        <v>22073</v>
      </c>
      <c r="C17536" s="5" t="str">
        <f>IFERROR(__xludf.DUMMYFUNCTION("GOOGLETRANSLATE(B17536,""en"",""es-ES"")"),"Una niña/niño pequeño se encuentra afuera, en un campo cubierto de hierba, y golpea, repetidamente, una piñata rosa que cuelga de un árbol.")</f>
        <v>Una niña/niño pequeño se encuentra afuera, en un campo cubierto de hierba, y golpea, repetidamente, una piñata rosa que cuelga de un árbol.</v>
      </c>
    </row>
    <row r="17537">
      <c r="A17537" s="4" t="s">
        <v>22072</v>
      </c>
      <c r="B17537" s="4" t="s">
        <v>22074</v>
      </c>
      <c r="C17537" s="5" t="str">
        <f>IFERROR(__xludf.DUMMYFUNCTION("GOOGLETRANSLATE(B17537,""en"",""es-ES"")"),"Una niña/niño pequeño en una proa de cabello verde lima y tutú se encuentra afuera debajo de un árbol y golpea una piñata con un palo.")</f>
        <v>Una niña/niño pequeño en una proa de cabello verde lima y tutú se encuentra afuera debajo de un árbol y golpea una piñata con un palo.</v>
      </c>
    </row>
    <row r="17538">
      <c r="A17538" s="4" t="s">
        <v>22072</v>
      </c>
      <c r="B17538" s="4" t="s">
        <v>22075</v>
      </c>
      <c r="C17538" s="5" t="str">
        <f>IFERROR(__xludf.DUMMYFUNCTION("GOOGLETRANSLATE(B17538,""en"",""es-ES"")"),"La piñata vuela y la niña vuelve a golpear la piñata.")</f>
        <v>La piñata vuela y la niña vuelve a golpear la piñata.</v>
      </c>
    </row>
    <row r="17539">
      <c r="A17539" s="4" t="s">
        <v>22072</v>
      </c>
      <c r="B17539" s="4" t="s">
        <v>22076</v>
      </c>
      <c r="C17539" s="5" t="str">
        <f>IFERROR(__xludf.DUMMYFUNCTION("GOOGLETRANSLATE(B17539,""en"",""es-ES"")"),"La niña se vuelve para mirar la cámara entre golpear la piñata.")</f>
        <v>La niña se vuelve para mirar la cámara entre golpear la piñata.</v>
      </c>
    </row>
    <row r="17540">
      <c r="A17540" s="4" t="s">
        <v>22077</v>
      </c>
      <c r="B17540" s="4" t="s">
        <v>22078</v>
      </c>
      <c r="C17540" s="5" t="str">
        <f>IFERROR(__xludf.DUMMYFUNCTION("GOOGLETRANSLATE(B17540,""en"",""es-ES"")"),"Un hombre de pie habla con la cámara con dos mujeres sentadas a su lado.")</f>
        <v>Un hombre de pie habla con la cámara con dos mujeres sentadas a su lado.</v>
      </c>
    </row>
    <row r="17541">
      <c r="A17541" s="4" t="s">
        <v>22077</v>
      </c>
      <c r="B17541" s="4" t="s">
        <v>22079</v>
      </c>
      <c r="C17541" s="5" t="str">
        <f>IFERROR(__xludf.DUMMYFUNCTION("GOOGLETRANSLATE(B17541,""en"",""es-ES"")"),"La cámara se enfoca para centrarse en las dos mujeres.")</f>
        <v>La cámara se enfoca para centrarse en las dos mujeres.</v>
      </c>
    </row>
    <row r="17542">
      <c r="A17542" s="4" t="s">
        <v>22080</v>
      </c>
      <c r="B17542" s="4" t="s">
        <v>22081</v>
      </c>
      <c r="C17542" s="5" t="str">
        <f>IFERROR(__xludf.DUMMYFUNCTION("GOOGLETRANSLATE(B17542,""en"",""es-ES"")"),"Una persona corta las uñas de las patas delanteras de un gato.")</f>
        <v>Una persona corta las uñas de las patas delanteras de un gato.</v>
      </c>
    </row>
    <row r="17543">
      <c r="A17543" s="4" t="s">
        <v>22080</v>
      </c>
      <c r="B17543" s="4" t="s">
        <v>22082</v>
      </c>
      <c r="C17543" s="5" t="str">
        <f>IFERROR(__xludf.DUMMYFUNCTION("GOOGLETRANSLATE(B17543,""en"",""es-ES"")"),"Luego, la persona corta las uñas de las patas traseras de un automóvil.")</f>
        <v>Luego, la persona corta las uñas de las patas traseras de un automóvil.</v>
      </c>
    </row>
    <row r="17544">
      <c r="A17544" s="4" t="s">
        <v>22083</v>
      </c>
      <c r="B17544" s="4" t="s">
        <v>22084</v>
      </c>
      <c r="C17544" s="5" t="str">
        <f>IFERROR(__xludf.DUMMYFUNCTION("GOOGLETRANSLATE(B17544,""en"",""es-ES"")"),"Un hombre intenta caminar por una cuerda extendida entre dos piezas caseras de madera.")</f>
        <v>Un hombre intenta caminar por una cuerda extendida entre dos piezas caseras de madera.</v>
      </c>
    </row>
    <row r="17545">
      <c r="A17545" s="4" t="s">
        <v>22083</v>
      </c>
      <c r="B17545" s="4" t="s">
        <v>22085</v>
      </c>
      <c r="C17545" s="5" t="str">
        <f>IFERROR(__xludf.DUMMYFUNCTION("GOOGLETRANSLATE(B17545,""en"",""es-ES"")"),"Se equilibra en la cuerda, balanceándose de un lado a otro.")</f>
        <v>Se equilibra en la cuerda, balanceándose de un lado a otro.</v>
      </c>
    </row>
    <row r="17546">
      <c r="A17546" s="4" t="s">
        <v>22083</v>
      </c>
      <c r="B17546" s="4" t="s">
        <v>22086</v>
      </c>
      <c r="C17546" s="5" t="str">
        <f>IFERROR(__xludf.DUMMYFUNCTION("GOOGLETRANSLATE(B17546,""en"",""es-ES"")"),"Pierde el equilibrio y salta de la cuerda.")</f>
        <v>Pierde el equilibrio y salta de la cuerda.</v>
      </c>
    </row>
    <row r="17547">
      <c r="A17547" s="4" t="s">
        <v>22087</v>
      </c>
      <c r="B17547" s="4" t="s">
        <v>22088</v>
      </c>
      <c r="C17547" s="5" t="str">
        <f>IFERROR(__xludf.DUMMYFUNCTION("GOOGLETRANSLATE(B17547,""en"",""es-ES"")"),"Hay dos autos en el lavado de autos y uno estacionado en un lugar.")</f>
        <v>Hay dos autos en el lavado de autos y uno estacionado en un lugar.</v>
      </c>
    </row>
    <row r="17548">
      <c r="A17548" s="4" t="s">
        <v>22087</v>
      </c>
      <c r="B17548" s="4" t="s">
        <v>22089</v>
      </c>
      <c r="C17548" s="5" t="str">
        <f>IFERROR(__xludf.DUMMYFUNCTION("GOOGLETRANSLATE(B17548,""en"",""es-ES"")"),"Los propietarios de los autos los están enjabonando y limpiando muy bien los neumáticos.")</f>
        <v>Los propietarios de los autos los están enjabonando y limpiando muy bien los neumáticos.</v>
      </c>
    </row>
    <row r="17549">
      <c r="A17549" s="4" t="s">
        <v>22087</v>
      </c>
      <c r="B17549" s="4" t="s">
        <v>22090</v>
      </c>
      <c r="C17549" s="5" t="str">
        <f>IFERROR(__xludf.DUMMYFUNCTION("GOOGLETRANSLATE(B17549,""en"",""es-ES"")"),"Dentro del automóvil lo lavé completamente vacío, nadie está dentro de él.")</f>
        <v>Dentro del automóvil lo lavé completamente vacío, nadie está dentro de él.</v>
      </c>
    </row>
    <row r="17550">
      <c r="A17550" s="4" t="s">
        <v>22087</v>
      </c>
      <c r="B17550" s="4" t="s">
        <v>22091</v>
      </c>
      <c r="C17550" s="5" t="str">
        <f>IFERROR(__xludf.DUMMYFUNCTION("GOOGLETRANSLATE(B17550,""en"",""es-ES"")"),"Uno de los otros propietarios de automóviles está enjuagando su auto.")</f>
        <v>Uno de los otros propietarios de automóviles está enjuagando su auto.</v>
      </c>
    </row>
    <row r="17551">
      <c r="A17551" s="4" t="s">
        <v>22092</v>
      </c>
      <c r="B17551" s="4" t="s">
        <v>22093</v>
      </c>
      <c r="C17551" s="5" t="str">
        <f>IFERROR(__xludf.DUMMYFUNCTION("GOOGLETRANSLATE(B17551,""en"",""es-ES"")"),"Se ve a un hombre hablando con la cámara seguido de varias tomas de una celebridad y un muñeco.")</f>
        <v>Se ve a un hombre hablando con la cámara seguido de varias tomas de una celebridad y un muñeco.</v>
      </c>
    </row>
    <row r="17552">
      <c r="A17552" s="4" t="s">
        <v>22092</v>
      </c>
      <c r="B17552" s="4" t="s">
        <v>22094</v>
      </c>
      <c r="C17552" s="5" t="str">
        <f>IFERROR(__xludf.DUMMYFUNCTION("GOOGLETRANSLATE(B17552,""en"",""es-ES"")"),"Luego, el hombre comienza a venir el cabello del ficticio y a usar tijeras a lo largo del costado.")</f>
        <v>Luego, el hombre comienza a venir el cabello del ficticio y a usar tijeras a lo largo del costado.</v>
      </c>
    </row>
    <row r="17553">
      <c r="A17553" s="4" t="s">
        <v>22092</v>
      </c>
      <c r="B17553" s="4" t="s">
        <v>22095</v>
      </c>
      <c r="C17553" s="5" t="str">
        <f>IFERROR(__xludf.DUMMYFUNCTION("GOOGLETRANSLATE(B17553,""en"",""es-ES"")"),"Continúa cortando el cabello del muñeco y usando el gel para el cabello al final para aumentarlo.")</f>
        <v>Continúa cortando el cabello del muñeco y usando el gel para el cabello al final para aumentarlo.</v>
      </c>
    </row>
    <row r="17554">
      <c r="A17554" s="4" t="s">
        <v>22096</v>
      </c>
      <c r="B17554" s="4" t="s">
        <v>22097</v>
      </c>
      <c r="C17554" s="5" t="str">
        <f>IFERROR(__xludf.DUMMYFUNCTION("GOOGLETRANSLATE(B17554,""en"",""es-ES"")"),"Se muestra un video sobre cómo hacer una cometa.")</f>
        <v>Se muestra un video sobre cómo hacer una cometa.</v>
      </c>
    </row>
    <row r="17555">
      <c r="A17555" s="4" t="s">
        <v>22096</v>
      </c>
      <c r="B17555" s="4" t="s">
        <v>22098</v>
      </c>
      <c r="C17555" s="5" t="str">
        <f>IFERROR(__xludf.DUMMYFUNCTION("GOOGLETRANSLATE(B17555,""en"",""es-ES"")"),"Se recogen materiales y luego se ensambla la cometa.")</f>
        <v>Se recogen materiales y luego se ensambla la cometa.</v>
      </c>
    </row>
    <row r="17556">
      <c r="A17556" s="4" t="s">
        <v>22099</v>
      </c>
      <c r="B17556" s="4" t="s">
        <v>22100</v>
      </c>
      <c r="C17556" s="5" t="str">
        <f>IFERROR(__xludf.DUMMYFUNCTION("GOOGLETRANSLATE(B17556,""en"",""es-ES"")"),"Algunas personas son vistas de pie en un gran pozo con un toro en el interior y muchas mirando a los lados.")</f>
        <v>Algunas personas son vistas de pie en un gran pozo con un toro en el interior y muchas mirando a los lados.</v>
      </c>
    </row>
    <row r="17557">
      <c r="A17557" s="4" t="s">
        <v>22099</v>
      </c>
      <c r="B17557" s="4" t="s">
        <v>22101</v>
      </c>
      <c r="C17557" s="5" t="str">
        <f>IFERROR(__xludf.DUMMYFUNCTION("GOOGLETRANSLATE(B17557,""en"",""es-ES"")"),"El hombre se acerca al toro y el toro ataca a varias personas mientras también intentan bajarlo por la cabeza y la cola.")</f>
        <v>El hombre se acerca al toro y el toro ataca a varias personas mientras también intentan bajarlo por la cabeza y la cola.</v>
      </c>
    </row>
    <row r="17558">
      <c r="A17558" s="4" t="s">
        <v>22099</v>
      </c>
      <c r="B17558" s="4" t="s">
        <v>22102</v>
      </c>
      <c r="C17558" s="5" t="str">
        <f>IFERROR(__xludf.DUMMYFUNCTION("GOOGLETRANSLATE(B17558,""en"",""es-ES"")"),"Finalmente todos se separan de una vez.")</f>
        <v>Finalmente todos se separan de una vez.</v>
      </c>
    </row>
    <row r="17559">
      <c r="A17559" s="4" t="s">
        <v>22103</v>
      </c>
      <c r="B17559" s="4" t="s">
        <v>22104</v>
      </c>
      <c r="C17559" s="5" t="str">
        <f>IFERROR(__xludf.DUMMYFUNCTION("GOOGLETRANSLATE(B17559,""en"",""es-ES"")"),"Un hombre está sentado en un gimnasio con amigos que hacen estúpidos carteles en la cámara.")</f>
        <v>Un hombre está sentado en un gimnasio con amigos que hacen estúpidos carteles en la cámara.</v>
      </c>
    </row>
    <row r="17560">
      <c r="A17560" s="4" t="s">
        <v>22103</v>
      </c>
      <c r="B17560" s="4" t="s">
        <v>22105</v>
      </c>
      <c r="C17560" s="5" t="str">
        <f>IFERROR(__xludf.DUMMYFUNCTION("GOOGLETRANSLATE(B17560,""en"",""es-ES"")"),"Luego se juega algo de Dodgeball.")</f>
        <v>Luego se juega algo de Dodgeball.</v>
      </c>
    </row>
    <row r="17561">
      <c r="A17561" s="4" t="s">
        <v>22106</v>
      </c>
      <c r="B17561" s="4" t="s">
        <v>22107</v>
      </c>
      <c r="C17561" s="5" t="str">
        <f>IFERROR(__xludf.DUMMYFUNCTION("GOOGLETRANSLATE(B17561,""en"",""es-ES"")"),"Se muestra un gráfico con algunas palabras clave que forman el número '2'.")</f>
        <v>Se muestra un gráfico con algunas palabras clave que forman el número '2'.</v>
      </c>
    </row>
    <row r="17562">
      <c r="A17562" s="4" t="s">
        <v>22106</v>
      </c>
      <c r="B17562" s="4" t="s">
        <v>22108</v>
      </c>
      <c r="C17562" s="5" t="str">
        <f>IFERROR(__xludf.DUMMYFUNCTION("GOOGLETRANSLATE(B17562,""en"",""es-ES"")"),"La escena cambia a una pantalla negra con algún texto sobre un próximo maratón.")</f>
        <v>La escena cambia a una pantalla negra con algún texto sobre un próximo maratón.</v>
      </c>
    </row>
    <row r="17563">
      <c r="A17563" s="4" t="s">
        <v>22106</v>
      </c>
      <c r="B17563" s="4" t="s">
        <v>22109</v>
      </c>
      <c r="C17563" s="5" t="str">
        <f>IFERROR(__xludf.DUMMYFUNCTION("GOOGLETRANSLATE(B17563,""en"",""es-ES"")"),"Se muestra a un hombre corriendo por una ciudad en algunas aceras, un puente, algunos caminos en un parque, etc., con un mostrador en el costado que muestra su progreso en kilómetros a medida que avanza.")</f>
        <v>Se muestra a un hombre corriendo por una ciudad en algunas aceras, un puente, algunos caminos en un parque, etc., con un mostrador en el costado que muestra su progreso en kilómetros a medida que avanza.</v>
      </c>
    </row>
    <row r="17564">
      <c r="A17564" s="4" t="s">
        <v>22110</v>
      </c>
      <c r="B17564" s="4" t="s">
        <v>22111</v>
      </c>
      <c r="C17564" s="5" t="str">
        <f>IFERROR(__xludf.DUMMYFUNCTION("GOOGLETRANSLATE(B17564,""en"",""es-ES"")"),"Una persona se cubre las piernas con jabón mientras está parada en la bañera.")</f>
        <v>Una persona se cubre las piernas con jabón mientras está parada en la bañera.</v>
      </c>
    </row>
    <row r="17565">
      <c r="A17565" s="4" t="s">
        <v>22110</v>
      </c>
      <c r="B17565" s="4" t="s">
        <v>22112</v>
      </c>
      <c r="C17565" s="5" t="str">
        <f>IFERROR(__xludf.DUMMYFUNCTION("GOOGLETRANSLATE(B17565,""en"",""es-ES"")"),"Luego, la persona toma una cuchilla para afeitarse las piernas mientras se lava la cuchilla debajo del grifo.")</f>
        <v>Luego, la persona toma una cuchilla para afeitarse las piernas mientras se lava la cuchilla debajo del grifo.</v>
      </c>
    </row>
    <row r="17566">
      <c r="A17566" s="4" t="s">
        <v>22110</v>
      </c>
      <c r="B17566" s="4" t="s">
        <v>22113</v>
      </c>
      <c r="C17566" s="5" t="str">
        <f>IFERROR(__xludf.DUMMYFUNCTION("GOOGLETRANSLATE(B17566,""en"",""es-ES"")"),"Después, la persona se quita la ropa interior y la pone en la bañera.")</f>
        <v>Después, la persona se quita la ropa interior y la pone en la bañera.</v>
      </c>
    </row>
    <row r="17567">
      <c r="A17567" s="4" t="s">
        <v>22114</v>
      </c>
      <c r="B17567" s="4" t="s">
        <v>22115</v>
      </c>
      <c r="C17567" s="5" t="str">
        <f>IFERROR(__xludf.DUMMYFUNCTION("GOOGLETRANSLATE(B17567,""en"",""es-ES"")"),"Hay un video de movimiento rápido que muestra a una familia tallando cuatro calabazas para hacer linternas Jack O en su cocina.")</f>
        <v>Hay un video de movimiento rápido que muestra a una familia tallando cuatro calabazas para hacer linternas Jack O en su cocina.</v>
      </c>
    </row>
    <row r="17568">
      <c r="A17568" s="4" t="s">
        <v>22114</v>
      </c>
      <c r="B17568" s="4" t="s">
        <v>22116</v>
      </c>
      <c r="C17568" s="5" t="str">
        <f>IFERROR(__xludf.DUMMYFUNCTION("GOOGLETRANSLATE(B17568,""en"",""es-ES"")"),"Hay un pequeño bebé sentado en la mesa de comidas mirando a los demás tallar las calabazas.")</f>
        <v>Hay un pequeño bebé sentado en la mesa de comidas mirando a los demás tallar las calabazas.</v>
      </c>
    </row>
    <row r="17569">
      <c r="A17569" s="4" t="s">
        <v>22114</v>
      </c>
      <c r="B17569" s="4" t="s">
        <v>22117</v>
      </c>
      <c r="C17569" s="5" t="str">
        <f>IFERROR(__xludf.DUMMYFUNCTION("GOOGLETRANSLATE(B17569,""en"",""es-ES"")"),"Las otras dos chicas están ayudando a sus padres a tallar las calabazas y eliminar las semillas y la pulpa de la calabaza.")</f>
        <v>Las otras dos chicas están ayudando a sus padres a tallar las calabazas y eliminar las semillas y la pulpa de la calabaza.</v>
      </c>
    </row>
    <row r="17570">
      <c r="A17570" s="4" t="s">
        <v>22118</v>
      </c>
      <c r="B17570" s="4" t="s">
        <v>22119</v>
      </c>
      <c r="C17570" s="5" t="str">
        <f>IFERROR(__xludf.DUMMYFUNCTION("GOOGLETRANSLATE(B17570,""en"",""es-ES"")"),"Un hombre sentado frente a una red de tenis se da vuelta y se enfrenta a su oponente, con un entrenador y un camarógrafo mirando.")</f>
        <v>Un hombre sentado frente a una red de tenis se da vuelta y se enfrenta a su oponente, con un entrenador y un camarógrafo mirando.</v>
      </c>
    </row>
    <row r="17571">
      <c r="A17571" s="4" t="s">
        <v>22118</v>
      </c>
      <c r="B17571" s="4" t="s">
        <v>22120</v>
      </c>
      <c r="C17571" s="5" t="str">
        <f>IFERROR(__xludf.DUMMYFUNCTION("GOOGLETRANSLATE(B17571,""en"",""es-ES"")"),"A medida que ambos se elevan, vemos que en realidad se dirigen a un juego de tenis de mesa, la mesa en una cancha de tenis real.")</f>
        <v>A medida que ambos se elevan, vemos que en realidad se dirigen a un juego de tenis de mesa, la mesa en una cancha de tenis real.</v>
      </c>
    </row>
    <row r="17572">
      <c r="A17572" s="4" t="s">
        <v>22118</v>
      </c>
      <c r="B17572" s="4" t="s">
        <v>22121</v>
      </c>
      <c r="C17572" s="5" t="str">
        <f>IFERROR(__xludf.DUMMYFUNCTION("GOOGLETRANSLATE(B17572,""en"",""es-ES"")"),"Siendo su partido, uno en una camiseta sin mangas blanca y pantalones cortos verdes, el otro con una camisa naranja y pantalones cortos blancos.")</f>
        <v>Siendo su partido, uno en una camiseta sin mangas blanca y pantalones cortos verdes, el otro con una camisa naranja y pantalones cortos blancos.</v>
      </c>
    </row>
    <row r="17573">
      <c r="A17573" s="4" t="s">
        <v>22118</v>
      </c>
      <c r="B17573" s="4" t="s">
        <v>22122</v>
      </c>
      <c r="C17573" s="5" t="str">
        <f>IFERROR(__xludf.DUMMYFUNCTION("GOOGLETRANSLATE(B17573,""en"",""es-ES"")"),"Golpean de un lado a otro por algún tiempo, el disfrute del juego parecía más importante el ganador, y le dan las manos a la conclusión.")</f>
        <v>Golpean de un lado a otro por algún tiempo, el disfrute del juego parecía más importante el ganador, y le dan las manos a la conclusión.</v>
      </c>
    </row>
    <row r="17574">
      <c r="A17574" s="4" t="s">
        <v>22123</v>
      </c>
      <c r="B17574" s="4" t="s">
        <v>22124</v>
      </c>
      <c r="C17574" s="5" t="str">
        <f>IFERROR(__xludf.DUMMYFUNCTION("GOOGLETRANSLATE(B17574,""en"",""es-ES"")"),"Se ve a dos hombres hablando entre ellos frente a la cámara mientras movían sus manos hacia sus voces.")</f>
        <v>Se ve a dos hombres hablando entre ellos frente a la cámara mientras movían sus manos hacia sus voces.</v>
      </c>
    </row>
    <row r="17575">
      <c r="A17575" s="4" t="s">
        <v>22123</v>
      </c>
      <c r="B17575" s="4" t="s">
        <v>22125</v>
      </c>
      <c r="C17575" s="5" t="str">
        <f>IFERROR(__xludf.DUMMYFUNCTION("GOOGLETRANSLATE(B17575,""en"",""es-ES"")"),"Los hombres continúan hablando entre ellos mientras actúan locos en el sofá y se señalan unos a otros.")</f>
        <v>Los hombres continúan hablando entre ellos mientras actúan locos en el sofá y se señalan unos a otros.</v>
      </c>
    </row>
    <row r="17576">
      <c r="A17576" s="4" t="s">
        <v>22126</v>
      </c>
      <c r="B17576" s="4" t="s">
        <v>22127</v>
      </c>
      <c r="C17576" s="5" t="str">
        <f>IFERROR(__xludf.DUMMYFUNCTION("GOOGLETRANSLATE(B17576,""en"",""es-ES"")"),"Se ve a un hombre arrodillado ante una pista mientras otros miran a los lados.")</f>
        <v>Se ve a un hombre arrodillado ante una pista mientras otros miran a los lados.</v>
      </c>
    </row>
    <row r="17577">
      <c r="A17577" s="4" t="s">
        <v>22126</v>
      </c>
      <c r="B17577" s="4" t="s">
        <v>22128</v>
      </c>
      <c r="C17577" s="5" t="str">
        <f>IFERROR(__xludf.DUMMYFUNCTION("GOOGLETRANSLATE(B17577,""en"",""es-ES"")"),"Una persona corre hacia un lado y salta a un pozo.")</f>
        <v>Una persona corre hacia un lado y salta a un pozo.</v>
      </c>
    </row>
    <row r="17578">
      <c r="A17578" s="4" t="s">
        <v>22126</v>
      </c>
      <c r="B17578" s="4" t="s">
        <v>22129</v>
      </c>
      <c r="C17578" s="5" t="str">
        <f>IFERROR(__xludf.DUMMYFUNCTION("GOOGLETRANSLATE(B17578,""en"",""es-ES"")"),"El hombre sentado rastrea su puntaje y varias personas más se ven corriendo.")</f>
        <v>El hombre sentado rastrea su puntaje y varias personas más se ven corriendo.</v>
      </c>
    </row>
    <row r="17579">
      <c r="A17579" s="4" t="s">
        <v>22130</v>
      </c>
      <c r="B17579" s="4" t="s">
        <v>22131</v>
      </c>
      <c r="C17579" s="5" t="str">
        <f>IFERROR(__xludf.DUMMYFUNCTION("GOOGLETRANSLATE(B17579,""en"",""es-ES"")"),"Un joven resuelve un cubo Rubix rápidamente en una sesión cronometrada digitalmente.")</f>
        <v>Un joven resuelve un cubo Rubix rápidamente en una sesión cronometrada digitalmente.</v>
      </c>
    </row>
    <row r="17580">
      <c r="A17580" s="4" t="s">
        <v>22130</v>
      </c>
      <c r="B17580" s="4" t="s">
        <v>22132</v>
      </c>
      <c r="C17580" s="5" t="str">
        <f>IFERROR(__xludf.DUMMYFUNCTION("GOOGLETRANSLATE(B17580,""en"",""es-ES"")"),"Un hombre con una camisa amarilla con un gráfico de la cara de un hombre habla con la cámara y sostiene un cubo Rubix sin resolver.")</f>
        <v>Un hombre con una camisa amarilla con un gráfico de la cara de un hombre habla con la cámara y sostiene un cubo Rubix sin resolver.</v>
      </c>
    </row>
    <row r="17581">
      <c r="A17581" s="4" t="s">
        <v>22130</v>
      </c>
      <c r="B17581" s="4" t="s">
        <v>22133</v>
      </c>
      <c r="C17581" s="5" t="str">
        <f>IFERROR(__xludf.DUMMYFUNCTION("GOOGLETRANSLATE(B17581,""en"",""es-ES"")"),"Aparece un temporizador digital negro en la pantalla en la esquina inferior derecha y comienza a correr el tiempo.")</f>
        <v>Aparece un temporizador digital negro en la pantalla en la esquina inferior derecha y comienza a correr el tiempo.</v>
      </c>
    </row>
    <row r="17582">
      <c r="A17582" s="4" t="s">
        <v>22130</v>
      </c>
      <c r="B17582" s="4" t="s">
        <v>22134</v>
      </c>
      <c r="C17582" s="5" t="str">
        <f>IFERROR(__xludf.DUMMYFUNCTION("GOOGLETRANSLATE(B17582,""en"",""es-ES"")"),"El hombre comienza a resolver el cubo Rubix cuando comienza el temporizador, y luego resuelve el cubo Rubix con 00:34:08 tiempo, momento en el que sostiene el cubo Rubix resuelto en el aire como demostración.")</f>
        <v>El hombre comienza a resolver el cubo Rubix cuando comienza el temporizador, y luego resuelve el cubo Rubix con 00:34:08 tiempo, momento en el que sostiene el cubo Rubix resuelto en el aire como demostración.</v>
      </c>
    </row>
    <row r="17583">
      <c r="A17583" s="4" t="s">
        <v>22135</v>
      </c>
      <c r="B17583" s="4" t="s">
        <v>22136</v>
      </c>
      <c r="C17583" s="5" t="str">
        <f>IFERROR(__xludf.DUMMYFUNCTION("GOOGLETRANSLATE(B17583,""en"",""es-ES"")"),"Se ve a dos hombres hablando con la cámara mientras cada uno sostiene un arco y una flecha.")</f>
        <v>Se ve a dos hombres hablando con la cámara mientras cada uno sostiene un arco y una flecha.</v>
      </c>
    </row>
    <row r="17584">
      <c r="A17584" s="4" t="s">
        <v>22135</v>
      </c>
      <c r="B17584" s="4" t="s">
        <v>22137</v>
      </c>
      <c r="C17584" s="5" t="str">
        <f>IFERROR(__xludf.DUMMYFUNCTION("GOOGLETRANSLATE(B17584,""en"",""es-ES"")"),"Un hombre muestra el suyo mientras se muestran clips de personas disparando el arco y se muestran en el medio.")</f>
        <v>Un hombre muestra el suyo mientras se muestran clips de personas disparando el arco y se muestran en el medio.</v>
      </c>
    </row>
    <row r="17585">
      <c r="A17585" s="4" t="s">
        <v>22135</v>
      </c>
      <c r="B17585" s="4" t="s">
        <v>22138</v>
      </c>
      <c r="C17585" s="5" t="str">
        <f>IFERROR(__xludf.DUMMYFUNCTION("GOOGLETRANSLATE(B17585,""en"",""es-ES"")"),"El otro hombre muestra su arco mientras aún muestra sus especificaciones.")</f>
        <v>El otro hombre muestra su arco mientras aún muestra sus especificaciones.</v>
      </c>
    </row>
    <row r="17586">
      <c r="A17586" s="4" t="s">
        <v>22139</v>
      </c>
      <c r="B17586" s="4" t="s">
        <v>22140</v>
      </c>
      <c r="C17586" s="5" t="str">
        <f>IFERROR(__xludf.DUMMYFUNCTION("GOOGLETRANSLATE(B17586,""en"",""es-ES"")"),"Se ve a una persona roller en una calle mientras se ve a muchas personas caminando a su alrededor.")</f>
        <v>Se ve a una persona roller en una calle mientras se ve a muchas personas caminando a su alrededor.</v>
      </c>
    </row>
    <row r="17587">
      <c r="A17587" s="4" t="s">
        <v>22139</v>
      </c>
      <c r="B17587" s="4" t="s">
        <v>22141</v>
      </c>
      <c r="C17587" s="5" t="str">
        <f>IFERROR(__xludf.DUMMYFUNCTION("GOOGLETRANSLATE(B17587,""en"",""es-ES"")"),"Luego, los reporteros están siendo entrevistados a un hombre y termina con la cámara que se desplaza.")</f>
        <v>Luego, los reporteros están siendo entrevistados a un hombre y termina con la cámara que se desplaza.</v>
      </c>
    </row>
    <row r="17588">
      <c r="A17588" s="4" t="s">
        <v>22142</v>
      </c>
      <c r="B17588" s="4" t="s">
        <v>22143</v>
      </c>
      <c r="C17588" s="5" t="str">
        <f>IFERROR(__xludf.DUMMYFUNCTION("GOOGLETRANSLATE(B17588,""en"",""es-ES"")"),"Una persona coloca un trozo de papel de pared en su lugar y lo alinea con las otras piezas.")</f>
        <v>Una persona coloca un trozo de papel de pared en su lugar y lo alinea con las otras piezas.</v>
      </c>
    </row>
    <row r="17589">
      <c r="A17589" s="4" t="s">
        <v>22142</v>
      </c>
      <c r="B17589" s="4" t="s">
        <v>22144</v>
      </c>
      <c r="C17589" s="5" t="str">
        <f>IFERROR(__xludf.DUMMYFUNCTION("GOOGLETRANSLATE(B17589,""en"",""es-ES"")"),"El papel de la pared se corta con láminas al tamaño adecuado.")</f>
        <v>El papel de la pared se corta con láminas al tamaño adecuado.</v>
      </c>
    </row>
    <row r="17590">
      <c r="A17590" s="4" t="s">
        <v>22142</v>
      </c>
      <c r="B17590" s="4" t="s">
        <v>22145</v>
      </c>
      <c r="C17590" s="5" t="str">
        <f>IFERROR(__xludf.DUMMYFUNCTION("GOOGLETRANSLATE(B17590,""en"",""es-ES"")"),"El hombre revisa el papel de la pared y luego despega una tira adhesiva en la parte posterior.")</f>
        <v>El hombre revisa el papel de la pared y luego despega una tira adhesiva en la parte posterior.</v>
      </c>
    </row>
    <row r="17591">
      <c r="A17591" s="4" t="s">
        <v>22142</v>
      </c>
      <c r="B17591" s="4" t="s">
        <v>22146</v>
      </c>
      <c r="C17591" s="5" t="str">
        <f>IFERROR(__xludf.DUMMYFUNCTION("GOOGLETRANSLATE(B17591,""en"",""es-ES"")"),"El papel de la pared está unido a la pared y se suaviza hacia abajo a mano.")</f>
        <v>El papel de la pared está unido a la pared y se suaviza hacia abajo a mano.</v>
      </c>
    </row>
    <row r="17592">
      <c r="A17592" s="4" t="s">
        <v>22142</v>
      </c>
      <c r="B17592" s="4" t="s">
        <v>22147</v>
      </c>
      <c r="C17592" s="5" t="str">
        <f>IFERROR(__xludf.DUMMYFUNCTION("GOOGLETRANSLATE(B17592,""en"",""es-ES"")"),"La persona usa una toalla para aplanar el papel de la pared.")</f>
        <v>La persona usa una toalla para aplanar el papel de la pared.</v>
      </c>
    </row>
    <row r="17593">
      <c r="A17593" s="4" t="s">
        <v>22142</v>
      </c>
      <c r="B17593" s="4" t="s">
        <v>22148</v>
      </c>
      <c r="C17593" s="5" t="str">
        <f>IFERROR(__xludf.DUMMYFUNCTION("GOOGLETRANSLATE(B17593,""en"",""es-ES"")"),"El fondo de pantalla se corta en la parte inferior y arrugó contra el tablero.")</f>
        <v>El fondo de pantalla se corta en la parte inferior y arrugó contra el tablero.</v>
      </c>
    </row>
    <row r="17594">
      <c r="A17594" s="4" t="s">
        <v>22142</v>
      </c>
      <c r="B17594" s="4" t="s">
        <v>22149</v>
      </c>
      <c r="C17594" s="5" t="str">
        <f>IFERROR(__xludf.DUMMYFUNCTION("GOOGLETRANSLATE(B17594,""en"",""es-ES"")"),"El papel de la pared se corta y arruga a lo largo del techo.")</f>
        <v>El papel de la pared se corta y arruga a lo largo del techo.</v>
      </c>
    </row>
    <row r="17595">
      <c r="A17595" s="4" t="s">
        <v>22150</v>
      </c>
      <c r="B17595" s="4" t="s">
        <v>22151</v>
      </c>
      <c r="C17595" s="5" t="str">
        <f>IFERROR(__xludf.DUMMYFUNCTION("GOOGLETRANSLATE(B17595,""en"",""es-ES"")"),"Un grupo de personas se muestra en un festival que sirve comida e interactuando con su multitud.")</f>
        <v>Un grupo de personas se muestra en un festival que sirve comida e interactuando con su multitud.</v>
      </c>
    </row>
    <row r="17596">
      <c r="A17596" s="4" t="s">
        <v>22150</v>
      </c>
      <c r="B17596" s="4" t="s">
        <v>22152</v>
      </c>
      <c r="C17596" s="5" t="str">
        <f>IFERROR(__xludf.DUMMYFUNCTION("GOOGLETRANSLATE(B17596,""en"",""es-ES"")"),"El hombre continúa jugando con la multitud y los hace trabajar para su cono de helado.")</f>
        <v>El hombre continúa jugando con la multitud y los hace trabajar para su cono de helado.</v>
      </c>
    </row>
    <row r="17597">
      <c r="A17597" s="4" t="s">
        <v>22150</v>
      </c>
      <c r="B17597" s="4" t="s">
        <v>22153</v>
      </c>
      <c r="C17597" s="5" t="str">
        <f>IFERROR(__xludf.DUMMYFUNCTION("GOOGLETRANSLATE(B17597,""en"",""es-ES"")"),"Finalmente, el video termina, el hombre sonríe y los créditos comienzan a rodar.")</f>
        <v>Finalmente, el video termina, el hombre sonríe y los créditos comienzan a rodar.</v>
      </c>
    </row>
    <row r="17598">
      <c r="A17598" s="4" t="s">
        <v>22154</v>
      </c>
      <c r="B17598" s="4" t="s">
        <v>22155</v>
      </c>
      <c r="C17598" s="5" t="str">
        <f>IFERROR(__xludf.DUMMYFUNCTION("GOOGLETRANSLATE(B17598,""en"",""es-ES"")"),"La gente recoge montones de hierba en un patio delantero.")</f>
        <v>La gente recoge montones de hierba en un patio delantero.</v>
      </c>
    </row>
    <row r="17599">
      <c r="A17599" s="4" t="s">
        <v>22154</v>
      </c>
      <c r="B17599" s="4" t="s">
        <v>22156</v>
      </c>
      <c r="C17599" s="5" t="str">
        <f>IFERROR(__xludf.DUMMYFUNCTION("GOOGLETRANSLATE(B17599,""en"",""es-ES"")"),"Un perro camina en el patio donde la gente apila el césped.")</f>
        <v>Un perro camina en el patio donde la gente apila el césped.</v>
      </c>
    </row>
    <row r="17600">
      <c r="A17600" s="4" t="s">
        <v>22154</v>
      </c>
      <c r="B17600" s="4" t="s">
        <v>22157</v>
      </c>
      <c r="C17600" s="5" t="str">
        <f>IFERROR(__xludf.DUMMYFUNCTION("GOOGLETRANSLATE(B17600,""en"",""es-ES"")"),"Un hombre cortó la hierba con un cortador de mano.")</f>
        <v>Un hombre cortó la hierba con un cortador de mano.</v>
      </c>
    </row>
    <row r="17601">
      <c r="A17601" s="4" t="s">
        <v>22154</v>
      </c>
      <c r="B17601" s="4" t="s">
        <v>22158</v>
      </c>
      <c r="C17601" s="5" t="str">
        <f>IFERROR(__xludf.DUMMYFUNCTION("GOOGLETRANSLATE(B17601,""en"",""es-ES"")"),"Los perros huelen en el suelo.")</f>
        <v>Los perros huelen en el suelo.</v>
      </c>
    </row>
    <row r="17602">
      <c r="A17602" s="4" t="s">
        <v>22159</v>
      </c>
      <c r="B17602" s="4" t="s">
        <v>22160</v>
      </c>
      <c r="C17602" s="5" t="str">
        <f>IFERROR(__xludf.DUMMYFUNCTION("GOOGLETRANSLATE(B17602,""en"",""es-ES"")"),"Se muestran un par de manos tocando piano.")</f>
        <v>Se muestran un par de manos tocando piano.</v>
      </c>
    </row>
    <row r="17603">
      <c r="A17603" s="4" t="s">
        <v>22159</v>
      </c>
      <c r="B17603" s="4" t="s">
        <v>22161</v>
      </c>
      <c r="C17603" s="5" t="str">
        <f>IFERROR(__xludf.DUMMYFUNCTION("GOOGLETRANSLATE(B17603,""en"",""es-ES"")"),"Se muestra al pianista jugando con otra persona sentada a su lado.")</f>
        <v>Se muestra al pianista jugando con otra persona sentada a su lado.</v>
      </c>
    </row>
    <row r="17604">
      <c r="A17604" s="4" t="s">
        <v>22159</v>
      </c>
      <c r="B17604" s="4" t="s">
        <v>22162</v>
      </c>
      <c r="C17604" s="5" t="str">
        <f>IFERROR(__xludf.DUMMYFUNCTION("GOOGLETRANSLATE(B17604,""en"",""es-ES"")"),"La jugada se ve desde una vista de cerca de nuevo.")</f>
        <v>La jugada se ve desde una vista de cerca de nuevo.</v>
      </c>
    </row>
    <row r="17605">
      <c r="A17605" s="4" t="s">
        <v>22159</v>
      </c>
      <c r="B17605" s="4" t="s">
        <v>22163</v>
      </c>
      <c r="C17605" s="5" t="str">
        <f>IFERROR(__xludf.DUMMYFUNCTION("GOOGLETRANSLATE(B17605,""en"",""es-ES"")"),"El segundo hombre imita al primer hombre.")</f>
        <v>El segundo hombre imita al primer hombre.</v>
      </c>
    </row>
    <row r="17606">
      <c r="A17606" s="4" t="s">
        <v>22159</v>
      </c>
      <c r="B17606" s="4" t="s">
        <v>22164</v>
      </c>
      <c r="C17606" s="5" t="str">
        <f>IFERROR(__xludf.DUMMYFUNCTION("GOOGLETRANSLATE(B17606,""en"",""es-ES"")"),"El primer hombre aplaude en la imitación del segundo hombre.")</f>
        <v>El primer hombre aplaude en la imitación del segundo hombre.</v>
      </c>
    </row>
    <row r="17607">
      <c r="A17607" s="4" t="s">
        <v>22165</v>
      </c>
      <c r="B17607" s="4" t="s">
        <v>22166</v>
      </c>
      <c r="C17607" s="5" t="str">
        <f>IFERROR(__xludf.DUMMYFUNCTION("GOOGLETRANSLATE(B17607,""en"",""es-ES"")"),"Un hombre se para frente a la cámara y luego toma una bocanada de su cigarrillo.")</f>
        <v>Un hombre se para frente a la cámara y luego toma una bocanada de su cigarrillo.</v>
      </c>
    </row>
    <row r="17608">
      <c r="A17608" s="4" t="s">
        <v>22165</v>
      </c>
      <c r="B17608" s="4" t="s">
        <v>22167</v>
      </c>
      <c r="C17608" s="5" t="str">
        <f>IFERROR(__xludf.DUMMYFUNCTION("GOOGLETRANSLATE(B17608,""en"",""es-ES"")"),"Después, aparece con las palas de rodillos y comienza a saltar sobre diferentes bloques y rocas de la ciudad.")</f>
        <v>Después, aparece con las palas de rodillos y comienza a saltar sobre diferentes bloques y rocas de la ciudad.</v>
      </c>
    </row>
    <row r="17609">
      <c r="A17609" s="4" t="s">
        <v>22165</v>
      </c>
      <c r="B17609" s="4" t="s">
        <v>22168</v>
      </c>
      <c r="C17609" s="5" t="str">
        <f>IFERROR(__xludf.DUMMYFUNCTION("GOOGLETRANSLATE(B17609,""en"",""es-ES"")"),"El hombre continúa abriéndose camino por la ciudad, pasando autos y saltando sobre rocas.")</f>
        <v>El hombre continúa abriéndose camino por la ciudad, pasando autos y saltando sobre rocas.</v>
      </c>
    </row>
    <row r="17610">
      <c r="A17610" s="4" t="s">
        <v>22169</v>
      </c>
      <c r="B17610" s="4" t="s">
        <v>22170</v>
      </c>
      <c r="C17610" s="5" t="str">
        <f>IFERROR(__xludf.DUMMYFUNCTION("GOOGLETRANSLATE(B17610,""en"",""es-ES"")"),"Una mujer y un hombre saludan, y luego demuestran movimientos de karate en un gimnasio.")</f>
        <v>Una mujer y un hombre saludan, y luego demuestran movimientos de karate en un gimnasio.</v>
      </c>
    </row>
    <row r="17611">
      <c r="A17611" s="4" t="s">
        <v>22169</v>
      </c>
      <c r="B17611" s="4" t="s">
        <v>22171</v>
      </c>
      <c r="C17611" s="5" t="str">
        <f>IFERROR(__xludf.DUMMYFUNCTION("GOOGLETRANSLATE(B17611,""en"",""es-ES"")"),"Después, la mujer y el hombre se paran y saludan.")</f>
        <v>Después, la mujer y el hombre se paran y saludan.</v>
      </c>
    </row>
    <row r="17612">
      <c r="A17612" s="4" t="s">
        <v>22172</v>
      </c>
      <c r="B17612" s="4" t="s">
        <v>22173</v>
      </c>
      <c r="C17612" s="5" t="str">
        <f>IFERROR(__xludf.DUMMYFUNCTION("GOOGLETRANSLATE(B17612,""en"",""es-ES"")"),"Se ve un gráfico con dibujos de hongos y plantas.")</f>
        <v>Se ve un gráfico con dibujos de hongos y plantas.</v>
      </c>
    </row>
    <row r="17613">
      <c r="A17613" s="4" t="s">
        <v>22172</v>
      </c>
      <c r="B17613" s="4" t="s">
        <v>22174</v>
      </c>
      <c r="C17613" s="5" t="str">
        <f>IFERROR(__xludf.DUMMYFUNCTION("GOOGLETRANSLATE(B17613,""en"",""es-ES"")"),"Se ve un pino alto.")</f>
        <v>Se ve un pino alto.</v>
      </c>
    </row>
    <row r="17614">
      <c r="A17614" s="4" t="s">
        <v>22172</v>
      </c>
      <c r="B17614" s="4" t="s">
        <v>22175</v>
      </c>
      <c r="C17614" s="5" t="str">
        <f>IFERROR(__xludf.DUMMYFUNCTION("GOOGLETRANSLATE(B17614,""en"",""es-ES"")"),"Se enciende un partido y un joven levanta otro partido iluminado junto con palos y luego lo sopla.")</f>
        <v>Se enciende un partido y un joven levanta otro partido iluminado junto con palos y luego lo sopla.</v>
      </c>
    </row>
    <row r="17615">
      <c r="A17615" s="4" t="s">
        <v>22172</v>
      </c>
      <c r="B17615" s="4" t="s">
        <v>22176</v>
      </c>
      <c r="C17615" s="5" t="str">
        <f>IFERROR(__xludf.DUMMYFUNCTION("GOOGLETRANSLATE(B17615,""en"",""es-ES"")"),"El joven construye un anillo de rocas cerca de una tienda de campaña.")</f>
        <v>El joven construye un anillo de rocas cerca de una tienda de campaña.</v>
      </c>
    </row>
    <row r="17616">
      <c r="A17616" s="4" t="s">
        <v>22172</v>
      </c>
      <c r="B17616" s="4" t="s">
        <v>22177</v>
      </c>
      <c r="C17616" s="5" t="str">
        <f>IFERROR(__xludf.DUMMYFUNCTION("GOOGLETRANSLATE(B17616,""en"",""es-ES"")"),"Luego, el campista muestra palos de varios tamaños en sus manos y otros que rompe en dos.")</f>
        <v>Luego, el campista muestra palos de varios tamaños en sus manos y otros que rompe en dos.</v>
      </c>
    </row>
    <row r="17617">
      <c r="A17617" s="4" t="s">
        <v>22172</v>
      </c>
      <c r="B17617" s="4" t="s">
        <v>22178</v>
      </c>
      <c r="C17617" s="5" t="str">
        <f>IFERROR(__xludf.DUMMYFUNCTION("GOOGLETRANSLATE(B17617,""en"",""es-ES"")"),"El joven se rompe con el pie y los lleva al campamento.")</f>
        <v>El joven se rompe con el pie y los lleva al campamento.</v>
      </c>
    </row>
    <row r="17618">
      <c r="A17618" s="4" t="s">
        <v>22172</v>
      </c>
      <c r="B17618" s="4" t="s">
        <v>22179</v>
      </c>
      <c r="C17618" s="5" t="str">
        <f>IFERROR(__xludf.DUMMYFUNCTION("GOOGLETRANSLATE(B17618,""en"",""es-ES"")"),"El joven construye un fuego con los bastones de diversos tamaños en el anillo de fuego y lo enciende.")</f>
        <v>El joven construye un fuego con los bastones de diversos tamaños en el anillo de fuego y lo enciende.</v>
      </c>
    </row>
    <row r="17619">
      <c r="A17619" s="4" t="s">
        <v>22172</v>
      </c>
      <c r="B17619" s="4" t="s">
        <v>22180</v>
      </c>
      <c r="C17619" s="5" t="str">
        <f>IFERROR(__xludf.DUMMYFUNCTION("GOOGLETRANSLATE(B17619,""en"",""es-ES"")"),"El fuego arde la noche.")</f>
        <v>El fuego arde la noche.</v>
      </c>
    </row>
    <row r="17620">
      <c r="A17620" s="4" t="s">
        <v>22181</v>
      </c>
      <c r="B17620" s="4" t="s">
        <v>22182</v>
      </c>
      <c r="C17620" s="5" t="str">
        <f>IFERROR(__xludf.DUMMYFUNCTION("GOOGLETRANSLATE(B17620,""en"",""es-ES"")"),"Un hombre en esmoquin y mujer con un vestido de fiesta bailan el tango en un salón de baile rodeado de multitud en sillas durante la actuación.")</f>
        <v>Un hombre en esmoquin y mujer con un vestido de fiesta bailan el tango en un salón de baile rodeado de multitud en sillas durante la actuación.</v>
      </c>
    </row>
    <row r="17621">
      <c r="A17621" s="4" t="s">
        <v>22181</v>
      </c>
      <c r="B17621" s="4" t="s">
        <v>22183</v>
      </c>
      <c r="C17621" s="5" t="str">
        <f>IFERROR(__xludf.DUMMYFUNCTION("GOOGLETRANSLATE(B17621,""en"",""es-ES"")"),"La multitud anima al final y aplaude.")</f>
        <v>La multitud anima al final y aplaude.</v>
      </c>
    </row>
    <row r="17622">
      <c r="A17622" s="4" t="s">
        <v>22184</v>
      </c>
      <c r="B17622" s="4" t="s">
        <v>22185</v>
      </c>
      <c r="C17622" s="5" t="str">
        <f>IFERROR(__xludf.DUMMYFUNCTION("GOOGLETRANSLATE(B17622,""en"",""es-ES"")"),"Una mujer está parada frente a una lavadora y secadora en una lavandería.")</f>
        <v>Una mujer está parada frente a una lavadora y secadora en una lavandería.</v>
      </c>
    </row>
    <row r="17623">
      <c r="A17623" s="4" t="s">
        <v>22184</v>
      </c>
      <c r="B17623" s="4" t="s">
        <v>22186</v>
      </c>
      <c r="C17623" s="5" t="str">
        <f>IFERROR(__xludf.DUMMYFUNCTION("GOOGLETRANSLATE(B17623,""en"",""es-ES"")"),"Se dan instrucciones paso a paso para planchar ropa.")</f>
        <v>Se dan instrucciones paso a paso para planchar ropa.</v>
      </c>
    </row>
    <row r="17624">
      <c r="A17624" s="4" t="s">
        <v>22184</v>
      </c>
      <c r="B17624" s="4" t="s">
        <v>22187</v>
      </c>
      <c r="C17624" s="5" t="str">
        <f>IFERROR(__xludf.DUMMYFUNCTION("GOOGLETRANSLATE(B17624,""en"",""es-ES"")"),"Ella muestra cómo prepararse y planchar ropa con trapo y vapor.")</f>
        <v>Ella muestra cómo prepararse y planchar ropa con trapo y vapor.</v>
      </c>
    </row>
    <row r="17625">
      <c r="A17625" s="4" t="s">
        <v>22188</v>
      </c>
      <c r="B17625" s="4" t="s">
        <v>22189</v>
      </c>
      <c r="C17625" s="5" t="str">
        <f>IFERROR(__xludf.DUMMYFUNCTION("GOOGLETRANSLATE(B17625,""en"",""es-ES"")"),"Una mujer está sentada junto a un bebé en una silla alta.")</f>
        <v>Una mujer está sentada junto a un bebé en una silla alta.</v>
      </c>
    </row>
    <row r="17626">
      <c r="A17626" s="4" t="s">
        <v>22188</v>
      </c>
      <c r="B17626" s="4" t="s">
        <v>22190</v>
      </c>
      <c r="C17626" s="5" t="str">
        <f>IFERROR(__xludf.DUMMYFUNCTION("GOOGLETRANSLATE(B17626,""en"",""es-ES"")"),"Ella está jugando un acordeo para el bebé.")</f>
        <v>Ella está jugando un acordeo para el bebé.</v>
      </c>
    </row>
    <row r="17627">
      <c r="A17627" s="4" t="s">
        <v>22188</v>
      </c>
      <c r="B17627" s="4" t="s">
        <v>22191</v>
      </c>
      <c r="C17627" s="5" t="str">
        <f>IFERROR(__xludf.DUMMYFUNCTION("GOOGLETRANSLATE(B17627,""en"",""es-ES"")"),"El bebé se mueve de un lado a otro, bailando con la música.")</f>
        <v>El bebé se mueve de un lado a otro, bailando con la música.</v>
      </c>
    </row>
    <row r="17628">
      <c r="A17628" s="4" t="s">
        <v>22192</v>
      </c>
      <c r="B17628" s="4" t="s">
        <v>22193</v>
      </c>
      <c r="C17628" s="5" t="str">
        <f>IFERROR(__xludf.DUMMYFUNCTION("GOOGLETRANSLATE(B17628,""en"",""es-ES"")"),"Una mujer está dando instrucciones sobre cómo hacer su limonada.")</f>
        <v>Una mujer está dando instrucciones sobre cómo hacer su limonada.</v>
      </c>
    </row>
    <row r="17629">
      <c r="A17629" s="4" t="s">
        <v>22192</v>
      </c>
      <c r="B17629" s="4" t="s">
        <v>22194</v>
      </c>
      <c r="C17629" s="5" t="str">
        <f>IFERROR(__xludf.DUMMYFUNCTION("GOOGLETRANSLATE(B17629,""en"",""es-ES"")"),"Ella muestra todos los ingredientes que usa y comienza a hervirlos y mezclarlos en una olla en la estufa.")</f>
        <v>Ella muestra todos los ingredientes que usa y comienza a hervirlos y mezclarlos en una olla en la estufa.</v>
      </c>
    </row>
    <row r="17630">
      <c r="A17630" s="4" t="s">
        <v>22192</v>
      </c>
      <c r="B17630" s="4" t="s">
        <v>22195</v>
      </c>
      <c r="C17630" s="5" t="str">
        <f>IFERROR(__xludf.DUMMYFUNCTION("GOOGLETRANSLATE(B17630,""en"",""es-ES"")"),"En una licuadora, combina algunas fresas y jugo de limón.")</f>
        <v>En una licuadora, combina algunas fresas y jugo de limón.</v>
      </c>
    </row>
    <row r="17631">
      <c r="A17631" s="4" t="s">
        <v>22192</v>
      </c>
      <c r="B17631" s="4" t="s">
        <v>22196</v>
      </c>
      <c r="C17631" s="5" t="str">
        <f>IFERROR(__xludf.DUMMYFUNCTION("GOOGLETRANSLATE(B17631,""en"",""es-ES"")"),"Luego comienza a hacer más o menos todos esos pasos nuevamente para todos los diferentes tipos de otras limonadas que hace.")</f>
        <v>Luego comienza a hacer más o menos todos esos pasos nuevamente para todos los diferentes tipos de otras limonadas que hace.</v>
      </c>
    </row>
    <row r="17632">
      <c r="A17632" s="4" t="s">
        <v>22197</v>
      </c>
      <c r="B17632" s="4" t="s">
        <v>22198</v>
      </c>
      <c r="C17632" s="5" t="str">
        <f>IFERROR(__xludf.DUMMYFUNCTION("GOOGLETRANSLATE(B17632,""en"",""es-ES"")"),"Se muestra un primer plano de una persona que camina sobre una cuerda y un viejo hombre que habla con la cámara y más tomas de la persona caminando.")</f>
        <v>Se muestra un primer plano de una persona que camina sobre una cuerda y un viejo hombre que habla con la cámara y más tomas de la persona caminando.</v>
      </c>
    </row>
    <row r="17633">
      <c r="A17633" s="4" t="s">
        <v>22197</v>
      </c>
      <c r="B17633" s="4" t="s">
        <v>22199</v>
      </c>
      <c r="C17633" s="5" t="str">
        <f>IFERROR(__xludf.DUMMYFUNCTION("GOOGLETRANSLATE(B17633,""en"",""es-ES"")"),"Se entrevistan a más personas mientras las personas caminan detrás de ellos y muestran varias tomas más de personas que caminan por una cuerda.")</f>
        <v>Se entrevistan a más personas mientras las personas caminan detrás de ellos y muestran varias tomas más de personas que caminan por una cuerda.</v>
      </c>
    </row>
    <row r="17634">
      <c r="A17634" s="4" t="s">
        <v>22200</v>
      </c>
      <c r="B17634" s="4" t="s">
        <v>22201</v>
      </c>
      <c r="C17634" s="5" t="str">
        <f>IFERROR(__xludf.DUMMYFUNCTION("GOOGLETRANSLATE(B17634,""en"",""es-ES"")"),"Se ve a un pequeño grupo de personas de pie a lo largo de un interior con un jugador pateando la pelota y anotando un gol.")</f>
        <v>Se ve a un pequeño grupo de personas de pie a lo largo de un interior con un jugador pateando la pelota y anotando un gol.</v>
      </c>
    </row>
    <row r="17635">
      <c r="A17635" s="4" t="s">
        <v>22200</v>
      </c>
      <c r="B17635" s="4" t="s">
        <v>22202</v>
      </c>
      <c r="C17635" s="5" t="str">
        <f>IFERROR(__xludf.DUMMYFUNCTION("GOOGLETRANSLATE(B17635,""en"",""es-ES"")"),"La audiencia aplaude y el mismo disparo se muestra nuevamente varias veces y el jugador se aleja.")</f>
        <v>La audiencia aplaude y el mismo disparo se muestra nuevamente varias veces y el jugador se aleja.</v>
      </c>
    </row>
    <row r="17636">
      <c r="A17636" s="4" t="s">
        <v>22200</v>
      </c>
      <c r="B17636" s="4" t="s">
        <v>22203</v>
      </c>
      <c r="C17636" s="5" t="str">
        <f>IFERROR(__xludf.DUMMYFUNCTION("GOOGLETRANSLATE(B17636,""en"",""es-ES"")"),"Se muestran muchos más disparos durante el juego seguido de la misma toma que se muestra nuevamente en cámara lenta.")</f>
        <v>Se muestran muchos más disparos durante el juego seguido de la misma toma que se muestra nuevamente en cámara lenta.</v>
      </c>
    </row>
    <row r="17637">
      <c r="A17637" s="4" t="s">
        <v>22204</v>
      </c>
      <c r="B17637" s="4" t="s">
        <v>22205</v>
      </c>
      <c r="C17637" s="5" t="str">
        <f>IFERROR(__xludf.DUMMYFUNCTION("GOOGLETRANSLATE(B17637,""en"",""es-ES"")"),"Vemos al hombre burlándose de un toro con una bandera.")</f>
        <v>Vemos al hombre burlándose de un toro con una bandera.</v>
      </c>
    </row>
    <row r="17638">
      <c r="A17638" s="4" t="s">
        <v>22204</v>
      </c>
      <c r="B17638" s="4" t="s">
        <v>22206</v>
      </c>
      <c r="C17638" s="5" t="str">
        <f>IFERROR(__xludf.DUMMYFUNCTION("GOOGLETRANSLATE(B17638,""en"",""es-ES"")"),"El toro se carga en la bandera.")</f>
        <v>El toro se carga en la bandera.</v>
      </c>
    </row>
    <row r="17639">
      <c r="A17639" s="4" t="s">
        <v>22204</v>
      </c>
      <c r="B17639" s="4" t="s">
        <v>22207</v>
      </c>
      <c r="C17639" s="5" t="str">
        <f>IFERROR(__xludf.DUMMYFUNCTION("GOOGLETRANSLATE(B17639,""en"",""es-ES"")"),"El toro carga y va tras la bandera.")</f>
        <v>El toro carga y va tras la bandera.</v>
      </c>
    </row>
    <row r="17640">
      <c r="A17640" s="4" t="s">
        <v>22204</v>
      </c>
      <c r="B17640" s="4" t="s">
        <v>22208</v>
      </c>
      <c r="C17640" s="5" t="str">
        <f>IFERROR(__xludf.DUMMYFUNCTION("GOOGLETRANSLATE(B17640,""en"",""es-ES"")"),"El torero se mueve a la izquierda y el toro lo sigue.")</f>
        <v>El torero se mueve a la izquierda y el toro lo sigue.</v>
      </c>
    </row>
    <row r="17641">
      <c r="A17641" s="4" t="s">
        <v>22209</v>
      </c>
      <c r="B17641" s="4" t="s">
        <v>22210</v>
      </c>
      <c r="C17641" s="5" t="str">
        <f>IFERROR(__xludf.DUMMYFUNCTION("GOOGLETRANSLATE(B17641,""en"",""es-ES"")"),"Dos hombres caminan sosteniendo sobresalen frente a ellos.")</f>
        <v>Dos hombres caminan sosteniendo sobresalen frente a ellos.</v>
      </c>
    </row>
    <row r="17642">
      <c r="A17642" s="4" t="s">
        <v>22209</v>
      </c>
      <c r="B17642" s="4" t="s">
        <v>22211</v>
      </c>
      <c r="C17642" s="5" t="str">
        <f>IFERROR(__xludf.DUMMYFUNCTION("GOOGLETRANSLATE(B17642,""en"",""es-ES"")"),"Organizan discos en algunos números.")</f>
        <v>Organizan discos en algunos números.</v>
      </c>
    </row>
    <row r="17643">
      <c r="A17643" s="4" t="s">
        <v>22209</v>
      </c>
      <c r="B17643" s="4" t="s">
        <v>22212</v>
      </c>
      <c r="C17643" s="5" t="str">
        <f>IFERROR(__xludf.DUMMYFUNCTION("GOOGLETRANSLATE(B17643,""en"",""es-ES"")"),"Uno de los hombres arroja un disco con su palo.")</f>
        <v>Uno de los hombres arroja un disco con su palo.</v>
      </c>
    </row>
    <row r="17644">
      <c r="A17644" s="4" t="s">
        <v>22209</v>
      </c>
      <c r="B17644" s="4" t="s">
        <v>22213</v>
      </c>
      <c r="C17644" s="5" t="str">
        <f>IFERROR(__xludf.DUMMYFUNCTION("GOOGLETRANSLATE(B17644,""en"",""es-ES"")"),"El hombre de rojo arroja su disco.")</f>
        <v>El hombre de rojo arroja su disco.</v>
      </c>
    </row>
    <row r="17645">
      <c r="A17645" s="4" t="s">
        <v>22209</v>
      </c>
      <c r="B17645" s="4" t="s">
        <v>22214</v>
      </c>
      <c r="C17645" s="5" t="str">
        <f>IFERROR(__xludf.DUMMYFUNCTION("GOOGLETRANSLATE(B17645,""en"",""es-ES"")"),"El primer hombre arroja otro disco.")</f>
        <v>El primer hombre arroja otro disco.</v>
      </c>
    </row>
    <row r="17646">
      <c r="A17646" s="4" t="s">
        <v>22209</v>
      </c>
      <c r="B17646" s="4" t="s">
        <v>22215</v>
      </c>
      <c r="C17646" s="5" t="str">
        <f>IFERROR(__xludf.DUMMYFUNCTION("GOOGLETRANSLATE(B17646,""en"",""es-ES"")"),"El hombre de la camisa roja sigue.")</f>
        <v>El hombre de la camisa roja sigue.</v>
      </c>
    </row>
    <row r="17647">
      <c r="A17647" s="4" t="s">
        <v>22209</v>
      </c>
      <c r="B17647" s="4" t="s">
        <v>22216</v>
      </c>
      <c r="C17647" s="5" t="str">
        <f>IFERROR(__xludf.DUMMYFUNCTION("GOOGLETRANSLATE(B17647,""en"",""es-ES"")"),"El primer hombre arroja otro disco y el hombre con la camisa roja sigue.")</f>
        <v>El primer hombre arroja otro disco y el hombre con la camisa roja sigue.</v>
      </c>
    </row>
    <row r="17648">
      <c r="A17648" s="4" t="s">
        <v>22209</v>
      </c>
      <c r="B17648" s="4" t="s">
        <v>22217</v>
      </c>
      <c r="C17648" s="5" t="str">
        <f>IFERROR(__xludf.DUMMYFUNCTION("GOOGLETRANSLATE(B17648,""en"",""es-ES"")"),"Se dan cinco entre sí.")</f>
        <v>Se dan cinco entre sí.</v>
      </c>
    </row>
    <row r="17649">
      <c r="A17649" s="4" t="s">
        <v>22218</v>
      </c>
      <c r="B17649" s="4" t="s">
        <v>22219</v>
      </c>
      <c r="C17649" s="5" t="str">
        <f>IFERROR(__xludf.DUMMYFUNCTION("GOOGLETRANSLATE(B17649,""en"",""es-ES"")"),"Un hombre con uniforme militar está parado frente a un grupo de soldados.")</f>
        <v>Un hombre con uniforme militar está parado frente a un grupo de soldados.</v>
      </c>
    </row>
    <row r="17650">
      <c r="A17650" s="4" t="s">
        <v>22218</v>
      </c>
      <c r="B17650" s="4" t="s">
        <v>22220</v>
      </c>
      <c r="C17650" s="5" t="str">
        <f>IFERROR(__xludf.DUMMYFUNCTION("GOOGLETRANSLATE(B17650,""en"",""es-ES"")"),"Está jugando las gaitas mientras los otros soldados se paran y lo miran.")</f>
        <v>Está jugando las gaitas mientras los otros soldados se paran y lo miran.</v>
      </c>
    </row>
    <row r="17651">
      <c r="A17651" s="4" t="s">
        <v>22218</v>
      </c>
      <c r="B17651" s="4" t="s">
        <v>22221</v>
      </c>
      <c r="C17651" s="5" t="str">
        <f>IFERROR(__xludf.DUMMYFUNCTION("GOOGLETRANSLATE(B17651,""en"",""es-ES"")"),"Puede ser un desfile para el que están practicando porque están de pie y mirándolo encima del trailer.")</f>
        <v>Puede ser un desfile para el que están practicando porque están de pie y mirándolo encima del trailer.</v>
      </c>
    </row>
    <row r="17652">
      <c r="A17652" s="4" t="s">
        <v>22218</v>
      </c>
      <c r="B17652" s="4" t="s">
        <v>22222</v>
      </c>
      <c r="C17652" s="5" t="str">
        <f>IFERROR(__xludf.DUMMYFUNCTION("GOOGLETRANSLATE(B17652,""en"",""es-ES"")"),"Una vez que el soldado termina con su canción en la gaita, todos los soldados aplauden y lo animan.")</f>
        <v>Una vez que el soldado termina con su canción en la gaita, todos los soldados aplauden y lo animan.</v>
      </c>
    </row>
    <row r="17653">
      <c r="A17653" s="4" t="s">
        <v>22223</v>
      </c>
      <c r="B17653" s="4" t="s">
        <v>22224</v>
      </c>
      <c r="C17653" s="5" t="str">
        <f>IFERROR(__xludf.DUMMYFUNCTION("GOOGLETRANSLATE(B17653,""en"",""es-ES"")"),"Se muestra un viejo video de personas navegando.")</f>
        <v>Se muestra un viejo video de personas navegando.</v>
      </c>
    </row>
    <row r="17654">
      <c r="A17654" s="4" t="s">
        <v>22223</v>
      </c>
      <c r="B17654" s="4" t="s">
        <v>22225</v>
      </c>
      <c r="C17654" s="5" t="str">
        <f>IFERROR(__xludf.DUMMYFUNCTION("GOOGLETRANSLATE(B17654,""en"",""es-ES"")"),"La gente atrapa olas y el gordo hace un buen trabajo.")</f>
        <v>La gente atrapa olas y el gordo hace un buen trabajo.</v>
      </c>
    </row>
    <row r="17655">
      <c r="A17655" s="4" t="s">
        <v>22226</v>
      </c>
      <c r="B17655" s="4" t="s">
        <v>22227</v>
      </c>
      <c r="C17655" s="5" t="str">
        <f>IFERROR(__xludf.DUMMYFUNCTION("GOOGLETRANSLATE(B17655,""en"",""es-ES"")"),"Un gran hombre negro y John Cena están en una lucha libre de la lucha libre.")</f>
        <v>Un gran hombre negro y John Cena están en una lucha libre de la lucha libre.</v>
      </c>
    </row>
    <row r="17656">
      <c r="A17656" s="4" t="s">
        <v>22226</v>
      </c>
      <c r="B17656" s="4" t="s">
        <v>22228</v>
      </c>
      <c r="C17656" s="5" t="str">
        <f>IFERROR(__xludf.DUMMYFUNCTION("GOOGLETRANSLATE(B17656,""en"",""es-ES"")"),"El hombre negro está comenzando a ganar, pero John Cena usa todas sus fuerzas para no ceder y gana suficiente fuerza para empujar la mano hacia atrás en el otro lado.")</f>
        <v>El hombre negro está comenzando a ganar, pero John Cena usa todas sus fuerzas para no ceder y gana suficiente fuerza para empujar la mano hacia atrás en el otro lado.</v>
      </c>
    </row>
    <row r="17657">
      <c r="A17657" s="4" t="s">
        <v>22226</v>
      </c>
      <c r="B17657" s="4" t="s">
        <v>22229</v>
      </c>
      <c r="C17657" s="5" t="str">
        <f>IFERROR(__xludf.DUMMYFUNCTION("GOOGLETRANSLATE(B17657,""en"",""es-ES"")"),"Después de una cierta cantidad de tiempo, John Cena gana y alguien salta sobre su espalda y comienza a lucharlo y recoge al hombre negro y lo deja caer.")</f>
        <v>Después de una cierta cantidad de tiempo, John Cena gana y alguien salta sobre su espalda y comienza a lucharlo y recoge al hombre negro y lo deja caer.</v>
      </c>
    </row>
    <row r="17658">
      <c r="A17658" s="4" t="s">
        <v>22226</v>
      </c>
      <c r="B17658" s="4" t="s">
        <v>22230</v>
      </c>
      <c r="C17658" s="5" t="str">
        <f>IFERROR(__xludf.DUMMYFUNCTION("GOOGLETRANSLATE(B17658,""en"",""es-ES"")"),"Mientras John Cena continúa celebrando al otro tipo, comienza a hablar basura y John Cena lo mira y luego habla con la multitud.")</f>
        <v>Mientras John Cena continúa celebrando al otro tipo, comienza a hablar basura y John Cena lo mira y luego habla con la multitud.</v>
      </c>
    </row>
    <row r="17659">
      <c r="A17659" s="4" t="s">
        <v>22231</v>
      </c>
      <c r="B17659" s="4" t="s">
        <v>22232</v>
      </c>
      <c r="C17659" s="5" t="str">
        <f>IFERROR(__xludf.DUMMYFUNCTION("GOOGLETRANSLATE(B17659,""en"",""es-ES"")"),"Una banda de marcha toca en un gimnasio y una mirada de gente.")</f>
        <v>Una banda de marcha toca en un gimnasio y una mirada de gente.</v>
      </c>
    </row>
    <row r="17660">
      <c r="A17660" s="4" t="s">
        <v>22231</v>
      </c>
      <c r="B17660" s="4" t="s">
        <v>22233</v>
      </c>
      <c r="C17660" s="5" t="str">
        <f>IFERROR(__xludf.DUMMYFUNCTION("GOOGLETRANSLATE(B17660,""en"",""es-ES"")"),"Luego, la banda de música deja de tocar un poco, luego se reanuda.")</f>
        <v>Luego, la banda de música deja de tocar un poco, luego se reanuda.</v>
      </c>
    </row>
    <row r="17661">
      <c r="A17661" s="4" t="s">
        <v>22231</v>
      </c>
      <c r="B17661" s="4" t="s">
        <v>22234</v>
      </c>
      <c r="C17661" s="5" t="str">
        <f>IFERROR(__xludf.DUMMYFUNCTION("GOOGLETRANSLATE(B17661,""en"",""es-ES"")"),"Una mujer pasa a la banda de la banda de música.")</f>
        <v>Una mujer pasa a la banda de la banda de música.</v>
      </c>
    </row>
    <row r="17662">
      <c r="A17662" s="4" t="s">
        <v>22231</v>
      </c>
      <c r="B17662" s="4" t="s">
        <v>22235</v>
      </c>
      <c r="C17662" s="5" t="str">
        <f>IFERROR(__xludf.DUMMYFUNCTION("GOOGLETRANSLATE(B17662,""en"",""es-ES"")"),"Un joven bebe de una lata.")</f>
        <v>Un joven bebe de una lata.</v>
      </c>
    </row>
    <row r="17663">
      <c r="A17663" s="4" t="s">
        <v>22231</v>
      </c>
      <c r="B17663" s="4" t="s">
        <v>22236</v>
      </c>
      <c r="C17663" s="5" t="str">
        <f>IFERROR(__xludf.DUMMYFUNCTION("GOOGLETRANSLATE(B17663,""en"",""es-ES"")"),"Después, un niño pasa en el frente de la banda de música.")</f>
        <v>Después, un niño pasa en el frente de la banda de música.</v>
      </c>
    </row>
    <row r="17664">
      <c r="A17664" s="4" t="s">
        <v>22237</v>
      </c>
      <c r="B17664" s="4" t="s">
        <v>22238</v>
      </c>
      <c r="C17664" s="5" t="str">
        <f>IFERROR(__xludf.DUMMYFUNCTION("GOOGLETRANSLATE(B17664,""en"",""es-ES"")"),"La gente en una casa se prepara para ir en trineo en la calle cubierto de nieve.")</f>
        <v>La gente en una casa se prepara para ir en trineo en la calle cubierto de nieve.</v>
      </c>
    </row>
    <row r="17665">
      <c r="A17665" s="4" t="s">
        <v>22237</v>
      </c>
      <c r="B17665" s="4" t="s">
        <v>22239</v>
      </c>
      <c r="C17665" s="5" t="str">
        <f>IFERROR(__xludf.DUMMYFUNCTION("GOOGLETRANSLATE(B17665,""en"",""es-ES"")"),"Dos jóvenes trillados en el camino tirados por un automóvil.")</f>
        <v>Dos jóvenes trillados en el camino tirados por un automóvil.</v>
      </c>
    </row>
    <row r="17666">
      <c r="A17666" s="4" t="s">
        <v>22237</v>
      </c>
      <c r="B17666" s="4" t="s">
        <v>22240</v>
      </c>
      <c r="C17666" s="5" t="str">
        <f>IFERROR(__xludf.DUMMYFUNCTION("GOOGLETRANSLATE(B17666,""en"",""es-ES"")"),"Las salpicaduras de nieve caen sobre los jóvenes que están cubiertos de nieve.")</f>
        <v>Las salpicaduras de nieve caen sobre los jóvenes que están cubiertos de nieve.</v>
      </c>
    </row>
    <row r="17667">
      <c r="A17667" s="4" t="s">
        <v>22237</v>
      </c>
      <c r="B17667" s="4" t="s">
        <v>22241</v>
      </c>
      <c r="C17667" s="5" t="str">
        <f>IFERROR(__xludf.DUMMYFUNCTION("GOOGLETRANSLATE(B17667,""en"",""es-ES"")"),"Un joven se para del trineo y entra en el auto y otra persona toma su lugar en el trineo.")</f>
        <v>Un joven se para del trineo y entra en el auto y otra persona toma su lugar en el trineo.</v>
      </c>
    </row>
    <row r="17668">
      <c r="A17668" s="4" t="s">
        <v>22237</v>
      </c>
      <c r="B17668" s="4" t="s">
        <v>22242</v>
      </c>
      <c r="C17668" s="5" t="str">
        <f>IFERROR(__xludf.DUMMYFUNCTION("GOOGLETRANSLATE(B17668,""en"",""es-ES"")"),"Un hombre joven va por el camino en trineo mientras la nieve se extiende sobre ellos.")</f>
        <v>Un hombre joven va por el camino en trineo mientras la nieve se extiende sobre ellos.</v>
      </c>
    </row>
    <row r="17669">
      <c r="A17669" s="4" t="s">
        <v>22237</v>
      </c>
      <c r="B17669" s="4" t="s">
        <v>22243</v>
      </c>
      <c r="C17669" s="5" t="str">
        <f>IFERROR(__xludf.DUMMYFUNCTION("GOOGLETRANSLATE(B17669,""en"",""es-ES"")"),"Un joven snowboard que sostiene una cuerda unida a un automóvil, al final cae.")</f>
        <v>Un joven snowboard que sostiene una cuerda unida a un automóvil, al final cae.</v>
      </c>
    </row>
    <row r="17670">
      <c r="A17670" s="4" t="s">
        <v>22244</v>
      </c>
      <c r="B17670" s="4" t="s">
        <v>22245</v>
      </c>
      <c r="C17670" s="5" t="str">
        <f>IFERROR(__xludf.DUMMYFUNCTION("GOOGLETRANSLATE(B17670,""en"",""es-ES"")"),"Un niño patineta en una carretera saltando y volteando la patineta en la calle.")</f>
        <v>Un niño patineta en una carretera saltando y volteando la patineta en la calle.</v>
      </c>
    </row>
    <row r="17671">
      <c r="A17671" s="4" t="s">
        <v>22244</v>
      </c>
      <c r="B17671" s="4" t="s">
        <v>22246</v>
      </c>
      <c r="C17671" s="5" t="str">
        <f>IFERROR(__xludf.DUMMYFUNCTION("GOOGLETRANSLATE(B17671,""en"",""es-ES"")"),"Una patineta se apoya en un árbol.")</f>
        <v>Una patineta se apoya en un árbol.</v>
      </c>
    </row>
    <row r="17672">
      <c r="A17672" s="4" t="s">
        <v>22244</v>
      </c>
      <c r="B17672" s="4" t="s">
        <v>22247</v>
      </c>
      <c r="C17672" s="5" t="str">
        <f>IFERROR(__xludf.DUMMYFUNCTION("GOOGLETRANSLATE(B17672,""en"",""es-ES"")"),"Luego, el niño patineta en pequeñas rampas y luego continúa el patineta en la calle.")</f>
        <v>Luego, el niño patineta en pequeñas rampas y luego continúa el patineta en la calle.</v>
      </c>
    </row>
    <row r="17673">
      <c r="A17673" s="4" t="s">
        <v>22248</v>
      </c>
      <c r="B17673" s="4" t="s">
        <v>22249</v>
      </c>
      <c r="C17673" s="5" t="str">
        <f>IFERROR(__xludf.DUMMYFUNCTION("GOOGLETRANSLATE(B17673,""en"",""es-ES"")"),"Un hombre coloca la crema afeitada en su rostro.")</f>
        <v>Un hombre coloca la crema afeitada en su rostro.</v>
      </c>
    </row>
    <row r="17674">
      <c r="A17674" s="4" t="s">
        <v>22248</v>
      </c>
      <c r="B17674" s="4" t="s">
        <v>22250</v>
      </c>
      <c r="C17674" s="5" t="str">
        <f>IFERROR(__xludf.DUMMYFUNCTION("GOOGLETRANSLATE(B17674,""en"",""es-ES"")"),"Un hombre escupe un poco de líquido de su boca.")</f>
        <v>Un hombre escupe un poco de líquido de su boca.</v>
      </c>
    </row>
    <row r="17675">
      <c r="A17675" s="4" t="s">
        <v>22248</v>
      </c>
      <c r="B17675" s="4" t="s">
        <v>22251</v>
      </c>
      <c r="C17675" s="5" t="str">
        <f>IFERROR(__xludf.DUMMYFUNCTION("GOOGLETRANSLATE(B17675,""en"",""es-ES"")"),"Un hombre agudiza su espada de afeitar.")</f>
        <v>Un hombre agudiza su espada de afeitar.</v>
      </c>
    </row>
    <row r="17676">
      <c r="A17676" s="4" t="s">
        <v>22248</v>
      </c>
      <c r="B17676" s="4" t="s">
        <v>22252</v>
      </c>
      <c r="C17676" s="5" t="str">
        <f>IFERROR(__xludf.DUMMYFUNCTION("GOOGLETRANSLATE(B17676,""en"",""es-ES"")"),"El hombre se afeita la cara con la navaja.")</f>
        <v>El hombre se afeita la cara con la navaja.</v>
      </c>
    </row>
    <row r="17677">
      <c r="A17677" s="4" t="s">
        <v>22248</v>
      </c>
      <c r="B17677" s="4" t="s">
        <v>22253</v>
      </c>
      <c r="C17677" s="5" t="str">
        <f>IFERROR(__xludf.DUMMYFUNCTION("GOOGLETRANSLATE(B17677,""en"",""es-ES"")"),"El hombre le pone más crema de afeitar en su rostro.")</f>
        <v>El hombre le pone más crema de afeitar en su rostro.</v>
      </c>
    </row>
    <row r="17678">
      <c r="A17678" s="4" t="s">
        <v>22254</v>
      </c>
      <c r="B17678" s="4" t="s">
        <v>22255</v>
      </c>
      <c r="C17678" s="5" t="str">
        <f>IFERROR(__xludf.DUMMYFUNCTION("GOOGLETRANSLATE(B17678,""en"",""es-ES"")"),"Aparece una introducción y tiene un logotipo y las palabras ""al aire libre Interlaken +"", y luego aparecen palabras amarillas y números romanos.")</f>
        <v>Aparece una introducción y tiene un logotipo y las palabras "al aire libre Interlaken +", y luego aparecen palabras amarillas y números romanos.</v>
      </c>
    </row>
    <row r="17679">
      <c r="A17679" s="4" t="s">
        <v>22254</v>
      </c>
      <c r="B17679" s="4" t="s">
        <v>22256</v>
      </c>
      <c r="C17679" s="5" t="str">
        <f>IFERROR(__xludf.DUMMYFUNCTION("GOOGLETRANSLATE(B17679,""en"",""es-ES"")"),"La tienda al aire libre aparece y cambia rápidamente al interior de la tienda donde las personas se reúnen para obtener instrucciones, vestirse con cascos y equipo de seguridad, y prepararse para el rafting de aguas blancas.")</f>
        <v>La tienda al aire libre aparece y cambia rápidamente al interior de la tienda donde las personas se reúnen para obtener instrucciones, vestirse con cascos y equipo de seguridad, y prepararse para el rafting de aguas blancas.</v>
      </c>
    </row>
    <row r="17680">
      <c r="A17680" s="4" t="s">
        <v>22254</v>
      </c>
      <c r="B17680" s="4" t="s">
        <v>22257</v>
      </c>
      <c r="C17680" s="5" t="str">
        <f>IFERROR(__xludf.DUMMYFUNCTION("GOOGLETRANSLATE(B17680,""en"",""es-ES"")"),"Luego, la gente va al aire libre donde practican en tierra sobre cómo sentarse en la balsa, la paleta, etc.")</f>
        <v>Luego, la gente va al aire libre donde practican en tierra sobre cómo sentarse en la balsa, la paleta, etc.</v>
      </c>
    </row>
    <row r="17681">
      <c r="A17681" s="4" t="s">
        <v>22254</v>
      </c>
      <c r="B17681" s="4" t="s">
        <v>22258</v>
      </c>
      <c r="C17681" s="5" t="str">
        <f>IFERROR(__xludf.DUMMYFUNCTION("GOOGLETRANSLATE(B17681,""en"",""es-ES"")"),"Cuando terminan de practicar todo el camino al agua con sus balsas y todas son vistas en las aguas muy ásperas bajando y remando y en sus balsas donde terminan en aguas tranquilas y saltan de sus balsas para celebrar su éxito.")</f>
        <v>Cuando terminan de practicar todo el camino al agua con sus balsas y todas son vistas en las aguas muy ásperas bajando y remando y en sus balsas donde terminan en aguas tranquilas y saltan de sus balsas para celebrar su éxito.</v>
      </c>
    </row>
    <row r="17682">
      <c r="A17682" s="4" t="s">
        <v>22254</v>
      </c>
      <c r="B17682" s="4" t="s">
        <v>22259</v>
      </c>
      <c r="C17682" s="5" t="str">
        <f>IFERROR(__xludf.DUMMYFUNCTION("GOOGLETRANSLATE(B17682,""en"",""es-ES"")"),"Cuando terminan de celebrar la gente que sale del agua sosteniendo su balsa y terminan en un vehículo donde están sonriendo y felices.")</f>
        <v>Cuando terminan de celebrar la gente que sale del agua sosteniendo su balsa y terminan en un vehículo donde están sonriendo y felices.</v>
      </c>
    </row>
    <row r="17683">
      <c r="A17683" s="4" t="s">
        <v>22254</v>
      </c>
      <c r="B17683" s="4" t="s">
        <v>22260</v>
      </c>
      <c r="C17683" s="5" t="str">
        <f>IFERROR(__xludf.DUMMYFUNCTION("GOOGLETRANSLATE(B17683,""en"",""es-ES"")"),"El outro aparece con información de contacto, sitio web, logotipos y créditos.")</f>
        <v>El outro aparece con información de contacto, sitio web, logotipos y créditos.</v>
      </c>
    </row>
    <row r="17684">
      <c r="A17684" s="4" t="s">
        <v>22261</v>
      </c>
      <c r="B17684" s="4" t="s">
        <v>22262</v>
      </c>
      <c r="C17684" s="5" t="str">
        <f>IFERROR(__xludf.DUMMYFUNCTION("GOOGLETRANSLATE(B17684,""en"",""es-ES"")"),"Se ven dos personas sentadas en la orilla mientras se sientan en kayaks.")</f>
        <v>Se ven dos personas sentadas en la orilla mientras se sientan en kayaks.</v>
      </c>
    </row>
    <row r="17685">
      <c r="A17685" s="4" t="s">
        <v>22261</v>
      </c>
      <c r="B17685" s="4" t="s">
        <v>22263</v>
      </c>
      <c r="C17685" s="5" t="str">
        <f>IFERROR(__xludf.DUMMYFUNCTION("GOOGLETRANSLATE(B17685,""en"",""es-ES"")"),"Una persona se centra más cerca del agua y comienza a conducir por el río.")</f>
        <v>Una persona se centra más cerca del agua y comienza a conducir por el río.</v>
      </c>
    </row>
    <row r="17686">
      <c r="A17686" s="4" t="s">
        <v>22264</v>
      </c>
      <c r="B17686" s="4" t="s">
        <v>22265</v>
      </c>
      <c r="C17686" s="5" t="str">
        <f>IFERROR(__xludf.DUMMYFUNCTION("GOOGLETRANSLATE(B17686,""en"",""es-ES"")"),"Los jóvenes viajan en patinetas y hacen giros en una plaza de la ciudad.")</f>
        <v>Los jóvenes viajan en patinetas y hacen giros en una plaza de la ciudad.</v>
      </c>
    </row>
    <row r="17687">
      <c r="A17687" s="4" t="s">
        <v>22264</v>
      </c>
      <c r="B17687" s="4" t="s">
        <v>22266</v>
      </c>
      <c r="C17687" s="5" t="str">
        <f>IFERROR(__xludf.DUMMYFUNCTION("GOOGLETRANSLATE(B17687,""en"",""es-ES"")"),"El skateboarder hace un caballito.")</f>
        <v>El skateboarder hace un caballito.</v>
      </c>
    </row>
    <row r="17688">
      <c r="A17688" s="4" t="s">
        <v>22264</v>
      </c>
      <c r="B17688" s="4" t="s">
        <v>22267</v>
      </c>
      <c r="C17688" s="5" t="str">
        <f>IFERROR(__xludf.DUMMYFUNCTION("GOOGLETRANSLATE(B17688,""en"",""es-ES"")"),"Los skaters viajan por una acera que van a algún lado.")</f>
        <v>Los skaters viajan por una acera que van a algún lado.</v>
      </c>
    </row>
    <row r="17689">
      <c r="A17689" s="4" t="s">
        <v>22264</v>
      </c>
      <c r="B17689" s="4" t="s">
        <v>22268</v>
      </c>
      <c r="C17689" s="5" t="str">
        <f>IFERROR(__xludf.DUMMYFUNCTION("GOOGLETRANSLATE(B17689,""en"",""es-ES"")"),"Los chicos caminan y entran en una estación de transporte.")</f>
        <v>Los chicos caminan y entran en una estación de transporte.</v>
      </c>
    </row>
    <row r="17690">
      <c r="A17690" s="4" t="s">
        <v>22269</v>
      </c>
      <c r="B17690" s="4" t="s">
        <v>22270</v>
      </c>
      <c r="C17690" s="5" t="str">
        <f>IFERROR(__xludf.DUMMYFUNCTION("GOOGLETRANSLATE(B17690,""en"",""es-ES"")"),"Un hombre de rojo en el exterior atornillando sus rotores y volviendo a colocar su neumático en su camioneta.")</f>
        <v>Un hombre de rojo en el exterior atornillando sus rotores y volviendo a colocar su neumático en su camioneta.</v>
      </c>
    </row>
    <row r="17691">
      <c r="A17691" s="4" t="s">
        <v>22269</v>
      </c>
      <c r="B17691" s="4" t="s">
        <v>22271</v>
      </c>
      <c r="C17691" s="5" t="str">
        <f>IFERROR(__xludf.DUMMYFUNCTION("GOOGLETRANSLATE(B17691,""en"",""es-ES"")"),"Agarra piezas para apretarlo y comienza a asegurarse de que estén súper apretados.")</f>
        <v>Agarra piezas para apretarlo y comienza a asegurarse de que estén súper apretados.</v>
      </c>
    </row>
    <row r="17692">
      <c r="A17692" s="4" t="s">
        <v>22269</v>
      </c>
      <c r="B17692" s="4" t="s">
        <v>22272</v>
      </c>
      <c r="C17692" s="5" t="str">
        <f>IFERROR(__xludf.DUMMYFUNCTION("GOOGLETRANSLATE(B17692,""en"",""es-ES"")"),"Lo hace repetidamente para asegurarse de que todos permanezcan bien.")</f>
        <v>Lo hace repetidamente para asegurarse de que todos permanezcan bien.</v>
      </c>
    </row>
    <row r="17693">
      <c r="A17693" s="4" t="s">
        <v>22269</v>
      </c>
      <c r="B17693" s="4" t="s">
        <v>22273</v>
      </c>
      <c r="C17693" s="5" t="str">
        <f>IFERROR(__xludf.DUMMYFUNCTION("GOOGLETRANSLATE(B17693,""en"",""es-ES"")"),"De lo contrario, sería peligroso conducir si están sueltos.")</f>
        <v>De lo contrario, sería peligroso conducir si están sueltos.</v>
      </c>
    </row>
    <row r="17694">
      <c r="A17694" s="4" t="s">
        <v>22274</v>
      </c>
      <c r="B17694" s="4" t="s">
        <v>22275</v>
      </c>
      <c r="C17694" s="5" t="str">
        <f>IFERROR(__xludf.DUMMYFUNCTION("GOOGLETRANSLATE(B17694,""en"",""es-ES"")"),"Vemos a un niño con una gorra en una habitación riéndose y sentada.")</f>
        <v>Vemos a un niño con una gorra en una habitación riéndose y sentada.</v>
      </c>
    </row>
    <row r="17695">
      <c r="A17695" s="4" t="s">
        <v>22274</v>
      </c>
      <c r="B17695" s="4" t="s">
        <v>22276</v>
      </c>
      <c r="C17695" s="5" t="str">
        <f>IFERROR(__xludf.DUMMYFUNCTION("GOOGLETRANSLATE(B17695,""en"",""es-ES"")"),"Vemos al niño detrás del escenario hablando con dos hombres.")</f>
        <v>Vemos al niño detrás del escenario hablando con dos hombres.</v>
      </c>
    </row>
    <row r="17696">
      <c r="A17696" s="4" t="s">
        <v>22274</v>
      </c>
      <c r="B17696" s="4" t="s">
        <v>22277</v>
      </c>
      <c r="C17696" s="5" t="str">
        <f>IFERROR(__xludf.DUMMYFUNCTION("GOOGLETRANSLATE(B17696,""en"",""es-ES"")"),"El niño camina por el escenario y habla con los jueces.")</f>
        <v>El niño camina por el escenario y habla con los jueces.</v>
      </c>
    </row>
    <row r="17697">
      <c r="A17697" s="4" t="s">
        <v>22274</v>
      </c>
      <c r="B17697" s="4" t="s">
        <v>22278</v>
      </c>
      <c r="C17697" s="5" t="str">
        <f>IFERROR(__xludf.DUMMYFUNCTION("GOOGLETRANSLATE(B17697,""en"",""es-ES"")"),"El niño realiza un baile de descanso.")</f>
        <v>El niño realiza un baile de descanso.</v>
      </c>
    </row>
    <row r="17698">
      <c r="A17698" s="4" t="s">
        <v>22274</v>
      </c>
      <c r="B17698" s="4" t="s">
        <v>22279</v>
      </c>
      <c r="C17698" s="5" t="str">
        <f>IFERROR(__xludf.DUMMYFUNCTION("GOOGLETRANSLATE(B17698,""en"",""es-ES"")"),"La boca de jueces cuelga abierta.")</f>
        <v>La boca de jueces cuelga abierta.</v>
      </c>
    </row>
    <row r="17699">
      <c r="A17699" s="4" t="s">
        <v>22274</v>
      </c>
      <c r="B17699" s="4" t="s">
        <v>22280</v>
      </c>
      <c r="C17699" s="5" t="str">
        <f>IFERROR(__xludf.DUMMYFUNCTION("GOOGLETRANSLATE(B17699,""en"",""es-ES"")"),"El niño finiza bailar y los jueces dan sus comentarios.")</f>
        <v>El niño finiza bailar y los jueces dan sus comentarios.</v>
      </c>
    </row>
    <row r="17700">
      <c r="A17700" s="4" t="s">
        <v>22274</v>
      </c>
      <c r="B17700" s="4" t="s">
        <v>22281</v>
      </c>
      <c r="C17700" s="5" t="str">
        <f>IFERROR(__xludf.DUMMYFUNCTION("GOOGLETRANSLATE(B17700,""en"",""es-ES"")"),"La multitud levanta los brazos en el aire.")</f>
        <v>La multitud levanta los brazos en el aire.</v>
      </c>
    </row>
    <row r="17701">
      <c r="A17701" s="4" t="s">
        <v>22274</v>
      </c>
      <c r="B17701" s="4" t="s">
        <v>22282</v>
      </c>
      <c r="C17701" s="5" t="str">
        <f>IFERROR(__xludf.DUMMYFUNCTION("GOOGLETRANSLATE(B17701,""en"",""es-ES"")"),"El niño sale del escenario y es entrevistado.")</f>
        <v>El niño sale del escenario y es entrevistado.</v>
      </c>
    </row>
    <row r="17702">
      <c r="A17702" s="4" t="s">
        <v>22274</v>
      </c>
      <c r="B17702" s="4" t="s">
        <v>22283</v>
      </c>
      <c r="C17702" s="5" t="str">
        <f>IFERROR(__xludf.DUMMYFUNCTION("GOOGLETRANSLATE(B17702,""en"",""es-ES"")"),"El niño se aleja de los hombres.")</f>
        <v>El niño se aleja de los hombres.</v>
      </c>
    </row>
    <row r="17703">
      <c r="A17703" s="4" t="s">
        <v>22284</v>
      </c>
      <c r="B17703" s="4" t="s">
        <v>22285</v>
      </c>
      <c r="C17703" s="5" t="str">
        <f>IFERROR(__xludf.DUMMYFUNCTION("GOOGLETRANSLATE(B17703,""en"",""es-ES"")"),"Un hombre corre lanza una jabalina.")</f>
        <v>Un hombre corre lanza una jabalina.</v>
      </c>
    </row>
    <row r="17704">
      <c r="A17704" s="4" t="s">
        <v>22284</v>
      </c>
      <c r="B17704" s="4" t="s">
        <v>22286</v>
      </c>
      <c r="C17704" s="5" t="str">
        <f>IFERROR(__xludf.DUMMYFUNCTION("GOOGLETRANSLATE(B17704,""en"",""es-ES"")"),"Él pone sus manos en el aire y saluda a la multitud.")</f>
        <v>Él pone sus manos en el aire y saluda a la multitud.</v>
      </c>
    </row>
    <row r="17705">
      <c r="A17705" s="4" t="s">
        <v>22284</v>
      </c>
      <c r="B17705" s="4" t="s">
        <v>22287</v>
      </c>
      <c r="C17705" s="5" t="str">
        <f>IFERROR(__xludf.DUMMYFUNCTION("GOOGLETRANSLATE(B17705,""en"",""es-ES"")"),"Agarra una toalla y pone sus manos en el aire.")</f>
        <v>Agarra una toalla y pone sus manos en el aire.</v>
      </c>
    </row>
    <row r="17706">
      <c r="A17706" s="4" t="s">
        <v>22288</v>
      </c>
      <c r="B17706" s="4" t="s">
        <v>22289</v>
      </c>
      <c r="C17706" s="5" t="str">
        <f>IFERROR(__xludf.DUMMYFUNCTION("GOOGLETRANSLATE(B17706,""en"",""es-ES"")"),"Un hombre está de pie en una barra y comienza a verter hielo en una taza alta junto con líquido azul, líquido oscuro y un líquido rojo.")</f>
        <v>Un hombre está de pie en una barra y comienza a verter hielo en una taza alta junto con líquido azul, líquido oscuro y un líquido rojo.</v>
      </c>
    </row>
    <row r="17707">
      <c r="A17707" s="4" t="s">
        <v>22288</v>
      </c>
      <c r="B17707" s="4" t="s">
        <v>22290</v>
      </c>
      <c r="C17707" s="5" t="str">
        <f>IFERROR(__xludf.DUMMYFUNCTION("GOOGLETRANSLATE(B17707,""en"",""es-ES"")"),"El hombre lo vierte en un agitador y lo sacude hasta que se mezcle completamente.")</f>
        <v>El hombre lo vierte en un agitador y lo sacude hasta que se mezcle completamente.</v>
      </c>
    </row>
    <row r="17708">
      <c r="A17708" s="4" t="s">
        <v>22288</v>
      </c>
      <c r="B17708" s="4" t="s">
        <v>22291</v>
      </c>
      <c r="C17708" s="5" t="str">
        <f>IFERROR(__xludf.DUMMYFUNCTION("GOOGLETRANSLATE(B17708,""en"",""es-ES"")"),"Cuando el hombre termina de sacudir la bebida, elimina la taza del agitador, vierte los líquidos en una taza más pequeña y le pega una pajita blanca.")</f>
        <v>Cuando el hombre termina de sacudir la bebida, elimina la taza del agitador, vierte los líquidos en una taza más pequeña y le pega una pajita blanca.</v>
      </c>
    </row>
    <row r="17709">
      <c r="A17709" s="4" t="s">
        <v>22288</v>
      </c>
      <c r="B17709" s="4" t="s">
        <v>22292</v>
      </c>
      <c r="C17709" s="5" t="str">
        <f>IFERROR(__xludf.DUMMYFUNCTION("GOOGLETRANSLATE(B17709,""en"",""es-ES"")"),"Todo mientras habla, el hombre recoge la taza, la huele, sonríe y sostiene la bebida.")</f>
        <v>Todo mientras habla, el hombre recoge la taza, la huele, sonríe y sostiene la bebida.</v>
      </c>
    </row>
    <row r="17710">
      <c r="A17710" s="4" t="s">
        <v>22293</v>
      </c>
      <c r="B17710" s="4" t="s">
        <v>22294</v>
      </c>
      <c r="C17710" s="5" t="str">
        <f>IFERROR(__xludf.DUMMYFUNCTION("GOOGLETRANSLATE(B17710,""en"",""es-ES"")"),"Una cámara se mueve alrededor de una persona que monta sobre un caballo.")</f>
        <v>Una cámara se mueve alrededor de una persona que monta sobre un caballo.</v>
      </c>
    </row>
    <row r="17711">
      <c r="A17711" s="4" t="s">
        <v>22293</v>
      </c>
      <c r="B17711" s="4" t="s">
        <v>22295</v>
      </c>
      <c r="C17711" s="5" t="str">
        <f>IFERROR(__xludf.DUMMYFUNCTION("GOOGLETRANSLATE(B17711,""en"",""es-ES"")"),"La persona continúa viajando por la zona y se detiene para hablar con la mujer mientras se ríe y habla con la cámara.")</f>
        <v>La persona continúa viajando por la zona y se detiene para hablar con la mujer mientras se ríe y habla con la cámara.</v>
      </c>
    </row>
    <row r="17712">
      <c r="A17712" s="4" t="s">
        <v>22296</v>
      </c>
      <c r="B17712" s="4" t="s">
        <v>22297</v>
      </c>
      <c r="C17712" s="5" t="str">
        <f>IFERROR(__xludf.DUMMYFUNCTION("GOOGLETRANSLATE(B17712,""en"",""es-ES"")"),"Un grupo de animadoras se reúne en un campo de fútbol.")</f>
        <v>Un grupo de animadoras se reúne en un campo de fútbol.</v>
      </c>
    </row>
    <row r="17713">
      <c r="A17713" s="4" t="s">
        <v>22296</v>
      </c>
      <c r="B17713" s="4" t="s">
        <v>22298</v>
      </c>
      <c r="C17713" s="5" t="str">
        <f>IFERROR(__xludf.DUMMYFUNCTION("GOOGLETRANSLATE(B17713,""en"",""es-ES"")"),"Animan y voltean mientras trotan por el campo.")</f>
        <v>Animan y voltean mientras trotan por el campo.</v>
      </c>
    </row>
    <row r="17714">
      <c r="A17714" s="4" t="s">
        <v>22296</v>
      </c>
      <c r="B17714" s="4" t="s">
        <v>22299</v>
      </c>
      <c r="C17714" s="5" t="str">
        <f>IFERROR(__xludf.DUMMYFUNCTION("GOOGLETRANSLATE(B17714,""en"",""es-ES"")"),"Luego obtuvieron una actuación, volteando y saltando.")</f>
        <v>Luego obtuvieron una actuación, volteando y saltando.</v>
      </c>
    </row>
    <row r="17715">
      <c r="A17715" s="4" t="s">
        <v>22300</v>
      </c>
      <c r="B17715" s="4" t="s">
        <v>22301</v>
      </c>
      <c r="C17715" s="5" t="str">
        <f>IFERROR(__xludf.DUMMYFUNCTION("GOOGLETRANSLATE(B17715,""en"",""es-ES"")"),"Una introducción conduce a varios disparos de un área boscosa y varias personas se unen saltando de un puente.")</f>
        <v>Una introducción conduce a varios disparos de un área boscosa y varias personas se unen saltando de un puente.</v>
      </c>
    </row>
    <row r="17716">
      <c r="A17716" s="4" t="s">
        <v>22300</v>
      </c>
      <c r="B17716" s="4" t="s">
        <v>22302</v>
      </c>
      <c r="C17716" s="5" t="str">
        <f>IFERROR(__xludf.DUMMYFUNCTION("GOOGLETRANSLATE(B17716,""en"",""es-ES"")"),"Varias tomas de personas saltan del costado y se mostraron y muchos parados a un lado y cerca de los saltadores.")</f>
        <v>Varias tomas de personas saltan del costado y se mostraron y muchos parados a un lado y cerca de los saltadores.</v>
      </c>
    </row>
    <row r="17717">
      <c r="A17717" s="4" t="s">
        <v>22303</v>
      </c>
      <c r="B17717" s="4" t="s">
        <v>22304</v>
      </c>
      <c r="C17717" s="5" t="str">
        <f>IFERROR(__xludf.DUMMYFUNCTION("GOOGLETRANSLATE(B17717,""en"",""es-ES"")"),"La gente en los grados mira mientras dos toros caminan en un anillo de tollos, otras personas caminan en el ring tomando fotos.")</f>
        <v>La gente en los grados mira mientras dos toros caminan en un anillo de tollos, otras personas caminan en el ring tomando fotos.</v>
      </c>
    </row>
    <row r="17718">
      <c r="A17718" s="4" t="s">
        <v>22303</v>
      </c>
      <c r="B17718" s="4" t="s">
        <v>22305</v>
      </c>
      <c r="C17718" s="5" t="str">
        <f>IFERROR(__xludf.DUMMYFUNCTION("GOOGLETRANSLATE(B17718,""en"",""es-ES"")"),"Los Bulls bloquean los cuernos y son agresivos el uno con el otro.")</f>
        <v>Los Bulls bloquean los cuernos y son agresivos el uno con el otro.</v>
      </c>
    </row>
    <row r="17719">
      <c r="A17719" s="4" t="s">
        <v>22303</v>
      </c>
      <c r="B17719" s="4" t="s">
        <v>22306</v>
      </c>
      <c r="C17719" s="5" t="str">
        <f>IFERROR(__xludf.DUMMYFUNCTION("GOOGLETRANSLATE(B17719,""en"",""es-ES"")"),"Un toro se aleja del otro, y luego se gira rápidamente para volver a centrarse en la pelea.")</f>
        <v>Un toro se aleja del otro, y luego se gira rápidamente para volver a centrarse en la pelea.</v>
      </c>
    </row>
    <row r="17720">
      <c r="A17720" s="4" t="s">
        <v>22303</v>
      </c>
      <c r="B17720" s="4" t="s">
        <v>22307</v>
      </c>
      <c r="C17720" s="5" t="str">
        <f>IFERROR(__xludf.DUMMYFUNCTION("GOOGLETRANSLATE(B17720,""en"",""es-ES"")"),"Los toros se rodean unos a otros.")</f>
        <v>Los toros se rodean unos a otros.</v>
      </c>
    </row>
    <row r="17721">
      <c r="A17721" s="4" t="s">
        <v>22303</v>
      </c>
      <c r="B17721" s="4" t="s">
        <v>22308</v>
      </c>
      <c r="C17721" s="5" t="str">
        <f>IFERROR(__xludf.DUMMYFUNCTION("GOOGLETRANSLATE(B17721,""en"",""es-ES"")"),"Los toros comienzan a pelear.")</f>
        <v>Los toros comienzan a pelear.</v>
      </c>
    </row>
    <row r="17722">
      <c r="A17722" s="4" t="s">
        <v>22309</v>
      </c>
      <c r="B17722" s="4" t="s">
        <v>22310</v>
      </c>
      <c r="C17722" s="5" t="str">
        <f>IFERROR(__xludf.DUMMYFUNCTION("GOOGLETRANSLATE(B17722,""en"",""es-ES"")"),"El hombre está de pie en un taller parado frente a una bicicleta hablando con la cámara.")</f>
        <v>El hombre está de pie en un taller parado frente a una bicicleta hablando con la cámara.</v>
      </c>
    </row>
    <row r="17723">
      <c r="A17723" s="4" t="s">
        <v>22309</v>
      </c>
      <c r="B17723" s="4" t="s">
        <v>22311</v>
      </c>
      <c r="C17723" s="5" t="str">
        <f>IFERROR(__xludf.DUMMYFUNCTION("GOOGLETRANSLATE(B17723,""en"",""es-ES"")"),"La lista de materiales se muestra en la pantalla.")</f>
        <v>La lista de materiales se muestra en la pantalla.</v>
      </c>
    </row>
    <row r="17724">
      <c r="A17724" s="4" t="s">
        <v>22309</v>
      </c>
      <c r="B17724" s="4" t="s">
        <v>22312</v>
      </c>
      <c r="C17724" s="5" t="str">
        <f>IFERROR(__xludf.DUMMYFUNCTION("GOOGLETRANSLATE(B17724,""en"",""es-ES"")"),"El hombre está poniendo burocracia en las barras de bicicletas.")</f>
        <v>El hombre está poniendo burocracia en las barras de bicicletas.</v>
      </c>
    </row>
    <row r="17725">
      <c r="A17725" s="4" t="s">
        <v>22309</v>
      </c>
      <c r="B17725" s="4" t="s">
        <v>22313</v>
      </c>
      <c r="C17725" s="5" t="str">
        <f>IFERROR(__xludf.DUMMYFUNCTION("GOOGLETRANSLATE(B17725,""en"",""es-ES"")"),"El hombre está envolviendo toda la barra en la burocracia.")</f>
        <v>El hombre está envolviendo toda la barra en la burocracia.</v>
      </c>
    </row>
    <row r="17726">
      <c r="A17726" s="4" t="s">
        <v>22314</v>
      </c>
      <c r="B17726" s="4" t="s">
        <v>22315</v>
      </c>
      <c r="C17726" s="5" t="str">
        <f>IFERROR(__xludf.DUMMYFUNCTION("GOOGLETRANSLATE(B17726,""en"",""es-ES"")"),"Un hombre arroja un frisbee en un campo.")</f>
        <v>Un hombre arroja un frisbee en un campo.</v>
      </c>
    </row>
    <row r="17727">
      <c r="A17727" s="4" t="s">
        <v>22314</v>
      </c>
      <c r="B17727" s="4" t="s">
        <v>22316</v>
      </c>
      <c r="C17727" s="5" t="str">
        <f>IFERROR(__xludf.DUMMYFUNCTION("GOOGLETRANSLATE(B17727,""en"",""es-ES"")"),"Un perro salta y agarra el frisbee en el aire.")</f>
        <v>Un perro salta y agarra el frisbee en el aire.</v>
      </c>
    </row>
    <row r="17728">
      <c r="A17728" s="4" t="s">
        <v>22314</v>
      </c>
      <c r="B17728" s="4" t="s">
        <v>22317</v>
      </c>
      <c r="C17728" s="5" t="str">
        <f>IFERROR(__xludf.DUMMYFUNCTION("GOOGLETRANSLATE(B17728,""en"",""es-ES"")"),"El hombre se acuesta boca arriba y el perro se para de pie.")</f>
        <v>El hombre se acuesta boca arriba y el perro se para de pie.</v>
      </c>
    </row>
    <row r="17729">
      <c r="A17729" s="4" t="s">
        <v>22314</v>
      </c>
      <c r="B17729" s="4" t="s">
        <v>22318</v>
      </c>
      <c r="C17729" s="5" t="str">
        <f>IFERROR(__xludf.DUMMYFUNCTION("GOOGLETRANSLATE(B17729,""en"",""es-ES"")"),"El hombre se dobla y el perro salta sobre su espalda.")</f>
        <v>El hombre se dobla y el perro salta sobre su espalda.</v>
      </c>
    </row>
    <row r="17730">
      <c r="A17730" s="4" t="s">
        <v>22314</v>
      </c>
      <c r="B17730" s="4" t="s">
        <v>22319</v>
      </c>
      <c r="C17730" s="5" t="str">
        <f>IFERROR(__xludf.DUMMYFUNCTION("GOOGLETRANSLATE(B17730,""en"",""es-ES"")"),"El perro corre y salta a los brazos del hombre y el hombre lo lleva.")</f>
        <v>El perro corre y salta a los brazos del hombre y el hombre lo lleva.</v>
      </c>
    </row>
    <row r="17731">
      <c r="A17731" s="4" t="s">
        <v>22320</v>
      </c>
      <c r="B17731" s="4" t="s">
        <v>22321</v>
      </c>
      <c r="C17731" s="5" t="str">
        <f>IFERROR(__xludf.DUMMYFUNCTION("GOOGLETRANSLATE(B17731,""en"",""es-ES"")"),"Una mujer habla con la cámara.")</f>
        <v>Una mujer habla con la cámara.</v>
      </c>
    </row>
    <row r="17732">
      <c r="A17732" s="4" t="s">
        <v>22320</v>
      </c>
      <c r="B17732" s="4" t="s">
        <v>22322</v>
      </c>
      <c r="C17732" s="5" t="str">
        <f>IFERROR(__xludf.DUMMYFUNCTION("GOOGLETRANSLATE(B17732,""en"",""es-ES"")"),"Muchos limones caen sobre un mostrador.")</f>
        <v>Muchos limones caen sobre un mostrador.</v>
      </c>
    </row>
    <row r="17733">
      <c r="A17733" s="4" t="s">
        <v>22320</v>
      </c>
      <c r="B17733" s="4" t="s">
        <v>22323</v>
      </c>
      <c r="C17733" s="5" t="str">
        <f>IFERROR(__xludf.DUMMYFUNCTION("GOOGLETRANSLATE(B17733,""en"",""es-ES"")"),"La mujer agarra un tazón de madera y vierte azúcar morena.")</f>
        <v>La mujer agarra un tazón de madera y vierte azúcar morena.</v>
      </c>
    </row>
    <row r="17734">
      <c r="A17734" s="4" t="s">
        <v>22320</v>
      </c>
      <c r="B17734" s="4" t="s">
        <v>22324</v>
      </c>
      <c r="C17734" s="5" t="str">
        <f>IFERROR(__xludf.DUMMYFUNCTION("GOOGLETRANSLATE(B17734,""en"",""es-ES"")"),"Ella agarra un limón y frota el azúcar morena en todo el limón.")</f>
        <v>Ella agarra un limón y frota el azúcar morena en todo el limón.</v>
      </c>
    </row>
    <row r="17735">
      <c r="A17735" s="4" t="s">
        <v>22320</v>
      </c>
      <c r="B17735" s="4" t="s">
        <v>22325</v>
      </c>
      <c r="C17735" s="5" t="str">
        <f>IFERROR(__xludf.DUMMYFUNCTION("GOOGLETRANSLATE(B17735,""en"",""es-ES"")"),"Ella procede a frotar dos limones en el mostrador.")</f>
        <v>Ella procede a frotar dos limones en el mostrador.</v>
      </c>
    </row>
    <row r="17736">
      <c r="A17736" s="4" t="s">
        <v>22320</v>
      </c>
      <c r="B17736" s="4" t="s">
        <v>22326</v>
      </c>
      <c r="C17736" s="5" t="str">
        <f>IFERROR(__xludf.DUMMYFUNCTION("GOOGLETRANSLATE(B17736,""en"",""es-ES"")"),"Con un cuchillo, corta un limón por la mitad.")</f>
        <v>Con un cuchillo, corta un limón por la mitad.</v>
      </c>
    </row>
    <row r="17737">
      <c r="A17737" s="4" t="s">
        <v>22320</v>
      </c>
      <c r="B17737" s="4" t="s">
        <v>22327</v>
      </c>
      <c r="C17737" s="5" t="str">
        <f>IFERROR(__xludf.DUMMYFUNCTION("GOOGLETRANSLATE(B17737,""en"",""es-ES"")"),"Ella aprieta el jugo de limón en un tazón.")</f>
        <v>Ella aprieta el jugo de limón en un tazón.</v>
      </c>
    </row>
    <row r="17738">
      <c r="A17738" s="4" t="s">
        <v>22320</v>
      </c>
      <c r="B17738" s="4" t="s">
        <v>22328</v>
      </c>
      <c r="C17738" s="5" t="str">
        <f>IFERROR(__xludf.DUMMYFUNCTION("GOOGLETRANSLATE(B17738,""en"",""es-ES"")"),"Ella vierte el jugo de limón apretado en una jarra.")</f>
        <v>Ella vierte el jugo de limón apretado en una jarra.</v>
      </c>
    </row>
    <row r="17739">
      <c r="A17739" s="4" t="s">
        <v>22320</v>
      </c>
      <c r="B17739" s="4" t="s">
        <v>22329</v>
      </c>
      <c r="C17739" s="5" t="str">
        <f>IFERROR(__xludf.DUMMYFUNCTION("GOOGLETRANSLATE(B17739,""en"",""es-ES"")"),"Ella vierte agua hirviendo en el tazón con azúcar morena.")</f>
        <v>Ella vierte agua hirviendo en el tazón con azúcar morena.</v>
      </c>
    </row>
    <row r="17740">
      <c r="A17740" s="4" t="s">
        <v>22320</v>
      </c>
      <c r="B17740" s="4" t="s">
        <v>22330</v>
      </c>
      <c r="C17740" s="5" t="str">
        <f>IFERROR(__xludf.DUMMYFUNCTION("GOOGLETRANSLATE(B17740,""en"",""es-ES"")"),"Ella vierte el azúcar morena regada en la jarra y revuelve.")</f>
        <v>Ella vierte el azúcar morena regada en la jarra y revuelve.</v>
      </c>
    </row>
    <row r="17741">
      <c r="A17741" s="4" t="s">
        <v>22320</v>
      </c>
      <c r="B17741" s="4" t="s">
        <v>22331</v>
      </c>
      <c r="C17741" s="5" t="str">
        <f>IFERROR(__xludf.DUMMYFUNCTION("GOOGLETRANSLATE(B17741,""en"",""es-ES"")"),"Ella rompe cubitos de hielo golpeándolos con una cuchara.")</f>
        <v>Ella rompe cubitos de hielo golpeándolos con una cuchara.</v>
      </c>
    </row>
    <row r="17742">
      <c r="A17742" s="4" t="s">
        <v>22320</v>
      </c>
      <c r="B17742" s="4" t="s">
        <v>22332</v>
      </c>
      <c r="C17742" s="5" t="str">
        <f>IFERROR(__xludf.DUMMYFUNCTION("GOOGLETRANSLATE(B17742,""en"",""es-ES"")"),"Ella coloca el hielo en un vaso y agrega la limonada.")</f>
        <v>Ella coloca el hielo en un vaso y agrega la limonada.</v>
      </c>
    </row>
    <row r="17743">
      <c r="A17743" s="4" t="s">
        <v>22320</v>
      </c>
      <c r="B17743" s="4" t="s">
        <v>22333</v>
      </c>
      <c r="C17743" s="5" t="str">
        <f>IFERROR(__xludf.DUMMYFUNCTION("GOOGLETRANSLATE(B17743,""en"",""es-ES"")"),"Por último, toma un sorbo de la limonada que acaba de hacer.")</f>
        <v>Por último, toma un sorbo de la limonada que acaba de hacer.</v>
      </c>
    </row>
    <row r="17744">
      <c r="A17744" s="4" t="s">
        <v>22334</v>
      </c>
      <c r="B17744" s="4" t="s">
        <v>22335</v>
      </c>
      <c r="C17744" s="5" t="str">
        <f>IFERROR(__xludf.DUMMYFUNCTION("GOOGLETRANSLATE(B17744,""en"",""es-ES"")"),"Un vaquero saca a un caballo de un corral y entra en un área cercada.")</f>
        <v>Un vaquero saca a un caballo de un corral y entra en un área cercada.</v>
      </c>
    </row>
    <row r="17745">
      <c r="A17745" s="4" t="s">
        <v>22334</v>
      </c>
      <c r="B17745" s="4" t="s">
        <v>22336</v>
      </c>
      <c r="C17745" s="5" t="str">
        <f>IFERROR(__xludf.DUMMYFUNCTION("GOOGLETRANSLATE(B17745,""en"",""es-ES"")"),"El hombre sale de su caballo de los cercados y arroja una cuerda alrededor de un ganado.")</f>
        <v>El hombre sale de su caballo de los cercados y arroja una cuerda alrededor de un ganado.</v>
      </c>
    </row>
    <row r="17746">
      <c r="A17746" s="4" t="s">
        <v>22334</v>
      </c>
      <c r="B17746" s="4" t="s">
        <v>22337</v>
      </c>
      <c r="C17746" s="5" t="str">
        <f>IFERROR(__xludf.DUMMYFUNCTION("GOOGLETRANSLATE(B17746,""en"",""es-ES"")"),"El hombre es ayudado por otros vaqueros mientras ata el ganado.")</f>
        <v>El hombre es ayudado por otros vaqueros mientras ata el ganado.</v>
      </c>
    </row>
    <row r="17747">
      <c r="A17747" s="4" t="s">
        <v>22338</v>
      </c>
      <c r="B17747" s="4" t="s">
        <v>22339</v>
      </c>
      <c r="C17747" s="5" t="str">
        <f>IFERROR(__xludf.DUMMYFUNCTION("GOOGLETRANSLATE(B17747,""en"",""es-ES"")"),"Una niña con un atuendo espumoso marcha hacia la cancha seguida de otras chicas.")</f>
        <v>Una niña con un atuendo espumoso marcha hacia la cancha seguida de otras chicas.</v>
      </c>
    </row>
    <row r="17748">
      <c r="A17748" s="4" t="s">
        <v>22338</v>
      </c>
      <c r="B17748" s="4" t="s">
        <v>22340</v>
      </c>
      <c r="C17748" s="5" t="str">
        <f>IFERROR(__xludf.DUMMYFUNCTION("GOOGLETRANSLATE(B17748,""en"",""es-ES"")"),"Están sosteniendo bastones mientras marchan.")</f>
        <v>Están sosteniendo bastones mientras marchan.</v>
      </c>
    </row>
    <row r="17749">
      <c r="A17749" s="4" t="s">
        <v>22338</v>
      </c>
      <c r="B17749" s="4" t="s">
        <v>22341</v>
      </c>
      <c r="C17749" s="5" t="str">
        <f>IFERROR(__xludf.DUMMYFUNCTION("GOOGLETRANSLATE(B17749,""en"",""es-ES"")"),"Luego se alejan, fuera de la cancha.")</f>
        <v>Luego se alejan, fuera de la cancha.</v>
      </c>
    </row>
    <row r="17750">
      <c r="A17750" s="4" t="s">
        <v>22342</v>
      </c>
      <c r="B17750" s="4" t="s">
        <v>22343</v>
      </c>
      <c r="C17750" s="5" t="str">
        <f>IFERROR(__xludf.DUMMYFUNCTION("GOOGLETRANSLATE(B17750,""en"",""es-ES"")"),"Se muestra una pista interior cuando un hombre comienza a correr con un salto con pértiga, pero no tiene éxito en su salto.")</f>
        <v>Se muestra una pista interior cuando un hombre comienza a correr con un salto con pértiga, pero no tiene éxito en su salto.</v>
      </c>
    </row>
    <row r="17751">
      <c r="A17751" s="4" t="s">
        <v>22342</v>
      </c>
      <c r="B17751" s="4" t="s">
        <v>22344</v>
      </c>
      <c r="C17751" s="5" t="str">
        <f>IFERROR(__xludf.DUMMYFUNCTION("GOOGLETRANSLATE(B17751,""en"",""es-ES"")"),"Otra persona luego viene detrás de la cámara y comienza a hablar.")</f>
        <v>Otra persona luego viene detrás de la cámara y comienza a hablar.</v>
      </c>
    </row>
    <row r="17752">
      <c r="A17752" s="4" t="s">
        <v>22342</v>
      </c>
      <c r="B17752" s="4" t="s">
        <v>22345</v>
      </c>
      <c r="C17752" s="5" t="str">
        <f>IFERROR(__xludf.DUMMYFUNCTION("GOOGLETRANSLATE(B17752,""en"",""es-ES"")"),"El atleta hace su salto varias veces más, pero no tiene éxito.")</f>
        <v>El atleta hace su salto varias veces más, pero no tiene éxito.</v>
      </c>
    </row>
    <row r="17753">
      <c r="A17753" s="4" t="s">
        <v>22346</v>
      </c>
      <c r="B17753" s="4" t="s">
        <v>22347</v>
      </c>
      <c r="C17753" s="5" t="str">
        <f>IFERROR(__xludf.DUMMYFUNCTION("GOOGLETRANSLATE(B17753,""en"",""es-ES"")"),"Las personas mayores juegan croquet cerca del océano.")</f>
        <v>Las personas mayores juegan croquet cerca del océano.</v>
      </c>
    </row>
    <row r="17754">
      <c r="A17754" s="4" t="s">
        <v>22346</v>
      </c>
      <c r="B17754" s="4" t="s">
        <v>22348</v>
      </c>
      <c r="C17754" s="5" t="str">
        <f>IFERROR(__xludf.DUMMYFUNCTION("GOOGLETRANSLATE(B17754,""en"",""es-ES"")"),"Un grupo de personas viene y camina en el fondo.")</f>
        <v>Un grupo de personas viene y camina en el fondo.</v>
      </c>
    </row>
    <row r="17755">
      <c r="A17755" s="4" t="s">
        <v>22346</v>
      </c>
      <c r="B17755" s="4" t="s">
        <v>22349</v>
      </c>
      <c r="C17755" s="5" t="str">
        <f>IFERROR(__xludf.DUMMYFUNCTION("GOOGLETRANSLATE(B17755,""en"",""es-ES"")"),"Los dos grupos juegan e interactúan entre sí.")</f>
        <v>Los dos grupos juegan e interactúan entre sí.</v>
      </c>
    </row>
    <row r="17756">
      <c r="A17756" s="4" t="s">
        <v>22350</v>
      </c>
      <c r="B17756" s="4" t="s">
        <v>22351</v>
      </c>
      <c r="C17756" s="5" t="str">
        <f>IFERROR(__xludf.DUMMYFUNCTION("GOOGLETRANSLATE(B17756,""en"",""es-ES"")"),"Un hombre l muerto levanta una barra de pesas del suelo sobre su cabeza en un gimnasio.")</f>
        <v>Un hombre l muerto levanta una barra de pesas del suelo sobre su cabeza en un gimnasio.</v>
      </c>
    </row>
    <row r="17757">
      <c r="A17757" s="4" t="s">
        <v>22350</v>
      </c>
      <c r="B17757" s="4" t="s">
        <v>22352</v>
      </c>
      <c r="C17757" s="5" t="str">
        <f>IFERROR(__xludf.DUMMYFUNCTION("GOOGLETRANSLATE(B17757,""en"",""es-ES"")"),"El hombre hace repeticiones levantando una barra de peso del suelo al nivel de la cintura.")</f>
        <v>El hombre hace repeticiones levantando una barra de peso del suelo al nivel de la cintura.</v>
      </c>
    </row>
    <row r="17758">
      <c r="A17758" s="4" t="s">
        <v>22353</v>
      </c>
      <c r="B17758" s="4" t="s">
        <v>22354</v>
      </c>
      <c r="C17758" s="5" t="str">
        <f>IFERROR(__xludf.DUMMYFUNCTION("GOOGLETRANSLATE(B17758,""en"",""es-ES"")"),"Hay dos hombres que usan técnicas de defensa como una forma de movimientos de baile.")</f>
        <v>Hay dos hombres que usan técnicas de defensa como una forma de movimientos de baile.</v>
      </c>
    </row>
    <row r="17759">
      <c r="A17759" s="4" t="s">
        <v>22353</v>
      </c>
      <c r="B17759" s="4" t="s">
        <v>22355</v>
      </c>
      <c r="C17759" s="5" t="str">
        <f>IFERROR(__xludf.DUMMYFUNCTION("GOOGLETRANSLATE(B17759,""en"",""es-ES"")"),"Están en medio de un círculo de personas, que aplauden.")</f>
        <v>Están en medio de un círculo de personas, que aplauden.</v>
      </c>
    </row>
    <row r="17760">
      <c r="A17760" s="4" t="s">
        <v>22353</v>
      </c>
      <c r="B17760" s="4" t="s">
        <v>22356</v>
      </c>
      <c r="C17760" s="5" t="str">
        <f>IFERROR(__xludf.DUMMYFUNCTION("GOOGLETRANSLATE(B17760,""en"",""es-ES"")"),"Otros dos hombres vienen de la multitud para tratar de bailar, pero el video termina.")</f>
        <v>Otros dos hombres vienen de la multitud para tratar de bailar, pero el video termina.</v>
      </c>
    </row>
    <row r="17761">
      <c r="A17761" s="4" t="s">
        <v>22357</v>
      </c>
      <c r="B17761" s="4" t="s">
        <v>22358</v>
      </c>
      <c r="C17761" s="5" t="str">
        <f>IFERROR(__xludf.DUMMYFUNCTION("GOOGLETRANSLATE(B17761,""en"",""es-ES"")"),"Se ve a un hombre vistiendo gafas de sol y hablando con la cámara mientras sostiene un palo de lacrosse.")</f>
        <v>Se ve a un hombre vistiendo gafas de sol y hablando con la cámara mientras sostiene un palo de lacrosse.</v>
      </c>
    </row>
    <row r="17762">
      <c r="A17762" s="4" t="s">
        <v>22357</v>
      </c>
      <c r="B17762" s="4" t="s">
        <v>22359</v>
      </c>
      <c r="C17762" s="5" t="str">
        <f>IFERROR(__xludf.DUMMYFUNCTION("GOOGLETRANSLATE(B17762,""en"",""es-ES"")"),"El hombre continúa hablando con la cámara mientras mueve el palo por todas partes.")</f>
        <v>El hombre continúa hablando con la cámara mientras mueve el palo por todas partes.</v>
      </c>
    </row>
    <row r="17763">
      <c r="A17763" s="4" t="s">
        <v>22357</v>
      </c>
      <c r="B17763" s="4" t="s">
        <v>22360</v>
      </c>
      <c r="C17763" s="5" t="str">
        <f>IFERROR(__xludf.DUMMYFUNCTION("GOOGLETRANSLATE(B17763,""en"",""es-ES"")"),"Al final se ve todavía hablando mientras se mueve las piernas y muestra cómo lanzar la pelota correctamente.")</f>
        <v>Al final se ve todavía hablando mientras se mueve las piernas y muestra cómo lanzar la pelota correctamente.</v>
      </c>
    </row>
    <row r="17764">
      <c r="A17764" s="4" t="s">
        <v>22361</v>
      </c>
      <c r="B17764" s="4" t="s">
        <v>22362</v>
      </c>
      <c r="C17764" s="5" t="str">
        <f>IFERROR(__xludf.DUMMYFUNCTION("GOOGLETRANSLATE(B17764,""en"",""es-ES"")"),"Se ve a un hombre hablando con la cámara y conduce a clips de él golpeando una pelota con un palo.")</f>
        <v>Se ve a un hombre hablando con la cámara y conduce a clips de él golpeando una pelota con un palo.</v>
      </c>
    </row>
    <row r="17765">
      <c r="A17765" s="4" t="s">
        <v>22361</v>
      </c>
      <c r="B17765" s="4" t="s">
        <v>22363</v>
      </c>
      <c r="C17765" s="5" t="str">
        <f>IFERROR(__xludf.DUMMYFUNCTION("GOOGLETRANSLATE(B17765,""en"",""es-ES"")"),"El hombre continúa hablando con la cámara en varios puntos y, además de golpear la pelota, alrededor de un área interior.")</f>
        <v>El hombre continúa hablando con la cámara en varios puntos y, además de golpear la pelota, alrededor de un área interior.</v>
      </c>
    </row>
    <row r="17766">
      <c r="A17766" s="4" t="s">
        <v>22364</v>
      </c>
      <c r="B17766" s="4" t="s">
        <v>22365</v>
      </c>
      <c r="C17766" s="5" t="str">
        <f>IFERROR(__xludf.DUMMYFUNCTION("GOOGLETRANSLATE(B17766,""en"",""es-ES"")"),"Una introducción llega a la pantalla para un video sobre cómo esquiar.")</f>
        <v>Una introducción llega a la pantalla para un video sobre cómo esquiar.</v>
      </c>
    </row>
    <row r="17767">
      <c r="A17767" s="4" t="s">
        <v>22364</v>
      </c>
      <c r="B17767" s="4" t="s">
        <v>22366</v>
      </c>
      <c r="C17767" s="5" t="str">
        <f>IFERROR(__xludf.DUMMYFUNCTION("GOOGLETRANSLATE(B17767,""en"",""es-ES"")"),"Un hombre comienza a hablar sobre algunos componentes clave del esquí y cómo aprender a esquiar.")</f>
        <v>Un hombre comienza a hablar sobre algunos componentes clave del esquí y cómo aprender a esquiar.</v>
      </c>
    </row>
    <row r="17768">
      <c r="A17768" s="4" t="s">
        <v>22364</v>
      </c>
      <c r="B17768" s="4" t="s">
        <v>22367</v>
      </c>
      <c r="C17768" s="5" t="str">
        <f>IFERROR(__xludf.DUMMYFUNCTION("GOOGLETRANSLATE(B17768,""en"",""es-ES"")"),"El video luego va al video de personas esquiando por una pendiente mientras se retuerce y giran de lado a lado.")</f>
        <v>El video luego va al video de personas esquiando por una pendiente mientras se retuerce y giran de lado a lado.</v>
      </c>
    </row>
    <row r="17769">
      <c r="A17769" s="4" t="s">
        <v>22364</v>
      </c>
      <c r="B17769" s="4" t="s">
        <v>22368</v>
      </c>
      <c r="C17769" s="5" t="str">
        <f>IFERROR(__xludf.DUMMYFUNCTION("GOOGLETRANSLATE(B17769,""en"",""es-ES"")"),"Se muestra una escena de tres hombres que hablan mientras viajan por el elevador de esquí.")</f>
        <v>Se muestra una escena de tres hombres que hablan mientras viajan por el elevador de esquí.</v>
      </c>
    </row>
    <row r="17770">
      <c r="A17770" s="4" t="s">
        <v>22364</v>
      </c>
      <c r="B17770" s="4" t="s">
        <v>22369</v>
      </c>
      <c r="C17770" s="5" t="str">
        <f>IFERROR(__xludf.DUMMYFUNCTION("GOOGLETRANSLATE(B17770,""en"",""es-ES"")"),"Los créditos de cierre y los gráficos se muestran al final.")</f>
        <v>Los créditos de cierre y los gráficos se muestran al final.</v>
      </c>
    </row>
    <row r="17771">
      <c r="A17771" s="4" t="s">
        <v>22370</v>
      </c>
      <c r="B17771" s="4" t="s">
        <v>22371</v>
      </c>
      <c r="C17771" s="5" t="str">
        <f>IFERROR(__xludf.DUMMYFUNCTION("GOOGLETRANSLATE(B17771,""en"",""es-ES"")"),"Un empleado del metro está parado en la cocina preparando sub.")</f>
        <v>Un empleado del metro está parado en la cocina preparando sub.</v>
      </c>
    </row>
    <row r="17772">
      <c r="A17772" s="4" t="s">
        <v>22370</v>
      </c>
      <c r="B17772" s="4" t="s">
        <v>22372</v>
      </c>
      <c r="C17772" s="5" t="str">
        <f>IFERROR(__xludf.DUMMYFUNCTION("GOOGLETRANSLATE(B17772,""en"",""es-ES"")"),"En una pieza blanca es de papel, hay un trozo de pan de pie y una fila de jamón, pepperoni, salami, se agrega queso en el sub.")</f>
        <v>En una pieza blanca es de papel, hay un trozo de pan de pie y una fila de jamón, pepperoni, salami, se agrega queso en el sub.</v>
      </c>
    </row>
    <row r="17773">
      <c r="A17773" s="4" t="s">
        <v>22370</v>
      </c>
      <c r="B17773" s="4" t="s">
        <v>22373</v>
      </c>
      <c r="C17773" s="5" t="str">
        <f>IFERROR(__xludf.DUMMYFUNCTION("GOOGLETRANSLATE(B17773,""en"",""es-ES"")"),"Luego, el hombre pone el submarino en el horno a tostarse y mueve una bandeja de galletas al otro lado del mostrador.")</f>
        <v>Luego, el hombre pone el submarino en el horno a tostarse y mueve una bandeja de galletas al otro lado del mostrador.</v>
      </c>
    </row>
    <row r="17774">
      <c r="A17774" s="4" t="s">
        <v>22370</v>
      </c>
      <c r="B17774" s="4" t="s">
        <v>22374</v>
      </c>
      <c r="C17774" s="5" t="str">
        <f>IFERROR(__xludf.DUMMYFUNCTION("GOOGLETRANSLATE(B17774,""en"",""es-ES"")"),"Mientras espera, comienza a hablar con su amigo y revisar las galletas.")</f>
        <v>Mientras espera, comienza a hablar con su amigo y revisar las galletas.</v>
      </c>
    </row>
    <row r="17775">
      <c r="A17775" s="4" t="s">
        <v>22370</v>
      </c>
      <c r="B17775" s="4" t="s">
        <v>22375</v>
      </c>
      <c r="C17775" s="5" t="str">
        <f>IFERROR(__xludf.DUMMYFUNCTION("GOOGLETRANSLATE(B17775,""en"",""es-ES"")"),"Ahora, el submarino está tostado con una lechuga y se agrega tomates junto con pepinos, anchoas, aceite, vinagre y mayonesa.")</f>
        <v>Ahora, el submarino está tostado con una lechuga y se agrega tomates junto con pepinos, anchoas, aceite, vinagre y mayonesa.</v>
      </c>
    </row>
    <row r="17776">
      <c r="A17776" s="4" t="s">
        <v>22370</v>
      </c>
      <c r="B17776" s="4" t="s">
        <v>22376</v>
      </c>
      <c r="C17776" s="5" t="str">
        <f>IFERROR(__xludf.DUMMYFUNCTION("GOOGLETRANSLATE(B17776,""en"",""es-ES"")"),"El submarino finalmente se termina cortado por la mitad, se enrolla en papel y luego se totaliza en el registro.")</f>
        <v>El submarino finalmente se termina cortado por la mitad, se enrolla en papel y luego se totaliza en el registro.</v>
      </c>
    </row>
    <row r="17777">
      <c r="A17777" s="4" t="s">
        <v>22377</v>
      </c>
      <c r="B17777" s="4" t="s">
        <v>22378</v>
      </c>
      <c r="C17777" s="5" t="str">
        <f>IFERROR(__xludf.DUMMYFUNCTION("GOOGLETRANSLATE(B17777,""en"",""es-ES"")"),"Varios niños están interactuando en una pista de hielo.")</f>
        <v>Varios niños están interactuando en una pista de hielo.</v>
      </c>
    </row>
    <row r="17778">
      <c r="A17778" s="4" t="s">
        <v>22377</v>
      </c>
      <c r="B17778" s="4" t="s">
        <v>22379</v>
      </c>
      <c r="C17778" s="5" t="str">
        <f>IFERROR(__xludf.DUMMYFUNCTION("GOOGLETRANSLATE(B17778,""en"",""es-ES"")"),"Dos chicos que se deslizan sobre sus rodillas chocan y se retroceden.")</f>
        <v>Dos chicos que se deslizan sobre sus rodillas chocan y se retroceden.</v>
      </c>
    </row>
    <row r="17779">
      <c r="A17779" s="4" t="s">
        <v>22377</v>
      </c>
      <c r="B17779" s="4" t="s">
        <v>22380</v>
      </c>
      <c r="C17779" s="5" t="str">
        <f>IFERROR(__xludf.DUMMYFUNCTION("GOOGLETRANSLATE(B17779,""en"",""es-ES"")"),"Un niño libera una piedra rizada.")</f>
        <v>Un niño libera una piedra rizada.</v>
      </c>
    </row>
    <row r="17780">
      <c r="A17780" s="4" t="s">
        <v>22377</v>
      </c>
      <c r="B17780" s="4" t="s">
        <v>22381</v>
      </c>
      <c r="C17780" s="5" t="str">
        <f>IFERROR(__xludf.DUMMYFUNCTION("GOOGLETRANSLATE(B17780,""en"",""es-ES"")"),"Tres niños caminan juntos sobre el hielo.")</f>
        <v>Tres niños caminan juntos sobre el hielo.</v>
      </c>
    </row>
    <row r="17781">
      <c r="A17781" s="4" t="s">
        <v>22382</v>
      </c>
      <c r="B17781" s="4" t="s">
        <v>22383</v>
      </c>
      <c r="C17781" s="5" t="str">
        <f>IFERROR(__xludf.DUMMYFUNCTION("GOOGLETRANSLATE(B17781,""en"",""es-ES"")"),"Las tarjetas de título parpadean en la pantalla.")</f>
        <v>Las tarjetas de título parpadean en la pantalla.</v>
      </c>
    </row>
    <row r="17782">
      <c r="A17782" s="4" t="s">
        <v>22382</v>
      </c>
      <c r="B17782" s="4" t="s">
        <v>22384</v>
      </c>
      <c r="C17782" s="5" t="str">
        <f>IFERROR(__xludf.DUMMYFUNCTION("GOOGLETRANSLATE(B17782,""en"",""es-ES"")"),"Se muestran imágenes de balsas.")</f>
        <v>Se muestran imágenes de balsas.</v>
      </c>
    </row>
    <row r="17783">
      <c r="A17783" s="4" t="s">
        <v>22382</v>
      </c>
      <c r="B17783" s="4" t="s">
        <v>22385</v>
      </c>
      <c r="C17783" s="5" t="str">
        <f>IFERROR(__xludf.DUMMYFUNCTION("GOOGLETRANSLATE(B17783,""en"",""es-ES"")"),"Vemos personas sentadas en su balsa y luego comienzan a remar.")</f>
        <v>Vemos personas sentadas en su balsa y luego comienzan a remar.</v>
      </c>
    </row>
    <row r="17784">
      <c r="A17784" s="4" t="s">
        <v>22382</v>
      </c>
      <c r="B17784" s="4" t="s">
        <v>22386</v>
      </c>
      <c r="C17784" s="5" t="str">
        <f>IFERROR(__xludf.DUMMYFUNCTION("GOOGLETRANSLATE(B17784,""en"",""es-ES"")"),"Una cascada se derrama en la balsa.")</f>
        <v>Una cascada se derrama en la balsa.</v>
      </c>
    </row>
    <row r="17785">
      <c r="A17785" s="4" t="s">
        <v>22382</v>
      </c>
      <c r="B17785" s="4" t="s">
        <v>22387</v>
      </c>
      <c r="C17785" s="5" t="str">
        <f>IFERROR(__xludf.DUMMYFUNCTION("GOOGLETRANSLATE(B17785,""en"",""es-ES"")"),"Dos barcos de vigas balsa por un río.")</f>
        <v>Dos barcos de vigas balsa por un río.</v>
      </c>
    </row>
    <row r="17786">
      <c r="A17786" s="4" t="s">
        <v>22382</v>
      </c>
      <c r="B17786" s="4" t="s">
        <v>22388</v>
      </c>
      <c r="C17786" s="5" t="str">
        <f>IFERROR(__xludf.DUMMYFUNCTION("GOOGLETRANSLATE(B17786,""en"",""es-ES"")"),"El primer bote salpica el bote trasero.")</f>
        <v>El primer bote salpica el bote trasero.</v>
      </c>
    </row>
    <row r="17787">
      <c r="A17787" s="4" t="s">
        <v>22382</v>
      </c>
      <c r="B17787" s="4" t="s">
        <v>22389</v>
      </c>
      <c r="C17787" s="5" t="str">
        <f>IFERROR(__xludf.DUMMYFUNCTION("GOOGLETRANSLATE(B17787,""en"",""es-ES"")"),"Las vigas se salpican entre sí.")</f>
        <v>Las vigas se salpican entre sí.</v>
      </c>
    </row>
    <row r="17788">
      <c r="A17788" s="4" t="s">
        <v>22382</v>
      </c>
      <c r="B17788" s="4" t="s">
        <v>22390</v>
      </c>
      <c r="C17788" s="5" t="str">
        <f>IFERROR(__xludf.DUMMYFUNCTION("GOOGLETRANSLATE(B17788,""en"",""es-ES"")"),"Una balsa se da vuelta en el agua y las vigas flotan hasta la orilla del río.")</f>
        <v>Una balsa se da vuelta en el agua y las vigas flotan hasta la orilla del río.</v>
      </c>
    </row>
    <row r="17789">
      <c r="A17789" s="4" t="s">
        <v>22382</v>
      </c>
      <c r="B17789" s="4" t="s">
        <v>22391</v>
      </c>
      <c r="C17789" s="5" t="str">
        <f>IFERROR(__xludf.DUMMYFUNCTION("GOOGLETRANSLATE(B17789,""en"",""es-ES"")"),"Una camioneta conduce por la carretera.")</f>
        <v>Una camioneta conduce por la carretera.</v>
      </c>
    </row>
    <row r="17790">
      <c r="A17790" s="4" t="s">
        <v>22382</v>
      </c>
      <c r="B17790" s="4" t="s">
        <v>22392</v>
      </c>
      <c r="C17790" s="5" t="str">
        <f>IFERROR(__xludf.DUMMYFUNCTION("GOOGLETRANSLATE(B17790,""en"",""es-ES"")"),"La tarjeta de título final aparece en la pantalla.")</f>
        <v>La tarjeta de título final aparece en la pantalla.</v>
      </c>
    </row>
    <row r="17791">
      <c r="A17791" s="4" t="s">
        <v>22393</v>
      </c>
      <c r="B17791" s="4" t="s">
        <v>22394</v>
      </c>
      <c r="C17791" s="5" t="str">
        <f>IFERROR(__xludf.DUMMYFUNCTION("GOOGLETRANSLATE(B17791,""en"",""es-ES"")"),"Un hombre está en el agua del océano, sosteniendo una cuerda.")</f>
        <v>Un hombre está en el agua del océano, sosteniendo una cuerda.</v>
      </c>
    </row>
    <row r="17792">
      <c r="A17792" s="4" t="s">
        <v>22393</v>
      </c>
      <c r="B17792" s="4" t="s">
        <v>22395</v>
      </c>
      <c r="C17792" s="5" t="str">
        <f>IFERROR(__xludf.DUMMYFUNCTION("GOOGLETRANSLATE(B17792,""en"",""es-ES"")"),"Está unido a un bote mientras está en esquís acuáticos.")</f>
        <v>Está unido a un bote mientras está en esquís acuáticos.</v>
      </c>
    </row>
    <row r="17793">
      <c r="A17793" s="4" t="s">
        <v>22393</v>
      </c>
      <c r="B17793" s="4" t="s">
        <v>22396</v>
      </c>
      <c r="C17793" s="5" t="str">
        <f>IFERROR(__xludf.DUMMYFUNCTION("GOOGLETRANSLATE(B17793,""en"",""es-ES"")"),"Se levanta, esquiando en las olas.")</f>
        <v>Se levanta, esquiando en las olas.</v>
      </c>
    </row>
    <row r="17794">
      <c r="A17794" s="4" t="s">
        <v>22397</v>
      </c>
      <c r="B17794" s="4" t="s">
        <v>22398</v>
      </c>
      <c r="C17794" s="5" t="str">
        <f>IFERROR(__xludf.DUMMYFUNCTION("GOOGLETRANSLATE(B17794,""en"",""es-ES"")"),"Un hombre está parado afuera bebiendo cerveza.")</f>
        <v>Un hombre está parado afuera bebiendo cerveza.</v>
      </c>
    </row>
    <row r="17795">
      <c r="A17795" s="4" t="s">
        <v>22397</v>
      </c>
      <c r="B17795" s="4" t="s">
        <v>22399</v>
      </c>
      <c r="C17795" s="5" t="str">
        <f>IFERROR(__xludf.DUMMYFUNCTION("GOOGLETRANSLATE(B17795,""en"",""es-ES"")"),"La gente está de pie mirándolo.")</f>
        <v>La gente está de pie mirándolo.</v>
      </c>
    </row>
    <row r="17796">
      <c r="A17796" s="4" t="s">
        <v>22397</v>
      </c>
      <c r="B17796" s="4" t="s">
        <v>22400</v>
      </c>
      <c r="C17796" s="5" t="str">
        <f>IFERROR(__xludf.DUMMYFUNCTION("GOOGLETRANSLATE(B17796,""en"",""es-ES"")"),"Él coloca el vaso de cerveza en una mesa.")</f>
        <v>Él coloca el vaso de cerveza en una mesa.</v>
      </c>
    </row>
    <row r="17797">
      <c r="A17797" s="4" t="s">
        <v>22401</v>
      </c>
      <c r="B17797" s="4" t="s">
        <v>22402</v>
      </c>
      <c r="C17797" s="5" t="str">
        <f>IFERROR(__xludf.DUMMYFUNCTION("GOOGLETRANSLATE(B17797,""en"",""es-ES"")"),"Una mujer sostiene dos guantes grandes donde dos niñas golpean con ambas manos.")</f>
        <v>Una mujer sostiene dos guantes grandes donde dos niñas golpean con ambas manos.</v>
      </c>
    </row>
    <row r="17798">
      <c r="A17798" s="4" t="s">
        <v>22401</v>
      </c>
      <c r="B17798" s="4" t="s">
        <v>22403</v>
      </c>
      <c r="C17798" s="5" t="str">
        <f>IFERROR(__xludf.DUMMYFUNCTION("GOOGLETRANSLATE(B17798,""en"",""es-ES"")"),"Luego, la mujer pone los globos en el frente de su pecho.")</f>
        <v>Luego, la mujer pone los globos en el frente de su pecho.</v>
      </c>
    </row>
    <row r="17799">
      <c r="A17799" s="4" t="s">
        <v>22401</v>
      </c>
      <c r="B17799" s="4" t="s">
        <v>22404</v>
      </c>
      <c r="C17799" s="5" t="str">
        <f>IFERROR(__xludf.DUMMYFUNCTION("GOOGLETRANSLATE(B17799,""en"",""es-ES"")"),"La gente practica karate en una habitación.")</f>
        <v>La gente practica karate en una habitación.</v>
      </c>
    </row>
    <row r="17800">
      <c r="A17800" s="4" t="s">
        <v>22405</v>
      </c>
      <c r="B17800" s="4" t="s">
        <v>22406</v>
      </c>
      <c r="C17800" s="5" t="str">
        <f>IFERROR(__xludf.DUMMYFUNCTION("GOOGLETRANSLATE(B17800,""en"",""es-ES"")"),"Una persona sostiene a un niño que está en una barra de giro y luego empuja la barra.")</f>
        <v>Una persona sostiene a un niño que está en una barra de giro y luego empuja la barra.</v>
      </c>
    </row>
    <row r="17801">
      <c r="A17801" s="4" t="s">
        <v>22405</v>
      </c>
      <c r="B17801" s="4" t="s">
        <v>22407</v>
      </c>
      <c r="C17801" s="5" t="str">
        <f>IFERROR(__xludf.DUMMYFUNCTION("GOOGLETRANSLATE(B17801,""en"",""es-ES"")"),"Luego, el niño se balancea en la barra para impulso a su cuerpo a balancearse en círculos hasta que la fuerza de pérdida de la barra.")</f>
        <v>Luego, el niño se balancea en la barra para impulso a su cuerpo a balancearse en círculos hasta que la fuerza de pérdida de la barra.</v>
      </c>
    </row>
    <row r="17802">
      <c r="A17802" s="4" t="s">
        <v>22405</v>
      </c>
      <c r="B17802" s="4" t="s">
        <v>22408</v>
      </c>
      <c r="C17802" s="5" t="str">
        <f>IFERROR(__xludf.DUMMYFUNCTION("GOOGLETRANSLATE(B17802,""en"",""es-ES"")"),"Después, un hombre ayuda a detener la barra de swing, mientras que otras personas están arreglando algo.")</f>
        <v>Después, un hombre ayuda a detener la barra de swing, mientras que otras personas están arreglando algo.</v>
      </c>
    </row>
    <row r="17803">
      <c r="A17803" s="4" t="s">
        <v>22405</v>
      </c>
      <c r="B17803" s="4" t="s">
        <v>22409</v>
      </c>
      <c r="C17803" s="5" t="str">
        <f>IFERROR(__xludf.DUMMYFUNCTION("GOOGLETRANSLATE(B17803,""en"",""es-ES"")"),"Un joven con camiseta amarilla mueve los brazos.")</f>
        <v>Un joven con camiseta amarilla mueve los brazos.</v>
      </c>
    </row>
    <row r="17804">
      <c r="A17804" s="4" t="s">
        <v>22410</v>
      </c>
      <c r="B17804" s="4" t="s">
        <v>22411</v>
      </c>
      <c r="C17804" s="5" t="str">
        <f>IFERROR(__xludf.DUMMYFUNCTION("GOOGLETRANSLATE(B17804,""en"",""es-ES"")"),"Se está jugando un juego de hockey de campo.")</f>
        <v>Se está jugando un juego de hockey de campo.</v>
      </c>
    </row>
    <row r="17805">
      <c r="A17805" s="4" t="s">
        <v>22410</v>
      </c>
      <c r="B17805" s="4" t="s">
        <v>22412</v>
      </c>
      <c r="C17805" s="5" t="str">
        <f>IFERROR(__xludf.DUMMYFUNCTION("GOOGLETRANSLATE(B17805,""en"",""es-ES"")"),"Cuando un equipo está tratando de anotar, un jugador con una camisa blanca se agacha mientras el disco vuela sobre su cabeza.")</f>
        <v>Cuando un equipo está tratando de anotar, un jugador con una camisa blanca se agacha mientras el disco vuela sobre su cabeza.</v>
      </c>
    </row>
    <row r="17806">
      <c r="A17806" s="4" t="s">
        <v>22410</v>
      </c>
      <c r="B17806" s="4" t="s">
        <v>22413</v>
      </c>
      <c r="C17806" s="5" t="str">
        <f>IFERROR(__xludf.DUMMYFUNCTION("GOOGLETRANSLATE(B17806,""en"",""es-ES"")"),"Después de que el disco atraviesa el portero, la joven sonríe mientras se acerca a la banca y le dan un gran cinco de su entrenador.")</f>
        <v>Después de que el disco atraviesa el portero, la joven sonríe mientras se acerca a la banca y le dan un gran cinco de su entrenador.</v>
      </c>
    </row>
    <row r="17807">
      <c r="A17807" s="4" t="s">
        <v>22414</v>
      </c>
      <c r="B17807" s="4" t="s">
        <v>1487</v>
      </c>
      <c r="C17807" s="5" t="str">
        <f>IFERROR(__xludf.DUMMYFUNCTION("GOOGLETRANSLATE(B17807,""en"",""es-ES"")"),"Vemos una pantalla de título de apertura.")</f>
        <v>Vemos una pantalla de título de apertura.</v>
      </c>
    </row>
    <row r="17808">
      <c r="A17808" s="4" t="s">
        <v>22414</v>
      </c>
      <c r="B17808" s="4" t="s">
        <v>22415</v>
      </c>
      <c r="C17808" s="5" t="str">
        <f>IFERROR(__xludf.DUMMYFUNCTION("GOOGLETRANSLATE(B17808,""en"",""es-ES"")"),"Dos personas llevan tablas de surf de cometas al agua y vemos personas que las montan en el agua.")</f>
        <v>Dos personas llevan tablas de surf de cometas al agua y vemos personas que las montan en el agua.</v>
      </c>
    </row>
    <row r="17809">
      <c r="A17809" s="4" t="s">
        <v>22414</v>
      </c>
      <c r="B17809" s="4" t="s">
        <v>22416</v>
      </c>
      <c r="C17809" s="5" t="str">
        <f>IFERROR(__xludf.DUMMYFUNCTION("GOOGLETRANSLATE(B17809,""en"",""es-ES"")"),"Vemos el tablero de cerca.")</f>
        <v>Vemos el tablero de cerca.</v>
      </c>
    </row>
    <row r="17810">
      <c r="A17810" s="4" t="s">
        <v>22414</v>
      </c>
      <c r="B17810" s="4" t="s">
        <v>22417</v>
      </c>
      <c r="C17810" s="5" t="str">
        <f>IFERROR(__xludf.DUMMYFUNCTION("GOOGLETRANSLATE(B17810,""en"",""es-ES"")"),"Vemos a un hombre montando y deteniéndonos.")</f>
        <v>Vemos a un hombre montando y deteniéndonos.</v>
      </c>
    </row>
    <row r="17811">
      <c r="A17811" s="4" t="s">
        <v>22414</v>
      </c>
      <c r="B17811" s="4" t="s">
        <v>22418</v>
      </c>
      <c r="C17811" s="5" t="str">
        <f>IFERROR(__xludf.DUMMYFUNCTION("GOOGLETRANSLATE(B17811,""en"",""es-ES"")"),"Vemos el tablero de cerca nuevamente.")</f>
        <v>Vemos el tablero de cerca nuevamente.</v>
      </c>
    </row>
    <row r="17812">
      <c r="A17812" s="4" t="s">
        <v>22414</v>
      </c>
      <c r="B17812" s="4" t="s">
        <v>22419</v>
      </c>
      <c r="C17812" s="5" t="str">
        <f>IFERROR(__xludf.DUMMYFUNCTION("GOOGLETRANSLATE(B17812,""en"",""es-ES"")"),"Vemos al hombre montar el tablero en el agua nuevamente.")</f>
        <v>Vemos al hombre montar el tablero en el agua nuevamente.</v>
      </c>
    </row>
    <row r="17813">
      <c r="A17813" s="4" t="s">
        <v>22414</v>
      </c>
      <c r="B17813" s="4" t="s">
        <v>777</v>
      </c>
      <c r="C17813" s="5" t="str">
        <f>IFERROR(__xludf.DUMMYFUNCTION("GOOGLETRANSLATE(B17813,""en"",""es-ES"")"),"Vemos la pantalla de título final.")</f>
        <v>Vemos la pantalla de título final.</v>
      </c>
    </row>
    <row r="17814">
      <c r="A17814" s="4" t="s">
        <v>22420</v>
      </c>
      <c r="B17814" s="4" t="s">
        <v>22421</v>
      </c>
      <c r="C17814" s="5" t="str">
        <f>IFERROR(__xludf.DUMMYFUNCTION("GOOGLETRANSLATE(B17814,""en"",""es-ES"")"),"Un hombre que lleva una camisa blanca está jugando a la piscina en una sala de recreación.")</f>
        <v>Un hombre que lleva una camisa blanca está jugando a la piscina en una sala de recreación.</v>
      </c>
    </row>
    <row r="17815">
      <c r="A17815" s="4" t="s">
        <v>22420</v>
      </c>
      <c r="B17815" s="4" t="s">
        <v>22422</v>
      </c>
      <c r="C17815" s="5" t="str">
        <f>IFERROR(__xludf.DUMMYFUNCTION("GOOGLETRANSLATE(B17815,""en"",""es-ES"")"),"Hay otros jugadores parados además de la mesa de billar.")</f>
        <v>Hay otros jugadores parados además de la mesa de billar.</v>
      </c>
    </row>
    <row r="17816">
      <c r="A17816" s="4" t="s">
        <v>22420</v>
      </c>
      <c r="B17816" s="4" t="s">
        <v>22423</v>
      </c>
      <c r="C17816" s="5" t="str">
        <f>IFERROR(__xludf.DUMMYFUNCTION("GOOGLETRANSLATE(B17816,""en"",""es-ES"")"),"El hombre que juega al billar golpea las pelotas mientras continúa jugando el juego.")</f>
        <v>El hombre que juega al billar golpea las pelotas mientras continúa jugando el juego.</v>
      </c>
    </row>
    <row r="17817">
      <c r="A17817" s="4" t="s">
        <v>22424</v>
      </c>
      <c r="B17817" s="4" t="s">
        <v>22425</v>
      </c>
      <c r="C17817" s="5" t="str">
        <f>IFERROR(__xludf.DUMMYFUNCTION("GOOGLETRANSLATE(B17817,""en"",""es-ES"")"),"Se muestran un árbol y materiales de mulching, luego un hombre prepara el área alrededor del árbol.")</f>
        <v>Se muestran un árbol y materiales de mulching, luego un hombre prepara el área alrededor del árbol.</v>
      </c>
    </row>
    <row r="17818">
      <c r="A17818" s="4" t="s">
        <v>22424</v>
      </c>
      <c r="B17818" s="4" t="s">
        <v>22426</v>
      </c>
      <c r="C17818" s="5" t="str">
        <f>IFERROR(__xludf.DUMMYFUNCTION("GOOGLETRANSLATE(B17818,""en"",""es-ES"")"),"Entonces el hombre puso a Mulch alrededor del árbol y da forma con un estante.")</f>
        <v>Entonces el hombre puso a Mulch alrededor del árbol y da forma con un estante.</v>
      </c>
    </row>
    <row r="17819">
      <c r="A17819" s="4" t="s">
        <v>22427</v>
      </c>
      <c r="B17819" s="4" t="s">
        <v>22428</v>
      </c>
      <c r="C17819" s="5" t="str">
        <f>IFERROR(__xludf.DUMMYFUNCTION("GOOGLETRANSLATE(B17819,""en"",""es-ES"")"),"Se ve a una mujer arrojando un dardo al tablero y mirando hacia atrás riendo mientras otra observa desde lejos.")</f>
        <v>Se ve a una mujer arrojando un dardo al tablero y mirando hacia atrás riendo mientras otra observa desde lejos.</v>
      </c>
    </row>
    <row r="17820">
      <c r="A17820" s="4" t="s">
        <v>22427</v>
      </c>
      <c r="B17820" s="4" t="s">
        <v>22429</v>
      </c>
      <c r="C17820" s="5" t="str">
        <f>IFERROR(__xludf.DUMMYFUNCTION("GOOGLETRANSLATE(B17820,""en"",""es-ES"")"),"Ella arroja más dardos sobre el tablero mientras se detiene para agarrarlos y un hombre inclinado a su lado.")</f>
        <v>Ella arroja más dardos sobre el tablero mientras se detiene para agarrarlos y un hombre inclinado a su lado.</v>
      </c>
    </row>
    <row r="17821">
      <c r="A17821" s="4" t="s">
        <v>22430</v>
      </c>
      <c r="B17821" s="4" t="s">
        <v>22431</v>
      </c>
      <c r="C17821" s="5" t="str">
        <f>IFERROR(__xludf.DUMMYFUNCTION("GOOGLETRANSLATE(B17821,""en"",""es-ES"")"),"Un hombre está en una cancha de racquetball interior, hablando mientras sostiene una pelota y una raqueta.")</f>
        <v>Un hombre está en una cancha de racquetball interior, hablando mientras sostiene una pelota y una raqueta.</v>
      </c>
    </row>
    <row r="17822">
      <c r="A17822" s="4" t="s">
        <v>22430</v>
      </c>
      <c r="B17822" s="4" t="s">
        <v>22432</v>
      </c>
      <c r="C17822" s="5" t="str">
        <f>IFERROR(__xludf.DUMMYFUNCTION("GOOGLETRANSLATE(B17822,""en"",""es-ES"")"),"Loba la pelota de un lado a otro contra la pared, intercalado con hablar sobre el juego.")</f>
        <v>Loba la pelota de un lado a otro contra la pared, intercalado con hablar sobre el juego.</v>
      </c>
    </row>
    <row r="17823">
      <c r="A17823" s="4" t="s">
        <v>22430</v>
      </c>
      <c r="B17823" s="4" t="s">
        <v>22433</v>
      </c>
      <c r="C17823" s="5" t="str">
        <f>IFERROR(__xludf.DUMMYFUNCTION("GOOGLETRANSLATE(B17823,""en"",""es-ES"")"),"Habla por un tiempo más antes de que termine el video.")</f>
        <v>Habla por un tiempo más antes de que termine el video.</v>
      </c>
    </row>
    <row r="17824">
      <c r="A17824" s="4" t="s">
        <v>22434</v>
      </c>
      <c r="B17824" s="4" t="s">
        <v>22435</v>
      </c>
      <c r="C17824" s="5" t="str">
        <f>IFERROR(__xludf.DUMMYFUNCTION("GOOGLETRANSLATE(B17824,""en"",""es-ES"")"),"Dos hombres están parados en un gimnasio interior y sincronizan que ambos comienzan a saltar sobre sus estilos hinchables de metal y ambos hacen un retroceso.")</f>
        <v>Dos hombres están parados en un gimnasio interior y sincronizan que ambos comienzan a saltar sobre sus estilos hinchables de metal y ambos hacen un retroceso.</v>
      </c>
    </row>
    <row r="17825">
      <c r="A17825" s="4" t="s">
        <v>22434</v>
      </c>
      <c r="B17825" s="4" t="s">
        <v>22436</v>
      </c>
      <c r="C17825" s="5" t="str">
        <f>IFERROR(__xludf.DUMMYFUNCTION("GOOGLETRANSLATE(B17825,""en"",""es-ES"")"),"Varios clips de varias personas diferentes que también llevan el juego de zancos hinchables y todos corren, voltean y hacen varios trucos mientras aterrizan en tapetes azules en un gimnasio interior.")</f>
        <v>Varios clips de varias personas diferentes que también llevan el juego de zancos hinchables y todos corren, voltean y hacen varios trucos mientras aterrizan en tapetes azules en un gimnasio interior.</v>
      </c>
    </row>
    <row r="17826">
      <c r="A17826" s="4" t="s">
        <v>22434</v>
      </c>
      <c r="B17826" s="4" t="s">
        <v>22437</v>
      </c>
      <c r="C17826" s="5" t="str">
        <f>IFERROR(__xludf.DUMMYFUNCTION("GOOGLETRANSLATE(B17826,""en"",""es-ES"")"),"Ahora hay mucha gente al aire libre, tanto hombres como mujeres, y todos están corriendo, saltando, saltando y haciendo volteos al aire libre.")</f>
        <v>Ahora hay mucha gente al aire libre, tanto hombres como mujeres, y todos están corriendo, saltando, saltando y haciendo volteos al aire libre.</v>
      </c>
    </row>
    <row r="17827">
      <c r="A17827" s="4" t="s">
        <v>22434</v>
      </c>
      <c r="B17827" s="4" t="s">
        <v>22438</v>
      </c>
      <c r="C17827" s="5" t="str">
        <f>IFERROR(__xludf.DUMMYFUNCTION("GOOGLETRANSLATE(B17827,""en"",""es-ES"")"),"Un gran grupo de ellos se alinean y una vista desde arriba muestra que han formado el número 7.")</f>
        <v>Un gran grupo de ellos se alinean y una vista desde arriba muestra que han formado el número 7.</v>
      </c>
    </row>
    <row r="17828">
      <c r="A17828" s="4" t="s">
        <v>22434</v>
      </c>
      <c r="B17828" s="4" t="s">
        <v>22439</v>
      </c>
      <c r="C17828" s="5" t="str">
        <f>IFERROR(__xludf.DUMMYFUNCTION("GOOGLETRANSLATE(B17828,""en"",""es-ES"")"),"Se muestran varias fotos de fotos y clips de más personas al aire libre en un juego de área diferente y todas también saltan sobre postes, haciendo flips, saltos, corriendo y etc.")</f>
        <v>Se muestran varias fotos de fotos y clips de más personas al aire libre en un juego de área diferente y todas también saltan sobre postes, haciendo flips, saltos, corriendo y etc.</v>
      </c>
    </row>
    <row r="17829">
      <c r="A17829" s="4" t="s">
        <v>22434</v>
      </c>
      <c r="B17829" s="4" t="s">
        <v>22440</v>
      </c>
      <c r="C17829" s="5" t="str">
        <f>IFERROR(__xludf.DUMMYFUNCTION("GOOGLETRANSLATE(B17829,""en"",""es-ES"")"),"Ahora hay personas saltando al agua con sus zancos hinchables, luego de regreso en una gran área cubierta de hierba hasta que aparezca una pantalla negra y muchas palabras y sitios web blancos se desplazan rápidamente de abajo hacia arriba.")</f>
        <v>Ahora hay personas saltando al agua con sus zancos hinchables, luego de regreso en una gran área cubierta de hierba hasta que aparezca una pantalla negra y muchas palabras y sitios web blancos se desplazan rápidamente de abajo hacia arriba.</v>
      </c>
    </row>
    <row r="17830">
      <c r="A17830" s="4" t="s">
        <v>22441</v>
      </c>
      <c r="B17830" s="4" t="s">
        <v>22442</v>
      </c>
      <c r="C17830" s="5" t="str">
        <f>IFERROR(__xludf.DUMMYFUNCTION("GOOGLETRANSLATE(B17830,""en"",""es-ES"")"),"La gente está en canoa por un río de agua.")</f>
        <v>La gente está en canoa por un río de agua.</v>
      </c>
    </row>
    <row r="17831">
      <c r="A17831" s="4" t="s">
        <v>22441</v>
      </c>
      <c r="B17831" s="4" t="s">
        <v>22443</v>
      </c>
      <c r="C17831" s="5" t="str">
        <f>IFERROR(__xludf.DUMMYFUNCTION("GOOGLETRANSLATE(B17831,""en"",""es-ES"")"),"Van los postes en el agua.")</f>
        <v>Van los postes en el agua.</v>
      </c>
    </row>
    <row r="17832">
      <c r="A17832" s="4" t="s">
        <v>22441</v>
      </c>
      <c r="B17832" s="4" t="s">
        <v>22444</v>
      </c>
      <c r="C17832" s="5" t="str">
        <f>IFERROR(__xludf.DUMMYFUNCTION("GOOGLETRANSLATE(B17832,""en"",""es-ES"")"),"Van debajo de un puente.")</f>
        <v>Van debajo de un puente.</v>
      </c>
    </row>
    <row r="17833">
      <c r="A17833" s="4" t="s">
        <v>22445</v>
      </c>
      <c r="B17833" s="4" t="s">
        <v>22446</v>
      </c>
      <c r="C17833" s="5" t="str">
        <f>IFERROR(__xludf.DUMMYFUNCTION("GOOGLETRANSLATE(B17833,""en"",""es-ES"")"),"Una niña con gris y abrigo estampado está parado en el centro de las hojas secas, se alejó de la pila de hojas, agarró el puñado y lo puso en un lado.")</f>
        <v>Una niña con gris y abrigo estampado está parado en el centro de las hojas secas, se alejó de la pila de hojas, agarró el puñado y lo puso en un lado.</v>
      </c>
    </row>
    <row r="17834">
      <c r="A17834" s="4" t="s">
        <v>22445</v>
      </c>
      <c r="B17834" s="4" t="s">
        <v>22447</v>
      </c>
      <c r="C17834" s="5" t="str">
        <f>IFERROR(__xludf.DUMMYFUNCTION("GOOGLETRANSLATE(B17834,""en"",""es-ES"")"),"Una mujer con suéter gris y pantalones azules caminan desde la niña detrás de ella hacia ella, la señora lleva un rastrillo.")</f>
        <v>Una mujer con suéter gris y pantalones azules caminan desde la niña detrás de ella hacia ella, la señora lleva un rastrillo.</v>
      </c>
    </row>
    <row r="17835">
      <c r="A17835" s="4" t="s">
        <v>22445</v>
      </c>
      <c r="B17835" s="4" t="s">
        <v>22448</v>
      </c>
      <c r="C17835" s="5" t="str">
        <f>IFERROR(__xludf.DUMMYFUNCTION("GOOGLETRANSLATE(B17835,""en"",""es-ES"")"),"La niña se le acercó y trató de alcanzar el rastrillo.")</f>
        <v>La niña se le acercó y trató de alcanzar el rastrillo.</v>
      </c>
    </row>
    <row r="17836">
      <c r="A17836" s="4" t="s">
        <v>22445</v>
      </c>
      <c r="B17836" s="4" t="s">
        <v>22449</v>
      </c>
      <c r="C17836" s="5" t="str">
        <f>IFERROR(__xludf.DUMMYFUNCTION("GOOGLETRANSLATE(B17836,""en"",""es-ES"")"),"La mujer ajustó el mango del rastrillo para que fuera más corto y le entregó a la niña.")</f>
        <v>La mujer ajustó el mango del rastrillo para que fuera más corto y le entregó a la niña.</v>
      </c>
    </row>
    <row r="17837">
      <c r="A17837" s="4" t="s">
        <v>22445</v>
      </c>
      <c r="B17837" s="4" t="s">
        <v>22450</v>
      </c>
      <c r="C17837" s="5" t="str">
        <f>IFERROR(__xludf.DUMMYFUNCTION("GOOGLETRANSLATE(B17837,""en"",""es-ES"")"),"La niña intentó rastrillar, pero no se movía, así que la mujer se sentó junto a la niña y le quitó el rastrillo, mientras que la niña se distrajo por los niños corriendo por la calle.")</f>
        <v>La niña intentó rastrillar, pero no se movía, así que la mujer se sentó junto a la niña y le quitó el rastrillo, mientras que la niña se distrajo por los niños corriendo por la calle.</v>
      </c>
    </row>
    <row r="17838">
      <c r="A17838" s="4" t="s">
        <v>22445</v>
      </c>
      <c r="B17838" s="4" t="s">
        <v>22451</v>
      </c>
      <c r="C17838" s="5" t="str">
        <f>IFERROR(__xludf.DUMMYFUNCTION("GOOGLETRANSLATE(B17838,""en"",""es-ES"")"),"La niña continúa rastrillando, mientras la señora toma un rastrillo más grande y comenzó a rastrillar las hojas.")</f>
        <v>La niña continúa rastrillando, mientras la señora toma un rastrillo más grande y comenzó a rastrillar las hojas.</v>
      </c>
    </row>
    <row r="17839">
      <c r="A17839" s="4" t="s">
        <v>22452</v>
      </c>
      <c r="B17839" s="4" t="s">
        <v>22453</v>
      </c>
      <c r="C17839" s="5" t="str">
        <f>IFERROR(__xludf.DUMMYFUNCTION("GOOGLETRANSLATE(B17839,""en"",""es-ES"")"),"Una persona camina por la calle que tiene tiza.")</f>
        <v>Una persona camina por la calle que tiene tiza.</v>
      </c>
    </row>
    <row r="17840">
      <c r="A17840" s="4" t="s">
        <v>22452</v>
      </c>
      <c r="B17840" s="4" t="s">
        <v>22454</v>
      </c>
      <c r="C17840" s="5" t="str">
        <f>IFERROR(__xludf.DUMMYFUNCTION("GOOGLETRANSLATE(B17840,""en"",""es-ES"")"),"Una persona con una camisa roja está saltando por la calle con la tiza.")</f>
        <v>Una persona con una camisa roja está saltando por la calle con la tiza.</v>
      </c>
    </row>
    <row r="17841">
      <c r="A17841" s="4" t="s">
        <v>22452</v>
      </c>
      <c r="B17841" s="4" t="s">
        <v>22455</v>
      </c>
      <c r="C17841" s="5" t="str">
        <f>IFERROR(__xludf.DUMMYFUNCTION("GOOGLETRANSLATE(B17841,""en"",""es-ES"")"),"Terminan y sonríen a la cámara.")</f>
        <v>Terminan y sonríen a la cámara.</v>
      </c>
    </row>
    <row r="17842">
      <c r="A17842" s="4" t="s">
        <v>22456</v>
      </c>
      <c r="B17842" s="4" t="s">
        <v>22457</v>
      </c>
      <c r="C17842" s="5" t="str">
        <f>IFERROR(__xludf.DUMMYFUNCTION("GOOGLETRANSLATE(B17842,""en"",""es-ES"")"),"Esta es una receta para hacer galletas con chispas de chocolate.")</f>
        <v>Esta es una receta para hacer galletas con chispas de chocolate.</v>
      </c>
    </row>
    <row r="17843">
      <c r="A17843" s="4" t="s">
        <v>22456</v>
      </c>
      <c r="B17843" s="4" t="s">
        <v>22458</v>
      </c>
      <c r="C17843" s="5" t="str">
        <f>IFERROR(__xludf.DUMMYFUNCTION("GOOGLETRANSLATE(B17843,""en"",""es-ES"")"),"Las barras de chocolate se cortan con un cuchillo.")</f>
        <v>Las barras de chocolate se cortan con un cuchillo.</v>
      </c>
    </row>
    <row r="17844">
      <c r="A17844" s="4" t="s">
        <v>22456</v>
      </c>
      <c r="B17844" s="4" t="s">
        <v>22459</v>
      </c>
      <c r="C17844" s="5" t="str">
        <f>IFERROR(__xludf.DUMMYFUNCTION("GOOGLETRANSLATE(B17844,""en"",""es-ES"")"),"La mantequilla está en microondas y se prepara con azúcar y otros ingredientes.")</f>
        <v>La mantequilla está en microondas y se prepara con azúcar y otros ingredientes.</v>
      </c>
    </row>
    <row r="17845">
      <c r="A17845" s="4" t="s">
        <v>22456</v>
      </c>
      <c r="B17845" s="4" t="s">
        <v>22460</v>
      </c>
      <c r="C17845" s="5" t="str">
        <f>IFERROR(__xludf.DUMMYFUNCTION("GOOGLETRANSLATE(B17845,""en"",""es-ES"")"),"Todo se agita y se pone el chocolate.")</f>
        <v>Todo se agita y se pone el chocolate.</v>
      </c>
    </row>
    <row r="17846">
      <c r="A17846" s="4" t="s">
        <v>22456</v>
      </c>
      <c r="B17846" s="4" t="s">
        <v>22461</v>
      </c>
      <c r="C17846" s="5" t="str">
        <f>IFERROR(__xludf.DUMMYFUNCTION("GOOGLETRANSLATE(B17846,""en"",""es-ES"")"),"Las galletas tienen forma y se colocan en un horno.")</f>
        <v>Las galletas tienen forma y se colocan en un horno.</v>
      </c>
    </row>
    <row r="17847">
      <c r="A17847" s="4" t="s">
        <v>22462</v>
      </c>
      <c r="B17847" s="4" t="s">
        <v>22463</v>
      </c>
      <c r="C17847" s="5" t="str">
        <f>IFERROR(__xludf.DUMMYFUNCTION("GOOGLETRANSLATE(B17847,""en"",""es-ES"")"),"El hombre está sentado en el asiento del conductor.")</f>
        <v>El hombre está sentado en el asiento del conductor.</v>
      </c>
    </row>
    <row r="17848">
      <c r="A17848" s="4" t="s">
        <v>22462</v>
      </c>
      <c r="B17848" s="4" t="s">
        <v>22464</v>
      </c>
      <c r="C17848" s="5" t="str">
        <f>IFERROR(__xludf.DUMMYFUNCTION("GOOGLETRANSLATE(B17848,""en"",""es-ES"")"),"La gente está en el snowboard de montaña nevada.")</f>
        <v>La gente está en el snowboard de montaña nevada.</v>
      </c>
    </row>
    <row r="17849">
      <c r="A17849" s="4" t="s">
        <v>22465</v>
      </c>
      <c r="B17849" s="4" t="s">
        <v>22466</v>
      </c>
      <c r="C17849" s="5" t="str">
        <f>IFERROR(__xludf.DUMMYFUNCTION("GOOGLETRANSLATE(B17849,""en"",""es-ES"")"),"Alguien toma un cubo de Rubix de su escritorio y comienza a resolverlo.")</f>
        <v>Alguien toma un cubo de Rubix de su escritorio y comienza a resolverlo.</v>
      </c>
    </row>
    <row r="17850">
      <c r="A17850" s="4" t="s">
        <v>22465</v>
      </c>
      <c r="B17850" s="4" t="s">
        <v>22467</v>
      </c>
      <c r="C17850" s="5" t="str">
        <f>IFERROR(__xludf.DUMMYFUNCTION("GOOGLETRANSLATE(B17850,""en"",""es-ES"")"),"Se están moviendo tan rápido que lo pusieron durante una fracción de segundo.")</f>
        <v>Se están moviendo tan rápido que lo pusieron durante una fracción de segundo.</v>
      </c>
    </row>
    <row r="17851">
      <c r="A17851" s="4" t="s">
        <v>22465</v>
      </c>
      <c r="B17851" s="4" t="s">
        <v>22468</v>
      </c>
      <c r="C17851" s="5" t="str">
        <f>IFERROR(__xludf.DUMMYFUNCTION("GOOGLETRANSLATE(B17851,""en"",""es-ES"")"),"Lo recogen rápidamente y vuelven a hacerlo, moviéndose tan rápido nuevamente.")</f>
        <v>Lo recogen rápidamente y vuelven a hacerlo, moviéndose tan rápido nuevamente.</v>
      </c>
    </row>
    <row r="17852">
      <c r="A17852" s="4" t="s">
        <v>22465</v>
      </c>
      <c r="B17852" s="4" t="s">
        <v>22469</v>
      </c>
      <c r="C17852" s="5" t="str">
        <f>IFERROR(__xludf.DUMMYFUNCTION("GOOGLETRANSLATE(B17852,""en"",""es-ES"")"),"Cuando finalmente resuelven el cubo, muestran su tiempo, les llevó solo 33,91 resolver el cubo.")</f>
        <v>Cuando finalmente resuelven el cubo, muestran su tiempo, les llevó solo 33,91 resolver el cubo.</v>
      </c>
    </row>
    <row r="17853">
      <c r="A17853" s="4" t="s">
        <v>22470</v>
      </c>
      <c r="B17853" s="4" t="s">
        <v>22471</v>
      </c>
      <c r="C17853" s="5" t="str">
        <f>IFERROR(__xludf.DUMMYFUNCTION("GOOGLETRANSLATE(B17853,""en"",""es-ES"")"),"El hombre con camisa negra está caminando y luego levantó la pelota.")</f>
        <v>El hombre con camisa negra está caminando y luego levantó la pelota.</v>
      </c>
    </row>
    <row r="17854">
      <c r="A17854" s="4" t="s">
        <v>22470</v>
      </c>
      <c r="B17854" s="4" t="s">
        <v>22472</v>
      </c>
      <c r="C17854" s="5" t="str">
        <f>IFERROR(__xludf.DUMMYFUNCTION("GOOGLETRANSLATE(B17854,""en"",""es-ES"")"),"El hombre le puso la pelota en el cuello y comenzó a darse la vuelta y arrojó la pelota.")</f>
        <v>El hombre le puso la pelota en el cuello y comenzó a darse la vuelta y arrojó la pelota.</v>
      </c>
    </row>
    <row r="17855">
      <c r="A17855" s="4" t="s">
        <v>22470</v>
      </c>
      <c r="B17855" s="4" t="s">
        <v>22473</v>
      </c>
      <c r="C17855" s="5" t="str">
        <f>IFERROR(__xludf.DUMMYFUNCTION("GOOGLETRANSLATE(B17855,""en"",""es-ES"")"),"El hombre vitoreó y dio un gran cinco a otro hombre, luego está tan feliz que fue al suelo sobre su estómago y continuó animando.")</f>
        <v>El hombre vitoreó y dio un gran cinco a otro hombre, luego está tan feliz que fue al suelo sobre su estómago y continuó animando.</v>
      </c>
    </row>
    <row r="17856">
      <c r="A17856" s="4" t="s">
        <v>22474</v>
      </c>
      <c r="B17856" s="4" t="s">
        <v>22475</v>
      </c>
      <c r="C17856" s="5" t="str">
        <f>IFERROR(__xludf.DUMMYFUNCTION("GOOGLETRANSLATE(B17856,""en"",""es-ES"")"),"Hay una mujer con un vestido rosa sentado con un hombre con una camisa gris.")</f>
        <v>Hay una mujer con un vestido rosa sentado con un hombre con una camisa gris.</v>
      </c>
    </row>
    <row r="17857">
      <c r="A17857" s="4" t="s">
        <v>22474</v>
      </c>
      <c r="B17857" s="4" t="s">
        <v>22476</v>
      </c>
      <c r="C17857" s="5" t="str">
        <f>IFERROR(__xludf.DUMMYFUNCTION("GOOGLETRANSLATE(B17857,""en"",""es-ES"")"),"Están hablando de cepillarse los dientes en ropa interior y cómo está prohibido por Metacafe.")</f>
        <v>Están hablando de cepillarse los dientes en ropa interior y cómo está prohibido por Metacafe.</v>
      </c>
    </row>
    <row r="17858">
      <c r="A17858" s="4" t="s">
        <v>22474</v>
      </c>
      <c r="B17858" s="4" t="s">
        <v>22477</v>
      </c>
      <c r="C17858" s="5" t="str">
        <f>IFERROR(__xludf.DUMMYFUNCTION("GOOGLETRANSLATE(B17858,""en"",""es-ES"")"),"El hombre tiene un guión en la mano que está leyendo.")</f>
        <v>El hombre tiene un guión en la mano que está leyendo.</v>
      </c>
    </row>
    <row r="17859">
      <c r="A17859" s="4" t="s">
        <v>22474</v>
      </c>
      <c r="B17859" s="4" t="s">
        <v>22478</v>
      </c>
      <c r="C17859" s="5" t="str">
        <f>IFERROR(__xludf.DUMMYFUNCTION("GOOGLETRANSLATE(B17859,""en"",""es-ES"")"),"Un hombre con pantalones plegados camina por la playa.")</f>
        <v>Un hombre con pantalones plegados camina por la playa.</v>
      </c>
    </row>
    <row r="17860">
      <c r="A17860" s="4" t="s">
        <v>22474</v>
      </c>
      <c r="B17860" s="4" t="s">
        <v>22479</v>
      </c>
      <c r="C17860" s="5" t="str">
        <f>IFERROR(__xludf.DUMMYFUNCTION("GOOGLETRANSLATE(B17860,""en"",""es-ES"")"),"Recoge un cepillo de dientes de la arena y comienza a cepillarse los dientes.")</f>
        <v>Recoge un cepillo de dientes de la arena y comienza a cepillarse los dientes.</v>
      </c>
    </row>
    <row r="17861">
      <c r="A17861" s="4" t="s">
        <v>22474</v>
      </c>
      <c r="B17861" s="4" t="s">
        <v>22480</v>
      </c>
      <c r="C17861" s="5" t="str">
        <f>IFERROR(__xludf.DUMMYFUNCTION("GOOGLETRANSLATE(B17861,""en"",""es-ES"")"),"La mujer en el baño se está cepillando los dientes y es atacada por un hombre con un cuchillo.")</f>
        <v>La mujer en el baño se está cepillando los dientes y es atacada por un hombre con un cuchillo.</v>
      </c>
    </row>
    <row r="17862">
      <c r="A17862" s="4" t="s">
        <v>22474</v>
      </c>
      <c r="B17862" s="4" t="s">
        <v>22481</v>
      </c>
      <c r="C17862" s="5" t="str">
        <f>IFERROR(__xludf.DUMMYFUNCTION("GOOGLETRANSLATE(B17862,""en"",""es-ES"")"),"Hay sangre salpicada por todo el baño.")</f>
        <v>Hay sangre salpicada por todo el baño.</v>
      </c>
    </row>
    <row r="17863">
      <c r="A17863" s="4" t="s">
        <v>22474</v>
      </c>
      <c r="B17863" s="4" t="s">
        <v>22482</v>
      </c>
      <c r="C17863" s="5" t="str">
        <f>IFERROR(__xludf.DUMMYFUNCTION("GOOGLETRANSLATE(B17863,""en"",""es-ES"")"),"La mujer herida se levanta y se ve en el espejo solo descubre que tiene la cara del hombre de la playa.")</f>
        <v>La mujer herida se levanta y se ve en el espejo solo descubre que tiene la cara del hombre de la playa.</v>
      </c>
    </row>
    <row r="17864">
      <c r="A17864" s="4" t="s">
        <v>22474</v>
      </c>
      <c r="B17864" s="4" t="s">
        <v>22483</v>
      </c>
      <c r="C17864" s="5" t="str">
        <f>IFERROR(__xludf.DUMMYFUNCTION("GOOGLETRANSLATE(B17864,""en"",""es-ES"")"),"El mismo hombre ahora está de vuelta en la playa, caminando por la orilla.")</f>
        <v>El mismo hombre ahora está de vuelta en la playa, caminando por la orilla.</v>
      </c>
    </row>
    <row r="17865">
      <c r="A17865" s="4" t="s">
        <v>22484</v>
      </c>
      <c r="B17865" s="4" t="s">
        <v>22485</v>
      </c>
      <c r="C17865" s="5" t="str">
        <f>IFERROR(__xludf.DUMMYFUNCTION("GOOGLETRANSLATE(B17865,""en"",""es-ES"")"),"Se muestran varias tomas de paisajes seguidos por una mujer que habla con la cámara, preparándose y montando detrás de un vehículo.")</f>
        <v>Se muestran varias tomas de paisajes seguidos por una mujer que habla con la cámara, preparándose y montando detrás de un vehículo.</v>
      </c>
    </row>
    <row r="17866">
      <c r="A17866" s="4" t="s">
        <v>22484</v>
      </c>
      <c r="B17866" s="4" t="s">
        <v>22486</v>
      </c>
      <c r="C17866" s="5" t="str">
        <f>IFERROR(__xludf.DUMMYFUNCTION("GOOGLETRANSLATE(B17866,""en"",""es-ES"")"),"La persona camina e interactúa con el conductor y conduce a más clips de la persona que montaba un tablero detrás de un automóvil.")</f>
        <v>La persona camina e interactúa con el conductor y conduce a más clips de la persona que montaba un tablero detrás de un automóvil.</v>
      </c>
    </row>
    <row r="17867">
      <c r="A17867" s="4" t="s">
        <v>22484</v>
      </c>
      <c r="B17867" s="4" t="s">
        <v>22487</v>
      </c>
      <c r="C17867" s="5" t="str">
        <f>IFERROR(__xludf.DUMMYFUNCTION("GOOGLETRANSLATE(B17867,""en"",""es-ES"")"),"Un hombre habla en un walkie talkie y muestra la velocidad del automóvil, así como las personas que celebran y el hombre que recibe una placa.")</f>
        <v>Un hombre habla en un walkie talkie y muestra la velocidad del automóvil, así como las personas que celebran y el hombre que recibe una placa.</v>
      </c>
    </row>
    <row r="17868">
      <c r="A17868" s="4" t="s">
        <v>22488</v>
      </c>
      <c r="B17868" s="4" t="s">
        <v>22489</v>
      </c>
      <c r="C17868" s="5" t="str">
        <f>IFERROR(__xludf.DUMMYFUNCTION("GOOGLETRANSLATE(B17868,""en"",""es-ES"")"),"Un grupo de hombres está en una habitación haciendo varios movimientos de las manos y moviendo sus pies.")</f>
        <v>Un grupo de hombres está en una habitación haciendo varios movimientos de las manos y moviendo sus pies.</v>
      </c>
    </row>
    <row r="17869">
      <c r="A17869" s="4" t="s">
        <v>22488</v>
      </c>
      <c r="B17869" s="4" t="s">
        <v>22490</v>
      </c>
      <c r="C17869" s="5" t="str">
        <f>IFERROR(__xludf.DUMMYFUNCTION("GOOGLETRANSLATE(B17869,""en"",""es-ES"")"),"A medida que continúan, el hombre en la parte posterior cae en el suelo, se levanta y continúa moviéndose en la parte trasera de la habitación.")</f>
        <v>A medida que continúan, el hombre en la parte posterior cae en el suelo, se levanta y continúa moviéndose en la parte trasera de la habitación.</v>
      </c>
    </row>
    <row r="17870">
      <c r="A17870" s="4" t="s">
        <v>22488</v>
      </c>
      <c r="B17870" s="4" t="s">
        <v>22491</v>
      </c>
      <c r="C17870" s="5" t="str">
        <f>IFERROR(__xludf.DUMMYFUNCTION("GOOGLETRANSLATE(B17870,""en"",""es-ES"")"),"Terminan, se quedan quieto y comienzan a aplaudir y chocarse unos a otros.")</f>
        <v>Terminan, se quedan quieto y comienzan a aplaudir y chocarse unos a otros.</v>
      </c>
    </row>
    <row r="17871">
      <c r="A17871" s="4" t="s">
        <v>22492</v>
      </c>
      <c r="B17871" s="4" t="s">
        <v>22493</v>
      </c>
      <c r="C17871" s="5" t="str">
        <f>IFERROR(__xludf.DUMMYFUNCTION("GOOGLETRANSLATE(B17871,""en"",""es-ES"")"),"La mujer rubia está rastrillando las hojas secas en un patio trasero y el perro está jugando con ellas corriendo.")</f>
        <v>La mujer rubia está rastrillando las hojas secas en un patio trasero y el perro está jugando con ellas corriendo.</v>
      </c>
    </row>
    <row r="17872">
      <c r="A17872" s="4" t="s">
        <v>22492</v>
      </c>
      <c r="B17872" s="4" t="s">
        <v>22494</v>
      </c>
      <c r="C17872" s="5" t="str">
        <f>IFERROR(__xludf.DUMMYFUNCTION("GOOGLETRANSLATE(B17872,""en"",""es-ES"")"),"El perro se desanima en el patio trasero y está bebiendo agua de una fuente de Smal y sigue corriendo por el campo jugando con las hojas mientras la mujer sigue rastrillando.")</f>
        <v>El perro se desanima en el patio trasero y está bebiendo agua de una fuente de Smal y sigue corriendo por el campo jugando con las hojas mientras la mujer sigue rastrillando.</v>
      </c>
    </row>
    <row r="17873">
      <c r="A17873" s="4" t="s">
        <v>22495</v>
      </c>
      <c r="B17873" s="4" t="s">
        <v>22496</v>
      </c>
      <c r="C17873" s="5" t="str">
        <f>IFERROR(__xludf.DUMMYFUNCTION("GOOGLETRANSLATE(B17873,""en"",""es-ES"")"),"Dos personas están de pie detrás de un mostrador.")</f>
        <v>Dos personas están de pie detrás de un mostrador.</v>
      </c>
    </row>
    <row r="17874">
      <c r="A17874" s="4" t="s">
        <v>22495</v>
      </c>
      <c r="B17874" s="4" t="s">
        <v>22497</v>
      </c>
      <c r="C17874" s="5" t="str">
        <f>IFERROR(__xludf.DUMMYFUNCTION("GOOGLETRANSLATE(B17874,""en"",""es-ES"")"),"Una persona está agregando pimientos a una ensalada.")</f>
        <v>Una persona está agregando pimientos a una ensalada.</v>
      </c>
    </row>
    <row r="17875">
      <c r="A17875" s="4" t="s">
        <v>22495</v>
      </c>
      <c r="B17875" s="4" t="s">
        <v>22498</v>
      </c>
      <c r="C17875" s="5" t="str">
        <f>IFERROR(__xludf.DUMMYFUNCTION("GOOGLETRANSLATE(B17875,""en"",""es-ES"")"),"Otra persona está cortando la pimienta en un tablero.")</f>
        <v>Otra persona está cortando la pimienta en un tablero.</v>
      </c>
    </row>
    <row r="17876">
      <c r="A17876" s="4" t="s">
        <v>22499</v>
      </c>
      <c r="B17876" s="4" t="s">
        <v>22500</v>
      </c>
      <c r="C17876" s="5" t="str">
        <f>IFERROR(__xludf.DUMMYFUNCTION("GOOGLETRANSLATE(B17876,""en"",""es-ES"")"),"Los créditos iniciales para una película aparecen en la pantalla.")</f>
        <v>Los créditos iniciales para una película aparecen en la pantalla.</v>
      </c>
    </row>
    <row r="17877">
      <c r="A17877" s="4" t="s">
        <v>22499</v>
      </c>
      <c r="B17877" s="4" t="s">
        <v>22501</v>
      </c>
      <c r="C17877" s="5" t="str">
        <f>IFERROR(__xludf.DUMMYFUNCTION("GOOGLETRANSLATE(B17877,""en"",""es-ES"")"),"Se muestran varios jóvenes realizando varias acrobacias en las patinetas.")</f>
        <v>Se muestran varios jóvenes realizando varias acrobacias en las patinetas.</v>
      </c>
    </row>
    <row r="17878">
      <c r="A17878" s="4" t="s">
        <v>22499</v>
      </c>
      <c r="B17878" s="4" t="s">
        <v>22502</v>
      </c>
      <c r="C17878" s="5" t="str">
        <f>IFERROR(__xludf.DUMMYFUNCTION("GOOGLETRANSLATE(B17878,""en"",""es-ES"")"),"Saltan sobre mesas, sobre fuentes y bajan las escaleras.")</f>
        <v>Saltan sobre mesas, sobre fuentes y bajan las escaleras.</v>
      </c>
    </row>
    <row r="17879">
      <c r="A17879" s="4" t="s">
        <v>22503</v>
      </c>
      <c r="B17879" s="4" t="s">
        <v>22504</v>
      </c>
      <c r="C17879" s="5" t="str">
        <f>IFERROR(__xludf.DUMMYFUNCTION("GOOGLETRANSLATE(B17879,""en"",""es-ES"")"),"Un hombre está agitando algo en una olla.")</f>
        <v>Un hombre está agitando algo en una olla.</v>
      </c>
    </row>
    <row r="17880">
      <c r="A17880" s="4" t="s">
        <v>22503</v>
      </c>
      <c r="B17880" s="4" t="s">
        <v>22505</v>
      </c>
      <c r="C17880" s="5" t="str">
        <f>IFERROR(__xludf.DUMMYFUNCTION("GOOGLETRANSLATE(B17880,""en"",""es-ES"")"),"El primer hombre deja la escena cuando un segundo hombre entra y agita algo en un tazón.")</f>
        <v>El primer hombre deja la escena cuando un segundo hombre entra y agita algo en un tazón.</v>
      </c>
    </row>
    <row r="17881">
      <c r="A17881" s="4" t="s">
        <v>22503</v>
      </c>
      <c r="B17881" s="4" t="s">
        <v>22506</v>
      </c>
      <c r="C17881" s="5" t="str">
        <f>IFERROR(__xludf.DUMMYFUNCTION("GOOGLETRANSLATE(B17881,""en"",""es-ES"")"),"El primer hombre entra y sale fuera de cuadro.")</f>
        <v>El primer hombre entra y sale fuera de cuadro.</v>
      </c>
    </row>
    <row r="17882">
      <c r="A17882" s="4" t="s">
        <v>22503</v>
      </c>
      <c r="B17882" s="4" t="s">
        <v>22507</v>
      </c>
      <c r="C17882" s="5" t="str">
        <f>IFERROR(__xludf.DUMMYFUNCTION("GOOGLETRANSLATE(B17882,""en"",""es-ES"")"),"La cámara se fue para ver al primer hombre trabajando en un horno.")</f>
        <v>La cámara se fue para ver al primer hombre trabajando en un horno.</v>
      </c>
    </row>
    <row r="17883">
      <c r="A17883" s="4" t="s">
        <v>22508</v>
      </c>
      <c r="B17883" s="4" t="s">
        <v>22509</v>
      </c>
      <c r="C17883" s="5" t="str">
        <f>IFERROR(__xludf.DUMMYFUNCTION("GOOGLETRANSLATE(B17883,""en"",""es-ES"")"),"Las personas en uniformes de varios personajes se muestran corriendo alrededor de un campo verde.")</f>
        <v>Las personas en uniformes de varios personajes se muestran corriendo alrededor de un campo verde.</v>
      </c>
    </row>
    <row r="17884">
      <c r="A17884" s="4" t="s">
        <v>22508</v>
      </c>
      <c r="B17884" s="4" t="s">
        <v>22510</v>
      </c>
      <c r="C17884" s="5" t="str">
        <f>IFERROR(__xludf.DUMMYFUNCTION("GOOGLETRANSLATE(B17884,""en"",""es-ES"")"),"Luego, comienza un juego de lacrosse y compiten entre sí.")</f>
        <v>Luego, comienza un juego de lacrosse y compiten entre sí.</v>
      </c>
    </row>
    <row r="17885">
      <c r="A17885" s="4" t="s">
        <v>22508</v>
      </c>
      <c r="B17885" s="4" t="s">
        <v>22511</v>
      </c>
      <c r="C17885" s="5" t="str">
        <f>IFERROR(__xludf.DUMMYFUNCTION("GOOGLETRANSLATE(B17885,""en"",""es-ES"")"),"El gran personaje amarillo intenta obtener un gol, pero no es exitoso y se pone de rodilla en decepción.")</f>
        <v>El gran personaje amarillo intenta obtener un gol, pero no es exitoso y se pone de rodilla en decepción.</v>
      </c>
    </row>
    <row r="17886">
      <c r="A17886" s="4" t="s">
        <v>22512</v>
      </c>
      <c r="B17886" s="4" t="s">
        <v>22513</v>
      </c>
      <c r="C17886" s="5" t="str">
        <f>IFERROR(__xludf.DUMMYFUNCTION("GOOGLETRANSLATE(B17886,""en"",""es-ES"")"),"Un hombre con una camisa de mezclilla y una gorra de béisbol negra juega la armónica en la playa frente a una orilla arenosa, agua del océano y una loma cubierta de hierba y flor.")</f>
        <v>Un hombre con una camisa de mezclilla y una gorra de béisbol negra juega la armónica en la playa frente a una orilla arenosa, agua del océano y una loma cubierta de hierba y flor.</v>
      </c>
    </row>
    <row r="17887">
      <c r="A17887" s="4" t="s">
        <v>22512</v>
      </c>
      <c r="B17887" s="4" t="s">
        <v>22514</v>
      </c>
      <c r="C17887" s="5" t="str">
        <f>IFERROR(__xludf.DUMMYFUNCTION("GOOGLETRANSLATE(B17887,""en"",""es-ES"")"),"El hombre está de pie en la parte superior de una corta escalera de madera y, apoyada contra la barandilla, el hombre comienza a tocar la armónica que cubre todo el instrumento con ambas manos mientras toca.")</f>
        <v>El hombre está de pie en la parte superior de una corta escalera de madera y, apoyada contra la barandilla, el hombre comienza a tocar la armónica que cubre todo el instrumento con ambas manos mientras toca.</v>
      </c>
    </row>
    <row r="17888">
      <c r="A17888" s="4" t="s">
        <v>22512</v>
      </c>
      <c r="B17888" s="4" t="s">
        <v>22515</v>
      </c>
      <c r="C17888" s="5" t="str">
        <f>IFERROR(__xludf.DUMMYFUNCTION("GOOGLETRANSLATE(B17888,""en"",""es-ES"")"),"Un asistente de playa en pantalones cortos pasa junto a él a lo lejos en la arena húmeda de la playa.")</f>
        <v>Un asistente de playa en pantalones cortos pasa junto a él a lo lejos en la arena húmeda de la playa.</v>
      </c>
    </row>
    <row r="17889">
      <c r="A17889" s="4" t="s">
        <v>22512</v>
      </c>
      <c r="B17889" s="4" t="s">
        <v>22516</v>
      </c>
      <c r="C17889" s="5" t="str">
        <f>IFERROR(__xludf.DUMMYFUNCTION("GOOGLETRANSLATE(B17889,""en"",""es-ES"")"),"El hombre continúa tocando la armónica que termina alejando la armónica de la boca y retorciendo un gran bigote ropado dramáticamente.")</f>
        <v>El hombre continúa tocando la armónica que termina alejando la armónica de la boca y retorciendo un gran bigote ropado dramáticamente.</v>
      </c>
    </row>
    <row r="17890">
      <c r="A17890" s="4" t="s">
        <v>22517</v>
      </c>
      <c r="B17890" s="4" t="s">
        <v>22518</v>
      </c>
      <c r="C17890" s="5" t="str">
        <f>IFERROR(__xludf.DUMMYFUNCTION("GOOGLETRANSLATE(B17890,""en"",""es-ES"")"),"Un hombre y un perro son vistos de pie en un campo con el perro mirando al dueño.")</f>
        <v>Un hombre y un perro son vistos de pie en un campo con el perro mirando al dueño.</v>
      </c>
    </row>
    <row r="17891">
      <c r="A17891" s="4" t="s">
        <v>22517</v>
      </c>
      <c r="B17891" s="4" t="s">
        <v>22519</v>
      </c>
      <c r="C17891" s="5" t="str">
        <f>IFERROR(__xludf.DUMMYFUNCTION("GOOGLETRANSLATE(B17891,""en"",""es-ES"")"),"El hombre arroja un frisbee a la distancia y el perro lo persigue.")</f>
        <v>El hombre arroja un frisbee a la distancia y el perro lo persigue.</v>
      </c>
    </row>
    <row r="17892">
      <c r="A17892" s="4" t="s">
        <v>22517</v>
      </c>
      <c r="B17892" s="4" t="s">
        <v>22520</v>
      </c>
      <c r="C17892" s="5" t="str">
        <f>IFERROR(__xludf.DUMMYFUNCTION("GOOGLETRANSLATE(B17892,""en"",""es-ES"")"),"El perro agarra el frisbee y corre hacia el hombre.")</f>
        <v>El perro agarra el frisbee y corre hacia el hombre.</v>
      </c>
    </row>
    <row r="17893">
      <c r="A17893" s="4" t="s">
        <v>22521</v>
      </c>
      <c r="B17893" s="4" t="s">
        <v>22522</v>
      </c>
      <c r="C17893" s="5" t="str">
        <f>IFERROR(__xludf.DUMMYFUNCTION("GOOGLETRANSLATE(B17893,""en"",""es-ES"")"),"Una mujer joven está en un gimnasio.")</f>
        <v>Una mujer joven está en un gimnasio.</v>
      </c>
    </row>
    <row r="17894">
      <c r="A17894" s="4" t="s">
        <v>22521</v>
      </c>
      <c r="B17894" s="4" t="s">
        <v>22523</v>
      </c>
      <c r="C17894" s="5" t="str">
        <f>IFERROR(__xludf.DUMMYFUNCTION("GOOGLETRANSLATE(B17894,""en"",""es-ES"")"),"Ella se sienta en una máquina de ejercicios mientras habla con la cámara.")</f>
        <v>Ella se sienta en una máquina de ejercicios mientras habla con la cámara.</v>
      </c>
    </row>
    <row r="17895">
      <c r="A17895" s="4" t="s">
        <v>22521</v>
      </c>
      <c r="B17895" s="4" t="s">
        <v>22524</v>
      </c>
      <c r="C17895" s="5" t="str">
        <f>IFERROR(__xludf.DUMMYFUNCTION("GOOGLETRANSLATE(B17895,""en"",""es-ES"")"),"Otras tres personas están cerca de ella, también en máquinas de ejercicio.")</f>
        <v>Otras tres personas están cerca de ella, también en máquinas de ejercicio.</v>
      </c>
    </row>
    <row r="17896">
      <c r="A17896" s="4" t="s">
        <v>22521</v>
      </c>
      <c r="B17896" s="4" t="s">
        <v>22525</v>
      </c>
      <c r="C17896" s="5" t="str">
        <f>IFERROR(__xludf.DUMMYFUNCTION("GOOGLETRANSLATE(B17896,""en"",""es-ES"")"),"La mujer luego comienza a usar la máquina de ejercicios.")</f>
        <v>La mujer luego comienza a usar la máquina de ejercicios.</v>
      </c>
    </row>
    <row r="17897">
      <c r="A17897" s="4" t="s">
        <v>22521</v>
      </c>
      <c r="B17897" s="4" t="s">
        <v>22526</v>
      </c>
      <c r="C17897" s="5" t="str">
        <f>IFERROR(__xludf.DUMMYFUNCTION("GOOGLETRANSLATE(B17897,""en"",""es-ES"")"),"El video termina con la mujer deteniendo la máquina y sonriendo a la cámara.")</f>
        <v>El video termina con la mujer deteniendo la máquina y sonriendo a la cámara.</v>
      </c>
    </row>
    <row r="17898">
      <c r="A17898" s="4" t="s">
        <v>22527</v>
      </c>
      <c r="B17898" s="4" t="s">
        <v>22528</v>
      </c>
      <c r="C17898" s="5" t="str">
        <f>IFERROR(__xludf.DUMMYFUNCTION("GOOGLETRANSLATE(B17898,""en"",""es-ES"")"),"Se ve a un hombre y una mujer realizando una rutina de baile en un piso unos con otros.")</f>
        <v>Se ve a un hombre y una mujer realizando una rutina de baile en un piso unos con otros.</v>
      </c>
    </row>
    <row r="17899">
      <c r="A17899" s="4" t="s">
        <v>22527</v>
      </c>
      <c r="B17899" s="4" t="s">
        <v>22529</v>
      </c>
      <c r="C17899" s="5" t="str">
        <f>IFERROR(__xludf.DUMMYFUNCTION("GOOGLETRANSLATE(B17899,""en"",""es-ES"")"),"El hombre y la mujer también son vistos en tomas bailando solos y llevan a ellos bailando juntos nuevamente.")</f>
        <v>El hombre y la mujer también son vistos en tomas bailando solos y llevan a ellos bailando juntos nuevamente.</v>
      </c>
    </row>
    <row r="17900">
      <c r="A17900" s="4" t="s">
        <v>22530</v>
      </c>
      <c r="B17900" s="4" t="s">
        <v>22531</v>
      </c>
      <c r="C17900" s="5" t="str">
        <f>IFERROR(__xludf.DUMMYFUNCTION("GOOGLETRANSLATE(B17900,""en"",""es-ES"")"),"Una niña se para en un baño hablando con la cámara mientras un hombre la filma.")</f>
        <v>Una niña se para en un baño hablando con la cámara mientras un hombre la filma.</v>
      </c>
    </row>
    <row r="17901">
      <c r="A17901" s="4" t="s">
        <v>22530</v>
      </c>
      <c r="B17901" s="4" t="s">
        <v>22532</v>
      </c>
      <c r="C17901" s="5" t="str">
        <f>IFERROR(__xludf.DUMMYFUNCTION("GOOGLETRANSLATE(B17901,""en"",""es-ES"")"),"La señora se limpia el maquillaje de los ojos y se lava la cara.")</f>
        <v>La señora se limpia el maquillaje de los ojos y se lava la cara.</v>
      </c>
    </row>
    <row r="17902">
      <c r="A17902" s="4" t="s">
        <v>22530</v>
      </c>
      <c r="B17902" s="4" t="s">
        <v>22533</v>
      </c>
      <c r="C17902" s="5" t="str">
        <f>IFERROR(__xludf.DUMMYFUNCTION("GOOGLETRANSLATE(B17902,""en"",""es-ES"")"),"La señora enjuague el jabón de su rostro.")</f>
        <v>La señora enjuague el jabón de su rostro.</v>
      </c>
    </row>
    <row r="17903">
      <c r="A17903" s="4" t="s">
        <v>22530</v>
      </c>
      <c r="B17903" s="4" t="s">
        <v>22534</v>
      </c>
      <c r="C17903" s="5" t="str">
        <f>IFERROR(__xludf.DUMMYFUNCTION("GOOGLETRANSLATE(B17903,""en"",""es-ES"")"),"La señora se alza y se limpia la cara con las manos mientras sonríe.")</f>
        <v>La señora se alza y se limpia la cara con las manos mientras sonríe.</v>
      </c>
    </row>
    <row r="17904">
      <c r="A17904" s="4" t="s">
        <v>22535</v>
      </c>
      <c r="B17904" s="4" t="s">
        <v>22536</v>
      </c>
      <c r="C17904" s="5" t="str">
        <f>IFERROR(__xludf.DUMMYFUNCTION("GOOGLETRANSLATE(B17904,""en"",""es-ES"")"),"Un hombre que camina sobre zancos de metal está rebotando en un baloncesto con la mano derecha cuando un hombre lo pasa en patines en la dirección opuesta.")</f>
        <v>Un hombre que camina sobre zancos de metal está rebotando en un baloncesto con la mano derecha cuando un hombre lo pasa en patines en la dirección opuesta.</v>
      </c>
    </row>
    <row r="17905">
      <c r="A17905" s="4" t="s">
        <v>22535</v>
      </c>
      <c r="B17905" s="4" t="s">
        <v>22537</v>
      </c>
      <c r="C17905" s="5" t="str">
        <f>IFERROR(__xludf.DUMMYFUNCTION("GOOGLETRANSLATE(B17905,""en"",""es-ES"")"),"El hombre de pilotos se da vuelta mientras aún rebota en la pelota, pierde el control por un momento, pero lo sube y rebota es nuevamente.")</f>
        <v>El hombre de pilotos se da vuelta mientras aún rebota en la pelota, pierde el control por un momento, pero lo sube y rebota es nuevamente.</v>
      </c>
    </row>
    <row r="17906">
      <c r="A17906" s="4" t="s">
        <v>22535</v>
      </c>
      <c r="B17906" s="4" t="s">
        <v>22538</v>
      </c>
      <c r="C17906" s="5" t="str">
        <f>IFERROR(__xludf.DUMMYFUNCTION("GOOGLETRANSLATE(B17906,""en"",""es-ES"")"),"El hombre luego agarra el baloncesto con dos manos y finge que lo lanzará hacia la cámara.")</f>
        <v>El hombre luego agarra el baloncesto con dos manos y finge que lo lanzará hacia la cámara.</v>
      </c>
    </row>
    <row r="17907">
      <c r="A17907" s="4" t="s">
        <v>22539</v>
      </c>
      <c r="B17907" s="4" t="s">
        <v>22540</v>
      </c>
      <c r="C17907" s="5" t="str">
        <f>IFERROR(__xludf.DUMMYFUNCTION("GOOGLETRANSLATE(B17907,""en"",""es-ES"")"),"Se muestra una piscina en una habitación.")</f>
        <v>Se muestra una piscina en una habitación.</v>
      </c>
    </row>
    <row r="17908">
      <c r="A17908" s="4" t="s">
        <v>22539</v>
      </c>
      <c r="B17908" s="4" t="s">
        <v>22541</v>
      </c>
      <c r="C17908" s="5" t="str">
        <f>IFERROR(__xludf.DUMMYFUNCTION("GOOGLETRANSLATE(B17908,""en"",""es-ES"")"),"Se muestra a los hombres saltando a la piscina y las vueltas de natación.")</f>
        <v>Se muestra a los hombres saltando a la piscina y las vueltas de natación.</v>
      </c>
    </row>
    <row r="17909">
      <c r="A17909" s="4" t="s">
        <v>22542</v>
      </c>
      <c r="B17909" s="4" t="s">
        <v>1251</v>
      </c>
      <c r="C17909" s="5" t="str">
        <f>IFERROR(__xludf.DUMMYFUNCTION("GOOGLETRANSLATE(B17909,""en"",""es-ES"")"),"Se muestran los créditos del clip.")</f>
        <v>Se muestran los créditos del clip.</v>
      </c>
    </row>
    <row r="17910">
      <c r="A17910" s="4" t="s">
        <v>22542</v>
      </c>
      <c r="B17910" s="4" t="s">
        <v>22543</v>
      </c>
      <c r="C17910" s="5" t="str">
        <f>IFERROR(__xludf.DUMMYFUNCTION("GOOGLETRANSLATE(B17910,""en"",""es-ES"")"),"Los autos se mueven en una carretera adyacente a una casa.")</f>
        <v>Los autos se mueven en una carretera adyacente a una casa.</v>
      </c>
    </row>
    <row r="17911">
      <c r="A17911" s="4" t="s">
        <v>22542</v>
      </c>
      <c r="B17911" s="4" t="s">
        <v>22544</v>
      </c>
      <c r="C17911" s="5" t="str">
        <f>IFERROR(__xludf.DUMMYFUNCTION("GOOGLETRANSLATE(B17911,""en"",""es-ES"")"),"Una persona es el lavado de poder.")</f>
        <v>Una persona es el lavado de poder.</v>
      </c>
    </row>
    <row r="17912">
      <c r="A17912" s="4" t="s">
        <v>22542</v>
      </c>
      <c r="B17912" s="4" t="s">
        <v>22545</v>
      </c>
      <c r="C17912" s="5" t="str">
        <f>IFERROR(__xludf.DUMMYFUNCTION("GOOGLETRANSLATE(B17912,""en"",""es-ES"")"),"La persona está absorbiendo agua y escombros con un vacío.")</f>
        <v>La persona está absorbiendo agua y escombros con un vacío.</v>
      </c>
    </row>
    <row r="17913">
      <c r="A17913" s="4" t="s">
        <v>22542</v>
      </c>
      <c r="B17913" s="4" t="s">
        <v>22546</v>
      </c>
      <c r="C17913" s="5" t="str">
        <f>IFERROR(__xludf.DUMMYFUNCTION("GOOGLETRANSLATE(B17913,""en"",""es-ES"")"),"Un hombre está pintando la pared, azul claro.")</f>
        <v>Un hombre está pintando la pared, azul claro.</v>
      </c>
    </row>
    <row r="17914">
      <c r="A17914" s="4" t="s">
        <v>22542</v>
      </c>
      <c r="B17914" s="4" t="s">
        <v>22547</v>
      </c>
      <c r="C17914" s="5" t="str">
        <f>IFERROR(__xludf.DUMMYFUNCTION("GOOGLETRANSLATE(B17914,""en"",""es-ES"")"),"El hombre está pintando la pared y el piso de un techo, negro.")</f>
        <v>El hombre está pintando la pared y el piso de un techo, negro.</v>
      </c>
    </row>
    <row r="17915">
      <c r="A17915" s="4" t="s">
        <v>22542</v>
      </c>
      <c r="B17915" s="4" t="s">
        <v>573</v>
      </c>
      <c r="C17915" s="5" t="str">
        <f>IFERROR(__xludf.DUMMYFUNCTION("GOOGLETRANSLATE(B17915,""en"",""es-ES"")"),"Se muestran los créditos del video.")</f>
        <v>Se muestran los créditos del video.</v>
      </c>
    </row>
    <row r="17916">
      <c r="A17916" s="4" t="s">
        <v>22548</v>
      </c>
      <c r="B17916" s="4" t="s">
        <v>1487</v>
      </c>
      <c r="C17916" s="5" t="str">
        <f>IFERROR(__xludf.DUMMYFUNCTION("GOOGLETRANSLATE(B17916,""en"",""es-ES"")"),"Vemos una pantalla de título de apertura.")</f>
        <v>Vemos una pantalla de título de apertura.</v>
      </c>
    </row>
    <row r="17917">
      <c r="A17917" s="4" t="s">
        <v>22548</v>
      </c>
      <c r="B17917" s="4" t="s">
        <v>22549</v>
      </c>
      <c r="C17917" s="5" t="str">
        <f>IFERROR(__xludf.DUMMYFUNCTION("GOOGLETRANSLATE(B17917,""en"",""es-ES"")"),"Un hombre toca la batería mientras usa auriculares.")</f>
        <v>Un hombre toca la batería mientras usa auriculares.</v>
      </c>
    </row>
    <row r="17918">
      <c r="A17918" s="4" t="s">
        <v>22548</v>
      </c>
      <c r="B17918" s="4" t="s">
        <v>22550</v>
      </c>
      <c r="C17918" s="5" t="str">
        <f>IFERROR(__xludf.DUMMYFUNCTION("GOOGLETRANSLATE(B17918,""en"",""es-ES"")"),"Vemos los pies del hombre en la esquina superior.")</f>
        <v>Vemos los pies del hombre en la esquina superior.</v>
      </c>
    </row>
    <row r="17919">
      <c r="A17919" s="4" t="s">
        <v>22548</v>
      </c>
      <c r="B17919" s="4" t="s">
        <v>22551</v>
      </c>
      <c r="C17919" s="5" t="str">
        <f>IFERROR(__xludf.DUMMYFUNCTION("GOOGLETRANSLATE(B17919,""en"",""es-ES"")"),"Los pies del hombre regresan en la esquina.")</f>
        <v>Los pies del hombre regresan en la esquina.</v>
      </c>
    </row>
    <row r="17920">
      <c r="A17920" s="4" t="s">
        <v>22548</v>
      </c>
      <c r="B17920" s="4" t="s">
        <v>22552</v>
      </c>
      <c r="C17920" s="5" t="str">
        <f>IFERROR(__xludf.DUMMYFUNCTION("GOOGLETRANSLATE(B17920,""en"",""es-ES"")"),"Vemos un juego que se juega antes de regresar al baterista.")</f>
        <v>Vemos un juego que se juega antes de regresar al baterista.</v>
      </c>
    </row>
    <row r="17921">
      <c r="A17921" s="4" t="s">
        <v>22548</v>
      </c>
      <c r="B17921" s="4" t="s">
        <v>22553</v>
      </c>
      <c r="C17921" s="5" t="str">
        <f>IFERROR(__xludf.DUMMYFUNCTION("GOOGLETRANSLATE(B17921,""en"",""es-ES"")"),"Vemos otra escena del juego.")</f>
        <v>Vemos otra escena del juego.</v>
      </c>
    </row>
    <row r="17922">
      <c r="A17922" s="4" t="s">
        <v>22548</v>
      </c>
      <c r="B17922" s="4" t="s">
        <v>22554</v>
      </c>
      <c r="C17922" s="5" t="str">
        <f>IFERROR(__xludf.DUMMYFUNCTION("GOOGLETRANSLATE(B17922,""en"",""es-ES"")"),"El hombre lanza y atrapa una de sus baquetas.")</f>
        <v>El hombre lanza y atrapa una de sus baquetas.</v>
      </c>
    </row>
    <row r="17923">
      <c r="A17923" s="4" t="s">
        <v>22548</v>
      </c>
      <c r="B17923" s="4" t="s">
        <v>22555</v>
      </c>
      <c r="C17923" s="5" t="str">
        <f>IFERROR(__xludf.DUMMYFUNCTION("GOOGLETRANSLATE(B17923,""en"",""es-ES"")"),"Vemos una pantalla de cierre con un sitio web.")</f>
        <v>Vemos una pantalla de cierre con un sitio web.</v>
      </c>
    </row>
    <row r="17924">
      <c r="A17924" s="4" t="s">
        <v>22556</v>
      </c>
      <c r="B17924" s="4" t="s">
        <v>22557</v>
      </c>
      <c r="C17924" s="5" t="str">
        <f>IFERROR(__xludf.DUMMYFUNCTION("GOOGLETRANSLATE(B17924,""en"",""es-ES"")"),"Se ve un disparo de dos hombres realizando un partido de lucha libre de brazo mientras el público aplaude.")</f>
        <v>Se ve un disparo de dos hombres realizando un partido de lucha libre de brazo mientras el público aplaude.</v>
      </c>
    </row>
    <row r="17925">
      <c r="A17925" s="4" t="s">
        <v>22556</v>
      </c>
      <c r="B17925" s="4" t="s">
        <v>22558</v>
      </c>
      <c r="C17925" s="5" t="str">
        <f>IFERROR(__xludf.DUMMYFUNCTION("GOOGLETRANSLATE(B17925,""en"",""es-ES"")"),"Un hombre late al otro y los dos levantan los brazos para animar y todos celebran.")</f>
        <v>Un hombre late al otro y los dos levantan los brazos para animar y todos celebran.</v>
      </c>
    </row>
    <row r="17926">
      <c r="A17926" s="4" t="s">
        <v>22556</v>
      </c>
      <c r="B17926" s="4" t="s">
        <v>22559</v>
      </c>
      <c r="C17926" s="5" t="str">
        <f>IFERROR(__xludf.DUMMYFUNCTION("GOOGLETRANSLATE(B17926,""en"",""es-ES"")"),"Un hombre en la audiencia se ve decepcionante y el ganador sostiene a un niño.")</f>
        <v>Un hombre en la audiencia se ve decepcionante y el ganador sostiene a un niño.</v>
      </c>
    </row>
    <row r="17927">
      <c r="A17927" s="4" t="s">
        <v>22560</v>
      </c>
      <c r="B17927" s="4" t="s">
        <v>22561</v>
      </c>
      <c r="C17927" s="5" t="str">
        <f>IFERROR(__xludf.DUMMYFUNCTION("GOOGLETRANSLATE(B17927,""en"",""es-ES"")"),"Un hombre está sacando el interior de una sandía.")</f>
        <v>Un hombre está sacando el interior de una sandía.</v>
      </c>
    </row>
    <row r="17928">
      <c r="A17928" s="4" t="s">
        <v>22560</v>
      </c>
      <c r="B17928" s="4" t="s">
        <v>22562</v>
      </c>
      <c r="C17928" s="5" t="str">
        <f>IFERROR(__xludf.DUMMYFUNCTION("GOOGLETRANSLATE(B17928,""en"",""es-ES"")"),"Come un trozo de sandía.")</f>
        <v>Come un trozo de sandía.</v>
      </c>
    </row>
    <row r="17929">
      <c r="A17929" s="4" t="s">
        <v>22560</v>
      </c>
      <c r="B17929" s="4" t="s">
        <v>22563</v>
      </c>
      <c r="C17929" s="5" t="str">
        <f>IFERROR(__xludf.DUMMYFUNCTION("GOOGLETRANSLATE(B17929,""en"",""es-ES"")"),"Se dibuja al costado de la sandía.")</f>
        <v>Se dibuja al costado de la sandía.</v>
      </c>
    </row>
    <row r="17930">
      <c r="A17930" s="4" t="s">
        <v>22560</v>
      </c>
      <c r="B17930" s="4" t="s">
        <v>22564</v>
      </c>
      <c r="C17930" s="5" t="str">
        <f>IFERROR(__xludf.DUMMYFUNCTION("GOOGLETRANSLATE(B17930,""en"",""es-ES"")"),"Comienza a cortar porciones de la sandía para tallarla.")</f>
        <v>Comienza a cortar porciones de la sandía para tallarla.</v>
      </c>
    </row>
    <row r="17931">
      <c r="A17931" s="4" t="s">
        <v>22560</v>
      </c>
      <c r="B17931" s="4" t="s">
        <v>22565</v>
      </c>
      <c r="C17931" s="5" t="str">
        <f>IFERROR(__xludf.DUMMYFUNCTION("GOOGLETRANSLATE(B17931,""en"",""es-ES"")"),"Él saca un trozo de la piel de sandía.")</f>
        <v>Él saca un trozo de la piel de sandía.</v>
      </c>
    </row>
    <row r="17932">
      <c r="A17932" s="4" t="s">
        <v>22560</v>
      </c>
      <c r="B17932" s="4" t="s">
        <v>22566</v>
      </c>
      <c r="C17932" s="5" t="str">
        <f>IFERROR(__xludf.DUMMYFUNCTION("GOOGLETRANSLATE(B17932,""en"",""es-ES"")"),"Continúa dibujando y cortando la sandía.")</f>
        <v>Continúa dibujando y cortando la sandía.</v>
      </c>
    </row>
    <row r="17933">
      <c r="A17933" s="4" t="s">
        <v>22560</v>
      </c>
      <c r="B17933" s="4" t="s">
        <v>22567</v>
      </c>
      <c r="C17933" s="5" t="str">
        <f>IFERROR(__xludf.DUMMYFUNCTION("GOOGLETRANSLATE(B17933,""en"",""es-ES"")"),"Muestra la sandía tallada.")</f>
        <v>Muestra la sandía tallada.</v>
      </c>
    </row>
    <row r="17934">
      <c r="A17934" s="4" t="s">
        <v>22560</v>
      </c>
      <c r="B17934" s="4" t="s">
        <v>22568</v>
      </c>
      <c r="C17934" s="5" t="str">
        <f>IFERROR(__xludf.DUMMYFUNCTION("GOOGLETRANSLATE(B17934,""en"",""es-ES"")"),"Las luces se apagan y muestra la sandía tallada.")</f>
        <v>Las luces se apagan y muestra la sandía tallada.</v>
      </c>
    </row>
    <row r="17935">
      <c r="A17935" s="4" t="s">
        <v>22569</v>
      </c>
      <c r="B17935" s="4" t="s">
        <v>22570</v>
      </c>
      <c r="C17935" s="5" t="str">
        <f>IFERROR(__xludf.DUMMYFUNCTION("GOOGLETRANSLATE(B17935,""en"",""es-ES"")"),"Dos chicas giran cuerdas dobles de salto mientras una niña con una falda negra salta y una multitud de espectadores observa.")</f>
        <v>Dos chicas giran cuerdas dobles de salto mientras una niña con una falda negra salta y una multitud de espectadores observa.</v>
      </c>
    </row>
    <row r="17936">
      <c r="A17936" s="4" t="s">
        <v>22569</v>
      </c>
      <c r="B17936" s="4" t="s">
        <v>22571</v>
      </c>
      <c r="C17936" s="5" t="str">
        <f>IFERROR(__xludf.DUMMYFUNCTION("GOOGLETRANSLATE(B17936,""en"",""es-ES"")"),"Una niña en jeans entra en las cuerdas y realiza diferentes movimientos de salto.")</f>
        <v>Una niña en jeans entra en las cuerdas y realiza diferentes movimientos de salto.</v>
      </c>
    </row>
    <row r="17937">
      <c r="A17937" s="4" t="s">
        <v>22569</v>
      </c>
      <c r="B17937" s="4" t="s">
        <v>22572</v>
      </c>
      <c r="C17937" s="5" t="str">
        <f>IFERROR(__xludf.DUMMYFUNCTION("GOOGLETRANSLATE(B17937,""en"",""es-ES"")"),"Una chica con una camisa azul entra en las cuerdas de salto y realiza diferentes movimientos mientras salta.")</f>
        <v>Una chica con una camisa azul entra en las cuerdas de salto y realiza diferentes movimientos mientras salta.</v>
      </c>
    </row>
    <row r="17938">
      <c r="A17938" s="4" t="s">
        <v>22569</v>
      </c>
      <c r="B17938" s="4" t="s">
        <v>22573</v>
      </c>
      <c r="C17938" s="5" t="str">
        <f>IFERROR(__xludf.DUMMYFUNCTION("GOOGLETRANSLATE(B17938,""en"",""es-ES"")"),"Una niña entra en las cuerdas de salto que van a una velocidad extra rápida y realiza saltos rápidos.")</f>
        <v>Una niña entra en las cuerdas de salto que van a una velocidad extra rápida y realiza saltos rápidos.</v>
      </c>
    </row>
    <row r="17939">
      <c r="A17939" s="4" t="s">
        <v>22574</v>
      </c>
      <c r="B17939" s="4" t="s">
        <v>22575</v>
      </c>
      <c r="C17939" s="5" t="str">
        <f>IFERROR(__xludf.DUMMYFUNCTION("GOOGLETRANSLATE(B17939,""en"",""es-ES"")"),"Un hombre con traje de gorila está tocando un saxofón en el medio de una tienda.")</f>
        <v>Un hombre con traje de gorila está tocando un saxofón en el medio de una tienda.</v>
      </c>
    </row>
    <row r="17940">
      <c r="A17940" s="4" t="s">
        <v>22574</v>
      </c>
      <c r="B17940" s="4" t="s">
        <v>22576</v>
      </c>
      <c r="C17940" s="5" t="str">
        <f>IFERROR(__xludf.DUMMYFUNCTION("GOOGLETRANSLATE(B17940,""en"",""es-ES"")"),"Los empleados observan y se ríen de la persona que juega y usa sus teléfonos para tomar fotos.")</f>
        <v>Los empleados observan y se ríen de la persona que juega y usa sus teléfonos para tomar fotos.</v>
      </c>
    </row>
    <row r="17941">
      <c r="A17941" s="4" t="s">
        <v>22574</v>
      </c>
      <c r="B17941" s="4" t="s">
        <v>22577</v>
      </c>
      <c r="C17941" s="5" t="str">
        <f>IFERROR(__xludf.DUMMYFUNCTION("GOOGLETRANSLATE(B17941,""en"",""es-ES"")"),"Los gorilas se extienden para tomar una de las manos de los empleados y el hombre está muy avergonzado por ello.")</f>
        <v>Los gorilas se extienden para tomar una de las manos de los empleados y el hombre está muy avergonzado por ello.</v>
      </c>
    </row>
    <row r="17942">
      <c r="A17942" s="4" t="s">
        <v>22574</v>
      </c>
      <c r="B17942" s="4" t="s">
        <v>22578</v>
      </c>
      <c r="C17942" s="5" t="str">
        <f>IFERROR(__xludf.DUMMYFUNCTION("GOOGLETRANSLATE(B17942,""en"",""es-ES"")"),"Se hablan un poco y los otros empleados comienzan a aplaudir con entusiasmo.")</f>
        <v>Se hablan un poco y los otros empleados comienzan a aplaudir con entusiasmo.</v>
      </c>
    </row>
    <row r="17943">
      <c r="A17943" s="4" t="s">
        <v>22574</v>
      </c>
      <c r="B17943" s="4" t="s">
        <v>22579</v>
      </c>
      <c r="C17943" s="5" t="str">
        <f>IFERROR(__xludf.DUMMYFUNCTION("GOOGLETRANSLATE(B17943,""en"",""es-ES"")"),"El hombre del traje de gorila toca el saxo más, ya que todos todavía se ríen.")</f>
        <v>El hombre del traje de gorila toca el saxo más, ya que todos todavía se ríen.</v>
      </c>
    </row>
    <row r="17944">
      <c r="A17944" s="4" t="s">
        <v>22574</v>
      </c>
      <c r="B17944" s="4" t="s">
        <v>22580</v>
      </c>
      <c r="C17944" s="5" t="str">
        <f>IFERROR(__xludf.DUMMYFUNCTION("GOOGLETRANSLATE(B17944,""en"",""es-ES"")"),"Él juega y toca en la cámara cuando el video llega a su fin.")</f>
        <v>Él juega y toca en la cámara cuando el video llega a su fin.</v>
      </c>
    </row>
    <row r="17945">
      <c r="A17945" s="4" t="s">
        <v>22581</v>
      </c>
      <c r="B17945" s="4" t="s">
        <v>22582</v>
      </c>
      <c r="C17945" s="5" t="str">
        <f>IFERROR(__xludf.DUMMYFUNCTION("GOOGLETRANSLATE(B17945,""en"",""es-ES"")"),"La gente es sumo luchando en una colchoneta.")</f>
        <v>La gente es sumo luchando en una colchoneta.</v>
      </c>
    </row>
    <row r="17946">
      <c r="A17946" s="4" t="s">
        <v>22581</v>
      </c>
      <c r="B17946" s="4" t="s">
        <v>22583</v>
      </c>
      <c r="C17946" s="5" t="str">
        <f>IFERROR(__xludf.DUMMYFUNCTION("GOOGLETRANSLATE(B17946,""en"",""es-ES"")"),"La gente toca la batería.")</f>
        <v>La gente toca la batería.</v>
      </c>
    </row>
    <row r="17947">
      <c r="A17947" s="4" t="s">
        <v>22581</v>
      </c>
      <c r="B17947" s="4" t="s">
        <v>22584</v>
      </c>
      <c r="C17947" s="5" t="str">
        <f>IFERROR(__xludf.DUMMYFUNCTION("GOOGLETRANSLATE(B17947,""en"",""es-ES"")"),"Los luchadores de sumo están hablando con la cámara.")</f>
        <v>Los luchadores de sumo están hablando con la cámara.</v>
      </c>
    </row>
    <row r="17948">
      <c r="A17948" s="4" t="s">
        <v>22585</v>
      </c>
      <c r="B17948" s="4" t="s">
        <v>22586</v>
      </c>
      <c r="C17948" s="5" t="str">
        <f>IFERROR(__xludf.DUMMYFUNCTION("GOOGLETRANSLATE(B17948,""en"",""es-ES"")"),"Se ve a un pequeño grupo de personas cabalgando alrededor de los autos y chocando entre sí.")</f>
        <v>Se ve a un pequeño grupo de personas cabalgando alrededor de los autos y chocando entre sí.</v>
      </c>
    </row>
    <row r="17949">
      <c r="A17949" s="4" t="s">
        <v>22585</v>
      </c>
      <c r="B17949" s="4" t="s">
        <v>22587</v>
      </c>
      <c r="C17949" s="5" t="str">
        <f>IFERROR(__xludf.DUMMYFUNCTION("GOOGLETRANSLATE(B17949,""en"",""es-ES"")"),"El grupo continúa conduciendo y pasando unos a otros.")</f>
        <v>El grupo continúa conduciendo y pasando unos a otros.</v>
      </c>
    </row>
    <row r="17950">
      <c r="A17950" s="4" t="s">
        <v>22585</v>
      </c>
      <c r="B17950" s="4" t="s">
        <v>22588</v>
      </c>
      <c r="C17950" s="5" t="str">
        <f>IFERROR(__xludf.DUMMYFUNCTION("GOOGLETRANSLATE(B17950,""en"",""es-ES"")"),"La gente continúa conduciendo los autos y pasando unos a otros.")</f>
        <v>La gente continúa conduciendo los autos y pasando unos a otros.</v>
      </c>
    </row>
    <row r="17951">
      <c r="A17951" s="4" t="s">
        <v>22589</v>
      </c>
      <c r="B17951" s="4" t="s">
        <v>22590</v>
      </c>
      <c r="C17951" s="5" t="str">
        <f>IFERROR(__xludf.DUMMYFUNCTION("GOOGLETRANSLATE(B17951,""en"",""es-ES"")"),"Un niño adolescente y su madre están sentados en la cama vestidos muy relajados y hablando sobre cómo envolver los regalos.")</f>
        <v>Un niño adolescente y su madre están sentados en la cama vestidos muy relajados y hablando sobre cómo envolver los regalos.</v>
      </c>
    </row>
    <row r="17952">
      <c r="A17952" s="4" t="s">
        <v>22589</v>
      </c>
      <c r="B17952" s="4" t="s">
        <v>22591</v>
      </c>
      <c r="C17952" s="5" t="str">
        <f>IFERROR(__xludf.DUMMYFUNCTION("GOOGLETRANSLATE(B17952,""en"",""es-ES"")"),"Se le rastrean de lado en su teléfono y luego regresan al negocio, comienzan a cortar el papel de envoltura.")</f>
        <v>Se le rastrean de lado en su teléfono y luego regresan al negocio, comienzan a cortar el papel de envoltura.</v>
      </c>
    </row>
    <row r="17953">
      <c r="A17953" s="4" t="s">
        <v>22589</v>
      </c>
      <c r="B17953" s="4" t="s">
        <v>22592</v>
      </c>
      <c r="C17953" s="5" t="str">
        <f>IFERROR(__xludf.DUMMYFUNCTION("GOOGLETRANSLATE(B17953,""en"",""es-ES"")"),"Pusieron los regalos en el medio del papel e intentan comenzar a envolver.")</f>
        <v>Pusieron los regalos en el medio del papel e intentan comenzar a envolver.</v>
      </c>
    </row>
    <row r="17954">
      <c r="A17954" s="4" t="s">
        <v>22589</v>
      </c>
      <c r="B17954" s="4" t="s">
        <v>22593</v>
      </c>
      <c r="C17954" s="5" t="str">
        <f>IFERROR(__xludf.DUMMYFUNCTION("GOOGLETRANSLATE(B17954,""en"",""es-ES"")"),"Parecen tener diferentes técnicas, ya que el hijo termina mucho más rápido y la mamá sale un poco mejor.")</f>
        <v>Parecen tener diferentes técnicas, ya que el hijo termina mucho más rápido y la mamá sale un poco mejor.</v>
      </c>
    </row>
    <row r="17955">
      <c r="A17955" s="4" t="s">
        <v>22594</v>
      </c>
      <c r="B17955" s="4" t="s">
        <v>22595</v>
      </c>
      <c r="C17955" s="5" t="str">
        <f>IFERROR(__xludf.DUMMYFUNCTION("GOOGLETRANSLATE(B17955,""en"",""es-ES"")"),"Una mujer está en un establo con un caballo blanco.")</f>
        <v>Una mujer está en un establo con un caballo blanco.</v>
      </c>
    </row>
    <row r="17956">
      <c r="A17956" s="4" t="s">
        <v>22594</v>
      </c>
      <c r="B17956" s="4" t="s">
        <v>22596</v>
      </c>
      <c r="C17956" s="5" t="str">
        <f>IFERROR(__xludf.DUMMYFUNCTION("GOOGLETRANSLATE(B17956,""en"",""es-ES"")"),"Ella muestra una colección de pinceles y suministros de aseo.")</f>
        <v>Ella muestra una colección de pinceles y suministros de aseo.</v>
      </c>
    </row>
    <row r="17957">
      <c r="A17957" s="4" t="s">
        <v>22594</v>
      </c>
      <c r="B17957" s="4" t="s">
        <v>22597</v>
      </c>
      <c r="C17957" s="5" t="str">
        <f>IFERROR(__xludf.DUMMYFUNCTION("GOOGLETRANSLATE(B17957,""en"",""es-ES"")"),"Ella recorre el caballo mientras habla, y trata de mantenerlo tranquilo.")</f>
        <v>Ella recorre el caballo mientras habla, y trata de mantenerlo tranquilo.</v>
      </c>
    </row>
    <row r="17958">
      <c r="A17958" s="4" t="s">
        <v>22594</v>
      </c>
      <c r="B17958" s="4" t="s">
        <v>22598</v>
      </c>
      <c r="C17958" s="5" t="str">
        <f>IFERROR(__xludf.DUMMYFUNCTION("GOOGLETRANSLATE(B17958,""en"",""es-ES"")"),"Ella usa los pinceles para prepararlo a fondo, luego se limpia los cascos.")</f>
        <v>Ella usa los pinceles para prepararlo a fondo, luego se limpia los cascos.</v>
      </c>
    </row>
    <row r="17959">
      <c r="A17959" s="4" t="s">
        <v>22599</v>
      </c>
      <c r="B17959" s="4" t="s">
        <v>22600</v>
      </c>
      <c r="C17959" s="5" t="str">
        <f>IFERROR(__xludf.DUMMYFUNCTION("GOOGLETRANSLATE(B17959,""en"",""es-ES"")"),"Se ve a un pequeño grupo de personas sentados alrededor de una mesa de póker con una mujer que trata tarjetas en el frente.")</f>
        <v>Se ve a un pequeño grupo de personas sentados alrededor de una mesa de póker con una mujer que trata tarjetas en el frente.</v>
      </c>
    </row>
    <row r="17960">
      <c r="A17960" s="4" t="s">
        <v>22599</v>
      </c>
      <c r="B17960" s="4" t="s">
        <v>22601</v>
      </c>
      <c r="C17960" s="5" t="str">
        <f>IFERROR(__xludf.DUMMYFUNCTION("GOOGLETRANSLATE(B17960,""en"",""es-ES"")"),"La mujer trata de tarjetas a las personas mientras ponen sus cartas y papas fritas en el medio.")</f>
        <v>La mujer trata de tarjetas a las personas mientras ponen sus cartas y papas fritas en el medio.</v>
      </c>
    </row>
    <row r="17961">
      <c r="A17961" s="4" t="s">
        <v>22599</v>
      </c>
      <c r="B17961" s="4" t="s">
        <v>22602</v>
      </c>
      <c r="C17961" s="5" t="str">
        <f>IFERROR(__xludf.DUMMYFUNCTION("GOOGLETRANSLATE(B17961,""en"",""es-ES"")"),"El concesionario continúa jugando con la gente y mirando a lo lejos.")</f>
        <v>El concesionario continúa jugando con la gente y mirando a lo lejos.</v>
      </c>
    </row>
    <row r="17962">
      <c r="A17962" s="4" t="s">
        <v>22603</v>
      </c>
      <c r="B17962" s="4" t="s">
        <v>22604</v>
      </c>
      <c r="C17962" s="5" t="str">
        <f>IFERROR(__xludf.DUMMYFUNCTION("GOOGLETRANSLATE(B17962,""en"",""es-ES"")"),"Vemos una escena de apertura animada.")</f>
        <v>Vemos una escena de apertura animada.</v>
      </c>
    </row>
    <row r="17963">
      <c r="A17963" s="4" t="s">
        <v>22603</v>
      </c>
      <c r="B17963" s="4" t="s">
        <v>22605</v>
      </c>
      <c r="C17963" s="5" t="str">
        <f>IFERROR(__xludf.DUMMYFUNCTION("GOOGLETRANSLATE(B17963,""en"",""es-ES"")"),"Vemos al hombre correr con un poste y realizar un salto de altura.")</f>
        <v>Vemos al hombre correr con un poste y realizar un salto de altura.</v>
      </c>
    </row>
    <row r="17964">
      <c r="A17964" s="4" t="s">
        <v>22603</v>
      </c>
      <c r="B17964" s="4" t="s">
        <v>22606</v>
      </c>
      <c r="C17964" s="5" t="str">
        <f>IFERROR(__xludf.DUMMYFUNCTION("GOOGLETRANSLATE(B17964,""en"",""es-ES"")"),"El hombre derriba el poste y se decepciona.")</f>
        <v>El hombre derriba el poste y se decepciona.</v>
      </c>
    </row>
    <row r="17965">
      <c r="A17965" s="4" t="s">
        <v>22603</v>
      </c>
      <c r="B17965" s="4" t="s">
        <v>22607</v>
      </c>
      <c r="C17965" s="5" t="str">
        <f>IFERROR(__xludf.DUMMYFUNCTION("GOOGLETRANSLATE(B17965,""en"",""es-ES"")"),"Vemos al hombre sosteniendo su poste y hacemos su segundo intento golpeando el poste.")</f>
        <v>Vemos al hombre sosteniendo su poste y hacemos su segundo intento golpeando el poste.</v>
      </c>
    </row>
    <row r="17966">
      <c r="A17966" s="4" t="s">
        <v>22603</v>
      </c>
      <c r="B17966" s="4" t="s">
        <v>22608</v>
      </c>
      <c r="C17966" s="5" t="str">
        <f>IFERROR(__xludf.DUMMYFUNCTION("GOOGLETRANSLATE(B17966,""en"",""es-ES"")"),"El hombre intenta una tercera vez y los postes se mantienen despiertos.")</f>
        <v>El hombre intenta una tercera vez y los postes se mantienen despiertos.</v>
      </c>
    </row>
    <row r="17967">
      <c r="A17967" s="4" t="s">
        <v>22603</v>
      </c>
      <c r="B17967" s="4" t="s">
        <v>22609</v>
      </c>
      <c r="C17967" s="5" t="str">
        <f>IFERROR(__xludf.DUMMYFUNCTION("GOOGLETRANSLATE(B17967,""en"",""es-ES"")"),"El hombre levanta los brazos en el aire.")</f>
        <v>El hombre levanta los brazos en el aire.</v>
      </c>
    </row>
    <row r="17968">
      <c r="A17968" s="4" t="s">
        <v>22603</v>
      </c>
      <c r="B17968" s="4" t="s">
        <v>22610</v>
      </c>
      <c r="C17968" s="5" t="str">
        <f>IFERROR(__xludf.DUMMYFUNCTION("GOOGLETRANSLATE(B17968,""en"",""es-ES"")"),"Luego vemos el intento 1,2 y 3 nuevamente.")</f>
        <v>Luego vemos el intento 1,2 y 3 nuevamente.</v>
      </c>
    </row>
    <row r="17969">
      <c r="A17969" s="4" t="s">
        <v>22603</v>
      </c>
      <c r="B17969" s="4" t="s">
        <v>22611</v>
      </c>
      <c r="C17969" s="5" t="str">
        <f>IFERROR(__xludf.DUMMYFUNCTION("GOOGLETRANSLATE(B17969,""en"",""es-ES"")"),"El hombre levanta los brazos en el aire para la multitud.")</f>
        <v>El hombre levanta los brazos en el aire para la multitud.</v>
      </c>
    </row>
    <row r="17970">
      <c r="A17970" s="4" t="s">
        <v>22603</v>
      </c>
      <c r="B17970" s="4" t="s">
        <v>22612</v>
      </c>
      <c r="C17970" s="5" t="str">
        <f>IFERROR(__xludf.DUMMYFUNCTION("GOOGLETRANSLATE(B17970,""en"",""es-ES"")"),"El hombre arroja sus brazos al aire y cae al suelo.")</f>
        <v>El hombre arroja sus brazos al aire y cae al suelo.</v>
      </c>
    </row>
    <row r="17971">
      <c r="A17971" s="4" t="s">
        <v>22613</v>
      </c>
      <c r="B17971" s="4" t="s">
        <v>22614</v>
      </c>
      <c r="C17971" s="5" t="str">
        <f>IFERROR(__xludf.DUMMYFUNCTION("GOOGLETRANSLATE(B17971,""en"",""es-ES"")"),"Un hombre con una camisa negra está sentado tocando una batería.")</f>
        <v>Un hombre con una camisa negra está sentado tocando una batería.</v>
      </c>
    </row>
    <row r="17972">
      <c r="A17972" s="4" t="s">
        <v>22613</v>
      </c>
      <c r="B17972" s="4" t="s">
        <v>22615</v>
      </c>
      <c r="C17972" s="5" t="str">
        <f>IFERROR(__xludf.DUMMYFUNCTION("GOOGLETRANSLATE(B17972,""en"",""es-ES"")"),"Deja de jugar y comienza a hablar en un micrófono.")</f>
        <v>Deja de jugar y comienza a hablar en un micrófono.</v>
      </c>
    </row>
    <row r="17973">
      <c r="A17973" s="4" t="s">
        <v>22616</v>
      </c>
      <c r="B17973" s="4" t="s">
        <v>22617</v>
      </c>
      <c r="C17973" s="5" t="str">
        <f>IFERROR(__xludf.DUMMYFUNCTION("GOOGLETRANSLATE(B17973,""en"",""es-ES"")"),"Un hombre está sacando nieve en su camino de entrada en una fuerte tormenta de nieve.")</f>
        <v>Un hombre está sacando nieve en su camino de entrada en una fuerte tormenta de nieve.</v>
      </c>
    </row>
    <row r="17974">
      <c r="A17974" s="4" t="s">
        <v>22616</v>
      </c>
      <c r="B17974" s="4" t="s">
        <v>22618</v>
      </c>
      <c r="C17974" s="5" t="str">
        <f>IFERROR(__xludf.DUMMYFUNCTION("GOOGLETRANSLATE(B17974,""en"",""es-ES"")"),"Lleva ropa de invierno y su completamente cubierta.")</f>
        <v>Lleva ropa de invierno y su completamente cubierta.</v>
      </c>
    </row>
    <row r="17975">
      <c r="A17975" s="4" t="s">
        <v>22616</v>
      </c>
      <c r="B17975" s="4" t="s">
        <v>22619</v>
      </c>
      <c r="C17975" s="5" t="str">
        <f>IFERROR(__xludf.DUMMYFUNCTION("GOOGLETRANSLATE(B17975,""en"",""es-ES"")"),"Otro hombre también está sacando nieve de la pasarela de la casa no lleva ningún equipo de invierno.")</f>
        <v>Otro hombre también está sacando nieve de la pasarela de la casa no lleva ningún equipo de invierno.</v>
      </c>
    </row>
    <row r="17976">
      <c r="A17976" s="4" t="s">
        <v>22616</v>
      </c>
      <c r="B17976" s="4" t="s">
        <v>22620</v>
      </c>
      <c r="C17976" s="5" t="str">
        <f>IFERROR(__xludf.DUMMYFUNCTION("GOOGLETRANSLATE(B17976,""en"",""es-ES"")"),"Ambos continúan palpitando y limpiando la nieve en la fuerte tormenta de nieve.")</f>
        <v>Ambos continúan palpitando y limpiando la nieve en la fuerte tormenta de nieve.</v>
      </c>
    </row>
    <row r="17977">
      <c r="A17977" s="4" t="s">
        <v>22621</v>
      </c>
      <c r="B17977" s="4" t="s">
        <v>22622</v>
      </c>
      <c r="C17977" s="5" t="str">
        <f>IFERROR(__xludf.DUMMYFUNCTION("GOOGLETRANSLATE(B17977,""en"",""es-ES"")"),"Una mujer está sentada frente a una mesa cubierta de suministros de envoltura.")</f>
        <v>Una mujer está sentada frente a una mesa cubierta de suministros de envoltura.</v>
      </c>
    </row>
    <row r="17978">
      <c r="A17978" s="4" t="s">
        <v>22621</v>
      </c>
      <c r="B17978" s="4" t="s">
        <v>22623</v>
      </c>
      <c r="C17978" s="5" t="str">
        <f>IFERROR(__xludf.DUMMYFUNCTION("GOOGLETRANSLATE(B17978,""en"",""es-ES"")"),"Ella muestra una taza llena de regalos.")</f>
        <v>Ella muestra una taza llena de regalos.</v>
      </c>
    </row>
    <row r="17979">
      <c r="A17979" s="4" t="s">
        <v>22621</v>
      </c>
      <c r="B17979" s="4" t="s">
        <v>22624</v>
      </c>
      <c r="C17979" s="5" t="str">
        <f>IFERROR(__xludf.DUMMYFUNCTION("GOOGLETRANSLATE(B17979,""en"",""es-ES"")"),"Lo coloca en celofán cortado, lo envuelve alrededor del presente.")</f>
        <v>Lo coloca en celofán cortado, lo envuelve alrededor del presente.</v>
      </c>
    </row>
    <row r="17980">
      <c r="A17980" s="4" t="s">
        <v>22621</v>
      </c>
      <c r="B17980" s="4" t="s">
        <v>22625</v>
      </c>
      <c r="C17980" s="5" t="str">
        <f>IFERROR(__xludf.DUMMYFUNCTION("GOOGLETRANSLATE(B17980,""en"",""es-ES"")"),"Luego lo ata con cintas coloridas.")</f>
        <v>Luego lo ata con cintas coloridas.</v>
      </c>
    </row>
    <row r="17981">
      <c r="A17981" s="4" t="s">
        <v>22626</v>
      </c>
      <c r="B17981" s="4" t="s">
        <v>22627</v>
      </c>
      <c r="C17981" s="5" t="str">
        <f>IFERROR(__xludf.DUMMYFUNCTION("GOOGLETRANSLATE(B17981,""en"",""es-ES"")"),"Se muestra un atleta masculino y gira y tira el disco.")</f>
        <v>Se muestra un atleta masculino y gira y tira el disco.</v>
      </c>
    </row>
    <row r="17982">
      <c r="A17982" s="4" t="s">
        <v>22626</v>
      </c>
      <c r="B17982" s="4" t="s">
        <v>22628</v>
      </c>
      <c r="C17982" s="5" t="str">
        <f>IFERROR(__xludf.DUMMYFUNCTION("GOOGLETRANSLATE(B17982,""en"",""es-ES"")"),"Una vez completado, dos personas se apresuran a medir la distancia.")</f>
        <v>Una vez completado, dos personas se apresuran a medir la distancia.</v>
      </c>
    </row>
    <row r="17983">
      <c r="A17983" s="4" t="s">
        <v>22626</v>
      </c>
      <c r="B17983" s="4" t="s">
        <v>22629</v>
      </c>
      <c r="C17983" s="5" t="str">
        <f>IFERROR(__xludf.DUMMYFUNCTION("GOOGLETRANSLATE(B17983,""en"",""es-ES"")"),"La secuencia continúa y se muestra a otros hombres lanzando el disco.")</f>
        <v>La secuencia continúa y se muestra a otros hombres lanzando el disco.</v>
      </c>
    </row>
    <row r="17984">
      <c r="A17984" s="4" t="s">
        <v>22630</v>
      </c>
      <c r="B17984" s="4" t="s">
        <v>22631</v>
      </c>
      <c r="C17984" s="5" t="str">
        <f>IFERROR(__xludf.DUMMYFUNCTION("GOOGLETRANSLATE(B17984,""en"",""es-ES"")"),"Se ve a una persona empujando una cortadora de césped por todo un patio mientras se mueve en movimiento rápido.")</f>
        <v>Se ve a una persona empujando una cortadora de césped por todo un patio mientras se mueve en movimiento rápido.</v>
      </c>
    </row>
    <row r="17985">
      <c r="A17985" s="4" t="s">
        <v>22630</v>
      </c>
      <c r="B17985" s="4" t="s">
        <v>22632</v>
      </c>
      <c r="C17985" s="5" t="str">
        <f>IFERROR(__xludf.DUMMYFUNCTION("GOOGLETRANSLATE(B17985,""en"",""es-ES"")"),"La persona continúa moviéndose para cortar la hierba y la cámara captura sus movimientos.")</f>
        <v>La persona continúa moviéndose para cortar la hierba y la cámara captura sus movimientos.</v>
      </c>
    </row>
    <row r="17986">
      <c r="A17986" s="4" t="s">
        <v>22633</v>
      </c>
      <c r="B17986" s="4" t="s">
        <v>22634</v>
      </c>
      <c r="C17986" s="5" t="str">
        <f>IFERROR(__xludf.DUMMYFUNCTION("GOOGLETRANSLATE(B17986,""en"",""es-ES"")"),"Se ve a una persona agarrando una pelota de bolos y enrollándose el brazo mientras otras personas se lanzan a su alrededor.")</f>
        <v>Se ve a una persona agarrando una pelota de bolos y enrollándose el brazo mientras otras personas se lanzan a su alrededor.</v>
      </c>
    </row>
    <row r="17987">
      <c r="A17987" s="4" t="s">
        <v>22633</v>
      </c>
      <c r="B17987" s="4" t="s">
        <v>22635</v>
      </c>
      <c r="C17987" s="5" t="str">
        <f>IFERROR(__xludf.DUMMYFUNCTION("GOOGLETRANSLATE(B17987,""en"",""es-ES"")"),"El hombre lanza la pelota y golpea varios alfileres mientras corre y vitoreando a la cámara.")</f>
        <v>El hombre lanza la pelota y golpea varios alfileres mientras corre y vitoreando a la cámara.</v>
      </c>
    </row>
    <row r="17988">
      <c r="A17988" s="4" t="s">
        <v>22636</v>
      </c>
      <c r="B17988" s="4" t="s">
        <v>22637</v>
      </c>
      <c r="C17988" s="5" t="str">
        <f>IFERROR(__xludf.DUMMYFUNCTION("GOOGLETRANSLATE(B17988,""en"",""es-ES"")"),"Un joven se sienta en una máquina de cardio.")</f>
        <v>Un joven se sienta en una máquina de cardio.</v>
      </c>
    </row>
    <row r="17989">
      <c r="A17989" s="4" t="s">
        <v>22636</v>
      </c>
      <c r="B17989" s="4" t="s">
        <v>22638</v>
      </c>
      <c r="C17989" s="5" t="str">
        <f>IFERROR(__xludf.DUMMYFUNCTION("GOOGLETRANSLATE(B17989,""en"",""es-ES"")"),"Luego, el hombre se acerca al mango de la máquina.")</f>
        <v>Luego, el hombre se acerca al mango de la máquina.</v>
      </c>
    </row>
    <row r="17990">
      <c r="A17990" s="4" t="s">
        <v>22636</v>
      </c>
      <c r="B17990" s="4" t="s">
        <v>22639</v>
      </c>
      <c r="C17990" s="5" t="str">
        <f>IFERROR(__xludf.DUMMYFUNCTION("GOOGLETRANSLATE(B17990,""en"",""es-ES"")"),"Después, el hombre tira del mango de LA Machine para hacer ABS.")</f>
        <v>Después, el hombre tira del mango de LA Machine para hacer ABS.</v>
      </c>
    </row>
    <row r="17991">
      <c r="A17991" s="4" t="s">
        <v>22640</v>
      </c>
      <c r="B17991" s="4" t="s">
        <v>22641</v>
      </c>
      <c r="C17991" s="5" t="str">
        <f>IFERROR(__xludf.DUMMYFUNCTION("GOOGLETRANSLATE(B17991,""en"",""es-ES"")"),"Un hombre de noticias está hablando frente a una imagen de un cachorro Bulldog.")</f>
        <v>Un hombre de noticias está hablando frente a una imagen de un cachorro Bulldog.</v>
      </c>
    </row>
    <row r="17992">
      <c r="A17992" s="4" t="s">
        <v>22640</v>
      </c>
      <c r="B17992" s="4" t="s">
        <v>22642</v>
      </c>
      <c r="C17992" s="5" t="str">
        <f>IFERROR(__xludf.DUMMYFUNCTION("GOOGLETRANSLATE(B17992,""en"",""es-ES"")"),"Las puertas se abren a una tienda, con varias imágenes de personas que trabajan en diferentes proyectos.")</f>
        <v>Las puertas se abren a una tienda, con varias imágenes de personas que trabajan en diferentes proyectos.</v>
      </c>
    </row>
    <row r="17993">
      <c r="A17993" s="4" t="s">
        <v>22640</v>
      </c>
      <c r="B17993" s="4" t="s">
        <v>22643</v>
      </c>
      <c r="C17993" s="5" t="str">
        <f>IFERROR(__xludf.DUMMYFUNCTION("GOOGLETRANSLATE(B17993,""en"",""es-ES"")"),"Un hombre muestra cómo recibió piernas prostéticas para el perro.")</f>
        <v>Un hombre muestra cómo recibió piernas prostéticas para el perro.</v>
      </c>
    </row>
    <row r="17994">
      <c r="A17994" s="4" t="s">
        <v>22640</v>
      </c>
      <c r="B17994" s="4" t="s">
        <v>22644</v>
      </c>
      <c r="C17994" s="5" t="str">
        <f>IFERROR(__xludf.DUMMYFUNCTION("GOOGLETRANSLATE(B17994,""en"",""es-ES"")"),"El perro se muestra con sus nuevas piernas mientras sanan.")</f>
        <v>El perro se muestra con sus nuevas piernas mientras sanan.</v>
      </c>
    </row>
    <row r="17995">
      <c r="A17995" s="4" t="s">
        <v>22640</v>
      </c>
      <c r="B17995" s="4" t="s">
        <v>22645</v>
      </c>
      <c r="C17995" s="5" t="str">
        <f>IFERROR(__xludf.DUMMYFUNCTION("GOOGLETRANSLATE(B17995,""en"",""es-ES"")"),"En la escena final, el perro camina junto con un cerdo con correa.")</f>
        <v>En la escena final, el perro camina junto con un cerdo con correa.</v>
      </c>
    </row>
    <row r="17996">
      <c r="A17996" s="4" t="s">
        <v>22646</v>
      </c>
      <c r="B17996" s="4" t="s">
        <v>22647</v>
      </c>
      <c r="C17996" s="5" t="str">
        <f>IFERROR(__xludf.DUMMYFUNCTION("GOOGLETRANSLATE(B17996,""en"",""es-ES"")"),"Aparece una pantalla de título y luego varios párrafos comienzan a rodar sobre la pantalla.")</f>
        <v>Aparece una pantalla de título y luego varios párrafos comienzan a rodar sobre la pantalla.</v>
      </c>
    </row>
    <row r="17997">
      <c r="A17997" s="4" t="s">
        <v>22646</v>
      </c>
      <c r="B17997" s="4" t="s">
        <v>22648</v>
      </c>
      <c r="C17997" s="5" t="str">
        <f>IFERROR(__xludf.DUMMYFUNCTION("GOOGLETRANSLATE(B17997,""en"",""es-ES"")"),"A continuación, un hombre con cabello negro rizado de tamaño promedio vestido con un traje comienza a hablar.")</f>
        <v>A continuación, un hombre con cabello negro rizado de tamaño promedio vestido con un traje comienza a hablar.</v>
      </c>
    </row>
    <row r="17998">
      <c r="A17998" s="4" t="s">
        <v>22646</v>
      </c>
      <c r="B17998" s="4" t="s">
        <v>22649</v>
      </c>
      <c r="C17998" s="5" t="str">
        <f>IFERROR(__xludf.DUMMYFUNCTION("GOOGLETRANSLATE(B17998,""en"",""es-ES"")"),"Cuando termina, se muestra a un hombre tocando el saxofón en un programa de televisión nocturno y luego el hombre vuelve a terminar de hablar.")</f>
        <v>Cuando termina, se muestra a un hombre tocando el saxofón en un programa de televisión nocturno y luego el hombre vuelve a terminar de hablar.</v>
      </c>
    </row>
    <row r="17999">
      <c r="A17999" s="4" t="s">
        <v>22650</v>
      </c>
      <c r="B17999" s="4" t="s">
        <v>22651</v>
      </c>
      <c r="C17999" s="5" t="str">
        <f>IFERROR(__xludf.DUMMYFUNCTION("GOOGLETRANSLATE(B17999,""en"",""es-ES"")"),"El hombre está de pie rebotando hacia la cámara mientras está de pie sobre una cinta plana apretada que está conectada a dos paredes de roca muy altas.")</f>
        <v>El hombre está de pie rebotando hacia la cámara mientras está de pie sobre una cinta plana apretada que está conectada a dos paredes de roca muy altas.</v>
      </c>
    </row>
    <row r="18000">
      <c r="A18000" s="4" t="s">
        <v>22650</v>
      </c>
      <c r="B18000" s="4" t="s">
        <v>22652</v>
      </c>
      <c r="C18000" s="5" t="str">
        <f>IFERROR(__xludf.DUMMYFUNCTION("GOOGLETRANSLATE(B18000,""en"",""es-ES"")"),"El hombre luego se da vuelta y comienza a rebotar en su trasero y luego hacia atrás sobre sus pies y traseros mientras sostiene y suelta la cinta.")</f>
        <v>El hombre luego se da vuelta y comienza a rebotar en su trasero y luego hacia atrás sobre sus pies y traseros mientras sostiene y suelta la cinta.</v>
      </c>
    </row>
    <row r="18001">
      <c r="A18001" s="4" t="s">
        <v>22650</v>
      </c>
      <c r="B18001" s="4" t="s">
        <v>22653</v>
      </c>
      <c r="C18001" s="5" t="str">
        <f>IFERROR(__xludf.DUMMYFUNCTION("GOOGLETRANSLATE(B18001,""en"",""es-ES"")"),"El hombre continúa haciendo trucos en la cinta apretada hasta que se baja de la cinta y se aleja sonriendo.")</f>
        <v>El hombre continúa haciendo trucos en la cinta apretada hasta que se baja de la cinta y se aleja sonriendo.</v>
      </c>
    </row>
    <row r="18002">
      <c r="A18002" s="4" t="s">
        <v>22654</v>
      </c>
      <c r="B18002" s="4" t="s">
        <v>22655</v>
      </c>
      <c r="C18002" s="5" t="str">
        <f>IFERROR(__xludf.DUMMYFUNCTION("GOOGLETRANSLATE(B18002,""en"",""es-ES"")"),"Una introducción entra en la pantalla para un video sobre una competencia deportiva.")</f>
        <v>Una introducción entra en la pantalla para un video sobre una competencia deportiva.</v>
      </c>
    </row>
    <row r="18003">
      <c r="A18003" s="4" t="s">
        <v>22654</v>
      </c>
      <c r="B18003" s="4" t="s">
        <v>22656</v>
      </c>
      <c r="C18003" s="5" t="str">
        <f>IFERROR(__xludf.DUMMYFUNCTION("GOOGLETRANSLATE(B18003,""en"",""es-ES"")"),"Una mujer está entrevistando a otra mujer sobre la competencia y todos los eventos.")</f>
        <v>Una mujer está entrevistando a otra mujer sobre la competencia y todos los eventos.</v>
      </c>
    </row>
    <row r="18004">
      <c r="A18004" s="4" t="s">
        <v>22654</v>
      </c>
      <c r="B18004" s="4" t="s">
        <v>22657</v>
      </c>
      <c r="C18004" s="5" t="str">
        <f>IFERROR(__xludf.DUMMYFUNCTION("GOOGLETRANSLATE(B18004,""en"",""es-ES"")"),"Se muestran varios clips de personas que disfrutan de diferentes deportes y actividades.")</f>
        <v>Se muestran varios clips de personas que disfrutan de diferentes deportes y actividades.</v>
      </c>
    </row>
    <row r="18005">
      <c r="A18005" s="4" t="s">
        <v>22654</v>
      </c>
      <c r="B18005" s="4" t="s">
        <v>22658</v>
      </c>
      <c r="C18005" s="5" t="str">
        <f>IFERROR(__xludf.DUMMYFUNCTION("GOOGLETRANSLATE(B18005,""en"",""es-ES"")"),"Después de que finaliza la entrevista, los créditos de cierre se muestran con gráficos.")</f>
        <v>Después de que finaliza la entrevista, los créditos de cierre se muestran con gráficos.</v>
      </c>
    </row>
    <row r="18006">
      <c r="A18006" s="4" t="s">
        <v>22659</v>
      </c>
      <c r="B18006" s="4" t="s">
        <v>22660</v>
      </c>
      <c r="C18006" s="5" t="str">
        <f>IFERROR(__xludf.DUMMYFUNCTION("GOOGLETRANSLATE(B18006,""en"",""es-ES"")"),"Un vaquero que monta un caballo sale de una puerta.")</f>
        <v>Un vaquero que monta un caballo sale de una puerta.</v>
      </c>
    </row>
    <row r="18007">
      <c r="A18007" s="4" t="s">
        <v>22659</v>
      </c>
      <c r="B18007" s="4" t="s">
        <v>22661</v>
      </c>
      <c r="C18007" s="5" t="str">
        <f>IFERROR(__xludf.DUMMYFUNCTION("GOOGLETRANSLATE(B18007,""en"",""es-ES"")"),"Él tiene un poco de pantorrilla con un lazo.")</f>
        <v>Él tiene un poco de pantorrilla con un lazo.</v>
      </c>
    </row>
    <row r="18008">
      <c r="A18008" s="4" t="s">
        <v>22659</v>
      </c>
      <c r="B18008" s="4" t="s">
        <v>22662</v>
      </c>
      <c r="C18008" s="5" t="str">
        <f>IFERROR(__xludf.DUMMYFUNCTION("GOOGLETRANSLATE(B18008,""en"",""es-ES"")"),"Salta hacia abajo y ata la pantorrilla.")</f>
        <v>Salta hacia abajo y ata la pantorrilla.</v>
      </c>
    </row>
    <row r="18009">
      <c r="A18009" s="4" t="s">
        <v>22663</v>
      </c>
      <c r="B18009" s="4" t="s">
        <v>22664</v>
      </c>
      <c r="C18009" s="5" t="str">
        <f>IFERROR(__xludf.DUMMYFUNCTION("GOOGLETRANSLATE(B18009,""en"",""es-ES"")"),"Una bola de referencia rueda sobre una mesa lentamente lejos del bolsillo.")</f>
        <v>Una bola de referencia rueda sobre una mesa lentamente lejos del bolsillo.</v>
      </c>
    </row>
    <row r="18010">
      <c r="A18010" s="4" t="s">
        <v>22663</v>
      </c>
      <c r="B18010" s="4" t="s">
        <v>22665</v>
      </c>
      <c r="C18010" s="5" t="str">
        <f>IFERROR(__xludf.DUMMYFUNCTION("GOOGLETRANSLATE(B18010,""en"",""es-ES"")"),"Un hombre se encuentra sosteniendo una pantalla táctil discutiendo.")</f>
        <v>Un hombre se encuentra sosteniendo una pantalla táctil discutiendo.</v>
      </c>
    </row>
    <row r="18011">
      <c r="A18011" s="4" t="s">
        <v>22663</v>
      </c>
      <c r="B18011" s="4" t="s">
        <v>22666</v>
      </c>
      <c r="C18011" s="5" t="str">
        <f>IFERROR(__xludf.DUMMYFUNCTION("GOOGLETRANSLATE(B18011,""en"",""es-ES"")"),"Los hombres compiten y juegan un juego de billar.")</f>
        <v>Los hombres compiten y juegan un juego de billar.</v>
      </c>
    </row>
    <row r="18012">
      <c r="A18012" s="4" t="s">
        <v>22667</v>
      </c>
      <c r="B18012" s="4" t="s">
        <v>22668</v>
      </c>
      <c r="C18012" s="5" t="str">
        <f>IFERROR(__xludf.DUMMYFUNCTION("GOOGLETRANSLATE(B18012,""en"",""es-ES"")"),"Se muestra una pierna con pantalones azules con líneas rojas y blancas, se mueve sobre la nieve, las piernas se cruzaron cuando el LifeBuoy se mueve en la nieve.")</f>
        <v>Se muestra una pierna con pantalones azules con líneas rojas y blancas, se mueve sobre la nieve, las piernas se cruzaron cuando el LifeBuoy se mueve en la nieve.</v>
      </c>
    </row>
    <row r="18013">
      <c r="A18013" s="4" t="s">
        <v>22667</v>
      </c>
      <c r="B18013" s="4" t="s">
        <v>22669</v>
      </c>
      <c r="C18013" s="5" t="str">
        <f>IFERROR(__xludf.DUMMYFUNCTION("GOOGLETRANSLATE(B18013,""en"",""es-ES"")"),"Una persona de lejos está en un buque de vida deslizándose en la nieve.")</f>
        <v>Una persona de lejos está en un buque de vida deslizándose en la nieve.</v>
      </c>
    </row>
    <row r="18014">
      <c r="A18014" s="4" t="s">
        <v>22670</v>
      </c>
      <c r="B18014" s="4" t="s">
        <v>22671</v>
      </c>
      <c r="C18014" s="5" t="str">
        <f>IFERROR(__xludf.DUMMYFUNCTION("GOOGLETRANSLATE(B18014,""en"",""es-ES"")"),"Una niña se balancea a través de los bares de mono en un patio de recreo.")</f>
        <v>Una niña se balancea a través de los bares de mono en un patio de recreo.</v>
      </c>
    </row>
    <row r="18015">
      <c r="A18015" s="4" t="s">
        <v>22670</v>
      </c>
      <c r="B18015" s="4" t="s">
        <v>22672</v>
      </c>
      <c r="C18015" s="5" t="str">
        <f>IFERROR(__xludf.DUMMYFUNCTION("GOOGLETRANSLATE(B18015,""en"",""es-ES"")"),"Su madre habla mientras mira su deslizamiento al suelo y comienza de nuevo.")</f>
        <v>Su madre habla mientras mira su deslizamiento al suelo y comienza de nuevo.</v>
      </c>
    </row>
    <row r="18016">
      <c r="A18016" s="4" t="s">
        <v>22673</v>
      </c>
      <c r="B18016" s="4" t="s">
        <v>22674</v>
      </c>
      <c r="C18016" s="5" t="str">
        <f>IFERROR(__xludf.DUMMYFUNCTION("GOOGLETRANSLATE(B18016,""en"",""es-ES"")"),"Se muestra un primer plano de un caballo seguido de una mujer que camina hacia el marco y cepillando el caballo.")</f>
        <v>Se muestra un primer plano de un caballo seguido de una mujer que camina hacia el marco y cepillando el caballo.</v>
      </c>
    </row>
    <row r="18017">
      <c r="A18017" s="4" t="s">
        <v>22673</v>
      </c>
      <c r="B18017" s="4" t="s">
        <v>22675</v>
      </c>
      <c r="C18017" s="5" t="str">
        <f>IFERROR(__xludf.DUMMYFUNCTION("GOOGLETRANSLATE(B18017,""en"",""es-ES"")"),"Ella continúa cepillando el caballo en varios puntos y termina con ella alimentando al caballo.")</f>
        <v>Ella continúa cepillando el caballo en varios puntos y termina con ella alimentando al caballo.</v>
      </c>
    </row>
    <row r="18018">
      <c r="A18018" s="4" t="s">
        <v>22676</v>
      </c>
      <c r="B18018" s="4" t="s">
        <v>9910</v>
      </c>
      <c r="C18018" s="5" t="str">
        <f>IFERROR(__xludf.DUMMYFUNCTION("GOOGLETRANSLATE(B18018,""en"",""es-ES"")"),"Un hombre salta a un rayo de equilibrio.")</f>
        <v>Un hombre salta a un rayo de equilibrio.</v>
      </c>
    </row>
    <row r="18019">
      <c r="A18019" s="4" t="s">
        <v>22676</v>
      </c>
      <c r="B18019" s="4" t="s">
        <v>22677</v>
      </c>
      <c r="C18019" s="5" t="str">
        <f>IFERROR(__xludf.DUMMYFUNCTION("GOOGLETRANSLATE(B18019,""en"",""es-ES"")"),"Hace una rutina de gimnasia en la viga de equilibrio.")</f>
        <v>Hace una rutina de gimnasia en la viga de equilibrio.</v>
      </c>
    </row>
    <row r="18020">
      <c r="A18020" s="4" t="s">
        <v>22676</v>
      </c>
      <c r="B18020" s="4" t="s">
        <v>22678</v>
      </c>
      <c r="C18020" s="5" t="str">
        <f>IFERROR(__xludf.DUMMYFUNCTION("GOOGLETRANSLATE(B18020,""en"",""es-ES"")"),"Desmita y aterriza en una alfombra azul.")</f>
        <v>Desmita y aterriza en una alfombra azul.</v>
      </c>
    </row>
    <row r="18021">
      <c r="A18021" s="4" t="s">
        <v>22676</v>
      </c>
      <c r="B18021" s="4" t="s">
        <v>22679</v>
      </c>
      <c r="C18021" s="5" t="str">
        <f>IFERROR(__xludf.DUMMYFUNCTION("GOOGLETRANSLATE(B18021,""en"",""es-ES"")"),"Él saluda a la multitud y se va.")</f>
        <v>Él saluda a la multitud y se va.</v>
      </c>
    </row>
    <row r="18022">
      <c r="A18022" s="4" t="s">
        <v>22680</v>
      </c>
      <c r="B18022" s="4" t="s">
        <v>22681</v>
      </c>
      <c r="C18022" s="5" t="str">
        <f>IFERROR(__xludf.DUMMYFUNCTION("GOOGLETRANSLATE(B18022,""en"",""es-ES"")"),"La cámara se desplaza alrededor de un gran grupo de personas que sostienen arcos y flechas seguidas de varias tomas de ellos disparando las flechas.")</f>
        <v>La cámara se desplaza alrededor de un gran grupo de personas que sostienen arcos y flechas seguidas de varias tomas de ellos disparando las flechas.</v>
      </c>
    </row>
    <row r="18023">
      <c r="A18023" s="4" t="s">
        <v>22680</v>
      </c>
      <c r="B18023" s="4" t="s">
        <v>22682</v>
      </c>
      <c r="C18023" s="5" t="str">
        <f>IFERROR(__xludf.DUMMYFUNCTION("GOOGLETRANSLATE(B18023,""en"",""es-ES"")"),"Varios hombres corren por el campo mientras les disparan flechas que conducen a peleas de espadas y a las personas lesionadas.")</f>
        <v>Varios hombres corren por el campo mientras les disparan flechas que conducen a peleas de espadas y a las personas lesionadas.</v>
      </c>
    </row>
    <row r="18024">
      <c r="A18024" s="4" t="s">
        <v>22680</v>
      </c>
      <c r="B18024" s="4" t="s">
        <v>22683</v>
      </c>
      <c r="C18024" s="5" t="str">
        <f>IFERROR(__xludf.DUMMYFUNCTION("GOOGLETRANSLATE(B18024,""en"",""es-ES"")"),"La gente arroja esponjas a un hombre, pelea de puño y dispara más flechas a los demás.")</f>
        <v>La gente arroja esponjas a un hombre, pelea de puño y dispara más flechas a los demás.</v>
      </c>
    </row>
    <row r="18025">
      <c r="A18025" s="4" t="s">
        <v>22684</v>
      </c>
      <c r="B18025" s="4" t="s">
        <v>22685</v>
      </c>
      <c r="C18025" s="5" t="str">
        <f>IFERROR(__xludf.DUMMYFUNCTION("GOOGLETRANSLATE(B18025,""en"",""es-ES"")"),"Una mujer está de pie y camina dentro de una tienda.")</f>
        <v>Una mujer está de pie y camina dentro de una tienda.</v>
      </c>
    </row>
    <row r="18026">
      <c r="A18026" s="4" t="s">
        <v>22684</v>
      </c>
      <c r="B18026" s="4" t="s">
        <v>22686</v>
      </c>
      <c r="C18026" s="5" t="str">
        <f>IFERROR(__xludf.DUMMYFUNCTION("GOOGLETRANSLATE(B18026,""en"",""es-ES"")"),"Ella se acerca a un hombre y le da la mano.")</f>
        <v>Ella se acerca a un hombre y le da la mano.</v>
      </c>
    </row>
    <row r="18027">
      <c r="A18027" s="4" t="s">
        <v>22684</v>
      </c>
      <c r="B18027" s="4" t="s">
        <v>22687</v>
      </c>
      <c r="C18027" s="5" t="str">
        <f>IFERROR(__xludf.DUMMYFUNCTION("GOOGLETRANSLATE(B18027,""en"",""es-ES"")"),"Ella se aleja, examinando los artículos en los estantes antes de apoyarse en el mostrador, flexionando sus bíceps.")</f>
        <v>Ella se aleja, examinando los artículos en los estantes antes de apoyarse en el mostrador, flexionando sus bíceps.</v>
      </c>
    </row>
    <row r="18028">
      <c r="A18028" s="4" t="s">
        <v>22684</v>
      </c>
      <c r="B18028" s="4" t="s">
        <v>22688</v>
      </c>
      <c r="C18028" s="5" t="str">
        <f>IFERROR(__xludf.DUMMYFUNCTION("GOOGLETRANSLATE(B18028,""en"",""es-ES"")"),"La mujer le muestra al hombre su bíceps antes de participar en la lucha contra el brazo con él.")</f>
        <v>La mujer le muestra al hombre su bíceps antes de participar en la lucha contra el brazo con él.</v>
      </c>
    </row>
    <row r="18029">
      <c r="A18029" s="4" t="s">
        <v>22684</v>
      </c>
      <c r="B18029" s="4" t="s">
        <v>22689</v>
      </c>
      <c r="C18029" s="5" t="str">
        <f>IFERROR(__xludf.DUMMYFUNCTION("GOOGLETRANSLATE(B18029,""en"",""es-ES"")"),"Ella se sienta junto al mostrador, continuando hablando con él por un tiempo.")</f>
        <v>Ella se sienta junto al mostrador, continuando hablando con él por un tiempo.</v>
      </c>
    </row>
    <row r="18030">
      <c r="A18030" s="4" t="s">
        <v>22690</v>
      </c>
      <c r="B18030" s="4" t="s">
        <v>22691</v>
      </c>
      <c r="C18030" s="5" t="str">
        <f>IFERROR(__xludf.DUMMYFUNCTION("GOOGLETRANSLATE(B18030,""en"",""es-ES"")"),"El hombre corre con pilotes en un campo verde cubierto de hierba.")</f>
        <v>El hombre corre con pilotes en un campo verde cubierto de hierba.</v>
      </c>
    </row>
    <row r="18031">
      <c r="A18031" s="4" t="s">
        <v>22690</v>
      </c>
      <c r="B18031" s="4" t="s">
        <v>22692</v>
      </c>
      <c r="C18031" s="5" t="str">
        <f>IFERROR(__xludf.DUMMYFUNCTION("GOOGLETRANSLATE(B18031,""en"",""es-ES"")"),"Los autos están estacionados en el lado de una calle en el fondo.")</f>
        <v>Los autos están estacionados en el lado de una calle en el fondo.</v>
      </c>
    </row>
    <row r="18032">
      <c r="A18032" s="4" t="s">
        <v>22690</v>
      </c>
      <c r="B18032" s="4" t="s">
        <v>22693</v>
      </c>
      <c r="C18032" s="5" t="str">
        <f>IFERROR(__xludf.DUMMYFUNCTION("GOOGLETRANSLATE(B18032,""en"",""es-ES"")"),"El hombre obtiene la hierba y corre hacia una calle.")</f>
        <v>El hombre obtiene la hierba y corre hacia una calle.</v>
      </c>
    </row>
    <row r="18033">
      <c r="A18033" s="4" t="s">
        <v>22694</v>
      </c>
      <c r="B18033" s="4" t="s">
        <v>22695</v>
      </c>
      <c r="C18033" s="5" t="str">
        <f>IFERROR(__xludf.DUMMYFUNCTION("GOOGLETRANSLATE(B18033,""en"",""es-ES"")"),"La gente está parada en un gimnasio hablando.")</f>
        <v>La gente está parada en un gimnasio hablando.</v>
      </c>
    </row>
    <row r="18034">
      <c r="A18034" s="4" t="s">
        <v>22694</v>
      </c>
      <c r="B18034" s="4" t="s">
        <v>22696</v>
      </c>
      <c r="C18034" s="5" t="str">
        <f>IFERROR(__xludf.DUMMYFUNCTION("GOOGLETRANSLATE(B18034,""en"",""es-ES"")"),"Comienzan a correr y lanzarse bolas el uno al otro.")</f>
        <v>Comienzan a correr y lanzarse bolas el uno al otro.</v>
      </c>
    </row>
    <row r="18035">
      <c r="A18035" s="4" t="s">
        <v>22697</v>
      </c>
      <c r="B18035" s="4" t="s">
        <v>22698</v>
      </c>
      <c r="C18035" s="5" t="str">
        <f>IFERROR(__xludf.DUMMYFUNCTION("GOOGLETRANSLATE(B18035,""en"",""es-ES"")"),"Se ve a un hombre parado al final de un muelle y mirando hacia atrás a la gente de fiesta.")</f>
        <v>Se ve a un hombre parado al final de un muelle y mirando hacia atrás a la gente de fiesta.</v>
      </c>
    </row>
    <row r="18036">
      <c r="A18036" s="4" t="s">
        <v>22697</v>
      </c>
      <c r="B18036" s="4" t="s">
        <v>22699</v>
      </c>
      <c r="C18036" s="5" t="str">
        <f>IFERROR(__xludf.DUMMYFUNCTION("GOOGLETRANSLATE(B18036,""en"",""es-ES"")"),"El hombre se acerca y ve a dos personas interpretando artes marciales en medio de un círculo.")</f>
        <v>El hombre se acerca y ve a dos personas interpretando artes marciales en medio de un círculo.</v>
      </c>
    </row>
    <row r="18037">
      <c r="A18037" s="4" t="s">
        <v>22697</v>
      </c>
      <c r="B18037" s="4" t="s">
        <v>22700</v>
      </c>
      <c r="C18037" s="5" t="str">
        <f>IFERROR(__xludf.DUMMYFUNCTION("GOOGLETRANSLATE(B18037,""en"",""es-ES"")"),"Las personas que continúan moviéndose mientras otros miran a un lado y el soldado también se une.")</f>
        <v>Las personas que continúan moviéndose mientras otros miran a un lado y el soldado también se une.</v>
      </c>
    </row>
    <row r="18038">
      <c r="A18038" s="4" t="s">
        <v>22701</v>
      </c>
      <c r="B18038" s="4" t="s">
        <v>22702</v>
      </c>
      <c r="C18038" s="5" t="str">
        <f>IFERROR(__xludf.DUMMYFUNCTION("GOOGLETRANSLATE(B18038,""en"",""es-ES"")"),"Hay una mujer joven que se está rizando en una pista de rizado.")</f>
        <v>Hay una mujer joven que se está rizando en una pista de rizado.</v>
      </c>
    </row>
    <row r="18039">
      <c r="A18039" s="4" t="s">
        <v>22701</v>
      </c>
      <c r="B18039" s="4" t="s">
        <v>22703</v>
      </c>
      <c r="C18039" s="5" t="str">
        <f>IFERROR(__xludf.DUMMYFUNCTION("GOOGLETRANSLATE(B18039,""en"",""es-ES"")"),"Hay varios otros jugadores que también se curvan.")</f>
        <v>Hay varios otros jugadores que también se curvan.</v>
      </c>
    </row>
    <row r="18040">
      <c r="A18040" s="4" t="s">
        <v>22701</v>
      </c>
      <c r="B18040" s="4" t="s">
        <v>22704</v>
      </c>
      <c r="C18040" s="5" t="str">
        <f>IFERROR(__xludf.DUMMYFUNCTION("GOOGLETRANSLATE(B18040,""en"",""es-ES"")"),"Se muestran varias imágenes de esa misma mujer posando para algún tipo de sesión de fotos.")</f>
        <v>Se muestran varias imágenes de esa misma mujer posando para algún tipo de sesión de fotos.</v>
      </c>
    </row>
    <row r="18041">
      <c r="A18041" s="4" t="s">
        <v>22701</v>
      </c>
      <c r="B18041" s="4" t="s">
        <v>22705</v>
      </c>
      <c r="C18041" s="5" t="str">
        <f>IFERROR(__xludf.DUMMYFUNCTION("GOOGLETRANSLATE(B18041,""en"",""es-ES"")"),"La mujer parece un poco angustiada por el juego.")</f>
        <v>La mujer parece un poco angustiada por el juego.</v>
      </c>
    </row>
    <row r="18042">
      <c r="A18042" s="4" t="s">
        <v>22701</v>
      </c>
      <c r="B18042" s="4" t="s">
        <v>22706</v>
      </c>
      <c r="C18042" s="5" t="str">
        <f>IFERROR(__xludf.DUMMYFUNCTION("GOOGLETRANSLATE(B18042,""en"",""es-ES"")"),"Ella está posando para una sesión de fotos con una roca rizada.")</f>
        <v>Ella está posando para una sesión de fotos con una roca rizada.</v>
      </c>
    </row>
    <row r="18043">
      <c r="A18043" s="4" t="s">
        <v>22707</v>
      </c>
      <c r="B18043" s="4" t="s">
        <v>22708</v>
      </c>
      <c r="C18043" s="5" t="str">
        <f>IFERROR(__xludf.DUMMYFUNCTION("GOOGLETRANSLATE(B18043,""en"",""es-ES"")"),"Un hombre está usando un Weed Waller para recortar arbustos.")</f>
        <v>Un hombre está usando un Weed Waller para recortar arbustos.</v>
      </c>
    </row>
    <row r="18044">
      <c r="A18044" s="4" t="s">
        <v>22707</v>
      </c>
      <c r="B18044" s="4" t="s">
        <v>22709</v>
      </c>
      <c r="C18044" s="5" t="str">
        <f>IFERROR(__xludf.DUMMYFUNCTION("GOOGLETRANSLATE(B18044,""en"",""es-ES"")"),"Se aleja de los arbustos y corta las malas hierbas en el suelo.")</f>
        <v>Se aleja de los arbustos y corta las malas hierbas en el suelo.</v>
      </c>
    </row>
    <row r="18045">
      <c r="A18045" s="4" t="s">
        <v>22710</v>
      </c>
      <c r="B18045" s="4" t="s">
        <v>22711</v>
      </c>
      <c r="C18045" s="5" t="str">
        <f>IFERROR(__xludf.DUMMYFUNCTION("GOOGLETRANSLATE(B18045,""en"",""es-ES"")"),"Se muestran varios clips de una mujer de pie y apuntando a una playa que la llevó arrastrando por un tablero y ajustándolo en el agua.")</f>
        <v>Se muestran varios clips de una mujer de pie y apuntando a una playa que la llevó arrastrando por un tablero y ajustándolo en el agua.</v>
      </c>
    </row>
    <row r="18046">
      <c r="A18046" s="4" t="s">
        <v>22710</v>
      </c>
      <c r="B18046" s="4" t="s">
        <v>22712</v>
      </c>
      <c r="C18046" s="5" t="str">
        <f>IFERROR(__xludf.DUMMYFUNCTION("GOOGLETRANSLATE(B18046,""en"",""es-ES"")"),"Luego, la mujer se agarra al tablero y se mueve alrededor del agua mientras demuestra movimientos adecuados y la cámara moviéndose alrededor de los demás.")</f>
        <v>Luego, la mujer se agarra al tablero y se mueve alrededor del agua mientras demuestra movimientos adecuados y la cámara moviéndose alrededor de los demás.</v>
      </c>
    </row>
    <row r="18047">
      <c r="A18047" s="4" t="s">
        <v>22713</v>
      </c>
      <c r="B18047" s="4" t="s">
        <v>22714</v>
      </c>
      <c r="C18047" s="5" t="str">
        <f>IFERROR(__xludf.DUMMYFUNCTION("GOOGLETRANSLATE(B18047,""en"",""es-ES"")"),"Un niño está sentado en la habitación con tres guitarras y comienza a jugar a los tres con un arco de violín.")</f>
        <v>Un niño está sentado en la habitación con tres guitarras y comienza a jugar a los tres con un arco de violín.</v>
      </c>
    </row>
    <row r="18048">
      <c r="A18048" s="4" t="s">
        <v>22713</v>
      </c>
      <c r="B18048" s="4" t="s">
        <v>22715</v>
      </c>
      <c r="C18048" s="5" t="str">
        <f>IFERROR(__xludf.DUMMYFUNCTION("GOOGLETRANSLATE(B18048,""en"",""es-ES"")"),"El hombre luego comienza a tocar la única guitarra que está en su regazo con los dedos y termina la canción.")</f>
        <v>El hombre luego comienza a tocar la única guitarra que está en su regazo con los dedos y termina la canción.</v>
      </c>
    </row>
    <row r="18049">
      <c r="A18049" s="4" t="s">
        <v>22716</v>
      </c>
      <c r="B18049" s="4" t="s">
        <v>22717</v>
      </c>
      <c r="C18049" s="5" t="str">
        <f>IFERROR(__xludf.DUMMYFUNCTION("GOOGLETRANSLATE(B18049,""en"",""es-ES"")"),"Una persona hace una rutina en bares paralelos.")</f>
        <v>Una persona hace una rutina en bares paralelos.</v>
      </c>
    </row>
    <row r="18050">
      <c r="A18050" s="4" t="s">
        <v>22716</v>
      </c>
      <c r="B18050" s="4" t="s">
        <v>22718</v>
      </c>
      <c r="C18050" s="5" t="str">
        <f>IFERROR(__xludf.DUMMYFUNCTION("GOOGLETRANSLATE(B18050,""en"",""es-ES"")"),"Él hace su rutina y luego desmonta.")</f>
        <v>Él hace su rutina y luego desmonta.</v>
      </c>
    </row>
    <row r="18051">
      <c r="A18051" s="4" t="s">
        <v>22719</v>
      </c>
      <c r="B18051" s="4" t="s">
        <v>22720</v>
      </c>
      <c r="C18051" s="5" t="str">
        <f>IFERROR(__xludf.DUMMYFUNCTION("GOOGLETRANSLATE(B18051,""en"",""es-ES"")"),"El dueño del perro se pare y sostiene a sus perros.")</f>
        <v>El dueño del perro se pare y sostiene a sus perros.</v>
      </c>
    </row>
    <row r="18052">
      <c r="A18052" s="4" t="s">
        <v>22719</v>
      </c>
      <c r="B18052" s="4" t="s">
        <v>22721</v>
      </c>
      <c r="C18052" s="5" t="str">
        <f>IFERROR(__xludf.DUMMYFUNCTION("GOOGLETRANSLATE(B18052,""en"",""es-ES"")"),"La gente juega con sus perros en un parque con obstáculos.")</f>
        <v>La gente juega con sus perros en un parque con obstáculos.</v>
      </c>
    </row>
    <row r="18053">
      <c r="A18053" s="4" t="s">
        <v>22719</v>
      </c>
      <c r="B18053" s="4" t="s">
        <v>22722</v>
      </c>
      <c r="C18053" s="5" t="str">
        <f>IFERROR(__xludf.DUMMYFUNCTION("GOOGLETRANSLATE(B18053,""en"",""es-ES"")"),"Un grupo tiene letreros con un perro en una acera de la ciudad.")</f>
        <v>Un grupo tiene letreros con un perro en una acera de la ciudad.</v>
      </c>
    </row>
    <row r="18054">
      <c r="A18054" s="4" t="s">
        <v>22723</v>
      </c>
      <c r="B18054" s="4" t="s">
        <v>22724</v>
      </c>
      <c r="C18054" s="5" t="str">
        <f>IFERROR(__xludf.DUMMYFUNCTION("GOOGLETRANSLATE(B18054,""en"",""es-ES"")"),"Un hombre y una mujer son vistos de pie en un escenario con un foco de atención que se muestra en ellos.")</f>
        <v>Un hombre y una mujer son vistos de pie en un escenario con un foco de atención que se muestra en ellos.</v>
      </c>
    </row>
    <row r="18055">
      <c r="A18055" s="4" t="s">
        <v>22723</v>
      </c>
      <c r="B18055" s="4" t="s">
        <v>22725</v>
      </c>
      <c r="C18055" s="5" t="str">
        <f>IFERROR(__xludf.DUMMYFUNCTION("GOOGLETRANSLATE(B18055,""en"",""es-ES"")"),"El dúo comienza a tocar instrumentos juntos mientras se miran, así como la cámara.")</f>
        <v>El dúo comienza a tocar instrumentos juntos mientras se miran, así como la cámara.</v>
      </c>
    </row>
    <row r="18056">
      <c r="A18056" s="4" t="s">
        <v>22723</v>
      </c>
      <c r="B18056" s="4" t="s">
        <v>22726</v>
      </c>
      <c r="C18056" s="5" t="str">
        <f>IFERROR(__xludf.DUMMYFUNCTION("GOOGLETRANSLATE(B18056,""en"",""es-ES"")"),"Los dos continúan jugando entre sí y pausan para mirar la cámara.")</f>
        <v>Los dos continúan jugando entre sí y pausan para mirar la cámara.</v>
      </c>
    </row>
    <row r="18057">
      <c r="A18057" s="4" t="s">
        <v>22727</v>
      </c>
      <c r="B18057" s="4" t="s">
        <v>22728</v>
      </c>
      <c r="C18057" s="5" t="str">
        <f>IFERROR(__xludf.DUMMYFUNCTION("GOOGLETRANSLATE(B18057,""en"",""es-ES"")"),"Se ve a una persona cortando un tomate y demostrando cómo funciona el cuchillo en un trozo de papel.")</f>
        <v>Se ve a una persona cortando un tomate y demostrando cómo funciona el cuchillo en un trozo de papel.</v>
      </c>
    </row>
    <row r="18058">
      <c r="A18058" s="4" t="s">
        <v>22727</v>
      </c>
      <c r="B18058" s="4" t="s">
        <v>22729</v>
      </c>
      <c r="C18058" s="5" t="str">
        <f>IFERROR(__xludf.DUMMYFUNCTION("GOOGLETRANSLATE(B18058,""en"",""es-ES"")"),"Luego, la persona agudiza la cuchilla en una taza de café y atraviesa el papel.")</f>
        <v>Luego, la persona agudiza la cuchilla en una taza de café y atraviesa el papel.</v>
      </c>
    </row>
    <row r="18059">
      <c r="A18059" s="4" t="s">
        <v>22730</v>
      </c>
      <c r="B18059" s="4" t="s">
        <v>22731</v>
      </c>
      <c r="C18059" s="5" t="str">
        <f>IFERROR(__xludf.DUMMYFUNCTION("GOOGLETRANSLATE(B18059,""en"",""es-ES"")"),"Las palabras ""Aves abstractas/pintura al óleo Katy Jade Dobson"" aparecen en la pantalla.")</f>
        <v>Las palabras "Aves abstractas/pintura al óleo Katy Jade Dobson" aparecen en la pantalla.</v>
      </c>
    </row>
    <row r="18060">
      <c r="A18060" s="4" t="s">
        <v>22730</v>
      </c>
      <c r="B18060" s="4" t="s">
        <v>22732</v>
      </c>
      <c r="C18060" s="5" t="str">
        <f>IFERROR(__xludf.DUMMYFUNCTION("GOOGLETRANSLATE(B18060,""en"",""es-ES"")"),"Dobson dibuja un diseño en lienzo blanco y comienza a pintarlo.")</f>
        <v>Dobson dibuja un diseño en lienzo blanco y comienza a pintarlo.</v>
      </c>
    </row>
    <row r="18061">
      <c r="A18061" s="4" t="s">
        <v>22730</v>
      </c>
      <c r="B18061" s="4" t="s">
        <v>22733</v>
      </c>
      <c r="C18061" s="5" t="str">
        <f>IFERROR(__xludf.DUMMYFUNCTION("GOOGLETRANSLATE(B18061,""en"",""es-ES"")"),"Ella apoya su trabajo terminado mientras la pintura gotea en las líneas por el lienzo.")</f>
        <v>Ella apoya su trabajo terminado mientras la pintura gotea en las líneas por el lienzo.</v>
      </c>
    </row>
    <row r="18062">
      <c r="A18062" s="4" t="s">
        <v>22734</v>
      </c>
      <c r="B18062" s="4" t="s">
        <v>22735</v>
      </c>
      <c r="C18062" s="5" t="str">
        <f>IFERROR(__xludf.DUMMYFUNCTION("GOOGLETRANSLATE(B18062,""en"",""es-ES"")"),"Un hombre está parado detrás de una barra.")</f>
        <v>Un hombre está parado detrás de una barra.</v>
      </c>
    </row>
    <row r="18063">
      <c r="A18063" s="4" t="s">
        <v>22734</v>
      </c>
      <c r="B18063" s="4" t="s">
        <v>22736</v>
      </c>
      <c r="C18063" s="5" t="str">
        <f>IFERROR(__xludf.DUMMYFUNCTION("GOOGLETRANSLATE(B18063,""en"",""es-ES"")"),"Él pone hielo en el vaso y vierte bebidas en él.")</f>
        <v>Él pone hielo en el vaso y vierte bebidas en él.</v>
      </c>
    </row>
    <row r="18064">
      <c r="A18064" s="4" t="s">
        <v>22734</v>
      </c>
      <c r="B18064" s="4" t="s">
        <v>22737</v>
      </c>
      <c r="C18064" s="5" t="str">
        <f>IFERROR(__xludf.DUMMYFUNCTION("GOOGLETRANSLATE(B18064,""en"",""es-ES"")"),"Lo revuelve con una pajita.")</f>
        <v>Lo revuelve con una pajita.</v>
      </c>
    </row>
    <row r="18065">
      <c r="A18065" s="4" t="s">
        <v>22738</v>
      </c>
      <c r="B18065" s="4" t="s">
        <v>22739</v>
      </c>
      <c r="C18065" s="5" t="str">
        <f>IFERROR(__xludf.DUMMYFUNCTION("GOOGLETRANSLATE(B18065,""en"",""es-ES"")"),"La escena se abre con un lavado de autos y un anuncio.")</f>
        <v>La escena se abre con un lavado de autos y un anuncio.</v>
      </c>
    </row>
    <row r="18066">
      <c r="A18066" s="4" t="s">
        <v>22738</v>
      </c>
      <c r="B18066" s="4" t="s">
        <v>22740</v>
      </c>
      <c r="C18066" s="5" t="str">
        <f>IFERROR(__xludf.DUMMYFUNCTION("GOOGLETRANSLATE(B18066,""en"",""es-ES"")"),"Dos hombres están hablando mientras uno está sentado en su auto.")</f>
        <v>Dos hombres están hablando mientras uno está sentado en su auto.</v>
      </c>
    </row>
    <row r="18067">
      <c r="A18067" s="4" t="s">
        <v>22738</v>
      </c>
      <c r="B18067" s="4" t="s">
        <v>22741</v>
      </c>
      <c r="C18067" s="5" t="str">
        <f>IFERROR(__xludf.DUMMYFUNCTION("GOOGLETRANSLATE(B18067,""en"",""es-ES"")"),"Un hombre está limpiando un automóvil y hablando con la cámara.")</f>
        <v>Un hombre está limpiando un automóvil y hablando con la cámara.</v>
      </c>
    </row>
    <row r="18068">
      <c r="A18068" s="4" t="s">
        <v>22738</v>
      </c>
      <c r="B18068" s="4" t="s">
        <v>22742</v>
      </c>
      <c r="C18068" s="5" t="str">
        <f>IFERROR(__xludf.DUMMYFUNCTION("GOOGLETRANSLATE(B18068,""en"",""es-ES"")"),"El auto se seca y se aspira, luego al siguiente auto.")</f>
        <v>El auto se seca y se aspira, luego al siguiente auto.</v>
      </c>
    </row>
    <row r="18069">
      <c r="A18069" s="4" t="s">
        <v>22738</v>
      </c>
      <c r="B18069" s="4" t="s">
        <v>22743</v>
      </c>
      <c r="C18069" s="5" t="str">
        <f>IFERROR(__xludf.DUMMYFUNCTION("GOOGLETRANSLATE(B18069,""en"",""es-ES"")"),"El cliente recibe sus llaves y él está en camino con un automóvil limpio.")</f>
        <v>El cliente recibe sus llaves y él está en camino con un automóvil limpio.</v>
      </c>
    </row>
    <row r="18070">
      <c r="A18070" s="4" t="s">
        <v>22738</v>
      </c>
      <c r="B18070" s="4" t="s">
        <v>22744</v>
      </c>
      <c r="C18070" s="5" t="str">
        <f>IFERROR(__xludf.DUMMYFUNCTION("GOOGLETRANSLATE(B18070,""en"",""es-ES"")"),"Dos hombres están jugando mientras limpian el auto.")</f>
        <v>Dos hombres están jugando mientras limpian el auto.</v>
      </c>
    </row>
    <row r="18071">
      <c r="A18071" s="4" t="s">
        <v>22738</v>
      </c>
      <c r="B18071" s="4" t="s">
        <v>22745</v>
      </c>
      <c r="C18071" s="5" t="str">
        <f>IFERROR(__xludf.DUMMYFUNCTION("GOOGLETRANSLATE(B18071,""en"",""es-ES"")"),"Un letrero muestra los servicios que ofrecen.")</f>
        <v>Un letrero muestra los servicios que ofrecen.</v>
      </c>
    </row>
    <row r="18072">
      <c r="A18072" s="4" t="s">
        <v>22746</v>
      </c>
      <c r="B18072" s="4" t="s">
        <v>22747</v>
      </c>
      <c r="C18072" s="5" t="str">
        <f>IFERROR(__xludf.DUMMYFUNCTION("GOOGLETRANSLATE(B18072,""en"",""es-ES"")"),"Una niña está parada en su sala de estar sosteniendo un bastón horizontal en su cuello mientras un gato en el suelo se mueve.")</f>
        <v>Una niña está parada en su sala de estar sosteniendo un bastón horizontal en su cuello mientras un gato en el suelo se mueve.</v>
      </c>
    </row>
    <row r="18073">
      <c r="A18073" s="4" t="s">
        <v>22746</v>
      </c>
      <c r="B18073" s="4" t="s">
        <v>22748</v>
      </c>
      <c r="C18073" s="5" t="str">
        <f>IFERROR(__xludf.DUMMYFUNCTION("GOOGLETRANSLATE(B18073,""en"",""es-ES"")"),"Luego, la niña desata su brazo, deja que el bastón se ponga en manos de sus manos y luego comience a hacer una serie de girando el bastón.")</f>
        <v>Luego, la niña desata su brazo, deja que el bastón se ponga en manos de sus manos y luego comience a hacer una serie de girando el bastón.</v>
      </c>
    </row>
    <row r="18074">
      <c r="A18074" s="4" t="s">
        <v>22746</v>
      </c>
      <c r="B18074" s="4" t="s">
        <v>22749</v>
      </c>
      <c r="C18074" s="5" t="str">
        <f>IFERROR(__xludf.DUMMYFUNCTION("GOOGLETRANSLATE(B18074,""en"",""es-ES"")"),"El gato de abajo entra y sale de la pantalla mientras está girando el bastón e incluso lo arroja en el aire, lo atrapa y luego continúa girándolo.")</f>
        <v>El gato de abajo entra y sale de la pantalla mientras está girando el bastón e incluso lo arroja en el aire, lo atrapa y luego continúa girándolo.</v>
      </c>
    </row>
    <row r="18075">
      <c r="A18075" s="4" t="s">
        <v>22750</v>
      </c>
      <c r="B18075" s="4" t="s">
        <v>22751</v>
      </c>
      <c r="C18075" s="5" t="str">
        <f>IFERROR(__xludf.DUMMYFUNCTION("GOOGLETRANSLATE(B18075,""en"",""es-ES"")"),"Un hombre dobla en el frente de un seto sosteniendo un cortador eléctrico.")</f>
        <v>Un hombre dobla en el frente de un seto sosteniendo un cortador eléctrico.</v>
      </c>
    </row>
    <row r="18076">
      <c r="A18076" s="4" t="s">
        <v>22750</v>
      </c>
      <c r="B18076" s="4" t="s">
        <v>22752</v>
      </c>
      <c r="C18076" s="5" t="str">
        <f>IFERROR(__xludf.DUMMYFUNCTION("GOOGLETRANSLATE(B18076,""en"",""es-ES"")"),"El hombre corta un largo seto de un jardín con un cortador eléctrico.")</f>
        <v>El hombre corta un largo seto de un jardín con un cortador eléctrico.</v>
      </c>
    </row>
    <row r="18077">
      <c r="A18077" s="4" t="s">
        <v>22750</v>
      </c>
      <c r="B18077" s="4" t="s">
        <v>22753</v>
      </c>
      <c r="C18077" s="5" t="str">
        <f>IFERROR(__xludf.DUMMYFUNCTION("GOOGLETRANSLATE(B18077,""en"",""es-ES"")"),"Luego, el hombre elimina las hojas en la parte superior del seto con la mano.")</f>
        <v>Luego, el hombre elimina las hojas en la parte superior del seto con la mano.</v>
      </c>
    </row>
    <row r="18078">
      <c r="A18078" s="4" t="s">
        <v>22754</v>
      </c>
      <c r="B18078" s="4" t="s">
        <v>22755</v>
      </c>
      <c r="C18078" s="5" t="str">
        <f>IFERROR(__xludf.DUMMYFUNCTION("GOOGLETRANSLATE(B18078,""en"",""es-ES"")"),"El hombre está sentado en una habitación jugando a Congas.")</f>
        <v>El hombre está sentado en una habitación jugando a Congas.</v>
      </c>
    </row>
    <row r="18079">
      <c r="A18079" s="4" t="s">
        <v>22754</v>
      </c>
      <c r="B18079" s="4" t="s">
        <v>22756</v>
      </c>
      <c r="C18079" s="5" t="str">
        <f>IFERROR(__xludf.DUMMYFUNCTION("GOOGLETRANSLATE(B18079,""en"",""es-ES"")"),"El teclado está detrás del hombre tocando Congsa en una habitación.")</f>
        <v>El teclado está detrás del hombre tocando Congsa en una habitación.</v>
      </c>
    </row>
    <row r="18080">
      <c r="A18080" s="4" t="s">
        <v>22754</v>
      </c>
      <c r="B18080" s="4" t="s">
        <v>22757</v>
      </c>
      <c r="C18080" s="5" t="str">
        <f>IFERROR(__xludf.DUMMYFUNCTION("GOOGLETRANSLATE(B18080,""en"",""es-ES"")"),"El hombre está tocando salsa en Congas en una sala de música.")</f>
        <v>El hombre está tocando salsa en Congas en una sala de música.</v>
      </c>
    </row>
    <row r="18081">
      <c r="A18081" s="4" t="s">
        <v>22758</v>
      </c>
      <c r="B18081" s="4" t="s">
        <v>22759</v>
      </c>
      <c r="C18081" s="5" t="str">
        <f>IFERROR(__xludf.DUMMYFUNCTION("GOOGLETRANSLATE(B18081,""en"",""es-ES"")"),"Una niña cabalga sobre una cortadora de césped amarillo en un patio muy grande lleno de hierba verde.")</f>
        <v>Una niña cabalga sobre una cortadora de césped amarillo en un patio muy grande lleno de hierba verde.</v>
      </c>
    </row>
    <row r="18082">
      <c r="A18082" s="4" t="s">
        <v>22758</v>
      </c>
      <c r="B18082" s="4" t="s">
        <v>22760</v>
      </c>
      <c r="C18082" s="5" t="str">
        <f>IFERROR(__xludf.DUMMYFUNCTION("GOOGLETRANSLATE(B18082,""en"",""es-ES"")"),"Cuando la niña llega al final del patio, ella gira y conduce en la misma dirección de la que solo vino.")</f>
        <v>Cuando la niña llega al final del patio, ella gira y conduce en la misma dirección de la que solo vino.</v>
      </c>
    </row>
    <row r="18083">
      <c r="A18083" s="4" t="s">
        <v>22758</v>
      </c>
      <c r="B18083" s="4" t="s">
        <v>22761</v>
      </c>
      <c r="C18083" s="5" t="str">
        <f>IFERROR(__xludf.DUMMYFUNCTION("GOOGLETRANSLATE(B18083,""en"",""es-ES"")"),"Cuando llega a ese final, hace un giro pero es demasiado apretado y se invierte un poco.")</f>
        <v>Cuando llega a ese final, hace un giro pero es demasiado apretado y se invierte un poco.</v>
      </c>
    </row>
    <row r="18084">
      <c r="A18084" s="4" t="s">
        <v>22758</v>
      </c>
      <c r="B18084" s="4" t="s">
        <v>22762</v>
      </c>
      <c r="C18084" s="5" t="str">
        <f>IFERROR(__xludf.DUMMYFUNCTION("GOOGLETRANSLATE(B18084,""en"",""es-ES"")"),"Luego, la niña la hace girar en la dirección opuesta una vez más y cuando llega a la mitad del patio, gira una vez más y se dirige por la dirección de la que acaba de venir.")</f>
        <v>Luego, la niña la hace girar en la dirección opuesta una vez más y cuando llega a la mitad del patio, gira una vez más y se dirige por la dirección de la que acaba de venir.</v>
      </c>
    </row>
    <row r="18085">
      <c r="A18085" s="4" t="s">
        <v>22763</v>
      </c>
      <c r="B18085" s="4" t="s">
        <v>22764</v>
      </c>
      <c r="C18085" s="5" t="str">
        <f>IFERROR(__xludf.DUMMYFUNCTION("GOOGLETRANSLATE(B18085,""en"",""es-ES"")"),"Un hombre con chaqueta de esquí en una tabla de snowboard se sostiene en una cuerda unida a un camión.")</f>
        <v>Un hombre con chaqueta de esquí en una tabla de snowboard se sostiene en una cuerda unida a un camión.</v>
      </c>
    </row>
    <row r="18086">
      <c r="A18086" s="4" t="s">
        <v>22763</v>
      </c>
      <c r="B18086" s="4" t="s">
        <v>22765</v>
      </c>
      <c r="C18086" s="5" t="str">
        <f>IFERROR(__xludf.DUMMYFUNCTION("GOOGLETRANSLATE(B18086,""en"",""es-ES"")"),"El camión comienza a conducir y el hombre es arrastrado por la cuerda de remolque.")</f>
        <v>El camión comienza a conducir y el hombre es arrastrado por la cuerda de remolque.</v>
      </c>
    </row>
    <row r="18087">
      <c r="A18087" s="4" t="s">
        <v>22763</v>
      </c>
      <c r="B18087" s="4" t="s">
        <v>22766</v>
      </c>
      <c r="C18087" s="5" t="str">
        <f>IFERROR(__xludf.DUMMYFUNCTION("GOOGLETRANSLATE(B18087,""en"",""es-ES"")"),"El hombre maniobra para detener el paralelo con el camión y alternativos que van y vienen detrás del camión.")</f>
        <v>El hombre maniobra para detener el paralelo con el camión y alternativos que van y vienen detrás del camión.</v>
      </c>
    </row>
    <row r="18088">
      <c r="A18088" s="4" t="s">
        <v>22763</v>
      </c>
      <c r="B18088" s="4" t="s">
        <v>22767</v>
      </c>
      <c r="C18088" s="5" t="str">
        <f>IFERROR(__xludf.DUMMYFUNCTION("GOOGLETRANSLATE(B18088,""en"",""es-ES"")"),"El hombre se ralentiza antes de soltar la cuerda de remolque y se detiene.")</f>
        <v>El hombre se ralentiza antes de soltar la cuerda de remolque y se detiene.</v>
      </c>
    </row>
    <row r="18089">
      <c r="A18089" s="4" t="s">
        <v>22768</v>
      </c>
      <c r="B18089" s="4" t="s">
        <v>22769</v>
      </c>
      <c r="C18089" s="5" t="str">
        <f>IFERROR(__xludf.DUMMYFUNCTION("GOOGLETRANSLATE(B18089,""en"",""es-ES"")"),"Un chico está en un caballo con una cuerda larga blanca que tiene un gran círculo atado al final y parece estar esperando que se abran algunas puertas azules.")</f>
        <v>Un chico está en un caballo con una cuerda larga blanca que tiene un gran círculo atado al final y parece estar esperando que se abran algunas puertas azules.</v>
      </c>
    </row>
    <row r="18090">
      <c r="A18090" s="4" t="s">
        <v>22768</v>
      </c>
      <c r="B18090" s="4" t="s">
        <v>22770</v>
      </c>
      <c r="C18090" s="5" t="str">
        <f>IFERROR(__xludf.DUMMYFUNCTION("GOOGLETRANSLATE(B18090,""en"",""es-ES"")"),"Las puertas azules se abren y un pequeño toro sale corriendo y el chico del caballo lo persigue.")</f>
        <v>Las puertas azules se abren y un pequeño toro sale corriendo y el chico del caballo lo persigue.</v>
      </c>
    </row>
    <row r="18091">
      <c r="A18091" s="4" t="s">
        <v>22768</v>
      </c>
      <c r="B18091" s="4" t="s">
        <v>22771</v>
      </c>
      <c r="C18091" s="5" t="str">
        <f>IFERROR(__xludf.DUMMYFUNCTION("GOOGLETRANSLATE(B18091,""en"",""es-ES"")"),"El tipo que arroja la cuerda y atrapa el toro alrededor del cuello mientras el extremo de la cuerda está atado al caballo.")</f>
        <v>El tipo que arroja la cuerda y atrapa el toro alrededor del cuello mientras el extremo de la cuerda está atado al caballo.</v>
      </c>
    </row>
    <row r="18092">
      <c r="A18092" s="4" t="s">
        <v>22768</v>
      </c>
      <c r="B18092" s="4" t="s">
        <v>22772</v>
      </c>
      <c r="C18092" s="5" t="str">
        <f>IFERROR(__xludf.DUMMYFUNCTION("GOOGLETRANSLATE(B18092,""en"",""es-ES"")"),"El tipo luego salta del caballo, corre hacia el toro y lo voltea sobre su espalda, junta las piernas de los toros.")</f>
        <v>El tipo luego salta del caballo, corre hacia el toro y lo voltea sobre su espalda, junta las piernas de los toros.</v>
      </c>
    </row>
    <row r="18093">
      <c r="A18093" s="4" t="s">
        <v>22768</v>
      </c>
      <c r="B18093" s="4" t="s">
        <v>22773</v>
      </c>
      <c r="C18093" s="5" t="str">
        <f>IFERROR(__xludf.DUMMYFUNCTION("GOOGLETRANSLATE(B18093,""en"",""es-ES"")"),"El tipo luego vuelve a su caballo mientras otros dos chicos liberan el toro de la corbata de la cuerda y lo quitan.")</f>
        <v>El tipo luego vuelve a su caballo mientras otros dos chicos liberan el toro de la corbata de la cuerda y lo quitan.</v>
      </c>
    </row>
    <row r="18094">
      <c r="A18094" s="4" t="s">
        <v>22774</v>
      </c>
      <c r="B18094" s="4" t="s">
        <v>22775</v>
      </c>
      <c r="C18094" s="5" t="str">
        <f>IFERROR(__xludf.DUMMYFUNCTION("GOOGLETRANSLATE(B18094,""en"",""es-ES"")"),"El hombre está arrodillado al suelo, pero se levanta para levantar el brazo y subir a los bares para realizar su acto.")</f>
        <v>El hombre está arrodillado al suelo, pero se levanta para levantar el brazo y subir a los bares para realizar su acto.</v>
      </c>
    </row>
    <row r="18095">
      <c r="A18095" s="4" t="s">
        <v>22774</v>
      </c>
      <c r="B18095" s="4" t="s">
        <v>22776</v>
      </c>
      <c r="C18095" s="5" t="str">
        <f>IFERROR(__xludf.DUMMYFUNCTION("GOOGLETRANSLATE(B18095,""en"",""es-ES"")"),"Cuando termina, se voltea y se inclina, a continuación se muestra a una niña sentada en la silla y luego se le muestra actuando nuevamente pero en cámara lenta.")</f>
        <v>Cuando termina, se voltea y se inclina, a continuación se muestra a una niña sentada en la silla y luego se le muestra actuando nuevamente pero en cámara lenta.</v>
      </c>
    </row>
    <row r="18096">
      <c r="A18096" s="4" t="s">
        <v>22774</v>
      </c>
      <c r="B18096" s="4" t="s">
        <v>22777</v>
      </c>
      <c r="C18096" s="5" t="str">
        <f>IFERROR(__xludf.DUMMYFUNCTION("GOOGLETRANSLATE(B18096,""en"",""es-ES"")"),"A continuación, se muestra a una niña balanceándose en las barras desiguales y cuando termina, se siente y habla sobre lo que hace.")</f>
        <v>A continuación, se muestra a una niña balanceándose en las barras desiguales y cuando termina, se siente y habla sobre lo que hace.</v>
      </c>
    </row>
    <row r="18097">
      <c r="A18097" s="4" t="s">
        <v>22778</v>
      </c>
      <c r="B18097" s="4" t="s">
        <v>22779</v>
      </c>
      <c r="C18097" s="5" t="str">
        <f>IFERROR(__xludf.DUMMYFUNCTION("GOOGLETRANSLATE(B18097,""en"",""es-ES"")"),"Una dama camina por un césped.")</f>
        <v>Una dama camina por un césped.</v>
      </c>
    </row>
    <row r="18098">
      <c r="A18098" s="4" t="s">
        <v>22778</v>
      </c>
      <c r="B18098" s="4" t="s">
        <v>22780</v>
      </c>
      <c r="C18098" s="5" t="str">
        <f>IFERROR(__xludf.DUMMYFUNCTION("GOOGLETRANSLATE(B18098,""en"",""es-ES"")"),"Un chico corre y se detiene en el césped.")</f>
        <v>Un chico corre y se detiene en el césped.</v>
      </c>
    </row>
    <row r="18099">
      <c r="A18099" s="4" t="s">
        <v>22778</v>
      </c>
      <c r="B18099" s="4" t="s">
        <v>22781</v>
      </c>
      <c r="C18099" s="5" t="str">
        <f>IFERROR(__xludf.DUMMYFUNCTION("GOOGLETRANSLATE(B18099,""en"",""es-ES"")"),"Un hombre está parado en una pista.")</f>
        <v>Un hombre está parado en una pista.</v>
      </c>
    </row>
    <row r="18100">
      <c r="A18100" s="4" t="s">
        <v>22778</v>
      </c>
      <c r="B18100" s="4" t="s">
        <v>22782</v>
      </c>
      <c r="C18100" s="5" t="str">
        <f>IFERROR(__xludf.DUMMYFUNCTION("GOOGLETRANSLATE(B18100,""en"",""es-ES"")"),"El hombre corre en la pista, salta y aterriza en una caja de arena.")</f>
        <v>El hombre corre en la pista, salta y aterriza en una caja de arena.</v>
      </c>
    </row>
    <row r="18101">
      <c r="A18101" s="4" t="s">
        <v>22778</v>
      </c>
      <c r="B18101" s="4" t="s">
        <v>22783</v>
      </c>
      <c r="C18101" s="5" t="str">
        <f>IFERROR(__xludf.DUMMYFUNCTION("GOOGLETRANSLATE(B18101,""en"",""es-ES"")"),"El hombre se levanta, cae al suelo y se acuesta allí.")</f>
        <v>El hombre se levanta, cae al suelo y se acuesta allí.</v>
      </c>
    </row>
    <row r="18102">
      <c r="A18102" s="4" t="s">
        <v>22784</v>
      </c>
      <c r="B18102" s="4" t="s">
        <v>22785</v>
      </c>
      <c r="C18102" s="5" t="str">
        <f>IFERROR(__xludf.DUMMYFUNCTION("GOOGLETRANSLATE(B18102,""en"",""es-ES"")"),"Chica nosotros colgando de un poste en un gimnasio techo y saltar a la piscina terrestre.")</f>
        <v>Chica nosotros colgando de un poste en un gimnasio techo y saltar a la piscina terrestre.</v>
      </c>
    </row>
    <row r="18103">
      <c r="A18103" s="4" t="s">
        <v>22784</v>
      </c>
      <c r="B18103" s="4" t="s">
        <v>22786</v>
      </c>
      <c r="C18103" s="5" t="str">
        <f>IFERROR(__xludf.DUMMYFUNCTION("GOOGLETRANSLATE(B18103,""en"",""es-ES"")"),"Mujer que lleva una camisa roja está parada frente al poste.")</f>
        <v>Mujer que lleva una camisa roja está parada frente al poste.</v>
      </c>
    </row>
    <row r="18104">
      <c r="A18104" s="4" t="s">
        <v>22784</v>
      </c>
      <c r="B18104" s="4" t="s">
        <v>22787</v>
      </c>
      <c r="C18104" s="5" t="str">
        <f>IFERROR(__xludf.DUMMYFUNCTION("GOOGLETRANSLATE(B18104,""en"",""es-ES"")"),"La niña camina frente a la niña haciendo gimnasia.")</f>
        <v>La niña camina frente a la niña haciendo gimnasia.</v>
      </c>
    </row>
    <row r="18105">
      <c r="A18105" s="4" t="s">
        <v>22788</v>
      </c>
      <c r="B18105" s="4" t="s">
        <v>22789</v>
      </c>
      <c r="C18105" s="5" t="str">
        <f>IFERROR(__xludf.DUMMYFUNCTION("GOOGLETRANSLATE(B18105,""en"",""es-ES"")"),"Un hombre se para frente a la cámara antes de mostrarse jugando un juego de baloncesto mientras golpea a un hombre con un par de guantes de boxeo.")</f>
        <v>Un hombre se para frente a la cámara antes de mostrarse jugando un juego de baloncesto mientras golpea a un hombre con un par de guantes de boxeo.</v>
      </c>
    </row>
    <row r="18106">
      <c r="A18106" s="4" t="s">
        <v>22788</v>
      </c>
      <c r="B18106" s="4" t="s">
        <v>22790</v>
      </c>
      <c r="C18106" s="5" t="str">
        <f>IFERROR(__xludf.DUMMYFUNCTION("GOOGLETRANSLATE(B18106,""en"",""es-ES"")"),"Los dos hombres se dan la mano.")</f>
        <v>Los dos hombres se dan la mano.</v>
      </c>
    </row>
    <row r="18107">
      <c r="A18107" s="4" t="s">
        <v>22791</v>
      </c>
      <c r="B18107" s="4" t="s">
        <v>22792</v>
      </c>
      <c r="C18107" s="5" t="str">
        <f>IFERROR(__xludf.DUMMYFUNCTION("GOOGLETRANSLATE(B18107,""en"",""es-ES"")"),"Se ve a un hombre sentado en un banco sosteniendo una guitarra y hablando con la cámara.")</f>
        <v>Se ve a un hombre sentado en un banco sosteniendo una guitarra y hablando con la cámara.</v>
      </c>
    </row>
    <row r="18108">
      <c r="A18108" s="4" t="s">
        <v>22791</v>
      </c>
      <c r="B18108" s="4" t="s">
        <v>22793</v>
      </c>
      <c r="C18108" s="5" t="str">
        <f>IFERROR(__xludf.DUMMYFUNCTION("GOOGLETRANSLATE(B18108,""en"",""es-ES"")"),"Señala micrófonos frente a él y comienza a toque de la guitarra.")</f>
        <v>Señala micrófonos frente a él y comienza a toque de la guitarra.</v>
      </c>
    </row>
    <row r="18109">
      <c r="A18109" s="4" t="s">
        <v>22791</v>
      </c>
      <c r="B18109" s="4" t="s">
        <v>22794</v>
      </c>
      <c r="C18109" s="5" t="str">
        <f>IFERROR(__xludf.DUMMYFUNCTION("GOOGLETRANSLATE(B18109,""en"",""es-ES"")"),"El hombre continúa jugando mientras se mueve las manos y se detiene para mirar la cámara.")</f>
        <v>El hombre continúa jugando mientras se mueve las manos y se detiene para mirar la cámara.</v>
      </c>
    </row>
    <row r="18110">
      <c r="A18110" s="4" t="s">
        <v>22795</v>
      </c>
      <c r="B18110" s="4" t="s">
        <v>22796</v>
      </c>
      <c r="C18110" s="5" t="str">
        <f>IFERROR(__xludf.DUMMYFUNCTION("GOOGLETRANSLATE(B18110,""en"",""es-ES"")"),"Vemos personas paradas en una clase de aeróbicos.")</f>
        <v>Vemos personas paradas en una clase de aeróbicos.</v>
      </c>
    </row>
    <row r="18111">
      <c r="A18111" s="4" t="s">
        <v>22795</v>
      </c>
      <c r="B18111" s="4" t="s">
        <v>22797</v>
      </c>
      <c r="C18111" s="5" t="str">
        <f>IFERROR(__xludf.DUMMYFUNCTION("GOOGLETRANSLATE(B18111,""en"",""es-ES"")"),"El maestro comienza y la clase sigue.")</f>
        <v>El maestro comienza y la clase sigue.</v>
      </c>
    </row>
    <row r="18112">
      <c r="A18112" s="4" t="s">
        <v>22795</v>
      </c>
      <c r="B18112" s="4" t="s">
        <v>22798</v>
      </c>
      <c r="C18112" s="5" t="str">
        <f>IFERROR(__xludf.DUMMYFUNCTION("GOOGLETRANSLATE(B18112,""en"",""es-ES"")"),"Mientras está parado en el paso, la gente balancea sus manos.")</f>
        <v>Mientras está parado en el paso, la gente balancea sus manos.</v>
      </c>
    </row>
    <row r="18113">
      <c r="A18113" s="4" t="s">
        <v>22795</v>
      </c>
      <c r="B18113" s="4" t="s">
        <v>22799</v>
      </c>
      <c r="C18113" s="5" t="str">
        <f>IFERROR(__xludf.DUMMYFUNCTION("GOOGLETRANSLATE(B18113,""en"",""es-ES"")"),"La clase vuelve a colocar sus brazos.")</f>
        <v>La clase vuelve a colocar sus brazos.</v>
      </c>
    </row>
    <row r="18114">
      <c r="A18114" s="4" t="s">
        <v>22795</v>
      </c>
      <c r="B18114" s="4" t="s">
        <v>22800</v>
      </c>
      <c r="C18114" s="5" t="str">
        <f>IFERROR(__xludf.DUMMYFUNCTION("GOOGLETRANSLATE(B18114,""en"",""es-ES"")"),"El hombre de rojo se va a la izquierda.")</f>
        <v>El hombre de rojo se va a la izquierda.</v>
      </c>
    </row>
    <row r="18115">
      <c r="A18115" s="4" t="s">
        <v>22795</v>
      </c>
      <c r="B18115" s="4" t="s">
        <v>22801</v>
      </c>
      <c r="C18115" s="5" t="str">
        <f>IFERROR(__xludf.DUMMYFUNCTION("GOOGLETRANSLATE(B18115,""en"",""es-ES"")"),"La clase termina y deja de bailar.")</f>
        <v>La clase termina y deja de bailar.</v>
      </c>
    </row>
    <row r="18116">
      <c r="A18116" s="4" t="s">
        <v>22795</v>
      </c>
      <c r="B18116" s="4" t="s">
        <v>22802</v>
      </c>
      <c r="C18116" s="5" t="str">
        <f>IFERROR(__xludf.DUMMYFUNCTION("GOOGLETRANSLATE(B18116,""en"",""es-ES"")"),"El maestro camina para apagar la cámara.")</f>
        <v>El maestro camina para apagar la cámara.</v>
      </c>
    </row>
    <row r="18117">
      <c r="A18117" s="4" t="s">
        <v>22803</v>
      </c>
      <c r="B18117" s="4" t="s">
        <v>22804</v>
      </c>
      <c r="C18117" s="5" t="str">
        <f>IFERROR(__xludf.DUMMYFUNCTION("GOOGLETRANSLATE(B18117,""en"",""es-ES"")"),"Una nadadora femenina está parada en una tabla de buceo con un traje de baño negro y salta haciendo múltiples flips.")</f>
        <v>Una nadadora femenina está parada en una tabla de buceo con un traje de baño negro y salta haciendo múltiples flips.</v>
      </c>
    </row>
    <row r="18118">
      <c r="A18118" s="4" t="s">
        <v>22803</v>
      </c>
      <c r="B18118" s="4" t="s">
        <v>22805</v>
      </c>
      <c r="C18118" s="5" t="str">
        <f>IFERROR(__xludf.DUMMYFUNCTION("GOOGLETRANSLATE(B18118,""en"",""es-ES"")"),"Luego se muestra a nivel del suelo hablando y limpiándose la cara con una toalla.")</f>
        <v>Luego se muestra a nivel del suelo hablando y limpiándose la cara con una toalla.</v>
      </c>
    </row>
    <row r="18119">
      <c r="A18119" s="4" t="s">
        <v>22803</v>
      </c>
      <c r="B18119" s="4" t="s">
        <v>22806</v>
      </c>
      <c r="C18119" s="5" t="str">
        <f>IFERROR(__xludf.DUMMYFUNCTION("GOOGLETRANSLATE(B18119,""en"",""es-ES"")"),"De repente, regresa a la tabla de buceo y hace un giro loco donde sus rodillas están metidas y está haciendo varias flips y luego los hombres la aplauden y hay una repetición instantánea.")</f>
        <v>De repente, regresa a la tabla de buceo y hace un giro loco donde sus rodillas están metidas y está haciendo varias flips y luego los hombres la aplauden y hay una repetición instantánea.</v>
      </c>
    </row>
    <row r="18120">
      <c r="A18120" s="4" t="s">
        <v>22803</v>
      </c>
      <c r="B18120" s="4" t="s">
        <v>22807</v>
      </c>
      <c r="C18120" s="5" t="str">
        <f>IFERROR(__xludf.DUMMYFUNCTION("GOOGLETRANSLATE(B18120,""en"",""es-ES"")"),"La rutina continúa y la niña intenta hacer más volteretas y la gente reacciona de la misma manera y ella le asombra la mano a la boca.")</f>
        <v>La rutina continúa y la niña intenta hacer más volteretas y la gente reacciona de la misma manera y ella le asombra la mano a la boca.</v>
      </c>
    </row>
    <row r="18121">
      <c r="A18121" s="4" t="s">
        <v>22808</v>
      </c>
      <c r="B18121" s="4" t="s">
        <v>22809</v>
      </c>
      <c r="C18121" s="5" t="str">
        <f>IFERROR(__xludf.DUMMYFUNCTION("GOOGLETRANSLATE(B18121,""en"",""es-ES"")"),"Varias introducciones de texto conducen a imágenes de una niña y pintan de cerca.")</f>
        <v>Varias introducciones de texto conducen a imágenes de una niña y pintan de cerca.</v>
      </c>
    </row>
    <row r="18122">
      <c r="A18122" s="4" t="s">
        <v>22808</v>
      </c>
      <c r="B18122" s="4" t="s">
        <v>22810</v>
      </c>
      <c r="C18122" s="5" t="str">
        <f>IFERROR(__xludf.DUMMYFUNCTION("GOOGLETRANSLATE(B18122,""en"",""es-ES"")"),"Luego se ve a una persona pintando en un trozo de papel con diferentes colores.")</f>
        <v>Luego se ve a una persona pintando en un trozo de papel con diferentes colores.</v>
      </c>
    </row>
    <row r="18123">
      <c r="A18123" s="4" t="s">
        <v>22808</v>
      </c>
      <c r="B18123" s="4" t="s">
        <v>22811</v>
      </c>
      <c r="C18123" s="5" t="str">
        <f>IFERROR(__xludf.DUMMYFUNCTION("GOOGLETRANSLATE(B18123,""en"",""es-ES"")"),"La persona continúa pintando con texto que se muestra y se mezcla en la pintura.")</f>
        <v>La persona continúa pintando con texto que se muestra y se mezcla en la pintura.</v>
      </c>
    </row>
    <row r="18124">
      <c r="A18124" s="4" t="s">
        <v>22812</v>
      </c>
      <c r="B18124" s="4" t="s">
        <v>22813</v>
      </c>
      <c r="C18124" s="5" t="str">
        <f>IFERROR(__xludf.DUMMYFUNCTION("GOOGLETRANSLATE(B18124,""en"",""es-ES"")"),"El video trata sobre Bristol BMX Club celebrando un evento de bicicleta.")</f>
        <v>El video trata sobre Bristol BMX Club celebrando un evento de bicicleta.</v>
      </c>
    </row>
    <row r="18125">
      <c r="A18125" s="4" t="s">
        <v>22812</v>
      </c>
      <c r="B18125" s="4" t="s">
        <v>22814</v>
      </c>
      <c r="C18125" s="5" t="str">
        <f>IFERROR(__xludf.DUMMYFUNCTION("GOOGLETRANSLATE(B18125,""en"",""es-ES"")"),"Hay un hombre que dibuja una línea de partida blanca en el suelo para la carrera.")</f>
        <v>Hay un hombre que dibuja una línea de partida blanca en el suelo para la carrera.</v>
      </c>
    </row>
    <row r="18126">
      <c r="A18126" s="4" t="s">
        <v>22812</v>
      </c>
      <c r="B18126" s="4" t="s">
        <v>22815</v>
      </c>
      <c r="C18126" s="5" t="str">
        <f>IFERROR(__xludf.DUMMYFUNCTION("GOOGLETRANSLATE(B18126,""en"",""es-ES"")"),"Los ciclistas se preparan para comenzar su carrera.")</f>
        <v>Los ciclistas se preparan para comenzar su carrera.</v>
      </c>
    </row>
    <row r="18127">
      <c r="A18127" s="4" t="s">
        <v>22812</v>
      </c>
      <c r="B18127" s="4" t="s">
        <v>22816</v>
      </c>
      <c r="C18127" s="5" t="str">
        <f>IFERROR(__xludf.DUMMYFUNCTION("GOOGLETRANSLATE(B18127,""en"",""es-ES"")"),"Comienzan la carrera y pasan por rampas y golpes.")</f>
        <v>Comienzan la carrera y pasan por rampas y golpes.</v>
      </c>
    </row>
    <row r="18128">
      <c r="A18128" s="4" t="s">
        <v>22812</v>
      </c>
      <c r="B18128" s="4" t="s">
        <v>22817</v>
      </c>
      <c r="C18128" s="5" t="str">
        <f>IFERROR(__xludf.DUMMYFUNCTION("GOOGLETRANSLATE(B18128,""en"",""es-ES"")"),"Los ciclistas son de varios grupos de edad que van desde adolescentes hasta adultos.")</f>
        <v>Los ciclistas son de varios grupos de edad que van desde adolescentes hasta adultos.</v>
      </c>
    </row>
    <row r="18129">
      <c r="A18129" s="4" t="s">
        <v>22812</v>
      </c>
      <c r="B18129" s="4" t="s">
        <v>22818</v>
      </c>
      <c r="C18129" s="5" t="str">
        <f>IFERROR(__xludf.DUMMYFUNCTION("GOOGLETRANSLATE(B18129,""en"",""es-ES"")"),"Las carreras continúan mientras los ciclistas se abren camino a través del curso de obstáculos de pasar rampas y baches.")</f>
        <v>Las carreras continúan mientras los ciclistas se abren camino a través del curso de obstáculos de pasar rampas y baches.</v>
      </c>
    </row>
    <row r="18130">
      <c r="A18130" s="4" t="s">
        <v>22819</v>
      </c>
      <c r="B18130" s="4" t="s">
        <v>22820</v>
      </c>
      <c r="C18130" s="5" t="str">
        <f>IFERROR(__xludf.DUMMYFUNCTION("GOOGLETRANSLATE(B18130,""en"",""es-ES"")"),"Un par de luchadores de sumo están en un escenario.")</f>
        <v>Un par de luchadores de sumo están en un escenario.</v>
      </c>
    </row>
    <row r="18131">
      <c r="A18131" s="4" t="s">
        <v>22819</v>
      </c>
      <c r="B18131" s="4" t="s">
        <v>22821</v>
      </c>
      <c r="C18131" s="5" t="str">
        <f>IFERROR(__xludf.DUMMYFUNCTION("GOOGLETRANSLATE(B18131,""en"",""es-ES"")"),"Se involucran en un combate de lucha juntos.")</f>
        <v>Se involucran en un combate de lucha juntos.</v>
      </c>
    </row>
    <row r="18132">
      <c r="A18132" s="4" t="s">
        <v>22819</v>
      </c>
      <c r="B18132" s="4" t="s">
        <v>22822</v>
      </c>
      <c r="C18132" s="5" t="str">
        <f>IFERROR(__xludf.DUMMYFUNCTION("GOOGLETRANSLATE(B18132,""en"",""es-ES"")"),"Aparece un letrero por favor aparece cuando se encuentran problemas técnicos.")</f>
        <v>Aparece un letrero por favor aparece cuando se encuentran problemas técnicos.</v>
      </c>
    </row>
    <row r="18133">
      <c r="A18133" s="4" t="s">
        <v>22823</v>
      </c>
      <c r="B18133" s="4" t="s">
        <v>22824</v>
      </c>
      <c r="C18133" s="5" t="str">
        <f>IFERROR(__xludf.DUMMYFUNCTION("GOOGLETRANSLATE(B18133,""en"",""es-ES"")"),"Se muestra una pantalla blanca y se muestran varios logotipos en la parte superior de la pantalla a medida que llega a una pantalla negra.")</f>
        <v>Se muestra una pantalla blanca y se muestran varios logotipos en la parte superior de la pantalla a medida que llega a una pantalla negra.</v>
      </c>
    </row>
    <row r="18134">
      <c r="A18134" s="4" t="s">
        <v>22823</v>
      </c>
      <c r="B18134" s="4" t="s">
        <v>22825</v>
      </c>
      <c r="C18134" s="5" t="str">
        <f>IFERROR(__xludf.DUMMYFUNCTION("GOOGLETRANSLATE(B18134,""en"",""es-ES"")"),"Se está levantando un sol y los hombres suben una colina, tiran de una cuerda y leen un libro.")</f>
        <v>Se está levantando un sol y los hombres suben una colina, tiran de una cuerda y leen un libro.</v>
      </c>
    </row>
    <row r="18135">
      <c r="A18135" s="4" t="s">
        <v>22823</v>
      </c>
      <c r="B18135" s="4" t="s">
        <v>22826</v>
      </c>
      <c r="C18135" s="5" t="str">
        <f>IFERROR(__xludf.DUMMYFUNCTION("GOOGLETRANSLATE(B18135,""en"",""es-ES"")"),"Continúan haciendo varios pasatiempos en las montañas y un hombre regresa y comienza a hablar a medida que los créditos comienzan a rodar.")</f>
        <v>Continúan haciendo varios pasatiempos en las montañas y un hombre regresa y comienza a hablar a medida que los créditos comienzan a rodar.</v>
      </c>
    </row>
    <row r="18136">
      <c r="A18136" s="4" t="s">
        <v>22827</v>
      </c>
      <c r="B18136" s="4" t="s">
        <v>22828</v>
      </c>
      <c r="C18136" s="5" t="str">
        <f>IFERROR(__xludf.DUMMYFUNCTION("GOOGLETRANSLATE(B18136,""en"",""es-ES"")"),"Una niña está afuera en el parque hablando con lo que parece ser su hermano mayor.")</f>
        <v>Una niña está afuera en el parque hablando con lo que parece ser su hermano mayor.</v>
      </c>
    </row>
    <row r="18137">
      <c r="A18137" s="4" t="s">
        <v>22827</v>
      </c>
      <c r="B18137" s="4" t="s">
        <v>22829</v>
      </c>
      <c r="C18137" s="5" t="str">
        <f>IFERROR(__xludf.DUMMYFUNCTION("GOOGLETRANSLATE(B18137,""en"",""es-ES"")"),"Los dos comienzan una cara y bajan a la acera dibujando un largo juego de rayos de lomo.")</f>
        <v>Los dos comienzan una cara y bajan a la acera dibujando un largo juego de rayos de lomo.</v>
      </c>
    </row>
    <row r="18138">
      <c r="A18138" s="4" t="s">
        <v>22827</v>
      </c>
      <c r="B18138" s="4" t="s">
        <v>22830</v>
      </c>
      <c r="C18138" s="5" t="str">
        <f>IFERROR(__xludf.DUMMYFUNCTION("GOOGLETRANSLATE(B18138,""en"",""es-ES"")"),"Una vez completos, se ponen de pie, arrojan su tiza y la niña se mueve hacia la derecha del juego.")</f>
        <v>Una vez completos, se ponen de pie, arrojan su tiza y la niña se mueve hacia la derecha del juego.</v>
      </c>
    </row>
    <row r="18139">
      <c r="A18139" s="4" t="s">
        <v>22827</v>
      </c>
      <c r="B18139" s="4" t="s">
        <v>22831</v>
      </c>
      <c r="C18139" s="5" t="str">
        <f>IFERROR(__xludf.DUMMYFUNCTION("GOOGLETRANSLATE(B18139,""en"",""es-ES"")"),"El niño comienza el juego y la niña comienza su turno avanzando hacia adelante y hacia atrás por el juego.")</f>
        <v>El niño comienza el juego y la niña comienza su turno avanzando hacia adelante y hacia atrás por el juego.</v>
      </c>
    </row>
    <row r="18140">
      <c r="A18140" s="4" t="s">
        <v>22827</v>
      </c>
      <c r="B18140" s="4" t="s">
        <v>22832</v>
      </c>
      <c r="C18140" s="5" t="str">
        <f>IFERROR(__xludf.DUMMYFUNCTION("GOOGLETRANSLATE(B18140,""en"",""es-ES"")"),"Para mostrarla, el niño comienza a bailar a través del pavimento y la niña lo devuelve volteando el juego.")</f>
        <v>Para mostrarla, el niño comienza a bailar a través del pavimento y la niña lo devuelve volteando el juego.</v>
      </c>
    </row>
    <row r="18141">
      <c r="A18141" s="4" t="s">
        <v>22827</v>
      </c>
      <c r="B18141" s="4" t="s">
        <v>22833</v>
      </c>
      <c r="C18141" s="5" t="str">
        <f>IFERROR(__xludf.DUMMYFUNCTION("GOOGLETRANSLATE(B18141,""en"",""es-ES"")"),"Ahora es el turno del niño y trata de voltear, pero termina cayendo y la niña comienza a reírse de él.")</f>
        <v>Ahora es el turno del niño y trata de voltear, pero termina cayendo y la niña comienza a reírse de él.</v>
      </c>
    </row>
    <row r="18142">
      <c r="A18142" s="4" t="s">
        <v>22827</v>
      </c>
      <c r="B18142" s="4" t="s">
        <v>22834</v>
      </c>
      <c r="C18142" s="5" t="str">
        <f>IFERROR(__xludf.DUMMYFUNCTION("GOOGLETRANSLATE(B18142,""en"",""es-ES"")"),"La joven gana y el niño le da su Xbox como resultado.")</f>
        <v>La joven gana y el niño le da su Xbox como resultado.</v>
      </c>
    </row>
    <row r="18143">
      <c r="A18143" s="4" t="s">
        <v>22835</v>
      </c>
      <c r="B18143" s="4" t="s">
        <v>22836</v>
      </c>
      <c r="C18143" s="5" t="str">
        <f>IFERROR(__xludf.DUMMYFUNCTION("GOOGLETRANSLATE(B18143,""en"",""es-ES"")"),"Un hombre vestido de negro toca un saxofón en un patio de la piscina.")</f>
        <v>Un hombre vestido de negro toca un saxofón en un patio de la piscina.</v>
      </c>
    </row>
    <row r="18144">
      <c r="A18144" s="4" t="s">
        <v>22835</v>
      </c>
      <c r="B18144" s="4" t="s">
        <v>22837</v>
      </c>
      <c r="C18144" s="5" t="str">
        <f>IFERROR(__xludf.DUMMYFUNCTION("GOOGLETRANSLATE(B18144,""en"",""es-ES"")"),"El jugador de saxofón mira a su tecladista.")</f>
        <v>El jugador de saxofón mira a su tecladista.</v>
      </c>
    </row>
    <row r="18145">
      <c r="A18145" s="4" t="s">
        <v>22835</v>
      </c>
      <c r="B18145" s="4" t="s">
        <v>22838</v>
      </c>
      <c r="C18145" s="5" t="str">
        <f>IFERROR(__xludf.DUMMYFUNCTION("GOOGLETRANSLATE(B18145,""en"",""es-ES"")"),"La cámara se dirige al tecladista que juega un piano eléctrico Korg.")</f>
        <v>La cámara se dirige al tecladista que juega un piano eléctrico Korg.</v>
      </c>
    </row>
    <row r="18146">
      <c r="A18146" s="4" t="s">
        <v>22839</v>
      </c>
      <c r="B18146" s="4" t="s">
        <v>22840</v>
      </c>
      <c r="C18146" s="5" t="str">
        <f>IFERROR(__xludf.DUMMYFUNCTION("GOOGLETRANSLATE(B18146,""en"",""es-ES"")"),"La señora habla con la cámara.")</f>
        <v>La señora habla con la cámara.</v>
      </c>
    </row>
    <row r="18147">
      <c r="A18147" s="4" t="s">
        <v>22839</v>
      </c>
      <c r="B18147" s="4" t="s">
        <v>22841</v>
      </c>
      <c r="C18147" s="5" t="str">
        <f>IFERROR(__xludf.DUMMYFUNCTION("GOOGLETRANSLATE(B18147,""en"",""es-ES"")"),"Luego vemos una olla.")</f>
        <v>Luego vemos una olla.</v>
      </c>
    </row>
    <row r="18148">
      <c r="A18148" s="4" t="s">
        <v>22839</v>
      </c>
      <c r="B18148" s="4" t="s">
        <v>22842</v>
      </c>
      <c r="C18148" s="5" t="str">
        <f>IFERROR(__xludf.DUMMYFUNCTION("GOOGLETRANSLATE(B18148,""en"",""es-ES"")"),"Vemos espagueti en una caja.")</f>
        <v>Vemos espagueti en una caja.</v>
      </c>
    </row>
    <row r="18149">
      <c r="A18149" s="4" t="s">
        <v>22839</v>
      </c>
      <c r="B18149" s="4" t="s">
        <v>22843</v>
      </c>
      <c r="C18149" s="5" t="str">
        <f>IFERROR(__xludf.DUMMYFUNCTION("GOOGLETRANSLATE(B18149,""en"",""es-ES"")"),"Vemos sal en una taza.")</f>
        <v>Vemos sal en una taza.</v>
      </c>
    </row>
    <row r="18150">
      <c r="A18150" s="4" t="s">
        <v>22839</v>
      </c>
      <c r="B18150" s="4" t="s">
        <v>22844</v>
      </c>
      <c r="C18150" s="5" t="str">
        <f>IFERROR(__xludf.DUMMYFUNCTION("GOOGLETRANSLATE(B18150,""en"",""es-ES"")"),"El agua está hirviendo en el bot.")</f>
        <v>El agua está hirviendo en el bot.</v>
      </c>
    </row>
    <row r="18151">
      <c r="A18151" s="4" t="s">
        <v>22839</v>
      </c>
      <c r="B18151" s="4" t="s">
        <v>22845</v>
      </c>
      <c r="C18151" s="5" t="str">
        <f>IFERROR(__xludf.DUMMYFUNCTION("GOOGLETRANSLATE(B18151,""en"",""es-ES"")"),"Ella agrega sal a la olla.")</f>
        <v>Ella agrega sal a la olla.</v>
      </c>
    </row>
    <row r="18152">
      <c r="A18152" s="4" t="s">
        <v>22839</v>
      </c>
      <c r="B18152" s="4" t="s">
        <v>22846</v>
      </c>
      <c r="C18152" s="5" t="str">
        <f>IFERROR(__xludf.DUMMYFUNCTION("GOOGLETRANSLATE(B18152,""en"",""es-ES"")"),"Ella agrega pasta al agua.")</f>
        <v>Ella agrega pasta al agua.</v>
      </c>
    </row>
    <row r="18153">
      <c r="A18153" s="4" t="s">
        <v>22839</v>
      </c>
      <c r="B18153" s="4" t="s">
        <v>22847</v>
      </c>
      <c r="C18153" s="5" t="str">
        <f>IFERROR(__xludf.DUMMYFUNCTION("GOOGLETRANSLATE(B18153,""en"",""es-ES"")"),"Vemos de cerca la caja de pasta.")</f>
        <v>Vemos de cerca la caja de pasta.</v>
      </c>
    </row>
    <row r="18154">
      <c r="A18154" s="4" t="s">
        <v>22839</v>
      </c>
      <c r="B18154" s="4" t="s">
        <v>22848</v>
      </c>
      <c r="C18154" s="5" t="str">
        <f>IFERROR(__xludf.DUMMYFUNCTION("GOOGLETRANSLATE(B18154,""en"",""es-ES"")"),"Vemos a la señora establecer el temporizador.")</f>
        <v>Vemos a la señora establecer el temporizador.</v>
      </c>
    </row>
    <row r="18155">
      <c r="A18155" s="4" t="s">
        <v>22839</v>
      </c>
      <c r="B18155" s="4" t="s">
        <v>22849</v>
      </c>
      <c r="C18155" s="5" t="str">
        <f>IFERROR(__xludf.DUMMYFUNCTION("GOOGLETRANSLATE(B18155,""en"",""es-ES"")"),"Ella saca la pasta de la olla.")</f>
        <v>Ella saca la pasta de la olla.</v>
      </c>
    </row>
    <row r="18156">
      <c r="A18156" s="4" t="s">
        <v>22839</v>
      </c>
      <c r="B18156" s="4" t="s">
        <v>22850</v>
      </c>
      <c r="C18156" s="5" t="str">
        <f>IFERROR(__xludf.DUMMYFUNCTION("GOOGLETRANSLATE(B18156,""en"",""es-ES"")"),"Ella habla y saluda a la cámara.")</f>
        <v>Ella habla y saluda a la cámara.</v>
      </c>
    </row>
    <row r="18157">
      <c r="A18157" s="4" t="s">
        <v>22851</v>
      </c>
      <c r="B18157" s="4" t="s">
        <v>22852</v>
      </c>
      <c r="C18157" s="5" t="str">
        <f>IFERROR(__xludf.DUMMYFUNCTION("GOOGLETRANSLATE(B18157,""en"",""es-ES"")"),"Un hombre y una mujer son vistos de pie en medio de un piso con una mujer hablando con la cámara y que la lleva a bailar con el hombre.")</f>
        <v>Un hombre y una mujer son vistos de pie en medio de un piso con una mujer hablando con la cámara y que la lleva a bailar con el hombre.</v>
      </c>
    </row>
    <row r="18158">
      <c r="A18158" s="4" t="s">
        <v>22851</v>
      </c>
      <c r="B18158" s="4" t="s">
        <v>22853</v>
      </c>
      <c r="C18158" s="5" t="str">
        <f>IFERROR(__xludf.DUMMYFUNCTION("GOOGLETRANSLATE(B18158,""en"",""es-ES"")"),"Los dos giran y bailan uno alrededor del otro y terminan alejándose el uno del otro.")</f>
        <v>Los dos giran y bailan uno alrededor del otro y terminan alejándose el uno del otro.</v>
      </c>
    </row>
    <row r="18159">
      <c r="A18159" s="4" t="s">
        <v>22854</v>
      </c>
      <c r="B18159" s="4" t="s">
        <v>22855</v>
      </c>
      <c r="C18159" s="5" t="str">
        <f>IFERROR(__xludf.DUMMYFUNCTION("GOOGLETRANSLATE(B18159,""en"",""es-ES"")"),"Se ve a un hombre hablando con la cámara mientras está de pie junto a un automóvil con un baúl abierto.")</f>
        <v>Se ve a un hombre hablando con la cámara mientras está de pie junto a un automóvil con un baúl abierto.</v>
      </c>
    </row>
    <row r="18160">
      <c r="A18160" s="4" t="s">
        <v>22854</v>
      </c>
      <c r="B18160" s="4" t="s">
        <v>22856</v>
      </c>
      <c r="C18160" s="5" t="str">
        <f>IFERROR(__xludf.DUMMYFUNCTION("GOOGLETRANSLATE(B18160,""en"",""es-ES"")"),"El hombre luego desenrosca un neumático y levanta el auto con un gato.")</f>
        <v>El hombre luego desenrosca un neumático y levanta el auto con un gato.</v>
      </c>
    </row>
    <row r="18161">
      <c r="A18161" s="4" t="s">
        <v>22854</v>
      </c>
      <c r="B18161" s="4" t="s">
        <v>22857</v>
      </c>
      <c r="C18161" s="5" t="str">
        <f>IFERROR(__xludf.DUMMYFUNCTION("GOOGLETRANSLATE(B18161,""en"",""es-ES"")"),"El hombre se quita el neumático y pone una nueva, terminando atornillándola en su lugar.")</f>
        <v>El hombre se quita el neumático y pone una nueva, terminando atornillándola en su lugar.</v>
      </c>
    </row>
    <row r="18162">
      <c r="A18162" s="4" t="s">
        <v>22854</v>
      </c>
      <c r="B18162" s="4" t="s">
        <v>22858</v>
      </c>
      <c r="C18162" s="5" t="str">
        <f>IFERROR(__xludf.DUMMYFUNCTION("GOOGLETRANSLATE(B18162,""en"",""es-ES"")"),"Se quita el gato y termina hablando con la cámara.")</f>
        <v>Se quita el gato y termina hablando con la cámara.</v>
      </c>
    </row>
    <row r="18163">
      <c r="A18163" s="4" t="s">
        <v>22859</v>
      </c>
      <c r="B18163" s="4" t="s">
        <v>22860</v>
      </c>
      <c r="C18163" s="5" t="str">
        <f>IFERROR(__xludf.DUMMYFUNCTION("GOOGLETRANSLATE(B18163,""en"",""es-ES"")"),"Se muestra una bicicleta en una habitación oscura.")</f>
        <v>Se muestra una bicicleta en una habitación oscura.</v>
      </c>
    </row>
    <row r="18164">
      <c r="A18164" s="4" t="s">
        <v>22859</v>
      </c>
      <c r="B18164" s="4" t="s">
        <v>22861</v>
      </c>
      <c r="C18164" s="5" t="str">
        <f>IFERROR(__xludf.DUMMYFUNCTION("GOOGLETRANSLATE(B18164,""en"",""es-ES"")"),"El hombre lleva ropa Motobike y está montando una moto en un campo.")</f>
        <v>El hombre lleva ropa Motobike y está montando una moto en un campo.</v>
      </c>
    </row>
    <row r="18165">
      <c r="A18165" s="4" t="s">
        <v>22859</v>
      </c>
      <c r="B18165" s="4" t="s">
        <v>22862</v>
      </c>
      <c r="C18165" s="5" t="str">
        <f>IFERROR(__xludf.DUMMYFUNCTION("GOOGLETRANSLATE(B18165,""en"",""es-ES"")"),"El hombre está haciendo saltos de altura en la motocicleta practicante de motocross en un campo polvoriento.")</f>
        <v>El hombre está haciendo saltos de altura en la motocicleta practicante de motocross en un campo polvoriento.</v>
      </c>
    </row>
    <row r="18166">
      <c r="A18166" s="4" t="s">
        <v>22863</v>
      </c>
      <c r="B18166" s="4" t="s">
        <v>22864</v>
      </c>
      <c r="C18166" s="5" t="str">
        <f>IFERROR(__xludf.DUMMYFUNCTION("GOOGLETRANSLATE(B18166,""en"",""es-ES"")"),"Se muestra un gran grupo de banderas.")</f>
        <v>Se muestra un gran grupo de banderas.</v>
      </c>
    </row>
    <row r="18167">
      <c r="A18167" s="4" t="s">
        <v>22863</v>
      </c>
      <c r="B18167" s="4" t="s">
        <v>22865</v>
      </c>
      <c r="C18167" s="5" t="str">
        <f>IFERROR(__xludf.DUMMYFUNCTION("GOOGLETRANSLATE(B18167,""en"",""es-ES"")"),"Varios nadadores están nadando en la piscina.")</f>
        <v>Varios nadadores están nadando en la piscina.</v>
      </c>
    </row>
    <row r="18168">
      <c r="A18168" s="4" t="s">
        <v>22863</v>
      </c>
      <c r="B18168" s="4" t="s">
        <v>22866</v>
      </c>
      <c r="C18168" s="5" t="str">
        <f>IFERROR(__xludf.DUMMYFUNCTION("GOOGLETRANSLATE(B18168,""en"",""es-ES"")"),"Nadan de manera competitiva, que se muestra desde abajo.")</f>
        <v>Nadan de manera competitiva, que se muestra desde abajo.</v>
      </c>
    </row>
    <row r="18169">
      <c r="A18169" s="4" t="s">
        <v>22867</v>
      </c>
      <c r="B18169" s="4" t="s">
        <v>22868</v>
      </c>
      <c r="C18169" s="5" t="str">
        <f>IFERROR(__xludf.DUMMYFUNCTION("GOOGLETRANSLATE(B18169,""en"",""es-ES"")"),"A un hombre se muestra rápidamente rastrillando hojas en su patio delantero.")</f>
        <v>A un hombre se muestra rápidamente rastrillando hojas en su patio delantero.</v>
      </c>
    </row>
    <row r="18170">
      <c r="A18170" s="4" t="s">
        <v>22867</v>
      </c>
      <c r="B18170" s="4" t="s">
        <v>22869</v>
      </c>
      <c r="C18170" s="5" t="str">
        <f>IFERROR(__xludf.DUMMYFUNCTION("GOOGLETRANSLATE(B18170,""en"",""es-ES"")"),"Varios autos pasan mientras continúa rastrillando.")</f>
        <v>Varios autos pasan mientras continúa rastrillando.</v>
      </c>
    </row>
    <row r="18171">
      <c r="A18171" s="4" t="s">
        <v>22867</v>
      </c>
      <c r="B18171" s="4" t="s">
        <v>22870</v>
      </c>
      <c r="C18171" s="5" t="str">
        <f>IFERROR(__xludf.DUMMYFUNCTION("GOOGLETRANSLATE(B18171,""en"",""es-ES"")"),"Rasta los arbustos y el árbol en su patio.")</f>
        <v>Rasta los arbustos y el árbol en su patio.</v>
      </c>
    </row>
    <row r="18172">
      <c r="A18172" s="4" t="s">
        <v>22867</v>
      </c>
      <c r="B18172" s="4" t="s">
        <v>22871</v>
      </c>
      <c r="C18172" s="5" t="str">
        <f>IFERROR(__xludf.DUMMYFUNCTION("GOOGLETRANSLATE(B18172,""en"",""es-ES"")"),"Aparece una mujer y lo ayuda a rastrillar y empacar las hojas.")</f>
        <v>Aparece una mujer y lo ayuda a rastrillar y empacar las hojas.</v>
      </c>
    </row>
    <row r="18173">
      <c r="A18173" s="4" t="s">
        <v>22867</v>
      </c>
      <c r="B18173" s="4" t="s">
        <v>22872</v>
      </c>
      <c r="C18173" s="5" t="str">
        <f>IFERROR(__xludf.DUMMYFUNCTION("GOOGLETRANSLATE(B18173,""en"",""es-ES"")"),"Quitan las bolsas cuando terminan.")</f>
        <v>Quitan las bolsas cuando terminan.</v>
      </c>
    </row>
    <row r="18174">
      <c r="A18174" s="4" t="s">
        <v>22867</v>
      </c>
      <c r="B18174" s="4" t="s">
        <v>22873</v>
      </c>
      <c r="C18174" s="5" t="str">
        <f>IFERROR(__xludf.DUMMYFUNCTION("GOOGLETRANSLATE(B18174,""en"",""es-ES"")"),"Se paran frente a la cámara y posan con el rastrillo.")</f>
        <v>Se paran frente a la cámara y posan con el rastrillo.</v>
      </c>
    </row>
    <row r="18175">
      <c r="A18175" s="4" t="s">
        <v>22874</v>
      </c>
      <c r="B18175" s="4" t="s">
        <v>22875</v>
      </c>
      <c r="C18175" s="5" t="str">
        <f>IFERROR(__xludf.DUMMYFUNCTION("GOOGLETRANSLATE(B18175,""en"",""es-ES"")"),"Una persona camina en un patio mientras lo graba con una cámara.")</f>
        <v>Una persona camina en un patio mientras lo graba con una cámara.</v>
      </c>
    </row>
    <row r="18176">
      <c r="A18176" s="4" t="s">
        <v>22874</v>
      </c>
      <c r="B18176" s="4" t="s">
        <v>22876</v>
      </c>
      <c r="C18176" s="5" t="str">
        <f>IFERROR(__xludf.DUMMYFUNCTION("GOOGLETRANSLATE(B18176,""en"",""es-ES"")"),"La persona recibe una bandeja de pintura blanca y pinta una cerca.")</f>
        <v>La persona recibe una bandeja de pintura blanca y pinta una cerca.</v>
      </c>
    </row>
    <row r="18177">
      <c r="A18177" s="4" t="s">
        <v>22877</v>
      </c>
      <c r="B18177" s="4" t="s">
        <v>22878</v>
      </c>
      <c r="C18177" s="5" t="str">
        <f>IFERROR(__xludf.DUMMYFUNCTION("GOOGLETRANSLATE(B18177,""en"",""es-ES"")"),"Un hombre habla con la cámara desde una cocina.")</f>
        <v>Un hombre habla con la cámara desde una cocina.</v>
      </c>
    </row>
    <row r="18178">
      <c r="A18178" s="4" t="s">
        <v>22877</v>
      </c>
      <c r="B18178" s="4" t="s">
        <v>22879</v>
      </c>
      <c r="C18178" s="5" t="str">
        <f>IFERROR(__xludf.DUMMYFUNCTION("GOOGLETRANSLATE(B18178,""en"",""es-ES"")"),"El hombre demuestra afilar un cuchillo con varias herramientas de afilado.")</f>
        <v>El hombre demuestra afilar un cuchillo con varias herramientas de afilado.</v>
      </c>
    </row>
    <row r="18179">
      <c r="A18179" s="4" t="s">
        <v>22877</v>
      </c>
      <c r="B18179" s="4" t="s">
        <v>22880</v>
      </c>
      <c r="C18179" s="5" t="str">
        <f>IFERROR(__xludf.DUMMYFUNCTION("GOOGLETRANSLATE(B18179,""en"",""es-ES"")"),"El hombre vuelve a hablar con la cámara.")</f>
        <v>El hombre vuelve a hablar con la cámara.</v>
      </c>
    </row>
    <row r="18180">
      <c r="A18180" s="4" t="s">
        <v>22877</v>
      </c>
      <c r="B18180" s="4" t="s">
        <v>22881</v>
      </c>
      <c r="C18180" s="5" t="str">
        <f>IFERROR(__xludf.DUMMYFUNCTION("GOOGLETRANSLATE(B18180,""en"",""es-ES"")"),"El hombre agudiza y luego levanta un cuchillo.")</f>
        <v>El hombre agudiza y luego levanta un cuchillo.</v>
      </c>
    </row>
    <row r="18181">
      <c r="A18181" s="4" t="s">
        <v>22877</v>
      </c>
      <c r="B18181" s="4" t="s">
        <v>22882</v>
      </c>
      <c r="C18181" s="5" t="str">
        <f>IFERROR(__xludf.DUMMYFUNCTION("GOOGLETRANSLATE(B18181,""en"",""es-ES"")"),"Se muestran varios tipos de opciones de almacenamiento de cuchillos.")</f>
        <v>Se muestran varios tipos de opciones de almacenamiento de cuchillos.</v>
      </c>
    </row>
    <row r="18182">
      <c r="A18182" s="4" t="s">
        <v>22877</v>
      </c>
      <c r="B18182" s="4" t="s">
        <v>22883</v>
      </c>
      <c r="C18182" s="5" t="str">
        <f>IFERROR(__xludf.DUMMYFUNCTION("GOOGLETRANSLATE(B18182,""en"",""es-ES"")"),"El hombre habla un poco más con la cámara.")</f>
        <v>El hombre habla un poco más con la cámara.</v>
      </c>
    </row>
    <row r="18183">
      <c r="A18183" s="4" t="s">
        <v>22884</v>
      </c>
      <c r="B18183" s="4" t="s">
        <v>22885</v>
      </c>
      <c r="C18183" s="5" t="str">
        <f>IFERROR(__xludf.DUMMYFUNCTION("GOOGLETRANSLATE(B18183,""en"",""es-ES"")"),"Vemos una pantalla de apertura con un perro.")</f>
        <v>Vemos una pantalla de apertura con un perro.</v>
      </c>
    </row>
    <row r="18184">
      <c r="A18184" s="4" t="s">
        <v>22884</v>
      </c>
      <c r="B18184" s="4" t="s">
        <v>22886</v>
      </c>
      <c r="C18184" s="5" t="str">
        <f>IFERROR(__xludf.DUMMYFUNCTION("GOOGLETRANSLATE(B18184,""en"",""es-ES"")"),"Vemos a una dama con una camisa de enfermera hablando y dos perros en una cocina.")</f>
        <v>Vemos a una dama con una camisa de enfermera hablando y dos perros en una cocina.</v>
      </c>
    </row>
    <row r="18185">
      <c r="A18185" s="4" t="s">
        <v>22884</v>
      </c>
      <c r="B18185" s="4" t="s">
        <v>22887</v>
      </c>
      <c r="C18185" s="5" t="str">
        <f>IFERROR(__xludf.DUMMYFUNCTION("GOOGLETRANSLATE(B18185,""en"",""es-ES"")"),"La señora tiene un pequeño perro húmedo que aspira sobre la mesa y está cepillando al perro.")</f>
        <v>La señora tiene un pequeño perro húmedo que aspira sobre la mesa y está cepillando al perro.</v>
      </c>
    </row>
    <row r="18186">
      <c r="A18186" s="4" t="s">
        <v>22884</v>
      </c>
      <c r="B18186" s="4" t="s">
        <v>22888</v>
      </c>
      <c r="C18186" s="5" t="str">
        <f>IFERROR(__xludf.DUMMYFUNCTION("GOOGLETRANSLATE(B18186,""en"",""es-ES"")"),"Vemos a los perros corriendo por el piso de la cocina.")</f>
        <v>Vemos a los perros corriendo por el piso de la cocina.</v>
      </c>
    </row>
    <row r="18187">
      <c r="A18187" s="4" t="s">
        <v>22884</v>
      </c>
      <c r="B18187" s="4" t="s">
        <v>22889</v>
      </c>
      <c r="C18187" s="5" t="str">
        <f>IFERROR(__xludf.DUMMYFUNCTION("GOOGLETRANSLATE(B18187,""en"",""es-ES"")"),"Vemos a la dama afeitar un pelaje de perros y cepillar al perro.")</f>
        <v>Vemos a la dama afeitar un pelaje de perros y cepillar al perro.</v>
      </c>
    </row>
    <row r="18188">
      <c r="A18188" s="4" t="s">
        <v>22884</v>
      </c>
      <c r="B18188" s="4" t="s">
        <v>22890</v>
      </c>
      <c r="C18188" s="5" t="str">
        <f>IFERROR(__xludf.DUMMYFUNCTION("GOOGLETRANSLATE(B18188,""en"",""es-ES"")"),"Luego vemos a los perros en el suelo de nuevo.")</f>
        <v>Luego vemos a los perros en el suelo de nuevo.</v>
      </c>
    </row>
    <row r="18189">
      <c r="A18189" s="4" t="s">
        <v>22884</v>
      </c>
      <c r="B18189" s="4" t="s">
        <v>22891</v>
      </c>
      <c r="C18189" s="5" t="str">
        <f>IFERROR(__xludf.DUMMYFUNCTION("GOOGLETRANSLATE(B18189,""en"",""es-ES"")"),"Vemos a la dama y su información de contacto sobre su rostro.")</f>
        <v>Vemos a la dama y su información de contacto sobre su rostro.</v>
      </c>
    </row>
    <row r="18190">
      <c r="A18190" s="4" t="s">
        <v>22892</v>
      </c>
      <c r="B18190" s="4" t="s">
        <v>22893</v>
      </c>
      <c r="C18190" s="5" t="str">
        <f>IFERROR(__xludf.DUMMYFUNCTION("GOOGLETRANSLATE(B18190,""en"",""es-ES"")"),"Aparece un anuncio para el fútbol en la pantalla.")</f>
        <v>Aparece un anuncio para el fútbol en la pantalla.</v>
      </c>
    </row>
    <row r="18191">
      <c r="A18191" s="4" t="s">
        <v>22892</v>
      </c>
      <c r="B18191" s="4" t="s">
        <v>22894</v>
      </c>
      <c r="C18191" s="5" t="str">
        <f>IFERROR(__xludf.DUMMYFUNCTION("GOOGLETRANSLATE(B18191,""en"",""es-ES"")"),"Varios hombres juegan al fútbol en el interior.")</f>
        <v>Varios hombres juegan al fútbol en el interior.</v>
      </c>
    </row>
    <row r="18192">
      <c r="A18192" s="4" t="s">
        <v>22892</v>
      </c>
      <c r="B18192" s="4" t="s">
        <v>22895</v>
      </c>
      <c r="C18192" s="5" t="str">
        <f>IFERROR(__xludf.DUMMYFUNCTION("GOOGLETRANSLATE(B18192,""en"",""es-ES"")"),"Patan la pelota de un lado a otro mientras algunas personas miran al margen.")</f>
        <v>Patan la pelota de un lado a otro mientras algunas personas miran al margen.</v>
      </c>
    </row>
    <row r="18193">
      <c r="A18193" s="4" t="s">
        <v>22896</v>
      </c>
      <c r="B18193" s="4" t="s">
        <v>22897</v>
      </c>
      <c r="C18193" s="5" t="str">
        <f>IFERROR(__xludf.DUMMYFUNCTION("GOOGLETRANSLATE(B18193,""en"",""es-ES"")"),"Un jugador de béisbol llega a una carrera en un campo deportivo y corre las bases haciendo un jonrón.")</f>
        <v>Un jugador de béisbol llega a una carrera en un campo deportivo y corre las bases haciendo un jonrón.</v>
      </c>
    </row>
    <row r="18194">
      <c r="A18194" s="4" t="s">
        <v>22896</v>
      </c>
      <c r="B18194" s="4" t="s">
        <v>22898</v>
      </c>
      <c r="C18194" s="5" t="str">
        <f>IFERROR(__xludf.DUMMYFUNCTION("GOOGLETRANSLATE(B18194,""en"",""es-ES"")"),"Los jugadores patean una pelota y corren las bases en un campo de béisbol.")</f>
        <v>Los jugadores patean una pelota y corren las bases en un campo de béisbol.</v>
      </c>
    </row>
    <row r="18195">
      <c r="A18195" s="4" t="s">
        <v>22896</v>
      </c>
      <c r="B18195" s="4" t="s">
        <v>22899</v>
      </c>
      <c r="C18195" s="5" t="str">
        <f>IFERROR(__xludf.DUMMYFUNCTION("GOOGLETRANSLATE(B18195,""en"",""es-ES"")"),"El receptor se divierte mientras baila.")</f>
        <v>El receptor se divierte mientras baila.</v>
      </c>
    </row>
    <row r="18196">
      <c r="A18196" s="4" t="s">
        <v>22896</v>
      </c>
      <c r="B18196" s="4" t="s">
        <v>22900</v>
      </c>
      <c r="C18196" s="5" t="str">
        <f>IFERROR(__xludf.DUMMYFUNCTION("GOOGLETRANSLATE(B18196,""en"",""es-ES"")"),"El base atrapa una patada en el aire y el jugador está fuera.")</f>
        <v>El base atrapa una patada en el aire y el jugador está fuera.</v>
      </c>
    </row>
    <row r="18197">
      <c r="A18197" s="4" t="s">
        <v>22901</v>
      </c>
      <c r="B18197" s="4" t="s">
        <v>22902</v>
      </c>
      <c r="C18197" s="5" t="str">
        <f>IFERROR(__xludf.DUMMYFUNCTION("GOOGLETRANSLATE(B18197,""en"",""es-ES"")"),"Una persona está montando una cortadora de césped con un paraguas a través de la lluvia.")</f>
        <v>Una persona está montando una cortadora de césped con un paraguas a través de la lluvia.</v>
      </c>
    </row>
    <row r="18198">
      <c r="A18198" s="4" t="s">
        <v>22901</v>
      </c>
      <c r="B18198" s="4" t="s">
        <v>22903</v>
      </c>
      <c r="C18198" s="5" t="str">
        <f>IFERROR(__xludf.DUMMYFUNCTION("GOOGLETRANSLATE(B18198,""en"",""es-ES"")"),"Un sedán de color claro pasa en el camino.")</f>
        <v>Un sedán de color claro pasa en el camino.</v>
      </c>
    </row>
    <row r="18199">
      <c r="A18199" s="4" t="s">
        <v>22901</v>
      </c>
      <c r="B18199" s="4" t="s">
        <v>22904</v>
      </c>
      <c r="C18199" s="5" t="str">
        <f>IFERROR(__xludf.DUMMYFUNCTION("GOOGLETRANSLATE(B18199,""en"",""es-ES"")"),"La persona en el cortacésped conduce hacia la carretera.")</f>
        <v>La persona en el cortacésped conduce hacia la carretera.</v>
      </c>
    </row>
    <row r="18200">
      <c r="A18200" s="4" t="s">
        <v>22905</v>
      </c>
      <c r="B18200" s="4" t="s">
        <v>22906</v>
      </c>
      <c r="C18200" s="5" t="str">
        <f>IFERROR(__xludf.DUMMYFUNCTION("GOOGLETRANSLATE(B18200,""en"",""es-ES"")"),"Se ve a un niño pequeño sentado en un columpio.")</f>
        <v>Se ve a un niño pequeño sentado en un columpio.</v>
      </c>
    </row>
    <row r="18201">
      <c r="A18201" s="4" t="s">
        <v>22905</v>
      </c>
      <c r="B18201" s="4" t="s">
        <v>22907</v>
      </c>
      <c r="C18201" s="5" t="str">
        <f>IFERROR(__xludf.DUMMYFUNCTION("GOOGLETRANSLATE(B18201,""en"",""es-ES"")"),"El niño se mueve hacia atrás y el cuarto en el columpio mientras se ríe.")</f>
        <v>El niño se mueve hacia atrás y el cuarto en el columpio mientras se ríe.</v>
      </c>
    </row>
    <row r="18202">
      <c r="A18202" s="4" t="s">
        <v>22905</v>
      </c>
      <c r="B18202" s="4" t="s">
        <v>22908</v>
      </c>
      <c r="C18202" s="5" t="str">
        <f>IFERROR(__xludf.DUMMYFUNCTION("GOOGLETRANSLATE(B18202,""en"",""es-ES"")"),"Se ve a la mano de una persona empujando al niño mientras se mueve hacia atrás y cuarto.")</f>
        <v>Se ve a la mano de una persona empujando al niño mientras se mueve hacia atrás y cuarto.</v>
      </c>
    </row>
    <row r="18203">
      <c r="A18203" s="4" t="s">
        <v>22909</v>
      </c>
      <c r="B18203" s="4" t="s">
        <v>22910</v>
      </c>
      <c r="C18203" s="5" t="str">
        <f>IFERROR(__xludf.DUMMYFUNCTION("GOOGLETRANSLATE(B18203,""en"",""es-ES"")"),"Una dama se está limpiando la cara.")</f>
        <v>Una dama se está limpiando la cara.</v>
      </c>
    </row>
    <row r="18204">
      <c r="A18204" s="4" t="s">
        <v>22909</v>
      </c>
      <c r="B18204" s="4" t="s">
        <v>22911</v>
      </c>
      <c r="C18204" s="5" t="str">
        <f>IFERROR(__xludf.DUMMYFUNCTION("GOOGLETRANSLATE(B18204,""en"",""es-ES"")"),"Una niña le está aplicando maquillaje a la cara.")</f>
        <v>Una niña le está aplicando maquillaje a la cara.</v>
      </c>
    </row>
    <row r="18205">
      <c r="A18205" s="4" t="s">
        <v>22909</v>
      </c>
      <c r="B18205" s="4" t="s">
        <v>22912</v>
      </c>
      <c r="C18205" s="5" t="str">
        <f>IFERROR(__xludf.DUMMYFUNCTION("GOOGLETRANSLATE(B18205,""en"",""es-ES"")"),"La madre hace las chicas que maquilla.")</f>
        <v>La madre hace las chicas que maquilla.</v>
      </c>
    </row>
    <row r="18206">
      <c r="A18206" s="4" t="s">
        <v>22909</v>
      </c>
      <c r="B18206" s="4" t="s">
        <v>22913</v>
      </c>
      <c r="C18206" s="5" t="str">
        <f>IFERROR(__xludf.DUMMYFUNCTION("GOOGLETRANSLATE(B18206,""en"",""es-ES"")"),"Las chicas admiran su reflejo.")</f>
        <v>Las chicas admiran su reflejo.</v>
      </c>
    </row>
    <row r="18207">
      <c r="A18207" s="4" t="s">
        <v>22909</v>
      </c>
      <c r="B18207" s="4" t="s">
        <v>22914</v>
      </c>
      <c r="C18207" s="5" t="str">
        <f>IFERROR(__xludf.DUMMYFUNCTION("GOOGLETRANSLATE(B18207,""en"",""es-ES"")"),"La niña agarra su cepillo de dientes.")</f>
        <v>La niña agarra su cepillo de dientes.</v>
      </c>
    </row>
    <row r="18208">
      <c r="A18208" s="4" t="s">
        <v>22915</v>
      </c>
      <c r="B18208" s="4" t="s">
        <v>22916</v>
      </c>
      <c r="C18208" s="5" t="str">
        <f>IFERROR(__xludf.DUMMYFUNCTION("GOOGLETRANSLATE(B18208,""en"",""es-ES"")"),"Un hombre con gafas de esquí ajusta la cámara.")</f>
        <v>Un hombre con gafas de esquí ajusta la cámara.</v>
      </c>
    </row>
    <row r="18209">
      <c r="A18209" s="4" t="s">
        <v>22915</v>
      </c>
      <c r="B18209" s="4" t="s">
        <v>22917</v>
      </c>
      <c r="C18209" s="5" t="str">
        <f>IFERROR(__xludf.DUMMYFUNCTION("GOOGLETRANSLATE(B18209,""en"",""es-ES"")"),"Varias personas se ven esquiando por una pendiente empinada.")</f>
        <v>Varias personas se ven esquiando por una pendiente empinada.</v>
      </c>
    </row>
    <row r="18210">
      <c r="A18210" s="4" t="s">
        <v>22915</v>
      </c>
      <c r="B18210" s="4" t="s">
        <v>22918</v>
      </c>
      <c r="C18210" s="5" t="str">
        <f>IFERROR(__xludf.DUMMYFUNCTION("GOOGLETRANSLATE(B18210,""en"",""es-ES"")"),"Continúan esquiando cada vez más rápido a medida que van cuesta abajo.")</f>
        <v>Continúan esquiando cada vez más rápido a medida que van cuesta abajo.</v>
      </c>
    </row>
    <row r="18211">
      <c r="A18211" s="4" t="s">
        <v>22919</v>
      </c>
      <c r="B18211" s="4" t="s">
        <v>22920</v>
      </c>
      <c r="C18211" s="5" t="str">
        <f>IFERROR(__xludf.DUMMYFUNCTION("GOOGLETRANSLATE(B18211,""en"",""es-ES"")"),"La mujer está posicionada para despegar en la pista de carreras y el hombre se aleja para que ella se vaya.")</f>
        <v>La mujer está posicionada para despegar en la pista de carreras y el hombre se aleja para que ella se vaya.</v>
      </c>
    </row>
    <row r="18212">
      <c r="A18212" s="4" t="s">
        <v>22919</v>
      </c>
      <c r="B18212" s="4" t="s">
        <v>22921</v>
      </c>
      <c r="C18212" s="5" t="str">
        <f>IFERROR(__xludf.DUMMYFUNCTION("GOOGLETRANSLATE(B18212,""en"",""es-ES"")"),"Luego se acelera y salta triple a la arena, lo que lo convierte en el final de la regla de 16 pulgadas.")</f>
        <v>Luego se acelera y salta triple a la arena, lo que lo convierte en el final de la regla de 16 pulgadas.</v>
      </c>
    </row>
    <row r="18213">
      <c r="A18213" s="4" t="s">
        <v>22919</v>
      </c>
      <c r="B18213" s="4" t="s">
        <v>22922</v>
      </c>
      <c r="C18213" s="5" t="str">
        <f>IFERROR(__xludf.DUMMYFUNCTION("GOOGLETRANSLATE(B18213,""en"",""es-ES"")"),"Luego se le muestra parado fuera de la pista sonriendo con los brazos levantados en el aire lleno de alegría.")</f>
        <v>Luego se le muestra parado fuera de la pista sonriendo con los brazos levantados en el aire lleno de alegría.</v>
      </c>
    </row>
    <row r="18214">
      <c r="A18214" s="4" t="s">
        <v>22923</v>
      </c>
      <c r="B18214" s="4" t="s">
        <v>22924</v>
      </c>
      <c r="C18214" s="5" t="str">
        <f>IFERROR(__xludf.DUMMYFUNCTION("GOOGLETRANSLATE(B18214,""en"",""es-ES"")"),"La gente está esquiando en puertas entre ellos.")</f>
        <v>La gente está esquiando en puertas entre ellos.</v>
      </c>
    </row>
    <row r="18215">
      <c r="A18215" s="4" t="s">
        <v>22923</v>
      </c>
      <c r="B18215" s="4" t="s">
        <v>22925</v>
      </c>
      <c r="C18215" s="5" t="str">
        <f>IFERROR(__xludf.DUMMYFUNCTION("GOOGLETRANSLATE(B18215,""en"",""es-ES"")"),"Se presiona un botón en una máquina.")</f>
        <v>Se presiona un botón en una máquina.</v>
      </c>
    </row>
    <row r="18216">
      <c r="A18216" s="4" t="s">
        <v>22923</v>
      </c>
      <c r="B18216" s="4" t="s">
        <v>22926</v>
      </c>
      <c r="C18216" s="5" t="str">
        <f>IFERROR(__xludf.DUMMYFUNCTION("GOOGLETRANSLATE(B18216,""en"",""es-ES"")"),"La gente entra a una cabaña.")</f>
        <v>La gente entra a una cabaña.</v>
      </c>
    </row>
    <row r="18217">
      <c r="A18217" s="4" t="s">
        <v>22923</v>
      </c>
      <c r="B18217" s="4" t="s">
        <v>22927</v>
      </c>
      <c r="C18217" s="5" t="str">
        <f>IFERROR(__xludf.DUMMYFUNCTION("GOOGLETRANSLATE(B18217,""en"",""es-ES"")"),"Una persona se está probando con los esquís.")</f>
        <v>Una persona se está probando con los esquís.</v>
      </c>
    </row>
    <row r="18218">
      <c r="A18218" s="4" t="s">
        <v>22923</v>
      </c>
      <c r="B18218" s="4" t="s">
        <v>22928</v>
      </c>
      <c r="C18218" s="5" t="str">
        <f>IFERROR(__xludf.DUMMYFUNCTION("GOOGLETRANSLATE(B18218,""en"",""es-ES"")"),"Otras personas practican esquí en un cinturón de motor.")</f>
        <v>Otras personas practican esquí en un cinturón de motor.</v>
      </c>
    </row>
    <row r="18219">
      <c r="A18219" s="4" t="s">
        <v>22929</v>
      </c>
      <c r="B18219" s="4" t="s">
        <v>22930</v>
      </c>
      <c r="C18219" s="5" t="str">
        <f>IFERROR(__xludf.DUMMYFUNCTION("GOOGLETRANSLATE(B18219,""en"",""es-ES"")"),"Los hombres se paran en una plataforma de acero en lo alto del área y un instructor habla.")</f>
        <v>Los hombres se paran en una plataforma de acero en lo alto del área y un instructor habla.</v>
      </c>
    </row>
    <row r="18220">
      <c r="A18220" s="4" t="s">
        <v>22929</v>
      </c>
      <c r="B18220" s="4" t="s">
        <v>22931</v>
      </c>
      <c r="C18220" s="5" t="str">
        <f>IFERROR(__xludf.DUMMYFUNCTION("GOOGLETRANSLATE(B18220,""en"",""es-ES"")"),"Un hombre está sentado en el borde de la plataforma y se aferra a grandes cuerdas.")</f>
        <v>Un hombre está sentado en el borde de la plataforma y se aferra a grandes cuerdas.</v>
      </c>
    </row>
    <row r="18221">
      <c r="A18221" s="4" t="s">
        <v>22929</v>
      </c>
      <c r="B18221" s="4" t="s">
        <v>22932</v>
      </c>
      <c r="C18221" s="5" t="str">
        <f>IFERROR(__xludf.DUMMYFUNCTION("GOOGLETRANSLATE(B18221,""en"",""es-ES"")"),"Un patrón corre y salta de la plataforma con un cordón de pergas y él lo rebota cuando llega al fondo.")</f>
        <v>Un patrón corre y salta de la plataforma con un cordón de pergas y él lo rebota cuando llega al fondo.</v>
      </c>
    </row>
    <row r="18222">
      <c r="A18222" s="4" t="s">
        <v>22933</v>
      </c>
      <c r="B18222" s="4" t="s">
        <v>22934</v>
      </c>
      <c r="C18222" s="5" t="str">
        <f>IFERROR(__xludf.DUMMYFUNCTION("GOOGLETRANSLATE(B18222,""en"",""es-ES"")"),"Vemos un bote saliendo del muelle.")</f>
        <v>Vemos un bote saliendo del muelle.</v>
      </c>
    </row>
    <row r="18223">
      <c r="A18223" s="4" t="s">
        <v>22933</v>
      </c>
      <c r="B18223" s="4" t="s">
        <v>22935</v>
      </c>
      <c r="C18223" s="5" t="str">
        <f>IFERROR(__xludf.DUMMYFUNCTION("GOOGLETRANSLATE(B18223,""en"",""es-ES"")"),"Vemos el bote conduciendo como una persona con motos de agua detrás de él.")</f>
        <v>Vemos el bote conduciendo como una persona con motos de agua detrás de él.</v>
      </c>
    </row>
    <row r="18224">
      <c r="A18224" s="4" t="s">
        <v>22933</v>
      </c>
      <c r="B18224" s="4" t="s">
        <v>22936</v>
      </c>
      <c r="C18224" s="5" t="str">
        <f>IFERROR(__xludf.DUMMYFUNCTION("GOOGLETRANSLATE(B18224,""en"",""es-ES"")"),"Vemos al esquiador sin el bote.")</f>
        <v>Vemos al esquiador sin el bote.</v>
      </c>
    </row>
    <row r="18225">
      <c r="A18225" s="4" t="s">
        <v>22933</v>
      </c>
      <c r="B18225" s="4" t="s">
        <v>22937</v>
      </c>
      <c r="C18225" s="5" t="str">
        <f>IFERROR(__xludf.DUMMYFUNCTION("GOOGLETRANSLATE(B18225,""en"",""es-ES"")"),"Vemos el bote desde arriba de nuevo.")</f>
        <v>Vemos el bote desde arriba de nuevo.</v>
      </c>
    </row>
    <row r="18226">
      <c r="A18226" s="4" t="s">
        <v>22933</v>
      </c>
      <c r="B18226" s="4" t="s">
        <v>22938</v>
      </c>
      <c r="C18226" s="5" t="str">
        <f>IFERROR(__xludf.DUMMYFUNCTION("GOOGLETRANSLATE(B18226,""en"",""es-ES"")"),"El esquiador cae en el agua.")</f>
        <v>El esquiador cae en el agua.</v>
      </c>
    </row>
    <row r="18227">
      <c r="A18227" s="4" t="s">
        <v>22933</v>
      </c>
      <c r="B18227" s="4" t="s">
        <v>22939</v>
      </c>
      <c r="C18227" s="5" t="str">
        <f>IFERROR(__xludf.DUMMYFUNCTION("GOOGLETRANSLATE(B18227,""en"",""es-ES"")"),"Vemos el esquiador esquí y realizar 4 flips.")</f>
        <v>Vemos el esquiador esquí y realizar 4 flips.</v>
      </c>
    </row>
    <row r="18228">
      <c r="A18228" s="4" t="s">
        <v>22933</v>
      </c>
      <c r="B18228" s="4" t="s">
        <v>22940</v>
      </c>
      <c r="C18228" s="5" t="str">
        <f>IFERROR(__xludf.DUMMYFUNCTION("GOOGLETRANSLATE(B18228,""en"",""es-ES"")"),"Vemos el esquiador esquí.")</f>
        <v>Vemos el esquiador esquí.</v>
      </c>
    </row>
    <row r="18229">
      <c r="A18229" s="4" t="s">
        <v>22933</v>
      </c>
      <c r="B18229" s="4" t="s">
        <v>22941</v>
      </c>
      <c r="C18229" s="5" t="str">
        <f>IFERROR(__xludf.DUMMYFUNCTION("GOOGLETRANSLATE(B18229,""en"",""es-ES"")"),"Vemos al esquiador nadar hacia el bote.")</f>
        <v>Vemos al esquiador nadar hacia el bote.</v>
      </c>
    </row>
    <row r="18230">
      <c r="A18230" s="4" t="s">
        <v>22933</v>
      </c>
      <c r="B18230" s="4" t="s">
        <v>22942</v>
      </c>
      <c r="C18230" s="5" t="str">
        <f>IFERROR(__xludf.DUMMYFUNCTION("GOOGLETRANSLATE(B18230,""en"",""es-ES"")"),"Una persona en el bote levanta las manos en el aire.")</f>
        <v>Una persona en el bote levanta las manos en el aire.</v>
      </c>
    </row>
    <row r="18231">
      <c r="A18231" s="4" t="s">
        <v>22943</v>
      </c>
      <c r="B18231" s="4" t="s">
        <v>22944</v>
      </c>
      <c r="C18231" s="5" t="str">
        <f>IFERROR(__xludf.DUMMYFUNCTION("GOOGLETRANSLATE(B18231,""en"",""es-ES"")"),"The Man in Black Shirt está tocando la guitarra en el estudio.")</f>
        <v>The Man in Black Shirt está tocando la guitarra en el estudio.</v>
      </c>
    </row>
    <row r="18232">
      <c r="A18232" s="4" t="s">
        <v>22943</v>
      </c>
      <c r="B18232" s="4" t="s">
        <v>22945</v>
      </c>
      <c r="C18232" s="5" t="str">
        <f>IFERROR(__xludf.DUMMYFUNCTION("GOOGLETRANSLATE(B18232,""en"",""es-ES"")"),"El hombre está rasgueando la guitarra.")</f>
        <v>El hombre está rasgueando la guitarra.</v>
      </c>
    </row>
    <row r="18233">
      <c r="A18233" s="4" t="s">
        <v>22943</v>
      </c>
      <c r="B18233" s="4" t="s">
        <v>22946</v>
      </c>
      <c r="C18233" s="5" t="str">
        <f>IFERROR(__xludf.DUMMYFUNCTION("GOOGLETRANSLATE(B18233,""en"",""es-ES"")"),"El hombre está presionando el hilo en las teclas de guitarra mientras rasgue la guitarra.")</f>
        <v>El hombre está presionando el hilo en las teclas de guitarra mientras rasgue la guitarra.</v>
      </c>
    </row>
    <row r="18234">
      <c r="A18234" s="4" t="s">
        <v>22947</v>
      </c>
      <c r="B18234" s="4" t="s">
        <v>22948</v>
      </c>
      <c r="C18234" s="5" t="str">
        <f>IFERROR(__xludf.DUMMYFUNCTION("GOOGLETRANSLATE(B18234,""en"",""es-ES"")"),"Una persona cocina en una olla de madera, luego una persona balsas en un río.")</f>
        <v>Una persona cocina en una olla de madera, luego una persona balsas en un río.</v>
      </c>
    </row>
    <row r="18235">
      <c r="A18235" s="4" t="s">
        <v>22947</v>
      </c>
      <c r="B18235" s="4" t="s">
        <v>22949</v>
      </c>
      <c r="C18235" s="5" t="str">
        <f>IFERROR(__xludf.DUMMYFUNCTION("GOOGLETRANSLATE(B18235,""en"",""es-ES"")"),"Los jóvenes desempaquetan un automóvil y luego llevan botes de balsa en la jungla y pasan un puente de cuerda.")</f>
        <v>Los jóvenes desempaquetan un automóvil y luego llevan botes de balsa en la jungla y pasan un puente de cuerda.</v>
      </c>
    </row>
    <row r="18236">
      <c r="A18236" s="4" t="s">
        <v>22947</v>
      </c>
      <c r="B18236" s="4" t="s">
        <v>22950</v>
      </c>
      <c r="C18236" s="5" t="str">
        <f>IFERROR(__xludf.DUMMYFUNCTION("GOOGLETRANSLATE(B18236,""en"",""es-ES"")"),"Hombres jóvenes balsa en un río estrecho en bucle individual.")</f>
        <v>Hombres jóvenes balsa en un río estrecho en bucle individual.</v>
      </c>
    </row>
    <row r="18237">
      <c r="A18237" s="4" t="s">
        <v>22947</v>
      </c>
      <c r="B18237" s="4" t="s">
        <v>22951</v>
      </c>
      <c r="C18237" s="5" t="str">
        <f>IFERROR(__xludf.DUMMYFUNCTION("GOOGLETRANSLATE(B18237,""en"",""es-ES"")"),"Los jóvenes caen de pequeñas cascadas en el río Rocky.")</f>
        <v>Los jóvenes caen de pequeñas cascadas en el río Rocky.</v>
      </c>
    </row>
    <row r="18238">
      <c r="A18238" s="4" t="s">
        <v>22952</v>
      </c>
      <c r="B18238" s="4" t="s">
        <v>22953</v>
      </c>
      <c r="C18238" s="5" t="str">
        <f>IFERROR(__xludf.DUMMYFUNCTION("GOOGLETRANSLATE(B18238,""en"",""es-ES"")"),"Una mujer se inclina en una pose de ballet.")</f>
        <v>Una mujer se inclina en una pose de ballet.</v>
      </c>
    </row>
    <row r="18239">
      <c r="A18239" s="4" t="s">
        <v>22952</v>
      </c>
      <c r="B18239" s="4" t="s">
        <v>22954</v>
      </c>
      <c r="C18239" s="5" t="str">
        <f>IFERROR(__xludf.DUMMYFUNCTION("GOOGLETRANSLATE(B18239,""en"",""es-ES"")"),"Luego se enfrenta a la cámara hablando.")</f>
        <v>Luego se enfrenta a la cámara hablando.</v>
      </c>
    </row>
    <row r="18240">
      <c r="A18240" s="4" t="s">
        <v>22952</v>
      </c>
      <c r="B18240" s="4" t="s">
        <v>22955</v>
      </c>
      <c r="C18240" s="5" t="str">
        <f>IFERROR(__xludf.DUMMYFUNCTION("GOOGLETRANSLATE(B18240,""en"",""es-ES"")"),"Ella muestra más movimientos de ballet.")</f>
        <v>Ella muestra más movimientos de ballet.</v>
      </c>
    </row>
    <row r="18241">
      <c r="A18241" s="4" t="s">
        <v>22952</v>
      </c>
      <c r="B18241" s="4" t="s">
        <v>22956</v>
      </c>
      <c r="C18241" s="5" t="str">
        <f>IFERROR(__xludf.DUMMYFUNCTION("GOOGLETRANSLATE(B18241,""en"",""es-ES"")"),"Ella termina con la quinta posición baja.")</f>
        <v>Ella termina con la quinta posición baja.</v>
      </c>
    </row>
    <row r="18242">
      <c r="A18242" s="4" t="s">
        <v>22957</v>
      </c>
      <c r="B18242" s="4" t="s">
        <v>22958</v>
      </c>
      <c r="C18242" s="5" t="str">
        <f>IFERROR(__xludf.DUMMYFUNCTION("GOOGLETRANSLATE(B18242,""en"",""es-ES"")"),"Se muestran varios pares de zapatos, así como un gran grupo de personas socializando y vertiendo alcohol en vasos.")</f>
        <v>Se muestran varios pares de zapatos, así como un gran grupo de personas socializando y vertiendo alcohol en vasos.</v>
      </c>
    </row>
    <row r="18243">
      <c r="A18243" s="4" t="s">
        <v>22957</v>
      </c>
      <c r="B18243" s="4" t="s">
        <v>22959</v>
      </c>
      <c r="C18243" s="5" t="str">
        <f>IFERROR(__xludf.DUMMYFUNCTION("GOOGLETRANSLATE(B18243,""en"",""es-ES"")"),"Las gafas se colocan en una mesa y se muestran varias personas de personas que juegan con cerveza pong.")</f>
        <v>Las gafas se colocan en una mesa y se muestran varias personas de personas que juegan con cerveza pong.</v>
      </c>
    </row>
    <row r="18244">
      <c r="A18244" s="4" t="s">
        <v>22957</v>
      </c>
      <c r="B18244" s="4" t="s">
        <v>22960</v>
      </c>
      <c r="C18244" s="5" t="str">
        <f>IFERROR(__xludf.DUMMYFUNCTION("GOOGLETRANSLATE(B18244,""en"",""es-ES"")"),"Se muestran más tomas de personas que hablan entre sí, además de jugar a Beer Pong en varios lugares y festejarse entre sí.")</f>
        <v>Se muestran más tomas de personas que hablan entre sí, además de jugar a Beer Pong en varios lugares y festejarse entre sí.</v>
      </c>
    </row>
    <row r="18245">
      <c r="A18245" s="4" t="s">
        <v>22957</v>
      </c>
      <c r="B18245" s="4" t="s">
        <v>22961</v>
      </c>
      <c r="C18245" s="5" t="str">
        <f>IFERROR(__xludf.DUMMYFUNCTION("GOOGLETRANSLATE(B18245,""en"",""es-ES"")"),"Al final se entregan medallas y la gente las usa mientras celebra en diferentes lugares.")</f>
        <v>Al final se entregan medallas y la gente las usa mientras celebra en diferentes lugares.</v>
      </c>
    </row>
    <row r="18246">
      <c r="A18246" s="4" t="s">
        <v>22962</v>
      </c>
      <c r="B18246" s="4" t="s">
        <v>22963</v>
      </c>
      <c r="C18246" s="5" t="str">
        <f>IFERROR(__xludf.DUMMYFUNCTION("GOOGLETRANSLATE(B18246,""en"",""es-ES"")"),"Hay varios nadadores parados en el tablero de buceo más alto de una piscina.")</f>
        <v>Hay varios nadadores parados en el tablero de buceo más alto de una piscina.</v>
      </c>
    </row>
    <row r="18247">
      <c r="A18247" s="4" t="s">
        <v>22962</v>
      </c>
      <c r="B18247" s="4" t="s">
        <v>22964</v>
      </c>
      <c r="C18247" s="5" t="str">
        <f>IFERROR(__xludf.DUMMYFUNCTION("GOOGLETRANSLATE(B18247,""en"",""es-ES"")"),"Los buzos se están preparando para sumergirse en la piscina.")</f>
        <v>Los buzos se están preparando para sumergirse en la piscina.</v>
      </c>
    </row>
    <row r="18248">
      <c r="A18248" s="4" t="s">
        <v>22962</v>
      </c>
      <c r="B18248" s="4" t="s">
        <v>22965</v>
      </c>
      <c r="C18248" s="5" t="str">
        <f>IFERROR(__xludf.DUMMYFUNCTION("GOOGLETRANSLATE(B18248,""en"",""es-ES"")"),"Uno de los buzos se sumerge y salta a la piscina desde una gran altura.")</f>
        <v>Uno de los buzos se sumerge y salta a la piscina desde una gran altura.</v>
      </c>
    </row>
    <row r="18249">
      <c r="A18249" s="4" t="s">
        <v>22966</v>
      </c>
      <c r="B18249" s="4" t="s">
        <v>22967</v>
      </c>
      <c r="C18249" s="5" t="str">
        <f>IFERROR(__xludf.DUMMYFUNCTION("GOOGLETRANSLATE(B18249,""en"",""es-ES"")"),"Un hombre en un delantal rojo está hablando.")</f>
        <v>Un hombre en un delantal rojo está hablando.</v>
      </c>
    </row>
    <row r="18250">
      <c r="A18250" s="4" t="s">
        <v>22966</v>
      </c>
      <c r="B18250" s="4" t="s">
        <v>22968</v>
      </c>
      <c r="C18250" s="5" t="str">
        <f>IFERROR(__xludf.DUMMYFUNCTION("GOOGLETRANSLATE(B18250,""en"",""es-ES"")"),"Él está frotando algo en un tablero y planchándolo.")</f>
        <v>Él está frotando algo en un tablero y planchándolo.</v>
      </c>
    </row>
    <row r="18251">
      <c r="A18251" s="4" t="s">
        <v>22966</v>
      </c>
      <c r="B18251" s="4" t="s">
        <v>22969</v>
      </c>
      <c r="C18251" s="5" t="str">
        <f>IFERROR(__xludf.DUMMYFUNCTION("GOOGLETRANSLATE(B18251,""en"",""es-ES"")"),"Está raspando la parte superior del tablero que planchó.")</f>
        <v>Está raspando la parte superior del tablero que planchó.</v>
      </c>
    </row>
    <row r="18252">
      <c r="A18252" s="4" t="s">
        <v>22970</v>
      </c>
      <c r="B18252" s="4" t="s">
        <v>22971</v>
      </c>
      <c r="C18252" s="5" t="str">
        <f>IFERROR(__xludf.DUMMYFUNCTION("GOOGLETRANSLATE(B18252,""en"",""es-ES"")"),"Se ve a una mujer montando en un camello detrás de otro hombre en un camello.")</f>
        <v>Se ve a una mujer montando en un camello detrás de otro hombre en un camello.</v>
      </c>
    </row>
    <row r="18253">
      <c r="A18253" s="4" t="s">
        <v>22970</v>
      </c>
      <c r="B18253" s="4" t="s">
        <v>22972</v>
      </c>
      <c r="C18253" s="5" t="str">
        <f>IFERROR(__xludf.DUMMYFUNCTION("GOOGLETRANSLATE(B18253,""en"",""es-ES"")"),"Ella mira hacia atrás y sonríe a la cámara mientras se mueve alrededor del área.")</f>
        <v>Ella mira hacia atrás y sonríe a la cámara mientras se mueve alrededor del área.</v>
      </c>
    </row>
    <row r="18254">
      <c r="A18254" s="4" t="s">
        <v>22970</v>
      </c>
      <c r="B18254" s="4" t="s">
        <v>22973</v>
      </c>
      <c r="C18254" s="5" t="str">
        <f>IFERROR(__xludf.DUMMYFUNCTION("GOOGLETRANSLATE(B18254,""en"",""es-ES"")"),"Se ve a otra persona cabalgando desde atrás mientras la gente se aferran a los camellos.")</f>
        <v>Se ve a otra persona cabalgando desde atrás mientras la gente se aferran a los camellos.</v>
      </c>
    </row>
    <row r="18255">
      <c r="A18255" s="4" t="s">
        <v>22974</v>
      </c>
      <c r="B18255" s="4" t="s">
        <v>22975</v>
      </c>
      <c r="C18255" s="5" t="str">
        <f>IFERROR(__xludf.DUMMYFUNCTION("GOOGLETRANSLATE(B18255,""en"",""es-ES"")"),"Dos mujeres en un niño se muestran en una canoa mientras un hombre tira de la canoa mientras está de pie en el agua, con otras personas visibles en el fondo.")</f>
        <v>Dos mujeres en un niño se muestran en una canoa mientras un hombre tira de la canoa mientras está de pie en el agua, con otras personas visibles en el fondo.</v>
      </c>
    </row>
    <row r="18256">
      <c r="A18256" s="4" t="s">
        <v>22974</v>
      </c>
      <c r="B18256" s="4" t="s">
        <v>22976</v>
      </c>
      <c r="C18256" s="5" t="str">
        <f>IFERROR(__xludf.DUMMYFUNCTION("GOOGLETRANSLATE(B18256,""en"",""es-ES"")"),"El niño y un hombre diferente se sientan en una canoa mientras el hombre remaba.")</f>
        <v>El niño y un hombre diferente se sientan en una canoa mientras el hombre remaba.</v>
      </c>
    </row>
    <row r="18257">
      <c r="A18257" s="4" t="s">
        <v>22974</v>
      </c>
      <c r="B18257" s="4" t="s">
        <v>22977</v>
      </c>
      <c r="C18257" s="5" t="str">
        <f>IFERROR(__xludf.DUMMYFUNCTION("GOOGLETRANSLATE(B18257,""en"",""es-ES"")"),"La cámara se maneja para mostrar al primer hombre en primer plano.")</f>
        <v>La cámara se maneja para mostrar al primer hombre en primer plano.</v>
      </c>
    </row>
    <row r="18258">
      <c r="A18258" s="4" t="s">
        <v>22974</v>
      </c>
      <c r="B18258" s="4" t="s">
        <v>22978</v>
      </c>
      <c r="C18258" s="5" t="str">
        <f>IFERROR(__xludf.DUMMYFUNCTION("GOOGLETRANSLATE(B18258,""en"",""es-ES"")"),"El niño y el primer hombre están en una canoa, mientras que el primer hombre remula.")</f>
        <v>El niño y el primer hombre están en una canoa, mientras que el primer hombre remula.</v>
      </c>
    </row>
    <row r="18259">
      <c r="A18259" s="4" t="s">
        <v>22974</v>
      </c>
      <c r="B18259" s="4" t="s">
        <v>22979</v>
      </c>
      <c r="C18259" s="5" t="str">
        <f>IFERROR(__xludf.DUMMYFUNCTION("GOOGLETRANSLATE(B18259,""en"",""es-ES"")"),"Se muestra una serie de imágenes fijas de las diversas personas que se muestran durante el video.")</f>
        <v>Se muestra una serie de imágenes fijas de las diversas personas que se muestran durante el video.</v>
      </c>
    </row>
    <row r="18260">
      <c r="A18260" s="4" t="s">
        <v>22980</v>
      </c>
      <c r="B18260" s="4" t="s">
        <v>22981</v>
      </c>
      <c r="C18260" s="5" t="str">
        <f>IFERROR(__xludf.DUMMYFUNCTION("GOOGLETRANSLATE(B18260,""en"",""es-ES"")"),"Una persona roda en la hierba después de una caída y se levanta para unirse a un juego de lacrosse.")</f>
        <v>Una persona roda en la hierba después de una caída y se levanta para unirse a un juego de lacrosse.</v>
      </c>
    </row>
    <row r="18261">
      <c r="A18261" s="4" t="s">
        <v>22980</v>
      </c>
      <c r="B18261" s="4" t="s">
        <v>22982</v>
      </c>
      <c r="C18261" s="5" t="str">
        <f>IFERROR(__xludf.DUMMYFUNCTION("GOOGLETRANSLATE(B18261,""en"",""es-ES"")"),"Vemos equipo en la hierba y un hombre hablando con la cámara.")</f>
        <v>Vemos equipo en la hierba y un hombre hablando con la cámara.</v>
      </c>
    </row>
    <row r="18262">
      <c r="A18262" s="4" t="s">
        <v>22980</v>
      </c>
      <c r="B18262" s="4" t="s">
        <v>22983</v>
      </c>
      <c r="C18262" s="5" t="str">
        <f>IFERROR(__xludf.DUMMYFUNCTION("GOOGLETRANSLATE(B18262,""en"",""es-ES"")"),"Los hombres juegan lacrosse y las damas animan a un lado.")</f>
        <v>Los hombres juegan lacrosse y las damas animan a un lado.</v>
      </c>
    </row>
    <row r="18263">
      <c r="A18263" s="4" t="s">
        <v>22980</v>
      </c>
      <c r="B18263" s="4" t="s">
        <v>22984</v>
      </c>
      <c r="C18263" s="5" t="str">
        <f>IFERROR(__xludf.DUMMYFUNCTION("GOOGLETRANSLATE(B18263,""en"",""es-ES"")"),"Vemos a un hombre entrevistado y un equipo acurrucado y vemos a los hombres jugar.")</f>
        <v>Vemos a un hombre entrevistado y un equipo acurrucado y vemos a los hombres jugar.</v>
      </c>
    </row>
    <row r="18264">
      <c r="A18264" s="4" t="s">
        <v>22980</v>
      </c>
      <c r="B18264" s="4" t="s">
        <v>22985</v>
      </c>
      <c r="C18264" s="5" t="str">
        <f>IFERROR(__xludf.DUMMYFUNCTION("GOOGLETRANSLATE(B18264,""en"",""es-ES"")"),"Un hombre entrevistado y vemos a los hombres jugar lacrosse.")</f>
        <v>Un hombre entrevistado y vemos a los hombres jugar lacrosse.</v>
      </c>
    </row>
    <row r="18265">
      <c r="A18265" s="4" t="s">
        <v>22980</v>
      </c>
      <c r="B18265" s="4" t="s">
        <v>22986</v>
      </c>
      <c r="C18265" s="5" t="str">
        <f>IFERROR(__xludf.DUMMYFUNCTION("GOOGLETRANSLATE(B18265,""en"",""es-ES"")"),"Se entrevista a un hombre de rojo y los equipos se dan la mano, toman su trofeo y posan para fotos.")</f>
        <v>Se entrevista a un hombre de rojo y los equipos se dan la mano, toman su trofeo y posan para fotos.</v>
      </c>
    </row>
    <row r="18266">
      <c r="A18266" s="4" t="s">
        <v>22987</v>
      </c>
      <c r="B18266" s="4" t="s">
        <v>22988</v>
      </c>
      <c r="C18266" s="5" t="str">
        <f>IFERROR(__xludf.DUMMYFUNCTION("GOOGLETRANSLATE(B18266,""en"",""es-ES"")"),"Una joven gimnasta con rojo se prepara para su rutina de vigas de equilibrio en los Juegos Olímpicos.")</f>
        <v>Una joven gimnasta con rojo se prepara para su rutina de vigas de equilibrio en los Juegos Olímpicos.</v>
      </c>
    </row>
    <row r="18267">
      <c r="A18267" s="4" t="s">
        <v>22987</v>
      </c>
      <c r="B18267" s="4" t="s">
        <v>22989</v>
      </c>
      <c r="C18267" s="5" t="str">
        <f>IFERROR(__xludf.DUMMYFUNCTION("GOOGLETRANSLATE(B18267,""en"",""es-ES"")"),"La gimnasta femenina corre hacia el trampolín y salta de él a la viga de equilibrio.")</f>
        <v>La gimnasta femenina corre hacia el trampolín y salta de él a la viga de equilibrio.</v>
      </c>
    </row>
    <row r="18268">
      <c r="A18268" s="4" t="s">
        <v>22987</v>
      </c>
      <c r="B18268" s="4" t="s">
        <v>22990</v>
      </c>
      <c r="C18268" s="5" t="str">
        <f>IFERROR(__xludf.DUMMYFUNCTION("GOOGLETRANSLATE(B18268,""en"",""es-ES"")"),"La gimnasta femenina hace su rutina de volcado sobre la viga de equilibrio mientras los comentaristas explican lo que está haciendo y lo difícil que es.")</f>
        <v>La gimnasta femenina hace su rutina de volcado sobre la viga de equilibrio mientras los comentaristas explican lo que está haciendo y lo difícil que es.</v>
      </c>
    </row>
    <row r="18269">
      <c r="A18269" s="4" t="s">
        <v>22987</v>
      </c>
      <c r="B18269" s="4" t="s">
        <v>22991</v>
      </c>
      <c r="C18269" s="5" t="str">
        <f>IFERROR(__xludf.DUMMYFUNCTION("GOOGLETRANSLATE(B18269,""en"",""es-ES"")"),"Una gran multitud observa y aplaude a la gimnasta.")</f>
        <v>Una gran multitud observa y aplaude a la gimnasta.</v>
      </c>
    </row>
    <row r="18270">
      <c r="A18270" s="4" t="s">
        <v>22987</v>
      </c>
      <c r="B18270" s="4" t="s">
        <v>22992</v>
      </c>
      <c r="C18270" s="5" t="str">
        <f>IFERROR(__xludf.DUMMYFUNCTION("GOOGLETRANSLATE(B18270,""en"",""es-ES"")"),"Un hombre asiático camina hacia la viga de equilibrio y aleja el trampolín de la viga.")</f>
        <v>Un hombre asiático camina hacia la viga de equilibrio y aleja el trampolín de la viga.</v>
      </c>
    </row>
    <row r="18271">
      <c r="A18271" s="4" t="s">
        <v>22987</v>
      </c>
      <c r="B18271" s="4" t="s">
        <v>22993</v>
      </c>
      <c r="C18271" s="5" t="str">
        <f>IFERROR(__xludf.DUMMYFUNCTION("GOOGLETRANSLATE(B18271,""en"",""es-ES"")"),"La gimnasta realiza una secuencia de volteo difícil y la multitud aplaude más que antes.")</f>
        <v>La gimnasta realiza una secuencia de volteo difícil y la multitud aplaude más que antes.</v>
      </c>
    </row>
    <row r="18272">
      <c r="A18272" s="4" t="s">
        <v>22987</v>
      </c>
      <c r="B18272" s="4" t="s">
        <v>22994</v>
      </c>
      <c r="C18272" s="5" t="str">
        <f>IFERROR(__xludf.DUMMYFUNCTION("GOOGLETRANSLATE(B18272,""en"",""es-ES"")"),"La gente de la multitud que está mirando a la gimnasta entrar al gimnasio y encontrar asientos mientras otros se ponen de pie y salen del gimnasio.")</f>
        <v>La gente de la multitud que está mirando a la gimnasta entrar al gimnasio y encontrar asientos mientras otros se ponen de pie y salen del gimnasio.</v>
      </c>
    </row>
    <row r="18273">
      <c r="A18273" s="4" t="s">
        <v>22987</v>
      </c>
      <c r="B18273" s="4" t="s">
        <v>22995</v>
      </c>
      <c r="C18273" s="5" t="str">
        <f>IFERROR(__xludf.DUMMYFUNCTION("GOOGLETRANSLATE(B18273,""en"",""es-ES"")"),"Otra gimnast femenina pasa por la viga de equilibrio en el fondo.")</f>
        <v>Otra gimnast femenina pasa por la viga de equilibrio en el fondo.</v>
      </c>
    </row>
    <row r="18274">
      <c r="A18274" s="4" t="s">
        <v>22987</v>
      </c>
      <c r="B18274" s="4" t="s">
        <v>22996</v>
      </c>
      <c r="C18274" s="5" t="str">
        <f>IFERROR(__xludf.DUMMYFUNCTION("GOOGLETRANSLATE(B18274,""en"",""es-ES"")"),"La gimnasta femenina se prepara para su desmontaje.")</f>
        <v>La gimnasta femenina se prepara para su desmontaje.</v>
      </c>
    </row>
    <row r="18275">
      <c r="A18275" s="4" t="s">
        <v>22987</v>
      </c>
      <c r="B18275" s="4" t="s">
        <v>22997</v>
      </c>
      <c r="C18275" s="5" t="str">
        <f>IFERROR(__xludf.DUMMYFUNCTION("GOOGLETRANSLATE(B18275,""en"",""es-ES"")"),"La gimnasta femenina corre y completa una secuencia de volteo para salir del rayo de equilibrio.")</f>
        <v>La gimnasta femenina corre y completa una secuencia de volteo para salir del rayo de equilibrio.</v>
      </c>
    </row>
    <row r="18276">
      <c r="A18276" s="4" t="s">
        <v>22987</v>
      </c>
      <c r="B18276" s="4" t="s">
        <v>22998</v>
      </c>
      <c r="C18276" s="5" t="str">
        <f>IFERROR(__xludf.DUMMYFUNCTION("GOOGLETRANSLATE(B18276,""en"",""es-ES"")"),"La gimnast femenina aterriza perfectamente y arroja los brazos directamente al aire con una gran sonrisa en su rostro otras gimnastas en el fondo del fondo y aplauden.")</f>
        <v>La gimnast femenina aterriza perfectamente y arroja los brazos directamente al aire con una gran sonrisa en su rostro otras gimnastas en el fondo del fondo y aplauden.</v>
      </c>
    </row>
    <row r="18277">
      <c r="A18277" s="4" t="s">
        <v>22987</v>
      </c>
      <c r="B18277" s="4" t="s">
        <v>22999</v>
      </c>
      <c r="C18277" s="5" t="str">
        <f>IFERROR(__xludf.DUMMYFUNCTION("GOOGLETRANSLATE(B18277,""en"",""es-ES"")"),"Un gran grupo de fotógrafos mira y toman fotografías de la gimnasta.")</f>
        <v>Un gran grupo de fotógrafos mira y toman fotografías de la gimnasta.</v>
      </c>
    </row>
    <row r="18278">
      <c r="A18278" s="4" t="s">
        <v>22987</v>
      </c>
      <c r="B18278" s="4" t="s">
        <v>23000</v>
      </c>
      <c r="C18278" s="5" t="str">
        <f>IFERROR(__xludf.DUMMYFUNCTION("GOOGLETRANSLATE(B18278,""en"",""es-ES"")"),"La gimnasta saluda mientras gira en círculo y luego corre hacia el costado del piso del gimnasio.")</f>
        <v>La gimnasta saluda mientras gira en círculo y luego corre hacia el costado del piso del gimnasio.</v>
      </c>
    </row>
    <row r="18279">
      <c r="A18279" s="4" t="s">
        <v>22987</v>
      </c>
      <c r="B18279" s="4" t="s">
        <v>23001</v>
      </c>
      <c r="C18279" s="5" t="str">
        <f>IFERROR(__xludf.DUMMYFUNCTION("GOOGLETRANSLATE(B18279,""en"",""es-ES"")"),"Tres gimnastas asiáticas con reloj amarillo y aplaudir sin sonreír.")</f>
        <v>Tres gimnastas asiáticas con reloj amarillo y aplaudir sin sonreír.</v>
      </c>
    </row>
    <row r="18280">
      <c r="A18280" s="4" t="s">
        <v>22987</v>
      </c>
      <c r="B18280" s="4" t="s">
        <v>23002</v>
      </c>
      <c r="C18280" s="5" t="str">
        <f>IFERROR(__xludf.DUMMYFUNCTION("GOOGLETRANSLATE(B18280,""en"",""es-ES"")"),"La gimnasta en Red Hugs y habla con sus otros compañeros de equipo y su entrenador, mientras que varios fotógrafos le toman fotos.")</f>
        <v>La gimnasta en Red Hugs y habla con sus otros compañeros de equipo y su entrenador, mientras que varios fotógrafos le toman fotos.</v>
      </c>
    </row>
    <row r="18281">
      <c r="A18281" s="4" t="s">
        <v>22987</v>
      </c>
      <c r="B18281" s="4" t="s">
        <v>23003</v>
      </c>
      <c r="C18281" s="5" t="str">
        <f>IFERROR(__xludf.DUMMYFUNCTION("GOOGLETRANSLATE(B18281,""en"",""es-ES"")"),"Los comentaristas reproducen varias de las gimnastas más difíciles secuencias de caída y su desmontaje en cámara lenta mientras explican lo que está haciendo.")</f>
        <v>Los comentaristas reproducen varias de las gimnastas más difíciles secuencias de caída y su desmontaje en cámara lenta mientras explican lo que está haciendo.</v>
      </c>
    </row>
    <row r="18282">
      <c r="A18282" s="4" t="s">
        <v>22987</v>
      </c>
      <c r="B18282" s="4" t="s">
        <v>23004</v>
      </c>
      <c r="C18282" s="5" t="str">
        <f>IFERROR(__xludf.DUMMYFUNCTION("GOOGLETRANSLATE(B18282,""en"",""es-ES"")"),"La gimnasta abraza a otro entrenador y otro de sus compañeros de equipo mientras un hombre los filma con una cámara grande.")</f>
        <v>La gimnasta abraza a otro entrenador y otro de sus compañeros de equipo mientras un hombre los filma con una cámara grande.</v>
      </c>
    </row>
    <row r="18283">
      <c r="A18283" s="4" t="s">
        <v>22987</v>
      </c>
      <c r="B18283" s="4" t="s">
        <v>23005</v>
      </c>
      <c r="C18283" s="5" t="str">
        <f>IFERROR(__xludf.DUMMYFUNCTION("GOOGLETRANSLATE(B18283,""en"",""es-ES"")"),"Todas las gimnastas del equipo de los Estados Unidos y sus entrenadores caminan por el gimnasio mientras la multitud anima mucho.")</f>
        <v>Todas las gimnastas del equipo de los Estados Unidos y sus entrenadores caminan por el gimnasio mientras la multitud anima mucho.</v>
      </c>
    </row>
    <row r="18284">
      <c r="A18284" s="4" t="s">
        <v>22987</v>
      </c>
      <c r="B18284" s="4" t="s">
        <v>23006</v>
      </c>
      <c r="C18284" s="5" t="str">
        <f>IFERROR(__xludf.DUMMYFUNCTION("GOOGLETRANSLATE(B18284,""en"",""es-ES"")"),"Varias gimnastas de otros equipos también pasan.")</f>
        <v>Varias gimnastas de otros equipos también pasan.</v>
      </c>
    </row>
    <row r="18285">
      <c r="A18285" s="4" t="s">
        <v>22987</v>
      </c>
      <c r="B18285" s="4" t="s">
        <v>23007</v>
      </c>
      <c r="C18285" s="5" t="str">
        <f>IFERROR(__xludf.DUMMYFUNCTION("GOOGLETRANSLATE(B18285,""en"",""es-ES"")"),"La gimnast femenina habla con su equipo mientras espera que se exhibiera su puntaje.")</f>
        <v>La gimnast femenina habla con su equipo mientras espera que se exhibiera su puntaje.</v>
      </c>
    </row>
    <row r="18286">
      <c r="A18286" s="4" t="s">
        <v>23008</v>
      </c>
      <c r="B18286" s="4" t="s">
        <v>23009</v>
      </c>
      <c r="C18286" s="5" t="str">
        <f>IFERROR(__xludf.DUMMYFUNCTION("GOOGLETRANSLATE(B18286,""en"",""es-ES"")"),"Una niña demuestra cómo aplicar maquillaje usando un mini kit de maquillaje como fuente de maquillaje, todo mientras habla con la cámara.")</f>
        <v>Una niña demuestra cómo aplicar maquillaje usando un mini kit de maquillaje como fuente de maquillaje, todo mientras habla con la cámara.</v>
      </c>
    </row>
    <row r="18287">
      <c r="A18287" s="4" t="s">
        <v>23008</v>
      </c>
      <c r="B18287" s="4" t="s">
        <v>23010</v>
      </c>
      <c r="C18287" s="5" t="str">
        <f>IFERROR(__xludf.DUMMYFUNCTION("GOOGLETRANSLATE(B18287,""en"",""es-ES"")"),"Una niña habla con la cámara y luego se inclina en la cámara en una toma de cerca.")</f>
        <v>Una niña habla con la cámara y luego se inclina en la cámara en una toma de cerca.</v>
      </c>
    </row>
    <row r="18288">
      <c r="A18288" s="4" t="s">
        <v>23008</v>
      </c>
      <c r="B18288" s="4" t="s">
        <v>23011</v>
      </c>
      <c r="C18288" s="5" t="str">
        <f>IFERROR(__xludf.DUMMYFUNCTION("GOOGLETRANSLATE(B18288,""en"",""es-ES"")"),"La niña saca una colorida paleta de maquillaje y muestra a la cámara el interior de la paleta antes de comenzar a aplicar algo de la composición a sus ojos.")</f>
        <v>La niña saca una colorida paleta de maquillaje y muestra a la cámara el interior de la paleta antes de comenzar a aplicar algo de la composición a sus ojos.</v>
      </c>
    </row>
    <row r="18289">
      <c r="A18289" s="4" t="s">
        <v>23008</v>
      </c>
      <c r="B18289" s="4" t="s">
        <v>23012</v>
      </c>
      <c r="C18289" s="5" t="str">
        <f>IFERROR(__xludf.DUMMYFUNCTION("GOOGLETRANSLATE(B18289,""en"",""es-ES"")"),"Luego, la niña aplica el rímel negro a sus pestañas y un poco de sombra de ojos y brillo de labios tomando descansos después de las aplicaciones para hablar con la cámara.")</f>
        <v>Luego, la niña aplica el rímel negro a sus pestañas y un poco de sombra de ojos y brillo de labios tomando descansos después de las aplicaciones para hablar con la cámara.</v>
      </c>
    </row>
    <row r="18290">
      <c r="A18290" s="4" t="s">
        <v>23008</v>
      </c>
      <c r="B18290" s="4" t="s">
        <v>23013</v>
      </c>
      <c r="C18290" s="5" t="str">
        <f>IFERROR(__xludf.DUMMYFUNCTION("GOOGLETRANSLATE(B18290,""en"",""es-ES"")"),"La niña da un pulgar final y sopla besos a la cámara antes de hablar más y sonreír a medida que la escena se desvanece.")</f>
        <v>La niña da un pulgar final y sopla besos a la cámara antes de hablar más y sonreír a medida que la escena se desvanece.</v>
      </c>
    </row>
    <row r="18291">
      <c r="A18291" s="4" t="s">
        <v>23014</v>
      </c>
      <c r="B18291" s="4" t="s">
        <v>23015</v>
      </c>
      <c r="C18291" s="5" t="str">
        <f>IFERROR(__xludf.DUMMYFUNCTION("GOOGLETRANSLATE(B18291,""en"",""es-ES"")"),"Un hombre se sienta en una máquina de remo en un gimnasio y habla con la cámara mientras demuestra cómo usar una máquina de ejercicios de remo.")</f>
        <v>Un hombre se sienta en una máquina de remo en un gimnasio y habla con la cámara mientras demuestra cómo usar una máquina de ejercicios de remo.</v>
      </c>
    </row>
    <row r="18292">
      <c r="A18292" s="4" t="s">
        <v>23014</v>
      </c>
      <c r="B18292" s="4" t="s">
        <v>23016</v>
      </c>
      <c r="C18292" s="5" t="str">
        <f>IFERROR(__xludf.DUMMYFUNCTION("GOOGLETRANSLATE(B18292,""en"",""es-ES"")"),"El hombre comienza a hacer ejercicio en la máquina lentamente, todo mientras habla con la cámara, y finalmente se acumula para un ejercicio de ritmo más rápido en la misma máquina.")</f>
        <v>El hombre comienza a hacer ejercicio en la máquina lentamente, todo mientras habla con la cámara, y finalmente se acumula para un ejercicio de ritmo más rápido en la misma máquina.</v>
      </c>
    </row>
    <row r="18293">
      <c r="A18293" s="4" t="s">
        <v>23014</v>
      </c>
      <c r="B18293" s="4" t="s">
        <v>23017</v>
      </c>
      <c r="C18293" s="5" t="str">
        <f>IFERROR(__xludf.DUMMYFUNCTION("GOOGLETRANSLATE(B18293,""en"",""es-ES"")"),"El hombre comienza a demostrar cómo usar el panel digital en la máquina de ejercicios señalándola y hablando con la cámara.")</f>
        <v>El hombre comienza a demostrar cómo usar el panel digital en la máquina de ejercicios señalándola y hablando con la cámara.</v>
      </c>
    </row>
    <row r="18294">
      <c r="A18294" s="4" t="s">
        <v>23018</v>
      </c>
      <c r="B18294" s="4" t="s">
        <v>23019</v>
      </c>
      <c r="C18294" s="5" t="str">
        <f>IFERROR(__xludf.DUMMYFUNCTION("GOOGLETRANSLATE(B18294,""en"",""es-ES"")"),"Una cometa se muestra en lo alto del aire.")</f>
        <v>Una cometa se muestra en lo alto del aire.</v>
      </c>
    </row>
    <row r="18295">
      <c r="A18295" s="4" t="s">
        <v>23018</v>
      </c>
      <c r="B18295" s="4" t="s">
        <v>23020</v>
      </c>
      <c r="C18295" s="5" t="str">
        <f>IFERROR(__xludf.DUMMYFUNCTION("GOOGLETRANSLATE(B18295,""en"",""es-ES"")"),"Un hombre sostiene la cometa antes de dejarla ir.")</f>
        <v>Un hombre sostiene la cometa antes de dejarla ir.</v>
      </c>
    </row>
    <row r="18296">
      <c r="A18296" s="4" t="s">
        <v>23018</v>
      </c>
      <c r="B18296" s="4" t="s">
        <v>23021</v>
      </c>
      <c r="C18296" s="5" t="str">
        <f>IFERROR(__xludf.DUMMYFUNCTION("GOOGLETRANSLATE(B18296,""en"",""es-ES"")"),"Se gira en el aire y se voltea en círculos y ángulos, rebotando en el suelo.")</f>
        <v>Se gira en el aire y se voltea en círculos y ángulos, rebotando en el suelo.</v>
      </c>
    </row>
    <row r="18297">
      <c r="A18297" s="4" t="s">
        <v>23022</v>
      </c>
      <c r="B18297" s="4" t="s">
        <v>23023</v>
      </c>
      <c r="C18297" s="5" t="str">
        <f>IFERROR(__xludf.DUMMYFUNCTION("GOOGLETRANSLATE(B18297,""en"",""es-ES"")"),"Un hombre está de pie en un gimnasio sosteniendo una gran rueda para bicicletas que mueve las manos a lo largo del tubo dentro del caucho.")</f>
        <v>Un hombre está de pie en un gimnasio sosteniendo una gran rueda para bicicletas que mueve las manos a lo largo del tubo dentro del caucho.</v>
      </c>
    </row>
    <row r="18298">
      <c r="A18298" s="4" t="s">
        <v>23022</v>
      </c>
      <c r="B18298" s="4" t="s">
        <v>23024</v>
      </c>
      <c r="C18298" s="5" t="str">
        <f>IFERROR(__xludf.DUMMYFUNCTION("GOOGLETRANSLATE(B18298,""en"",""es-ES"")"),"El hombre realiza continuamente la acción mientras se mueve el círculo sobre su rodilla.")</f>
        <v>El hombre realiza continuamente la acción mientras se mueve el círculo sobre su rodilla.</v>
      </c>
    </row>
    <row r="18299">
      <c r="A18299" s="4" t="s">
        <v>23022</v>
      </c>
      <c r="B18299" s="4" t="s">
        <v>23025</v>
      </c>
      <c r="C18299" s="5" t="str">
        <f>IFERROR(__xludf.DUMMYFUNCTION("GOOGLETRANSLATE(B18299,""en"",""es-ES"")"),"Después, el hombre recoge un objeto amarillo y comienza a apretar los radios en la rueda y sellando el levantamiento de la goma.")</f>
        <v>Después, el hombre recoge un objeto amarillo y comienza a apretar los radios en la rueda y sellando el levantamiento de la goma.</v>
      </c>
    </row>
    <row r="18300">
      <c r="A18300" s="4" t="s">
        <v>23026</v>
      </c>
      <c r="B18300" s="4" t="s">
        <v>23027</v>
      </c>
      <c r="C18300" s="5" t="str">
        <f>IFERROR(__xludf.DUMMYFUNCTION("GOOGLETRANSLATE(B18300,""en"",""es-ES"")"),"Un hombre usa un recortador para recortar las hojas en un árbol en un patio trasero, comenzando en el medio.")</f>
        <v>Un hombre usa un recortador para recortar las hojas en un árbol en un patio trasero, comenzando en el medio.</v>
      </c>
    </row>
    <row r="18301">
      <c r="A18301" s="4" t="s">
        <v>23026</v>
      </c>
      <c r="B18301" s="4" t="s">
        <v>23028</v>
      </c>
      <c r="C18301" s="5" t="str">
        <f>IFERROR(__xludf.DUMMYFUNCTION("GOOGLETRANSLATE(B18301,""en"",""es-ES"")"),"Se mueve a su izquierda para continuar recortando el árbol.")</f>
        <v>Se mueve a su izquierda para continuar recortando el árbol.</v>
      </c>
    </row>
    <row r="18302">
      <c r="A18302" s="4" t="s">
        <v>23029</v>
      </c>
      <c r="B18302" s="4" t="s">
        <v>23030</v>
      </c>
      <c r="C18302" s="5" t="str">
        <f>IFERROR(__xludf.DUMMYFUNCTION("GOOGLETRANSLATE(B18302,""en"",""es-ES"")"),"Dos mujeres están de pie dentro de una casa.")</f>
        <v>Dos mujeres están de pie dentro de una casa.</v>
      </c>
    </row>
    <row r="18303">
      <c r="A18303" s="4" t="s">
        <v>23029</v>
      </c>
      <c r="B18303" s="4" t="s">
        <v>23031</v>
      </c>
      <c r="C18303" s="5" t="str">
        <f>IFERROR(__xludf.DUMMYFUNCTION("GOOGLETRANSLATE(B18303,""en"",""es-ES"")"),"Muestran un mosaico de lona.")</f>
        <v>Muestran un mosaico de lona.</v>
      </c>
    </row>
    <row r="18304">
      <c r="A18304" s="4" t="s">
        <v>23029</v>
      </c>
      <c r="B18304" s="4" t="s">
        <v>23032</v>
      </c>
      <c r="C18304" s="5" t="str">
        <f>IFERROR(__xludf.DUMMYFUNCTION("GOOGLETRANSLATE(B18304,""en"",""es-ES"")"),"Luego muestran cómo hicieron el mosaico y lo colocaron en el suelo, juntándolo como un rompecabezas.")</f>
        <v>Luego muestran cómo hicieron el mosaico y lo colocaron en el suelo, juntándolo como un rompecabezas.</v>
      </c>
    </row>
    <row r="18305">
      <c r="A18305" s="4" t="s">
        <v>23029</v>
      </c>
      <c r="B18305" s="4" t="s">
        <v>23033</v>
      </c>
      <c r="C18305" s="5" t="str">
        <f>IFERROR(__xludf.DUMMYFUNCTION("GOOGLETRANSLATE(B18305,""en"",""es-ES"")"),"Se sientan en la parte superior hablando de eso antes de mover los muebles en su lugar.")</f>
        <v>Se sientan en la parte superior hablando de eso antes de mover los muebles en su lugar.</v>
      </c>
    </row>
    <row r="18306">
      <c r="A18306" s="4" t="s">
        <v>23034</v>
      </c>
      <c r="B18306" s="4" t="s">
        <v>23035</v>
      </c>
      <c r="C18306" s="5" t="str">
        <f>IFERROR(__xludf.DUMMYFUNCTION("GOOGLETRANSLATE(B18306,""en"",""es-ES"")"),"Un perro esponjoso está parado en una acera con un niño detrás.")</f>
        <v>Un perro esponjoso está parado en una acera con un niño detrás.</v>
      </c>
    </row>
    <row r="18307">
      <c r="A18307" s="4" t="s">
        <v>23034</v>
      </c>
      <c r="B18307" s="4" t="s">
        <v>23036</v>
      </c>
      <c r="C18307" s="5" t="str">
        <f>IFERROR(__xludf.DUMMYFUNCTION("GOOGLETRANSLATE(B18307,""en"",""es-ES"")"),"El perro comienza a caminar por la acera y detrás de él, un niño monta sobre un scooter mientras el perro camina.")</f>
        <v>El perro comienza a caminar por la acera y detrás de él, un niño monta sobre un scooter mientras el perro camina.</v>
      </c>
    </row>
    <row r="18308">
      <c r="A18308" s="4" t="s">
        <v>23037</v>
      </c>
      <c r="B18308" s="4" t="s">
        <v>23038</v>
      </c>
      <c r="C18308" s="5" t="str">
        <f>IFERROR(__xludf.DUMMYFUNCTION("GOOGLETRANSLATE(B18308,""en"",""es-ES"")"),"Un fregadero se muestra lleno de platos sucios y cables en varios productos que se muestran.")</f>
        <v>Un fregadero se muestra lleno de platos sucios y cables en varios productos que se muestran.</v>
      </c>
    </row>
    <row r="18309">
      <c r="A18309" s="4" t="s">
        <v>23037</v>
      </c>
      <c r="B18309" s="4" t="s">
        <v>23039</v>
      </c>
      <c r="C18309" s="5" t="str">
        <f>IFERROR(__xludf.DUMMYFUNCTION("GOOGLETRANSLATE(B18309,""en"",""es-ES"")"),"Luego, una persona frota los platos y comienza a poner algunos de ellos en un balde.")</f>
        <v>Luego, una persona frota los platos y comienza a poner algunos de ellos en un balde.</v>
      </c>
    </row>
    <row r="18310">
      <c r="A18310" s="4" t="s">
        <v>23037</v>
      </c>
      <c r="B18310" s="4" t="s">
        <v>23040</v>
      </c>
      <c r="C18310" s="5" t="str">
        <f>IFERROR(__xludf.DUMMYFUNCTION("GOOGLETRANSLATE(B18310,""en"",""es-ES"")"),"Lavan los platos continuamente mientras los apilan en una rejilla a un lado.")</f>
        <v>Lavan los platos continuamente mientras los apilan en una rejilla a un lado.</v>
      </c>
    </row>
    <row r="18311">
      <c r="A18311" s="4" t="s">
        <v>23041</v>
      </c>
      <c r="B18311" s="4" t="s">
        <v>23042</v>
      </c>
      <c r="C18311" s="5" t="str">
        <f>IFERROR(__xludf.DUMMYFUNCTION("GOOGLETRANSLATE(B18311,""en"",""es-ES"")"),"Se muestra una maquinilla de afeitar de Phillips Three y luego sin cuadras en una mesa roja.")</f>
        <v>Se muestra una maquinilla de afeitar de Phillips Three y luego sin cuadras en una mesa roja.</v>
      </c>
    </row>
    <row r="18312">
      <c r="A18312" s="4" t="s">
        <v>23041</v>
      </c>
      <c r="B18312" s="4" t="s">
        <v>23043</v>
      </c>
      <c r="C18312" s="5" t="str">
        <f>IFERROR(__xludf.DUMMYFUNCTION("GOOGLETRANSLATE(B18312,""en"",""es-ES"")"),"A continuación, la maquinilla de afeitar se ensambla y se coloca en su carga para cargar una vez que está conectado.")</f>
        <v>A continuación, la maquinilla de afeitar se ensambla y se coloca en su carga para cargar una vez que está conectado.</v>
      </c>
    </row>
    <row r="18313">
      <c r="A18313" s="4" t="s">
        <v>23041</v>
      </c>
      <c r="B18313" s="4" t="s">
        <v>23044</v>
      </c>
      <c r="C18313" s="5" t="str">
        <f>IFERROR(__xludf.DUMMYFUNCTION("GOOGLETRANSLATE(B18313,""en"",""es-ES"")"),"Una vez totalmente cargado, el hombre enjuague las maquinillas de afeitar, aplica crema de afeitar a esta área de barba y comienza a afeitarse.")</f>
        <v>Una vez totalmente cargado, el hombre enjuague las maquinillas de afeitar, aplica crema de afeitar a esta área de barba y comienza a afeitarse.</v>
      </c>
    </row>
    <row r="18314">
      <c r="A18314" s="4" t="s">
        <v>23041</v>
      </c>
      <c r="B18314" s="4" t="s">
        <v>23045</v>
      </c>
      <c r="C18314" s="5" t="str">
        <f>IFERROR(__xludf.DUMMYFUNCTION("GOOGLETRANSLATE(B18314,""en"",""es-ES"")"),"Mientras se afeita, el hombre continúa hablando y su rostro comienza a girar una pequeña maquinilla de afeitar y la maquinilla de afeitar se vuelve a colocar en el cargador.")</f>
        <v>Mientras se afeita, el hombre continúa hablando y su rostro comienza a girar una pequeña maquinilla de afeitar y la maquinilla de afeitar se vuelve a colocar en el cargador.</v>
      </c>
    </row>
    <row r="18315">
      <c r="A18315" s="4" t="s">
        <v>23046</v>
      </c>
      <c r="B18315" s="4" t="s">
        <v>23047</v>
      </c>
      <c r="C18315" s="5" t="str">
        <f>IFERROR(__xludf.DUMMYFUNCTION("GOOGLETRANSLATE(B18315,""en"",""es-ES"")"),"Un hombre está parado en un escenario frente a una bandera estadounidense mientras lee en un micrófono de un trozo de papel.")</f>
        <v>Un hombre está parado en un escenario frente a una bandera estadounidense mientras lee en un micrófono de un trozo de papel.</v>
      </c>
    </row>
    <row r="18316">
      <c r="A18316" s="4" t="s">
        <v>23046</v>
      </c>
      <c r="B18316" s="4" t="s">
        <v>23048</v>
      </c>
      <c r="C18316" s="5" t="str">
        <f>IFERROR(__xludf.DUMMYFUNCTION("GOOGLETRANSLATE(B18316,""en"",""es-ES"")"),"Luego se muestra frente a una multitud mientras gritan detrás de él.")</f>
        <v>Luego se muestra frente a una multitud mientras gritan detrás de él.</v>
      </c>
    </row>
    <row r="18317">
      <c r="A18317" s="4" t="s">
        <v>23046</v>
      </c>
      <c r="B18317" s="4" t="s">
        <v>23049</v>
      </c>
      <c r="C18317" s="5" t="str">
        <f>IFERROR(__xludf.DUMMYFUNCTION("GOOGLETRANSLATE(B18317,""en"",""es-ES"")"),"Los hombres salen y comienzan a competir en un desafío de lanzamiento de dardos.")</f>
        <v>Los hombres salen y comienzan a competir en un desafío de lanzamiento de dardos.</v>
      </c>
    </row>
    <row r="18318">
      <c r="A18318" s="4" t="s">
        <v>23046</v>
      </c>
      <c r="B18318" s="4" t="s">
        <v>23050</v>
      </c>
      <c r="C18318" s="5" t="str">
        <f>IFERROR(__xludf.DUMMYFUNCTION("GOOGLETRANSLATE(B18318,""en"",""es-ES"")"),"El ganador es entrevistado después.")</f>
        <v>El ganador es entrevistado después.</v>
      </c>
    </row>
    <row r="18319">
      <c r="A18319" s="4" t="s">
        <v>23051</v>
      </c>
      <c r="B18319" s="4" t="s">
        <v>23052</v>
      </c>
      <c r="C18319" s="5" t="str">
        <f>IFERROR(__xludf.DUMMYFUNCTION("GOOGLETRANSLATE(B18319,""en"",""es-ES"")"),"La información del tubo del río Bali se muestra en la pantalla.")</f>
        <v>La información del tubo del río Bali se muestra en la pantalla.</v>
      </c>
    </row>
    <row r="18320">
      <c r="A18320" s="4" t="s">
        <v>23051</v>
      </c>
      <c r="B18320" s="4" t="s">
        <v>23053</v>
      </c>
      <c r="C18320" s="5" t="str">
        <f>IFERROR(__xludf.DUMMYFUNCTION("GOOGLETRANSLATE(B18320,""en"",""es-ES"")"),"Se muestra un tubo amarillo y rojo con el nombre de Bali River impreso.")</f>
        <v>Se muestra un tubo amarillo y rojo con el nombre de Bali River impreso.</v>
      </c>
    </row>
    <row r="18321">
      <c r="A18321" s="4" t="s">
        <v>23051</v>
      </c>
      <c r="B18321" s="4" t="s">
        <v>23054</v>
      </c>
      <c r="C18321" s="5" t="str">
        <f>IFERROR(__xludf.DUMMYFUNCTION("GOOGLETRANSLATE(B18321,""en"",""es-ES"")"),"Hay varias personas con tubos de cascos protectores en el río.")</f>
        <v>Hay varias personas con tubos de cascos protectores en el río.</v>
      </c>
    </row>
    <row r="18322">
      <c r="A18322" s="4" t="s">
        <v>23051</v>
      </c>
      <c r="B18322" s="4" t="s">
        <v>23055</v>
      </c>
      <c r="C18322" s="5" t="str">
        <f>IFERROR(__xludf.DUMMYFUNCTION("GOOGLETRANSLATE(B18322,""en"",""es-ES"")"),"Hay un hombre parado debajo de una tubería con agua que fluye rápidamente.")</f>
        <v>Hay un hombre parado debajo de una tubería con agua que fluye rápidamente.</v>
      </c>
    </row>
    <row r="18323">
      <c r="A18323" s="4" t="s">
        <v>23051</v>
      </c>
      <c r="B18323" s="4" t="s">
        <v>23056</v>
      </c>
      <c r="C18323" s="5" t="str">
        <f>IFERROR(__xludf.DUMMYFUNCTION("GOOGLETRANSLATE(B18323,""en"",""es-ES"")"),"Hay algunos tubérculos remando a través del agua con las manos.")</f>
        <v>Hay algunos tubérculos remando a través del agua con las manos.</v>
      </c>
    </row>
    <row r="18324">
      <c r="A18324" s="4" t="s">
        <v>23051</v>
      </c>
      <c r="B18324" s="4" t="s">
        <v>23057</v>
      </c>
      <c r="C18324" s="5" t="str">
        <f>IFERROR(__xludf.DUMMYFUNCTION("GOOGLETRANSLATE(B18324,""en"",""es-ES"")"),"Hay un hombre que se relaja en su tubo dando un pulgar hacia arriba.")</f>
        <v>Hay un hombre que se relaja en su tubo dando un pulgar hacia arriba.</v>
      </c>
    </row>
    <row r="18325">
      <c r="A18325" s="4" t="s">
        <v>23051</v>
      </c>
      <c r="B18325" s="4" t="s">
        <v>23058</v>
      </c>
      <c r="C18325" s="5" t="str">
        <f>IFERROR(__xludf.DUMMYFUNCTION("GOOGLETRANSLATE(B18325,""en"",""es-ES"")"),"Los tubérculos continúan tubing por el río.")</f>
        <v>Los tubérculos continúan tubing por el río.</v>
      </c>
    </row>
    <row r="18326">
      <c r="A18326" s="4" t="s">
        <v>23059</v>
      </c>
      <c r="B18326" s="4" t="s">
        <v>23060</v>
      </c>
      <c r="C18326" s="5" t="str">
        <f>IFERROR(__xludf.DUMMYFUNCTION("GOOGLETRANSLATE(B18326,""en"",""es-ES"")"),"Se ve a un hombre con una máscara y empujando un objeto a lo largo de una pared.")</f>
        <v>Se ve a un hombre con una máscara y empujando un objeto a lo largo de una pared.</v>
      </c>
    </row>
    <row r="18327">
      <c r="A18327" s="4" t="s">
        <v>23059</v>
      </c>
      <c r="B18327" s="4" t="s">
        <v>23061</v>
      </c>
      <c r="C18327" s="5" t="str">
        <f>IFERROR(__xludf.DUMMYFUNCTION("GOOGLETRANSLATE(B18327,""en"",""es-ES"")"),"Luego se ve al hombre colocando papel en una mesa.")</f>
        <v>Luego se ve al hombre colocando papel en una mesa.</v>
      </c>
    </row>
    <row r="18328">
      <c r="A18328" s="4" t="s">
        <v>23059</v>
      </c>
      <c r="B18328" s="4" t="s">
        <v>23062</v>
      </c>
      <c r="C18328" s="5" t="str">
        <f>IFERROR(__xludf.DUMMYFUNCTION("GOOGLETRANSLATE(B18328,""en"",""es-ES"")"),"Poco después pone papel tapiz en la pared.")</f>
        <v>Poco después pone papel tapiz en la pared.</v>
      </c>
    </row>
    <row r="18329">
      <c r="A18329" s="4" t="s">
        <v>23063</v>
      </c>
      <c r="B18329" s="4" t="s">
        <v>23064</v>
      </c>
      <c r="C18329" s="5" t="str">
        <f>IFERROR(__xludf.DUMMYFUNCTION("GOOGLETRANSLATE(B18329,""en"",""es-ES"")"),"Una mujer en las cuchillas de los rodillos se mueve hacia atrás, cae sobre la hierba y se ríe.")</f>
        <v>Una mujer en las cuchillas de los rodillos se mueve hacia atrás, cae sobre la hierba y se ríe.</v>
      </c>
    </row>
    <row r="18330">
      <c r="A18330" s="4" t="s">
        <v>23063</v>
      </c>
      <c r="B18330" s="4" t="s">
        <v>23065</v>
      </c>
      <c r="C18330" s="5" t="str">
        <f>IFERROR(__xludf.DUMMYFUNCTION("GOOGLETRANSLATE(B18330,""en"",""es-ES"")"),"Una amiga está hablando con la mujer caída mientras trata de levantarse.")</f>
        <v>Una amiga está hablando con la mujer caída mientras trata de levantarse.</v>
      </c>
    </row>
    <row r="18331">
      <c r="A18331" s="4" t="s">
        <v>23063</v>
      </c>
      <c r="B18331" s="4" t="s">
        <v>23066</v>
      </c>
      <c r="C18331" s="5" t="str">
        <f>IFERROR(__xludf.DUMMYFUNCTION("GOOGLETRANSLATE(B18331,""en"",""es-ES"")"),"Una amiga habla con ella mientras sostiene la cámara y le ofrece una mano para levantarse.")</f>
        <v>Una amiga habla con ella mientras sostiene la cámara y le ofrece una mano para levantarse.</v>
      </c>
    </row>
    <row r="18332">
      <c r="A18332" s="4" t="s">
        <v>23063</v>
      </c>
      <c r="B18332" s="4" t="s">
        <v>23067</v>
      </c>
      <c r="C18332" s="5" t="str">
        <f>IFERROR(__xludf.DUMMYFUNCTION("GOOGLETRANSLATE(B18332,""en"",""es-ES"")"),"Dos mujeres tienen la mano y comienzan a rodar, mientras que la niña con la camisa roja aprende cómo.")</f>
        <v>Dos mujeres tienen la mano y comienzan a rodar, mientras que la niña con la camisa roja aprende cómo.</v>
      </c>
    </row>
    <row r="18333">
      <c r="A18333" s="4" t="s">
        <v>23063</v>
      </c>
      <c r="B18333" s="4" t="s">
        <v>23068</v>
      </c>
      <c r="C18333" s="5" t="str">
        <f>IFERROR(__xludf.DUMMYFUNCTION("GOOGLETRANSLATE(B18333,""en"",""es-ES"")"),"La chica de la camisa roja cae y todos se ríen.")</f>
        <v>La chica de la camisa roja cae y todos se ríen.</v>
      </c>
    </row>
    <row r="18334">
      <c r="A18334" s="4" t="s">
        <v>23069</v>
      </c>
      <c r="B18334" s="4" t="s">
        <v>23070</v>
      </c>
      <c r="C18334" s="5" t="str">
        <f>IFERROR(__xludf.DUMMYFUNCTION("GOOGLETRANSLATE(B18334,""en"",""es-ES"")"),"Se muestra un soplador de hojas que sopla una gran pila de hojas en un césped verde frente a las casas residenciales.")</f>
        <v>Se muestra un soplador de hojas que sopla una gran pila de hojas en un césped verde frente a las casas residenciales.</v>
      </c>
    </row>
    <row r="18335">
      <c r="A18335" s="4" t="s">
        <v>23069</v>
      </c>
      <c r="B18335" s="4" t="s">
        <v>23071</v>
      </c>
      <c r="C18335" s="5" t="str">
        <f>IFERROR(__xludf.DUMMYFUNCTION("GOOGLETRANSLATE(B18335,""en"",""es-ES"")"),"Las hojas vuelan en el aire, pero se unen en gran medida mientras el soplador de la hoja limpia el suelo limpio de las hojas marrones y comienza a formar pilas en el césped.")</f>
        <v>Las hojas vuelan en el aire, pero se unen en gran medida mientras el soplador de la hoja limpia el suelo limpio de las hojas marrones y comienza a formar pilas en el césped.</v>
      </c>
    </row>
    <row r="18336">
      <c r="A18336" s="4" t="s">
        <v>23069</v>
      </c>
      <c r="B18336" s="4" t="s">
        <v>23072</v>
      </c>
      <c r="C18336" s="5" t="str">
        <f>IFERROR(__xludf.DUMMYFUNCTION("GOOGLETRANSLATE(B18336,""en"",""es-ES"")"),"La cámara ocasionalmente y finalmente se establece en una cortadora de césped amarilla sentada en el patio más allá de las pilas de hojas.")</f>
        <v>La cámara ocasionalmente y finalmente se establece en una cortadora de césped amarilla sentada en el patio más allá de las pilas de hojas.</v>
      </c>
    </row>
    <row r="18337">
      <c r="A18337" s="4" t="s">
        <v>23073</v>
      </c>
      <c r="B18337" s="4" t="s">
        <v>23074</v>
      </c>
      <c r="C18337" s="5" t="str">
        <f>IFERROR(__xludf.DUMMYFUNCTION("GOOGLETRANSLATE(B18337,""en"",""es-ES"")"),"Vemos a una chica con cabello morado hablando con la cámara.")</f>
        <v>Vemos a una chica con cabello morado hablando con la cámara.</v>
      </c>
    </row>
    <row r="18338">
      <c r="A18338" s="4" t="s">
        <v>23073</v>
      </c>
      <c r="B18338" s="4" t="s">
        <v>23075</v>
      </c>
      <c r="C18338" s="5" t="str">
        <f>IFERROR(__xludf.DUMMYFUNCTION("GOOGLETRANSLATE(B18338,""en"",""es-ES"")"),"Vemos a la chica mirando a la cámara.")</f>
        <v>Vemos a la chica mirando a la cámara.</v>
      </c>
    </row>
    <row r="18339">
      <c r="A18339" s="4" t="s">
        <v>23073</v>
      </c>
      <c r="B18339" s="4" t="s">
        <v>23076</v>
      </c>
      <c r="C18339" s="5" t="str">
        <f>IFERROR(__xludf.DUMMYFUNCTION("GOOGLETRANSLATE(B18339,""en"",""es-ES"")"),"Vemos a la niña fingir cepillarse y rociar su cabello.")</f>
        <v>Vemos a la niña fingir cepillarse y rociar su cabello.</v>
      </c>
    </row>
    <row r="18340">
      <c r="A18340" s="4" t="s">
        <v>23073</v>
      </c>
      <c r="B18340" s="4" t="s">
        <v>23077</v>
      </c>
      <c r="C18340" s="5" t="str">
        <f>IFERROR(__xludf.DUMMYFUNCTION("GOOGLETRANSLATE(B18340,""en"",""es-ES"")"),"Ella sostiene 2 botellas para la cámara.")</f>
        <v>Ella sostiene 2 botellas para la cámara.</v>
      </c>
    </row>
    <row r="18341">
      <c r="A18341" s="4" t="s">
        <v>23073</v>
      </c>
      <c r="B18341" s="4" t="s">
        <v>23078</v>
      </c>
      <c r="C18341" s="5" t="str">
        <f>IFERROR(__xludf.DUMMYFUNCTION("GOOGLETRANSLATE(B18341,""en"",""es-ES"")"),"La niña se cepilla el cabello y lo pone en una cola de caballo.")</f>
        <v>La niña se cepilla el cabello y lo pone en una cola de caballo.</v>
      </c>
    </row>
    <row r="18342">
      <c r="A18342" s="4" t="s">
        <v>23073</v>
      </c>
      <c r="B18342" s="4" t="s">
        <v>23079</v>
      </c>
      <c r="C18342" s="5" t="str">
        <f>IFERROR(__xludf.DUMMYFUNCTION("GOOGLETRANSLATE(B18342,""en"",""es-ES"")"),"La niña agrega productos a su cabello.")</f>
        <v>La niña agrega productos a su cabello.</v>
      </c>
    </row>
    <row r="18343">
      <c r="A18343" s="4" t="s">
        <v>23073</v>
      </c>
      <c r="B18343" s="4" t="s">
        <v>23080</v>
      </c>
      <c r="C18343" s="5" t="str">
        <f>IFERROR(__xludf.DUMMYFUNCTION("GOOGLETRANSLATE(B18343,""en"",""es-ES"")"),"La niña señala la cámara.")</f>
        <v>La niña señala la cámara.</v>
      </c>
    </row>
    <row r="18344">
      <c r="A18344" s="4" t="s">
        <v>23073</v>
      </c>
      <c r="B18344" s="4" t="s">
        <v>23081</v>
      </c>
      <c r="C18344" s="5" t="str">
        <f>IFERROR(__xludf.DUMMYFUNCTION("GOOGLETRANSLATE(B18344,""en"",""es-ES"")"),"La niña le da a la cámara un pulgar hacia arriba.")</f>
        <v>La niña le da a la cámara un pulgar hacia arriba.</v>
      </c>
    </row>
    <row r="18345">
      <c r="A18345" s="4" t="s">
        <v>23082</v>
      </c>
      <c r="B18345" s="4" t="s">
        <v>23083</v>
      </c>
      <c r="C18345" s="5" t="str">
        <f>IFERROR(__xludf.DUMMYFUNCTION("GOOGLETRANSLATE(B18345,""en"",""es-ES"")"),"El hombre está de pie en una habitación jugando a Dart.")</f>
        <v>El hombre está de pie en una habitación jugando a Dart.</v>
      </c>
    </row>
    <row r="18346">
      <c r="A18346" s="4" t="s">
        <v>23082</v>
      </c>
      <c r="B18346" s="4" t="s">
        <v>23084</v>
      </c>
      <c r="C18346" s="5" t="str">
        <f>IFERROR(__xludf.DUMMYFUNCTION("GOOGLETRANSLATE(B18346,""en"",""es-ES"")"),"El hombre está lanzando dardos a una tabla de dardos.")</f>
        <v>El hombre está lanzando dardos a una tabla de dardos.</v>
      </c>
    </row>
    <row r="18347">
      <c r="A18347" s="4" t="s">
        <v>23082</v>
      </c>
      <c r="B18347" s="4" t="s">
        <v>23085</v>
      </c>
      <c r="C18347" s="5" t="str">
        <f>IFERROR(__xludf.DUMMYFUNCTION("GOOGLETRANSLATE(B18347,""en"",""es-ES"")"),"El hombre toma los dardos del tablero y habla con la cámara.")</f>
        <v>El hombre toma los dardos del tablero y habla con la cámara.</v>
      </c>
    </row>
    <row r="18348">
      <c r="A18348" s="4" t="s">
        <v>23086</v>
      </c>
      <c r="B18348" s="4" t="s">
        <v>23087</v>
      </c>
      <c r="C18348" s="5" t="str">
        <f>IFERROR(__xludf.DUMMYFUNCTION("GOOGLETRANSLATE(B18348,""en"",""es-ES"")"),"Hay personas que trabajan en un soporte para beber llenando tazas, tazas de sacudidas, sosteniendo tazas o simplemente caminando.")</f>
        <v>Hay personas que trabajan en un soporte para beber llenando tazas, tazas de sacudidas, sosteniendo tazas o simplemente caminando.</v>
      </c>
    </row>
    <row r="18349">
      <c r="A18349" s="4" t="s">
        <v>23086</v>
      </c>
      <c r="B18349" s="4" t="s">
        <v>23088</v>
      </c>
      <c r="C18349" s="5" t="str">
        <f>IFERROR(__xludf.DUMMYFUNCTION("GOOGLETRANSLATE(B18349,""en"",""es-ES"")"),"Un joven llena una taza transparente con líquido, la pone en el mostrador, la cubre con una taza de papel, la sacude vigorosamente, y cuando termina, pone la taza de papel hacia abajo y vierte todo el contenido, coloca una pajita amarilla. Es y se lo entr"&amp;"ega a la persona que espera.")</f>
        <v>Un joven llena una taza transparente con líquido, la pone en el mostrador, la cubre con una taza de papel, la sacude vigorosamente, y cuando termina, pone la taza de papel hacia abajo y vierte todo el contenido, coloca una pajita amarilla. Es y se lo entrega a la persona que espera.</v>
      </c>
    </row>
    <row r="18350">
      <c r="A18350" s="4" t="s">
        <v>23086</v>
      </c>
      <c r="B18350" s="4" t="s">
        <v>23089</v>
      </c>
      <c r="C18350" s="5" t="str">
        <f>IFERROR(__xludf.DUMMYFUNCTION("GOOGLETRANSLATE(B18350,""en"",""es-ES"")"),"Junto a él, otro niño también estaba sacudiendo una taza y luego se preparaba para transferir el contenido a una taza de papel.")</f>
        <v>Junto a él, otro niño también estaba sacudiendo una taza y luego se preparaba para transferir el contenido a una taza de papel.</v>
      </c>
    </row>
    <row r="18351">
      <c r="A18351" s="4" t="s">
        <v>23090</v>
      </c>
      <c r="B18351" s="4" t="s">
        <v>23091</v>
      </c>
      <c r="C18351" s="5" t="str">
        <f>IFERROR(__xludf.DUMMYFUNCTION("GOOGLETRANSLATE(B18351,""en"",""es-ES"")"),"Un hombre con una camisa azul habla junto a un juego de mesa de hockey de aire en una sala de exhibición, intercalado con un video de cuatro hombres que demuestran un juego de hockey de mesa de aire.")</f>
        <v>Un hombre con una camisa azul habla junto a un juego de mesa de hockey de aire en una sala de exhibición, intercalado con un video de cuatro hombres que demuestran un juego de hockey de mesa de aire.</v>
      </c>
    </row>
    <row r="18352">
      <c r="A18352" s="4" t="s">
        <v>23090</v>
      </c>
      <c r="B18352" s="4" t="s">
        <v>23092</v>
      </c>
      <c r="C18352" s="5" t="str">
        <f>IFERROR(__xludf.DUMMYFUNCTION("GOOGLETRANSLATE(B18352,""en"",""es-ES"")"),"Un hombre comienza a hablar desde una sala de exposición, mientras está parado frente a un juego de mesa de hockey aéreo.")</f>
        <v>Un hombre comienza a hablar desde una sala de exposición, mientras está parado frente a un juego de mesa de hockey aéreo.</v>
      </c>
    </row>
    <row r="18353">
      <c r="A18353" s="4" t="s">
        <v>23090</v>
      </c>
      <c r="B18353" s="4" t="s">
        <v>23093</v>
      </c>
      <c r="C18353" s="5" t="str">
        <f>IFERROR(__xludf.DUMMYFUNCTION("GOOGLETRANSLATE(B18353,""en"",""es-ES"")"),"La cámara se corta para mostrar a cuatro hombres jugando un juego de hockey aéreo con el juego de mesa.")</f>
        <v>La cámara se corta para mostrar a cuatro hombres jugando un juego de hockey aéreo con el juego de mesa.</v>
      </c>
    </row>
    <row r="18354">
      <c r="A18354" s="4" t="s">
        <v>23090</v>
      </c>
      <c r="B18354" s="4" t="s">
        <v>23094</v>
      </c>
      <c r="C18354" s="5" t="str">
        <f>IFERROR(__xludf.DUMMYFUNCTION("GOOGLETRANSLATE(B18354,""en"",""es-ES"")"),"El hombre habla nuevamente, al lado del juego de la mesa, hasta que la cámara se desplaza nuevamente a los hombres que juegan hockey aéreo hasta que la escena se desvanece en un elaborado gráfico de marketing de juegos de juegos de oro.")</f>
        <v>El hombre habla nuevamente, al lado del juego de la mesa, hasta que la cámara se desplaza nuevamente a los hombres que juegan hockey aéreo hasta que la escena se desvanece en un elaborado gráfico de marketing de juegos de juegos de oro.</v>
      </c>
    </row>
    <row r="18355">
      <c r="A18355" s="4" t="s">
        <v>23095</v>
      </c>
      <c r="B18355" s="4" t="s">
        <v>23096</v>
      </c>
      <c r="C18355" s="5" t="str">
        <f>IFERROR(__xludf.DUMMYFUNCTION("GOOGLETRANSLATE(B18355,""en"",""es-ES"")"),"Un hombre se encuentra junto a una plataforma de salto con pértiga, mientras que se muestra una serie de saltadores intentando la bóveda con diversos grados de éxito.")</f>
        <v>Un hombre se encuentra junto a una plataforma de salto con pértiga, mientras que se muestra una serie de saltadores intentando la bóveda con diversos grados de éxito.</v>
      </c>
    </row>
    <row r="18356">
      <c r="A18356" s="4" t="s">
        <v>23095</v>
      </c>
      <c r="B18356" s="4" t="s">
        <v>23097</v>
      </c>
      <c r="C18356" s="5" t="str">
        <f>IFERROR(__xludf.DUMMYFUNCTION("GOOGLETRANSLATE(B18356,""en"",""es-ES"")"),"Un grupo de personas con uniformes blancos pasan por el fondo.")</f>
        <v>Un grupo de personas con uniformes blancos pasan por el fondo.</v>
      </c>
    </row>
    <row r="18357">
      <c r="A18357" s="4" t="s">
        <v>23095</v>
      </c>
      <c r="B18357" s="4" t="s">
        <v>23098</v>
      </c>
      <c r="C18357" s="5" t="str">
        <f>IFERROR(__xludf.DUMMYFUNCTION("GOOGLETRANSLATE(B18357,""en"",""es-ES"")"),"Dos personas caminan en el fondo.")</f>
        <v>Dos personas caminan en el fondo.</v>
      </c>
    </row>
    <row r="18358">
      <c r="A18358" s="4" t="s">
        <v>23099</v>
      </c>
      <c r="B18358" s="4" t="s">
        <v>23100</v>
      </c>
      <c r="C18358" s="5" t="str">
        <f>IFERROR(__xludf.DUMMYFUNCTION("GOOGLETRANSLATE(B18358,""en"",""es-ES"")"),"Una mujer está cerrando los ojos de pie sobre una tabla de buceo.")</f>
        <v>Una mujer está cerrando los ojos de pie sobre una tabla de buceo.</v>
      </c>
    </row>
    <row r="18359">
      <c r="A18359" s="4" t="s">
        <v>23099</v>
      </c>
      <c r="B18359" s="4" t="s">
        <v>23101</v>
      </c>
      <c r="C18359" s="5" t="str">
        <f>IFERROR(__xludf.DUMMYFUNCTION("GOOGLETRANSLATE(B18359,""en"",""es-ES"")"),"Ella hace un volteo y se sumerge en el agua.")</f>
        <v>Ella hace un volteo y se sumerge en el agua.</v>
      </c>
    </row>
    <row r="18360">
      <c r="A18360" s="4" t="s">
        <v>23099</v>
      </c>
      <c r="B18360" s="4" t="s">
        <v>23102</v>
      </c>
      <c r="C18360" s="5" t="str">
        <f>IFERROR(__xludf.DUMMYFUNCTION("GOOGLETRANSLATE(B18360,""en"",""es-ES"")"),"Ella nada a la superficie.")</f>
        <v>Ella nada a la superficie.</v>
      </c>
    </row>
    <row r="18361">
      <c r="A18361" s="4" t="s">
        <v>23103</v>
      </c>
      <c r="B18361" s="4" t="s">
        <v>23104</v>
      </c>
      <c r="C18361" s="5" t="str">
        <f>IFERROR(__xludf.DUMMYFUNCTION("GOOGLETRANSLATE(B18361,""en"",""es-ES"")"),"Una banda está tocando en un escenario.")</f>
        <v>Una banda está tocando en un escenario.</v>
      </c>
    </row>
    <row r="18362">
      <c r="A18362" s="4" t="s">
        <v>23103</v>
      </c>
      <c r="B18362" s="4" t="s">
        <v>23105</v>
      </c>
      <c r="C18362" s="5" t="str">
        <f>IFERROR(__xludf.DUMMYFUNCTION("GOOGLETRANSLATE(B18362,""en"",""es-ES"")"),"Un hombre y una mujer se besan.")</f>
        <v>Un hombre y una mujer se besan.</v>
      </c>
    </row>
    <row r="18363">
      <c r="A18363" s="4" t="s">
        <v>23103</v>
      </c>
      <c r="B18363" s="4" t="s">
        <v>23106</v>
      </c>
      <c r="C18363" s="5" t="str">
        <f>IFERROR(__xludf.DUMMYFUNCTION("GOOGLETRANSLATE(B18363,""en"",""es-ES"")"),"Un hombre con una camisa amarilla toca el saxofón.")</f>
        <v>Un hombre con una camisa amarilla toca el saxofón.</v>
      </c>
    </row>
    <row r="18364">
      <c r="A18364" s="4" t="s">
        <v>23107</v>
      </c>
      <c r="B18364" s="4" t="s">
        <v>23108</v>
      </c>
      <c r="C18364" s="5" t="str">
        <f>IFERROR(__xludf.DUMMYFUNCTION("GOOGLETRANSLATE(B18364,""en"",""es-ES"")"),"Un joven se sienta y se acerca un tambor cerca de él.")</f>
        <v>Un joven se sienta y se acerca un tambor cerca de él.</v>
      </c>
    </row>
    <row r="18365">
      <c r="A18365" s="4" t="s">
        <v>23107</v>
      </c>
      <c r="B18365" s="4" t="s">
        <v>23109</v>
      </c>
      <c r="C18365" s="5" t="str">
        <f>IFERROR(__xludf.DUMMYFUNCTION("GOOGLETRANSLATE(B18365,""en"",""es-ES"")"),"Él recoge sus palos y los golpea.")</f>
        <v>Él recoge sus palos y los golpea.</v>
      </c>
    </row>
    <row r="18366">
      <c r="A18366" s="4" t="s">
        <v>23107</v>
      </c>
      <c r="B18366" s="4" t="s">
        <v>23110</v>
      </c>
      <c r="C18366" s="5" t="str">
        <f>IFERROR(__xludf.DUMMYFUNCTION("GOOGLETRANSLATE(B18366,""en"",""es-ES"")"),"Él comienza a contar y tambor.")</f>
        <v>Él comienza a contar y tambor.</v>
      </c>
    </row>
    <row r="18367">
      <c r="A18367" s="4" t="s">
        <v>23107</v>
      </c>
      <c r="B18367" s="4" t="s">
        <v>23111</v>
      </c>
      <c r="C18367" s="5" t="str">
        <f>IFERROR(__xludf.DUMMYFUNCTION("GOOGLETRANSLATE(B18367,""en"",""es-ES"")"),"Di tambalean más rápido mientras mira hacia otro lado y luego se detiene para ajustar algunos tambores.")</f>
        <v>Di tambalean más rápido mientras mira hacia otro lado y luego se detiene para ajustar algunos tambores.</v>
      </c>
    </row>
    <row r="18368">
      <c r="A18368" s="4" t="s">
        <v>23107</v>
      </c>
      <c r="B18368" s="4" t="s">
        <v>23112</v>
      </c>
      <c r="C18368" s="5" t="str">
        <f>IFERROR(__xludf.DUMMYFUNCTION("GOOGLETRANSLATE(B18368,""en"",""es-ES"")"),"Se levanta y mueve la cámara para mostrar una palanca que se mueve y luego toca la parte superior de un tambor una y otra vez.")</f>
        <v>Se levanta y mueve la cámara para mostrar una palanca que se mueve y luego toca la parte superior de un tambor una y otra vez.</v>
      </c>
    </row>
    <row r="18369">
      <c r="A18369" s="4" t="s">
        <v>23107</v>
      </c>
      <c r="B18369" s="4" t="s">
        <v>23113</v>
      </c>
      <c r="C18369" s="5" t="str">
        <f>IFERROR(__xludf.DUMMYFUNCTION("GOOGLETRANSLATE(B18369,""en"",""es-ES"")"),"Da un sofá y signo de paz.")</f>
        <v>Da un sofá y signo de paz.</v>
      </c>
    </row>
    <row r="18370">
      <c r="A18370" s="4" t="s">
        <v>23114</v>
      </c>
      <c r="B18370" s="4" t="s">
        <v>23115</v>
      </c>
      <c r="C18370" s="5" t="str">
        <f>IFERROR(__xludf.DUMMYFUNCTION("GOOGLETRANSLATE(B18370,""en"",""es-ES"")"),"Un hombre está sentado en un piano, tocando y cantando en un micrófono.")</f>
        <v>Un hombre está sentado en un piano, tocando y cantando en un micrófono.</v>
      </c>
    </row>
    <row r="18371">
      <c r="A18371" s="4" t="s">
        <v>23114</v>
      </c>
      <c r="B18371" s="4" t="s">
        <v>23116</v>
      </c>
      <c r="C18371" s="5" t="str">
        <f>IFERROR(__xludf.DUMMYFUNCTION("GOOGLETRANSLATE(B18371,""en"",""es-ES"")"),"Cuando termina, levanta la vista y sonríe.")</f>
        <v>Cuando termina, levanta la vista y sonríe.</v>
      </c>
    </row>
    <row r="18372">
      <c r="A18372" s="4" t="s">
        <v>23117</v>
      </c>
      <c r="B18372" s="4" t="s">
        <v>23118</v>
      </c>
      <c r="C18372" s="5" t="str">
        <f>IFERROR(__xludf.DUMMYFUNCTION("GOOGLETRANSLATE(B18372,""en"",""es-ES"")"),"Una atleta femenina corre rápidamente por una pista.")</f>
        <v>Una atleta femenina corre rápidamente por una pista.</v>
      </c>
    </row>
    <row r="18373">
      <c r="A18373" s="4" t="s">
        <v>23117</v>
      </c>
      <c r="B18373" s="4" t="s">
        <v>23119</v>
      </c>
      <c r="C18373" s="5" t="str">
        <f>IFERROR(__xludf.DUMMYFUNCTION("GOOGLETRANSLATE(B18373,""en"",""es-ES"")"),"Ella cae en la arena antes de levantarse y alejarse.")</f>
        <v>Ella cae en la arena antes de levantarse y alejarse.</v>
      </c>
    </row>
    <row r="18374">
      <c r="A18374" s="4" t="s">
        <v>23117</v>
      </c>
      <c r="B18374" s="4" t="s">
        <v>23120</v>
      </c>
      <c r="C18374" s="5" t="str">
        <f>IFERROR(__xludf.DUMMYFUNCTION("GOOGLETRANSLATE(B18374,""en"",""es-ES"")"),"La escena se repite tres veces antes de terminar con sus vítores y aplaudir.")</f>
        <v>La escena se repite tres veces antes de terminar con sus vítores y aplaudir.</v>
      </c>
    </row>
    <row r="18375">
      <c r="A18375" s="4" t="s">
        <v>23121</v>
      </c>
      <c r="B18375" s="4" t="s">
        <v>23122</v>
      </c>
      <c r="C18375" s="5" t="str">
        <f>IFERROR(__xludf.DUMMYFUNCTION("GOOGLETRANSLATE(B18375,""en"",""es-ES"")"),"Se ve a una persona colgando del costado de un rayo bajando mientras otro hombre lo sostiene.")</f>
        <v>Se ve a una persona colgando del costado de un rayo bajando mientras otro hombre lo sostiene.</v>
      </c>
    </row>
    <row r="18376">
      <c r="A18376" s="4" t="s">
        <v>23121</v>
      </c>
      <c r="B18376" s="4" t="s">
        <v>23123</v>
      </c>
      <c r="C18376" s="5" t="str">
        <f>IFERROR(__xludf.DUMMYFUNCTION("GOOGLETRANSLATE(B18376,""en"",""es-ES"")"),"Luego levanta al otro hombre y lo mira saltar al costado en un cordón.")</f>
        <v>Luego levanta al otro hombre y lo mira saltar al costado en un cordón.</v>
      </c>
    </row>
    <row r="18377">
      <c r="A18377" s="4" t="s">
        <v>23124</v>
      </c>
      <c r="B18377" s="4" t="s">
        <v>23125</v>
      </c>
      <c r="C18377" s="5" t="str">
        <f>IFERROR(__xludf.DUMMYFUNCTION("GOOGLETRANSLATE(B18377,""en"",""es-ES"")"),"Un hombre está en una adoración, hablando frente a un trozo de madera.")</f>
        <v>Un hombre está en una adoración, hablando frente a un trozo de madera.</v>
      </c>
    </row>
    <row r="18378">
      <c r="A18378" s="4" t="s">
        <v>23124</v>
      </c>
      <c r="B18378" s="4" t="s">
        <v>23126</v>
      </c>
      <c r="C18378" s="5" t="str">
        <f>IFERROR(__xludf.DUMMYFUNCTION("GOOGLETRANSLATE(B18378,""en"",""es-ES"")"),"Arena el trozo de madera hacia abajo, luego limpia el sellador o se mancha en la madera.")</f>
        <v>Arena el trozo de madera hacia abajo, luego limpia el sellador o se mancha en la madera.</v>
      </c>
    </row>
    <row r="18379">
      <c r="A18379" s="4" t="s">
        <v>23127</v>
      </c>
      <c r="B18379" s="4" t="s">
        <v>23128</v>
      </c>
      <c r="C18379" s="5" t="str">
        <f>IFERROR(__xludf.DUMMYFUNCTION("GOOGLETRANSLATE(B18379,""en"",""es-ES"")"),"Un hombre se agacha en el bosque junto a una pila de piedras.")</f>
        <v>Un hombre se agacha en el bosque junto a una pila de piedras.</v>
      </c>
    </row>
    <row r="18380">
      <c r="A18380" s="4" t="s">
        <v>23127</v>
      </c>
      <c r="B18380" s="4" t="s">
        <v>23129</v>
      </c>
      <c r="C18380" s="5" t="str">
        <f>IFERROR(__xludf.DUMMYFUNCTION("GOOGLETRANSLATE(B18380,""en"",""es-ES"")"),"Él está explicando la construcción de un incendio.")</f>
        <v>Él está explicando la construcción de un incendio.</v>
      </c>
    </row>
    <row r="18381">
      <c r="A18381" s="4" t="s">
        <v>23127</v>
      </c>
      <c r="B18381" s="4" t="s">
        <v>23130</v>
      </c>
      <c r="C18381" s="5" t="str">
        <f>IFERROR(__xludf.DUMMYFUNCTION("GOOGLETRANSLATE(B18381,""en"",""es-ES"")"),"Él enciende la madera, creando un fuego.")</f>
        <v>Él enciende la madera, creando un fuego.</v>
      </c>
    </row>
    <row r="18382">
      <c r="A18382" s="4" t="s">
        <v>23131</v>
      </c>
      <c r="B18382" s="4" t="s">
        <v>23132</v>
      </c>
      <c r="C18382" s="5" t="str">
        <f>IFERROR(__xludf.DUMMYFUNCTION("GOOGLETRANSLATE(B18382,""en"",""es-ES"")"),"La gente juega hockey en una pista de hielo.")</f>
        <v>La gente juega hockey en una pista de hielo.</v>
      </c>
    </row>
    <row r="18383">
      <c r="A18383" s="4" t="s">
        <v>23131</v>
      </c>
      <c r="B18383" s="4" t="s">
        <v>23133</v>
      </c>
      <c r="C18383" s="5" t="str">
        <f>IFERROR(__xludf.DUMMYFUNCTION("GOOGLETRANSLATE(B18383,""en"",""es-ES"")"),"Una persona cae sobre el hielo.")</f>
        <v>Una persona cae sobre el hielo.</v>
      </c>
    </row>
    <row r="18384">
      <c r="A18384" s="4" t="s">
        <v>23131</v>
      </c>
      <c r="B18384" s="4" t="s">
        <v>23134</v>
      </c>
      <c r="C18384" s="5" t="str">
        <f>IFERROR(__xludf.DUMMYFUNCTION("GOOGLETRANSLATE(B18384,""en"",""es-ES"")"),"Una persona corre después de un disco y vuelve a caer.")</f>
        <v>Una persona corre después de un disco y vuelve a caer.</v>
      </c>
    </row>
    <row r="18385">
      <c r="A18385" s="4" t="s">
        <v>23131</v>
      </c>
      <c r="B18385" s="4" t="s">
        <v>23135</v>
      </c>
      <c r="C18385" s="5" t="str">
        <f>IFERROR(__xludf.DUMMYFUNCTION("GOOGLETRANSLATE(B18385,""en"",""es-ES"")"),"Comienza a golpear el disco y vuelve a caer.")</f>
        <v>Comienza a golpear el disco y vuelve a caer.</v>
      </c>
    </row>
    <row r="18386">
      <c r="A18386" s="4" t="s">
        <v>23136</v>
      </c>
      <c r="B18386" s="4" t="s">
        <v>1487</v>
      </c>
      <c r="C18386" s="5" t="str">
        <f>IFERROR(__xludf.DUMMYFUNCTION("GOOGLETRANSLATE(B18386,""en"",""es-ES"")"),"Vemos una pantalla de título de apertura.")</f>
        <v>Vemos una pantalla de título de apertura.</v>
      </c>
    </row>
    <row r="18387">
      <c r="A18387" s="4" t="s">
        <v>23136</v>
      </c>
      <c r="B18387" s="4" t="s">
        <v>23137</v>
      </c>
      <c r="C18387" s="5" t="str">
        <f>IFERROR(__xludf.DUMMYFUNCTION("GOOGLETRANSLATE(B18387,""en"",""es-ES"")"),"Vemos a un hombre en una tienda con un esquí.")</f>
        <v>Vemos a un hombre en una tienda con un esquí.</v>
      </c>
    </row>
    <row r="18388">
      <c r="A18388" s="4" t="s">
        <v>23136</v>
      </c>
      <c r="B18388" s="4" t="s">
        <v>23138</v>
      </c>
      <c r="C18388" s="5" t="str">
        <f>IFERROR(__xludf.DUMMYFUNCTION("GOOGLETRANSLATE(B18388,""en"",""es-ES"")"),"El hombre nos muestra una lata de producto en el que se rocía y limpia un esquí.")</f>
        <v>El hombre nos muestra una lata de producto en el que se rocía y limpia un esquí.</v>
      </c>
    </row>
    <row r="18389">
      <c r="A18389" s="4" t="s">
        <v>23136</v>
      </c>
      <c r="B18389" s="4" t="s">
        <v>23139</v>
      </c>
      <c r="C18389" s="5" t="str">
        <f>IFERROR(__xludf.DUMMYFUNCTION("GOOGLETRANSLATE(B18389,""en"",""es-ES"")"),"El hombre luego sostiene el esquí para que lo veamos.")</f>
        <v>El hombre luego sostiene el esquí para que lo veamos.</v>
      </c>
    </row>
    <row r="18390">
      <c r="A18390" s="4" t="s">
        <v>23136</v>
      </c>
      <c r="B18390" s="4" t="s">
        <v>23140</v>
      </c>
      <c r="C18390" s="5" t="str">
        <f>IFERROR(__xludf.DUMMYFUNCTION("GOOGLETRANSLATE(B18390,""en"",""es-ES"")"),"Vemos dos productos de esquí y una pantalla final.")</f>
        <v>Vemos dos productos de esquí y una pantalla final.</v>
      </c>
    </row>
    <row r="18391">
      <c r="A18391" s="4" t="s">
        <v>23141</v>
      </c>
      <c r="B18391" s="4" t="s">
        <v>23142</v>
      </c>
      <c r="C18391" s="5" t="str">
        <f>IFERROR(__xludf.DUMMYFUNCTION("GOOGLETRANSLATE(B18391,""en"",""es-ES"")"),"Dos niños con cabello extremadamente largo están afuera cerca de un grupo de cobertizos.")</f>
        <v>Dos niños con cabello extremadamente largo están afuera cerca de un grupo de cobertizos.</v>
      </c>
    </row>
    <row r="18392">
      <c r="A18392" s="4" t="s">
        <v>23141</v>
      </c>
      <c r="B18392" s="4" t="s">
        <v>23143</v>
      </c>
      <c r="C18392" s="5" t="str">
        <f>IFERROR(__xludf.DUMMYFUNCTION("GOOGLETRANSLATE(B18392,""en"",""es-ES"")"),"El niño más corto comienza a tirar del cabello de los otros chicos y tirando de él por él.")</f>
        <v>El niño más corto comienza a tirar del cabello de los otros chicos y tirando de él por él.</v>
      </c>
    </row>
    <row r="18393">
      <c r="A18393" s="4" t="s">
        <v>23141</v>
      </c>
      <c r="B18393" s="4" t="s">
        <v>23144</v>
      </c>
      <c r="C18393" s="5" t="str">
        <f>IFERROR(__xludf.DUMMYFUNCTION("GOOGLETRANSLATE(B18393,""en"",""es-ES"")"),"Sin embargo, el niño deja ir el cabello de los chicos y el tipo comienza a rodarlo en el área privada, lo levanta sobre su cabeza y lo deja caer sobre un trozo de madera.")</f>
        <v>Sin embargo, el niño deja ir el cabello de los chicos y el tipo comienza a rodarlo en el área privada, lo levanta sobre su cabeza y lo deja caer sobre un trozo de madera.</v>
      </c>
    </row>
    <row r="18394">
      <c r="A18394" s="4" t="s">
        <v>23145</v>
      </c>
      <c r="B18394" s="4" t="s">
        <v>23146</v>
      </c>
      <c r="C18394" s="5" t="str">
        <f>IFERROR(__xludf.DUMMYFUNCTION("GOOGLETRANSLATE(B18394,""en"",""es-ES"")"),"Hay muchas personas vestidas sentadas en un gran comedor en una recepción.")</f>
        <v>Hay muchas personas vestidas sentadas en un gran comedor en una recepción.</v>
      </c>
    </row>
    <row r="18395">
      <c r="A18395" s="4" t="s">
        <v>23145</v>
      </c>
      <c r="B18395" s="4" t="s">
        <v>23147</v>
      </c>
      <c r="C18395" s="5" t="str">
        <f>IFERROR(__xludf.DUMMYFUNCTION("GOOGLETRANSLATE(B18395,""en"",""es-ES"")"),"Una mujer morena golpea a una mujer rubia en la espalda, señala algo en el suelo, y las mujeres sonríen con la mujer rubia se inclina y recoge su suéter que estaba en el suelo.")</f>
        <v>Una mujer morena golpea a una mujer rubia en la espalda, señala algo en el suelo, y las mujeres sonríen con la mujer rubia se inclina y recoge su suéter que estaba en el suelo.</v>
      </c>
    </row>
    <row r="18396">
      <c r="A18396" s="4" t="s">
        <v>23145</v>
      </c>
      <c r="B18396" s="4" t="s">
        <v>23148</v>
      </c>
      <c r="C18396" s="5" t="str">
        <f>IFERROR(__xludf.DUMMYFUNCTION("GOOGLETRANSLATE(B18396,""en"",""es-ES"")"),"Una mujer vestida con un vestido azul que fluye con un cuerpo azul debajo está de pie, y comienza a hacer una rutina de baile de ballet en el medio del gran piso de baile mientras las personas en el área de recepción la están mirando cada movimiento, toma"&amp;"ndo una foto y una foto y Video en video.")</f>
        <v>Una mujer vestida con un vestido azul que fluye con un cuerpo azul debajo está de pie, y comienza a hacer una rutina de baile de ballet en el medio del gran piso de baile mientras las personas en el área de recepción la están mirando cada movimiento, tomando una foto y una foto y Video en video.</v>
      </c>
    </row>
    <row r="18397">
      <c r="A18397" s="4" t="s">
        <v>23145</v>
      </c>
      <c r="B18397" s="4" t="s">
        <v>23149</v>
      </c>
      <c r="C18397" s="5" t="str">
        <f>IFERROR(__xludf.DUMMYFUNCTION("GOOGLETRANSLATE(B18397,""en"",""es-ES"")"),"Cuando la mujer termina de bailar, se queda allí con los brazos cruzados en su pecho y la multitud aplaude, y le da una ovación de pie mientras ella toma algunos arcos.")</f>
        <v>Cuando la mujer termina de bailar, se queda allí con los brazos cruzados en su pecho y la multitud aplaude, y le da una ovación de pie mientras ella toma algunos arcos.</v>
      </c>
    </row>
    <row r="18398">
      <c r="A18398" s="4" t="s">
        <v>23150</v>
      </c>
      <c r="B18398" s="4" t="s">
        <v>23151</v>
      </c>
      <c r="C18398" s="5" t="str">
        <f>IFERROR(__xludf.DUMMYFUNCTION("GOOGLETRANSLATE(B18398,""en"",""es-ES"")"),"La mujer está parada frente a las fichas y cartas de póker.")</f>
        <v>La mujer está parada frente a las fichas y cartas de póker.</v>
      </c>
    </row>
    <row r="18399">
      <c r="A18399" s="4" t="s">
        <v>23150</v>
      </c>
      <c r="B18399" s="4" t="s">
        <v>23152</v>
      </c>
      <c r="C18399" s="5" t="str">
        <f>IFERROR(__xludf.DUMMYFUNCTION("GOOGLETRANSLATE(B18399,""en"",""es-ES"")"),"Ella gira las cartas y las mezcla.")</f>
        <v>Ella gira las cartas y las mezcla.</v>
      </c>
    </row>
    <row r="18400">
      <c r="A18400" s="4" t="s">
        <v>23150</v>
      </c>
      <c r="B18400" s="4" t="s">
        <v>23153</v>
      </c>
      <c r="C18400" s="5" t="str">
        <f>IFERROR(__xludf.DUMMYFUNCTION("GOOGLETRANSLATE(B18400,""en"",""es-ES"")"),"Las tarjetas están en una pila y las dividen en 4 y la mezclan.")</f>
        <v>Las tarjetas están en una pila y las dividen en 4 y la mezclan.</v>
      </c>
    </row>
    <row r="18401">
      <c r="A18401" s="4" t="s">
        <v>23150</v>
      </c>
      <c r="B18401" s="4" t="s">
        <v>23154</v>
      </c>
      <c r="C18401" s="5" t="str">
        <f>IFERROR(__xludf.DUMMYFUNCTION("GOOGLETRANSLATE(B18401,""en"",""es-ES"")"),"Las tarjetas están en una pila y otra persona la dividen en dos y las pone en una caja transparente.")</f>
        <v>Las tarjetas están en una pila y otra persona la dividen en dos y las pone en una caja transparente.</v>
      </c>
    </row>
    <row r="18402">
      <c r="A18402" s="4" t="s">
        <v>23155</v>
      </c>
      <c r="B18402" s="4" t="s">
        <v>23156</v>
      </c>
      <c r="C18402" s="5" t="str">
        <f>IFERROR(__xludf.DUMMYFUNCTION("GOOGLETRANSLATE(B18402,""en"",""es-ES"")"),"Una niña muestra cómo hornear galletas desde cero.")</f>
        <v>Una niña muestra cómo hornear galletas desde cero.</v>
      </c>
    </row>
    <row r="18403">
      <c r="A18403" s="4" t="s">
        <v>23155</v>
      </c>
      <c r="B18403" s="4" t="s">
        <v>23157</v>
      </c>
      <c r="C18403" s="5" t="str">
        <f>IFERROR(__xludf.DUMMYFUNCTION("GOOGLETRANSLATE(B18403,""en"",""es-ES"")"),"Los ingredientes se agregan, revuelven y luego la mezcla se coloca en el horno.")</f>
        <v>Los ingredientes se agregan, revuelven y luego la mezcla se coloca en el horno.</v>
      </c>
    </row>
    <row r="18404">
      <c r="A18404" s="4" t="s">
        <v>23158</v>
      </c>
      <c r="B18404" s="4" t="s">
        <v>23159</v>
      </c>
      <c r="C18404" s="5" t="str">
        <f>IFERROR(__xludf.DUMMYFUNCTION("GOOGLETRANSLATE(B18404,""en"",""es-ES"")"),"Hay una mujer en un impermeable negro parado junto a una cerca de madera.")</f>
        <v>Hay una mujer en un impermeable negro parado junto a una cerca de madera.</v>
      </c>
    </row>
    <row r="18405">
      <c r="A18405" s="4" t="s">
        <v>23158</v>
      </c>
      <c r="B18405" s="4" t="s">
        <v>23160</v>
      </c>
      <c r="C18405" s="5" t="str">
        <f>IFERROR(__xludf.DUMMYFUNCTION("GOOGLETRANSLATE(B18405,""en"",""es-ES"")"),"Se le une a una niña con una chaqueta de lunares que le trae pintura verde.")</f>
        <v>Se le une a una niña con una chaqueta de lunares que le trae pintura verde.</v>
      </c>
    </row>
    <row r="18406">
      <c r="A18406" s="4" t="s">
        <v>23158</v>
      </c>
      <c r="B18406" s="4" t="s">
        <v>23161</v>
      </c>
      <c r="C18406" s="5" t="str">
        <f>IFERROR(__xludf.DUMMYFUNCTION("GOOGLETRANSLATE(B18406,""en"",""es-ES"")"),"La mujer comienza a pintar la cerca con un arbusto.")</f>
        <v>La mujer comienza a pintar la cerca con un arbusto.</v>
      </c>
    </row>
    <row r="18407">
      <c r="A18407" s="4" t="s">
        <v>23158</v>
      </c>
      <c r="B18407" s="4" t="s">
        <v>23162</v>
      </c>
      <c r="C18407" s="5" t="str">
        <f>IFERROR(__xludf.DUMMYFUNCTION("GOOGLETRANSLATE(B18407,""en"",""es-ES"")"),"Hay varias otras personas en el vecindario que se ven voluntarios para pintar la cerca con pintura verde.")</f>
        <v>Hay varias otras personas en el vecindario que se ven voluntarios para pintar la cerca con pintura verde.</v>
      </c>
    </row>
    <row r="18408">
      <c r="A18408" s="4" t="s">
        <v>23158</v>
      </c>
      <c r="B18408" s="4" t="s">
        <v>23163</v>
      </c>
      <c r="C18408" s="5" t="str">
        <f>IFERROR(__xludf.DUMMYFUNCTION("GOOGLETRANSLATE(B18408,""en"",""es-ES"")"),"Los voluntarios están siendo entrevistados.")</f>
        <v>Los voluntarios están siendo entrevistados.</v>
      </c>
    </row>
    <row r="18409">
      <c r="A18409" s="4" t="s">
        <v>23158</v>
      </c>
      <c r="B18409" s="4" t="s">
        <v>23164</v>
      </c>
      <c r="C18409" s="5" t="str">
        <f>IFERROR(__xludf.DUMMYFUNCTION("GOOGLETRANSLATE(B18409,""en"",""es-ES"")"),"Hay dos niños vestidos con disfraces de Batman parados allí.")</f>
        <v>Hay dos niños vestidos con disfraces de Batman parados allí.</v>
      </c>
    </row>
    <row r="18410">
      <c r="A18410" s="4" t="s">
        <v>23158</v>
      </c>
      <c r="B18410" s="4" t="s">
        <v>23165</v>
      </c>
      <c r="C18410" s="5" t="str">
        <f>IFERROR(__xludf.DUMMYFUNCTION("GOOGLETRANSLATE(B18410,""en"",""es-ES"")"),"Los voluntarios continúan pintando la cerca.")</f>
        <v>Los voluntarios continúan pintando la cerca.</v>
      </c>
    </row>
    <row r="18411">
      <c r="A18411" s="4" t="s">
        <v>23158</v>
      </c>
      <c r="B18411" s="4" t="s">
        <v>23166</v>
      </c>
      <c r="C18411" s="5" t="str">
        <f>IFERROR(__xludf.DUMMYFUNCTION("GOOGLETRANSLATE(B18411,""en"",""es-ES"")"),"Algunas personas de la comunidad se reúnen alrededor del estacionamiento.")</f>
        <v>Algunas personas de la comunidad se reúnen alrededor del estacionamiento.</v>
      </c>
    </row>
    <row r="18412">
      <c r="A18412" s="4" t="s">
        <v>23158</v>
      </c>
      <c r="B18412" s="4" t="s">
        <v>23167</v>
      </c>
      <c r="C18412" s="5" t="str">
        <f>IFERROR(__xludf.DUMMYFUNCTION("GOOGLETRANSLATE(B18412,""en"",""es-ES"")"),"La gente continúa pintando la cerca.")</f>
        <v>La gente continúa pintando la cerca.</v>
      </c>
    </row>
    <row r="18413">
      <c r="A18413" s="4" t="s">
        <v>23168</v>
      </c>
      <c r="B18413" s="4" t="s">
        <v>23169</v>
      </c>
      <c r="C18413" s="5" t="str">
        <f>IFERROR(__xludf.DUMMYFUNCTION("GOOGLETRANSLATE(B18413,""en"",""es-ES"")"),"Varios paisajes de montaña se muestran desde diferentes ángulos.")</f>
        <v>Varios paisajes de montaña se muestran desde diferentes ángulos.</v>
      </c>
    </row>
    <row r="18414">
      <c r="A18414" s="4" t="s">
        <v>23168</v>
      </c>
      <c r="B18414" s="4" t="s">
        <v>23170</v>
      </c>
      <c r="C18414" s="5" t="str">
        <f>IFERROR(__xludf.DUMMYFUNCTION("GOOGLETRANSLATE(B18414,""en"",""es-ES"")"),"Un soldado toca una gaita en una escena de montaña.")</f>
        <v>Un soldado toca una gaita en una escena de montaña.</v>
      </c>
    </row>
    <row r="18415">
      <c r="A18415" s="4" t="s">
        <v>23171</v>
      </c>
      <c r="B18415" s="4" t="s">
        <v>23172</v>
      </c>
      <c r="C18415" s="5" t="str">
        <f>IFERROR(__xludf.DUMMYFUNCTION("GOOGLETRANSLATE(B18415,""en"",""es-ES"")"),"Se muestran varios clips de paisajes, así como personas que viajan en botes y un hombre que habla con la cámara.")</f>
        <v>Se muestran varios clips de paisajes, así como personas que viajan en botes y un hombre que habla con la cámara.</v>
      </c>
    </row>
    <row r="18416">
      <c r="A18416" s="4" t="s">
        <v>23171</v>
      </c>
      <c r="B18416" s="4" t="s">
        <v>23173</v>
      </c>
      <c r="C18416" s="5" t="str">
        <f>IFERROR(__xludf.DUMMYFUNCTION("GOOGLETRANSLATE(B18416,""en"",""es-ES"")"),"El hombre se sumerge en el agua y se muestra en varios clips nadando y los pescados avanzando también.")</f>
        <v>El hombre se sumerge en el agua y se muestra en varios clips nadando y los pescados avanzando también.</v>
      </c>
    </row>
    <row r="18417">
      <c r="A18417" s="4" t="s">
        <v>23171</v>
      </c>
      <c r="B18417" s="4" t="s">
        <v>23174</v>
      </c>
      <c r="C18417" s="5" t="str">
        <f>IFERROR(__xludf.DUMMYFUNCTION("GOOGLETRANSLATE(B18417,""en"",""es-ES"")"),"El hombre da gestos con la mano a la cámara y nada a la superficie cuando otro hombre agarra su equipo y habla con la cámara.")</f>
        <v>El hombre da gestos con la mano a la cámara y nada a la superficie cuando otro hombre agarra su equipo y habla con la cámara.</v>
      </c>
    </row>
    <row r="18418">
      <c r="A18418" s="4" t="s">
        <v>23171</v>
      </c>
      <c r="B18418" s="4" t="s">
        <v>23175</v>
      </c>
      <c r="C18418" s="5" t="str">
        <f>IFERROR(__xludf.DUMMYFUNCTION("GOOGLETRANSLATE(B18418,""en"",""es-ES"")"),"Más hombres hablan con la cámara mientras salta.")</f>
        <v>Más hombres hablan con la cámara mientras salta.</v>
      </c>
    </row>
    <row r="18419">
      <c r="A18419" s="4" t="s">
        <v>23176</v>
      </c>
      <c r="B18419" s="4" t="s">
        <v>23177</v>
      </c>
      <c r="C18419" s="5" t="str">
        <f>IFERROR(__xludf.DUMMYFUNCTION("GOOGLETRANSLATE(B18419,""en"",""es-ES"")"),"Una introducción conduce a dos hombres cercados en un campo.")</f>
        <v>Una introducción conduce a dos hombres cercados en un campo.</v>
      </c>
    </row>
    <row r="18420">
      <c r="A18420" s="4" t="s">
        <v>23176</v>
      </c>
      <c r="B18420" s="4" t="s">
        <v>23178</v>
      </c>
      <c r="C18420" s="5" t="str">
        <f>IFERROR(__xludf.DUMMYFUNCTION("GOOGLETRANSLATE(B18420,""en"",""es-ES"")"),"Se muestran varios disparos de los hombres que se pegan espadas entre sí y el otro bloqueo.")</f>
        <v>Se muestran varios disparos de los hombres que se pegan espadas entre sí y el otro bloqueo.</v>
      </c>
    </row>
    <row r="18421">
      <c r="A18421" s="4" t="s">
        <v>23176</v>
      </c>
      <c r="B18421" s="4" t="s">
        <v>23179</v>
      </c>
      <c r="C18421" s="5" t="str">
        <f>IFERROR(__xludf.DUMMYFUNCTION("GOOGLETRANSLATE(B18421,""en"",""es-ES"")"),"Entre los clips se muestran del boxeo de los hombres.")</f>
        <v>Entre los clips se muestran del boxeo de los hombres.</v>
      </c>
    </row>
    <row r="18422">
      <c r="A18422" s="4" t="s">
        <v>23180</v>
      </c>
      <c r="B18422" s="4" t="s">
        <v>23181</v>
      </c>
      <c r="C18422" s="5" t="str">
        <f>IFERROR(__xludf.DUMMYFUNCTION("GOOGLETRANSLATE(B18422,""en"",""es-ES"")"),"Caminando por el aeropuerto, volando en un avión y conduciendo por la carretera que llegan a donde van.")</f>
        <v>Caminando por el aeropuerto, volando en un avión y conduciendo por la carretera que llegan a donde van.</v>
      </c>
    </row>
    <row r="18423">
      <c r="A18423" s="4" t="s">
        <v>23180</v>
      </c>
      <c r="B18423" s="4" t="s">
        <v>23182</v>
      </c>
      <c r="C18423" s="5" t="str">
        <f>IFERROR(__xludf.DUMMYFUNCTION("GOOGLETRANSLATE(B18423,""en"",""es-ES"")"),"Un hombre con una máscara blanca se está preparando para ir al salto saltando de un acantilado muy alto, se para con los brazos afuera como si estuvieran alas en el borde.")</f>
        <v>Un hombre con una máscara blanca se está preparando para ir al salto saltando de un acantilado muy alto, se para con los brazos afuera como si estuvieran alas en el borde.</v>
      </c>
    </row>
    <row r="18424">
      <c r="A18424" s="4" t="s">
        <v>23180</v>
      </c>
      <c r="B18424" s="4" t="s">
        <v>23183</v>
      </c>
      <c r="C18424" s="5" t="str">
        <f>IFERROR(__xludf.DUMMYFUNCTION("GOOGLETRANSLATE(B18424,""en"",""es-ES"")"),"Luego salta hacia abajo, cayendo de una altura muy alta, otro hombre lo sigue y luego el camarógrafo mismo toma el salto grabando toda la caída.")</f>
        <v>Luego salta hacia abajo, cayendo de una altura muy alta, otro hombre lo sigue y luego el camarógrafo mismo toma el salto grabando toda la caída.</v>
      </c>
    </row>
    <row r="18425">
      <c r="A18425" s="4" t="s">
        <v>23180</v>
      </c>
      <c r="B18425" s="4" t="s">
        <v>23184</v>
      </c>
      <c r="C18425" s="5" t="str">
        <f>IFERROR(__xludf.DUMMYFUNCTION("GOOGLETRANSLATE(B18425,""en"",""es-ES"")"),"Todos se turnan para saltar, una de ellas incluso baja hacia atrás.")</f>
        <v>Todos se turnan para saltar, una de ellas incluso baja hacia atrás.</v>
      </c>
    </row>
    <row r="18426">
      <c r="A18426" s="4" t="s">
        <v>23185</v>
      </c>
      <c r="B18426" s="4" t="s">
        <v>23186</v>
      </c>
      <c r="C18426" s="5" t="str">
        <f>IFERROR(__xludf.DUMMYFUNCTION("GOOGLETRANSLATE(B18426,""en"",""es-ES"")"),"Una cámara se mueve alrededor de un área nevada y conduce a un hombre que sostiene un acordeón y comienza a jugar.")</f>
        <v>Una cámara se mueve alrededor de un área nevada y conduce a un hombre que sostiene un acordeón y comienza a jugar.</v>
      </c>
    </row>
    <row r="18427">
      <c r="A18427" s="4" t="s">
        <v>23185</v>
      </c>
      <c r="B18427" s="4" t="s">
        <v>23187</v>
      </c>
      <c r="C18427" s="5" t="str">
        <f>IFERROR(__xludf.DUMMYFUNCTION("GOOGLETRANSLATE(B18427,""en"",""es-ES"")"),"El hombre continúa tocando el instrumento mientras la cámara muestra más paisajes de áreas nevadas y el hombre continúa jugando.")</f>
        <v>El hombre continúa tocando el instrumento mientras la cámara muestra más paisajes de áreas nevadas y el hombre continúa jugando.</v>
      </c>
    </row>
    <row r="18428">
      <c r="A18428" s="4" t="s">
        <v>23188</v>
      </c>
      <c r="B18428" s="4" t="s">
        <v>23189</v>
      </c>
      <c r="C18428" s="5" t="str">
        <f>IFERROR(__xludf.DUMMYFUNCTION("GOOGLETRANSLATE(B18428,""en"",""es-ES"")"),"Una envoltura de Sun Capri en una pila de rocas en el suelo con un montón de aserrín.")</f>
        <v>Una envoltura de Sun Capri en una pila de rocas en el suelo con un montón de aserrín.</v>
      </c>
    </row>
    <row r="18429">
      <c r="A18429" s="4" t="s">
        <v>23188</v>
      </c>
      <c r="B18429" s="4" t="s">
        <v>23190</v>
      </c>
      <c r="C18429" s="5" t="str">
        <f>IFERROR(__xludf.DUMMYFUNCTION("GOOGLETRANSLATE(B18429,""en"",""es-ES"")"),"Vemos un montón de palos a la izquierda y vemos un pedernal.")</f>
        <v>Vemos un montón de palos a la izquierda y vemos un pedernal.</v>
      </c>
    </row>
    <row r="18430">
      <c r="A18430" s="4" t="s">
        <v>23188</v>
      </c>
      <c r="B18430" s="4" t="s">
        <v>23191</v>
      </c>
      <c r="C18430" s="5" t="str">
        <f>IFERROR(__xludf.DUMMYFUNCTION("GOOGLETRANSLATE(B18430,""en"",""es-ES"")"),"La persona golpea el pedernal y una llama se sienta sobre él.")</f>
        <v>La persona golpea el pedernal y una llama se sienta sobre él.</v>
      </c>
    </row>
    <row r="18431">
      <c r="A18431" s="4" t="s">
        <v>23188</v>
      </c>
      <c r="B18431" s="4" t="s">
        <v>23192</v>
      </c>
      <c r="C18431" s="5" t="str">
        <f>IFERROR(__xludf.DUMMYFUNCTION("GOOGLETRANSLATE(B18431,""en"",""es-ES"")"),"La persona luego pone un puñado de ramitas en el fuego.")</f>
        <v>La persona luego pone un puñado de ramitas en el fuego.</v>
      </c>
    </row>
    <row r="18432">
      <c r="A18432" s="4" t="s">
        <v>23188</v>
      </c>
      <c r="B18432" s="4" t="s">
        <v>23193</v>
      </c>
      <c r="C18432" s="5" t="str">
        <f>IFERROR(__xludf.DUMMYFUNCTION("GOOGLETRANSLATE(B18432,""en"",""es-ES"")"),"El fuego crece y el camarógrafo retrocede para mostrar las rocas que rodean el fuego.")</f>
        <v>El fuego crece y el camarógrafo retrocede para mostrar las rocas que rodean el fuego.</v>
      </c>
    </row>
    <row r="18433">
      <c r="A18433" s="4" t="s">
        <v>23194</v>
      </c>
      <c r="B18433" s="4" t="s">
        <v>23195</v>
      </c>
      <c r="C18433" s="5" t="str">
        <f>IFERROR(__xludf.DUMMYFUNCTION("GOOGLETRANSLATE(B18433,""en"",""es-ES"")"),"Dos hombres están sentados en una habitación con cuatro congos frente a ellos jugando.")</f>
        <v>Dos hombres están sentados en una habitación con cuatro congos frente a ellos jugando.</v>
      </c>
    </row>
    <row r="18434">
      <c r="A18434" s="4" t="s">
        <v>23194</v>
      </c>
      <c r="B18434" s="4" t="s">
        <v>23196</v>
      </c>
      <c r="C18434" s="5" t="str">
        <f>IFERROR(__xludf.DUMMYFUNCTION("GOOGLETRANSLATE(B18434,""en"",""es-ES"")"),"Ambos están al unísono y están usando las partes de su cuerpo como parte de su rutina para hacer diferentes sonidos.")</f>
        <v>Ambos están al unísono y están usando las partes de su cuerpo como parte de su rutina para hacer diferentes sonidos.</v>
      </c>
    </row>
    <row r="18435">
      <c r="A18435" s="4" t="s">
        <v>23194</v>
      </c>
      <c r="B18435" s="4" t="s">
        <v>23197</v>
      </c>
      <c r="C18435" s="5" t="str">
        <f>IFERROR(__xludf.DUMMYFUNCTION("GOOGLETRANSLATE(B18435,""en"",""es-ES"")"),"Los hombres toman una pausa extremadamente breve antes de golpear rápidamente el Congo y terminan señalándose con el dedo el uno al otro.")</f>
        <v>Los hombres toman una pausa extremadamente breve antes de golpear rápidamente el Congo y terminan señalándose con el dedo el uno al otro.</v>
      </c>
    </row>
    <row r="18436">
      <c r="A18436" s="4" t="s">
        <v>23198</v>
      </c>
      <c r="B18436" s="4" t="s">
        <v>23199</v>
      </c>
      <c r="C18436" s="5" t="str">
        <f>IFERROR(__xludf.DUMMYFUNCTION("GOOGLETRANSLATE(B18436,""en"",""es-ES"")"),"Se ve a dos personas sentadas en bicicletas de tierra hablando con la cámara con una tierra de pala y la otra cabalgando.")</f>
        <v>Se ve a dos personas sentadas en bicicletas de tierra hablando con la cámara con una tierra de pala y la otra cabalgando.</v>
      </c>
    </row>
    <row r="18437">
      <c r="A18437" s="4" t="s">
        <v>23198</v>
      </c>
      <c r="B18437" s="4" t="s">
        <v>23200</v>
      </c>
      <c r="C18437" s="5" t="str">
        <f>IFERROR(__xludf.DUMMYFUNCTION("GOOGLETRANSLATE(B18437,""en"",""es-ES"")"),"Luego se muestran varias tomas de las dos bicicletas de tierra a lo largo de un sendero mientras se detienen para hacer un gesto a la cámara de vez en cuando.")</f>
        <v>Luego se muestran varias tomas de las dos bicicletas de tierra a lo largo de un sendero mientras se detienen para hacer un gesto a la cámara de vez en cuando.</v>
      </c>
    </row>
    <row r="18438">
      <c r="A18438" s="4" t="s">
        <v>23201</v>
      </c>
      <c r="B18438" s="4" t="s">
        <v>23202</v>
      </c>
      <c r="C18438" s="5" t="str">
        <f>IFERROR(__xludf.DUMMYFUNCTION("GOOGLETRANSLATE(B18438,""en"",""es-ES"")"),"Una mujer en una playa comienza a construir un castillo de arena.")</f>
        <v>Una mujer en una playa comienza a construir un castillo de arena.</v>
      </c>
    </row>
    <row r="18439">
      <c r="A18439" s="4" t="s">
        <v>23201</v>
      </c>
      <c r="B18439" s="4" t="s">
        <v>23203</v>
      </c>
      <c r="C18439" s="5" t="str">
        <f>IFERROR(__xludf.DUMMYFUNCTION("GOOGLETRANSLATE(B18439,""en"",""es-ES"")"),"Se acerca un hombre y comienza a construir el castillo de arena con ella.")</f>
        <v>Se acerca un hombre y comienza a construir el castillo de arena con ella.</v>
      </c>
    </row>
    <row r="18440">
      <c r="A18440" s="4" t="s">
        <v>23201</v>
      </c>
      <c r="B18440" s="4" t="s">
        <v>23204</v>
      </c>
      <c r="C18440" s="5" t="str">
        <f>IFERROR(__xludf.DUMMYFUNCTION("GOOGLETRANSLATE(B18440,""en"",""es-ES"")"),"Varias personas pasan mientras continúan construyendo el castillo.")</f>
        <v>Varias personas pasan mientras continúan construyendo el castillo.</v>
      </c>
    </row>
    <row r="18441">
      <c r="A18441" s="4" t="s">
        <v>23205</v>
      </c>
      <c r="B18441" s="4" t="s">
        <v>23206</v>
      </c>
      <c r="C18441" s="5" t="str">
        <f>IFERROR(__xludf.DUMMYFUNCTION("GOOGLETRANSLATE(B18441,""en"",""es-ES"")"),"Una mujer con una chaqueta está lavando ropa en un fregadero.")</f>
        <v>Una mujer con una chaqueta está lavando ropa en un fregadero.</v>
      </c>
    </row>
    <row r="18442">
      <c r="A18442" s="4" t="s">
        <v>23205</v>
      </c>
      <c r="B18442" s="4" t="s">
        <v>23207</v>
      </c>
      <c r="C18442" s="5" t="str">
        <f>IFERROR(__xludf.DUMMYFUNCTION("GOOGLETRANSLATE(B18442,""en"",""es-ES"")"),"Ella vierte agua en un tazón azul.")</f>
        <v>Ella vierte agua en un tazón azul.</v>
      </c>
    </row>
    <row r="18443">
      <c r="A18443" s="4" t="s">
        <v>23205</v>
      </c>
      <c r="B18443" s="4" t="s">
        <v>23208</v>
      </c>
      <c r="C18443" s="5" t="str">
        <f>IFERROR(__xludf.DUMMYFUNCTION("GOOGLETRANSLATE(B18443,""en"",""es-ES"")"),"Ella pone ropa en los cubos de agua que están en el fregadero.")</f>
        <v>Ella pone ropa en los cubos de agua que están en el fregadero.</v>
      </c>
    </row>
    <row r="18444">
      <c r="A18444" s="4" t="s">
        <v>23205</v>
      </c>
      <c r="B18444" s="4" t="s">
        <v>23209</v>
      </c>
      <c r="C18444" s="5" t="str">
        <f>IFERROR(__xludf.DUMMYFUNCTION("GOOGLETRANSLATE(B18444,""en"",""es-ES"")"),"Se muestra una lavadora blanca que está desconectada.")</f>
        <v>Se muestra una lavadora blanca que está desconectada.</v>
      </c>
    </row>
    <row r="18445">
      <c r="A18445" s="4" t="s">
        <v>23205</v>
      </c>
      <c r="B18445" s="4" t="s">
        <v>23210</v>
      </c>
      <c r="C18445" s="5" t="str">
        <f>IFERROR(__xludf.DUMMYFUNCTION("GOOGLETRANSLATE(B18445,""en"",""es-ES"")"),"La mujer continúa lavando la ropa en el fregadero.")</f>
        <v>La mujer continúa lavando la ropa en el fregadero.</v>
      </c>
    </row>
    <row r="18446">
      <c r="A18446" s="4" t="s">
        <v>23205</v>
      </c>
      <c r="B18446" s="4" t="s">
        <v>23211</v>
      </c>
      <c r="C18446" s="5" t="str">
        <f>IFERROR(__xludf.DUMMYFUNCTION("GOOGLETRANSLATE(B18446,""en"",""es-ES"")"),"Ella se acerca y saca la tapa de un gran cubo de agua en el suelo.")</f>
        <v>Ella se acerca y saca la tapa de un gran cubo de agua en el suelo.</v>
      </c>
    </row>
    <row r="18447">
      <c r="A18447" s="4" t="s">
        <v>23205</v>
      </c>
      <c r="B18447" s="4" t="s">
        <v>23212</v>
      </c>
      <c r="C18447" s="5" t="str">
        <f>IFERROR(__xludf.DUMMYFUNCTION("GOOGLETRANSLATE(B18447,""en"",""es-ES"")"),"Ella sumerge una olla en el cubo y arroja el agua al fregadero.")</f>
        <v>Ella sumerge una olla en el cubo y arroja el agua al fregadero.</v>
      </c>
    </row>
    <row r="18448">
      <c r="A18448" s="4" t="s">
        <v>23213</v>
      </c>
      <c r="B18448" s="4" t="s">
        <v>23214</v>
      </c>
      <c r="C18448" s="5" t="str">
        <f>IFERROR(__xludf.DUMMYFUNCTION("GOOGLETRANSLATE(B18448,""en"",""es-ES"")"),"Un toro corre alrededor de un bolígrafo e intenta golpear al payaso con sus cuernos.")</f>
        <v>Un toro corre alrededor de un bolígrafo e intenta golpear al payaso con sus cuernos.</v>
      </c>
    </row>
    <row r="18449">
      <c r="A18449" s="4" t="s">
        <v>23213</v>
      </c>
      <c r="B18449" s="4" t="s">
        <v>23215</v>
      </c>
      <c r="C18449" s="5" t="str">
        <f>IFERROR(__xludf.DUMMYFUNCTION("GOOGLETRANSLATE(B18449,""en"",""es-ES"")"),"Un chico salta sobre una cerca para alejarse del toro.")</f>
        <v>Un chico salta sobre una cerca para alejarse del toro.</v>
      </c>
    </row>
    <row r="18450">
      <c r="A18450" s="4" t="s">
        <v>23213</v>
      </c>
      <c r="B18450" s="4" t="s">
        <v>23216</v>
      </c>
      <c r="C18450" s="5" t="str">
        <f>IFERROR(__xludf.DUMMYFUNCTION("GOOGLETRANSLATE(B18450,""en"",""es-ES"")"),"Un payaso se esconde detrás de un barril rojo.")</f>
        <v>Un payaso se esconde detrás de un barril rojo.</v>
      </c>
    </row>
    <row r="18451">
      <c r="A18451" s="4" t="s">
        <v>23213</v>
      </c>
      <c r="B18451" s="4" t="s">
        <v>23217</v>
      </c>
      <c r="C18451" s="5" t="str">
        <f>IFERROR(__xludf.DUMMYFUNCTION("GOOGLETRANSLATE(B18451,""en"",""es-ES"")"),"El hombre cae al suelo perseguido por el toro.")</f>
        <v>El hombre cae al suelo perseguido por el toro.</v>
      </c>
    </row>
    <row r="18452">
      <c r="A18452" s="4" t="s">
        <v>23218</v>
      </c>
      <c r="B18452" s="4" t="s">
        <v>23219</v>
      </c>
      <c r="C18452" s="5" t="str">
        <f>IFERROR(__xludf.DUMMYFUNCTION("GOOGLETRANSLATE(B18452,""en"",""es-ES"")"),"Un ejercicio de gimnasta en las barras paralelas, mientras que el entrenador da instrucciones y arregla una colchoneta.")</f>
        <v>Un ejercicio de gimnasta en las barras paralelas, mientras que el entrenador da instrucciones y arregla una colchoneta.</v>
      </c>
    </row>
    <row r="18453">
      <c r="A18453" s="4" t="s">
        <v>23218</v>
      </c>
      <c r="B18453" s="4" t="s">
        <v>23220</v>
      </c>
      <c r="C18453" s="5" t="str">
        <f>IFERROR(__xludf.DUMMYFUNCTION("GOOGLETRANSLATE(B18453,""en"",""es-ES"")"),"Luego, la gimnasta gira en la barra alta, luego voltea y cae en el tapete.")</f>
        <v>Luego, la gimnasta gira en la barra alta, luego voltea y cae en el tapete.</v>
      </c>
    </row>
    <row r="18454">
      <c r="A18454" s="4" t="s">
        <v>23221</v>
      </c>
      <c r="B18454" s="4" t="s">
        <v>23222</v>
      </c>
      <c r="C18454" s="5" t="str">
        <f>IFERROR(__xludf.DUMMYFUNCTION("GOOGLETRANSLATE(B18454,""en"",""es-ES"")"),"Vemos un título en una pantalla gris oscuro, vemos un bote en un lago desde diferentes ángulos.")</f>
        <v>Vemos un título en una pantalla gris oscuro, vemos un bote en un lago desde diferentes ángulos.</v>
      </c>
    </row>
    <row r="18455">
      <c r="A18455" s="4" t="s">
        <v>23221</v>
      </c>
      <c r="B18455" s="4" t="s">
        <v>23223</v>
      </c>
      <c r="C18455" s="5" t="str">
        <f>IFERROR(__xludf.DUMMYFUNCTION("GOOGLETRANSLATE(B18455,""en"",""es-ES"")"),"Una persona que montaba una tabla de surf detrás del bote hace un volteo.")</f>
        <v>Una persona que montaba una tabla de surf detrás del bote hace un volteo.</v>
      </c>
    </row>
    <row r="18456">
      <c r="A18456" s="4" t="s">
        <v>23221</v>
      </c>
      <c r="B18456" s="4" t="s">
        <v>23224</v>
      </c>
      <c r="C18456" s="5" t="str">
        <f>IFERROR(__xludf.DUMMYFUNCTION("GOOGLETRANSLATE(B18456,""en"",""es-ES"")"),", Se nos muestra el interior del bote.")</f>
        <v>, Se nos muestra el interior del bote.</v>
      </c>
    </row>
    <row r="18457">
      <c r="A18457" s="4" t="s">
        <v>23221</v>
      </c>
      <c r="B18457" s="4" t="s">
        <v>23225</v>
      </c>
      <c r="C18457" s="5" t="str">
        <f>IFERROR(__xludf.DUMMYFUNCTION("GOOGLETRANSLATE(B18457,""en"",""es-ES"")"),"Vemos el interior y luego el exterior del bote de manera intermitente.")</f>
        <v>Vemos el interior y luego el exterior del bote de manera intermitente.</v>
      </c>
    </row>
    <row r="18458">
      <c r="A18458" s="4" t="s">
        <v>23221</v>
      </c>
      <c r="B18458" s="4" t="s">
        <v>23226</v>
      </c>
      <c r="C18458" s="5" t="str">
        <f>IFERROR(__xludf.DUMMYFUNCTION("GOOGLETRANSLATE(B18458,""en"",""es-ES"")"),"Vemos personas en una balsa tiradas por el bote.")</f>
        <v>Vemos personas en una balsa tiradas por el bote.</v>
      </c>
    </row>
    <row r="18459">
      <c r="A18459" s="4" t="s">
        <v>23221</v>
      </c>
      <c r="B18459" s="4" t="s">
        <v>23227</v>
      </c>
      <c r="C18459" s="5" t="str">
        <f>IFERROR(__xludf.DUMMYFUNCTION("GOOGLETRANSLATE(B18459,""en"",""es-ES"")"),"Una niña agarra algo formando un gabinete y luego salta al agua.")</f>
        <v>Una niña agarra algo formando un gabinete y luego salta al agua.</v>
      </c>
    </row>
    <row r="18460">
      <c r="A18460" s="4" t="s">
        <v>23221</v>
      </c>
      <c r="B18460" s="4" t="s">
        <v>23228</v>
      </c>
      <c r="C18460" s="5" t="str">
        <f>IFERROR(__xludf.DUMMYFUNCTION("GOOGLETRANSLATE(B18460,""en"",""es-ES"")"),"Vemos las escenas de crédito final.")</f>
        <v>Vemos las escenas de crédito final.</v>
      </c>
    </row>
    <row r="18461">
      <c r="A18461" s="4" t="s">
        <v>23229</v>
      </c>
      <c r="B18461" s="4" t="s">
        <v>23230</v>
      </c>
      <c r="C18461" s="5" t="str">
        <f>IFERROR(__xludf.DUMMYFUNCTION("GOOGLETRANSLATE(B18461,""en"",""es-ES"")"),"Se muestra que el vodka se vierte en una copa de martini.")</f>
        <v>Se muestra que el vodka se vierte en una copa de martini.</v>
      </c>
    </row>
    <row r="18462">
      <c r="A18462" s="4" t="s">
        <v>23229</v>
      </c>
      <c r="B18462" s="4" t="s">
        <v>23231</v>
      </c>
      <c r="C18462" s="5" t="str">
        <f>IFERROR(__xludf.DUMMYFUNCTION("GOOGLETRANSLATE(B18462,""en"",""es-ES"")"),"Una mujer está detrás de una barra, mostrando botellas de alcohol.")</f>
        <v>Una mujer está detrás de una barra, mostrando botellas de alcohol.</v>
      </c>
    </row>
    <row r="18463">
      <c r="A18463" s="4" t="s">
        <v>23229</v>
      </c>
      <c r="B18463" s="4" t="s">
        <v>23232</v>
      </c>
      <c r="C18463" s="5" t="str">
        <f>IFERROR(__xludf.DUMMYFUNCTION("GOOGLETRANSLATE(B18463,""en"",""es-ES"")"),"Ella mezcla los ingredientes, luego los sacude antes de verter en un vaso lleno de hielo.")</f>
        <v>Ella mezcla los ingredientes, luego los sacude antes de verter en un vaso lleno de hielo.</v>
      </c>
    </row>
    <row r="18464">
      <c r="A18464" s="4" t="s">
        <v>23233</v>
      </c>
      <c r="B18464" s="4" t="s">
        <v>23234</v>
      </c>
      <c r="C18464" s="5" t="str">
        <f>IFERROR(__xludf.DUMMYFUNCTION("GOOGLETRANSLATE(B18464,""en"",""es-ES"")"),"Tres hombres se sientan juntos en un sofá.")</f>
        <v>Tres hombres se sientan juntos en un sofá.</v>
      </c>
    </row>
    <row r="18465">
      <c r="A18465" s="4" t="s">
        <v>23233</v>
      </c>
      <c r="B18465" s="4" t="s">
        <v>23235</v>
      </c>
      <c r="C18465" s="5" t="str">
        <f>IFERROR(__xludf.DUMMYFUNCTION("GOOGLETRANSLATE(B18465,""en"",""es-ES"")"),"Un hombre se levanta y entra en una barbería.")</f>
        <v>Un hombre se levanta y entra en una barbería.</v>
      </c>
    </row>
    <row r="18466">
      <c r="A18466" s="4" t="s">
        <v>23233</v>
      </c>
      <c r="B18466" s="4" t="s">
        <v>23236</v>
      </c>
      <c r="C18466" s="5" t="str">
        <f>IFERROR(__xludf.DUMMYFUNCTION("GOOGLETRANSLATE(B18466,""en"",""es-ES"")"),"Se sienta y se corta el pelo.")</f>
        <v>Se sienta y se corta el pelo.</v>
      </c>
    </row>
    <row r="18467">
      <c r="A18467" s="4" t="s">
        <v>23233</v>
      </c>
      <c r="B18467" s="4" t="s">
        <v>23237</v>
      </c>
      <c r="C18467" s="5" t="str">
        <f>IFERROR(__xludf.DUMMYFUNCTION("GOOGLETRANSLATE(B18467,""en"",""es-ES"")"),"Él está durmiendo en la silla.")</f>
        <v>Él está durmiendo en la silla.</v>
      </c>
    </row>
    <row r="18468">
      <c r="A18468" s="4" t="s">
        <v>23233</v>
      </c>
      <c r="B18468" s="4" t="s">
        <v>23238</v>
      </c>
      <c r="C18468" s="5" t="str">
        <f>IFERROR(__xludf.DUMMYFUNCTION("GOOGLETRANSLATE(B18468,""en"",""es-ES"")"),"Se despierta y se ve en un espejo.")</f>
        <v>Se despierta y se ve en un espejo.</v>
      </c>
    </row>
    <row r="18469">
      <c r="A18469" s="4" t="s">
        <v>23233</v>
      </c>
      <c r="B18469" s="4" t="s">
        <v>23239</v>
      </c>
      <c r="C18469" s="5" t="str">
        <f>IFERROR(__xludf.DUMMYFUNCTION("GOOGLETRANSLATE(B18469,""en"",""es-ES"")"),"Él y el hombre comienzan a pelear.")</f>
        <v>Él y el hombre comienzan a pelear.</v>
      </c>
    </row>
    <row r="18470">
      <c r="A18470" s="4" t="s">
        <v>23233</v>
      </c>
      <c r="B18470" s="4" t="s">
        <v>23240</v>
      </c>
      <c r="C18470" s="5" t="str">
        <f>IFERROR(__xludf.DUMMYFUNCTION("GOOGLETRANSLATE(B18470,""en"",""es-ES"")"),"El hombre tira de una pistola y la señala al otro hombre.")</f>
        <v>El hombre tira de una pistola y la señala al otro hombre.</v>
      </c>
    </row>
    <row r="18471">
      <c r="A18471" s="4" t="s">
        <v>23233</v>
      </c>
      <c r="B18471" s="4" t="s">
        <v>23241</v>
      </c>
      <c r="C18471" s="5" t="str">
        <f>IFERROR(__xludf.DUMMYFUNCTION("GOOGLETRANSLATE(B18471,""en"",""es-ES"")"),"Se encuentra con los brazos de otro hombre y salen por la puerta.")</f>
        <v>Se encuentra con los brazos de otro hombre y salen por la puerta.</v>
      </c>
    </row>
    <row r="18472">
      <c r="A18472" s="4" t="s">
        <v>23242</v>
      </c>
      <c r="B18472" s="4" t="s">
        <v>23243</v>
      </c>
      <c r="C18472" s="5" t="str">
        <f>IFERROR(__xludf.DUMMYFUNCTION("GOOGLETRANSLATE(B18472,""en"",""es-ES"")"),"El video muestra cómo obtener descuentos en Amazon para una categoría de suministros de perros.")</f>
        <v>El video muestra cómo obtener descuentos en Amazon para una categoría de suministros de perros.</v>
      </c>
    </row>
    <row r="18473">
      <c r="A18473" s="4" t="s">
        <v>23242</v>
      </c>
      <c r="B18473" s="4" t="s">
        <v>23244</v>
      </c>
      <c r="C18473" s="5" t="str">
        <f>IFERROR(__xludf.DUMMYFUNCTION("GOOGLETRANSLATE(B18473,""en"",""es-ES"")"),"Luego muestra a una mujer afeitando a un perro.")</f>
        <v>Luego muestra a una mujer afeitando a un perro.</v>
      </c>
    </row>
    <row r="18474">
      <c r="A18474" s="4" t="s">
        <v>23245</v>
      </c>
      <c r="B18474" s="4" t="s">
        <v>23246</v>
      </c>
      <c r="C18474" s="5" t="str">
        <f>IFERROR(__xludf.DUMMYFUNCTION("GOOGLETRANSLATE(B18474,""en"",""es-ES"")"),"Una señora sostiene un cepillo de dientes cuando un niño se sienta en un mostrador.")</f>
        <v>Una señora sostiene un cepillo de dientes cuando un niño se sienta en un mostrador.</v>
      </c>
    </row>
    <row r="18475">
      <c r="A18475" s="4" t="s">
        <v>23245</v>
      </c>
      <c r="B18475" s="4" t="s">
        <v>23247</v>
      </c>
      <c r="C18475" s="5" t="str">
        <f>IFERROR(__xludf.DUMMYFUNCTION("GOOGLETRANSLATE(B18475,""en"",""es-ES"")"),"La señora cepilla los dientes de los niños.")</f>
        <v>La señora cepilla los dientes de los niños.</v>
      </c>
    </row>
    <row r="18476">
      <c r="A18476" s="4" t="s">
        <v>23245</v>
      </c>
      <c r="B18476" s="4" t="s">
        <v>23248</v>
      </c>
      <c r="C18476" s="5" t="str">
        <f>IFERROR(__xludf.DUMMYFUNCTION("GOOGLETRANSLATE(B18476,""en"",""es-ES"")"),"Ella termina y el niño sonríe.")</f>
        <v>Ella termina y el niño sonríe.</v>
      </c>
    </row>
    <row r="18477">
      <c r="A18477" s="4" t="s">
        <v>23245</v>
      </c>
      <c r="B18477" s="4" t="s">
        <v>23249</v>
      </c>
      <c r="C18477" s="5" t="str">
        <f>IFERROR(__xludf.DUMMYFUNCTION("GOOGLETRANSLATE(B18477,""en"",""es-ES"")"),"La señora retrocede y el niño se pone un chupete en la boca.")</f>
        <v>La señora retrocede y el niño se pone un chupete en la boca.</v>
      </c>
    </row>
    <row r="18478">
      <c r="A18478" s="4" t="s">
        <v>23250</v>
      </c>
      <c r="B18478" s="4" t="s">
        <v>23251</v>
      </c>
      <c r="C18478" s="5" t="str">
        <f>IFERROR(__xludf.DUMMYFUNCTION("GOOGLETRANSLATE(B18478,""en"",""es-ES"")"),"Un hombre se sienta en una habitación riendo.")</f>
        <v>Un hombre se sienta en una habitación riendo.</v>
      </c>
    </row>
    <row r="18479">
      <c r="A18479" s="4" t="s">
        <v>23250</v>
      </c>
      <c r="B18479" s="4" t="s">
        <v>23252</v>
      </c>
      <c r="C18479" s="5" t="str">
        <f>IFERROR(__xludf.DUMMYFUNCTION("GOOGLETRANSLATE(B18479,""en"",""es-ES"")"),"El hombre se une a una mujer y un hombre en una mesa comiendo.")</f>
        <v>El hombre se une a una mujer y un hombre en una mesa comiendo.</v>
      </c>
    </row>
    <row r="18480">
      <c r="A18480" s="4" t="s">
        <v>23250</v>
      </c>
      <c r="B18480" s="4" t="s">
        <v>23253</v>
      </c>
      <c r="C18480" s="5" t="str">
        <f>IFERROR(__xludf.DUMMYFUNCTION("GOOGLETRANSLATE(B18480,""en"",""es-ES"")"),"El hombre ve una muñeca bobble y la empuja.")</f>
        <v>El hombre ve una muñeca bobble y la empuja.</v>
      </c>
    </row>
    <row r="18481">
      <c r="A18481" s="4" t="s">
        <v>23250</v>
      </c>
      <c r="B18481" s="4" t="s">
        <v>23254</v>
      </c>
      <c r="C18481" s="5" t="str">
        <f>IFERROR(__xludf.DUMMYFUNCTION("GOOGLETRANSLATE(B18481,""en"",""es-ES"")"),"El hombre golpea la muñeca y rebota una pelota alrededor de la habitación que saca toda la comida de la mesa y hace un desastre.")</f>
        <v>El hombre golpea la muñeca y rebota una pelota alrededor de la habitación que saca toda la comida de la mesa y hace un desastre.</v>
      </c>
    </row>
    <row r="18482">
      <c r="A18482" s="4" t="s">
        <v>23250</v>
      </c>
      <c r="B18482" s="4" t="s">
        <v>23255</v>
      </c>
      <c r="C18482" s="5" t="str">
        <f>IFERROR(__xludf.DUMMYFUNCTION("GOOGLETRANSLATE(B18482,""en"",""es-ES"")"),"La gente se ríe y el hombre limpia y crea un remolino en el pozo que se rompe y la pelota rompe las paredes.")</f>
        <v>La gente se ríe y el hombre limpia y crea un remolino en el pozo que se rompe y la pelota rompe las paredes.</v>
      </c>
    </row>
    <row r="18483">
      <c r="A18483" s="4" t="s">
        <v>23250</v>
      </c>
      <c r="B18483" s="4" t="s">
        <v>23256</v>
      </c>
      <c r="C18483" s="5" t="str">
        <f>IFERROR(__xludf.DUMMYFUNCTION("GOOGLETRANSLATE(B18483,""en"",""es-ES"")"),"El hombre trabaja en un campo.")</f>
        <v>El hombre trabaja en un campo.</v>
      </c>
    </row>
    <row r="18484">
      <c r="A18484" s="4" t="s">
        <v>23250</v>
      </c>
      <c r="B18484" s="4" t="s">
        <v>23257</v>
      </c>
      <c r="C18484" s="5" t="str">
        <f>IFERROR(__xludf.DUMMYFUNCTION("GOOGLETRANSLATE(B18484,""en"",""es-ES"")"),"El polvo se eleva del hombre y las hojas vuelan a través del cielo.")</f>
        <v>El polvo se eleva del hombre y las hojas vuelan a través del cielo.</v>
      </c>
    </row>
    <row r="18485">
      <c r="A18485" s="4" t="s">
        <v>23258</v>
      </c>
      <c r="B18485" s="4" t="s">
        <v>12542</v>
      </c>
      <c r="C18485" s="5" t="str">
        <f>IFERROR(__xludf.DUMMYFUNCTION("GOOGLETRANSLATE(B18485,""en"",""es-ES"")"),"Una mujer está hablando con la cámara.")</f>
        <v>Una mujer está hablando con la cámara.</v>
      </c>
    </row>
    <row r="18486">
      <c r="A18486" s="4" t="s">
        <v>23258</v>
      </c>
      <c r="B18486" s="4" t="s">
        <v>23259</v>
      </c>
      <c r="C18486" s="5" t="str">
        <f>IFERROR(__xludf.DUMMYFUNCTION("GOOGLETRANSLATE(B18486,""en"",""es-ES"")"),"Ella muestra cómo colgar un borde a lo largo de una pared en una sala de estar.")</f>
        <v>Ella muestra cómo colgar un borde a lo largo de una pared en una sala de estar.</v>
      </c>
    </row>
    <row r="18487">
      <c r="A18487" s="4" t="s">
        <v>23258</v>
      </c>
      <c r="B18487" s="4" t="s">
        <v>23260</v>
      </c>
      <c r="C18487" s="5" t="str">
        <f>IFERROR(__xludf.DUMMYFUNCTION("GOOGLETRANSLATE(B18487,""en"",""es-ES"")"),"Luego vuelve a hablar con la cámara.")</f>
        <v>Luego vuelve a hablar con la cámara.</v>
      </c>
    </row>
    <row r="18488">
      <c r="A18488" s="4" t="s">
        <v>23261</v>
      </c>
      <c r="B18488" s="4" t="s">
        <v>23262</v>
      </c>
      <c r="C18488" s="5" t="str">
        <f>IFERROR(__xludf.DUMMYFUNCTION("GOOGLETRANSLATE(B18488,""en"",""es-ES"")"),"Un grupo está jugando voleibol en una piscina nadadora.")</f>
        <v>Un grupo está jugando voleibol en una piscina nadadora.</v>
      </c>
    </row>
    <row r="18489">
      <c r="A18489" s="4" t="s">
        <v>23261</v>
      </c>
      <c r="B18489" s="4" t="s">
        <v>23263</v>
      </c>
      <c r="C18489" s="5" t="str">
        <f>IFERROR(__xludf.DUMMYFUNCTION("GOOGLETRANSLATE(B18489,""en"",""es-ES"")"),"Brotan la pelota de un lado a otro sobre la red cuando un Golden Retriever se une, golpeando la pelota con la nariz.")</f>
        <v>Brotan la pelota de un lado a otro sobre la red cuando un Golden Retriever se une, golpeando la pelota con la nariz.</v>
      </c>
    </row>
    <row r="18490">
      <c r="A18490" s="4" t="s">
        <v>23264</v>
      </c>
      <c r="B18490" s="4" t="s">
        <v>23265</v>
      </c>
      <c r="C18490" s="5" t="str">
        <f>IFERROR(__xludf.DUMMYFUNCTION("GOOGLETRANSLATE(B18490,""en"",""es-ES"")"),"Un niño toca la batería en la gente delantera.")</f>
        <v>Un niño toca la batería en la gente delantera.</v>
      </c>
    </row>
    <row r="18491">
      <c r="A18491" s="4" t="s">
        <v>23264</v>
      </c>
      <c r="B18491" s="4" t="s">
        <v>23266</v>
      </c>
      <c r="C18491" s="5" t="str">
        <f>IFERROR(__xludf.DUMMYFUNCTION("GOOGLETRANSLATE(B18491,""en"",""es-ES"")"),"Un hombre canta sosteniendo un micrófono al lado del baterista.")</f>
        <v>Un hombre canta sosteniendo un micrófono al lado del baterista.</v>
      </c>
    </row>
    <row r="18492">
      <c r="A18492" s="4" t="s">
        <v>23264</v>
      </c>
      <c r="B18492" s="4" t="s">
        <v>23267</v>
      </c>
      <c r="C18492" s="5" t="str">
        <f>IFERROR(__xludf.DUMMYFUNCTION("GOOGLETRANSLATE(B18492,""en"",""es-ES"")"),"Una persona pasa al frente del niño.")</f>
        <v>Una persona pasa al frente del niño.</v>
      </c>
    </row>
    <row r="18493">
      <c r="A18493" s="4" t="s">
        <v>23268</v>
      </c>
      <c r="B18493" s="4" t="s">
        <v>23269</v>
      </c>
      <c r="C18493" s="5" t="str">
        <f>IFERROR(__xludf.DUMMYFUNCTION("GOOGLETRANSLATE(B18493,""en"",""es-ES"")"),"Se ve a un pequeño grupo de personas montando en una balsa por un río áspero.")</f>
        <v>Se ve a un pequeño grupo de personas montando en una balsa por un río áspero.</v>
      </c>
    </row>
    <row r="18494">
      <c r="A18494" s="4" t="s">
        <v>23268</v>
      </c>
      <c r="B18494" s="4" t="s">
        <v>23270</v>
      </c>
      <c r="C18494" s="5" t="str">
        <f>IFERROR(__xludf.DUMMYFUNCTION("GOOGLETRANSLATE(B18494,""en"",""es-ES"")"),"La gente usa paletas para moverse a lo largo del agua y debajo de los túneles.")</f>
        <v>La gente usa paletas para moverse a lo largo del agua y debajo de los túneles.</v>
      </c>
    </row>
    <row r="18495">
      <c r="A18495" s="4" t="s">
        <v>23268</v>
      </c>
      <c r="B18495" s="4" t="s">
        <v>23271</v>
      </c>
      <c r="C18495" s="5" t="str">
        <f>IFERROR(__xludf.DUMMYFUNCTION("GOOGLETRANSLATE(B18495,""en"",""es-ES"")"),"El grupo continúa montando por el río y terminan con texto a través de la pantalla.")</f>
        <v>El grupo continúa montando por el río y terminan con texto a través de la pantalla.</v>
      </c>
    </row>
    <row r="18496">
      <c r="A18496" s="4" t="s">
        <v>23272</v>
      </c>
      <c r="B18496" s="4" t="s">
        <v>23273</v>
      </c>
      <c r="C18496" s="5" t="str">
        <f>IFERROR(__xludf.DUMMYFUNCTION("GOOGLETRANSLATE(B18496,""en"",""es-ES"")"),"Una mujer se corta el pelo muy corta en una cocina por una mujer con un par de tijeras.")</f>
        <v>Una mujer se corta el pelo muy corta en una cocina por una mujer con un par de tijeras.</v>
      </c>
    </row>
    <row r="18497">
      <c r="A18497" s="4" t="s">
        <v>23272</v>
      </c>
      <c r="B18497" s="4" t="s">
        <v>23274</v>
      </c>
      <c r="C18497" s="5" t="str">
        <f>IFERROR(__xludf.DUMMYFUNCTION("GOOGLETRANSLATE(B18497,""en"",""es-ES"")"),"Un hombre, con gafas, habla en la cámara en un tiro de primer plano antes de que la cámara se mueva con una mujer sentada en una silla suave y se enfoca en su brazo.")</f>
        <v>Un hombre, con gafas, habla en la cámara en un tiro de primer plano antes de que la cámara se mueva con una mujer sentada en una silla suave y se enfoca en su brazo.</v>
      </c>
    </row>
    <row r="18498">
      <c r="A18498" s="4" t="s">
        <v>23272</v>
      </c>
      <c r="B18498" s="4" t="s">
        <v>23275</v>
      </c>
      <c r="C18498" s="5" t="str">
        <f>IFERROR(__xludf.DUMMYFUNCTION("GOOGLETRANSLATE(B18498,""en"",""es-ES"")"),"La cámara se dirige a un área de cocina y una mujer sentada sosteniendo un mechón de su propio cabello mientras otra mujer detrás de ella (la mujer que antes estaba sentada) comienza a cortarle el cabello con un par de tijeras.")</f>
        <v>La cámara se dirige a un área de cocina y una mujer sentada sosteniendo un mechón de su propio cabello mientras otra mujer detrás de ella (la mujer que antes estaba sentada) comienza a cortarle el cabello con un par de tijeras.</v>
      </c>
    </row>
    <row r="18499">
      <c r="A18499" s="4" t="s">
        <v>23272</v>
      </c>
      <c r="B18499" s="4" t="s">
        <v>23276</v>
      </c>
      <c r="C18499" s="5" t="str">
        <f>IFERROR(__xludf.DUMMYFUNCTION("GOOGLETRANSLATE(B18499,""en"",""es-ES"")"),"La cámara se acerque a un primer plano de la mujer en la silla de la cocina que ha cortado la mayor parte de su cabello y ahora cómo un corte de pelo muy corto.")</f>
        <v>La cámara se acerque a un primer plano de la mujer en la silla de la cocina que ha cortado la mayor parte de su cabello y ahora cómo un corte de pelo muy corto.</v>
      </c>
    </row>
    <row r="18500">
      <c r="A18500" s="4" t="s">
        <v>23272</v>
      </c>
      <c r="B18500" s="4" t="s">
        <v>23277</v>
      </c>
      <c r="C18500" s="5" t="str">
        <f>IFERROR(__xludf.DUMMYFUNCTION("GOOGLETRANSLATE(B18500,""en"",""es-ES"")"),"La cámara le corta nuevamente al hombre que aparece por primera vez en la película y una foto de un reloj digital que muestra la hora.")</f>
        <v>La cámara le corta nuevamente al hombre que aparece por primera vez en la película y una foto de un reloj digital que muestra la hora.</v>
      </c>
    </row>
    <row r="18501">
      <c r="A18501" s="4" t="s">
        <v>23278</v>
      </c>
      <c r="B18501" s="4" t="s">
        <v>23279</v>
      </c>
      <c r="C18501" s="5" t="str">
        <f>IFERROR(__xludf.DUMMYFUNCTION("GOOGLETRANSLATE(B18501,""en"",""es-ES"")"),"Se ve a una mujer joven arrodillada en una bañera con ropa a su alrededor.")</f>
        <v>Se ve a una mujer joven arrodillada en una bañera con ropa a su alrededor.</v>
      </c>
    </row>
    <row r="18502">
      <c r="A18502" s="4" t="s">
        <v>23278</v>
      </c>
      <c r="B18502" s="4" t="s">
        <v>23280</v>
      </c>
      <c r="C18502" s="5" t="str">
        <f>IFERROR(__xludf.DUMMYFUNCTION("GOOGLETRANSLATE(B18502,""en"",""es-ES"")"),"Ella pisa la ropa y se dobla nuevamente para fregarlos mientras la cámara se acelera a su alrededor.")</f>
        <v>Ella pisa la ropa y se dobla nuevamente para fregarlos mientras la cámara se acelera a su alrededor.</v>
      </c>
    </row>
    <row r="18503">
      <c r="A18503" s="4" t="s">
        <v>23278</v>
      </c>
      <c r="B18503" s="4" t="s">
        <v>23281</v>
      </c>
      <c r="C18503" s="5" t="str">
        <f>IFERROR(__xludf.DUMMYFUNCTION("GOOGLETRANSLATE(B18503,""en"",""es-ES"")"),"Ella levanta la ropa y continúa lavándola, así como un hombre que pisa el marco para ayudar.")</f>
        <v>Ella levanta la ropa y continúa lavándola, así como un hombre que pisa el marco para ayudar.</v>
      </c>
    </row>
    <row r="18504">
      <c r="A18504" s="4" t="s">
        <v>23282</v>
      </c>
      <c r="B18504" s="4" t="s">
        <v>23283</v>
      </c>
      <c r="C18504" s="5" t="str">
        <f>IFERROR(__xludf.DUMMYFUNCTION("GOOGLETRANSLATE(B18504,""en"",""es-ES"")"),"Una bailarina mujer vestida con una falda rosa y una blusa blanca está parada con la espalda doblada hacia adelante y las manos a los costados en un escenario.")</f>
        <v>Una bailarina mujer vestida con una falda rosa y una blusa blanca está parada con la espalda doblada hacia adelante y las manos a los costados en un escenario.</v>
      </c>
    </row>
    <row r="18505">
      <c r="A18505" s="4" t="s">
        <v>23282</v>
      </c>
      <c r="B18505" s="4" t="s">
        <v>23284</v>
      </c>
      <c r="C18505" s="5" t="str">
        <f>IFERROR(__xludf.DUMMYFUNCTION("GOOGLETRANSLATE(B18505,""en"",""es-ES"")"),"Un hombre con jeans azules y una camisa blanca entra y le acaricia con una tela amarilla.")</f>
        <v>Un hombre con jeans azules y una camisa blanca entra y le acaricia con una tela amarilla.</v>
      </c>
    </row>
    <row r="18506">
      <c r="A18506" s="4" t="s">
        <v>23282</v>
      </c>
      <c r="B18506" s="4" t="s">
        <v>23285</v>
      </c>
      <c r="C18506" s="5" t="str">
        <f>IFERROR(__xludf.DUMMYFUNCTION("GOOGLETRANSLATE(B18506,""en"",""es-ES"")"),"Entonces una bailarina de una niña viene y se toca con la mujer.")</f>
        <v>Entonces una bailarina de una niña viene y se toca con la mujer.</v>
      </c>
    </row>
    <row r="18507">
      <c r="A18507" s="4" t="s">
        <v>23282</v>
      </c>
      <c r="B18507" s="4" t="s">
        <v>23286</v>
      </c>
      <c r="C18507" s="5" t="str">
        <f>IFERROR(__xludf.DUMMYFUNCTION("GOOGLETRANSLATE(B18507,""en"",""es-ES"")"),"La mujer entra en un baile cada vez que la pequeña bailarina la aprovecha.")</f>
        <v>La mujer entra en un baile cada vez que la pequeña bailarina la aprovecha.</v>
      </c>
    </row>
    <row r="18508">
      <c r="A18508" s="4" t="s">
        <v>23282</v>
      </c>
      <c r="B18508" s="4" t="s">
        <v>23287</v>
      </c>
      <c r="C18508" s="5" t="str">
        <f>IFERROR(__xludf.DUMMYFUNCTION("GOOGLETRANSLATE(B18508,""en"",""es-ES"")"),"La niña recoge un par de alas e intenta ponerla en la espalda.")</f>
        <v>La niña recoge un par de alas e intenta ponerla en la espalda.</v>
      </c>
    </row>
    <row r="18509">
      <c r="A18509" s="4" t="s">
        <v>23282</v>
      </c>
      <c r="B18509" s="4" t="s">
        <v>23288</v>
      </c>
      <c r="C18509" s="5" t="str">
        <f>IFERROR(__xludf.DUMMYFUNCTION("GOOGLETRANSLATE(B18509,""en"",""es-ES"")"),"La mujer comienza a hacer algunos movimientos de ballet.")</f>
        <v>La mujer comienza a hacer algunos movimientos de ballet.</v>
      </c>
    </row>
    <row r="18510">
      <c r="A18510" s="4" t="s">
        <v>23282</v>
      </c>
      <c r="B18510" s="4" t="s">
        <v>23289</v>
      </c>
      <c r="C18510" s="5" t="str">
        <f>IFERROR(__xludf.DUMMYFUNCTION("GOOGLETRANSLATE(B18510,""en"",""es-ES"")"),"Ella continúa bailando con movimientos de ballet mientras la niña se aleja.")</f>
        <v>Ella continúa bailando con movimientos de ballet mientras la niña se aleja.</v>
      </c>
    </row>
    <row r="18511">
      <c r="A18511" s="4" t="s">
        <v>23282</v>
      </c>
      <c r="B18511" s="4" t="s">
        <v>23290</v>
      </c>
      <c r="C18511" s="5" t="str">
        <f>IFERROR(__xludf.DUMMYFUNCTION("GOOGLETRANSLATE(B18511,""en"",""es-ES"")"),"La bailarina de la mujer gira y gira sobre los dedos de los pies mientras baila con la música.")</f>
        <v>La bailarina de la mujer gira y gira sobre los dedos de los pies mientras baila con la música.</v>
      </c>
    </row>
    <row r="18512">
      <c r="A18512" s="4" t="s">
        <v>23282</v>
      </c>
      <c r="B18512" s="4" t="s">
        <v>23291</v>
      </c>
      <c r="C18512" s="5" t="str">
        <f>IFERROR(__xludf.DUMMYFUNCTION("GOOGLETRANSLATE(B18512,""en"",""es-ES"")"),"La multitud aplaude y el hombre con la camisa blanca y los jeans azules la levanta y sale del escenario.")</f>
        <v>La multitud aplaude y el hombre con la camisa blanca y los jeans azules la levanta y sale del escenario.</v>
      </c>
    </row>
    <row r="18513">
      <c r="A18513" s="4" t="s">
        <v>23292</v>
      </c>
      <c r="B18513" s="4" t="s">
        <v>23293</v>
      </c>
      <c r="C18513" s="5" t="str">
        <f>IFERROR(__xludf.DUMMYFUNCTION("GOOGLETRANSLATE(B18513,""en"",""es-ES"")"),"Se ve una cámara alrededor de una habitación con una pared recién pintada y un hombre que pinta la pared en un taburete.")</f>
        <v>Se ve una cámara alrededor de una habitación con una pared recién pintada y un hombre que pinta la pared en un taburete.</v>
      </c>
    </row>
    <row r="18514">
      <c r="A18514" s="4" t="s">
        <v>23292</v>
      </c>
      <c r="B18514" s="4" t="s">
        <v>23294</v>
      </c>
      <c r="C18514" s="5" t="str">
        <f>IFERROR(__xludf.DUMMYFUNCTION("GOOGLETRANSLATE(B18514,""en"",""es-ES"")"),"La cámara se mueve sobre el tragaluz y termina mirando detrás del área.")</f>
        <v>La cámara se mueve sobre el tragaluz y termina mirando detrás del área.</v>
      </c>
    </row>
    <row r="18515">
      <c r="A18515" s="4" t="s">
        <v>23295</v>
      </c>
      <c r="B18515" s="4" t="s">
        <v>23296</v>
      </c>
      <c r="C18515" s="5" t="str">
        <f>IFERROR(__xludf.DUMMYFUNCTION("GOOGLETRANSLATE(B18515,""en"",""es-ES"")"),"Vemos a una persona en una cocina cocinando en la estufa.")</f>
        <v>Vemos a una persona en una cocina cocinando en la estufa.</v>
      </c>
    </row>
    <row r="18516">
      <c r="A18516" s="4" t="s">
        <v>23295</v>
      </c>
      <c r="B18516" s="4" t="s">
        <v>23297</v>
      </c>
      <c r="C18516" s="5" t="str">
        <f>IFERROR(__xludf.DUMMYFUNCTION("GOOGLETRANSLATE(B18516,""en"",""es-ES"")"),"La persona tiene sartén con mantequilla a la que agregan huevos.")</f>
        <v>La persona tiene sartén con mantequilla a la que agregan huevos.</v>
      </c>
    </row>
    <row r="18517">
      <c r="A18517" s="4" t="s">
        <v>23295</v>
      </c>
      <c r="B18517" s="4" t="s">
        <v>23298</v>
      </c>
      <c r="C18517" s="5" t="str">
        <f>IFERROR(__xludf.DUMMYFUNCTION("GOOGLETRANSLATE(B18517,""en"",""es-ES"")"),"La persona voltea los huevos.")</f>
        <v>La persona voltea los huevos.</v>
      </c>
    </row>
    <row r="18518">
      <c r="A18518" s="4" t="s">
        <v>23295</v>
      </c>
      <c r="B18518" s="4" t="s">
        <v>23299</v>
      </c>
      <c r="C18518" s="5" t="str">
        <f>IFERROR(__xludf.DUMMYFUNCTION("GOOGLETRANSLATE(B18518,""en"",""es-ES"")"),"Un fuego comienza en el ojo, la persona lo explota.")</f>
        <v>Un fuego comienza en el ojo, la persona lo explota.</v>
      </c>
    </row>
    <row r="18519">
      <c r="A18519" s="4" t="s">
        <v>23295</v>
      </c>
      <c r="B18519" s="4" t="s">
        <v>23300</v>
      </c>
      <c r="C18519" s="5" t="str">
        <f>IFERROR(__xludf.DUMMYFUNCTION("GOOGLETRANSLATE(B18519,""en"",""es-ES"")"),"La persona voltea los huevos con una espátula.")</f>
        <v>La persona voltea los huevos con una espátula.</v>
      </c>
    </row>
    <row r="18520">
      <c r="A18520" s="4" t="s">
        <v>23295</v>
      </c>
      <c r="B18520" s="4" t="s">
        <v>23301</v>
      </c>
      <c r="C18520" s="5" t="str">
        <f>IFERROR(__xludf.DUMMYFUNCTION("GOOGLETRANSLATE(B18520,""en"",""es-ES"")"),"Los huevos se vierten en un plato y se agregan sal y pimienta.")</f>
        <v>Los huevos se vierten en un plato y se agregan sal y pimienta.</v>
      </c>
    </row>
    <row r="18521">
      <c r="A18521" s="4" t="s">
        <v>23295</v>
      </c>
      <c r="B18521" s="4" t="s">
        <v>23302</v>
      </c>
      <c r="C18521" s="5" t="str">
        <f>IFERROR(__xludf.DUMMYFUNCTION("GOOGLETRANSLATE(B18521,""en"",""es-ES"")"),"La persona se aleja de la estufa.")</f>
        <v>La persona se aleja de la estufa.</v>
      </c>
    </row>
    <row r="18522">
      <c r="A18522" s="4" t="s">
        <v>23303</v>
      </c>
      <c r="B18522" s="4" t="s">
        <v>23304</v>
      </c>
      <c r="C18522" s="5" t="str">
        <f>IFERROR(__xludf.DUMMYFUNCTION("GOOGLETRANSLATE(B18522,""en"",""es-ES"")"),"Un perro orina constantemente, sin detenerse, y mientras camina solo sobre sus patas delanteras, hacia abajo y alrededor de una acera pavimentada, mientras una persona las camina con una correa amarilla.")</f>
        <v>Un perro orina constantemente, sin detenerse, y mientras camina solo sobre sus patas delanteras, hacia abajo y alrededor de una acera pavimentada, mientras una persona las camina con una correa amarilla.</v>
      </c>
    </row>
    <row r="18523">
      <c r="A18523" s="4" t="s">
        <v>23303</v>
      </c>
      <c r="B18523" s="4" t="s">
        <v>23305</v>
      </c>
      <c r="C18523" s="5" t="str">
        <f>IFERROR(__xludf.DUMMYFUNCTION("GOOGLETRANSLATE(B18523,""en"",""es-ES"")"),"El perro pug comienza a orinar en una acera de piedra a lo largo de una mini pared de piedra baja, aterriza en las cuatro patas para darse la vuelta y luego continúa caminando solo sobre sus dos delicias.")</f>
        <v>El perro pug comienza a orinar en una acera de piedra a lo largo de una mini pared de piedra baja, aterriza en las cuatro patas para darse la vuelta y luego continúa caminando solo sobre sus dos delicias.</v>
      </c>
    </row>
    <row r="18524">
      <c r="A18524" s="4" t="s">
        <v>23303</v>
      </c>
      <c r="B18524" s="4" t="s">
        <v>23306</v>
      </c>
      <c r="C18524" s="5" t="str">
        <f>IFERROR(__xludf.DUMMYFUNCTION("GOOGLETRANSLATE(B18524,""en"",""es-ES"")"),"El perro comienza a orinar mientras camina sobre sus patas delanteras solo con la correa amarilla que sigue mientras una persona invisible camina al perro desde el fondo.")</f>
        <v>El perro comienza a orinar mientras camina sobre sus patas delanteras solo con la correa amarilla que sigue mientras una persona invisible camina al perro desde el fondo.</v>
      </c>
    </row>
    <row r="18525">
      <c r="A18525" s="4" t="s">
        <v>23303</v>
      </c>
      <c r="B18525" s="4" t="s">
        <v>23307</v>
      </c>
      <c r="C18525" s="5" t="str">
        <f>IFERROR(__xludf.DUMMYFUNCTION("GOOGLETRANSLATE(B18525,""en"",""es-ES"")"),"El perro continúa orinando de esta manera, más allá de la acera y el césped, y finalmente comienza a usar tres patas, se detiene y orina más mientras estaciona en tres patas.")</f>
        <v>El perro continúa orinando de esta manera, más allá de la acera y el césped, y finalmente comienza a usar tres patas, se detiene y orina más mientras estaciona en tres patas.</v>
      </c>
    </row>
    <row r="18526">
      <c r="A18526" s="4" t="s">
        <v>23308</v>
      </c>
      <c r="B18526" s="4" t="s">
        <v>23309</v>
      </c>
      <c r="C18526" s="5" t="str">
        <f>IFERROR(__xludf.DUMMYFUNCTION("GOOGLETRANSLATE(B18526,""en"",""es-ES"")"),"Un hombre asegura a una mujer sentada en un arnés sin jonge, mientras que otros están de pie.")</f>
        <v>Un hombre asegura a una mujer sentada en un arnés sin jonge, mientras que otros están de pie.</v>
      </c>
    </row>
    <row r="18527">
      <c r="A18527" s="4" t="s">
        <v>23308</v>
      </c>
      <c r="B18527" s="4" t="s">
        <v>23310</v>
      </c>
      <c r="C18527" s="5" t="str">
        <f>IFERROR(__xludf.DUMMYFUNCTION("GOOGLETRANSLATE(B18527,""en"",""es-ES"")"),"La mujer habla con la cámara en una vista de cerca.")</f>
        <v>La mujer habla con la cámara en una vista de cerca.</v>
      </c>
    </row>
    <row r="18528">
      <c r="A18528" s="4" t="s">
        <v>23308</v>
      </c>
      <c r="B18528" s="4" t="s">
        <v>23311</v>
      </c>
      <c r="C18528" s="5" t="str">
        <f>IFERROR(__xludf.DUMMYFUNCTION("GOOGLETRANSLATE(B18528,""en"",""es-ES"")"),"Varias tomas del paisaje se muestran intercaladas con la mujer esperando.")</f>
        <v>Varias tomas del paisaje se muestran intercaladas con la mujer esperando.</v>
      </c>
    </row>
    <row r="18529">
      <c r="A18529" s="4" t="s">
        <v>23308</v>
      </c>
      <c r="B18529" s="4" t="s">
        <v>23312</v>
      </c>
      <c r="C18529" s="5" t="str">
        <f>IFERROR(__xludf.DUMMYFUNCTION("GOOGLETRANSLATE(B18529,""en"",""es-ES"")"),"El hombre termina con el equipo.")</f>
        <v>El hombre termina con el equipo.</v>
      </c>
    </row>
    <row r="18530">
      <c r="A18530" s="4" t="s">
        <v>23308</v>
      </c>
      <c r="B18530" s="4" t="s">
        <v>23313</v>
      </c>
      <c r="C18530" s="5" t="str">
        <f>IFERROR(__xludf.DUMMYFUNCTION("GOOGLETRANSLATE(B18530,""en"",""es-ES"")"),"La mujer sale cuidadosamente a la plataforma de salto mientras uno de los hombres se detiene detrás de ella y una audiencia observa.")</f>
        <v>La mujer sale cuidadosamente a la plataforma de salto mientras uno de los hombres se detiene detrás de ella y una audiencia observa.</v>
      </c>
    </row>
    <row r="18531">
      <c r="A18531" s="4" t="s">
        <v>23308</v>
      </c>
      <c r="B18531" s="4" t="s">
        <v>23314</v>
      </c>
      <c r="C18531" s="5" t="str">
        <f>IFERROR(__xludf.DUMMYFUNCTION("GOOGLETRANSLATE(B18531,""en"",""es-ES"")"),"La mujer sale de la plataforma.")</f>
        <v>La mujer sale de la plataforma.</v>
      </c>
    </row>
    <row r="18532">
      <c r="A18532" s="4" t="s">
        <v>23308</v>
      </c>
      <c r="B18532" s="4" t="s">
        <v>23315</v>
      </c>
      <c r="C18532" s="5" t="str">
        <f>IFERROR(__xludf.DUMMYFUNCTION("GOOGLETRANSLATE(B18532,""en"",""es-ES"")"),"Se muestra una repetición de la mujer en la plataforma.")</f>
        <v>Se muestra una repetición de la mujer en la plataforma.</v>
      </c>
    </row>
    <row r="18533">
      <c r="A18533" s="4" t="s">
        <v>23316</v>
      </c>
      <c r="B18533" s="4" t="s">
        <v>23317</v>
      </c>
      <c r="C18533" s="5" t="str">
        <f>IFERROR(__xludf.DUMMYFUNCTION("GOOGLETRANSLATE(B18533,""en"",""es-ES"")"),"Vemos una mesa cubierta de papeles y una computadora portátil mientras un hombre funciona.")</f>
        <v>Vemos una mesa cubierta de papeles y una computadora portátil mientras un hombre funciona.</v>
      </c>
    </row>
    <row r="18534">
      <c r="A18534" s="4" t="s">
        <v>23316</v>
      </c>
      <c r="B18534" s="4" t="s">
        <v>23318</v>
      </c>
      <c r="C18534" s="5" t="str">
        <f>IFERROR(__xludf.DUMMYFUNCTION("GOOGLETRANSLATE(B18534,""en"",""es-ES"")"),"El hombre se va y va a un garaje cubierto de graffiti y enciende un boombox.")</f>
        <v>El hombre se va y va a un garaje cubierto de graffiti y enciende un boombox.</v>
      </c>
    </row>
    <row r="18535">
      <c r="A18535" s="4" t="s">
        <v>23316</v>
      </c>
      <c r="B18535" s="4" t="s">
        <v>23319</v>
      </c>
      <c r="C18535" s="5" t="str">
        <f>IFERROR(__xludf.DUMMYFUNCTION("GOOGLETRANSLATE(B18535,""en"",""es-ES"")"),"El hombre que rompe los bailes y ve que hay un hombre al otro lado de la habitación.")</f>
        <v>El hombre que rompe los bailes y ve que hay un hombre al otro lado de la habitación.</v>
      </c>
    </row>
    <row r="18536">
      <c r="A18536" s="4" t="s">
        <v>23316</v>
      </c>
      <c r="B18536" s="4" t="s">
        <v>23320</v>
      </c>
      <c r="C18536" s="5" t="str">
        <f>IFERROR(__xludf.DUMMYFUNCTION("GOOGLETRANSLATE(B18536,""en"",""es-ES"")"),"Los hombres se turnan para bailar break.")</f>
        <v>Los hombres se turnan para bailar break.</v>
      </c>
    </row>
    <row r="18537">
      <c r="A18537" s="4" t="s">
        <v>23316</v>
      </c>
      <c r="B18537" s="4" t="s">
        <v>23321</v>
      </c>
      <c r="C18537" s="5" t="str">
        <f>IFERROR(__xludf.DUMMYFUNCTION("GOOGLETRANSLATE(B18537,""en"",""es-ES"")"),"Los hombres se paran cara a cara y rompen bailes juntos.")</f>
        <v>Los hombres se paran cara a cara y rompen bailes juntos.</v>
      </c>
    </row>
    <row r="18538">
      <c r="A18538" s="4" t="s">
        <v>23316</v>
      </c>
      <c r="B18538" s="4" t="s">
        <v>5107</v>
      </c>
      <c r="C18538" s="5" t="str">
        <f>IFERROR(__xludf.DUMMYFUNCTION("GOOGLETRANSLATE(B18538,""en"",""es-ES"")"),"Luego vemos la pantalla de título final.")</f>
        <v>Luego vemos la pantalla de título final.</v>
      </c>
    </row>
    <row r="18539">
      <c r="A18539" s="4" t="s">
        <v>23322</v>
      </c>
      <c r="B18539" s="4" t="s">
        <v>23323</v>
      </c>
      <c r="C18539" s="5" t="str">
        <f>IFERROR(__xludf.DUMMYFUNCTION("GOOGLETRANSLATE(B18539,""en"",""es-ES"")"),"Los esquís de una persona se muestran de cerca mientras se mueven continuamente por una colina nevada que se mueve rápidamente más allá de los árboles.")</f>
        <v>Los esquís de una persona se muestran de cerca mientras se mueven continuamente por una colina nevada que se mueve rápidamente más allá de los árboles.</v>
      </c>
    </row>
    <row r="18540">
      <c r="A18540" s="4" t="s">
        <v>23322</v>
      </c>
      <c r="B18540" s="4" t="s">
        <v>23324</v>
      </c>
      <c r="C18540" s="5" t="str">
        <f>IFERROR(__xludf.DUMMYFUNCTION("GOOGLETRANSLATE(B18540,""en"",""es-ES"")"),"La persona continúa moviéndose por el camino a un ritmo rápido y reuniéndose con otros en la parte inferior.")</f>
        <v>La persona continúa moviéndose por el camino a un ritmo rápido y reuniéndose con otros en la parte inferior.</v>
      </c>
    </row>
    <row r="18541">
      <c r="A18541" s="4" t="s">
        <v>23325</v>
      </c>
      <c r="B18541" s="4" t="s">
        <v>23326</v>
      </c>
      <c r="C18541" s="5" t="str">
        <f>IFERROR(__xludf.DUMMYFUNCTION("GOOGLETRANSLATE(B18541,""en"",""es-ES"")"),"La gente está parada en una cancha jugando shufleboard mientras la gente está en las terrazas está viendo el juego.")</f>
        <v>La gente está parada en una cancha jugando shufleboard mientras la gente está en las terrazas está viendo el juego.</v>
      </c>
    </row>
    <row r="18542">
      <c r="A18542" s="4" t="s">
        <v>23325</v>
      </c>
      <c r="B18542" s="4" t="s">
        <v>23327</v>
      </c>
      <c r="C18542" s="5" t="str">
        <f>IFERROR(__xludf.DUMMYFUNCTION("GOOGLETRANSLATE(B18542,""en"",""es-ES"")"),"Muchas personas con uniformes rojos caminan y se sientan por la cancha.")</f>
        <v>Muchas personas con uniformes rojos caminan y se sientan por la cancha.</v>
      </c>
    </row>
    <row r="18543">
      <c r="A18543" s="4" t="s">
        <v>23328</v>
      </c>
      <c r="B18543" s="4" t="s">
        <v>23329</v>
      </c>
      <c r="C18543" s="5" t="str">
        <f>IFERROR(__xludf.DUMMYFUNCTION("GOOGLETRANSLATE(B18543,""en"",""es-ES"")"),"Un hombre con traje y una dama con un vestido de vestir en el escenario.")</f>
        <v>Un hombre con traje y una dama con un vestido de vestir en el escenario.</v>
      </c>
    </row>
    <row r="18544">
      <c r="A18544" s="4" t="s">
        <v>23328</v>
      </c>
      <c r="B18544" s="4" t="s">
        <v>23330</v>
      </c>
      <c r="C18544" s="5" t="str">
        <f>IFERROR(__xludf.DUMMYFUNCTION("GOOGLETRANSLATE(B18544,""en"",""es-ES"")"),"La gente luego baila en el salón de baile mientras la gente mira.")</f>
        <v>La gente luego baila en el salón de baile mientras la gente mira.</v>
      </c>
    </row>
    <row r="18545">
      <c r="A18545" s="4" t="s">
        <v>23328</v>
      </c>
      <c r="B18545" s="4" t="s">
        <v>23331</v>
      </c>
      <c r="C18545" s="5" t="str">
        <f>IFERROR(__xludf.DUMMYFUNCTION("GOOGLETRANSLATE(B18545,""en"",""es-ES"")"),"El hombre gira a la mujer en el aire frente a él.")</f>
        <v>El hombre gira a la mujer en el aire frente a él.</v>
      </c>
    </row>
    <row r="18546">
      <c r="A18546" s="4" t="s">
        <v>23328</v>
      </c>
      <c r="B18546" s="4" t="s">
        <v>23332</v>
      </c>
      <c r="C18546" s="5" t="str">
        <f>IFERROR(__xludf.DUMMYFUNCTION("GOOGLETRANSLATE(B18546,""en"",""es-ES"")"),"El hombre sumerge a la dama y ella patea los pies en el aire.")</f>
        <v>El hombre sumerge a la dama y ella patea los pies en el aire.</v>
      </c>
    </row>
    <row r="18547">
      <c r="A18547" s="4" t="s">
        <v>23328</v>
      </c>
      <c r="B18547" s="4" t="s">
        <v>23333</v>
      </c>
      <c r="C18547" s="5" t="str">
        <f>IFERROR(__xludf.DUMMYFUNCTION("GOOGLETRANSLATE(B18547,""en"",""es-ES"")"),"Terminan y la multitud aplaude mientras salen del escenario.")</f>
        <v>Terminan y la multitud aplaude mientras salen del escenario.</v>
      </c>
    </row>
    <row r="18548">
      <c r="A18548" s="4" t="s">
        <v>23334</v>
      </c>
      <c r="B18548" s="4" t="s">
        <v>23335</v>
      </c>
      <c r="C18548" s="5" t="str">
        <f>IFERROR(__xludf.DUMMYFUNCTION("GOOGLETRANSLATE(B18548,""en"",""es-ES"")"),"Se ven dos chicas sosteniendo una pose en medio de un gran gimnasio, mientras que otras miran a su alrededor.")</f>
        <v>Se ven dos chicas sosteniendo una pose en medio de un gran gimnasio, mientras que otras miran a su alrededor.</v>
      </c>
    </row>
    <row r="18549">
      <c r="A18549" s="4" t="s">
        <v>23334</v>
      </c>
      <c r="B18549" s="4" t="s">
        <v>23336</v>
      </c>
      <c r="C18549" s="5" t="str">
        <f>IFERROR(__xludf.DUMMYFUNCTION("GOOGLETRANSLATE(B18549,""en"",""es-ES"")"),"Las chicas comienzan a realizar una rutina de baile mientras usan bastones.")</f>
        <v>Las chicas comienzan a realizar una rutina de baile mientras usan bastones.</v>
      </c>
    </row>
    <row r="18550">
      <c r="A18550" s="4" t="s">
        <v>23334</v>
      </c>
      <c r="B18550" s="4" t="s">
        <v>23337</v>
      </c>
      <c r="C18550" s="5" t="str">
        <f>IFERROR(__xludf.DUMMYFUNCTION("GOOGLETRANSLATE(B18550,""en"",""es-ES"")"),"Las chicas continúan bailando y terminan sosteniendo una pose.")</f>
        <v>Las chicas continúan bailando y terminan sosteniendo una pose.</v>
      </c>
    </row>
    <row r="18551">
      <c r="A18551" s="4" t="s">
        <v>23338</v>
      </c>
      <c r="B18551" s="4" t="s">
        <v>23339</v>
      </c>
      <c r="C18551" s="5" t="str">
        <f>IFERROR(__xludf.DUMMYFUNCTION("GOOGLETRANSLATE(B18551,""en"",""es-ES"")"),"Una mujer camina por la playa con una tabla de surf.")</f>
        <v>Una mujer camina por la playa con una tabla de surf.</v>
      </c>
    </row>
    <row r="18552">
      <c r="A18552" s="4" t="s">
        <v>23338</v>
      </c>
      <c r="B18552" s="4" t="s">
        <v>23340</v>
      </c>
      <c r="C18552" s="5" t="str">
        <f>IFERROR(__xludf.DUMMYFUNCTION("GOOGLETRANSLATE(B18552,""en"",""es-ES"")"),"Ella comienza a surfear en el agua.")</f>
        <v>Ella comienza a surfear en el agua.</v>
      </c>
    </row>
    <row r="18553">
      <c r="A18553" s="4" t="s">
        <v>23341</v>
      </c>
      <c r="B18553" s="4" t="s">
        <v>23342</v>
      </c>
      <c r="C18553" s="5" t="str">
        <f>IFERROR(__xludf.DUMMYFUNCTION("GOOGLETRANSLATE(B18553,""en"",""es-ES"")"),"Una mujer se lava en un fregadero y muestra una pequeña botella.")</f>
        <v>Una mujer se lava en un fregadero y muestra una pequeña botella.</v>
      </c>
    </row>
    <row r="18554">
      <c r="A18554" s="4" t="s">
        <v>23341</v>
      </c>
      <c r="B18554" s="4" t="s">
        <v>23343</v>
      </c>
      <c r="C18554" s="5" t="str">
        <f>IFERROR(__xludf.DUMMYFUNCTION("GOOGLETRANSLATE(B18554,""en"",""es-ES"")"),"Luego, la mujer agrega varias papas en una olla al vapor.")</f>
        <v>Luego, la mujer agrega varias papas en una olla al vapor.</v>
      </c>
    </row>
    <row r="18555">
      <c r="A18555" s="4" t="s">
        <v>23341</v>
      </c>
      <c r="B18555" s="4" t="s">
        <v>23344</v>
      </c>
      <c r="C18555" s="5" t="str">
        <f>IFERROR(__xludf.DUMMYFUNCTION("GOOGLETRANSLATE(B18555,""en"",""es-ES"")"),"Después, la mujer puso las papas en un tazón y luego pelea fácilmente las papas.")</f>
        <v>Después, la mujer puso las papas en un tazón y luego pelea fácilmente las papas.</v>
      </c>
    </row>
    <row r="18556">
      <c r="A18556" s="4" t="s">
        <v>23345</v>
      </c>
      <c r="B18556" s="4" t="s">
        <v>23346</v>
      </c>
      <c r="C18556" s="5" t="str">
        <f>IFERROR(__xludf.DUMMYFUNCTION("GOOGLETRANSLATE(B18556,""en"",""es-ES"")"),"Hay un jardín con muchos árboles y arbustos.")</f>
        <v>Hay un jardín con muchos árboles y arbustos.</v>
      </c>
    </row>
    <row r="18557">
      <c r="A18557" s="4" t="s">
        <v>23345</v>
      </c>
      <c r="B18557" s="4" t="s">
        <v>23347</v>
      </c>
      <c r="C18557" s="5" t="str">
        <f>IFERROR(__xludf.DUMMYFUNCTION("GOOGLETRANSLATE(B18557,""en"",""es-ES"")"),"Hay un hombre que usa un equipo de cobertura y recorte que recorta los arbustos.")</f>
        <v>Hay un hombre que usa un equipo de cobertura y recorte que recorta los arbustos.</v>
      </c>
    </row>
    <row r="18558">
      <c r="A18558" s="4" t="s">
        <v>23345</v>
      </c>
      <c r="B18558" s="4" t="s">
        <v>23348</v>
      </c>
      <c r="C18558" s="5" t="str">
        <f>IFERROR(__xludf.DUMMYFUNCTION("GOOGLETRANSLATE(B18558,""en"",""es-ES"")"),"Otro hombre está dando instrucciones sobre el cuidado del césped y el jardín.")</f>
        <v>Otro hombre está dando instrucciones sobre el cuidado del césped y el jardín.</v>
      </c>
    </row>
    <row r="18559">
      <c r="A18559" s="4" t="s">
        <v>23345</v>
      </c>
      <c r="B18559" s="4" t="s">
        <v>23349</v>
      </c>
      <c r="C18559" s="5" t="str">
        <f>IFERROR(__xludf.DUMMYFUNCTION("GOOGLETRANSLATE(B18559,""en"",""es-ES"")"),"El hombre sube una escalera alta para recortar los árboles y arbustos varias veces.")</f>
        <v>El hombre sube una escalera alta para recortar los árboles y arbustos varias veces.</v>
      </c>
    </row>
    <row r="18560">
      <c r="A18560" s="4" t="s">
        <v>23345</v>
      </c>
      <c r="B18560" s="4" t="s">
        <v>23350</v>
      </c>
      <c r="C18560" s="5" t="str">
        <f>IFERROR(__xludf.DUMMYFUNCTION("GOOGLETRANSLATE(B18560,""en"",""es-ES"")"),"Él da la vuelta a todo el lado para recortar los setos.")</f>
        <v>Él da la vuelta a todo el lado para recortar los setos.</v>
      </c>
    </row>
    <row r="18561">
      <c r="A18561" s="4" t="s">
        <v>23345</v>
      </c>
      <c r="B18561" s="4" t="s">
        <v>23351</v>
      </c>
      <c r="C18561" s="5" t="str">
        <f>IFERROR(__xludf.DUMMYFUNCTION("GOOGLETRANSLATE(B18561,""en"",""es-ES"")"),"El instructor continúa hablando sobre el proceso de jardinería, el hombre recorta los setos que forman una barrera cerca de una casa.")</f>
        <v>El instructor continúa hablando sobre el proceso de jardinería, el hombre recorta los setos que forman una barrera cerca de una casa.</v>
      </c>
    </row>
    <row r="18562">
      <c r="A18562" s="4" t="s">
        <v>23345</v>
      </c>
      <c r="B18562" s="4" t="s">
        <v>23352</v>
      </c>
      <c r="C18562" s="5" t="str">
        <f>IFERROR(__xludf.DUMMYFUNCTION("GOOGLETRANSLATE(B18562,""en"",""es-ES"")"),"El instructor explica el proceso nuevamente a los espectadores.")</f>
        <v>El instructor explica el proceso nuevamente a los espectadores.</v>
      </c>
    </row>
    <row r="18563">
      <c r="A18563" s="4" t="s">
        <v>23345</v>
      </c>
      <c r="B18563" s="4" t="s">
        <v>23353</v>
      </c>
      <c r="C18563" s="5" t="str">
        <f>IFERROR(__xludf.DUMMYFUNCTION("GOOGLETRANSLATE(B18563,""en"",""es-ES"")"),"La escena cambia a una estatua de aspecto extraño en una ciudad ocupada y termina con un agradecimiento por ver el mensaje.")</f>
        <v>La escena cambia a una estatua de aspecto extraño en una ciudad ocupada y termina con un agradecimiento por ver el mensaje.</v>
      </c>
    </row>
    <row r="18564">
      <c r="A18564" s="4" t="s">
        <v>23354</v>
      </c>
      <c r="B18564" s="4" t="s">
        <v>23355</v>
      </c>
      <c r="C18564" s="5" t="str">
        <f>IFERROR(__xludf.DUMMYFUNCTION("GOOGLETRANSLATE(B18564,""en"",""es-ES"")"),"Una mujer en lencería está sentada en un sofá saludando a la cámara.")</f>
        <v>Una mujer en lencería está sentada en un sofá saludando a la cámara.</v>
      </c>
    </row>
    <row r="18565">
      <c r="A18565" s="4" t="s">
        <v>23354</v>
      </c>
      <c r="B18565" s="4" t="s">
        <v>23356</v>
      </c>
      <c r="C18565" s="5" t="str">
        <f>IFERROR(__xludf.DUMMYFUNCTION("GOOGLETRANSLATE(B18565,""en"",""es-ES"")"),"Ella abre un paquete de cigarrillos y se ilumina.")</f>
        <v>Ella abre un paquete de cigarrillos y se ilumina.</v>
      </c>
    </row>
    <row r="18566">
      <c r="A18566" s="4" t="s">
        <v>23354</v>
      </c>
      <c r="B18566" s="4" t="s">
        <v>23357</v>
      </c>
      <c r="C18566" s="5" t="str">
        <f>IFERROR(__xludf.DUMMYFUNCTION("GOOGLETRANSLATE(B18566,""en"",""es-ES"")"),"Ella continúa sentada y fumando mientras mira la cámara.")</f>
        <v>Ella continúa sentada y fumando mientras mira la cámara.</v>
      </c>
    </row>
    <row r="18567">
      <c r="A18567" s="4" t="s">
        <v>23358</v>
      </c>
      <c r="B18567" s="4" t="s">
        <v>23359</v>
      </c>
      <c r="C18567" s="5" t="str">
        <f>IFERROR(__xludf.DUMMYFUNCTION("GOOGLETRANSLATE(B18567,""en"",""es-ES"")"),"Una señora discute mientras está de pie en una cocina adyacente a un fregadero.")</f>
        <v>Una señora discute mientras está de pie en una cocina adyacente a un fregadero.</v>
      </c>
    </row>
    <row r="18568">
      <c r="A18568" s="4" t="s">
        <v>23358</v>
      </c>
      <c r="B18568" s="4" t="s">
        <v>23360</v>
      </c>
      <c r="C18568" s="5" t="str">
        <f>IFERROR(__xludf.DUMMYFUNCTION("GOOGLETRANSLATE(B18568,""en"",""es-ES"")"),"La señora sostiene una esponja mientras el agua del fregadero está funcionando.")</f>
        <v>La señora sostiene una esponja mientras el agua del fregadero está funcionando.</v>
      </c>
    </row>
    <row r="18569">
      <c r="A18569" s="4" t="s">
        <v>23358</v>
      </c>
      <c r="B18569" s="4" t="s">
        <v>23361</v>
      </c>
      <c r="C18569" s="5" t="str">
        <f>IFERROR(__xludf.DUMMYFUNCTION("GOOGLETRANSLATE(B18569,""en"",""es-ES"")"),"La señora está empapando platos en agua jabonosa.")</f>
        <v>La señora está empapando platos en agua jabonosa.</v>
      </c>
    </row>
    <row r="18570">
      <c r="A18570" s="4" t="s">
        <v>23362</v>
      </c>
      <c r="B18570" s="4" t="s">
        <v>23363</v>
      </c>
      <c r="C18570" s="5" t="str">
        <f>IFERROR(__xludf.DUMMYFUNCTION("GOOGLETRANSLATE(B18570,""en"",""es-ES"")"),"Una mujer con un vestido blanco que el vientre baila afuera cerca de columnas y árboles.")</f>
        <v>Una mujer con un vestido blanco que el vientre baila afuera cerca de columnas y árboles.</v>
      </c>
    </row>
    <row r="18571">
      <c r="A18571" s="4" t="s">
        <v>23362</v>
      </c>
      <c r="B18571" s="4" t="s">
        <v>23364</v>
      </c>
      <c r="C18571" s="5" t="str">
        <f>IFERROR(__xludf.DUMMYFUNCTION("GOOGLETRANSLATE(B18571,""en"",""es-ES"")"),"La mujer sacude sus caderas mientras baila.")</f>
        <v>La mujer sacude sus caderas mientras baila.</v>
      </c>
    </row>
    <row r="18572">
      <c r="A18572" s="4" t="s">
        <v>23362</v>
      </c>
      <c r="B18572" s="4" t="s">
        <v>23365</v>
      </c>
      <c r="C18572" s="5" t="str">
        <f>IFERROR(__xludf.DUMMYFUNCTION("GOOGLETRANSLATE(B18572,""en"",""es-ES"")"),"Los créditos aparecen en la pantalla.")</f>
        <v>Los créditos aparecen en la pantalla.</v>
      </c>
    </row>
    <row r="18573">
      <c r="A18573" s="4" t="s">
        <v>23366</v>
      </c>
      <c r="B18573" s="4" t="s">
        <v>23367</v>
      </c>
      <c r="C18573" s="5" t="str">
        <f>IFERROR(__xludf.DUMMYFUNCTION("GOOGLETRANSLATE(B18573,""en"",""es-ES"")"),"Se muestra un vaso de chupito, lleno de tres colores de líquido.")</f>
        <v>Se muestra un vaso de chupito, lleno de tres colores de líquido.</v>
      </c>
    </row>
    <row r="18574">
      <c r="A18574" s="4" t="s">
        <v>23366</v>
      </c>
      <c r="B18574" s="4" t="s">
        <v>23368</v>
      </c>
      <c r="C18574" s="5" t="str">
        <f>IFERROR(__xludf.DUMMYFUNCTION("GOOGLETRANSLATE(B18574,""en"",""es-ES"")"),"Se muestran varias botellas de alcoholes de diferentes colores.")</f>
        <v>Se muestran varias botellas de alcoholes de diferentes colores.</v>
      </c>
    </row>
    <row r="18575">
      <c r="A18575" s="4" t="s">
        <v>23366</v>
      </c>
      <c r="B18575" s="4" t="s">
        <v>23369</v>
      </c>
      <c r="C18575" s="5" t="str">
        <f>IFERROR(__xludf.DUMMYFUNCTION("GOOGLETRANSLATE(B18575,""en"",""es-ES"")"),"Los líquidos se vierten uno a la vez en las gafas, formando la bebida tricolor.")</f>
        <v>Los líquidos se vierten uno a la vez en las gafas, formando la bebida tricolor.</v>
      </c>
    </row>
    <row r="18576">
      <c r="A18576" s="4" t="s">
        <v>23370</v>
      </c>
      <c r="B18576" s="4" t="s">
        <v>23371</v>
      </c>
      <c r="C18576" s="5" t="str">
        <f>IFERROR(__xludf.DUMMYFUNCTION("GOOGLETRANSLATE(B18576,""en"",""es-ES"")"),"Un hombre con camisa de vestir golpea su tela en la boquilla de un recipiente de vidrio para humedecer.")</f>
        <v>Un hombre con camisa de vestir golpea su tela en la boquilla de un recipiente de vidrio para humedecer.</v>
      </c>
    </row>
    <row r="18577">
      <c r="A18577" s="4" t="s">
        <v>23370</v>
      </c>
      <c r="B18577" s="4" t="s">
        <v>23372</v>
      </c>
      <c r="C18577" s="5" t="str">
        <f>IFERROR(__xludf.DUMMYFUNCTION("GOOGLETRANSLATE(B18577,""en"",""es-ES"")"),"El hombre usa su tela envuelta alrededor de su índice y su medio fino para pulir un zapato.")</f>
        <v>El hombre usa su tela envuelta alrededor de su índice y su medio fino para pulir un zapato.</v>
      </c>
    </row>
    <row r="18578">
      <c r="A18578" s="4" t="s">
        <v>23370</v>
      </c>
      <c r="B18578" s="4" t="s">
        <v>23373</v>
      </c>
      <c r="C18578" s="5" t="str">
        <f>IFERROR(__xludf.DUMMYFUNCTION("GOOGLETRANSLATE(B18578,""en"",""es-ES"")"),"El hombre frota su tela en una lata de esmalte de zapatos para más de la sustancia.")</f>
        <v>El hombre frota su tela en una lata de esmalte de zapatos para más de la sustancia.</v>
      </c>
    </row>
    <row r="18579">
      <c r="A18579" s="4" t="s">
        <v>23370</v>
      </c>
      <c r="B18579" s="4" t="s">
        <v>23374</v>
      </c>
      <c r="C18579" s="5" t="str">
        <f>IFERROR(__xludf.DUMMYFUNCTION("GOOGLETRANSLATE(B18579,""en"",""es-ES"")"),"El hombre continúa puliendo el espectáculo alrededor del dedo del pie del zapato.")</f>
        <v>El hombre continúa puliendo el espectáculo alrededor del dedo del pie del zapato.</v>
      </c>
    </row>
    <row r="18580">
      <c r="A18580" s="4" t="s">
        <v>23370</v>
      </c>
      <c r="B18580" s="4" t="s">
        <v>23375</v>
      </c>
      <c r="C18580" s="5" t="str">
        <f>IFERROR(__xludf.DUMMYFUNCTION("GOOGLETRANSLATE(B18580,""en"",""es-ES"")"),"El hombre vuelve a frotar su tela en la lata para obtener más esmalte.")</f>
        <v>El hombre vuelve a frotar su tela en la lata para obtener más esmalte.</v>
      </c>
    </row>
    <row r="18581">
      <c r="A18581" s="4" t="s">
        <v>23370</v>
      </c>
      <c r="B18581" s="4" t="s">
        <v>23376</v>
      </c>
      <c r="C18581" s="5" t="str">
        <f>IFERROR(__xludf.DUMMYFUNCTION("GOOGLETRANSLATE(B18581,""en"",""es-ES"")"),"El hombre continúa puliendo el espectáculo alrededor del dedo del pie del zapato cerca del dedo del pie con un movimiento circular.")</f>
        <v>El hombre continúa puliendo el espectáculo alrededor del dedo del pie del zapato cerca del dedo del pie con un movimiento circular.</v>
      </c>
    </row>
    <row r="18582">
      <c r="A18582" s="4" t="s">
        <v>23377</v>
      </c>
      <c r="B18582" s="4" t="s">
        <v>23378</v>
      </c>
      <c r="C18582" s="5" t="str">
        <f>IFERROR(__xludf.DUMMYFUNCTION("GOOGLETRANSLATE(B18582,""en"",""es-ES"")"),"Dos chicas están actuando tontas y arrojando letreros en una cámara.")</f>
        <v>Dos chicas están actuando tontas y arrojando letreros en una cámara.</v>
      </c>
    </row>
    <row r="18583">
      <c r="A18583" s="4" t="s">
        <v>23377</v>
      </c>
      <c r="B18583" s="4" t="s">
        <v>23379</v>
      </c>
      <c r="C18583" s="5" t="str">
        <f>IFERROR(__xludf.DUMMYFUNCTION("GOOGLETRANSLATE(B18583,""en"",""es-ES"")"),"Luego se turnan para hacer volteretas en el césped.")</f>
        <v>Luego se turnan para hacer volteretas en el césped.</v>
      </c>
    </row>
    <row r="18584">
      <c r="A18584" s="4" t="s">
        <v>23377</v>
      </c>
      <c r="B18584" s="4" t="s">
        <v>23380</v>
      </c>
      <c r="C18584" s="5" t="str">
        <f>IFERROR(__xludf.DUMMYFUNCTION("GOOGLETRANSLATE(B18584,""en"",""es-ES"")"),"Hacen volteos delanteros y traseros, luego corren hacia la cámara.")</f>
        <v>Hacen volteos delanteros y traseros, luego corren hacia la cámara.</v>
      </c>
    </row>
    <row r="18585">
      <c r="A18585" s="4" t="s">
        <v>23381</v>
      </c>
      <c r="B18585" s="4" t="s">
        <v>23382</v>
      </c>
      <c r="C18585" s="5" t="str">
        <f>IFERROR(__xludf.DUMMYFUNCTION("GOOGLETRANSLATE(B18585,""en"",""es-ES"")"),"Un hombre está de pie dentro de una cocina frente a ingredientes y herramientas para cocinar.")</f>
        <v>Un hombre está de pie dentro de una cocina frente a ingredientes y herramientas para cocinar.</v>
      </c>
    </row>
    <row r="18586">
      <c r="A18586" s="4" t="s">
        <v>23381</v>
      </c>
      <c r="B18586" s="4" t="s">
        <v>23383</v>
      </c>
      <c r="C18586" s="5" t="str">
        <f>IFERROR(__xludf.DUMMYFUNCTION("GOOGLETRANSLATE(B18586,""en"",""es-ES"")"),"Muestra que se vierte el aderezo en una ensalada de repollo.")</f>
        <v>Muestra que se vierte el aderezo en una ensalada de repollo.</v>
      </c>
    </row>
    <row r="18587">
      <c r="A18587" s="4" t="s">
        <v>23381</v>
      </c>
      <c r="B18587" s="4" t="s">
        <v>23384</v>
      </c>
      <c r="C18587" s="5" t="str">
        <f>IFERROR(__xludf.DUMMYFUNCTION("GOOGLETRANSLATE(B18587,""en"",""es-ES"")"),"Explica cómo cortar un melón, creando rebanadas que entran en su ensalada.")</f>
        <v>Explica cómo cortar un melón, creando rebanadas que entran en su ensalada.</v>
      </c>
    </row>
    <row r="18588">
      <c r="A18588" s="4" t="s">
        <v>23381</v>
      </c>
      <c r="B18588" s="4" t="s">
        <v>23385</v>
      </c>
      <c r="C18588" s="5" t="str">
        <f>IFERROR(__xludf.DUMMYFUNCTION("GOOGLETRANSLATE(B18588,""en"",""es-ES"")"),"Luego destroza una zanahoria y mueve la ensalada a un tazón antes de rociarla con aderezo.")</f>
        <v>Luego destroza una zanahoria y mueve la ensalada a un tazón antes de rociarla con aderezo.</v>
      </c>
    </row>
    <row r="18589">
      <c r="A18589" s="4" t="s">
        <v>23386</v>
      </c>
      <c r="B18589" s="4" t="s">
        <v>23387</v>
      </c>
      <c r="C18589" s="5" t="str">
        <f>IFERROR(__xludf.DUMMYFUNCTION("GOOGLETRANSLATE(B18589,""en"",""es-ES"")"),"Aparece una pantalla negra con palabras blancas que decían ""GoPro Hero3+Black Making Tasks Fun 'Fun' Furing the Lawn 'Resolution: 1080p Superwide.")</f>
        <v>Aparece una pantalla negra con palabras blancas que decían "GoPro Hero3+Black Making Tasks Fun 'Fun' Furing the Lawn 'Resolution: 1080p Superwide.</v>
      </c>
    </row>
    <row r="18590">
      <c r="A18590" s="4" t="s">
        <v>23386</v>
      </c>
      <c r="B18590" s="4" t="s">
        <v>23388</v>
      </c>
      <c r="C18590" s="5" t="str">
        <f>IFERROR(__xludf.DUMMYFUNCTION("GOOGLETRANSLATE(B18590,""en"",""es-ES"")"),"Una vista desde la parte superior de una cortadora de césped muestra a una mujer tirando del mango de la cortadora de césped.")</f>
        <v>Una vista desde la parte superior de una cortadora de césped muestra a una mujer tirando del mango de la cortadora de césped.</v>
      </c>
    </row>
    <row r="18591">
      <c r="A18591" s="4" t="s">
        <v>23386</v>
      </c>
      <c r="B18591" s="4" t="s">
        <v>23389</v>
      </c>
      <c r="C18591" s="5" t="str">
        <f>IFERROR(__xludf.DUMMYFUNCTION("GOOGLETRANSLATE(B18591,""en"",""es-ES"")"),"La vista cambia a la vista del cortacésped y el cortacésped se mueve a lo largo de un patio lleno de hierba verde.")</f>
        <v>La vista cambia a la vista del cortacésped y el cortacésped se mueve a lo largo de un patio lleno de hierba verde.</v>
      </c>
    </row>
    <row r="18592">
      <c r="A18592" s="4" t="s">
        <v>23386</v>
      </c>
      <c r="B18592" s="4" t="s">
        <v>23390</v>
      </c>
      <c r="C18592" s="5" t="str">
        <f>IFERROR(__xludf.DUMMYFUNCTION("GOOGLETRANSLATE(B18592,""en"",""es-ES"")"),"La vista cambia de un lado a otro desde la vista del cortacésped y la vista de toda la mujer que corta el césped.")</f>
        <v>La vista cambia de un lado a otro desde la vista del cortacésped y la vista de toda la mujer que corta el césped.</v>
      </c>
    </row>
    <row r="18593">
      <c r="A18593" s="4" t="s">
        <v>23391</v>
      </c>
      <c r="B18593" s="4" t="s">
        <v>23392</v>
      </c>
      <c r="C18593" s="5" t="str">
        <f>IFERROR(__xludf.DUMMYFUNCTION("GOOGLETRANSLATE(B18593,""en"",""es-ES"")"),"Se ve a un gran grupo de personas sentados en bicicletas haciendo ejercicio entre sí.")</f>
        <v>Se ve a un gran grupo de personas sentados en bicicletas haciendo ejercicio entre sí.</v>
      </c>
    </row>
    <row r="18594">
      <c r="A18594" s="4" t="s">
        <v>23391</v>
      </c>
      <c r="B18594" s="4" t="s">
        <v>23393</v>
      </c>
      <c r="C18594" s="5" t="str">
        <f>IFERROR(__xludf.DUMMYFUNCTION("GOOGLETRANSLATE(B18594,""en"",""es-ES"")"),"Una mujer habla con la cámara mientras se muestran más tomas de personas que viajan.")</f>
        <v>Una mujer habla con la cámara mientras se muestran más tomas de personas que viajan.</v>
      </c>
    </row>
    <row r="18595">
      <c r="A18595" s="4" t="s">
        <v>23391</v>
      </c>
      <c r="B18595" s="4" t="s">
        <v>23394</v>
      </c>
      <c r="C18595" s="5" t="str">
        <f>IFERROR(__xludf.DUMMYFUNCTION("GOOGLETRANSLATE(B18595,""en"",""es-ES"")"),"Una mujer lidera la clase y habla con la cámara y otros que viajan.")</f>
        <v>Una mujer lidera la clase y habla con la cámara y otros que viajan.</v>
      </c>
    </row>
    <row r="18596">
      <c r="A18596" s="4" t="s">
        <v>23395</v>
      </c>
      <c r="B18596" s="4" t="s">
        <v>23396</v>
      </c>
      <c r="C18596" s="5" t="str">
        <f>IFERROR(__xludf.DUMMYFUNCTION("GOOGLETRANSLATE(B18596,""en"",""es-ES"")"),"Una mano muestra un cuchillo de cuchilla curva, y luego mostró una picos de hielo con papel blanco al final.")</f>
        <v>Una mano muestra un cuchillo de cuchilla curva, y luego mostró una picos de hielo con papel blanco al final.</v>
      </c>
    </row>
    <row r="18597">
      <c r="A18597" s="4" t="s">
        <v>23395</v>
      </c>
      <c r="B18597" s="4" t="s">
        <v>23397</v>
      </c>
      <c r="C18597" s="5" t="str">
        <f>IFERROR(__xludf.DUMMYFUNCTION("GOOGLETRANSLATE(B18597,""en"",""es-ES"")"),"El hombre arrojó la cuchilla sobre la madera contrachapada, luego lanzó la selección de hielo.")</f>
        <v>El hombre arrojó la cuchilla sobre la madera contrachapada, luego lanzó la selección de hielo.</v>
      </c>
    </row>
    <row r="18598">
      <c r="A18598" s="4" t="s">
        <v>23398</v>
      </c>
      <c r="B18598" s="4" t="s">
        <v>23399</v>
      </c>
      <c r="C18598" s="5" t="str">
        <f>IFERROR(__xludf.DUMMYFUNCTION("GOOGLETRANSLATE(B18598,""en"",""es-ES"")"),"Un niño pone galletas recién horneadas en una rejilla para enfriar.")</f>
        <v>Un niño pone galletas recién horneadas en una rejilla para enfriar.</v>
      </c>
    </row>
    <row r="18599">
      <c r="A18599" s="4" t="s">
        <v>23398</v>
      </c>
      <c r="B18599" s="4" t="s">
        <v>23400</v>
      </c>
      <c r="C18599" s="5" t="str">
        <f>IFERROR(__xludf.DUMMYFUNCTION("GOOGLETRANSLATE(B18599,""en"",""es-ES"")"),"Uno se atasca y lame la espátula.")</f>
        <v>Uno se atasca y lame la espátula.</v>
      </c>
    </row>
    <row r="18600">
      <c r="A18600" s="4" t="s">
        <v>23401</v>
      </c>
      <c r="B18600" s="4" t="s">
        <v>23402</v>
      </c>
      <c r="C18600" s="5" t="str">
        <f>IFERROR(__xludf.DUMMYFUNCTION("GOOGLETRANSLATE(B18600,""en"",""es-ES"")"),"Se ve a la mano de una persona empujando varias canicas por una larga pista y observando dónde aterriza.")</f>
        <v>Se ve a la mano de una persona empujando varias canicas por una larga pista y observando dónde aterriza.</v>
      </c>
    </row>
    <row r="18601">
      <c r="A18601" s="4" t="s">
        <v>23401</v>
      </c>
      <c r="B18601" s="4" t="s">
        <v>23403</v>
      </c>
      <c r="C18601" s="5" t="str">
        <f>IFERROR(__xludf.DUMMYFUNCTION("GOOGLETRANSLATE(B18601,""en"",""es-ES"")"),"Empujan varias canicas más mientras la cámara se mueve hacia arriba y hacia abajo para atrapar la acción.")</f>
        <v>Empujan varias canicas más mientras la cámara se mueve hacia arriba y hacia abajo para atrapar la acción.</v>
      </c>
    </row>
    <row r="18602">
      <c r="A18602" s="4" t="s">
        <v>23404</v>
      </c>
      <c r="B18602" s="4" t="s">
        <v>23405</v>
      </c>
      <c r="C18602" s="5" t="str">
        <f>IFERROR(__xludf.DUMMYFUNCTION("GOOGLETRANSLATE(B18602,""en"",""es-ES"")"),"Se ve a un joven hablando con la cámara y lo lleva a tratar de resolver un cubo de Rubix.")</f>
        <v>Se ve a un joven hablando con la cámara y lo lleva a tratar de resolver un cubo de Rubix.</v>
      </c>
    </row>
    <row r="18603">
      <c r="A18603" s="4" t="s">
        <v>23404</v>
      </c>
      <c r="B18603" s="4" t="s">
        <v>23406</v>
      </c>
      <c r="C18603" s="5" t="str">
        <f>IFERROR(__xludf.DUMMYFUNCTION("GOOGLETRANSLATE(B18603,""en"",""es-ES"")"),"Luego, el niño resuelve el cubo y le devuelve la cámara para mostrar su tiempo.")</f>
        <v>Luego, el niño resuelve el cubo y le devuelve la cámara para mostrar su tiempo.</v>
      </c>
    </row>
    <row r="18604">
      <c r="A18604" s="4" t="s">
        <v>23407</v>
      </c>
      <c r="B18604" s="4" t="s">
        <v>23408</v>
      </c>
      <c r="C18604" s="5" t="str">
        <f>IFERROR(__xludf.DUMMYFUNCTION("GOOGLETRANSLATE(B18604,""en"",""es-ES"")"),"Se ve a un hombre usando una cachimba y soplando humo en el aire y lo lleva a raspar el tabaco y conducir.")</f>
        <v>Se ve a un hombre usando una cachimba y soplando humo en el aire y lo lleva a raspar el tabaco y conducir.</v>
      </c>
    </row>
    <row r="18605">
      <c r="A18605" s="4" t="s">
        <v>23407</v>
      </c>
      <c r="B18605" s="4" t="s">
        <v>23409</v>
      </c>
      <c r="C18605" s="5" t="str">
        <f>IFERROR(__xludf.DUMMYFUNCTION("GOOGLETRANSLATE(B18605,""en"",""es-ES"")"),"Él habla con la cámara y vuelve a una narguile y comienza a fumar.")</f>
        <v>Él habla con la cámara y vuelve a una narguile y comienza a fumar.</v>
      </c>
    </row>
    <row r="18606">
      <c r="A18606" s="4" t="s">
        <v>23410</v>
      </c>
      <c r="B18606" s="4" t="s">
        <v>23411</v>
      </c>
      <c r="C18606" s="5" t="str">
        <f>IFERROR(__xludf.DUMMYFUNCTION("GOOGLETRANSLATE(B18606,""en"",""es-ES"")"),"Un hombre está parado en un cobertizo detrás de una mesa de manualidades hablando con la cámara.")</f>
        <v>Un hombre está parado en un cobertizo detrás de una mesa de manualidades hablando con la cámara.</v>
      </c>
    </row>
    <row r="18607">
      <c r="A18607" s="4" t="s">
        <v>23410</v>
      </c>
      <c r="B18607" s="4" t="s">
        <v>23412</v>
      </c>
      <c r="C18607" s="5" t="str">
        <f>IFERROR(__xludf.DUMMYFUNCTION("GOOGLETRANSLATE(B18607,""en"",""es-ES"")"),"Luego, un hombre con uniforme de la Marina comienza a caminar por el camino y termina en la habitación con el hombre.")</f>
        <v>Luego, un hombre con uniforme de la Marina comienza a caminar por el camino y termina en la habitación con el hombre.</v>
      </c>
    </row>
    <row r="18608">
      <c r="A18608" s="4" t="s">
        <v>23410</v>
      </c>
      <c r="B18608" s="4" t="s">
        <v>23413</v>
      </c>
      <c r="C18608" s="5" t="str">
        <f>IFERROR(__xludf.DUMMYFUNCTION("GOOGLETRANSLATE(B18608,""en"",""es-ES"")"),"Los dos comienzan a pulir un par de botas junto con una tela blanca y un cepillo verde.")</f>
        <v>Los dos comienzan a pulir un par de botas junto con una tela blanca y un cepillo verde.</v>
      </c>
    </row>
    <row r="18609">
      <c r="A18609" s="4" t="s">
        <v>23410</v>
      </c>
      <c r="B18609" s="4" t="s">
        <v>23414</v>
      </c>
      <c r="C18609" s="5" t="str">
        <f>IFERROR(__xludf.DUMMYFUNCTION("GOOGLETRANSLATE(B18609,""en"",""es-ES"")"),"A medida que terminan, el hombre de la camisa verde recibe un parche y una pantalla de puntas viene en la pantalla para cuidar adecuadamente sus botas.")</f>
        <v>A medida que terminan, el hombre de la camisa verde recibe un parche y una pantalla de puntas viene en la pantalla para cuidar adecuadamente sus botas.</v>
      </c>
    </row>
    <row r="18610">
      <c r="A18610" s="4" t="s">
        <v>23415</v>
      </c>
      <c r="B18610" s="4" t="s">
        <v>1251</v>
      </c>
      <c r="C18610" s="5" t="str">
        <f>IFERROR(__xludf.DUMMYFUNCTION("GOOGLETRANSLATE(B18610,""en"",""es-ES"")"),"Se muestran los créditos del clip.")</f>
        <v>Se muestran los créditos del clip.</v>
      </c>
    </row>
    <row r="18611">
      <c r="A18611" s="4" t="s">
        <v>23415</v>
      </c>
      <c r="B18611" s="4" t="s">
        <v>23416</v>
      </c>
      <c r="C18611" s="5" t="str">
        <f>IFERROR(__xludf.DUMMYFUNCTION("GOOGLETRANSLATE(B18611,""en"",""es-ES"")"),"La gente está en bicicleta por un camino.")</f>
        <v>La gente está en bicicleta por un camino.</v>
      </c>
    </row>
    <row r="18612">
      <c r="A18612" s="4" t="s">
        <v>23415</v>
      </c>
      <c r="B18612" s="4" t="s">
        <v>23417</v>
      </c>
      <c r="C18612" s="5" t="str">
        <f>IFERROR(__xludf.DUMMYFUNCTION("GOOGLETRANSLATE(B18612,""en"",""es-ES"")"),"Una persona está tratando de comenzar un fuego.")</f>
        <v>Una persona está tratando de comenzar un fuego.</v>
      </c>
    </row>
    <row r="18613">
      <c r="A18613" s="4" t="s">
        <v>23415</v>
      </c>
      <c r="B18613" s="4" t="s">
        <v>23418</v>
      </c>
      <c r="C18613" s="5" t="str">
        <f>IFERROR(__xludf.DUMMYFUNCTION("GOOGLETRANSLATE(B18613,""en"",""es-ES"")"),"La persona alimenta el fuego y lo mueve a un agujero.")</f>
        <v>La persona alimenta el fuego y lo mueve a un agujero.</v>
      </c>
    </row>
    <row r="18614">
      <c r="A18614" s="4" t="s">
        <v>23415</v>
      </c>
      <c r="B18614" s="4" t="s">
        <v>573</v>
      </c>
      <c r="C18614" s="5" t="str">
        <f>IFERROR(__xludf.DUMMYFUNCTION("GOOGLETRANSLATE(B18614,""en"",""es-ES"")"),"Se muestran los créditos del video.")</f>
        <v>Se muestran los créditos del video.</v>
      </c>
    </row>
    <row r="18615">
      <c r="A18615" s="4" t="s">
        <v>23419</v>
      </c>
      <c r="B18615" s="4" t="s">
        <v>23420</v>
      </c>
      <c r="C18615" s="5" t="str">
        <f>IFERROR(__xludf.DUMMYFUNCTION("GOOGLETRANSLATE(B18615,""en"",""es-ES"")"),"Una chica con un vestido está cruzando bares de mono.")</f>
        <v>Una chica con un vestido está cruzando bares de mono.</v>
      </c>
    </row>
    <row r="18616">
      <c r="A18616" s="4" t="s">
        <v>23419</v>
      </c>
      <c r="B18616" s="4" t="s">
        <v>23421</v>
      </c>
      <c r="C18616" s="5" t="str">
        <f>IFERROR(__xludf.DUMMYFUNCTION("GOOGLETRANSLATE(B18616,""en"",""es-ES"")"),"Ella llega al final y pisa una roca.")</f>
        <v>Ella llega al final y pisa una roca.</v>
      </c>
    </row>
    <row r="18617">
      <c r="A18617" s="4" t="s">
        <v>23419</v>
      </c>
      <c r="B18617" s="4" t="s">
        <v>23422</v>
      </c>
      <c r="C18617" s="5" t="str">
        <f>IFERROR(__xludf.DUMMYFUNCTION("GOOGLETRANSLATE(B18617,""en"",""es-ES"")"),"Un niño con una camisa azul está detrás de ella.")</f>
        <v>Un niño con una camisa azul está detrás de ella.</v>
      </c>
    </row>
    <row r="18618">
      <c r="A18618" s="4" t="s">
        <v>23423</v>
      </c>
      <c r="B18618" s="4" t="s">
        <v>23424</v>
      </c>
      <c r="C18618" s="5" t="str">
        <f>IFERROR(__xludf.DUMMYFUNCTION("GOOGLETRANSLATE(B18618,""en"",""es-ES"")"),"Un padre y una hija están jugando escocés en su porche.")</f>
        <v>Un padre y una hija están jugando escocés en su porche.</v>
      </c>
    </row>
    <row r="18619">
      <c r="A18619" s="4" t="s">
        <v>23423</v>
      </c>
      <c r="B18619" s="4" t="s">
        <v>23425</v>
      </c>
      <c r="C18619" s="5" t="str">
        <f>IFERROR(__xludf.DUMMYFUNCTION("GOOGLETRANSLATE(B18619,""en"",""es-ES"")"),"La niña lleva una camisa y pantalones cortos sin mangas azules y el padre lleva una camisa gris y pantalones cortos.")</f>
        <v>La niña lleva una camisa y pantalones cortos sin mangas azules y el padre lleva una camisa gris y pantalones cortos.</v>
      </c>
    </row>
    <row r="18620">
      <c r="A18620" s="4" t="s">
        <v>23423</v>
      </c>
      <c r="B18620" s="4" t="s">
        <v>23426</v>
      </c>
      <c r="C18620" s="5" t="str">
        <f>IFERROR(__xludf.DUMMYFUNCTION("GOOGLETRANSLATE(B18620,""en"",""es-ES"")"),"Se turnan para saltar sobre los cuadrados.")</f>
        <v>Se turnan para saltar sobre los cuadrados.</v>
      </c>
    </row>
    <row r="18621">
      <c r="A18621" s="4" t="s">
        <v>23423</v>
      </c>
      <c r="B18621" s="4" t="s">
        <v>23427</v>
      </c>
      <c r="C18621" s="5" t="str">
        <f>IFERROR(__xludf.DUMMYFUNCTION("GOOGLETRANSLATE(B18621,""en"",""es-ES"")"),"Luego, a su niña, se le une a su madre, quien comienza a saltar sobre los cuadrados.")</f>
        <v>Luego, a su niña, se le une a su madre, quien comienza a saltar sobre los cuadrados.</v>
      </c>
    </row>
    <row r="18622">
      <c r="A18622" s="4" t="s">
        <v>23423</v>
      </c>
      <c r="B18622" s="4" t="s">
        <v>23428</v>
      </c>
      <c r="C18622" s="5" t="str">
        <f>IFERROR(__xludf.DUMMYFUNCTION("GOOGLETRANSLATE(B18622,""en"",""es-ES"")"),"Ella le da a la hija un máximo.")</f>
        <v>Ella le da a la hija un máximo.</v>
      </c>
    </row>
    <row r="18623">
      <c r="A18623" s="4" t="s">
        <v>23423</v>
      </c>
      <c r="B18623" s="4" t="s">
        <v>23429</v>
      </c>
      <c r="C18623" s="5" t="str">
        <f>IFERROR(__xludf.DUMMYFUNCTION("GOOGLETRANSLATE(B18623,""en"",""es-ES"")"),"Entonces la niña comienza a saltar y saltar a través de los cuadrados.")</f>
        <v>Entonces la niña comienza a saltar y saltar a través de los cuadrados.</v>
      </c>
    </row>
    <row r="18624">
      <c r="A18624" s="4" t="s">
        <v>23430</v>
      </c>
      <c r="B18624" s="4" t="s">
        <v>23431</v>
      </c>
      <c r="C18624" s="5" t="str">
        <f>IFERROR(__xludf.DUMMYFUNCTION("GOOGLETRANSLATE(B18624,""en"",""es-ES"")"),"Un hombre se para en el frente de un fregadero.")</f>
        <v>Un hombre se para en el frente de un fregadero.</v>
      </c>
    </row>
    <row r="18625">
      <c r="A18625" s="4" t="s">
        <v>23430</v>
      </c>
      <c r="B18625" s="4" t="s">
        <v>23432</v>
      </c>
      <c r="C18625" s="5" t="str">
        <f>IFERROR(__xludf.DUMMYFUNCTION("GOOGLETRANSLATE(B18625,""en"",""es-ES"")"),"Luego, el hombre pone jabón en un paño.")</f>
        <v>Luego, el hombre pone jabón en un paño.</v>
      </c>
    </row>
    <row r="18626">
      <c r="A18626" s="4" t="s">
        <v>23430</v>
      </c>
      <c r="B18626" s="4" t="s">
        <v>23433</v>
      </c>
      <c r="C18626" s="5" t="str">
        <f>IFERROR(__xludf.DUMMYFUNCTION("GOOGLETRANSLATE(B18626,""en"",""es-ES"")"),"Después, el hombre lava la olla afuera y adentro.")</f>
        <v>Después, el hombre lava la olla afuera y adentro.</v>
      </c>
    </row>
    <row r="18627">
      <c r="A18627" s="4" t="s">
        <v>23430</v>
      </c>
      <c r="B18627" s="4" t="s">
        <v>23434</v>
      </c>
      <c r="C18627" s="5" t="str">
        <f>IFERROR(__xludf.DUMMYFUNCTION("GOOGLETRANSLATE(B18627,""en"",""es-ES"")"),"Luego, el hombre gira y seca las manos.")</f>
        <v>Luego, el hombre gira y seca las manos.</v>
      </c>
    </row>
    <row r="18628">
      <c r="A18628" s="4" t="s">
        <v>23435</v>
      </c>
      <c r="B18628" s="4" t="s">
        <v>23436</v>
      </c>
      <c r="C18628" s="5" t="str">
        <f>IFERROR(__xludf.DUMMYFUNCTION("GOOGLETRANSLATE(B18628,""en"",""es-ES"")"),"La palabra Funkin está en la pantalla y debajo dice Bacardi Cocktail.")</f>
        <v>La palabra Funkin está en la pantalla y debajo dice Bacardi Cocktail.</v>
      </c>
    </row>
    <row r="18629">
      <c r="A18629" s="4" t="s">
        <v>23435</v>
      </c>
      <c r="B18629" s="4" t="s">
        <v>23437</v>
      </c>
      <c r="C18629" s="5" t="str">
        <f>IFERROR(__xludf.DUMMYFUNCTION("GOOGLETRANSLATE(B18629,""en"",""es-ES"")"),"Un hombre con una camisa de Funkin habla y demuestra cómo hacer el cóctel Bacardi detrás de un bar.")</f>
        <v>Un hombre con una camisa de Funkin habla y demuestra cómo hacer el cóctel Bacardi detrás de un bar.</v>
      </c>
    </row>
    <row r="18630">
      <c r="A18630" s="4" t="s">
        <v>23435</v>
      </c>
      <c r="B18630" s="4" t="s">
        <v>23438</v>
      </c>
      <c r="C18630" s="5" t="str">
        <f>IFERROR(__xludf.DUMMYFUNCTION("GOOGLETRANSLATE(B18630,""en"",""es-ES"")"),"El hombre le muestra a la gente cómo hacer una copa en una copa de martini.")</f>
        <v>El hombre le muestra a la gente cómo hacer una copa en una copa de martini.</v>
      </c>
    </row>
    <row r="18631">
      <c r="A18631" s="4" t="s">
        <v>23435</v>
      </c>
      <c r="B18631" s="4" t="s">
        <v>23439</v>
      </c>
      <c r="C18631" s="5" t="str">
        <f>IFERROR(__xludf.DUMMYFUNCTION("GOOGLETRANSLATE(B18631,""en"",""es-ES"")"),"El hombre pone ingredientes en un vaso normal mientras muestra las botellas de ingredientes que está usando.")</f>
        <v>El hombre pone ingredientes en un vaso normal mientras muestra las botellas de ingredientes que está usando.</v>
      </c>
    </row>
    <row r="18632">
      <c r="A18632" s="4" t="s">
        <v>23435</v>
      </c>
      <c r="B18632" s="4" t="s">
        <v>23440</v>
      </c>
      <c r="C18632" s="5" t="str">
        <f>IFERROR(__xludf.DUMMYFUNCTION("GOOGLETRANSLATE(B18632,""en"",""es-ES"")"),"La palabra Funkin está en la pantalla.")</f>
        <v>La palabra Funkin está en la pantalla.</v>
      </c>
    </row>
    <row r="18633">
      <c r="A18633" s="4" t="s">
        <v>23441</v>
      </c>
      <c r="B18633" s="4" t="s">
        <v>23442</v>
      </c>
      <c r="C18633" s="5" t="str">
        <f>IFERROR(__xludf.DUMMYFUNCTION("GOOGLETRANSLATE(B18633,""en"",""es-ES"")"),"Un hombre se encuentra en una sala de estar rústica y toca una gaita en sus calcetines.")</f>
        <v>Un hombre se encuentra en una sala de estar rústica y toca una gaita en sus calcetines.</v>
      </c>
    </row>
    <row r="18634">
      <c r="A18634" s="4" t="s">
        <v>23441</v>
      </c>
      <c r="B18634" s="4" t="s">
        <v>23443</v>
      </c>
      <c r="C18634" s="5" t="str">
        <f>IFERROR(__xludf.DUMMYFUNCTION("GOOGLETRANSLATE(B18634,""en"",""es-ES"")"),"Vemos a un hombre tocando su pie mientras juega.")</f>
        <v>Vemos a un hombre tocando su pie mientras juega.</v>
      </c>
    </row>
    <row r="18635">
      <c r="A18635" s="4" t="s">
        <v>23441</v>
      </c>
      <c r="B18635" s="4" t="s">
        <v>23444</v>
      </c>
      <c r="C18635" s="5" t="str">
        <f>IFERROR(__xludf.DUMMYFUNCTION("GOOGLETRANSLATE(B18635,""en"",""es-ES"")"),"El hombre cambia a su otro golpe para golpear.")</f>
        <v>El hombre cambia a su otro golpe para golpear.</v>
      </c>
    </row>
    <row r="18636">
      <c r="A18636" s="4" t="s">
        <v>23441</v>
      </c>
      <c r="B18636" s="4" t="s">
        <v>23445</v>
      </c>
      <c r="C18636" s="5" t="str">
        <f>IFERROR(__xludf.DUMMYFUNCTION("GOOGLETRANSLATE(B18636,""en"",""es-ES"")"),"El hombre termina de jugar y se limpia la cara.")</f>
        <v>El hombre termina de jugar y se limpia la cara.</v>
      </c>
    </row>
    <row r="18637">
      <c r="A18637" s="4" t="s">
        <v>23446</v>
      </c>
      <c r="B18637" s="4" t="s">
        <v>23447</v>
      </c>
      <c r="C18637" s="5" t="str">
        <f>IFERROR(__xludf.DUMMYFUNCTION("GOOGLETRANSLATE(B18637,""en"",""es-ES"")"),"Se ve a un grupo de personas mayores sentadas en un autobús hablando entre sí.")</f>
        <v>Se ve a un grupo de personas mayores sentadas en un autobús hablando entre sí.</v>
      </c>
    </row>
    <row r="18638">
      <c r="A18638" s="4" t="s">
        <v>23446</v>
      </c>
      <c r="B18638" s="4" t="s">
        <v>23448</v>
      </c>
      <c r="C18638" s="5" t="str">
        <f>IFERROR(__xludf.DUMMYFUNCTION("GOOGLETRANSLATE(B18638,""en"",""es-ES"")"),"La cámara se mueve alrededor del autobús para mostrar a más personas sentadas y hablando.")</f>
        <v>La cámara se mueve alrededor del autobús para mostrar a más personas sentadas y hablando.</v>
      </c>
    </row>
    <row r="18639">
      <c r="A18639" s="4" t="s">
        <v>23446</v>
      </c>
      <c r="B18639" s="4" t="s">
        <v>23449</v>
      </c>
      <c r="C18639" s="5" t="str">
        <f>IFERROR(__xludf.DUMMYFUNCTION("GOOGLETRANSLATE(B18639,""en"",""es-ES"")"),"Se ve a una mujer hablando con un hombre a su lado mientras él se teje.")</f>
        <v>Se ve a una mujer hablando con un hombre a su lado mientras él se teje.</v>
      </c>
    </row>
    <row r="18640">
      <c r="A18640" s="4" t="s">
        <v>23450</v>
      </c>
      <c r="B18640" s="4" t="s">
        <v>1251</v>
      </c>
      <c r="C18640" s="5" t="str">
        <f>IFERROR(__xludf.DUMMYFUNCTION("GOOGLETRANSLATE(B18640,""en"",""es-ES"")"),"Se muestran los créditos del clip.")</f>
        <v>Se muestran los créditos del clip.</v>
      </c>
    </row>
    <row r="18641">
      <c r="A18641" s="4" t="s">
        <v>23450</v>
      </c>
      <c r="B18641" s="4" t="s">
        <v>23451</v>
      </c>
      <c r="C18641" s="5" t="str">
        <f>IFERROR(__xludf.DUMMYFUNCTION("GOOGLETRANSLATE(B18641,""en"",""es-ES"")"),"Los chicos están bailando en un escenario frente a una audiencia.")</f>
        <v>Los chicos están bailando en un escenario frente a una audiencia.</v>
      </c>
    </row>
    <row r="18642">
      <c r="A18642" s="4" t="s">
        <v>23450</v>
      </c>
      <c r="B18642" s="4" t="s">
        <v>23452</v>
      </c>
      <c r="C18642" s="5" t="str">
        <f>IFERROR(__xludf.DUMMYFUNCTION("GOOGLETRANSLATE(B18642,""en"",""es-ES"")"),"Un chico rompe el baile justo al lado del escenario y sale.")</f>
        <v>Un chico rompe el baile justo al lado del escenario y sale.</v>
      </c>
    </row>
    <row r="18643">
      <c r="A18643" s="4" t="s">
        <v>23450</v>
      </c>
      <c r="B18643" s="4" t="s">
        <v>573</v>
      </c>
      <c r="C18643" s="5" t="str">
        <f>IFERROR(__xludf.DUMMYFUNCTION("GOOGLETRANSLATE(B18643,""en"",""es-ES"")"),"Se muestran los créditos del video.")</f>
        <v>Se muestran los créditos del video.</v>
      </c>
    </row>
    <row r="18644">
      <c r="A18644" s="4" t="s">
        <v>23453</v>
      </c>
      <c r="B18644" s="4" t="s">
        <v>23454</v>
      </c>
      <c r="C18644" s="5" t="str">
        <f>IFERROR(__xludf.DUMMYFUNCTION("GOOGLETRANSLATE(B18644,""en"",""es-ES"")"),"Un grupo de chicas está bailando a lo largo de una repisa.")</f>
        <v>Un grupo de chicas está bailando a lo largo de una repisa.</v>
      </c>
    </row>
    <row r="18645">
      <c r="A18645" s="4" t="s">
        <v>23453</v>
      </c>
      <c r="B18645" s="4" t="s">
        <v>23455</v>
      </c>
      <c r="C18645" s="5" t="str">
        <f>IFERROR(__xludf.DUMMYFUNCTION("GOOGLETRANSLATE(B18645,""en"",""es-ES"")"),"Cada niña baila en la repisa con gracia.")</f>
        <v>Cada niña baila en la repisa con gracia.</v>
      </c>
    </row>
    <row r="18646">
      <c r="A18646" s="4" t="s">
        <v>23453</v>
      </c>
      <c r="B18646" s="4" t="s">
        <v>23456</v>
      </c>
      <c r="C18646" s="5" t="str">
        <f>IFERROR(__xludf.DUMMYFUNCTION("GOOGLETRANSLATE(B18646,""en"",""es-ES"")"),"La pantalla se desvanece hacia negra.")</f>
        <v>La pantalla se desvanece hacia negra.</v>
      </c>
    </row>
    <row r="18647">
      <c r="A18647" s="4" t="s">
        <v>23457</v>
      </c>
      <c r="B18647" s="4" t="s">
        <v>23458</v>
      </c>
      <c r="C18647" s="5" t="str">
        <f>IFERROR(__xludf.DUMMYFUNCTION("GOOGLETRANSLATE(B18647,""en"",""es-ES"")"),"Vemos personas trabajando en pasos de ejercicio en una clase de aeróbicos.")</f>
        <v>Vemos personas trabajando en pasos de ejercicio en una clase de aeróbicos.</v>
      </c>
    </row>
    <row r="18648">
      <c r="A18648" s="4" t="s">
        <v>23457</v>
      </c>
      <c r="B18648" s="4" t="s">
        <v>23459</v>
      </c>
      <c r="C18648" s="5" t="str">
        <f>IFERROR(__xludf.DUMMYFUNCTION("GOOGLETRANSLATE(B18648,""en"",""es-ES"")"),"El líder pone su mano en el aire.")</f>
        <v>El líder pone su mano en el aire.</v>
      </c>
    </row>
    <row r="18649">
      <c r="A18649" s="4" t="s">
        <v>23457</v>
      </c>
      <c r="B18649" s="4" t="s">
        <v>23460</v>
      </c>
      <c r="C18649" s="5" t="str">
        <f>IFERROR(__xludf.DUMMYFUNCTION("GOOGLETRANSLATE(B18649,""en"",""es-ES"")"),"La dama en la izquierda se pierde y se detiene.")</f>
        <v>La dama en la izquierda se pierde y se detiene.</v>
      </c>
    </row>
    <row r="18650">
      <c r="A18650" s="4" t="s">
        <v>23457</v>
      </c>
      <c r="B18650" s="4" t="s">
        <v>23461</v>
      </c>
      <c r="C18650" s="5" t="str">
        <f>IFERROR(__xludf.DUMMYFUNCTION("GOOGLETRANSLATE(B18650,""en"",""es-ES"")"),"La derecha trasera se pierde y tira los brazos.")</f>
        <v>La derecha trasera se pierde y tira los brazos.</v>
      </c>
    </row>
    <row r="18651">
      <c r="A18651" s="4" t="s">
        <v>23457</v>
      </c>
      <c r="B18651" s="4" t="s">
        <v>23462</v>
      </c>
      <c r="C18651" s="5" t="str">
        <f>IFERROR(__xludf.DUMMYFUNCTION("GOOGLETRANSLATE(B18651,""en"",""es-ES"")"),"El brazo de los instructores está en el aire nuevamente.")</f>
        <v>El brazo de los instructores está en el aire nuevamente.</v>
      </c>
    </row>
    <row r="18652">
      <c r="A18652" s="4" t="s">
        <v>23457</v>
      </c>
      <c r="B18652" s="4" t="s">
        <v>23463</v>
      </c>
      <c r="C18652" s="5" t="str">
        <f>IFERROR(__xludf.DUMMYFUNCTION("GOOGLETRANSLATE(B18652,""en"",""es-ES"")"),"La dama segunda en la derecha deja de intentarlo.")</f>
        <v>La dama segunda en la derecha deja de intentarlo.</v>
      </c>
    </row>
    <row r="18653">
      <c r="A18653" s="4" t="s">
        <v>23464</v>
      </c>
      <c r="B18653" s="4" t="s">
        <v>23465</v>
      </c>
      <c r="C18653" s="5" t="str">
        <f>IFERROR(__xludf.DUMMYFUNCTION("GOOGLETRANSLATE(B18653,""en"",""es-ES"")"),"Dos personas están en un bote preparándose para sumergirse en el océano.")</f>
        <v>Dos personas están en un bote preparándose para sumergirse en el océano.</v>
      </c>
    </row>
    <row r="18654">
      <c r="A18654" s="4" t="s">
        <v>23464</v>
      </c>
      <c r="B18654" s="4" t="s">
        <v>23466</v>
      </c>
      <c r="C18654" s="5" t="str">
        <f>IFERROR(__xludf.DUMMYFUNCTION("GOOGLETRANSLATE(B18654,""en"",""es-ES"")"),"Se sumergen y pueden mirar todos los hermosos corales y ver peces y otras cosas.")</f>
        <v>Se sumergen y pueden mirar todos los hermosos corales y ver peces y otras cosas.</v>
      </c>
    </row>
    <row r="18655">
      <c r="A18655" s="4" t="s">
        <v>23464</v>
      </c>
      <c r="B18655" s="4" t="s">
        <v>23467</v>
      </c>
      <c r="C18655" s="5" t="str">
        <f>IFERROR(__xludf.DUMMYFUNCTION("GOOGLETRANSLATE(B18655,""en"",""es-ES"")"),"Encuentran una cabina que comienzan a observar y miran a su alrededor corriendo con un pez de gelatina.")</f>
        <v>Encuentran una cabina que comienzan a observar y miran a su alrededor corriendo con un pez de gelatina.</v>
      </c>
    </row>
    <row r="18656">
      <c r="A18656" s="4" t="s">
        <v>23464</v>
      </c>
      <c r="B18656" s="4" t="s">
        <v>23468</v>
      </c>
      <c r="C18656" s="5" t="str">
        <f>IFERROR(__xludf.DUMMYFUNCTION("GOOGLETRANSLATE(B18656,""en"",""es-ES"")"),"Comienzan a explorar el exterior del avión donde también pueden ver más peces y otras personas marinas a su alrededor.")</f>
        <v>Comienzan a explorar el exterior del avión donde también pueden ver más peces y otras personas marinas a su alrededor.</v>
      </c>
    </row>
    <row r="18657">
      <c r="A18657" s="4" t="s">
        <v>23469</v>
      </c>
      <c r="B18657" s="4" t="s">
        <v>23470</v>
      </c>
      <c r="C18657" s="5" t="str">
        <f>IFERROR(__xludf.DUMMYFUNCTION("GOOGLETRANSLATE(B18657,""en"",""es-ES"")"),"Una chica con una camisa naranja toma un trago de buce.")</f>
        <v>Una chica con una camisa naranja toma un trago de buce.</v>
      </c>
    </row>
    <row r="18658">
      <c r="A18658" s="4" t="s">
        <v>23469</v>
      </c>
      <c r="B18658" s="4" t="s">
        <v>23471</v>
      </c>
      <c r="C18658" s="5" t="str">
        <f>IFERROR(__xludf.DUMMYFUNCTION("GOOGLETRANSLATE(B18658,""en"",""es-ES"")"),"Lo golpea en su boca y lo escupe en un fregadero.")</f>
        <v>Lo golpea en su boca y lo escupe en un fregadero.</v>
      </c>
    </row>
    <row r="18659">
      <c r="A18659" s="4" t="s">
        <v>23472</v>
      </c>
      <c r="B18659" s="4" t="s">
        <v>23473</v>
      </c>
      <c r="C18659" s="5" t="str">
        <f>IFERROR(__xludf.DUMMYFUNCTION("GOOGLETRANSLATE(B18659,""en"",""es-ES"")"),"Hay una dama haciendo un tutorial sobre cómo lavarse las manos en su cocina.")</f>
        <v>Hay una dama haciendo un tutorial sobre cómo lavarse las manos en su cocina.</v>
      </c>
    </row>
    <row r="18660">
      <c r="A18660" s="4" t="s">
        <v>23472</v>
      </c>
      <c r="B18660" s="4" t="s">
        <v>23474</v>
      </c>
      <c r="C18660" s="5" t="str">
        <f>IFERROR(__xludf.DUMMYFUNCTION("GOOGLETRANSLATE(B18660,""en"",""es-ES"")"),"Ella camina hacia el fregadero y enciende el grifo.")</f>
        <v>Ella camina hacia el fregadero y enciende el grifo.</v>
      </c>
    </row>
    <row r="18661">
      <c r="A18661" s="4" t="s">
        <v>23472</v>
      </c>
      <c r="B18661" s="4" t="s">
        <v>23475</v>
      </c>
      <c r="C18661" s="5" t="str">
        <f>IFERROR(__xludf.DUMMYFUNCTION("GOOGLETRANSLATE(B18661,""en"",""es-ES"")"),"Luego toma un poco de jabón líquido en sus manos y se frota las manos en la parte superior, las palmas y entre sus dedos.")</f>
        <v>Luego toma un poco de jabón líquido en sus manos y se frota las manos en la parte superior, las palmas y entre sus dedos.</v>
      </c>
    </row>
    <row r="18662">
      <c r="A18662" s="4" t="s">
        <v>23472</v>
      </c>
      <c r="B18662" s="4" t="s">
        <v>23476</v>
      </c>
      <c r="C18662" s="5" t="str">
        <f>IFERROR(__xludf.DUMMYFUNCTION("GOOGLETRANSLATE(B18662,""en"",""es-ES"")"),"Ella demuestra cómo frotar adecuadamente las palmas y el área de la muñeca para garantizar un lavado limpio.")</f>
        <v>Ella demuestra cómo frotar adecuadamente las palmas y el área de la muñeca para garantizar un lavado limpio.</v>
      </c>
    </row>
    <row r="18663">
      <c r="A18663" s="4" t="s">
        <v>23472</v>
      </c>
      <c r="B18663" s="4" t="s">
        <v>23477</v>
      </c>
      <c r="C18663" s="5" t="str">
        <f>IFERROR(__xludf.DUMMYFUNCTION("GOOGLETRANSLATE(B18663,""en"",""es-ES"")"),"Luego vuelve a encender el toque para lavar el jabón.")</f>
        <v>Luego vuelve a encender el toque para lavar el jabón.</v>
      </c>
    </row>
    <row r="18664">
      <c r="A18664" s="4" t="s">
        <v>23472</v>
      </c>
      <c r="B18664" s="4" t="s">
        <v>23478</v>
      </c>
      <c r="C18664" s="5" t="str">
        <f>IFERROR(__xludf.DUMMYFUNCTION("GOOGLETRANSLATE(B18664,""en"",""es-ES"")"),"Luego usa su codo derecho para apagar el grifo para evitar tocarlo directamente.")</f>
        <v>Luego usa su codo derecho para apagar el grifo para evitar tocarlo directamente.</v>
      </c>
    </row>
    <row r="18665">
      <c r="A18665" s="4" t="s">
        <v>23472</v>
      </c>
      <c r="B18665" s="4" t="s">
        <v>23479</v>
      </c>
      <c r="C18665" s="5" t="str">
        <f>IFERROR(__xludf.DUMMYFUNCTION("GOOGLETRANSLATE(B18665,""en"",""es-ES"")"),"Luego toma una toalla de papel desde la ventana y se seca las manos.")</f>
        <v>Luego toma una toalla de papel desde la ventana y se seca las manos.</v>
      </c>
    </row>
    <row r="18666">
      <c r="A18666" s="4" t="s">
        <v>23480</v>
      </c>
      <c r="B18666" s="4" t="s">
        <v>23481</v>
      </c>
      <c r="C18666" s="5" t="str">
        <f>IFERROR(__xludf.DUMMYFUNCTION("GOOGLETRANSLATE(B18666,""en"",""es-ES"")"),"Se ven tres personas caminando hacia un gran piso de gimnasio y conducen a los tres que realizan una rutina de cuerda de salto.")</f>
        <v>Se ven tres personas caminando hacia un gran piso de gimnasio y conducen a los tres que realizan una rutina de cuerda de salto.</v>
      </c>
    </row>
    <row r="18667">
      <c r="A18667" s="4" t="s">
        <v>23480</v>
      </c>
      <c r="B18667" s="4" t="s">
        <v>23482</v>
      </c>
      <c r="C18667" s="5" t="str">
        <f>IFERROR(__xludf.DUMMYFUNCTION("GOOGLETRANSLATE(B18667,""en"",""es-ES"")"),"Los tres continúan saltando por el piso mientras muchos miran y terminan con los brazos en alto.")</f>
        <v>Los tres continúan saltando por el piso mientras muchos miran y terminan con los brazos en alto.</v>
      </c>
    </row>
    <row r="18668">
      <c r="A18668" s="4" t="s">
        <v>23483</v>
      </c>
      <c r="B18668" s="4" t="s">
        <v>23484</v>
      </c>
      <c r="C18668" s="5" t="str">
        <f>IFERROR(__xludf.DUMMYFUNCTION("GOOGLETRANSLATE(B18668,""en"",""es-ES"")"),"A cae de una patineta de una manera incómoda.")</f>
        <v>A cae de una patineta de una manera incómoda.</v>
      </c>
    </row>
    <row r="18669">
      <c r="A18669" s="4" t="s">
        <v>23483</v>
      </c>
      <c r="B18669" s="4" t="s">
        <v>23485</v>
      </c>
      <c r="C18669" s="5" t="str">
        <f>IFERROR(__xludf.DUMMYFUNCTION("GOOGLETRANSLATE(B18669,""en"",""es-ES"")"),"Luego vemos a otros niños mientras viajan y caen.")</f>
        <v>Luego vemos a otros niños mientras viajan y caen.</v>
      </c>
    </row>
    <row r="18670">
      <c r="A18670" s="4" t="s">
        <v>23483</v>
      </c>
      <c r="B18670" s="4" t="s">
        <v>23486</v>
      </c>
      <c r="C18670" s="5" t="str">
        <f>IFERROR(__xludf.DUMMYFUNCTION("GOOGLETRANSLATE(B18670,""en"",""es-ES"")"),"Toman giros fuertes en las carreteras suburbanas, tratando de permanecer en sus tableros.")</f>
        <v>Toman giros fuertes en las carreteras suburbanas, tratando de permanecer en sus tableros.</v>
      </c>
    </row>
    <row r="18671">
      <c r="A18671" s="4" t="s">
        <v>23487</v>
      </c>
      <c r="B18671" s="4" t="s">
        <v>23488</v>
      </c>
      <c r="C18671" s="5" t="str">
        <f>IFERROR(__xludf.DUMMYFUNCTION("GOOGLETRANSLATE(B18671,""en"",""es-ES"")"),"Grupo juega a los bongos mientras una mujer joven baila.")</f>
        <v>Grupo juega a los bongos mientras una mujer joven baila.</v>
      </c>
    </row>
    <row r="18672">
      <c r="A18672" s="4" t="s">
        <v>23487</v>
      </c>
      <c r="B18672" s="4" t="s">
        <v>23489</v>
      </c>
      <c r="C18672" s="5" t="str">
        <f>IFERROR(__xludf.DUMMYFUNCTION("GOOGLETRANSLATE(B18672,""en"",""es-ES"")"),"Una pareja pasa por el grupo.")</f>
        <v>Una pareja pasa por el grupo.</v>
      </c>
    </row>
    <row r="18673">
      <c r="A18673" s="4" t="s">
        <v>23487</v>
      </c>
      <c r="B18673" s="4" t="s">
        <v>23490</v>
      </c>
      <c r="C18673" s="5" t="str">
        <f>IFERROR(__xludf.DUMMYFUNCTION("GOOGLETRANSLATE(B18673,""en"",""es-ES"")"),"El baterista le da a la cámara un gesto de pulgar hacia arriba.")</f>
        <v>El baterista le da a la cámara un gesto de pulgar hacia arriba.</v>
      </c>
    </row>
    <row r="18674">
      <c r="A18674" s="4" t="s">
        <v>23487</v>
      </c>
      <c r="B18674" s="4" t="s">
        <v>23491</v>
      </c>
      <c r="C18674" s="5" t="str">
        <f>IFERROR(__xludf.DUMMYFUNCTION("GOOGLETRANSLATE(B18674,""en"",""es-ES"")"),"Mucha gente pasa en el fondo.")</f>
        <v>Mucha gente pasa en el fondo.</v>
      </c>
    </row>
    <row r="18675">
      <c r="A18675" s="4" t="s">
        <v>23487</v>
      </c>
      <c r="B18675" s="4" t="s">
        <v>23492</v>
      </c>
      <c r="C18675" s="5" t="str">
        <f>IFERROR(__xludf.DUMMYFUNCTION("GOOGLETRANSLATE(B18675,""en"",""es-ES"")"),"Un grupo pequeño está mirando a los músicos.")</f>
        <v>Un grupo pequeño está mirando a los músicos.</v>
      </c>
    </row>
    <row r="18676">
      <c r="A18676" s="4" t="s">
        <v>23487</v>
      </c>
      <c r="B18676" s="4" t="s">
        <v>23493</v>
      </c>
      <c r="C18676" s="5" t="str">
        <f>IFERROR(__xludf.DUMMYFUNCTION("GOOGLETRANSLATE(B18676,""en"",""es-ES"")"),"El bailarín posa con otras 2 mujeres.")</f>
        <v>El bailarín posa con otras 2 mujeres.</v>
      </c>
    </row>
    <row r="18677">
      <c r="A18677" s="4" t="s">
        <v>23494</v>
      </c>
      <c r="B18677" s="4" t="s">
        <v>23495</v>
      </c>
      <c r="C18677" s="5" t="str">
        <f>IFERROR(__xludf.DUMMYFUNCTION("GOOGLETRANSLATE(B18677,""en"",""es-ES"")"),"Un profesional de la salud las convierte las manos con jabón en un fregadero.")</f>
        <v>Un profesional de la salud las convierte las manos con jabón en un fregadero.</v>
      </c>
    </row>
    <row r="18678">
      <c r="A18678" s="4" t="s">
        <v>23494</v>
      </c>
      <c r="B18678" s="4" t="s">
        <v>23496</v>
      </c>
      <c r="C18678" s="5" t="str">
        <f>IFERROR(__xludf.DUMMYFUNCTION("GOOGLETRANSLATE(B18678,""en"",""es-ES"")"),"La mujer se frota a fondo entre los dedos.")</f>
        <v>La mujer se frota a fondo entre los dedos.</v>
      </c>
    </row>
    <row r="18679">
      <c r="A18679" s="4" t="s">
        <v>23494</v>
      </c>
      <c r="B18679" s="4" t="s">
        <v>23497</v>
      </c>
      <c r="C18679" s="5" t="str">
        <f>IFERROR(__xludf.DUMMYFUNCTION("GOOGLETRANSLATE(B18679,""en"",""es-ES"")"),"Las manos se secan con una toalla de papel entre los dedos a fondo.")</f>
        <v>Las manos se secan con una toalla de papel entre los dedos a fondo.</v>
      </c>
    </row>
    <row r="18680">
      <c r="A18680" s="4" t="s">
        <v>23494</v>
      </c>
      <c r="B18680" s="4" t="s">
        <v>23498</v>
      </c>
      <c r="C18680" s="5" t="str">
        <f>IFERROR(__xludf.DUMMYFUNCTION("GOOGLETRANSLATE(B18680,""en"",""es-ES"")"),"La mujer arroja la toalla de papel en un contenedor de desechos designados.")</f>
        <v>La mujer arroja la toalla de papel en un contenedor de desechos designados.</v>
      </c>
    </row>
    <row r="18681">
      <c r="A18681" s="4" t="s">
        <v>23494</v>
      </c>
      <c r="B18681" s="4" t="s">
        <v>23499</v>
      </c>
      <c r="C18681" s="5" t="str">
        <f>IFERROR(__xludf.DUMMYFUNCTION("GOOGLETRANSLATE(B18681,""en"",""es-ES"")"),"El profesional médico apaga el grifo de agua usando su codo y también la toalla de papel.")</f>
        <v>El profesional médico apaga el grifo de agua usando su codo y también la toalla de papel.</v>
      </c>
    </row>
    <row r="18682">
      <c r="A18682" s="4" t="s">
        <v>23500</v>
      </c>
      <c r="B18682" s="4" t="s">
        <v>23501</v>
      </c>
      <c r="C18682" s="5" t="str">
        <f>IFERROR(__xludf.DUMMYFUNCTION("GOOGLETRANSLATE(B18682,""en"",""es-ES"")"),"Se ve a un hombre ensamblar un neumático en un ascensor y quitar la goma con una máquina.")</f>
        <v>Se ve a un hombre ensamblar un neumático en un ascensor y quitar la goma con una máquina.</v>
      </c>
    </row>
    <row r="18683">
      <c r="A18683" s="4" t="s">
        <v>23500</v>
      </c>
      <c r="B18683" s="4" t="s">
        <v>23502</v>
      </c>
      <c r="C18683" s="5" t="str">
        <f>IFERROR(__xludf.DUMMYFUNCTION("GOOGLETRANSLATE(B18683,""en"",""es-ES"")"),"Luego vuelve a colocar el goma con la máquina y termina retrocediendo del neumático.")</f>
        <v>Luego vuelve a colocar el goma con la máquina y termina retrocediendo del neumático.</v>
      </c>
    </row>
    <row r="18684">
      <c r="A18684" s="4" t="s">
        <v>23503</v>
      </c>
      <c r="B18684" s="4" t="s">
        <v>21512</v>
      </c>
      <c r="C18684" s="5" t="str">
        <f>IFERROR(__xludf.DUMMYFUNCTION("GOOGLETRANSLATE(B18684,""en"",""es-ES"")"),"Un hombre está arrodillado sobre una alfombra azul.")</f>
        <v>Un hombre está arrodillado sobre una alfombra azul.</v>
      </c>
    </row>
    <row r="18685">
      <c r="A18685" s="4" t="s">
        <v>23503</v>
      </c>
      <c r="B18685" s="4" t="s">
        <v>23504</v>
      </c>
      <c r="C18685" s="5" t="str">
        <f>IFERROR(__xludf.DUMMYFUNCTION("GOOGLETRANSLATE(B18685,""en"",""es-ES"")"),"Se derriba sobre una cuerda y hace ejercicio.")</f>
        <v>Se derriba sobre una cuerda y hace ejercicio.</v>
      </c>
    </row>
    <row r="18686">
      <c r="A18686" s="4" t="s">
        <v>23503</v>
      </c>
      <c r="B18686" s="4" t="s">
        <v>23505</v>
      </c>
      <c r="C18686" s="5" t="str">
        <f>IFERROR(__xludf.DUMMYFUNCTION("GOOGLETRANSLATE(B18686,""en"",""es-ES"")"),"Él baja la barra y comienza a tirar de la cuerda en la otra dirección.")</f>
        <v>Él baja la barra y comienza a tirar de la cuerda en la otra dirección.</v>
      </c>
    </row>
    <row r="18687">
      <c r="A18687" s="4" t="s">
        <v>23506</v>
      </c>
      <c r="B18687" s="4" t="s">
        <v>23507</v>
      </c>
      <c r="C18687" s="5" t="str">
        <f>IFERROR(__xludf.DUMMYFUNCTION("GOOGLETRANSLATE(B18687,""en"",""es-ES"")"),"Hay un tobogán muy alto y empinado que atraviesa algunos árboles en un gran suelo abierto.")</f>
        <v>Hay un tobogán muy alto y empinado que atraviesa algunos árboles en un gran suelo abierto.</v>
      </c>
    </row>
    <row r="18688">
      <c r="A18688" s="4" t="s">
        <v>23506</v>
      </c>
      <c r="B18688" s="4" t="s">
        <v>23508</v>
      </c>
      <c r="C18688" s="5" t="str">
        <f>IFERROR(__xludf.DUMMYFUNCTION("GOOGLETRANSLATE(B18688,""en"",""es-ES"")"),"Hay una superficie de goma que se extiende a lo largo en el extremo inferior del portaobjetos para proteger a las personas de lastimarse a medida que aterrizan.")</f>
        <v>Hay una superficie de goma que se extiende a lo largo en el extremo inferior del portaobjetos para proteger a las personas de lastimarse a medida que aterrizan.</v>
      </c>
    </row>
    <row r="18689">
      <c r="A18689" s="4" t="s">
        <v>23506</v>
      </c>
      <c r="B18689" s="4" t="s">
        <v>23509</v>
      </c>
      <c r="C18689" s="5" t="str">
        <f>IFERROR(__xludf.DUMMYFUNCTION("GOOGLETRANSLATE(B18689,""en"",""es-ES"")"),"Un niño con pantalones cortos negros y una camisa se deslizan con toda su fuerza.")</f>
        <v>Un niño con pantalones cortos negros y una camisa se deslizan con toda su fuerza.</v>
      </c>
    </row>
    <row r="18690">
      <c r="A18690" s="4" t="s">
        <v>23506</v>
      </c>
      <c r="B18690" s="4" t="s">
        <v>23510</v>
      </c>
      <c r="C18690" s="5" t="str">
        <f>IFERROR(__xludf.DUMMYFUNCTION("GOOGLETRANSLATE(B18690,""en"",""es-ES"")"),"Aterriza lejos del tobogán mientras cae hacia abajo y fuera del tobogán.")</f>
        <v>Aterriza lejos del tobogán mientras cae hacia abajo y fuera del tobogán.</v>
      </c>
    </row>
    <row r="18691">
      <c r="A18691" s="4" t="s">
        <v>23511</v>
      </c>
      <c r="B18691" s="4" t="s">
        <v>23512</v>
      </c>
      <c r="C18691" s="5" t="str">
        <f>IFERROR(__xludf.DUMMYFUNCTION("GOOGLETRANSLATE(B18691,""en"",""es-ES"")"),"Un hombre en un sombrero habla en una conferencia de prensa.")</f>
        <v>Un hombre en un sombrero habla en una conferencia de prensa.</v>
      </c>
    </row>
    <row r="18692">
      <c r="A18692" s="4" t="s">
        <v>23511</v>
      </c>
      <c r="B18692" s="4" t="s">
        <v>23513</v>
      </c>
      <c r="C18692" s="5" t="str">
        <f>IFERROR(__xludf.DUMMYFUNCTION("GOOGLETRANSLATE(B18692,""en"",""es-ES"")"),"Vemos cabañas y remolques en una zona nevada.")</f>
        <v>Vemos cabañas y remolques en una zona nevada.</v>
      </c>
    </row>
    <row r="18693">
      <c r="A18693" s="4" t="s">
        <v>23511</v>
      </c>
      <c r="B18693" s="4" t="s">
        <v>23514</v>
      </c>
      <c r="C18693" s="5" t="str">
        <f>IFERROR(__xludf.DUMMYFUNCTION("GOOGLETRANSLATE(B18693,""en"",""es-ES"")"),"Tres hombres vuelven a ser esquivados en un taller y vemos al hombre en la conferencia de prensa.")</f>
        <v>Tres hombres vuelven a ser esquivados en un taller y vemos al hombre en la conferencia de prensa.</v>
      </c>
    </row>
    <row r="18694">
      <c r="A18694" s="4" t="s">
        <v>23511</v>
      </c>
      <c r="B18694" s="4" t="s">
        <v>23515</v>
      </c>
      <c r="C18694" s="5" t="str">
        <f>IFERROR(__xludf.DUMMYFUNCTION("GOOGLETRANSLATE(B18694,""en"",""es-ES"")"),"Un hombre corre detrás de los trailers y dos hombres caminan sobre la nieve antes de que veamos la conferencia de prensa nuevamente.")</f>
        <v>Un hombre corre detrás de los trailers y dos hombres caminan sobre la nieve antes de que veamos la conferencia de prensa nuevamente.</v>
      </c>
    </row>
    <row r="18695">
      <c r="A18695" s="4" t="s">
        <v>23511</v>
      </c>
      <c r="B18695" s="4" t="s">
        <v>23516</v>
      </c>
      <c r="C18695" s="5" t="str">
        <f>IFERROR(__xludf.DUMMYFUNCTION("GOOGLETRANSLATE(B18695,""en"",""es-ES"")"),"Vemos a los hombres esquiando.")</f>
        <v>Vemos a los hombres esquiando.</v>
      </c>
    </row>
    <row r="18696">
      <c r="A18696" s="4" t="s">
        <v>23511</v>
      </c>
      <c r="B18696" s="4" t="s">
        <v>23517</v>
      </c>
      <c r="C18696" s="5" t="str">
        <f>IFERROR(__xludf.DUMMYFUNCTION("GOOGLETRANSLATE(B18696,""en"",""es-ES"")"),"El hombre de la conferencia de prensa y un hombre ponen una máscara en el taller y una máquina se encuentra en el campo.")</f>
        <v>El hombre de la conferencia de prensa y un hombre ponen una máscara en el taller y una máquina se encuentra en el campo.</v>
      </c>
    </row>
    <row r="18697">
      <c r="A18697" s="4" t="s">
        <v>23511</v>
      </c>
      <c r="B18697" s="4" t="s">
        <v>23518</v>
      </c>
      <c r="C18697" s="5" t="str">
        <f>IFERROR(__xludf.DUMMYFUNCTION("GOOGLETRANSLATE(B18697,""en"",""es-ES"")"),"Dos hombres posan sosteniendo rifles en la nieve.")</f>
        <v>Dos hombres posan sosteniendo rifles en la nieve.</v>
      </c>
    </row>
    <row r="18698">
      <c r="A18698" s="4" t="s">
        <v>23519</v>
      </c>
      <c r="B18698" s="4" t="s">
        <v>23520</v>
      </c>
      <c r="C18698" s="5" t="str">
        <f>IFERROR(__xludf.DUMMYFUNCTION("GOOGLETRANSLATE(B18698,""en"",""es-ES"")"),"Se ve a un hombre sentado en una silla, así como tomas de personas que montan tableros de atención y clips de un muelle.")</f>
        <v>Se ve a un hombre sentado en una silla, así como tomas de personas que montan tableros de atención y clips de un muelle.</v>
      </c>
    </row>
    <row r="18699">
      <c r="A18699" s="4" t="s">
        <v>23519</v>
      </c>
      <c r="B18699" s="4" t="s">
        <v>23521</v>
      </c>
      <c r="C18699" s="5" t="str">
        <f>IFERROR(__xludf.DUMMYFUNCTION("GOOGLETRANSLATE(B18699,""en"",""es-ES"")"),"El hombre continúa hablando con la cámara, mientras que se muestran más tomas de personas que despiertan el embarque, además de hacer flips y trucos.")</f>
        <v>El hombre continúa hablando con la cámara, mientras que se muestran más tomas de personas que despiertan el embarque, además de hacer flips y trucos.</v>
      </c>
    </row>
    <row r="18700">
      <c r="A18700" s="4" t="s">
        <v>23522</v>
      </c>
      <c r="B18700" s="4" t="s">
        <v>23523</v>
      </c>
      <c r="C18700" s="5" t="str">
        <f>IFERROR(__xludf.DUMMYFUNCTION("GOOGLETRANSLATE(B18700,""en"",""es-ES"")"),"Vemos a una dama sosteniendo la cámara y soplando su cabello.")</f>
        <v>Vemos a una dama sosteniendo la cámara y soplando su cabello.</v>
      </c>
    </row>
    <row r="18701">
      <c r="A18701" s="4" t="s">
        <v>23522</v>
      </c>
      <c r="B18701" s="4" t="s">
        <v>23524</v>
      </c>
      <c r="C18701" s="5" t="str">
        <f>IFERROR(__xludf.DUMMYFUNCTION("GOOGLETRANSLATE(B18701,""en"",""es-ES"")"),"La señora se sienta la cámara en el suelo y continúa secando su cabello.")</f>
        <v>La señora se sienta la cámara en el suelo y continúa secando su cabello.</v>
      </c>
    </row>
    <row r="18702">
      <c r="A18702" s="4" t="s">
        <v>23522</v>
      </c>
      <c r="B18702" s="4" t="s">
        <v>23525</v>
      </c>
      <c r="C18702" s="5" t="str">
        <f>IFERROR(__xludf.DUMMYFUNCTION("GOOGLETRANSLATE(B18702,""en"",""es-ES"")"),"La señora arroja su cabello hacia atrás y levanta el teléfono.")</f>
        <v>La señora arroja su cabello hacia atrás y levanta el teléfono.</v>
      </c>
    </row>
    <row r="18703">
      <c r="A18703" s="4" t="s">
        <v>23526</v>
      </c>
      <c r="B18703" s="4" t="s">
        <v>23527</v>
      </c>
      <c r="C18703" s="5" t="str">
        <f>IFERROR(__xludf.DUMMYFUNCTION("GOOGLETRANSLATE(B18703,""en"",""es-ES"")"),"Vemos a una dama dormida en un hospital.")</f>
        <v>Vemos a una dama dormida en un hospital.</v>
      </c>
    </row>
    <row r="18704">
      <c r="A18704" s="4" t="s">
        <v>23526</v>
      </c>
      <c r="B18704" s="4" t="s">
        <v>23528</v>
      </c>
      <c r="C18704" s="5" t="str">
        <f>IFERROR(__xludf.DUMMYFUNCTION("GOOGLETRANSLATE(B18704,""en"",""es-ES"")"),"Una persona comienza a peinar el cabello de una anciana dormida en un hospital.")</f>
        <v>Una persona comienza a peinar el cabello de una anciana dormida en un hospital.</v>
      </c>
    </row>
    <row r="18705">
      <c r="A18705" s="4" t="s">
        <v>23526</v>
      </c>
      <c r="B18705" s="4" t="s">
        <v>23529</v>
      </c>
      <c r="C18705" s="5" t="str">
        <f>IFERROR(__xludf.DUMMYFUNCTION("GOOGLETRANSLATE(B18705,""en"",""es-ES"")"),"La cámara se mueve a la parte superior de la cabeza de las damas.")</f>
        <v>La cámara se mueve a la parte superior de la cabeza de las damas.</v>
      </c>
    </row>
    <row r="18706">
      <c r="A18706" s="4" t="s">
        <v>23526</v>
      </c>
      <c r="B18706" s="4" t="s">
        <v>23530</v>
      </c>
      <c r="C18706" s="5" t="str">
        <f>IFERROR(__xludf.DUMMYFUNCTION("GOOGLETRANSLATE(B18706,""en"",""es-ES"")"),"La cámara se mueve hacia la parte delantera de la cara de las damas.")</f>
        <v>La cámara se mueve hacia la parte delantera de la cara de las damas.</v>
      </c>
    </row>
    <row r="18707">
      <c r="A18707" s="4" t="s">
        <v>23531</v>
      </c>
      <c r="B18707" s="4" t="s">
        <v>23532</v>
      </c>
      <c r="C18707" s="5" t="str">
        <f>IFERROR(__xludf.DUMMYFUNCTION("GOOGLETRANSLATE(B18707,""en"",""es-ES"")"),"Un hombre en pantalones cortos está en un gimnasio.")</f>
        <v>Un hombre en pantalones cortos está en un gimnasio.</v>
      </c>
    </row>
    <row r="18708">
      <c r="A18708" s="4" t="s">
        <v>23531</v>
      </c>
      <c r="B18708" s="4" t="s">
        <v>23533</v>
      </c>
      <c r="C18708" s="5" t="str">
        <f>IFERROR(__xludf.DUMMYFUNCTION("GOOGLETRANSLATE(B18708,""en"",""es-ES"")"),"Él está saltando cuerda allí.")</f>
        <v>Él está saltando cuerda allí.</v>
      </c>
    </row>
    <row r="18709">
      <c r="A18709" s="4" t="s">
        <v>23531</v>
      </c>
      <c r="B18709" s="4" t="s">
        <v>23534</v>
      </c>
      <c r="C18709" s="5" t="str">
        <f>IFERROR(__xludf.DUMMYFUNCTION("GOOGLETRANSLATE(B18709,""en"",""es-ES"")"),"Acelera su salto.")</f>
        <v>Acelera su salto.</v>
      </c>
    </row>
    <row r="18710">
      <c r="A18710" s="4" t="s">
        <v>23531</v>
      </c>
      <c r="B18710" s="4" t="s">
        <v>23535</v>
      </c>
      <c r="C18710" s="5" t="str">
        <f>IFERROR(__xludf.DUMMYFUNCTION("GOOGLETRANSLATE(B18710,""en"",""es-ES"")"),"Lo está haciendo frente a un espejo.")</f>
        <v>Lo está haciendo frente a un espejo.</v>
      </c>
    </row>
    <row r="18711">
      <c r="A18711" s="4" t="s">
        <v>23536</v>
      </c>
      <c r="B18711" s="4" t="s">
        <v>23537</v>
      </c>
      <c r="C18711" s="5" t="str">
        <f>IFERROR(__xludf.DUMMYFUNCTION("GOOGLETRANSLATE(B18711,""en"",""es-ES"")"),"Se muestra a un hombre mayor parado en un equipo de ejercicio.")</f>
        <v>Se muestra a un hombre mayor parado en un equipo de ejercicio.</v>
      </c>
    </row>
    <row r="18712">
      <c r="A18712" s="4" t="s">
        <v>23536</v>
      </c>
      <c r="B18712" s="4" t="s">
        <v>23538</v>
      </c>
      <c r="C18712" s="5" t="str">
        <f>IFERROR(__xludf.DUMMYFUNCTION("GOOGLETRANSLATE(B18712,""en"",""es-ES"")"),"Habla con la cámara y sostiene un control remoto y continúa moviéndose sobre la máquina.")</f>
        <v>Habla con la cámara y sostiene un control remoto y continúa moviéndose sobre la máquina.</v>
      </c>
    </row>
    <row r="18713">
      <c r="A18713" s="4" t="s">
        <v>23539</v>
      </c>
      <c r="B18713" s="4" t="s">
        <v>23540</v>
      </c>
      <c r="C18713" s="5" t="str">
        <f>IFERROR(__xludf.DUMMYFUNCTION("GOOGLETRANSLATE(B18713,""en"",""es-ES"")"),"Primero, se ve a la persona desenrosque las barras de mango.")</f>
        <v>Primero, se ve a la persona desenrosque las barras de mango.</v>
      </c>
    </row>
    <row r="18714">
      <c r="A18714" s="4" t="s">
        <v>23539</v>
      </c>
      <c r="B18714" s="4" t="s">
        <v>23541</v>
      </c>
      <c r="C18714" s="5" t="str">
        <f>IFERROR(__xludf.DUMMYFUNCTION("GOOGLETRANSLATE(B18714,""en"",""es-ES"")"),"Luego desenrosca la base para nivelarla a su gusto.")</f>
        <v>Luego desenrosca la base para nivelarla a su gusto.</v>
      </c>
    </row>
    <row r="18715">
      <c r="A18715" s="4" t="s">
        <v>23539</v>
      </c>
      <c r="B18715" s="4" t="s">
        <v>23542</v>
      </c>
      <c r="C18715" s="5" t="str">
        <f>IFERROR(__xludf.DUMMYFUNCTION("GOOGLETRANSLATE(B18715,""en"",""es-ES"")"),"Luego se sienta en el asiento de la bicicleta para lograr los mejores resultados.")</f>
        <v>Luego se sienta en el asiento de la bicicleta para lograr los mejores resultados.</v>
      </c>
    </row>
    <row r="18716">
      <c r="A18716" s="4" t="s">
        <v>23539</v>
      </c>
      <c r="B18716" s="4" t="s">
        <v>23543</v>
      </c>
      <c r="C18716" s="5" t="str">
        <f>IFERROR(__xludf.DUMMYFUNCTION("GOOGLETRANSLATE(B18716,""en"",""es-ES"")"),"Luego ajusta las barras de mango nuevamente y se asegura de que estén firmemente en su lugar.")</f>
        <v>Luego ajusta las barras de mango nuevamente y se asegura de que estén firmemente en su lugar.</v>
      </c>
    </row>
    <row r="18717">
      <c r="A18717" s="4" t="s">
        <v>23544</v>
      </c>
      <c r="B18717" s="4" t="s">
        <v>23545</v>
      </c>
      <c r="C18717" s="5" t="str">
        <f>IFERROR(__xludf.DUMMYFUNCTION("GOOGLETRANSLATE(B18717,""en"",""es-ES"")"),"Dos hombres están en una habitación con tres paredes y un juego de puertas de vidrio detrás de ellos golpeando una pelota hacia atrás y cuarto contra la pared con raquetas de tenis.")</f>
        <v>Dos hombres están en una habitación con tres paredes y un juego de puertas de vidrio detrás de ellos golpeando una pelota hacia atrás y cuarto contra la pared con raquetas de tenis.</v>
      </c>
    </row>
    <row r="18718">
      <c r="A18718" s="4" t="s">
        <v>23544</v>
      </c>
      <c r="B18718" s="4" t="s">
        <v>23546</v>
      </c>
      <c r="C18718" s="5" t="str">
        <f>IFERROR(__xludf.DUMMYFUNCTION("GOOGLETRANSLATE(B18718,""en"",""es-ES"")"),"A medida que continúan, un niño cae al suelo y tienen que comenzar de nuevo.")</f>
        <v>A medida que continúan, un niño cae al suelo y tienen que comenzar de nuevo.</v>
      </c>
    </row>
    <row r="18719">
      <c r="A18719" s="4" t="s">
        <v>23547</v>
      </c>
      <c r="B18719" s="4" t="s">
        <v>23548</v>
      </c>
      <c r="C18719" s="5" t="str">
        <f>IFERROR(__xludf.DUMMYFUNCTION("GOOGLETRANSLATE(B18719,""en"",""es-ES"")"),"Vemos a un hombre parado frente a un banco de trabajo en un taller y hablando.")</f>
        <v>Vemos a un hombre parado frente a un banco de trabajo en un taller y hablando.</v>
      </c>
    </row>
    <row r="18720">
      <c r="A18720" s="4" t="s">
        <v>23547</v>
      </c>
      <c r="B18720" s="4" t="s">
        <v>23549</v>
      </c>
      <c r="C18720" s="5" t="str">
        <f>IFERROR(__xludf.DUMMYFUNCTION("GOOGLETRANSLATE(B18720,""en"",""es-ES"")"),"El hombre muestra un trozo de madera y una lijadora.")</f>
        <v>El hombre muestra un trozo de madera y una lijadora.</v>
      </c>
    </row>
    <row r="18721">
      <c r="A18721" s="4" t="s">
        <v>23547</v>
      </c>
      <c r="B18721" s="4" t="s">
        <v>23550</v>
      </c>
      <c r="C18721" s="5" t="str">
        <f>IFERROR(__xludf.DUMMYFUNCTION("GOOGLETRANSLATE(B18721,""en"",""es-ES"")"),"El hombre limpia una sustancia de una jarra en la madera y la lijadora y arena la madera.")</f>
        <v>El hombre limpia una sustancia de una jarra en la madera y la lijadora y arena la madera.</v>
      </c>
    </row>
    <row r="18722">
      <c r="A18722" s="4" t="s">
        <v>23547</v>
      </c>
      <c r="B18722" s="4" t="s">
        <v>23551</v>
      </c>
      <c r="C18722" s="5" t="str">
        <f>IFERROR(__xludf.DUMMYFUNCTION("GOOGLETRANSLATE(B18722,""en"",""es-ES"")"),"El hombre nos muestra el producto terminado.")</f>
        <v>El hombre nos muestra el producto terminado.</v>
      </c>
    </row>
    <row r="18723">
      <c r="A18723" s="4" t="s">
        <v>23552</v>
      </c>
      <c r="B18723" s="4" t="s">
        <v>23553</v>
      </c>
      <c r="C18723" s="5" t="str">
        <f>IFERROR(__xludf.DUMMYFUNCTION("GOOGLETRANSLATE(B18723,""en"",""es-ES"")"),"Varias personas parasail en un cuerpo de agua rodeado de otros barcos, follaje y casas en la distancia.")</f>
        <v>Varias personas parasail en un cuerpo de agua rodeado de otros barcos, follaje y casas en la distancia.</v>
      </c>
    </row>
    <row r="18724">
      <c r="A18724" s="4" t="s">
        <v>23552</v>
      </c>
      <c r="B18724" s="4" t="s">
        <v>23554</v>
      </c>
      <c r="C18724" s="5" t="str">
        <f>IFERROR(__xludf.DUMMYFUNCTION("GOOGLETRANSLATE(B18724,""en"",""es-ES"")"),"Varias personas en troncos de natación navegan en un cuerpo de agua con parasails de múltiples colores.")</f>
        <v>Varias personas en troncos de natación navegan en un cuerpo de agua con parasails de múltiples colores.</v>
      </c>
    </row>
    <row r="18725">
      <c r="A18725" s="4" t="s">
        <v>23552</v>
      </c>
      <c r="B18725" s="4" t="s">
        <v>23555</v>
      </c>
      <c r="C18725" s="5" t="str">
        <f>IFERROR(__xludf.DUMMYFUNCTION("GOOGLETRANSLATE(B18725,""en"",""es-ES"")"),"Una persona en primer plano en troncos azules de natación voltea la vela, pero la vela se tuerce y aterriza en el fondo para que la persona y la vela aterricen en sus pies.")</f>
        <v>Una persona en primer plano en troncos azules de natación voltea la vela, pero la vela se tuerce y aterriza en el fondo para que la persona y la vela aterricen en sus pies.</v>
      </c>
    </row>
    <row r="18726">
      <c r="A18726" s="4" t="s">
        <v>23556</v>
      </c>
      <c r="B18726" s="4" t="s">
        <v>23557</v>
      </c>
      <c r="C18726" s="5" t="str">
        <f>IFERROR(__xludf.DUMMYFUNCTION("GOOGLETRANSLATE(B18726,""en"",""es-ES"")"),"En una pista, un corredor se prepara para actuar.")</f>
        <v>En una pista, un corredor se prepara para actuar.</v>
      </c>
    </row>
    <row r="18727">
      <c r="A18727" s="4" t="s">
        <v>23556</v>
      </c>
      <c r="B18727" s="4" t="s">
        <v>23558</v>
      </c>
      <c r="C18727" s="5" t="str">
        <f>IFERROR(__xludf.DUMMYFUNCTION("GOOGLETRANSLATE(B18727,""en"",""es-ES"")"),"Corre y salta en el camino, saltando alto al final.")</f>
        <v>Corre y salta en el camino, saltando alto al final.</v>
      </c>
    </row>
    <row r="18728">
      <c r="A18728" s="4" t="s">
        <v>23556</v>
      </c>
      <c r="B18728" s="4" t="s">
        <v>23559</v>
      </c>
      <c r="C18728" s="5" t="str">
        <f>IFERROR(__xludf.DUMMYFUNCTION("GOOGLETRANSLATE(B18728,""en"",""es-ES"")"),"Camina por la pista después de haber terminado.")</f>
        <v>Camina por la pista después de haber terminado.</v>
      </c>
    </row>
    <row r="18729">
      <c r="A18729" s="4" t="s">
        <v>23556</v>
      </c>
      <c r="B18729" s="4" t="s">
        <v>23560</v>
      </c>
      <c r="C18729" s="5" t="str">
        <f>IFERROR(__xludf.DUMMYFUNCTION("GOOGLETRANSLATE(B18729,""en"",""es-ES"")"),"El hombre corre y salta de nuevo.")</f>
        <v>El hombre corre y salta de nuevo.</v>
      </c>
    </row>
    <row r="18730">
      <c r="A18730" s="4" t="s">
        <v>23556</v>
      </c>
      <c r="B18730" s="4" t="s">
        <v>23561</v>
      </c>
      <c r="C18730" s="5" t="str">
        <f>IFERROR(__xludf.DUMMYFUNCTION("GOOGLETRANSLATE(B18730,""en"",""es-ES"")"),"El corredor habla con alguien.")</f>
        <v>El corredor habla con alguien.</v>
      </c>
    </row>
    <row r="18731">
      <c r="A18731" s="4" t="s">
        <v>23562</v>
      </c>
      <c r="B18731" s="4" t="s">
        <v>23563</v>
      </c>
      <c r="C18731" s="5" t="str">
        <f>IFERROR(__xludf.DUMMYFUNCTION("GOOGLETRANSLATE(B18731,""en"",""es-ES"")"),"Un hombre toca las gaitas en el escenario mientras usa una falda escocesa.")</f>
        <v>Un hombre toca las gaitas en el escenario mientras usa una falda escocesa.</v>
      </c>
    </row>
    <row r="18732">
      <c r="A18732" s="4" t="s">
        <v>23562</v>
      </c>
      <c r="B18732" s="4" t="s">
        <v>23564</v>
      </c>
      <c r="C18732" s="5" t="str">
        <f>IFERROR(__xludf.DUMMYFUNCTION("GOOGLETRANSLATE(B18732,""en"",""es-ES"")"),"Luego, el hombre termina jugando y sostiene las gaitas en su brazo izquierdo.")</f>
        <v>Luego, el hombre termina jugando y sostiene las gaitas en su brazo izquierdo.</v>
      </c>
    </row>
    <row r="18733">
      <c r="A18733" s="4" t="s">
        <v>23565</v>
      </c>
      <c r="B18733" s="4" t="s">
        <v>23566</v>
      </c>
      <c r="C18733" s="5" t="str">
        <f>IFERROR(__xludf.DUMMYFUNCTION("GOOGLETRANSLATE(B18733,""en"",""es-ES"")"),"Un hombre de amarillo abre una cerveza.")</f>
        <v>Un hombre de amarillo abre una cerveza.</v>
      </c>
    </row>
    <row r="18734">
      <c r="A18734" s="4" t="s">
        <v>23565</v>
      </c>
      <c r="B18734" s="4" t="s">
        <v>23567</v>
      </c>
      <c r="C18734" s="5" t="str">
        <f>IFERROR(__xludf.DUMMYFUNCTION("GOOGLETRANSLATE(B18734,""en"",""es-ES"")"),"Un hombre de gris agarra la cerveza, ajusta su ropa y luego se sienta en el piso sosteniendo la cerveza.")</f>
        <v>Un hombre de gris agarra la cerveza, ajusta su ropa y luego se sienta en el piso sosteniendo la cerveza.</v>
      </c>
    </row>
    <row r="18735">
      <c r="A18735" s="4" t="s">
        <v>23565</v>
      </c>
      <c r="B18735" s="4" t="s">
        <v>23568</v>
      </c>
      <c r="C18735" s="5" t="str">
        <f>IFERROR(__xludf.DUMMYFUNCTION("GOOGLETRANSLATE(B18735,""en"",""es-ES"")"),"El hombre pone un brazo detrás de su espalda y se adapta a sí mismo para tratar de levantar la botella con la boca.")</f>
        <v>El hombre pone un brazo detrás de su espalda y se adapta a sí mismo para tratar de levantar la botella con la boca.</v>
      </c>
    </row>
    <row r="18736">
      <c r="A18736" s="4" t="s">
        <v>23565</v>
      </c>
      <c r="B18736" s="4" t="s">
        <v>23569</v>
      </c>
      <c r="C18736" s="5" t="str">
        <f>IFERROR(__xludf.DUMMYFUNCTION("GOOGLETRANSLATE(B18736,""en"",""es-ES"")"),"El hombre luego bebe rápidamente y baja la botella.")</f>
        <v>El hombre luego bebe rápidamente y baja la botella.</v>
      </c>
    </row>
    <row r="18737">
      <c r="A18737" s="4" t="s">
        <v>23565</v>
      </c>
      <c r="B18737" s="4" t="s">
        <v>23570</v>
      </c>
      <c r="C18737" s="5" t="str">
        <f>IFERROR(__xludf.DUMMYFUNCTION("GOOGLETRANSLATE(B18737,""en"",""es-ES"")"),"Vemos un reloj de cuenta regresiva.")</f>
        <v>Vemos un reloj de cuenta regresiva.</v>
      </c>
    </row>
    <row r="18738">
      <c r="A18738" s="4" t="s">
        <v>23571</v>
      </c>
      <c r="B18738" s="4" t="s">
        <v>23572</v>
      </c>
      <c r="C18738" s="5" t="str">
        <f>IFERROR(__xludf.DUMMYFUNCTION("GOOGLETRANSLATE(B18738,""en"",""es-ES"")"),"Vemos la pantalla de título blanco.")</f>
        <v>Vemos la pantalla de título blanco.</v>
      </c>
    </row>
    <row r="18739">
      <c r="A18739" s="4" t="s">
        <v>23571</v>
      </c>
      <c r="B18739" s="4" t="s">
        <v>23573</v>
      </c>
      <c r="C18739" s="5" t="str">
        <f>IFERROR(__xludf.DUMMYFUNCTION("GOOGLETRANSLATE(B18739,""en"",""es-ES"")"),"Luego vemos a un camarero hablando con dos personas en un bar.")</f>
        <v>Luego vemos a un camarero hablando con dos personas en un bar.</v>
      </c>
    </row>
    <row r="18740">
      <c r="A18740" s="4" t="s">
        <v>23571</v>
      </c>
      <c r="B18740" s="4" t="s">
        <v>23574</v>
      </c>
      <c r="C18740" s="5" t="str">
        <f>IFERROR(__xludf.DUMMYFUNCTION("GOOGLETRANSLATE(B18740,""en"",""es-ES"")"),"El hombre pone su brazo a la espalda.")</f>
        <v>El hombre pone su brazo a la espalda.</v>
      </c>
    </row>
    <row r="18741">
      <c r="A18741" s="4" t="s">
        <v>23571</v>
      </c>
      <c r="B18741" s="4" t="s">
        <v>23575</v>
      </c>
      <c r="C18741" s="5" t="str">
        <f>IFERROR(__xludf.DUMMYFUNCTION("GOOGLETRANSLATE(B18741,""en"",""es-ES"")"),"El cantinero pone dos cartas en el bar.")</f>
        <v>El cantinero pone dos cartas en el bar.</v>
      </c>
    </row>
    <row r="18742">
      <c r="A18742" s="4" t="s">
        <v>23571</v>
      </c>
      <c r="B18742" s="4" t="s">
        <v>23576</v>
      </c>
      <c r="C18742" s="5" t="str">
        <f>IFERROR(__xludf.DUMMYFUNCTION("GOOGLETRANSLATE(B18742,""en"",""es-ES"")"),"Empujan sus cartas y beben cerveza, luego tiran de tarjetas y beben cerveza.")</f>
        <v>Empujan sus cartas y beben cerveza, luego tiran de tarjetas y beben cerveza.</v>
      </c>
    </row>
    <row r="18743">
      <c r="A18743" s="4" t="s">
        <v>23571</v>
      </c>
      <c r="B18743" s="4" t="s">
        <v>23577</v>
      </c>
      <c r="C18743" s="5" t="str">
        <f>IFERROR(__xludf.DUMMYFUNCTION("GOOGLETRANSLATE(B18743,""en"",""es-ES"")"),"El cantinero escupe la cerveza en el vaso.")</f>
        <v>El cantinero escupe la cerveza en el vaso.</v>
      </c>
    </row>
    <row r="18744">
      <c r="A18744" s="4" t="s">
        <v>23571</v>
      </c>
      <c r="B18744" s="4" t="s">
        <v>23578</v>
      </c>
      <c r="C18744" s="5" t="str">
        <f>IFERROR(__xludf.DUMMYFUNCTION("GOOGLETRANSLATE(B18744,""en"",""es-ES"")"),"El cantinero mira la cámara y habla.")</f>
        <v>El cantinero mira la cámara y habla.</v>
      </c>
    </row>
    <row r="18745">
      <c r="A18745" s="4" t="s">
        <v>23571</v>
      </c>
      <c r="B18745" s="4" t="s">
        <v>23579</v>
      </c>
      <c r="C18745" s="5" t="str">
        <f>IFERROR(__xludf.DUMMYFUNCTION("GOOGLETRANSLATE(B18745,""en"",""es-ES"")"),"Vemos la pantalla del título final.")</f>
        <v>Vemos la pantalla del título final.</v>
      </c>
    </row>
    <row r="18746">
      <c r="A18746" s="4" t="s">
        <v>23580</v>
      </c>
      <c r="B18746" s="4" t="s">
        <v>23581</v>
      </c>
      <c r="C18746" s="5" t="str">
        <f>IFERROR(__xludf.DUMMYFUNCTION("GOOGLETRANSLATE(B18746,""en"",""es-ES"")"),"Un niño recoge una pelota de boliche.")</f>
        <v>Un niño recoge una pelota de boliche.</v>
      </c>
    </row>
    <row r="18747">
      <c r="A18747" s="4" t="s">
        <v>23580</v>
      </c>
      <c r="B18747" s="4" t="s">
        <v>23582</v>
      </c>
      <c r="C18747" s="5" t="str">
        <f>IFERROR(__xludf.DUMMYFUNCTION("GOOGLETRANSLATE(B18747,""en"",""es-ES"")"),"Lo coloca en un riel y lo empuja por un carril.")</f>
        <v>Lo coloca en un riel y lo empuja por un carril.</v>
      </c>
    </row>
    <row r="18748">
      <c r="A18748" s="4" t="s">
        <v>23580</v>
      </c>
      <c r="B18748" s="4" t="s">
        <v>23583</v>
      </c>
      <c r="C18748" s="5" t="str">
        <f>IFERROR(__xludf.DUMMYFUNCTION("GOOGLETRANSLATE(B18748,""en"",""es-ES"")"),"Una mujer con un bebé atada a su pecho le golpea una pelota por un carril.")</f>
        <v>Una mujer con un bebé atada a su pecho le golpea una pelota por un carril.</v>
      </c>
    </row>
    <row r="18749">
      <c r="A18749" s="4" t="s">
        <v>23584</v>
      </c>
      <c r="B18749" s="4" t="s">
        <v>23585</v>
      </c>
      <c r="C18749" s="5" t="str">
        <f>IFERROR(__xludf.DUMMYFUNCTION("GOOGLETRANSLATE(B18749,""en"",""es-ES"")"),"Un hombre con camisa a cuadros golpeó la pelota con palo, la pelota se dispersó sobre la mesa.")</f>
        <v>Un hombre con camisa a cuadros golpeó la pelota con palo, la pelota se dispersó sobre la mesa.</v>
      </c>
    </row>
    <row r="18750">
      <c r="A18750" s="4" t="s">
        <v>23584</v>
      </c>
      <c r="B18750" s="4" t="s">
        <v>23586</v>
      </c>
      <c r="C18750" s="5" t="str">
        <f>IFERROR(__xludf.DUMMYFUNCTION("GOOGLETRANSLATE(B18750,""en"",""es-ES"")"),"El hombre con suéter gris se apoya en la mesa y mira la pelota, luego golpeó la bola blanca y golpeó la bola amarilla, mientras el hombre con camisa a cuadros se sentaba en la silla.")</f>
        <v>El hombre con suéter gris se apoya en la mesa y mira la pelota, luego golpeó la bola blanca y golpeó la bola amarilla, mientras el hombre con camisa a cuadros se sentaba en la silla.</v>
      </c>
    </row>
    <row r="18751">
      <c r="A18751" s="4" t="s">
        <v>23584</v>
      </c>
      <c r="B18751" s="4" t="s">
        <v>23587</v>
      </c>
      <c r="C18751" s="5" t="str">
        <f>IFERROR(__xludf.DUMMYFUNCTION("GOOGLETRANSLATE(B18751,""en"",""es-ES"")"),"El hombre con suéter gris continúa jugando al billar, haciendo que las bolas disparen en los agujeros.")</f>
        <v>El hombre con suéter gris continúa jugando al billar, haciendo que las bolas disparen en los agujeros.</v>
      </c>
    </row>
    <row r="18752">
      <c r="A18752" s="4" t="s">
        <v>23588</v>
      </c>
      <c r="B18752" s="4" t="s">
        <v>23589</v>
      </c>
      <c r="C18752" s="5" t="str">
        <f>IFERROR(__xludf.DUMMYFUNCTION("GOOGLETRANSLATE(B18752,""en"",""es-ES"")"),"Una mano está empujando una máquina del soplador de hierba.")</f>
        <v>Una mano está empujando una máquina del soplador de hierba.</v>
      </c>
    </row>
    <row r="18753">
      <c r="A18753" s="4" t="s">
        <v>23588</v>
      </c>
      <c r="B18753" s="4" t="s">
        <v>23590</v>
      </c>
      <c r="C18753" s="5" t="str">
        <f>IFERROR(__xludf.DUMMYFUNCTION("GOOGLETRANSLATE(B18753,""en"",""es-ES"")"),"La máquina escupe hojas secas de un poste negro.")</f>
        <v>La máquina escupe hojas secas de un poste negro.</v>
      </c>
    </row>
    <row r="18754">
      <c r="A18754" s="4" t="s">
        <v>23588</v>
      </c>
      <c r="B18754" s="4" t="s">
        <v>23591</v>
      </c>
      <c r="C18754" s="5" t="str">
        <f>IFERROR(__xludf.DUMMYFUNCTION("GOOGLETRANSLATE(B18754,""en"",""es-ES"")"),"La máquina giró en una curva hacia la casa.")</f>
        <v>La máquina giró en una curva hacia la casa.</v>
      </c>
    </row>
    <row r="18755">
      <c r="A18755" s="4" t="s">
        <v>23592</v>
      </c>
      <c r="B18755" s="4" t="s">
        <v>23593</v>
      </c>
      <c r="C18755" s="5" t="str">
        <f>IFERROR(__xludf.DUMMYFUNCTION("GOOGLETRANSLATE(B18755,""en"",""es-ES"")"),"Se ve a una mujer hablando con la cámara y luego se lleva el anillo para correr las manos bajo un poco de agua.")</f>
        <v>Se ve a una mujer hablando con la cámara y luego se lleva el anillo para correr las manos bajo un poco de agua.</v>
      </c>
    </row>
    <row r="18756">
      <c r="A18756" s="4" t="s">
        <v>23592</v>
      </c>
      <c r="B18756" s="4" t="s">
        <v>23594</v>
      </c>
      <c r="C18756" s="5" t="str">
        <f>IFERROR(__xludf.DUMMYFUNCTION("GOOGLETRANSLATE(B18756,""en"",""es-ES"")"),"Ella frota las manos con jabón y luego pasa los dedos debajo del agua.")</f>
        <v>Ella frota las manos con jabón y luego pasa los dedos debajo del agua.</v>
      </c>
    </row>
    <row r="18757">
      <c r="A18757" s="4" t="s">
        <v>23592</v>
      </c>
      <c r="B18757" s="4" t="s">
        <v>23595</v>
      </c>
      <c r="C18757" s="5" t="str">
        <f>IFERROR(__xludf.DUMMYFUNCTION("GOOGLETRANSLATE(B18757,""en"",""es-ES"")"),"Al final, las personas realizan un pequeño baile mostrando cómo lavarse adecuadamente las manos.")</f>
        <v>Al final, las personas realizan un pequeño baile mostrando cómo lavarse adecuadamente las manos.</v>
      </c>
    </row>
    <row r="18758">
      <c r="A18758" s="4" t="s">
        <v>23596</v>
      </c>
      <c r="B18758" s="4" t="s">
        <v>23597</v>
      </c>
      <c r="C18758" s="5" t="str">
        <f>IFERROR(__xludf.DUMMYFUNCTION("GOOGLETRANSLATE(B18758,""en"",""es-ES"")"),"Vemos a la gente bucear en las profundidades del mar.")</f>
        <v>Vemos a la gente bucear en las profundidades del mar.</v>
      </c>
    </row>
    <row r="18759">
      <c r="A18759" s="4" t="s">
        <v>23596</v>
      </c>
      <c r="B18759" s="4" t="s">
        <v>23598</v>
      </c>
      <c r="C18759" s="5" t="str">
        <f>IFERROR(__xludf.DUMMYFUNCTION("GOOGLETRANSLATE(B18759,""en"",""es-ES"")"),"Vemos la superficie del océano.")</f>
        <v>Vemos la superficie del océano.</v>
      </c>
    </row>
    <row r="18760">
      <c r="A18760" s="4" t="s">
        <v>23596</v>
      </c>
      <c r="B18760" s="4" t="s">
        <v>23599</v>
      </c>
      <c r="C18760" s="5" t="str">
        <f>IFERROR(__xludf.DUMMYFUNCTION("GOOGLETRANSLATE(B18760,""en"",""es-ES"")"),"Vemos gente tomada de la mano bajo el agua.")</f>
        <v>Vemos gente tomada de la mano bajo el agua.</v>
      </c>
    </row>
    <row r="18761">
      <c r="A18761" s="4" t="s">
        <v>23596</v>
      </c>
      <c r="B18761" s="4" t="s">
        <v>23600</v>
      </c>
      <c r="C18761" s="5" t="str">
        <f>IFERROR(__xludf.DUMMYFUNCTION("GOOGLETRANSLATE(B18761,""en"",""es-ES"")"),"La gente está viendo letreros de mano.")</f>
        <v>La gente está viendo letreros de mano.</v>
      </c>
    </row>
    <row r="18762">
      <c r="A18762" s="4" t="s">
        <v>23596</v>
      </c>
      <c r="B18762" s="4" t="s">
        <v>23601</v>
      </c>
      <c r="C18762" s="5" t="str">
        <f>IFERROR(__xludf.DUMMYFUNCTION("GOOGLETRANSLATE(B18762,""en"",""es-ES"")"),"Vemos a un hombre lanzar una señal de mano y vemos gente parada en el agua.")</f>
        <v>Vemos a un hombre lanzar una señal de mano y vemos gente parada en el agua.</v>
      </c>
    </row>
    <row r="18763">
      <c r="A18763" s="4" t="s">
        <v>23596</v>
      </c>
      <c r="B18763" s="4" t="s">
        <v>23602</v>
      </c>
      <c r="C18763" s="5" t="str">
        <f>IFERROR(__xludf.DUMMYFUNCTION("GOOGLETRANSLATE(B18763,""en"",""es-ES"")"),"Un hombre va bajo el agua lentamente.")</f>
        <v>Un hombre va bajo el agua lentamente.</v>
      </c>
    </row>
    <row r="18764">
      <c r="A18764" s="4" t="s">
        <v>23603</v>
      </c>
      <c r="B18764" s="4" t="s">
        <v>23604</v>
      </c>
      <c r="C18764" s="5" t="str">
        <f>IFERROR(__xludf.DUMMYFUNCTION("GOOGLETRANSLATE(B18764,""en"",""es-ES"")"),"Se ve a un pequeño grupo de personas parados en una playa jugando un juego de voleibol.")</f>
        <v>Se ve a un pequeño grupo de personas parados en una playa jugando un juego de voleibol.</v>
      </c>
    </row>
    <row r="18765">
      <c r="A18765" s="4" t="s">
        <v>23603</v>
      </c>
      <c r="B18765" s="4" t="s">
        <v>23605</v>
      </c>
      <c r="C18765" s="5" t="str">
        <f>IFERROR(__xludf.DUMMYFUNCTION("GOOGLETRANSLATE(B18765,""en"",""es-ES"")"),"Una persona lo golpea al otro y golpeó el juego de pelota.")</f>
        <v>Una persona lo golpea al otro y golpeó el juego de pelota.</v>
      </c>
    </row>
    <row r="18766">
      <c r="A18766" s="4" t="s">
        <v>23603</v>
      </c>
      <c r="B18766" s="4" t="s">
        <v>23606</v>
      </c>
      <c r="C18766" s="5" t="str">
        <f>IFERROR(__xludf.DUMMYFUNCTION("GOOGLETRANSLATE(B18766,""en"",""es-ES"")"),"El juego continúa mientras se ve a las personas mirando en los lados.")</f>
        <v>El juego continúa mientras se ve a las personas mirando en los lados.</v>
      </c>
    </row>
    <row r="18767">
      <c r="A18767" s="4" t="s">
        <v>23607</v>
      </c>
      <c r="B18767" s="4" t="s">
        <v>23608</v>
      </c>
      <c r="C18767" s="5" t="str">
        <f>IFERROR(__xludf.DUMMYFUNCTION("GOOGLETRANSLATE(B18767,""en"",""es-ES"")"),"Se ve a un hombre jugando con su cabello frente a la cámara y la lleva a cepillarse el cabello.")</f>
        <v>Se ve a un hombre jugando con su cabello frente a la cámara y la lleva a cepillarse el cabello.</v>
      </c>
    </row>
    <row r="18768">
      <c r="A18768" s="4" t="s">
        <v>23607</v>
      </c>
      <c r="B18768" s="4" t="s">
        <v>23609</v>
      </c>
      <c r="C18768" s="5" t="str">
        <f>IFERROR(__xludf.DUMMYFUNCTION("GOOGLETRANSLATE(B18768,""en"",""es-ES"")"),"Luego se ata el cabello y procede a secarse el cabello mientras es un peine.")</f>
        <v>Luego se ata el cabello y procede a secarse el cabello mientras es un peine.</v>
      </c>
    </row>
    <row r="18769">
      <c r="A18769" s="4" t="s">
        <v>23607</v>
      </c>
      <c r="B18769" s="4" t="s">
        <v>23610</v>
      </c>
      <c r="C18769" s="5" t="str">
        <f>IFERROR(__xludf.DUMMYFUNCTION("GOOGLETRANSLATE(B18769,""en"",""es-ES"")"),"Luego se lleva el pelo hacia abajo y pasa la loción por su cabello mientras sigue mirando a la cámara.")</f>
        <v>Luego se lleva el pelo hacia abajo y pasa la loción por su cabello mientras sigue mirando a la cámara.</v>
      </c>
    </row>
    <row r="18770">
      <c r="A18770" s="4" t="s">
        <v>23611</v>
      </c>
      <c r="B18770" s="4" t="s">
        <v>23612</v>
      </c>
      <c r="C18770" s="5" t="str">
        <f>IFERROR(__xludf.DUMMYFUNCTION("GOOGLETRANSLATE(B18770,""en"",""es-ES"")"),"Se muestra una foto de un tablero seguido de varios peluqueros que preparan perros en las mesas.")</f>
        <v>Se muestra una foto de un tablero seguido de varios peluqueros que preparan perros en las mesas.</v>
      </c>
    </row>
    <row r="18771">
      <c r="A18771" s="4" t="s">
        <v>23611</v>
      </c>
      <c r="B18771" s="4" t="s">
        <v>23613</v>
      </c>
      <c r="C18771" s="5" t="str">
        <f>IFERROR(__xludf.DUMMYFUNCTION("GOOGLETRANSLATE(B18771,""en"",""es-ES"")"),"La gente continúa preparando a los perros en las mesas y el video termina con texto en la pantalla.")</f>
        <v>La gente continúa preparando a los perros en las mesas y el video termina con texto en la pantalla.</v>
      </c>
    </row>
    <row r="18772">
      <c r="A18772" s="4" t="s">
        <v>23614</v>
      </c>
      <c r="B18772" s="4" t="s">
        <v>23615</v>
      </c>
      <c r="C18772" s="5" t="str">
        <f>IFERROR(__xludf.DUMMYFUNCTION("GOOGLETRANSLATE(B18772,""en"",""es-ES"")"),"Se muestra a varias personas sonriendo en una cámara y se les entrevistan sobre una pregunta.")</f>
        <v>Se muestra a varias personas sonriendo en una cámara y se les entrevistan sobre una pregunta.</v>
      </c>
    </row>
    <row r="18773">
      <c r="A18773" s="4" t="s">
        <v>23614</v>
      </c>
      <c r="B18773" s="4" t="s">
        <v>23616</v>
      </c>
      <c r="C18773" s="5" t="str">
        <f>IFERROR(__xludf.DUMMYFUNCTION("GOOGLETRANSLATE(B18773,""en"",""es-ES"")"),"Se hacen varias otras preguntas a las mismas personas, así como tomas de personas que realizan actividades en la playa en una cuerda.")</f>
        <v>Se hacen varias otras preguntas a las mismas personas, así como tomas de personas que realizan actividades en la playa en una cuerda.</v>
      </c>
    </row>
    <row r="18774">
      <c r="A18774" s="4" t="s">
        <v>23617</v>
      </c>
      <c r="B18774" s="4" t="s">
        <v>23618</v>
      </c>
      <c r="C18774" s="5" t="str">
        <f>IFERROR(__xludf.DUMMYFUNCTION("GOOGLETRANSLATE(B18774,""en"",""es-ES"")"),"La parte delantera de un kayak amarillo se ve cuando el bote flota a través de turbulentas aguas blancas de un río.")</f>
        <v>La parte delantera de un kayak amarillo se ve cuando el bote flota a través de turbulentas aguas blancas de un río.</v>
      </c>
    </row>
    <row r="18775">
      <c r="A18775" s="4" t="s">
        <v>23617</v>
      </c>
      <c r="B18775" s="4" t="s">
        <v>23619</v>
      </c>
      <c r="C18775" s="5" t="str">
        <f>IFERROR(__xludf.DUMMYFUNCTION("GOOGLETRANSLATE(B18775,""en"",""es-ES"")"),"Pasa una roca y numerosos árboles antes de disminuir la velocidad.")</f>
        <v>Pasa una roca y numerosos árboles antes de disminuir la velocidad.</v>
      </c>
    </row>
    <row r="18776">
      <c r="A18776" s="4" t="s">
        <v>23620</v>
      </c>
      <c r="B18776" s="4" t="s">
        <v>23621</v>
      </c>
      <c r="C18776" s="5" t="str">
        <f>IFERROR(__xludf.DUMMYFUNCTION("GOOGLETRANSLATE(B18776,""en"",""es-ES"")"),"Un joven rubio se muestra en varias imágenes fijas, incluidas varias mientras esquía.")</f>
        <v>Un joven rubio se muestra en varias imágenes fijas, incluidas varias mientras esquía.</v>
      </c>
    </row>
    <row r="18777">
      <c r="A18777" s="4" t="s">
        <v>23620</v>
      </c>
      <c r="B18777" s="4" t="s">
        <v>23622</v>
      </c>
      <c r="C18777" s="5" t="str">
        <f>IFERROR(__xludf.DUMMYFUNCTION("GOOGLETRANSLATE(B18777,""en"",""es-ES"")"),"Luego se lo ve esquiando por una gran colina desde múltiples ángulos y videos.")</f>
        <v>Luego se lo ve esquiando por una gran colina desde múltiples ángulos y videos.</v>
      </c>
    </row>
    <row r="18778">
      <c r="A18778" s="4" t="s">
        <v>23620</v>
      </c>
      <c r="B18778" s="4" t="s">
        <v>23623</v>
      </c>
      <c r="C18778" s="5" t="str">
        <f>IFERROR(__xludf.DUMMYFUNCTION("GOOGLETRANSLATE(B18778,""en"",""es-ES"")"),"Aterriza en la cima de una pequeña colina, cayendo.")</f>
        <v>Aterriza en la cima de una pequeña colina, cayendo.</v>
      </c>
    </row>
    <row r="18779">
      <c r="A18779" s="4" t="s">
        <v>23620</v>
      </c>
      <c r="B18779" s="4" t="s">
        <v>23624</v>
      </c>
      <c r="C18779" s="5" t="str">
        <f>IFERROR(__xludf.DUMMYFUNCTION("GOOGLETRANSLATE(B18779,""en"",""es-ES"")"),"Luego vemos una imagen de él durmiendo en un sofá.")</f>
        <v>Luego vemos una imagen de él durmiendo en un sofá.</v>
      </c>
    </row>
    <row r="18780">
      <c r="A18780" s="4" t="s">
        <v>23625</v>
      </c>
      <c r="B18780" s="4" t="s">
        <v>23626</v>
      </c>
      <c r="C18780" s="5" t="str">
        <f>IFERROR(__xludf.DUMMYFUNCTION("GOOGLETRANSLATE(B18780,""en"",""es-ES"")"),"Un hombre está dentro de una habitación en una casa.")</f>
        <v>Un hombre está dentro de una habitación en una casa.</v>
      </c>
    </row>
    <row r="18781">
      <c r="A18781" s="4" t="s">
        <v>23625</v>
      </c>
      <c r="B18781" s="4" t="s">
        <v>23627</v>
      </c>
      <c r="C18781" s="5" t="str">
        <f>IFERROR(__xludf.DUMMYFUNCTION("GOOGLETRANSLATE(B18781,""en"",""es-ES"")"),"Está usando una raqueta para golpear una pelota de tenis de un lado a otro contra una pared.")</f>
        <v>Está usando una raqueta para golpear una pelota de tenis de un lado a otro contra una pared.</v>
      </c>
    </row>
    <row r="18782">
      <c r="A18782" s="4" t="s">
        <v>23625</v>
      </c>
      <c r="B18782" s="4" t="s">
        <v>23628</v>
      </c>
      <c r="C18782" s="5" t="str">
        <f>IFERROR(__xludf.DUMMYFUNCTION("GOOGLETRANSLATE(B18782,""en"",""es-ES"")"),"Continúa golpeando la pelota hasta que termina de jugar.")</f>
        <v>Continúa golpeando la pelota hasta que termina de jugar.</v>
      </c>
    </row>
    <row r="18783">
      <c r="A18783" s="4" t="s">
        <v>23629</v>
      </c>
      <c r="B18783" s="4" t="s">
        <v>23630</v>
      </c>
      <c r="C18783" s="5" t="str">
        <f>IFERROR(__xludf.DUMMYFUNCTION("GOOGLETRANSLATE(B18783,""en"",""es-ES"")"),"Se ve a un par de limones sentados en una mesa con vasos y platos y conduce a una persona que pone los limones en un recipiente.")</f>
        <v>Se ve a un par de limones sentados en una mesa con vasos y platos y conduce a una persona que pone los limones en un recipiente.</v>
      </c>
    </row>
    <row r="18784">
      <c r="A18784" s="4" t="s">
        <v>23629</v>
      </c>
      <c r="B18784" s="4" t="s">
        <v>23631</v>
      </c>
      <c r="C18784" s="5" t="str">
        <f>IFERROR(__xludf.DUMMYFUNCTION("GOOGLETRANSLATE(B18784,""en"",""es-ES"")"),"Mezcla ingredientes con los limones y los sacude en otro vaso.")</f>
        <v>Mezcla ingredientes con los limones y los sacude en otro vaso.</v>
      </c>
    </row>
    <row r="18785">
      <c r="A18785" s="4" t="s">
        <v>23629</v>
      </c>
      <c r="B18785" s="4" t="s">
        <v>23632</v>
      </c>
      <c r="C18785" s="5" t="str">
        <f>IFERROR(__xludf.DUMMYFUNCTION("GOOGLETRANSLATE(B18785,""en"",""es-ES"")"),"Termina la limonada y se la presenta a la cámara mientras también toma un sorbo.")</f>
        <v>Termina la limonada y se la presenta a la cámara mientras también toma un sorbo.</v>
      </c>
    </row>
    <row r="18786">
      <c r="A18786" s="4" t="s">
        <v>23633</v>
      </c>
      <c r="B18786" s="4" t="s">
        <v>23634</v>
      </c>
      <c r="C18786" s="5" t="str">
        <f>IFERROR(__xludf.DUMMYFUNCTION("GOOGLETRANSLATE(B18786,""en"",""es-ES"")"),"Se ve a la gente caminando por un gimnasio y conduce a uno de pie entre bares.")</f>
        <v>Se ve a la gente caminando por un gimnasio y conduce a uno de pie entre bares.</v>
      </c>
    </row>
    <row r="18787">
      <c r="A18787" s="4" t="s">
        <v>23633</v>
      </c>
      <c r="B18787" s="4" t="s">
        <v>23635</v>
      </c>
      <c r="C18787" s="5" t="str">
        <f>IFERROR(__xludf.DUMMYFUNCTION("GOOGLETRANSLATE(B18787,""en"",""es-ES"")"),"La gimnasta luego se mueve por las barras y salta hacia abajo después.")</f>
        <v>La gimnasta luego se mueve por las barras y salta hacia abajo después.</v>
      </c>
    </row>
    <row r="18788">
      <c r="A18788" s="4" t="s">
        <v>23633</v>
      </c>
      <c r="B18788" s="4" t="s">
        <v>23636</v>
      </c>
      <c r="C18788" s="5" t="str">
        <f>IFERROR(__xludf.DUMMYFUNCTION("GOOGLETRANSLATE(B18788,""en"",""es-ES"")"),"Otro hombre se acerca a los bares e intenta girar.")</f>
        <v>Otro hombre se acerca a los bares e intenta girar.</v>
      </c>
    </row>
    <row r="18789">
      <c r="A18789" s="4" t="s">
        <v>23637</v>
      </c>
      <c r="B18789" s="4" t="s">
        <v>23638</v>
      </c>
      <c r="C18789" s="5" t="str">
        <f>IFERROR(__xludf.DUMMYFUNCTION("GOOGLETRANSLATE(B18789,""en"",""es-ES"")"),"Un niño pequeño lave un perro en una bañera que vierte agua con la manguera de ducha.")</f>
        <v>Un niño pequeño lave un perro en una bañera que vierte agua con la manguera de ducha.</v>
      </c>
    </row>
    <row r="18790">
      <c r="A18790" s="4" t="s">
        <v>23637</v>
      </c>
      <c r="B18790" s="4" t="s">
        <v>23639</v>
      </c>
      <c r="C18790" s="5" t="str">
        <f>IFERROR(__xludf.DUMMYFUNCTION("GOOGLETRANSLATE(B18790,""en"",""es-ES"")"),"El niño se levanta la cola del caballo y lava el trasero.")</f>
        <v>El niño se levanta la cola del caballo y lava el trasero.</v>
      </c>
    </row>
    <row r="18791">
      <c r="A18791" s="4" t="s">
        <v>23637</v>
      </c>
      <c r="B18791" s="4" t="s">
        <v>23640</v>
      </c>
      <c r="C18791" s="5" t="str">
        <f>IFERROR(__xludf.DUMMYFUNCTION("GOOGLETRANSLATE(B18791,""en"",""es-ES"")"),"Después, el niño pequeño, tome un cepillo y un matorral y lava el perro.")</f>
        <v>Después, el niño pequeño, tome un cepillo y un matorral y lava el perro.</v>
      </c>
    </row>
    <row r="18792">
      <c r="A18792" s="4" t="s">
        <v>23641</v>
      </c>
      <c r="B18792" s="4" t="s">
        <v>23642</v>
      </c>
      <c r="C18792" s="5" t="str">
        <f>IFERROR(__xludf.DUMMYFUNCTION("GOOGLETRANSLATE(B18792,""en"",""es-ES"")"),"Un hombre está montando un par de esquís acuáticos mientras está unido a un bote.")</f>
        <v>Un hombre está montando un par de esquís acuáticos mientras está unido a un bote.</v>
      </c>
    </row>
    <row r="18793">
      <c r="A18793" s="4" t="s">
        <v>23641</v>
      </c>
      <c r="B18793" s="4" t="s">
        <v>23643</v>
      </c>
      <c r="C18793" s="5" t="str">
        <f>IFERROR(__xludf.DUMMYFUNCTION("GOOGLETRANSLATE(B18793,""en"",""es-ES"")"),"Se desvía de lado a lado en el agua, sosteniendo.")</f>
        <v>Se desvía de lado a lado en el agua, sosteniendo.</v>
      </c>
    </row>
    <row r="18794">
      <c r="A18794" s="4" t="s">
        <v>23641</v>
      </c>
      <c r="B18794" s="4" t="s">
        <v>23644</v>
      </c>
      <c r="C18794" s="5" t="str">
        <f>IFERROR(__xludf.DUMMYFUNCTION("GOOGLETRANSLATE(B18794,""en"",""es-ES"")"),"Salta al aire como un truco, luego pierde el equilibrio y cae al agua.")</f>
        <v>Salta al aire como un truco, luego pierde el equilibrio y cae al agua.</v>
      </c>
    </row>
    <row r="18795">
      <c r="A18795" s="4" t="s">
        <v>23645</v>
      </c>
      <c r="B18795" s="4" t="s">
        <v>23646</v>
      </c>
      <c r="C18795" s="5" t="str">
        <f>IFERROR(__xludf.DUMMYFUNCTION("GOOGLETRANSLATE(B18795,""en"",""es-ES"")"),"Dos equipos están jugando un tira y afloja, mientras que el árbitro está en el centro y en el lateral están las personas que toman fotos.")</f>
        <v>Dos equipos están jugando un tira y afloja, mientras que el árbitro está en el centro y en el lateral están las personas que toman fotos.</v>
      </c>
    </row>
    <row r="18796">
      <c r="A18796" s="4" t="s">
        <v>23645</v>
      </c>
      <c r="B18796" s="4" t="s">
        <v>23647</v>
      </c>
      <c r="C18796" s="5" t="str">
        <f>IFERROR(__xludf.DUMMYFUNCTION("GOOGLETRANSLATE(B18796,""en"",""es-ES"")"),"El árbitro dio una señal de Go para que el equipo comience a tirar, los jugadores están tirando de la cuerda con todo su poder hasta que ganó el equipo azul, al otro lado del carril, otro equipo está jugando tira y afloja, y la cámara se desplaza. El públ"&amp;"ico que está viendo el juego.")</f>
        <v>El árbitro dio una señal de Go para que el equipo comience a tirar, los jugadores están tirando de la cuerda con todo su poder hasta que ganó el equipo azul, al otro lado del carril, otro equipo está jugando tira y afloja, y la cámara se desplaza. El público que está viendo el juego.</v>
      </c>
    </row>
    <row r="18797">
      <c r="A18797" s="4" t="s">
        <v>23648</v>
      </c>
      <c r="B18797" s="4" t="s">
        <v>23649</v>
      </c>
      <c r="C18797" s="5" t="str">
        <f>IFERROR(__xludf.DUMMYFUNCTION("GOOGLETRANSLATE(B18797,""en"",""es-ES"")"),"Una mujer está usando un cepillo rosa para cepillarse los dientes.")</f>
        <v>Una mujer está usando un cepillo rosa para cepillarse los dientes.</v>
      </c>
    </row>
    <row r="18798">
      <c r="A18798" s="4" t="s">
        <v>23648</v>
      </c>
      <c r="B18798" s="4" t="s">
        <v>23650</v>
      </c>
      <c r="C18798" s="5" t="str">
        <f>IFERROR(__xludf.DUMMYFUNCTION("GOOGLETRANSLATE(B18798,""en"",""es-ES"")"),"Ella está cepillando muy rápido y vigorosamente.")</f>
        <v>Ella está cepillando muy rápido y vigorosamente.</v>
      </c>
    </row>
    <row r="18799">
      <c r="A18799" s="4" t="s">
        <v>23648</v>
      </c>
      <c r="B18799" s="4" t="s">
        <v>23651</v>
      </c>
      <c r="C18799" s="5" t="str">
        <f>IFERROR(__xludf.DUMMYFUNCTION("GOOGLETRANSLATE(B18799,""en"",""es-ES"")"),"Ella está cepillando sus dientes superiores e inferiores.")</f>
        <v>Ella está cepillando sus dientes superiores e inferiores.</v>
      </c>
    </row>
    <row r="18800">
      <c r="A18800" s="4" t="s">
        <v>23648</v>
      </c>
      <c r="B18800" s="4" t="s">
        <v>23652</v>
      </c>
      <c r="C18800" s="5" t="str">
        <f>IFERROR(__xludf.DUMMYFUNCTION("GOOGLETRANSLATE(B18800,""en"",""es-ES"")"),"Ella saca la lengua para limpiar la pasta de dientes.")</f>
        <v>Ella saca la lengua para limpiar la pasta de dientes.</v>
      </c>
    </row>
    <row r="18801">
      <c r="A18801" s="4" t="s">
        <v>23648</v>
      </c>
      <c r="B18801" s="4" t="s">
        <v>23653</v>
      </c>
      <c r="C18801" s="5" t="str">
        <f>IFERROR(__xludf.DUMMYFUNCTION("GOOGLETRANSLATE(B18801,""en"",""es-ES"")"),"Ella revisa los dientes para ver si están lo suficientemente limpios.")</f>
        <v>Ella revisa los dientes para ver si están lo suficientemente limpios.</v>
      </c>
    </row>
    <row r="18802">
      <c r="A18802" s="4" t="s">
        <v>23648</v>
      </c>
      <c r="B18802" s="4" t="s">
        <v>23654</v>
      </c>
      <c r="C18802" s="5" t="str">
        <f>IFERROR(__xludf.DUMMYFUNCTION("GOOGLETRANSLATE(B18802,""en"",""es-ES"")"),"Mientras continúa cepillando, abre su boca.")</f>
        <v>Mientras continúa cepillando, abre su boca.</v>
      </c>
    </row>
    <row r="18803">
      <c r="A18803" s="4" t="s">
        <v>23648</v>
      </c>
      <c r="B18803" s="4" t="s">
        <v>23655</v>
      </c>
      <c r="C18803" s="5" t="str">
        <f>IFERROR(__xludf.DUMMYFUNCTION("GOOGLETRANSLATE(B18803,""en"",""es-ES"")"),"Parte de la pasta de dientes se cae.")</f>
        <v>Parte de la pasta de dientes se cae.</v>
      </c>
    </row>
    <row r="18804">
      <c r="A18804" s="4" t="s">
        <v>23648</v>
      </c>
      <c r="B18804" s="4" t="s">
        <v>23656</v>
      </c>
      <c r="C18804" s="5" t="str">
        <f>IFERROR(__xludf.DUMMYFUNCTION("GOOGLETRANSLATE(B18804,""en"",""es-ES"")"),"Ella comienza a cepillarse a fondo la lengua.")</f>
        <v>Ella comienza a cepillarse a fondo la lengua.</v>
      </c>
    </row>
    <row r="18805">
      <c r="A18805" s="4" t="s">
        <v>23648</v>
      </c>
      <c r="B18805" s="4" t="s">
        <v>23657</v>
      </c>
      <c r="C18805" s="5" t="str">
        <f>IFERROR(__xludf.DUMMYFUNCTION("GOOGLETRANSLATE(B18805,""en"",""es-ES"")"),"Luego continúa cepillando sus dientes superiores e inferiores nuevamente.")</f>
        <v>Luego continúa cepillando sus dientes superiores e inferiores nuevamente.</v>
      </c>
    </row>
    <row r="18806">
      <c r="A18806" s="4" t="s">
        <v>23648</v>
      </c>
      <c r="B18806" s="4" t="s">
        <v>23658</v>
      </c>
      <c r="C18806" s="5" t="str">
        <f>IFERROR(__xludf.DUMMYFUNCTION("GOOGLETRANSLATE(B18806,""en"",""es-ES"")"),"Luego saca la lengua y la raspa contra sus dientes.")</f>
        <v>Luego saca la lengua y la raspa contra sus dientes.</v>
      </c>
    </row>
    <row r="18807">
      <c r="A18807" s="4" t="s">
        <v>23648</v>
      </c>
      <c r="B18807" s="4" t="s">
        <v>23659</v>
      </c>
      <c r="C18807" s="5" t="str">
        <f>IFERROR(__xludf.DUMMYFUNCTION("GOOGLETRANSLATE(B18807,""en"",""es-ES"")"),"Ella escupe una pasta de dientes.")</f>
        <v>Ella escupe una pasta de dientes.</v>
      </c>
    </row>
    <row r="18808">
      <c r="A18808" s="4" t="s">
        <v>23648</v>
      </c>
      <c r="B18808" s="4" t="s">
        <v>23660</v>
      </c>
      <c r="C18808" s="5" t="str">
        <f>IFERROR(__xludf.DUMMYFUNCTION("GOOGLETRANSLATE(B18808,""en"",""es-ES"")"),"Parte de la pasta de dientes cae en su barbilla, lo que hace que parezca una barba blanca.")</f>
        <v>Parte de la pasta de dientes cae en su barbilla, lo que hace que parezca una barba blanca.</v>
      </c>
    </row>
    <row r="18809">
      <c r="A18809" s="4" t="s">
        <v>23648</v>
      </c>
      <c r="B18809" s="4" t="s">
        <v>23661</v>
      </c>
      <c r="C18809" s="5" t="str">
        <f>IFERROR(__xludf.DUMMYFUNCTION("GOOGLETRANSLATE(B18809,""en"",""es-ES"")"),"Ella finge ser Santa Claus y dice, ho, ho, Feliz Navidad.")</f>
        <v>Ella finge ser Santa Claus y dice, ho, ho, Feliz Navidad.</v>
      </c>
    </row>
    <row r="18810">
      <c r="A18810" s="4" t="s">
        <v>23648</v>
      </c>
      <c r="B18810" s="4" t="s">
        <v>23662</v>
      </c>
      <c r="C18810" s="5" t="str">
        <f>IFERROR(__xludf.DUMMYFUNCTION("GOOGLETRANSLATE(B18810,""en"",""es-ES"")"),"Luego se ríe mientras muestra sus dientes con una amplia sonrisa.")</f>
        <v>Luego se ríe mientras muestra sus dientes con una amplia sonrisa.</v>
      </c>
    </row>
    <row r="18811">
      <c r="A18811" s="4" t="s">
        <v>23663</v>
      </c>
      <c r="B18811" s="4" t="s">
        <v>23664</v>
      </c>
      <c r="C18811" s="5" t="str">
        <f>IFERROR(__xludf.DUMMYFUNCTION("GOOGLETRANSLATE(B18811,""en"",""es-ES"")"),"Se ve a un gran grupo de personas sentados en un círculo y 2 toros de pie en el pozo.")</f>
        <v>Se ve a un gran grupo de personas sentados en un círculo y 2 toros de pie en el pozo.</v>
      </c>
    </row>
    <row r="18812">
      <c r="A18812" s="4" t="s">
        <v>23663</v>
      </c>
      <c r="B18812" s="4" t="s">
        <v>23665</v>
      </c>
      <c r="C18812" s="5" t="str">
        <f>IFERROR(__xludf.DUMMYFUNCTION("GOOGLETRANSLATE(B18812,""en"",""es-ES"")"),"Los animales y la gente continúan caminando unos a otros y conduciendo a los toros que luchan entre sí.")</f>
        <v>Los animales y la gente continúan caminando unos a otros y conduciendo a los toros que luchan entre sí.</v>
      </c>
    </row>
    <row r="18813">
      <c r="A18813" s="4" t="s">
        <v>23666</v>
      </c>
      <c r="B18813" s="4" t="s">
        <v>23667</v>
      </c>
      <c r="C18813" s="5" t="str">
        <f>IFERROR(__xludf.DUMMYFUNCTION("GOOGLETRANSLATE(B18813,""en"",""es-ES"")"),"Aparece un logotipo que la palabra esgrima.")</f>
        <v>Aparece un logotipo que la palabra esgrima.</v>
      </c>
    </row>
    <row r="18814">
      <c r="A18814" s="4" t="s">
        <v>23666</v>
      </c>
      <c r="B18814" s="4" t="s">
        <v>23668</v>
      </c>
      <c r="C18814" s="5" t="str">
        <f>IFERROR(__xludf.DUMMYFUNCTION("GOOGLETRANSLATE(B18814,""en"",""es-ES"")"),"La gente comienza a cercar juntas.")</f>
        <v>La gente comienza a cercar juntas.</v>
      </c>
    </row>
    <row r="18815">
      <c r="A18815" s="4" t="s">
        <v>23666</v>
      </c>
      <c r="B18815" s="4" t="s">
        <v>23669</v>
      </c>
      <c r="C18815" s="5" t="str">
        <f>IFERROR(__xludf.DUMMYFUNCTION("GOOGLETRANSLATE(B18815,""en"",""es-ES"")"),"La gente se prepara hasta la cerca y se les muestra cercas de varias maneras.")</f>
        <v>La gente se prepara hasta la cerca y se les muestra cercas de varias maneras.</v>
      </c>
    </row>
    <row r="18816">
      <c r="A18816" s="4" t="s">
        <v>23670</v>
      </c>
      <c r="B18816" s="4" t="s">
        <v>23671</v>
      </c>
      <c r="C18816" s="5" t="str">
        <f>IFERROR(__xludf.DUMMYFUNCTION("GOOGLETRANSLATE(B18816,""en"",""es-ES"")"),"Se muestra el fondo de un río turbio y luego parpadea al nombre de los resortes.")</f>
        <v>Se muestra el fondo de un río turbio y luego parpadea al nombre de los resortes.</v>
      </c>
    </row>
    <row r="18817">
      <c r="A18817" s="4" t="s">
        <v>23670</v>
      </c>
      <c r="B18817" s="4" t="s">
        <v>23672</v>
      </c>
      <c r="C18817" s="5" t="str">
        <f>IFERROR(__xludf.DUMMYFUNCTION("GOOGLETRANSLATE(B18817,""en"",""es-ES"")"),"Se muestra un grupo de personas y comienzan a obtener flotadores, jugar y flotar por los manantiales.")</f>
        <v>Se muestra un grupo de personas y comienzan a obtener flotadores, jugar y flotar por los manantiales.</v>
      </c>
    </row>
    <row r="18818">
      <c r="A18818" s="4" t="s">
        <v>23670</v>
      </c>
      <c r="B18818" s="4" t="s">
        <v>23673</v>
      </c>
      <c r="C18818" s="5" t="str">
        <f>IFERROR(__xludf.DUMMYFUNCTION("GOOGLETRANSLATE(B18818,""en"",""es-ES"")"),"Dos niños están juntos en las rocas y atrapan una libélula.")</f>
        <v>Dos niños están juntos en las rocas y atrapan una libélula.</v>
      </c>
    </row>
    <row r="18819">
      <c r="A18819" s="4" t="s">
        <v>23670</v>
      </c>
      <c r="B18819" s="4" t="s">
        <v>23674</v>
      </c>
      <c r="C18819" s="5" t="str">
        <f>IFERROR(__xludf.DUMMYFUNCTION("GOOGLETRANSLATE(B18819,""en"",""es-ES"")"),"Después, se muestran varios grupos de personas y un par de flotadores junto con un perro sentado en el regazo del hombre.")</f>
        <v>Después, se muestran varios grupos de personas y un par de flotadores junto con un perro sentado en el regazo del hombre.</v>
      </c>
    </row>
    <row r="18820">
      <c r="A18820" s="4" t="s">
        <v>23675</v>
      </c>
      <c r="B18820" s="4" t="s">
        <v>23676</v>
      </c>
      <c r="C18820" s="5" t="str">
        <f>IFERROR(__xludf.DUMMYFUNCTION("GOOGLETRANSLATE(B18820,""en"",""es-ES"")"),"Primero, el hombre empuja un neumático y él entra dentro de él.")</f>
        <v>Primero, el hombre empuja un neumático y él entra dentro de él.</v>
      </c>
    </row>
    <row r="18821">
      <c r="A18821" s="4" t="s">
        <v>23675</v>
      </c>
      <c r="B18821" s="4" t="s">
        <v>23677</v>
      </c>
      <c r="C18821" s="5" t="str">
        <f>IFERROR(__xludf.DUMMYFUNCTION("GOOGLETRANSLATE(B18821,""en"",""es-ES"")"),"Luego comienza a Hula Hooping dentro del neumático con él alrededor de su cintura.")</f>
        <v>Luego comienza a Hula Hooping dentro del neumático con él alrededor de su cintura.</v>
      </c>
    </row>
    <row r="18822">
      <c r="A18822" s="4" t="s">
        <v>23678</v>
      </c>
      <c r="B18822" s="4" t="s">
        <v>23679</v>
      </c>
      <c r="C18822" s="5" t="str">
        <f>IFERROR(__xludf.DUMMYFUNCTION("GOOGLETRANSLATE(B18822,""en"",""es-ES"")"),"La gente tocando instrumentos está en el escenario.")</f>
        <v>La gente tocando instrumentos está en el escenario.</v>
      </c>
    </row>
    <row r="18823">
      <c r="A18823" s="4" t="s">
        <v>23678</v>
      </c>
      <c r="B18823" s="4" t="s">
        <v>23680</v>
      </c>
      <c r="C18823" s="5" t="str">
        <f>IFERROR(__xludf.DUMMYFUNCTION("GOOGLETRANSLATE(B18823,""en"",""es-ES"")"),"Un hombre con traje camina en el escenario y comienza a hablar.")</f>
        <v>Un hombre con traje camina en el escenario y comienza a hablar.</v>
      </c>
    </row>
    <row r="18824">
      <c r="A18824" s="4" t="s">
        <v>23678</v>
      </c>
      <c r="B18824" s="4" t="s">
        <v>23681</v>
      </c>
      <c r="C18824" s="5" t="str">
        <f>IFERROR(__xludf.DUMMYFUNCTION("GOOGLETRANSLATE(B18824,""en"",""es-ES"")"),"La banda sigue tocando en el fondo.")</f>
        <v>La banda sigue tocando en el fondo.</v>
      </c>
    </row>
    <row r="18825">
      <c r="A18825" s="4" t="s">
        <v>23682</v>
      </c>
      <c r="B18825" s="4" t="s">
        <v>23683</v>
      </c>
      <c r="C18825" s="5" t="str">
        <f>IFERROR(__xludf.DUMMYFUNCTION("GOOGLETRANSLATE(B18825,""en"",""es-ES"")"),"Se ve a una mujer arrodillada en el suelo hablando con la cámara mientras un perro se acuesta a su lado.")</f>
        <v>Se ve a una mujer arrodillada en el suelo hablando con la cámara mientras un perro se acuesta a su lado.</v>
      </c>
    </row>
    <row r="18826">
      <c r="A18826" s="4" t="s">
        <v>23682</v>
      </c>
      <c r="B18826" s="4" t="s">
        <v>23684</v>
      </c>
      <c r="C18826" s="5" t="str">
        <f>IFERROR(__xludf.DUMMYFUNCTION("GOOGLETRANSLATE(B18826,""en"",""es-ES"")"),"Luego se ve a la mujer corriendo jabón y jabón sobre un perro en el fregadero y terminando limpiándolo y mirándolo correr y emocionarse.")</f>
        <v>Luego se ve a la mujer corriendo jabón y jabón sobre un perro en el fregadero y terminando limpiándolo y mirándolo correr y emocionarse.</v>
      </c>
    </row>
    <row r="18827">
      <c r="A18827" s="4" t="s">
        <v>23685</v>
      </c>
      <c r="B18827" s="4" t="s">
        <v>23686</v>
      </c>
      <c r="C18827" s="5" t="str">
        <f>IFERROR(__xludf.DUMMYFUNCTION("GOOGLETRANSLATE(B18827,""en"",""es-ES"")"),"Se muestra a un hombre trabajando en un jardín al aire libre.")</f>
        <v>Se muestra a un hombre trabajando en un jardín al aire libre.</v>
      </c>
    </row>
    <row r="18828">
      <c r="A18828" s="4" t="s">
        <v>23685</v>
      </c>
      <c r="B18828" s="4" t="s">
        <v>23687</v>
      </c>
      <c r="C18828" s="5" t="str">
        <f>IFERROR(__xludf.DUMMYFUNCTION("GOOGLETRANSLATE(B18828,""en"",""es-ES"")"),"Está utilizando herramientas mientras trabaja.")</f>
        <v>Está utilizando herramientas mientras trabaja.</v>
      </c>
    </row>
    <row r="18829">
      <c r="A18829" s="4" t="s">
        <v>23685</v>
      </c>
      <c r="B18829" s="4" t="s">
        <v>23688</v>
      </c>
      <c r="C18829" s="5" t="str">
        <f>IFERROR(__xludf.DUMMYFUNCTION("GOOGLETRANSLATE(B18829,""en"",""es-ES"")"),"Él recorta una larga fila de setos, luego limpia los escombros.")</f>
        <v>Él recorta una larga fila de setos, luego limpia los escombros.</v>
      </c>
    </row>
    <row r="18830">
      <c r="A18830" s="4" t="s">
        <v>23689</v>
      </c>
      <c r="B18830" s="4" t="s">
        <v>23690</v>
      </c>
      <c r="C18830" s="5" t="str">
        <f>IFERROR(__xludf.DUMMYFUNCTION("GOOGLETRANSLATE(B18830,""en"",""es-ES"")"),"Vemos un conjunto de tambores y un hombre de pie detrás de la batería hablando y sosteniendo una bebida.")</f>
        <v>Vemos un conjunto de tambores y un hombre de pie detrás de la batería hablando y sosteniendo una bebida.</v>
      </c>
    </row>
    <row r="18831">
      <c r="A18831" s="4" t="s">
        <v>23689</v>
      </c>
      <c r="B18831" s="4" t="s">
        <v>23691</v>
      </c>
      <c r="C18831" s="5" t="str">
        <f>IFERROR(__xludf.DUMMYFUNCTION("GOOGLETRANSLATE(B18831,""en"",""es-ES"")"),"El hombre bebe de la bebida y la baja.")</f>
        <v>El hombre bebe de la bebida y la baja.</v>
      </c>
    </row>
    <row r="18832">
      <c r="A18832" s="4" t="s">
        <v>23689</v>
      </c>
      <c r="B18832" s="4" t="s">
        <v>23692</v>
      </c>
      <c r="C18832" s="5" t="str">
        <f>IFERROR(__xludf.DUMMYFUNCTION("GOOGLETRANSLATE(B18832,""en"",""es-ES"")"),"El hombre toca la batería con las manos.")</f>
        <v>El hombre toca la batería con las manos.</v>
      </c>
    </row>
    <row r="18833">
      <c r="A18833" s="4" t="s">
        <v>23689</v>
      </c>
      <c r="B18833" s="4" t="s">
        <v>23693</v>
      </c>
      <c r="C18833" s="5" t="str">
        <f>IFERROR(__xludf.DUMMYFUNCTION("GOOGLETRANSLATE(B18833,""en"",""es-ES"")"),"El hombre se detiene y habla antes de volver a tocar la batería.")</f>
        <v>El hombre se detiene y habla antes de volver a tocar la batería.</v>
      </c>
    </row>
    <row r="18834">
      <c r="A18834" s="4" t="s">
        <v>23689</v>
      </c>
      <c r="B18834" s="4" t="s">
        <v>23694</v>
      </c>
      <c r="C18834" s="5" t="str">
        <f>IFERROR(__xludf.DUMMYFUNCTION("GOOGLETRANSLATE(B18834,""en"",""es-ES"")"),"El hombre se para en la batería y bailes.")</f>
        <v>El hombre se para en la batería y bailes.</v>
      </c>
    </row>
    <row r="18835">
      <c r="A18835" s="4" t="s">
        <v>23689</v>
      </c>
      <c r="B18835" s="4" t="s">
        <v>23695</v>
      </c>
      <c r="C18835" s="5" t="str">
        <f>IFERROR(__xludf.DUMMYFUNCTION("GOOGLETRANSLATE(B18835,""en"",""es-ES"")"),"Vemos a dos hombres sentados y el primer hombre aplaude.")</f>
        <v>Vemos a dos hombres sentados y el primer hombre aplaude.</v>
      </c>
    </row>
    <row r="18836">
      <c r="A18836" s="4" t="s">
        <v>23689</v>
      </c>
      <c r="B18836" s="4" t="s">
        <v>23696</v>
      </c>
      <c r="C18836" s="5" t="str">
        <f>IFERROR(__xludf.DUMMYFUNCTION("GOOGLETRANSLATE(B18836,""en"",""es-ES"")"),"Vemos al hombre jugando a las maracas cuando una dama baila cerca, el hombre se detiene y la dama se da vuelta.")</f>
        <v>Vemos al hombre jugando a las maracas cuando una dama baila cerca, el hombre se detiene y la dama se da vuelta.</v>
      </c>
    </row>
    <row r="18837">
      <c r="A18837" s="4" t="s">
        <v>23697</v>
      </c>
      <c r="B18837" s="4" t="s">
        <v>23698</v>
      </c>
      <c r="C18837" s="5" t="str">
        <f>IFERROR(__xludf.DUMMYFUNCTION("GOOGLETRANSLATE(B18837,""en"",""es-ES"")"),"Hay un niño vestido con una camisa negra y pantalones cortos negros en un campo jugando con un palo de hockey.")</f>
        <v>Hay un niño vestido con una camisa negra y pantalones cortos negros en un campo jugando con un palo de hockey.</v>
      </c>
    </row>
    <row r="18838">
      <c r="A18838" s="4" t="s">
        <v>23697</v>
      </c>
      <c r="B18838" s="4" t="s">
        <v>23699</v>
      </c>
      <c r="C18838" s="5" t="str">
        <f>IFERROR(__xludf.DUMMYFUNCTION("GOOGLETRANSLATE(B18838,""en"",""es-ES"")"),"Está golpeando la pelota en la meta con su palo.")</f>
        <v>Está golpeando la pelota en la meta con su palo.</v>
      </c>
    </row>
    <row r="18839">
      <c r="A18839" s="4" t="s">
        <v>23697</v>
      </c>
      <c r="B18839" s="4" t="s">
        <v>23700</v>
      </c>
      <c r="C18839" s="5" t="str">
        <f>IFERROR(__xludf.DUMMYFUNCTION("GOOGLETRANSLATE(B18839,""en"",""es-ES"")"),"Él balancea el palo cuando otra persona le arroja la pelota y se apunta hacia la portería.")</f>
        <v>Él balancea el palo cuando otra persona le arroja la pelota y se apunta hacia la portería.</v>
      </c>
    </row>
    <row r="18840">
      <c r="A18840" s="4" t="s">
        <v>23701</v>
      </c>
      <c r="B18840" s="4" t="s">
        <v>23702</v>
      </c>
      <c r="C18840" s="5" t="str">
        <f>IFERROR(__xludf.DUMMYFUNCTION("GOOGLETRANSLATE(B18840,""en"",""es-ES"")"),"El hombre muestra cómo toca la guitarra.")</f>
        <v>El hombre muestra cómo toca la guitarra.</v>
      </c>
    </row>
    <row r="18841">
      <c r="A18841" s="4" t="s">
        <v>23701</v>
      </c>
      <c r="B18841" s="4" t="s">
        <v>23703</v>
      </c>
      <c r="C18841" s="5" t="str">
        <f>IFERROR(__xludf.DUMMYFUNCTION("GOOGLETRANSLATE(B18841,""en"",""es-ES"")"),"Luego nos muestra cómo toca la flauta.")</f>
        <v>Luego nos muestra cómo toca la flauta.</v>
      </c>
    </row>
    <row r="18842">
      <c r="A18842" s="4" t="s">
        <v>23704</v>
      </c>
      <c r="B18842" s="4" t="s">
        <v>23705</v>
      </c>
      <c r="C18842" s="5" t="str">
        <f>IFERROR(__xludf.DUMMYFUNCTION("GOOGLETRANSLATE(B18842,""en"",""es-ES"")"),"Una mujer y un hombre realizan fitness cardiovascular sosteniendo las manijas de una máquina mientras se ejecuta.")</f>
        <v>Una mujer y un hombre realizan fitness cardiovascular sosteniendo las manijas de una máquina mientras se ejecuta.</v>
      </c>
    </row>
    <row r="18843">
      <c r="A18843" s="4" t="s">
        <v>23704</v>
      </c>
      <c r="B18843" s="4" t="s">
        <v>23706</v>
      </c>
      <c r="C18843" s="5" t="str">
        <f>IFERROR(__xludf.DUMMYFUNCTION("GOOGLETRANSLATE(B18843,""en"",""es-ES"")"),"Una persona ajusta el ángulo del pedal y continúa corriendo.")</f>
        <v>Una persona ajusta el ángulo del pedal y continúa corriendo.</v>
      </c>
    </row>
    <row r="18844">
      <c r="A18844" s="4" t="s">
        <v>23704</v>
      </c>
      <c r="B18844" s="4" t="s">
        <v>23707</v>
      </c>
      <c r="C18844" s="5" t="str">
        <f>IFERROR(__xludf.DUMMYFUNCTION("GOOGLETRANSLATE(B18844,""en"",""es-ES"")"),"La pantalla de la máquina muestra información relevante y muestra el conector de entrada de audio de la máquina y el perfil muscular mientras el hombre y la mujer continúan haciendo ejercicio.")</f>
        <v>La pantalla de la máquina muestra información relevante y muestra el conector de entrada de audio de la máquina y el perfil muscular mientras el hombre y la mujer continúan haciendo ejercicio.</v>
      </c>
    </row>
    <row r="18845">
      <c r="A18845" s="4" t="s">
        <v>23708</v>
      </c>
      <c r="B18845" s="4" t="s">
        <v>23709</v>
      </c>
      <c r="C18845" s="5" t="str">
        <f>IFERROR(__xludf.DUMMYFUNCTION("GOOGLETRANSLATE(B18845,""en"",""es-ES"")"),"Una mujer se inclina sobre un niño, frotando su rostro con una sustancia.")</f>
        <v>Una mujer se inclina sobre un niño, frotando su rostro con una sustancia.</v>
      </c>
    </row>
    <row r="18846">
      <c r="A18846" s="4" t="s">
        <v>23708</v>
      </c>
      <c r="B18846" s="4" t="s">
        <v>23710</v>
      </c>
      <c r="C18846" s="5" t="str">
        <f>IFERROR(__xludf.DUMMYFUNCTION("GOOGLETRANSLATE(B18846,""en"",""es-ES"")"),"Él se ríe y lucha mientras ella continúa.")</f>
        <v>Él se ríe y lucha mientras ella continúa.</v>
      </c>
    </row>
    <row r="18847">
      <c r="A18847" s="4" t="s">
        <v>23708</v>
      </c>
      <c r="B18847" s="4" t="s">
        <v>23711</v>
      </c>
      <c r="C18847" s="5" t="str">
        <f>IFERROR(__xludf.DUMMYFUNCTION("GOOGLETRANSLATE(B18847,""en"",""es-ES"")"),"Él la agarra del cabello, comiendo el trozo de comida que le había estado frotando.")</f>
        <v>Él la agarra del cabello, comiendo el trozo de comida que le había estado frotando.</v>
      </c>
    </row>
    <row r="18848">
      <c r="A18848" s="4" t="s">
        <v>23712</v>
      </c>
      <c r="B18848" s="4" t="s">
        <v>23713</v>
      </c>
      <c r="C18848" s="5" t="str">
        <f>IFERROR(__xludf.DUMMYFUNCTION("GOOGLETRANSLATE(B18848,""en"",""es-ES"")"),"Hay un anciano haciendo Tai Chi en una acera mientras los peatones pasan.")</f>
        <v>Hay un anciano haciendo Tai Chi en una acera mientras los peatones pasan.</v>
      </c>
    </row>
    <row r="18849">
      <c r="A18849" s="4" t="s">
        <v>23712</v>
      </c>
      <c r="B18849" s="4" t="s">
        <v>23714</v>
      </c>
      <c r="C18849" s="5" t="str">
        <f>IFERROR(__xludf.DUMMYFUNCTION("GOOGLETRANSLATE(B18849,""en"",""es-ES"")"),"El hombre continúa haciendo Tai Chi en la acera mientras varias personas caminan junto a él.")</f>
        <v>El hombre continúa haciendo Tai Chi en la acera mientras varias personas caminan junto a él.</v>
      </c>
    </row>
    <row r="18850">
      <c r="A18850" s="4" t="s">
        <v>23712</v>
      </c>
      <c r="B18850" s="4" t="s">
        <v>23715</v>
      </c>
      <c r="C18850" s="5" t="str">
        <f>IFERROR(__xludf.DUMMYFUNCTION("GOOGLETRANSLATE(B18850,""en"",""es-ES"")"),"Luego se para junto a algunos arbustos bien podados y continúa su ejercicio a la intemperie mientras llueve mucho.")</f>
        <v>Luego se para junto a algunos arbustos bien podados y continúa su ejercicio a la intemperie mientras llueve mucho.</v>
      </c>
    </row>
    <row r="18851">
      <c r="A18851" s="4" t="s">
        <v>23712</v>
      </c>
      <c r="B18851" s="4" t="s">
        <v>23716</v>
      </c>
      <c r="C18851" s="5" t="str">
        <f>IFERROR(__xludf.DUMMYFUNCTION("GOOGLETRANSLATE(B18851,""en"",""es-ES"")"),"Luego se lleva la camisa y se va después de terminar con su ejercicio Tai Chi.")</f>
        <v>Luego se lleva la camisa y se va después de terminar con su ejercicio Tai Chi.</v>
      </c>
    </row>
    <row r="18852">
      <c r="A18852" s="4" t="s">
        <v>23717</v>
      </c>
      <c r="B18852" s="4" t="s">
        <v>23718</v>
      </c>
      <c r="C18852" s="5" t="str">
        <f>IFERROR(__xludf.DUMMYFUNCTION("GOOGLETRANSLATE(B18852,""en"",""es-ES"")"),"Se ve a un hombre de pie ante una gran cerca sosteniendo una manguera en aerosol en la mano.")</f>
        <v>Se ve a un hombre de pie ante una gran cerca sosteniendo una manguera en aerosol en la mano.</v>
      </c>
    </row>
    <row r="18853">
      <c r="A18853" s="4" t="s">
        <v>23717</v>
      </c>
      <c r="B18853" s="4" t="s">
        <v>23719</v>
      </c>
      <c r="C18853" s="5" t="str">
        <f>IFERROR(__xludf.DUMMYFUNCTION("GOOGLETRANSLATE(B18853,""en"",""es-ES"")"),"El hombre los aerosoles pinta a lo largo de la pared mientras la cámara captura sus movimientos.")</f>
        <v>El hombre los aerosoles pinta a lo largo de la pared mientras la cámara captura sus movimientos.</v>
      </c>
    </row>
    <row r="18854">
      <c r="A18854" s="4" t="s">
        <v>23717</v>
      </c>
      <c r="B18854" s="4" t="s">
        <v>23720</v>
      </c>
      <c r="C18854" s="5" t="str">
        <f>IFERROR(__xludf.DUMMYFUNCTION("GOOGLETRANSLATE(B18854,""en"",""es-ES"")"),"El hombre continúa rociando la pared mientras la cámara lo sigue desde atrás.")</f>
        <v>El hombre continúa rociando la pared mientras la cámara lo sigue desde atrás.</v>
      </c>
    </row>
    <row r="18855">
      <c r="A18855" s="4" t="s">
        <v>23721</v>
      </c>
      <c r="B18855" s="4" t="s">
        <v>23722</v>
      </c>
      <c r="C18855" s="5" t="str">
        <f>IFERROR(__xludf.DUMMYFUNCTION("GOOGLETRANSLATE(B18855,""en"",""es-ES"")"),"Una chica con un vestido blanco está golpeando una piñata con un bate.")</f>
        <v>Una chica con un vestido blanco está golpeando una piñata con un bate.</v>
      </c>
    </row>
    <row r="18856">
      <c r="A18856" s="4" t="s">
        <v>23721</v>
      </c>
      <c r="B18856" s="4" t="s">
        <v>23723</v>
      </c>
      <c r="C18856" s="5" t="str">
        <f>IFERROR(__xludf.DUMMYFUNCTION("GOOGLETRANSLATE(B18856,""en"",""es-ES"")"),"Un hombre está de pie detrás de ella mirando.")</f>
        <v>Un hombre está de pie detrás de ella mirando.</v>
      </c>
    </row>
    <row r="18857">
      <c r="A18857" s="4" t="s">
        <v>23721</v>
      </c>
      <c r="B18857" s="4" t="s">
        <v>23724</v>
      </c>
      <c r="C18857" s="5" t="str">
        <f>IFERROR(__xludf.DUMMYFUNCTION("GOOGLETRANSLATE(B18857,""en"",""es-ES"")"),"Dos chicas están de pie junto a la casa mirando.")</f>
        <v>Dos chicas están de pie junto a la casa mirando.</v>
      </c>
    </row>
    <row r="18858">
      <c r="A18858" s="4" t="s">
        <v>23725</v>
      </c>
      <c r="B18858" s="4" t="s">
        <v>6939</v>
      </c>
      <c r="C18858" s="5" t="str">
        <f>IFERROR(__xludf.DUMMYFUNCTION("GOOGLETRANSLATE(B18858,""en"",""es-ES"")"),"La gente baila en una pista de baile en una boda.")</f>
        <v>La gente baila en una pista de baile en una boda.</v>
      </c>
    </row>
    <row r="18859">
      <c r="A18859" s="4" t="s">
        <v>23725</v>
      </c>
      <c r="B18859" s="4" t="s">
        <v>23726</v>
      </c>
      <c r="C18859" s="5" t="str">
        <f>IFERROR(__xludf.DUMMYFUNCTION("GOOGLETRANSLATE(B18859,""en"",""es-ES"")"),"Está oscuro en la habitación y se encienden luces coloridas.")</f>
        <v>Está oscuro en la habitación y se encienden luces coloridas.</v>
      </c>
    </row>
    <row r="18860">
      <c r="A18860" s="4" t="s">
        <v>23725</v>
      </c>
      <c r="B18860" s="4" t="s">
        <v>23727</v>
      </c>
      <c r="C18860" s="5" t="str">
        <f>IFERROR(__xludf.DUMMYFUNCTION("GOOGLETRANSLATE(B18860,""en"",""es-ES"")"),"La gente continúa bailando en la pista de baile.")</f>
        <v>La gente continúa bailando en la pista de baile.</v>
      </c>
    </row>
    <row r="18861">
      <c r="A18861" s="4" t="s">
        <v>23728</v>
      </c>
      <c r="B18861" s="4" t="s">
        <v>23729</v>
      </c>
      <c r="C18861" s="5" t="str">
        <f>IFERROR(__xludf.DUMMYFUNCTION("GOOGLETRANSLATE(B18861,""en"",""es-ES"")"),"Un pequeño árbol de Navidad blanco de tamaño mediano está parado frente a dos puertas verdes.")</f>
        <v>Un pequeño árbol de Navidad blanco de tamaño mediano está parado frente a dos puertas verdes.</v>
      </c>
    </row>
    <row r="18862">
      <c r="A18862" s="4" t="s">
        <v>23728</v>
      </c>
      <c r="B18862" s="4" t="s">
        <v>23730</v>
      </c>
      <c r="C18862" s="5" t="str">
        <f>IFERROR(__xludf.DUMMYFUNCTION("GOOGLETRANSLATE(B18862,""en"",""es-ES"")"),"Una señora lleva una bolsa que tiene una ""Flock de enlaces Sno #1"" escrita en ella.")</f>
        <v>Una señora lleva una bolsa que tiene una "Flock de enlaces Sno #1" escrita en ella.</v>
      </c>
    </row>
    <row r="18863">
      <c r="A18863" s="4" t="s">
        <v>23728</v>
      </c>
      <c r="B18863" s="4" t="s">
        <v>23731</v>
      </c>
      <c r="C18863" s="5" t="str">
        <f>IFERROR(__xludf.DUMMYFUNCTION("GOOGLETRANSLATE(B18863,""en"",""es-ES"")"),"La señora puso la bandada de enlaces Sno en un colador y toma una botella de spray de agua.")</f>
        <v>La señora puso la bandada de enlaces Sno en un colador y toma una botella de spray de agua.</v>
      </c>
    </row>
    <row r="18864">
      <c r="A18864" s="4" t="s">
        <v>23728</v>
      </c>
      <c r="B18864" s="4" t="s">
        <v>23732</v>
      </c>
      <c r="C18864" s="5" t="str">
        <f>IFERROR(__xludf.DUMMYFUNCTION("GOOGLETRANSLATE(B18864,""en"",""es-ES"")"),"Ella comenzó a tamizar las cosas blancas en el árbol.")</f>
        <v>Ella comenzó a tamizar las cosas blancas en el árbol.</v>
      </c>
    </row>
    <row r="18865">
      <c r="A18865" s="4" t="s">
        <v>23728</v>
      </c>
      <c r="B18865" s="4" t="s">
        <v>23733</v>
      </c>
      <c r="C18865" s="5" t="str">
        <f>IFERROR(__xludf.DUMMYFUNCTION("GOOGLETRANSLATE(B18865,""en"",""es-ES"")"),"Después de tamizar, rocía el polvo hacia el árbol.")</f>
        <v>Después de tamizar, rocía el polvo hacia el árbol.</v>
      </c>
    </row>
    <row r="18866">
      <c r="A18866" s="4" t="s">
        <v>23734</v>
      </c>
      <c r="B18866" s="4" t="s">
        <v>23735</v>
      </c>
      <c r="C18866" s="5" t="str">
        <f>IFERROR(__xludf.DUMMYFUNCTION("GOOGLETRANSLATE(B18866,""en"",""es-ES"")"),"Un hombre está puliendo el piso con un amortiguador azul.")</f>
        <v>Un hombre está puliendo el piso con un amortiguador azul.</v>
      </c>
    </row>
    <row r="18867">
      <c r="A18867" s="4" t="s">
        <v>23734</v>
      </c>
      <c r="B18867" s="4" t="s">
        <v>23736</v>
      </c>
      <c r="C18867" s="5" t="str">
        <f>IFERROR(__xludf.DUMMYFUNCTION("GOOGLETRANSLATE(B18867,""en"",""es-ES"")"),"Otro hombre se encuentra junto a él mirando.")</f>
        <v>Otro hombre se encuentra junto a él mirando.</v>
      </c>
    </row>
    <row r="18868">
      <c r="A18868" s="4" t="s">
        <v>23734</v>
      </c>
      <c r="B18868" s="4" t="s">
        <v>23737</v>
      </c>
      <c r="C18868" s="5" t="str">
        <f>IFERROR(__xludf.DUMMYFUNCTION("GOOGLETRANSLATE(B18868,""en"",""es-ES"")"),"Él pasa sobre el mosaico con el amortiguador.")</f>
        <v>Él pasa sobre el mosaico con el amortiguador.</v>
      </c>
    </row>
    <row r="18869">
      <c r="A18869" s="4" t="s">
        <v>23738</v>
      </c>
      <c r="B18869" s="4" t="s">
        <v>23739</v>
      </c>
      <c r="C18869" s="5" t="str">
        <f>IFERROR(__xludf.DUMMYFUNCTION("GOOGLETRANSLATE(B18869,""en"",""es-ES"")"),"Se ve a dos hombres sentados en una canoa con bajo movimiento y luego inclina un poco la canoa con una paleta.")</f>
        <v>Se ve a dos hombres sentados en una canoa con bajo movimiento y luego inclina un poco la canoa con una paleta.</v>
      </c>
    </row>
    <row r="18870">
      <c r="A18870" s="4" t="s">
        <v>23738</v>
      </c>
      <c r="B18870" s="4" t="s">
        <v>23740</v>
      </c>
      <c r="C18870" s="5" t="str">
        <f>IFERROR(__xludf.DUMMYFUNCTION("GOOGLETRANSLATE(B18870,""en"",""es-ES"")"),"Los hombres hacen esto varias veces seguido de instrucciones y ubicaciones escritas en texto.")</f>
        <v>Los hombres hacen esto varias veces seguido de instrucciones y ubicaciones escritas en texto.</v>
      </c>
    </row>
    <row r="18871">
      <c r="A18871" s="4" t="s">
        <v>23741</v>
      </c>
      <c r="B18871" s="4" t="s">
        <v>23742</v>
      </c>
      <c r="C18871" s="5" t="str">
        <f>IFERROR(__xludf.DUMMYFUNCTION("GOOGLETRANSLATE(B18871,""en"",""es-ES"")"),"Alguien está montando un caballo a través de un campo cubierto de hierba y se encuentra con otras personas a caballo.")</f>
        <v>Alguien está montando un caballo a través de un campo cubierto de hierba y se encuentra con otras personas a caballo.</v>
      </c>
    </row>
    <row r="18872">
      <c r="A18872" s="4" t="s">
        <v>23741</v>
      </c>
      <c r="B18872" s="4" t="s">
        <v>23743</v>
      </c>
      <c r="C18872" s="5" t="str">
        <f>IFERROR(__xludf.DUMMYFUNCTION("GOOGLETRANSLATE(B18872,""en"",""es-ES"")"),"Pronto vemos que los corredores son parte de un grupo, y seguimos al grupo a través de un estacionamiento y en una corriente.")</f>
        <v>Pronto vemos que los corredores son parte de un grupo, y seguimos al grupo a través de un estacionamiento y en una corriente.</v>
      </c>
    </row>
    <row r="18873">
      <c r="A18873" s="4" t="s">
        <v>23741</v>
      </c>
      <c r="B18873" s="4" t="s">
        <v>23744</v>
      </c>
      <c r="C18873" s="5" t="str">
        <f>IFERROR(__xludf.DUMMYFUNCTION("GOOGLETRANSLATE(B18873,""en"",""es-ES"")"),"Se escuchan vítores de celebración mientras el grupo disfruta de viajar por la corriente.")</f>
        <v>Se escuchan vítores de celebración mientras el grupo disfruta de viajar por la corriente.</v>
      </c>
    </row>
    <row r="18874">
      <c r="A18874" s="4" t="s">
        <v>23741</v>
      </c>
      <c r="B18874" s="4" t="s">
        <v>23745</v>
      </c>
      <c r="C18874" s="5" t="str">
        <f>IFERROR(__xludf.DUMMYFUNCTION("GOOGLETRANSLATE(B18874,""en"",""es-ES"")"),"Luego vemos a un par de jinetes, uno de ellos de pie en su silla de montar.")</f>
        <v>Luego vemos a un par de jinetes, uno de ellos de pie en su silla de montar.</v>
      </c>
    </row>
    <row r="18875">
      <c r="A18875" s="4" t="s">
        <v>23746</v>
      </c>
      <c r="B18875" s="4" t="s">
        <v>23747</v>
      </c>
      <c r="C18875" s="5" t="str">
        <f>IFERROR(__xludf.DUMMYFUNCTION("GOOGLETRANSLATE(B18875,""en"",""es-ES"")"),"Dos chicos que comienzan un partido de lucha libre, el tipo en la camisa trasera gana el primer partido.")</f>
        <v>Dos chicos que comienzan un partido de lucha libre, el tipo en la camisa trasera gana el primer partido.</v>
      </c>
    </row>
    <row r="18876">
      <c r="A18876" s="4" t="s">
        <v>23746</v>
      </c>
      <c r="B18876" s="4" t="s">
        <v>23748</v>
      </c>
      <c r="C18876" s="5" t="str">
        <f>IFERROR(__xludf.DUMMYFUNCTION("GOOGLETRANSLATE(B18876,""en"",""es-ES"")"),"Los hombres cambiaron de manos y comienzan un nuevo partido.")</f>
        <v>Los hombres cambiaron de manos y comienzan un nuevo partido.</v>
      </c>
    </row>
    <row r="18877">
      <c r="A18877" s="4" t="s">
        <v>23746</v>
      </c>
      <c r="B18877" s="4" t="s">
        <v>23749</v>
      </c>
      <c r="C18877" s="5" t="str">
        <f>IFERROR(__xludf.DUMMYFUNCTION("GOOGLETRANSLATE(B18877,""en"",""es-ES"")"),"El partido finalmente fue ganado por el mismo tipo con la camisa trasera.")</f>
        <v>El partido finalmente fue ganado por el mismo tipo con la camisa trasera.</v>
      </c>
    </row>
    <row r="18878">
      <c r="A18878" s="4" t="s">
        <v>23750</v>
      </c>
      <c r="B18878" s="4" t="s">
        <v>23751</v>
      </c>
      <c r="C18878" s="5" t="str">
        <f>IFERROR(__xludf.DUMMYFUNCTION("GOOGLETRANSLATE(B18878,""en"",""es-ES"")"),"Un primer plano de un piano es visto por una persona que camina hacia el marco.")</f>
        <v>Un primer plano de un piano es visto por una persona que camina hacia el marco.</v>
      </c>
    </row>
    <row r="18879">
      <c r="A18879" s="4" t="s">
        <v>23750</v>
      </c>
      <c r="B18879" s="4" t="s">
        <v>23752</v>
      </c>
      <c r="C18879" s="5" t="str">
        <f>IFERROR(__xludf.DUMMYFUNCTION("GOOGLETRANSLATE(B18879,""en"",""es-ES"")"),"La persona luego estira las uñas y comienza a tocar el piano.")</f>
        <v>La persona luego estira las uñas y comienza a tocar el piano.</v>
      </c>
    </row>
    <row r="18880">
      <c r="A18880" s="4" t="s">
        <v>23750</v>
      </c>
      <c r="B18880" s="4" t="s">
        <v>23753</v>
      </c>
      <c r="C18880" s="5" t="str">
        <f>IFERROR(__xludf.DUMMYFUNCTION("GOOGLETRANSLATE(B18880,""en"",""es-ES"")"),"La persona continúa tocando en el instrumento y se detiene para apagar la cámara.")</f>
        <v>La persona continúa tocando en el instrumento y se detiene para apagar la cámara.</v>
      </c>
    </row>
    <row r="18881">
      <c r="A18881" s="4" t="s">
        <v>23754</v>
      </c>
      <c r="B18881" s="4" t="s">
        <v>23755</v>
      </c>
      <c r="C18881" s="5" t="str">
        <f>IFERROR(__xludf.DUMMYFUNCTION("GOOGLETRANSLATE(B18881,""en"",""es-ES"")"),"Los hombres que montan los caballos están jugando polo en el campo.")</f>
        <v>Los hombres que montan los caballos están jugando polo en el campo.</v>
      </c>
    </row>
    <row r="18882">
      <c r="A18882" s="4" t="s">
        <v>23754</v>
      </c>
      <c r="B18882" s="4" t="s">
        <v>23756</v>
      </c>
      <c r="C18882" s="5" t="str">
        <f>IFERROR(__xludf.DUMMYFUNCTION("GOOGLETRANSLATE(B18882,""en"",""es-ES"")"),"Los hombres persiguen la pelota y golpean con mazo.")</f>
        <v>Los hombres persiguen la pelota y golpean con mazo.</v>
      </c>
    </row>
    <row r="18883">
      <c r="A18883" s="4" t="s">
        <v>23754</v>
      </c>
      <c r="B18883" s="4" t="s">
        <v>23757</v>
      </c>
      <c r="C18883" s="5" t="str">
        <f>IFERROR(__xludf.DUMMYFUNCTION("GOOGLETRANSLATE(B18883,""en"",""es-ES"")"),"Un jugador golpeó la pelota y luego corrió tras él, detrás de él hay otros jugadores.")</f>
        <v>Un jugador golpeó la pelota y luego corrió tras él, detrás de él hay otros jugadores.</v>
      </c>
    </row>
    <row r="18884">
      <c r="A18884" s="4" t="s">
        <v>23758</v>
      </c>
      <c r="B18884" s="4" t="s">
        <v>23759</v>
      </c>
      <c r="C18884" s="5" t="str">
        <f>IFERROR(__xludf.DUMMYFUNCTION("GOOGLETRANSLATE(B18884,""en"",""es-ES"")"),"Una multitud de personas miran mientras dos toros luchan entre sí en una competencia.")</f>
        <v>Una multitud de personas miran mientras dos toros luchan entre sí en una competencia.</v>
      </c>
    </row>
    <row r="18885">
      <c r="A18885" s="4" t="s">
        <v>23758</v>
      </c>
      <c r="B18885" s="4" t="s">
        <v>23760</v>
      </c>
      <c r="C18885" s="5" t="str">
        <f>IFERROR(__xludf.DUMMYFUNCTION("GOOGLETRANSLATE(B18885,""en"",""es-ES"")"),"La cámara se desplaza para mostrar a muchas personas en la multitud viendo el programa.")</f>
        <v>La cámara se desplaza para mostrar a muchas personas en la multitud viendo el programa.</v>
      </c>
    </row>
    <row r="18886">
      <c r="A18886" s="4" t="s">
        <v>23758</v>
      </c>
      <c r="B18886" s="4" t="s">
        <v>23761</v>
      </c>
      <c r="C18886" s="5" t="str">
        <f>IFERROR(__xludf.DUMMYFUNCTION("GOOGLETRANSLATE(B18886,""en"",""es-ES"")"),"Un hombre camina por la cámara.")</f>
        <v>Un hombre camina por la cámara.</v>
      </c>
    </row>
    <row r="18887">
      <c r="A18887" s="4" t="s">
        <v>23758</v>
      </c>
      <c r="B18887" s="4" t="s">
        <v>23762</v>
      </c>
      <c r="C18887" s="5" t="str">
        <f>IFERROR(__xludf.DUMMYFUNCTION("GOOGLETRANSLATE(B18887,""en"",""es-ES"")"),"Varias personas se están acercando al toro tratando de captar la acción.")</f>
        <v>Varias personas se están acercando al toro tratando de captar la acción.</v>
      </c>
    </row>
    <row r="18888">
      <c r="A18888" s="4" t="s">
        <v>23758</v>
      </c>
      <c r="B18888" s="4" t="s">
        <v>23763</v>
      </c>
      <c r="C18888" s="5" t="str">
        <f>IFERROR(__xludf.DUMMYFUNCTION("GOOGLETRANSLATE(B18888,""en"",""es-ES"")"),"Los toros comienzan a perseguirse alrededor del campo.")</f>
        <v>Los toros comienzan a perseguirse alrededor del campo.</v>
      </c>
    </row>
    <row r="18889">
      <c r="A18889" s="4" t="s">
        <v>23764</v>
      </c>
      <c r="B18889" s="4" t="s">
        <v>23765</v>
      </c>
      <c r="C18889" s="5" t="str">
        <f>IFERROR(__xludf.DUMMYFUNCTION("GOOGLETRANSLATE(B18889,""en"",""es-ES"")"),"Se muestran varios disparos de personas deambulando por una playa que conducen a clips de un partido de fútbol y personas que celebran.")</f>
        <v>Se muestran varios disparos de personas deambulando por una playa que conducen a clips de un partido de fútbol y personas que celebran.</v>
      </c>
    </row>
    <row r="18890">
      <c r="A18890" s="4" t="s">
        <v>23764</v>
      </c>
      <c r="B18890" s="4" t="s">
        <v>23766</v>
      </c>
      <c r="C18890" s="5" t="str">
        <f>IFERROR(__xludf.DUMMYFUNCTION("GOOGLETRANSLATE(B18890,""en"",""es-ES"")"),"Se ve a más personas bailando, así como jugar fútbol y hacer un gesto a la cámara.")</f>
        <v>Se ve a más personas bailando, así como jugar fútbol y hacer un gesto a la cámara.</v>
      </c>
    </row>
    <row r="18891">
      <c r="A18891" s="4" t="s">
        <v>23767</v>
      </c>
      <c r="B18891" s="4" t="s">
        <v>23768</v>
      </c>
      <c r="C18891" s="5" t="str">
        <f>IFERROR(__xludf.DUMMYFUNCTION("GOOGLETRANSLATE(B18891,""en"",""es-ES"")"),"Un perro que le falta las piernas delanteras camina por un césped.")</f>
        <v>Un perro que le falta las piernas delanteras camina por un césped.</v>
      </c>
    </row>
    <row r="18892">
      <c r="A18892" s="4" t="s">
        <v>23767</v>
      </c>
      <c r="B18892" s="4" t="s">
        <v>23769</v>
      </c>
      <c r="C18892" s="5" t="str">
        <f>IFERROR(__xludf.DUMMYFUNCTION("GOOGLETRANSLATE(B18892,""en"",""es-ES"")"),"Está siguiendo al camarógrafo, luego se rompe en una carrera de salto.")</f>
        <v>Está siguiendo al camarógrafo, luego se rompe en una carrera de salto.</v>
      </c>
    </row>
    <row r="18893">
      <c r="A18893" s="4" t="s">
        <v>23767</v>
      </c>
      <c r="B18893" s="4" t="s">
        <v>23770</v>
      </c>
      <c r="C18893" s="5" t="str">
        <f>IFERROR(__xludf.DUMMYFUNCTION("GOOGLETRANSLATE(B18893,""en"",""es-ES"")"),"Regresa y hace lo mismo de nuevo.")</f>
        <v>Regresa y hace lo mismo de nuevo.</v>
      </c>
    </row>
    <row r="18894">
      <c r="A18894" s="4" t="s">
        <v>23771</v>
      </c>
      <c r="B18894" s="4" t="s">
        <v>23772</v>
      </c>
      <c r="C18894" s="5" t="str">
        <f>IFERROR(__xludf.DUMMYFUNCTION("GOOGLETRANSLATE(B18894,""en"",""es-ES"")"),"Un hombre con ropa de clima frío es kayak en un río.")</f>
        <v>Un hombre con ropa de clima frío es kayak en un río.</v>
      </c>
    </row>
    <row r="18895">
      <c r="A18895" s="4" t="s">
        <v>23771</v>
      </c>
      <c r="B18895" s="4" t="s">
        <v>23773</v>
      </c>
      <c r="C18895" s="5" t="str">
        <f>IFERROR(__xludf.DUMMYFUNCTION("GOOGLETRANSLATE(B18895,""en"",""es-ES"")"),"El disparo sale de mostrar varios kayaks, y el hombre atrapó en una pequeña cascada.")</f>
        <v>El disparo sale de mostrar varios kayaks, y el hombre atrapó en una pequeña cascada.</v>
      </c>
    </row>
    <row r="18896">
      <c r="A18896" s="4" t="s">
        <v>23771</v>
      </c>
      <c r="B18896" s="4" t="s">
        <v>23774</v>
      </c>
      <c r="C18896" s="5" t="str">
        <f>IFERROR(__xludf.DUMMYFUNCTION("GOOGLETRANSLATE(B18896,""en"",""es-ES"")"),"Finalmente se desprende, alejándose de las cataratas.")</f>
        <v>Finalmente se desprende, alejándose de las cataratas.</v>
      </c>
    </row>
    <row r="18897">
      <c r="A18897" s="4" t="s">
        <v>23775</v>
      </c>
      <c r="B18897" s="4" t="s">
        <v>23776</v>
      </c>
      <c r="C18897" s="5" t="str">
        <f>IFERROR(__xludf.DUMMYFUNCTION("GOOGLETRANSLATE(B18897,""en"",""es-ES"")"),"Un perro huele los pies de un hombre y una mujer.")</f>
        <v>Un perro huele los pies de un hombre y una mujer.</v>
      </c>
    </row>
    <row r="18898">
      <c r="A18898" s="4" t="s">
        <v>23775</v>
      </c>
      <c r="B18898" s="4" t="s">
        <v>23777</v>
      </c>
      <c r="C18898" s="5" t="str">
        <f>IFERROR(__xludf.DUMMYFUNCTION("GOOGLETRANSLATE(B18898,""en"",""es-ES"")"),"La pareja camina al perro hasta un lago.")</f>
        <v>La pareja camina al perro hasta un lago.</v>
      </c>
    </row>
    <row r="18899">
      <c r="A18899" s="4" t="s">
        <v>23775</v>
      </c>
      <c r="B18899" s="4" t="s">
        <v>23778</v>
      </c>
      <c r="C18899" s="5" t="str">
        <f>IFERROR(__xludf.DUMMYFUNCTION("GOOGLETRANSLATE(B18899,""en"",""es-ES"")"),"Hay otros dueños y perros, y juegan en el borde del agua.")</f>
        <v>Hay otros dueños y perros, y juegan en el borde del agua.</v>
      </c>
    </row>
    <row r="18900">
      <c r="A18900" s="4" t="s">
        <v>23779</v>
      </c>
      <c r="B18900" s="4" t="s">
        <v>23780</v>
      </c>
      <c r="C18900" s="5" t="str">
        <f>IFERROR(__xludf.DUMMYFUNCTION("GOOGLETRANSLATE(B18900,""en"",""es-ES"")"),"Se ve a una niña sonriendo y saludando a la cámara seguida de ella sosteniendo una lente de contacto y un limpiador.")</f>
        <v>Se ve a una niña sonriendo y saludando a la cámara seguida de ella sosteniendo una lente de contacto y un limpiador.</v>
      </c>
    </row>
    <row r="18901">
      <c r="A18901" s="4" t="s">
        <v>23779</v>
      </c>
      <c r="B18901" s="4" t="s">
        <v>23781</v>
      </c>
      <c r="C18901" s="5" t="str">
        <f>IFERROR(__xludf.DUMMYFUNCTION("GOOGLETRANSLATE(B18901,""en"",""es-ES"")"),"Ella mezcla los dos seguidos de poner la lente de contacto en sus ojos.")</f>
        <v>Ella mezcla los dos seguidos de poner la lente de contacto en sus ojos.</v>
      </c>
    </row>
    <row r="18902">
      <c r="A18902" s="4" t="s">
        <v>23779</v>
      </c>
      <c r="B18902" s="4" t="s">
        <v>23782</v>
      </c>
      <c r="C18902" s="5" t="str">
        <f>IFERROR(__xludf.DUMMYFUNCTION("GOOGLETRANSLATE(B18902,""en"",""es-ES"")"),"Finalmente muestra sus ojos al final y le da a la cámara un pulgar hacia arriba.")</f>
        <v>Finalmente muestra sus ojos al final y le da a la cámara un pulgar hacia arriba.</v>
      </c>
    </row>
    <row r="18903">
      <c r="A18903" s="4" t="s">
        <v>23783</v>
      </c>
      <c r="B18903" s="4" t="s">
        <v>23784</v>
      </c>
      <c r="C18903" s="5" t="str">
        <f>IFERROR(__xludf.DUMMYFUNCTION("GOOGLETRANSLATE(B18903,""en"",""es-ES"")"),"Hay dos hombres en interiores y jugando racquetball en una cancha interior, ya que rápidamente golpean la pelota contra la pared y se turnan.")</f>
        <v>Hay dos hombres en interiores y jugando racquetball en una cancha interior, ya que rápidamente golpean la pelota contra la pared y se turnan.</v>
      </c>
    </row>
    <row r="18904">
      <c r="A18904" s="4" t="s">
        <v>23783</v>
      </c>
      <c r="B18904" s="4" t="s">
        <v>23785</v>
      </c>
      <c r="C18904" s="5" t="str">
        <f>IFERROR(__xludf.DUMMYFUNCTION("GOOGLETRANSLATE(B18904,""en"",""es-ES"")"),"Uno de los hombres que usan una camisa verde se ve con enojo a la cámara y arroja la raqueta a la cámara.")</f>
        <v>Uno de los hombres que usan una camisa verde se ve con enojo a la cámara y arroja la raqueta a la cámara.</v>
      </c>
    </row>
    <row r="18905">
      <c r="A18905" s="4" t="s">
        <v>23783</v>
      </c>
      <c r="B18905" s="4" t="s">
        <v>23786</v>
      </c>
      <c r="C18905" s="5" t="str">
        <f>IFERROR(__xludf.DUMMYFUNCTION("GOOGLETRANSLATE(B18905,""en"",""es-ES"")"),"La persona de la cámara gira la cámara hacia sí misma y él está corriendo y riendo mientras mira en la cámara.")</f>
        <v>La persona de la cámara gira la cámara hacia sí misma y él está corriendo y riendo mientras mira en la cámara.</v>
      </c>
    </row>
    <row r="18906">
      <c r="A18906" s="4" t="s">
        <v>23787</v>
      </c>
      <c r="B18906" s="4" t="s">
        <v>23788</v>
      </c>
      <c r="C18906" s="5" t="str">
        <f>IFERROR(__xludf.DUMMYFUNCTION("GOOGLETRANSLATE(B18906,""en"",""es-ES"")"),"Varios ingredientes se colocan en un mostrador y se mezclan en un tazón.")</f>
        <v>Varios ingredientes se colocan en un mostrador y se mezclan en un tazón.</v>
      </c>
    </row>
    <row r="18907">
      <c r="A18907" s="4" t="s">
        <v>23787</v>
      </c>
      <c r="B18907" s="4" t="s">
        <v>23789</v>
      </c>
      <c r="C18907" s="5" t="str">
        <f>IFERROR(__xludf.DUMMYFUNCTION("GOOGLETRANSLATE(B18907,""en"",""es-ES"")"),"Luego se muestra a la persona colocando bolas de masa en el horno y presionando un botón.")</f>
        <v>Luego se muestra a la persona colocando bolas de masa en el horno y presionando un botón.</v>
      </c>
    </row>
    <row r="18908">
      <c r="A18908" s="4" t="s">
        <v>23787</v>
      </c>
      <c r="B18908" s="4" t="s">
        <v>23790</v>
      </c>
      <c r="C18908" s="5" t="str">
        <f>IFERROR(__xludf.DUMMYFUNCTION("GOOGLETRANSLATE(B18908,""en"",""es-ES"")"),"Luego, la persona saca las galletas y desaparece, todo en la animación de parada.")</f>
        <v>Luego, la persona saca las galletas y desaparece, todo en la animación de parada.</v>
      </c>
    </row>
    <row r="18909">
      <c r="A18909" s="4" t="s">
        <v>23791</v>
      </c>
      <c r="B18909" s="4" t="s">
        <v>23792</v>
      </c>
      <c r="C18909" s="5" t="str">
        <f>IFERROR(__xludf.DUMMYFUNCTION("GOOGLETRANSLATE(B18909,""en"",""es-ES"")"),"Se ve a un hombre hablando con la cámara mientras una foto de una persona que juega baloncesto se ha retrasado.")</f>
        <v>Se ve a un hombre hablando con la cámara mientras una foto de una persona que juega baloncesto se ha retrasado.</v>
      </c>
    </row>
    <row r="18910">
      <c r="A18910" s="4" t="s">
        <v>23791</v>
      </c>
      <c r="B18910" s="4" t="s">
        <v>23793</v>
      </c>
      <c r="C18910" s="5" t="str">
        <f>IFERROR(__xludf.DUMMYFUNCTION("GOOGLETRANSLATE(B18910,""en"",""es-ES"")"),"El hombre continúa hablando a medida que se muestran más tiros del niño que juega baloncesto.")</f>
        <v>El hombre continúa hablando a medida que se muestran más tiros del niño que juega baloncesto.</v>
      </c>
    </row>
    <row r="18911">
      <c r="A18911" s="4" t="s">
        <v>23791</v>
      </c>
      <c r="B18911" s="4" t="s">
        <v>23794</v>
      </c>
      <c r="C18911" s="5" t="str">
        <f>IFERROR(__xludf.DUMMYFUNCTION("GOOGLETRANSLATE(B18911,""en"",""es-ES"")"),"El hombre continúa hablando y termina con texto en la pantalla.")</f>
        <v>El hombre continúa hablando y termina con texto en la pantalla.</v>
      </c>
    </row>
    <row r="18912">
      <c r="A18912" s="4" t="s">
        <v>23795</v>
      </c>
      <c r="B18912" s="4" t="s">
        <v>23796</v>
      </c>
      <c r="C18912" s="5" t="str">
        <f>IFERROR(__xludf.DUMMYFUNCTION("GOOGLETRANSLATE(B18912,""en"",""es-ES"")"),"Un nadador profesional se limpia los ojos antes de participar en la competencia.")</f>
        <v>Un nadador profesional se limpia los ojos antes de participar en la competencia.</v>
      </c>
    </row>
    <row r="18913">
      <c r="A18913" s="4" t="s">
        <v>23795</v>
      </c>
      <c r="B18913" s="4" t="s">
        <v>23797</v>
      </c>
      <c r="C18913" s="5" t="str">
        <f>IFERROR(__xludf.DUMMYFUNCTION("GOOGLETRANSLATE(B18913,""en"",""es-ES"")"),"Se despega, nadando mientras trata de vencer a los dos competidores a ambos lados de él.")</f>
        <v>Se despega, nadando mientras trata de vencer a los dos competidores a ambos lados de él.</v>
      </c>
    </row>
    <row r="18914">
      <c r="A18914" s="4" t="s">
        <v>23798</v>
      </c>
      <c r="B18914" s="4" t="s">
        <v>23799</v>
      </c>
      <c r="C18914" s="5" t="str">
        <f>IFERROR(__xludf.DUMMYFUNCTION("GOOGLETRANSLATE(B18914,""en"",""es-ES"")"),"Una gimnasta se prepara y se extiende antes de un evento.")</f>
        <v>Una gimnasta se prepara y se extiende antes de un evento.</v>
      </c>
    </row>
    <row r="18915">
      <c r="A18915" s="4" t="s">
        <v>23798</v>
      </c>
      <c r="B18915" s="4" t="s">
        <v>23800</v>
      </c>
      <c r="C18915" s="5" t="str">
        <f>IFERROR(__xludf.DUMMYFUNCTION("GOOGLETRANSLATE(B18915,""en"",""es-ES"")"),"La gimnasta corre y luego cae por una plataforma durante un juego olímpico que finalmente aterriza en una alfombra acolchada.")</f>
        <v>La gimnasta corre y luego cae por una plataforma durante un juego olímpico que finalmente aterriza en una alfombra acolchada.</v>
      </c>
    </row>
    <row r="18916">
      <c r="A18916" s="4" t="s">
        <v>23798</v>
      </c>
      <c r="B18916" s="4" t="s">
        <v>23801</v>
      </c>
      <c r="C18916" s="5" t="str">
        <f>IFERROR(__xludf.DUMMYFUNCTION("GOOGLETRANSLATE(B18916,""en"",""es-ES"")"),"Una gran multitud aplaude la actuación.")</f>
        <v>Una gran multitud aplaude la actuación.</v>
      </c>
    </row>
    <row r="18917">
      <c r="A18917" s="4" t="s">
        <v>23798</v>
      </c>
      <c r="B18917" s="4" t="s">
        <v>23802</v>
      </c>
      <c r="C18917" s="5" t="str">
        <f>IFERROR(__xludf.DUMMYFUNCTION("GOOGLETRANSLATE(B18917,""en"",""es-ES"")"),"Otras gimnastas miran y asienten con la aprobación.")</f>
        <v>Otras gimnastas miran y asienten con la aprobación.</v>
      </c>
    </row>
    <row r="18918">
      <c r="A18918" s="4" t="s">
        <v>23798</v>
      </c>
      <c r="B18918" s="4" t="s">
        <v>23803</v>
      </c>
      <c r="C18918" s="5" t="str">
        <f>IFERROR(__xludf.DUMMYFUNCTION("GOOGLETRANSLATE(B18918,""en"",""es-ES"")"),"Una repetición muestra el rendimiento de las gimnastas en cámara lenta.")</f>
        <v>Una repetición muestra el rendimiento de las gimnastas en cámara lenta.</v>
      </c>
    </row>
    <row r="18919">
      <c r="A18919" s="4" t="s">
        <v>23798</v>
      </c>
      <c r="B18919" s="4" t="s">
        <v>23804</v>
      </c>
      <c r="C18919" s="5" t="str">
        <f>IFERROR(__xludf.DUMMYFUNCTION("GOOGLETRANSLATE(B18919,""en"",""es-ES"")"),"La gimnasta se sienta con su entrenador y es felicitado.")</f>
        <v>La gimnasta se sienta con su entrenador y es felicitado.</v>
      </c>
    </row>
    <row r="18920">
      <c r="A18920" s="4" t="s">
        <v>23805</v>
      </c>
      <c r="B18920" s="4" t="s">
        <v>23806</v>
      </c>
      <c r="C18920" s="5" t="str">
        <f>IFERROR(__xludf.DUMMYFUNCTION("GOOGLETRANSLATE(B18920,""en"",""es-ES"")"),"Se ve un primer plano de un caballo de pie en un área cercada.")</f>
        <v>Se ve un primer plano de un caballo de pie en un área cercada.</v>
      </c>
    </row>
    <row r="18921">
      <c r="A18921" s="4" t="s">
        <v>23805</v>
      </c>
      <c r="B18921" s="4" t="s">
        <v>23807</v>
      </c>
      <c r="C18921" s="5" t="str">
        <f>IFERROR(__xludf.DUMMYFUNCTION("GOOGLETRANSLATE(B18921,""en"",""es-ES"")"),"Luego se ve a una persona cepillando el caballo desde un lado.")</f>
        <v>Luego se ve a una persona cepillando el caballo desde un lado.</v>
      </c>
    </row>
    <row r="18922">
      <c r="A18922" s="4" t="s">
        <v>23805</v>
      </c>
      <c r="B18922" s="4" t="s">
        <v>23808</v>
      </c>
      <c r="C18922" s="5" t="str">
        <f>IFERROR(__xludf.DUMMYFUNCTION("GOOGLETRANSLATE(B18922,""en"",""es-ES"")"),"La persona continúa cepillando como se muestra un primer plano del caballo.")</f>
        <v>La persona continúa cepillando como se muestra un primer plano del caballo.</v>
      </c>
    </row>
    <row r="18923">
      <c r="A18923" s="4" t="s">
        <v>23809</v>
      </c>
      <c r="B18923" s="4" t="s">
        <v>23810</v>
      </c>
      <c r="C18923" s="5" t="str">
        <f>IFERROR(__xludf.DUMMYFUNCTION("GOOGLETRANSLATE(B18923,""en"",""es-ES"")"),"Las manos de una persona se ven lugares en medio de un papel y comienza a dibujar a lo largo de la imagen.")</f>
        <v>Las manos de una persona se ven lugares en medio de un papel y comienza a dibujar a lo largo de la imagen.</v>
      </c>
    </row>
    <row r="18924">
      <c r="A18924" s="4" t="s">
        <v>23809</v>
      </c>
      <c r="B18924" s="4" t="s">
        <v>23811</v>
      </c>
      <c r="C18924" s="5" t="str">
        <f>IFERROR(__xludf.DUMMYFUNCTION("GOOGLETRANSLATE(B18924,""en"",""es-ES"")"),"Luego, la persona pinta un árbol grande mientras se mueve rápidamente sobre la pintura.")</f>
        <v>Luego, la persona pinta un árbol grande mientras se mueve rápidamente sobre la pintura.</v>
      </c>
    </row>
    <row r="18925">
      <c r="A18925" s="4" t="s">
        <v>23809</v>
      </c>
      <c r="B18925" s="4" t="s">
        <v>23812</v>
      </c>
      <c r="C18925" s="5" t="str">
        <f>IFERROR(__xludf.DUMMYFUNCTION("GOOGLETRANSLATE(B18925,""en"",""es-ES"")"),"La persona termina la pintura y firma su nombre y muestra una imagen de sí misma.")</f>
        <v>La persona termina la pintura y firma su nombre y muestra una imagen de sí misma.</v>
      </c>
    </row>
    <row r="18926">
      <c r="A18926" s="4" t="s">
        <v>23813</v>
      </c>
      <c r="B18926" s="4" t="s">
        <v>23814</v>
      </c>
      <c r="C18926" s="5" t="str">
        <f>IFERROR(__xludf.DUMMYFUNCTION("GOOGLETRANSLATE(B18926,""en"",""es-ES"")"),"Aparece una pantalla negra con palabras blancas leyendo, Winter Sedona, AZ.")</f>
        <v>Aparece una pantalla negra con palabras blancas leyendo, Winter Sedona, AZ.</v>
      </c>
    </row>
    <row r="18927">
      <c r="A18927" s="4" t="s">
        <v>23813</v>
      </c>
      <c r="B18927" s="4" t="s">
        <v>23815</v>
      </c>
      <c r="C18927" s="5" t="str">
        <f>IFERROR(__xludf.DUMMYFUNCTION("GOOGLETRANSLATE(B18927,""en"",""es-ES"")"),"Un hombre comienza a caminar a través de un campo de árboles y arbustos, con un sombrero amarillo, cárdigan, botas y una bolsa.")</f>
        <v>Un hombre comienza a caminar a través de un campo de árboles y arbustos, con un sombrero amarillo, cárdigan, botas y una bolsa.</v>
      </c>
    </row>
    <row r="18928">
      <c r="A18928" s="4" t="s">
        <v>23813</v>
      </c>
      <c r="B18928" s="4" t="s">
        <v>23816</v>
      </c>
      <c r="C18928" s="5" t="str">
        <f>IFERROR(__xludf.DUMMYFUNCTION("GOOGLETRANSLATE(B18928,""en"",""es-ES"")"),"Luego se detiene y comienza a tocar una grabadora de madera.")</f>
        <v>Luego se detiene y comienza a tocar una grabadora de madera.</v>
      </c>
    </row>
    <row r="18929">
      <c r="A18929" s="4" t="s">
        <v>23813</v>
      </c>
      <c r="B18929" s="4" t="s">
        <v>23817</v>
      </c>
      <c r="C18929" s="5" t="str">
        <f>IFERROR(__xludf.DUMMYFUNCTION("GOOGLETRANSLATE(B18929,""en"",""es-ES"")"),"La cámara se acerca y continúa jugando la grabadora y se muestran varias formas del paisaje circundante.")</f>
        <v>La cámara se acerca y continúa jugando la grabadora y se muestran varias formas del paisaje circundante.</v>
      </c>
    </row>
    <row r="18930">
      <c r="A18930" s="4" t="s">
        <v>23818</v>
      </c>
      <c r="B18930" s="4" t="s">
        <v>23819</v>
      </c>
      <c r="C18930" s="5" t="str">
        <f>IFERROR(__xludf.DUMMYFUNCTION("GOOGLETRANSLATE(B18930,""en"",""es-ES"")"),"La cámara se mueve sobre dos autos estacionados en la calle uno frente al otro.")</f>
        <v>La cámara se mueve sobre dos autos estacionados en la calle uno frente al otro.</v>
      </c>
    </row>
    <row r="18931">
      <c r="A18931" s="4" t="s">
        <v>23818</v>
      </c>
      <c r="B18931" s="4" t="s">
        <v>23820</v>
      </c>
      <c r="C18931" s="5" t="str">
        <f>IFERROR(__xludf.DUMMYFUNCTION("GOOGLETRANSLATE(B18931,""en"",""es-ES"")"),"Luego se ve a un joven montando un tractor a lo largo del césped para cortar la hierba y se mueve alrededor del camarógrafo.")</f>
        <v>Luego se ve a un joven montando un tractor a lo largo del césped para cortar la hierba y se mueve alrededor del camarógrafo.</v>
      </c>
    </row>
    <row r="18932">
      <c r="A18932" s="4" t="s">
        <v>23821</v>
      </c>
      <c r="B18932" s="4" t="s">
        <v>23822</v>
      </c>
      <c r="C18932" s="5" t="str">
        <f>IFERROR(__xludf.DUMMYFUNCTION("GOOGLETRANSLATE(B18932,""en"",""es-ES"")"),"Cinco personas que transportan patinetas caminan hacia la luz.")</f>
        <v>Cinco personas que transportan patinetas caminan hacia la luz.</v>
      </c>
    </row>
    <row r="18933">
      <c r="A18933" s="4" t="s">
        <v>23821</v>
      </c>
      <c r="B18933" s="4" t="s">
        <v>23823</v>
      </c>
      <c r="C18933" s="5" t="str">
        <f>IFERROR(__xludf.DUMMYFUNCTION("GOOGLETRANSLATE(B18933,""en"",""es-ES"")"),"Los jóvenes están patinando en una subdivisión mientras se sientan usando sus manos como un descanso.")</f>
        <v>Los jóvenes están patinando en una subdivisión mientras se sientan usando sus manos como un descanso.</v>
      </c>
    </row>
    <row r="18934">
      <c r="A18934" s="4" t="s">
        <v>23821</v>
      </c>
      <c r="B18934" s="4" t="s">
        <v>23824</v>
      </c>
      <c r="C18934" s="5" t="str">
        <f>IFERROR(__xludf.DUMMYFUNCTION("GOOGLETRANSLATE(B18934,""en"",""es-ES"")"),"Los jóvenes patinan en una rampa, luego hasta el estacionamiento, luego a la subdivisión, uno de los patinetas se cayó de sus patinetas.")</f>
        <v>Los jóvenes patinan en una rampa, luego hasta el estacionamiento, luego a la subdivisión, uno de los patinetas se cayó de sus patinetas.</v>
      </c>
    </row>
    <row r="18935">
      <c r="A18935" s="4" t="s">
        <v>23825</v>
      </c>
      <c r="B18935" s="4" t="s">
        <v>23826</v>
      </c>
      <c r="C18935" s="5" t="str">
        <f>IFERROR(__xludf.DUMMYFUNCTION("GOOGLETRANSLATE(B18935,""en"",""es-ES"")"),"Un hombre está sosteniendo un estuche de madera.")</f>
        <v>Un hombre está sosteniendo un estuche de madera.</v>
      </c>
    </row>
    <row r="18936">
      <c r="A18936" s="4" t="s">
        <v>23825</v>
      </c>
      <c r="B18936" s="4" t="s">
        <v>23827</v>
      </c>
      <c r="C18936" s="5" t="str">
        <f>IFERROR(__xludf.DUMMYFUNCTION("GOOGLETRANSLATE(B18936,""en"",""es-ES"")"),"Punta una toalla en el caso.")</f>
        <v>Punta una toalla en el caso.</v>
      </c>
    </row>
    <row r="18937">
      <c r="A18937" s="4" t="s">
        <v>23825</v>
      </c>
      <c r="B18937" s="4" t="s">
        <v>23828</v>
      </c>
      <c r="C18937" s="5" t="str">
        <f>IFERROR(__xludf.DUMMYFUNCTION("GOOGLETRANSLATE(B18937,""en"",""es-ES"")"),"Comienza a brillar su zapato con la toalla.")</f>
        <v>Comienza a brillar su zapato con la toalla.</v>
      </c>
    </row>
    <row r="18938">
      <c r="A18938" s="4" t="s">
        <v>23829</v>
      </c>
      <c r="B18938" s="4" t="s">
        <v>23830</v>
      </c>
      <c r="C18938" s="5" t="str">
        <f>IFERROR(__xludf.DUMMYFUNCTION("GOOGLETRANSLATE(B18938,""en"",""es-ES"")"),"Se ve a un hombre vistiendo un traje y se aleja.")</f>
        <v>Se ve a un hombre vistiendo un traje y se aleja.</v>
      </c>
    </row>
    <row r="18939">
      <c r="A18939" s="4" t="s">
        <v>23829</v>
      </c>
      <c r="B18939" s="4" t="s">
        <v>23831</v>
      </c>
      <c r="C18939" s="5" t="str">
        <f>IFERROR(__xludf.DUMMYFUNCTION("GOOGLETRANSLATE(B18939,""en"",""es-ES"")"),"El hombre se acerca a una silla grande y se sienta.")</f>
        <v>El hombre se acerca a una silla grande y se sienta.</v>
      </c>
    </row>
    <row r="18940">
      <c r="A18940" s="4" t="s">
        <v>23829</v>
      </c>
      <c r="B18940" s="4" t="s">
        <v>23832</v>
      </c>
      <c r="C18940" s="5" t="str">
        <f>IFERROR(__xludf.DUMMYFUNCTION("GOOGLETRANSLATE(B18940,""en"",""es-ES"")"),"Se ve a otro hombre parado frente a la silla y comienza a mirar los pies del hombre.")</f>
        <v>Se ve a otro hombre parado frente a la silla y comienza a mirar los pies del hombre.</v>
      </c>
    </row>
    <row r="18941">
      <c r="A18941" s="4" t="s">
        <v>23833</v>
      </c>
      <c r="B18941" s="4" t="s">
        <v>23834</v>
      </c>
      <c r="C18941" s="5" t="str">
        <f>IFERROR(__xludf.DUMMYFUNCTION("GOOGLETRANSLATE(B18941,""en"",""es-ES"")"),"Dos hombres están afuera del costado de un puente que hablan entre sí mientras varias personas caminan hablando con ellos y estrechándose las manos.")</f>
        <v>Dos hombres están afuera del costado de un puente que hablan entre sí mientras varias personas caminan hablando con ellos y estrechándose las manos.</v>
      </c>
    </row>
    <row r="18942">
      <c r="A18942" s="4" t="s">
        <v>23833</v>
      </c>
      <c r="B18942" s="4" t="s">
        <v>23835</v>
      </c>
      <c r="C18942" s="5" t="str">
        <f>IFERROR(__xludf.DUMMYFUNCTION("GOOGLETRANSLATE(B18942,""en"",""es-ES"")"),"Después, el hombre que está en el arnés se apodera de los hombros de dos hombres mientras lo ayudan a ponerse de pie en la cima del puente.")</f>
        <v>Después, el hombre que está en el arnés se apodera de los hombros de dos hombres mientras lo ayudan a ponerse de pie en la cima del puente.</v>
      </c>
    </row>
    <row r="18943">
      <c r="A18943" s="4" t="s">
        <v>23833</v>
      </c>
      <c r="B18943" s="4" t="s">
        <v>23836</v>
      </c>
      <c r="C18943" s="5" t="str">
        <f>IFERROR(__xludf.DUMMYFUNCTION("GOOGLETRANSLATE(B18943,""en"",""es-ES"")"),"Finalmente, el hombre hace una caída libre del puente y se le arroja una bola naranja.")</f>
        <v>Finalmente, el hombre hace una caída libre del puente y se le arroja una bola naranja.</v>
      </c>
    </row>
    <row r="18944">
      <c r="A18944" s="4" t="s">
        <v>23837</v>
      </c>
      <c r="B18944" s="4" t="s">
        <v>23838</v>
      </c>
      <c r="C18944" s="5" t="str">
        <f>IFERROR(__xludf.DUMMYFUNCTION("GOOGLETRANSLATE(B18944,""en"",""es-ES"")"),"Una gimnasta con leotardos rojos está realizando gimnasia en bares desiguales en un gran estadio con varios espectadores.")</f>
        <v>Una gimnasta con leotardos rojos está realizando gimnasia en bares desiguales en un gran estadio con varios espectadores.</v>
      </c>
    </row>
    <row r="18945">
      <c r="A18945" s="4" t="s">
        <v>23837</v>
      </c>
      <c r="B18945" s="4" t="s">
        <v>23839</v>
      </c>
      <c r="C18945" s="5" t="str">
        <f>IFERROR(__xludf.DUMMYFUNCTION("GOOGLETRANSLATE(B18945,""en"",""es-ES"")"),"Ella está haciendo volteos delanteros y volteos traseros con movimiento rápido sin caerse.")</f>
        <v>Ella está haciendo volteos delanteros y volteos traseros con movimiento rápido sin caerse.</v>
      </c>
    </row>
    <row r="18946">
      <c r="A18946" s="4" t="s">
        <v>23837</v>
      </c>
      <c r="B18946" s="4" t="s">
        <v>23840</v>
      </c>
      <c r="C18946" s="5" t="str">
        <f>IFERROR(__xludf.DUMMYFUNCTION("GOOGLETRANSLATE(B18946,""en"",""es-ES"")"),"Después de que termina, se baja de los bares desiguales y se va mientras le da un gran cinco a su entrenador.")</f>
        <v>Después de que termina, se baja de los bares desiguales y se va mientras le da un gran cinco a su entrenador.</v>
      </c>
    </row>
    <row r="18947">
      <c r="A18947" s="4" t="s">
        <v>23841</v>
      </c>
      <c r="B18947" s="4" t="s">
        <v>23842</v>
      </c>
      <c r="C18947" s="5" t="str">
        <f>IFERROR(__xludf.DUMMYFUNCTION("GOOGLETRANSLATE(B18947,""en"",""es-ES"")"),"Se ve a dos mujeres hablando con la cámara con una con un gato en su regazo.")</f>
        <v>Se ve a dos mujeres hablando con la cámara con una con un gato en su regazo.</v>
      </c>
    </row>
    <row r="18948">
      <c r="A18948" s="4" t="s">
        <v>23841</v>
      </c>
      <c r="B18948" s="4" t="s">
        <v>23843</v>
      </c>
      <c r="C18948" s="5" t="str">
        <f>IFERROR(__xludf.DUMMYFUNCTION("GOOGLETRANSLATE(B18948,""en"",""es-ES"")"),"Luego, la mujer procede a sostener las garras del gato y cortar las uñas mientras apunta al gato y mira a la cámara.")</f>
        <v>Luego, la mujer procede a sostener las garras del gato y cortar las uñas mientras apunta al gato y mira a la cámara.</v>
      </c>
    </row>
    <row r="18949">
      <c r="A18949" s="4" t="s">
        <v>23844</v>
      </c>
      <c r="B18949" s="4" t="s">
        <v>23845</v>
      </c>
      <c r="C18949" s="5" t="str">
        <f>IFERROR(__xludf.DUMMYFUNCTION("GOOGLETRANSLATE(B18949,""en"",""es-ES"")"),"Una mujer se encuentra en una tabla de buceo.")</f>
        <v>Una mujer se encuentra en una tabla de buceo.</v>
      </c>
    </row>
    <row r="18950">
      <c r="A18950" s="4" t="s">
        <v>23844</v>
      </c>
      <c r="B18950" s="4" t="s">
        <v>23846</v>
      </c>
      <c r="C18950" s="5" t="str">
        <f>IFERROR(__xludf.DUMMYFUNCTION("GOOGLETRANSLATE(B18950,""en"",""es-ES"")"),"Ella salta del tablero de buceo.")</f>
        <v>Ella salta del tablero de buceo.</v>
      </c>
    </row>
    <row r="18951">
      <c r="A18951" s="4" t="s">
        <v>23844</v>
      </c>
      <c r="B18951" s="4" t="s">
        <v>23847</v>
      </c>
      <c r="C18951" s="5" t="str">
        <f>IFERROR(__xludf.DUMMYFUNCTION("GOOGLETRANSLATE(B18951,""en"",""es-ES"")"),"Ella se sumerge en la piscina de agua.")</f>
        <v>Ella se sumerge en la piscina de agua.</v>
      </c>
    </row>
    <row r="18952">
      <c r="A18952" s="4" t="s">
        <v>23844</v>
      </c>
      <c r="B18952" s="4" t="s">
        <v>23848</v>
      </c>
      <c r="C18952" s="5" t="str">
        <f>IFERROR(__xludf.DUMMYFUNCTION("GOOGLETRANSLATE(B18952,""en"",""es-ES"")"),"Ella nada bajo el agua.")</f>
        <v>Ella nada bajo el agua.</v>
      </c>
    </row>
    <row r="18953">
      <c r="A18953" s="4" t="s">
        <v>23849</v>
      </c>
      <c r="B18953" s="4" t="s">
        <v>23850</v>
      </c>
      <c r="C18953" s="5" t="str">
        <f>IFERROR(__xludf.DUMMYFUNCTION("GOOGLETRANSLATE(B18953,""en"",""es-ES"")"),"Dos hombres exhiben y demuestran el uso de un servidor de bola de tenis automatizado en una cancha de tenis de tenis.")</f>
        <v>Dos hombres exhiben y demuestran el uso de un servidor de bola de tenis automatizado en una cancha de tenis de tenis.</v>
      </c>
    </row>
    <row r="18954">
      <c r="A18954" s="4" t="s">
        <v>23849</v>
      </c>
      <c r="B18954" s="4" t="s">
        <v>23851</v>
      </c>
      <c r="C18954" s="5" t="str">
        <f>IFERROR(__xludf.DUMMYFUNCTION("GOOGLETRANSLATE(B18954,""en"",""es-ES"")"),"Aparece un gráfico de animación que exhibe dos cilindros de oro dentro de un soporte de metal.")</f>
        <v>Aparece un gráfico de animación que exhibe dos cilindros de oro dentro de un soporte de metal.</v>
      </c>
    </row>
    <row r="18955">
      <c r="A18955" s="4" t="s">
        <v>23849</v>
      </c>
      <c r="B18955" s="4" t="s">
        <v>23852</v>
      </c>
      <c r="C18955" s="5" t="str">
        <f>IFERROR(__xludf.DUMMYFUNCTION("GOOGLETRANSLATE(B18955,""en"",""es-ES"")"),"El gráfico animado se transforma en una versión real y real del gráfico, que aparece en una cancha de tenis al aire libre y flanqueada por dos hombres.")</f>
        <v>El gráfico animado se transforma en una versión real y real del gráfico, que aparece en una cancha de tenis al aire libre y flanqueada por dos hombres.</v>
      </c>
    </row>
    <row r="18956">
      <c r="A18956" s="4" t="s">
        <v>23849</v>
      </c>
      <c r="B18956" s="4" t="s">
        <v>23853</v>
      </c>
      <c r="C18956" s="5" t="str">
        <f>IFERROR(__xludf.DUMMYFUNCTION("GOOGLETRANSLATE(B18956,""en"",""es-ES"")"),"Los dos hombres parados al lado de la maquinaria colocan bolas de tenis en la máquina, lo que a su vez escupe las bolas que actúan como un servidor de bola de tenis automatizado para un jugador que está parado al otro lado de la cancha de tenis con una ra"&amp;"queta de tenis.")</f>
        <v>Los dos hombres parados al lado de la maquinaria colocan bolas de tenis en la máquina, lo que a su vez escupe las bolas que actúan como un servidor de bola de tenis automatizado para un jugador que está parado al otro lado de la cancha de tenis con una raqueta de tenis.</v>
      </c>
    </row>
    <row r="18957">
      <c r="A18957" s="4" t="s">
        <v>23854</v>
      </c>
      <c r="B18957" s="4" t="s">
        <v>23855</v>
      </c>
      <c r="C18957" s="5" t="str">
        <f>IFERROR(__xludf.DUMMYFUNCTION("GOOGLETRANSLATE(B18957,""en"",""es-ES"")"),"Una calabaza está sentada en un mostrador.")</f>
        <v>Una calabaza está sentada en un mostrador.</v>
      </c>
    </row>
    <row r="18958">
      <c r="A18958" s="4" t="s">
        <v>23854</v>
      </c>
      <c r="B18958" s="4" t="s">
        <v>23856</v>
      </c>
      <c r="C18958" s="5" t="str">
        <f>IFERROR(__xludf.DUMMYFUNCTION("GOOGLETRANSLATE(B18958,""en"",""es-ES"")"),"Un cuchillo está tallando una cara en la calabaza.")</f>
        <v>Un cuchillo está tallando una cara en la calabaza.</v>
      </c>
    </row>
    <row r="18959">
      <c r="A18959" s="4" t="s">
        <v>23854</v>
      </c>
      <c r="B18959" s="4" t="s">
        <v>23857</v>
      </c>
      <c r="C18959" s="5" t="str">
        <f>IFERROR(__xludf.DUMMYFUNCTION("GOOGLETRANSLATE(B18959,""en"",""es-ES"")"),"Las luces se apagan y la calabaza está iluminada.")</f>
        <v>Las luces se apagan y la calabaza está iluminada.</v>
      </c>
    </row>
    <row r="18960">
      <c r="A18960" s="4" t="s">
        <v>23858</v>
      </c>
      <c r="B18960" s="4" t="s">
        <v>23859</v>
      </c>
      <c r="C18960" s="5" t="str">
        <f>IFERROR(__xludf.DUMMYFUNCTION("GOOGLETRANSLATE(B18960,""en"",""es-ES"")"),"Hay miembros de la banda que hablan sobre su concierto en Canadá.")</f>
        <v>Hay miembros de la banda que hablan sobre su concierto en Canadá.</v>
      </c>
    </row>
    <row r="18961">
      <c r="A18961" s="4" t="s">
        <v>23858</v>
      </c>
      <c r="B18961" s="4" t="s">
        <v>23860</v>
      </c>
      <c r="C18961" s="5" t="str">
        <f>IFERROR(__xludf.DUMMYFUNCTION("GOOGLETRANSLATE(B18961,""en"",""es-ES"")"),"Están sentados en un escenario mientras hablan sobre su experiencia sobre sorprender a un fanático.")</f>
        <v>Están sentados en un escenario mientras hablan sobre su experiencia sobre sorprender a un fanático.</v>
      </c>
    </row>
    <row r="18962">
      <c r="A18962" s="4" t="s">
        <v>23858</v>
      </c>
      <c r="B18962" s="4" t="s">
        <v>23861</v>
      </c>
      <c r="C18962" s="5" t="str">
        <f>IFERROR(__xludf.DUMMYFUNCTION("GOOGLETRANSLATE(B18962,""en"",""es-ES"")"),"Sorprenden a un fanático que es el ganador de un concurso.")</f>
        <v>Sorprenden a un fanático que es el ganador de un concurso.</v>
      </c>
    </row>
    <row r="18963">
      <c r="A18963" s="4" t="s">
        <v>23858</v>
      </c>
      <c r="B18963" s="4" t="s">
        <v>23862</v>
      </c>
      <c r="C18963" s="5" t="str">
        <f>IFERROR(__xludf.DUMMYFUNCTION("GOOGLETRANSLATE(B18963,""en"",""es-ES"")"),"Los miembros de la banda van a bolos con el fanático sorprendido y tocan en la bolera.")</f>
        <v>Los miembros de la banda van a bolos con el fanático sorprendido y tocan en la bolera.</v>
      </c>
    </row>
    <row r="18964">
      <c r="A18964" s="4" t="s">
        <v>23858</v>
      </c>
      <c r="B18964" s="4" t="s">
        <v>23863</v>
      </c>
      <c r="C18964" s="5" t="str">
        <f>IFERROR(__xludf.DUMMYFUNCTION("GOOGLETRANSLATE(B18964,""en"",""es-ES"")"),"Después de que termina el juego de bolos, sorprenden aún más al fanático invitándola a su fiesta de cheques de sonido de conciertos y.")</f>
        <v>Después de que termina el juego de bolos, sorprenden aún más al fanático invitándola a su fiesta de cheques de sonido de conciertos y.</v>
      </c>
    </row>
    <row r="18965">
      <c r="A18965" s="4" t="s">
        <v>23864</v>
      </c>
      <c r="B18965" s="4" t="s">
        <v>23865</v>
      </c>
      <c r="C18965" s="5" t="str">
        <f>IFERROR(__xludf.DUMMYFUNCTION("GOOGLETRANSLATE(B18965,""en"",""es-ES"")"),"Un hombre monta un caballo de pomo y comienza a girar.")</f>
        <v>Un hombre monta un caballo de pomo y comienza a girar.</v>
      </c>
    </row>
    <row r="18966">
      <c r="A18966" s="4" t="s">
        <v>23864</v>
      </c>
      <c r="B18966" s="4" t="s">
        <v>23866</v>
      </c>
      <c r="C18966" s="5" t="str">
        <f>IFERROR(__xludf.DUMMYFUNCTION("GOOGLETRANSLATE(B18966,""en"",""es-ES"")"),"Una gimnasta en el fondo cae a mitad de rendimiento.")</f>
        <v>Una gimnasta en el fondo cae a mitad de rendimiento.</v>
      </c>
    </row>
    <row r="18967">
      <c r="A18967" s="4" t="s">
        <v>23864</v>
      </c>
      <c r="B18967" s="4" t="s">
        <v>23867</v>
      </c>
      <c r="C18967" s="5" t="str">
        <f>IFERROR(__xludf.DUMMYFUNCTION("GOOGLETRANSLATE(B18967,""en"",""es-ES"")"),"El artista principal desmonta y arroja sus brazos al aire.")</f>
        <v>El artista principal desmonta y arroja sus brazos al aire.</v>
      </c>
    </row>
    <row r="18968">
      <c r="A18968" s="4" t="s">
        <v>23864</v>
      </c>
      <c r="B18968" s="4" t="s">
        <v>23868</v>
      </c>
      <c r="C18968" s="5" t="str">
        <f>IFERROR(__xludf.DUMMYFUNCTION("GOOGLETRANSLATE(B18968,""en"",""es-ES"")"),"El artista principal se aleja.")</f>
        <v>El artista principal se aleja.</v>
      </c>
    </row>
    <row r="18969">
      <c r="A18969" s="4" t="s">
        <v>23869</v>
      </c>
      <c r="B18969" s="4" t="s">
        <v>23870</v>
      </c>
      <c r="C18969" s="5" t="str">
        <f>IFERROR(__xludf.DUMMYFUNCTION("GOOGLETRANSLATE(B18969,""en"",""es-ES"")"),"Un hombre está de pie en una habitación hablando.")</f>
        <v>Un hombre está de pie en una habitación hablando.</v>
      </c>
    </row>
    <row r="18970">
      <c r="A18970" s="4" t="s">
        <v>23869</v>
      </c>
      <c r="B18970" s="4" t="s">
        <v>23871</v>
      </c>
      <c r="C18970" s="5" t="str">
        <f>IFERROR(__xludf.DUMMYFUNCTION("GOOGLETRANSLATE(B18970,""en"",""es-ES"")"),"Otro hombre está pintando las paredes de la habitación.")</f>
        <v>Otro hombre está pintando las paredes de la habitación.</v>
      </c>
    </row>
    <row r="18971">
      <c r="A18971" s="4" t="s">
        <v>23869</v>
      </c>
      <c r="B18971" s="4" t="s">
        <v>23872</v>
      </c>
      <c r="C18971" s="5" t="str">
        <f>IFERROR(__xludf.DUMMYFUNCTION("GOOGLETRANSLATE(B18971,""en"",""es-ES"")"),"El hombre coloca su lata de pintura y su toalla a su lado.")</f>
        <v>El hombre coloca su lata de pintura y su toalla a su lado.</v>
      </c>
    </row>
    <row r="18972">
      <c r="A18972" s="4" t="s">
        <v>23873</v>
      </c>
      <c r="B18972" s="4" t="s">
        <v>23874</v>
      </c>
      <c r="C18972" s="5" t="str">
        <f>IFERROR(__xludf.DUMMYFUNCTION("GOOGLETRANSLATE(B18972,""en"",""es-ES"")"),"Una cuerda de ataduras se eleva en un bar.")</f>
        <v>Una cuerda de ataduras se eleva en un bar.</v>
      </c>
    </row>
    <row r="18973">
      <c r="A18973" s="4" t="s">
        <v>23873</v>
      </c>
      <c r="B18973" s="4" t="s">
        <v>23875</v>
      </c>
      <c r="C18973" s="5" t="str">
        <f>IFERROR(__xludf.DUMMYFUNCTION("GOOGLETRANSLATE(B18973,""en"",""es-ES"")"),"Los atletas se preparan para un evento que prepara los postes y ataca las manos.")</f>
        <v>Los atletas se preparan para un evento que prepara los postes y ataca las manos.</v>
      </c>
    </row>
    <row r="18974">
      <c r="A18974" s="4" t="s">
        <v>23873</v>
      </c>
      <c r="B18974" s="4" t="s">
        <v>23876</v>
      </c>
      <c r="C18974" s="5" t="str">
        <f>IFERROR(__xludf.DUMMYFUNCTION("GOOGLETRANSLATE(B18974,""en"",""es-ES"")"),"Atletas salto con pértiga sobre una barra alta en una competencia.")</f>
        <v>Atletas salto con pértiga sobre una barra alta en una competencia.</v>
      </c>
    </row>
    <row r="18975">
      <c r="A18975" s="4" t="s">
        <v>23873</v>
      </c>
      <c r="B18975" s="4" t="s">
        <v>23877</v>
      </c>
      <c r="C18975" s="5" t="str">
        <f>IFERROR(__xludf.DUMMYFUNCTION("GOOGLETRANSLATE(B18975,""en"",""es-ES"")"),"Los atletas y los fanáticos se encuentran después del evento hablando y firmando autógrafos.")</f>
        <v>Los atletas y los fanáticos se encuentran después del evento hablando y firmando autógrafos.</v>
      </c>
    </row>
    <row r="18976">
      <c r="A18976" s="4" t="s">
        <v>23873</v>
      </c>
      <c r="B18976" s="4" t="s">
        <v>23878</v>
      </c>
      <c r="C18976" s="5" t="str">
        <f>IFERROR(__xludf.DUMMYFUNCTION("GOOGLETRANSLATE(B18976,""en"",""es-ES"")"),"Se ve un gráfico de los patrocinadores de eventos y el sitio web en la pantalla con un backround negro.")</f>
        <v>Se ve un gráfico de los patrocinadores de eventos y el sitio web en la pantalla con un backround negro.</v>
      </c>
    </row>
    <row r="18977">
      <c r="A18977" s="4" t="s">
        <v>23879</v>
      </c>
      <c r="B18977" s="4" t="s">
        <v>23880</v>
      </c>
      <c r="C18977" s="5" t="str">
        <f>IFERROR(__xludf.DUMMYFUNCTION("GOOGLETRANSLATE(B18977,""en"",""es-ES"")"),"Un grupo de adultos está en una balsa, remando a través del agua con grandes olas.")</f>
        <v>Un grupo de adultos está en una balsa, remando a través del agua con grandes olas.</v>
      </c>
    </row>
    <row r="18978">
      <c r="A18978" s="4" t="s">
        <v>23879</v>
      </c>
      <c r="B18978" s="4" t="s">
        <v>23881</v>
      </c>
      <c r="C18978" s="5" t="str">
        <f>IFERROR(__xludf.DUMMYFUNCTION("GOOGLETRANSLATE(B18978,""en"",""es-ES"")"),"El grupo se golpeó la paleta del otro como un máximo y luego continúa remando por el río.")</f>
        <v>El grupo se golpeó la paleta del otro como un máximo y luego continúa remando por el río.</v>
      </c>
    </row>
    <row r="18979">
      <c r="A18979" s="4" t="s">
        <v>23879</v>
      </c>
      <c r="B18979" s="4" t="s">
        <v>23882</v>
      </c>
      <c r="C18979" s="5" t="str">
        <f>IFERROR(__xludf.DUMMYFUNCTION("GOOGLETRANSLATE(B18979,""en"",""es-ES"")"),"Otros grupos de personas están montando las balsas y se detienen al lado del río.")</f>
        <v>Otros grupos de personas están montando las balsas y se detienen al lado del río.</v>
      </c>
    </row>
    <row r="18980">
      <c r="A18980" s="4" t="s">
        <v>23883</v>
      </c>
      <c r="B18980" s="4" t="s">
        <v>23884</v>
      </c>
      <c r="C18980" s="5" t="str">
        <f>IFERROR(__xludf.DUMMYFUNCTION("GOOGLETRANSLATE(B18980,""en"",""es-ES"")"),"Se ve a una mujer hablando con la cámara sosteniendo un instrumento y la lleva a tocar la flauta.")</f>
        <v>Se ve a una mujer hablando con la cámara sosteniendo un instrumento y la lleva a tocar la flauta.</v>
      </c>
    </row>
    <row r="18981">
      <c r="A18981" s="4" t="s">
        <v>23883</v>
      </c>
      <c r="B18981" s="4" t="s">
        <v>23885</v>
      </c>
      <c r="C18981" s="5" t="str">
        <f>IFERROR(__xludf.DUMMYFUNCTION("GOOGLETRANSLATE(B18981,""en"",""es-ES"")"),"La cámara continúa acercándose a ella tocando el instrumento mientras interviene hablando con la cámara.")</f>
        <v>La cámara continúa acercándose a ella tocando el instrumento mientras interviene hablando con la cámara.</v>
      </c>
    </row>
    <row r="18982">
      <c r="A18982" s="4" t="s">
        <v>23886</v>
      </c>
      <c r="B18982" s="4" t="s">
        <v>23887</v>
      </c>
      <c r="C18982" s="5" t="str">
        <f>IFERROR(__xludf.DUMMYFUNCTION("GOOGLETRANSLATE(B18982,""en"",""es-ES"")"),"Vemos una botella de lavado de la cara.")</f>
        <v>Vemos una botella de lavado de la cara.</v>
      </c>
    </row>
    <row r="18983">
      <c r="A18983" s="4" t="s">
        <v>23886</v>
      </c>
      <c r="B18983" s="4" t="s">
        <v>23888</v>
      </c>
      <c r="C18983" s="5" t="str">
        <f>IFERROR(__xludf.DUMMYFUNCTION("GOOGLETRANSLATE(B18983,""en"",""es-ES"")"),"Vemos a una persona que sostiene la cara del lavado y luego lo pone en la cara.")</f>
        <v>Vemos a una persona que sostiene la cara del lavado y luego lo pone en la cara.</v>
      </c>
    </row>
    <row r="18984">
      <c r="A18984" s="4" t="s">
        <v>23886</v>
      </c>
      <c r="B18984" s="4" t="s">
        <v>23889</v>
      </c>
      <c r="C18984" s="5" t="str">
        <f>IFERROR(__xludf.DUMMYFUNCTION("GOOGLETRANSLATE(B18984,""en"",""es-ES"")"),"Enjuagan la cara y agregan el lavado de la cara con un cepillo.")</f>
        <v>Enjuagan la cara y agregan el lavado de la cara con un cepillo.</v>
      </c>
    </row>
    <row r="18985">
      <c r="A18985" s="4" t="s">
        <v>23886</v>
      </c>
      <c r="B18985" s="4" t="s">
        <v>23890</v>
      </c>
      <c r="C18985" s="5" t="str">
        <f>IFERROR(__xludf.DUMMYFUNCTION("GOOGLETRANSLATE(B18985,""en"",""es-ES"")"),"Vemos una ilustración sobre cómo agregar el lavado con un pincel.")</f>
        <v>Vemos una ilustración sobre cómo agregar el lavado con un pincel.</v>
      </c>
    </row>
    <row r="18986">
      <c r="A18986" s="4" t="s">
        <v>23886</v>
      </c>
      <c r="B18986" s="4" t="s">
        <v>4513</v>
      </c>
      <c r="C18986" s="5" t="str">
        <f>IFERROR(__xludf.DUMMYFUNCTION("GOOGLETRANSLATE(B18986,""en"",""es-ES"")"),"Vemos los créditos finales.")</f>
        <v>Vemos los créditos finales.</v>
      </c>
    </row>
    <row r="18987">
      <c r="A18987" s="4" t="s">
        <v>23891</v>
      </c>
      <c r="B18987" s="4" t="s">
        <v>23892</v>
      </c>
      <c r="C18987" s="5" t="str">
        <f>IFERROR(__xludf.DUMMYFUNCTION("GOOGLETRANSLATE(B18987,""en"",""es-ES"")"),"Se ven varios clips de un gran grupo de personas parados juntos, lo que conduce a clips de personas que disparan arcos y flechas.")</f>
        <v>Se ven varios clips de un gran grupo de personas parados juntos, lo que conduce a clips de personas que disparan arcos y flechas.</v>
      </c>
    </row>
    <row r="18988">
      <c r="A18988" s="4" t="s">
        <v>23891</v>
      </c>
      <c r="B18988" s="4" t="s">
        <v>23893</v>
      </c>
      <c r="C18988" s="5" t="str">
        <f>IFERROR(__xludf.DUMMYFUNCTION("GOOGLETRANSLATE(B18988,""en"",""es-ES"")"),"Se muestran más clips de personas que hablan con la cámara, así como a las personas que celebran y disparan más arcos y bailan.")</f>
        <v>Se muestran más clips de personas que hablan con la cámara, así como a las personas que celebran y disparan más arcos y bailan.</v>
      </c>
    </row>
    <row r="18989">
      <c r="A18989" s="4" t="s">
        <v>23894</v>
      </c>
      <c r="B18989" s="4" t="s">
        <v>23895</v>
      </c>
      <c r="C18989" s="5" t="str">
        <f>IFERROR(__xludf.DUMMYFUNCTION("GOOGLETRANSLATE(B18989,""en"",""es-ES"")"),"Se ve un primer plano de una casa cuando una persona entra en el marco.")</f>
        <v>Se ve un primer plano de una casa cuando una persona entra en el marco.</v>
      </c>
    </row>
    <row r="18990">
      <c r="A18990" s="4" t="s">
        <v>23894</v>
      </c>
      <c r="B18990" s="4" t="s">
        <v>23896</v>
      </c>
      <c r="C18990" s="5" t="str">
        <f>IFERROR(__xludf.DUMMYFUNCTION("GOOGLETRANSLATE(B18990,""en"",""es-ES"")"),"Se ve a la persona agarrando cortacésped y tirando de él hacia un lado.")</f>
        <v>Se ve a la persona agarrando cortacésped y tirando de él hacia un lado.</v>
      </c>
    </row>
    <row r="18991">
      <c r="A18991" s="4" t="s">
        <v>23894</v>
      </c>
      <c r="B18991" s="4" t="s">
        <v>23897</v>
      </c>
      <c r="C18991" s="5" t="str">
        <f>IFERROR(__xludf.DUMMYFUNCTION("GOOGLETRANSLATE(B18991,""en"",""es-ES"")"),"La persona luego empuja el cortacésped por toda la casa.")</f>
        <v>La persona luego empuja el cortacésped por toda la casa.</v>
      </c>
    </row>
    <row r="18992">
      <c r="A18992" s="4" t="s">
        <v>23898</v>
      </c>
      <c r="B18992" s="4" t="s">
        <v>23899</v>
      </c>
      <c r="C18992" s="5" t="str">
        <f>IFERROR(__xludf.DUMMYFUNCTION("GOOGLETRANSLATE(B18992,""en"",""es-ES"")"),"Las manos de una persona se ven de cerca en una herramienta y comienza a mover el mango y desarmar la herramienta.")</f>
        <v>Las manos de una persona se ven de cerca en una herramienta y comienza a mover el mango y desarmar la herramienta.</v>
      </c>
    </row>
    <row r="18993">
      <c r="A18993" s="4" t="s">
        <v>23898</v>
      </c>
      <c r="B18993" s="4" t="s">
        <v>23900</v>
      </c>
      <c r="C18993" s="5" t="str">
        <f>IFERROR(__xludf.DUMMYFUNCTION("GOOGLETRANSLATE(B18993,""en"",""es-ES"")"),"La persona desenrosca algunos elementos y aprieta el interior y mueve el destornillador mientras sostiene la herramienta.")</f>
        <v>La persona desenrosca algunos elementos y aprieta el interior y mueve el destornillador mientras sostiene la herramienta.</v>
      </c>
    </row>
    <row r="18994">
      <c r="A18994" s="4" t="s">
        <v>23901</v>
      </c>
      <c r="B18994" s="4" t="s">
        <v>23902</v>
      </c>
      <c r="C18994" s="5" t="str">
        <f>IFERROR(__xludf.DUMMYFUNCTION("GOOGLETRANSLATE(B18994,""en"",""es-ES"")"),"Un grupo de hombres se ha reunido en el interior.")</f>
        <v>Un grupo de hombres se ha reunido en el interior.</v>
      </c>
    </row>
    <row r="18995">
      <c r="A18995" s="4" t="s">
        <v>23901</v>
      </c>
      <c r="B18995" s="4" t="s">
        <v>23903</v>
      </c>
      <c r="C18995" s="5" t="str">
        <f>IFERROR(__xludf.DUMMYFUNCTION("GOOGLETRANSLATE(B18995,""en"",""es-ES"")"),"Dos de ellos se agachan en el centro.")</f>
        <v>Dos de ellos se agachan en el centro.</v>
      </c>
    </row>
    <row r="18996">
      <c r="A18996" s="4" t="s">
        <v>23901</v>
      </c>
      <c r="B18996" s="4" t="s">
        <v>23904</v>
      </c>
      <c r="C18996" s="5" t="str">
        <f>IFERROR(__xludf.DUMMYFUNCTION("GOOGLETRANSLATE(B18996,""en"",""es-ES"")"),"Voltan al centro del círculo, haciendo acrobacias ornamentadas de kickboxing.")</f>
        <v>Voltan al centro del círculo, haciendo acrobacias ornamentadas de kickboxing.</v>
      </c>
    </row>
    <row r="18997">
      <c r="A18997" s="4" t="s">
        <v>23901</v>
      </c>
      <c r="B18997" s="4" t="s">
        <v>23905</v>
      </c>
      <c r="C18997" s="5" t="str">
        <f>IFERROR(__xludf.DUMMYFUNCTION("GOOGLETRANSLATE(B18997,""en"",""es-ES"")"),"Se muestran varios clips más de otros luchadores, volteando, rodando y pateando.")</f>
        <v>Se muestran varios clips más de otros luchadores, volteando, rodando y pateando.</v>
      </c>
    </row>
    <row r="18998">
      <c r="A18998" s="4" t="s">
        <v>23901</v>
      </c>
      <c r="B18998" s="4" t="s">
        <v>23906</v>
      </c>
      <c r="C18998" s="5" t="str">
        <f>IFERROR(__xludf.DUMMYFUNCTION("GOOGLETRANSLATE(B18998,""en"",""es-ES"")"),"Los dos hombres se abrazan al final.")</f>
        <v>Los dos hombres se abrazan al final.</v>
      </c>
    </row>
    <row r="18999">
      <c r="A18999" s="4" t="s">
        <v>23907</v>
      </c>
      <c r="B18999" s="4" t="s">
        <v>23908</v>
      </c>
      <c r="C18999" s="5" t="str">
        <f>IFERROR(__xludf.DUMMYFUNCTION("GOOGLETRANSLATE(B18999,""en"",""es-ES"")"),"Varias fotos todavía tomadas de diferentes hombres, diferentes edades, diferentes razas y diferentes tamaños aparecen con nombres de texto blancos que aparecen en cada una de sus caras.")</f>
        <v>Varias fotos todavía tomadas de diferentes hombres, diferentes edades, diferentes razas y diferentes tamaños aparecen con nombres de texto blancos que aparecen en cada una de sus caras.</v>
      </c>
    </row>
    <row r="19000">
      <c r="A19000" s="4" t="s">
        <v>23907</v>
      </c>
      <c r="B19000" s="4" t="s">
        <v>23909</v>
      </c>
      <c r="C19000" s="5" t="str">
        <f>IFERROR(__xludf.DUMMYFUNCTION("GOOGLETRANSLATE(B19000,""en"",""es-ES"")"),"Luego aparece una pantalla azul y aparecen palabras de texto blancas y dicen ""¡Espera! ¿Qué es Water Polo?"".")</f>
        <v>Luego aparece una pantalla azul y aparecen palabras de texto blancas y dicen "¡Espera! ¿Qué es Water Polo?".</v>
      </c>
    </row>
    <row r="19001">
      <c r="A19001" s="4" t="s">
        <v>23907</v>
      </c>
      <c r="B19001" s="4" t="s">
        <v>23910</v>
      </c>
      <c r="C19001" s="5" t="str">
        <f>IFERROR(__xludf.DUMMYFUNCTION("GOOGLETRANSLATE(B19001,""en"",""es-ES"")"),"Varios clips de muchos hombres jugando waterpolo en una piscina comienzan a jugar y los muestra salpicando en el agua, luchando por la pelota, nadando e intentando hacer un gol en la red que está al final de una piscina.")</f>
        <v>Varios clips de muchos hombres jugando waterpolo en una piscina comienzan a jugar y los muestra salpicando en el agua, luchando por la pelota, nadando e intentando hacer un gol en la red que está al final de una piscina.</v>
      </c>
    </row>
    <row r="19002">
      <c r="A19002" s="4" t="s">
        <v>23907</v>
      </c>
      <c r="B19002" s="4" t="s">
        <v>23911</v>
      </c>
      <c r="C19002" s="5" t="str">
        <f>IFERROR(__xludf.DUMMYFUNCTION("GOOGLETRANSLATE(B19002,""en"",""es-ES"")"),"Aparece otra pantalla azul y tiene un texto blanco que dice ""Ok, entonces, ¡aquí se presenta en acción"" y se muestran numerosas imágenes de fotos de fotos de personas jugando waterpolo en la piscina, o simplemente pasando el rato se muestran.")</f>
        <v>Aparece otra pantalla azul y tiene un texto blanco que dice "Ok, entonces, ¡aquí se presenta en acción" y se muestran numerosas imágenes de fotos de fotos de personas jugando waterpolo en la piscina, o simplemente pasando el rato se muestran.</v>
      </c>
    </row>
    <row r="19003">
      <c r="A19003" s="4" t="s">
        <v>23907</v>
      </c>
      <c r="B19003" s="4" t="s">
        <v>23912</v>
      </c>
      <c r="C19003" s="5" t="str">
        <f>IFERROR(__xludf.DUMMYFUNCTION("GOOGLETRANSLATE(B19003,""en"",""es-ES"")"),"Cuando las imágenes se realizan, aparece una pantalla azul con muchas palabras blancas que básicamente dicen que si está interesado en lo que acaba de ver, solo necesita contactar a una de ellas.")</f>
        <v>Cuando las imágenes se realizan, aparece una pantalla azul con muchas palabras blancas que básicamente dicen que si está interesado en lo que acaba de ver, solo necesita contactar a una de ellas.</v>
      </c>
    </row>
    <row r="19004">
      <c r="A19004" s="4" t="s">
        <v>23913</v>
      </c>
      <c r="B19004" s="4" t="s">
        <v>23914</v>
      </c>
      <c r="C19004" s="5" t="str">
        <f>IFERROR(__xludf.DUMMYFUNCTION("GOOGLETRANSLATE(B19004,""en"",""es-ES"")"),"Varias personas están hablando en micrófonos en el escenario.")</f>
        <v>Varias personas están hablando en micrófonos en el escenario.</v>
      </c>
    </row>
    <row r="19005">
      <c r="A19005" s="4" t="s">
        <v>23913</v>
      </c>
      <c r="B19005" s="4" t="s">
        <v>23915</v>
      </c>
      <c r="C19005" s="5" t="str">
        <f>IFERROR(__xludf.DUMMYFUNCTION("GOOGLETRANSLATE(B19005,""en"",""es-ES"")"),"Uno de los hombres comienza a jugar un violín.")</f>
        <v>Uno de los hombres comienza a jugar un violín.</v>
      </c>
    </row>
    <row r="19006">
      <c r="A19006" s="4" t="s">
        <v>23913</v>
      </c>
      <c r="B19006" s="4" t="s">
        <v>23916</v>
      </c>
      <c r="C19006" s="5" t="str">
        <f>IFERROR(__xludf.DUMMYFUNCTION("GOOGLETRANSLATE(B19006,""en"",""es-ES"")"),"Él le da el violín a otro hombre que lo juega.")</f>
        <v>Él le da el violín a otro hombre que lo juega.</v>
      </c>
    </row>
    <row r="19007">
      <c r="A19007" s="4" t="s">
        <v>23913</v>
      </c>
      <c r="B19007" s="4" t="s">
        <v>23917</v>
      </c>
      <c r="C19007" s="5" t="str">
        <f>IFERROR(__xludf.DUMMYFUNCTION("GOOGLETRANSLATE(B19007,""en"",""es-ES"")"),"La audiencia comienza a aplaudir para ellos.")</f>
        <v>La audiencia comienza a aplaudir para ellos.</v>
      </c>
    </row>
    <row r="19008">
      <c r="A19008" s="4" t="s">
        <v>23918</v>
      </c>
      <c r="B19008" s="4" t="s">
        <v>23919</v>
      </c>
      <c r="C19008" s="5" t="str">
        <f>IFERROR(__xludf.DUMMYFUNCTION("GOOGLETRANSLATE(B19008,""en"",""es-ES"")"),"Un hombre grande está bailando dentro de una habitación oscura.")</f>
        <v>Un hombre grande está bailando dentro de una habitación oscura.</v>
      </c>
    </row>
    <row r="19009">
      <c r="A19009" s="4" t="s">
        <v>23918</v>
      </c>
      <c r="B19009" s="4" t="s">
        <v>23920</v>
      </c>
      <c r="C19009" s="5" t="str">
        <f>IFERROR(__xludf.DUMMYFUNCTION("GOOGLETRANSLATE(B19009,""en"",""es-ES"")"),"La gente detrás de él se ríe y aplaude.")</f>
        <v>La gente detrás de él se ríe y aplaude.</v>
      </c>
    </row>
    <row r="19010">
      <c r="A19010" s="4" t="s">
        <v>23918</v>
      </c>
      <c r="B19010" s="4" t="s">
        <v>23921</v>
      </c>
      <c r="C19010" s="5" t="str">
        <f>IFERROR(__xludf.DUMMYFUNCTION("GOOGLETRANSLATE(B19010,""en"",""es-ES"")"),"Está lanzando dardos a un objetivo en la distancia.")</f>
        <v>Está lanzando dardos a un objetivo en la distancia.</v>
      </c>
    </row>
    <row r="19011">
      <c r="A19011" s="4" t="s">
        <v>23922</v>
      </c>
      <c r="B19011" s="4" t="s">
        <v>23923</v>
      </c>
      <c r="C19011" s="5" t="str">
        <f>IFERROR(__xludf.DUMMYFUNCTION("GOOGLETRANSLATE(B19011,""en"",""es-ES"")"),"Se ve a una mujer que se ve usando una Tanktop con texto de introducción.")</f>
        <v>Se ve a una mujer que se ve usando una Tanktop con texto de introducción.</v>
      </c>
    </row>
    <row r="19012">
      <c r="A19012" s="4" t="s">
        <v>23922</v>
      </c>
      <c r="B19012" s="4" t="s">
        <v>23924</v>
      </c>
      <c r="C19012" s="5" t="str">
        <f>IFERROR(__xludf.DUMMYFUNCTION("GOOGLETRANSLATE(B19012,""en"",""es-ES"")"),"La mujer tiene el cabello atado hacia atrás y aplica el maquillaje de los ojos con varios cepillos y colores.")</f>
        <v>La mujer tiene el cabello atado hacia atrás y aplica el maquillaje de los ojos con varios cepillos y colores.</v>
      </c>
    </row>
    <row r="19013">
      <c r="A19013" s="4" t="s">
        <v>23922</v>
      </c>
      <c r="B19013" s="4" t="s">
        <v>23925</v>
      </c>
      <c r="C19013" s="5" t="str">
        <f>IFERROR(__xludf.DUMMYFUNCTION("GOOGLETRANSLATE(B19013,""en"",""es-ES"")"),"La mujer comienza a ponerse elineador con un lápiz fino.")</f>
        <v>La mujer comienza a ponerse elineador con un lápiz fino.</v>
      </c>
    </row>
    <row r="19014">
      <c r="A19014" s="4" t="s">
        <v>23922</v>
      </c>
      <c r="B19014" s="4" t="s">
        <v>23926</v>
      </c>
      <c r="C19014" s="5" t="str">
        <f>IFERROR(__xludf.DUMMYFUNCTION("GOOGLETRANSLATE(B19014,""en"",""es-ES"")"),"Las mujeres sacan los lazos de tela del cabello y deja que su cabello se le abajo, que ahora está rizado.")</f>
        <v>Las mujeres sacan los lazos de tela del cabello y deja que su cabello se le abajo, que ahora está rizado.</v>
      </c>
    </row>
    <row r="19015">
      <c r="A19015" s="4" t="s">
        <v>23922</v>
      </c>
      <c r="B19015" s="4" t="s">
        <v>23927</v>
      </c>
      <c r="C19015" s="5" t="str">
        <f>IFERROR(__xludf.DUMMYFUNCTION("GOOGLETRANSLATE(B19015,""en"",""es-ES"")"),"La mujer usa un peine y laca para el cabello para enderezar partes del cabello aquí y luego lo ata.")</f>
        <v>La mujer usa un peine y laca para el cabello para enderezar partes del cabello aquí y luego lo ata.</v>
      </c>
    </row>
    <row r="19016">
      <c r="A19016" s="4" t="s">
        <v>23922</v>
      </c>
      <c r="B19016" s="4" t="s">
        <v>23928</v>
      </c>
      <c r="C19016" s="5" t="str">
        <f>IFERROR(__xludf.DUMMYFUNCTION("GOOGLETRANSLATE(B19016,""en"",""es-ES"")"),"Los mensajes de Tex se muestran en el final del video.")</f>
        <v>Los mensajes de Tex se muestran en el final del video.</v>
      </c>
    </row>
    <row r="19017">
      <c r="A19017" s="4" t="s">
        <v>23929</v>
      </c>
      <c r="B19017" s="4" t="s">
        <v>23930</v>
      </c>
      <c r="C19017" s="5" t="str">
        <f>IFERROR(__xludf.DUMMYFUNCTION("GOOGLETRANSLATE(B19017,""en"",""es-ES"")"),"Una persona arregla una correa en un chico.")</f>
        <v>Una persona arregla una correa en un chico.</v>
      </c>
    </row>
    <row r="19018">
      <c r="A19018" s="4" t="s">
        <v>23929</v>
      </c>
      <c r="B19018" s="4" t="s">
        <v>23931</v>
      </c>
      <c r="C19018" s="5" t="str">
        <f>IFERROR(__xludf.DUMMYFUNCTION("GOOGLETRANSLATE(B19018,""en"",""es-ES"")"),"El tipo se acerca al borde.")</f>
        <v>El tipo se acerca al borde.</v>
      </c>
    </row>
    <row r="19019">
      <c r="A19019" s="4" t="s">
        <v>23929</v>
      </c>
      <c r="B19019" s="4" t="s">
        <v>23932</v>
      </c>
      <c r="C19019" s="5" t="str">
        <f>IFERROR(__xludf.DUMMYFUNCTION("GOOGLETRANSLATE(B19019,""en"",""es-ES"")"),"Dos hombres colocan ganchos al chico.")</f>
        <v>Dos hombres colocan ganchos al chico.</v>
      </c>
    </row>
    <row r="19020">
      <c r="A19020" s="4" t="s">
        <v>23929</v>
      </c>
      <c r="B19020" s="4" t="s">
        <v>23933</v>
      </c>
      <c r="C19020" s="5" t="str">
        <f>IFERROR(__xludf.DUMMYFUNCTION("GOOGLETRANSLATE(B19020,""en"",""es-ES"")"),"Un hombre libera una cuerda.")</f>
        <v>Un hombre libera una cuerda.</v>
      </c>
    </row>
    <row r="19021">
      <c r="A19021" s="4" t="s">
        <v>23929</v>
      </c>
      <c r="B19021" s="4" t="s">
        <v>23934</v>
      </c>
      <c r="C19021" s="5" t="str">
        <f>IFERROR(__xludf.DUMMYFUNCTION("GOOGLETRANSLATE(B19021,""en"",""es-ES"")"),"El chico salta del borde o el bungee salta.")</f>
        <v>El chico salta del borde o el bungee salta.</v>
      </c>
    </row>
    <row r="19022">
      <c r="A19022" s="4" t="s">
        <v>23935</v>
      </c>
      <c r="B19022" s="4" t="s">
        <v>23936</v>
      </c>
      <c r="C19022" s="5" t="str">
        <f>IFERROR(__xludf.DUMMYFUNCTION("GOOGLETRANSLATE(B19022,""en"",""es-ES"")"),"Una banda de música desfila por la calle, tocando la batería y otros instrumentos.")</f>
        <v>Una banda de música desfila por la calle, tocando la batería y otros instrumentos.</v>
      </c>
    </row>
    <row r="19023">
      <c r="A19023" s="4" t="s">
        <v>23935</v>
      </c>
      <c r="B19023" s="4" t="s">
        <v>23937</v>
      </c>
      <c r="C19023" s="5" t="str">
        <f>IFERROR(__xludf.DUMMYFUNCTION("GOOGLETRANSLATE(B19023,""en"",""es-ES"")"),"La gente de ambos lados de la calle mira a la banda actuar.")</f>
        <v>La gente de ambos lados de la calle mira a la banda actuar.</v>
      </c>
    </row>
    <row r="19024">
      <c r="A19024" s="4" t="s">
        <v>23938</v>
      </c>
      <c r="B19024" s="4" t="s">
        <v>23939</v>
      </c>
      <c r="C19024" s="5" t="str">
        <f>IFERROR(__xludf.DUMMYFUNCTION("GOOGLETRANSLATE(B19024,""en"",""es-ES"")"),"Una mujer con cabello largo habla con la cámara.")</f>
        <v>Una mujer con cabello largo habla con la cámara.</v>
      </c>
    </row>
    <row r="19025">
      <c r="A19025" s="4" t="s">
        <v>23938</v>
      </c>
      <c r="B19025" s="4" t="s">
        <v>23940</v>
      </c>
      <c r="C19025" s="5" t="str">
        <f>IFERROR(__xludf.DUMMYFUNCTION("GOOGLETRANSLATE(B19025,""en"",""es-ES"")"),"Ella levanta un cepillo largo.")</f>
        <v>Ella levanta un cepillo largo.</v>
      </c>
    </row>
    <row r="19026">
      <c r="A19026" s="4" t="s">
        <v>23938</v>
      </c>
      <c r="B19026" s="4" t="s">
        <v>23941</v>
      </c>
      <c r="C19026" s="5" t="str">
        <f>IFERROR(__xludf.DUMMYFUNCTION("GOOGLETRANSLATE(B19026,""en"",""es-ES"")"),"Ella demuestra cómo usar el cepillo para raspar la nieve de un automóvil.")</f>
        <v>Ella demuestra cómo usar el cepillo para raspar la nieve de un automóvil.</v>
      </c>
    </row>
    <row r="19027">
      <c r="A19027" s="4" t="s">
        <v>23938</v>
      </c>
      <c r="B19027" s="4" t="s">
        <v>23942</v>
      </c>
      <c r="C19027" s="5" t="str">
        <f>IFERROR(__xludf.DUMMYFUNCTION("GOOGLETRANSLATE(B19027,""en"",""es-ES"")"),"Cuando termina, continúa hablando del cepillo.")</f>
        <v>Cuando termina, continúa hablando del cepillo.</v>
      </c>
    </row>
    <row r="19028">
      <c r="A19028" s="4" t="s">
        <v>23943</v>
      </c>
      <c r="B19028" s="4" t="s">
        <v>23944</v>
      </c>
      <c r="C19028" s="5" t="str">
        <f>IFERROR(__xludf.DUMMYFUNCTION("GOOGLETRANSLATE(B19028,""en"",""es-ES"")"),"Una dama de rodillas, mientras un chico camina e instruye.")</f>
        <v>Una dama de rodillas, mientras un chico camina e instruye.</v>
      </c>
    </row>
    <row r="19029">
      <c r="A19029" s="4" t="s">
        <v>23943</v>
      </c>
      <c r="B19029" s="4" t="s">
        <v>23945</v>
      </c>
      <c r="C19029" s="5" t="str">
        <f>IFERROR(__xludf.DUMMYFUNCTION("GOOGLETRANSLATE(B19029,""en"",""es-ES"")"),"La dama coloca ambas manos detrás de su cabeza.")</f>
        <v>La dama coloca ambas manos detrás de su cabeza.</v>
      </c>
    </row>
    <row r="19030">
      <c r="A19030" s="4" t="s">
        <v>23946</v>
      </c>
      <c r="B19030" s="4" t="s">
        <v>23947</v>
      </c>
      <c r="C19030" s="5" t="str">
        <f>IFERROR(__xludf.DUMMYFUNCTION("GOOGLETRANSLATE(B19030,""en"",""es-ES"")"),"Una dama se está cepillando el cabello.")</f>
        <v>Una dama se está cepillando el cabello.</v>
      </c>
    </row>
    <row r="19031">
      <c r="A19031" s="4" t="s">
        <v>23946</v>
      </c>
      <c r="B19031" s="4" t="s">
        <v>23948</v>
      </c>
      <c r="C19031" s="5" t="str">
        <f>IFERROR(__xludf.DUMMYFUNCTION("GOOGLETRANSLATE(B19031,""en"",""es-ES"")"),"La señora se cepilla el cabello de debajo.")</f>
        <v>La señora se cepilla el cabello de debajo.</v>
      </c>
    </row>
    <row r="19032">
      <c r="A19032" s="4" t="s">
        <v>23946</v>
      </c>
      <c r="B19032" s="4" t="s">
        <v>23949</v>
      </c>
      <c r="C19032" s="5" t="str">
        <f>IFERROR(__xludf.DUMMYFUNCTION("GOOGLETRANSLATE(B19032,""en"",""es-ES"")"),"115 La señora pasa su mano por su cabello.")</f>
        <v>115 La señora pasa su mano por su cabello.</v>
      </c>
    </row>
    <row r="19033">
      <c r="A19033" s="4" t="s">
        <v>23946</v>
      </c>
      <c r="B19033" s="4" t="s">
        <v>23950</v>
      </c>
      <c r="C19033" s="5" t="str">
        <f>IFERROR(__xludf.DUMMYFUNCTION("GOOGLETRANSLATE(B19033,""en"",""es-ES"")"),"La señora termina y se sienta en posición vertical.")</f>
        <v>La señora termina y se sienta en posición vertical.</v>
      </c>
    </row>
    <row r="19034">
      <c r="A19034" s="4" t="s">
        <v>23951</v>
      </c>
      <c r="B19034" s="4" t="s">
        <v>23952</v>
      </c>
      <c r="C19034" s="5" t="str">
        <f>IFERROR(__xludf.DUMMYFUNCTION("GOOGLETRANSLATE(B19034,""en"",""es-ES"")"),"Las manos de una persona se muestran tocando el piano.")</f>
        <v>Las manos de una persona se muestran tocando el piano.</v>
      </c>
    </row>
    <row r="19035">
      <c r="A19035" s="4" t="s">
        <v>23951</v>
      </c>
      <c r="B19035" s="4" t="s">
        <v>23953</v>
      </c>
      <c r="C19035" s="5" t="str">
        <f>IFERROR(__xludf.DUMMYFUNCTION("GOOGLETRANSLATE(B19035,""en"",""es-ES"")"),"Un primer plano de una trompeta muestra a un hombre tocando.")</f>
        <v>Un primer plano de una trompeta muestra a un hombre tocando.</v>
      </c>
    </row>
    <row r="19036">
      <c r="A19036" s="4" t="s">
        <v>23951</v>
      </c>
      <c r="B19036" s="4" t="s">
        <v>23954</v>
      </c>
      <c r="C19036" s="5" t="str">
        <f>IFERROR(__xludf.DUMMYFUNCTION("GOOGLETRANSLATE(B19036,""en"",""es-ES"")"),"El video se desvanece a las personas que tocan en el escenario.")</f>
        <v>El video se desvanece a las personas que tocan en el escenario.</v>
      </c>
    </row>
    <row r="19037">
      <c r="A19037" s="4" t="s">
        <v>23951</v>
      </c>
      <c r="B19037" s="4" t="s">
        <v>23955</v>
      </c>
      <c r="C19037" s="5" t="str">
        <f>IFERROR(__xludf.DUMMYFUNCTION("GOOGLETRANSLATE(B19037,""en"",""es-ES"")"),"La cámara se acerca al trompetista.")</f>
        <v>La cámara se acerca al trompetista.</v>
      </c>
    </row>
    <row r="19038">
      <c r="A19038" s="4" t="s">
        <v>23951</v>
      </c>
      <c r="B19038" s="4" t="s">
        <v>23956</v>
      </c>
      <c r="C19038" s="5" t="str">
        <f>IFERROR(__xludf.DUMMYFUNCTION("GOOGLETRANSLATE(B19038,""en"",""es-ES"")"),"Se muestra a una niña tocando el piano.")</f>
        <v>Se muestra a una niña tocando el piano.</v>
      </c>
    </row>
    <row r="19039">
      <c r="A19039" s="4" t="s">
        <v>23951</v>
      </c>
      <c r="B19039" s="4" t="s">
        <v>23957</v>
      </c>
      <c r="C19039" s="5" t="str">
        <f>IFERROR(__xludf.DUMMYFUNCTION("GOOGLETRANSLATE(B19039,""en"",""es-ES"")"),"El dúo continúa tocando hasta que termina la canción.")</f>
        <v>El dúo continúa tocando hasta que termina la canción.</v>
      </c>
    </row>
    <row r="19040">
      <c r="A19040" s="4" t="s">
        <v>23958</v>
      </c>
      <c r="B19040" s="4" t="s">
        <v>23959</v>
      </c>
      <c r="C19040" s="5" t="str">
        <f>IFERROR(__xludf.DUMMYFUNCTION("GOOGLETRANSLATE(B19040,""en"",""es-ES"")"),"Un hombre ha subido una gran escalera afuera.")</f>
        <v>Un hombre ha subido una gran escalera afuera.</v>
      </c>
    </row>
    <row r="19041">
      <c r="A19041" s="4" t="s">
        <v>23958</v>
      </c>
      <c r="B19041" s="4" t="s">
        <v>23960</v>
      </c>
      <c r="C19041" s="5" t="str">
        <f>IFERROR(__xludf.DUMMYFUNCTION("GOOGLETRANSLATE(B19041,""en"",""es-ES"")"),"Está usando recortadores para cortar y recortar árboles grandes.")</f>
        <v>Está usando recortadores para cortar y recortar árboles grandes.</v>
      </c>
    </row>
    <row r="19042">
      <c r="A19042" s="4" t="s">
        <v>23958</v>
      </c>
      <c r="B19042" s="4" t="s">
        <v>23961</v>
      </c>
      <c r="C19042" s="5" t="str">
        <f>IFERROR(__xludf.DUMMYFUNCTION("GOOGLETRANSLATE(B19042,""en"",""es-ES"")"),"Extiende, cortando las ramas y ramitas.")</f>
        <v>Extiende, cortando las ramas y ramitas.</v>
      </c>
    </row>
    <row r="19043">
      <c r="A19043" s="4" t="s">
        <v>23962</v>
      </c>
      <c r="B19043" s="4" t="s">
        <v>23963</v>
      </c>
      <c r="C19043" s="5" t="str">
        <f>IFERROR(__xludf.DUMMYFUNCTION("GOOGLETRANSLATE(B19043,""en"",""es-ES"")"),"Se ve a un hombre sosteniendo una raqueta de tenis y comienza a golpear una pelota alrededor de una habitación.")</f>
        <v>Se ve a un hombre sosteniendo una raqueta de tenis y comienza a golpear una pelota alrededor de una habitación.</v>
      </c>
    </row>
    <row r="19044">
      <c r="A19044" s="4" t="s">
        <v>23962</v>
      </c>
      <c r="B19044" s="4" t="s">
        <v>23964</v>
      </c>
      <c r="C19044" s="5" t="str">
        <f>IFERROR(__xludf.DUMMYFUNCTION("GOOGLETRANSLATE(B19044,""en"",""es-ES"")"),"Otro hombre está en el marco también sosteniendo una raqueta de tenis y golpeando una pelota.")</f>
        <v>Otro hombre está en el marco también sosteniendo una raqueta de tenis y golpeando una pelota.</v>
      </c>
    </row>
    <row r="19045">
      <c r="A19045" s="4" t="s">
        <v>23962</v>
      </c>
      <c r="B19045" s="4" t="s">
        <v>23965</v>
      </c>
      <c r="C19045" s="5" t="str">
        <f>IFERROR(__xludf.DUMMYFUNCTION("GOOGLETRANSLATE(B19045,""en"",""es-ES"")"),"Los hombres continúan jugando entre ellos en la habitación mientras la cámara sigue sus movimientos.")</f>
        <v>Los hombres continúan jugando entre ellos en la habitación mientras la cámara sigue sus movimientos.</v>
      </c>
    </row>
    <row r="19046">
      <c r="A19046" s="4" t="s">
        <v>23966</v>
      </c>
      <c r="B19046" s="4" t="s">
        <v>23967</v>
      </c>
      <c r="C19046" s="5" t="str">
        <f>IFERROR(__xludf.DUMMYFUNCTION("GOOGLETRANSLATE(B19046,""en"",""es-ES"")"),"Varios jugadores de la NHL están jugando un juego de hockey en un estadio de hockey.")</f>
        <v>Varios jugadores de la NHL están jugando un juego de hockey en un estadio de hockey.</v>
      </c>
    </row>
    <row r="19047">
      <c r="A19047" s="4" t="s">
        <v>23966</v>
      </c>
      <c r="B19047" s="4" t="s">
        <v>23968</v>
      </c>
      <c r="C19047" s="5" t="str">
        <f>IFERROR(__xludf.DUMMYFUNCTION("GOOGLETRANSLATE(B19047,""en"",""es-ES"")"),"Se muestra uno de los jugadores expresando su enojo por el juego.")</f>
        <v>Se muestra uno de los jugadores expresando su enojo por el juego.</v>
      </c>
    </row>
    <row r="19048">
      <c r="A19048" s="4" t="s">
        <v>23966</v>
      </c>
      <c r="B19048" s="4" t="s">
        <v>23969</v>
      </c>
      <c r="C19048" s="5" t="str">
        <f>IFERROR(__xludf.DUMMYFUNCTION("GOOGLETRANSLATE(B19048,""en"",""es-ES"")"),"Un lanzador de noticias entra en la pantalla para anunciar un segmento sobre colapsas de hockey.")</f>
        <v>Un lanzador de noticias entra en la pantalla para anunciar un segmento sobre colapsas de hockey.</v>
      </c>
    </row>
    <row r="19049">
      <c r="A19049" s="4" t="s">
        <v>23966</v>
      </c>
      <c r="B19049" s="4" t="s">
        <v>23970</v>
      </c>
      <c r="C19049" s="5" t="str">
        <f>IFERROR(__xludf.DUMMYFUNCTION("GOOGLETRANSLATE(B19049,""en"",""es-ES"")"),"Luego se muestran los diez topes de fusión de hockey superior.")</f>
        <v>Luego se muestran los diez topes de fusión de hockey superior.</v>
      </c>
    </row>
    <row r="19050">
      <c r="A19050" s="4" t="s">
        <v>23971</v>
      </c>
      <c r="B19050" s="4" t="s">
        <v>23972</v>
      </c>
      <c r="C19050" s="5" t="str">
        <f>IFERROR(__xludf.DUMMYFUNCTION("GOOGLETRANSLATE(B19050,""en"",""es-ES"")"),"Un hombre recorta un seto grande con un recortador de poste.")</f>
        <v>Un hombre recorta un seto grande con un recortador de poste.</v>
      </c>
    </row>
    <row r="19051">
      <c r="A19051" s="4" t="s">
        <v>23971</v>
      </c>
      <c r="B19051" s="4" t="s">
        <v>23973</v>
      </c>
      <c r="C19051" s="5" t="str">
        <f>IFERROR(__xludf.DUMMYFUNCTION("GOOGLETRANSLATE(B19051,""en"",""es-ES"")"),"Hay varios primeros planos de la herramienta en acción.")</f>
        <v>Hay varios primeros planos de la herramienta en acción.</v>
      </c>
    </row>
    <row r="19052">
      <c r="A19052" s="4" t="s">
        <v>23971</v>
      </c>
      <c r="B19052" s="4" t="s">
        <v>23974</v>
      </c>
      <c r="C19052" s="5" t="str">
        <f>IFERROR(__xludf.DUMMYFUNCTION("GOOGLETRANSLATE(B19052,""en"",""es-ES"")"),"Se muestran varias extensiones.")</f>
        <v>Se muestran varias extensiones.</v>
      </c>
    </row>
    <row r="19053">
      <c r="A19053" s="4" t="s">
        <v>23971</v>
      </c>
      <c r="B19053" s="4" t="s">
        <v>23975</v>
      </c>
      <c r="C19053" s="5" t="str">
        <f>IFERROR(__xludf.DUMMYFUNCTION("GOOGLETRANSLATE(B19053,""en"",""es-ES"")"),"El hombre recorta un árbol con él.")</f>
        <v>El hombre recorta un árbol con él.</v>
      </c>
    </row>
    <row r="19054">
      <c r="A19054" s="4" t="s">
        <v>23976</v>
      </c>
      <c r="B19054" s="4" t="s">
        <v>23977</v>
      </c>
      <c r="C19054" s="5" t="str">
        <f>IFERROR(__xludf.DUMMYFUNCTION("GOOGLETRANSLATE(B19054,""en"",""es-ES"")"),"Se ve a una mujer hablando con la cámara y la lleva a jugar con su cabello y fijarlo.")</f>
        <v>Se ve a una mujer hablando con la cámara y la lleva a jugar con su cabello y fijarlo.</v>
      </c>
    </row>
    <row r="19055">
      <c r="A19055" s="4" t="s">
        <v>23976</v>
      </c>
      <c r="B19055" s="4" t="s">
        <v>23978</v>
      </c>
      <c r="C19055" s="5" t="str">
        <f>IFERROR(__xludf.DUMMYFUNCTION("GOOGLETRANSLATE(B19055,""en"",""es-ES"")"),"Ella diez comienza a trenzar su cabello en varios lugares mientras habla con la cámara.")</f>
        <v>Ella diez comienza a trenzar su cabello en varios lugares mientras habla con la cámara.</v>
      </c>
    </row>
    <row r="19056">
      <c r="A19056" s="4" t="s">
        <v>23976</v>
      </c>
      <c r="B19056" s="4" t="s">
        <v>23979</v>
      </c>
      <c r="C19056" s="5" t="str">
        <f>IFERROR(__xludf.DUMMYFUNCTION("GOOGLETRANSLATE(B19056,""en"",""es-ES"")"),"Ella ata su cabello alrededor de su cabeza y termina hablando con la cámara.")</f>
        <v>Ella ata su cabello alrededor de su cabeza y termina hablando con la cámara.</v>
      </c>
    </row>
    <row r="19057">
      <c r="A19057" s="4" t="s">
        <v>23980</v>
      </c>
      <c r="B19057" s="4" t="s">
        <v>23981</v>
      </c>
      <c r="C19057" s="5" t="str">
        <f>IFERROR(__xludf.DUMMYFUNCTION("GOOGLETRANSLATE(B19057,""en"",""es-ES"")"),"Una niña sostiene un bastón de su mano.")</f>
        <v>Una niña sostiene un bastón de su mano.</v>
      </c>
    </row>
    <row r="19058">
      <c r="A19058" s="4" t="s">
        <v>23980</v>
      </c>
      <c r="B19058" s="4" t="s">
        <v>23982</v>
      </c>
      <c r="C19058" s="5" t="str">
        <f>IFERROR(__xludf.DUMMYFUNCTION("GOOGLETRANSLATE(B19058,""en"",""es-ES"")"),"Se lo arroja a un niño a su lado.")</f>
        <v>Se lo arroja a un niño a su lado.</v>
      </c>
    </row>
    <row r="19059">
      <c r="A19059" s="4" t="s">
        <v>23980</v>
      </c>
      <c r="B19059" s="4" t="s">
        <v>23983</v>
      </c>
      <c r="C19059" s="5" t="str">
        <f>IFERROR(__xludf.DUMMYFUNCTION("GOOGLETRANSLATE(B19059,""en"",""es-ES"")"),"Se turnan para arrojarlo al aire y atraparlo.")</f>
        <v>Se turnan para arrojarlo al aire y atraparlo.</v>
      </c>
    </row>
    <row r="19060">
      <c r="A19060" s="4" t="s">
        <v>23984</v>
      </c>
      <c r="B19060" s="4" t="s">
        <v>23985</v>
      </c>
      <c r="C19060" s="5" t="str">
        <f>IFERROR(__xludf.DUMMYFUNCTION("GOOGLETRANSLATE(B19060,""en"",""es-ES"")"),"La cámara sacude una imagen de una cancha de voleibol interior.")</f>
        <v>La cámara sacude una imagen de una cancha de voleibol interior.</v>
      </c>
    </row>
    <row r="19061">
      <c r="A19061" s="4" t="s">
        <v>23984</v>
      </c>
      <c r="B19061" s="4" t="s">
        <v>23986</v>
      </c>
      <c r="C19061" s="5" t="str">
        <f>IFERROR(__xludf.DUMMYFUNCTION("GOOGLETRANSLATE(B19061,""en"",""es-ES"")"),"Una mujer corre de la red para golpear el voleibol entrante.")</f>
        <v>Una mujer corre de la red para golpear el voleibol entrante.</v>
      </c>
    </row>
    <row r="19062">
      <c r="A19062" s="4" t="s">
        <v>23984</v>
      </c>
      <c r="B19062" s="4" t="s">
        <v>23987</v>
      </c>
      <c r="C19062" s="5" t="str">
        <f>IFERROR(__xludf.DUMMYFUNCTION("GOOGLETRANSLATE(B19062,""en"",""es-ES"")"),"Un miembro del equipo también golpea el balón y lo envía a través de la red.")</f>
        <v>Un miembro del equipo también golpea el balón y lo envía a través de la red.</v>
      </c>
    </row>
    <row r="19063">
      <c r="A19063" s="4" t="s">
        <v>23988</v>
      </c>
      <c r="B19063" s="4" t="s">
        <v>23989</v>
      </c>
      <c r="C19063" s="5" t="str">
        <f>IFERROR(__xludf.DUMMYFUNCTION("GOOGLETRANSLATE(B19063,""en"",""es-ES"")"),"El hombre lleva un delantal mientras entra al espacio de las obras y las palabras ""Conti Ski-Boots Service presenta la operación de carrera"" se superpone a la pantalla mientras toma un poste de esquí y recoge un taladro y lo usa en la parte superior de "&amp;"la parte superior de la parte superior de la parte esquí.")</f>
        <v>El hombre lleva un delantal mientras entra al espacio de las obras y las palabras "Conti Ski-Boots Service presenta la operación de carrera" se superpone a la pantalla mientras toma un poste de esquí y recoge un taladro y lo usa en la parte superior de la parte superior de la parte superior de la parte esquí.</v>
      </c>
    </row>
    <row r="19064">
      <c r="A19064" s="4" t="s">
        <v>23988</v>
      </c>
      <c r="B19064" s="4" t="s">
        <v>23990</v>
      </c>
      <c r="C19064" s="5" t="str">
        <f>IFERROR(__xludf.DUMMYFUNCTION("GOOGLETRANSLATE(B19064,""en"",""es-ES"")"),"Luego, el hombre agarra el esquí y lo pone en la maquinaria verde que se encuentra detrás de él y la pasa a través de la máquina varias veces, luego lo elimina y las estrellas para trabajar en la parte trasera del esquí, que parece parecer que está lijand"&amp;"o, grabando, grabando. y vertiendo algún tipo de acabado transparente sobre él.")</f>
        <v>Luego, el hombre agarra el esquí y lo pone en la maquinaria verde que se encuentra detrás de él y la pasa a través de la máquina varias veces, luego lo elimina y las estrellas para trabajar en la parte trasera del esquí, que parece parecer que está lijando, grabando, grabando. y vertiendo algún tipo de acabado transparente sobre él.</v>
      </c>
    </row>
    <row r="19065">
      <c r="A19065" s="4" t="s">
        <v>23988</v>
      </c>
      <c r="B19065" s="4" t="s">
        <v>23991</v>
      </c>
      <c r="C19065" s="5" t="str">
        <f>IFERROR(__xludf.DUMMYFUNCTION("GOOGLETRANSLATE(B19065,""en"",""es-ES"")"),"Luego, el hombre ejecuta un dispositivo sobre el cielo que parece una plancha, y continúa lijarlo, aclarándolo, raspándolo y use el dispositivo de planchar nuevamente.")</f>
        <v>Luego, el hombre ejecuta un dispositivo sobre el cielo que parece una plancha, y continúa lijarlo, aclarándolo, raspándolo y use el dispositivo de planchar nuevamente.</v>
      </c>
    </row>
    <row r="19066">
      <c r="A19066" s="4" t="s">
        <v>23988</v>
      </c>
      <c r="B19066" s="4" t="s">
        <v>23992</v>
      </c>
      <c r="C19066" s="5" t="str">
        <f>IFERROR(__xludf.DUMMYFUNCTION("GOOGLETRANSLATE(B19066,""en"",""es-ES"")"),"El hombre luego quita la cinta y gira el esquí en su lado para rasparla.")</f>
        <v>El hombre luego quita la cinta y gira el esquí en su lado para rasparla.</v>
      </c>
    </row>
    <row r="19067">
      <c r="A19067" s="4" t="s">
        <v>23988</v>
      </c>
      <c r="B19067" s="4" t="s">
        <v>23993</v>
      </c>
      <c r="C19067" s="5" t="str">
        <f>IFERROR(__xludf.DUMMYFUNCTION("GOOGLETRANSLATE(B19067,""en"",""es-ES"")"),"Cuando termine, agarra el esquí y lo pone en un compartimento que se encuentra sobre la máquina verde.")</f>
        <v>Cuando termine, agarra el esquí y lo pone en un compartimento que se encuentra sobre la máquina verde.</v>
      </c>
    </row>
    <row r="19068">
      <c r="A19068" s="4" t="s">
        <v>23994</v>
      </c>
      <c r="B19068" s="4" t="s">
        <v>23995</v>
      </c>
      <c r="C19068" s="5" t="str">
        <f>IFERROR(__xludf.DUMMYFUNCTION("GOOGLETRANSLATE(B19068,""en"",""es-ES"")"),"Un niño y una niña con uniforme de karate están jugando frente a una cámara.")</f>
        <v>Un niño y una niña con uniforme de karate están jugando frente a una cámara.</v>
      </c>
    </row>
    <row r="19069">
      <c r="A19069" s="4" t="s">
        <v>23994</v>
      </c>
      <c r="B19069" s="4" t="s">
        <v>23996</v>
      </c>
      <c r="C19069" s="5" t="str">
        <f>IFERROR(__xludf.DUMMYFUNCTION("GOOGLETRANSLATE(B19069,""en"",""es-ES"")"),"Hablan sobre cómo obtuvieron sus uniformes de karate y qué les gusta del karate.")</f>
        <v>Hablan sobre cómo obtuvieron sus uniformes de karate y qué les gusta del karate.</v>
      </c>
    </row>
    <row r="19070">
      <c r="A19070" s="4" t="s">
        <v>23994</v>
      </c>
      <c r="B19070" s="4" t="s">
        <v>23997</v>
      </c>
      <c r="C19070" s="5" t="str">
        <f>IFERROR(__xludf.DUMMYFUNCTION("GOOGLETRANSLATE(B19070,""en"",""es-ES"")"),"La niña habla de su hermano y más sobre Karate.")</f>
        <v>La niña habla de su hermano y más sobre Karate.</v>
      </c>
    </row>
    <row r="19071">
      <c r="A19071" s="4" t="s">
        <v>23994</v>
      </c>
      <c r="B19071" s="4" t="s">
        <v>23998</v>
      </c>
      <c r="C19071" s="5" t="str">
        <f>IFERROR(__xludf.DUMMYFUNCTION("GOOGLETRANSLATE(B19071,""en"",""es-ES"")"),"La niña juega efectos en su hermano.")</f>
        <v>La niña juega efectos en su hermano.</v>
      </c>
    </row>
    <row r="19072">
      <c r="A19072" s="4" t="s">
        <v>23994</v>
      </c>
      <c r="B19072" s="4" t="s">
        <v>23999</v>
      </c>
      <c r="C19072" s="5" t="str">
        <f>IFERROR(__xludf.DUMMYFUNCTION("GOOGLETRANSLATE(B19072,""en"",""es-ES"")"),"La niña hace varios movimientos de karate para la cámara.")</f>
        <v>La niña hace varios movimientos de karate para la cámara.</v>
      </c>
    </row>
    <row r="19073">
      <c r="A19073" s="4" t="s">
        <v>23994</v>
      </c>
      <c r="B19073" s="4" t="s">
        <v>24000</v>
      </c>
      <c r="C19073" s="5" t="str">
        <f>IFERROR(__xludf.DUMMYFUNCTION("GOOGLETRANSLATE(B19073,""en"",""es-ES"")"),"Entonces el hermano hace varios movimientos de karate diferentes para la cámara.")</f>
        <v>Entonces el hermano hace varios movimientos de karate diferentes para la cámara.</v>
      </c>
    </row>
    <row r="19074">
      <c r="A19074" s="4" t="s">
        <v>24001</v>
      </c>
      <c r="B19074" s="4" t="s">
        <v>24002</v>
      </c>
      <c r="C19074" s="5" t="str">
        <f>IFERROR(__xludf.DUMMYFUNCTION("GOOGLETRANSLATE(B19074,""en"",""es-ES"")"),"Un hombre está en un área proyectada de pie sobre un círculo de concreto y balancea una pelota sobre una cuerda dos veces por encima de su cabeza.")</f>
        <v>Un hombre está en un área proyectada de pie sobre un círculo de concreto y balancea una pelota sobre una cuerda dos veces por encima de su cabeza.</v>
      </c>
    </row>
    <row r="19075">
      <c r="A19075" s="4" t="s">
        <v>24001</v>
      </c>
      <c r="B19075" s="4" t="s">
        <v>24003</v>
      </c>
      <c r="C19075" s="5" t="str">
        <f>IFERROR(__xludf.DUMMYFUNCTION("GOOGLETRANSLATE(B19075,""en"",""es-ES"")"),"El hombre luego comienza a girar rápidamente junto con balancear la pelota en la cuerda.")</f>
        <v>El hombre luego comienza a girar rápidamente junto con balancear la pelota en la cuerda.</v>
      </c>
    </row>
    <row r="19076">
      <c r="A19076" s="4" t="s">
        <v>24001</v>
      </c>
      <c r="B19076" s="4" t="s">
        <v>24004</v>
      </c>
      <c r="C19076" s="5" t="str">
        <f>IFERROR(__xludf.DUMMYFUNCTION("GOOGLETRANSLATE(B19076,""en"",""es-ES"")"),"Después de numerosos y rápidos columpios y gira, el hombre deja ir la cuerda y la pelota vuela.")</f>
        <v>Después de numerosos y rápidos columpios y gira, el hombre deja ir la cuerda y la pelota vuela.</v>
      </c>
    </row>
    <row r="19077">
      <c r="A19077" s="4" t="s">
        <v>24005</v>
      </c>
      <c r="B19077" s="4" t="s">
        <v>24006</v>
      </c>
      <c r="C19077" s="5" t="str">
        <f>IFERROR(__xludf.DUMMYFUNCTION("GOOGLETRANSLATE(B19077,""en"",""es-ES"")"),"Una persona lave los platos con un cepillo en un fregadero.")</f>
        <v>Una persona lave los platos con un cepillo en un fregadero.</v>
      </c>
    </row>
    <row r="19078">
      <c r="A19078" s="4" t="s">
        <v>24005</v>
      </c>
      <c r="B19078" s="4" t="s">
        <v>24007</v>
      </c>
      <c r="C19078" s="5" t="str">
        <f>IFERROR(__xludf.DUMMYFUNCTION("GOOGLETRANSLATE(B19078,""en"",""es-ES"")"),"Luego, la persona lava los utensilios mientras limpia con el cepillo.")</f>
        <v>Luego, la persona lava los utensilios mientras limpia con el cepillo.</v>
      </c>
    </row>
    <row r="19079">
      <c r="A19079" s="4" t="s">
        <v>24005</v>
      </c>
      <c r="B19079" s="4" t="s">
        <v>24008</v>
      </c>
      <c r="C19079" s="5" t="str">
        <f>IFERROR(__xludf.DUMMYFUNCTION("GOOGLETRANSLATE(B19079,""en"",""es-ES"")"),"Después, la persona vierte lavavajillas en un vaso y una taza, luego cepille y enjuague.")</f>
        <v>Después, la persona vierte lavavajillas en un vaso y una taza, luego cepille y enjuague.</v>
      </c>
    </row>
    <row r="19080">
      <c r="A19080" s="4" t="s">
        <v>24009</v>
      </c>
      <c r="B19080" s="4" t="s">
        <v>24010</v>
      </c>
      <c r="C19080" s="5" t="str">
        <f>IFERROR(__xludf.DUMMYFUNCTION("GOOGLETRANSLATE(B19080,""en"",""es-ES"")"),"Un hombre mira a través de una ventana que dos osos copulan mientras cepillan un zapato.")</f>
        <v>Un hombre mira a través de una ventana que dos osos copulan mientras cepillan un zapato.</v>
      </c>
    </row>
    <row r="19081">
      <c r="A19081" s="4" t="s">
        <v>24009</v>
      </c>
      <c r="B19081" s="4" t="s">
        <v>24011</v>
      </c>
      <c r="C19081" s="5" t="str">
        <f>IFERROR(__xludf.DUMMYFUNCTION("GOOGLETRANSLATE(B19081,""en"",""es-ES"")"),"Una niña entra en la habitación y ve a los osos, luego sale de la habitación.")</f>
        <v>Una niña entra en la habitación y ve a los osos, luego sale de la habitación.</v>
      </c>
    </row>
    <row r="19082">
      <c r="A19082" s="4" t="s">
        <v>24012</v>
      </c>
      <c r="B19082" s="4" t="s">
        <v>24013</v>
      </c>
      <c r="C19082" s="5" t="str">
        <f>IFERROR(__xludf.DUMMYFUNCTION("GOOGLETRANSLATE(B19082,""en"",""es-ES"")"),"Los niños realizan movimientos de artes marciales en un dojo mientras los adultos miran.")</f>
        <v>Los niños realizan movimientos de artes marciales en un dojo mientras los adultos miran.</v>
      </c>
    </row>
    <row r="19083">
      <c r="A19083" s="4" t="s">
        <v>24012</v>
      </c>
      <c r="B19083" s="4" t="s">
        <v>24014</v>
      </c>
      <c r="C19083" s="5" t="str">
        <f>IFERROR(__xludf.DUMMYFUNCTION("GOOGLETRANSLATE(B19083,""en"",""es-ES"")"),"Una niña voltea y toma su turno y luego sale del centro.")</f>
        <v>Una niña voltea y toma su turno y luego sale del centro.</v>
      </c>
    </row>
    <row r="19084">
      <c r="A19084" s="4" t="s">
        <v>24012</v>
      </c>
      <c r="B19084" s="4" t="s">
        <v>24015</v>
      </c>
      <c r="C19084" s="5" t="str">
        <f>IFERROR(__xludf.DUMMYFUNCTION("GOOGLETRANSLATE(B19084,""en"",""es-ES"")"),"Un adolescente hace un volteo al otro lado de la habitación.")</f>
        <v>Un adolescente hace un volteo al otro lado de la habitación.</v>
      </c>
    </row>
    <row r="19085">
      <c r="A19085" s="4" t="s">
        <v>24012</v>
      </c>
      <c r="B19085" s="4" t="s">
        <v>24016</v>
      </c>
      <c r="C19085" s="5" t="str">
        <f>IFERROR(__xludf.DUMMYFUNCTION("GOOGLETRANSLATE(B19085,""en"",""es-ES"")"),"Uno de los maestros se muda al centro del piso.")</f>
        <v>Uno de los maestros se muda al centro del piso.</v>
      </c>
    </row>
    <row r="19086">
      <c r="A19086" s="4" t="s">
        <v>24012</v>
      </c>
      <c r="B19086" s="4" t="s">
        <v>24017</v>
      </c>
      <c r="C19086" s="5" t="str">
        <f>IFERROR(__xludf.DUMMYFUNCTION("GOOGLETRANSLATE(B19086,""en"",""es-ES"")"),"El adolescente habla con otro de los niños y envía al niño cuando es su turno.")</f>
        <v>El adolescente habla con otro de los niños y envía al niño cuando es su turno.</v>
      </c>
    </row>
    <row r="19087">
      <c r="A19087" s="4" t="s">
        <v>24012</v>
      </c>
      <c r="B19087" s="4" t="s">
        <v>24018</v>
      </c>
      <c r="C19087" s="5" t="str">
        <f>IFERROR(__xludf.DUMMYFUNCTION("GOOGLETRANSLATE(B19087,""en"",""es-ES"")"),"El adolescente intenta que un niño asustado se turnara, pero el niño se niega.")</f>
        <v>El adolescente intenta que un niño asustado se turnara, pero el niño se niega.</v>
      </c>
    </row>
    <row r="19088">
      <c r="A19088" s="4" t="s">
        <v>24012</v>
      </c>
      <c r="B19088" s="4" t="s">
        <v>24019</v>
      </c>
      <c r="C19088" s="5" t="str">
        <f>IFERROR(__xludf.DUMMYFUNCTION("GOOGLETRANSLATE(B19088,""en"",""es-ES"")"),"Todos los niños corren al suelo.")</f>
        <v>Todos los niños corren al suelo.</v>
      </c>
    </row>
    <row r="19089">
      <c r="A19089" s="4" t="s">
        <v>24020</v>
      </c>
      <c r="B19089" s="4" t="s">
        <v>24021</v>
      </c>
      <c r="C19089" s="5" t="str">
        <f>IFERROR(__xludf.DUMMYFUNCTION("GOOGLETRANSLATE(B19089,""en"",""es-ES"")"),"Una mujer está bailando en el medio de la calle con un bastón.")</f>
        <v>Una mujer está bailando en el medio de la calle con un bastón.</v>
      </c>
    </row>
    <row r="19090">
      <c r="A19090" s="4" t="s">
        <v>24020</v>
      </c>
      <c r="B19090" s="4" t="s">
        <v>24022</v>
      </c>
      <c r="C19090" s="5" t="str">
        <f>IFERROR(__xludf.DUMMYFUNCTION("GOOGLETRANSLATE(B19090,""en"",""es-ES"")"),"Ella gira y tira el bastón mientras una pequeña multitud observa.")</f>
        <v>Ella gira y tira el bastón mientras una pequeña multitud observa.</v>
      </c>
    </row>
    <row r="19091">
      <c r="A19091" s="4" t="s">
        <v>24020</v>
      </c>
      <c r="B19091" s="4" t="s">
        <v>24023</v>
      </c>
      <c r="C19091" s="5" t="str">
        <f>IFERROR(__xludf.DUMMYFUNCTION("GOOGLETRANSLATE(B19091,""en"",""es-ES"")"),"Ella continúa en el camino, actuando con el bastón.")</f>
        <v>Ella continúa en el camino, actuando con el bastón.</v>
      </c>
    </row>
    <row r="19092">
      <c r="A19092" s="4" t="s">
        <v>24024</v>
      </c>
      <c r="B19092" s="4" t="s">
        <v>24025</v>
      </c>
      <c r="C19092" s="5" t="str">
        <f>IFERROR(__xludf.DUMMYFUNCTION("GOOGLETRANSLATE(B19092,""en"",""es-ES"")"),"En la nieve, varios jóvenes realizan trucos de snowboard ante la cámara.")</f>
        <v>En la nieve, varios jóvenes realizan trucos de snowboard ante la cámara.</v>
      </c>
    </row>
    <row r="19093">
      <c r="A19093" s="4" t="s">
        <v>24024</v>
      </c>
      <c r="B19093" s="4" t="s">
        <v>24026</v>
      </c>
      <c r="C19093" s="5" t="str">
        <f>IFERROR(__xludf.DUMMYFUNCTION("GOOGLETRANSLATE(B19093,""en"",""es-ES"")"),"Un hombre con una sudadera azul salta por una escalera.")</f>
        <v>Un hombre con una sudadera azul salta por una escalera.</v>
      </c>
    </row>
    <row r="19094">
      <c r="A19094" s="4" t="s">
        <v>24024</v>
      </c>
      <c r="B19094" s="4" t="s">
        <v>24027</v>
      </c>
      <c r="C19094" s="5" t="str">
        <f>IFERROR(__xludf.DUMMYFUNCTION("GOOGLETRANSLATE(B19094,""en"",""es-ES"")"),"Un joven con un atuendo negro realiza un doble truco al moler una barandilla y saltando por una escalera.")</f>
        <v>Un joven con un atuendo negro realiza un doble truco al moler una barandilla y saltando por una escalera.</v>
      </c>
    </row>
    <row r="19095">
      <c r="A19095" s="4" t="s">
        <v>24024</v>
      </c>
      <c r="B19095" s="4" t="s">
        <v>24028</v>
      </c>
      <c r="C19095" s="5" t="str">
        <f>IFERROR(__xludf.DUMMYFUNCTION("GOOGLETRANSLATE(B19095,""en"",""es-ES"")"),"Un hombre con una sudadera púrpura muele una barandilla de escalera.")</f>
        <v>Un hombre con una sudadera púrpura muele una barandilla de escalera.</v>
      </c>
    </row>
    <row r="19096">
      <c r="A19096" s="4" t="s">
        <v>24024</v>
      </c>
      <c r="B19096" s="4" t="s">
        <v>24029</v>
      </c>
      <c r="C19096" s="5" t="str">
        <f>IFERROR(__xludf.DUMMYFUNCTION("GOOGLETRANSLATE(B19096,""en"",""es-ES"")"),"Un hombre con una sudadera de rayas moradas y negras salta por una escalera.")</f>
        <v>Un hombre con una sudadera de rayas moradas y negras salta por una escalera.</v>
      </c>
    </row>
    <row r="19097">
      <c r="A19097" s="4" t="s">
        <v>24024</v>
      </c>
      <c r="B19097" s="4" t="s">
        <v>24030</v>
      </c>
      <c r="C19097" s="5" t="str">
        <f>IFERROR(__xludf.DUMMYFUNCTION("GOOGLETRANSLATE(B19097,""en"",""es-ES"")"),"El hombre de la sudadera azul mole una barandilla y aterriza elegante en el piso.")</f>
        <v>El hombre de la sudadera azul mole una barandilla y aterriza elegante en el piso.</v>
      </c>
    </row>
    <row r="19098">
      <c r="A19098" s="4" t="s">
        <v>24031</v>
      </c>
      <c r="B19098" s="4" t="s">
        <v>24032</v>
      </c>
      <c r="C19098" s="5" t="str">
        <f>IFERROR(__xludf.DUMMYFUNCTION("GOOGLETRANSLATE(B19098,""en"",""es-ES"")"),"Una foto de una puesta de sol conduce a un gran grupo de personas que montan camellos a lo largo de la playa.")</f>
        <v>Una foto de una puesta de sol conduce a un gran grupo de personas que montan camellos a lo largo de la playa.</v>
      </c>
    </row>
    <row r="19099">
      <c r="A19099" s="4" t="s">
        <v>24031</v>
      </c>
      <c r="B19099" s="4" t="s">
        <v>24033</v>
      </c>
      <c r="C19099" s="5" t="str">
        <f>IFERROR(__xludf.DUMMYFUNCTION("GOOGLETRANSLATE(B19099,""en"",""es-ES"")"),"Muchas personas se ven montando en los camellos uno tras otro en la arena.")</f>
        <v>Muchas personas se ven montando en los camellos uno tras otro en la arena.</v>
      </c>
    </row>
    <row r="19100">
      <c r="A19100" s="4" t="s">
        <v>24031</v>
      </c>
      <c r="B19100" s="4" t="s">
        <v>24034</v>
      </c>
      <c r="C19100" s="5" t="str">
        <f>IFERROR(__xludf.DUMMYFUNCTION("GOOGLETRANSLATE(B19100,""en"",""es-ES"")"),"El video continúa mostrando a más personas montando los camellos y otros que conducen en el frente.")</f>
        <v>El video continúa mostrando a más personas montando los camellos y otros que conducen en el frente.</v>
      </c>
    </row>
    <row r="19101">
      <c r="A19101" s="4" t="s">
        <v>24035</v>
      </c>
      <c r="B19101" s="4" t="s">
        <v>24036</v>
      </c>
      <c r="C19101" s="5" t="str">
        <f>IFERROR(__xludf.DUMMYFUNCTION("GOOGLETRANSLATE(B19101,""en"",""es-ES"")"),"Un hombre está pintando la madera con cepillo, se muestra la madera.")</f>
        <v>Un hombre está pintando la madera con cepillo, se muestra la madera.</v>
      </c>
    </row>
    <row r="19102">
      <c r="A19102" s="4" t="s">
        <v>24035</v>
      </c>
      <c r="B19102" s="4" t="s">
        <v>24037</v>
      </c>
      <c r="C19102" s="5" t="str">
        <f>IFERROR(__xludf.DUMMYFUNCTION("GOOGLETRANSLATE(B19102,""en"",""es-ES"")"),"El hombre pinta la cerca con pintura marrón, luego pinta la mesa.")</f>
        <v>El hombre pinta la cerca con pintura marrón, luego pinta la mesa.</v>
      </c>
    </row>
    <row r="19103">
      <c r="A19103" s="4" t="s">
        <v>24035</v>
      </c>
      <c r="B19103" s="4" t="s">
        <v>24038</v>
      </c>
      <c r="C19103" s="5" t="str">
        <f>IFERROR(__xludf.DUMMYFUNCTION("GOOGLETRANSLATE(B19103,""en"",""es-ES"")"),"El hombre mezcló la pintura y luego comenzó a pintar la mesa de madera, luego limpió el piso y la cepilla.")</f>
        <v>El hombre mezcló la pintura y luego comenzó a pintar la mesa de madera, luego limpió el piso y la cepilla.</v>
      </c>
    </row>
    <row r="19104">
      <c r="A19104" s="4" t="s">
        <v>24039</v>
      </c>
      <c r="B19104" s="4" t="s">
        <v>24040</v>
      </c>
      <c r="C19104" s="5" t="str">
        <f>IFERROR(__xludf.DUMMYFUNCTION("GOOGLETRANSLATE(B19104,""en"",""es-ES"")"),"Se ve a una persona sentada en una mesa seguida de dos personas que bailan entre sí y otras sentadas alrededor del reloj.")</f>
        <v>Se ve a una persona sentada en una mesa seguida de dos personas que bailan entre sí y otras sentadas alrededor del reloj.</v>
      </c>
    </row>
    <row r="19105">
      <c r="A19105" s="4" t="s">
        <v>24039</v>
      </c>
      <c r="B19105" s="4" t="s">
        <v>24041</v>
      </c>
      <c r="C19105" s="5" t="str">
        <f>IFERROR(__xludf.DUMMYFUNCTION("GOOGLETRANSLATE(B19105,""en"",""es-ES"")"),"La gente continúa bailando y termina deteniéndose y haciendo otros dos bailando junto a ellos.")</f>
        <v>La gente continúa bailando y termina deteniéndose y haciendo otros dos bailando junto a ellos.</v>
      </c>
    </row>
    <row r="19106">
      <c r="A19106" s="4" t="s">
        <v>24042</v>
      </c>
      <c r="B19106" s="4" t="s">
        <v>24043</v>
      </c>
      <c r="C19106" s="5" t="str">
        <f>IFERROR(__xludf.DUMMYFUNCTION("GOOGLETRANSLATE(B19106,""en"",""es-ES"")"),"Vemos una pantalla de apertura con un fondo negro.")</f>
        <v>Vemos una pantalla de apertura con un fondo negro.</v>
      </c>
    </row>
    <row r="19107">
      <c r="A19107" s="4" t="s">
        <v>24042</v>
      </c>
      <c r="B19107" s="4" t="s">
        <v>24044</v>
      </c>
      <c r="C19107" s="5" t="str">
        <f>IFERROR(__xludf.DUMMYFUNCTION("GOOGLETRANSLATE(B19107,""en"",""es-ES"")"),"Vemos a mucha gente moviendo nieve con pala, escobas, macetas y tazones.")</f>
        <v>Vemos a mucha gente moviendo nieve con pala, escobas, macetas y tazones.</v>
      </c>
    </row>
    <row r="19108">
      <c r="A19108" s="4" t="s">
        <v>24042</v>
      </c>
      <c r="B19108" s="4" t="s">
        <v>24045</v>
      </c>
      <c r="C19108" s="5" t="str">
        <f>IFERROR(__xludf.DUMMYFUNCTION("GOOGLETRANSLATE(B19108,""en"",""es-ES"")"),"Un hombre está palpitando con una sartén seguida de damas con una azada y plato.")</f>
        <v>Un hombre está palpitando con una sartén seguida de damas con una azada y plato.</v>
      </c>
    </row>
    <row r="19109">
      <c r="A19109" s="4" t="s">
        <v>24042</v>
      </c>
      <c r="B19109" s="4" t="s">
        <v>24046</v>
      </c>
      <c r="C19109" s="5" t="str">
        <f>IFERROR(__xludf.DUMMYFUNCTION("GOOGLETRANSLATE(B19109,""en"",""es-ES"")"),"Un hombre arroja nieve a una dama.")</f>
        <v>Un hombre arroja nieve a una dama.</v>
      </c>
    </row>
    <row r="19110">
      <c r="A19110" s="4" t="s">
        <v>24042</v>
      </c>
      <c r="B19110" s="4" t="s">
        <v>24047</v>
      </c>
      <c r="C19110" s="5" t="str">
        <f>IFERROR(__xludf.DUMMYFUNCTION("GOOGLETRANSLATE(B19110,""en"",""es-ES"")"),"Un hombre arroja nieve a la gente.")</f>
        <v>Un hombre arroja nieve a la gente.</v>
      </c>
    </row>
    <row r="19111">
      <c r="A19111" s="4" t="s">
        <v>24042</v>
      </c>
      <c r="B19111" s="4" t="s">
        <v>24048</v>
      </c>
      <c r="C19111" s="5" t="str">
        <f>IFERROR(__xludf.DUMMYFUNCTION("GOOGLETRANSLATE(B19111,""en"",""es-ES"")"),"Una persona está atrapada en la nieve está enterrada por otros.")</f>
        <v>Una persona está atrapada en la nieve está enterrada por otros.</v>
      </c>
    </row>
    <row r="19112">
      <c r="A19112" s="4" t="s">
        <v>24042</v>
      </c>
      <c r="B19112" s="4" t="s">
        <v>24049</v>
      </c>
      <c r="C19112" s="5" t="str">
        <f>IFERROR(__xludf.DUMMYFUNCTION("GOOGLETRANSLATE(B19112,""en"",""es-ES"")"),"Una dama habla con la cámara y se vuelve en blanco y negro.")</f>
        <v>Una dama habla con la cámara y se vuelve en blanco y negro.</v>
      </c>
    </row>
    <row r="19113">
      <c r="A19113" s="4" t="s">
        <v>24042</v>
      </c>
      <c r="B19113" s="4" t="s">
        <v>24050</v>
      </c>
      <c r="C19113" s="5" t="str">
        <f>IFERROR(__xludf.DUMMYFUNCTION("GOOGLETRANSLATE(B19113,""en"",""es-ES"")"),"Las personas son ángeles de nieve mainge.")</f>
        <v>Las personas son ángeles de nieve mainge.</v>
      </c>
    </row>
    <row r="19114">
      <c r="A19114" s="4" t="s">
        <v>24042</v>
      </c>
      <c r="B19114" s="4" t="s">
        <v>24051</v>
      </c>
      <c r="C19114" s="5" t="str">
        <f>IFERROR(__xludf.DUMMYFUNCTION("GOOGLETRANSLATE(B19114,""en"",""es-ES"")"),"Vemos los créditos de cierre del video.")</f>
        <v>Vemos los créditos de cierre del video.</v>
      </c>
    </row>
    <row r="19115">
      <c r="A19115" s="4" t="s">
        <v>24052</v>
      </c>
      <c r="B19115" s="4" t="s">
        <v>24053</v>
      </c>
      <c r="C19115" s="5" t="str">
        <f>IFERROR(__xludf.DUMMYFUNCTION("GOOGLETRANSLATE(B19115,""en"",""es-ES"")"),"Se muestra a una mujer de mediana edad en cuclillas recogiendo la nieve y arrojándola en la pila.")</f>
        <v>Se muestra a una mujer de mediana edad en cuclillas recogiendo la nieve y arrojándola en la pila.</v>
      </c>
    </row>
    <row r="19116">
      <c r="A19116" s="4" t="s">
        <v>24052</v>
      </c>
      <c r="B19116" s="4" t="s">
        <v>24054</v>
      </c>
      <c r="C19116" s="5" t="str">
        <f>IFERROR(__xludf.DUMMYFUNCTION("GOOGLETRANSLATE(B19116,""en"",""es-ES"")"),"Luego camina hacia la cámara y saca la lengua.")</f>
        <v>Luego camina hacia la cámara y saca la lengua.</v>
      </c>
    </row>
    <row r="19117">
      <c r="A19117" s="4" t="s">
        <v>24055</v>
      </c>
      <c r="B19117" s="4" t="s">
        <v>24056</v>
      </c>
      <c r="C19117" s="5" t="str">
        <f>IFERROR(__xludf.DUMMYFUNCTION("GOOGLETRANSLATE(B19117,""en"",""es-ES"")"),"Una mujer enciende un cigarrillo frente a la cámara.")</f>
        <v>Una mujer enciende un cigarrillo frente a la cámara.</v>
      </c>
    </row>
    <row r="19118">
      <c r="A19118" s="4" t="s">
        <v>24055</v>
      </c>
      <c r="B19118" s="4" t="s">
        <v>24057</v>
      </c>
      <c r="C19118" s="5" t="str">
        <f>IFERROR(__xludf.DUMMYFUNCTION("GOOGLETRANSLATE(B19118,""en"",""es-ES"")"),"Ella quita un gran tirón del cigarrillo.")</f>
        <v>Ella quita un gran tirón del cigarrillo.</v>
      </c>
    </row>
    <row r="19119">
      <c r="A19119" s="4" t="s">
        <v>24055</v>
      </c>
      <c r="B19119" s="4" t="s">
        <v>24058</v>
      </c>
      <c r="C19119" s="5" t="str">
        <f>IFERROR(__xludf.DUMMYFUNCTION("GOOGLETRANSLATE(B19119,""en"",""es-ES"")"),"Ella sopla humo a la cámara y sonríe.")</f>
        <v>Ella sopla humo a la cámara y sonríe.</v>
      </c>
    </row>
    <row r="19120">
      <c r="A19120" s="4" t="s">
        <v>24055</v>
      </c>
      <c r="B19120" s="4" t="s">
        <v>24059</v>
      </c>
      <c r="C19120" s="5" t="str">
        <f>IFERROR(__xludf.DUMMYFUNCTION("GOOGLETRANSLATE(B19120,""en"",""es-ES"")"),"Ella toma otro tirón del cigarrillo y sopla humo.")</f>
        <v>Ella toma otro tirón del cigarrillo y sopla humo.</v>
      </c>
    </row>
    <row r="19121">
      <c r="A19121" s="4" t="s">
        <v>24055</v>
      </c>
      <c r="B19121" s="4" t="s">
        <v>24060</v>
      </c>
      <c r="C19121" s="5" t="str">
        <f>IFERROR(__xludf.DUMMYFUNCTION("GOOGLETRANSLATE(B19121,""en"",""es-ES"")"),"Ella juega con su cabello.")</f>
        <v>Ella juega con su cabello.</v>
      </c>
    </row>
    <row r="19122">
      <c r="A19122" s="4" t="s">
        <v>24055</v>
      </c>
      <c r="B19122" s="4" t="s">
        <v>24061</v>
      </c>
      <c r="C19122" s="5" t="str">
        <f>IFERROR(__xludf.DUMMYFUNCTION("GOOGLETRANSLATE(B19122,""en"",""es-ES"")"),"Luego continúa fumando el cigarrillo mientras mira a su alrededor.")</f>
        <v>Luego continúa fumando el cigarrillo mientras mira a su alrededor.</v>
      </c>
    </row>
    <row r="19123">
      <c r="A19123" s="4" t="s">
        <v>24062</v>
      </c>
      <c r="B19123" s="4" t="s">
        <v>24063</v>
      </c>
      <c r="C19123" s="5" t="str">
        <f>IFERROR(__xludf.DUMMYFUNCTION("GOOGLETRANSLATE(B19123,""en"",""es-ES"")"),"Se ve a un pequeño grupo de personas en un escenario preparando sus instrumentos.")</f>
        <v>Se ve a un pequeño grupo de personas en un escenario preparando sus instrumentos.</v>
      </c>
    </row>
    <row r="19124">
      <c r="A19124" s="4" t="s">
        <v>24062</v>
      </c>
      <c r="B19124" s="4" t="s">
        <v>24064</v>
      </c>
      <c r="C19124" s="5" t="str">
        <f>IFERROR(__xludf.DUMMYFUNCTION("GOOGLETRANSLATE(B19124,""en"",""es-ES"")"),"Una mujer comienza a tocar la batería mientras otro toca el piano y los otros miran.")</f>
        <v>Una mujer comienza a tocar la batería mientras otro toca el piano y los otros miran.</v>
      </c>
    </row>
    <row r="19125">
      <c r="A19125" s="4" t="s">
        <v>24062</v>
      </c>
      <c r="B19125" s="4" t="s">
        <v>24065</v>
      </c>
      <c r="C19125" s="5" t="str">
        <f>IFERROR(__xludf.DUMMYFUNCTION("GOOGLETRANSLATE(B19125,""en"",""es-ES"")"),"Los dos continúan tocando sus instrumentos y otros en el reloj.")</f>
        <v>Los dos continúan tocando sus instrumentos y otros en el reloj.</v>
      </c>
    </row>
    <row r="19126">
      <c r="A19126" s="4" t="s">
        <v>24066</v>
      </c>
      <c r="B19126" s="4" t="s">
        <v>24067</v>
      </c>
      <c r="C19126" s="5" t="str">
        <f>IFERROR(__xludf.DUMMYFUNCTION("GOOGLETRANSLATE(B19126,""en"",""es-ES"")"),"Dos hombres rápidamente desmantelan una chimenea roja.")</f>
        <v>Dos hombres rápidamente desmantelan una chimenea roja.</v>
      </c>
    </row>
    <row r="19127">
      <c r="A19127" s="4" t="s">
        <v>24066</v>
      </c>
      <c r="B19127" s="4" t="s">
        <v>24068</v>
      </c>
      <c r="C19127" s="5" t="str">
        <f>IFERROR(__xludf.DUMMYFUNCTION("GOOGLETRANSLATE(B19127,""en"",""es-ES"")"),"Un hombre pone madera sobre el agujero en beato.")</f>
        <v>Un hombre pone madera sobre el agujero en beato.</v>
      </c>
    </row>
    <row r="19128">
      <c r="A19128" s="4" t="s">
        <v>24066</v>
      </c>
      <c r="B19128" s="4" t="s">
        <v>24069</v>
      </c>
      <c r="C19128" s="5" t="str">
        <f>IFERROR(__xludf.DUMMYFUNCTION("GOOGLETRANSLATE(B19128,""en"",""es-ES"")"),"El hombre luego cubre la madera con tejas.")</f>
        <v>El hombre luego cubre la madera con tejas.</v>
      </c>
    </row>
    <row r="19129">
      <c r="A19129" s="4" t="s">
        <v>24070</v>
      </c>
      <c r="B19129" s="4" t="s">
        <v>24071</v>
      </c>
      <c r="C19129" s="5" t="str">
        <f>IFERROR(__xludf.DUMMYFUNCTION("GOOGLETRANSLATE(B19129,""en"",""es-ES"")"),"Vemos a una persona cortando una fruta.")</f>
        <v>Vemos a una persona cortando una fruta.</v>
      </c>
    </row>
    <row r="19130">
      <c r="A19130" s="4" t="s">
        <v>24070</v>
      </c>
      <c r="B19130" s="4" t="s">
        <v>24072</v>
      </c>
      <c r="C19130" s="5" t="str">
        <f>IFERROR(__xludf.DUMMYFUNCTION("GOOGLETRANSLATE(B19130,""en"",""es-ES"")"),"La persona luego corta la porción picada.")</f>
        <v>La persona luego corta la porción picada.</v>
      </c>
    </row>
    <row r="19131">
      <c r="A19131" s="4" t="s">
        <v>24070</v>
      </c>
      <c r="B19131" s="4" t="s">
        <v>24073</v>
      </c>
      <c r="C19131" s="5" t="str">
        <f>IFERROR(__xludf.DUMMYFUNCTION("GOOGLETRANSLATE(B19131,""en"",""es-ES"")"),"La persona vuelve a poner la fruta y corta la broca picada.")</f>
        <v>La persona vuelve a poner la fruta y corta la broca picada.</v>
      </c>
    </row>
    <row r="19132">
      <c r="A19132" s="4" t="s">
        <v>24070</v>
      </c>
      <c r="B19132" s="4" t="s">
        <v>24074</v>
      </c>
      <c r="C19132" s="5" t="str">
        <f>IFERROR(__xludf.DUMMYFUNCTION("GOOGLETRANSLATE(B19132,""en"",""es-ES"")"),"La persona recoge una rebanada del tazón y la corta.")</f>
        <v>La persona recoge una rebanada del tazón y la corta.</v>
      </c>
    </row>
    <row r="19133">
      <c r="A19133" s="4" t="s">
        <v>24070</v>
      </c>
      <c r="B19133" s="4" t="s">
        <v>24075</v>
      </c>
      <c r="C19133" s="5" t="str">
        <f>IFERROR(__xludf.DUMMYFUNCTION("GOOGLETRANSLATE(B19133,""en"",""es-ES"")"),"Luego vemos a la persona cortar y cortar más.")</f>
        <v>Luego vemos a la persona cortar y cortar más.</v>
      </c>
    </row>
    <row r="19134">
      <c r="A19134" s="4" t="s">
        <v>24070</v>
      </c>
      <c r="B19134" s="4" t="s">
        <v>24076</v>
      </c>
      <c r="C19134" s="5" t="str">
        <f>IFERROR(__xludf.DUMMYFUNCTION("GOOGLETRANSLATE(B19134,""en"",""es-ES"")"),"La persona se levanta de sus pantalones.")</f>
        <v>La persona se levanta de sus pantalones.</v>
      </c>
    </row>
    <row r="19135">
      <c r="A19135" s="4" t="s">
        <v>24077</v>
      </c>
      <c r="B19135" s="4" t="s">
        <v>24078</v>
      </c>
      <c r="C19135" s="5" t="str">
        <f>IFERROR(__xludf.DUMMYFUNCTION("GOOGLETRANSLATE(B19135,""en"",""es-ES"")"),"Se ve a un niño sosteniendo un palo mientras otras personas miran y aplauden al margen.")</f>
        <v>Se ve a un niño sosteniendo un palo mientras otras personas miran y aplauden al margen.</v>
      </c>
    </row>
    <row r="19136">
      <c r="A19136" s="4" t="s">
        <v>24077</v>
      </c>
      <c r="B19136" s="4" t="s">
        <v>24079</v>
      </c>
      <c r="C19136" s="5" t="str">
        <f>IFERROR(__xludf.DUMMYFUNCTION("GOOGLETRANSLATE(B19136,""en"",""es-ES"")"),"El niño que sostiene el palo realiza una rutina de artes marciales frente a las personas y termina con una pose mientras todos a su alrededor aplauden.")</f>
        <v>El niño que sostiene el palo realiza una rutina de artes marciales frente a las personas y termina con una pose mientras todos a su alrededor aplauden.</v>
      </c>
    </row>
    <row r="19137">
      <c r="A19137" s="4" t="s">
        <v>24080</v>
      </c>
      <c r="B19137" s="4" t="s">
        <v>24081</v>
      </c>
      <c r="C19137" s="5" t="str">
        <f>IFERROR(__xludf.DUMMYFUNCTION("GOOGLETRANSLATE(B19137,""en"",""es-ES"")"),"Se ve a un hombre que le da a la cámara una señal de pie mientras otros a su alrededor hablan y se preparan.")</f>
        <v>Se ve a un hombre que le da a la cámara una señal de pie mientras otros a su alrededor hablan y se preparan.</v>
      </c>
    </row>
    <row r="19138">
      <c r="A19138" s="4" t="s">
        <v>24080</v>
      </c>
      <c r="B19138" s="4" t="s">
        <v>24082</v>
      </c>
      <c r="C19138" s="5" t="str">
        <f>IFERROR(__xludf.DUMMYFUNCTION("GOOGLETRANSLATE(B19138,""en"",""es-ES"")"),"Luego se ve a un hombre pisar una plataforma y saltar del costado.")</f>
        <v>Luego se ve a un hombre pisar una plataforma y saltar del costado.</v>
      </c>
    </row>
    <row r="19139">
      <c r="A19139" s="4" t="s">
        <v>24083</v>
      </c>
      <c r="B19139" s="4" t="s">
        <v>24084</v>
      </c>
      <c r="C19139" s="5" t="str">
        <f>IFERROR(__xludf.DUMMYFUNCTION("GOOGLETRANSLATE(B19139,""en"",""es-ES"")"),"Un hombre compite en una canoa en un río que mueve el remo muy rápido.")</f>
        <v>Un hombre compite en una canoa en un río que mueve el remo muy rápido.</v>
      </c>
    </row>
    <row r="19140">
      <c r="A19140" s="4" t="s">
        <v>24083</v>
      </c>
      <c r="B19140" s="4" t="s">
        <v>24085</v>
      </c>
      <c r="C19140" s="5" t="str">
        <f>IFERROR(__xludf.DUMMYFUNCTION("GOOGLETRANSLATE(B19140,""en"",""es-ES"")"),"Entonces, el hombre pasa aguas turbulentas.")</f>
        <v>Entonces, el hombre pasa aguas turbulentas.</v>
      </c>
    </row>
    <row r="19141">
      <c r="A19141" s="4" t="s">
        <v>24086</v>
      </c>
      <c r="B19141" s="4" t="s">
        <v>24087</v>
      </c>
      <c r="C19141" s="5" t="str">
        <f>IFERROR(__xludf.DUMMYFUNCTION("GOOGLETRANSLATE(B19141,""en"",""es-ES"")"),"La palabra EHOW aparece en la pantalla.")</f>
        <v>La palabra EHOW aparece en la pantalla.</v>
      </c>
    </row>
    <row r="19142">
      <c r="A19142" s="4" t="s">
        <v>24086</v>
      </c>
      <c r="B19142" s="4" t="s">
        <v>24088</v>
      </c>
      <c r="C19142" s="5" t="str">
        <f>IFERROR(__xludf.DUMMYFUNCTION("GOOGLETRANSLATE(B19142,""en"",""es-ES"")"),"Vemos a una mujer vestida con rojo de pie en una habitación de una casa.")</f>
        <v>Vemos a una mujer vestida con rojo de pie en una habitación de una casa.</v>
      </c>
    </row>
    <row r="19143">
      <c r="A19143" s="4" t="s">
        <v>24086</v>
      </c>
      <c r="B19143" s="4" t="s">
        <v>24089</v>
      </c>
      <c r="C19143" s="5" t="str">
        <f>IFERROR(__xludf.DUMMYFUNCTION("GOOGLETRANSLATE(B19143,""en"",""es-ES"")"),"Ella está hablando de una mesa frente a ella.")</f>
        <v>Ella está hablando de una mesa frente a ella.</v>
      </c>
    </row>
    <row r="19144">
      <c r="A19144" s="4" t="s">
        <v>24086</v>
      </c>
      <c r="B19144" s="4" t="s">
        <v>24090</v>
      </c>
      <c r="C19144" s="5" t="str">
        <f>IFERROR(__xludf.DUMMYFUNCTION("GOOGLETRANSLATE(B19144,""en"",""es-ES"")"),"Ella recoge un poco de esmalte de muebles y lo aplica a la madera, puliendo con un calcetín que ha puesto sobre su mano.")</f>
        <v>Ella recoge un poco de esmalte de muebles y lo aplica a la madera, puliendo con un calcetín que ha puesto sobre su mano.</v>
      </c>
    </row>
    <row r="19145">
      <c r="A19145" s="4" t="s">
        <v>24091</v>
      </c>
      <c r="B19145" s="4" t="s">
        <v>24092</v>
      </c>
      <c r="C19145" s="5" t="str">
        <f>IFERROR(__xludf.DUMMYFUNCTION("GOOGLETRANSLATE(B19145,""en"",""es-ES"")"),"Se ve a una mujer hablando con la cámara mientras se aferra a un equipo de ejercicio con los brazos.")</f>
        <v>Se ve a una mujer hablando con la cámara mientras se aferra a un equipo de ejercicio con los brazos.</v>
      </c>
    </row>
    <row r="19146">
      <c r="A19146" s="4" t="s">
        <v>24091</v>
      </c>
      <c r="B19146" s="4" t="s">
        <v>24093</v>
      </c>
      <c r="C19146" s="5" t="str">
        <f>IFERROR(__xludf.DUMMYFUNCTION("GOOGLETRANSLATE(B19146,""en"",""es-ES"")"),"Ella mueve la máquina hacia atrás y el cuarto mientras sigue riendo y sonriendo a la cámara.")</f>
        <v>Ella mueve la máquina hacia atrás y el cuarto mientras sigue riendo y sonriendo a la cámara.</v>
      </c>
    </row>
    <row r="19147">
      <c r="A19147" s="4" t="s">
        <v>24094</v>
      </c>
      <c r="B19147" s="4" t="s">
        <v>24095</v>
      </c>
      <c r="C19147" s="5" t="str">
        <f>IFERROR(__xludf.DUMMYFUNCTION("GOOGLETRANSLATE(B19147,""en"",""es-ES"")"),"En una bola de cristal oscuro, una cosa de aspecto alienígena es mirar a los personajes dentro.")</f>
        <v>En una bola de cristal oscuro, una cosa de aspecto alienígena es mirar a los personajes dentro.</v>
      </c>
    </row>
    <row r="19148">
      <c r="A19148" s="4" t="s">
        <v>24094</v>
      </c>
      <c r="B19148" s="4" t="s">
        <v>24096</v>
      </c>
      <c r="C19148" s="5" t="str">
        <f>IFERROR(__xludf.DUMMYFUNCTION("GOOGLETRANSLATE(B19148,""en"",""es-ES"")"),"Tres hombres juegan papel, tijera, palo y piedra, mientras que las criaturas con diferentes colores los miran con shock.")</f>
        <v>Tres hombres juegan papel, tijera, palo y piedra, mientras que las criaturas con diferentes colores los miran con shock.</v>
      </c>
    </row>
    <row r="19149">
      <c r="A19149" s="4" t="s">
        <v>24094</v>
      </c>
      <c r="B19149" s="4" t="s">
        <v>24097</v>
      </c>
      <c r="C19149" s="5" t="str">
        <f>IFERROR(__xludf.DUMMYFUNCTION("GOOGLETRANSLATE(B19149,""en"",""es-ES"")"),"Un personaje ganó usando Scissor, luego habló con las personas que lo rodean.")</f>
        <v>Un personaje ganó usando Scissor, luego habló con las personas que lo rodean.</v>
      </c>
    </row>
    <row r="19150">
      <c r="A19150" s="4" t="s">
        <v>24098</v>
      </c>
      <c r="B19150" s="4" t="s">
        <v>24099</v>
      </c>
      <c r="C19150" s="5" t="str">
        <f>IFERROR(__xludf.DUMMYFUNCTION("GOOGLETRANSLATE(B19150,""en"",""es-ES"")"),"Una mujer se dobla y levanta un peso pesado sobre su cabeza.")</f>
        <v>Una mujer se dobla y levanta un peso pesado sobre su cabeza.</v>
      </c>
    </row>
    <row r="19151">
      <c r="A19151" s="4" t="s">
        <v>24098</v>
      </c>
      <c r="B19151" s="4" t="s">
        <v>24100</v>
      </c>
      <c r="C19151" s="5" t="str">
        <f>IFERROR(__xludf.DUMMYFUNCTION("GOOGLETRANSLATE(B19151,""en"",""es-ES"")"),"La gente está sentada detrás de ellos en los bancos.")</f>
        <v>La gente está sentada detrás de ellos en los bancos.</v>
      </c>
    </row>
    <row r="19152">
      <c r="A19152" s="4" t="s">
        <v>24098</v>
      </c>
      <c r="B19152" s="4" t="s">
        <v>24101</v>
      </c>
      <c r="C19152" s="5" t="str">
        <f>IFERROR(__xludf.DUMMYFUNCTION("GOOGLETRANSLATE(B19152,""en"",""es-ES"")"),"Varias personas más siguen levantando los pesos.")</f>
        <v>Varias personas más siguen levantando los pesos.</v>
      </c>
    </row>
    <row r="19153">
      <c r="A19153" s="4" t="s">
        <v>24102</v>
      </c>
      <c r="B19153" s="4" t="s">
        <v>24103</v>
      </c>
      <c r="C19153" s="5" t="str">
        <f>IFERROR(__xludf.DUMMYFUNCTION("GOOGLETRANSLATE(B19153,""en"",""es-ES"")"),"Se ve a una mujer hablando con la cámara de una manera agresiva y la lleva a sostener un hula hoop.")</f>
        <v>Se ve a una mujer hablando con la cámara de una manera agresiva y la lleva a sostener un hula hoop.</v>
      </c>
    </row>
    <row r="19154">
      <c r="A19154" s="4" t="s">
        <v>24102</v>
      </c>
      <c r="B19154" s="4" t="s">
        <v>24104</v>
      </c>
      <c r="C19154" s="5" t="str">
        <f>IFERROR(__xludf.DUMMYFUNCTION("GOOGLETRANSLATE(B19154,""en"",""es-ES"")"),"La mujer intenta hula hoop varias veces y tiene éxito usando su cuello y doblándose hacia la cámara.")</f>
        <v>La mujer intenta hula hoop varias veces y tiene éxito usando su cuello y doblándose hacia la cámara.</v>
      </c>
    </row>
    <row r="19155">
      <c r="A19155" s="4" t="s">
        <v>24105</v>
      </c>
      <c r="B19155" s="4" t="s">
        <v>24106</v>
      </c>
      <c r="C19155" s="5" t="str">
        <f>IFERROR(__xludf.DUMMYFUNCTION("GOOGLETRANSLATE(B19155,""en"",""es-ES"")"),"Una mujer con vestido rosa está recortando la pata derecha de un gato blanco que está sentado en su regazo.")</f>
        <v>Una mujer con vestido rosa está recortando la pata derecha de un gato blanco que está sentado en su regazo.</v>
      </c>
    </row>
    <row r="19156">
      <c r="A19156" s="4" t="s">
        <v>24105</v>
      </c>
      <c r="B19156" s="4" t="s">
        <v>24107</v>
      </c>
      <c r="C19156" s="5" t="str">
        <f>IFERROR(__xludf.DUMMYFUNCTION("GOOGLETRANSLATE(B19156,""en"",""es-ES"")"),"Tomó la pata izquierda para sujetar, el gato levantó la vista y la mujer miró hacia abajo y le dio un beso rápido en la cabeza.")</f>
        <v>Tomó la pata izquierda para sujetar, el gato levantó la vista y la mujer miró hacia abajo y le dio un beso rápido en la cabeza.</v>
      </c>
    </row>
    <row r="19157">
      <c r="A19157" s="4" t="s">
        <v>24105</v>
      </c>
      <c r="B19157" s="4" t="s">
        <v>24108</v>
      </c>
      <c r="C19157" s="5" t="str">
        <f>IFERROR(__xludf.DUMMYFUNCTION("GOOGLETRANSLATE(B19157,""en"",""es-ES"")"),"El gato levantó la vista mientras la mujer recorta la pata de la derecha del gato.")</f>
        <v>El gato levantó la vista mientras la mujer recorta la pata de la derecha del gato.</v>
      </c>
    </row>
    <row r="19158">
      <c r="A19158" s="4" t="s">
        <v>24105</v>
      </c>
      <c r="B19158" s="4" t="s">
        <v>24109</v>
      </c>
      <c r="C19158" s="5" t="str">
        <f>IFERROR(__xludf.DUMMYFUNCTION("GOOGLETRANSLATE(B19158,""en"",""es-ES"")"),"Mientras la mujer recorta la pata de la izquierda, el gato parpadeaba a la cámara.")</f>
        <v>Mientras la mujer recorta la pata de la izquierda, el gato parpadeaba a la cámara.</v>
      </c>
    </row>
    <row r="19159">
      <c r="A19159" s="4" t="s">
        <v>24110</v>
      </c>
      <c r="B19159" s="4" t="s">
        <v>24111</v>
      </c>
      <c r="C19159" s="5" t="str">
        <f>IFERROR(__xludf.DUMMYFUNCTION("GOOGLETRANSLATE(B19159,""en"",""es-ES"")"),"Se ve a dos hombres parados en una habitación y hablando con la cámara mientras sostienen las raquetas.")</f>
        <v>Se ve a dos hombres parados en una habitación y hablando con la cámara mientras sostienen las raquetas.</v>
      </c>
    </row>
    <row r="19160">
      <c r="A19160" s="4" t="s">
        <v>24110</v>
      </c>
      <c r="B19160" s="4" t="s">
        <v>24112</v>
      </c>
      <c r="C19160" s="5" t="str">
        <f>IFERROR(__xludf.DUMMYFUNCTION("GOOGLETRANSLATE(B19160,""en"",""es-ES"")"),"Luego, los dos golpearon continuamente la pelota alrededor del área cerrada hacia atrás y el cuarto y apuntan a la cámara con una raqueta y corren.")</f>
        <v>Luego, los dos golpearon continuamente la pelota alrededor del área cerrada hacia atrás y el cuarto y apuntan a la cámara con una raqueta y corren.</v>
      </c>
    </row>
    <row r="19161">
      <c r="A19161" s="4" t="s">
        <v>24113</v>
      </c>
      <c r="B19161" s="4" t="s">
        <v>24114</v>
      </c>
      <c r="C19161" s="5" t="str">
        <f>IFERROR(__xludf.DUMMYFUNCTION("GOOGLETRANSLATE(B19161,""en"",""es-ES"")"),"Un grupo de numerosas personas caminan por una calle pública.")</f>
        <v>Un grupo de numerosas personas caminan por una calle pública.</v>
      </c>
    </row>
    <row r="19162">
      <c r="A19162" s="4" t="s">
        <v>24113</v>
      </c>
      <c r="B19162" s="4" t="s">
        <v>24115</v>
      </c>
      <c r="C19162" s="5" t="str">
        <f>IFERROR(__xludf.DUMMYFUNCTION("GOOGLETRANSLATE(B19162,""en"",""es-ES"")"),"Una pareja está caminando por un pit bull con una correa.")</f>
        <v>Una pareja está caminando por un pit bull con una correa.</v>
      </c>
    </row>
    <row r="19163">
      <c r="A19163" s="4" t="s">
        <v>24113</v>
      </c>
      <c r="B19163" s="4" t="s">
        <v>24116</v>
      </c>
      <c r="C19163" s="5" t="str">
        <f>IFERROR(__xludf.DUMMYFUNCTION("GOOGLETRANSLATE(B19163,""en"",""es-ES"")"),"Vemos humo saliendo de un edificio mientras la gente se aleja.")</f>
        <v>Vemos humo saliendo de un edificio mientras la gente se aleja.</v>
      </c>
    </row>
    <row r="19164">
      <c r="A19164" s="4" t="s">
        <v>24117</v>
      </c>
      <c r="B19164" s="4" t="s">
        <v>24118</v>
      </c>
      <c r="C19164" s="5" t="str">
        <f>IFERROR(__xludf.DUMMYFUNCTION("GOOGLETRANSLATE(B19164,""en"",""es-ES"")"),"Se muestran dos trabajadores en una tienda al aire libre.")</f>
        <v>Se muestran dos trabajadores en una tienda al aire libre.</v>
      </c>
    </row>
    <row r="19165">
      <c r="A19165" s="4" t="s">
        <v>24117</v>
      </c>
      <c r="B19165" s="4" t="s">
        <v>24119</v>
      </c>
      <c r="C19165" s="5" t="str">
        <f>IFERROR(__xludf.DUMMYFUNCTION("GOOGLETRANSLATE(B19165,""en"",""es-ES"")"),"Están lavando autos con jabón, incluidos los neumáticos de Maserati.")</f>
        <v>Están lavando autos con jabón, incluidos los neumáticos de Maserati.</v>
      </c>
    </row>
    <row r="19166">
      <c r="A19166" s="4" t="s">
        <v>24117</v>
      </c>
      <c r="B19166" s="4" t="s">
        <v>24120</v>
      </c>
      <c r="C19166" s="5" t="str">
        <f>IFERROR(__xludf.DUMMYFUNCTION("GOOGLETRANSLATE(B19166,""en"",""es-ES"")"),"Luego enjuagan los autos y los limpian.")</f>
        <v>Luego enjuagan los autos y los limpian.</v>
      </c>
    </row>
    <row r="19167">
      <c r="A19167" s="4" t="s">
        <v>24117</v>
      </c>
      <c r="B19167" s="4" t="s">
        <v>24121</v>
      </c>
      <c r="C19167" s="5" t="str">
        <f>IFERROR(__xludf.DUMMYFUNCTION("GOOGLETRANSLATE(B19167,""en"",""es-ES"")"),"El producto final se muestra como un automóvil italiano limpio y brillante.")</f>
        <v>El producto final se muestra como un automóvil italiano limpio y brillante.</v>
      </c>
    </row>
    <row r="19168">
      <c r="A19168" s="4" t="s">
        <v>24122</v>
      </c>
      <c r="B19168" s="4" t="s">
        <v>24123</v>
      </c>
      <c r="C19168" s="5" t="str">
        <f>IFERROR(__xludf.DUMMYFUNCTION("GOOGLETRANSLATE(B19168,""en"",""es-ES"")"),"Un hombre sostiene una tabla de surf.")</f>
        <v>Un hombre sostiene una tabla de surf.</v>
      </c>
    </row>
    <row r="19169">
      <c r="A19169" s="4" t="s">
        <v>24122</v>
      </c>
      <c r="B19169" s="4" t="s">
        <v>24124</v>
      </c>
      <c r="C19169" s="5" t="str">
        <f>IFERROR(__xludf.DUMMYFUNCTION("GOOGLETRANSLATE(B19169,""en"",""es-ES"")"),"Los pájaros vuelan hacia el cielo sobre el agua.")</f>
        <v>Los pájaros vuelan hacia el cielo sobre el agua.</v>
      </c>
    </row>
    <row r="19170">
      <c r="A19170" s="4" t="s">
        <v>24122</v>
      </c>
      <c r="B19170" s="4" t="s">
        <v>24125</v>
      </c>
      <c r="C19170" s="5" t="str">
        <f>IFERROR(__xludf.DUMMYFUNCTION("GOOGLETRANSLATE(B19170,""en"",""es-ES"")"),"Surfa las olas en el agua.")</f>
        <v>Surfa las olas en el agua.</v>
      </c>
    </row>
    <row r="19171">
      <c r="A19171" s="4" t="s">
        <v>24122</v>
      </c>
      <c r="B19171" s="4" t="s">
        <v>24126</v>
      </c>
      <c r="C19171" s="5" t="str">
        <f>IFERROR(__xludf.DUMMYFUNCTION("GOOGLETRANSLATE(B19171,""en"",""es-ES"")"),"Él está en el auto hablando.")</f>
        <v>Él está en el auto hablando.</v>
      </c>
    </row>
    <row r="19172">
      <c r="A19172" s="4" t="s">
        <v>24122</v>
      </c>
      <c r="B19172" s="4" t="s">
        <v>24127</v>
      </c>
      <c r="C19172" s="5" t="str">
        <f>IFERROR(__xludf.DUMMYFUNCTION("GOOGLETRANSLATE(B19172,""en"",""es-ES"")"),"Surfa en el agua un poco más.")</f>
        <v>Surfa en el agua un poco más.</v>
      </c>
    </row>
    <row r="19173">
      <c r="A19173" s="4" t="s">
        <v>24122</v>
      </c>
      <c r="B19173" s="4" t="s">
        <v>24128</v>
      </c>
      <c r="C19173" s="5" t="str">
        <f>IFERROR(__xludf.DUMMYFUNCTION("GOOGLETRANSLATE(B19173,""en"",""es-ES"")"),"Los pájaros vuelan sobre el agua nuevamente.")</f>
        <v>Los pájaros vuelan sobre el agua nuevamente.</v>
      </c>
    </row>
    <row r="19174">
      <c r="A19174" s="4" t="s">
        <v>24129</v>
      </c>
      <c r="B19174" s="4" t="s">
        <v>24130</v>
      </c>
      <c r="C19174" s="5" t="str">
        <f>IFERROR(__xludf.DUMMYFUNCTION("GOOGLETRANSLATE(B19174,""en"",""es-ES"")"),"Una gran bandera fluye en el viento.")</f>
        <v>Una gran bandera fluye en el viento.</v>
      </c>
    </row>
    <row r="19175">
      <c r="A19175" s="4" t="s">
        <v>24129</v>
      </c>
      <c r="B19175" s="4" t="s">
        <v>24131</v>
      </c>
      <c r="C19175" s="5" t="str">
        <f>IFERROR(__xludf.DUMMYFUNCTION("GOOGLETRANSLATE(B19175,""en"",""es-ES"")"),"Un hombre está en una calle, golpeando un palo con otro palo.")</f>
        <v>Un hombre está en una calle, golpeando un palo con otro palo.</v>
      </c>
    </row>
    <row r="19176">
      <c r="A19176" s="4" t="s">
        <v>24129</v>
      </c>
      <c r="B19176" s="4" t="s">
        <v>24132</v>
      </c>
      <c r="C19176" s="5" t="str">
        <f>IFERROR(__xludf.DUMMYFUNCTION("GOOGLETRANSLATE(B19176,""en"",""es-ES"")"),"Dos hombres se dedican a las artes marciales Kick Boxing, pateando, balanceándose y volteando.")</f>
        <v>Dos hombres se dedican a las artes marciales Kick Boxing, pateando, balanceándose y volteando.</v>
      </c>
    </row>
    <row r="19177">
      <c r="A19177" s="4" t="s">
        <v>24133</v>
      </c>
      <c r="B19177" s="4" t="s">
        <v>24134</v>
      </c>
      <c r="C19177" s="5" t="str">
        <f>IFERROR(__xludf.DUMMYFUNCTION("GOOGLETRANSLATE(B19177,""en"",""es-ES"")"),"Un hombre está cortando madera en un patio nevado.")</f>
        <v>Un hombre está cortando madera en un patio nevado.</v>
      </c>
    </row>
    <row r="19178">
      <c r="A19178" s="4" t="s">
        <v>24133</v>
      </c>
      <c r="B19178" s="4" t="s">
        <v>24135</v>
      </c>
      <c r="C19178" s="5" t="str">
        <f>IFERROR(__xludf.DUMMYFUNCTION("GOOGLETRANSLATE(B19178,""en"",""es-ES"")"),"Hay un montón de nieve detrás de él.")</f>
        <v>Hay un montón de nieve detrás de él.</v>
      </c>
    </row>
    <row r="19179">
      <c r="A19179" s="4" t="s">
        <v>24133</v>
      </c>
      <c r="B19179" s="4" t="s">
        <v>24136</v>
      </c>
      <c r="C19179" s="5" t="str">
        <f>IFERROR(__xludf.DUMMYFUNCTION("GOOGLETRANSLATE(B19179,""en"",""es-ES"")"),"El registro se dividió en dos con un golpe.")</f>
        <v>El registro se dividió en dos con un golpe.</v>
      </c>
    </row>
    <row r="19180">
      <c r="A19180" s="4" t="s">
        <v>24137</v>
      </c>
      <c r="B19180" s="4" t="s">
        <v>24138</v>
      </c>
      <c r="C19180" s="5" t="str">
        <f>IFERROR(__xludf.DUMMYFUNCTION("GOOGLETRANSLATE(B19180,""en"",""es-ES"")"),"Un hombre se inclina para hablar con la cámara.")</f>
        <v>Un hombre se inclina para hablar con la cámara.</v>
      </c>
    </row>
    <row r="19181">
      <c r="A19181" s="4" t="s">
        <v>24137</v>
      </c>
      <c r="B19181" s="4" t="s">
        <v>24139</v>
      </c>
      <c r="C19181" s="5" t="str">
        <f>IFERROR(__xludf.DUMMYFUNCTION("GOOGLETRANSLATE(B19181,""en"",""es-ES"")"),"El hombre luego patina en una rampa.")</f>
        <v>El hombre luego patina en una rampa.</v>
      </c>
    </row>
    <row r="19182">
      <c r="A19182" s="4" t="s">
        <v>24137</v>
      </c>
      <c r="B19182" s="4" t="s">
        <v>24140</v>
      </c>
      <c r="C19182" s="5" t="str">
        <f>IFERROR(__xludf.DUMMYFUNCTION("GOOGLETRANSLATE(B19182,""en"",""es-ES"")"),"Intenta correr por la rampa sin una patineta.")</f>
        <v>Intenta correr por la rampa sin una patineta.</v>
      </c>
    </row>
    <row r="19183">
      <c r="A19183" s="4" t="s">
        <v>24137</v>
      </c>
      <c r="B19183" s="4" t="s">
        <v>24141</v>
      </c>
      <c r="C19183" s="5" t="str">
        <f>IFERROR(__xludf.DUMMYFUNCTION("GOOGLETRANSLATE(B19183,""en"",""es-ES"")"),"Un niño desliza por la rampa de su trasero.")</f>
        <v>Un niño desliza por la rampa de su trasero.</v>
      </c>
    </row>
    <row r="19184">
      <c r="A19184" s="4" t="s">
        <v>24137</v>
      </c>
      <c r="B19184" s="4" t="s">
        <v>24142</v>
      </c>
      <c r="C19184" s="5" t="str">
        <f>IFERROR(__xludf.DUMMYFUNCTION("GOOGLETRANSLATE(B19184,""en"",""es-ES"")"),"La patineta del hombre se aleja de él.")</f>
        <v>La patineta del hombre se aleja de él.</v>
      </c>
    </row>
    <row r="19185">
      <c r="A19185" s="4" t="s">
        <v>24137</v>
      </c>
      <c r="B19185" s="4" t="s">
        <v>24143</v>
      </c>
      <c r="C19185" s="5" t="str">
        <f>IFERROR(__xludf.DUMMYFUNCTION("GOOGLETRANSLATE(B19185,""en"",""es-ES"")"),"El hombre persigue su caplaración.")</f>
        <v>El hombre persigue su caplaración.</v>
      </c>
    </row>
    <row r="19186">
      <c r="A19186" s="4" t="s">
        <v>24137</v>
      </c>
      <c r="B19186" s="4" t="s">
        <v>24144</v>
      </c>
      <c r="C19186" s="5" t="str">
        <f>IFERROR(__xludf.DUMMYFUNCTION("GOOGLETRANSLATE(B19186,""en"",""es-ES"")"),"El hombre habla con la cámara.")</f>
        <v>El hombre habla con la cámara.</v>
      </c>
    </row>
    <row r="19187">
      <c r="A19187" s="4" t="s">
        <v>24145</v>
      </c>
      <c r="B19187" s="4" t="s">
        <v>24146</v>
      </c>
      <c r="C19187" s="5" t="str">
        <f>IFERROR(__xludf.DUMMYFUNCTION("GOOGLETRANSLATE(B19187,""en"",""es-ES"")"),"Un caballero mayor con una camisa azul está pintando una cerca de madera.")</f>
        <v>Un caballero mayor con una camisa azul está pintando una cerca de madera.</v>
      </c>
    </row>
    <row r="19188">
      <c r="A19188" s="4" t="s">
        <v>24145</v>
      </c>
      <c r="B19188" s="4" t="s">
        <v>24147</v>
      </c>
      <c r="C19188" s="5" t="str">
        <f>IFERROR(__xludf.DUMMYFUNCTION("GOOGLETRANSLATE(B19188,""en"",""es-ES"")"),"Él levanta el cubo de pintura y camina por la acera.")</f>
        <v>Él levanta el cubo de pintura y camina por la acera.</v>
      </c>
    </row>
    <row r="19189">
      <c r="A19189" s="4" t="s">
        <v>24148</v>
      </c>
      <c r="B19189" s="4" t="s">
        <v>24149</v>
      </c>
      <c r="C19189" s="5" t="str">
        <f>IFERROR(__xludf.DUMMYFUNCTION("GOOGLETRANSLATE(B19189,""en"",""es-ES"")"),"Se ve a un hombre cabalgando sobre las cuchillas en un parque y realiza una rutina mientras la cámara se ralentiza.")</f>
        <v>Se ve a un hombre cabalgando sobre las cuchillas en un parque y realiza una rutina mientras la cámara se ralentiza.</v>
      </c>
    </row>
    <row r="19190">
      <c r="A19190" s="4" t="s">
        <v>24148</v>
      </c>
      <c r="B19190" s="4" t="s">
        <v>24150</v>
      </c>
      <c r="C19190" s="5" t="str">
        <f>IFERROR(__xludf.DUMMYFUNCTION("GOOGLETRANSLATE(B19190,""en"",""es-ES"")"),"Se muestran varias vejes más de rodillos que se muestran alrededor de un parque en varios lugares, además de mostrar varios trucos más.")</f>
        <v>Se muestran varias vejes más de rodillos que se muestran alrededor de un parque en varios lugares, además de mostrar varios trucos más.</v>
      </c>
    </row>
    <row r="19191">
      <c r="A19191" s="4" t="s">
        <v>24148</v>
      </c>
      <c r="B19191" s="4" t="s">
        <v>24151</v>
      </c>
      <c r="C19191" s="5" t="str">
        <f>IFERROR(__xludf.DUMMYFUNCTION("GOOGLETRANSLATE(B19191,""en"",""es-ES"")"),"El camarógrafo sostiene la cámara cerca de su cara y se acerca a un hombre sentado y fumando.")</f>
        <v>El camarógrafo sostiene la cámara cerca de su cara y se acerca a un hombre sentado y fumando.</v>
      </c>
    </row>
    <row r="19192">
      <c r="A19192" s="4" t="s">
        <v>24152</v>
      </c>
      <c r="B19192" s="4" t="s">
        <v>24153</v>
      </c>
      <c r="C19192" s="5" t="str">
        <f>IFERROR(__xludf.DUMMYFUNCTION("GOOGLETRANSLATE(B19192,""en"",""es-ES"")"),"Una niña toca un instrumento de caja de viento dentro de una casa.")</f>
        <v>Una niña toca un instrumento de caja de viento dentro de una casa.</v>
      </c>
    </row>
    <row r="19193">
      <c r="A19193" s="4" t="s">
        <v>24152</v>
      </c>
      <c r="B19193" s="4" t="s">
        <v>24154</v>
      </c>
      <c r="C19193" s="5" t="str">
        <f>IFERROR(__xludf.DUMMYFUNCTION("GOOGLETRANSLATE(B19193,""en"",""es-ES"")"),"La mujer se ríe y luego se reanuda tocando la canción en el instrumento.")</f>
        <v>La mujer se ríe y luego se reanuda tocando la canción en el instrumento.</v>
      </c>
    </row>
    <row r="19194">
      <c r="A19194" s="4" t="s">
        <v>24155</v>
      </c>
      <c r="B19194" s="4" t="s">
        <v>24156</v>
      </c>
      <c r="C19194" s="5" t="str">
        <f>IFERROR(__xludf.DUMMYFUNCTION("GOOGLETRANSLATE(B19194,""en"",""es-ES"")"),"Se ve a un pequeño grupo de personas sentados en los caballos y conduce a ellos cabalgando por un camino de tierra.")</f>
        <v>Se ve a un pequeño grupo de personas sentados en los caballos y conduce a ellos cabalgando por un camino de tierra.</v>
      </c>
    </row>
    <row r="19195">
      <c r="A19195" s="4" t="s">
        <v>24155</v>
      </c>
      <c r="B19195" s="4" t="s">
        <v>24157</v>
      </c>
      <c r="C19195" s="5" t="str">
        <f>IFERROR(__xludf.DUMMYFUNCTION("GOOGLETRANSLATE(B19195,""en"",""es-ES"")"),"La cámara sigue a las personas que viajan en los caballos y los lleva a los establos.")</f>
        <v>La cámara sigue a las personas que viajan en los caballos y los lleva a los establos.</v>
      </c>
    </row>
    <row r="19196">
      <c r="A19196" s="4" t="s">
        <v>24158</v>
      </c>
      <c r="B19196" s="4" t="s">
        <v>24159</v>
      </c>
      <c r="C19196" s="5" t="str">
        <f>IFERROR(__xludf.DUMMYFUNCTION("GOOGLETRANSLATE(B19196,""en"",""es-ES"")"),"Una persona que sostiene a un gato endereza la pata del gato.")</f>
        <v>Una persona que sostiene a un gato endereza la pata del gato.</v>
      </c>
    </row>
    <row r="19197">
      <c r="A19197" s="4" t="s">
        <v>24158</v>
      </c>
      <c r="B19197" s="4" t="s">
        <v>24160</v>
      </c>
      <c r="C19197" s="5" t="str">
        <f>IFERROR(__xludf.DUMMYFUNCTION("GOOGLETRANSLATE(B19197,""en"",""es-ES"")"),"La persona corta las garras del gato con un corte de forma de tijera.")</f>
        <v>La persona corta las garras del gato con un corte de forma de tijera.</v>
      </c>
    </row>
    <row r="19198">
      <c r="A19198" s="4" t="s">
        <v>24158</v>
      </c>
      <c r="B19198" s="4" t="s">
        <v>24161</v>
      </c>
      <c r="C19198" s="5" t="str">
        <f>IFERROR(__xludf.DUMMYFUNCTION("GOOGLETRANSLATE(B19198,""en"",""es-ES"")"),"El gato ataca al cortador.")</f>
        <v>El gato ataca al cortador.</v>
      </c>
    </row>
    <row r="19199">
      <c r="A19199" s="4" t="s">
        <v>24162</v>
      </c>
      <c r="B19199" s="4" t="s">
        <v>24163</v>
      </c>
      <c r="C19199" s="5" t="str">
        <f>IFERROR(__xludf.DUMMYFUNCTION("GOOGLETRANSLATE(B19199,""en"",""es-ES"")"),"La gente navega en una gran ola en el agua.")</f>
        <v>La gente navega en una gran ola en el agua.</v>
      </c>
    </row>
    <row r="19200">
      <c r="A19200" s="4" t="s">
        <v>24162</v>
      </c>
      <c r="B19200" s="4" t="s">
        <v>24164</v>
      </c>
      <c r="C19200" s="5" t="str">
        <f>IFERROR(__xludf.DUMMYFUNCTION("GOOGLETRANSLATE(B19200,""en"",""es-ES"")"),"Un bote está en el agua.")</f>
        <v>Un bote está en el agua.</v>
      </c>
    </row>
    <row r="19201">
      <c r="A19201" s="4" t="s">
        <v>24162</v>
      </c>
      <c r="B19201" s="4" t="s">
        <v>24165</v>
      </c>
      <c r="C19201" s="5" t="str">
        <f>IFERROR(__xludf.DUMMYFUNCTION("GOOGLETRANSLATE(B19201,""en"",""es-ES"")"),"Una gran ola se estrella en el agua.")</f>
        <v>Una gran ola se estrella en el agua.</v>
      </c>
    </row>
    <row r="19202">
      <c r="A19202" s="4" t="s">
        <v>24166</v>
      </c>
      <c r="B19202" s="4" t="s">
        <v>24167</v>
      </c>
      <c r="C19202" s="5" t="str">
        <f>IFERROR(__xludf.DUMMYFUNCTION("GOOGLETRANSLATE(B19202,""en"",""es-ES"")"),"Se muestran dos personas y luego se anuncian varios barcos.")</f>
        <v>Se muestran dos personas y luego se anuncian varios barcos.</v>
      </c>
    </row>
    <row r="19203">
      <c r="A19203" s="4" t="s">
        <v>24166</v>
      </c>
      <c r="B19203" s="4" t="s">
        <v>24168</v>
      </c>
      <c r="C19203" s="5" t="str">
        <f>IFERROR(__xludf.DUMMYFUNCTION("GOOGLETRANSLATE(B19203,""en"",""es-ES"")"),"Después, las dos personas en el agua navegan sobre grandes olas grandes juntas.")</f>
        <v>Después, las dos personas en el agua navegan sobre grandes olas grandes juntas.</v>
      </c>
    </row>
    <row r="19204">
      <c r="A19204" s="4" t="s">
        <v>24166</v>
      </c>
      <c r="B19204" s="4" t="s">
        <v>24169</v>
      </c>
      <c r="C19204" s="5" t="str">
        <f>IFERROR(__xludf.DUMMYFUNCTION("GOOGLETRANSLATE(B19204,""en"",""es-ES"")"),"Luego, la gente en el bote entra en el agua y en las motos de agua cuando un hombre se encuentra encima de un gran acantilado sobre el agua.")</f>
        <v>Luego, la gente en el bote entra en el agua y en las motos de agua cuando un hombre se encuentra encima de un gran acantilado sobre el agua.</v>
      </c>
    </row>
    <row r="19205">
      <c r="A19205" s="4" t="s">
        <v>24170</v>
      </c>
      <c r="B19205" s="4" t="s">
        <v>24171</v>
      </c>
      <c r="C19205" s="5" t="str">
        <f>IFERROR(__xludf.DUMMYFUNCTION("GOOGLETRANSLATE(B19205,""en"",""es-ES"")"),"Una cámara se mueve alrededor de un lago que muestra los árboles y las montañas, así como la canoa sentada frente a él.")</f>
        <v>Una cámara se mueve alrededor de un lago que muestra los árboles y las montañas, así como la canoa sentada frente a él.</v>
      </c>
    </row>
    <row r="19206">
      <c r="A19206" s="4" t="s">
        <v>24170</v>
      </c>
      <c r="B19206" s="4" t="s">
        <v>24172</v>
      </c>
      <c r="C19206" s="5" t="str">
        <f>IFERROR(__xludf.DUMMYFUNCTION("GOOGLETRANSLATE(B19206,""en"",""es-ES"")"),"Se ve a otro niño montar a lo largo del agua en una canoa, así como a varios otros remando.")</f>
        <v>Se ve a otro niño montar a lo largo del agua en una canoa, así como a varios otros remando.</v>
      </c>
    </row>
    <row r="19207">
      <c r="A19207" s="4" t="s">
        <v>24170</v>
      </c>
      <c r="B19207" s="4" t="s">
        <v>24173</v>
      </c>
      <c r="C19207" s="5" t="str">
        <f>IFERROR(__xludf.DUMMYFUNCTION("GOOGLETRANSLATE(B19207,""en"",""es-ES"")"),"Se muestran más tomas de personas que montan en sus canoas y capturan el paisaje a su alrededor.")</f>
        <v>Se muestran más tomas de personas que montan en sus canoas y capturan el paisaje a su alrededor.</v>
      </c>
    </row>
    <row r="19208">
      <c r="A19208" s="4" t="s">
        <v>24174</v>
      </c>
      <c r="B19208" s="4" t="s">
        <v>24175</v>
      </c>
      <c r="C19208" s="5" t="str">
        <f>IFERROR(__xludf.DUMMYFUNCTION("GOOGLETRANSLATE(B19208,""en"",""es-ES"")"),"Un hombre comienza a saltar cuerda en un escenario.")</f>
        <v>Un hombre comienza a saltar cuerda en un escenario.</v>
      </c>
    </row>
    <row r="19209">
      <c r="A19209" s="4" t="s">
        <v>24174</v>
      </c>
      <c r="B19209" s="4" t="s">
        <v>24176</v>
      </c>
      <c r="C19209" s="5" t="str">
        <f>IFERROR(__xludf.DUMMYFUNCTION("GOOGLETRANSLATE(B19209,""en"",""es-ES"")"),"La gente está en la audiencia mirándolo.")</f>
        <v>La gente está en la audiencia mirándolo.</v>
      </c>
    </row>
    <row r="19210">
      <c r="A19210" s="4" t="s">
        <v>24174</v>
      </c>
      <c r="B19210" s="4" t="s">
        <v>24177</v>
      </c>
      <c r="C19210" s="5" t="str">
        <f>IFERROR(__xludf.DUMMYFUNCTION("GOOGLETRANSLATE(B19210,""en"",""es-ES"")"),"Dos hombres están detrás de las cámaras que lo filman.")</f>
        <v>Dos hombres están detrás de las cámaras que lo filman.</v>
      </c>
    </row>
    <row r="19211">
      <c r="A19211" s="4" t="s">
        <v>24178</v>
      </c>
      <c r="B19211" s="4" t="s">
        <v>24179</v>
      </c>
      <c r="C19211" s="5" t="str">
        <f>IFERROR(__xludf.DUMMYFUNCTION("GOOGLETRANSLATE(B19211,""en"",""es-ES"")"),"Un equipo de jugadores de baloncesto se muestra en el lado derecho de la cancha haciendo bandejas.")</f>
        <v>Un equipo de jugadores de baloncesto se muestra en el lado derecho de la cancha haciendo bandejas.</v>
      </c>
    </row>
    <row r="19212">
      <c r="A19212" s="4" t="s">
        <v>24178</v>
      </c>
      <c r="B19212" s="4" t="s">
        <v>24180</v>
      </c>
      <c r="C19212" s="5" t="str">
        <f>IFERROR(__xludf.DUMMYFUNCTION("GOOGLETRANSLATE(B19212,""en"",""es-ES"")"),"Después de varios turnos, se mueven hacia el lado izquierdo de la cancha y comienzan a practicar los colocaciones una vez más.")</f>
        <v>Después de varios turnos, se mueven hacia el lado izquierdo de la cancha y comienzan a practicar los colocaciones una vez más.</v>
      </c>
    </row>
    <row r="19213">
      <c r="A19213" s="4" t="s">
        <v>24178</v>
      </c>
      <c r="B19213" s="4" t="s">
        <v>24181</v>
      </c>
      <c r="C19213" s="5" t="str">
        <f>IFERROR(__xludf.DUMMYFUNCTION("GOOGLETRANSLATE(B19213,""en"",""es-ES"")"),"Mientras van, una silla se sienta frente a ellos para servir como marcador y un hombre camina de un lado a otro mirándolos irse.")</f>
        <v>Mientras van, una silla se sienta frente a ellos para servir como marcador y un hombre camina de un lado a otro mirándolos irse.</v>
      </c>
    </row>
    <row r="19214">
      <c r="A19214" s="4" t="s">
        <v>24182</v>
      </c>
      <c r="B19214" s="4" t="s">
        <v>24183</v>
      </c>
      <c r="C19214" s="5" t="str">
        <f>IFERROR(__xludf.DUMMYFUNCTION("GOOGLETRANSLATE(B19214,""en"",""es-ES"")"),"Un hombre está de pie y camina en el gimnasio.")</f>
        <v>Un hombre está de pie y camina en el gimnasio.</v>
      </c>
    </row>
    <row r="19215">
      <c r="A19215" s="4" t="s">
        <v>24182</v>
      </c>
      <c r="B19215" s="4" t="s">
        <v>24184</v>
      </c>
      <c r="C19215" s="5" t="str">
        <f>IFERROR(__xludf.DUMMYFUNCTION("GOOGLETRANSLATE(B19215,""en"",""es-ES"")"),"El hombre se sentó en la máquina de remo y puso los pies en el pedal.")</f>
        <v>El hombre se sentó en la máquina de remo y puso los pies en el pedal.</v>
      </c>
    </row>
    <row r="19216">
      <c r="A19216" s="4" t="s">
        <v>24182</v>
      </c>
      <c r="B19216" s="4" t="s">
        <v>24185</v>
      </c>
      <c r="C19216" s="5" t="str">
        <f>IFERROR(__xludf.DUMMYFUNCTION("GOOGLETRANSLATE(B19216,""en"",""es-ES"")"),"El hombre comenzó a tirar del cinturón.")</f>
        <v>El hombre comenzó a tirar del cinturón.</v>
      </c>
    </row>
    <row r="19217">
      <c r="A19217" s="4" t="s">
        <v>24186</v>
      </c>
      <c r="B19217" s="4" t="s">
        <v>24187</v>
      </c>
      <c r="C19217" s="5" t="str">
        <f>IFERROR(__xludf.DUMMYFUNCTION("GOOGLETRANSLATE(B19217,""en"",""es-ES"")"),"Vemos niños en bicicletas de tierra en un campo de tierra con adultos parados sobre ellos.")</f>
        <v>Vemos niños en bicicletas de tierra en un campo de tierra con adultos parados sobre ellos.</v>
      </c>
    </row>
    <row r="19218">
      <c r="A19218" s="4" t="s">
        <v>24186</v>
      </c>
      <c r="B19218" s="4" t="s">
        <v>24188</v>
      </c>
      <c r="C19218" s="5" t="str">
        <f>IFERROR(__xludf.DUMMYFUNCTION("GOOGLETRANSLATE(B19218,""en"",""es-ES"")"),"Los niños despegan y comienzan por la pista Dirk.")</f>
        <v>Los niños despegan y comienzan por la pista Dirk.</v>
      </c>
    </row>
    <row r="19219">
      <c r="A19219" s="4" t="s">
        <v>24186</v>
      </c>
      <c r="B19219" s="4" t="s">
        <v>24189</v>
      </c>
      <c r="C19219" s="5" t="str">
        <f>IFERROR(__xludf.DUMMYFUNCTION("GOOGLETRANSLATE(B19219,""en"",""es-ES"")"),"Los niños tienen dificultades para recurrir para subir la pista de tierra.")</f>
        <v>Los niños tienen dificultades para recurrir para subir la pista de tierra.</v>
      </c>
    </row>
    <row r="19220">
      <c r="A19220" s="4" t="s">
        <v>24186</v>
      </c>
      <c r="B19220" s="4" t="s">
        <v>24190</v>
      </c>
      <c r="C19220" s="5" t="str">
        <f>IFERROR(__xludf.DUMMYFUNCTION("GOOGLETRANSLATE(B19220,""en"",""es-ES"")"),"Uno de los chicos ha caído y dejó caer su bicicleta.")</f>
        <v>Uno de los chicos ha caído y dejó caer su bicicleta.</v>
      </c>
    </row>
    <row r="19221">
      <c r="A19221" s="4" t="s">
        <v>24186</v>
      </c>
      <c r="B19221" s="4" t="s">
        <v>24191</v>
      </c>
      <c r="C19221" s="5" t="str">
        <f>IFERROR(__xludf.DUMMYFUNCTION("GOOGLETRANSLATE(B19221,""en"",""es-ES"")"),"Vemos a los niños de cinco hijos y mujeres al margen.")</f>
        <v>Vemos a los niños de cinco hijos y mujeres al margen.</v>
      </c>
    </row>
    <row r="19222">
      <c r="A19222" s="4" t="s">
        <v>24192</v>
      </c>
      <c r="B19222" s="4" t="s">
        <v>24193</v>
      </c>
      <c r="C19222" s="5" t="str">
        <f>IFERROR(__xludf.DUMMYFUNCTION("GOOGLETRANSLATE(B19222,""en"",""es-ES"")"),"El video es sobre Girls Varsity Water Polo.")</f>
        <v>El video es sobre Girls Varsity Water Polo.</v>
      </c>
    </row>
    <row r="19223">
      <c r="A19223" s="4" t="s">
        <v>24192</v>
      </c>
      <c r="B19223" s="4" t="s">
        <v>24194</v>
      </c>
      <c r="C19223" s="5" t="str">
        <f>IFERROR(__xludf.DUMMYFUNCTION("GOOGLETRANSLATE(B19223,""en"",""es-ES"")"),"Hay varias chicas que se preparan para ir a un evento deportivo de waterpolo.")</f>
        <v>Hay varias chicas que se preparan para ir a un evento deportivo de waterpolo.</v>
      </c>
    </row>
    <row r="19224">
      <c r="A19224" s="4" t="s">
        <v>24192</v>
      </c>
      <c r="B19224" s="4" t="s">
        <v>24195</v>
      </c>
      <c r="C19224" s="5" t="str">
        <f>IFERROR(__xludf.DUMMYFUNCTION("GOOGLETRANSLATE(B19224,""en"",""es-ES"")"),"Están sosteniendo sus mochilas y equipo.")</f>
        <v>Están sosteniendo sus mochilas y equipo.</v>
      </c>
    </row>
    <row r="19225">
      <c r="A19225" s="4" t="s">
        <v>24192</v>
      </c>
      <c r="B19225" s="4" t="s">
        <v>24196</v>
      </c>
      <c r="C19225" s="5" t="str">
        <f>IFERROR(__xludf.DUMMYFUNCTION("GOOGLETRANSLATE(B19225,""en"",""es-ES"")"),"Viajan juntos al evento y se registran en un hotel.")</f>
        <v>Viajan juntos al evento y se registran en un hotel.</v>
      </c>
    </row>
    <row r="19226">
      <c r="A19226" s="4" t="s">
        <v>24192</v>
      </c>
      <c r="B19226" s="4" t="s">
        <v>24197</v>
      </c>
      <c r="C19226" s="5" t="str">
        <f>IFERROR(__xludf.DUMMYFUNCTION("GOOGLETRANSLATE(B19226,""en"",""es-ES"")"),"Todo el equipo pasa tiempo juntos antes del evento.")</f>
        <v>Todo el equipo pasa tiempo juntos antes del evento.</v>
      </c>
    </row>
    <row r="19227">
      <c r="A19227" s="4" t="s">
        <v>24192</v>
      </c>
      <c r="B19227" s="4" t="s">
        <v>24198</v>
      </c>
      <c r="C19227" s="5" t="str">
        <f>IFERROR(__xludf.DUMMYFUNCTION("GOOGLETRANSLATE(B19227,""en"",""es-ES"")"),"Dos de los miembros del equipo hablan sobre su experiencia con el evento Water Polo.")</f>
        <v>Dos de los miembros del equipo hablan sobre su experiencia con el evento Water Polo.</v>
      </c>
    </row>
    <row r="19228">
      <c r="A19228" s="4" t="s">
        <v>24192</v>
      </c>
      <c r="B19228" s="4" t="s">
        <v>24199</v>
      </c>
      <c r="C19228" s="5" t="str">
        <f>IFERROR(__xludf.DUMMYFUNCTION("GOOGLETRANSLATE(B19228,""en"",""es-ES"")"),"Los miembros del equipo hablan sobre la competencia y cómo les fue en el deporte.")</f>
        <v>Los miembros del equipo hablan sobre la competencia y cómo les fue en el deporte.</v>
      </c>
    </row>
    <row r="19229">
      <c r="A19229" s="4" t="s">
        <v>24192</v>
      </c>
      <c r="B19229" s="4" t="s">
        <v>24200</v>
      </c>
      <c r="C19229" s="5" t="str">
        <f>IFERROR(__xludf.DUMMYFUNCTION("GOOGLETRANSLATE(B19229,""en"",""es-ES"")"),"La pantalla muestra todas las victorias finales y pierde en el waterpolo del equipo universitario de chicas.")</f>
        <v>La pantalla muestra todas las victorias finales y pierde en el waterpolo del equipo universitario de chicas.</v>
      </c>
    </row>
    <row r="19230">
      <c r="A19230" s="4" t="s">
        <v>24201</v>
      </c>
      <c r="B19230" s="4" t="s">
        <v>24202</v>
      </c>
      <c r="C19230" s="5" t="str">
        <f>IFERROR(__xludf.DUMMYFUNCTION("GOOGLETRANSLATE(B19230,""en"",""es-ES"")"),"Un hombre sin camisa toca tambores de bongo frente a un micrófono.")</f>
        <v>Un hombre sin camisa toca tambores de bongo frente a un micrófono.</v>
      </c>
    </row>
    <row r="19231">
      <c r="A19231" s="4" t="s">
        <v>24201</v>
      </c>
      <c r="B19231" s="4" t="s">
        <v>24203</v>
      </c>
      <c r="C19231" s="5" t="str">
        <f>IFERROR(__xludf.DUMMYFUNCTION("GOOGLETRANSLATE(B19231,""en"",""es-ES"")"),"Hay otros conjuntos de tambores a su izquierda.")</f>
        <v>Hay otros conjuntos de tambores a su izquierda.</v>
      </c>
    </row>
    <row r="19232">
      <c r="A19232" s="4" t="s">
        <v>24201</v>
      </c>
      <c r="B19232" s="4" t="s">
        <v>24204</v>
      </c>
      <c r="C19232" s="5" t="str">
        <f>IFERROR(__xludf.DUMMYFUNCTION("GOOGLETRANSLATE(B19232,""en"",""es-ES"")"),"A su derecha hay una bolsa verde y un sombrero situado en una mesa.")</f>
        <v>A su derecha hay una bolsa verde y un sombrero situado en una mesa.</v>
      </c>
    </row>
    <row r="19233">
      <c r="A19233" s="4" t="s">
        <v>24205</v>
      </c>
      <c r="B19233" s="4" t="s">
        <v>24206</v>
      </c>
      <c r="C19233" s="5" t="str">
        <f>IFERROR(__xludf.DUMMYFUNCTION("GOOGLETRANSLATE(B19233,""en"",""es-ES"")"),"Los suministros de limpieza (y la lista de nombres aparecen en la pantalla) están en una isla en una cocina.")</f>
        <v>Los suministros de limpieza (y la lista de nombres aparecen en la pantalla) están en una isla en una cocina.</v>
      </c>
    </row>
    <row r="19234">
      <c r="A19234" s="4" t="s">
        <v>24205</v>
      </c>
      <c r="B19234" s="4" t="s">
        <v>24207</v>
      </c>
      <c r="C19234" s="5" t="str">
        <f>IFERROR(__xludf.DUMMYFUNCTION("GOOGLETRANSLATE(B19234,""en"",""es-ES"")"),"Una mujer entra, agarra los suministros, comienza a rociar el fregadero y comienza a fregar con una esponja.")</f>
        <v>Una mujer entra, agarra los suministros, comienza a rociar el fregadero y comienza a fregar con una esponja.</v>
      </c>
    </row>
    <row r="19235">
      <c r="A19235" s="4" t="s">
        <v>24205</v>
      </c>
      <c r="B19235" s="4" t="s">
        <v>24208</v>
      </c>
      <c r="C19235" s="5" t="str">
        <f>IFERROR(__xludf.DUMMYFUNCTION("GOOGLETRANSLATE(B19235,""en"",""es-ES"")"),"La mujer luego comienza a enjuagar el fregadero con el rociador de mano hasta que todo esté limpio.")</f>
        <v>La mujer luego comienza a enjuagar el fregadero con el rociador de mano hasta que todo esté limpio.</v>
      </c>
    </row>
    <row r="19236">
      <c r="A19236" s="4" t="s">
        <v>24205</v>
      </c>
      <c r="B19236" s="4" t="s">
        <v>24209</v>
      </c>
      <c r="C19236" s="5" t="str">
        <f>IFERROR(__xludf.DUMMYFUNCTION("GOOGLETRANSLATE(B19236,""en"",""es-ES"")"),"El spray de limpieza está en el borde del mostrador y el texto en la pantalla debajo de ella decía ""Para las manchas difíciles, se repita según sea necesario.")</f>
        <v>El spray de limpieza está en el borde del mostrador y el texto en la pantalla debajo de ella decía "Para las manchas difíciles, se repita según sea necesario.</v>
      </c>
    </row>
    <row r="19237">
      <c r="A19237" s="4" t="s">
        <v>24210</v>
      </c>
      <c r="B19237" s="4" t="s">
        <v>24211</v>
      </c>
      <c r="C19237" s="5" t="str">
        <f>IFERROR(__xludf.DUMMYFUNCTION("GOOGLETRANSLATE(B19237,""en"",""es-ES"")"),"Dos jóvenes interpretan bailes de artes marciales.")</f>
        <v>Dos jóvenes interpretan bailes de artes marciales.</v>
      </c>
    </row>
    <row r="19238">
      <c r="A19238" s="4" t="s">
        <v>24210</v>
      </c>
      <c r="B19238" s="4" t="s">
        <v>24212</v>
      </c>
      <c r="C19238" s="5" t="str">
        <f>IFERROR(__xludf.DUMMYFUNCTION("GOOGLETRANSLATE(B19238,""en"",""es-ES"")"),"Un grupo de niños a su alrededor observa.")</f>
        <v>Un grupo de niños a su alrededor observa.</v>
      </c>
    </row>
    <row r="19239">
      <c r="A19239" s="4" t="s">
        <v>24210</v>
      </c>
      <c r="B19239" s="4" t="s">
        <v>24213</v>
      </c>
      <c r="C19239" s="5" t="str">
        <f>IFERROR(__xludf.DUMMYFUNCTION("GOOGLETRANSLATE(B19239,""en"",""es-ES"")"),"Detrás de The Performs se encuentra un grupo de hombres tocando música para la presentación.")</f>
        <v>Detrás de The Performs se encuentra un grupo de hombres tocando música para la presentación.</v>
      </c>
    </row>
    <row r="19240">
      <c r="A19240" s="4" t="s">
        <v>24210</v>
      </c>
      <c r="B19240" s="4" t="s">
        <v>24214</v>
      </c>
      <c r="C19240" s="5" t="str">
        <f>IFERROR(__xludf.DUMMYFUNCTION("GOOGLETRANSLATE(B19240,""en"",""es-ES"")"),"Los artistas regresan a sus asientos.")</f>
        <v>Los artistas regresan a sus asientos.</v>
      </c>
    </row>
    <row r="19241">
      <c r="A19241" s="4" t="s">
        <v>24215</v>
      </c>
      <c r="B19241" s="4" t="s">
        <v>24216</v>
      </c>
      <c r="C19241" s="5" t="str">
        <f>IFERROR(__xludf.DUMMYFUNCTION("GOOGLETRANSLATE(B19241,""en"",""es-ES"")"),"Un grupo de niños están parados en un campo de fútbol y una niña está hablando.")</f>
        <v>Un grupo de niños están parados en un campo de fútbol y una niña está hablando.</v>
      </c>
    </row>
    <row r="19242">
      <c r="A19242" s="4" t="s">
        <v>24215</v>
      </c>
      <c r="B19242" s="4" t="s">
        <v>24217</v>
      </c>
      <c r="C19242" s="5" t="str">
        <f>IFERROR(__xludf.DUMMYFUNCTION("GOOGLETRANSLATE(B19242,""en"",""es-ES"")"),"La niña está lista para patear una bola roja rodada en el suelo.")</f>
        <v>La niña está lista para patear una bola roja rodada en el suelo.</v>
      </c>
    </row>
    <row r="19243">
      <c r="A19243" s="4" t="s">
        <v>24215</v>
      </c>
      <c r="B19243" s="4" t="s">
        <v>24218</v>
      </c>
      <c r="C19243" s="5" t="str">
        <f>IFERROR(__xludf.DUMMYFUNCTION("GOOGLETRANSLATE(B19243,""en"",""es-ES"")"),"La joven con pantalones cortos azules y una camiseta corre y patea la pelota.")</f>
        <v>La joven con pantalones cortos azules y una camiseta corre y patea la pelota.</v>
      </c>
    </row>
    <row r="19244">
      <c r="A19244" s="4" t="s">
        <v>24215</v>
      </c>
      <c r="B19244" s="4" t="s">
        <v>24219</v>
      </c>
      <c r="C19244" s="5" t="str">
        <f>IFERROR(__xludf.DUMMYFUNCTION("GOOGLETRANSLATE(B19244,""en"",""es-ES"")"),"La joven se desliza hacia el primer tobogán de agua.")</f>
        <v>La joven se desliza hacia el primer tobogán de agua.</v>
      </c>
    </row>
    <row r="19245">
      <c r="A19245" s="4" t="s">
        <v>24215</v>
      </c>
      <c r="B19245" s="4" t="s">
        <v>24220</v>
      </c>
      <c r="C19245" s="5" t="str">
        <f>IFERROR(__xludf.DUMMYFUNCTION("GOOGLETRANSLATE(B19245,""en"",""es-ES"")"),"La niña se levanta y luego se desliza hacia el segundo tobogán de agua.")</f>
        <v>La niña se levanta y luego se desliza hacia el segundo tobogán de agua.</v>
      </c>
    </row>
    <row r="19246">
      <c r="A19246" s="4" t="s">
        <v>24221</v>
      </c>
      <c r="B19246" s="4" t="s">
        <v>24222</v>
      </c>
      <c r="C19246" s="5" t="str">
        <f>IFERROR(__xludf.DUMMYFUNCTION("GOOGLETRANSLATE(B19246,""en"",""es-ES"")"),"Un hombre atrapa un pez de un agujero en el hielo.")</f>
        <v>Un hombre atrapa un pez de un agujero en el hielo.</v>
      </c>
    </row>
    <row r="19247">
      <c r="A19247" s="4" t="s">
        <v>24221</v>
      </c>
      <c r="B19247" s="4" t="s">
        <v>24223</v>
      </c>
      <c r="C19247" s="5" t="str">
        <f>IFERROR(__xludf.DUMMYFUNCTION("GOOGLETRANSLATE(B19247,""en"",""es-ES"")"),"Luego, el hombre sostiene el pez que se mueve sobre el hielo.")</f>
        <v>Luego, el hombre sostiene el pez que se mueve sobre el hielo.</v>
      </c>
    </row>
    <row r="19248">
      <c r="A19248" s="4" t="s">
        <v>24221</v>
      </c>
      <c r="B19248" s="4" t="s">
        <v>24224</v>
      </c>
      <c r="C19248" s="5" t="str">
        <f>IFERROR(__xludf.DUMMYFUNCTION("GOOGLETRANSLATE(B19248,""en"",""es-ES"")"),"Después, el hombre puso una caña de metal en la boca del pez.")</f>
        <v>Después, el hombre puso una caña de metal en la boca del pez.</v>
      </c>
    </row>
    <row r="19249">
      <c r="A19249" s="4" t="s">
        <v>24225</v>
      </c>
      <c r="B19249" s="4" t="s">
        <v>24226</v>
      </c>
      <c r="C19249" s="5" t="str">
        <f>IFERROR(__xludf.DUMMYFUNCTION("GOOGLETRANSLATE(B19249,""en"",""es-ES"")"),"Se ve a una persona arrojando yeso sobre una pared mientras la cámara sigue a la persona cerca.")</f>
        <v>Se ve a una persona arrojando yeso sobre una pared mientras la cámara sigue a la persona cerca.</v>
      </c>
    </row>
    <row r="19250">
      <c r="A19250" s="4" t="s">
        <v>24225</v>
      </c>
      <c r="B19250" s="4" t="s">
        <v>24227</v>
      </c>
      <c r="C19250" s="5" t="str">
        <f>IFERROR(__xludf.DUMMYFUNCTION("GOOGLETRANSLATE(B19250,""en"",""es-ES"")"),"La persona gradualmente arroja más y más a la pared y la cámara se desplaza sobre el producto terminado.")</f>
        <v>La persona gradualmente arroja más y más a la pared y la cámara se desplaza sobre el producto terminado.</v>
      </c>
    </row>
    <row r="19251">
      <c r="A19251" s="4" t="s">
        <v>24228</v>
      </c>
      <c r="B19251" s="4" t="s">
        <v>24229</v>
      </c>
      <c r="C19251" s="5" t="str">
        <f>IFERROR(__xludf.DUMMYFUNCTION("GOOGLETRANSLATE(B19251,""en"",""es-ES"")"),"Se ve a mucha gente caminando al comienzo del video.")</f>
        <v>Se ve a mucha gente caminando al comienzo del video.</v>
      </c>
    </row>
    <row r="19252">
      <c r="A19252" s="4" t="s">
        <v>24228</v>
      </c>
      <c r="B19252" s="4" t="s">
        <v>24230</v>
      </c>
      <c r="C19252" s="5" t="str">
        <f>IFERROR(__xludf.DUMMYFUNCTION("GOOGLETRANSLATE(B19252,""en"",""es-ES"")"),"Luego se muestra a diferentes personas esquiando rampas para hacer trucos geniales.")</f>
        <v>Luego se muestra a diferentes personas esquiando rampas para hacer trucos geniales.</v>
      </c>
    </row>
    <row r="19253">
      <c r="A19253" s="4" t="s">
        <v>24231</v>
      </c>
      <c r="B19253" s="4" t="s">
        <v>24232</v>
      </c>
      <c r="C19253" s="5" t="str">
        <f>IFERROR(__xludf.DUMMYFUNCTION("GOOGLETRANSLATE(B19253,""en"",""es-ES"")"),"Un bebé come pan en una silla alta.")</f>
        <v>Un bebé come pan en una silla alta.</v>
      </c>
    </row>
    <row r="19254">
      <c r="A19254" s="4" t="s">
        <v>24231</v>
      </c>
      <c r="B19254" s="4" t="s">
        <v>24233</v>
      </c>
      <c r="C19254" s="5" t="str">
        <f>IFERROR(__xludf.DUMMYFUNCTION("GOOGLETRANSLATE(B19254,""en"",""es-ES"")"),"Una persona pone algo en los ojos del bebé.")</f>
        <v>Una persona pone algo en los ojos del bebé.</v>
      </c>
    </row>
    <row r="19255">
      <c r="A19255" s="4" t="s">
        <v>24231</v>
      </c>
      <c r="B19255" s="4" t="s">
        <v>24234</v>
      </c>
      <c r="C19255" s="5" t="str">
        <f>IFERROR(__xludf.DUMMYFUNCTION("GOOGLETRANSLATE(B19255,""en"",""es-ES"")"),"Una persona se mete con el cabello del bebé.")</f>
        <v>Una persona se mete con el cabello del bebé.</v>
      </c>
    </row>
    <row r="19256">
      <c r="A19256" s="4" t="s">
        <v>24235</v>
      </c>
      <c r="B19256" s="4" t="s">
        <v>24236</v>
      </c>
      <c r="C19256" s="5" t="str">
        <f>IFERROR(__xludf.DUMMYFUNCTION("GOOGLETRANSLATE(B19256,""en"",""es-ES"")"),"Un niño está sentado frente a un escritorio mientras juega con un cubo de Rubik.")</f>
        <v>Un niño está sentado frente a un escritorio mientras juega con un cubo de Rubik.</v>
      </c>
    </row>
    <row r="19257">
      <c r="A19257" s="4" t="s">
        <v>24235</v>
      </c>
      <c r="B19257" s="4" t="s">
        <v>24237</v>
      </c>
      <c r="C19257" s="5" t="str">
        <f>IFERROR(__xludf.DUMMYFUNCTION("GOOGLETRANSLATE(B19257,""en"",""es-ES"")"),"Termina el cubo y lo coloca en el escritorio y rápidamente detiene un temporizador.")</f>
        <v>Termina el cubo y lo coloca en el escritorio y rápidamente detiene un temporizador.</v>
      </c>
    </row>
    <row r="19258">
      <c r="A19258" s="4" t="s">
        <v>24235</v>
      </c>
      <c r="B19258" s="4" t="s">
        <v>24238</v>
      </c>
      <c r="C19258" s="5" t="str">
        <f>IFERROR(__xludf.DUMMYFUNCTION("GOOGLETRANSLATE(B19258,""en"",""es-ES"")"),"Él toma el cubo nuevamente y comienza a completarlo.")</f>
        <v>Él toma el cubo nuevamente y comienza a completarlo.</v>
      </c>
    </row>
    <row r="19259">
      <c r="A19259" s="4" t="s">
        <v>24235</v>
      </c>
      <c r="B19259" s="4" t="s">
        <v>24239</v>
      </c>
      <c r="C19259" s="5" t="str">
        <f>IFERROR(__xludf.DUMMYFUNCTION("GOOGLETRANSLATE(B19259,""en"",""es-ES"")"),"Termina de nuevo y comienza otro juego del cubo.")</f>
        <v>Termina de nuevo y comienza otro juego del cubo.</v>
      </c>
    </row>
    <row r="19260">
      <c r="A19260" s="4" t="s">
        <v>24240</v>
      </c>
      <c r="B19260" s="4" t="s">
        <v>24241</v>
      </c>
      <c r="C19260" s="5" t="str">
        <f>IFERROR(__xludf.DUMMYFUNCTION("GOOGLETRANSLATE(B19260,""en"",""es-ES"")"),"Aparece una introducción en la pantalla para un video de un hombre que tocará los ronos.")</f>
        <v>Aparece una introducción en la pantalla para un video de un hombre que tocará los ronos.</v>
      </c>
    </row>
    <row r="19261">
      <c r="A19261" s="4" t="s">
        <v>24240</v>
      </c>
      <c r="B19261" s="4" t="s">
        <v>24242</v>
      </c>
      <c r="C19261" s="5" t="str">
        <f>IFERROR(__xludf.DUMMYFUNCTION("GOOGLETRANSLATE(B19261,""en"",""es-ES"")"),"El hombre comienza a tocar la batería mientras la cámara lo registra.")</f>
        <v>El hombre comienza a tocar la batería mientras la cámara lo registra.</v>
      </c>
    </row>
    <row r="19262">
      <c r="A19262" s="4" t="s">
        <v>24240</v>
      </c>
      <c r="B19262" s="4" t="s">
        <v>24243</v>
      </c>
      <c r="C19262" s="5" t="str">
        <f>IFERROR(__xludf.DUMMYFUNCTION("GOOGLETRANSLATE(B19262,""en"",""es-ES"")"),"Hace una pausa y la gente se ríe y disfruta de la música.")</f>
        <v>Hace una pausa y la gente se ríe y disfruta de la música.</v>
      </c>
    </row>
    <row r="19263">
      <c r="A19263" s="4" t="s">
        <v>24240</v>
      </c>
      <c r="B19263" s="4" t="s">
        <v>24244</v>
      </c>
      <c r="C19263" s="5" t="str">
        <f>IFERROR(__xludf.DUMMYFUNCTION("GOOGLETRANSLATE(B19263,""en"",""es-ES"")"),"Hace una pausa de nuevo y espera una reacción de la multitud.")</f>
        <v>Hace una pausa de nuevo y espera una reacción de la multitud.</v>
      </c>
    </row>
    <row r="19264">
      <c r="A19264" s="4" t="s">
        <v>24240</v>
      </c>
      <c r="B19264" s="4" t="s">
        <v>24245</v>
      </c>
      <c r="C19264" s="5" t="str">
        <f>IFERROR(__xludf.DUMMYFUNCTION("GOOGLETRANSLATE(B19264,""en"",""es-ES"")"),"La cámara se vuelve para mostrar a las personas que disfrutan de la música.")</f>
        <v>La cámara se vuelve para mostrar a las personas que disfrutan de la música.</v>
      </c>
    </row>
    <row r="19265">
      <c r="A19265" s="4" t="s">
        <v>24240</v>
      </c>
      <c r="B19265" s="4" t="s">
        <v>4959</v>
      </c>
      <c r="C19265" s="5" t="str">
        <f>IFERROR(__xludf.DUMMYFUNCTION("GOOGLETRANSLATE(B19265,""en"",""es-ES"")"),"El video termina con los créditos de cierre.")</f>
        <v>El video termina con los créditos de cierre.</v>
      </c>
    </row>
    <row r="19266">
      <c r="A19266" s="4" t="s">
        <v>24246</v>
      </c>
      <c r="B19266" s="4" t="s">
        <v>24247</v>
      </c>
      <c r="C19266" s="5" t="str">
        <f>IFERROR(__xludf.DUMMYFUNCTION("GOOGLETRANSLATE(B19266,""en"",""es-ES"")"),"Un grupo de mujeres usa uniformes del equipo de voleibol parados en un gimnasio interior, y una mujer joven que tiene un número 10 en su camisa está rebotando en el voleibol y preparándose para servir.")</f>
        <v>Un grupo de mujeres usa uniformes del equipo de voleibol parados en un gimnasio interior, y una mujer joven que tiene un número 10 en su camisa está rebotando en el voleibol y preparándose para servir.</v>
      </c>
    </row>
    <row r="19267">
      <c r="A19267" s="4" t="s">
        <v>24246</v>
      </c>
      <c r="B19267" s="4" t="s">
        <v>24248</v>
      </c>
      <c r="C19267" s="5" t="str">
        <f>IFERROR(__xludf.DUMMYFUNCTION("GOOGLETRANSLATE(B19267,""en"",""es-ES"")"),"La mujer sirve la pelota y se produce un juego, ya que todas las mujeres mantienen la pelota en el área y la golpean en la red varias veces tratando de mantenerlo en los límites.")</f>
        <v>La mujer sirve la pelota y se produce un juego, ya que todas las mujeres mantienen la pelota en el área y la golpean en la red varias veces tratando de mantenerlo en los límites.</v>
      </c>
    </row>
    <row r="19268">
      <c r="A19268" s="4" t="s">
        <v>24246</v>
      </c>
      <c r="B19268" s="4" t="s">
        <v>24249</v>
      </c>
      <c r="C19268" s="5" t="str">
        <f>IFERROR(__xludf.DUMMYFUNCTION("GOOGLETRANSLATE(B19268,""en"",""es-ES"")"),"La misma mujer que sirvió la pelota golpea muy fuerte la pelota, el otro equipo lo pierde y sus compañeros de equipo animan.")</f>
        <v>La misma mujer que sirvió la pelota golpea muy fuerte la pelota, el otro equipo lo pierde y sus compañeros de equipo animan.</v>
      </c>
    </row>
    <row r="19269">
      <c r="A19269" s="4" t="s">
        <v>24246</v>
      </c>
      <c r="B19269" s="4" t="s">
        <v>24250</v>
      </c>
      <c r="C19269" s="5" t="str">
        <f>IFERROR(__xludf.DUMMYFUNCTION("GOOGLETRANSLATE(B19269,""en"",""es-ES"")"),"La misma mujer que sirvió anteriormente sirve al voleibol una vez más y el otro equipo rápidamente golpea la pelota que envía al miembro del equipo contrario rodando al suelo en un intento de salvar la pelota de golpear el suelo.")</f>
        <v>La misma mujer que sirvió anteriormente sirve al voleibol una vez más y el otro equipo rápidamente golpea la pelota que envía al miembro del equipo contrario rodando al suelo en un intento de salvar la pelota de golpear el suelo.</v>
      </c>
    </row>
    <row r="19270">
      <c r="A19270" s="4" t="s">
        <v>24251</v>
      </c>
      <c r="B19270" s="4" t="s">
        <v>24252</v>
      </c>
      <c r="C19270" s="5" t="str">
        <f>IFERROR(__xludf.DUMMYFUNCTION("GOOGLETRANSLATE(B19270,""en"",""es-ES"")"),"Se ve a un hombre hablando con la cámara y lo lleva a frotar una ventana.")</f>
        <v>Se ve a un hombre hablando con la cámara y lo lleva a frotar una ventana.</v>
      </c>
    </row>
    <row r="19271">
      <c r="A19271" s="4" t="s">
        <v>24251</v>
      </c>
      <c r="B19271" s="4" t="s">
        <v>24253</v>
      </c>
      <c r="C19271" s="5" t="str">
        <f>IFERROR(__xludf.DUMMYFUNCTION("GOOGLETRANSLATE(B19271,""en"",""es-ES"")"),"Él raye la ventana con limpiador y muestra varios métodos sobre cómo usar un limpiaparabrisas correctamente.")</f>
        <v>Él raye la ventana con limpiador y muestra varios métodos sobre cómo usar un limpiaparabrisas correctamente.</v>
      </c>
    </row>
    <row r="19272">
      <c r="A19272" s="4" t="s">
        <v>24251</v>
      </c>
      <c r="B19272" s="4" t="s">
        <v>24254</v>
      </c>
      <c r="C19272" s="5" t="str">
        <f>IFERROR(__xludf.DUMMYFUNCTION("GOOGLETRANSLATE(B19272,""en"",""es-ES"")"),"La ventana está limpia al final y todavía se lo ve hablando con la cámara.")</f>
        <v>La ventana está limpia al final y todavía se lo ve hablando con la cámara.</v>
      </c>
    </row>
    <row r="19273">
      <c r="A19273" s="4" t="s">
        <v>24255</v>
      </c>
      <c r="B19273" s="4" t="s">
        <v>24256</v>
      </c>
      <c r="C19273" s="5" t="str">
        <f>IFERROR(__xludf.DUMMYFUNCTION("GOOGLETRANSLATE(B19273,""en"",""es-ES"")"),"Varias canoas son senados que conducen a disparos de personas que viajan en las canoas.")</f>
        <v>Varias canoas son senados que conducen a disparos de personas que viajan en las canoas.</v>
      </c>
    </row>
    <row r="19274">
      <c r="A19274" s="4" t="s">
        <v>24255</v>
      </c>
      <c r="B19274" s="4" t="s">
        <v>24257</v>
      </c>
      <c r="C19274" s="5" t="str">
        <f>IFERROR(__xludf.DUMMYFUNCTION("GOOGLETRANSLATE(B19274,""en"",""es-ES"")"),"Se ve a un hombre hablando con la cámara y montar en una canoa con otra mujer.")</f>
        <v>Se ve a un hombre hablando con la cámara y montar en una canoa con otra mujer.</v>
      </c>
    </row>
    <row r="19275">
      <c r="A19275" s="4" t="s">
        <v>24255</v>
      </c>
      <c r="B19275" s="4" t="s">
        <v>24258</v>
      </c>
      <c r="C19275" s="5" t="str">
        <f>IFERROR(__xludf.DUMMYFUNCTION("GOOGLETRANSLATE(B19275,""en"",""es-ES"")"),"Se ve a más personas cabalgando por el río en canoas mientras el hombre continúa hablando.")</f>
        <v>Se ve a más personas cabalgando por el río en canoas mientras el hombre continúa hablando.</v>
      </c>
    </row>
    <row r="19276">
      <c r="A19276" s="4" t="s">
        <v>24259</v>
      </c>
      <c r="B19276" s="4" t="s">
        <v>24260</v>
      </c>
      <c r="C19276" s="5" t="str">
        <f>IFERROR(__xludf.DUMMYFUNCTION("GOOGLETRANSLATE(B19276,""en"",""es-ES"")"),"Los chicos se paran en un blanqueador.")</f>
        <v>Los chicos se paran en un blanqueador.</v>
      </c>
    </row>
    <row r="19277">
      <c r="A19277" s="4" t="s">
        <v>24259</v>
      </c>
      <c r="B19277" s="4" t="s">
        <v>24261</v>
      </c>
      <c r="C19277" s="5" t="str">
        <f>IFERROR(__xludf.DUMMYFUNCTION("GOOGLETRANSLATE(B19277,""en"",""es-ES"")"),"Los chicos juegan al fútbol de playa.")</f>
        <v>Los chicos juegan al fútbol de playa.</v>
      </c>
    </row>
    <row r="19278">
      <c r="A19278" s="4" t="s">
        <v>24259</v>
      </c>
      <c r="B19278" s="4" t="s">
        <v>24262</v>
      </c>
      <c r="C19278" s="5" t="str">
        <f>IFERROR(__xludf.DUMMYFUNCTION("GOOGLETRANSLATE(B19278,""en"",""es-ES"")"),"Un hombre da una entrevista.")</f>
        <v>Un hombre da una entrevista.</v>
      </c>
    </row>
    <row r="19279">
      <c r="A19279" s="4" t="s">
        <v>24259</v>
      </c>
      <c r="B19279" s="4" t="s">
        <v>24263</v>
      </c>
      <c r="C19279" s="5" t="str">
        <f>IFERROR(__xludf.DUMMYFUNCTION("GOOGLETRANSLATE(B19279,""en"",""es-ES"")"),"Un jugador hace malabares con dos bolas de fútbol.")</f>
        <v>Un jugador hace malabares con dos bolas de fútbol.</v>
      </c>
    </row>
    <row r="19280">
      <c r="A19280" s="4" t="s">
        <v>24264</v>
      </c>
      <c r="B19280" s="4" t="s">
        <v>24265</v>
      </c>
      <c r="C19280" s="5" t="str">
        <f>IFERROR(__xludf.DUMMYFUNCTION("GOOGLETRANSLATE(B19280,""en"",""es-ES"")"),"Una chica con una camisa amarilla está comiendo un cono de helado.")</f>
        <v>Una chica con una camisa amarilla está comiendo un cono de helado.</v>
      </c>
    </row>
    <row r="19281">
      <c r="A19281" s="4" t="s">
        <v>24264</v>
      </c>
      <c r="B19281" s="4" t="s">
        <v>24266</v>
      </c>
      <c r="C19281" s="5" t="str">
        <f>IFERROR(__xludf.DUMMYFUNCTION("GOOGLETRANSLATE(B19281,""en"",""es-ES"")"),"Un niño con una camisa a rayas está sentada frente a ella comiendo un cono de helado.")</f>
        <v>Un niño con una camisa a rayas está sentada frente a ella comiendo un cono de helado.</v>
      </c>
    </row>
    <row r="19282">
      <c r="A19282" s="4" t="s">
        <v>24264</v>
      </c>
      <c r="B19282" s="4" t="s">
        <v>24267</v>
      </c>
      <c r="C19282" s="5" t="str">
        <f>IFERROR(__xludf.DUMMYFUNCTION("GOOGLETRANSLATE(B19282,""en"",""es-ES"")"),"Un hombre al lado de él la mira.")</f>
        <v>Un hombre al lado de él la mira.</v>
      </c>
    </row>
    <row r="19283">
      <c r="A19283" s="4" t="s">
        <v>24268</v>
      </c>
      <c r="B19283" s="4" t="s">
        <v>24269</v>
      </c>
      <c r="C19283" s="5" t="str">
        <f>IFERROR(__xludf.DUMMYFUNCTION("GOOGLETRANSLATE(B19283,""en"",""es-ES"")"),"Un chico gira una pelota unida a una cuerda.")</f>
        <v>Un chico gira una pelota unida a una cuerda.</v>
      </c>
    </row>
    <row r="19284">
      <c r="A19284" s="4" t="s">
        <v>24268</v>
      </c>
      <c r="B19284" s="4" t="s">
        <v>24270</v>
      </c>
      <c r="C19284" s="5" t="str">
        <f>IFERROR(__xludf.DUMMYFUNCTION("GOOGLETRANSLATE(B19284,""en"",""es-ES"")"),"El tipo libera el apego de pelota y cuerda al área detrás de él.")</f>
        <v>El tipo libera el apego de pelota y cuerda al área detrás de él.</v>
      </c>
    </row>
    <row r="19285">
      <c r="A19285" s="4" t="s">
        <v>24268</v>
      </c>
      <c r="B19285" s="4" t="s">
        <v>24271</v>
      </c>
      <c r="C19285" s="5" t="str">
        <f>IFERROR(__xludf.DUMMYFUNCTION("GOOGLETRANSLATE(B19285,""en"",""es-ES"")"),"El tipo gira la pelota unida a una cuerda y cae al suelo.")</f>
        <v>El tipo gira la pelota unida a una cuerda y cae al suelo.</v>
      </c>
    </row>
    <row r="19286">
      <c r="A19286" s="4" t="s">
        <v>24272</v>
      </c>
      <c r="B19286" s="4" t="s">
        <v>24273</v>
      </c>
      <c r="C19286" s="5" t="str">
        <f>IFERROR(__xludf.DUMMYFUNCTION("GOOGLETRANSLATE(B19286,""en"",""es-ES"")"),"Un hombre con camisa blanca y White Lifevest está sentado en una sola balsa naranja.")</f>
        <v>Un hombre con camisa blanca y White Lifevest está sentado en una sola balsa naranja.</v>
      </c>
    </row>
    <row r="19287">
      <c r="A19287" s="4" t="s">
        <v>24272</v>
      </c>
      <c r="B19287" s="4" t="s">
        <v>24274</v>
      </c>
      <c r="C19287" s="5" t="str">
        <f>IFERROR(__xludf.DUMMYFUNCTION("GOOGLETRANSLATE(B19287,""en"",""es-ES"")"),"El hombre en una balsa va contra las olas de agua, remar y la balsa se está girando en el círculo.")</f>
        <v>El hombre en una balsa va contra las olas de agua, remar y la balsa se está girando en el círculo.</v>
      </c>
    </row>
    <row r="19288">
      <c r="A19288" s="4" t="s">
        <v>24275</v>
      </c>
      <c r="B19288" s="4" t="s">
        <v>24276</v>
      </c>
      <c r="C19288" s="5" t="str">
        <f>IFERROR(__xludf.DUMMYFUNCTION("GOOGLETRANSLATE(B19288,""en"",""es-ES"")"),"Se muestra una habitación vacía con baldosas amarillas.")</f>
        <v>Se muestra una habitación vacía con baldosas amarillas.</v>
      </c>
    </row>
    <row r="19289">
      <c r="A19289" s="4" t="s">
        <v>24275</v>
      </c>
      <c r="B19289" s="4" t="s">
        <v>24277</v>
      </c>
      <c r="C19289" s="5" t="str">
        <f>IFERROR(__xludf.DUMMYFUNCTION("GOOGLETRANSLATE(B19289,""en"",""es-ES"")"),"Un hombre con una camisa blanca está pintando una pared.")</f>
        <v>Un hombre con una camisa blanca está pintando una pared.</v>
      </c>
    </row>
    <row r="19290">
      <c r="A19290" s="4" t="s">
        <v>24275</v>
      </c>
      <c r="B19290" s="4" t="s">
        <v>24278</v>
      </c>
      <c r="C19290" s="5" t="str">
        <f>IFERROR(__xludf.DUMMYFUNCTION("GOOGLETRANSLATE(B19290,""en"",""es-ES"")"),"Se da la vuelta y mira la cámara.")</f>
        <v>Se da la vuelta y mira la cámara.</v>
      </c>
    </row>
    <row r="19291">
      <c r="A19291" s="4" t="s">
        <v>24279</v>
      </c>
      <c r="B19291" s="4" t="s">
        <v>24280</v>
      </c>
      <c r="C19291" s="5" t="str">
        <f>IFERROR(__xludf.DUMMYFUNCTION("GOOGLETRANSLATE(B19291,""en"",""es-ES"")"),"Vemos una serie de pantallas de títulos.")</f>
        <v>Vemos una serie de pantallas de títulos.</v>
      </c>
    </row>
    <row r="19292">
      <c r="A19292" s="4" t="s">
        <v>24279</v>
      </c>
      <c r="B19292" s="4" t="s">
        <v>24281</v>
      </c>
      <c r="C19292" s="5" t="str">
        <f>IFERROR(__xludf.DUMMYFUNCTION("GOOGLETRANSLATE(B19292,""en"",""es-ES"")"),"Luego vemos un partido de bádminton.")</f>
        <v>Luego vemos un partido de bádminton.</v>
      </c>
    </row>
    <row r="19293">
      <c r="A19293" s="4" t="s">
        <v>24279</v>
      </c>
      <c r="B19293" s="4" t="s">
        <v>24282</v>
      </c>
      <c r="C19293" s="5" t="str">
        <f>IFERROR(__xludf.DUMMYFUNCTION("GOOGLETRANSLATE(B19293,""en"",""es-ES"")"),"Vemos una ilustración de bádminton.")</f>
        <v>Vemos una ilustración de bádminton.</v>
      </c>
    </row>
    <row r="19294">
      <c r="A19294" s="4" t="s">
        <v>24279</v>
      </c>
      <c r="B19294" s="4" t="s">
        <v>24283</v>
      </c>
      <c r="C19294" s="5" t="str">
        <f>IFERROR(__xludf.DUMMYFUNCTION("GOOGLETRANSLATE(B19294,""en"",""es-ES"")"),"Luego vemos a una dama y un hombre jugando en el interior.")</f>
        <v>Luego vemos a una dama y un hombre jugando en el interior.</v>
      </c>
    </row>
    <row r="19295">
      <c r="A19295" s="4" t="s">
        <v>24279</v>
      </c>
      <c r="B19295" s="4" t="s">
        <v>24284</v>
      </c>
      <c r="C19295" s="5" t="str">
        <f>IFERROR(__xludf.DUMMYFUNCTION("GOOGLETRANSLATE(B19295,""en"",""es-ES"")"),"Vemos animaciones cuando el hombre golpea la pelota.")</f>
        <v>Vemos animaciones cuando el hombre golpea la pelota.</v>
      </c>
    </row>
    <row r="19296">
      <c r="A19296" s="4" t="s">
        <v>24279</v>
      </c>
      <c r="B19296" s="4" t="s">
        <v>24285</v>
      </c>
      <c r="C19296" s="5" t="str">
        <f>IFERROR(__xludf.DUMMYFUNCTION("GOOGLETRANSLATE(B19296,""en"",""es-ES"")"),"Vemos una ilustración del hombre.")</f>
        <v>Vemos una ilustración del hombre.</v>
      </c>
    </row>
    <row r="19297">
      <c r="A19297" s="4" t="s">
        <v>24279</v>
      </c>
      <c r="B19297" s="4" t="s">
        <v>4452</v>
      </c>
      <c r="C19297" s="5" t="str">
        <f>IFERROR(__xludf.DUMMYFUNCTION("GOOGLETRANSLATE(B19297,""en"",""es-ES"")"),"Luego vemos la pantalla final.")</f>
        <v>Luego vemos la pantalla final.</v>
      </c>
    </row>
    <row r="19298">
      <c r="A19298" s="4" t="s">
        <v>24279</v>
      </c>
      <c r="B19298" s="4" t="s">
        <v>24286</v>
      </c>
      <c r="C19298" s="5" t="str">
        <f>IFERROR(__xludf.DUMMYFUNCTION("GOOGLETRANSLATE(B19298,""en"",""es-ES"")"),"Un hombre está hablando en una habitación verde.")</f>
        <v>Un hombre está hablando en una habitación verde.</v>
      </c>
    </row>
    <row r="19299">
      <c r="A19299" s="4" t="s">
        <v>24287</v>
      </c>
      <c r="B19299" s="4" t="s">
        <v>24288</v>
      </c>
      <c r="C19299" s="5" t="str">
        <f>IFERROR(__xludf.DUMMYFUNCTION("GOOGLETRANSLATE(B19299,""en"",""es-ES"")"),"Se ven dos personas jugando una mesa de fooseball y animando entre sí.")</f>
        <v>Se ven dos personas jugando una mesa de fooseball y animando entre sí.</v>
      </c>
    </row>
    <row r="19300">
      <c r="A19300" s="4" t="s">
        <v>24287</v>
      </c>
      <c r="B19300" s="4" t="s">
        <v>24289</v>
      </c>
      <c r="C19300" s="5" t="str">
        <f>IFERROR(__xludf.DUMMYFUNCTION("GOOGLETRANSLATE(B19300,""en"",""es-ES"")"),"La gente continúa jugando y deteniéndose para animar con un apretón de manos.")</f>
        <v>La gente continúa jugando y deteniéndose para animar con un apretón de manos.</v>
      </c>
    </row>
    <row r="19301">
      <c r="A19301" s="4" t="s">
        <v>24290</v>
      </c>
      <c r="B19301" s="4" t="s">
        <v>24291</v>
      </c>
      <c r="C19301" s="5" t="str">
        <f>IFERROR(__xludf.DUMMYFUNCTION("GOOGLETRANSLATE(B19301,""en"",""es-ES"")"),"Se muestra un soporte de pincel verde.")</f>
        <v>Se muestra un soporte de pincel verde.</v>
      </c>
    </row>
    <row r="19302">
      <c r="A19302" s="4" t="s">
        <v>24290</v>
      </c>
      <c r="B19302" s="4" t="s">
        <v>24292</v>
      </c>
      <c r="C19302" s="5" t="str">
        <f>IFERROR(__xludf.DUMMYFUNCTION("GOOGLETRANSLATE(B19302,""en"",""es-ES"")"),"El cepillo de la pintura se muestra en el dedo de una persona.")</f>
        <v>El cepillo de la pintura se muestra en el dedo de una persona.</v>
      </c>
    </row>
    <row r="19303">
      <c r="A19303" s="4" t="s">
        <v>24290</v>
      </c>
      <c r="B19303" s="4" t="s">
        <v>24293</v>
      </c>
      <c r="C19303" s="5" t="str">
        <f>IFERROR(__xludf.DUMMYFUNCTION("GOOGLETRANSLATE(B19303,""en"",""es-ES"")"),"Están pintando con el cepillo.")</f>
        <v>Están pintando con el cepillo.</v>
      </c>
    </row>
    <row r="19304">
      <c r="A19304" s="4" t="s">
        <v>24290</v>
      </c>
      <c r="B19304" s="4" t="s">
        <v>24294</v>
      </c>
      <c r="C19304" s="5" t="str">
        <f>IFERROR(__xludf.DUMMYFUNCTION("GOOGLETRANSLATE(B19304,""en"",""es-ES"")"),"Están dejando caer más delgados en la pintura con un gotero.")</f>
        <v>Están dejando caer más delgados en la pintura con un gotero.</v>
      </c>
    </row>
    <row r="19305">
      <c r="A19305" s="4" t="s">
        <v>24290</v>
      </c>
      <c r="B19305" s="4" t="s">
        <v>24295</v>
      </c>
      <c r="C19305" s="5" t="str">
        <f>IFERROR(__xludf.DUMMYFUNCTION("GOOGLETRANSLATE(B19305,""en"",""es-ES"")"),"Hay un avión modelo sentado sobre la mesa.")</f>
        <v>Hay un avión modelo sentado sobre la mesa.</v>
      </c>
    </row>
    <row r="19306">
      <c r="A19306" s="4" t="s">
        <v>24290</v>
      </c>
      <c r="B19306" s="4" t="s">
        <v>24296</v>
      </c>
      <c r="C19306" s="5" t="str">
        <f>IFERROR(__xludf.DUMMYFUNCTION("GOOGLETRANSLATE(B19306,""en"",""es-ES"")"),"El avión se está pintando un color dorado.")</f>
        <v>El avión se está pintando un color dorado.</v>
      </c>
    </row>
    <row r="19307">
      <c r="A19307" s="4" t="s">
        <v>24290</v>
      </c>
      <c r="B19307" s="4" t="s">
        <v>24297</v>
      </c>
      <c r="C19307" s="5" t="str">
        <f>IFERROR(__xludf.DUMMYFUNCTION("GOOGLETRANSLATE(B19307,""en"",""es-ES"")"),"Se muestra un pincel verde y girado.")</f>
        <v>Se muestra un pincel verde y girado.</v>
      </c>
    </row>
    <row r="19308">
      <c r="A19308" s="4" t="s">
        <v>24298</v>
      </c>
      <c r="B19308" s="4" t="s">
        <v>24299</v>
      </c>
      <c r="C19308" s="5" t="str">
        <f>IFERROR(__xludf.DUMMYFUNCTION("GOOGLETRANSLATE(B19308,""en"",""es-ES"")"),"Se ve a una persona caminando por la nieve y tirando de un trineo detrás de él.")</f>
        <v>Se ve a una persona caminando por la nieve y tirando de un trineo detrás de él.</v>
      </c>
    </row>
    <row r="19309">
      <c r="A19309" s="4" t="s">
        <v>24298</v>
      </c>
      <c r="B19309" s="4" t="s">
        <v>24300</v>
      </c>
      <c r="C19309" s="5" t="str">
        <f>IFERROR(__xludf.DUMMYFUNCTION("GOOGLETRANSLATE(B19309,""en"",""es-ES"")"),"La persona corta un agujero en el hielo, así como el cebo y finalmente atrapa un pez.")</f>
        <v>La persona corta un agujero en el hielo, así como el cebo y finalmente atrapa un pez.</v>
      </c>
    </row>
    <row r="19310">
      <c r="A19310" s="4" t="s">
        <v>24298</v>
      </c>
      <c r="B19310" s="4" t="s">
        <v>24301</v>
      </c>
      <c r="C19310" s="5" t="str">
        <f>IFERROR(__xludf.DUMMYFUNCTION("GOOGLETRANSLATE(B19310,""en"",""es-ES"")"),"El hombre corta el pescado, lo cocina y luego se lo ve comiéndolo y alejándose.")</f>
        <v>El hombre corta el pescado, lo cocina y luego se lo ve comiéndolo y alejándose.</v>
      </c>
    </row>
    <row r="19311">
      <c r="A19311" s="4" t="s">
        <v>24302</v>
      </c>
      <c r="B19311" s="4" t="s">
        <v>24303</v>
      </c>
      <c r="C19311" s="5" t="str">
        <f>IFERROR(__xludf.DUMMYFUNCTION("GOOGLETRANSLATE(B19311,""en"",""es-ES"")"),"Una dama está lavando a un perro pequeño en un fregadero.")</f>
        <v>Una dama está lavando a un perro pequeño en un fregadero.</v>
      </c>
    </row>
    <row r="19312">
      <c r="A19312" s="4" t="s">
        <v>24302</v>
      </c>
      <c r="B19312" s="4" t="s">
        <v>24304</v>
      </c>
      <c r="C19312" s="5" t="str">
        <f>IFERROR(__xludf.DUMMYFUNCTION("GOOGLETRANSLATE(B19312,""en"",""es-ES"")"),"La señora pone champú al perro.")</f>
        <v>La señora pone champú al perro.</v>
      </c>
    </row>
    <row r="19313">
      <c r="A19313" s="4" t="s">
        <v>24302</v>
      </c>
      <c r="B19313" s="4" t="s">
        <v>24305</v>
      </c>
      <c r="C19313" s="5" t="str">
        <f>IFERROR(__xludf.DUMMYFUNCTION("GOOGLETRANSLATE(B19313,""en"",""es-ES"")"),"La señora recoge al perro de nuevo.")</f>
        <v>La señora recoge al perro de nuevo.</v>
      </c>
    </row>
    <row r="19314">
      <c r="A19314" s="4" t="s">
        <v>24302</v>
      </c>
      <c r="B19314" s="4" t="s">
        <v>24306</v>
      </c>
      <c r="C19314" s="5" t="str">
        <f>IFERROR(__xludf.DUMMYFUNCTION("GOOGLETRANSLATE(B19314,""en"",""es-ES"")"),"La señora lleva al perro a una mesa y lo deja de pie.")</f>
        <v>La señora lleva al perro a una mesa y lo deja de pie.</v>
      </c>
    </row>
    <row r="19315">
      <c r="A19315" s="4" t="s">
        <v>24302</v>
      </c>
      <c r="B19315" s="4" t="s">
        <v>24307</v>
      </c>
      <c r="C19315" s="5" t="str">
        <f>IFERROR(__xludf.DUMMYFUNCTION("GOOGLETRANSLATE(B19315,""en"",""es-ES"")"),"Ella cubre al perro sobre una toalla enrollada.")</f>
        <v>Ella cubre al perro sobre una toalla enrollada.</v>
      </c>
    </row>
    <row r="19316">
      <c r="A19316" s="4" t="s">
        <v>24302</v>
      </c>
      <c r="B19316" s="4" t="s">
        <v>24308</v>
      </c>
      <c r="C19316" s="5" t="str">
        <f>IFERROR(__xludf.DUMMYFUNCTION("GOOGLETRANSLATE(B19316,""en"",""es-ES"")"),"Luego recoge al perro.")</f>
        <v>Luego recoge al perro.</v>
      </c>
    </row>
    <row r="19317">
      <c r="A19317" s="4" t="s">
        <v>24309</v>
      </c>
      <c r="B19317" s="4" t="s">
        <v>24310</v>
      </c>
      <c r="C19317" s="5" t="str">
        <f>IFERROR(__xludf.DUMMYFUNCTION("GOOGLETRANSLATE(B19317,""en"",""es-ES"")"),"Se ve a un hombre hablando con la cámara que sostiene varios objetos y transiciones a él cortando el borde de un césped.")</f>
        <v>Se ve a un hombre hablando con la cámara que sostiene varios objetos y transiciones a él cortando el borde de un césped.</v>
      </c>
    </row>
    <row r="19318">
      <c r="A19318" s="4" t="s">
        <v>24309</v>
      </c>
      <c r="B19318" s="4" t="s">
        <v>24311</v>
      </c>
      <c r="C19318" s="5" t="str">
        <f>IFERROR(__xludf.DUMMYFUNCTION("GOOGLETRANSLATE(B19318,""en"",""es-ES"")"),"Luego se le muestra cortando el césped y recortar setos mientras habla con la cámara, así como soplando hojas fuera de un patio.")</f>
        <v>Luego se le muestra cortando el césped y recortar setos mientras habla con la cámara, así como soplando hojas fuera de un patio.</v>
      </c>
    </row>
    <row r="19319">
      <c r="A19319" s="4" t="s">
        <v>24312</v>
      </c>
      <c r="B19319" s="4" t="s">
        <v>24313</v>
      </c>
      <c r="C19319" s="5" t="str">
        <f>IFERROR(__xludf.DUMMYFUNCTION("GOOGLETRANSLATE(B19319,""en"",""es-ES"")"),"Dos equipos juegan un juego de hockey de campo interior.")</f>
        <v>Dos equipos juegan un juego de hockey de campo interior.</v>
      </c>
    </row>
    <row r="19320">
      <c r="A19320" s="4" t="s">
        <v>24312</v>
      </c>
      <c r="B19320" s="4" t="s">
        <v>24314</v>
      </c>
      <c r="C19320" s="5" t="str">
        <f>IFERROR(__xludf.DUMMYFUNCTION("GOOGLETRANSLATE(B19320,""en"",""es-ES"")"),"Los equipos toman disparos en un portero que están bloqueados.")</f>
        <v>Los equipos toman disparos en un portero que están bloqueados.</v>
      </c>
    </row>
    <row r="19321">
      <c r="A19321" s="4" t="s">
        <v>24312</v>
      </c>
      <c r="B19321" s="4" t="s">
        <v>24315</v>
      </c>
      <c r="C19321" s="5" t="str">
        <f>IFERROR(__xludf.DUMMYFUNCTION("GOOGLETRANSLATE(B19321,""en"",""es-ES"")"),"El árbitro comienza y detiene el juego.")</f>
        <v>El árbitro comienza y detiene el juego.</v>
      </c>
    </row>
    <row r="19322">
      <c r="A19322" s="4" t="s">
        <v>24316</v>
      </c>
      <c r="B19322" s="4" t="s">
        <v>24317</v>
      </c>
      <c r="C19322" s="5" t="str">
        <f>IFERROR(__xludf.DUMMYFUNCTION("GOOGLETRANSLATE(B19322,""en"",""es-ES"")"),"Se muestra la cordillera nevada y la gente está haciendo snowboard.")</f>
        <v>Se muestra la cordillera nevada y la gente está haciendo snowboard.</v>
      </c>
    </row>
    <row r="19323">
      <c r="A19323" s="4" t="s">
        <v>24316</v>
      </c>
      <c r="B19323" s="4" t="s">
        <v>24318</v>
      </c>
      <c r="C19323" s="5" t="str">
        <f>IFERROR(__xludf.DUMMYFUNCTION("GOOGLETRANSLATE(B19323,""en"",""es-ES"")"),"El helicóptero está en el aire aterrizando en una montaña dejando personas en la cima de la montaña.")</f>
        <v>El helicóptero está en el aire aterrizando en una montaña dejando personas en la cima de la montaña.</v>
      </c>
    </row>
    <row r="19324">
      <c r="A19324" s="4" t="s">
        <v>24316</v>
      </c>
      <c r="B19324" s="4" t="s">
        <v>24319</v>
      </c>
      <c r="C19324" s="5" t="str">
        <f>IFERROR(__xludf.DUMMYFUNCTION("GOOGLETRANSLATE(B19324,""en"",""es-ES"")"),"La gente está dentro del helicóptero hablando entre ellos.")</f>
        <v>La gente está dentro del helicóptero hablando entre ellos.</v>
      </c>
    </row>
    <row r="19325">
      <c r="A19325" s="4" t="s">
        <v>24316</v>
      </c>
      <c r="B19325" s="4" t="s">
        <v>24320</v>
      </c>
      <c r="C19325" s="5" t="str">
        <f>IFERROR(__xludf.DUMMYFUNCTION("GOOGLETRANSLATE(B19325,""en"",""es-ES"")"),"La gente comienza a bajar por la pendiente que se snowboard en la montaña.")</f>
        <v>La gente comienza a bajar por la pendiente que se snowboard en la montaña.</v>
      </c>
    </row>
    <row r="19326">
      <c r="A19326" s="4" t="s">
        <v>24316</v>
      </c>
      <c r="B19326" s="4" t="s">
        <v>24321</v>
      </c>
      <c r="C19326" s="5" t="str">
        <f>IFERROR(__xludf.DUMMYFUNCTION("GOOGLETRANSLATE(B19326,""en"",""es-ES"")"),"Peolpe dentro del helicóptero está hablando y poniendo la ropa de invierno y hablando con la cámara.")</f>
        <v>Peolpe dentro del helicóptero está hablando y poniendo la ropa de invierno y hablando con la cámara.</v>
      </c>
    </row>
    <row r="19327">
      <c r="A19327" s="4" t="s">
        <v>24322</v>
      </c>
      <c r="B19327" s="4" t="s">
        <v>24323</v>
      </c>
      <c r="C19327" s="5" t="str">
        <f>IFERROR(__xludf.DUMMYFUNCTION("GOOGLETRANSLATE(B19327,""en"",""es-ES"")"),"Se muestran escenas de mujeres que usan varios métodos para rizar su cabello.")</f>
        <v>Se muestran escenas de mujeres que usan varios métodos para rizar su cabello.</v>
      </c>
    </row>
    <row r="19328">
      <c r="A19328" s="4" t="s">
        <v>24322</v>
      </c>
      <c r="B19328" s="4" t="s">
        <v>24324</v>
      </c>
      <c r="C19328" s="5" t="str">
        <f>IFERROR(__xludf.DUMMYFUNCTION("GOOGLETRANSLATE(B19328,""en"",""es-ES"")"),"Una secuencia de gráficos de computadora muestra la funcionalidad de un dispositivo en particular.")</f>
        <v>Una secuencia de gráficos de computadora muestra la funcionalidad de un dispositivo en particular.</v>
      </c>
    </row>
    <row r="19329">
      <c r="A19329" s="4" t="s">
        <v>24322</v>
      </c>
      <c r="B19329" s="4" t="s">
        <v>24325</v>
      </c>
      <c r="C19329" s="5" t="str">
        <f>IFERROR(__xludf.DUMMYFUNCTION("GOOGLETRANSLATE(B19329,""en"",""es-ES"")"),"Varias mujeres muestran su cabello rizado.")</f>
        <v>Varias mujeres muestran su cabello rizado.</v>
      </c>
    </row>
    <row r="19330">
      <c r="A19330" s="4" t="s">
        <v>24322</v>
      </c>
      <c r="B19330" s="4" t="s">
        <v>24326</v>
      </c>
      <c r="C19330" s="5" t="str">
        <f>IFERROR(__xludf.DUMMYFUNCTION("GOOGLETRANSLATE(B19330,""en"",""es-ES"")"),"El producto de curling es demostrado una vez más por varias mujeres.")</f>
        <v>El producto de curling es demostrado una vez más por varias mujeres.</v>
      </c>
    </row>
    <row r="19331">
      <c r="A19331" s="4" t="s">
        <v>24322</v>
      </c>
      <c r="B19331" s="4" t="s">
        <v>24327</v>
      </c>
      <c r="C19331" s="5" t="str">
        <f>IFERROR(__xludf.DUMMYFUNCTION("GOOGLETRANSLATE(B19331,""en"",""es-ES"")"),"Se muestran las imágenes de una mujer antes y después.")</f>
        <v>Se muestran las imágenes de una mujer antes y después.</v>
      </c>
    </row>
    <row r="19332">
      <c r="A19332" s="4" t="s">
        <v>24328</v>
      </c>
      <c r="B19332" s="4" t="s">
        <v>24329</v>
      </c>
      <c r="C19332" s="5" t="str">
        <f>IFERROR(__xludf.DUMMYFUNCTION("GOOGLETRANSLATE(B19332,""en"",""es-ES"")"),"Un hombre con una camisa verde arroja un disco a un campo.")</f>
        <v>Un hombre con una camisa verde arroja un disco a un campo.</v>
      </c>
    </row>
    <row r="19333">
      <c r="A19333" s="4" t="s">
        <v>24328</v>
      </c>
      <c r="B19333" s="4" t="s">
        <v>24330</v>
      </c>
      <c r="C19333" s="5" t="str">
        <f>IFERROR(__xludf.DUMMYFUNCTION("GOOGLETRANSLATE(B19333,""en"",""es-ES"")"),"Un hombre con una camisa azul arroja un disco al campo.")</f>
        <v>Un hombre con una camisa azul arroja un disco al campo.</v>
      </c>
    </row>
    <row r="19334">
      <c r="A19334" s="4" t="s">
        <v>24328</v>
      </c>
      <c r="B19334" s="4" t="s">
        <v>24331</v>
      </c>
      <c r="C19334" s="5" t="str">
        <f>IFERROR(__xludf.DUMMYFUNCTION("GOOGLETRANSLATE(B19334,""en"",""es-ES"")"),"Un hombre con una camisa morada arroja un disco al campo.")</f>
        <v>Un hombre con una camisa morada arroja un disco al campo.</v>
      </c>
    </row>
    <row r="19335">
      <c r="A19335" s="4" t="s">
        <v>24332</v>
      </c>
      <c r="B19335" s="4" t="s">
        <v>24333</v>
      </c>
      <c r="C19335" s="5" t="str">
        <f>IFERROR(__xludf.DUMMYFUNCTION("GOOGLETRANSLATE(B19335,""en"",""es-ES"")"),"Un hombre trabaja en una cometa.")</f>
        <v>Un hombre trabaja en una cometa.</v>
      </c>
    </row>
    <row r="19336">
      <c r="A19336" s="4" t="s">
        <v>24332</v>
      </c>
      <c r="B19336" s="4" t="s">
        <v>24334</v>
      </c>
      <c r="C19336" s="5" t="str">
        <f>IFERROR(__xludf.DUMMYFUNCTION("GOOGLETRANSLATE(B19336,""en"",""es-ES"")"),"Otro hombre que sostiene a un bebé sostiene el carrete de la cometa.")</f>
        <v>Otro hombre que sostiene a un bebé sostiene el carrete de la cometa.</v>
      </c>
    </row>
    <row r="19337">
      <c r="A19337" s="4" t="s">
        <v>24332</v>
      </c>
      <c r="B19337" s="4" t="s">
        <v>24335</v>
      </c>
      <c r="C19337" s="5" t="str">
        <f>IFERROR(__xludf.DUMMYFUNCTION("GOOGLETRANSLATE(B19337,""en"",""es-ES"")"),"Un tercer hombre trabaja en una cometa similar, mientras que el segundo hombre tiene un carrete.")</f>
        <v>Un tercer hombre trabaja en una cometa similar, mientras que el segundo hombre tiene un carrete.</v>
      </c>
    </row>
    <row r="19338">
      <c r="A19338" s="4" t="s">
        <v>24332</v>
      </c>
      <c r="B19338" s="4" t="s">
        <v>24336</v>
      </c>
      <c r="C19338" s="5" t="str">
        <f>IFERROR(__xludf.DUMMYFUNCTION("GOOGLETRANSLATE(B19338,""en"",""es-ES"")"),"Los hombres vuelan las cometas desde una azotea.")</f>
        <v>Los hombres vuelan las cometas desde una azotea.</v>
      </c>
    </row>
    <row r="19339">
      <c r="A19339" s="4" t="s">
        <v>24332</v>
      </c>
      <c r="B19339" s="4" t="s">
        <v>24337</v>
      </c>
      <c r="C19339" s="5" t="str">
        <f>IFERROR(__xludf.DUMMYFUNCTION("GOOGLETRANSLATE(B19339,""en"",""es-ES"")"),"La escena cambia a una vista nocturna del cielo con una luz no identificada.")</f>
        <v>La escena cambia a una vista nocturna del cielo con una luz no identificada.</v>
      </c>
    </row>
    <row r="19340">
      <c r="A19340" s="4" t="s">
        <v>24338</v>
      </c>
      <c r="B19340" s="4" t="s">
        <v>24339</v>
      </c>
      <c r="C19340" s="5" t="str">
        <f>IFERROR(__xludf.DUMMYFUNCTION("GOOGLETRANSLATE(B19340,""en"",""es-ES"")"),"Una pantalla publicitaria aparece momentáneamente cuando comienza el video.")</f>
        <v>Una pantalla publicitaria aparece momentáneamente cuando comienza el video.</v>
      </c>
    </row>
    <row r="19341">
      <c r="A19341" s="4" t="s">
        <v>24338</v>
      </c>
      <c r="B19341" s="4" t="s">
        <v>24340</v>
      </c>
      <c r="C19341" s="5" t="str">
        <f>IFERROR(__xludf.DUMMYFUNCTION("GOOGLETRANSLATE(B19341,""en"",""es-ES"")"),"Se muestra a un grupo de hombres pateando una pelota de un lado a otro en un estadio.")</f>
        <v>Se muestra a un grupo de hombres pateando una pelota de un lado a otro en un estadio.</v>
      </c>
    </row>
    <row r="19342">
      <c r="A19342" s="4" t="s">
        <v>24338</v>
      </c>
      <c r="B19342" s="4" t="s">
        <v>24341</v>
      </c>
      <c r="C19342" s="5" t="str">
        <f>IFERROR(__xludf.DUMMYFUNCTION("GOOGLETRANSLATE(B19342,""en"",""es-ES"")"),"Los hombres corren después del balón, intentando capturarlo del equipo contrario.")</f>
        <v>Los hombres corren después del balón, intentando capturarlo del equipo contrario.</v>
      </c>
    </row>
    <row r="19343">
      <c r="A19343" s="4" t="s">
        <v>24338</v>
      </c>
      <c r="B19343" s="4" t="s">
        <v>24342</v>
      </c>
      <c r="C19343" s="5" t="str">
        <f>IFERROR(__xludf.DUMMYFUNCTION("GOOGLETRANSLATE(B19343,""en"",""es-ES"")"),"Se muestra un círculo amarillo alrededor de un jugador en particular.")</f>
        <v>Se muestra un círculo amarillo alrededor de un jugador en particular.</v>
      </c>
    </row>
    <row r="19344">
      <c r="A19344" s="4" t="s">
        <v>24343</v>
      </c>
      <c r="B19344" s="4" t="s">
        <v>24344</v>
      </c>
      <c r="C19344" s="5" t="str">
        <f>IFERROR(__xludf.DUMMYFUNCTION("GOOGLETRANSLATE(B19344,""en"",""es-ES"")"),"Un grupo de niños está de pie usando chalecos salvavidas mientras la cámara se desplaza alrededor de un lago.")</f>
        <v>Un grupo de niños está de pie usando chalecos salvavidas mientras la cámara se desplaza alrededor de un lago.</v>
      </c>
    </row>
    <row r="19345">
      <c r="A19345" s="4" t="s">
        <v>24343</v>
      </c>
      <c r="B19345" s="4" t="s">
        <v>24345</v>
      </c>
      <c r="C19345" s="5" t="str">
        <f>IFERROR(__xludf.DUMMYFUNCTION("GOOGLETRANSLATE(B19345,""en"",""es-ES"")"),"Se ve a un hombre sentado en un bote y la cámara continúa buscando en la zona.")</f>
        <v>Se ve a un hombre sentado en un bote y la cámara continúa buscando en la zona.</v>
      </c>
    </row>
    <row r="19346">
      <c r="A19346" s="4" t="s">
        <v>24343</v>
      </c>
      <c r="B19346" s="4" t="s">
        <v>24346</v>
      </c>
      <c r="C19346" s="5" t="str">
        <f>IFERROR(__xludf.DUMMYFUNCTION("GOOGLETRANSLATE(B19346,""en"",""es-ES"")"),"Los niños deambulan por los botes y comienzan a remar por el río.")</f>
        <v>Los niños deambulan por los botes y comienzan a remar por el río.</v>
      </c>
    </row>
    <row r="19347">
      <c r="A19347" s="4" t="s">
        <v>24343</v>
      </c>
      <c r="B19347" s="4" t="s">
        <v>24347</v>
      </c>
      <c r="C19347" s="5" t="str">
        <f>IFERROR(__xludf.DUMMYFUNCTION("GOOGLETRANSLATE(B19347,""en"",""es-ES"")"),"El agua se vuelve más furiosa y los niños salpican al camarógrafo juguetonamente.")</f>
        <v>El agua se vuelve más furiosa y los niños salpican al camarógrafo juguetonamente.</v>
      </c>
    </row>
    <row r="19348">
      <c r="A19348" s="4" t="s">
        <v>24343</v>
      </c>
      <c r="B19348" s="4" t="s">
        <v>24348</v>
      </c>
      <c r="C19348" s="5" t="str">
        <f>IFERROR(__xludf.DUMMYFUNCTION("GOOGLETRANSLATE(B19348,""en"",""es-ES"")"),"Continúan montando por las traicioneras olas mientras la cámara las observa desde lejos.")</f>
        <v>Continúan montando por las traicioneras olas mientras la cámara las observa desde lejos.</v>
      </c>
    </row>
    <row r="19349">
      <c r="A19349" s="4" t="s">
        <v>24349</v>
      </c>
      <c r="B19349" s="4" t="s">
        <v>24350</v>
      </c>
      <c r="C19349" s="5" t="str">
        <f>IFERROR(__xludf.DUMMYFUNCTION("GOOGLETRANSLATE(B19349,""en"",""es-ES"")"),"Se ve a un pequeño grupo de personas nadando alrededor de una piscina agarrando una pelota y arrojándola hacia atrás y cuarto.")</f>
        <v>Se ve a un pequeño grupo de personas nadando alrededor de una piscina agarrando una pelota y arrojándola hacia atrás y cuarto.</v>
      </c>
    </row>
    <row r="19350">
      <c r="A19350" s="4" t="s">
        <v>24349</v>
      </c>
      <c r="B19350" s="4" t="s">
        <v>24351</v>
      </c>
      <c r="C19350" s="5" t="str">
        <f>IFERROR(__xludf.DUMMYFUNCTION("GOOGLETRANSLATE(B19350,""en"",""es-ES"")"),"La gente continúa jugando entre sí y tirando la pelota.")</f>
        <v>La gente continúa jugando entre sí y tirando la pelota.</v>
      </c>
    </row>
    <row r="19351">
      <c r="A19351" s="4" t="s">
        <v>24352</v>
      </c>
      <c r="B19351" s="4" t="s">
        <v>24353</v>
      </c>
      <c r="C19351" s="5" t="str">
        <f>IFERROR(__xludf.DUMMYFUNCTION("GOOGLETRANSLATE(B19351,""en"",""es-ES"")"),"Un hombre y una mujer están hablando en una habitación.")</f>
        <v>Un hombre y una mujer están hablando en una habitación.</v>
      </c>
    </row>
    <row r="19352">
      <c r="A19352" s="4" t="s">
        <v>24352</v>
      </c>
      <c r="B19352" s="4" t="s">
        <v>24354</v>
      </c>
      <c r="C19352" s="5" t="str">
        <f>IFERROR(__xludf.DUMMYFUNCTION("GOOGLETRANSLATE(B19352,""en"",""es-ES"")"),"Una persona está montando una bicicleta por la calle.")</f>
        <v>Una persona está montando una bicicleta por la calle.</v>
      </c>
    </row>
    <row r="19353">
      <c r="A19353" s="4" t="s">
        <v>24352</v>
      </c>
      <c r="B19353" s="4" t="s">
        <v>24355</v>
      </c>
      <c r="C19353" s="5" t="str">
        <f>IFERROR(__xludf.DUMMYFUNCTION("GOOGLETRANSLATE(B19353,""en"",""es-ES"")"),"Alguien se cae después de andar en bicicleta.")</f>
        <v>Alguien se cae después de andar en bicicleta.</v>
      </c>
    </row>
    <row r="19354">
      <c r="A19354" s="4" t="s">
        <v>24352</v>
      </c>
      <c r="B19354" s="4" t="s">
        <v>24356</v>
      </c>
      <c r="C19354" s="5" t="str">
        <f>IFERROR(__xludf.DUMMYFUNCTION("GOOGLETRANSLATE(B19354,""en"",""es-ES"")"),"El hombre y la mujer están hablando en una habitación.")</f>
        <v>El hombre y la mujer están hablando en una habitación.</v>
      </c>
    </row>
    <row r="19355">
      <c r="A19355" s="4" t="s">
        <v>24352</v>
      </c>
      <c r="B19355" s="4" t="s">
        <v>24357</v>
      </c>
      <c r="C19355" s="5" t="str">
        <f>IFERROR(__xludf.DUMMYFUNCTION("GOOGLETRANSLATE(B19355,""en"",""es-ES"")"),"Una bicicleta se apoya contra una cerca.")</f>
        <v>Una bicicleta se apoya contra una cerca.</v>
      </c>
    </row>
    <row r="19356">
      <c r="A19356" s="4" t="s">
        <v>24352</v>
      </c>
      <c r="B19356" s="4" t="s">
        <v>24358</v>
      </c>
      <c r="C19356" s="5" t="str">
        <f>IFERROR(__xludf.DUMMYFUNCTION("GOOGLETRANSLATE(B19356,""en"",""es-ES"")"),"Un hombre pone una cerradura alrededor del neumático de su bicicleta.")</f>
        <v>Un hombre pone una cerradura alrededor del neumático de su bicicleta.</v>
      </c>
    </row>
    <row r="19357">
      <c r="A19357" s="4" t="s">
        <v>24359</v>
      </c>
      <c r="B19357" s="4" t="s">
        <v>24360</v>
      </c>
      <c r="C19357" s="5" t="str">
        <f>IFERROR(__xludf.DUMMYFUNCTION("GOOGLETRANSLATE(B19357,""en"",""es-ES"")"),"Se muestra un disparo de un juego de atardecer, seguido de pico de fumar y caminar alrededor de un pozo de bola de pintura.")</f>
        <v>Se muestra un disparo de un juego de atardecer, seguido de pico de fumar y caminar alrededor de un pozo de bola de pintura.</v>
      </c>
    </row>
    <row r="19358">
      <c r="A19358" s="4" t="s">
        <v>24359</v>
      </c>
      <c r="B19358" s="4" t="s">
        <v>24361</v>
      </c>
      <c r="C19358" s="5" t="str">
        <f>IFERROR(__xludf.DUMMYFUNCTION("GOOGLETRANSLATE(B19358,""en"",""es-ES"")"),"Los hombres se hablan y conducen a correr y jugar a la pelota de pintura.")</f>
        <v>Los hombres se hablan y conducen a correr y jugar a la pelota de pintura.</v>
      </c>
    </row>
    <row r="19359">
      <c r="A19359" s="4" t="s">
        <v>24359</v>
      </c>
      <c r="B19359" s="4" t="s">
        <v>24362</v>
      </c>
      <c r="C19359" s="5" t="str">
        <f>IFERROR(__xludf.DUMMYFUNCTION("GOOGLETRANSLATE(B19359,""en"",""es-ES"")"),"Se detienen por unos momentos para hablar entre sí y la cámara captura a los tiradores desde diferentes ángulos.")</f>
        <v>Se detienen por unos momentos para hablar entre sí y la cámara captura a los tiradores desde diferentes ángulos.</v>
      </c>
    </row>
    <row r="19360">
      <c r="A19360" s="4" t="s">
        <v>24363</v>
      </c>
      <c r="B19360" s="4" t="s">
        <v>24364</v>
      </c>
      <c r="C19360" s="5" t="str">
        <f>IFERROR(__xludf.DUMMYFUNCTION("GOOGLETRANSLATE(B19360,""en"",""es-ES"")"),"Se ve a un niño pequeño colocando una alfombra mientras la cámara los registra.")</f>
        <v>Se ve a un niño pequeño colocando una alfombra mientras la cámara los registra.</v>
      </c>
    </row>
    <row r="19361">
      <c r="A19361" s="4" t="s">
        <v>24363</v>
      </c>
      <c r="B19361" s="4" t="s">
        <v>24365</v>
      </c>
      <c r="C19361" s="5" t="str">
        <f>IFERROR(__xludf.DUMMYFUNCTION("GOOGLETRANSLATE(B19361,""en"",""es-ES"")"),"El niño luego cubre los ojos con las manos y mueve la cabeza hacia arriba y hacia abajo.")</f>
        <v>El niño luego cubre los ojos con las manos y mueve la cabeza hacia arriba y hacia abajo.</v>
      </c>
    </row>
    <row r="19362">
      <c r="A19362" s="4" t="s">
        <v>24363</v>
      </c>
      <c r="B19362" s="4" t="s">
        <v>24366</v>
      </c>
      <c r="C19362" s="5" t="str">
        <f>IFERROR(__xludf.DUMMYFUNCTION("GOOGLETRANSLATE(B19362,""en"",""es-ES"")"),"Finalmente sonríen a la cámara al final.")</f>
        <v>Finalmente sonríen a la cámara al final.</v>
      </c>
    </row>
    <row r="19363">
      <c r="A19363" s="4" t="s">
        <v>24367</v>
      </c>
      <c r="B19363" s="4" t="s">
        <v>24368</v>
      </c>
      <c r="C19363" s="5" t="str">
        <f>IFERROR(__xludf.DUMMYFUNCTION("GOOGLETRANSLATE(B19363,""en"",""es-ES"")"),"Se ve un primer plano de acordes y números desplazándose al lado de la parte superior de una guitarra.")</f>
        <v>Se ve un primer plano de acordes y números desplazándose al lado de la parte superior de una guitarra.</v>
      </c>
    </row>
    <row r="19364">
      <c r="A19364" s="4" t="s">
        <v>24367</v>
      </c>
      <c r="B19364" s="4" t="s">
        <v>24369</v>
      </c>
      <c r="C19364" s="5" t="str">
        <f>IFERROR(__xludf.DUMMYFUNCTION("GOOGLETRANSLATE(B19364,""en"",""es-ES"")"),"Se están dando instrucciones para tocar el instrumento.")</f>
        <v>Se están dando instrucciones para tocar el instrumento.</v>
      </c>
    </row>
    <row r="19365">
      <c r="A19365" s="4" t="s">
        <v>24367</v>
      </c>
      <c r="B19365" s="4" t="s">
        <v>24370</v>
      </c>
      <c r="C19365" s="5" t="str">
        <f>IFERROR(__xludf.DUMMYFUNCTION("GOOGLETRANSLATE(B19365,""en"",""es-ES"")"),"Los dedos de la persona se mueven hacia arriba y hacia abajo en los acordes como se muestran.")</f>
        <v>Los dedos de la persona se mueven hacia arriba y hacia abajo en los acordes como se muestran.</v>
      </c>
    </row>
    <row r="19366">
      <c r="A19366" s="4" t="s">
        <v>24371</v>
      </c>
      <c r="B19366" s="4" t="s">
        <v>24372</v>
      </c>
      <c r="C19366" s="5" t="str">
        <f>IFERROR(__xludf.DUMMYFUNCTION("GOOGLETRANSLATE(B19366,""en"",""es-ES"")"),"El hombre lleva sólidos y está haciendo saltos de altura sobre un contenedor de basura en un estacionamiento.")</f>
        <v>El hombre lleva sólidos y está haciendo saltos de altura sobre un contenedor de basura en un estacionamiento.</v>
      </c>
    </row>
    <row r="19367">
      <c r="A19367" s="4" t="s">
        <v>24371</v>
      </c>
      <c r="B19367" s="4" t="s">
        <v>24373</v>
      </c>
      <c r="C19367" s="5" t="str">
        <f>IFERROR(__xludf.DUMMYFUNCTION("GOOGLETRANSLATE(B19367,""en"",""es-ES"")"),"El hombre está haciendo saltos de altura en el letrero de Las Vegas en la calle y sobre un muro drogado en la calle.")</f>
        <v>El hombre está haciendo saltos de altura en el letrero de Las Vegas en la calle y sobre un muro drogado en la calle.</v>
      </c>
    </row>
    <row r="19368">
      <c r="A19368" s="4" t="s">
        <v>24374</v>
      </c>
      <c r="B19368" s="4" t="s">
        <v>24375</v>
      </c>
      <c r="C19368" s="5" t="str">
        <f>IFERROR(__xludf.DUMMYFUNCTION("GOOGLETRANSLATE(B19368,""en"",""es-ES"")"),"Dos equipos se muestran en un campo y el hombre está corriendo jugando lacrosse y corre directamente hacia el otro oponente.")</f>
        <v>Dos equipos se muestran en un campo y el hombre está corriendo jugando lacrosse y corre directamente hacia el otro oponente.</v>
      </c>
    </row>
    <row r="19369">
      <c r="A19369" s="4" t="s">
        <v>24374</v>
      </c>
      <c r="B19369" s="4" t="s">
        <v>24376</v>
      </c>
      <c r="C19369" s="5" t="str">
        <f>IFERROR(__xludf.DUMMYFUNCTION("GOOGLETRANSLATE(B19369,""en"",""es-ES"")"),"Comienza otra jugada y esta vez se encuentra con otra persona, excepto que es más fragante y la persona se duele en el suelo durante bastante tiempo.")</f>
        <v>Comienza otra jugada y esta vez se encuentra con otra persona, excepto que es más fragante y la persona se duele en el suelo durante bastante tiempo.</v>
      </c>
    </row>
    <row r="19370">
      <c r="A19370" s="4" t="s">
        <v>24374</v>
      </c>
      <c r="B19370" s="4" t="s">
        <v>24377</v>
      </c>
      <c r="C19370" s="5" t="str">
        <f>IFERROR(__xludf.DUMMYFUNCTION("GOOGLETRANSLATE(B19370,""en"",""es-ES"")"),"Después de consultar con el árbitro y buscar ayuda, el hombre finalmente se levanta y el resto del juego continúa.")</f>
        <v>Después de consultar con el árbitro y buscar ayuda, el hombre finalmente se levanta y el resto del juego continúa.</v>
      </c>
    </row>
    <row r="19371">
      <c r="A19371" s="4" t="s">
        <v>24378</v>
      </c>
      <c r="B19371" s="4" t="s">
        <v>24379</v>
      </c>
      <c r="C19371" s="5" t="str">
        <f>IFERROR(__xludf.DUMMYFUNCTION("GOOGLETRANSLATE(B19371,""en"",""es-ES"")"),"Dos personas con equipo de buceo están bajo el agua.")</f>
        <v>Dos personas con equipo de buceo están bajo el agua.</v>
      </c>
    </row>
    <row r="19372">
      <c r="A19372" s="4" t="s">
        <v>24378</v>
      </c>
      <c r="B19372" s="4" t="s">
        <v>24380</v>
      </c>
      <c r="C19372" s="5" t="str">
        <f>IFERROR(__xludf.DUMMYFUNCTION("GOOGLETRANSLATE(B19372,""en"",""es-ES"")"),"Se miran el uno al otro, se quitan la boca y luego se besan.")</f>
        <v>Se miran el uno al otro, se quitan la boca y luego se besan.</v>
      </c>
    </row>
    <row r="19373">
      <c r="A19373" s="4" t="s">
        <v>24378</v>
      </c>
      <c r="B19373" s="4" t="s">
        <v>24381</v>
      </c>
      <c r="C19373" s="5" t="str">
        <f>IFERROR(__xludf.DUMMYFUNCTION("GOOGLETRANSLATE(B19373,""en"",""es-ES"")"),"El hombre vuelve a colocar su pieza en la boca.")</f>
        <v>El hombre vuelve a colocar su pieza en la boca.</v>
      </c>
    </row>
    <row r="19374">
      <c r="A19374" s="4" t="s">
        <v>24382</v>
      </c>
      <c r="B19374" s="4" t="s">
        <v>24383</v>
      </c>
      <c r="C19374" s="5" t="str">
        <f>IFERROR(__xludf.DUMMYFUNCTION("GOOGLETRANSLATE(B19374,""en"",""es-ES"")"),"Una persona salta de un bote al agua.")</f>
        <v>Una persona salta de un bote al agua.</v>
      </c>
    </row>
    <row r="19375">
      <c r="A19375" s="4" t="s">
        <v>24382</v>
      </c>
      <c r="B19375" s="4" t="s">
        <v>24384</v>
      </c>
      <c r="C19375" s="5" t="str">
        <f>IFERROR(__xludf.DUMMYFUNCTION("GOOGLETRANSLATE(B19375,""en"",""es-ES"")"),"Un niño está abordando por una calle.")</f>
        <v>Un niño está abordando por una calle.</v>
      </c>
    </row>
    <row r="19376">
      <c r="A19376" s="4" t="s">
        <v>24382</v>
      </c>
      <c r="B19376" s="4" t="s">
        <v>24385</v>
      </c>
      <c r="C19376" s="5" t="str">
        <f>IFERROR(__xludf.DUMMYFUNCTION("GOOGLETRANSLATE(B19376,""en"",""es-ES"")"),"Se detienen y se sientan en un banco del parque.")</f>
        <v>Se detienen y se sientan en un banco del parque.</v>
      </c>
    </row>
    <row r="19377">
      <c r="A19377" s="4" t="s">
        <v>24382</v>
      </c>
      <c r="B19377" s="4" t="s">
        <v>24386</v>
      </c>
      <c r="C19377" s="5" t="str">
        <f>IFERROR(__xludf.DUMMYFUNCTION("GOOGLETRANSLATE(B19377,""en"",""es-ES"")"),"Una persona está montando una escalera mecánica.")</f>
        <v>Una persona está montando una escalera mecánica.</v>
      </c>
    </row>
    <row r="19378">
      <c r="A19378" s="4" t="s">
        <v>24387</v>
      </c>
      <c r="B19378" s="4" t="s">
        <v>9397</v>
      </c>
      <c r="C19378" s="5" t="str">
        <f>IFERROR(__xludf.DUMMYFUNCTION("GOOGLETRANSLATE(B19378,""en"",""es-ES"")"),"Una mujer está de pie en una habitación hablando.")</f>
        <v>Una mujer está de pie en una habitación hablando.</v>
      </c>
    </row>
    <row r="19379">
      <c r="A19379" s="4" t="s">
        <v>24387</v>
      </c>
      <c r="B19379" s="4" t="s">
        <v>24388</v>
      </c>
      <c r="C19379" s="5" t="str">
        <f>IFERROR(__xludf.DUMMYFUNCTION("GOOGLETRANSLATE(B19379,""en"",""es-ES"")"),"Ella muestra una botella en la mano.")</f>
        <v>Ella muestra una botella en la mano.</v>
      </c>
    </row>
    <row r="19380">
      <c r="A19380" s="4" t="s">
        <v>24387</v>
      </c>
      <c r="B19380" s="4" t="s">
        <v>24389</v>
      </c>
      <c r="C19380" s="5" t="str">
        <f>IFERROR(__xludf.DUMMYFUNCTION("GOOGLETRANSLATE(B19380,""en"",""es-ES"")"),"Ella vierte parte de la loción en sus manos y la frota en su rostro.")</f>
        <v>Ella vierte parte de la loción en sus manos y la frota en su rostro.</v>
      </c>
    </row>
    <row r="19381">
      <c r="A19381" s="4" t="s">
        <v>24387</v>
      </c>
      <c r="B19381" s="4" t="s">
        <v>24390</v>
      </c>
      <c r="C19381" s="5" t="str">
        <f>IFERROR(__xludf.DUMMYFUNCTION("GOOGLETRANSLATE(B19381,""en"",""es-ES"")"),"Ella usa una toalla para secar su rostro.")</f>
        <v>Ella usa una toalla para secar su rostro.</v>
      </c>
    </row>
    <row r="19382">
      <c r="A19382" s="4" t="s">
        <v>24391</v>
      </c>
      <c r="B19382" s="4" t="s">
        <v>24392</v>
      </c>
      <c r="C19382" s="5" t="str">
        <f>IFERROR(__xludf.DUMMYFUNCTION("GOOGLETRANSLATE(B19382,""en"",""es-ES"")"),"Un niño pequeño está en un estacionamiento al aire libre.")</f>
        <v>Un niño pequeño está en un estacionamiento al aire libre.</v>
      </c>
    </row>
    <row r="19383">
      <c r="A19383" s="4" t="s">
        <v>24391</v>
      </c>
      <c r="B19383" s="4" t="s">
        <v>24393</v>
      </c>
      <c r="C19383" s="5" t="str">
        <f>IFERROR(__xludf.DUMMYFUNCTION("GOOGLETRANSLATE(B19383,""en"",""es-ES"")"),"Está tratando de rodar con un par de patines en línea.")</f>
        <v>Está tratando de rodar con un par de patines en línea.</v>
      </c>
    </row>
    <row r="19384">
      <c r="A19384" s="4" t="s">
        <v>24391</v>
      </c>
      <c r="B19384" s="4" t="s">
        <v>24394</v>
      </c>
      <c r="C19384" s="5" t="str">
        <f>IFERROR(__xludf.DUMMYFUNCTION("GOOGLETRANSLATE(B19384,""en"",""es-ES"")"),"Intenta equilibrarse en un pequeño trozo de madera.")</f>
        <v>Intenta equilibrarse en un pequeño trozo de madera.</v>
      </c>
    </row>
    <row r="19385">
      <c r="A19385" s="4" t="s">
        <v>24395</v>
      </c>
      <c r="B19385" s="4" t="s">
        <v>24396</v>
      </c>
      <c r="C19385" s="5" t="str">
        <f>IFERROR(__xludf.DUMMYFUNCTION("GOOGLETRANSLATE(B19385,""en"",""es-ES"")"),"Se ve a un hombre hablando con la cámara mientras sostiene un rollo de papel higiénico y comienza a soplar humo en el rollo.")</f>
        <v>Se ve a un hombre hablando con la cámara mientras sostiene un rollo de papel higiénico y comienza a soplar humo en el rollo.</v>
      </c>
    </row>
    <row r="19386">
      <c r="A19386" s="4" t="s">
        <v>24395</v>
      </c>
      <c r="B19386" s="4" t="s">
        <v>24397</v>
      </c>
      <c r="C19386" s="5" t="str">
        <f>IFERROR(__xludf.DUMMYFUNCTION("GOOGLETRANSLATE(B19386,""en"",""es-ES"")"),"El hombre continúa sacando varios arrastre de una tubería y la sopla en el rollo de papel higiénico.")</f>
        <v>El hombre continúa sacando varios arrastre de una tubería y la sopla en el rollo de papel higiénico.</v>
      </c>
    </row>
    <row r="19387">
      <c r="A19387" s="4" t="s">
        <v>24398</v>
      </c>
      <c r="B19387" s="4" t="s">
        <v>24399</v>
      </c>
      <c r="C19387" s="5" t="str">
        <f>IFERROR(__xludf.DUMMYFUNCTION("GOOGLETRANSLATE(B19387,""en"",""es-ES"")"),"Se ve a una persona sentada en un kayak y moviéndose por un río duro.")</f>
        <v>Se ve a una persona sentada en un kayak y moviéndose por un río duro.</v>
      </c>
    </row>
    <row r="19388">
      <c r="A19388" s="4" t="s">
        <v>24398</v>
      </c>
      <c r="B19388" s="4" t="s">
        <v>24400</v>
      </c>
      <c r="C19388" s="5" t="str">
        <f>IFERROR(__xludf.DUMMYFUNCTION("GOOGLETRANSLATE(B19388,""en"",""es-ES"")"),"La persona continúa montando por el río mientras otra gente mira a un lado.")</f>
        <v>La persona continúa montando por el río mientras otra gente mira a un lado.</v>
      </c>
    </row>
    <row r="19389">
      <c r="A19389" s="4" t="s">
        <v>24401</v>
      </c>
      <c r="B19389" s="4" t="s">
        <v>24402</v>
      </c>
      <c r="C19389" s="5" t="str">
        <f>IFERROR(__xludf.DUMMYFUNCTION("GOOGLETRANSLATE(B19389,""en"",""es-ES"")"),"Un hombre con una camisa negra está tocando una armónica.")</f>
        <v>Un hombre con una camisa negra está tocando una armónica.</v>
      </c>
    </row>
    <row r="19390">
      <c r="A19390" s="4" t="s">
        <v>24401</v>
      </c>
      <c r="B19390" s="4" t="s">
        <v>24403</v>
      </c>
      <c r="C19390" s="5" t="str">
        <f>IFERROR(__xludf.DUMMYFUNCTION("GOOGLETRANSLATE(B19390,""en"",""es-ES"")"),"Otro hombre se sienta en un porche de una casa.")</f>
        <v>Otro hombre se sienta en un porche de una casa.</v>
      </c>
    </row>
    <row r="19391">
      <c r="A19391" s="4" t="s">
        <v>24401</v>
      </c>
      <c r="B19391" s="4" t="s">
        <v>24404</v>
      </c>
      <c r="C19391" s="5" t="str">
        <f>IFERROR(__xludf.DUMMYFUNCTION("GOOGLETRANSLATE(B19391,""en"",""es-ES"")"),"Una mujer con una bufanda blanca apaga una linterna.")</f>
        <v>Una mujer con una bufanda blanca apaga una linterna.</v>
      </c>
    </row>
    <row r="19392">
      <c r="A19392" s="4" t="s">
        <v>24405</v>
      </c>
      <c r="B19392" s="4" t="s">
        <v>24406</v>
      </c>
      <c r="C19392" s="5" t="str">
        <f>IFERROR(__xludf.DUMMYFUNCTION("GOOGLETRANSLATE(B19392,""en"",""es-ES"")"),"Un hombre se muestra en bares paralelos haciendo una rutina sobre ellos.")</f>
        <v>Un hombre se muestra en bares paralelos haciendo una rutina sobre ellos.</v>
      </c>
    </row>
    <row r="19393">
      <c r="A19393" s="4" t="s">
        <v>24405</v>
      </c>
      <c r="B19393" s="4" t="s">
        <v>24407</v>
      </c>
      <c r="C19393" s="5" t="str">
        <f>IFERROR(__xludf.DUMMYFUNCTION("GOOGLETRANSLATE(B19393,""en"",""es-ES"")"),"Está muy concentrado, volteando y balanceándose de un lado a otro.")</f>
        <v>Está muy concentrado, volteando y balanceándose de un lado a otro.</v>
      </c>
    </row>
    <row r="19394">
      <c r="A19394" s="4" t="s">
        <v>24405</v>
      </c>
      <c r="B19394" s="4" t="s">
        <v>24408</v>
      </c>
      <c r="C19394" s="5" t="str">
        <f>IFERROR(__xludf.DUMMYFUNCTION("GOOGLETRANSLATE(B19394,""en"",""es-ES"")"),"El atleta luego desmonta las barras y aterriza de pie.")</f>
        <v>El atleta luego desmonta las barras y aterriza de pie.</v>
      </c>
    </row>
    <row r="19395">
      <c r="A19395" s="4" t="s">
        <v>24405</v>
      </c>
      <c r="B19395" s="4" t="s">
        <v>24409</v>
      </c>
      <c r="C19395" s="5" t="str">
        <f>IFERROR(__xludf.DUMMYFUNCTION("GOOGLETRANSLATE(B19395,""en"",""es-ES"")"),"Se muestran varias tomas de la misma rutina con pausas intermedias y se muestran notas sobre la técnica adecuada.")</f>
        <v>Se muestran varias tomas de la misma rutina con pausas intermedias y se muestran notas sobre la técnica adecuada.</v>
      </c>
    </row>
    <row r="19396">
      <c r="A19396" s="4" t="s">
        <v>24410</v>
      </c>
      <c r="B19396" s="4" t="s">
        <v>24411</v>
      </c>
      <c r="C19396" s="5" t="str">
        <f>IFERROR(__xludf.DUMMYFUNCTION("GOOGLETRANSLATE(B19396,""en"",""es-ES"")"),"Se ve a una mujer caminando hacia un escenario que realiza una rutina de baile del vientre frente a una audiencia.")</f>
        <v>Se ve a una mujer caminando hacia un escenario que realiza una rutina de baile del vientre frente a una audiencia.</v>
      </c>
    </row>
    <row r="19397">
      <c r="A19397" s="4" t="s">
        <v>24410</v>
      </c>
      <c r="B19397" s="4" t="s">
        <v>24412</v>
      </c>
      <c r="C19397" s="5" t="str">
        <f>IFERROR(__xludf.DUMMYFUNCTION("GOOGLETRANSLATE(B19397,""en"",""es-ES"")"),"La mujer continúa bailando por el escenario y termina con ella posando.")</f>
        <v>La mujer continúa bailando por el escenario y termina con ella posando.</v>
      </c>
    </row>
    <row r="19398">
      <c r="A19398" s="4" t="s">
        <v>24413</v>
      </c>
      <c r="B19398" s="4" t="s">
        <v>24414</v>
      </c>
      <c r="C19398" s="5" t="str">
        <f>IFERROR(__xludf.DUMMYFUNCTION("GOOGLETRANSLATE(B19398,""en"",""es-ES"")"),"La mujer está parada frente a un pantalla.")</f>
        <v>La mujer está parada frente a un pantalla.</v>
      </c>
    </row>
    <row r="19399">
      <c r="A19399" s="4" t="s">
        <v>24413</v>
      </c>
      <c r="B19399" s="4" t="s">
        <v>24415</v>
      </c>
      <c r="C19399" s="5" t="str">
        <f>IFERROR(__xludf.DUMMYFUNCTION("GOOGLETRANSLATE(B19399,""en"",""es-ES"")"),"El hombre está cocinando zanahorias y saltee las verduras en una sartén y lo sirve en tazones abd del aderezo y queso mientras el pople detrás de él lo está mirando cocinar.")</f>
        <v>El hombre está cocinando zanahorias y saltee las verduras en una sartén y lo sirve en tazones abd del aderezo y queso mientras el pople detrás de él lo está mirando cocinar.</v>
      </c>
    </row>
    <row r="19400">
      <c r="A19400" s="4" t="s">
        <v>24416</v>
      </c>
      <c r="B19400" s="4" t="s">
        <v>24417</v>
      </c>
      <c r="C19400" s="5" t="str">
        <f>IFERROR(__xludf.DUMMYFUNCTION("GOOGLETRANSLATE(B19400,""en"",""es-ES"")"),"Se ve a un pequeño grupo de personas cabalgando por un río áspero más allá de los demás, mientras que muchos miran a un lado.")</f>
        <v>Se ve a un pequeño grupo de personas cabalgando por un río áspero más allá de los demás, mientras que muchos miran a un lado.</v>
      </c>
    </row>
    <row r="19401">
      <c r="A19401" s="4" t="s">
        <v>24416</v>
      </c>
      <c r="B19401" s="4" t="s">
        <v>24418</v>
      </c>
      <c r="C19401" s="5" t="str">
        <f>IFERROR(__xludf.DUMMYFUNCTION("GOOGLETRANSLATE(B19401,""en"",""es-ES"")"),"El grupo continúa remando y reuniéndose con otros grupos en la parte inferior.")</f>
        <v>El grupo continúa remando y reuniéndose con otros grupos en la parte inferior.</v>
      </c>
    </row>
    <row r="19402">
      <c r="A19402" s="4" t="s">
        <v>24419</v>
      </c>
      <c r="B19402" s="4" t="s">
        <v>24420</v>
      </c>
      <c r="C19402" s="5" t="str">
        <f>IFERROR(__xludf.DUMMYFUNCTION("GOOGLETRANSLATE(B19402,""en"",""es-ES"")"),"Se ve a una niña sentada en un sofá junto a un adulto mirando sus pies.")</f>
        <v>Se ve a una niña sentada en un sofá junto a un adulto mirando sus pies.</v>
      </c>
    </row>
    <row r="19403">
      <c r="A19403" s="4" t="s">
        <v>24419</v>
      </c>
      <c r="B19403" s="4" t="s">
        <v>24421</v>
      </c>
      <c r="C19403" s="5" t="str">
        <f>IFERROR(__xludf.DUMMYFUNCTION("GOOGLETRANSLATE(B19403,""en"",""es-ES"")"),"La niña juega con una plancha de juguete y mueve el artículo hacia arriba y hacia abajo sobre una camisa.")</f>
        <v>La niña juega con una plancha de juguete y mueve el artículo hacia arriba y hacia abajo sobre una camisa.</v>
      </c>
    </row>
    <row r="19404">
      <c r="A19404" s="4" t="s">
        <v>24422</v>
      </c>
      <c r="B19404" s="4" t="s">
        <v>24423</v>
      </c>
      <c r="C19404" s="5" t="str">
        <f>IFERROR(__xludf.DUMMYFUNCTION("GOOGLETRANSLATE(B19404,""en"",""es-ES"")"),"Un hombre alemán está lanzando un disco en competencia.")</f>
        <v>Un hombre alemán está lanzando un disco en competencia.</v>
      </c>
    </row>
    <row r="19405">
      <c r="A19405" s="4" t="s">
        <v>24422</v>
      </c>
      <c r="B19405" s="4" t="s">
        <v>24424</v>
      </c>
      <c r="C19405" s="5" t="str">
        <f>IFERROR(__xludf.DUMMYFUNCTION("GOOGLETRANSLATE(B19405,""en"",""es-ES"")"),"Deja caer el disco y luego se aleja.")</f>
        <v>Deja caer el disco y luego se aleja.</v>
      </c>
    </row>
    <row r="19406">
      <c r="A19406" s="4" t="s">
        <v>24422</v>
      </c>
      <c r="B19406" s="4" t="s">
        <v>24425</v>
      </c>
      <c r="C19406" s="5" t="str">
        <f>IFERROR(__xludf.DUMMYFUNCTION("GOOGLETRANSLATE(B19406,""en"",""es-ES"")"),"Se muestra una repetición y se ve triste.")</f>
        <v>Se muestra una repetición y se ve triste.</v>
      </c>
    </row>
    <row r="19407">
      <c r="A19407" s="4" t="s">
        <v>24426</v>
      </c>
      <c r="B19407" s="4" t="s">
        <v>24427</v>
      </c>
      <c r="C19407" s="5" t="str">
        <f>IFERROR(__xludf.DUMMYFUNCTION("GOOGLETRANSLATE(B19407,""en"",""es-ES"")"),"Vemos a un hombre hablando con otros dos hombres fuera de un almacén.")</f>
        <v>Vemos a un hombre hablando con otros dos hombres fuera de un almacén.</v>
      </c>
    </row>
    <row r="19408">
      <c r="A19408" s="4" t="s">
        <v>24426</v>
      </c>
      <c r="B19408" s="4" t="s">
        <v>24428</v>
      </c>
      <c r="C19408" s="5" t="str">
        <f>IFERROR(__xludf.DUMMYFUNCTION("GOOGLETRANSLATE(B19408,""en"",""es-ES"")"),"Dentro del almacén vemos una caja, los hombres se colocan sus patinetas.")</f>
        <v>Dentro del almacén vemos una caja, los hombres se colocan sus patinetas.</v>
      </c>
    </row>
    <row r="19409">
      <c r="A19409" s="4" t="s">
        <v>24426</v>
      </c>
      <c r="B19409" s="4" t="s">
        <v>24429</v>
      </c>
      <c r="C19409" s="5" t="str">
        <f>IFERROR(__xludf.DUMMYFUNCTION("GOOGLETRANSLATE(B19409,""en"",""es-ES"")"),"El hombre se cae de su patineta repetidamente.")</f>
        <v>El hombre se cae de su patineta repetidamente.</v>
      </c>
    </row>
    <row r="19410">
      <c r="A19410" s="4" t="s">
        <v>24426</v>
      </c>
      <c r="B19410" s="4" t="s">
        <v>24430</v>
      </c>
      <c r="C19410" s="5" t="str">
        <f>IFERROR(__xludf.DUMMYFUNCTION("GOOGLETRANSLATE(B19410,""en"",""es-ES"")"),"Él voltea la patineta y lo vemos en cámara lenta.")</f>
        <v>Él voltea la patineta y lo vemos en cámara lenta.</v>
      </c>
    </row>
    <row r="19411">
      <c r="A19411" s="4" t="s">
        <v>24426</v>
      </c>
      <c r="B19411" s="4" t="s">
        <v>24431</v>
      </c>
      <c r="C19411" s="5" t="str">
        <f>IFERROR(__xludf.DUMMYFUNCTION("GOOGLETRANSLATE(B19411,""en"",""es-ES"")"),"El hombre recibe un sombrero y vemos la pantalla final.")</f>
        <v>El hombre recibe un sombrero y vemos la pantalla final.</v>
      </c>
    </row>
    <row r="19412">
      <c r="A19412" s="4" t="s">
        <v>24426</v>
      </c>
      <c r="B19412" s="4" t="s">
        <v>24432</v>
      </c>
      <c r="C19412" s="5" t="str">
        <f>IFERROR(__xludf.DUMMYFUNCTION("GOOGLETRANSLATE(B19412,""en"",""es-ES"")"),"Un hombre salta sobre una pila de cajas y vemos la pantalla final nuevamente.")</f>
        <v>Un hombre salta sobre una pila de cajas y vemos la pantalla final nuevamente.</v>
      </c>
    </row>
    <row r="19413">
      <c r="A19413" s="4" t="s">
        <v>24433</v>
      </c>
      <c r="B19413" s="4" t="s">
        <v>24434</v>
      </c>
      <c r="C19413" s="5" t="str">
        <f>IFERROR(__xludf.DUMMYFUNCTION("GOOGLETRANSLATE(B19413,""en"",""es-ES"")"),"Betty Heidler compite en los Juegos Olimpic en la categoría de martillo femenino.")</f>
        <v>Betty Heidler compite en los Juegos Olimpic en la categoría de martillo femenino.</v>
      </c>
    </row>
    <row r="19414">
      <c r="A19414" s="4" t="s">
        <v>24433</v>
      </c>
      <c r="B19414" s="4" t="s">
        <v>24435</v>
      </c>
      <c r="C19414" s="5" t="str">
        <f>IFERROR(__xludf.DUMMYFUNCTION("GOOGLETRANSLATE(B19414,""en"",""es-ES"")"),"Betty Haidler parece realmente concentrada y decidida a irse a casa con un premio.")</f>
        <v>Betty Haidler parece realmente concentrada y decidida a irse a casa con un premio.</v>
      </c>
    </row>
    <row r="19415">
      <c r="A19415" s="4" t="s">
        <v>24433</v>
      </c>
      <c r="B19415" s="4" t="s">
        <v>24436</v>
      </c>
      <c r="C19415" s="5" t="str">
        <f>IFERROR(__xludf.DUMMYFUNCTION("GOOGLETRANSLATE(B19415,""en"",""es-ES"")"),"Betty Heidler comienza a girar y luego con todo el impulso arrojó al martillo muy lejos.")</f>
        <v>Betty Heidler comienza a girar y luego con todo el impulso arrojó al martillo muy lejos.</v>
      </c>
    </row>
    <row r="19416">
      <c r="A19416" s="4" t="s">
        <v>24433</v>
      </c>
      <c r="B19416" s="4" t="s">
        <v>24437</v>
      </c>
      <c r="C19416" s="5" t="str">
        <f>IFERROR(__xludf.DUMMYFUNCTION("GOOGLETRANSLATE(B19416,""en"",""es-ES"")"),"Betty Heidler se clasificó en la siguiente ronda cuando el lanzamiento fue exitoso.")</f>
        <v>Betty Heidler se clasificó en la siguiente ronda cuando el lanzamiento fue exitoso.</v>
      </c>
    </row>
    <row r="19417">
      <c r="A19417" s="4" t="s">
        <v>24433</v>
      </c>
      <c r="B19417" s="4" t="s">
        <v>24438</v>
      </c>
      <c r="C19417" s="5" t="str">
        <f>IFERROR(__xludf.DUMMYFUNCTION("GOOGLETRANSLATE(B19417,""en"",""es-ES"")"),"Alguien entrevista a Betty Heidler y ella está muy feliz de calificar para las próximas rondas del juego.")</f>
        <v>Alguien entrevista a Betty Heidler y ella está muy feliz de calificar para las próximas rondas del juego.</v>
      </c>
    </row>
    <row r="19418">
      <c r="A19418" s="4" t="s">
        <v>24439</v>
      </c>
      <c r="B19418" s="4" t="s">
        <v>24440</v>
      </c>
      <c r="C19418" s="5" t="str">
        <f>IFERROR(__xludf.DUMMYFUNCTION("GOOGLETRANSLATE(B19418,""en"",""es-ES"")"),"Las personas entrenan en una máquina de fitness tirando una cuerda en una barra y yendo y viniendo.")</f>
        <v>Las personas entrenan en una máquina de fitness tirando una cuerda en una barra y yendo y viniendo.</v>
      </c>
    </row>
    <row r="19419">
      <c r="A19419" s="4" t="s">
        <v>24439</v>
      </c>
      <c r="B19419" s="4" t="s">
        <v>24441</v>
      </c>
      <c r="C19419" s="5" t="str">
        <f>IFERROR(__xludf.DUMMYFUNCTION("GOOGLETRANSLATE(B19419,""en"",""es-ES"")"),"Un hombre dobla una máquina de ejercicios en un gimnasio.")</f>
        <v>Un hombre dobla una máquina de ejercicios en un gimnasio.</v>
      </c>
    </row>
    <row r="19420">
      <c r="A19420" s="4" t="s">
        <v>24439</v>
      </c>
      <c r="B19420" s="4" t="s">
        <v>24442</v>
      </c>
      <c r="C19420" s="5" t="str">
        <f>IFERROR(__xludf.DUMMYFUNCTION("GOOGLETRANSLATE(B19420,""en"",""es-ES"")"),"Luego, un hombre hace entrenamientos en una máquina de ejercicios.")</f>
        <v>Luego, un hombre hace entrenamientos en una máquina de ejercicios.</v>
      </c>
    </row>
    <row r="19421">
      <c r="A19421" s="4" t="s">
        <v>24443</v>
      </c>
      <c r="B19421" s="4" t="s">
        <v>24444</v>
      </c>
      <c r="C19421" s="5" t="str">
        <f>IFERROR(__xludf.DUMMYFUNCTION("GOOGLETRANSLATE(B19421,""en"",""es-ES"")"),"Una mujer con camisa azul está cortando la madera, cuando cortó la madera por la mitad, la dejó a un lado, luego tomó otro tronco y lo cortó por la mitad.")</f>
        <v>Una mujer con camisa azul está cortando la madera, cuando cortó la madera por la mitad, la dejó a un lado, luego tomó otro tronco y lo cortó por la mitad.</v>
      </c>
    </row>
    <row r="19422">
      <c r="A19422" s="4" t="s">
        <v>24443</v>
      </c>
      <c r="B19422" s="4" t="s">
        <v>24445</v>
      </c>
      <c r="C19422" s="5" t="str">
        <f>IFERROR(__xludf.DUMMYFUNCTION("GOOGLETRANSLATE(B19422,""en"",""es-ES"")"),"La mujer intenta cortar la madera por la mitad, pero no se picará por la mitad, luego cayó sobre el suelo y la volvió a poner en la tabla de cortar, y continúa pidiendo la madera, después de varios intentos, finalmente cortó la madera. a la mitad.")</f>
        <v>La mujer intenta cortar la madera por la mitad, pero no se picará por la mitad, luego cayó sobre el suelo y la volvió a poner en la tabla de cortar, y continúa pidiendo la madera, después de varios intentos, finalmente cortó la madera. a la mitad.</v>
      </c>
    </row>
    <row r="19423">
      <c r="A19423" s="4" t="s">
        <v>24446</v>
      </c>
      <c r="B19423" s="4" t="s">
        <v>24447</v>
      </c>
      <c r="C19423" s="5" t="str">
        <f>IFERROR(__xludf.DUMMYFUNCTION("GOOGLETRANSLATE(B19423,""en"",""es-ES"")"),"Varias mesas de picnic se muestran en un campo seguido de un hombre que se pone en marcha y otras que corren por el bosque.")</f>
        <v>Varias mesas de picnic se muestran en un campo seguido de un hombre que se pone en marcha y otras que corren por el bosque.</v>
      </c>
    </row>
    <row r="19424">
      <c r="A19424" s="4" t="s">
        <v>24446</v>
      </c>
      <c r="B19424" s="4" t="s">
        <v>24448</v>
      </c>
      <c r="C19424" s="5" t="str">
        <f>IFERROR(__xludf.DUMMYFUNCTION("GOOGLETRANSLATE(B19424,""en"",""es-ES"")"),"Se ve a varias personas jugando un partido de paintball entre sí y moviéndose continuamente alrededor del bosque y sosteniendo un arma.")</f>
        <v>Se ve a varias personas jugando un partido de paintball entre sí y moviéndose continuamente alrededor del bosque y sosteniendo un arma.</v>
      </c>
    </row>
    <row r="19425">
      <c r="A19425" s="4" t="s">
        <v>24446</v>
      </c>
      <c r="B19425" s="4" t="s">
        <v>24449</v>
      </c>
      <c r="C19425" s="5" t="str">
        <f>IFERROR(__xludf.DUMMYFUNCTION("GOOGLETRANSLATE(B19425,""en"",""es-ES"")"),"La persona luego corre por un área sosteniendo su arma y disparando cuando llega una persona.")</f>
        <v>La persona luego corre por un área sosteniendo su arma y disparando cuando llega una persona.</v>
      </c>
    </row>
    <row r="19426">
      <c r="A19426" s="4" t="s">
        <v>24450</v>
      </c>
      <c r="B19426" s="4" t="s">
        <v>24451</v>
      </c>
      <c r="C19426" s="5" t="str">
        <f>IFERROR(__xludf.DUMMYFUNCTION("GOOGLETRANSLATE(B19426,""en"",""es-ES"")"),"El video conduce a varias tomas de personas corriendo por una larga pista y saltando a un pozo de arena.")</f>
        <v>El video conduce a varias tomas de personas corriendo por una larga pista y saltando a un pozo de arena.</v>
      </c>
    </row>
    <row r="19427">
      <c r="A19427" s="4" t="s">
        <v>24450</v>
      </c>
      <c r="B19427" s="4" t="s">
        <v>24452</v>
      </c>
      <c r="C19427" s="5" t="str">
        <f>IFERROR(__xludf.DUMMYFUNCTION("GOOGLETRANSLATE(B19427,""en"",""es-ES"")"),"Se muestran más mujeres corriendo por la pista y aterrizando en el pozo de arena mientras otros miran.")</f>
        <v>Se muestran más mujeres corriendo por la pista y aterrizando en el pozo de arena mientras otros miran.</v>
      </c>
    </row>
    <row r="19428">
      <c r="A19428" s="4" t="s">
        <v>24453</v>
      </c>
      <c r="B19428" s="4" t="s">
        <v>24454</v>
      </c>
      <c r="C19428" s="5" t="str">
        <f>IFERROR(__xludf.DUMMYFUNCTION("GOOGLETRANSLATE(B19428,""en"",""es-ES"")"),"Un hombre y dos niños reman por un río.")</f>
        <v>Un hombre y dos niños reman por un río.</v>
      </c>
    </row>
    <row r="19429">
      <c r="A19429" s="4" t="s">
        <v>24453</v>
      </c>
      <c r="B19429" s="4" t="s">
        <v>24455</v>
      </c>
      <c r="C19429" s="5" t="str">
        <f>IFERROR(__xludf.DUMMYFUNCTION("GOOGLETRANSLATE(B19429,""en"",""es-ES"")"),"Dos canoas están atadas.")</f>
        <v>Dos canoas están atadas.</v>
      </c>
    </row>
    <row r="19430">
      <c r="A19430" s="4" t="s">
        <v>24453</v>
      </c>
      <c r="B19430" s="4" t="s">
        <v>24456</v>
      </c>
      <c r="C19430" s="5" t="str">
        <f>IFERROR(__xludf.DUMMYFUNCTION("GOOGLETRANSLATE(B19430,""en"",""es-ES"")"),"El agua se pone más picotea a medida que avanzan.")</f>
        <v>El agua se pone más picotea a medida que avanzan.</v>
      </c>
    </row>
    <row r="19431">
      <c r="A19431" s="4" t="s">
        <v>24453</v>
      </c>
      <c r="B19431" s="4" t="s">
        <v>24457</v>
      </c>
      <c r="C19431" s="5" t="str">
        <f>IFERROR(__xludf.DUMMYFUNCTION("GOOGLETRANSLATE(B19431,""en"",""es-ES"")"),"El río está forrado con muchos árboles.")</f>
        <v>El río está forrado con muchos árboles.</v>
      </c>
    </row>
    <row r="19432">
      <c r="A19432" s="4" t="s">
        <v>24458</v>
      </c>
      <c r="B19432" s="4" t="s">
        <v>1487</v>
      </c>
      <c r="C19432" s="5" t="str">
        <f>IFERROR(__xludf.DUMMYFUNCTION("GOOGLETRANSLATE(B19432,""en"",""es-ES"")"),"Vemos una pantalla de título de apertura.")</f>
        <v>Vemos una pantalla de título de apertura.</v>
      </c>
    </row>
    <row r="19433">
      <c r="A19433" s="4" t="s">
        <v>24458</v>
      </c>
      <c r="B19433" s="4" t="s">
        <v>24459</v>
      </c>
      <c r="C19433" s="5" t="str">
        <f>IFERROR(__xludf.DUMMYFUNCTION("GOOGLETRANSLATE(B19433,""en"",""es-ES"")"),"Un grupo de hombres juega al aire libre.")</f>
        <v>Un grupo de hombres juega al aire libre.</v>
      </c>
    </row>
    <row r="19434">
      <c r="A19434" s="4" t="s">
        <v>24458</v>
      </c>
      <c r="B19434" s="4" t="s">
        <v>24460</v>
      </c>
      <c r="C19434" s="5" t="str">
        <f>IFERROR(__xludf.DUMMYFUNCTION("GOOGLETRANSLATE(B19434,""en"",""es-ES"")"),"Los hombres de la derecha ganan y se dan la mano y se colgaron.")</f>
        <v>Los hombres de la derecha ganan y se dan la mano y se colgaron.</v>
      </c>
    </row>
    <row r="19435">
      <c r="A19435" s="4" t="s">
        <v>24458</v>
      </c>
      <c r="B19435" s="4" t="s">
        <v>24461</v>
      </c>
      <c r="C19435" s="5" t="str">
        <f>IFERROR(__xludf.DUMMYFUNCTION("GOOGLETRANSLATE(B19435,""en"",""es-ES"")"),"Un hombre es un niño que un niño sostuvo por una dama detrás de ellos.")</f>
        <v>Un hombre es un niño que un niño sostuvo por una dama detrás de ellos.</v>
      </c>
    </row>
    <row r="19436">
      <c r="A19436" s="4" t="s">
        <v>24458</v>
      </c>
      <c r="B19436" s="4" t="s">
        <v>2940</v>
      </c>
      <c r="C19436" s="5" t="str">
        <f>IFERROR(__xludf.DUMMYFUNCTION("GOOGLETRANSLATE(B19436,""en"",""es-ES"")"),"Vemos una pantalla de cierre.")</f>
        <v>Vemos una pantalla de cierre.</v>
      </c>
    </row>
    <row r="19437">
      <c r="A19437" s="4" t="s">
        <v>24462</v>
      </c>
      <c r="B19437" s="4" t="s">
        <v>24463</v>
      </c>
      <c r="C19437" s="5" t="str">
        <f>IFERROR(__xludf.DUMMYFUNCTION("GOOGLETRANSLATE(B19437,""en"",""es-ES"")"),"Un hombre que luce barba y bigote y con una camisa blanca está dando un tutorial sobre la seguridad del voleibol.")</f>
        <v>Un hombre que luce barba y bigote y con una camisa blanca está dando un tutorial sobre la seguridad del voleibol.</v>
      </c>
    </row>
    <row r="19438">
      <c r="A19438" s="4" t="s">
        <v>24462</v>
      </c>
      <c r="B19438" s="4" t="s">
        <v>24464</v>
      </c>
      <c r="C19438" s="5" t="str">
        <f>IFERROR(__xludf.DUMMYFUNCTION("GOOGLETRANSLATE(B19438,""en"",""es-ES"")"),"Luego usa una sudadera negra y demuestra cómo hacer ejercicios de estiramiento.")</f>
        <v>Luego usa una sudadera negra y demuestra cómo hacer ejercicios de estiramiento.</v>
      </c>
    </row>
    <row r="19439">
      <c r="A19439" s="4" t="s">
        <v>24462</v>
      </c>
      <c r="B19439" s="4" t="s">
        <v>24465</v>
      </c>
      <c r="C19439" s="5" t="str">
        <f>IFERROR(__xludf.DUMMYFUNCTION("GOOGLETRANSLATE(B19439,""en"",""es-ES"")"),"Continúa explicando qué equipo usar mientras juega y se calienta para el voleibol.")</f>
        <v>Continúa explicando qué equipo usar mientras juega y se calienta para el voleibol.</v>
      </c>
    </row>
    <row r="19440">
      <c r="A19440" s="4" t="s">
        <v>24462</v>
      </c>
      <c r="B19440" s="4" t="s">
        <v>24466</v>
      </c>
      <c r="C19440" s="5" t="str">
        <f>IFERROR(__xludf.DUMMYFUNCTION("GOOGLETRANSLATE(B19440,""en"",""es-ES"")"),"Hay algunos atletas jugando voleibol mientras habla.")</f>
        <v>Hay algunos atletas jugando voleibol mientras habla.</v>
      </c>
    </row>
    <row r="19441">
      <c r="A19441" s="4" t="s">
        <v>24462</v>
      </c>
      <c r="B19441" s="4" t="s">
        <v>24467</v>
      </c>
      <c r="C19441" s="5" t="str">
        <f>IFERROR(__xludf.DUMMYFUNCTION("GOOGLETRANSLATE(B19441,""en"",""es-ES"")"),"Se muestra un juego de voleibol donde los jugadores están en un gimnasio interior.")</f>
        <v>Se muestra un juego de voleibol donde los jugadores están en un gimnasio interior.</v>
      </c>
    </row>
    <row r="19442">
      <c r="A19442" s="4" t="s">
        <v>24468</v>
      </c>
      <c r="B19442" s="4" t="s">
        <v>24469</v>
      </c>
      <c r="C19442" s="5" t="str">
        <f>IFERROR(__xludf.DUMMYFUNCTION("GOOGLETRANSLATE(B19442,""en"",""es-ES"")"),"Vemos hombres jugando fútbol en la arena.")</f>
        <v>Vemos hombres jugando fútbol en la arena.</v>
      </c>
    </row>
    <row r="19443">
      <c r="A19443" s="4" t="s">
        <v>24468</v>
      </c>
      <c r="B19443" s="4" t="s">
        <v>24470</v>
      </c>
      <c r="C19443" s="5" t="str">
        <f>IFERROR(__xludf.DUMMYFUNCTION("GOOGLETRANSLATE(B19443,""en"",""es-ES"")"),"La pelota entra y todos corren hacia la pelota.")</f>
        <v>La pelota entra y todos corren hacia la pelota.</v>
      </c>
    </row>
    <row r="19444">
      <c r="A19444" s="4" t="s">
        <v>24468</v>
      </c>
      <c r="B19444" s="4" t="s">
        <v>24471</v>
      </c>
      <c r="C19444" s="5" t="str">
        <f>IFERROR(__xludf.DUMMYFUNCTION("GOOGLETRANSLATE(B19444,""en"",""es-ES"")"),"Un hombre a la derecha patea la pelota en la meta.")</f>
        <v>Un hombre a la derecha patea la pelota en la meta.</v>
      </c>
    </row>
    <row r="19445">
      <c r="A19445" s="4" t="s">
        <v>24468</v>
      </c>
      <c r="B19445" s="4" t="s">
        <v>24472</v>
      </c>
      <c r="C19445" s="5" t="str">
        <f>IFERROR(__xludf.DUMMYFUNCTION("GOOGLETRANSLATE(B19445,""en"",""es-ES"")"),"Los hombres en rojo todos los cinco.")</f>
        <v>Los hombres en rojo todos los cinco.</v>
      </c>
    </row>
    <row r="19446">
      <c r="A19446" s="4" t="s">
        <v>24473</v>
      </c>
      <c r="B19446" s="4" t="s">
        <v>24474</v>
      </c>
      <c r="C19446" s="5" t="str">
        <f>IFERROR(__xludf.DUMMYFUNCTION("GOOGLETRANSLATE(B19446,""en"",""es-ES"")"),"Se ve a una mujer hablando con la cámara mientras está de pie junto a un caballo y sosteniendo un cepillo.")</f>
        <v>Se ve a una mujer hablando con la cámara mientras está de pie junto a un caballo y sosteniendo un cepillo.</v>
      </c>
    </row>
    <row r="19447">
      <c r="A19447" s="4" t="s">
        <v>24473</v>
      </c>
      <c r="B19447" s="4" t="s">
        <v>24475</v>
      </c>
      <c r="C19447" s="5" t="str">
        <f>IFERROR(__xludf.DUMMYFUNCTION("GOOGLETRANSLATE(B19447,""en"",""es-ES"")"),"Ella comienza a cepillarse a lo largo del caballo mientras sigue hablando con la cámara.")</f>
        <v>Ella comienza a cepillarse a lo largo del caballo mientras sigue hablando con la cámara.</v>
      </c>
    </row>
    <row r="19448">
      <c r="A19448" s="4" t="s">
        <v>24473</v>
      </c>
      <c r="B19448" s="4" t="s">
        <v>24476</v>
      </c>
      <c r="C19448" s="5" t="str">
        <f>IFERROR(__xludf.DUMMYFUNCTION("GOOGLETRANSLATE(B19448,""en"",""es-ES"")"),"Se detiene por un momento para terminar mientras habla con la cámara.")</f>
        <v>Se detiene por un momento para terminar mientras habla con la cámara.</v>
      </c>
    </row>
    <row r="19449">
      <c r="A19449" s="4" t="s">
        <v>24477</v>
      </c>
      <c r="B19449" s="4" t="s">
        <v>24478</v>
      </c>
      <c r="C19449" s="5" t="str">
        <f>IFERROR(__xludf.DUMMYFUNCTION("GOOGLETRANSLATE(B19449,""en"",""es-ES"")"),"Un automóvil se detiene a una luz roja y hay una vista de un pequeño pueblo que tiene algo de nieve en el suelo.")</f>
        <v>Un automóvil se detiene a una luz roja y hay una vista de un pequeño pueblo que tiene algo de nieve en el suelo.</v>
      </c>
    </row>
    <row r="19450">
      <c r="A19450" s="4" t="s">
        <v>24477</v>
      </c>
      <c r="B19450" s="4" t="s">
        <v>24479</v>
      </c>
      <c r="C19450" s="5" t="str">
        <f>IFERROR(__xludf.DUMMYFUNCTION("GOOGLETRANSLATE(B19450,""en"",""es-ES"")"),"La luz se vuelve verde y el automóvil conduce por la calle y no hay gente caminando en la acera y solo un camión estacionó.")</f>
        <v>La luz se vuelve verde y el automóvil conduce por la calle y no hay gente caminando en la acera y solo un camión estacionó.</v>
      </c>
    </row>
    <row r="19451">
      <c r="A19451" s="4" t="s">
        <v>24477</v>
      </c>
      <c r="B19451" s="4" t="s">
        <v>24480</v>
      </c>
      <c r="C19451" s="5" t="str">
        <f>IFERROR(__xludf.DUMMYFUNCTION("GOOGLETRANSLATE(B19451,""en"",""es-ES"")"),"En el lado derecho hay alguien sacando hielo de la carretera y el auto lo pasa.")</f>
        <v>En el lado derecho hay alguien sacando hielo de la carretera y el auto lo pasa.</v>
      </c>
    </row>
    <row r="19452">
      <c r="A19452" s="4" t="s">
        <v>24481</v>
      </c>
      <c r="B19452" s="4" t="s">
        <v>24482</v>
      </c>
      <c r="C19452" s="5" t="str">
        <f>IFERROR(__xludf.DUMMYFUNCTION("GOOGLETRANSLATE(B19452,""en"",""es-ES"")"),"Un hombre está al aire libre en una herramienta de 4 pasos y desliza su cortador de seto hacia la derecha.")</f>
        <v>Un hombre está al aire libre en una herramienta de 4 pasos y desliza su cortador de seto hacia la derecha.</v>
      </c>
    </row>
    <row r="19453">
      <c r="A19453" s="4" t="s">
        <v>24481</v>
      </c>
      <c r="B19453" s="4" t="s">
        <v>24483</v>
      </c>
      <c r="C19453" s="5" t="str">
        <f>IFERROR(__xludf.DUMMYFUNCTION("GOOGLETRANSLATE(B19453,""en"",""es-ES"")"),"Luego, el hombre levanta los cortadores y comienza a cortar más hacia su lado izquierdo.")</f>
        <v>Luego, el hombre levanta los cortadores y comienza a cortar más hacia su lado izquierdo.</v>
      </c>
    </row>
    <row r="19454">
      <c r="A19454" s="4" t="s">
        <v>24481</v>
      </c>
      <c r="B19454" s="4" t="s">
        <v>24484</v>
      </c>
      <c r="C19454" s="5" t="str">
        <f>IFERROR(__xludf.DUMMYFUNCTION("GOOGLETRANSLATE(B19454,""en"",""es-ES"")"),"El hombre deja de cortar y comienza a bajar de la escalera.")</f>
        <v>El hombre deja de cortar y comienza a bajar de la escalera.</v>
      </c>
    </row>
    <row r="19455">
      <c r="A19455" s="4" t="s">
        <v>24485</v>
      </c>
      <c r="B19455" s="4" t="s">
        <v>24486</v>
      </c>
      <c r="C19455" s="5" t="str">
        <f>IFERROR(__xludf.DUMMYFUNCTION("GOOGLETRANSLATE(B19455,""en"",""es-ES"")"),"Una mujer comienza a trenzar su cabello.")</f>
        <v>Una mujer comienza a trenzar su cabello.</v>
      </c>
    </row>
    <row r="19456">
      <c r="A19456" s="4" t="s">
        <v>24485</v>
      </c>
      <c r="B19456" s="4" t="s">
        <v>24487</v>
      </c>
      <c r="C19456" s="5" t="str">
        <f>IFERROR(__xludf.DUMMYFUNCTION("GOOGLETRANSLATE(B19456,""en"",""es-ES"")"),"Las instrucciones suben al costado de la pantalla.")</f>
        <v>Las instrucciones suben al costado de la pantalla.</v>
      </c>
    </row>
    <row r="19457">
      <c r="A19457" s="4" t="s">
        <v>24485</v>
      </c>
      <c r="B19457" s="4" t="s">
        <v>24488</v>
      </c>
      <c r="C19457" s="5" t="str">
        <f>IFERROR(__xludf.DUMMYFUNCTION("GOOGLETRANSLATE(B19457,""en"",""es-ES"")"),"La mujer se vuelve hacia un lado para mostrar su trenza.")</f>
        <v>La mujer se vuelve hacia un lado para mostrar su trenza.</v>
      </c>
    </row>
    <row r="19458">
      <c r="A19458" s="4" t="s">
        <v>24489</v>
      </c>
      <c r="B19458" s="4" t="s">
        <v>24490</v>
      </c>
      <c r="C19458" s="5" t="str">
        <f>IFERROR(__xludf.DUMMYFUNCTION("GOOGLETRANSLATE(B19458,""en"",""es-ES"")"),"Dos equipos están a ambos lados de un campo.")</f>
        <v>Dos equipos están a ambos lados de un campo.</v>
      </c>
    </row>
    <row r="19459">
      <c r="A19459" s="4" t="s">
        <v>24489</v>
      </c>
      <c r="B19459" s="4" t="s">
        <v>24491</v>
      </c>
      <c r="C19459" s="5" t="str">
        <f>IFERROR(__xludf.DUMMYFUNCTION("GOOGLETRANSLATE(B19459,""en"",""es-ES"")"),"Están sosteniendo una cuerda, preparándose para tirar.")</f>
        <v>Están sosteniendo una cuerda, preparándose para tirar.</v>
      </c>
    </row>
    <row r="19460">
      <c r="A19460" s="4" t="s">
        <v>24489</v>
      </c>
      <c r="B19460" s="4" t="s">
        <v>24492</v>
      </c>
      <c r="C19460" s="5" t="str">
        <f>IFERROR(__xludf.DUMMYFUNCTION("GOOGLETRANSLATE(B19460,""en"",""es-ES"")"),"Los dos equipos comienzan a tirar, tratando de ganar la competencia mientras una multitud observa.")</f>
        <v>Los dos equipos comienzan a tirar, tratando de ganar la competencia mientras una multitud observa.</v>
      </c>
    </row>
    <row r="19461">
      <c r="A19461" s="4" t="s">
        <v>24489</v>
      </c>
      <c r="B19461" s="4" t="s">
        <v>24493</v>
      </c>
      <c r="C19461" s="5" t="str">
        <f>IFERROR(__xludf.DUMMYFUNCTION("GOOGLETRANSLATE(B19461,""en"",""es-ES"")"),"El grupo amarillo comienza a ser arrastrado hacia adelante contra su voluntad.")</f>
        <v>El grupo amarillo comienza a ser arrastrado hacia adelante contra su voluntad.</v>
      </c>
    </row>
    <row r="19462">
      <c r="A19462" s="4" t="s">
        <v>24494</v>
      </c>
      <c r="B19462" s="4" t="s">
        <v>24495</v>
      </c>
      <c r="C19462" s="5" t="str">
        <f>IFERROR(__xludf.DUMMYFUNCTION("GOOGLETRANSLATE(B19462,""en"",""es-ES"")"),"Se ve el frente de un edificio llamado gigante.")</f>
        <v>Se ve el frente de un edificio llamado gigante.</v>
      </c>
    </row>
    <row r="19463">
      <c r="A19463" s="4" t="s">
        <v>24494</v>
      </c>
      <c r="B19463" s="4" t="s">
        <v>24496</v>
      </c>
      <c r="C19463" s="5" t="str">
        <f>IFERROR(__xludf.DUMMYFUNCTION("GOOGLETRANSLATE(B19463,""en"",""es-ES"")"),"Los técnicos se muestran adentro, trabajando en bicicletas.")</f>
        <v>Los técnicos se muestran adentro, trabajando en bicicletas.</v>
      </c>
    </row>
    <row r="19464">
      <c r="A19464" s="4" t="s">
        <v>24494</v>
      </c>
      <c r="B19464" s="4" t="s">
        <v>24497</v>
      </c>
      <c r="C19464" s="5" t="str">
        <f>IFERROR(__xludf.DUMMYFUNCTION("GOOGLETRANSLATE(B19464,""en"",""es-ES"")"),"Trabajan en equipos, tratando de construir y reparar.")</f>
        <v>Trabajan en equipos, tratando de construir y reparar.</v>
      </c>
    </row>
    <row r="19465">
      <c r="A19465" s="4" t="s">
        <v>24498</v>
      </c>
      <c r="B19465" s="4" t="s">
        <v>24499</v>
      </c>
      <c r="C19465" s="5" t="str">
        <f>IFERROR(__xludf.DUMMYFUNCTION("GOOGLETRANSLATE(B19465,""en"",""es-ES"")"),"Dos hombres se muestran en el costado del techo de un edificio.")</f>
        <v>Dos hombres se muestran en el costado del techo de un edificio.</v>
      </c>
    </row>
    <row r="19466">
      <c r="A19466" s="4" t="s">
        <v>24498</v>
      </c>
      <c r="B19466" s="4" t="s">
        <v>24500</v>
      </c>
      <c r="C19466" s="5" t="str">
        <f>IFERROR(__xludf.DUMMYFUNCTION("GOOGLETRANSLATE(B19466,""en"",""es-ES"")"),"Uno se gira hacia un lado, usando un equipo.")</f>
        <v>Uno se gira hacia un lado, usando un equipo.</v>
      </c>
    </row>
    <row r="19467">
      <c r="A19467" s="4" t="s">
        <v>24498</v>
      </c>
      <c r="B19467" s="4" t="s">
        <v>24501</v>
      </c>
      <c r="C19467" s="5" t="str">
        <f>IFERROR(__xludf.DUMMYFUNCTION("GOOGLETRANSLATE(B19467,""en"",""es-ES"")"),"Parecen estar construyendo un techo.")</f>
        <v>Parecen estar construyendo un techo.</v>
      </c>
    </row>
    <row r="19468">
      <c r="A19468" s="4" t="s">
        <v>24502</v>
      </c>
      <c r="B19468" s="4" t="s">
        <v>24503</v>
      </c>
      <c r="C19468" s="5" t="str">
        <f>IFERROR(__xludf.DUMMYFUNCTION("GOOGLETRANSLATE(B19468,""en"",""es-ES"")"),"Un hombre está extendiendo mantillo alrededor de las plantas.")</f>
        <v>Un hombre está extendiendo mantillo alrededor de las plantas.</v>
      </c>
    </row>
    <row r="19469">
      <c r="A19469" s="4" t="s">
        <v>24502</v>
      </c>
      <c r="B19469" s="4" t="s">
        <v>24504</v>
      </c>
      <c r="C19469" s="5" t="str">
        <f>IFERROR(__xludf.DUMMYFUNCTION("GOOGLETRANSLATE(B19469,""en"",""es-ES"")"),"Un hombre está sentado en una mesa leyendo un periódico.")</f>
        <v>Un hombre está sentado en una mesa leyendo un periódico.</v>
      </c>
    </row>
    <row r="19470">
      <c r="A19470" s="4" t="s">
        <v>24502</v>
      </c>
      <c r="B19470" s="4" t="s">
        <v>24505</v>
      </c>
      <c r="C19470" s="5" t="str">
        <f>IFERROR(__xludf.DUMMYFUNCTION("GOOGLETRANSLATE(B19470,""en"",""es-ES"")"),"Se muestra un patio bien cuidado.")</f>
        <v>Se muestra un patio bien cuidado.</v>
      </c>
    </row>
    <row r="19471">
      <c r="A19471" s="4" t="s">
        <v>24506</v>
      </c>
      <c r="B19471" s="4" t="s">
        <v>24507</v>
      </c>
      <c r="C19471" s="5" t="str">
        <f>IFERROR(__xludf.DUMMYFUNCTION("GOOGLETRANSLATE(B19471,""en"",""es-ES"")"),"Se muestra un juego de fútbol y un hombre en las noticias está hablando de un juego de Voleyball.")</f>
        <v>Se muestra un juego de fútbol y un hombre en las noticias está hablando de un juego de Voleyball.</v>
      </c>
    </row>
    <row r="19472">
      <c r="A19472" s="4" t="s">
        <v>24506</v>
      </c>
      <c r="B19472" s="4" t="s">
        <v>24508</v>
      </c>
      <c r="C19472" s="5" t="str">
        <f>IFERROR(__xludf.DUMMYFUNCTION("GOOGLETRANSLATE(B19472,""en"",""es-ES"")"),"El set se muestra con el juego de Voleyball y algunas mujeres en bikini jugando blancos, los espectadores están aplaudiendo.")</f>
        <v>El set se muestra con el juego de Voleyball y algunas mujeres en bikini jugando blancos, los espectadores están aplaudiendo.</v>
      </c>
    </row>
    <row r="19473">
      <c r="A19473" s="4" t="s">
        <v>24506</v>
      </c>
      <c r="B19473" s="4" t="s">
        <v>24509</v>
      </c>
      <c r="C19473" s="5" t="str">
        <f>IFERROR(__xludf.DUMMYFUNCTION("GOOGLETRANSLATE(B19473,""en"",""es-ES"")"),"De vuelta al estudio hay tres comentaristas hablando.")</f>
        <v>De vuelta al estudio hay tres comentaristas hablando.</v>
      </c>
    </row>
    <row r="19474">
      <c r="A19474" s="4" t="s">
        <v>24510</v>
      </c>
      <c r="B19474" s="4" t="s">
        <v>24511</v>
      </c>
      <c r="C19474" s="5" t="str">
        <f>IFERROR(__xludf.DUMMYFUNCTION("GOOGLETRANSLATE(B19474,""en"",""es-ES"")"),"Un hombre y una mujer se paran junto a una mesa hablando con la cámara.")</f>
        <v>Un hombre y una mujer se paran junto a una mesa hablando con la cámara.</v>
      </c>
    </row>
    <row r="19475">
      <c r="A19475" s="4" t="s">
        <v>24510</v>
      </c>
      <c r="B19475" s="4" t="s">
        <v>24512</v>
      </c>
      <c r="C19475" s="5" t="str">
        <f>IFERROR(__xludf.DUMMYFUNCTION("GOOGLETRANSLATE(B19475,""en"",""es-ES"")"),"Una receta de puré de papas se encuentra en la mesa.")</f>
        <v>Una receta de puré de papas se encuentra en la mesa.</v>
      </c>
    </row>
    <row r="19476">
      <c r="A19476" s="4" t="s">
        <v>24510</v>
      </c>
      <c r="B19476" s="4" t="s">
        <v>24513</v>
      </c>
      <c r="C19476" s="5" t="str">
        <f>IFERROR(__xludf.DUMMYFUNCTION("GOOGLETRANSLATE(B19476,""en"",""es-ES"")"),"El hombre se pelea y corta las papas antes de arrojarlas a una olla amarilla.")</f>
        <v>El hombre se pelea y corta las papas antes de arrojarlas a una olla amarilla.</v>
      </c>
    </row>
    <row r="19477">
      <c r="A19477" s="4" t="s">
        <v>24510</v>
      </c>
      <c r="B19477" s="4" t="s">
        <v>24514</v>
      </c>
      <c r="C19477" s="5" t="str">
        <f>IFERROR(__xludf.DUMMYFUNCTION("GOOGLETRANSLATE(B19477,""en"",""es-ES"")"),"El hombre arroja tres puñados de sal en la olla amarilla.")</f>
        <v>El hombre arroja tres puñados de sal en la olla amarilla.</v>
      </c>
    </row>
    <row r="19478">
      <c r="A19478" s="4" t="s">
        <v>24510</v>
      </c>
      <c r="B19478" s="4" t="s">
        <v>24515</v>
      </c>
      <c r="C19478" s="5" t="str">
        <f>IFERROR(__xludf.DUMMYFUNCTION("GOOGLETRANSLATE(B19478,""en"",""es-ES"")"),"El hombre corta un poco de ajo.")</f>
        <v>El hombre corta un poco de ajo.</v>
      </c>
    </row>
    <row r="19479">
      <c r="A19479" s="4" t="s">
        <v>24510</v>
      </c>
      <c r="B19479" s="4" t="s">
        <v>24516</v>
      </c>
      <c r="C19479" s="5" t="str">
        <f>IFERROR(__xludf.DUMMYFUNCTION("GOOGLETRANSLATE(B19479,""en"",""es-ES"")"),"En la olla, el hombre arroja el ajo junto con dos hojas.")</f>
        <v>En la olla, el hombre arroja el ajo junto con dos hojas.</v>
      </c>
    </row>
    <row r="19480">
      <c r="A19480" s="4" t="s">
        <v>24510</v>
      </c>
      <c r="B19480" s="4" t="s">
        <v>24517</v>
      </c>
      <c r="C19480" s="5" t="str">
        <f>IFERROR(__xludf.DUMMYFUNCTION("GOOGLETRANSLATE(B19480,""en"",""es-ES"")"),"La mujer se une al hombre en la mesa y corta la mantequilla por la mitad.")</f>
        <v>La mujer se une al hombre en la mesa y corta la mantequilla por la mitad.</v>
      </c>
    </row>
    <row r="19481">
      <c r="A19481" s="4" t="s">
        <v>24510</v>
      </c>
      <c r="B19481" s="4" t="s">
        <v>24518</v>
      </c>
      <c r="C19481" s="5" t="str">
        <f>IFERROR(__xludf.DUMMYFUNCTION("GOOGLETRANSLATE(B19481,""en"",""es-ES"")"),"La mujer arroja la mantequilla a una cacerola.")</f>
        <v>La mujer arroja la mantequilla a una cacerola.</v>
      </c>
    </row>
    <row r="19482">
      <c r="A19482" s="4" t="s">
        <v>24510</v>
      </c>
      <c r="B19482" s="4" t="s">
        <v>24519</v>
      </c>
      <c r="C19482" s="5" t="str">
        <f>IFERROR(__xludf.DUMMYFUNCTION("GOOGLETRANSLATE(B19482,""en"",""es-ES"")"),"El hombre le habla brevemente y la mujer procede a verter un poco de leche en la cacerola.")</f>
        <v>El hombre le habla brevemente y la mujer procede a verter un poco de leche en la cacerola.</v>
      </c>
    </row>
    <row r="19483">
      <c r="A19483" s="4" t="s">
        <v>24510</v>
      </c>
      <c r="B19483" s="4" t="s">
        <v>24520</v>
      </c>
      <c r="C19483" s="5" t="str">
        <f>IFERROR(__xludf.DUMMYFUNCTION("GOOGLETRANSLATE(B19483,""en"",""es-ES"")"),"El hombre coloca la olla amarilla y la cacerola en la estufa.")</f>
        <v>El hombre coloca la olla amarilla y la cacerola en la estufa.</v>
      </c>
    </row>
    <row r="19484">
      <c r="A19484" s="4" t="s">
        <v>24510</v>
      </c>
      <c r="B19484" s="4" t="s">
        <v>24521</v>
      </c>
      <c r="C19484" s="5" t="str">
        <f>IFERROR(__xludf.DUMMYFUNCTION("GOOGLETRANSLATE(B19484,""en"",""es-ES"")"),"El hombre agarra la tapa de la olla y cubre la olla.")</f>
        <v>El hombre agarra la tapa de la olla y cubre la olla.</v>
      </c>
    </row>
    <row r="19485">
      <c r="A19485" s="4" t="s">
        <v>24510</v>
      </c>
      <c r="B19485" s="4" t="s">
        <v>24522</v>
      </c>
      <c r="C19485" s="5" t="str">
        <f>IFERROR(__xludf.DUMMYFUNCTION("GOOGLETRANSLATE(B19485,""en"",""es-ES"")"),"De vuelta en la mesa, el hombre quita la tapa de la olla y elimina las hojas.")</f>
        <v>De vuelta en la mesa, el hombre quita la tapa de la olla y elimina las hojas.</v>
      </c>
    </row>
    <row r="19486">
      <c r="A19486" s="4" t="s">
        <v>24510</v>
      </c>
      <c r="B19486" s="4" t="s">
        <v>24523</v>
      </c>
      <c r="C19486" s="5" t="str">
        <f>IFERROR(__xludf.DUMMYFUNCTION("GOOGLETRANSLATE(B19486,""en"",""es-ES"")"),"El hombre golpea las papas.")</f>
        <v>El hombre golpea las papas.</v>
      </c>
    </row>
    <row r="19487">
      <c r="A19487" s="4" t="s">
        <v>24510</v>
      </c>
      <c r="B19487" s="4" t="s">
        <v>24524</v>
      </c>
      <c r="C19487" s="5" t="str">
        <f>IFERROR(__xludf.DUMMYFUNCTION("GOOGLETRANSLATE(B19487,""en"",""es-ES"")"),"El hombre arroja una pizca de sal en las papas.")</f>
        <v>El hombre arroja una pizca de sal en las papas.</v>
      </c>
    </row>
    <row r="19488">
      <c r="A19488" s="4" t="s">
        <v>24510</v>
      </c>
      <c r="B19488" s="4" t="s">
        <v>24525</v>
      </c>
      <c r="C19488" s="5" t="str">
        <f>IFERROR(__xludf.DUMMYFUNCTION("GOOGLETRANSLATE(B19488,""en"",""es-ES"")"),"El hombre reanuda machacando las papas.")</f>
        <v>El hombre reanuda machacando las papas.</v>
      </c>
    </row>
    <row r="19489">
      <c r="A19489" s="4" t="s">
        <v>24510</v>
      </c>
      <c r="B19489" s="4" t="s">
        <v>24526</v>
      </c>
      <c r="C19489" s="5" t="str">
        <f>IFERROR(__xludf.DUMMYFUNCTION("GOOGLETRANSLATE(B19489,""en"",""es-ES"")"),"El hombre vierte la leche desde la cacerola en la olla.")</f>
        <v>El hombre vierte la leche desde la cacerola en la olla.</v>
      </c>
    </row>
    <row r="19490">
      <c r="A19490" s="4" t="s">
        <v>24510</v>
      </c>
      <c r="B19490" s="4" t="s">
        <v>24527</v>
      </c>
      <c r="C19490" s="5" t="str">
        <f>IFERROR(__xludf.DUMMYFUNCTION("GOOGLETRANSLATE(B19490,""en"",""es-ES"")"),"El hombre golpea las papas un poco más.")</f>
        <v>El hombre golpea las papas un poco más.</v>
      </c>
    </row>
    <row r="19491">
      <c r="A19491" s="4" t="s">
        <v>24510</v>
      </c>
      <c r="B19491" s="4" t="s">
        <v>24528</v>
      </c>
      <c r="C19491" s="5" t="str">
        <f>IFERROR(__xludf.DUMMYFUNCTION("GOOGLETRANSLATE(B19491,""en"",""es-ES"")"),"El hombre agarra un poco de pimienta y lo arroja a las papas.")</f>
        <v>El hombre agarra un poco de pimienta y lo arroja a las papas.</v>
      </c>
    </row>
    <row r="19492">
      <c r="A19492" s="4" t="s">
        <v>24510</v>
      </c>
      <c r="B19492" s="4" t="s">
        <v>24529</v>
      </c>
      <c r="C19492" s="5" t="str">
        <f>IFERROR(__xludf.DUMMYFUNCTION("GOOGLETRANSLATE(B19492,""en"",""es-ES"")"),"El hombre agrega un poco más de leche.")</f>
        <v>El hombre agrega un poco más de leche.</v>
      </c>
    </row>
    <row r="19493">
      <c r="A19493" s="4" t="s">
        <v>24510</v>
      </c>
      <c r="B19493" s="4" t="s">
        <v>24530</v>
      </c>
      <c r="C19493" s="5" t="str">
        <f>IFERROR(__xludf.DUMMYFUNCTION("GOOGLETRANSLATE(B19493,""en"",""es-ES"")"),"El hombre vuelve a mezclar las papas y revolverlas a medida que se han suavizado a fondo.")</f>
        <v>El hombre vuelve a mezclar las papas y revolverlas a medida que se han suavizado a fondo.</v>
      </c>
    </row>
    <row r="19494">
      <c r="A19494" s="4" t="s">
        <v>24510</v>
      </c>
      <c r="B19494" s="4" t="s">
        <v>24531</v>
      </c>
      <c r="C19494" s="5" t="str">
        <f>IFERROR(__xludf.DUMMYFUNCTION("GOOGLETRANSLATE(B19494,""en"",""es-ES"")"),"El hombre hace una pausa para un segundo para arrojar agua y reanudar a revolver las papas.")</f>
        <v>El hombre hace una pausa para un segundo para arrojar agua y reanudar a revolver las papas.</v>
      </c>
    </row>
    <row r="19495">
      <c r="A19495" s="4" t="s">
        <v>24510</v>
      </c>
      <c r="B19495" s="4" t="s">
        <v>24532</v>
      </c>
      <c r="C19495" s="5" t="str">
        <f>IFERROR(__xludf.DUMMYFUNCTION("GOOGLETRANSLATE(B19495,""en"",""es-ES"")"),"El plato de papas terminadas se deja en un mostrador.")</f>
        <v>El plato de papas terminadas se deja en un mostrador.</v>
      </c>
    </row>
    <row r="19496">
      <c r="A19496" s="4" t="s">
        <v>24533</v>
      </c>
      <c r="B19496" s="4" t="s">
        <v>24534</v>
      </c>
      <c r="C19496" s="5" t="str">
        <f>IFERROR(__xludf.DUMMYFUNCTION("GOOGLETRANSLATE(B19496,""en"",""es-ES"")"),"Un primer plano de una tabla que se muestra con varios discos sentados por un lado.")</f>
        <v>Un primer plano de una tabla que se muestra con varios discos sentados por un lado.</v>
      </c>
    </row>
    <row r="19497">
      <c r="A19497" s="4" t="s">
        <v>24533</v>
      </c>
      <c r="B19497" s="4" t="s">
        <v>24535</v>
      </c>
      <c r="C19497" s="5" t="str">
        <f>IFERROR(__xludf.DUMMYFUNCTION("GOOGLETRANSLATE(B19497,""en"",""es-ES"")"),"De repente, otro disco es empujado hacia abajo y golpea a los demás mientras la gente mira.")</f>
        <v>De repente, otro disco es empujado hacia abajo y golpea a los demás mientras la gente mira.</v>
      </c>
    </row>
    <row r="19498">
      <c r="A19498" s="4" t="s">
        <v>24536</v>
      </c>
      <c r="B19498" s="4" t="s">
        <v>24537</v>
      </c>
      <c r="C19498" s="5" t="str">
        <f>IFERROR(__xludf.DUMMYFUNCTION("GOOGLETRANSLATE(B19498,""en"",""es-ES"")"),"Dos hombres están agachados junto a un automóvil, y un tercero se encuentra.")</f>
        <v>Dos hombres están agachados junto a un automóvil, y un tercero se encuentra.</v>
      </c>
    </row>
    <row r="19499">
      <c r="A19499" s="4" t="s">
        <v>24536</v>
      </c>
      <c r="B19499" s="4" t="s">
        <v>24538</v>
      </c>
      <c r="C19499" s="5" t="str">
        <f>IFERROR(__xludf.DUMMYFUNCTION("GOOGLETRANSLATE(B19499,""en"",""es-ES"")"),"Quitan el neumático mientras otro hombre toma fotos.")</f>
        <v>Quitan el neumático mientras otro hombre toma fotos.</v>
      </c>
    </row>
    <row r="19500">
      <c r="A19500" s="4" t="s">
        <v>24536</v>
      </c>
      <c r="B19500" s="4" t="s">
        <v>24539</v>
      </c>
      <c r="C19500" s="5" t="str">
        <f>IFERROR(__xludf.DUMMYFUNCTION("GOOGLETRANSLATE(B19500,""en"",""es-ES"")"),"Los dos hombres cambian el neumático, poniendo un repuesto.")</f>
        <v>Los dos hombres cambian el neumático, poniendo un repuesto.</v>
      </c>
    </row>
    <row r="19501">
      <c r="A19501" s="4" t="s">
        <v>24540</v>
      </c>
      <c r="B19501" s="4" t="s">
        <v>24541</v>
      </c>
      <c r="C19501" s="5" t="str">
        <f>IFERROR(__xludf.DUMMYFUNCTION("GOOGLETRANSLATE(B19501,""en"",""es-ES"")"),"Una mujer lleva una pelota pesada y se para en un círculo.")</f>
        <v>Una mujer lleva una pelota pesada y se para en un círculo.</v>
      </c>
    </row>
    <row r="19502">
      <c r="A19502" s="4" t="s">
        <v>24540</v>
      </c>
      <c r="B19502" s="4" t="s">
        <v>24542</v>
      </c>
      <c r="C19502" s="5" t="str">
        <f>IFERROR(__xludf.DUMMYFUNCTION("GOOGLETRANSLATE(B19502,""en"",""es-ES"")"),"Entonces, la mujer gira el peso.")</f>
        <v>Entonces, la mujer gira el peso.</v>
      </c>
    </row>
    <row r="19503">
      <c r="A19503" s="4" t="s">
        <v>24540</v>
      </c>
      <c r="B19503" s="4" t="s">
        <v>24543</v>
      </c>
      <c r="C19503" s="5" t="str">
        <f>IFERROR(__xludf.DUMMYFUNCTION("GOOGLETRANSLATE(B19503,""en"",""es-ES"")"),"Entonces, la mujer arroja el peso.")</f>
        <v>Entonces, la mujer arroja el peso.</v>
      </c>
    </row>
    <row r="19504">
      <c r="A19504" s="4" t="s">
        <v>24544</v>
      </c>
      <c r="B19504" s="4" t="s">
        <v>24545</v>
      </c>
      <c r="C19504" s="5" t="str">
        <f>IFERROR(__xludf.DUMMYFUNCTION("GOOGLETRANSLATE(B19504,""en"",""es-ES"")"),"Los niños están en el columpio mientras un niño se para y empuja a un pequeño perro en el columpio.")</f>
        <v>Los niños están en el columpio mientras un niño se para y empuja a un pequeño perro en el columpio.</v>
      </c>
    </row>
    <row r="19505">
      <c r="A19505" s="4" t="s">
        <v>24544</v>
      </c>
      <c r="B19505" s="4" t="s">
        <v>24546</v>
      </c>
      <c r="C19505" s="5" t="str">
        <f>IFERROR(__xludf.DUMMYFUNCTION("GOOGLETRANSLATE(B19505,""en"",""es-ES"")"),"Tres ciclistas están montando en bicicleta en el estacionamiento que pasa el área de swing.")</f>
        <v>Tres ciclistas están montando en bicicleta en el estacionamiento que pasa el área de swing.</v>
      </c>
    </row>
    <row r="19506">
      <c r="A19506" s="4" t="s">
        <v>24544</v>
      </c>
      <c r="B19506" s="4" t="s">
        <v>24547</v>
      </c>
      <c r="C19506" s="5" t="str">
        <f>IFERROR(__xludf.DUMMYFUNCTION("GOOGLETRANSLATE(B19506,""en"",""es-ES"")"),"Luego, una mujer trota en la acera que también pasa el área de swing.")</f>
        <v>Luego, una mujer trota en la acera que también pasa el área de swing.</v>
      </c>
    </row>
    <row r="19507">
      <c r="A19507" s="4" t="s">
        <v>24548</v>
      </c>
      <c r="B19507" s="4" t="s">
        <v>24549</v>
      </c>
      <c r="C19507" s="5" t="str">
        <f>IFERROR(__xludf.DUMMYFUNCTION("GOOGLETRANSLATE(B19507,""en"",""es-ES"")"),"Dos machos jóvenes están sentados en un escritorio detrás de dos micrófonos y dos computadoras.")</f>
        <v>Dos machos jóvenes están sentados en un escritorio detrás de dos micrófonos y dos computadoras.</v>
      </c>
    </row>
    <row r="19508">
      <c r="A19508" s="4" t="s">
        <v>24548</v>
      </c>
      <c r="B19508" s="4" t="s">
        <v>24550</v>
      </c>
      <c r="C19508" s="5" t="str">
        <f>IFERROR(__xludf.DUMMYFUNCTION("GOOGLETRANSLATE(B19508,""en"",""es-ES"")"),"Un niño se va y los otros chicos se quedan para reunir sus pertenencias.")</f>
        <v>Un niño se va y los otros chicos se quedan para reunir sus pertenencias.</v>
      </c>
    </row>
    <row r="19509">
      <c r="A19509" s="4" t="s">
        <v>24548</v>
      </c>
      <c r="B19509" s="4" t="s">
        <v>24551</v>
      </c>
      <c r="C19509" s="5" t="str">
        <f>IFERROR(__xludf.DUMMYFUNCTION("GOOGLETRANSLATE(B19509,""en"",""es-ES"")"),"Mientras empaca, una mujer joven entra y comienza a apagar el equipo y limpiando la estación de radio.")</f>
        <v>Mientras empaca, una mujer joven entra y comienza a apagar el equipo y limpiando la estación de radio.</v>
      </c>
    </row>
    <row r="19510">
      <c r="A19510" s="4" t="s">
        <v>24548</v>
      </c>
      <c r="B19510" s="4" t="s">
        <v>24552</v>
      </c>
      <c r="C19510" s="5" t="str">
        <f>IFERROR(__xludf.DUMMYFUNCTION("GOOGLETRANSLATE(B19510,""en"",""es-ES"")"),"Una vez que todo está lleno, el niño se va y comienza a soplar besos a la cámara.")</f>
        <v>Una vez que todo está lleno, el niño se va y comienza a soplar besos a la cámara.</v>
      </c>
    </row>
    <row r="19511">
      <c r="A19511" s="4" t="s">
        <v>24553</v>
      </c>
      <c r="B19511" s="4" t="s">
        <v>24554</v>
      </c>
      <c r="C19511" s="5" t="str">
        <f>IFERROR(__xludf.DUMMYFUNCTION("GOOGLETRANSLATE(B19511,""en"",""es-ES"")"),"Un hombre vestido con caminatas negras a través de un largo salón en un palacio.")</f>
        <v>Un hombre vestido con caminatas negras a través de un largo salón en un palacio.</v>
      </c>
    </row>
    <row r="19512">
      <c r="A19512" s="4" t="s">
        <v>24553</v>
      </c>
      <c r="B19512" s="4" t="s">
        <v>24555</v>
      </c>
      <c r="C19512" s="5" t="str">
        <f>IFERROR(__xludf.DUMMYFUNCTION("GOOGLETRANSLATE(B19512,""en"",""es-ES"")"),"Dos hombres vestidos con práctica blanca se estiran y se preparan para un combate de esgrima, mientras que un entrenador vestido de negro mira con un mayordomo en la parte trasera.")</f>
        <v>Dos hombres vestidos con práctica blanca se estiran y se preparan para un combate de esgrima, mientras que un entrenador vestido de negro mira con un mayordomo en la parte trasera.</v>
      </c>
    </row>
    <row r="19513">
      <c r="A19513" s="4" t="s">
        <v>24553</v>
      </c>
      <c r="B19513" s="4" t="s">
        <v>24556</v>
      </c>
      <c r="C19513" s="5" t="str">
        <f>IFERROR(__xludf.DUMMYFUNCTION("GOOGLETRANSLATE(B19513,""en"",""es-ES"")"),"Los dos hombres vestidos de blanco se pusieron sus máscaras de esgrima y comienzan un combate de esgrima.")</f>
        <v>Los dos hombres vestidos de blanco se pusieron sus máscaras de esgrima y comienzan un combate de esgrima.</v>
      </c>
    </row>
    <row r="19514">
      <c r="A19514" s="4" t="s">
        <v>24553</v>
      </c>
      <c r="B19514" s="4" t="s">
        <v>24557</v>
      </c>
      <c r="C19514" s="5" t="str">
        <f>IFERROR(__xludf.DUMMYFUNCTION("GOOGLETRANSLATE(B19514,""en"",""es-ES"")"),"El entrenador vestido de negro comienza criticando a los dos esgrimistas y sostiene las puntas de las espadas en la mano.")</f>
        <v>El entrenador vestido de negro comienza criticando a los dos esgrimistas y sostiene las puntas de las espadas en la mano.</v>
      </c>
    </row>
    <row r="19515">
      <c r="A19515" s="4" t="s">
        <v>24553</v>
      </c>
      <c r="B19515" s="4" t="s">
        <v>24558</v>
      </c>
      <c r="C19515" s="5" t="str">
        <f>IFERROR(__xludf.DUMMYFUNCTION("GOOGLETRANSLATE(B19515,""en"",""es-ES"")"),"El entrenador gira y camina hacia el mayordomo y comienza a conversar.")</f>
        <v>El entrenador gira y camina hacia el mayordomo y comienza a conversar.</v>
      </c>
    </row>
    <row r="19516">
      <c r="A19516" s="4" t="s">
        <v>24559</v>
      </c>
      <c r="B19516" s="4" t="s">
        <v>24560</v>
      </c>
      <c r="C19516" s="5" t="str">
        <f>IFERROR(__xludf.DUMMYFUNCTION("GOOGLETRANSLATE(B19516,""en"",""es-ES"")"),"Un levantador de pesas se encuentra en una plataforma de madera en una habitación de gimnasia y levanta campanas de barra muy pesadas sobre su cabeza, varias veces rodeadas de espectadores.")</f>
        <v>Un levantador de pesas se encuentra en una plataforma de madera en una habitación de gimnasia y levanta campanas de barra muy pesadas sobre su cabeza, varias veces rodeadas de espectadores.</v>
      </c>
    </row>
    <row r="19517">
      <c r="A19517" s="4" t="s">
        <v>24559</v>
      </c>
      <c r="B19517" s="4" t="s">
        <v>24561</v>
      </c>
      <c r="C19517" s="5" t="str">
        <f>IFERROR(__xludf.DUMMYFUNCTION("GOOGLETRANSLATE(B19517,""en"",""es-ES"")"),"Un levantador de pesas se eleva sobre tres campanas de barra sobre su cabeza en cuclillas bajo el peso mientras otros asistentes al gimnasio miran mientras iba al peso sobre su cabeza y luego permite que la campana caiga al piso.")</f>
        <v>Un levantador de pesas se eleva sobre tres campanas de barra sobre su cabeza en cuclillas bajo el peso mientras otros asistentes al gimnasio miran mientras iba al peso sobre su cabeza y luego permite que la campana caiga al piso.</v>
      </c>
    </row>
    <row r="19518">
      <c r="A19518" s="4" t="s">
        <v>24559</v>
      </c>
      <c r="B19518" s="4" t="s">
        <v>24562</v>
      </c>
      <c r="C19518" s="5" t="str">
        <f>IFERROR(__xludf.DUMMYFUNCTION("GOOGLETRANSLATE(B19518,""en"",""es-ES"")"),"El hombre realiza varios elevadores más de la campana que se doblan primero en las rodillas y luego eleva la campana a los hombros antes de arrojar el peso al piso.")</f>
        <v>El hombre realiza varios elevadores más de la campana que se doblan primero en las rodillas y luego eleva la campana a los hombros antes de arrojar el peso al piso.</v>
      </c>
    </row>
    <row r="19519">
      <c r="A19519" s="4" t="s">
        <v>24559</v>
      </c>
      <c r="B19519" s="4" t="s">
        <v>24563</v>
      </c>
      <c r="C19519" s="5" t="str">
        <f>IFERROR(__xludf.DUMMYFUNCTION("GOOGLETRANSLATE(B19519,""en"",""es-ES"")"),"El hombre se da la mano y abraza a los espectadores cuando se realiza con la manifestación.")</f>
        <v>El hombre se da la mano y abraza a los espectadores cuando se realiza con la manifestación.</v>
      </c>
    </row>
    <row r="19520">
      <c r="A19520" s="4" t="s">
        <v>24564</v>
      </c>
      <c r="B19520" s="4" t="s">
        <v>24565</v>
      </c>
      <c r="C19520" s="5" t="str">
        <f>IFERROR(__xludf.DUMMYFUNCTION("GOOGLETRANSLATE(B19520,""en"",""es-ES"")"),"Una mujer está sentada en una silla con una mujer parada detrás de ella.")</f>
        <v>Una mujer está sentada en una silla con una mujer parada detrás de ella.</v>
      </c>
    </row>
    <row r="19521">
      <c r="A19521" s="4" t="s">
        <v>24564</v>
      </c>
      <c r="B19521" s="4" t="s">
        <v>24566</v>
      </c>
      <c r="C19521" s="5" t="str">
        <f>IFERROR(__xludf.DUMMYFUNCTION("GOOGLETRANSLATE(B19521,""en"",""es-ES"")"),"La mujer comienza a cepillar el cabello de la mujer.")</f>
        <v>La mujer comienza a cepillar el cabello de la mujer.</v>
      </c>
    </row>
    <row r="19522">
      <c r="A19522" s="4" t="s">
        <v>24564</v>
      </c>
      <c r="B19522" s="4" t="s">
        <v>24567</v>
      </c>
      <c r="C19522" s="5" t="str">
        <f>IFERROR(__xludf.DUMMYFUNCTION("GOOGLETRANSLATE(B19522,""en"",""es-ES"")"),"Ella comienza a trenzar el cabello.")</f>
        <v>Ella comienza a trenzar el cabello.</v>
      </c>
    </row>
    <row r="19523">
      <c r="A19523" s="4" t="s">
        <v>24568</v>
      </c>
      <c r="B19523" s="4" t="s">
        <v>24569</v>
      </c>
      <c r="C19523" s="5" t="str">
        <f>IFERROR(__xludf.DUMMYFUNCTION("GOOGLETRANSLATE(B19523,""en"",""es-ES"")"),"Hay un grupo de damas en un gimnasio vestido con tops y medias de entrenamiento.")</f>
        <v>Hay un grupo de damas en un gimnasio vestido con tops y medias de entrenamiento.</v>
      </c>
    </row>
    <row r="19524">
      <c r="A19524" s="4" t="s">
        <v>24568</v>
      </c>
      <c r="B19524" s="4" t="s">
        <v>24570</v>
      </c>
      <c r="C19524" s="5" t="str">
        <f>IFERROR(__xludf.DUMMYFUNCTION("GOOGLETRANSLATE(B19524,""en"",""es-ES"")"),"Todos participan en una clase de aeróbicos estructurados.")</f>
        <v>Todos participan en una clase de aeróbicos estructurados.</v>
      </c>
    </row>
    <row r="19525">
      <c r="A19525" s="4" t="s">
        <v>24568</v>
      </c>
      <c r="B19525" s="4" t="s">
        <v>24571</v>
      </c>
      <c r="C19525" s="5" t="str">
        <f>IFERROR(__xludf.DUMMYFUNCTION("GOOGLETRANSLATE(B19525,""en"",""es-ES"")"),"Están coordinando sus pasos y sincronizando sus movimientos a medida que avanzan y salen de la plataforma.")</f>
        <v>Están coordinando sus pasos y sincronizando sus movimientos a medida que avanzan y salen de la plataforma.</v>
      </c>
    </row>
    <row r="19526">
      <c r="A19526" s="4" t="s">
        <v>24568</v>
      </c>
      <c r="B19526" s="4" t="s">
        <v>24572</v>
      </c>
      <c r="C19526" s="5" t="str">
        <f>IFERROR(__xludf.DUMMYFUNCTION("GOOGLETRANSLATE(B19526,""en"",""es-ES"")"),"Están bailando mientras hacen ejercicio con la música.")</f>
        <v>Están bailando mientras hacen ejercicio con la música.</v>
      </c>
    </row>
    <row r="19527">
      <c r="A19527" s="4" t="s">
        <v>24568</v>
      </c>
      <c r="B19527" s="4" t="s">
        <v>24573</v>
      </c>
      <c r="C19527" s="5" t="str">
        <f>IFERROR(__xludf.DUMMYFUNCTION("GOOGLETRANSLATE(B19527,""en"",""es-ES"")"),"Después de que terminen, se detienen y elevan las plataformas.")</f>
        <v>Después de que terminen, se detienen y elevan las plataformas.</v>
      </c>
    </row>
    <row r="19528">
      <c r="A19528" s="4" t="s">
        <v>24574</v>
      </c>
      <c r="B19528" s="4" t="s">
        <v>24575</v>
      </c>
      <c r="C19528" s="5" t="str">
        <f>IFERROR(__xludf.DUMMYFUNCTION("GOOGLETRANSLATE(B19528,""en"",""es-ES"")"),"Una D para aproximadamente Dot Com comienza con un hombre en blanco hablando con la cámara frente a un fondo blanco.")</f>
        <v>Una D para aproximadamente Dot Com comienza con un hombre en blanco hablando con la cámara frente a un fondo blanco.</v>
      </c>
    </row>
    <row r="19529">
      <c r="A19529" s="4" t="s">
        <v>24574</v>
      </c>
      <c r="B19529" s="4" t="s">
        <v>24576</v>
      </c>
      <c r="C19529" s="5" t="str">
        <f>IFERROR(__xludf.DUMMYFUNCTION("GOOGLETRANSLATE(B19529,""en"",""es-ES"")"),"Luego, el video muestra una serie de profesionales que trabajan duro y luego corta a dos mujeres corriendo en la playa.")</f>
        <v>Luego, el video muestra una serie de profesionales que trabajan duro y luego corta a dos mujeres corriendo en la playa.</v>
      </c>
    </row>
    <row r="19530">
      <c r="A19530" s="4" t="s">
        <v>24574</v>
      </c>
      <c r="B19530" s="4" t="s">
        <v>24577</v>
      </c>
      <c r="C19530" s="5" t="str">
        <f>IFERROR(__xludf.DUMMYFUNCTION("GOOGLETRANSLATE(B19530,""en"",""es-ES"")"),"Se muestra una toma de un ciclista y luego se reduce al mismo hombre en blanco.")</f>
        <v>Se muestra una toma de un ciclista y luego se reduce al mismo hombre en blanco.</v>
      </c>
    </row>
    <row r="19531">
      <c r="A19531" s="4" t="s">
        <v>24574</v>
      </c>
      <c r="B19531" s="4" t="s">
        <v>24578</v>
      </c>
      <c r="C19531" s="5" t="str">
        <f>IFERROR(__xludf.DUMMYFUNCTION("GOOGLETRANSLATE(B19531,""en"",""es-ES"")"),"Se muestra a una mujer corriendo y el hombre continúa hablando sobre consejos de fitness.")</f>
        <v>Se muestra a una mujer corriendo y el hombre continúa hablando sobre consejos de fitness.</v>
      </c>
    </row>
    <row r="19532">
      <c r="A19532" s="4" t="s">
        <v>24579</v>
      </c>
      <c r="B19532" s="4" t="s">
        <v>24580</v>
      </c>
      <c r="C19532" s="5" t="str">
        <f>IFERROR(__xludf.DUMMYFUNCTION("GOOGLETRANSLATE(B19532,""en"",""es-ES"")"),"Un hombre con una camisa azul está afuera caminando por un estuche en una escalera en un edificio.")</f>
        <v>Un hombre con una camisa azul está afuera caminando por un estuche en una escalera en un edificio.</v>
      </c>
    </row>
    <row r="19533">
      <c r="A19533" s="4" t="s">
        <v>24579</v>
      </c>
      <c r="B19533" s="4" t="s">
        <v>24581</v>
      </c>
      <c r="C19533" s="5" t="str">
        <f>IFERROR(__xludf.DUMMYFUNCTION("GOOGLETRANSLATE(B19533,""en"",""es-ES"")"),"Mientras entra, camina por una fila de varias bicicletas y configura una cámara.")</f>
        <v>Mientras entra, camina por una fila de varias bicicletas y configura una cámara.</v>
      </c>
    </row>
    <row r="19534">
      <c r="A19534" s="4" t="s">
        <v>24579</v>
      </c>
      <c r="B19534" s="4" t="s">
        <v>24582</v>
      </c>
      <c r="C19534" s="5" t="str">
        <f>IFERROR(__xludf.DUMMYFUNCTION("GOOGLETRANSLATE(B19534,""en"",""es-ES"")"),"Luego, el hombre entra en otra habitación con otros tres hombres y comienzan a desempeñar y reunen varias bicicletas juntas.")</f>
        <v>Luego, el hombre entra en otra habitación con otros tres hombres y comienzan a desempeñar y reunen varias bicicletas juntas.</v>
      </c>
    </row>
    <row r="19535">
      <c r="A19535" s="4" t="s">
        <v>24579</v>
      </c>
      <c r="B19535" s="4" t="s">
        <v>24583</v>
      </c>
      <c r="C19535" s="5" t="str">
        <f>IFERROR(__xludf.DUMMYFUNCTION("GOOGLETRANSLATE(B19535,""en"",""es-ES"")"),"Una vez que están asegurados, los hombres se ponen sobre ellos, probándolos y haciendo los toques finales sobre ellos.")</f>
        <v>Una vez que están asegurados, los hombres se ponen sobre ellos, probándolos y haciendo los toques finales sobre ellos.</v>
      </c>
    </row>
    <row r="19536">
      <c r="A19536" s="4" t="s">
        <v>24579</v>
      </c>
      <c r="B19536" s="4" t="s">
        <v>24584</v>
      </c>
      <c r="C19536" s="5" t="str">
        <f>IFERROR(__xludf.DUMMYFUNCTION("GOOGLETRANSLATE(B19536,""en"",""es-ES"")"),"Las bicicletas finalmente están terminadas y el hombre lo levanta hasta la cámara y comienza a montarla por la acera.")</f>
        <v>Las bicicletas finalmente están terminadas y el hombre lo levanta hasta la cámara y comienza a montarla por la acera.</v>
      </c>
    </row>
    <row r="19537">
      <c r="A19537" s="4" t="s">
        <v>24585</v>
      </c>
      <c r="B19537" s="4" t="s">
        <v>24586</v>
      </c>
      <c r="C19537" s="5" t="str">
        <f>IFERROR(__xludf.DUMMYFUNCTION("GOOGLETRANSLATE(B19537,""en"",""es-ES"")"),"Se ve a un hombre montando un camello que tiene un carro unido a la parte posterior con dos pasajeros.")</f>
        <v>Se ve a un hombre montando un camello que tiene un carro unido a la parte posterior con dos pasajeros.</v>
      </c>
    </row>
    <row r="19538">
      <c r="A19538" s="4" t="s">
        <v>24585</v>
      </c>
      <c r="B19538" s="4" t="s">
        <v>24587</v>
      </c>
      <c r="C19538" s="5" t="str">
        <f>IFERROR(__xludf.DUMMYFUNCTION("GOOGLETRANSLATE(B19538,""en"",""es-ES"")"),"Las personas en la parte de atrás tienen una conversación mientras viajan a través de varias personas mirando al margen.")</f>
        <v>Las personas en la parte de atrás tienen una conversación mientras viajan a través de varias personas mirando al margen.</v>
      </c>
    </row>
    <row r="19539">
      <c r="A19539" s="4" t="s">
        <v>24585</v>
      </c>
      <c r="B19539" s="4" t="s">
        <v>24588</v>
      </c>
      <c r="C19539" s="5" t="str">
        <f>IFERROR(__xludf.DUMMYFUNCTION("GOOGLETRANSLATE(B19539,""en"",""es-ES"")"),"El hombre montando el camello sonríe y saluda a la cámara.")</f>
        <v>El hombre montando el camello sonríe y saluda a la cámara.</v>
      </c>
    </row>
    <row r="19540">
      <c r="A19540" s="4" t="s">
        <v>24589</v>
      </c>
      <c r="B19540" s="4" t="s">
        <v>24590</v>
      </c>
      <c r="C19540" s="5" t="str">
        <f>IFERROR(__xludf.DUMMYFUNCTION("GOOGLETRANSLATE(B19540,""en"",""es-ES"")"),"Un grupo de atletas está en una pista afuera.")</f>
        <v>Un grupo de atletas está en una pista afuera.</v>
      </c>
    </row>
    <row r="19541">
      <c r="A19541" s="4" t="s">
        <v>24589</v>
      </c>
      <c r="B19541" s="4" t="s">
        <v>24591</v>
      </c>
      <c r="C19541" s="5" t="str">
        <f>IFERROR(__xludf.DUMMYFUNCTION("GOOGLETRANSLATE(B19541,""en"",""es-ES"")"),"Un hombre camina por el camino, luego corre.")</f>
        <v>Un hombre camina por el camino, luego corre.</v>
      </c>
    </row>
    <row r="19542">
      <c r="A19542" s="4" t="s">
        <v>24589</v>
      </c>
      <c r="B19542" s="4" t="s">
        <v>24592</v>
      </c>
      <c r="C19542" s="5" t="str">
        <f>IFERROR(__xludf.DUMMYFUNCTION("GOOGLETRANSLATE(B19542,""en"",""es-ES"")"),"Da un salto gigante a un pozo de arena.")</f>
        <v>Da un salto gigante a un pozo de arena.</v>
      </c>
    </row>
    <row r="19543">
      <c r="A19543" s="4" t="s">
        <v>24593</v>
      </c>
      <c r="B19543" s="4" t="s">
        <v>24594</v>
      </c>
      <c r="C19543" s="5" t="str">
        <f>IFERROR(__xludf.DUMMYFUNCTION("GOOGLETRANSLATE(B19543,""en"",""es-ES"")"),"Un grupo de peces de hielo en un lago cubierto de hielo en un día nublado.")</f>
        <v>Un grupo de peces de hielo en un lago cubierto de hielo en un día nublado.</v>
      </c>
    </row>
    <row r="19544">
      <c r="A19544" s="4" t="s">
        <v>24593</v>
      </c>
      <c r="B19544" s="4" t="s">
        <v>24595</v>
      </c>
      <c r="C19544" s="5" t="str">
        <f>IFERROR(__xludf.DUMMYFUNCTION("GOOGLETRANSLATE(B19544,""en"",""es-ES"")"),"Un hombre camina sobre un lago cubierto de nieve y saca un pez de un agujero de pesca.")</f>
        <v>Un hombre camina sobre un lago cubierto de nieve y saca un pez de un agujero de pesca.</v>
      </c>
    </row>
    <row r="19545">
      <c r="A19545" s="4" t="s">
        <v>24593</v>
      </c>
      <c r="B19545" s="4" t="s">
        <v>24596</v>
      </c>
      <c r="C19545" s="5" t="str">
        <f>IFERROR(__xludf.DUMMYFUNCTION("GOOGLETRANSLATE(B19545,""en"",""es-ES"")"),"Una mujer y un hombre corren sobre el hielo y sacan otro pez de otro agujero en el lago.")</f>
        <v>Una mujer y un hombre corren sobre el hielo y sacan otro pez de otro agujero en el lago.</v>
      </c>
    </row>
    <row r="19546">
      <c r="A19546" s="4" t="s">
        <v>24593</v>
      </c>
      <c r="B19546" s="4" t="s">
        <v>24597</v>
      </c>
      <c r="C19546" s="5" t="str">
        <f>IFERROR(__xludf.DUMMYFUNCTION("GOOGLETRANSLATE(B19546,""en"",""es-ES"")"),"Se saca un tercer pez de otro agujero en el hielo y luego se arroja nuevamente al agujero.")</f>
        <v>Se saca un tercer pez de otro agujero en el hielo y luego se arroja nuevamente al agujero.</v>
      </c>
    </row>
    <row r="19547">
      <c r="A19547" s="4" t="s">
        <v>24598</v>
      </c>
      <c r="B19547" s="4" t="s">
        <v>24599</v>
      </c>
      <c r="C19547" s="5" t="str">
        <f>IFERROR(__xludf.DUMMYFUNCTION("GOOGLETRANSLATE(B19547,""en"",""es-ES"")"),"Un hombre está sentado en una calle.")</f>
        <v>Un hombre está sentado en una calle.</v>
      </c>
    </row>
    <row r="19548">
      <c r="A19548" s="4" t="s">
        <v>24598</v>
      </c>
      <c r="B19548" s="4" t="s">
        <v>24600</v>
      </c>
      <c r="C19548" s="5" t="str">
        <f>IFERROR(__xludf.DUMMYFUNCTION("GOOGLETRANSLATE(B19548,""en"",""es-ES"")"),"Está tocando un instrumento junto a una caja de instrumentos abiertos.")</f>
        <v>Está tocando un instrumento junto a una caja de instrumentos abiertos.</v>
      </c>
    </row>
    <row r="19549">
      <c r="A19549" s="4" t="s">
        <v>24598</v>
      </c>
      <c r="B19549" s="4" t="s">
        <v>24601</v>
      </c>
      <c r="C19549" s="5" t="str">
        <f>IFERROR(__xludf.DUMMYFUNCTION("GOOGLETRANSLATE(B19549,""en"",""es-ES"")"),"La gente está pasando por la acera frente a él.")</f>
        <v>La gente está pasando por la acera frente a él.</v>
      </c>
    </row>
    <row r="19550">
      <c r="A19550" s="4" t="s">
        <v>24602</v>
      </c>
      <c r="B19550" s="4" t="s">
        <v>24603</v>
      </c>
      <c r="C19550" s="5" t="str">
        <f>IFERROR(__xludf.DUMMYFUNCTION("GOOGLETRANSLATE(B19550,""en"",""es-ES"")"),"Un niño mira mientras un camión semi conduce por el desierto.")</f>
        <v>Un niño mira mientras un camión semi conduce por el desierto.</v>
      </c>
    </row>
    <row r="19551">
      <c r="A19551" s="4" t="s">
        <v>24602</v>
      </c>
      <c r="B19551" s="4" t="s">
        <v>24604</v>
      </c>
      <c r="C19551" s="5" t="str">
        <f>IFERROR(__xludf.DUMMYFUNCTION("GOOGLETRANSLATE(B19551,""en"",""es-ES"")"),"Un hombre se pone el casco y empuja hacia el río en un kayak.")</f>
        <v>Un hombre se pone el casco y empuja hacia el río en un kayak.</v>
      </c>
    </row>
    <row r="19552">
      <c r="A19552" s="4" t="s">
        <v>24602</v>
      </c>
      <c r="B19552" s="4" t="s">
        <v>24605</v>
      </c>
      <c r="C19552" s="5" t="str">
        <f>IFERROR(__xludf.DUMMYFUNCTION("GOOGLETRANSLATE(B19552,""en"",""es-ES"")"),"Un hombre remar en rápidos y por un río en un kayak.")</f>
        <v>Un hombre remar en rápidos y por un río en un kayak.</v>
      </c>
    </row>
    <row r="19553">
      <c r="A19553" s="4" t="s">
        <v>24602</v>
      </c>
      <c r="B19553" s="4" t="s">
        <v>24606</v>
      </c>
      <c r="C19553" s="5" t="str">
        <f>IFERROR(__xludf.DUMMYFUNCTION("GOOGLETRANSLATE(B19553,""en"",""es-ES"")"),"Un hombre pesca desde una playa en la orilla de un río.")</f>
        <v>Un hombre pesca desde una playa en la orilla de un río.</v>
      </c>
    </row>
    <row r="19554">
      <c r="A19554" s="4" t="s">
        <v>24602</v>
      </c>
      <c r="B19554" s="4" t="s">
        <v>24607</v>
      </c>
      <c r="C19554" s="5" t="str">
        <f>IFERROR(__xludf.DUMMYFUNCTION("GOOGLETRANSLATE(B19554,""en"",""es-ES"")"),"Un grupo prepara un picnic en la orilla.")</f>
        <v>Un grupo prepara un picnic en la orilla.</v>
      </c>
    </row>
    <row r="19555">
      <c r="A19555" s="4" t="s">
        <v>24602</v>
      </c>
      <c r="B19555" s="4" t="s">
        <v>24608</v>
      </c>
      <c r="C19555" s="5" t="str">
        <f>IFERROR(__xludf.DUMMYFUNCTION("GOOGLETRANSLATE(B19555,""en"",""es-ES"")"),"Un hombre voltea sobre su kayak por ser entregado en el agua.")</f>
        <v>Un hombre voltea sobre su kayak por ser entregado en el agua.</v>
      </c>
    </row>
    <row r="19556">
      <c r="A19556" s="4" t="s">
        <v>24609</v>
      </c>
      <c r="B19556" s="4" t="s">
        <v>24610</v>
      </c>
      <c r="C19556" s="5" t="str">
        <f>IFERROR(__xludf.DUMMYFUNCTION("GOOGLETRANSLATE(B19556,""en"",""es-ES"")"),"Un chico está lanzando dardos por la habitación.")</f>
        <v>Un chico está lanzando dardos por la habitación.</v>
      </c>
    </row>
    <row r="19557">
      <c r="A19557" s="4" t="s">
        <v>24609</v>
      </c>
      <c r="B19557" s="4" t="s">
        <v>24611</v>
      </c>
      <c r="C19557" s="5" t="str">
        <f>IFERROR(__xludf.DUMMYFUNCTION("GOOGLETRANSLATE(B19557,""en"",""es-ES"")"),"La velocidad del clip se acelera.")</f>
        <v>La velocidad del clip se acelera.</v>
      </c>
    </row>
    <row r="19558">
      <c r="A19558" s="4" t="s">
        <v>24612</v>
      </c>
      <c r="B19558" s="4" t="s">
        <v>24613</v>
      </c>
      <c r="C19558" s="5" t="str">
        <f>IFERROR(__xludf.DUMMYFUNCTION("GOOGLETRANSLATE(B19558,""en"",""es-ES"")"),"Un hombre y una mujer están parados en una posición de baile.")</f>
        <v>Un hombre y una mujer están parados en una posición de baile.</v>
      </c>
    </row>
    <row r="19559">
      <c r="A19559" s="4" t="s">
        <v>24612</v>
      </c>
      <c r="B19559" s="4" t="s">
        <v>24614</v>
      </c>
      <c r="C19559" s="5" t="str">
        <f>IFERROR(__xludf.DUMMYFUNCTION("GOOGLETRANSLATE(B19559,""en"",""es-ES"")"),"Luego cambian, mostrando diferentes pasos lentamente.")</f>
        <v>Luego cambian, mostrando diferentes pasos lentamente.</v>
      </c>
    </row>
    <row r="19560">
      <c r="A19560" s="4" t="s">
        <v>24612</v>
      </c>
      <c r="B19560" s="4" t="s">
        <v>24615</v>
      </c>
      <c r="C19560" s="5" t="str">
        <f>IFERROR(__xludf.DUMMYFUNCTION("GOOGLETRANSLATE(B19560,""en"",""es-ES"")"),"Continúan bailando, mostrando cómo realizar diferentes movimientos.")</f>
        <v>Continúan bailando, mostrando cómo realizar diferentes movimientos.</v>
      </c>
    </row>
    <row r="19561">
      <c r="A19561" s="4" t="s">
        <v>24616</v>
      </c>
      <c r="B19561" s="4" t="s">
        <v>24617</v>
      </c>
      <c r="C19561" s="5" t="str">
        <f>IFERROR(__xludf.DUMMYFUNCTION("GOOGLETRANSLATE(B19561,""en"",""es-ES"")"),"Un estribo está sentado contra una pared.")</f>
        <v>Un estribo está sentado contra una pared.</v>
      </c>
    </row>
    <row r="19562">
      <c r="A19562" s="4" t="s">
        <v>24616</v>
      </c>
      <c r="B19562" s="4" t="s">
        <v>24618</v>
      </c>
      <c r="C19562" s="5" t="str">
        <f>IFERROR(__xludf.DUMMYFUNCTION("GOOGLETRANSLATE(B19562,""en"",""es-ES"")"),"Alguien arroja una pelota por ella.")</f>
        <v>Alguien arroja una pelota por ella.</v>
      </c>
    </row>
    <row r="19563">
      <c r="A19563" s="4" t="s">
        <v>24616</v>
      </c>
      <c r="B19563" s="4" t="s">
        <v>24619</v>
      </c>
      <c r="C19563" s="5" t="str">
        <f>IFERROR(__xludf.DUMMYFUNCTION("GOOGLETRANSLATE(B19563,""en"",""es-ES"")"),"Una bola verde atraviesa después.")</f>
        <v>Una bola verde atraviesa después.</v>
      </c>
    </row>
    <row r="19564">
      <c r="A19564" s="4" t="s">
        <v>24620</v>
      </c>
      <c r="B19564" s="4" t="s">
        <v>24621</v>
      </c>
      <c r="C19564" s="5" t="str">
        <f>IFERROR(__xludf.DUMMYFUNCTION("GOOGLETRANSLATE(B19564,""en"",""es-ES"")"),"La niña está disparando la flecha.")</f>
        <v>La niña está disparando la flecha.</v>
      </c>
    </row>
    <row r="19565">
      <c r="A19565" s="4" t="s">
        <v>24620</v>
      </c>
      <c r="B19565" s="4" t="s">
        <v>24622</v>
      </c>
      <c r="C19565" s="5" t="str">
        <f>IFERROR(__xludf.DUMMYFUNCTION("GOOGLETRANSLATE(B19565,""en"",""es-ES"")"),"Cinco jóvenes están disparando flechas.")</f>
        <v>Cinco jóvenes están disparando flechas.</v>
      </c>
    </row>
    <row r="19566">
      <c r="A19566" s="4" t="s">
        <v>24620</v>
      </c>
      <c r="B19566" s="4" t="s">
        <v>24623</v>
      </c>
      <c r="C19566" s="5" t="str">
        <f>IFERROR(__xludf.DUMMYFUNCTION("GOOGLETRANSLATE(B19566,""en"",""es-ES"")"),"Los jóvenes eliminaron las flechas de las tablas objetivo.")</f>
        <v>Los jóvenes eliminaron las flechas de las tablas objetivo.</v>
      </c>
    </row>
    <row r="19567">
      <c r="A19567" s="4" t="s">
        <v>24624</v>
      </c>
      <c r="B19567" s="4" t="s">
        <v>24625</v>
      </c>
      <c r="C19567" s="5" t="str">
        <f>IFERROR(__xludf.DUMMYFUNCTION("GOOGLETRANSLATE(B19567,""en"",""es-ES"")"),"Una niña toca suavemente la batería sosteniendo dos palos mientras canta un micrófono.")</f>
        <v>Una niña toca suavemente la batería sosteniendo dos palos mientras canta un micrófono.</v>
      </c>
    </row>
    <row r="19568">
      <c r="A19568" s="4" t="s">
        <v>24624</v>
      </c>
      <c r="B19568" s="4" t="s">
        <v>24626</v>
      </c>
      <c r="C19568" s="5" t="str">
        <f>IFERROR(__xludf.DUMMYFUNCTION("GOOGLETRANSLATE(B19568,""en"",""es-ES"")"),"La niña toca más rápido la batería.")</f>
        <v>La niña toca más rápido la batería.</v>
      </c>
    </row>
    <row r="19569">
      <c r="A19569" s="4" t="s">
        <v>24627</v>
      </c>
      <c r="B19569" s="4" t="s">
        <v>24628</v>
      </c>
      <c r="C19569" s="5" t="str">
        <f>IFERROR(__xludf.DUMMYFUNCTION("GOOGLETRANSLATE(B19569,""en"",""es-ES"")"),"Una mujer está acostada en una silla mientras un hombre con guantes funciona.")</f>
        <v>Una mujer está acostada en una silla mientras un hombre con guantes funciona.</v>
      </c>
    </row>
    <row r="19570">
      <c r="A19570" s="4" t="s">
        <v>24627</v>
      </c>
      <c r="B19570" s="4" t="s">
        <v>24629</v>
      </c>
      <c r="C19570" s="5" t="str">
        <f>IFERROR(__xludf.DUMMYFUNCTION("GOOGLETRANSLATE(B19570,""en"",""es-ES"")"),"Él coloca abrazaderas en varias partes de su nariz.")</f>
        <v>Él coloca abrazaderas en varias partes de su nariz.</v>
      </c>
    </row>
    <row r="19571">
      <c r="A19571" s="4" t="s">
        <v>24627</v>
      </c>
      <c r="B19571" s="4" t="s">
        <v>24630</v>
      </c>
      <c r="C19571" s="5" t="str">
        <f>IFERROR(__xludf.DUMMYFUNCTION("GOOGLETRANSLATE(B19571,""en"",""es-ES"")"),"Luego inserta una barra antes de crear una perforación.")</f>
        <v>Luego inserta una barra antes de crear una perforación.</v>
      </c>
    </row>
    <row r="19572">
      <c r="A19572" s="4" t="s">
        <v>24631</v>
      </c>
      <c r="B19572" s="4" t="s">
        <v>24632</v>
      </c>
      <c r="C19572" s="5" t="str">
        <f>IFERROR(__xludf.DUMMYFUNCTION("GOOGLETRANSLATE(B19572,""en"",""es-ES"")"),"Una persona con una chaqueta verde camina sobre la nieve.")</f>
        <v>Una persona con una chaqueta verde camina sobre la nieve.</v>
      </c>
    </row>
    <row r="19573">
      <c r="A19573" s="4" t="s">
        <v>24631</v>
      </c>
      <c r="B19573" s="4" t="s">
        <v>24633</v>
      </c>
      <c r="C19573" s="5" t="str">
        <f>IFERROR(__xludf.DUMMYFUNCTION("GOOGLETRANSLATE(B19573,""en"",""es-ES"")"),"Una niña yacía en un tubo en la nieve.")</f>
        <v>Una niña yacía en un tubo en la nieve.</v>
      </c>
    </row>
    <row r="19574">
      <c r="A19574" s="4" t="s">
        <v>24631</v>
      </c>
      <c r="B19574" s="4" t="s">
        <v>24634</v>
      </c>
      <c r="C19574" s="5" t="str">
        <f>IFERROR(__xludf.DUMMYFUNCTION("GOOGLETRANSLATE(B19574,""en"",""es-ES"")"),"Luego es empujada por la rampa.")</f>
        <v>Luego es empujada por la rampa.</v>
      </c>
    </row>
    <row r="19575">
      <c r="A19575" s="4" t="s">
        <v>24631</v>
      </c>
      <c r="B19575" s="4" t="s">
        <v>24635</v>
      </c>
      <c r="C19575" s="5" t="str">
        <f>IFERROR(__xludf.DUMMYFUNCTION("GOOGLETRANSLATE(B19575,""en"",""es-ES"")"),"Finalmente se detiene.")</f>
        <v>Finalmente se detiene.</v>
      </c>
    </row>
    <row r="19576">
      <c r="A19576" s="4" t="s">
        <v>24636</v>
      </c>
      <c r="B19576" s="4" t="s">
        <v>24637</v>
      </c>
      <c r="C19576" s="5" t="str">
        <f>IFERROR(__xludf.DUMMYFUNCTION("GOOGLETRANSLATE(B19576,""en"",""es-ES"")"),"Se ve a un hombre atlético estar listo frente a una gran multitud y luego corre por la pista y salta sobre una viga.")</f>
        <v>Se ve a un hombre atlético estar listo frente a una gran multitud y luego corre por la pista y salta sobre una viga.</v>
      </c>
    </row>
    <row r="19577">
      <c r="A19577" s="4" t="s">
        <v>24636</v>
      </c>
      <c r="B19577" s="4" t="s">
        <v>24638</v>
      </c>
      <c r="C19577" s="5" t="str">
        <f>IFERROR(__xludf.DUMMYFUNCTION("GOOGLETRANSLATE(B19577,""en"",""es-ES"")"),"El hombre celebra con otras personas y su mismo salto se muestra varias veces en cámara lenta.")</f>
        <v>El hombre celebra con otras personas y su mismo salto se muestra varias veces en cámara lenta.</v>
      </c>
    </row>
    <row r="19578">
      <c r="A19578" s="4" t="s">
        <v>24639</v>
      </c>
      <c r="B19578" s="4" t="s">
        <v>24640</v>
      </c>
      <c r="C19578" s="5" t="str">
        <f>IFERROR(__xludf.DUMMYFUNCTION("GOOGLETRANSLATE(B19578,""en"",""es-ES"")"),"El video conduce a varios texto que se muestra en la pantalla seguido de animadoras que realizan una rutina.")</f>
        <v>El video conduce a varios texto que se muestra en la pantalla seguido de animadoras que realizan una rutina.</v>
      </c>
    </row>
    <row r="19579">
      <c r="A19579" s="4" t="s">
        <v>24639</v>
      </c>
      <c r="B19579" s="4" t="s">
        <v>24641</v>
      </c>
      <c r="C19579" s="5" t="str">
        <f>IFERROR(__xludf.DUMMYFUNCTION("GOOGLETRANSLATE(B19579,""en"",""es-ES"")"),"Varias tomas de artistas líderes de Cheer se muestran completando acrobacias impresionantes y moviéndose por un escenario mientras otros miran.")</f>
        <v>Varias tomas de artistas líderes de Cheer se muestran completando acrobacias impresionantes y moviéndose por un escenario mientras otros miran.</v>
      </c>
    </row>
    <row r="19580">
      <c r="A19580" s="4" t="s">
        <v>24642</v>
      </c>
      <c r="B19580" s="4" t="s">
        <v>24643</v>
      </c>
      <c r="C19580" s="5" t="str">
        <f>IFERROR(__xludf.DUMMYFUNCTION("GOOGLETRANSLATE(B19580,""en"",""es-ES"")"),"Las mujeres están en una competencia de gimnasia haciendo saltos de altura en un gimnasio techo con mucha gente reunida a su alrededor mirándolas.")</f>
        <v>Las mujeres están en una competencia de gimnasia haciendo saltos de altura en un gimnasio techo con mucha gente reunida a su alrededor mirándolas.</v>
      </c>
    </row>
    <row r="19581">
      <c r="A19581" s="4" t="s">
        <v>24642</v>
      </c>
      <c r="B19581" s="4" t="s">
        <v>24644</v>
      </c>
      <c r="C19581" s="5" t="str">
        <f>IFERROR(__xludf.DUMMYFUNCTION("GOOGLETRANSLATE(B19581,""en"",""es-ES"")"),"Los participantes están en el podio recibiendo medallas.")</f>
        <v>Los participantes están en el podio recibiendo medallas.</v>
      </c>
    </row>
    <row r="19582">
      <c r="A19582" s="4" t="s">
        <v>24645</v>
      </c>
      <c r="B19582" s="4" t="s">
        <v>24646</v>
      </c>
      <c r="C19582" s="5" t="str">
        <f>IFERROR(__xludf.DUMMYFUNCTION("GOOGLETRANSLATE(B19582,""en"",""es-ES"")"),"Un hombre pinta una cerca cuando el hombre a su lado acaba de acosar la cerca.")</f>
        <v>Un hombre pinta una cerca cuando el hombre a su lado acaba de acosar la cerca.</v>
      </c>
    </row>
    <row r="19583">
      <c r="A19583" s="4" t="s">
        <v>24645</v>
      </c>
      <c r="B19583" s="4" t="s">
        <v>24647</v>
      </c>
      <c r="C19583" s="5" t="str">
        <f>IFERROR(__xludf.DUMMYFUNCTION("GOOGLETRANSLATE(B19583,""en"",""es-ES"")"),"Ambos pasan por la cerca por segunda vez.")</f>
        <v>Ambos pasan por la cerca por segunda vez.</v>
      </c>
    </row>
    <row r="19584">
      <c r="A19584" s="4" t="s">
        <v>24645</v>
      </c>
      <c r="B19584" s="4" t="s">
        <v>24648</v>
      </c>
      <c r="C19584" s="5" t="str">
        <f>IFERROR(__xludf.DUMMYFUNCTION("GOOGLETRANSLATE(B19584,""en"",""es-ES"")"),"Lo hacen por tercera vez.")</f>
        <v>Lo hacen por tercera vez.</v>
      </c>
    </row>
    <row r="19585">
      <c r="A19585" s="4" t="s">
        <v>24645</v>
      </c>
      <c r="B19585" s="4" t="s">
        <v>24649</v>
      </c>
      <c r="C19585" s="5" t="str">
        <f>IFERROR(__xludf.DUMMYFUNCTION("GOOGLETRANSLATE(B19585,""en"",""es-ES"")"),"Y lo hacen por cuarta vez.")</f>
        <v>Y lo hacen por cuarta vez.</v>
      </c>
    </row>
    <row r="19586">
      <c r="A19586" s="4" t="s">
        <v>24645</v>
      </c>
      <c r="B19586" s="4" t="s">
        <v>24650</v>
      </c>
      <c r="C19586" s="5" t="str">
        <f>IFERROR(__xludf.DUMMYFUNCTION("GOOGLETRANSLATE(B19586,""en"",""es-ES"")"),"Lo hacen por quinta vez.")</f>
        <v>Lo hacen por quinta vez.</v>
      </c>
    </row>
    <row r="19587">
      <c r="A19587" s="4" t="s">
        <v>24651</v>
      </c>
      <c r="B19587" s="4" t="s">
        <v>24652</v>
      </c>
      <c r="C19587" s="5" t="str">
        <f>IFERROR(__xludf.DUMMYFUNCTION("GOOGLETRANSLATE(B19587,""en"",""es-ES"")"),"Un trabajador de la construcción llamado Dave comienza a mostrarle cómo lechada.")</f>
        <v>Un trabajador de la construcción llamado Dave comienza a mostrarle cómo lechada.</v>
      </c>
    </row>
    <row r="19588">
      <c r="A19588" s="4" t="s">
        <v>24651</v>
      </c>
      <c r="B19588" s="4" t="s">
        <v>24653</v>
      </c>
      <c r="C19588" s="5" t="str">
        <f>IFERROR(__xludf.DUMMYFUNCTION("GOOGLETRANSLATE(B19588,""en"",""es-ES"")"),"Comienza en la pared y comienza a explicar lo que está haciendo y por qué está haciendo.")</f>
        <v>Comienza en la pared y comienza a explicar lo que está haciendo y por qué está haciendo.</v>
      </c>
    </row>
    <row r="19589">
      <c r="A19589" s="4" t="s">
        <v>24651</v>
      </c>
      <c r="B19589" s="4" t="s">
        <v>24654</v>
      </c>
      <c r="C19589" s="5" t="str">
        <f>IFERROR(__xludf.DUMMYFUNCTION("GOOGLETRANSLATE(B19589,""en"",""es-ES"")"),"Una vez que la lechada comienza a secarse, le informa que debe limpiarla con una esponja varias veces.")</f>
        <v>Una vez que la lechada comienza a secarse, le informa que debe limpiarla con una esponja varias veces.</v>
      </c>
    </row>
    <row r="19590">
      <c r="A19590" s="4" t="s">
        <v>24651</v>
      </c>
      <c r="B19590" s="4" t="s">
        <v>24655</v>
      </c>
      <c r="C19590" s="5" t="str">
        <f>IFERROR(__xludf.DUMMYFUNCTION("GOOGLETRANSLATE(B19590,""en"",""es-ES"")"),"Con una esponja más fina, lo revisas nuevamente y lo sacas mientras está mojado para que no arruine el mosaico y todo el trabajo que has hecho.")</f>
        <v>Con una esponja más fina, lo revisas nuevamente y lo sacas mientras está mojado para que no arruine el mosaico y todo el trabajo que has hecho.</v>
      </c>
    </row>
    <row r="19591">
      <c r="A19591" s="4" t="s">
        <v>24656</v>
      </c>
      <c r="B19591" s="4" t="s">
        <v>24657</v>
      </c>
      <c r="C19591" s="5" t="str">
        <f>IFERROR(__xludf.DUMMYFUNCTION("GOOGLETRANSLATE(B19591,""en"",""es-ES"")"),"Se ve a un hombre con guantes de boxeo y golpear una bolsa en el medio de una habitación grande.")</f>
        <v>Se ve a un hombre con guantes de boxeo y golpear una bolsa en el medio de una habitación grande.</v>
      </c>
    </row>
    <row r="19592">
      <c r="A19592" s="4" t="s">
        <v>24656</v>
      </c>
      <c r="B19592" s="4" t="s">
        <v>24658</v>
      </c>
      <c r="C19592" s="5" t="str">
        <f>IFERROR(__xludf.DUMMYFUNCTION("GOOGLETRANSLATE(B19592,""en"",""es-ES"")"),"El hombre continúa golpeando la bolsa mientras se ve a varios otros golpeando bolsas en el fondo.")</f>
        <v>El hombre continúa golpeando la bolsa mientras se ve a varios otros golpeando bolsas en el fondo.</v>
      </c>
    </row>
    <row r="19593">
      <c r="A19593" s="4" t="s">
        <v>24656</v>
      </c>
      <c r="B19593" s="4" t="s">
        <v>24659</v>
      </c>
      <c r="C19593" s="5" t="str">
        <f>IFERROR(__xludf.DUMMYFUNCTION("GOOGLETRANSLATE(B19593,""en"",""es-ES"")"),"Él patea y golpea la bolsa y termina caminando hacia la cámara.")</f>
        <v>Él patea y golpea la bolsa y termina caminando hacia la cámara.</v>
      </c>
    </row>
    <row r="19594">
      <c r="A19594" s="4" t="s">
        <v>24660</v>
      </c>
      <c r="B19594" s="4" t="s">
        <v>24661</v>
      </c>
      <c r="C19594" s="5" t="str">
        <f>IFERROR(__xludf.DUMMYFUNCTION("GOOGLETRANSLATE(B19594,""en"",""es-ES"")"),"Un voleibol está girando en una repisa.")</f>
        <v>Un voleibol está girando en una repisa.</v>
      </c>
    </row>
    <row r="19595">
      <c r="A19595" s="4" t="s">
        <v>24660</v>
      </c>
      <c r="B19595" s="4" t="s">
        <v>24662</v>
      </c>
      <c r="C19595" s="5" t="str">
        <f>IFERROR(__xludf.DUMMYFUNCTION("GOOGLETRANSLATE(B19595,""en"",""es-ES"")"),"Luego vemos que se juega un juego de tenis de mesa, los jugadores que muestran la mecánica de la paleta, la pelota y la mesa mientras juegan.")</f>
        <v>Luego vemos que se juega un juego de tenis de mesa, los jugadores que muestran la mecánica de la paleta, la pelota y la mesa mientras juegan.</v>
      </c>
    </row>
    <row r="19596">
      <c r="A19596" s="4" t="s">
        <v>24663</v>
      </c>
      <c r="B19596" s="4" t="s">
        <v>24664</v>
      </c>
      <c r="C19596" s="5" t="str">
        <f>IFERROR(__xludf.DUMMYFUNCTION("GOOGLETRANSLATE(B19596,""en"",""es-ES"")"),"Un hombre de pie en un patio y jugando gaita.")</f>
        <v>Un hombre de pie en un patio y jugando gaita.</v>
      </c>
    </row>
    <row r="19597">
      <c r="A19597" s="4" t="s">
        <v>24663</v>
      </c>
      <c r="B19597" s="4" t="s">
        <v>24665</v>
      </c>
      <c r="C19597" s="5" t="str">
        <f>IFERROR(__xludf.DUMMYFUNCTION("GOOGLETRANSLATE(B19597,""en"",""es-ES"")"),"El hombre está respirando profundamente y moviendo las llaves.")</f>
        <v>El hombre está respirando profundamente y moviendo las llaves.</v>
      </c>
    </row>
    <row r="19598">
      <c r="A19598" s="4" t="s">
        <v>24666</v>
      </c>
      <c r="B19598" s="4" t="s">
        <v>24667</v>
      </c>
      <c r="C19598" s="5" t="str">
        <f>IFERROR(__xludf.DUMMYFUNCTION("GOOGLETRANSLATE(B19598,""en"",""es-ES"")"),"Dos personas juegan juntas en una cancha interior.")</f>
        <v>Dos personas juegan juntas en una cancha interior.</v>
      </c>
    </row>
    <row r="19599">
      <c r="A19599" s="4" t="s">
        <v>24666</v>
      </c>
      <c r="B19599" s="4" t="s">
        <v>24668</v>
      </c>
      <c r="C19599" s="5" t="str">
        <f>IFERROR(__xludf.DUMMYFUNCTION("GOOGLETRANSLATE(B19599,""en"",""es-ES"")"),"Una de las personas recupera la pelota y sirve.")</f>
        <v>Una de las personas recupera la pelota y sirve.</v>
      </c>
    </row>
    <row r="19600">
      <c r="A19600" s="4" t="s">
        <v>24666</v>
      </c>
      <c r="B19600" s="4" t="s">
        <v>24669</v>
      </c>
      <c r="C19600" s="5" t="str">
        <f>IFERROR(__xludf.DUMMYFUNCTION("GOOGLETRANSLATE(B19600,""en"",""es-ES"")"),"El mismo individuo recupera la pelota y sirve nuevamente.")</f>
        <v>El mismo individuo recupera la pelota y sirve nuevamente.</v>
      </c>
    </row>
    <row r="19601">
      <c r="A19601" s="4" t="s">
        <v>24670</v>
      </c>
      <c r="B19601" s="4" t="s">
        <v>24671</v>
      </c>
      <c r="C19601" s="5" t="str">
        <f>IFERROR(__xludf.DUMMYFUNCTION("GOOGLETRANSLATE(B19601,""en"",""es-ES"")"),"La gente sube una alineación en una colina en un complejo de tubos.")</f>
        <v>La gente sube una alineación en una colina en un complejo de tubos.</v>
      </c>
    </row>
    <row r="19602">
      <c r="A19602" s="4" t="s">
        <v>24670</v>
      </c>
      <c r="B19602" s="4" t="s">
        <v>24672</v>
      </c>
      <c r="C19602" s="5" t="str">
        <f>IFERROR(__xludf.DUMMYFUNCTION("GOOGLETRANSLATE(B19602,""en"",""es-ES"")"),"Una persona monta un tubo por una colina.")</f>
        <v>Una persona monta un tubo por una colina.</v>
      </c>
    </row>
    <row r="19603">
      <c r="A19603" s="4" t="s">
        <v>24670</v>
      </c>
      <c r="B19603" s="4" t="s">
        <v>24673</v>
      </c>
      <c r="C19603" s="5" t="str">
        <f>IFERROR(__xludf.DUMMYFUNCTION("GOOGLETRANSLATE(B19603,""en"",""es-ES"")"),"Observamos a la gente caminando por la colina sosteniendo sus tubos y vemos a la gente bajar la colina.")</f>
        <v>Observamos a la gente caminando por la colina sosteniendo sus tubos y vemos a la gente bajar la colina.</v>
      </c>
    </row>
    <row r="19604">
      <c r="A19604" s="4" t="s">
        <v>24670</v>
      </c>
      <c r="B19604" s="4" t="s">
        <v>24674</v>
      </c>
      <c r="C19604" s="5" t="str">
        <f>IFERROR(__xludf.DUMMYFUNCTION("GOOGLETRANSLATE(B19604,""en"",""es-ES"")"),"Observamos cómo el camarógrafo va por la colina.")</f>
        <v>Observamos cómo el camarógrafo va por la colina.</v>
      </c>
    </row>
    <row r="19605">
      <c r="A19605" s="4" t="s">
        <v>24670</v>
      </c>
      <c r="B19605" s="4" t="s">
        <v>3608</v>
      </c>
      <c r="C19605" s="5" t="str">
        <f>IFERROR(__xludf.DUMMYFUNCTION("GOOGLETRANSLATE(B19605,""en"",""es-ES"")"),"Vemos la pantalla final.")</f>
        <v>Vemos la pantalla final.</v>
      </c>
    </row>
    <row r="19606">
      <c r="A19606" s="4" t="s">
        <v>24675</v>
      </c>
      <c r="B19606" s="4" t="s">
        <v>24676</v>
      </c>
      <c r="C19606" s="5" t="str">
        <f>IFERROR(__xludf.DUMMYFUNCTION("GOOGLETRANSLATE(B19606,""en"",""es-ES"")"),"Una niña se encuentra junto a un mostrador con varios alimentos colocados en el mostrador.")</f>
        <v>Una niña se encuentra junto a un mostrador con varios alimentos colocados en el mostrador.</v>
      </c>
    </row>
    <row r="19607">
      <c r="A19607" s="4" t="s">
        <v>24675</v>
      </c>
      <c r="B19607" s="4" t="s">
        <v>24677</v>
      </c>
      <c r="C19607" s="5" t="str">
        <f>IFERROR(__xludf.DUMMYFUNCTION("GOOGLETRANSLATE(B19607,""en"",""es-ES"")"),"Ella levanta los ingredientes e instruye lo que necesitará para hacer un sándwich.")</f>
        <v>Ella levanta los ingredientes e instruye lo que necesitará para hacer un sándwich.</v>
      </c>
    </row>
    <row r="19608">
      <c r="A19608" s="4" t="s">
        <v>24675</v>
      </c>
      <c r="B19608" s="4" t="s">
        <v>24678</v>
      </c>
      <c r="C19608" s="5" t="str">
        <f>IFERROR(__xludf.DUMMYFUNCTION("GOOGLETRANSLATE(B19608,""en"",""es-ES"")"),"Ella comienza a picar las verduras y poner el aderezo en el pan.")</f>
        <v>Ella comienza a picar las verduras y poner el aderezo en el pan.</v>
      </c>
    </row>
    <row r="19609">
      <c r="A19609" s="4" t="s">
        <v>24675</v>
      </c>
      <c r="B19609" s="4" t="s">
        <v>24679</v>
      </c>
      <c r="C19609" s="5" t="str">
        <f>IFERROR(__xludf.DUMMYFUNCTION("GOOGLETRANSLATE(B19609,""en"",""es-ES"")"),"Ella se extiende alrededor del aderezo y pone los otros ingredientes en el sándwich para terminar.")</f>
        <v>Ella se extiende alrededor del aderezo y pone los otros ingredientes en el sándwich para terminar.</v>
      </c>
    </row>
    <row r="19610">
      <c r="A19610" s="4" t="s">
        <v>24680</v>
      </c>
      <c r="B19610" s="4" t="s">
        <v>24681</v>
      </c>
      <c r="C19610" s="5" t="str">
        <f>IFERROR(__xludf.DUMMYFUNCTION("GOOGLETRANSLATE(B19610,""en"",""es-ES"")"),"Vemos que el título atraviesa la pantalla.")</f>
        <v>Vemos que el título atraviesa la pantalla.</v>
      </c>
    </row>
    <row r="19611">
      <c r="A19611" s="4" t="s">
        <v>24680</v>
      </c>
      <c r="B19611" s="4" t="s">
        <v>24682</v>
      </c>
      <c r="C19611" s="5" t="str">
        <f>IFERROR(__xludf.DUMMYFUNCTION("GOOGLETRANSLATE(B19611,""en"",""es-ES"")"),"Vemos suministros e ingredientes para hornear.")</f>
        <v>Vemos suministros e ingredientes para hornear.</v>
      </c>
    </row>
    <row r="19612">
      <c r="A19612" s="4" t="s">
        <v>24680</v>
      </c>
      <c r="B19612" s="4" t="s">
        <v>24683</v>
      </c>
      <c r="C19612" s="5" t="str">
        <f>IFERROR(__xludf.DUMMYFUNCTION("GOOGLETRANSLATE(B19612,""en"",""es-ES"")"),"Alguien revuelve la masa de galletas y pone galletas en una sábana.")</f>
        <v>Alguien revuelve la masa de galletas y pone galletas en una sábana.</v>
      </c>
    </row>
    <row r="19613">
      <c r="A19613" s="4" t="s">
        <v>24680</v>
      </c>
      <c r="B19613" s="4" t="s">
        <v>24684</v>
      </c>
      <c r="C19613" s="5" t="str">
        <f>IFERROR(__xludf.DUMMYFUNCTION("GOOGLETRANSLATE(B19613,""en"",""es-ES"")"),"Las galletas entran en el horno y hornean durante 9 minutos, y se coloca un nuevo lote en el horno.")</f>
        <v>Las galletas entran en el horno y hornean durante 9 minutos, y se coloca un nuevo lote en el horno.</v>
      </c>
    </row>
    <row r="19614">
      <c r="A19614" s="4" t="s">
        <v>24680</v>
      </c>
      <c r="B19614" s="4" t="s">
        <v>24685</v>
      </c>
      <c r="C19614" s="5" t="str">
        <f>IFERROR(__xludf.DUMMYFUNCTION("GOOGLETRANSLATE(B19614,""en"",""es-ES"")"),"Las galletas calientes se colocan en una rejilla para enfriar.")</f>
        <v>Las galletas calientes se colocan en una rejilla para enfriar.</v>
      </c>
    </row>
    <row r="19615">
      <c r="A19615" s="4" t="s">
        <v>24680</v>
      </c>
      <c r="B19615" s="4" t="s">
        <v>24686</v>
      </c>
      <c r="C19615" s="5" t="str">
        <f>IFERROR(__xludf.DUMMYFUNCTION("GOOGLETRANSLATE(B19615,""en"",""es-ES"")"),"La persona se lava y seca la bandeja para hornear de silicona.")</f>
        <v>La persona se lava y seca la bandeja para hornear de silicona.</v>
      </c>
    </row>
    <row r="19616">
      <c r="A19616" s="4" t="s">
        <v>24680</v>
      </c>
      <c r="B19616" s="4" t="s">
        <v>24687</v>
      </c>
      <c r="C19616" s="5" t="str">
        <f>IFERROR(__xludf.DUMMYFUNCTION("GOOGLETRANSLATE(B19616,""en"",""es-ES"")"),"Enrollan la bandeja para hornear y nos muestran las galletas de enfriamiento terminadas.")</f>
        <v>Enrollan la bandeja para hornear y nos muestran las galletas de enfriamiento terminadas.</v>
      </c>
    </row>
    <row r="19617">
      <c r="A19617" s="4" t="s">
        <v>24688</v>
      </c>
      <c r="B19617" s="4" t="s">
        <v>24689</v>
      </c>
      <c r="C19617" s="5" t="str">
        <f>IFERROR(__xludf.DUMMYFUNCTION("GOOGLETRANSLATE(B19617,""en"",""es-ES"")"),"Un hombre está parado en un campo abierto al aire libre.")</f>
        <v>Un hombre está parado en un campo abierto al aire libre.</v>
      </c>
    </row>
    <row r="19618">
      <c r="A19618" s="4" t="s">
        <v>24688</v>
      </c>
      <c r="B19618" s="4" t="s">
        <v>24690</v>
      </c>
      <c r="C19618" s="5" t="str">
        <f>IFERROR(__xludf.DUMMYFUNCTION("GOOGLETRANSLATE(B19618,""en"",""es-ES"")"),"Utiliza un juego de tiro con arco para retirar y flechas en un disco volador.")</f>
        <v>Utiliza un juego de tiro con arco para retirar y flechas en un disco volador.</v>
      </c>
    </row>
    <row r="19619">
      <c r="A19619" s="4" t="s">
        <v>24688</v>
      </c>
      <c r="B19619" s="4" t="s">
        <v>24691</v>
      </c>
      <c r="C19619" s="5" t="str">
        <f>IFERROR(__xludf.DUMMYFUNCTION("GOOGLETRANSLATE(B19619,""en"",""es-ES"")"),"Golpea los discos con la flecha cada vez.")</f>
        <v>Golpea los discos con la flecha cada vez.</v>
      </c>
    </row>
    <row r="19620">
      <c r="A19620" s="4" t="s">
        <v>24692</v>
      </c>
      <c r="B19620" s="4" t="s">
        <v>24693</v>
      </c>
      <c r="C19620" s="5" t="str">
        <f>IFERROR(__xludf.DUMMYFUNCTION("GOOGLETRANSLATE(B19620,""en"",""es-ES"")"),"Se muestra una cámara sentada al costado de una piscina que captura la burbuja debajo.")</f>
        <v>Se muestra una cámara sentada al costado de una piscina que captura la burbuja debajo.</v>
      </c>
    </row>
    <row r="19621">
      <c r="A19621" s="4" t="s">
        <v>24692</v>
      </c>
      <c r="B19621" s="4" t="s">
        <v>24694</v>
      </c>
      <c r="C19621" s="5" t="str">
        <f>IFERROR(__xludf.DUMMYFUNCTION("GOOGLETRANSLATE(B19621,""en"",""es-ES"")"),"Se muestran más burbujas seguidas por un hombre saltando.")</f>
        <v>Se muestran más burbujas seguidas por un hombre saltando.</v>
      </c>
    </row>
    <row r="19622">
      <c r="A19622" s="4" t="s">
        <v>24692</v>
      </c>
      <c r="B19622" s="4" t="s">
        <v>24695</v>
      </c>
      <c r="C19622" s="5" t="str">
        <f>IFERROR(__xludf.DUMMYFUNCTION("GOOGLETRANSLATE(B19622,""en"",""es-ES"")"),"El hombre salta hasta la piscina y la cámara captura sus movimientos.")</f>
        <v>El hombre salta hasta la piscina y la cámara captura sus movimientos.</v>
      </c>
    </row>
    <row r="19623">
      <c r="A19623" s="4" t="s">
        <v>24696</v>
      </c>
      <c r="B19623" s="4" t="s">
        <v>24697</v>
      </c>
      <c r="C19623" s="5" t="str">
        <f>IFERROR(__xludf.DUMMYFUNCTION("GOOGLETRANSLATE(B19623,""en"",""es-ES"")"),"Una mujer con una camisa naranja está sentada en una máquina de ejercicios.")</f>
        <v>Una mujer con una camisa naranja está sentada en una máquina de ejercicios.</v>
      </c>
    </row>
    <row r="19624">
      <c r="A19624" s="4" t="s">
        <v>24696</v>
      </c>
      <c r="B19624" s="4" t="s">
        <v>6016</v>
      </c>
      <c r="C19624" s="5" t="str">
        <f>IFERROR(__xludf.DUMMYFUNCTION("GOOGLETRANSLATE(B19624,""en"",""es-ES"")"),"Ella comienza a hacer ejercicio en la máquina de ejercicios.")</f>
        <v>Ella comienza a hacer ejercicio en la máquina de ejercicios.</v>
      </c>
    </row>
    <row r="19625">
      <c r="A19625" s="4" t="s">
        <v>24696</v>
      </c>
      <c r="B19625" s="4" t="s">
        <v>24698</v>
      </c>
      <c r="C19625" s="5" t="str">
        <f>IFERROR(__xludf.DUMMYFUNCTION("GOOGLETRANSLATE(B19625,""en"",""es-ES"")"),"La gente pasa por una ventana detrás de ella.")</f>
        <v>La gente pasa por una ventana detrás de ella.</v>
      </c>
    </row>
    <row r="19626">
      <c r="A19626" s="4" t="s">
        <v>24699</v>
      </c>
      <c r="B19626" s="4" t="s">
        <v>24700</v>
      </c>
      <c r="C19626" s="5" t="str">
        <f>IFERROR(__xludf.DUMMYFUNCTION("GOOGLETRANSLATE(B19626,""en"",""es-ES"")"),"Un hombre está arrodillado en la tierra sobre un tazón plateado lleno de jabón.")</f>
        <v>Un hombre está arrodillado en la tierra sobre un tazón plateado lleno de jabón.</v>
      </c>
    </row>
    <row r="19627">
      <c r="A19627" s="4" t="s">
        <v>24699</v>
      </c>
      <c r="B19627" s="4" t="s">
        <v>24701</v>
      </c>
      <c r="C19627" s="5" t="str">
        <f>IFERROR(__xludf.DUMMYFUNCTION("GOOGLETRANSLATE(B19627,""en"",""es-ES"")"),"En el tazón grande, comienza a mover una camisa blanca como si la estuviera lavando.")</f>
        <v>En el tazón grande, comienza a mover una camisa blanca como si la estuviera lavando.</v>
      </c>
    </row>
    <row r="19628">
      <c r="A19628" s="4" t="s">
        <v>24699</v>
      </c>
      <c r="B19628" s="4" t="s">
        <v>24702</v>
      </c>
      <c r="C19628" s="5" t="str">
        <f>IFERROR(__xludf.DUMMYFUNCTION("GOOGLETRANSLATE(B19628,""en"",""es-ES"")"),"Finalmente, se detiene y toma una manguera para terminar de enjuagar el agua.")</f>
        <v>Finalmente, se detiene y toma una manguera para terminar de enjuagar el agua.</v>
      </c>
    </row>
    <row r="19629">
      <c r="A19629" s="4" t="s">
        <v>24703</v>
      </c>
      <c r="B19629" s="4" t="s">
        <v>24704</v>
      </c>
      <c r="C19629" s="5" t="str">
        <f>IFERROR(__xludf.DUMMYFUNCTION("GOOGLETRANSLATE(B19629,""en"",""es-ES"")"),"Se ve a la mano de una persona girando una perilla seguida de su pie pisando un botón y un hombre sosteniendo una plancha.")</f>
        <v>Se ve a la mano de una persona girando una perilla seguida de su pie pisando un botón y un hombre sosteniendo una plancha.</v>
      </c>
    </row>
    <row r="19630">
      <c r="A19630" s="4" t="s">
        <v>24703</v>
      </c>
      <c r="B19630" s="4" t="s">
        <v>24705</v>
      </c>
      <c r="C19630" s="5" t="str">
        <f>IFERROR(__xludf.DUMMYFUNCTION("GOOGLETRANSLATE(B19630,""en"",""es-ES"")"),"Ajusta más configuraciones mientras prueba el hierro y comienza a planchar una camisa en una mesa.")</f>
        <v>Ajusta más configuraciones mientras prueba el hierro y comienza a planchar una camisa en una mesa.</v>
      </c>
    </row>
    <row r="19631">
      <c r="A19631" s="4" t="s">
        <v>24703</v>
      </c>
      <c r="B19631" s="4" t="s">
        <v>24706</v>
      </c>
      <c r="C19631" s="5" t="str">
        <f>IFERROR(__xludf.DUMMYFUNCTION("GOOGLETRANSLATE(B19631,""en"",""es-ES"")"),"Los hombres continúan volteando la camisa y el planchar y en EN mostrando la máquina de planchar a la cámara.")</f>
        <v>Los hombres continúan volteando la camisa y el planchar y en EN mostrando la máquina de planchar a la cámara.</v>
      </c>
    </row>
    <row r="19632">
      <c r="A19632" s="4" t="s">
        <v>24707</v>
      </c>
      <c r="B19632" s="4" t="s">
        <v>24708</v>
      </c>
      <c r="C19632" s="5" t="str">
        <f>IFERROR(__xludf.DUMMYFUNCTION("GOOGLETRANSLATE(B19632,""en"",""es-ES"")"),"Un hombre se sienta detrás de una batería.")</f>
        <v>Un hombre se sienta detrás de una batería.</v>
      </c>
    </row>
    <row r="19633">
      <c r="A19633" s="4" t="s">
        <v>24707</v>
      </c>
      <c r="B19633" s="4" t="s">
        <v>24709</v>
      </c>
      <c r="C19633" s="5" t="str">
        <f>IFERROR(__xludf.DUMMYFUNCTION("GOOGLETRANSLATE(B19633,""en"",""es-ES"")"),"El hombre comienza a tocar la batería.")</f>
        <v>El hombre comienza a tocar la batería.</v>
      </c>
    </row>
    <row r="19634">
      <c r="A19634" s="4" t="s">
        <v>24707</v>
      </c>
      <c r="B19634" s="4" t="s">
        <v>24710</v>
      </c>
      <c r="C19634" s="5" t="str">
        <f>IFERROR(__xludf.DUMMYFUNCTION("GOOGLETRANSLATE(B19634,""en"",""es-ES"")"),"El hombre sigue tocando la batería.")</f>
        <v>El hombre sigue tocando la batería.</v>
      </c>
    </row>
    <row r="19635">
      <c r="A19635" s="4" t="s">
        <v>24711</v>
      </c>
      <c r="B19635" s="4" t="s">
        <v>24712</v>
      </c>
      <c r="C19635" s="5" t="str">
        <f>IFERROR(__xludf.DUMMYFUNCTION("GOOGLETRANSLATE(B19635,""en"",""es-ES"")"),"Se ven dos chicas paradas en un piso de gimnasio frente a una gran multitud.")</f>
        <v>Se ven dos chicas paradas en un piso de gimnasio frente a una gran multitud.</v>
      </c>
    </row>
    <row r="19636">
      <c r="A19636" s="4" t="s">
        <v>24711</v>
      </c>
      <c r="B19636" s="4" t="s">
        <v>24713</v>
      </c>
      <c r="C19636" s="5" t="str">
        <f>IFERROR(__xludf.DUMMYFUNCTION("GOOGLETRANSLATE(B19636,""en"",""es-ES"")"),"Luego, las chicas comienzan a bailar por el área mientras giraban bastones en sus manos.")</f>
        <v>Luego, las chicas comienzan a bailar por el área mientras giraban bastones en sus manos.</v>
      </c>
    </row>
    <row r="19637">
      <c r="A19637" s="4" t="s">
        <v>24711</v>
      </c>
      <c r="B19637" s="4" t="s">
        <v>24714</v>
      </c>
      <c r="C19637" s="5" t="str">
        <f>IFERROR(__xludf.DUMMYFUNCTION("GOOGLETRANSLATE(B19637,""en"",""es-ES"")"),"Continúan girando el uno al otro y terminan sosteniendo una pose.")</f>
        <v>Continúan girando el uno al otro y terminan sosteniendo una pose.</v>
      </c>
    </row>
    <row r="19638">
      <c r="A19638" s="4" t="s">
        <v>24715</v>
      </c>
      <c r="B19638" s="4" t="s">
        <v>24716</v>
      </c>
      <c r="C19638" s="5" t="str">
        <f>IFERROR(__xludf.DUMMYFUNCTION("GOOGLETRANSLATE(B19638,""en"",""es-ES"")"),"Hay un hombre esquiando por una pendiente de montaña muy empinada.")</f>
        <v>Hay un hombre esquiando por una pendiente de montaña muy empinada.</v>
      </c>
    </row>
    <row r="19639">
      <c r="A19639" s="4" t="s">
        <v>24715</v>
      </c>
      <c r="B19639" s="4" t="s">
        <v>24717</v>
      </c>
      <c r="C19639" s="5" t="str">
        <f>IFERROR(__xludf.DUMMYFUNCTION("GOOGLETRANSLATE(B19639,""en"",""es-ES"")"),"El hombre cae muy rápido y constantemente mientras está completamente vestido con equipo de esquí y gafas.")</f>
        <v>El hombre cae muy rápido y constantemente mientras está completamente vestido con equipo de esquí y gafas.</v>
      </c>
    </row>
    <row r="19640">
      <c r="A19640" s="4" t="s">
        <v>24715</v>
      </c>
      <c r="B19640" s="4" t="s">
        <v>24718</v>
      </c>
      <c r="C19640" s="5" t="str">
        <f>IFERROR(__xludf.DUMMYFUNCTION("GOOGLETRANSLATE(B19640,""en"",""es-ES"")"),"Luego cae al suelo cuando llega al fondo de la pendiente.")</f>
        <v>Luego cae al suelo cuando llega al fondo de la pendiente.</v>
      </c>
    </row>
    <row r="19641">
      <c r="A19641" s="4" t="s">
        <v>24715</v>
      </c>
      <c r="B19641" s="4" t="s">
        <v>24719</v>
      </c>
      <c r="C19641" s="5" t="str">
        <f>IFERROR(__xludf.DUMMYFUNCTION("GOOGLETRANSLATE(B19641,""en"",""es-ES"")"),"Se vuelve de nuevo y desempolve la nieve de su ropa.")</f>
        <v>Se vuelve de nuevo y desempolve la nieve de su ropa.</v>
      </c>
    </row>
    <row r="19642">
      <c r="A19642" s="4" t="s">
        <v>24715</v>
      </c>
      <c r="B19642" s="4" t="s">
        <v>24720</v>
      </c>
      <c r="C19642" s="5" t="str">
        <f>IFERROR(__xludf.DUMMYFUNCTION("GOOGLETRANSLATE(B19642,""en"",""es-ES"")"),"Habla con otra persona a través de un dispositivo de manos libres unidos en su abrigo para hacerle saber que está bien.")</f>
        <v>Habla con otra persona a través de un dispositivo de manos libres unidos en su abrigo para hacerle saber que está bien.</v>
      </c>
    </row>
    <row r="19643">
      <c r="A19643" s="4" t="s">
        <v>24721</v>
      </c>
      <c r="B19643" s="4" t="s">
        <v>24722</v>
      </c>
      <c r="C19643" s="5" t="str">
        <f>IFERROR(__xludf.DUMMYFUNCTION("GOOGLETRANSLATE(B19643,""en"",""es-ES"")"),"Una imagen de una chica con su vlog pidiendo a la gente que se suscribiera.")</f>
        <v>Una imagen de una chica con su vlog pidiendo a la gente que se suscribiera.</v>
      </c>
    </row>
    <row r="19644">
      <c r="A19644" s="4" t="s">
        <v>24721</v>
      </c>
      <c r="B19644" s="4" t="s">
        <v>24723</v>
      </c>
      <c r="C19644" s="5" t="str">
        <f>IFERROR(__xludf.DUMMYFUNCTION("GOOGLETRANSLATE(B19644,""en"",""es-ES"")"),"Una chica con Hirt Red con la cara está sentada en una sala de estar y está leyendo tweets y hablando de ellos.")</f>
        <v>Una chica con Hirt Red con la cara está sentada en una sala de estar y está leyendo tweets y hablando de ellos.</v>
      </c>
    </row>
    <row r="19645">
      <c r="A19645" s="4" t="s">
        <v>24721</v>
      </c>
      <c r="B19645" s="4" t="s">
        <v>24724</v>
      </c>
      <c r="C19645" s="5" t="str">
        <f>IFERROR(__xludf.DUMMYFUNCTION("GOOGLETRANSLATE(B19645,""en"",""es-ES"")"),"La niña sostiene una pequeña calabaza y un cuchillo y corta la calabaza mientras habla.")</f>
        <v>La niña sostiene una pequeña calabaza y un cuchillo y corta la calabaza mientras habla.</v>
      </c>
    </row>
    <row r="19646">
      <c r="A19646" s="4" t="s">
        <v>24721</v>
      </c>
      <c r="B19646" s="4" t="s">
        <v>24725</v>
      </c>
      <c r="C19646" s="5" t="str">
        <f>IFERROR(__xludf.DUMMYFUNCTION("GOOGLETRANSLATE(B19646,""en"",""es-ES"")"),"El Pumkkin es una rebanada en dos y se muestra en el interior mientras la niña habla y lee tweets.")</f>
        <v>El Pumkkin es una rebanada en dos y se muestra en el interior mientras la niña habla y lee tweets.</v>
      </c>
    </row>
    <row r="19647">
      <c r="A19647" s="4" t="s">
        <v>24726</v>
      </c>
      <c r="B19647" s="4" t="s">
        <v>24727</v>
      </c>
      <c r="C19647" s="5" t="str">
        <f>IFERROR(__xludf.DUMMYFUNCTION("GOOGLETRANSLATE(B19647,""en"",""es-ES"")"),"Se ve a una mujer bailando en un gran escenario mientras la gente la mira a un lado.")</f>
        <v>Se ve a una mujer bailando en un gran escenario mientras la gente la mira a un lado.</v>
      </c>
    </row>
    <row r="19648">
      <c r="A19648" s="4" t="s">
        <v>24726</v>
      </c>
      <c r="B19648" s="4" t="s">
        <v>24728</v>
      </c>
      <c r="C19648" s="5" t="str">
        <f>IFERROR(__xludf.DUMMYFUNCTION("GOOGLETRANSLATE(B19648,""en"",""es-ES"")"),"Ella mueve sus caderas por todas partes mientras una banda toca instrumentos detrás de ella.")</f>
        <v>Ella mueve sus caderas por todas partes mientras una banda toca instrumentos detrás de ella.</v>
      </c>
    </row>
    <row r="19649">
      <c r="A19649" s="4" t="s">
        <v>24726</v>
      </c>
      <c r="B19649" s="4" t="s">
        <v>24729</v>
      </c>
      <c r="C19649" s="5" t="str">
        <f>IFERROR(__xludf.DUMMYFUNCTION("GOOGLETRANSLATE(B19649,""en"",""es-ES"")"),"La mujer continúa bailando y termina sosteniendo una pose y volteando su cabello.")</f>
        <v>La mujer continúa bailando y termina sosteniendo una pose y volteando su cabello.</v>
      </c>
    </row>
    <row r="19650">
      <c r="A19650" s="4" t="s">
        <v>24730</v>
      </c>
      <c r="B19650" s="4" t="s">
        <v>24731</v>
      </c>
      <c r="C19650" s="5" t="str">
        <f>IFERROR(__xludf.DUMMYFUNCTION("GOOGLETRANSLATE(B19650,""en"",""es-ES"")"),"Un juego de lacrosse de ser mostrado con un gran grupo de personas corriendo alrededor de un campo.")</f>
        <v>Un juego de lacrosse de ser mostrado con un gran grupo de personas corriendo alrededor de un campo.</v>
      </c>
    </row>
    <row r="19651">
      <c r="A19651" s="4" t="s">
        <v>24730</v>
      </c>
      <c r="B19651" s="4" t="s">
        <v>24732</v>
      </c>
      <c r="C19651" s="5" t="str">
        <f>IFERROR(__xludf.DUMMYFUNCTION("GOOGLETRANSLATE(B19651,""en"",""es-ES"")"),"Varias personas miran al margen a medida que el juego continúa y una referencia interviene para hacer una llamada.")</f>
        <v>Varias personas miran al margen a medida que el juego continúa y una referencia interviene para hacer una llamada.</v>
      </c>
    </row>
    <row r="19652">
      <c r="A19652" s="4" t="s">
        <v>24733</v>
      </c>
      <c r="B19652" s="4" t="s">
        <v>24734</v>
      </c>
      <c r="C19652" s="5" t="str">
        <f>IFERROR(__xludf.DUMMYFUNCTION("GOOGLETRANSLATE(B19652,""en"",""es-ES"")"),"Una persona sostiene y acaricia a un gato sin pelo.")</f>
        <v>Una persona sostiene y acaricia a un gato sin pelo.</v>
      </c>
    </row>
    <row r="19653">
      <c r="A19653" s="4" t="s">
        <v>24733</v>
      </c>
      <c r="B19653" s="4" t="s">
        <v>24735</v>
      </c>
      <c r="C19653" s="5" t="str">
        <f>IFERROR(__xludf.DUMMYFUNCTION("GOOGLETRANSLATE(B19653,""en"",""es-ES"")"),"La persona limpia y corta las uñas de las patas delanteras del gato.")</f>
        <v>La persona limpia y corta las uñas de las patas delanteras del gato.</v>
      </c>
    </row>
    <row r="19654">
      <c r="A19654" s="4" t="s">
        <v>24736</v>
      </c>
      <c r="B19654" s="4" t="s">
        <v>24737</v>
      </c>
      <c r="C19654" s="5" t="str">
        <f>IFERROR(__xludf.DUMMYFUNCTION("GOOGLETRANSLATE(B19654,""en"",""es-ES"")"),"Un hombre está hablando detrás de un bar.")</f>
        <v>Un hombre está hablando detrás de un bar.</v>
      </c>
    </row>
    <row r="19655">
      <c r="A19655" s="4" t="s">
        <v>24736</v>
      </c>
      <c r="B19655" s="4" t="s">
        <v>24738</v>
      </c>
      <c r="C19655" s="5" t="str">
        <f>IFERROR(__xludf.DUMMYFUNCTION("GOOGLETRANSLATE(B19655,""en"",""es-ES"")"),"Muestra varios tipos de botellas y grifos.")</f>
        <v>Muestra varios tipos de botellas y grifos.</v>
      </c>
    </row>
    <row r="19656">
      <c r="A19656" s="4" t="s">
        <v>24736</v>
      </c>
      <c r="B19656" s="4" t="s">
        <v>24739</v>
      </c>
      <c r="C19656" s="5" t="str">
        <f>IFERROR(__xludf.DUMMYFUNCTION("GOOGLETRANSLATE(B19656,""en"",""es-ES"")"),"Muestra cómo mezclar una bebida que sirve a una mujer.")</f>
        <v>Muestra cómo mezclar una bebida que sirve a una mujer.</v>
      </c>
    </row>
    <row r="19657">
      <c r="A19657" s="4" t="s">
        <v>24740</v>
      </c>
      <c r="B19657" s="4" t="s">
        <v>24741</v>
      </c>
      <c r="C19657" s="5" t="str">
        <f>IFERROR(__xludf.DUMMYFUNCTION("GOOGLETRANSLATE(B19657,""en"",""es-ES"")"),"Una persona pelea las papas en un fregadero, de repente un gato salta al banco para ver a la mujer.")</f>
        <v>Una persona pelea las papas en un fregadero, de repente un gato salta al banco para ver a la mujer.</v>
      </c>
    </row>
    <row r="19658">
      <c r="A19658" s="4" t="s">
        <v>24740</v>
      </c>
      <c r="B19658" s="4" t="s">
        <v>24742</v>
      </c>
      <c r="C19658" s="5" t="str">
        <f>IFERROR(__xludf.DUMMYFUNCTION("GOOGLETRANSLATE(B19658,""en"",""es-ES"")"),"El gato toca el fregadero con la boca y tiene la intención de pasar al otro lado del fregadero, pero la mujer lo evita.")</f>
        <v>El gato toca el fregadero con la boca y tiene la intención de pasar al otro lado del fregadero, pero la mujer lo evita.</v>
      </c>
    </row>
    <row r="19659">
      <c r="A19659" s="4" t="s">
        <v>24740</v>
      </c>
      <c r="B19659" s="4" t="s">
        <v>24743</v>
      </c>
      <c r="C19659" s="5" t="str">
        <f>IFERROR(__xludf.DUMMYFUNCTION("GOOGLETRANSLATE(B19659,""en"",""es-ES"")"),"Luego, el gato bebe agua del fregadero y el gato continúa observando a la mujer.")</f>
        <v>Luego, el gato bebe agua del fregadero y el gato continúa observando a la mujer.</v>
      </c>
    </row>
    <row r="19660">
      <c r="A19660" s="4" t="s">
        <v>24740</v>
      </c>
      <c r="B19660" s="4" t="s">
        <v>24744</v>
      </c>
      <c r="C19660" s="5" t="str">
        <f>IFERROR(__xludf.DUMMYFUNCTION("GOOGLETRANSLATE(B19660,""en"",""es-ES"")"),"Después, el gato toca el pelado de papas con una pierna mientras la persona continúa pelando las papas.")</f>
        <v>Después, el gato toca el pelado de papas con una pierna mientras la persona continúa pelando las papas.</v>
      </c>
    </row>
    <row r="19661">
      <c r="A19661" s="4" t="s">
        <v>24745</v>
      </c>
      <c r="B19661" s="4" t="s">
        <v>24746</v>
      </c>
      <c r="C19661" s="5" t="str">
        <f>IFERROR(__xludf.DUMMYFUNCTION("GOOGLETRANSLATE(B19661,""en"",""es-ES"")"),"Una mujer está acostada en el equipo en un gimnasio.")</f>
        <v>Una mujer está acostada en el equipo en un gimnasio.</v>
      </c>
    </row>
    <row r="19662">
      <c r="A19662" s="4" t="s">
        <v>24745</v>
      </c>
      <c r="B19662" s="4" t="s">
        <v>24747</v>
      </c>
      <c r="C19662" s="5" t="str">
        <f>IFERROR(__xludf.DUMMYFUNCTION("GOOGLETRANSLATE(B19662,""en"",""es-ES"")"),"Ella tiene los pies atados con la cadena a una máquina.")</f>
        <v>Ella tiene los pies atados con la cadena a una máquina.</v>
      </c>
    </row>
    <row r="19663">
      <c r="A19663" s="4" t="s">
        <v>24745</v>
      </c>
      <c r="B19663" s="4" t="s">
        <v>24748</v>
      </c>
      <c r="C19663" s="5" t="str">
        <f>IFERROR(__xludf.DUMMYFUNCTION("GOOGLETRANSLATE(B19663,""en"",""es-ES"")"),"Ella sostiene la cabeza mientras tira los pies de un lado a otro.")</f>
        <v>Ella sostiene la cabeza mientras tira los pies de un lado a otro.</v>
      </c>
    </row>
    <row r="19664">
      <c r="A19664" s="4" t="s">
        <v>24749</v>
      </c>
      <c r="B19664" s="4" t="s">
        <v>24750</v>
      </c>
      <c r="C19664" s="5" t="str">
        <f>IFERROR(__xludf.DUMMYFUNCTION("GOOGLETRANSLATE(B19664,""en"",""es-ES"")"),"Un chico sostiene una tela ligera.")</f>
        <v>Un chico sostiene una tela ligera.</v>
      </c>
    </row>
    <row r="19665">
      <c r="A19665" s="4" t="s">
        <v>24749</v>
      </c>
      <c r="B19665" s="4" t="s">
        <v>24751</v>
      </c>
      <c r="C19665" s="5" t="str">
        <f>IFERROR(__xludf.DUMMYFUNCTION("GOOGLETRANSLATE(B19665,""en"",""es-ES"")"),"Un chico obtiene una cuenca blanca debajo del fregadero y la llena con agua en un fregadero.")</f>
        <v>Un chico obtiene una cuenca blanca debajo del fregadero y la llena con agua en un fregadero.</v>
      </c>
    </row>
    <row r="19666">
      <c r="A19666" s="4" t="s">
        <v>24749</v>
      </c>
      <c r="B19666" s="4" t="s">
        <v>24752</v>
      </c>
      <c r="C19666" s="5" t="str">
        <f>IFERROR(__xludf.DUMMYFUNCTION("GOOGLETRANSLATE(B19666,""en"",""es-ES"")"),"El chico pone la tela ligera y agrega jabón para platos a la cuenca.")</f>
        <v>El chico pone la tela ligera y agrega jabón para platos a la cuenca.</v>
      </c>
    </row>
    <row r="19667">
      <c r="A19667" s="4" t="s">
        <v>24749</v>
      </c>
      <c r="B19667" s="4" t="s">
        <v>24753</v>
      </c>
      <c r="C19667" s="5" t="str">
        <f>IFERROR(__xludf.DUMMYFUNCTION("GOOGLETRANSLATE(B19667,""en"",""es-ES"")"),"El tipo obtiene un estante de debajo del fregadero y lo coloca en la encimera.")</f>
        <v>El tipo obtiene un estante de debajo del fregadero y lo coloca en la encimera.</v>
      </c>
    </row>
    <row r="19668">
      <c r="A19668" s="4" t="s">
        <v>24749</v>
      </c>
      <c r="B19668" s="4" t="s">
        <v>24754</v>
      </c>
      <c r="C19668" s="5" t="str">
        <f>IFERROR(__xludf.DUMMYFUNCTION("GOOGLETRANSLATE(B19668,""en"",""es-ES"")"),"El tipo agrega utensilios y un plato a la cuenca blanca y los lava con una alfombra roja.")</f>
        <v>El tipo agrega utensilios y un plato a la cuenca blanca y los lava con una alfombra roja.</v>
      </c>
    </row>
    <row r="19669">
      <c r="A19669" s="4" t="s">
        <v>24749</v>
      </c>
      <c r="B19669" s="4" t="s">
        <v>24755</v>
      </c>
      <c r="C19669" s="5" t="str">
        <f>IFERROR(__xludf.DUMMYFUNCTION("GOOGLETRANSLATE(B19669,""en"",""es-ES"")"),"Un niño mira desde atrás.")</f>
        <v>Un niño mira desde atrás.</v>
      </c>
    </row>
    <row r="19670">
      <c r="A19670" s="4" t="s">
        <v>24749</v>
      </c>
      <c r="B19670" s="4" t="s">
        <v>24756</v>
      </c>
      <c r="C19670" s="5" t="str">
        <f>IFERROR(__xludf.DUMMYFUNCTION("GOOGLETRANSLATE(B19670,""en"",""es-ES"")"),"El tipo enjuague los platos y los pone en un estante.")</f>
        <v>El tipo enjuague los platos y los pone en un estante.</v>
      </c>
    </row>
    <row r="19671">
      <c r="A19671" s="4" t="s">
        <v>24749</v>
      </c>
      <c r="B19671" s="4" t="s">
        <v>24757</v>
      </c>
      <c r="C19671" s="5" t="str">
        <f>IFERROR(__xludf.DUMMYFUNCTION("GOOGLETRANSLATE(B19671,""en"",""es-ES"")"),"El chico seca el plato con la tela ligera.")</f>
        <v>El chico seca el plato con la tela ligera.</v>
      </c>
    </row>
    <row r="19672">
      <c r="A19672" s="4" t="s">
        <v>24758</v>
      </c>
      <c r="B19672" s="4" t="s">
        <v>24759</v>
      </c>
      <c r="C19672" s="5" t="str">
        <f>IFERROR(__xludf.DUMMYFUNCTION("GOOGLETRANSLATE(B19672,""en"",""es-ES"")"),"Un hombre con camisa gris y jeans con casco naranja está recortando los setos, está parado en una escalera para alcanzar la parte superior del seto y recortarlo, el hombre continúa recortando el seto.")</f>
        <v>Un hombre con camisa gris y jeans con casco naranja está recortando los setos, está parado en una escalera para alcanzar la parte superior del seto y recortarlo, el hombre continúa recortando el seto.</v>
      </c>
    </row>
    <row r="19673">
      <c r="A19673" s="4" t="s">
        <v>24758</v>
      </c>
      <c r="B19673" s="4" t="s">
        <v>24760</v>
      </c>
      <c r="C19673" s="5" t="str">
        <f>IFERROR(__xludf.DUMMYFUNCTION("GOOGLETRANSLATE(B19673,""en"",""es-ES"")"),"Un hombre con camisa blanca y casco naranja está recortando los setos quemados.")</f>
        <v>Un hombre con camisa blanca y casco naranja está recortando los setos quemados.</v>
      </c>
    </row>
    <row r="19674">
      <c r="A19674" s="4" t="s">
        <v>24761</v>
      </c>
      <c r="B19674" s="4" t="s">
        <v>24762</v>
      </c>
      <c r="C19674" s="5" t="str">
        <f>IFERROR(__xludf.DUMMYFUNCTION("GOOGLETRANSLATE(B19674,""en"",""es-ES"")"),"Una persona con un traje blanco y gafas protectores rocía una superficie con pintura púrpura con una pistola de pulverización en una habitación con paredes y pisos blancos.")</f>
        <v>Una persona con un traje blanco y gafas protectores rocía una superficie con pintura púrpura con una pistola de pulverización en una habitación con paredes y pisos blancos.</v>
      </c>
    </row>
    <row r="19675">
      <c r="A19675" s="4" t="s">
        <v>24761</v>
      </c>
      <c r="B19675" s="4" t="s">
        <v>24763</v>
      </c>
      <c r="C19675" s="5" t="str">
        <f>IFERROR(__xludf.DUMMYFUNCTION("GOOGLETRANSLATE(B19675,""en"",""es-ES"")"),"Luego, la persona gira la superficie sobre una mesa giratoria y pinta los lados.")</f>
        <v>Luego, la persona gira la superficie sobre una mesa giratoria y pinta los lados.</v>
      </c>
    </row>
    <row r="19676">
      <c r="A19676" s="4" t="s">
        <v>24761</v>
      </c>
      <c r="B19676" s="4" t="s">
        <v>24764</v>
      </c>
      <c r="C19676" s="5" t="str">
        <f>IFERROR(__xludf.DUMMYFUNCTION("GOOGLETRANSLATE(B19676,""en"",""es-ES"")"),"El producto mate acabado se muestra, se seca, en la sala blanca lisa donde ocurrió la pintura.")</f>
        <v>El producto mate acabado se muestra, se seca, en la sala blanca lisa donde ocurrió la pintura.</v>
      </c>
    </row>
    <row r="19677">
      <c r="A19677" s="4" t="s">
        <v>24765</v>
      </c>
      <c r="B19677" s="4" t="s">
        <v>24766</v>
      </c>
      <c r="C19677" s="5" t="str">
        <f>IFERROR(__xludf.DUMMYFUNCTION("GOOGLETRANSLATE(B19677,""en"",""es-ES"")"),"El hombre está de pie en una habitación mezclando cemento en un cubo.")</f>
        <v>El hombre está de pie en una habitación mezclando cemento en un cubo.</v>
      </c>
    </row>
    <row r="19678">
      <c r="A19678" s="4" t="s">
        <v>24765</v>
      </c>
      <c r="B19678" s="4" t="s">
        <v>24767</v>
      </c>
      <c r="C19678" s="5" t="str">
        <f>IFERROR(__xludf.DUMMYFUNCTION("GOOGLETRANSLATE(B19678,""en"",""es-ES"")"),"El hombre agarra la mezcla y la extiende en el piso y pone baldosas blancas.")</f>
        <v>El hombre agarra la mezcla y la extiende en el piso y pone baldosas blancas.</v>
      </c>
    </row>
    <row r="19679">
      <c r="A19679" s="4" t="s">
        <v>24765</v>
      </c>
      <c r="B19679" s="4" t="s">
        <v>24768</v>
      </c>
      <c r="C19679" s="5" t="str">
        <f>IFERROR(__xludf.DUMMYFUNCTION("GOOGLETRANSLATE(B19679,""en"",""es-ES"")"),"El hombre barre el piso y extiende el cemento nuevamente para poner las baldosas en la parte restante de la habitación.")</f>
        <v>El hombre barre el piso y extiende el cemento nuevamente para poner las baldosas en la parte restante de la habitación.</v>
      </c>
    </row>
    <row r="19680">
      <c r="A19680" s="4" t="s">
        <v>24769</v>
      </c>
      <c r="B19680" s="4" t="s">
        <v>24770</v>
      </c>
      <c r="C19680" s="5" t="str">
        <f>IFERROR(__xludf.DUMMYFUNCTION("GOOGLETRANSLATE(B19680,""en"",""es-ES"")"),"El video comienza con cuatro imágenes de abdomen humanos contratados.")</f>
        <v>El video comienza con cuatro imágenes de abdomen humanos contratados.</v>
      </c>
    </row>
    <row r="19681">
      <c r="A19681" s="4" t="s">
        <v>24769</v>
      </c>
      <c r="B19681" s="4" t="s">
        <v>24771</v>
      </c>
      <c r="C19681" s="5" t="str">
        <f>IFERROR(__xludf.DUMMYFUNCTION("GOOGLETRANSLATE(B19681,""en"",""es-ES"")"),"Hay una niña vestida con una camiseta sin mangas azul y medias negras que demuestran la forma correcta de hacer tablones y abdominales.")</f>
        <v>Hay una niña vestida con una camiseta sin mangas azul y medias negras que demuestran la forma correcta de hacer tablones y abdominales.</v>
      </c>
    </row>
    <row r="19682">
      <c r="A19682" s="4" t="s">
        <v>24769</v>
      </c>
      <c r="B19682" s="4" t="s">
        <v>24772</v>
      </c>
      <c r="C19682" s="5" t="str">
        <f>IFERROR(__xludf.DUMMYFUNCTION("GOOGLETRANSLATE(B19682,""en"",""es-ES"")"),"Ella está acostada en una alfombra de yoga azul mientras se abarca.")</f>
        <v>Ella está acostada en una alfombra de yoga azul mientras se abarca.</v>
      </c>
    </row>
    <row r="19683">
      <c r="A19683" s="4" t="s">
        <v>24769</v>
      </c>
      <c r="B19683" s="4" t="s">
        <v>24773</v>
      </c>
      <c r="C19683" s="5" t="str">
        <f>IFERROR(__xludf.DUMMYFUNCTION("GOOGLETRANSLATE(B19683,""en"",""es-ES"")"),"Luego se acuesta en el estómago levantándose sobre sus codos para mostrar cómo hacer tablones.")</f>
        <v>Luego se acuesta en el estómago levantándose sobre sus codos para mostrar cómo hacer tablones.</v>
      </c>
    </row>
    <row r="19684">
      <c r="A19684" s="4" t="s">
        <v>24774</v>
      </c>
      <c r="B19684" s="4" t="s">
        <v>24775</v>
      </c>
      <c r="C19684" s="5" t="str">
        <f>IFERROR(__xludf.DUMMYFUNCTION("GOOGLETRANSLATE(B19684,""en"",""es-ES"")"),"Un atleta con camisa negra da instrucciones para un ejercicio de práctica mientras está parado en un gran campo deportivo.")</f>
        <v>Un atleta con camisa negra da instrucciones para un ejercicio de práctica mientras está parado en un gran campo deportivo.</v>
      </c>
    </row>
    <row r="19685">
      <c r="A19685" s="4" t="s">
        <v>24774</v>
      </c>
      <c r="B19685" s="4" t="s">
        <v>24776</v>
      </c>
      <c r="C19685" s="5" t="str">
        <f>IFERROR(__xludf.DUMMYFUNCTION("GOOGLETRANSLATE(B19685,""en"",""es-ES"")"),"El hombre se prepara para un ejercicio y se pone en cuclillas arriba y abajo para practicar.")</f>
        <v>El hombre se prepara para un ejercicio y se pone en cuclillas arriba y abajo para practicar.</v>
      </c>
    </row>
    <row r="19686">
      <c r="A19686" s="4" t="s">
        <v>24774</v>
      </c>
      <c r="B19686" s="4" t="s">
        <v>24777</v>
      </c>
      <c r="C19686" s="5" t="str">
        <f>IFERROR(__xludf.DUMMYFUNCTION("GOOGLETRANSLATE(B19686,""en"",""es-ES"")"),"El hombre salta varias veces y va más allá en cada salto.")</f>
        <v>El hombre salta varias veces y va más allá en cada salto.</v>
      </c>
    </row>
    <row r="19687">
      <c r="A19687" s="4" t="s">
        <v>24774</v>
      </c>
      <c r="B19687" s="4" t="s">
        <v>24778</v>
      </c>
      <c r="C19687" s="5" t="str">
        <f>IFERROR(__xludf.DUMMYFUNCTION("GOOGLETRANSLATE(B19687,""en"",""es-ES"")"),"El hombre se dobla y toca el suelo mientras gira.")</f>
        <v>El hombre se dobla y toca el suelo mientras gira.</v>
      </c>
    </row>
    <row r="19688">
      <c r="A19688" s="4" t="s">
        <v>24774</v>
      </c>
      <c r="B19688" s="4" t="s">
        <v>24779</v>
      </c>
      <c r="C19688" s="5" t="str">
        <f>IFERROR(__xludf.DUMMYFUNCTION("GOOGLETRANSLATE(B19688,""en"",""es-ES"")"),"El hombre da más instrucciones sobre una carrera de práctica mientras da gestos con las manos.")</f>
        <v>El hombre da más instrucciones sobre una carrera de práctica mientras da gestos con las manos.</v>
      </c>
    </row>
    <row r="19689">
      <c r="A19689" s="4" t="s">
        <v>24774</v>
      </c>
      <c r="B19689" s="4" t="s">
        <v>24780</v>
      </c>
      <c r="C19689" s="5" t="str">
        <f>IFERROR(__xludf.DUMMYFUNCTION("GOOGLETRANSLATE(B19689,""en"",""es-ES"")"),"El hombre se establece en el borde de una línea y salta con un pie, luego se repite.")</f>
        <v>El hombre se establece en el borde de una línea y salta con un pie, luego se repite.</v>
      </c>
    </row>
    <row r="19690">
      <c r="A19690" s="4" t="s">
        <v>24774</v>
      </c>
      <c r="B19690" s="4" t="s">
        <v>24781</v>
      </c>
      <c r="C19690" s="5" t="str">
        <f>IFERROR(__xludf.DUMMYFUNCTION("GOOGLETRANSLATE(B19690,""en"",""es-ES"")"),"El hombre da un conjunto final de instrucciones mientras respira pesado.")</f>
        <v>El hombre da un conjunto final de instrucciones mientras respira pesado.</v>
      </c>
    </row>
    <row r="19691">
      <c r="A19691" s="4" t="s">
        <v>24774</v>
      </c>
      <c r="B19691" s="4" t="s">
        <v>24782</v>
      </c>
      <c r="C19691" s="5" t="str">
        <f>IFERROR(__xludf.DUMMYFUNCTION("GOOGLETRANSLATE(B19691,""en"",""es-ES"")"),"Se ve un conjunto de texto con información.")</f>
        <v>Se ve un conjunto de texto con información.</v>
      </c>
    </row>
    <row r="19692">
      <c r="A19692" s="4" t="s">
        <v>24783</v>
      </c>
      <c r="B19692" s="4" t="s">
        <v>24784</v>
      </c>
      <c r="C19692" s="5" t="str">
        <f>IFERROR(__xludf.DUMMYFUNCTION("GOOGLETRANSLATE(B19692,""en"",""es-ES"")"),"Se ve un gráfico de flecha y el texto del título.")</f>
        <v>Se ve un gráfico de flecha y el texto del título.</v>
      </c>
    </row>
    <row r="19693">
      <c r="A19693" s="4" t="s">
        <v>24783</v>
      </c>
      <c r="B19693" s="4" t="s">
        <v>24785</v>
      </c>
      <c r="C19693" s="5" t="str">
        <f>IFERROR(__xludf.DUMMYFUNCTION("GOOGLETRANSLATE(B19693,""en"",""es-ES"")"),"Una mujer se para en una habitación oscura y encendida sosteniendo un acordeón y demostrando cómo jugarlo.")</f>
        <v>Una mujer se para en una habitación oscura y encendida sosteniendo un acordeón y demostrando cómo jugarlo.</v>
      </c>
    </row>
    <row r="19694">
      <c r="A19694" s="4" t="s">
        <v>24783</v>
      </c>
      <c r="B19694" s="4" t="s">
        <v>24786</v>
      </c>
      <c r="C19694" s="5" t="str">
        <f>IFERROR(__xludf.DUMMYFUNCTION("GOOGLETRANSLATE(B19694,""en"",""es-ES"")"),"La mujer comienza a tocar una canción presionando en las teclas.")</f>
        <v>La mujer comienza a tocar una canción presionando en las teclas.</v>
      </c>
    </row>
    <row r="19695">
      <c r="A19695" s="4" t="s">
        <v>24783</v>
      </c>
      <c r="B19695" s="4" t="s">
        <v>24787</v>
      </c>
      <c r="C19695" s="5" t="str">
        <f>IFERROR(__xludf.DUMMYFUNCTION("GOOGLETRANSLATE(B19695,""en"",""es-ES"")"),"La mujer se detiene para discutir y luego toca más de la canción.")</f>
        <v>La mujer se detiene para discutir y luego toca más de la canción.</v>
      </c>
    </row>
    <row r="19696">
      <c r="A19696" s="4" t="s">
        <v>24783</v>
      </c>
      <c r="B19696" s="4" t="s">
        <v>24788</v>
      </c>
      <c r="C19696" s="5" t="str">
        <f>IFERROR(__xludf.DUMMYFUNCTION("GOOGLETRANSLATE(B19696,""en"",""es-ES"")"),"La mujer termina y cierra el acordeón.")</f>
        <v>La mujer termina y cierra el acordeón.</v>
      </c>
    </row>
    <row r="19697">
      <c r="A19697" s="4" t="s">
        <v>24789</v>
      </c>
      <c r="B19697" s="4" t="s">
        <v>24790</v>
      </c>
      <c r="C19697" s="5" t="str">
        <f>IFERROR(__xludf.DUMMYFUNCTION("GOOGLETRANSLATE(B19697,""en"",""es-ES"")"),"Una niña está nerviosa al borde de una tabla de división.")</f>
        <v>Una niña está nerviosa al borde de una tabla de división.</v>
      </c>
    </row>
    <row r="19698">
      <c r="A19698" s="4" t="s">
        <v>24789</v>
      </c>
      <c r="B19698" s="4" t="s">
        <v>24791</v>
      </c>
      <c r="C19698" s="5" t="str">
        <f>IFERROR(__xludf.DUMMYFUNCTION("GOOGLETRANSLATE(B19698,""en"",""es-ES"")"),"Ella cae después de ponerse de pie y luego volver a ponerse en cuclillas.")</f>
        <v>Ella cae después de ponerse de pie y luego volver a ponerse en cuclillas.</v>
      </c>
    </row>
    <row r="19699">
      <c r="A19699" s="4" t="s">
        <v>24792</v>
      </c>
      <c r="B19699" s="4" t="s">
        <v>24793</v>
      </c>
      <c r="C19699" s="5" t="str">
        <f>IFERROR(__xludf.DUMMYFUNCTION("GOOGLETRANSLATE(B19699,""en"",""es-ES"")"),"Una banda de marcha camina en la calle tocando instrumentos mientras una mujer en el frente sostiene una bandera.")</f>
        <v>Una banda de marcha camina en la calle tocando instrumentos mientras una mujer en el frente sostiene una bandera.</v>
      </c>
    </row>
    <row r="19700">
      <c r="A19700" s="4" t="s">
        <v>24792</v>
      </c>
      <c r="B19700" s="4" t="s">
        <v>24794</v>
      </c>
      <c r="C19700" s="5" t="str">
        <f>IFERROR(__xludf.DUMMYFUNCTION("GOOGLETRANSLATE(B19700,""en"",""es-ES"")"),"Un niño en el frente de la banda sostiene un montaje y se eleva y gira.")</f>
        <v>Un niño en el frente de la banda sostiene un montaje y se eleva y gira.</v>
      </c>
    </row>
    <row r="19701">
      <c r="A19701" s="4" t="s">
        <v>24792</v>
      </c>
      <c r="B19701" s="4" t="s">
        <v>24795</v>
      </c>
      <c r="C19701" s="5" t="str">
        <f>IFERROR(__xludf.DUMMYFUNCTION("GOOGLETRANSLATE(B19701,""en"",""es-ES"")"),"Luego, la banda llega y pasa un semáforo.")</f>
        <v>Luego, la banda llega y pasa un semáforo.</v>
      </c>
    </row>
    <row r="19702">
      <c r="A19702" s="4" t="s">
        <v>24796</v>
      </c>
      <c r="B19702" s="4" t="s">
        <v>24797</v>
      </c>
      <c r="C19702" s="5" t="str">
        <f>IFERROR(__xludf.DUMMYFUNCTION("GOOGLETRANSLATE(B19702,""en"",""es-ES"")"),"Se muestra a dos personas caminando con una alfombra sobre sus hombros y caminan dentro de un edificio.")</f>
        <v>Se muestra a dos personas caminando con una alfombra sobre sus hombros y caminan dentro de un edificio.</v>
      </c>
    </row>
    <row r="19703">
      <c r="A19703" s="4" t="s">
        <v>24796</v>
      </c>
      <c r="B19703" s="4" t="s">
        <v>24798</v>
      </c>
      <c r="C19703" s="5" t="str">
        <f>IFERROR(__xludf.DUMMYFUNCTION("GOOGLETRANSLATE(B19703,""en"",""es-ES"")"),"Abren la alfombra y luego extraen cinta de medición y martillan la alfombra.")</f>
        <v>Abren la alfombra y luego extraen cinta de medición y martillan la alfombra.</v>
      </c>
    </row>
    <row r="19704">
      <c r="A19704" s="4" t="s">
        <v>24796</v>
      </c>
      <c r="B19704" s="4" t="s">
        <v>24799</v>
      </c>
      <c r="C19704" s="5" t="str">
        <f>IFERROR(__xludf.DUMMYFUNCTION("GOOGLETRANSLATE(B19704,""en"",""es-ES"")"),"Luego ponen yeso por todo el piso y presentan el producto terminado de la alfombra estrechándose la mano con los propietarios y sonriendo para obtener fotos.")</f>
        <v>Luego ponen yeso por todo el piso y presentan el producto terminado de la alfombra estrechándose la mano con los propietarios y sonriendo para obtener fotos.</v>
      </c>
    </row>
    <row r="19705">
      <c r="A19705" s="4" t="s">
        <v>24800</v>
      </c>
      <c r="B19705" s="4" t="s">
        <v>24801</v>
      </c>
      <c r="C19705" s="5" t="str">
        <f>IFERROR(__xludf.DUMMYFUNCTION("GOOGLETRANSLATE(B19705,""en"",""es-ES"")"),"Se ve a un hombre hablando con la cámara y lo lleva a colocar papel tapiz en la pared.")</f>
        <v>Se ve a un hombre hablando con la cámara y lo lleva a colocar papel tapiz en la pared.</v>
      </c>
    </row>
    <row r="19706">
      <c r="A19706" s="4" t="s">
        <v>24800</v>
      </c>
      <c r="B19706" s="4" t="s">
        <v>24802</v>
      </c>
      <c r="C19706" s="5" t="str">
        <f>IFERROR(__xludf.DUMMYFUNCTION("GOOGLETRANSLATE(B19706,""en"",""es-ES"")"),"Continúa hablando con la cámara mientras sigue extendiendo papel en la pared.")</f>
        <v>Continúa hablando con la cámara mientras sigue extendiendo papel en la pared.</v>
      </c>
    </row>
    <row r="19707">
      <c r="A19707" s="4" t="s">
        <v>24803</v>
      </c>
      <c r="B19707" s="4" t="s">
        <v>24804</v>
      </c>
      <c r="C19707" s="5" t="str">
        <f>IFERROR(__xludf.DUMMYFUNCTION("GOOGLETRANSLATE(B19707,""en"",""es-ES"")"),"Una mujer se lava la cara en un fregadero.")</f>
        <v>Una mujer se lava la cara en un fregadero.</v>
      </c>
    </row>
    <row r="19708">
      <c r="A19708" s="4" t="s">
        <v>24803</v>
      </c>
      <c r="B19708" s="4" t="s">
        <v>24805</v>
      </c>
      <c r="C19708" s="5" t="str">
        <f>IFERROR(__xludf.DUMMYFUNCTION("GOOGLETRANSLATE(B19708,""en"",""es-ES"")"),"Ella se ve en un espejo frente a ella.")</f>
        <v>Ella se ve en un espejo frente a ella.</v>
      </c>
    </row>
    <row r="19709">
      <c r="A19709" s="4" t="s">
        <v>24803</v>
      </c>
      <c r="B19709" s="4" t="s">
        <v>24806</v>
      </c>
      <c r="C19709" s="5" t="str">
        <f>IFERROR(__xludf.DUMMYFUNCTION("GOOGLETRANSLATE(B19709,""en"",""es-ES"")"),"Ella continúa limpiando su rostro.")</f>
        <v>Ella continúa limpiando su rostro.</v>
      </c>
    </row>
    <row r="19710">
      <c r="A19710" s="4" t="s">
        <v>24807</v>
      </c>
      <c r="B19710" s="4" t="s">
        <v>24808</v>
      </c>
      <c r="C19710" s="5" t="str">
        <f>IFERROR(__xludf.DUMMYFUNCTION("GOOGLETRANSLATE(B19710,""en"",""es-ES"")"),"Un perro está sentado en un sofá naranja.")</f>
        <v>Un perro está sentado en un sofá naranja.</v>
      </c>
    </row>
    <row r="19711">
      <c r="A19711" s="4" t="s">
        <v>24807</v>
      </c>
      <c r="B19711" s="4" t="s">
        <v>24809</v>
      </c>
      <c r="C19711" s="5" t="str">
        <f>IFERROR(__xludf.DUMMYFUNCTION("GOOGLETRANSLATE(B19711,""en"",""es-ES"")"),"Un perro está sentado en una bañera tomando un baño.")</f>
        <v>Un perro está sentado en una bañera tomando un baño.</v>
      </c>
    </row>
    <row r="19712">
      <c r="A19712" s="4" t="s">
        <v>24807</v>
      </c>
      <c r="B19712" s="4" t="s">
        <v>24810</v>
      </c>
      <c r="C19712" s="5" t="str">
        <f>IFERROR(__xludf.DUMMYFUNCTION("GOOGLETRANSLATE(B19712,""en"",""es-ES"")"),"Una persona está secando al perro con una toalla.")</f>
        <v>Una persona está secando al perro con una toalla.</v>
      </c>
    </row>
    <row r="19713">
      <c r="A19713" s="4" t="s">
        <v>24807</v>
      </c>
      <c r="B19713" s="4" t="s">
        <v>24811</v>
      </c>
      <c r="C19713" s="5" t="str">
        <f>IFERROR(__xludf.DUMMYFUNCTION("GOOGLETRANSLATE(B19713,""en"",""es-ES"")"),"El perro se está secando con un secador de pelo.")</f>
        <v>El perro se está secando con un secador de pelo.</v>
      </c>
    </row>
    <row r="19714">
      <c r="A19714" s="4" t="s">
        <v>24812</v>
      </c>
      <c r="B19714" s="4" t="s">
        <v>24813</v>
      </c>
      <c r="C19714" s="5" t="str">
        <f>IFERROR(__xludf.DUMMYFUNCTION("GOOGLETRANSLATE(B19714,""en"",""es-ES"")"),"El logotipo ""Weldy"" aparece sobre una foto de herramientas de soldadura.")</f>
        <v>El logotipo "Weldy" aparece sobre una foto de herramientas de soldadura.</v>
      </c>
    </row>
    <row r="19715">
      <c r="A19715" s="4" t="s">
        <v>24812</v>
      </c>
      <c r="B19715" s="4" t="s">
        <v>24814</v>
      </c>
      <c r="C19715" s="5" t="str">
        <f>IFERROR(__xludf.DUMMYFUNCTION("GOOGLETRANSLATE(B19715,""en"",""es-ES"")"),"Aparecen las palabras ""Energy 1600"" y la dirección del sitio web de Welldy.")</f>
        <v>Aparecen las palabras "Energy 1600" y la dirección del sitio web de Welldy.</v>
      </c>
    </row>
    <row r="19716">
      <c r="A19716" s="4" t="s">
        <v>24812</v>
      </c>
      <c r="B19716" s="4" t="s">
        <v>24815</v>
      </c>
      <c r="C19716" s="5" t="str">
        <f>IFERROR(__xludf.DUMMYFUNCTION("GOOGLETRANSLATE(B19716,""en"",""es-ES"")"),"Un hombre está trabajando en una azotea blanca con una de las herramientas de Weldy.")</f>
        <v>Un hombre está trabajando en una azotea blanca con una de las herramientas de Weldy.</v>
      </c>
    </row>
    <row r="19717">
      <c r="A19717" s="4" t="s">
        <v>24812</v>
      </c>
      <c r="B19717" s="4" t="s">
        <v>24816</v>
      </c>
      <c r="C19717" s="5" t="str">
        <f>IFERROR(__xludf.DUMMYFUNCTION("GOOGLETRANSLATE(B19717,""en"",""es-ES"")"),"""Energy 1600"" y el sitio web aparece nuevamente en la pantalla.")</f>
        <v>"Energy 1600" y el sitio web aparece nuevamente en la pantalla.</v>
      </c>
    </row>
    <row r="19718">
      <c r="A19718" s="4" t="s">
        <v>24817</v>
      </c>
      <c r="B19718" s="4" t="s">
        <v>24818</v>
      </c>
      <c r="C19718" s="5" t="str">
        <f>IFERROR(__xludf.DUMMYFUNCTION("GOOGLETRANSLATE(B19718,""en"",""es-ES"")"),"Se ve a una mujer hablando con la cámara mientras enciende un grifo.")</f>
        <v>Se ve a una mujer hablando con la cámara mientras enciende un grifo.</v>
      </c>
    </row>
    <row r="19719">
      <c r="A19719" s="4" t="s">
        <v>24817</v>
      </c>
      <c r="B19719" s="4" t="s">
        <v>24819</v>
      </c>
      <c r="C19719" s="5" t="str">
        <f>IFERROR(__xludf.DUMMYFUNCTION("GOOGLETRANSLATE(B19719,""en"",""es-ES"")"),"Luego bombea jabón y se frota las manos.")</f>
        <v>Luego bombea jabón y se frota las manos.</v>
      </c>
    </row>
    <row r="19720">
      <c r="A19720" s="4" t="s">
        <v>24817</v>
      </c>
      <c r="B19720" s="4" t="s">
        <v>24820</v>
      </c>
      <c r="C19720" s="5" t="str">
        <f>IFERROR(__xludf.DUMMYFUNCTION("GOOGLETRANSLATE(B19720,""en"",""es-ES"")"),"Ella corre las manos debajo del fregadero y termina secando las manos y saliendo para poner el desinfectante de la mano.")</f>
        <v>Ella corre las manos debajo del fregadero y termina secando las manos y saliendo para poner el desinfectante de la mano.</v>
      </c>
    </row>
    <row r="19721">
      <c r="A19721" s="4" t="s">
        <v>24821</v>
      </c>
      <c r="B19721" s="4" t="s">
        <v>24822</v>
      </c>
      <c r="C19721" s="5" t="str">
        <f>IFERROR(__xludf.DUMMYFUNCTION("GOOGLETRANSLATE(B19721,""en"",""es-ES"")"),"Una mujer está usando esmalte en un recipiente para pulir un zapato negro.")</f>
        <v>Una mujer está usando esmalte en un recipiente para pulir un zapato negro.</v>
      </c>
    </row>
    <row r="19722">
      <c r="A19722" s="4" t="s">
        <v>24821</v>
      </c>
      <c r="B19722" s="4" t="s">
        <v>24823</v>
      </c>
      <c r="C19722" s="5" t="str">
        <f>IFERROR(__xludf.DUMMYFUNCTION("GOOGLETRANSLATE(B19722,""en"",""es-ES"")"),"Ella habla con la cámara mientras trabaja.")</f>
        <v>Ella habla con la cámara mientras trabaja.</v>
      </c>
    </row>
    <row r="19723">
      <c r="A19723" s="4" t="s">
        <v>24821</v>
      </c>
      <c r="B19723" s="4" t="s">
        <v>24824</v>
      </c>
      <c r="C19723" s="5" t="str">
        <f>IFERROR(__xludf.DUMMYFUNCTION("GOOGLETRANSLATE(B19723,""en"",""es-ES"")"),"El esmalte negro se muestra goteando sobre sus piernas.")</f>
        <v>El esmalte negro se muestra goteando sobre sus piernas.</v>
      </c>
    </row>
    <row r="19724">
      <c r="A19724" s="4" t="s">
        <v>24825</v>
      </c>
      <c r="B19724" s="4" t="s">
        <v>24826</v>
      </c>
      <c r="C19724" s="5" t="str">
        <f>IFERROR(__xludf.DUMMYFUNCTION("GOOGLETRANSLATE(B19724,""en"",""es-ES"")"),"Hay un entrenador de perros dama vestido con una sudadera con capucha azul que juega con un perro blanco y negro en un parque.")</f>
        <v>Hay un entrenador de perros dama vestido con una sudadera con capucha azul que juega con un perro blanco y negro en un parque.</v>
      </c>
    </row>
    <row r="19725">
      <c r="A19725" s="4" t="s">
        <v>24825</v>
      </c>
      <c r="B19725" s="4" t="s">
        <v>24827</v>
      </c>
      <c r="C19725" s="5" t="str">
        <f>IFERROR(__xludf.DUMMYFUNCTION("GOOGLETRANSLATE(B19725,""en"",""es-ES"")"),"Ella está arrojando un frisbee al perro y hace que el perro lo busque.")</f>
        <v>Ella está arrojando un frisbee al perro y hace que el perro lo busque.</v>
      </c>
    </row>
    <row r="19726">
      <c r="A19726" s="4" t="s">
        <v>24825</v>
      </c>
      <c r="B19726" s="4" t="s">
        <v>24828</v>
      </c>
      <c r="C19726" s="5" t="str">
        <f>IFERROR(__xludf.DUMMYFUNCTION("GOOGLETRANSLATE(B19726,""en"",""es-ES"")"),"El perro corre cada vez que tira el frisbee a distancia y lo busca.")</f>
        <v>El perro corre cada vez que tira el frisbee a distancia y lo busca.</v>
      </c>
    </row>
    <row r="19727">
      <c r="A19727" s="4" t="s">
        <v>24825</v>
      </c>
      <c r="B19727" s="4" t="s">
        <v>24829</v>
      </c>
      <c r="C19727" s="5" t="str">
        <f>IFERROR(__xludf.DUMMYFUNCTION("GOOGLETRANSLATE(B19727,""en"",""es-ES"")"),"El doh salta alto para agarrar al frisbee de su mano.")</f>
        <v>El doh salta alto para agarrar al frisbee de su mano.</v>
      </c>
    </row>
    <row r="19728">
      <c r="A19728" s="4" t="s">
        <v>24825</v>
      </c>
      <c r="B19728" s="4" t="s">
        <v>24830</v>
      </c>
      <c r="C19728" s="5" t="str">
        <f>IFERROR(__xludf.DUMMYFUNCTION("GOOGLETRANSLATE(B19728,""en"",""es-ES"")"),"El perro incluso salta sobre la dama cuando ella está acostada en el suelo.")</f>
        <v>El perro incluso salta sobre la dama cuando ella está acostada en el suelo.</v>
      </c>
    </row>
    <row r="19729">
      <c r="A19729" s="4" t="s">
        <v>24825</v>
      </c>
      <c r="B19729" s="4" t="s">
        <v>24831</v>
      </c>
      <c r="C19729" s="5" t="str">
        <f>IFERROR(__xludf.DUMMYFUNCTION("GOOGLETRANSLATE(B19729,""en"",""es-ES"")"),"Él continúa corriendo y busca el frisbee para la dama mientras ella tira múltiples frisbee.")</f>
        <v>Él continúa corriendo y busca el frisbee para la dama mientras ella tira múltiples frisbee.</v>
      </c>
    </row>
    <row r="19730">
      <c r="A19730" s="4" t="s">
        <v>24825</v>
      </c>
      <c r="B19730" s="4" t="s">
        <v>24832</v>
      </c>
      <c r="C19730" s="5" t="str">
        <f>IFERROR(__xludf.DUMMYFUNCTION("GOOGLETRANSLATE(B19730,""en"",""es-ES"")"),"La misma dama ahora lleva una camisa naranja y está tirando el frisbee al perro.")</f>
        <v>La misma dama ahora lleva una camisa naranja y está tirando el frisbee al perro.</v>
      </c>
    </row>
    <row r="19731">
      <c r="A19731" s="4" t="s">
        <v>24825</v>
      </c>
      <c r="B19731" s="4" t="s">
        <v>24833</v>
      </c>
      <c r="C19731" s="5" t="str">
        <f>IFERROR(__xludf.DUMMYFUNCTION("GOOGLETRANSLATE(B19731,""en"",""es-ES"")"),"El perro continúa saltando y atrapando al Frisbee en su boca.")</f>
        <v>El perro continúa saltando y atrapando al Frisbee en su boca.</v>
      </c>
    </row>
    <row r="19732">
      <c r="A19732" s="4" t="s">
        <v>24834</v>
      </c>
      <c r="B19732" s="4" t="s">
        <v>24835</v>
      </c>
      <c r="C19732" s="5" t="str">
        <f>IFERROR(__xludf.DUMMYFUNCTION("GOOGLETRANSLATE(B19732,""en"",""es-ES"")"),"Un niño está parado afuera viendo a otra persona tocar sus tuberías.")</f>
        <v>Un niño está parado afuera viendo a otra persona tocar sus tuberías.</v>
      </c>
    </row>
    <row r="19733">
      <c r="A19733" s="4" t="s">
        <v>24834</v>
      </c>
      <c r="B19733" s="4" t="s">
        <v>24836</v>
      </c>
      <c r="C19733" s="5" t="str">
        <f>IFERROR(__xludf.DUMMYFUNCTION("GOOGLETRANSLATE(B19733,""en"",""es-ES"")"),"Varias personas pasan y una dama se detiene y arroja dinero al caso de la persona.")</f>
        <v>Varias personas pasan y una dama se detiene y arroja dinero al caso de la persona.</v>
      </c>
    </row>
    <row r="19734">
      <c r="A19734" s="4" t="s">
        <v>24837</v>
      </c>
      <c r="B19734" s="4" t="s">
        <v>24838</v>
      </c>
      <c r="C19734" s="5" t="str">
        <f>IFERROR(__xludf.DUMMYFUNCTION("GOOGLETRANSLATE(B19734,""en"",""es-ES"")"),"Se ve a un hombre doblándose hacia adelante y sosteniendo un conjunto de pesas mientras agarra con fuerza.")</f>
        <v>Se ve a un hombre doblándose hacia adelante y sosteniendo un conjunto de pesas mientras agarra con fuerza.</v>
      </c>
    </row>
    <row r="19735">
      <c r="A19735" s="4" t="s">
        <v>24837</v>
      </c>
      <c r="B19735" s="4" t="s">
        <v>24839</v>
      </c>
      <c r="C19735" s="5" t="str">
        <f>IFERROR(__xludf.DUMMYFUNCTION("GOOGLETRANSLATE(B19735,""en"",""es-ES"")"),"El hombre luego levanta el peso sobre su final y lo arroja al final.")</f>
        <v>El hombre luego levanta el peso sobre su final y lo arroja al final.</v>
      </c>
    </row>
    <row r="19736">
      <c r="A19736" s="4" t="s">
        <v>24840</v>
      </c>
      <c r="B19736" s="4" t="s">
        <v>24841</v>
      </c>
      <c r="C19736" s="5" t="str">
        <f>IFERROR(__xludf.DUMMYFUNCTION("GOOGLETRANSLATE(B19736,""en"",""es-ES"")"),"Dos jóvenes amigos están juntos en una playa de arena.")</f>
        <v>Dos jóvenes amigos están juntos en una playa de arena.</v>
      </c>
    </row>
    <row r="19737">
      <c r="A19737" s="4" t="s">
        <v>24840</v>
      </c>
      <c r="B19737" s="4" t="s">
        <v>24842</v>
      </c>
      <c r="C19737" s="5" t="str">
        <f>IFERROR(__xludf.DUMMYFUNCTION("GOOGLETRANSLATE(B19737,""en"",""es-ES"")"),"Primero, la chica de la derecha habla, y luego su amiga con una camiseta púrpura habla a continuación.")</f>
        <v>Primero, la chica de la derecha habla, y luego su amiga con una camiseta púrpura habla a continuación.</v>
      </c>
    </row>
    <row r="19738">
      <c r="A19738" s="4" t="s">
        <v>24840</v>
      </c>
      <c r="B19738" s="4" t="s">
        <v>24843</v>
      </c>
      <c r="C19738" s="5" t="str">
        <f>IFERROR(__xludf.DUMMYFUNCTION("GOOGLETRANSLATE(B19738,""en"",""es-ES"")"),"Ella termina girando hacia su amiga y se levantan, toman las manos y salen de la escena a la derecha.")</f>
        <v>Ella termina girando hacia su amiga y se levantan, toman las manos y salen de la escena a la derecha.</v>
      </c>
    </row>
    <row r="19739">
      <c r="A19739" s="4" t="s">
        <v>24840</v>
      </c>
      <c r="B19739" s="4" t="s">
        <v>24844</v>
      </c>
      <c r="C19739" s="5" t="str">
        <f>IFERROR(__xludf.DUMMYFUNCTION("GOOGLETRANSLATE(B19739,""en"",""es-ES"")"),"Luego los vemos nuevamente sentados en la arena frente a la otra mientras comienzan a construir algo en la arena.")</f>
        <v>Luego los vemos nuevamente sentados en la arena frente a la otra mientras comienzan a construir algo en la arena.</v>
      </c>
    </row>
    <row r="19740">
      <c r="A19740" s="4" t="s">
        <v>24840</v>
      </c>
      <c r="B19740" s="4" t="s">
        <v>24845</v>
      </c>
      <c r="C19740" s="5" t="str">
        <f>IFERROR(__xludf.DUMMYFUNCTION("GOOGLETRANSLATE(B19740,""en"",""es-ES"")"),"El enfoque se mueve a una niña, que habla y termina escribiendo algo en la arena.")</f>
        <v>El enfoque se mueve a una niña, que habla y termina escribiendo algo en la arena.</v>
      </c>
    </row>
    <row r="19741">
      <c r="A19741" s="4" t="s">
        <v>24846</v>
      </c>
      <c r="B19741" s="4" t="s">
        <v>24847</v>
      </c>
      <c r="C19741" s="5" t="str">
        <f>IFERROR(__xludf.DUMMYFUNCTION("GOOGLETRANSLATE(B19741,""en"",""es-ES"")"),"Se muestran varios clips de personas que viajan en bicicletas y se sientan en bicicletas listas para correr.")</f>
        <v>Se muestran varios clips de personas que viajan en bicicletas y se sientan en bicicletas listas para correr.</v>
      </c>
    </row>
    <row r="19742">
      <c r="A19742" s="4" t="s">
        <v>24846</v>
      </c>
      <c r="B19742" s="4" t="s">
        <v>24848</v>
      </c>
      <c r="C19742" s="5" t="str">
        <f>IFERROR(__xludf.DUMMYFUNCTION("GOOGLETRANSLATE(B19742,""en"",""es-ES"")"),"Se muestran varios clips de personas de cerca y que viajan en bicicletas.")</f>
        <v>Se muestran varios clips de personas de cerca y que viajan en bicicletas.</v>
      </c>
    </row>
    <row r="19743">
      <c r="A19743" s="4" t="s">
        <v>24849</v>
      </c>
      <c r="B19743" s="4" t="s">
        <v>24850</v>
      </c>
      <c r="C19743" s="5" t="str">
        <f>IFERROR(__xludf.DUMMYFUNCTION("GOOGLETRANSLATE(B19743,""en"",""es-ES"")"),"Un hombre pone una madera en posición vertical en un tocón de árbol.")</f>
        <v>Un hombre pone una madera en posición vertical en un tocón de árbol.</v>
      </c>
    </row>
    <row r="19744">
      <c r="A19744" s="4" t="s">
        <v>24849</v>
      </c>
      <c r="B19744" s="4" t="s">
        <v>24851</v>
      </c>
      <c r="C19744" s="5" t="str">
        <f>IFERROR(__xludf.DUMMYFUNCTION("GOOGLETRANSLATE(B19744,""en"",""es-ES"")"),"Un chico está dividiendo madera en las mitades.")</f>
        <v>Un chico está dividiendo madera en las mitades.</v>
      </c>
    </row>
    <row r="19745">
      <c r="A19745" s="4" t="s">
        <v>24849</v>
      </c>
      <c r="B19745" s="4" t="s">
        <v>24852</v>
      </c>
      <c r="C19745" s="5" t="str">
        <f>IFERROR(__xludf.DUMMYFUNCTION("GOOGLETRANSLATE(B19745,""en"",""es-ES"")"),"Un chico trata repetidamente de cortar una madera.")</f>
        <v>Un chico trata repetidamente de cortar una madera.</v>
      </c>
    </row>
    <row r="19746">
      <c r="A19746" s="4" t="s">
        <v>24849</v>
      </c>
      <c r="B19746" s="4" t="s">
        <v>573</v>
      </c>
      <c r="C19746" s="5" t="str">
        <f>IFERROR(__xludf.DUMMYFUNCTION("GOOGLETRANSLATE(B19746,""en"",""es-ES"")"),"Se muestran los créditos del video.")</f>
        <v>Se muestran los créditos del video.</v>
      </c>
    </row>
    <row r="19747">
      <c r="A19747" s="4" t="s">
        <v>24853</v>
      </c>
      <c r="B19747" s="4" t="s">
        <v>24854</v>
      </c>
      <c r="C19747" s="5" t="str">
        <f>IFERROR(__xludf.DUMMYFUNCTION("GOOGLETRANSLATE(B19747,""en"",""es-ES"")"),"Una pelota vuela a través del aire en un campo de béisbol.")</f>
        <v>Una pelota vuela a través del aire en un campo de béisbol.</v>
      </c>
    </row>
    <row r="19748">
      <c r="A19748" s="4" t="s">
        <v>24853</v>
      </c>
      <c r="B19748" s="4" t="s">
        <v>24855</v>
      </c>
      <c r="C19748" s="5" t="str">
        <f>IFERROR(__xludf.DUMMYFUNCTION("GOOGLETRANSLATE(B19748,""en"",""es-ES"")"),"La persona con la cámara despega en funcionamiento.")</f>
        <v>La persona con la cámara despega en funcionamiento.</v>
      </c>
    </row>
    <row r="19749">
      <c r="A19749" s="4" t="s">
        <v>24853</v>
      </c>
      <c r="B19749" s="4" t="s">
        <v>24856</v>
      </c>
      <c r="C19749" s="5" t="str">
        <f>IFERROR(__xludf.DUMMYFUNCTION("GOOGLETRANSLATE(B19749,""en"",""es-ES"")"),"El corredor se detiene en la base de operaciones y se da vuelta.")</f>
        <v>El corredor se detiene en la base de operaciones y se da vuelta.</v>
      </c>
    </row>
    <row r="19750">
      <c r="A19750" s="4" t="s">
        <v>24853</v>
      </c>
      <c r="B19750" s="4" t="s">
        <v>24857</v>
      </c>
      <c r="C19750" s="5" t="str">
        <f>IFERROR(__xludf.DUMMYFUNCTION("GOOGLETRANSLATE(B19750,""en"",""es-ES"")"),"Vemos a la gente en la parte posterior del campo.")</f>
        <v>Vemos a la gente en la parte posterior del campo.</v>
      </c>
    </row>
    <row r="19751">
      <c r="A19751" s="4" t="s">
        <v>24858</v>
      </c>
      <c r="B19751" s="4" t="s">
        <v>24859</v>
      </c>
      <c r="C19751" s="5" t="str">
        <f>IFERROR(__xludf.DUMMYFUNCTION("GOOGLETRANSLATE(B19751,""en"",""es-ES"")"),"Se ve a un gran grupo de personas de pie alrededor de una piscina, así como personas que escriben en papel y hablan entre sí.")</f>
        <v>Se ve a un gran grupo de personas de pie alrededor de una piscina, así como personas que escriben en papel y hablan entre sí.</v>
      </c>
    </row>
    <row r="19752">
      <c r="A19752" s="4" t="s">
        <v>24858</v>
      </c>
      <c r="B19752" s="4" t="s">
        <v>24860</v>
      </c>
      <c r="C19752" s="5" t="str">
        <f>IFERROR(__xludf.DUMMYFUNCTION("GOOGLETRANSLATE(B19752,""en"",""es-ES"")"),"Se ve a más personas bucear en un tablero y saltar a un lado.")</f>
        <v>Se ve a más personas bucear en un tablero y saltar a un lado.</v>
      </c>
    </row>
    <row r="19753">
      <c r="A19753" s="4" t="s">
        <v>24858</v>
      </c>
      <c r="B19753" s="4" t="s">
        <v>24861</v>
      </c>
      <c r="C19753" s="5" t="str">
        <f>IFERROR(__xludf.DUMMYFUNCTION("GOOGLETRANSLATE(B19753,""en"",""es-ES"")"),"Varias personas se ven mirando a un lado mientras los niños continúan buceando.")</f>
        <v>Varias personas se ven mirando a un lado mientras los niños continúan buceando.</v>
      </c>
    </row>
    <row r="19754">
      <c r="A19754" s="4" t="s">
        <v>24862</v>
      </c>
      <c r="B19754" s="4" t="s">
        <v>24863</v>
      </c>
      <c r="C19754" s="5" t="str">
        <f>IFERROR(__xludf.DUMMYFUNCTION("GOOGLETRANSLATE(B19754,""en"",""es-ES"")"),"Se está utilizando un dibujo de aviones y maquinarias, luego fotos de hombres y una mujer.")</f>
        <v>Se está utilizando un dibujo de aviones y maquinarias, luego fotos de hombres y una mujer.</v>
      </c>
    </row>
    <row r="19755">
      <c r="A19755" s="4" t="s">
        <v>24862</v>
      </c>
      <c r="B19755" s="4" t="s">
        <v>24864</v>
      </c>
      <c r="C19755" s="5" t="str">
        <f>IFERROR(__xludf.DUMMYFUNCTION("GOOGLETRANSLATE(B19755,""en"",""es-ES"")"),"Un hombre de camisa azul está cepillando una pintura a un modelo de avión, luego pinta un color diferente para que el avión parezca un camuflaje.")</f>
        <v>Un hombre de camisa azul está cepillando una pintura a un modelo de avión, luego pinta un color diferente para que el avión parezca un camuflaje.</v>
      </c>
    </row>
    <row r="19756">
      <c r="A19756" s="4" t="s">
        <v>24865</v>
      </c>
      <c r="B19756" s="4" t="s">
        <v>24866</v>
      </c>
      <c r="C19756" s="5" t="str">
        <f>IFERROR(__xludf.DUMMYFUNCTION("GOOGLETRANSLATE(B19756,""en"",""es-ES"")"),"Un hombre está sentado junto a varios árboles pequeños.")</f>
        <v>Un hombre está sentado junto a varios árboles pequeños.</v>
      </c>
    </row>
    <row r="19757">
      <c r="A19757" s="4" t="s">
        <v>24865</v>
      </c>
      <c r="B19757" s="4" t="s">
        <v>24867</v>
      </c>
      <c r="C19757" s="5" t="str">
        <f>IFERROR(__xludf.DUMMYFUNCTION("GOOGLETRANSLATE(B19757,""en"",""es-ES"")"),"Él saca algunas hojas de los árboles.")</f>
        <v>Él saca algunas hojas de los árboles.</v>
      </c>
    </row>
    <row r="19758">
      <c r="A19758" s="4" t="s">
        <v>24865</v>
      </c>
      <c r="B19758" s="4" t="s">
        <v>24868</v>
      </c>
      <c r="C19758" s="5" t="str">
        <f>IFERROR(__xludf.DUMMYFUNCTION("GOOGLETRANSLATE(B19758,""en"",""es-ES"")"),"Toma tijeras y corta algunas hojas del árbol.")</f>
        <v>Toma tijeras y corta algunas hojas del árbol.</v>
      </c>
    </row>
    <row r="19759">
      <c r="A19759" s="4" t="s">
        <v>24869</v>
      </c>
      <c r="B19759" s="4" t="s">
        <v>24870</v>
      </c>
      <c r="C19759" s="5" t="str">
        <f>IFERROR(__xludf.DUMMYFUNCTION("GOOGLETRANSLATE(B19759,""en"",""es-ES"")"),"Un hombre es esquí acuático en un río.")</f>
        <v>Un hombre es esquí acuático en un río.</v>
      </c>
    </row>
    <row r="19760">
      <c r="A19760" s="4" t="s">
        <v>24869</v>
      </c>
      <c r="B19760" s="4" t="s">
        <v>24871</v>
      </c>
      <c r="C19760" s="5" t="str">
        <f>IFERROR(__xludf.DUMMYFUNCTION("GOOGLETRANSLATE(B19760,""en"",""es-ES"")"),"Un hombre de pelo largo opera un bote y el bote arrastra a un hombre esquiando por el agua.")</f>
        <v>Un hombre de pelo largo opera un bote y el bote arrastra a un hombre esquiando por el agua.</v>
      </c>
    </row>
    <row r="19761">
      <c r="A19761" s="4" t="s">
        <v>24869</v>
      </c>
      <c r="B19761" s="4" t="s">
        <v>14857</v>
      </c>
      <c r="C19761" s="5" t="str">
        <f>IFERROR(__xludf.DUMMYFUNCTION("GOOGLETRANSLATE(B19761,""en"",""es-ES"")"),"Un hombre con gafas habla con la cámara.")</f>
        <v>Un hombre con gafas habla con la cámara.</v>
      </c>
    </row>
    <row r="19762">
      <c r="A19762" s="4" t="s">
        <v>24869</v>
      </c>
      <c r="B19762" s="4" t="s">
        <v>24872</v>
      </c>
      <c r="C19762" s="5" t="str">
        <f>IFERROR(__xludf.DUMMYFUNCTION("GOOGLETRANSLATE(B19762,""en"",""es-ES"")"),"Un tipo que se sostiene en una cuerda unida a un esquí acuático en bote.")</f>
        <v>Un tipo que se sostiene en una cuerda unida a un esquí acuático en bote.</v>
      </c>
    </row>
    <row r="19763">
      <c r="A19763" s="4" t="s">
        <v>24869</v>
      </c>
      <c r="B19763" s="4" t="s">
        <v>24873</v>
      </c>
      <c r="C19763" s="5" t="str">
        <f>IFERROR(__xludf.DUMMYFUNCTION("GOOGLETRANSLATE(B19763,""en"",""es-ES"")"),"El hombre en las gafas aparece nuevamente, hablando con la cámara y señala a un hombre esquiando acuático en el río.")</f>
        <v>El hombre en las gafas aparece nuevamente, hablando con la cámara y señala a un hombre esquiando acuático en el río.</v>
      </c>
    </row>
    <row r="19764">
      <c r="A19764" s="4" t="s">
        <v>24869</v>
      </c>
      <c r="B19764" s="4" t="s">
        <v>24874</v>
      </c>
      <c r="C19764" s="5" t="str">
        <f>IFERROR(__xludf.DUMMYFUNCTION("GOOGLETRANSLATE(B19764,""en"",""es-ES"")"),"El esquí acuático se desliza de un lado a otro en el agua del río.")</f>
        <v>El esquí acuático se desliza de un lado a otro en el agua del río.</v>
      </c>
    </row>
    <row r="19765">
      <c r="A19765" s="4" t="s">
        <v>24869</v>
      </c>
      <c r="B19765" s="4" t="s">
        <v>24875</v>
      </c>
      <c r="C19765" s="5" t="str">
        <f>IFERROR(__xludf.DUMMYFUNCTION("GOOGLETRANSLATE(B19765,""en"",""es-ES"")"),"El hombre de gafas habla sobre los esquís acuáticos.")</f>
        <v>El hombre de gafas habla sobre los esquís acuáticos.</v>
      </c>
    </row>
    <row r="19766">
      <c r="A19766" s="4" t="s">
        <v>24876</v>
      </c>
      <c r="B19766" s="4" t="s">
        <v>24877</v>
      </c>
      <c r="C19766" s="5" t="str">
        <f>IFERROR(__xludf.DUMMYFUNCTION("GOOGLETRANSLATE(B19766,""en"",""es-ES"")"),"Se ve a un niño pequeño parado sobre un trampolín y arrojando una pelota a la distancia.")</f>
        <v>Se ve a un niño pequeño parado sobre un trampolín y arrojando una pelota a la distancia.</v>
      </c>
    </row>
    <row r="19767">
      <c r="A19767" s="4" t="s">
        <v>24876</v>
      </c>
      <c r="B19767" s="4" t="s">
        <v>24878</v>
      </c>
      <c r="C19767" s="5" t="str">
        <f>IFERROR(__xludf.DUMMYFUNCTION("GOOGLETRANSLATE(B19767,""en"",""es-ES"")"),"Se ve a más niños recogiendo bolas y arrojándolas al otro lado.")</f>
        <v>Se ve a más niños recogiendo bolas y arrojándolas al otro lado.</v>
      </c>
    </row>
    <row r="19768">
      <c r="A19768" s="4" t="s">
        <v>24876</v>
      </c>
      <c r="B19768" s="4" t="s">
        <v>24879</v>
      </c>
      <c r="C19768" s="5" t="str">
        <f>IFERROR(__xludf.DUMMYFUNCTION("GOOGLETRANSLATE(B19768,""en"",""es-ES"")"),"Se ve a más niños lanzando bolas y jugando Dodgeball entre ellos.")</f>
        <v>Se ve a más niños lanzando bolas y jugando Dodgeball entre ellos.</v>
      </c>
    </row>
    <row r="19769">
      <c r="A19769" s="4" t="s">
        <v>24880</v>
      </c>
      <c r="B19769" s="4" t="s">
        <v>24881</v>
      </c>
      <c r="C19769" s="5" t="str">
        <f>IFERROR(__xludf.DUMMYFUNCTION("GOOGLETRANSLATE(B19769,""en"",""es-ES"")"),"Se muestran varios disparos de buceadores que se mueven a lo largo del agua, así como a las personas que viajan y viajan en botes.")</f>
        <v>Se muestran varios disparos de buceadores que se mueven a lo largo del agua, así como a las personas que viajan y viajan en botes.</v>
      </c>
    </row>
    <row r="19770">
      <c r="A19770" s="4" t="s">
        <v>24880</v>
      </c>
      <c r="B19770" s="4" t="s">
        <v>24882</v>
      </c>
      <c r="C19770" s="5" t="str">
        <f>IFERROR(__xludf.DUMMYFUNCTION("GOOGLETRANSLATE(B19770,""en"",""es-ES"")"),"Se muestran más clips de personas que se preparan en la tierra y nadan alrededor del océano.")</f>
        <v>Se muestran más clips de personas que se preparan en la tierra y nadan alrededor del océano.</v>
      </c>
    </row>
    <row r="19771">
      <c r="A19771" s="4" t="s">
        <v>24883</v>
      </c>
      <c r="B19771" s="4" t="s">
        <v>24884</v>
      </c>
      <c r="C19771" s="5" t="str">
        <f>IFERROR(__xludf.DUMMYFUNCTION("GOOGLETRANSLATE(B19771,""en"",""es-ES"")"),"Se ve a un pequeño perro parado en nieve y una persona empujando nieve con una pala.")</f>
        <v>Se ve a un pequeño perro parado en nieve y una persona empujando nieve con una pala.</v>
      </c>
    </row>
    <row r="19772">
      <c r="A19772" s="4" t="s">
        <v>24883</v>
      </c>
      <c r="B19772" s="4" t="s">
        <v>24885</v>
      </c>
      <c r="C19772" s="5" t="str">
        <f>IFERROR(__xludf.DUMMYFUNCTION("GOOGLETRANSLATE(B19772,""en"",""es-ES"")"),"El perro sigue a la persona paleando mientras morde la pala y ladra al camarógrafo.")</f>
        <v>El perro sigue a la persona paleando mientras morde la pala y ladra al camarógrafo.</v>
      </c>
    </row>
    <row r="19773">
      <c r="A19773" s="4" t="s">
        <v>24886</v>
      </c>
      <c r="B19773" s="4" t="s">
        <v>24887</v>
      </c>
      <c r="C19773" s="5" t="str">
        <f>IFERROR(__xludf.DUMMYFUNCTION("GOOGLETRANSLATE(B19773,""en"",""es-ES"")"),"Las letras rpm aparecen en la pantalla.")</f>
        <v>Las letras rpm aparecen en la pantalla.</v>
      </c>
    </row>
    <row r="19774">
      <c r="A19774" s="4" t="s">
        <v>24886</v>
      </c>
      <c r="B19774" s="4" t="s">
        <v>24888</v>
      </c>
      <c r="C19774" s="5" t="str">
        <f>IFERROR(__xludf.DUMMYFUNCTION("GOOGLETRANSLATE(B19774,""en"",""es-ES"")"),"Una habitación está llena de personas que viajan en bicicletas de ejercicio.")</f>
        <v>Una habitación está llena de personas que viajan en bicicletas de ejercicio.</v>
      </c>
    </row>
    <row r="19775">
      <c r="A19775" s="4" t="s">
        <v>24886</v>
      </c>
      <c r="B19775" s="4" t="s">
        <v>24889</v>
      </c>
      <c r="C19775" s="5" t="str">
        <f>IFERROR(__xludf.DUMMYFUNCTION("GOOGLETRANSLATE(B19775,""en"",""es-ES"")"),"Van lo más rápido que pueden, anunciando un gimnasio de fitness.")</f>
        <v>Van lo más rápido que pueden, anunciando un gimnasio de fitness.</v>
      </c>
    </row>
    <row r="19776">
      <c r="A19776" s="4" t="s">
        <v>24890</v>
      </c>
      <c r="B19776" s="4" t="s">
        <v>24891</v>
      </c>
      <c r="C19776" s="5" t="str">
        <f>IFERROR(__xludf.DUMMYFUNCTION("GOOGLETRANSLATE(B19776,""en"",""es-ES"")"),"La gente comienza a pelear afuera en el suelo.")</f>
        <v>La gente comienza a pelear afuera en el suelo.</v>
      </c>
    </row>
    <row r="19777">
      <c r="A19777" s="4" t="s">
        <v>24890</v>
      </c>
      <c r="B19777" s="4" t="s">
        <v>24892</v>
      </c>
      <c r="C19777" s="5" t="str">
        <f>IFERROR(__xludf.DUMMYFUNCTION("GOOGLETRANSLATE(B19777,""en"",""es-ES"")"),"Golpean a un hombre al suelo.")</f>
        <v>Golpean a un hombre al suelo.</v>
      </c>
    </row>
    <row r="19778">
      <c r="A19778" s="4" t="s">
        <v>24890</v>
      </c>
      <c r="B19778" s="4" t="s">
        <v>24893</v>
      </c>
      <c r="C19778" s="5" t="str">
        <f>IFERROR(__xludf.DUMMYFUNCTION("GOOGLETRANSLATE(B19778,""en"",""es-ES"")"),"Lo levantan en el aire y lo golpean en el suelo.")</f>
        <v>Lo levantan en el aire y lo golpean en el suelo.</v>
      </c>
    </row>
    <row r="19779">
      <c r="A19779" s="4" t="s">
        <v>24894</v>
      </c>
      <c r="B19779" s="4" t="s">
        <v>24895</v>
      </c>
      <c r="C19779" s="5" t="str">
        <f>IFERROR(__xludf.DUMMYFUNCTION("GOOGLETRANSLATE(B19779,""en"",""es-ES"")"),"Un hombre usa un casco de soldadura y sostiene una barra.")</f>
        <v>Un hombre usa un casco de soldadura y sostiene una barra.</v>
      </c>
    </row>
    <row r="19780">
      <c r="A19780" s="4" t="s">
        <v>24894</v>
      </c>
      <c r="B19780" s="4" t="s">
        <v>24896</v>
      </c>
      <c r="C19780" s="5" t="str">
        <f>IFERROR(__xludf.DUMMYFUNCTION("GOOGLETRANSLATE(B19780,""en"",""es-ES"")"),"Luego, el hombre usa el camino para sostener un trozo de metal en el piso.")</f>
        <v>Luego, el hombre usa el camino para sostener un trozo de metal en el piso.</v>
      </c>
    </row>
    <row r="19781">
      <c r="A19781" s="4" t="s">
        <v>24897</v>
      </c>
      <c r="B19781" s="4" t="s">
        <v>24898</v>
      </c>
      <c r="C19781" s="5" t="str">
        <f>IFERROR(__xludf.DUMMYFUNCTION("GOOGLETRANSLATE(B19781,""en"",""es-ES"")"),"Hay un doble partido de las damas de bádminton en una cancha interior.")</f>
        <v>Hay un doble partido de las damas de bádminton en una cancha interior.</v>
      </c>
    </row>
    <row r="19782">
      <c r="A19782" s="4" t="s">
        <v>24897</v>
      </c>
      <c r="B19782" s="4" t="s">
        <v>24899</v>
      </c>
      <c r="C19782" s="5" t="str">
        <f>IFERROR(__xludf.DUMMYFUNCTION("GOOGLETRANSLATE(B19782,""en"",""es-ES"")"),"Hay varios espectadores que miran el partido mientras los socios de dobles golpean el Shuttlecock con sus raquetas.")</f>
        <v>Hay varios espectadores que miran el partido mientras los socios de dobles golpean el Shuttlecock con sus raquetas.</v>
      </c>
    </row>
    <row r="19783">
      <c r="A19783" s="4" t="s">
        <v>24897</v>
      </c>
      <c r="B19783" s="4" t="s">
        <v>24900</v>
      </c>
      <c r="C19783" s="5" t="str">
        <f>IFERROR(__xludf.DUMMYFUNCTION("GOOGLETRANSLATE(B19783,""en"",""es-ES"")"),"La multitud aplaude a medida que avanza el partido y los jugadores golpearon con sus raquetas de un lado a otro.")</f>
        <v>La multitud aplaude a medida que avanza el partido y los jugadores golpearon con sus raquetas de un lado a otro.</v>
      </c>
    </row>
    <row r="19784">
      <c r="A19784" s="4" t="s">
        <v>24901</v>
      </c>
      <c r="B19784" s="4" t="s">
        <v>24902</v>
      </c>
      <c r="C19784" s="5" t="str">
        <f>IFERROR(__xludf.DUMMYFUNCTION("GOOGLETRANSLATE(B19784,""en"",""es-ES"")"),"Un hombre se para, gritando en voz alta mientras levanta una barra.")</f>
        <v>Un hombre se para, gritando en voz alta mientras levanta una barra.</v>
      </c>
    </row>
    <row r="19785">
      <c r="A19785" s="4" t="s">
        <v>24901</v>
      </c>
      <c r="B19785" s="4" t="s">
        <v>24903</v>
      </c>
      <c r="C19785" s="5" t="str">
        <f>IFERROR(__xludf.DUMMYFUNCTION("GOOGLETRANSLATE(B19785,""en"",""es-ES"")"),"Levanta un peso sobre su cabeza.")</f>
        <v>Levanta un peso sobre su cabeza.</v>
      </c>
    </row>
    <row r="19786">
      <c r="A19786" s="4" t="s">
        <v>24901</v>
      </c>
      <c r="B19786" s="4" t="s">
        <v>24904</v>
      </c>
      <c r="C19786" s="5" t="str">
        <f>IFERROR(__xludf.DUMMYFUNCTION("GOOGLETRANSLATE(B19786,""en"",""es-ES"")"),"Se muestra a otro hombre levantando un peso mientras una multitud observa.")</f>
        <v>Se muestra a otro hombre levantando un peso mientras una multitud observa.</v>
      </c>
    </row>
    <row r="19787">
      <c r="A19787" s="4" t="s">
        <v>24901</v>
      </c>
      <c r="B19787" s="4" t="s">
        <v>24905</v>
      </c>
      <c r="C19787" s="5" t="str">
        <f>IFERROR(__xludf.DUMMYFUNCTION("GOOGLETRANSLATE(B19787,""en"",""es-ES"")"),"Varios levantadores de pesas continúan levantando barras.")</f>
        <v>Varios levantadores de pesas continúan levantando barras.</v>
      </c>
    </row>
    <row r="19788">
      <c r="A19788" s="4" t="s">
        <v>24901</v>
      </c>
      <c r="B19788" s="4" t="s">
        <v>24906</v>
      </c>
      <c r="C19788" s="5" t="str">
        <f>IFERROR(__xludf.DUMMYFUNCTION("GOOGLETRANSLATE(B19788,""en"",""es-ES"")"),"Se muestra a un hombre acostado mientras está herido.")</f>
        <v>Se muestra a un hombre acostado mientras está herido.</v>
      </c>
    </row>
    <row r="19789">
      <c r="A19789" s="4" t="s">
        <v>24907</v>
      </c>
      <c r="B19789" s="4" t="s">
        <v>24908</v>
      </c>
      <c r="C19789" s="5" t="str">
        <f>IFERROR(__xludf.DUMMYFUNCTION("GOOGLETRANSLATE(B19789,""en"",""es-ES"")"),"Se ven dos hombres de pie alrededor de una habitación y comienzan a golpear una pelota mientras otros miran.")</f>
        <v>Se ven dos hombres de pie alrededor de una habitación y comienzan a golpear una pelota mientras otros miran.</v>
      </c>
    </row>
    <row r="19790">
      <c r="A19790" s="4" t="s">
        <v>24907</v>
      </c>
      <c r="B19790" s="4" t="s">
        <v>24909</v>
      </c>
      <c r="C19790" s="5" t="str">
        <f>IFERROR(__xludf.DUMMYFUNCTION("GOOGLETRANSLATE(B19790,""en"",""es-ES"")"),"Aparecen más hombres en la habitación y son vistos persiguiendo una pelota de tenis y golpeándola.")</f>
        <v>Aparecen más hombres en la habitación y son vistos persiguiendo una pelota de tenis y golpeándola.</v>
      </c>
    </row>
    <row r="19791">
      <c r="A19791" s="4" t="s">
        <v>24910</v>
      </c>
      <c r="B19791" s="4" t="s">
        <v>24911</v>
      </c>
      <c r="C19791" s="5" t="str">
        <f>IFERROR(__xludf.DUMMYFUNCTION("GOOGLETRANSLATE(B19791,""en"",""es-ES"")"),"El cemento se está haciendo en el mezclador de cemento.")</f>
        <v>El cemento se está haciendo en el mezclador de cemento.</v>
      </c>
    </row>
    <row r="19792">
      <c r="A19792" s="4" t="s">
        <v>24910</v>
      </c>
      <c r="B19792" s="4" t="s">
        <v>24912</v>
      </c>
      <c r="C19792" s="5" t="str">
        <f>IFERROR(__xludf.DUMMYFUNCTION("GOOGLETRANSLATE(B19792,""en"",""es-ES"")"),"Tres hombres hispanos están colocando los cimientos de la piscina con una pistola de cemento.")</f>
        <v>Tres hombres hispanos están colocando los cimientos de la piscina con una pistola de cemento.</v>
      </c>
    </row>
    <row r="19793">
      <c r="A19793" s="4" t="s">
        <v>24910</v>
      </c>
      <c r="B19793" s="4" t="s">
        <v>24913</v>
      </c>
      <c r="C19793" s="5" t="str">
        <f>IFERROR(__xludf.DUMMYFUNCTION("GOOGLETRANSLATE(B19793,""en"",""es-ES"")"),"Un hombre que está vestido de blanco está haciendo el final de cemento mientras los otros hombres ponen el cemento con un arma.")</f>
        <v>Un hombre que está vestido de blanco está haciendo el final de cemento mientras los otros hombres ponen el cemento con un arma.</v>
      </c>
    </row>
    <row r="19794">
      <c r="A19794" s="4" t="s">
        <v>24910</v>
      </c>
      <c r="B19794" s="4" t="s">
        <v>24914</v>
      </c>
      <c r="C19794" s="5" t="str">
        <f>IFERROR(__xludf.DUMMYFUNCTION("GOOGLETRANSLATE(B19794,""en"",""es-ES"")"),"Una vez que se realiza el cemento, todos los hombres comienzan a terminar.")</f>
        <v>Una vez que se realiza el cemento, todos los hombres comienzan a terminar.</v>
      </c>
    </row>
    <row r="19795">
      <c r="A19795" s="4" t="s">
        <v>24915</v>
      </c>
      <c r="B19795" s="4" t="s">
        <v>24916</v>
      </c>
      <c r="C19795" s="5" t="str">
        <f>IFERROR(__xludf.DUMMYFUNCTION("GOOGLETRANSLATE(B19795,""en"",""es-ES"")"),"Los esquiadores caminan y se paran en esquís en la parte inferior de la colina de una estación de esquí.")</f>
        <v>Los esquiadores caminan y se paran en esquís en la parte inferior de la colina de una estación de esquí.</v>
      </c>
    </row>
    <row r="19796">
      <c r="A19796" s="4" t="s">
        <v>24915</v>
      </c>
      <c r="B19796" s="4" t="s">
        <v>24917</v>
      </c>
      <c r="C19796" s="5" t="str">
        <f>IFERROR(__xludf.DUMMYFUNCTION("GOOGLETRANSLATE(B19796,""en"",""es-ES"")"),"Los niños montan en tubos inflables por carriles en una pendiente de esquí.")</f>
        <v>Los niños montan en tubos inflables por carriles en una pendiente de esquí.</v>
      </c>
    </row>
    <row r="19797">
      <c r="A19797" s="4" t="s">
        <v>24915</v>
      </c>
      <c r="B19797" s="4" t="s">
        <v>24918</v>
      </c>
      <c r="C19797" s="5" t="str">
        <f>IFERROR(__xludf.DUMMYFUNCTION("GOOGLETRANSLATE(B19797,""en"",""es-ES"")"),"Los snowboarders y los esquiadores recorren las carreras de esquí, mientras que otros grupos se sientan en el elevador de esquí.")</f>
        <v>Los snowboarders y los esquiadores recorren las carreras de esquí, mientras que otros grupos se sientan en el elevador de esquí.</v>
      </c>
    </row>
    <row r="19798">
      <c r="A19798" s="4" t="s">
        <v>24915</v>
      </c>
      <c r="B19798" s="4" t="s">
        <v>24919</v>
      </c>
      <c r="C19798" s="5" t="str">
        <f>IFERROR(__xludf.DUMMYFUNCTION("GOOGLETRANSLATE(B19798,""en"",""es-ES"")"),"Un grupo se aferra a una cuerda de remolque en los tubos entre tubos y arroja bolas de nieve.")</f>
        <v>Un grupo se aferra a una cuerda de remolque en los tubos entre tubos y arroja bolas de nieve.</v>
      </c>
    </row>
    <row r="19799">
      <c r="A19799" s="4" t="s">
        <v>24920</v>
      </c>
      <c r="B19799" s="4" t="s">
        <v>24921</v>
      </c>
      <c r="C19799" s="5" t="str">
        <f>IFERROR(__xludf.DUMMYFUNCTION("GOOGLETRANSLATE(B19799,""en"",""es-ES"")"),"Un hombre toca una canción en una guitarra acústica en un estudio.")</f>
        <v>Un hombre toca una canción en una guitarra acústica en un estudio.</v>
      </c>
    </row>
    <row r="19800">
      <c r="A19800" s="4" t="s">
        <v>24920</v>
      </c>
      <c r="B19800" s="4" t="s">
        <v>24922</v>
      </c>
      <c r="C19800" s="5" t="str">
        <f>IFERROR(__xludf.DUMMYFUNCTION("GOOGLETRANSLATE(B19800,""en"",""es-ES"")"),"El hombre restablece sus manos y termina la canción.")</f>
        <v>El hombre restablece sus manos y termina la canción.</v>
      </c>
    </row>
    <row r="19801">
      <c r="A19801" s="4" t="s">
        <v>24923</v>
      </c>
      <c r="B19801" s="4" t="s">
        <v>24924</v>
      </c>
      <c r="C19801" s="5" t="str">
        <f>IFERROR(__xludf.DUMMYFUNCTION("GOOGLETRANSLATE(B19801,""en"",""es-ES"")"),"Una mujer camina por un estacionamiento nevado, buscando su auto.")</f>
        <v>Una mujer camina por un estacionamiento nevado, buscando su auto.</v>
      </c>
    </row>
    <row r="19802">
      <c r="A19802" s="4" t="s">
        <v>24923</v>
      </c>
      <c r="B19802" s="4" t="s">
        <v>24925</v>
      </c>
      <c r="C19802" s="5" t="str">
        <f>IFERROR(__xludf.DUMMYFUNCTION("GOOGLETRANSLATE(B19802,""en"",""es-ES"")"),"Se la ve usando un trapeador en un intento de limpiar la nieve de su auto.")</f>
        <v>Se la ve usando un trapeador en un intento de limpiar la nieve de su auto.</v>
      </c>
    </row>
    <row r="19803">
      <c r="A19803" s="4" t="s">
        <v>24923</v>
      </c>
      <c r="B19803" s="4" t="s">
        <v>24926</v>
      </c>
      <c r="C19803" s="5" t="str">
        <f>IFERROR(__xludf.DUMMYFUNCTION("GOOGLETRANSLATE(B19803,""en"",""es-ES"")"),"La nieve comienza a caer mientras continúa limpiando.")</f>
        <v>La nieve comienza a caer mientras continúa limpiando.</v>
      </c>
    </row>
    <row r="19804">
      <c r="A19804" s="4" t="s">
        <v>24927</v>
      </c>
      <c r="B19804" s="4" t="s">
        <v>24928</v>
      </c>
      <c r="C19804" s="5" t="str">
        <f>IFERROR(__xludf.DUMMYFUNCTION("GOOGLETRANSLATE(B19804,""en"",""es-ES"")"),"Un grupo de animadoras actúa en medio de una cancha de baloncesto mientras una audiencia observa.")</f>
        <v>Un grupo de animadoras actúa en medio de una cancha de baloncesto mientras una audiencia observa.</v>
      </c>
    </row>
    <row r="19805">
      <c r="A19805" s="4" t="s">
        <v>24927</v>
      </c>
      <c r="B19805" s="4" t="s">
        <v>24929</v>
      </c>
      <c r="C19805" s="5" t="str">
        <f>IFERROR(__xludf.DUMMYFUNCTION("GOOGLETRANSLATE(B19805,""en"",""es-ES"")"),"Un hombre camina por el fondo del marco.")</f>
        <v>Un hombre camina por el fondo del marco.</v>
      </c>
    </row>
    <row r="19806">
      <c r="A19806" s="4" t="s">
        <v>24927</v>
      </c>
      <c r="B19806" s="4" t="s">
        <v>24930</v>
      </c>
      <c r="C19806" s="5" t="str">
        <f>IFERROR(__xludf.DUMMYFUNCTION("GOOGLETRANSLATE(B19806,""en"",""es-ES"")"),"Las animadoras terminan, y un grupo de animadoras más jóvenes las reemplazan.")</f>
        <v>Las animadoras terminan, y un grupo de animadoras más jóvenes las reemplazan.</v>
      </c>
    </row>
    <row r="19807">
      <c r="A19807" s="4" t="s">
        <v>24931</v>
      </c>
      <c r="B19807" s="4" t="s">
        <v>24932</v>
      </c>
      <c r="C19807" s="5" t="str">
        <f>IFERROR(__xludf.DUMMYFUNCTION("GOOGLETRANSLATE(B19807,""en"",""es-ES"")"),"Un hombre está hablando y de pie en una cocina con una bata blanca y muchas verduras coloridas frente a él.")</f>
        <v>Un hombre está hablando y de pie en una cocina con una bata blanca y muchas verduras coloridas frente a él.</v>
      </c>
    </row>
    <row r="19808">
      <c r="A19808" s="4" t="s">
        <v>24931</v>
      </c>
      <c r="B19808" s="4" t="s">
        <v>24933</v>
      </c>
      <c r="C19808" s="5" t="str">
        <f>IFERROR(__xludf.DUMMYFUNCTION("GOOGLETRANSLATE(B19808,""en"",""es-ES"")"),"Ahora las verduras se han ido y el hombre ahora está sacando algo de un tazón pequeño sobre un plato blanco que está sentado en un tablero de madera.")</f>
        <v>Ahora las verduras se han ido y el hombre ahora está sacando algo de un tazón pequeño sobre un plato blanco que está sentado en un tablero de madera.</v>
      </c>
    </row>
    <row r="19809">
      <c r="A19809" s="4" t="s">
        <v>24931</v>
      </c>
      <c r="B19809" s="4" t="s">
        <v>24934</v>
      </c>
      <c r="C19809" s="5" t="str">
        <f>IFERROR(__xludf.DUMMYFUNCTION("GOOGLETRANSLATE(B19809,""en"",""es-ES"")"),"El hombre luego comienza a romper el contenido con su utensilio y luego sus manos hasta que estén en piezas separadas.")</f>
        <v>El hombre luego comienza a romper el contenido con su utensilio y luego sus manos hasta que estén en piezas separadas.</v>
      </c>
    </row>
    <row r="19810">
      <c r="A19810" s="4" t="s">
        <v>24935</v>
      </c>
      <c r="B19810" s="4" t="s">
        <v>24936</v>
      </c>
      <c r="C19810" s="5" t="str">
        <f>IFERROR(__xludf.DUMMYFUNCTION("GOOGLETRANSLATE(B19810,""en"",""es-ES"")"),"Un joven con una camisa negra golpea una pequeña pelota contra la pared.")</f>
        <v>Un joven con una camisa negra golpea una pequeña pelota contra la pared.</v>
      </c>
    </row>
    <row r="19811">
      <c r="A19811" s="4" t="s">
        <v>24935</v>
      </c>
      <c r="B19811" s="4" t="s">
        <v>24937</v>
      </c>
      <c r="C19811" s="5" t="str">
        <f>IFERROR(__xludf.DUMMYFUNCTION("GOOGLETRANSLATE(B19811,""en"",""es-ES"")"),"Un hombre con una camisa roja le entrega la pelota con su raqueta.")</f>
        <v>Un hombre con una camisa roja le entrega la pelota con su raqueta.</v>
      </c>
    </row>
    <row r="19812">
      <c r="A19812" s="4" t="s">
        <v>24935</v>
      </c>
      <c r="B19812" s="4" t="s">
        <v>24938</v>
      </c>
      <c r="C19812" s="5" t="str">
        <f>IFERROR(__xludf.DUMMYFUNCTION("GOOGLETRANSLATE(B19812,""en"",""es-ES"")"),"El joven golpea la pelota contra la pared nuevamente.")</f>
        <v>El joven golpea la pelota contra la pared nuevamente.</v>
      </c>
    </row>
    <row r="19813">
      <c r="A19813" s="4" t="s">
        <v>24935</v>
      </c>
      <c r="B19813" s="4" t="s">
        <v>24939</v>
      </c>
      <c r="C19813" s="5" t="str">
        <f>IFERROR(__xludf.DUMMYFUNCTION("GOOGLETRANSLATE(B19813,""en"",""es-ES"")"),"Un grupo de hombres camina tratando de golpear la pelota.")</f>
        <v>Un grupo de hombres camina tratando de golpear la pelota.</v>
      </c>
    </row>
    <row r="19814">
      <c r="A19814" s="4" t="s">
        <v>24935</v>
      </c>
      <c r="B19814" s="4" t="s">
        <v>24940</v>
      </c>
      <c r="C19814" s="5" t="str">
        <f>IFERROR(__xludf.DUMMYFUNCTION("GOOGLETRANSLATE(B19814,""en"",""es-ES"")"),"El joven con la camisa negra le entrega la pelota al hombre con la camisa roja.")</f>
        <v>El joven con la camisa negra le entrega la pelota al hombre con la camisa roja.</v>
      </c>
    </row>
    <row r="19815">
      <c r="A19815" s="4" t="s">
        <v>24935</v>
      </c>
      <c r="B19815" s="4" t="s">
        <v>24941</v>
      </c>
      <c r="C19815" s="5" t="str">
        <f>IFERROR(__xludf.DUMMYFUNCTION("GOOGLETRANSLATE(B19815,""en"",""es-ES"")"),"El hombre de la camisa roja golpea la pelota contra la pared.")</f>
        <v>El hombre de la camisa roja golpea la pelota contra la pared.</v>
      </c>
    </row>
    <row r="19816">
      <c r="A19816" s="4" t="s">
        <v>24935</v>
      </c>
      <c r="B19816" s="4" t="s">
        <v>24942</v>
      </c>
      <c r="C19816" s="5" t="str">
        <f>IFERROR(__xludf.DUMMYFUNCTION("GOOGLETRANSLATE(B19816,""en"",""es-ES"")"),"El grupo de hombres corre por la cancha, balanceando sus raquetas e intentando atrapar la pelota.")</f>
        <v>El grupo de hombres corre por la cancha, balanceando sus raquetas e intentando atrapar la pelota.</v>
      </c>
    </row>
    <row r="19817">
      <c r="A19817" s="4" t="s">
        <v>24943</v>
      </c>
      <c r="B19817" s="4" t="s">
        <v>24944</v>
      </c>
      <c r="C19817" s="5" t="str">
        <f>IFERROR(__xludf.DUMMYFUNCTION("GOOGLETRANSLATE(B19817,""en"",""es-ES"")"),"El equipo que usa uniforme amarillo está corriendo en un campo.")</f>
        <v>El equipo que usa uniforme amarillo está corriendo en un campo.</v>
      </c>
    </row>
    <row r="19818">
      <c r="A19818" s="4" t="s">
        <v>24943</v>
      </c>
      <c r="B19818" s="4" t="s">
        <v>24945</v>
      </c>
      <c r="C19818" s="5" t="str">
        <f>IFERROR(__xludf.DUMMYFUNCTION("GOOGLETRANSLATE(B19818,""en"",""es-ES"")"),"Los fotógrafos están parados en él tomando fotos del equipo amarillo y azul.")</f>
        <v>Los fotógrafos están parados en él tomando fotos del equipo amarillo y azul.</v>
      </c>
    </row>
    <row r="19819">
      <c r="A19819" s="4" t="s">
        <v>24943</v>
      </c>
      <c r="B19819" s="4" t="s">
        <v>24946</v>
      </c>
      <c r="C19819" s="5" t="str">
        <f>IFERROR(__xludf.DUMMYFUNCTION("GOOGLETRANSLATE(B19819,""en"",""es-ES"")"),"Los equipos comienzan a lacrosos en un gran campo de hierba gren.")</f>
        <v>Los equipos comienzan a lacrosos en un gran campo de hierba gren.</v>
      </c>
    </row>
    <row r="19820">
      <c r="A19820" s="4" t="s">
        <v>24947</v>
      </c>
      <c r="B19820" s="4" t="s">
        <v>24948</v>
      </c>
      <c r="C19820" s="5" t="str">
        <f>IFERROR(__xludf.DUMMYFUNCTION("GOOGLETRANSLATE(B19820,""en"",""es-ES"")"),"La señora recoge un cepillo y un tijeras.")</f>
        <v>La señora recoge un cepillo y un tijeras.</v>
      </c>
    </row>
    <row r="19821">
      <c r="A19821" s="4" t="s">
        <v>24947</v>
      </c>
      <c r="B19821" s="4" t="s">
        <v>24949</v>
      </c>
      <c r="C19821" s="5" t="str">
        <f>IFERROR(__xludf.DUMMYFUNCTION("GOOGLETRANSLATE(B19821,""en"",""es-ES"")"),"Ella barre la base del stand.")</f>
        <v>Ella barre la base del stand.</v>
      </c>
    </row>
    <row r="19822">
      <c r="A19822" s="4" t="s">
        <v>24947</v>
      </c>
      <c r="B19822" s="4" t="s">
        <v>24950</v>
      </c>
      <c r="C19822" s="5" t="str">
        <f>IFERROR(__xludf.DUMMYFUNCTION("GOOGLETRANSLATE(B19822,""en"",""es-ES"")"),"Ella cepilla la pierna derecha de los perros.")</f>
        <v>Ella cepilla la pierna derecha de los perros.</v>
      </c>
    </row>
    <row r="19823">
      <c r="A19823" s="4" t="s">
        <v>24947</v>
      </c>
      <c r="B19823" s="4" t="s">
        <v>24951</v>
      </c>
      <c r="C19823" s="5" t="str">
        <f>IFERROR(__xludf.DUMMYFUNCTION("GOOGLETRANSLATE(B19823,""en"",""es-ES"")"),"Luego se aclara el cabello en esta pata.")</f>
        <v>Luego se aclara el cabello en esta pata.</v>
      </c>
    </row>
    <row r="19824">
      <c r="A19824" s="4" t="s">
        <v>24947</v>
      </c>
      <c r="B19824" s="4" t="s">
        <v>24952</v>
      </c>
      <c r="C19824" s="5" t="str">
        <f>IFERROR(__xludf.DUMMYFUNCTION("GOOGLETRANSLATE(B19824,""en"",""es-ES"")"),"Ella cepilla el pelaje hacia arriba.")</f>
        <v>Ella cepilla el pelaje hacia arriba.</v>
      </c>
    </row>
    <row r="19825">
      <c r="A19825" s="4" t="s">
        <v>24947</v>
      </c>
      <c r="B19825" s="4" t="s">
        <v>24953</v>
      </c>
      <c r="C19825" s="5" t="str">
        <f>IFERROR(__xludf.DUMMYFUNCTION("GOOGLETRANSLATE(B19825,""en"",""es-ES"")"),"Luego recorta el pelaje en la pata nuevamente.")</f>
        <v>Luego recorta el pelaje en la pata nuevamente.</v>
      </c>
    </row>
    <row r="19826">
      <c r="A19826" s="4" t="s">
        <v>24947</v>
      </c>
      <c r="B19826" s="4" t="s">
        <v>24954</v>
      </c>
      <c r="C19826" s="5" t="str">
        <f>IFERROR(__xludf.DUMMYFUNCTION("GOOGLETRANSLATE(B19826,""en"",""es-ES"")"),"Ella cepilla su pata de nuevo.")</f>
        <v>Ella cepilla su pata de nuevo.</v>
      </c>
    </row>
    <row r="19827">
      <c r="A19827" s="4" t="s">
        <v>24947</v>
      </c>
      <c r="B19827" s="4" t="s">
        <v>24955</v>
      </c>
      <c r="C19827" s="5" t="str">
        <f>IFERROR(__xludf.DUMMYFUNCTION("GOOGLETRANSLATE(B19827,""en"",""es-ES"")"),"Luego recorta el pelaje en la pata en otro momento.")</f>
        <v>Luego recorta el pelaje en la pata en otro momento.</v>
      </c>
    </row>
    <row r="19828">
      <c r="A19828" s="4" t="s">
        <v>24947</v>
      </c>
      <c r="B19828" s="4" t="s">
        <v>24956</v>
      </c>
      <c r="C19828" s="5" t="str">
        <f>IFERROR(__xludf.DUMMYFUNCTION("GOOGLETRANSLATE(B19828,""en"",""es-ES"")"),"Luego se pica el cabello cortado en la pata.")</f>
        <v>Luego se pica el cabello cortado en la pata.</v>
      </c>
    </row>
    <row r="19829">
      <c r="A19829" s="4" t="s">
        <v>24947</v>
      </c>
      <c r="B19829" s="4" t="s">
        <v>24957</v>
      </c>
      <c r="C19829" s="5" t="str">
        <f>IFERROR(__xludf.DUMMYFUNCTION("GOOGLETRANSLATE(B19829,""en"",""es-ES"")"),"Ella recorta el cabello de la parte posterior de la pata.")</f>
        <v>Ella recorta el cabello de la parte posterior de la pata.</v>
      </c>
    </row>
    <row r="19830">
      <c r="A19830" s="4" t="s">
        <v>24947</v>
      </c>
      <c r="B19830" s="4" t="s">
        <v>24958</v>
      </c>
      <c r="C19830" s="5" t="str">
        <f>IFERROR(__xludf.DUMMYFUNCTION("GOOGLETRANSLATE(B19830,""en"",""es-ES"")"),"Desvanecerse a negro y los créditos ocurren.")</f>
        <v>Desvanecerse a negro y los créditos ocurren.</v>
      </c>
    </row>
    <row r="19831">
      <c r="A19831" s="4" t="s">
        <v>24959</v>
      </c>
      <c r="B19831" s="4" t="s">
        <v>24960</v>
      </c>
      <c r="C19831" s="5" t="str">
        <f>IFERROR(__xludf.DUMMYFUNCTION("GOOGLETRANSLATE(B19831,""en"",""es-ES"")"),"Una señora la mira detrás de ella con deleite.")</f>
        <v>Una señora la mira detrás de ella con deleite.</v>
      </c>
    </row>
    <row r="19832">
      <c r="A19832" s="4" t="s">
        <v>24959</v>
      </c>
      <c r="B19832" s="4" t="s">
        <v>24961</v>
      </c>
      <c r="C19832" s="5" t="str">
        <f>IFERROR(__xludf.DUMMYFUNCTION("GOOGLETRANSLATE(B19832,""en"",""es-ES"")"),"La señora toca un piano negro.")</f>
        <v>La señora toca un piano negro.</v>
      </c>
    </row>
    <row r="19833">
      <c r="A19833" s="4" t="s">
        <v>24959</v>
      </c>
      <c r="B19833" s="4" t="s">
        <v>24962</v>
      </c>
      <c r="C19833" s="5" t="str">
        <f>IFERROR(__xludf.DUMMYFUNCTION("GOOGLETRANSLATE(B19833,""en"",""es-ES"")"),"La señora mira a su lado.")</f>
        <v>La señora mira a su lado.</v>
      </c>
    </row>
    <row r="19834">
      <c r="A19834" s="4" t="s">
        <v>24963</v>
      </c>
      <c r="B19834" s="4" t="s">
        <v>24964</v>
      </c>
      <c r="C19834" s="5" t="str">
        <f>IFERROR(__xludf.DUMMYFUNCTION("GOOGLETRANSLATE(B19834,""en"",""es-ES"")"),"Se muestran coloridas uñas de cebra y aparece una pantalla colorida con un texto colorido que dice ""Arte de uñas de cebra ácido de ProfessionalDQ"", y luego seguido de muchas otras palabras que incluyen una lista de suministros necesarios.")</f>
        <v>Se muestran coloridas uñas de cebra y aparece una pantalla colorida con un texto colorido que dice "Arte de uñas de cebra ácido de ProfessionalDQ", y luego seguido de muchas otras palabras que incluyen una lista de suministros necesarios.</v>
      </c>
    </row>
    <row r="19835">
      <c r="A19835" s="4" t="s">
        <v>24963</v>
      </c>
      <c r="B19835" s="4" t="s">
        <v>24965</v>
      </c>
      <c r="C19835" s="5" t="str">
        <f>IFERROR(__xludf.DUMMYFUNCTION("GOOGLETRANSLATE(B19835,""en"",""es-ES"")"),"Se muestra una toma de seis colores sólidos diferentes de esmalte de uñas y algunos son botellas redondeadas y algunas son botellas cuadradas.")</f>
        <v>Se muestra una toma de seis colores sólidos diferentes de esmalte de uñas y algunos son botellas redondeadas y algunas son botellas cuadradas.</v>
      </c>
    </row>
    <row r="19836">
      <c r="A19836" s="4" t="s">
        <v>24963</v>
      </c>
      <c r="B19836" s="4" t="s">
        <v>24966</v>
      </c>
      <c r="C19836" s="5" t="str">
        <f>IFERROR(__xludf.DUMMYFUNCTION("GOOGLETRANSLATE(B19836,""en"",""es-ES"")"),"La demostración comienza y muestra que alguien es una esponja pintando varios colores en una uña larga pintada en blanco.")</f>
        <v>La demostración comienza y muestra que alguien es una esponja pintando varios colores en una uña larga pintada en blanco.</v>
      </c>
    </row>
    <row r="19837">
      <c r="A19837" s="4" t="s">
        <v>24963</v>
      </c>
      <c r="B19837" s="4" t="s">
        <v>24967</v>
      </c>
      <c r="C19837" s="5" t="str">
        <f>IFERROR(__xludf.DUMMYFUNCTION("GOOGLETRANSLATE(B19837,""en"",""es-ES"")"),"Una pantalla colorida aparece brevemente con un texto colorido y dice ""luego agregó una capa de copos de brillo impresionantes"", muestra la botella de esmalte de uñas con brillo, luego aparece más texto en una pantalla colorida.")</f>
        <v>Una pantalla colorida aparece brevemente con un texto colorido y dice "luego agregó una capa de copos de brillo impresionantes", muestra la botella de esmalte de uñas con brillo, luego aparece más texto en una pantalla colorida.</v>
      </c>
    </row>
    <row r="19838">
      <c r="A19838" s="4" t="s">
        <v>24963</v>
      </c>
      <c r="B19838" s="4" t="s">
        <v>24968</v>
      </c>
      <c r="C19838" s="5" t="str">
        <f>IFERROR(__xludf.DUMMYFUNCTION("GOOGLETRANSLATE(B19838,""en"",""es-ES"")"),"Se muestra una botella de pintura negra y luego la persona pinta una línea negra delgada a la uña brillante y multicolor y las pinta en el patrón de rayas de cebra.")</f>
        <v>Se muestra una botella de pintura negra y luego la persona pinta una línea negra delgada a la uña brillante y multicolor y las pinta en el patrón de rayas de cebra.</v>
      </c>
    </row>
    <row r="19839">
      <c r="A19839" s="4" t="s">
        <v>24963</v>
      </c>
      <c r="B19839" s="4" t="s">
        <v>24969</v>
      </c>
      <c r="C19839" s="5" t="str">
        <f>IFERROR(__xludf.DUMMYFUNCTION("GOOGLETRANSLATE(B19839,""en"",""es-ES"")"),"Aparece una pantalla colorida junto con texto colorido y tiene instrucciones para ""terminar con TopCoat y ahora eres un invencible Nyan Zebra!"".")</f>
        <v>Aparece una pantalla colorida junto con texto colorido y tiene instrucciones para "terminar con TopCoat y ahora eres un invencible Nyan Zebra!".</v>
      </c>
    </row>
    <row r="19840">
      <c r="A19840" s="4" t="s">
        <v>24963</v>
      </c>
      <c r="B19840" s="4" t="s">
        <v>24970</v>
      </c>
      <c r="C19840" s="5" t="str">
        <f>IFERROR(__xludf.DUMMYFUNCTION("GOOGLETRANSLATE(B19840,""en"",""es-ES"")"),"Las uñas terminadas se modelan y se muestran en diferentes ángulos y aparecen una pantalla colorida con letras coloridas y, por ejemplo, ""¡No olvides tu cola!"" Y luego muestra a la persona que sostiene un peludo rosa y negro, cola larga.")</f>
        <v>Las uñas terminadas se modelan y se muestran en diferentes ángulos y aparecen una pantalla colorida con letras coloridas y, por ejemplo, "¡No olvides tu cola!" Y luego muestra a la persona que sostiene un peludo rosa y negro, cola larga.</v>
      </c>
    </row>
    <row r="19841">
      <c r="A19841" s="4" t="s">
        <v>24963</v>
      </c>
      <c r="B19841" s="4" t="s">
        <v>24971</v>
      </c>
      <c r="C19841" s="5" t="str">
        <f>IFERROR(__xludf.DUMMYFUNCTION("GOOGLETRANSLATE(B19841,""en"",""es-ES"")"),"Aparece una pantalla colorida con texto colorido y dice ""¡Gracias por ver Swoosh!"" y más tomas aún de las uñas de cebra coloridas terminadas se muestran en diferentes posiciones y ángulos.")</f>
        <v>Aparece una pantalla colorida con texto colorido y dice "¡Gracias por ver Swoosh!" y más tomas aún de las uñas de cebra coloridas terminadas se muestran en diferentes posiciones y ángulos.</v>
      </c>
    </row>
    <row r="19842">
      <c r="A19842" s="4" t="s">
        <v>24972</v>
      </c>
      <c r="B19842" s="4" t="s">
        <v>24973</v>
      </c>
      <c r="C19842" s="5" t="str">
        <f>IFERROR(__xludf.DUMMYFUNCTION("GOOGLETRANSLATE(B19842,""en"",""es-ES"")"),"El camello está sentado en el suelo, pero luego el hombre se pone las gafas mientras está sentado en el camello mientras levanta un poco al hombre.")</f>
        <v>El camello está sentado en el suelo, pero luego el hombre se pone las gafas mientras está sentado en el camello mientras levanta un poco al hombre.</v>
      </c>
    </row>
    <row r="19843">
      <c r="A19843" s="4" t="s">
        <v>24972</v>
      </c>
      <c r="B19843" s="4" t="s">
        <v>24974</v>
      </c>
      <c r="C19843" s="5" t="str">
        <f>IFERROR(__xludf.DUMMYFUNCTION("GOOGLETRANSLATE(B19843,""en"",""es-ES"")"),"Entonces alguien toma la cuerda del camello para guiar al camello al lugar correcto.")</f>
        <v>Entonces alguien toma la cuerda del camello para guiar al camello al lugar correcto.</v>
      </c>
    </row>
    <row r="19844">
      <c r="A19844" s="4" t="s">
        <v>24972</v>
      </c>
      <c r="B19844" s="4" t="s">
        <v>24975</v>
      </c>
      <c r="C19844" s="5" t="str">
        <f>IFERROR(__xludf.DUMMYFUNCTION("GOOGLETRANSLATE(B19844,""en"",""es-ES"")"),"Finalmente, el hombre tira del camello en el que el hombre está sentado mientras los otros 2 camellos caminan detrás del camello en el frente.")</f>
        <v>Finalmente, el hombre tira del camello en el que el hombre está sentado mientras los otros 2 camellos caminan detrás del camello en el frente.</v>
      </c>
    </row>
    <row r="19845">
      <c r="A19845" s="4" t="s">
        <v>24976</v>
      </c>
      <c r="B19845" s="4" t="s">
        <v>24977</v>
      </c>
      <c r="C19845" s="5" t="str">
        <f>IFERROR(__xludf.DUMMYFUNCTION("GOOGLETRANSLATE(B19845,""en"",""es-ES"")"),"La gente navega en canoas remando con una paleta en un río entrecortado.")</f>
        <v>La gente navega en canoas remando con una paleta en un río entrecortado.</v>
      </c>
    </row>
    <row r="19846">
      <c r="A19846" s="4" t="s">
        <v>24976</v>
      </c>
      <c r="B19846" s="4" t="s">
        <v>24978</v>
      </c>
      <c r="C19846" s="5" t="str">
        <f>IFERROR(__xludf.DUMMYFUNCTION("GOOGLETRANSLATE(B19846,""en"",""es-ES"")"),"Dos hombres en una canoa navegan cerca de la orilla del río, pero luego navegan en el río.")</f>
        <v>Dos hombres en una canoa navegan cerca de la orilla del río, pero luego navegan en el río.</v>
      </c>
    </row>
    <row r="19847">
      <c r="A19847" s="4" t="s">
        <v>24976</v>
      </c>
      <c r="B19847" s="4" t="s">
        <v>24979</v>
      </c>
      <c r="C19847" s="5" t="str">
        <f>IFERROR(__xludf.DUMMYFUNCTION("GOOGLETRANSLATE(B19847,""en"",""es-ES"")"),"Los hombres giran la canoa un pase cerca de un arco del curso de canoa.")</f>
        <v>Los hombres giran la canoa un pase cerca de un arco del curso de canoa.</v>
      </c>
    </row>
    <row r="19848">
      <c r="A19848" s="4" t="s">
        <v>24976</v>
      </c>
      <c r="B19848" s="4" t="s">
        <v>24980</v>
      </c>
      <c r="C19848" s="5" t="str">
        <f>IFERROR(__xludf.DUMMYFUNCTION("GOOGLETRANSLATE(B19848,""en"",""es-ES"")"),"Los dos hombres cruzan a una persona sola en una canoa.")</f>
        <v>Los dos hombres cruzan a una persona sola en una canoa.</v>
      </c>
    </row>
    <row r="19849">
      <c r="A19849" s="4" t="s">
        <v>24976</v>
      </c>
      <c r="B19849" s="4" t="s">
        <v>24981</v>
      </c>
      <c r="C19849" s="5" t="str">
        <f>IFERROR(__xludf.DUMMYFUNCTION("GOOGLETRANSLATE(B19849,""en"",""es-ES"")"),"Los hombres continúan navegando por el río pasando entre arcos.")</f>
        <v>Los hombres continúan navegando por el río pasando entre arcos.</v>
      </c>
    </row>
    <row r="19850">
      <c r="A19850" s="4" t="s">
        <v>24976</v>
      </c>
      <c r="B19850" s="4" t="s">
        <v>24982</v>
      </c>
      <c r="C19850" s="5" t="str">
        <f>IFERROR(__xludf.DUMMYFUNCTION("GOOGLETRANSLATE(B19850,""en"",""es-ES"")"),"Los hombres en canoas están en la frontera del río.")</f>
        <v>Los hombres en canoas están en la frontera del río.</v>
      </c>
    </row>
    <row r="19851">
      <c r="A19851" s="4" t="s">
        <v>24976</v>
      </c>
      <c r="B19851" s="4" t="s">
        <v>24983</v>
      </c>
      <c r="C19851" s="5" t="str">
        <f>IFERROR(__xludf.DUMMYFUNCTION("GOOGLETRANSLATE(B19851,""en"",""es-ES"")"),"Después, continúe navegando directamente en el río.")</f>
        <v>Después, continúe navegando directamente en el río.</v>
      </c>
    </row>
    <row r="19852">
      <c r="A19852" s="4" t="s">
        <v>24984</v>
      </c>
      <c r="B19852" s="4" t="s">
        <v>24985</v>
      </c>
      <c r="C19852" s="5" t="str">
        <f>IFERROR(__xludf.DUMMYFUNCTION("GOOGLETRANSLATE(B19852,""en"",""es-ES"")"),"Un hombre sostiene un poste de pesca sobre un agujero de pesca en hielo.")</f>
        <v>Un hombre sostiene un poste de pesca sobre un agujero de pesca en hielo.</v>
      </c>
    </row>
    <row r="19853">
      <c r="A19853" s="4" t="s">
        <v>24984</v>
      </c>
      <c r="B19853" s="4" t="s">
        <v>24986</v>
      </c>
      <c r="C19853" s="5" t="str">
        <f>IFERROR(__xludf.DUMMYFUNCTION("GOOGLETRANSLATE(B19853,""en"",""es-ES"")"),"Él intenta gentilmente detenerse y luego recargar la línea de pesca del agujero.")</f>
        <v>Él intenta gentilmente detenerse y luego recargar la línea de pesca del agujero.</v>
      </c>
    </row>
    <row r="19854">
      <c r="A19854" s="4" t="s">
        <v>24984</v>
      </c>
      <c r="B19854" s="4" t="s">
        <v>24987</v>
      </c>
      <c r="C19854" s="5" t="str">
        <f>IFERROR(__xludf.DUMMYFUNCTION("GOOGLETRANSLATE(B19854,""en"",""es-ES"")"),"Se sumerge y baja mientras se toma un descanso.")</f>
        <v>Se sumerge y baja mientras se toma un descanso.</v>
      </c>
    </row>
    <row r="19855">
      <c r="A19855" s="4" t="s">
        <v>24984</v>
      </c>
      <c r="B19855" s="4" t="s">
        <v>24988</v>
      </c>
      <c r="C19855" s="5" t="str">
        <f>IFERROR(__xludf.DUMMYFUNCTION("GOOGLETRANSLATE(B19855,""en"",""es-ES"")"),"Intenta volver a sacar la línea.")</f>
        <v>Intenta volver a sacar la línea.</v>
      </c>
    </row>
    <row r="19856">
      <c r="A19856" s="4" t="s">
        <v>24984</v>
      </c>
      <c r="B19856" s="4" t="s">
        <v>24989</v>
      </c>
      <c r="C19856" s="5" t="str">
        <f>IFERROR(__xludf.DUMMYFUNCTION("GOOGLETRANSLATE(B19856,""en"",""es-ES"")"),"Se quita los guantes y se pone de rodillas y retrocede mientras intenta sacar la línea del agujero repetidamente.")</f>
        <v>Se quita los guantes y se pone de rodillas y retrocede mientras intenta sacar la línea del agujero repetidamente.</v>
      </c>
    </row>
    <row r="19857">
      <c r="A19857" s="4" t="s">
        <v>24984</v>
      </c>
      <c r="B19857" s="4" t="s">
        <v>24990</v>
      </c>
      <c r="C19857" s="5" t="str">
        <f>IFERROR(__xludf.DUMMYFUNCTION("GOOGLETRANSLATE(B19857,""en"",""es-ES"")"),"Pasa alrededor del agujero y continuamente saca la línea del agua mientras otro hombre saca los peces del agua.")</f>
        <v>Pasa alrededor del agujero y continuamente saca la línea del agua mientras otro hombre saca los peces del agua.</v>
      </c>
    </row>
    <row r="19858">
      <c r="A19858" s="4" t="s">
        <v>24991</v>
      </c>
      <c r="B19858" s="4" t="s">
        <v>24992</v>
      </c>
      <c r="C19858" s="5" t="str">
        <f>IFERROR(__xludf.DUMMYFUNCTION("GOOGLETRANSLATE(B19858,""en"",""es-ES"")"),"Una persona se afeita la barba con una rasuradora eléctrica.")</f>
        <v>Una persona se afeita la barba con una rasuradora eléctrica.</v>
      </c>
    </row>
    <row r="19859">
      <c r="A19859" s="4" t="s">
        <v>24991</v>
      </c>
      <c r="B19859" s="4" t="s">
        <v>24993</v>
      </c>
      <c r="C19859" s="5" t="str">
        <f>IFERROR(__xludf.DUMMYFUNCTION("GOOGLETRANSLATE(B19859,""en"",""es-ES"")"),"Lentamente se mueven la rasca por la barbilla.")</f>
        <v>Lentamente se mueven la rasca por la barbilla.</v>
      </c>
    </row>
    <row r="19860">
      <c r="A19860" s="4" t="s">
        <v>24991</v>
      </c>
      <c r="B19860" s="4" t="s">
        <v>1599</v>
      </c>
      <c r="C19860" s="5" t="str">
        <f>IFERROR(__xludf.DUMMYFUNCTION("GOOGLETRANSLATE(B19860,""en"",""es-ES"")"),"Las palabras se muestran en la pantalla.")</f>
        <v>Las palabras se muestran en la pantalla.</v>
      </c>
    </row>
    <row r="19861">
      <c r="A19861" s="4" t="s">
        <v>24994</v>
      </c>
      <c r="B19861" s="4" t="s">
        <v>24995</v>
      </c>
      <c r="C19861" s="5" t="str">
        <f>IFERROR(__xludf.DUMMYFUNCTION("GOOGLETRANSLATE(B19861,""en"",""es-ES"")"),"Una niña se muestra sentada en un piso hablando con la cámara y fingiendo hierro.")</f>
        <v>Una niña se muestra sentada en un piso hablando con la cámara y fingiendo hierro.</v>
      </c>
    </row>
    <row r="19862">
      <c r="A19862" s="4" t="s">
        <v>24994</v>
      </c>
      <c r="B19862" s="4" t="s">
        <v>24996</v>
      </c>
      <c r="C19862" s="5" t="str">
        <f>IFERROR(__xludf.DUMMYFUNCTION("GOOGLETRANSLATE(B19862,""en"",""es-ES"")"),"Ella reza la botella de agua sobre la ropa y las planchas que hacen esto varias veces.")</f>
        <v>Ella reza la botella de agua sobre la ropa y las planchas que hacen esto varias veces.</v>
      </c>
    </row>
    <row r="19863">
      <c r="A19863" s="4" t="s">
        <v>24994</v>
      </c>
      <c r="B19863" s="4" t="s">
        <v>24997</v>
      </c>
      <c r="C19863" s="5" t="str">
        <f>IFERROR(__xludf.DUMMYFUNCTION("GOOGLETRANSLATE(B19863,""en"",""es-ES"")"),"Ella voltea la camisa para continuar planchando y mira a lo lejos.")</f>
        <v>Ella voltea la camisa para continuar planchando y mira a lo lejos.</v>
      </c>
    </row>
    <row r="19864">
      <c r="A19864" s="4" t="s">
        <v>24998</v>
      </c>
      <c r="B19864" s="4" t="s">
        <v>24999</v>
      </c>
      <c r="C19864" s="5" t="str">
        <f>IFERROR(__xludf.DUMMYFUNCTION("GOOGLETRANSLATE(B19864,""en"",""es-ES"")"),"Se ve a dos niños sentados en una bañera con una sosteniendo un cubo y la sostenía sonriendo y riendo.")</f>
        <v>Se ve a dos niños sentados en una bañera con una sosteniendo un cubo y la sostenía sonriendo y riendo.</v>
      </c>
    </row>
    <row r="19865">
      <c r="A19865" s="4" t="s">
        <v>24998</v>
      </c>
      <c r="B19865" s="4" t="s">
        <v>25000</v>
      </c>
      <c r="C19865" s="5" t="str">
        <f>IFERROR(__xludf.DUMMYFUNCTION("GOOGLETRANSLATE(B19865,""en"",""es-ES"")"),"El niño vierte el cubo sobre su rostro y una mano le da una toalla mientras la niña también salpica su rostro.")</f>
        <v>El niño vierte el cubo sobre su rostro y una mano le da una toalla mientras la niña también salpica su rostro.</v>
      </c>
    </row>
    <row r="19866">
      <c r="A19866" s="4" t="s">
        <v>24998</v>
      </c>
      <c r="B19866" s="4" t="s">
        <v>25001</v>
      </c>
      <c r="C19866" s="5" t="str">
        <f>IFERROR(__xludf.DUMMYFUNCTION("GOOGLETRANSLATE(B19866,""en"",""es-ES"")"),"Los aerosoles se regaron nuevamente con el cubo y se frota los ojos.")</f>
        <v>Los aerosoles se regaron nuevamente con el cubo y se frota los ojos.</v>
      </c>
    </row>
    <row r="19867">
      <c r="A19867" s="4" t="s">
        <v>25002</v>
      </c>
      <c r="B19867" s="4" t="s">
        <v>25003</v>
      </c>
      <c r="C19867" s="5" t="str">
        <f>IFERROR(__xludf.DUMMYFUNCTION("GOOGLETRANSLATE(B19867,""en"",""es-ES"")"),"Se muestra un adorno de oro colgando de un árbol de Navidad.")</f>
        <v>Se muestra un adorno de oro colgando de un árbol de Navidad.</v>
      </c>
    </row>
    <row r="19868">
      <c r="A19868" s="4" t="s">
        <v>25002</v>
      </c>
      <c r="B19868" s="4" t="s">
        <v>25004</v>
      </c>
      <c r="C19868" s="5" t="str">
        <f>IFERROR(__xludf.DUMMYFUNCTION("GOOGLETRANSLATE(B19868,""en"",""es-ES"")"),"Dos mujeres están en el piso, envolviendo regalos.")</f>
        <v>Dos mujeres están en el piso, envolviendo regalos.</v>
      </c>
    </row>
    <row r="19869">
      <c r="A19869" s="4" t="s">
        <v>25002</v>
      </c>
      <c r="B19869" s="4" t="s">
        <v>25005</v>
      </c>
      <c r="C19869" s="5" t="str">
        <f>IFERROR(__xludf.DUMMYFUNCTION("GOOGLETRANSLATE(B19869,""en"",""es-ES"")"),"Cortaron el papel y lo graban alrededor de las cajas antes de agregar arcos.")</f>
        <v>Cortaron el papel y lo graban alrededor de las cajas antes de agregar arcos.</v>
      </c>
    </row>
    <row r="19870">
      <c r="A19870" s="4" t="s">
        <v>25002</v>
      </c>
      <c r="B19870" s="4" t="s">
        <v>25006</v>
      </c>
      <c r="C19870" s="5" t="str">
        <f>IFERROR(__xludf.DUMMYFUNCTION("GOOGLETRANSLATE(B19870,""en"",""es-ES"")"),"Luego vemos el árbol completo, adornado con un anillo de regalos envueltos en la base.")</f>
        <v>Luego vemos el árbol completo, adornado con un anillo de regalos envueltos en la base.</v>
      </c>
    </row>
    <row r="19871">
      <c r="A19871" s="4" t="s">
        <v>25007</v>
      </c>
      <c r="B19871" s="4" t="s">
        <v>25008</v>
      </c>
      <c r="C19871" s="5" t="str">
        <f>IFERROR(__xludf.DUMMYFUNCTION("GOOGLETRANSLATE(B19871,""en"",""es-ES"")"),"Se muestra a un niño que usa gafas de sol empujando una larga cortadora de césped a través de un césped.")</f>
        <v>Se muestra a un niño que usa gafas de sol empujando una larga cortadora de césped a través de un césped.</v>
      </c>
    </row>
    <row r="19872">
      <c r="A19872" s="4" t="s">
        <v>25007</v>
      </c>
      <c r="B19872" s="4" t="s">
        <v>25009</v>
      </c>
      <c r="C19872" s="5" t="str">
        <f>IFERROR(__xludf.DUMMYFUNCTION("GOOGLETRANSLATE(B19872,""en"",""es-ES"")"),"La cámara lo sigue continuamente mientras se mueve hacia atrás y cuarto con el cortacésped en el césped.")</f>
        <v>La cámara lo sigue continuamente mientras se mueve hacia atrás y cuarto con el cortacésped en el césped.</v>
      </c>
    </row>
    <row r="19873">
      <c r="A19873" s="4" t="s">
        <v>25007</v>
      </c>
      <c r="B19873" s="4" t="s">
        <v>25010</v>
      </c>
      <c r="C19873" s="5" t="str">
        <f>IFERROR(__xludf.DUMMYFUNCTION("GOOGLETRANSLATE(B19873,""en"",""es-ES"")"),"Finalmente, se muestra una foto de él durmiendo en el sofá.")</f>
        <v>Finalmente, se muestra una foto de él durmiendo en el sofá.</v>
      </c>
    </row>
    <row r="19874">
      <c r="A19874" s="4" t="s">
        <v>25011</v>
      </c>
      <c r="B19874" s="4" t="s">
        <v>25012</v>
      </c>
      <c r="C19874" s="5" t="str">
        <f>IFERROR(__xludf.DUMMYFUNCTION("GOOGLETRANSLATE(B19874,""en"",""es-ES"")"),"Se ve a una mujer empujando una cortadora de césped a lo largo de una hierba alta mientras se mueve hacia atrás y cuarto.")</f>
        <v>Se ve a una mujer empujando una cortadora de césped a lo largo de una hierba alta mientras se mueve hacia atrás y cuarto.</v>
      </c>
    </row>
    <row r="19875">
      <c r="A19875" s="4" t="s">
        <v>25011</v>
      </c>
      <c r="B19875" s="4" t="s">
        <v>25013</v>
      </c>
      <c r="C19875" s="5" t="str">
        <f>IFERROR(__xludf.DUMMYFUNCTION("GOOGLETRANSLATE(B19875,""en"",""es-ES"")"),"La mujer continúa empujando la máquina alrededor del patio y la vuelve hacia la cámara para cortar la espalda.")</f>
        <v>La mujer continúa empujando la máquina alrededor del patio y la vuelve hacia la cámara para cortar la espalda.</v>
      </c>
    </row>
    <row r="19876">
      <c r="A19876" s="4" t="s">
        <v>25014</v>
      </c>
      <c r="B19876" s="4" t="s">
        <v>25015</v>
      </c>
      <c r="C19876" s="5" t="str">
        <f>IFERROR(__xludf.DUMMYFUNCTION("GOOGLETRANSLATE(B19876,""en"",""es-ES"")"),"La mujer dice algunas palabras al principio mientras el bailarín se para en silencio.")</f>
        <v>La mujer dice algunas palabras al principio mientras el bailarín se para en silencio.</v>
      </c>
    </row>
    <row r="19877">
      <c r="A19877" s="4" t="s">
        <v>25014</v>
      </c>
      <c r="B19877" s="4" t="s">
        <v>25016</v>
      </c>
      <c r="C19877" s="5" t="str">
        <f>IFERROR(__xludf.DUMMYFUNCTION("GOOGLETRANSLATE(B19877,""en"",""es-ES"")"),"Primero, el bailarín se asegura de que sus piernas estén colocadas correctamente.")</f>
        <v>Primero, el bailarín se asegura de que sus piernas estén colocadas correctamente.</v>
      </c>
    </row>
    <row r="19878">
      <c r="A19878" s="4" t="s">
        <v>25014</v>
      </c>
      <c r="B19878" s="4" t="s">
        <v>25017</v>
      </c>
      <c r="C19878" s="5" t="str">
        <f>IFERROR(__xludf.DUMMYFUNCTION("GOOGLETRANSLATE(B19878,""en"",""es-ES"")"),"Entonces el bailarín de ballet trae un pie a un cupé.")</f>
        <v>Entonces el bailarín de ballet trae un pie a un cupé.</v>
      </c>
    </row>
    <row r="19879">
      <c r="A19879" s="4" t="s">
        <v>25014</v>
      </c>
      <c r="B19879" s="4" t="s">
        <v>25018</v>
      </c>
      <c r="C19879" s="5" t="str">
        <f>IFERROR(__xludf.DUMMYFUNCTION("GOOGLETRANSLATE(B19879,""en"",""es-ES"")"),"Luego endereza ambas piernas y pone una pierna en la parte delantera y la deja de vuelta.")</f>
        <v>Luego endereza ambas piernas y pone una pierna en la parte delantera y la deja de vuelta.</v>
      </c>
    </row>
    <row r="19880">
      <c r="A19880" s="4" t="s">
        <v>25014</v>
      </c>
      <c r="B19880" s="4" t="s">
        <v>25019</v>
      </c>
      <c r="C19880" s="5" t="str">
        <f>IFERROR(__xludf.DUMMYFUNCTION("GOOGLETRANSLATE(B19880,""en"",""es-ES"")"),"Luego repite esos 3 pasos nuevamente.")</f>
        <v>Luego repite esos 3 pasos nuevamente.</v>
      </c>
    </row>
    <row r="19881">
      <c r="A19881" s="4" t="s">
        <v>25020</v>
      </c>
      <c r="B19881" s="4" t="s">
        <v>25021</v>
      </c>
      <c r="C19881" s="5" t="str">
        <f>IFERROR(__xludf.DUMMYFUNCTION("GOOGLETRANSLATE(B19881,""en"",""es-ES"")"),"Una anciana tejita con una aguja roja y lana roja.")</f>
        <v>Una anciana tejita con una aguja roja y lana roja.</v>
      </c>
    </row>
    <row r="19882">
      <c r="A19882" s="4" t="s">
        <v>25020</v>
      </c>
      <c r="B19882" s="4" t="s">
        <v>25022</v>
      </c>
      <c r="C19882" s="5" t="str">
        <f>IFERROR(__xludf.DUMMYFUNCTION("GOOGLETRANSLATE(B19882,""en"",""es-ES"")"),"Una anciana deja de tejer y habla continuamente.")</f>
        <v>Una anciana deja de tejer y habla continuamente.</v>
      </c>
    </row>
    <row r="19883">
      <c r="A19883" s="4" t="s">
        <v>25020</v>
      </c>
      <c r="B19883" s="4" t="s">
        <v>25023</v>
      </c>
      <c r="C19883" s="5" t="str">
        <f>IFERROR(__xludf.DUMMYFUNCTION("GOOGLETRANSLATE(B19883,""en"",""es-ES"")"),"La anciana se pone de nuevo y examina su creación.")</f>
        <v>La anciana se pone de nuevo y examina su creación.</v>
      </c>
    </row>
    <row r="19884">
      <c r="A19884" s="4" t="s">
        <v>25024</v>
      </c>
      <c r="B19884" s="4" t="s">
        <v>25025</v>
      </c>
      <c r="C19884" s="5" t="str">
        <f>IFERROR(__xludf.DUMMYFUNCTION("GOOGLETRANSLATE(B19884,""en"",""es-ES"")"),"Una niña pequeña en un bote inflable sostiene a una cuerda en el frente de un hombre, de repente cae en un hueco.")</f>
        <v>Una niña pequeña en un bote inflable sostiene a una cuerda en el frente de un hombre, de repente cae en un hueco.</v>
      </c>
    </row>
    <row r="19885">
      <c r="A19885" s="4" t="s">
        <v>25024</v>
      </c>
      <c r="B19885" s="4" t="s">
        <v>25026</v>
      </c>
      <c r="C19885" s="5" t="str">
        <f>IFERROR(__xludf.DUMMYFUNCTION("GOOGLETRANSLATE(B19885,""en"",""es-ES"")"),"La gente lleva botes de trineo y la niña está en un bote de trineo.")</f>
        <v>La gente lleva botes de trineo y la niña está en un bote de trineo.</v>
      </c>
    </row>
    <row r="19886">
      <c r="A19886" s="4" t="s">
        <v>25024</v>
      </c>
      <c r="B19886" s="4" t="s">
        <v>25027</v>
      </c>
      <c r="C19886" s="5" t="str">
        <f>IFERROR(__xludf.DUMMYFUNCTION("GOOGLETRANSLATE(B19886,""en"",""es-ES"")"),"Después de que un grupo de personas en trineo hagan la colina hasta conocer a otras personas.")</f>
        <v>Después de que un grupo de personas en trineo hagan la colina hasta conocer a otras personas.</v>
      </c>
    </row>
    <row r="19887">
      <c r="A19887" s="4" t="s">
        <v>25028</v>
      </c>
      <c r="B19887" s="4" t="s">
        <v>25029</v>
      </c>
      <c r="C19887" s="5" t="str">
        <f>IFERROR(__xludf.DUMMYFUNCTION("GOOGLETRANSLATE(B19887,""en"",""es-ES"")"),"Una niña está aplicando protector solar en su rostro.")</f>
        <v>Una niña está aplicando protector solar en su rostro.</v>
      </c>
    </row>
    <row r="19888">
      <c r="A19888" s="4" t="s">
        <v>25028</v>
      </c>
      <c r="B19888" s="4" t="s">
        <v>25030</v>
      </c>
      <c r="C19888" s="5" t="str">
        <f>IFERROR(__xludf.DUMMYFUNCTION("GOOGLETRANSLATE(B19888,""en"",""es-ES"")"),"Una playa está llena de gente, mientras que un Motorboat acelera el agua.")</f>
        <v>Una playa está llena de gente, mientras que un Motorboat acelera el agua.</v>
      </c>
    </row>
    <row r="19889">
      <c r="A19889" s="4" t="s">
        <v>25028</v>
      </c>
      <c r="B19889" s="4" t="s">
        <v>25031</v>
      </c>
      <c r="C19889" s="5" t="str">
        <f>IFERROR(__xludf.DUMMYFUNCTION("GOOGLETRANSLATE(B19889,""en"",""es-ES"")"),"Un médico de la Clínica Cleveland llamada Jennifer Lucas habla.")</f>
        <v>Un médico de la Clínica Cleveland llamada Jennifer Lucas habla.</v>
      </c>
    </row>
    <row r="19890">
      <c r="A19890" s="4" t="s">
        <v>25028</v>
      </c>
      <c r="B19890" s="4" t="s">
        <v>25032</v>
      </c>
      <c r="C19890" s="5" t="str">
        <f>IFERROR(__xludf.DUMMYFUNCTION("GOOGLETRANSLATE(B19890,""en"",""es-ES"")"),"Las personas se aplican un bloqueador solar entre sí al aire libre.")</f>
        <v>Las personas se aplican un bloqueador solar entre sí al aire libre.</v>
      </c>
    </row>
    <row r="19891">
      <c r="A19891" s="4" t="s">
        <v>25033</v>
      </c>
      <c r="B19891" s="4" t="s">
        <v>25034</v>
      </c>
      <c r="C19891" s="5" t="str">
        <f>IFERROR(__xludf.DUMMYFUNCTION("GOOGLETRANSLATE(B19891,""en"",""es-ES"")"),"Una niña nombra a Ashley vestida con todo el púrpura camina lentamente, luego se vuelve hacia la vista de la naturaleza de la tierra y las flores.")</f>
        <v>Una niña nombra a Ashley vestida con todo el púrpura camina lentamente, luego se vuelve hacia la vista de la naturaleza de la tierra y las flores.</v>
      </c>
    </row>
    <row r="19892">
      <c r="A19892" s="4" t="s">
        <v>25033</v>
      </c>
      <c r="B19892" s="4" t="s">
        <v>25035</v>
      </c>
      <c r="C19892" s="5" t="str">
        <f>IFERROR(__xludf.DUMMYFUNCTION("GOOGLETRANSLATE(B19892,""en"",""es-ES"")"),"Ashley sale vestida con su equipo cruzado de motor y lentamente camina su bicicleta.")</f>
        <v>Ashley sale vestida con su equipo cruzado de motor y lentamente camina su bicicleta.</v>
      </c>
    </row>
    <row r="19893">
      <c r="A19893" s="4" t="s">
        <v>25033</v>
      </c>
      <c r="B19893" s="4" t="s">
        <v>25036</v>
      </c>
      <c r="C19893" s="5" t="str">
        <f>IFERROR(__xludf.DUMMYFUNCTION("GOOGLETRANSLATE(B19893,""en"",""es-ES"")"),"Ella sale y comienza a pasar por la tierra, atrapando un poco de aire realmente alto después de golpear pequeñas colinas de montaña.")</f>
        <v>Ella sale y comienza a pasar por la tierra, atrapando un poco de aire realmente alto después de golpear pequeñas colinas de montaña.</v>
      </c>
    </row>
    <row r="19894">
      <c r="A19894" s="4" t="s">
        <v>25033</v>
      </c>
      <c r="B19894" s="4" t="s">
        <v>25037</v>
      </c>
      <c r="C19894" s="5" t="str">
        <f>IFERROR(__xludf.DUMMYFUNCTION("GOOGLETRANSLATE(B19894,""en"",""es-ES"")"),"Ella habla en lenguaje de señas con otro jinete por un poco, pero antes de volver a la tierra para montar un poco más.")</f>
        <v>Ella habla en lenguaje de señas con otro jinete por un poco, pero antes de volver a la tierra para montar un poco más.</v>
      </c>
    </row>
    <row r="19895">
      <c r="A19895" s="4" t="s">
        <v>25038</v>
      </c>
      <c r="B19895" s="4" t="s">
        <v>25039</v>
      </c>
      <c r="C19895" s="5" t="str">
        <f>IFERROR(__xludf.DUMMYFUNCTION("GOOGLETRANSLATE(B19895,""en"",""es-ES"")"),"La mujer está de pie en la cocina hablando con la cámara y mostrando ingredientes que están encima de un mostrador.")</f>
        <v>La mujer está de pie en la cocina hablando con la cámara y mostrando ingredientes que están encima de un mostrador.</v>
      </c>
    </row>
    <row r="19896">
      <c r="A19896" s="4" t="s">
        <v>25038</v>
      </c>
      <c r="B19896" s="4" t="s">
        <v>25040</v>
      </c>
      <c r="C19896" s="5" t="str">
        <f>IFERROR(__xludf.DUMMYFUNCTION("GOOGLETRANSLATE(B19896,""en"",""es-ES"")"),"La mujer sostiene un limón y lo aprieta en un frasco de agua de plástico y lo mezcla con azúcar.")</f>
        <v>La mujer sostiene un limón y lo aprieta en un frasco de agua de plástico y lo mezcla con azúcar.</v>
      </c>
    </row>
    <row r="19897">
      <c r="A19897" s="4" t="s">
        <v>25038</v>
      </c>
      <c r="B19897" s="4" t="s">
        <v>25041</v>
      </c>
      <c r="C19897" s="5" t="str">
        <f>IFERROR(__xludf.DUMMYFUNCTION("GOOGLETRANSLATE(B19897,""en"",""es-ES"")"),"La mujer sostiene un cuchillo y corta los limones en trozos pequeños y agrega refresco al frasco y los limones picados junto con fresas.")</f>
        <v>La mujer sostiene un cuchillo y corta los limones en trozos pequeños y agrega refresco al frasco y los limones picados junto con fresas.</v>
      </c>
    </row>
    <row r="19898">
      <c r="A19898" s="4" t="s">
        <v>25042</v>
      </c>
      <c r="B19898" s="4" t="s">
        <v>25043</v>
      </c>
      <c r="C19898" s="5" t="str">
        <f>IFERROR(__xludf.DUMMYFUNCTION("GOOGLETRANSLATE(B19898,""en"",""es-ES"")"),"Una mujer usa un trozo de tiza en un lienzo.")</f>
        <v>Una mujer usa un trozo de tiza en un lienzo.</v>
      </c>
    </row>
    <row r="19899">
      <c r="A19899" s="4" t="s">
        <v>25042</v>
      </c>
      <c r="B19899" s="4" t="s">
        <v>25044</v>
      </c>
      <c r="C19899" s="5" t="str">
        <f>IFERROR(__xludf.DUMMYFUNCTION("GOOGLETRANSLATE(B19899,""en"",""es-ES"")"),"Luego usa varios colores de pintura para crear una imagen.")</f>
        <v>Luego usa varios colores de pintura para crear una imagen.</v>
      </c>
    </row>
    <row r="19900">
      <c r="A19900" s="4" t="s">
        <v>25042</v>
      </c>
      <c r="B19900" s="4" t="s">
        <v>25045</v>
      </c>
      <c r="C19900" s="5" t="str">
        <f>IFERROR(__xludf.DUMMYFUNCTION("GOOGLETRANSLATE(B19900,""en"",""es-ES"")"),"Cuando termina, vemos una imagen muerta de vida de una naranja en un mostrador.")</f>
        <v>Cuando termina, vemos una imagen muerta de vida de una naranja en un mostrador.</v>
      </c>
    </row>
    <row r="19901">
      <c r="A19901" s="4" t="s">
        <v>25046</v>
      </c>
      <c r="B19901" s="4" t="s">
        <v>25047</v>
      </c>
      <c r="C19901" s="5" t="str">
        <f>IFERROR(__xludf.DUMMYFUNCTION("GOOGLETRANSLATE(B19901,""en"",""es-ES"")"),"Se ve a un pequeño grupo de niñas caminando hacia un lago sosteniendo tubos y conduce a otros que viajan en tubos.")</f>
        <v>Se ve a un pequeño grupo de niñas caminando hacia un lago sosteniendo tubos y conduce a otros que viajan en tubos.</v>
      </c>
    </row>
    <row r="19902">
      <c r="A19902" s="4" t="s">
        <v>25046</v>
      </c>
      <c r="B19902" s="4" t="s">
        <v>25048</v>
      </c>
      <c r="C19902" s="5" t="str">
        <f>IFERROR(__xludf.DUMMYFUNCTION("GOOGLETRANSLATE(B19902,""en"",""es-ES"")"),"La gente continúa montando a lo largo del río en los tubos y las bandejas de la cámara alrededor del grupo grande.")</f>
        <v>La gente continúa montando a lo largo del río en los tubos y las bandejas de la cámara alrededor del grupo grande.</v>
      </c>
    </row>
    <row r="19903">
      <c r="A19903" s="4" t="s">
        <v>25046</v>
      </c>
      <c r="B19903" s="4" t="s">
        <v>25049</v>
      </c>
      <c r="C19903" s="5" t="str">
        <f>IFERROR(__xludf.DUMMYFUNCTION("GOOGLETRANSLATE(B19903,""en"",""es-ES"")"),"La caminata de la costa y hablan entre sí seguidas de los tubos colgados y el autobús se estacionó.")</f>
        <v>La caminata de la costa y hablan entre sí seguidas de los tubos colgados y el autobús se estacionó.</v>
      </c>
    </row>
    <row r="19904">
      <c r="A19904" s="4" t="s">
        <v>25050</v>
      </c>
      <c r="B19904" s="4" t="s">
        <v>25051</v>
      </c>
      <c r="C19904" s="5" t="str">
        <f>IFERROR(__xludf.DUMMYFUNCTION("GOOGLETRANSLATE(B19904,""en"",""es-ES"")"),"Se ve a una mujer caminando por un juego de escaleras y comienza a realizar una rutina frente a una gran audiencia.")</f>
        <v>Se ve a una mujer caminando por un juego de escaleras y comienza a realizar una rutina frente a una gran audiencia.</v>
      </c>
    </row>
    <row r="19905">
      <c r="A19905" s="4" t="s">
        <v>25050</v>
      </c>
      <c r="B19905" s="4" t="s">
        <v>25052</v>
      </c>
      <c r="C19905" s="5" t="str">
        <f>IFERROR(__xludf.DUMMYFUNCTION("GOOGLETRANSLATE(B19905,""en"",""es-ES"")"),"La mujer continúa bailando por el escenario mientras un grupo de personas tocan instrumentos detrás de ella.")</f>
        <v>La mujer continúa bailando por el escenario mientras un grupo de personas tocan instrumentos detrás de ella.</v>
      </c>
    </row>
    <row r="19906">
      <c r="A19906" s="4" t="s">
        <v>25053</v>
      </c>
      <c r="B19906" s="4" t="s">
        <v>25054</v>
      </c>
      <c r="C19906" s="5" t="str">
        <f>IFERROR(__xludf.DUMMYFUNCTION("GOOGLETRANSLATE(B19906,""en"",""es-ES"")"),"Los materiales de limpieza se sientan junto a un fregadero doble, luego una persona pone una botella con líquido azul al lado de los materiales de limpieza.")</f>
        <v>Los materiales de limpieza se sientan junto a un fregadero doble, luego una persona pone una botella con líquido azul al lado de los materiales de limpieza.</v>
      </c>
    </row>
    <row r="19907">
      <c r="A19907" s="4" t="s">
        <v>25053</v>
      </c>
      <c r="B19907" s="4" t="s">
        <v>25055</v>
      </c>
      <c r="C19907" s="5" t="str">
        <f>IFERROR(__xludf.DUMMYFUNCTION("GOOGLETRANSLATE(B19907,""en"",""es-ES"")"),"Después, la persona vierte un poco de líquido azul en el fregadero y frota los fregaderos con una esponja.")</f>
        <v>Después, la persona vierte un poco de líquido azul en el fregadero y frota los fregaderos con una esponja.</v>
      </c>
    </row>
    <row r="19908">
      <c r="A19908" s="4" t="s">
        <v>25053</v>
      </c>
      <c r="B19908" s="4" t="s">
        <v>25056</v>
      </c>
      <c r="C19908" s="5" t="str">
        <f>IFERROR(__xludf.DUMMYFUNCTION("GOOGLETRANSLATE(B19908,""en"",""es-ES"")"),"Después, la persona enjuague los fregaderos con agua y se seca con una tela.")</f>
        <v>Después, la persona enjuague los fregaderos con agua y se seca con una tela.</v>
      </c>
    </row>
    <row r="19909">
      <c r="A19909" s="4" t="s">
        <v>25057</v>
      </c>
      <c r="B19909" s="4" t="s">
        <v>25058</v>
      </c>
      <c r="C19909" s="5" t="str">
        <f>IFERROR(__xludf.DUMMYFUNCTION("GOOGLETRANSLATE(B19909,""en"",""es-ES"")"),"Un hombre está patinando en una pista interior con una barrida mientras la gente mira.")</f>
        <v>Un hombre está patinando en una pista interior con una barrida mientras la gente mira.</v>
      </c>
    </row>
    <row r="19910">
      <c r="A19910" s="4" t="s">
        <v>25057</v>
      </c>
      <c r="B19910" s="4" t="s">
        <v>25059</v>
      </c>
      <c r="C19910" s="5" t="str">
        <f>IFERROR(__xludf.DUMMYFUNCTION("GOOGLETRANSLATE(B19910,""en"",""es-ES"")"),"Limpia el piso mientras la gente trata de hablar con él.")</f>
        <v>Limpia el piso mientras la gente trata de hablar con él.</v>
      </c>
    </row>
    <row r="19911">
      <c r="A19911" s="4" t="s">
        <v>25057</v>
      </c>
      <c r="B19911" s="4" t="s">
        <v>25060</v>
      </c>
      <c r="C19911" s="5" t="str">
        <f>IFERROR(__xludf.DUMMYFUNCTION("GOOGLETRANSLATE(B19911,""en"",""es-ES"")"),"Un hombre cae y se desliza, y otro lo agarra en una pelea.")</f>
        <v>Un hombre cae y se desliza, y otro lo agarra en una pelea.</v>
      </c>
    </row>
    <row r="19912">
      <c r="A19912" s="4" t="s">
        <v>25061</v>
      </c>
      <c r="B19912" s="4" t="s">
        <v>25062</v>
      </c>
      <c r="C19912" s="5" t="str">
        <f>IFERROR(__xludf.DUMMYFUNCTION("GOOGLETRANSLATE(B19912,""en"",""es-ES"")"),"Varios hombres se paran en una arena de tierra.")</f>
        <v>Varios hombres se paran en una arena de tierra.</v>
      </c>
    </row>
    <row r="19913">
      <c r="A19913" s="4" t="s">
        <v>25061</v>
      </c>
      <c r="B19913" s="4" t="s">
        <v>25063</v>
      </c>
      <c r="C19913" s="5" t="str">
        <f>IFERROR(__xludf.DUMMYFUNCTION("GOOGLETRANSLATE(B19913,""en"",""es-ES"")"),"Varios otros hombres se sientan en caballos.")</f>
        <v>Varios otros hombres se sientan en caballos.</v>
      </c>
    </row>
    <row r="19914">
      <c r="A19914" s="4" t="s">
        <v>25061</v>
      </c>
      <c r="B19914" s="4" t="s">
        <v>25064</v>
      </c>
      <c r="C19914" s="5" t="str">
        <f>IFERROR(__xludf.DUMMYFUNCTION("GOOGLETRANSLATE(B19914,""en"",""es-ES"")"),"Se abre una puerta y un ternero se acaba de ser seguido de cerca por un hombre en un caballo.")</f>
        <v>Se abre una puerta y un ternero se acaba de ser seguido de cerca por un hombre en un caballo.</v>
      </c>
    </row>
    <row r="19915">
      <c r="A19915" s="4" t="s">
        <v>25061</v>
      </c>
      <c r="B19915" s="4" t="s">
        <v>25065</v>
      </c>
      <c r="C19915" s="5" t="str">
        <f>IFERROR(__xludf.DUMMYFUNCTION("GOOGLETRANSLATE(B19915,""en"",""es-ES"")"),"El hombre del caballo arroja un lazo alrededor del cuello de la pantorrilla tirando del ternero para que aterrice en su espalda.")</f>
        <v>El hombre del caballo arroja un lazo alrededor del cuello de la pantorrilla tirando del ternero para que aterrice en su espalda.</v>
      </c>
    </row>
    <row r="19916">
      <c r="A19916" s="4" t="s">
        <v>25061</v>
      </c>
      <c r="B19916" s="4" t="s">
        <v>25066</v>
      </c>
      <c r="C19916" s="5" t="str">
        <f>IFERROR(__xludf.DUMMYFUNCTION("GOOGLETRANSLATE(B19916,""en"",""es-ES"")"),"El hombre salta de su caballo y corre y ata la pantorrilla.")</f>
        <v>El hombre salta de su caballo y corre y ata la pantorrilla.</v>
      </c>
    </row>
    <row r="19917">
      <c r="A19917" s="4" t="s">
        <v>25061</v>
      </c>
      <c r="B19917" s="4" t="s">
        <v>25067</v>
      </c>
      <c r="C19917" s="5" t="str">
        <f>IFERROR(__xludf.DUMMYFUNCTION("GOOGLETRANSLATE(B19917,""en"",""es-ES"")"),"El hombre se levanta y regresa para subir a su caballo.")</f>
        <v>El hombre se levanta y regresa para subir a su caballo.</v>
      </c>
    </row>
    <row r="19918">
      <c r="A19918" s="4" t="s">
        <v>25061</v>
      </c>
      <c r="B19918" s="4" t="s">
        <v>25068</v>
      </c>
      <c r="C19918" s="5" t="str">
        <f>IFERROR(__xludf.DUMMYFUNCTION("GOOGLETRANSLATE(B19918,""en"",""es-ES"")"),"Varios hombres corren para liberar a la pantorrilla a medida que se levanta y se escapa.")</f>
        <v>Varios hombres corren para liberar a la pantorrilla a medida que se levanta y se escapa.</v>
      </c>
    </row>
    <row r="19919">
      <c r="A19919" s="4" t="s">
        <v>25069</v>
      </c>
      <c r="B19919" s="4" t="s">
        <v>25070</v>
      </c>
      <c r="C19919" s="5" t="str">
        <f>IFERROR(__xludf.DUMMYFUNCTION("GOOGLETRANSLATE(B19919,""en"",""es-ES"")"),"Un grupo de personas está nadando en una piscina interior con otros nadadores parados al costado de la piscina.")</f>
        <v>Un grupo de personas está nadando en una piscina interior con otros nadadores parados al costado de la piscina.</v>
      </c>
    </row>
    <row r="19920">
      <c r="A19920" s="4" t="s">
        <v>25069</v>
      </c>
      <c r="B19920" s="4" t="s">
        <v>25071</v>
      </c>
      <c r="C19920" s="5" t="str">
        <f>IFERROR(__xludf.DUMMYFUNCTION("GOOGLETRANSLATE(B19920,""en"",""es-ES"")"),"Los niños al margen están saltando hacia arriba y hacia abajo con gorras de natación y trajes de baño mientras observan a las personas que ya están en la piscina nadando.")</f>
        <v>Los niños al margen están saltando hacia arriba y hacia abajo con gorras de natación y trajes de baño mientras observan a las personas que ya están en la piscina nadando.</v>
      </c>
    </row>
    <row r="19921">
      <c r="A19921" s="4" t="s">
        <v>25069</v>
      </c>
      <c r="B19921" s="4" t="s">
        <v>25072</v>
      </c>
      <c r="C19921" s="5" t="str">
        <f>IFERROR(__xludf.DUMMYFUNCTION("GOOGLETRANSLATE(B19921,""en"",""es-ES"")"),"Una persona camina junto a la cámara mientras la cámara inestable se centra en las personas que ya están en la piscina nadando.")</f>
        <v>Una persona camina junto a la cámara mientras la cámara inestable se centra en las personas que ya están en la piscina nadando.</v>
      </c>
    </row>
    <row r="19922">
      <c r="A19922" s="4" t="s">
        <v>25073</v>
      </c>
      <c r="B19922" s="4" t="s">
        <v>25074</v>
      </c>
      <c r="C19922" s="5" t="str">
        <f>IFERROR(__xludf.DUMMYFUNCTION("GOOGLETRANSLATE(B19922,""en"",""es-ES"")"),"Se ven dos personas realizando varias patadas y trucos entre sí mientras un gran grupo de personas mira a los lados.")</f>
        <v>Se ven dos personas realizando varias patadas y trucos entre sí mientras un gran grupo de personas mira a los lados.</v>
      </c>
    </row>
    <row r="19923">
      <c r="A19923" s="4" t="s">
        <v>25073</v>
      </c>
      <c r="B19923" s="4" t="s">
        <v>25075</v>
      </c>
      <c r="C19923" s="5" t="str">
        <f>IFERROR(__xludf.DUMMYFUNCTION("GOOGLETRANSLATE(B19923,""en"",""es-ES"")"),"Más continúan pateando unos a otros en el medio del círculo mientras otros miran y reaccionan a un lado.")</f>
        <v>Más continúan pateando unos a otros en el medio del círculo mientras otros miran y reaccionan a un lado.</v>
      </c>
    </row>
    <row r="19924">
      <c r="A19924" s="4" t="s">
        <v>25076</v>
      </c>
      <c r="B19924" s="4" t="s">
        <v>25077</v>
      </c>
      <c r="C19924" s="5" t="str">
        <f>IFERROR(__xludf.DUMMYFUNCTION("GOOGLETRANSLATE(B19924,""en"",""es-ES"")"),"Un joven con jeans azules y una camisa de manga larga a cuadros azul y blanco está sentada en el suelo con las piernas abiertas en un tablero que tiene números en forma triangular.")</f>
        <v>Un joven con jeans azules y una camisa de manga larga a cuadros azul y blanco está sentada en el suelo con las piernas abiertas en un tablero que tiene números en forma triangular.</v>
      </c>
    </row>
    <row r="19925">
      <c r="A19925" s="4" t="s">
        <v>25076</v>
      </c>
      <c r="B19925" s="4" t="s">
        <v>25078</v>
      </c>
      <c r="C19925" s="5" t="str">
        <f>IFERROR(__xludf.DUMMYFUNCTION("GOOGLETRANSLATE(B19925,""en"",""es-ES"")"),"Hay dos mujeres mayores que sostienen palos, y se están preparando para golpear los discos en todos los ámbitos en la entrepierna del hombre mientras 5 hombres están de pie junto a la observación y encogiéndose.")</f>
        <v>Hay dos mujeres mayores que sostienen palos, y se están preparando para golpear los discos en todos los ámbitos en la entrepierna del hombre mientras 5 hombres están de pie junto a la observación y encogiéndose.</v>
      </c>
    </row>
    <row r="19926">
      <c r="A19926" s="4" t="s">
        <v>25076</v>
      </c>
      <c r="B19926" s="4" t="s">
        <v>25079</v>
      </c>
      <c r="C19926" s="5" t="str">
        <f>IFERROR(__xludf.DUMMYFUNCTION("GOOGLETRANSLATE(B19926,""en"",""es-ES"")"),"La mujer empuja el disco por todos los ámbitos y golpea al hombre en la entrepierna, la segunda mujer empuja el disco por todos los ámbitos y golpea al hombre en la entrepierna muy fuerte y todos los chicos se ríen y se ríen y luego ayudan al tipo.")</f>
        <v>La mujer empuja el disco por todos los ámbitos y golpea al hombre en la entrepierna, la segunda mujer empuja el disco por todos los ámbitos y golpea al hombre en la entrepierna muy fuerte y todos los chicos se ríen y se ríen y luego ayudan al tipo.</v>
      </c>
    </row>
    <row r="19927">
      <c r="A19927" s="4" t="s">
        <v>25080</v>
      </c>
      <c r="B19927" s="4" t="s">
        <v>25081</v>
      </c>
      <c r="C19927" s="5" t="str">
        <f>IFERROR(__xludf.DUMMYFUNCTION("GOOGLETRANSLATE(B19927,""en"",""es-ES"")"),"Se ve a una gimnasta frotándose las manos y camina hacia un juego de bares desiguales y levanta las manos.")</f>
        <v>Se ve a una gimnasta frotándose las manos y camina hacia un juego de bares desiguales y levanta las manos.</v>
      </c>
    </row>
    <row r="19928">
      <c r="A19928" s="4" t="s">
        <v>25080</v>
      </c>
      <c r="B19928" s="4" t="s">
        <v>25082</v>
      </c>
      <c r="C19928" s="5" t="str">
        <f>IFERROR(__xludf.DUMMYFUNCTION("GOOGLETRANSLATE(B19928,""en"",""es-ES"")"),"El hombre realiza una rutina en las barras mientras cientos de personas miran al margen.")</f>
        <v>El hombre realiza una rutina en las barras mientras cientos de personas miran al margen.</v>
      </c>
    </row>
    <row r="19929">
      <c r="A19929" s="4" t="s">
        <v>25080</v>
      </c>
      <c r="B19929" s="4" t="s">
        <v>25083</v>
      </c>
      <c r="C19929" s="5" t="str">
        <f>IFERROR(__xludf.DUMMYFUNCTION("GOOGLETRANSLATE(B19929,""en"",""es-ES"")"),"Salta hacia abajo, agita los brazos en el aire y camina hasta los cinco su entrenador después.")</f>
        <v>Salta hacia abajo, agita los brazos en el aire y camina hasta los cinco su entrenador después.</v>
      </c>
    </row>
    <row r="19930">
      <c r="A19930" s="4" t="s">
        <v>25084</v>
      </c>
      <c r="B19930" s="4" t="s">
        <v>25085</v>
      </c>
      <c r="C19930" s="5" t="str">
        <f>IFERROR(__xludf.DUMMYFUNCTION("GOOGLETRANSLATE(B19930,""en"",""es-ES"")"),"Un hombre camina por una cuerda suspendida entre dos montañas de alto en el aire usando sus brazos para el equilibrio.")</f>
        <v>Un hombre camina por una cuerda suspendida entre dos montañas de alto en el aire usando sus brazos para el equilibrio.</v>
      </c>
    </row>
    <row r="19931">
      <c r="A19931" s="4" t="s">
        <v>25084</v>
      </c>
      <c r="B19931" s="4" t="s">
        <v>25086</v>
      </c>
      <c r="C19931" s="5" t="str">
        <f>IFERROR(__xludf.DUMMYFUNCTION("GOOGLETRANSLATE(B19931,""en"",""es-ES"")"),"Un hombre camina por una cuerda suspendida en el aire, perdiendo el equilibrio en un punto y sosteniendo la cuerda con las manos y los pies envueltos alrededor de la cuerda.")</f>
        <v>Un hombre camina por una cuerda suspendida en el aire, perdiendo el equilibrio en un punto y sosteniendo la cuerda con las manos y los pies envueltos alrededor de la cuerda.</v>
      </c>
    </row>
    <row r="19932">
      <c r="A19932" s="4" t="s">
        <v>25084</v>
      </c>
      <c r="B19932" s="4" t="s">
        <v>25087</v>
      </c>
      <c r="C19932" s="5" t="str">
        <f>IFERROR(__xludf.DUMMYFUNCTION("GOOGLETRANSLATE(B19932,""en"",""es-ES"")"),"El hombre luego puede levantarse lo suficiente en la cuerda para sentarse sobre ella con la cuerda entre sus piernas.")</f>
        <v>El hombre luego puede levantarse lo suficiente en la cuerda para sentarse sobre ella con la cuerda entre sus piernas.</v>
      </c>
    </row>
    <row r="19933">
      <c r="A19933" s="4" t="s">
        <v>25088</v>
      </c>
      <c r="B19933" s="4" t="s">
        <v>25089</v>
      </c>
      <c r="C19933" s="5" t="str">
        <f>IFERROR(__xludf.DUMMYFUNCTION("GOOGLETRANSLATE(B19933,""en"",""es-ES"")"),"Se ve a una persona realizando un truco en un snowboard, seguido de más una mujer que habla con la cámara.")</f>
        <v>Se ve a una persona realizando un truco en un snowboard, seguido de más una mujer que habla con la cámara.</v>
      </c>
    </row>
    <row r="19934">
      <c r="A19934" s="4" t="s">
        <v>25088</v>
      </c>
      <c r="B19934" s="4" t="s">
        <v>25090</v>
      </c>
      <c r="C19934" s="5" t="str">
        <f>IFERROR(__xludf.DUMMYFUNCTION("GOOGLETRANSLATE(B19934,""en"",""es-ES"")"),"Se muestran varios clips más de personas que montan tablas de snowboard y realizan trucos en un tablero.")</f>
        <v>Se muestran varios clips más de personas que montan tablas de snowboard y realizan trucos en un tablero.</v>
      </c>
    </row>
    <row r="19935">
      <c r="A19935" s="4" t="s">
        <v>25088</v>
      </c>
      <c r="B19935" s="4" t="s">
        <v>25091</v>
      </c>
      <c r="C19935" s="5" t="str">
        <f>IFERROR(__xludf.DUMMYFUNCTION("GOOGLETRANSLATE(B19935,""en"",""es-ES"")"),"Se ve a más personas montando en un tablero y hablando con la cámara.")</f>
        <v>Se ve a más personas montando en un tablero y hablando con la cámara.</v>
      </c>
    </row>
    <row r="19936">
      <c r="A19936" s="4" t="s">
        <v>25092</v>
      </c>
      <c r="B19936" s="4" t="s">
        <v>25093</v>
      </c>
      <c r="C19936" s="5" t="str">
        <f>IFERROR(__xludf.DUMMYFUNCTION("GOOGLETRANSLATE(B19936,""en"",""es-ES"")"),"Una persona esquía sobre un riel de esquí y gira en el aire, luego aterriza en la nieve.")</f>
        <v>Una persona esquía sobre un riel de esquí y gira en el aire, luego aterriza en la nieve.</v>
      </c>
    </row>
    <row r="19937">
      <c r="A19937" s="4" t="s">
        <v>25092</v>
      </c>
      <c r="B19937" s="4" t="s">
        <v>25094</v>
      </c>
      <c r="C19937" s="5" t="str">
        <f>IFERROR(__xludf.DUMMYFUNCTION("GOOGLETRANSLATE(B19937,""en"",""es-ES"")"),"La persona esquía por una rampa y vuela en el aire muy alto.")</f>
        <v>La persona esquía por una rampa y vuela en el aire muy alto.</v>
      </c>
    </row>
    <row r="19938">
      <c r="A19938" s="4" t="s">
        <v>25092</v>
      </c>
      <c r="B19938" s="4" t="s">
        <v>25095</v>
      </c>
      <c r="C19938" s="5" t="str">
        <f>IFERROR(__xludf.DUMMYFUNCTION("GOOGLETRANSLATE(B19938,""en"",""es-ES"")"),"Luego, la persona esquía sobre los rieles de una casa que giraba y luego aterriza en la calle.")</f>
        <v>Luego, la persona esquía sobre los rieles de una casa que giraba y luego aterriza en la calle.</v>
      </c>
    </row>
    <row r="19939">
      <c r="A19939" s="4" t="s">
        <v>25092</v>
      </c>
      <c r="B19939" s="4" t="s">
        <v>25096</v>
      </c>
      <c r="C19939" s="5" t="str">
        <f>IFERROR(__xludf.DUMMYFUNCTION("GOOGLETRANSLATE(B19939,""en"",""es-ES"")"),"Luego, una persona esquía sobre la cerca de un puente para caminar y también esquía en las escaleras.")</f>
        <v>Luego, una persona esquía sobre la cerca de un puente para caminar y también esquía en las escaleras.</v>
      </c>
    </row>
    <row r="19940">
      <c r="A19940" s="4" t="s">
        <v>25097</v>
      </c>
      <c r="B19940" s="4" t="s">
        <v>25098</v>
      </c>
      <c r="C19940" s="5" t="str">
        <f>IFERROR(__xludf.DUMMYFUNCTION("GOOGLETRANSLATE(B19940,""en"",""es-ES"")"),"Se ve a un hombre que depilaba un conjunto de esquís mientras mira hacia atrás para hablar con la cámara.")</f>
        <v>Se ve a un hombre que depilaba un conjunto de esquís mientras mira hacia atrás para hablar con la cámara.</v>
      </c>
    </row>
    <row r="19941">
      <c r="A19941" s="4" t="s">
        <v>25097</v>
      </c>
      <c r="B19941" s="4" t="s">
        <v>25099</v>
      </c>
      <c r="C19941" s="5" t="str">
        <f>IFERROR(__xludf.DUMMYFUNCTION("GOOGLETRANSLATE(B19941,""en"",""es-ES"")"),"El hombre continúa moviendo los brazos arriba y abajo de los esquís mientras mira hacia arriba para hablar en la cámara de vez en cuando.")</f>
        <v>El hombre continúa moviendo los brazos arriba y abajo de los esquís mientras mira hacia arriba para hablar en la cámara de vez en cuando.</v>
      </c>
    </row>
    <row r="19942">
      <c r="A19942" s="4" t="s">
        <v>25100</v>
      </c>
      <c r="B19942" s="4" t="s">
        <v>25101</v>
      </c>
      <c r="C19942" s="5" t="str">
        <f>IFERROR(__xludf.DUMMYFUNCTION("GOOGLETRANSLATE(B19942,""en"",""es-ES"")"),"Se observan lindas de pimienta tallada Jack-o se preparan.")</f>
        <v>Se observan lindas de pimienta tallada Jack-o se preparan.</v>
      </c>
    </row>
    <row r="19943">
      <c r="A19943" s="4" t="s">
        <v>25100</v>
      </c>
      <c r="B19943" s="4" t="s">
        <v>25102</v>
      </c>
      <c r="C19943" s="5" t="str">
        <f>IFERROR(__xludf.DUMMYFUNCTION("GOOGLETRANSLATE(B19943,""en"",""es-ES"")"),"Una mujer usa un cuchillo para tallar el centro y las características faciales de un pimiento y luego coloca en un plato.")</f>
        <v>Una mujer usa un cuchillo para tallar el centro y las características faciales de un pimiento y luego coloca en un plato.</v>
      </c>
    </row>
    <row r="19944">
      <c r="A19944" s="4" t="s">
        <v>25100</v>
      </c>
      <c r="B19944" s="4" t="s">
        <v>25103</v>
      </c>
      <c r="C19944" s="5" t="str">
        <f>IFERROR(__xludf.DUMMYFUNCTION("GOOGLETRANSLATE(B19944,""en"",""es-ES"")"),"La mujer agrega verduras picadas, salsa y huevos a un tazón grande.")</f>
        <v>La mujer agrega verduras picadas, salsa y huevos a un tazón grande.</v>
      </c>
    </row>
    <row r="19945">
      <c r="A19945" s="4" t="s">
        <v>25100</v>
      </c>
      <c r="B19945" s="4" t="s">
        <v>25104</v>
      </c>
      <c r="C19945" s="5" t="str">
        <f>IFERROR(__xludf.DUMMYFUNCTION("GOOGLETRANSLATE(B19945,""en"",""es-ES"")"),"La mujer usa una espátula para mezclar todo.")</f>
        <v>La mujer usa una espátula para mezclar todo.</v>
      </c>
    </row>
    <row r="19946">
      <c r="A19946" s="4" t="s">
        <v>25100</v>
      </c>
      <c r="B19946" s="4" t="s">
        <v>25105</v>
      </c>
      <c r="C19946" s="5" t="str">
        <f>IFERROR(__xludf.DUMMYFUNCTION("GOOGLETRANSLATE(B19946,""en"",""es-ES"")"),"Se usa una cuchara para agregar ingredientes a los pimientos huecos.")</f>
        <v>Se usa una cuchara para agregar ingredientes a los pimientos huecos.</v>
      </c>
    </row>
    <row r="19947">
      <c r="A19947" s="4" t="s">
        <v>25100</v>
      </c>
      <c r="B19947" s="4" t="s">
        <v>25106</v>
      </c>
      <c r="C19947" s="5" t="str">
        <f>IFERROR(__xludf.DUMMYFUNCTION("GOOGLETRANSLATE(B19947,""en"",""es-ES"")"),"El queso se agrega a la parte superior de los pimientos y la parte superior se vuelve a colocar sobre ellos.")</f>
        <v>El queso se agrega a la parte superior de los pimientos y la parte superior se vuelve a colocar sobre ellos.</v>
      </c>
    </row>
    <row r="19948">
      <c r="A19948" s="4" t="s">
        <v>25100</v>
      </c>
      <c r="B19948" s="4" t="s">
        <v>25107</v>
      </c>
      <c r="C19948" s="5" t="str">
        <f>IFERROR(__xludf.DUMMYFUNCTION("GOOGLETRANSLATE(B19948,""en"",""es-ES"")"),"Los pimientos se retiran del plato y se ponen en un plato.")</f>
        <v>Los pimientos se retiran del plato y se ponen en un plato.</v>
      </c>
    </row>
    <row r="19949">
      <c r="A19949" s="4" t="s">
        <v>25100</v>
      </c>
      <c r="B19949" s="4" t="s">
        <v>25108</v>
      </c>
      <c r="C19949" s="5" t="str">
        <f>IFERROR(__xludf.DUMMYFUNCTION("GOOGLETRANSLATE(B19949,""en"",""es-ES"")"),"Los pimientos terminados se ven en el tablero de corte.")</f>
        <v>Los pimientos terminados se ven en el tablero de corte.</v>
      </c>
    </row>
    <row r="19950">
      <c r="A19950" s="4" t="s">
        <v>25100</v>
      </c>
      <c r="B19950" s="4" t="s">
        <v>25109</v>
      </c>
      <c r="C19950" s="5" t="str">
        <f>IFERROR(__xludf.DUMMYFUNCTION("GOOGLETRANSLATE(B19950,""en"",""es-ES"")"),"Una mujer agrega ingredientes a una cacerola.")</f>
        <v>Una mujer agrega ingredientes a una cacerola.</v>
      </c>
    </row>
    <row r="19951">
      <c r="A19951" s="4" t="s">
        <v>25110</v>
      </c>
      <c r="B19951" s="4" t="s">
        <v>25111</v>
      </c>
      <c r="C19951" s="5" t="str">
        <f>IFERROR(__xludf.DUMMYFUNCTION("GOOGLETRANSLATE(B19951,""en"",""es-ES"")"),"Los barcos se muestran en el agua.")</f>
        <v>Los barcos se muestran en el agua.</v>
      </c>
    </row>
    <row r="19952">
      <c r="A19952" s="4" t="s">
        <v>25110</v>
      </c>
      <c r="B19952" s="4" t="s">
        <v>25112</v>
      </c>
      <c r="C19952" s="5" t="str">
        <f>IFERROR(__xludf.DUMMYFUNCTION("GOOGLETRANSLATE(B19952,""en"",""es-ES"")"),"Los hombres caminan por una calle.")</f>
        <v>Los hombres caminan por una calle.</v>
      </c>
    </row>
    <row r="19953">
      <c r="A19953" s="4" t="s">
        <v>25110</v>
      </c>
      <c r="B19953" s="4" t="s">
        <v>25113</v>
      </c>
      <c r="C19953" s="5" t="str">
        <f>IFERROR(__xludf.DUMMYFUNCTION("GOOGLETRANSLATE(B19953,""en"",""es-ES"")"),"Un hombre con una camisa amarilla viaja en un bote.")</f>
        <v>Un hombre con una camisa amarilla viaja en un bote.</v>
      </c>
    </row>
    <row r="19954">
      <c r="A19954" s="4" t="s">
        <v>25110</v>
      </c>
      <c r="B19954" s="4" t="s">
        <v>25114</v>
      </c>
      <c r="C19954" s="5" t="str">
        <f>IFERROR(__xludf.DUMMYFUNCTION("GOOGLETRANSLATE(B19954,""en"",""es-ES"")"),"La gente que observa a los hombres en el bote aplaude.")</f>
        <v>La gente que observa a los hombres en el bote aplaude.</v>
      </c>
    </row>
    <row r="19955">
      <c r="A19955" s="4" t="s">
        <v>25115</v>
      </c>
      <c r="B19955" s="4" t="s">
        <v>25116</v>
      </c>
      <c r="C19955" s="5" t="str">
        <f>IFERROR(__xludf.DUMMYFUNCTION("GOOGLETRANSLATE(B19955,""en"",""es-ES"")"),"Una mujer está sentada, un hombre está de pie y una niña está trepando por equipos de juegos.")</f>
        <v>Una mujer está sentada, un hombre está de pie y una niña está trepando por equipos de juegos.</v>
      </c>
    </row>
    <row r="19956">
      <c r="A19956" s="4" t="s">
        <v>25115</v>
      </c>
      <c r="B19956" s="4" t="s">
        <v>25117</v>
      </c>
      <c r="C19956" s="5" t="str">
        <f>IFERROR(__xludf.DUMMYFUNCTION("GOOGLETRANSLATE(B19956,""en"",""es-ES"")"),"Ella cae, colgando de las barras de mono mientras finge patear al hombre.")</f>
        <v>Ella cae, colgando de las barras de mono mientras finge patear al hombre.</v>
      </c>
    </row>
    <row r="19957">
      <c r="A19957" s="4" t="s">
        <v>25115</v>
      </c>
      <c r="B19957" s="4" t="s">
        <v>25118</v>
      </c>
      <c r="C19957" s="5" t="str">
        <f>IFERROR(__xludf.DUMMYFUNCTION("GOOGLETRANSLATE(B19957,""en"",""es-ES"")"),"Ella se balancea hasta el final y aterriza en los brazos de otro hombre.")</f>
        <v>Ella se balancea hasta el final y aterriza en los brazos de otro hombre.</v>
      </c>
    </row>
    <row r="19958">
      <c r="A19958" s="4" t="s">
        <v>25119</v>
      </c>
      <c r="B19958" s="4" t="s">
        <v>25120</v>
      </c>
      <c r="C19958" s="5" t="str">
        <f>IFERROR(__xludf.DUMMYFUNCTION("GOOGLETRANSLATE(B19958,""en"",""es-ES"")"),"Tres personas están paradas afuera debajo de un cenador de concreto muy grande y brevemente la palabra blanca ""Maranhao"" está en el lado derecho de la pantalla.")</f>
        <v>Tres personas están paradas afuera debajo de un cenador de concreto muy grande y brevemente la palabra blanca "Maranhao" está en el lado derecho de la pantalla.</v>
      </c>
    </row>
    <row r="19959">
      <c r="A19959" s="4" t="s">
        <v>25119</v>
      </c>
      <c r="B19959" s="4" t="s">
        <v>25121</v>
      </c>
      <c r="C19959" s="5" t="str">
        <f>IFERROR(__xludf.DUMMYFUNCTION("GOOGLETRANSLATE(B19959,""en"",""es-ES"")"),"Un hombre con un instrumento comienza a caminar hacia las tres personas y comienza a ajustar su instrumento.")</f>
        <v>Un hombre con un instrumento comienza a caminar hacia las tres personas y comienza a ajustar su instrumento.</v>
      </c>
    </row>
    <row r="19960">
      <c r="A19960" s="4" t="s">
        <v>25119</v>
      </c>
      <c r="B19960" s="4" t="s">
        <v>25122</v>
      </c>
      <c r="C19960" s="5" t="str">
        <f>IFERROR(__xludf.DUMMYFUNCTION("GOOGLETRANSLATE(B19960,""en"",""es-ES"")"),"Dos de las personas comienzan a bailar, la mujer comienza a cantar, luego todas las personas ahora sostienen instrumentos y están sonriendo cuando comienzan a tocar sus instrumentos, bailar y cantar juntos.")</f>
        <v>Dos de las personas comienzan a bailar, la mujer comienza a cantar, luego todas las personas ahora sostienen instrumentos y están sonriendo cuando comienzan a tocar sus instrumentos, bailar y cantar juntos.</v>
      </c>
    </row>
    <row r="19961">
      <c r="A19961" s="4" t="s">
        <v>25123</v>
      </c>
      <c r="B19961" s="4" t="s">
        <v>25124</v>
      </c>
      <c r="C19961" s="5" t="str">
        <f>IFERROR(__xludf.DUMMYFUNCTION("GOOGLETRANSLATE(B19961,""en"",""es-ES"")"),"Se muestra a este hombre levantando un peso muy pesado al comienzo del video.")</f>
        <v>Se muestra a este hombre levantando un peso muy pesado al comienzo del video.</v>
      </c>
    </row>
    <row r="19962">
      <c r="A19962" s="4" t="s">
        <v>25123</v>
      </c>
      <c r="B19962" s="4" t="s">
        <v>25125</v>
      </c>
      <c r="C19962" s="5" t="str">
        <f>IFERROR(__xludf.DUMMYFUNCTION("GOOGLETRANSLATE(B19962,""en"",""es-ES"")"),"Entonces otro hombre hace lo mismo y lo levanta con éxito.")</f>
        <v>Entonces otro hombre hace lo mismo y lo levanta con éxito.</v>
      </c>
    </row>
    <row r="19963">
      <c r="A19963" s="4" t="s">
        <v>25123</v>
      </c>
      <c r="B19963" s="4" t="s">
        <v>25126</v>
      </c>
      <c r="C19963" s="5" t="str">
        <f>IFERROR(__xludf.DUMMYFUNCTION("GOOGLETRANSLATE(B19963,""en"",""es-ES"")"),"Cuando termina, alguien sube al escenario y le da un abrazo.")</f>
        <v>Cuando termina, alguien sube al escenario y le da un abrazo.</v>
      </c>
    </row>
    <row r="19964">
      <c r="A19964" s="4" t="s">
        <v>25123</v>
      </c>
      <c r="B19964" s="4" t="s">
        <v>25127</v>
      </c>
      <c r="C19964" s="5" t="str">
        <f>IFERROR(__xludf.DUMMYFUNCTION("GOOGLETRANSLATE(B19964,""en"",""es-ES"")"),"Luego se le da una medalla.")</f>
        <v>Luego se le da una medalla.</v>
      </c>
    </row>
    <row r="19965">
      <c r="A19965" s="4" t="s">
        <v>25128</v>
      </c>
      <c r="B19965" s="4" t="s">
        <v>25129</v>
      </c>
      <c r="C19965" s="5" t="str">
        <f>IFERROR(__xludf.DUMMYFUNCTION("GOOGLETRANSLATE(B19965,""en"",""es-ES"")"),"Vemos un gimnasio lleno de gente mirando cómo la gente salta de la cuerda.")</f>
        <v>Vemos un gimnasio lleno de gente mirando cómo la gente salta de la cuerda.</v>
      </c>
    </row>
    <row r="19966">
      <c r="A19966" s="4" t="s">
        <v>25128</v>
      </c>
      <c r="B19966" s="4" t="s">
        <v>25130</v>
      </c>
      <c r="C19966" s="5" t="str">
        <f>IFERROR(__xludf.DUMMYFUNCTION("GOOGLETRANSLATE(B19966,""en"",""es-ES"")"),"Vemos el exterior del edificio y un hombre es entrevistado con tomas del interior cortado.")</f>
        <v>Vemos el exterior del edificio y un hombre es entrevistado con tomas del interior cortado.</v>
      </c>
    </row>
    <row r="19967">
      <c r="A19967" s="4" t="s">
        <v>25128</v>
      </c>
      <c r="B19967" s="4" t="s">
        <v>25131</v>
      </c>
      <c r="C19967" s="5" t="str">
        <f>IFERROR(__xludf.DUMMYFUNCTION("GOOGLETRANSLATE(B19967,""en"",""es-ES"")"),"Vemos a las chicas actuar Se ve a las mujeres sirviendo bocadillos y vemos a otra persona actuar.")</f>
        <v>Vemos a las chicas actuar Se ve a las mujeres sirviendo bocadillos y vemos a otra persona actuar.</v>
      </c>
    </row>
    <row r="19968">
      <c r="A19968" s="4" t="s">
        <v>25128</v>
      </c>
      <c r="B19968" s="4" t="s">
        <v>25132</v>
      </c>
      <c r="C19968" s="5" t="str">
        <f>IFERROR(__xludf.DUMMYFUNCTION("GOOGLETRANSLATE(B19968,""en"",""es-ES"")"),"Vemos chicas entrevistadas fuera de la sala principal y escenas desde el interior del gimnasio.")</f>
        <v>Vemos chicas entrevistadas fuera de la sala principal y escenas desde el interior del gimnasio.</v>
      </c>
    </row>
    <row r="19969">
      <c r="A19969" s="4" t="s">
        <v>25128</v>
      </c>
      <c r="B19969" s="4" t="s">
        <v>25133</v>
      </c>
      <c r="C19969" s="5" t="str">
        <f>IFERROR(__xludf.DUMMYFUNCTION("GOOGLETRANSLATE(B19969,""en"",""es-ES"")"),"Vemos personas en gradas y niños saltando.")</f>
        <v>Vemos personas en gradas y niños saltando.</v>
      </c>
    </row>
    <row r="19970">
      <c r="A19970" s="4" t="s">
        <v>25128</v>
      </c>
      <c r="B19970" s="4" t="s">
        <v>25134</v>
      </c>
      <c r="C19970" s="5" t="str">
        <f>IFERROR(__xludf.DUMMYFUNCTION("GOOGLETRANSLATE(B19970,""en"",""es-ES"")"),"Luego vemos la pantalla de finalización azul.")</f>
        <v>Luego vemos la pantalla de finalización azul.</v>
      </c>
    </row>
    <row r="19971">
      <c r="A19971" s="4" t="s">
        <v>25135</v>
      </c>
      <c r="B19971" s="4" t="s">
        <v>25136</v>
      </c>
      <c r="C19971" s="5" t="str">
        <f>IFERROR(__xludf.DUMMYFUNCTION("GOOGLETRANSLATE(B19971,""en"",""es-ES"")"),"La mujer se presenta al comienzo del video y luego se muestran diferentes imágenes.")</f>
        <v>La mujer se presenta al comienzo del video y luego se muestran diferentes imágenes.</v>
      </c>
    </row>
    <row r="19972">
      <c r="A19972" s="4" t="s">
        <v>25135</v>
      </c>
      <c r="B19972" s="4" t="s">
        <v>25137</v>
      </c>
      <c r="C19972" s="5" t="str">
        <f>IFERROR(__xludf.DUMMYFUNCTION("GOOGLETRANSLATE(B19972,""en"",""es-ES"")"),"También habla sobre la diversión que puedes tener en Chicago y su gran producción de ser la viuda negra.")</f>
        <v>También habla sobre la diversión que puedes tener en Chicago y su gran producción de ser la viuda negra.</v>
      </c>
    </row>
    <row r="19973">
      <c r="A19973" s="4" t="s">
        <v>25138</v>
      </c>
      <c r="B19973" s="4" t="s">
        <v>25139</v>
      </c>
      <c r="C19973" s="5" t="str">
        <f>IFERROR(__xludf.DUMMYFUNCTION("GOOGLETRANSLATE(B19973,""en"",""es-ES"")"),"El hombre con camisa azul oscuro está arrodillado con una rodilla.")</f>
        <v>El hombre con camisa azul oscuro está arrodillado con una rodilla.</v>
      </c>
    </row>
    <row r="19974">
      <c r="A19974" s="4" t="s">
        <v>25138</v>
      </c>
      <c r="B19974" s="4" t="s">
        <v>25140</v>
      </c>
      <c r="C19974" s="5" t="str">
        <f>IFERROR(__xludf.DUMMYFUNCTION("GOOGLETRANSLATE(B19974,""en"",""es-ES"")"),"El hombre está goteando la pelota azul.")</f>
        <v>El hombre está goteando la pelota azul.</v>
      </c>
    </row>
    <row r="19975">
      <c r="A19975" s="4" t="s">
        <v>25138</v>
      </c>
      <c r="B19975" s="4" t="s">
        <v>25141</v>
      </c>
      <c r="C19975" s="5" t="str">
        <f>IFERROR(__xludf.DUMMYFUNCTION("GOOGLETRANSLATE(B19975,""en"",""es-ES"")"),"El hombre está goteando la pelota de su lado.")</f>
        <v>El hombre está goteando la pelota de su lado.</v>
      </c>
    </row>
    <row r="19976">
      <c r="A19976" s="4" t="s">
        <v>25142</v>
      </c>
      <c r="B19976" s="4" t="s">
        <v>25143</v>
      </c>
      <c r="C19976" s="5" t="str">
        <f>IFERROR(__xludf.DUMMYFUNCTION("GOOGLETRANSLATE(B19976,""en"",""es-ES"")"),"Varias imágenes se muestran al comienzo de los techos viejos, así como nuevos techos y personas que trabajan en la parte superior de estos techos.")</f>
        <v>Varias imágenes se muestran al comienzo de los techos viejos, así como nuevos techos y personas que trabajan en la parte superior de estos techos.</v>
      </c>
    </row>
    <row r="19977">
      <c r="A19977" s="4" t="s">
        <v>25142</v>
      </c>
      <c r="B19977" s="4" t="s">
        <v>25144</v>
      </c>
      <c r="C19977" s="5" t="str">
        <f>IFERROR(__xludf.DUMMYFUNCTION("GOOGLETRANSLATE(B19977,""en"",""es-ES"")"),"Se muestran más tomas de personas rociando los techos y mirando hacia la cámara.")</f>
        <v>Se muestran más tomas de personas rociando los techos y mirando hacia la cámara.</v>
      </c>
    </row>
    <row r="19978">
      <c r="A19978" s="4" t="s">
        <v>25145</v>
      </c>
      <c r="B19978" s="4" t="s">
        <v>25146</v>
      </c>
      <c r="C19978" s="5" t="str">
        <f>IFERROR(__xludf.DUMMYFUNCTION("GOOGLETRANSLATE(B19978,""en"",""es-ES"")"),"Una gimnasta está actuando en los bares mientras una multitud está mirando.")</f>
        <v>Una gimnasta está actuando en los bares mientras una multitud está mirando.</v>
      </c>
    </row>
    <row r="19979">
      <c r="A19979" s="4" t="s">
        <v>25145</v>
      </c>
      <c r="B19979" s="4" t="s">
        <v>25147</v>
      </c>
      <c r="C19979" s="5" t="str">
        <f>IFERROR(__xludf.DUMMYFUNCTION("GOOGLETRANSLATE(B19979,""en"",""es-ES"")"),"Al final, la gimnasta voltea las barras y salta sobre el colchón.")</f>
        <v>Al final, la gimnasta voltea las barras y salta sobre el colchón.</v>
      </c>
    </row>
    <row r="19980">
      <c r="A19980" s="4" t="s">
        <v>25148</v>
      </c>
      <c r="B19980" s="4" t="s">
        <v>25149</v>
      </c>
      <c r="C19980" s="5" t="str">
        <f>IFERROR(__xludf.DUMMYFUNCTION("GOOGLETRANSLATE(B19980,""en"",""es-ES"")"),"Se ve a una mujer sentada en el escenario mientras canta en un micrófono y personas sentadas detrás de sus instrumentos tocando.")</f>
        <v>Se ve a una mujer sentada en el escenario mientras canta en un micrófono y personas sentadas detrás de sus instrumentos tocando.</v>
      </c>
    </row>
    <row r="19981">
      <c r="A19981" s="4" t="s">
        <v>25148</v>
      </c>
      <c r="B19981" s="4" t="s">
        <v>25150</v>
      </c>
      <c r="C19981" s="5" t="str">
        <f>IFERROR(__xludf.DUMMYFUNCTION("GOOGLETRANSLATE(B19981,""en"",""es-ES"")"),"La niña continúa cantando con la banda y terminando hablando con la audiencia.")</f>
        <v>La niña continúa cantando con la banda y terminando hablando con la audiencia.</v>
      </c>
    </row>
    <row r="19982">
      <c r="A19982" s="4" t="s">
        <v>25151</v>
      </c>
      <c r="B19982" s="4" t="s">
        <v>25152</v>
      </c>
      <c r="C19982" s="5" t="str">
        <f>IFERROR(__xludf.DUMMYFUNCTION("GOOGLETRANSLATE(B19982,""en"",""es-ES"")"),"Una mujer se para junto a un caballo en un campo.")</f>
        <v>Una mujer se para junto a un caballo en un campo.</v>
      </c>
    </row>
    <row r="19983">
      <c r="A19983" s="4" t="s">
        <v>25151</v>
      </c>
      <c r="B19983" s="4" t="s">
        <v>25153</v>
      </c>
      <c r="C19983" s="5" t="str">
        <f>IFERROR(__xludf.DUMMYFUNCTION("GOOGLETRANSLATE(B19983,""en"",""es-ES"")"),"""HJCTV presenta: se superpone a su caballo 101"".")</f>
        <v>"HJCTV presenta: se superpone a su caballo 101".</v>
      </c>
    </row>
    <row r="19984">
      <c r="A19984" s="4" t="s">
        <v>25151</v>
      </c>
      <c r="B19984" s="4" t="s">
        <v>25154</v>
      </c>
      <c r="C19984" s="5" t="str">
        <f>IFERROR(__xludf.DUMMYFUNCTION("GOOGLETRANSLATE(B19984,""en"",""es-ES"")"),"Una mujer se para en un puesto con un caballo con un cepillo de preparación, comienza a cepillarse.")</f>
        <v>Una mujer se para en un puesto con un caballo con un cepillo de preparación, comienza a cepillarse.</v>
      </c>
    </row>
    <row r="19985">
      <c r="A19985" s="4" t="s">
        <v>25151</v>
      </c>
      <c r="B19985" s="4" t="s">
        <v>25155</v>
      </c>
      <c r="C19985" s="5" t="str">
        <f>IFERROR(__xludf.DUMMYFUNCTION("GOOGLETRANSLATE(B19985,""en"",""es-ES"")"),"Dos chicas se encuentran al aire libre con otro caballo y lo cepillan.")</f>
        <v>Dos chicas se encuentran al aire libre con otro caballo y lo cepillan.</v>
      </c>
    </row>
    <row r="19986">
      <c r="A19986" s="4" t="s">
        <v>25151</v>
      </c>
      <c r="B19986" s="4" t="s">
        <v>25156</v>
      </c>
      <c r="C19986" s="5" t="str">
        <f>IFERROR(__xludf.DUMMYFUNCTION("GOOGLETRANSLATE(B19986,""en"",""es-ES"")"),"La primera mujer regresa con un pincel nuevo y permite a los niños ayudar a cepillar el caballo.")</f>
        <v>La primera mujer regresa con un pincel nuevo y permite a los niños ayudar a cepillar el caballo.</v>
      </c>
    </row>
    <row r="19987">
      <c r="A19987" s="4" t="s">
        <v>25157</v>
      </c>
      <c r="B19987" s="4" t="s">
        <v>25158</v>
      </c>
      <c r="C19987" s="5" t="str">
        <f>IFERROR(__xludf.DUMMYFUNCTION("GOOGLETRANSLATE(B19987,""en"",""es-ES"")"),"Una persona sostiene un anillo en una pequeña caja.")</f>
        <v>Una persona sostiene un anillo en una pequeña caja.</v>
      </c>
    </row>
    <row r="19988">
      <c r="A19988" s="4" t="s">
        <v>25157</v>
      </c>
      <c r="B19988" s="4" t="s">
        <v>25159</v>
      </c>
      <c r="C19988" s="5" t="str">
        <f>IFERROR(__xludf.DUMMYFUNCTION("GOOGLETRANSLATE(B19988,""en"",""es-ES"")"),"Luego, el hombre envuelve la caja con papel de regalo.")</f>
        <v>Luego, el hombre envuelve la caja con papel de regalo.</v>
      </c>
    </row>
    <row r="19989">
      <c r="A19989" s="4" t="s">
        <v>25157</v>
      </c>
      <c r="B19989" s="4" t="s">
        <v>25160</v>
      </c>
      <c r="C19989" s="5" t="str">
        <f>IFERROR(__xludf.DUMMYFUNCTION("GOOGLETRANSLATE(B19989,""en"",""es-ES"")"),"Después, el hombre intenta encontrar el final de una cinta de escocés, pero no puede encontrarlo.")</f>
        <v>Después, el hombre intenta encontrar el final de una cinta de escocés, pero no puede encontrarlo.</v>
      </c>
    </row>
    <row r="19990">
      <c r="A19990" s="4" t="s">
        <v>25157</v>
      </c>
      <c r="B19990" s="4" t="s">
        <v>25161</v>
      </c>
      <c r="C19990" s="5" t="str">
        <f>IFERROR(__xludf.DUMMYFUNCTION("GOOGLETRANSLATE(B19990,""en"",""es-ES"")"),"El hombre corta el exceso de papel y pone el regalo.")</f>
        <v>El hombre corta el exceso de papel y pone el regalo.</v>
      </c>
    </row>
    <row r="19991">
      <c r="A19991" s="4" t="s">
        <v>25162</v>
      </c>
      <c r="B19991" s="4" t="s">
        <v>25163</v>
      </c>
      <c r="C19991" s="5" t="str">
        <f>IFERROR(__xludf.DUMMYFUNCTION("GOOGLETRANSLATE(B19991,""en"",""es-ES"")"),"Cuatro hombres realizan un truco de lucha libre en disfraz mientras están parados en un escenario elevado, iluminado, frente a una audiencia sentada.")</f>
        <v>Cuatro hombres realizan un truco de lucha libre en disfraz mientras están parados en un escenario elevado, iluminado, frente a una audiencia sentada.</v>
      </c>
    </row>
    <row r="19992">
      <c r="A19992" s="4" t="s">
        <v>25162</v>
      </c>
      <c r="B19992" s="4" t="s">
        <v>25164</v>
      </c>
      <c r="C19992" s="5" t="str">
        <f>IFERROR(__xludf.DUMMYFUNCTION("GOOGLETRANSLATE(B19992,""en"",""es-ES"")"),"Dos hombres de negro levantan un hombre con un atuendo azul brillante, arriba, sobre sus hombros.")</f>
        <v>Dos hombres de negro levantan un hombre con un atuendo azul brillante, arriba, sobre sus hombros.</v>
      </c>
    </row>
    <row r="19993">
      <c r="A19993" s="4" t="s">
        <v>25162</v>
      </c>
      <c r="B19993" s="4" t="s">
        <v>25165</v>
      </c>
      <c r="C19993" s="5" t="str">
        <f>IFERROR(__xludf.DUMMYFUNCTION("GOOGLETRANSLATE(B19993,""en"",""es-ES"")"),"Los dos hombres de negro colocan al hombre en las piernas azules alrededor del cuello de otro hombre, el hombre más grande del escenario, que también está vestido de negro.")</f>
        <v>Los dos hombres de negro colocan al hombre en las piernas azules alrededor del cuello de otro hombre, el hombre más grande del escenario, que también está vestido de negro.</v>
      </c>
    </row>
    <row r="19994">
      <c r="A19994" s="4" t="s">
        <v>25162</v>
      </c>
      <c r="B19994" s="4" t="s">
        <v>25166</v>
      </c>
      <c r="C19994" s="5" t="str">
        <f>IFERROR(__xludf.DUMMYFUNCTION("GOOGLETRANSLATE(B19994,""en"",""es-ES"")"),"El hombre grande de negro lleva al hombre de azul y lo golpea, fuera del escenario y sobre una mesa al lado del escenario, momento en el que el hombre aterriza con una fuerza que rompe la mesa en dos haciendo que el hombre caiga al piso debajo de la mesa.")</f>
        <v>El hombre grande de negro lleva al hombre de azul y lo golpea, fuera del escenario y sobre una mesa al lado del escenario, momento en el que el hombre aterriza con una fuerza que rompe la mesa en dos haciendo que el hombre caiga al piso debajo de la mesa.</v>
      </c>
    </row>
    <row r="19995">
      <c r="A19995" s="4" t="s">
        <v>25167</v>
      </c>
      <c r="B19995" s="4" t="s">
        <v>25168</v>
      </c>
      <c r="C19995" s="5" t="str">
        <f>IFERROR(__xludf.DUMMYFUNCTION("GOOGLETRANSLATE(B19995,""en"",""es-ES"")"),"Hay dos equipos que juegan volea en un estadio interior frente a una gran cantidad de espectadores.")</f>
        <v>Hay dos equipos que juegan volea en un estadio interior frente a una gran cantidad de espectadores.</v>
      </c>
    </row>
    <row r="19996">
      <c r="A19996" s="4" t="s">
        <v>25167</v>
      </c>
      <c r="B19996" s="4" t="s">
        <v>25169</v>
      </c>
      <c r="C19996" s="5" t="str">
        <f>IFERROR(__xludf.DUMMYFUNCTION("GOOGLETRANSLATE(B19996,""en"",""es-ES"")"),"El equipo verde y amarillo está jugando contra el equipo rojo.")</f>
        <v>El equipo verde y amarillo está jugando contra el equipo rojo.</v>
      </c>
    </row>
    <row r="19997">
      <c r="A19997" s="4" t="s">
        <v>25167</v>
      </c>
      <c r="B19997" s="4" t="s">
        <v>25170</v>
      </c>
      <c r="C19997" s="5" t="str">
        <f>IFERROR(__xludf.DUMMYFUNCTION("GOOGLETRANSLATE(B19997,""en"",""es-ES"")"),"Los jugadores se sumergen alto para lanzar la pelota a través de la red a su equipo contrario.")</f>
        <v>Los jugadores se sumergen alto para lanzar la pelota a través de la red a su equipo contrario.</v>
      </c>
    </row>
    <row r="19998">
      <c r="A19998" s="4" t="s">
        <v>25167</v>
      </c>
      <c r="B19998" s="4" t="s">
        <v>25171</v>
      </c>
      <c r="C19998" s="5" t="str">
        <f>IFERROR(__xludf.DUMMYFUNCTION("GOOGLETRANSLATE(B19998,""en"",""es-ES"")"),"Entonces el equipo verde y amarillo juega contra el equipo azul.")</f>
        <v>Entonces el equipo verde y amarillo juega contra el equipo azul.</v>
      </c>
    </row>
    <row r="19999">
      <c r="A19999" s="4" t="s">
        <v>25167</v>
      </c>
      <c r="B19999" s="4" t="s">
        <v>25172</v>
      </c>
      <c r="C19999" s="5" t="str">
        <f>IFERROR(__xludf.DUMMYFUNCTION("GOOGLETRANSLATE(B19999,""en"",""es-ES"")"),"El equipo rojo está de vuelta para jugar con el equipo verde y amarillo.")</f>
        <v>El equipo rojo está de vuelta para jugar con el equipo verde y amarillo.</v>
      </c>
    </row>
    <row r="20000">
      <c r="A20000" s="4" t="s">
        <v>25167</v>
      </c>
      <c r="B20000" s="4" t="s">
        <v>25173</v>
      </c>
      <c r="C20000" s="5" t="str">
        <f>IFERROR(__xludf.DUMMYFUNCTION("GOOGLETRANSLATE(B20000,""en"",""es-ES"")"),"Luego, el equipo azul regresa para jugar contra el equipo verde y amarillo.")</f>
        <v>Luego, el equipo azul regresa para jugar contra el equipo verde y amarillo.</v>
      </c>
    </row>
    <row r="20001">
      <c r="A20001" s="4" t="s">
        <v>25167</v>
      </c>
      <c r="B20001" s="4" t="s">
        <v>25174</v>
      </c>
      <c r="C20001" s="5" t="str">
        <f>IFERROR(__xludf.DUMMYFUNCTION("GOOGLETRANSLATE(B20001,""en"",""es-ES"")"),"El juego de Volley Ball continúa mientras el equipo rojo y el equipo azul juegan alternativamente con sus oponentes.")</f>
        <v>El juego de Volley Ball continúa mientras el equipo rojo y el equipo azul juegan alternativamente con sus oponentes.</v>
      </c>
    </row>
    <row r="20002">
      <c r="A20002" s="4" t="s">
        <v>25175</v>
      </c>
      <c r="B20002" s="4" t="s">
        <v>25176</v>
      </c>
      <c r="C20002" s="5" t="str">
        <f>IFERROR(__xludf.DUMMYFUNCTION("GOOGLETRANSLATE(B20002,""en"",""es-ES"")"),"Una cámara se dirige alrededor de un equipo de ejercicio seguido de una mujer que conduce sobre ella.")</f>
        <v>Una cámara se dirige alrededor de un equipo de ejercicio seguido de una mujer que conduce sobre ella.</v>
      </c>
    </row>
    <row r="20003">
      <c r="A20003" s="4" t="s">
        <v>25175</v>
      </c>
      <c r="B20003" s="4" t="s">
        <v>25177</v>
      </c>
      <c r="C20003" s="5" t="str">
        <f>IFERROR(__xludf.DUMMYFUNCTION("GOOGLETRANSLATE(B20003,""en"",""es-ES"")"),"Se ve a una persona ajustando la configuración de la bicicleta, así como montar y beber agua.")</f>
        <v>Se ve a una persona ajustando la configuración de la bicicleta, así como montar y beber agua.</v>
      </c>
    </row>
    <row r="20004">
      <c r="A20004" s="4" t="s">
        <v>25175</v>
      </c>
      <c r="B20004" s="4" t="s">
        <v>25178</v>
      </c>
      <c r="C20004" s="5" t="str">
        <f>IFERROR(__xludf.DUMMYFUNCTION("GOOGLETRANSLATE(B20004,""en"",""es-ES"")"),"Se muestran más disparos de la mujer que ajusta la máquina y la rodea y continúa conduciendo.")</f>
        <v>Se muestran más disparos de la mujer que ajusta la máquina y la rodea y continúa conduciendo.</v>
      </c>
    </row>
    <row r="20005">
      <c r="A20005" s="4" t="s">
        <v>25179</v>
      </c>
      <c r="B20005" s="4" t="s">
        <v>25180</v>
      </c>
      <c r="C20005" s="5" t="str">
        <f>IFERROR(__xludf.DUMMYFUNCTION("GOOGLETRANSLATE(B20005,""en"",""es-ES"")"),"Se ve a un pequeño grupo de personas nadando alrededor de una piscina y conduce a varios clips de personas jugando y celebrando.")</f>
        <v>Se ve a un pequeño grupo de personas nadando alrededor de una piscina y conduce a varios clips de personas jugando y celebrando.</v>
      </c>
    </row>
    <row r="20006">
      <c r="A20006" s="4" t="s">
        <v>25179</v>
      </c>
      <c r="B20006" s="4" t="s">
        <v>25181</v>
      </c>
      <c r="C20006" s="5" t="str">
        <f>IFERROR(__xludf.DUMMYFUNCTION("GOOGLETRANSLATE(B20006,""en"",""es-ES"")"),"Luego se ve a varias personas hablando con la cámara seguida de más clips del juego que se muestra y las personas que celebran.")</f>
        <v>Luego se ve a varias personas hablando con la cámara seguida de más clips del juego que se muestra y las personas que celebran.</v>
      </c>
    </row>
    <row r="20007">
      <c r="A20007" s="4" t="s">
        <v>25182</v>
      </c>
      <c r="B20007" s="4" t="s">
        <v>25183</v>
      </c>
      <c r="C20007" s="5" t="str">
        <f>IFERROR(__xludf.DUMMYFUNCTION("GOOGLETRANSLATE(B20007,""en"",""es-ES"")"),"Un atleta masculino afroamericano se está preparando para correr.")</f>
        <v>Un atleta masculino afroamericano se está preparando para correr.</v>
      </c>
    </row>
    <row r="20008">
      <c r="A20008" s="4" t="s">
        <v>25182</v>
      </c>
      <c r="B20008" s="4" t="s">
        <v>25184</v>
      </c>
      <c r="C20008" s="5" t="str">
        <f>IFERROR(__xludf.DUMMYFUNCTION("GOOGLETRANSLATE(B20008,""en"",""es-ES"")"),"El macho luego comienza a correr desde un ángulo hacia la alfombra y hace un salto de altura despejando la barra.")</f>
        <v>El macho luego comienza a correr desde un ángulo hacia la alfombra y hace un salto de altura despejando la barra.</v>
      </c>
    </row>
    <row r="20009">
      <c r="A20009" s="4" t="s">
        <v>25182</v>
      </c>
      <c r="B20009" s="4" t="s">
        <v>25185</v>
      </c>
      <c r="C20009" s="5" t="str">
        <f>IFERROR(__xludf.DUMMYFUNCTION("GOOGLETRANSLATE(B20009,""en"",""es-ES"")"),"Se muestra una repetición y la multitud comienza a animarlo.")</f>
        <v>Se muestra una repetición y la multitud comienza a animarlo.</v>
      </c>
    </row>
    <row r="20010">
      <c r="A20010" s="4" t="s">
        <v>25186</v>
      </c>
      <c r="B20010" s="4" t="s">
        <v>25187</v>
      </c>
      <c r="C20010" s="5" t="str">
        <f>IFERROR(__xludf.DUMMYFUNCTION("GOOGLETRANSLATE(B20010,""en"",""es-ES"")"),"Dos hombres, una mujer y un niño pequeño caminan por el camino, pero todos los adultos tienen en los zapatos de canguro.")</f>
        <v>Dos hombres, una mujer y un niño pequeño caminan por el camino, pero todos los adultos tienen en los zapatos de canguro.</v>
      </c>
    </row>
    <row r="20011">
      <c r="A20011" s="4" t="s">
        <v>25186</v>
      </c>
      <c r="B20011" s="4" t="s">
        <v>25188</v>
      </c>
      <c r="C20011" s="5" t="str">
        <f>IFERROR(__xludf.DUMMYFUNCTION("GOOGLETRANSLATE(B20011,""en"",""es-ES"")"),"La gente continúa pasándolos y los dos hombres comienzan a saltar extremadamente altos mientras la señora se aleja con el niño.")</f>
        <v>La gente continúa pasándolos y los dos hombres comienzan a saltar extremadamente altos mientras la señora se aleja con el niño.</v>
      </c>
    </row>
    <row r="20012">
      <c r="A20012" s="4" t="s">
        <v>25186</v>
      </c>
      <c r="B20012" s="4" t="s">
        <v>25189</v>
      </c>
      <c r="C20012" s="5" t="str">
        <f>IFERROR(__xludf.DUMMYFUNCTION("GOOGLETRANSLATE(B20012,""en"",""es-ES"")"),"Las cuatro personas luego se mueven frente a un edificio y comienzan a esperar y eventualmente a un conjunto de pasos en lo que parece ser un patio de corte.")</f>
        <v>Las cuatro personas luego se mueven frente a un edificio y comienzan a esperar y eventualmente a un conjunto de pasos en lo que parece ser un patio de corte.</v>
      </c>
    </row>
    <row r="20013">
      <c r="A20013" s="4" t="s">
        <v>25190</v>
      </c>
      <c r="B20013" s="4" t="s">
        <v>25191</v>
      </c>
      <c r="C20013" s="5" t="str">
        <f>IFERROR(__xludf.DUMMYFUNCTION("GOOGLETRANSLATE(B20013,""en"",""es-ES"")"),"Se ve a un hombre parado en un garaje y procede a tocar un juego de gaitas.")</f>
        <v>Se ve a un hombre parado en un garaje y procede a tocar un juego de gaitas.</v>
      </c>
    </row>
    <row r="20014">
      <c r="A20014" s="4" t="s">
        <v>25190</v>
      </c>
      <c r="B20014" s="4" t="s">
        <v>25192</v>
      </c>
      <c r="C20014" s="5" t="str">
        <f>IFERROR(__xludf.DUMMYFUNCTION("GOOGLETRANSLATE(B20014,""en"",""es-ES"")"),"El hombre continúa tocando el instrumento mientras se mueve las manos y se detiene al final para apagar la cámara.")</f>
        <v>El hombre continúa tocando el instrumento mientras se mueve las manos y se detiene al final para apagar la cámara.</v>
      </c>
    </row>
    <row r="20015">
      <c r="A20015" s="4" t="s">
        <v>25193</v>
      </c>
      <c r="B20015" s="4" t="s">
        <v>25194</v>
      </c>
      <c r="C20015" s="5" t="str">
        <f>IFERROR(__xludf.DUMMYFUNCTION("GOOGLETRANSLATE(B20015,""en"",""es-ES"")"),"Varios pares de personas están en el desierto sosteniendo un palo selfie mientras viajan en camellos.")</f>
        <v>Varios pares de personas están en el desierto sosteniendo un palo selfie mientras viajan en camellos.</v>
      </c>
    </row>
    <row r="20016">
      <c r="A20016" s="4" t="s">
        <v>25193</v>
      </c>
      <c r="B20016" s="4" t="s">
        <v>25195</v>
      </c>
      <c r="C20016" s="5" t="str">
        <f>IFERROR(__xludf.DUMMYFUNCTION("GOOGLETRANSLATE(B20016,""en"",""es-ES"")"),"A medida que continúan, algunas personas vienen y comienzan a filmar a las personas con su propia cámara.")</f>
        <v>A medida que continúan, algunas personas vienen y comienzan a filmar a las personas con su propia cámara.</v>
      </c>
    </row>
    <row r="20017">
      <c r="A20017" s="4" t="s">
        <v>25193</v>
      </c>
      <c r="B20017" s="4" t="s">
        <v>25196</v>
      </c>
      <c r="C20017" s="5" t="str">
        <f>IFERROR(__xludf.DUMMYFUNCTION("GOOGLETRANSLATE(B20017,""en"",""es-ES"")"),"Ahora, una línea de personas está en la arena de pie mirándolas mientras las personas en el camello comienzan a hablar con ellos.")</f>
        <v>Ahora, una línea de personas está en la arena de pie mirándolas mientras las personas en el camello comienzan a hablar con ellos.</v>
      </c>
    </row>
    <row r="20018">
      <c r="A20018" s="4" t="s">
        <v>25197</v>
      </c>
      <c r="B20018" s="4" t="s">
        <v>25198</v>
      </c>
      <c r="C20018" s="5" t="str">
        <f>IFERROR(__xludf.DUMMYFUNCTION("GOOGLETRANSLATE(B20018,""en"",""es-ES"")"),"Aparece una pantalla blanca y aparecen letras verdes en el medio de la pantalla y leen ""EHOW"" y cambia a una pantalla azul que tiene una gran palabra blanca que lee ""salud"" debajo de un pequeño cuadrado blanco que contiene el ehow verde.")</f>
        <v>Aparece una pantalla blanca y aparecen letras verdes en el medio de la pantalla y leen "EHOW" y cambia a una pantalla azul que tiene una gran palabra blanca que lee "salud" debajo de un pequeño cuadrado blanco que contiene el ehow verde.</v>
      </c>
    </row>
    <row r="20019">
      <c r="A20019" s="4" t="s">
        <v>25197</v>
      </c>
      <c r="B20019" s="4" t="s">
        <v>25199</v>
      </c>
      <c r="C20019" s="5" t="str">
        <f>IFERROR(__xludf.DUMMYFUNCTION("GOOGLETRANSLATE(B20019,""en"",""es-ES"")"),"Un hombre que usa ropa atlética está parada en un gimnasio cubierto haciendo algunos ejercicios de lucha y cuando se detiene para hablar, una pancarta en la parte inferior izquierda dice que su nombre es Steve Hess y es un entrenador personal.")</f>
        <v>Un hombre que usa ropa atlética está parada en un gimnasio cubierto haciendo algunos ejercicios de lucha y cuando se detiene para hablar, una pancarta en la parte inferior izquierda dice que su nombre es Steve Hess y es un entrenador personal.</v>
      </c>
    </row>
    <row r="20020">
      <c r="A20020" s="4" t="s">
        <v>25197</v>
      </c>
      <c r="B20020" s="4" t="s">
        <v>25200</v>
      </c>
      <c r="C20020" s="5" t="str">
        <f>IFERROR(__xludf.DUMMYFUNCTION("GOOGLETRANSLATE(B20020,""en"",""es-ES"")"),"Mientras habla, el hombre también está haciendo movimientos de brazos y piernas y la cámara se acerca para mostrar todo su cuerpo.")</f>
        <v>Mientras habla, el hombre también está haciendo movimientos de brazos y piernas y la cámara se acerca para mostrar todo su cuerpo.</v>
      </c>
    </row>
    <row r="20021">
      <c r="A20021" s="4" t="s">
        <v>25197</v>
      </c>
      <c r="B20021" s="4" t="s">
        <v>25201</v>
      </c>
      <c r="C20021" s="5" t="str">
        <f>IFERROR(__xludf.DUMMYFUNCTION("GOOGLETRANSLATE(B20021,""en"",""es-ES"")"),"Cuando el hombre se realiza, aparece la misma pantalla azul desde el principio y termina con la misma pantalla blanca con el verde escrito en el medio.")</f>
        <v>Cuando el hombre se realiza, aparece la misma pantalla azul desde el principio y termina con la misma pantalla blanca con el verde escrito en el medio.</v>
      </c>
    </row>
    <row r="20022">
      <c r="A20022" s="4" t="s">
        <v>25202</v>
      </c>
      <c r="B20022" s="4" t="s">
        <v>25203</v>
      </c>
      <c r="C20022" s="5" t="str">
        <f>IFERROR(__xludf.DUMMYFUNCTION("GOOGLETRANSLATE(B20022,""en"",""es-ES"")"),"Se ve a una persona parada en un par de esquís, mientras que otros se mueven alrededor de un área.")</f>
        <v>Se ve a una persona parada en un par de esquís, mientras que otros se mueven alrededor de un área.</v>
      </c>
    </row>
    <row r="20023">
      <c r="A20023" s="4" t="s">
        <v>25202</v>
      </c>
      <c r="B20023" s="4" t="s">
        <v>25204</v>
      </c>
      <c r="C20023" s="5" t="str">
        <f>IFERROR(__xludf.DUMMYFUNCTION("GOOGLETRANSLATE(B20023,""en"",""es-ES"")"),"Una persona se sienta en un tubo mientras otras caminan por detrás.")</f>
        <v>Una persona se sienta en un tubo mientras otras caminan por detrás.</v>
      </c>
    </row>
    <row r="20024">
      <c r="A20024" s="4" t="s">
        <v>25202</v>
      </c>
      <c r="B20024" s="4" t="s">
        <v>25205</v>
      </c>
      <c r="C20024" s="5" t="str">
        <f>IFERROR(__xludf.DUMMYFUNCTION("GOOGLETRANSLATE(B20024,""en"",""es-ES"")"),"Luego, una persona patea a la persona en el tubo cuesta abajo.")</f>
        <v>Luego, una persona patea a la persona en el tubo cuesta abajo.</v>
      </c>
    </row>
    <row r="20025">
      <c r="A20025" s="4" t="s">
        <v>25206</v>
      </c>
      <c r="B20025" s="4" t="s">
        <v>25207</v>
      </c>
      <c r="C20025" s="5" t="str">
        <f>IFERROR(__xludf.DUMMYFUNCTION("GOOGLETRANSLATE(B20025,""en"",""es-ES"")"),"Un hombre se acerca a un conjunto de barras desiguales, mientras que un hombre se voltea detrás de él y comienza a realizar una rutina de gimnasia.")</f>
        <v>Un hombre se acerca a un conjunto de barras desiguales, mientras que un hombre se voltea detrás de él y comienza a realizar una rutina de gimnasia.</v>
      </c>
    </row>
    <row r="20026">
      <c r="A20026" s="4" t="s">
        <v>25206</v>
      </c>
      <c r="B20026" s="4" t="s">
        <v>25208</v>
      </c>
      <c r="C20026" s="5" t="str">
        <f>IFERROR(__xludf.DUMMYFUNCTION("GOOGLETRANSLATE(B20026,""en"",""es-ES"")"),"El hombre se voltea y se gira sobre las barras y termina saltando hacia abajo y agitando las manos.")</f>
        <v>El hombre se voltea y se gira sobre las barras y termina saltando hacia abajo y agitando las manos.</v>
      </c>
    </row>
    <row r="20027">
      <c r="A20027" s="4" t="s">
        <v>25209</v>
      </c>
      <c r="B20027" s="4" t="s">
        <v>25210</v>
      </c>
      <c r="C20027" s="5" t="str">
        <f>IFERROR(__xludf.DUMMYFUNCTION("GOOGLETRANSLATE(B20027,""en"",""es-ES"")"),"Se ve a un hombre con un delantal frente al fregadero apilado con muchos platos.")</f>
        <v>Se ve a un hombre con un delantal frente al fregadero apilado con muchos platos.</v>
      </c>
    </row>
    <row r="20028">
      <c r="A20028" s="4" t="s">
        <v>25209</v>
      </c>
      <c r="B20028" s="4" t="s">
        <v>25211</v>
      </c>
      <c r="C20028" s="5" t="str">
        <f>IFERROR(__xludf.DUMMYFUNCTION("GOOGLETRANSLATE(B20028,""en"",""es-ES"")"),"El hombre comienza a lavar los platos con un movimiento rápido y arrojándolos a una pila.")</f>
        <v>El hombre comienza a lavar los platos con un movimiento rápido y arrojándolos a una pila.</v>
      </c>
    </row>
    <row r="20029">
      <c r="A20029" s="4" t="s">
        <v>25209</v>
      </c>
      <c r="B20029" s="4" t="s">
        <v>25212</v>
      </c>
      <c r="C20029" s="5" t="str">
        <f>IFERROR(__xludf.DUMMYFUNCTION("GOOGLETRANSLATE(B20029,""en"",""es-ES"")"),"El hombre continúa lavando los platos mientras mira hacia la cámara.")</f>
        <v>El hombre continúa lavando los platos mientras mira hacia la cámara.</v>
      </c>
    </row>
    <row r="20030">
      <c r="A20030" s="4" t="s">
        <v>25213</v>
      </c>
      <c r="B20030" s="4" t="s">
        <v>25214</v>
      </c>
      <c r="C20030" s="5" t="str">
        <f>IFERROR(__xludf.DUMMYFUNCTION("GOOGLETRANSLATE(B20030,""en"",""es-ES"")"),"Se ve a un hombre doblándose antes de un gran peso mientras mira a lo lejos.")</f>
        <v>Se ve a un hombre doblándose antes de un gran peso mientras mira a lo lejos.</v>
      </c>
    </row>
    <row r="20031">
      <c r="A20031" s="4" t="s">
        <v>25213</v>
      </c>
      <c r="B20031" s="4" t="s">
        <v>25215</v>
      </c>
      <c r="C20031" s="5" t="str">
        <f>IFERROR(__xludf.DUMMYFUNCTION("GOOGLETRANSLATE(B20031,""en"",""es-ES"")"),"Luego recoge el peso sobre su cabeza.")</f>
        <v>Luego recoge el peso sobre su cabeza.</v>
      </c>
    </row>
    <row r="20032">
      <c r="A20032" s="4" t="s">
        <v>25213</v>
      </c>
      <c r="B20032" s="4" t="s">
        <v>25216</v>
      </c>
      <c r="C20032" s="5" t="str">
        <f>IFERROR(__xludf.DUMMYFUNCTION("GOOGLETRANSLATE(B20032,""en"",""es-ES"")"),"Finalmente arroja el peso al suelo.")</f>
        <v>Finalmente arroja el peso al suelo.</v>
      </c>
    </row>
    <row r="20033">
      <c r="A20033" s="4" t="s">
        <v>25217</v>
      </c>
      <c r="B20033" s="4" t="s">
        <v>25218</v>
      </c>
      <c r="C20033" s="5" t="str">
        <f>IFERROR(__xludf.DUMMYFUNCTION("GOOGLETRANSLATE(B20033,""en"",""es-ES"")"),"Un bebé está sentado en un columpio, balanceándose suavemente.")</f>
        <v>Un bebé está sentado en un columpio, balanceándose suavemente.</v>
      </c>
    </row>
    <row r="20034">
      <c r="A20034" s="4" t="s">
        <v>25217</v>
      </c>
      <c r="B20034" s="4" t="s">
        <v>25219</v>
      </c>
      <c r="C20034" s="5" t="str">
        <f>IFERROR(__xludf.DUMMYFUNCTION("GOOGLETRANSLATE(B20034,""en"",""es-ES"")"),"Se ve a una niña balanceándose de un lado a otro.")</f>
        <v>Se ve a una niña balanceándose de un lado a otro.</v>
      </c>
    </row>
    <row r="20035">
      <c r="A20035" s="4" t="s">
        <v>25217</v>
      </c>
      <c r="B20035" s="4" t="s">
        <v>25220</v>
      </c>
      <c r="C20035" s="5" t="str">
        <f>IFERROR(__xludf.DUMMYFUNCTION("GOOGLETRANSLATE(B20035,""en"",""es-ES"")"),"Luego, un niño pequeño y un bebé se miran mientras continúan balanceándose ligeramente.")</f>
        <v>Luego, un niño pequeño y un bebé se miran mientras continúan balanceándose ligeramente.</v>
      </c>
    </row>
    <row r="20036">
      <c r="A20036" s="4" t="s">
        <v>25221</v>
      </c>
      <c r="B20036" s="4" t="s">
        <v>25222</v>
      </c>
      <c r="C20036" s="5" t="str">
        <f>IFERROR(__xludf.DUMMYFUNCTION("GOOGLETRANSLATE(B20036,""en"",""es-ES"")"),"Una mujer está de pie en una habitación, rodeada de equipo de yoga.")</f>
        <v>Una mujer está de pie en una habitación, rodeada de equipo de yoga.</v>
      </c>
    </row>
    <row r="20037">
      <c r="A20037" s="4" t="s">
        <v>25221</v>
      </c>
      <c r="B20037" s="4" t="s">
        <v>25223</v>
      </c>
      <c r="C20037" s="5" t="str">
        <f>IFERROR(__xludf.DUMMYFUNCTION("GOOGLETRANSLATE(B20037,""en"",""es-ES"")"),"Luego muestra cómo usar un paso a paso para hacer ejercicio, pisando y apagando, de lado a lado.")</f>
        <v>Luego muestra cómo usar un paso a paso para hacer ejercicio, pisando y apagando, de lado a lado.</v>
      </c>
    </row>
    <row r="20038">
      <c r="A20038" s="4" t="s">
        <v>25221</v>
      </c>
      <c r="B20038" s="4" t="s">
        <v>25224</v>
      </c>
      <c r="C20038" s="5" t="str">
        <f>IFERROR(__xludf.DUMMYFUNCTION("GOOGLETRANSLATE(B20038,""en"",""es-ES"")"),"Ella habla un poco más sobre el ejercicio.")</f>
        <v>Ella habla un poco más sobre el ejercicio.</v>
      </c>
    </row>
    <row r="20039">
      <c r="A20039" s="4" t="s">
        <v>25225</v>
      </c>
      <c r="B20039" s="4" t="s">
        <v>25226</v>
      </c>
      <c r="C20039" s="5" t="str">
        <f>IFERROR(__xludf.DUMMYFUNCTION("GOOGLETRANSLATE(B20039,""en"",""es-ES"")"),"Los hombres están jugando a la pelota de pared en una habitación una contra la otra.")</f>
        <v>Los hombres están jugando a la pelota de pared en una habitación una contra la otra.</v>
      </c>
    </row>
    <row r="20040">
      <c r="A20040" s="4" t="s">
        <v>25225</v>
      </c>
      <c r="B20040" s="4" t="s">
        <v>25227</v>
      </c>
      <c r="C20040" s="5" t="str">
        <f>IFERROR(__xludf.DUMMYFUNCTION("GOOGLETRANSLATE(B20040,""en"",""es-ES"")"),"Un hombre con una camisa roja y gafas está hablando.")</f>
        <v>Un hombre con una camisa roja y gafas está hablando.</v>
      </c>
    </row>
    <row r="20041">
      <c r="A20041" s="4" t="s">
        <v>25225</v>
      </c>
      <c r="B20041" s="4" t="s">
        <v>25228</v>
      </c>
      <c r="C20041" s="5" t="str">
        <f>IFERROR(__xludf.DUMMYFUNCTION("GOOGLETRANSLATE(B20041,""en"",""es-ES"")"),"Un hombre con una camisa negra habla con un hombre con una camisa roja.")</f>
        <v>Un hombre con una camisa negra habla con un hombre con una camisa roja.</v>
      </c>
    </row>
    <row r="20042">
      <c r="A20042" s="4" t="s">
        <v>25225</v>
      </c>
      <c r="B20042" s="4" t="s">
        <v>25229</v>
      </c>
      <c r="C20042" s="5" t="str">
        <f>IFERROR(__xludf.DUMMYFUNCTION("GOOGLETRANSLATE(B20042,""en"",""es-ES"")"),"Los documentos se muestran en la pantalla.")</f>
        <v>Los documentos se muestran en la pantalla.</v>
      </c>
    </row>
    <row r="20043">
      <c r="A20043" s="4" t="s">
        <v>25225</v>
      </c>
      <c r="B20043" s="4" t="s">
        <v>25230</v>
      </c>
      <c r="C20043" s="5" t="str">
        <f>IFERROR(__xludf.DUMMYFUNCTION("GOOGLETRANSLATE(B20043,""en"",""es-ES"")"),"El hombre continúa hablando con el micrófono.")</f>
        <v>El hombre continúa hablando con el micrófono.</v>
      </c>
    </row>
    <row r="20044">
      <c r="A20044" s="4" t="s">
        <v>25225</v>
      </c>
      <c r="B20044" s="4" t="s">
        <v>25231</v>
      </c>
      <c r="C20044" s="5" t="str">
        <f>IFERROR(__xludf.DUMMYFUNCTION("GOOGLETRANSLATE(B20044,""en"",""es-ES"")"),"Un hombre con una camisa negra está hablando.")</f>
        <v>Un hombre con una camisa negra está hablando.</v>
      </c>
    </row>
    <row r="20045">
      <c r="A20045" s="4" t="s">
        <v>25225</v>
      </c>
      <c r="B20045" s="4" t="s">
        <v>25232</v>
      </c>
      <c r="C20045" s="5" t="str">
        <f>IFERROR(__xludf.DUMMYFUNCTION("GOOGLETRANSLATE(B20045,""en"",""es-ES"")"),"Los hombres están jugando más bola de pared.")</f>
        <v>Los hombres están jugando más bola de pared.</v>
      </c>
    </row>
    <row r="20046">
      <c r="A20046" s="4" t="s">
        <v>25233</v>
      </c>
      <c r="B20046" s="4" t="s">
        <v>25234</v>
      </c>
      <c r="C20046" s="5" t="str">
        <f>IFERROR(__xludf.DUMMYFUNCTION("GOOGLETRANSLATE(B20046,""en"",""es-ES"")"),"La gente está en un escenario tocando instrumentos.")</f>
        <v>La gente está en un escenario tocando instrumentos.</v>
      </c>
    </row>
    <row r="20047">
      <c r="A20047" s="4" t="s">
        <v>25233</v>
      </c>
      <c r="B20047" s="4" t="s">
        <v>25235</v>
      </c>
      <c r="C20047" s="5" t="str">
        <f>IFERROR(__xludf.DUMMYFUNCTION("GOOGLETRANSLATE(B20047,""en"",""es-ES"")"),"Un hombre con una camisa negra está tocando una batería.")</f>
        <v>Un hombre con una camisa negra está tocando una batería.</v>
      </c>
    </row>
    <row r="20048">
      <c r="A20048" s="4" t="s">
        <v>25233</v>
      </c>
      <c r="B20048" s="4" t="s">
        <v>25236</v>
      </c>
      <c r="C20048" s="5" t="str">
        <f>IFERROR(__xludf.DUMMYFUNCTION("GOOGLETRANSLATE(B20048,""en"",""es-ES"")"),"Un hombre con una camisa verde toca una guitarra en el frente del escenario.")</f>
        <v>Un hombre con una camisa verde toca una guitarra en el frente del escenario.</v>
      </c>
    </row>
    <row r="20049">
      <c r="A20049" s="4" t="s">
        <v>25237</v>
      </c>
      <c r="B20049" s="4" t="s">
        <v>25238</v>
      </c>
      <c r="C20049" s="5" t="str">
        <f>IFERROR(__xludf.DUMMYFUNCTION("GOOGLETRANSLATE(B20049,""en"",""es-ES"")"),"Dos científicos arroja piedras al agua mientras habla.")</f>
        <v>Dos científicos arroja piedras al agua mientras habla.</v>
      </c>
    </row>
    <row r="20050">
      <c r="A20050" s="4" t="s">
        <v>25237</v>
      </c>
      <c r="B20050" s="4" t="s">
        <v>25239</v>
      </c>
      <c r="C20050" s="5" t="str">
        <f>IFERROR(__xludf.DUMMYFUNCTION("GOOGLETRANSLATE(B20050,""en"",""es-ES"")"),"Los científicos escriben una fórmula en un tablero, luego los científicos corren y saltan al agua.")</f>
        <v>Los científicos escriben una fórmula en un tablero, luego los científicos corren y saltan al agua.</v>
      </c>
    </row>
    <row r="20051">
      <c r="A20051" s="4" t="s">
        <v>25237</v>
      </c>
      <c r="B20051" s="4" t="s">
        <v>25240</v>
      </c>
      <c r="C20051" s="5" t="str">
        <f>IFERROR(__xludf.DUMMYFUNCTION("GOOGLETRANSLATE(B20051,""en"",""es-ES"")"),"Luego, la gente es esquiar en el agua que tira de un bote.")</f>
        <v>Luego, la gente es esquiar en el agua que tira de un bote.</v>
      </c>
    </row>
    <row r="20052">
      <c r="A20052" s="4" t="s">
        <v>25237</v>
      </c>
      <c r="B20052" s="4" t="s">
        <v>25241</v>
      </c>
      <c r="C20052" s="5" t="str">
        <f>IFERROR(__xludf.DUMMYFUNCTION("GOOGLETRANSLATE(B20052,""en"",""es-ES"")"),"Una mujer esquí de agua mientras dos hombres explica los movimientos realizados por la niña.")</f>
        <v>Una mujer esquí de agua mientras dos hombres explica los movimientos realizados por la niña.</v>
      </c>
    </row>
    <row r="20053">
      <c r="A20053" s="4" t="s">
        <v>25237</v>
      </c>
      <c r="B20053" s="4" t="s">
        <v>25242</v>
      </c>
      <c r="C20053" s="5" t="str">
        <f>IFERROR(__xludf.DUMMYFUNCTION("GOOGLETRANSLATE(B20053,""en"",""es-ES"")"),"Después, un hombre de esquí acuático que sostiene una cuerda del cielo acuático se ata a un poste mientras una persona mira, luego cae en el agua.")</f>
        <v>Después, un hombre de esquí acuático que sostiene una cuerda del cielo acuático se ata a un poste mientras una persona mira, luego cae en el agua.</v>
      </c>
    </row>
    <row r="20054">
      <c r="A20054" s="4" t="s">
        <v>25237</v>
      </c>
      <c r="B20054" s="4" t="s">
        <v>25243</v>
      </c>
      <c r="C20054" s="5" t="str">
        <f>IFERROR(__xludf.DUMMYFUNCTION("GOOGLETRANSLATE(B20054,""en"",""es-ES"")"),"Después, una persona es esquiar en agua y luego cae en el agua.")</f>
        <v>Después, una persona es esquiar en agua y luego cae en el agua.</v>
      </c>
    </row>
    <row r="20055">
      <c r="A20055" s="4" t="s">
        <v>25244</v>
      </c>
      <c r="B20055" s="4" t="s">
        <v>25245</v>
      </c>
      <c r="C20055" s="5" t="str">
        <f>IFERROR(__xludf.DUMMYFUNCTION("GOOGLETRANSLATE(B20055,""en"",""es-ES"")"),"Se muestra a un nadador poniéndose sus gafas y extender las manos antes de sumergirse en una piscina.")</f>
        <v>Se muestra a un nadador poniéndose sus gafas y extender las manos antes de sumergirse en una piscina.</v>
      </c>
    </row>
    <row r="20056">
      <c r="A20056" s="4" t="s">
        <v>25244</v>
      </c>
      <c r="B20056" s="4" t="s">
        <v>25246</v>
      </c>
      <c r="C20056" s="5" t="str">
        <f>IFERROR(__xludf.DUMMYFUNCTION("GOOGLETRANSLATE(B20056,""en"",""es-ES"")"),"Se muestra una vista lateral del hombre mientras hace el golpe lateral debajo del agua.")</f>
        <v>Se muestra una vista lateral del hombre mientras hace el golpe lateral debajo del agua.</v>
      </c>
    </row>
    <row r="20057">
      <c r="A20057" s="4" t="s">
        <v>25244</v>
      </c>
      <c r="B20057" s="4" t="s">
        <v>25247</v>
      </c>
      <c r="C20057" s="5" t="str">
        <f>IFERROR(__xludf.DUMMYFUNCTION("GOOGLETRANSLATE(B20057,""en"",""es-ES"")"),"El hombre continúa nadando y varias técnicas suyas se resaltan, como la forma en que su mano está esposada y la posición de sus piernas.")</f>
        <v>El hombre continúa nadando y varias técnicas suyas se resaltan, como la forma en que su mano está esposada y la posición de sus piernas.</v>
      </c>
    </row>
    <row r="20058">
      <c r="A20058" s="4" t="s">
        <v>25248</v>
      </c>
      <c r="B20058" s="4" t="s">
        <v>25249</v>
      </c>
      <c r="C20058" s="5" t="str">
        <f>IFERROR(__xludf.DUMMYFUNCTION("GOOGLETRANSLATE(B20058,""en"",""es-ES"")"),"Se muestran los créditos de los clips.")</f>
        <v>Se muestran los créditos de los clips.</v>
      </c>
    </row>
    <row r="20059">
      <c r="A20059" s="4" t="s">
        <v>25248</v>
      </c>
      <c r="B20059" s="4" t="s">
        <v>25250</v>
      </c>
      <c r="C20059" s="5" t="str">
        <f>IFERROR(__xludf.DUMMYFUNCTION("GOOGLETRANSLATE(B20059,""en"",""es-ES"")"),"La gente de Black juega a Dodge Ball en una cancha.")</f>
        <v>La gente de Black juega a Dodge Ball en una cancha.</v>
      </c>
    </row>
    <row r="20060">
      <c r="A20060" s="4" t="s">
        <v>25248</v>
      </c>
      <c r="B20060" s="4" t="s">
        <v>25251</v>
      </c>
      <c r="C20060" s="5" t="str">
        <f>IFERROR(__xludf.DUMMYFUNCTION("GOOGLETRANSLATE(B20060,""en"",""es-ES"")"),"Un chico se sumerge en el suelo para evitar que la pelota lo golpee.")</f>
        <v>Un chico se sumerge en el suelo para evitar que la pelota lo golpee.</v>
      </c>
    </row>
    <row r="20061">
      <c r="A20061" s="4" t="s">
        <v>25252</v>
      </c>
      <c r="B20061" s="4" t="s">
        <v>25253</v>
      </c>
      <c r="C20061" s="5" t="str">
        <f>IFERROR(__xludf.DUMMYFUNCTION("GOOGLETRANSLATE(B20061,""en"",""es-ES"")"),"Un hombre está acostado en la cama y mira su teléfono.")</f>
        <v>Un hombre está acostado en la cama y mira su teléfono.</v>
      </c>
    </row>
    <row r="20062">
      <c r="A20062" s="4" t="s">
        <v>25252</v>
      </c>
      <c r="B20062" s="4" t="s">
        <v>25254</v>
      </c>
      <c r="C20062" s="5" t="str">
        <f>IFERROR(__xludf.DUMMYFUNCTION("GOOGLETRANSLATE(B20062,""en"",""es-ES"")"),"Se encuentra con una habitación y se viste.")</f>
        <v>Se encuentra con una habitación y se viste.</v>
      </c>
    </row>
    <row r="20063">
      <c r="A20063" s="4" t="s">
        <v>25252</v>
      </c>
      <c r="B20063" s="4" t="s">
        <v>25255</v>
      </c>
      <c r="C20063" s="5" t="str">
        <f>IFERROR(__xludf.DUMMYFUNCTION("GOOGLETRANSLATE(B20063,""en"",""es-ES"")"),"Se sienta en su cama y se pone los zapatos.")</f>
        <v>Se sienta en su cama y se pone los zapatos.</v>
      </c>
    </row>
    <row r="20064">
      <c r="A20064" s="4" t="s">
        <v>25252</v>
      </c>
      <c r="B20064" s="4" t="s">
        <v>25256</v>
      </c>
      <c r="C20064" s="5" t="str">
        <f>IFERROR(__xludf.DUMMYFUNCTION("GOOGLETRANSLATE(B20064,""en"",""es-ES"")"),"Se levanta y sale corriendo por la puerta.")</f>
        <v>Se levanta y sale corriendo por la puerta.</v>
      </c>
    </row>
    <row r="20065">
      <c r="A20065" s="4" t="s">
        <v>25257</v>
      </c>
      <c r="B20065" s="4" t="s">
        <v>25258</v>
      </c>
      <c r="C20065" s="5" t="str">
        <f>IFERROR(__xludf.DUMMYFUNCTION("GOOGLETRANSLATE(B20065,""en"",""es-ES"")"),"Aparece una pantalla negra con palabras blancas que decían ""Cómo pintar una puerta con paneles"".")</f>
        <v>Aparece una pantalla negra con palabras blancas que decían "Cómo pintar una puerta con paneles".</v>
      </c>
    </row>
    <row r="20066">
      <c r="A20066" s="4" t="s">
        <v>25257</v>
      </c>
      <c r="B20066" s="4" t="s">
        <v>25259</v>
      </c>
      <c r="C20066" s="5" t="str">
        <f>IFERROR(__xludf.DUMMYFUNCTION("GOOGLETRANSLATE(B20066,""en"",""es-ES"")"),"Luego, un hombre aparece frente a una puerta roja que se inclina contra una pared que tiene plástico, y está hablando y tocando la puerta.")</f>
        <v>Luego, un hombre aparece frente a una puerta roja que se inclina contra una pared que tiene plástico, y está hablando y tocando la puerta.</v>
      </c>
    </row>
    <row r="20067">
      <c r="A20067" s="4" t="s">
        <v>25257</v>
      </c>
      <c r="B20067" s="4" t="s">
        <v>25260</v>
      </c>
      <c r="C20067" s="5" t="str">
        <f>IFERROR(__xludf.DUMMYFUNCTION("GOOGLETRANSLATE(B20067,""en"",""es-ES"")"),"El hombre luego toma un pincel y comienza a pintar en pintura varias partes de la puerta mientras continúa hablando.")</f>
        <v>El hombre luego toma un pincel y comienza a pintar en pintura varias partes de la puerta mientras continúa hablando.</v>
      </c>
    </row>
    <row r="20068">
      <c r="A20068" s="4" t="s">
        <v>25257</v>
      </c>
      <c r="B20068" s="4" t="s">
        <v>25261</v>
      </c>
      <c r="C20068" s="5" t="str">
        <f>IFERROR(__xludf.DUMMYFUNCTION("GOOGLETRANSLATE(B20068,""en"",""es-ES"")"),"El hombre deja de pintar y comienza a hablar mientras señala algunas cosas en la puerta.")</f>
        <v>El hombre deja de pintar y comienza a hablar mientras señala algunas cosas en la puerta.</v>
      </c>
    </row>
    <row r="20069">
      <c r="A20069" s="4" t="s">
        <v>25257</v>
      </c>
      <c r="B20069" s="4" t="s">
        <v>25262</v>
      </c>
      <c r="C20069" s="5" t="str">
        <f>IFERROR(__xludf.DUMMYFUNCTION("GOOGLETRANSLATE(B20069,""en"",""es-ES"")"),"Aparece una pantalla negra con palabras blancas que incluyen un sitio web si alguien quiere más información.")</f>
        <v>Aparece una pantalla negra con palabras blancas que incluyen un sitio web si alguien quiere más información.</v>
      </c>
    </row>
    <row r="20070">
      <c r="A20070" s="4" t="s">
        <v>25263</v>
      </c>
      <c r="B20070" s="4" t="s">
        <v>25264</v>
      </c>
      <c r="C20070" s="5" t="str">
        <f>IFERROR(__xludf.DUMMYFUNCTION("GOOGLETRANSLATE(B20070,""en"",""es-ES"")"),"Se ve a una mujer secándose los pies y entrando en un pozo circular.")</f>
        <v>Se ve a una mujer secándose los pies y entrando en un pozo circular.</v>
      </c>
    </row>
    <row r="20071">
      <c r="A20071" s="4" t="s">
        <v>25263</v>
      </c>
      <c r="B20071" s="4" t="s">
        <v>25265</v>
      </c>
      <c r="C20071" s="5" t="str">
        <f>IFERROR(__xludf.DUMMYFUNCTION("GOOGLETRANSLATE(B20071,""en"",""es-ES"")"),"La mujer luego gira y arroja una discusión al aire mientras la cámara la sigue.")</f>
        <v>La mujer luego gira y arroja una discusión al aire mientras la cámara la sigue.</v>
      </c>
    </row>
    <row r="20072">
      <c r="A20072" s="4" t="s">
        <v>25266</v>
      </c>
      <c r="B20072" s="4" t="s">
        <v>25267</v>
      </c>
      <c r="C20072" s="5" t="str">
        <f>IFERROR(__xludf.DUMMYFUNCTION("GOOGLETRANSLATE(B20072,""en"",""es-ES"")"),"Un buzo profesional llamado Pandelela Rinong se está preparando para bucear en una competencia.")</f>
        <v>Un buzo profesional llamado Pandelela Rinong se está preparando para bucear en una competencia.</v>
      </c>
    </row>
    <row r="20073">
      <c r="A20073" s="4" t="s">
        <v>25266</v>
      </c>
      <c r="B20073" s="4" t="s">
        <v>25268</v>
      </c>
      <c r="C20073" s="5" t="str">
        <f>IFERROR(__xludf.DUMMYFUNCTION("GOOGLETRANSLATE(B20073,""en"",""es-ES"")"),"Ella avanza en el tablero de buceo y se sumerge hacia atrás en la piscina desde varios pies.")</f>
        <v>Ella avanza en el tablero de buceo y se sumerge hacia atrás en la piscina desde varios pies.</v>
      </c>
    </row>
    <row r="20074">
      <c r="A20074" s="4" t="s">
        <v>25266</v>
      </c>
      <c r="B20074" s="4" t="s">
        <v>25269</v>
      </c>
      <c r="C20074" s="5" t="str">
        <f>IFERROR(__xludf.DUMMYFUNCTION("GOOGLETRANSLATE(B20074,""en"",""es-ES"")"),"Ella gira su cuerpo mientras se sumerge en la piscina.")</f>
        <v>Ella gira su cuerpo mientras se sumerge en la piscina.</v>
      </c>
    </row>
    <row r="20075">
      <c r="A20075" s="4" t="s">
        <v>25266</v>
      </c>
      <c r="B20075" s="4" t="s">
        <v>25270</v>
      </c>
      <c r="C20075" s="5" t="str">
        <f>IFERROR(__xludf.DUMMYFUNCTION("GOOGLETRANSLATE(B20075,""en"",""es-ES"")"),"Después de que termina, sonríe y sale de la piscina.")</f>
        <v>Después de que termina, sonríe y sale de la piscina.</v>
      </c>
    </row>
    <row r="20076">
      <c r="A20076" s="4" t="s">
        <v>25271</v>
      </c>
      <c r="B20076" s="4" t="s">
        <v>25272</v>
      </c>
      <c r="C20076" s="5" t="str">
        <f>IFERROR(__xludf.DUMMYFUNCTION("GOOGLETRANSLATE(B20076,""en"",""es-ES"")"),"Varios jugadores a caballo están jugando al cricket en un campo.")</f>
        <v>Varios jugadores a caballo están jugando al cricket en un campo.</v>
      </c>
    </row>
    <row r="20077">
      <c r="A20077" s="4" t="s">
        <v>25271</v>
      </c>
      <c r="B20077" s="4" t="s">
        <v>25273</v>
      </c>
      <c r="C20077" s="5" t="str">
        <f>IFERROR(__xludf.DUMMYFUNCTION("GOOGLETRANSLATE(B20077,""en"",""es-ES"")"),"Todos los jugadores viajan en sus caballos a un lado del campo.")</f>
        <v>Todos los jugadores viajan en sus caballos a un lado del campo.</v>
      </c>
    </row>
    <row r="20078">
      <c r="A20078" s="4" t="s">
        <v>25271</v>
      </c>
      <c r="B20078" s="4" t="s">
        <v>25274</v>
      </c>
      <c r="C20078" s="5" t="str">
        <f>IFERROR(__xludf.DUMMYFUNCTION("GOOGLETRANSLATE(B20078,""en"",""es-ES"")"),"El viaje alrededor y alrededor mientras intenta golpear la pelota de cricket.")</f>
        <v>El viaje alrededor y alrededor mientras intenta golpear la pelota de cricket.</v>
      </c>
    </row>
    <row r="20079">
      <c r="A20079" s="4" t="s">
        <v>25271</v>
      </c>
      <c r="B20079" s="4" t="s">
        <v>25275</v>
      </c>
      <c r="C20079" s="5" t="str">
        <f>IFERROR(__xludf.DUMMYFUNCTION("GOOGLETRANSLATE(B20079,""en"",""es-ES"")"),"La pelota es golpeada en el medio del campo lejos de todos los jugadores.")</f>
        <v>La pelota es golpeada en el medio del campo lejos de todos los jugadores.</v>
      </c>
    </row>
    <row r="20080">
      <c r="A20080" s="4" t="s">
        <v>25276</v>
      </c>
      <c r="B20080" s="4" t="s">
        <v>25277</v>
      </c>
      <c r="C20080" s="5" t="str">
        <f>IFERROR(__xludf.DUMMYFUNCTION("GOOGLETRANSLATE(B20080,""en"",""es-ES"")"),"Vemos a un hombre en un camino de entrada limpiando la nieve de su automóvil.")</f>
        <v>Vemos a un hombre en un camino de entrada limpiando la nieve de su automóvil.</v>
      </c>
    </row>
    <row r="20081">
      <c r="A20081" s="4" t="s">
        <v>25276</v>
      </c>
      <c r="B20081" s="4" t="s">
        <v>25278</v>
      </c>
      <c r="C20081" s="5" t="str">
        <f>IFERROR(__xludf.DUMMYFUNCTION("GOOGLETRANSLATE(B20081,""en"",""es-ES"")"),"El hombre limpia la nieve debajo de sus limpiaparabrisas.")</f>
        <v>El hombre limpia la nieve debajo de sus limpiaparabrisas.</v>
      </c>
    </row>
    <row r="20082">
      <c r="A20082" s="4" t="s">
        <v>25276</v>
      </c>
      <c r="B20082" s="4" t="s">
        <v>25279</v>
      </c>
      <c r="C20082" s="5" t="str">
        <f>IFERROR(__xludf.DUMMYFUNCTION("GOOGLETRANSLATE(B20082,""en"",""es-ES"")"),"Vemos el edificio detrás del auto.")</f>
        <v>Vemos el edificio detrás del auto.</v>
      </c>
    </row>
    <row r="20083">
      <c r="A20083" s="4" t="s">
        <v>25276</v>
      </c>
      <c r="B20083" s="4" t="s">
        <v>25280</v>
      </c>
      <c r="C20083" s="5" t="str">
        <f>IFERROR(__xludf.DUMMYFUNCTION("GOOGLETRANSLATE(B20083,""en"",""es-ES"")"),"Hacemos un giro 360 para ver el estacionamiento.")</f>
        <v>Hacemos un giro 360 para ver el estacionamiento.</v>
      </c>
    </row>
    <row r="20084">
      <c r="A20084" s="4" t="s">
        <v>25276</v>
      </c>
      <c r="B20084" s="4" t="s">
        <v>25281</v>
      </c>
      <c r="C20084" s="5" t="str">
        <f>IFERROR(__xludf.DUMMYFUNCTION("GOOGLETRANSLATE(B20084,""en"",""es-ES"")"),"El hombre abre las puertas de su auto y entra.")</f>
        <v>El hombre abre las puertas de su auto y entra.</v>
      </c>
    </row>
    <row r="20085">
      <c r="A20085" s="4" t="s">
        <v>25276</v>
      </c>
      <c r="B20085" s="4" t="s">
        <v>25282</v>
      </c>
      <c r="C20085" s="5" t="str">
        <f>IFERROR(__xludf.DUMMYFUNCTION("GOOGLETRANSLATE(B20085,""en"",""es-ES"")"),"El hombre retrocede y sale del auto.")</f>
        <v>El hombre retrocede y sale del auto.</v>
      </c>
    </row>
    <row r="20086">
      <c r="A20086" s="4" t="s">
        <v>25283</v>
      </c>
      <c r="B20086" s="4" t="s">
        <v>25284</v>
      </c>
      <c r="C20086" s="5" t="str">
        <f>IFERROR(__xludf.DUMMYFUNCTION("GOOGLETRANSLATE(B20086,""en"",""es-ES"")"),"Un grupo de personas vio corriendo alrededor de un campo arenoso jugando un partido de fútbol frente a una gran multitud.")</f>
        <v>Un grupo de personas vio corriendo alrededor de un campo arenoso jugando un partido de fútbol frente a una gran multitud.</v>
      </c>
    </row>
    <row r="20087">
      <c r="A20087" s="4" t="s">
        <v>25283</v>
      </c>
      <c r="B20087" s="4" t="s">
        <v>25285</v>
      </c>
      <c r="C20087" s="5" t="str">
        <f>IFERROR(__xludf.DUMMYFUNCTION("GOOGLETRANSLATE(B20087,""en"",""es-ES"")"),"La gente continúa pateando la pelota con varias bolas más que se están lanzando también.")</f>
        <v>La gente continúa pateando la pelota con varias bolas más que se están lanzando también.</v>
      </c>
    </row>
    <row r="20088">
      <c r="A20088" s="4" t="s">
        <v>25286</v>
      </c>
      <c r="B20088" s="4" t="s">
        <v>25287</v>
      </c>
      <c r="C20088" s="5" t="str">
        <f>IFERROR(__xludf.DUMMYFUNCTION("GOOGLETRANSLATE(B20088,""en"",""es-ES"")"),"Se ve a dos personas sentadas en un banco de esquí poniéndose en equipo y conduce a personas empujando un disco alrededor de una pista de hockey.")</f>
        <v>Se ve a dos personas sentadas en un banco de esquí poniéndose en equipo y conduce a personas empujando un disco alrededor de una pista de hockey.</v>
      </c>
    </row>
    <row r="20089">
      <c r="A20089" s="4" t="s">
        <v>25286</v>
      </c>
      <c r="B20089" s="4" t="s">
        <v>25288</v>
      </c>
      <c r="C20089" s="5" t="str">
        <f>IFERROR(__xludf.DUMMYFUNCTION("GOOGLETRANSLATE(B20089,""en"",""es-ES"")"),"Se muestran varios tiros de los jugadores patinando alrededor del hielo y practicando el deporte del hockey.")</f>
        <v>Se muestran varios tiros de los jugadores patinando alrededor del hielo y practicando el deporte del hockey.</v>
      </c>
    </row>
    <row r="20090">
      <c r="A20090" s="4" t="s">
        <v>25286</v>
      </c>
      <c r="B20090" s="4" t="s">
        <v>25289</v>
      </c>
      <c r="C20090" s="5" t="str">
        <f>IFERROR(__xludf.DUMMYFUNCTION("GOOGLETRANSLATE(B20090,""en"",""es-ES"")"),"Al final, todos se arrodillan uno al lado del otro y patinan.")</f>
        <v>Al final, todos se arrodillan uno al lado del otro y patinan.</v>
      </c>
    </row>
    <row r="20091">
      <c r="A20091" s="4" t="s">
        <v>25290</v>
      </c>
      <c r="B20091" s="4" t="s">
        <v>25291</v>
      </c>
      <c r="C20091" s="5" t="str">
        <f>IFERROR(__xludf.DUMMYFUNCTION("GOOGLETRANSLATE(B20091,""en"",""es-ES"")"),"Un hombre se muestra dentro de una iglesia.")</f>
        <v>Un hombre se muestra dentro de una iglesia.</v>
      </c>
    </row>
    <row r="20092">
      <c r="A20092" s="4" t="s">
        <v>25290</v>
      </c>
      <c r="B20092" s="4" t="s">
        <v>25292</v>
      </c>
      <c r="C20092" s="5" t="str">
        <f>IFERROR(__xludf.DUMMYFUNCTION("GOOGLETRANSLATE(B20092,""en"",""es-ES"")"),"Está jugando un juego de gaitas mientras usa una falda escocesa.")</f>
        <v>Está jugando un juego de gaitas mientras usa una falda escocesa.</v>
      </c>
    </row>
    <row r="20093">
      <c r="A20093" s="4" t="s">
        <v>25290</v>
      </c>
      <c r="B20093" s="4" t="s">
        <v>25293</v>
      </c>
      <c r="C20093" s="5" t="str">
        <f>IFERROR(__xludf.DUMMYFUNCTION("GOOGLETRANSLATE(B20093,""en"",""es-ES"")"),"Él continúa jugando, sin moverse.")</f>
        <v>Él continúa jugando, sin moverse.</v>
      </c>
    </row>
    <row r="20094">
      <c r="A20094" s="4" t="s">
        <v>25294</v>
      </c>
      <c r="B20094" s="4" t="s">
        <v>25295</v>
      </c>
      <c r="C20094" s="5" t="str">
        <f>IFERROR(__xludf.DUMMYFUNCTION("GOOGLETRANSLATE(B20094,""en"",""es-ES"")"),"Una mujer con un top negro y pantalones cortos usa guantes de boxeo.")</f>
        <v>Una mujer con un top negro y pantalones cortos usa guantes de boxeo.</v>
      </c>
    </row>
    <row r="20095">
      <c r="A20095" s="4" t="s">
        <v>25294</v>
      </c>
      <c r="B20095" s="4" t="s">
        <v>25296</v>
      </c>
      <c r="C20095" s="5" t="str">
        <f>IFERROR(__xludf.DUMMYFUNCTION("GOOGLETRANSLATE(B20095,""en"",""es-ES"")"),"Ella se escapa con un hombre de negro.")</f>
        <v>Ella se escapa con un hombre de negro.</v>
      </c>
    </row>
    <row r="20096">
      <c r="A20096" s="4" t="s">
        <v>25294</v>
      </c>
      <c r="B20096" s="4" t="s">
        <v>25297</v>
      </c>
      <c r="C20096" s="5" t="str">
        <f>IFERROR(__xludf.DUMMYFUNCTION("GOOGLETRANSLATE(B20096,""en"",""es-ES"")"),"Ella patea y lo golpea.")</f>
        <v>Ella patea y lo golpea.</v>
      </c>
    </row>
    <row r="20097">
      <c r="A20097" s="4" t="s">
        <v>25294</v>
      </c>
      <c r="B20097" s="4" t="s">
        <v>25298</v>
      </c>
      <c r="C20097" s="5" t="str">
        <f>IFERROR(__xludf.DUMMYFUNCTION("GOOGLETRANSLATE(B20097,""en"",""es-ES"")"),"Ella hace varios ejercicios diferentes.")</f>
        <v>Ella hace varios ejercicios diferentes.</v>
      </c>
    </row>
    <row r="20098">
      <c r="A20098" s="4" t="s">
        <v>25299</v>
      </c>
      <c r="B20098" s="4" t="s">
        <v>1251</v>
      </c>
      <c r="C20098" s="5" t="str">
        <f>IFERROR(__xludf.DUMMYFUNCTION("GOOGLETRANSLATE(B20098,""en"",""es-ES"")"),"Se muestran los créditos del clip.")</f>
        <v>Se muestran los créditos del clip.</v>
      </c>
    </row>
    <row r="20099">
      <c r="A20099" s="4" t="s">
        <v>25299</v>
      </c>
      <c r="B20099" s="4" t="s">
        <v>25300</v>
      </c>
      <c r="C20099" s="5" t="str">
        <f>IFERROR(__xludf.DUMMYFUNCTION("GOOGLETRANSLATE(B20099,""en"",""es-ES"")"),"Los jugadores juegan croquet en un césped.")</f>
        <v>Los jugadores juegan croquet en un césped.</v>
      </c>
    </row>
    <row r="20100">
      <c r="A20100" s="4" t="s">
        <v>25299</v>
      </c>
      <c r="B20100" s="4" t="s">
        <v>25301</v>
      </c>
      <c r="C20100" s="5" t="str">
        <f>IFERROR(__xludf.DUMMYFUNCTION("GOOGLETRANSLATE(B20100,""en"",""es-ES"")"),"Un chico toca una pipa de bolsa en el campo de croquet.")</f>
        <v>Un chico toca una pipa de bolsa en el campo de croquet.</v>
      </c>
    </row>
    <row r="20101">
      <c r="A20101" s="4" t="s">
        <v>25299</v>
      </c>
      <c r="B20101" s="4" t="s">
        <v>25302</v>
      </c>
      <c r="C20101" s="5" t="str">
        <f>IFERROR(__xludf.DUMMYFUNCTION("GOOGLETRANSLATE(B20101,""en"",""es-ES"")"),"Los jugadores se dan la mano para demostrar deportividad.")</f>
        <v>Los jugadores se dan la mano para demostrar deportividad.</v>
      </c>
    </row>
    <row r="20102">
      <c r="A20102" s="4" t="s">
        <v>25299</v>
      </c>
      <c r="B20102" s="4" t="s">
        <v>25303</v>
      </c>
      <c r="C20102" s="5" t="str">
        <f>IFERROR(__xludf.DUMMYFUNCTION("GOOGLETRANSLATE(B20102,""en"",""es-ES"")"),"Los jugadores llevan un gran cheque.")</f>
        <v>Los jugadores llevan un gran cheque.</v>
      </c>
    </row>
    <row r="20103">
      <c r="A20103" s="4" t="s">
        <v>25299</v>
      </c>
      <c r="B20103" s="4" t="s">
        <v>25304</v>
      </c>
      <c r="C20103" s="5" t="str">
        <f>IFERROR(__xludf.DUMMYFUNCTION("GOOGLETRANSLATE(B20103,""en"",""es-ES"")"),"Un chico sale de una línea y se carga en la cámara.")</f>
        <v>Un chico sale de una línea y se carga en la cámara.</v>
      </c>
    </row>
    <row r="20104">
      <c r="A20104" s="4" t="s">
        <v>25305</v>
      </c>
      <c r="B20104" s="4" t="s">
        <v>25306</v>
      </c>
      <c r="C20104" s="5" t="str">
        <f>IFERROR(__xludf.DUMMYFUNCTION("GOOGLETRANSLATE(B20104,""en"",""es-ES"")"),"Un hombre sostiene un saxofón, luego saca el cuello y sopla la boquilla mientras habla.")</f>
        <v>Un hombre sostiene un saxofón, luego saca el cuello y sopla la boquilla mientras habla.</v>
      </c>
    </row>
    <row r="20105">
      <c r="A20105" s="4" t="s">
        <v>25305</v>
      </c>
      <c r="B20105" s="4" t="s">
        <v>25307</v>
      </c>
      <c r="C20105" s="5" t="str">
        <f>IFERROR(__xludf.DUMMYFUNCTION("GOOGLETRANSLATE(B20105,""en"",""es-ES"")"),"Luego, el hombre se pone en el cuello en el saxofón y muestra las llaves mientras habla.")</f>
        <v>Luego, el hombre se pone en el cuello en el saxofón y muestra las llaves mientras habla.</v>
      </c>
    </row>
    <row r="20106">
      <c r="A20106" s="4" t="s">
        <v>25305</v>
      </c>
      <c r="B20106" s="4" t="s">
        <v>25308</v>
      </c>
      <c r="C20106" s="5" t="str">
        <f>IFERROR(__xludf.DUMMYFUNCTION("GOOGLETRANSLATE(B20106,""en"",""es-ES"")"),"Luego, el hombre toca el saxofón mientras explica.")</f>
        <v>Luego, el hombre toca el saxofón mientras explica.</v>
      </c>
    </row>
    <row r="20107">
      <c r="A20107" s="4" t="s">
        <v>25309</v>
      </c>
      <c r="B20107" s="4" t="s">
        <v>25310</v>
      </c>
      <c r="C20107" s="5" t="str">
        <f>IFERROR(__xludf.DUMMYFUNCTION("GOOGLETRANSLATE(B20107,""en"",""es-ES"")"),"La gente está en una gran balsa amarilla que cae por una caída de agua.")</f>
        <v>La gente está en una gran balsa amarilla que cae por una caída de agua.</v>
      </c>
    </row>
    <row r="20108">
      <c r="A20108" s="4" t="s">
        <v>25309</v>
      </c>
      <c r="B20108" s="4" t="s">
        <v>25311</v>
      </c>
      <c r="C20108" s="5" t="str">
        <f>IFERROR(__xludf.DUMMYFUNCTION("GOOGLETRANSLATE(B20108,""en"",""es-ES"")"),"Un hombre en un bote va por el río.")</f>
        <v>Un hombre en un bote va por el río.</v>
      </c>
    </row>
    <row r="20109">
      <c r="A20109" s="4" t="s">
        <v>25309</v>
      </c>
      <c r="B20109" s="4" t="s">
        <v>25312</v>
      </c>
      <c r="C20109" s="5" t="str">
        <f>IFERROR(__xludf.DUMMYFUNCTION("GOOGLETRANSLATE(B20109,""en"",""es-ES"")"),"Se muestran varias imágenes de vigas en la pantalla.")</f>
        <v>Se muestran varias imágenes de vigas en la pantalla.</v>
      </c>
    </row>
    <row r="20110">
      <c r="A20110" s="4" t="s">
        <v>25309</v>
      </c>
      <c r="B20110" s="4" t="s">
        <v>25313</v>
      </c>
      <c r="C20110" s="5" t="str">
        <f>IFERROR(__xludf.DUMMYFUNCTION("GOOGLETRANSLATE(B20110,""en"",""es-ES"")"),"Las vigas están bajando por una colina áspera y golpeando las rocas.")</f>
        <v>Las vigas están bajando por una colina áspera y golpeando las rocas.</v>
      </c>
    </row>
    <row r="20111">
      <c r="A20111" s="4" t="s">
        <v>25314</v>
      </c>
      <c r="B20111" s="4" t="s">
        <v>25315</v>
      </c>
      <c r="C20111" s="5" t="str">
        <f>IFERROR(__xludf.DUMMYFUNCTION("GOOGLETRANSLATE(B20111,""en"",""es-ES"")"),"Un zapato se limpia con un cepillo de dientes con un fregadero.")</f>
        <v>Un zapato se limpia con un cepillo de dientes con un fregadero.</v>
      </c>
    </row>
    <row r="20112">
      <c r="A20112" s="4" t="s">
        <v>25314</v>
      </c>
      <c r="B20112" s="4" t="s">
        <v>25316</v>
      </c>
      <c r="C20112" s="5" t="str">
        <f>IFERROR(__xludf.DUMMYFUNCTION("GOOGLETRANSLATE(B20112,""en"",""es-ES"")"),"El mostrador se limpia con una toalla.")</f>
        <v>El mostrador se limpia con una toalla.</v>
      </c>
    </row>
    <row r="20113">
      <c r="A20113" s="4" t="s">
        <v>25314</v>
      </c>
      <c r="B20113" s="4" t="s">
        <v>25317</v>
      </c>
      <c r="C20113" s="5" t="str">
        <f>IFERROR(__xludf.DUMMYFUNCTION("GOOGLETRANSLATE(B20113,""en"",""es-ES"")"),"El zapato se limpia más con el cepillo de dientes y una toalla.")</f>
        <v>El zapato se limpia más con el cepillo de dientes y una toalla.</v>
      </c>
    </row>
    <row r="20114">
      <c r="A20114" s="4" t="s">
        <v>25318</v>
      </c>
      <c r="B20114" s="4" t="s">
        <v>25319</v>
      </c>
      <c r="C20114" s="5" t="str">
        <f>IFERROR(__xludf.DUMMYFUNCTION("GOOGLETRANSLATE(B20114,""en"",""es-ES"")"),"Vemos a un hombre y un niño pequeño sosteniendo un arco y una flecha en un campo.")</f>
        <v>Vemos a un hombre y un niño pequeño sosteniendo un arco y una flecha en un campo.</v>
      </c>
    </row>
    <row r="20115">
      <c r="A20115" s="4" t="s">
        <v>25318</v>
      </c>
      <c r="B20115" s="4" t="s">
        <v>25320</v>
      </c>
      <c r="C20115" s="5" t="str">
        <f>IFERROR(__xludf.DUMMYFUNCTION("GOOGLETRANSLATE(B20115,""en"",""es-ES"")"),"El niño dispara la flecha se estira y dispara más flechas.")</f>
        <v>El niño dispara la flecha se estira y dispara más flechas.</v>
      </c>
    </row>
    <row r="20116">
      <c r="A20116" s="4" t="s">
        <v>25318</v>
      </c>
      <c r="B20116" s="4" t="s">
        <v>25321</v>
      </c>
      <c r="C20116" s="5" t="str">
        <f>IFERROR(__xludf.DUMMYFUNCTION("GOOGLETRANSLATE(B20116,""en"",""es-ES"")"),"Vemos al hombre disparar tres flechas y ver el objetivo.")</f>
        <v>Vemos al hombre disparar tres flechas y ver el objetivo.</v>
      </c>
    </row>
    <row r="20117">
      <c r="A20117" s="4" t="s">
        <v>25318</v>
      </c>
      <c r="B20117" s="4" t="s">
        <v>25322</v>
      </c>
      <c r="C20117" s="5" t="str">
        <f>IFERROR(__xludf.DUMMYFUNCTION("GOOGLETRANSLATE(B20117,""en"",""es-ES"")"),"Vemos al niño mientras intenta disparar globos en el objetivo y los extraña a todos.")</f>
        <v>Vemos al niño mientras intenta disparar globos en el objetivo y los extraña a todos.</v>
      </c>
    </row>
    <row r="20118">
      <c r="A20118" s="4" t="s">
        <v>25318</v>
      </c>
      <c r="B20118" s="4" t="s">
        <v>25323</v>
      </c>
      <c r="C20118" s="5" t="str">
        <f>IFERROR(__xludf.DUMMYFUNCTION("GOOGLETRANSLATE(B20118,""en"",""es-ES"")"),"El niño se aleja y vemos a Lady disparar dos flechas y girar y besar su mano.")</f>
        <v>El niño se aleja y vemos a Lady disparar dos flechas y girar y besar su mano.</v>
      </c>
    </row>
    <row r="20119">
      <c r="A20119" s="4" t="s">
        <v>25324</v>
      </c>
      <c r="B20119" s="4" t="s">
        <v>25325</v>
      </c>
      <c r="C20119" s="5" t="str">
        <f>IFERROR(__xludf.DUMMYFUNCTION("GOOGLETRANSLATE(B20119,""en"",""es-ES"")"),"Blue Text habla sobre la descripción del video.")</f>
        <v>Blue Text habla sobre la descripción del video.</v>
      </c>
    </row>
    <row r="20120">
      <c r="A20120" s="4" t="s">
        <v>25324</v>
      </c>
      <c r="B20120" s="4" t="s">
        <v>25326</v>
      </c>
      <c r="C20120" s="5" t="str">
        <f>IFERROR(__xludf.DUMMYFUNCTION("GOOGLETRANSLATE(B20120,""en"",""es-ES"")"),"Se muestra a algunos niños realizando backetball, una tras otra.")</f>
        <v>Se muestra a algunos niños realizando backetball, una tras otra.</v>
      </c>
    </row>
    <row r="20121">
      <c r="A20121" s="4" t="s">
        <v>25324</v>
      </c>
      <c r="B20121" s="4" t="s">
        <v>25327</v>
      </c>
      <c r="C20121" s="5" t="str">
        <f>IFERROR(__xludf.DUMMYFUNCTION("GOOGLETRANSLATE(B20121,""en"",""es-ES"")"),"Un niño continuamente hace bandejas hasta el final.")</f>
        <v>Un niño continuamente hace bandejas hasta el final.</v>
      </c>
    </row>
    <row r="20122">
      <c r="A20122" s="4" t="s">
        <v>25328</v>
      </c>
      <c r="B20122" s="4" t="s">
        <v>25329</v>
      </c>
      <c r="C20122" s="5" t="str">
        <f>IFERROR(__xludf.DUMMYFUNCTION("GOOGLETRANSLATE(B20122,""en"",""es-ES"")"),"Un hombre recoge un hacha.")</f>
        <v>Un hombre recoge un hacha.</v>
      </c>
    </row>
    <row r="20123">
      <c r="A20123" s="4" t="s">
        <v>25328</v>
      </c>
      <c r="B20123" s="4" t="s">
        <v>25330</v>
      </c>
      <c r="C20123" s="5" t="str">
        <f>IFERROR(__xludf.DUMMYFUNCTION("GOOGLETRANSLATE(B20123,""en"",""es-ES"")"),"Lo balancea en un trozo de madera en un tocón.")</f>
        <v>Lo balancea en un trozo de madera en un tocón.</v>
      </c>
    </row>
    <row r="20124">
      <c r="A20124" s="4" t="s">
        <v>25328</v>
      </c>
      <c r="B20124" s="4" t="s">
        <v>25331</v>
      </c>
      <c r="C20124" s="5" t="str">
        <f>IFERROR(__xludf.DUMMYFUNCTION("GOOGLETRANSLATE(B20124,""en"",""es-ES"")"),"Él recoge otro y lo corta.")</f>
        <v>Él recoge otro y lo corta.</v>
      </c>
    </row>
    <row r="20125">
      <c r="A20125" s="4" t="s">
        <v>25332</v>
      </c>
      <c r="B20125" s="4" t="s">
        <v>25333</v>
      </c>
      <c r="C20125" s="5" t="str">
        <f>IFERROR(__xludf.DUMMYFUNCTION("GOOGLETRANSLATE(B20125,""en"",""es-ES"")"),"Una persona pone rebanadas de limón sobre dos vasos de limonada con hielo.")</f>
        <v>Una persona pone rebanadas de limón sobre dos vasos de limonada con hielo.</v>
      </c>
    </row>
    <row r="20126">
      <c r="A20126" s="4" t="s">
        <v>25332</v>
      </c>
      <c r="B20126" s="4" t="s">
        <v>25334</v>
      </c>
      <c r="C20126" s="5" t="str">
        <f>IFERROR(__xludf.DUMMYFUNCTION("GOOGLETRANSLATE(B20126,""en"",""es-ES"")"),"Luego, la persona vierte agua y agrega azúcar en una olla para hacer jarabe.")</f>
        <v>Luego, la persona vierte agua y agrega azúcar en una olla para hacer jarabe.</v>
      </c>
    </row>
    <row r="20127">
      <c r="A20127" s="4" t="s">
        <v>25332</v>
      </c>
      <c r="B20127" s="4" t="s">
        <v>25335</v>
      </c>
      <c r="C20127" s="5" t="str">
        <f>IFERROR(__xludf.DUMMYFUNCTION("GOOGLETRANSLATE(B20127,""en"",""es-ES"")"),"La persona presiona con fuerza un limón, y luego corta los limones y los aprieta con un exprimidor de cítricos eléctricos.")</f>
        <v>La persona presiona con fuerza un limón, y luego corta los limones y los aprieta con un exprimidor de cítricos eléctricos.</v>
      </c>
    </row>
    <row r="20128">
      <c r="A20128" s="4" t="s">
        <v>25332</v>
      </c>
      <c r="B20128" s="4" t="s">
        <v>25336</v>
      </c>
      <c r="C20128" s="5" t="str">
        <f>IFERROR(__xludf.DUMMYFUNCTION("GOOGLETRANSLATE(B20128,""en"",""es-ES"")"),"Luego, la persona vierte un vaso de agua en un frasco, luego agrega el jarabe, el jugo de limón, las rodajas de limón y el hielo.")</f>
        <v>Luego, la persona vierte un vaso de agua en un frasco, luego agrega el jarabe, el jugo de limón, las rodajas de limón y el hielo.</v>
      </c>
    </row>
    <row r="20129">
      <c r="A20129" s="4" t="s">
        <v>25332</v>
      </c>
      <c r="B20129" s="4" t="s">
        <v>25337</v>
      </c>
      <c r="C20129" s="5" t="str">
        <f>IFERROR(__xludf.DUMMYFUNCTION("GOOGLETRANSLATE(B20129,""en"",""es-ES"")"),"Entonces la persona sirve a la limonada.")</f>
        <v>Entonces la persona sirve a la limonada.</v>
      </c>
    </row>
    <row r="20130">
      <c r="A20130" s="4" t="s">
        <v>25338</v>
      </c>
      <c r="B20130" s="4" t="s">
        <v>25339</v>
      </c>
      <c r="C20130" s="5" t="str">
        <f>IFERROR(__xludf.DUMMYFUNCTION("GOOGLETRANSLATE(B20130,""en"",""es-ES"")"),"Una gimnasta se encuentra ante una gran multitud en una arena y levanta las manos.")</f>
        <v>Una gimnasta se encuentra ante una gran multitud en una arena y levanta las manos.</v>
      </c>
    </row>
    <row r="20131">
      <c r="A20131" s="4" t="s">
        <v>25338</v>
      </c>
      <c r="B20131" s="4" t="s">
        <v>25340</v>
      </c>
      <c r="C20131" s="5" t="str">
        <f>IFERROR(__xludf.DUMMYFUNCTION("GOOGLETRANSLATE(B20131,""en"",""es-ES"")"),"Comienza su rutina que involucra muchas volteretas y rotaciones.")</f>
        <v>Comienza su rutina que involucra muchas volteretas y rotaciones.</v>
      </c>
    </row>
    <row r="20132">
      <c r="A20132" s="4" t="s">
        <v>25338</v>
      </c>
      <c r="B20132" s="4" t="s">
        <v>25341</v>
      </c>
      <c r="C20132" s="5" t="str">
        <f>IFERROR(__xludf.DUMMYFUNCTION("GOOGLETRANSLATE(B20132,""en"",""es-ES"")"),"La multitud se sienta en silencio mientras él hace esto.")</f>
        <v>La multitud se sienta en silencio mientras él hace esto.</v>
      </c>
    </row>
    <row r="20133">
      <c r="A20133" s="4" t="s">
        <v>25338</v>
      </c>
      <c r="B20133" s="4" t="s">
        <v>25342</v>
      </c>
      <c r="C20133" s="5" t="str">
        <f>IFERROR(__xludf.DUMMYFUNCTION("GOOGLETRANSLATE(B20133,""en"",""es-ES"")"),"Él hace una parada de manos y una serie de más rotaciones y volteos antes de desmontar.")</f>
        <v>Él hace una parada de manos y una serie de más rotaciones y volteos antes de desmontar.</v>
      </c>
    </row>
    <row r="20134">
      <c r="A20134" s="4" t="s">
        <v>25338</v>
      </c>
      <c r="B20134" s="4" t="s">
        <v>25343</v>
      </c>
      <c r="C20134" s="5" t="str">
        <f>IFERROR(__xludf.DUMMYFUNCTION("GOOGLETRANSLATE(B20134,""en"",""es-ES"")"),"Él aplaude mientras la multitud lo anima después de que su rutina ha terminado.")</f>
        <v>Él aplaude mientras la multitud lo anima después de que su rutina ha terminado.</v>
      </c>
    </row>
    <row r="20135">
      <c r="A20135" s="4" t="s">
        <v>25344</v>
      </c>
      <c r="B20135" s="4" t="s">
        <v>25345</v>
      </c>
      <c r="C20135" s="5" t="str">
        <f>IFERROR(__xludf.DUMMYFUNCTION("GOOGLETRANSLATE(B20135,""en"",""es-ES"")"),"Una persona sale de un tablero a una piscina.")</f>
        <v>Una persona sale de un tablero a una piscina.</v>
      </c>
    </row>
    <row r="20136">
      <c r="A20136" s="4" t="s">
        <v>25344</v>
      </c>
      <c r="B20136" s="4" t="s">
        <v>25346</v>
      </c>
      <c r="C20136" s="5" t="str">
        <f>IFERROR(__xludf.DUMMYFUNCTION("GOOGLETRANSLATE(B20136,""en"",""es-ES"")"),"Vienen de debajo del agua.")</f>
        <v>Vienen de debajo del agua.</v>
      </c>
    </row>
    <row r="20137">
      <c r="A20137" s="4" t="s">
        <v>25347</v>
      </c>
      <c r="B20137" s="4" t="s">
        <v>25348</v>
      </c>
      <c r="C20137" s="5" t="str">
        <f>IFERROR(__xludf.DUMMYFUNCTION("GOOGLETRANSLATE(B20137,""en"",""es-ES"")"),"El hombre está de pie en la calle sosteniendo un tablero y un patinaje por la calle.")</f>
        <v>El hombre está de pie en la calle sosteniendo un tablero y un patinaje por la calle.</v>
      </c>
    </row>
    <row r="20138">
      <c r="A20138" s="4" t="s">
        <v>25347</v>
      </c>
      <c r="B20138" s="4" t="s">
        <v>25349</v>
      </c>
      <c r="C20138" s="5" t="str">
        <f>IFERROR(__xludf.DUMMYFUNCTION("GOOGLETRANSLATE(B20138,""en"",""es-ES"")"),"El hombre camina en un patio y salta y habla con un micrófono.")</f>
        <v>El hombre camina en un patio y salta y habla con un micrófono.</v>
      </c>
    </row>
    <row r="20139">
      <c r="A20139" s="4" t="s">
        <v>25350</v>
      </c>
      <c r="B20139" s="4" t="s">
        <v>25351</v>
      </c>
      <c r="C20139" s="5" t="str">
        <f>IFERROR(__xludf.DUMMYFUNCTION("GOOGLETRANSLATE(B20139,""en"",""es-ES"")"),"Un hombre está afuera con una camisa de Superman.")</f>
        <v>Un hombre está afuera con una camisa de Superman.</v>
      </c>
    </row>
    <row r="20140">
      <c r="A20140" s="4" t="s">
        <v>25350</v>
      </c>
      <c r="B20140" s="4" t="s">
        <v>25352</v>
      </c>
      <c r="C20140" s="5" t="str">
        <f>IFERROR(__xludf.DUMMYFUNCTION("GOOGLETRANSLATE(B20140,""en"",""es-ES"")"),"Él gira en círculos, mirando a su alrededor.")</f>
        <v>Él gira en círculos, mirando a su alrededor.</v>
      </c>
    </row>
    <row r="20141">
      <c r="A20141" s="4" t="s">
        <v>25350</v>
      </c>
      <c r="B20141" s="4" t="s">
        <v>25353</v>
      </c>
      <c r="C20141" s="5" t="str">
        <f>IFERROR(__xludf.DUMMYFUNCTION("GOOGLETRANSLATE(B20141,""en"",""es-ES"")"),"Encuentra una bicicleta rota y la repara mientras un hombre enojado le grita.")</f>
        <v>Encuentra una bicicleta rota y la repara mientras un hombre enojado le grita.</v>
      </c>
    </row>
    <row r="20142">
      <c r="A20142" s="4" t="s">
        <v>25354</v>
      </c>
      <c r="B20142" s="4" t="s">
        <v>25355</v>
      </c>
      <c r="C20142" s="5" t="str">
        <f>IFERROR(__xludf.DUMMYFUNCTION("GOOGLETRANSLATE(B20142,""en"",""es-ES"")"),"Se muestra a un hombre lijando una pared y colocando un gran trozo de papel de agua a través de la pared.")</f>
        <v>Se muestra a un hombre lijando una pared y colocando un gran trozo de papel de agua a través de la pared.</v>
      </c>
    </row>
    <row r="20143">
      <c r="A20143" s="4" t="s">
        <v>25354</v>
      </c>
      <c r="B20143" s="4" t="s">
        <v>25356</v>
      </c>
      <c r="C20143" s="5" t="str">
        <f>IFERROR(__xludf.DUMMYFUNCTION("GOOGLETRANSLATE(B20143,""en"",""es-ES"")"),"Continúa empujando el papel hacia la pared y lijándolo por detrás.")</f>
        <v>Continúa empujando el papel hacia la pared y lijándolo por detrás.</v>
      </c>
    </row>
    <row r="20144">
      <c r="A20144" s="4" t="s">
        <v>25357</v>
      </c>
      <c r="B20144" s="4" t="s">
        <v>25358</v>
      </c>
      <c r="C20144" s="5" t="str">
        <f>IFERROR(__xludf.DUMMYFUNCTION("GOOGLETRANSLATE(B20144,""en"",""es-ES"")"),"Un hombre empuja una mesa hacia la arena.")</f>
        <v>Un hombre empuja una mesa hacia la arena.</v>
      </c>
    </row>
    <row r="20145">
      <c r="A20145" s="4" t="s">
        <v>25357</v>
      </c>
      <c r="B20145" s="4" t="s">
        <v>25359</v>
      </c>
      <c r="C20145" s="5" t="str">
        <f>IFERROR(__xludf.DUMMYFUNCTION("GOOGLETRANSLATE(B20145,""en"",""es-ES"")"),"Luego se le muestra surfeando en el fondo de la mesa en el océano, deslizándose a través de una ola.")</f>
        <v>Luego se le muestra surfeando en el fondo de la mesa en el océano, deslizándose a través de una ola.</v>
      </c>
    </row>
    <row r="20146">
      <c r="A20146" s="4" t="s">
        <v>25357</v>
      </c>
      <c r="B20146" s="4" t="s">
        <v>25360</v>
      </c>
      <c r="C20146" s="5" t="str">
        <f>IFERROR(__xludf.DUMMYFUNCTION("GOOGLETRANSLATE(B20146,""en"",""es-ES"")"),"Otro ángulo se muestra con el surfista que monta sin esfuerzo una ola en una mesa.")</f>
        <v>Otro ángulo se muestra con el surfista que monta sin esfuerzo una ola en una mesa.</v>
      </c>
    </row>
    <row r="20147">
      <c r="A20147" s="4" t="s">
        <v>25357</v>
      </c>
      <c r="B20147" s="4" t="s">
        <v>25361</v>
      </c>
      <c r="C20147" s="5" t="str">
        <f>IFERROR(__xludf.DUMMYFUNCTION("GOOGLETRANSLATE(B20147,""en"",""es-ES"")"),"Se estrella junto con la ola.")</f>
        <v>Se estrella junto con la ola.</v>
      </c>
    </row>
    <row r="20148">
      <c r="A20148" s="4" t="s">
        <v>25362</v>
      </c>
      <c r="B20148" s="4" t="s">
        <v>25363</v>
      </c>
      <c r="C20148" s="5" t="str">
        <f>IFERROR(__xludf.DUMMYFUNCTION("GOOGLETRANSLATE(B20148,""en"",""es-ES"")"),"Un hombre que usa auriculares está en un estudio, hablando en un micrófono.")</f>
        <v>Un hombre que usa auriculares está en un estudio, hablando en un micrófono.</v>
      </c>
    </row>
    <row r="20149">
      <c r="A20149" s="4" t="s">
        <v>25362</v>
      </c>
      <c r="B20149" s="4" t="s">
        <v>25364</v>
      </c>
      <c r="C20149" s="5" t="str">
        <f>IFERROR(__xludf.DUMMYFUNCTION("GOOGLETRANSLATE(B20149,""en"",""es-ES"")"),"Se muestran otros hombres, uno de los cuales comienza a tocar una armónica.")</f>
        <v>Se muestran otros hombres, uno de los cuales comienza a tocar una armónica.</v>
      </c>
    </row>
    <row r="20150">
      <c r="A20150" s="4" t="s">
        <v>25362</v>
      </c>
      <c r="B20150" s="4" t="s">
        <v>25365</v>
      </c>
      <c r="C20150" s="5" t="str">
        <f>IFERROR(__xludf.DUMMYFUNCTION("GOOGLETRANSLATE(B20150,""en"",""es-ES"")"),"Deja de jugar y dice algo que hace reír al DJ.")</f>
        <v>Deja de jugar y dice algo que hace reír al DJ.</v>
      </c>
    </row>
    <row r="20151">
      <c r="A20151" s="4" t="s">
        <v>25366</v>
      </c>
      <c r="B20151" s="4" t="s">
        <v>25367</v>
      </c>
      <c r="C20151" s="5" t="str">
        <f>IFERROR(__xludf.DUMMYFUNCTION("GOOGLETRANSLATE(B20151,""en"",""es-ES"")"),"Una máquina dibuja una cara en una calabaza.")</f>
        <v>Una máquina dibuja una cara en una calabaza.</v>
      </c>
    </row>
    <row r="20152">
      <c r="A20152" s="4" t="s">
        <v>25366</v>
      </c>
      <c r="B20152" s="4" t="s">
        <v>25368</v>
      </c>
      <c r="C20152" s="5" t="str">
        <f>IFERROR(__xludf.DUMMYFUNCTION("GOOGLETRANSLATE(B20152,""en"",""es-ES"")"),"Las luces se apagan y muestra la calabaza tallada encendida.")</f>
        <v>Las luces se apagan y muestra la calabaza tallada encendida.</v>
      </c>
    </row>
    <row r="20153">
      <c r="A20153" s="4" t="s">
        <v>25366</v>
      </c>
      <c r="B20153" s="4" t="s">
        <v>25369</v>
      </c>
      <c r="C20153" s="5" t="str">
        <f>IFERROR(__xludf.DUMMYFUNCTION("GOOGLETRANSLATE(B20153,""en"",""es-ES"")"),"Muestra la calabaza en la luz.")</f>
        <v>Muestra la calabaza en la luz.</v>
      </c>
    </row>
    <row r="20154">
      <c r="A20154" s="4" t="s">
        <v>25370</v>
      </c>
      <c r="B20154" s="4" t="s">
        <v>25371</v>
      </c>
      <c r="C20154" s="5" t="str">
        <f>IFERROR(__xludf.DUMMYFUNCTION("GOOGLETRANSLATE(B20154,""en"",""es-ES"")"),"Un gran camión está conduciendo bajo la lluvia.")</f>
        <v>Un gran camión está conduciendo bajo la lluvia.</v>
      </c>
    </row>
    <row r="20155">
      <c r="A20155" s="4" t="s">
        <v>25370</v>
      </c>
      <c r="B20155" s="4" t="s">
        <v>25372</v>
      </c>
      <c r="C20155" s="5" t="str">
        <f>IFERROR(__xludf.DUMMYFUNCTION("GOOGLETRANSLATE(B20155,""en"",""es-ES"")"),"Luego vemos niños montando patinetas afuera de una casa.")</f>
        <v>Luego vemos niños montando patinetas afuera de una casa.</v>
      </c>
    </row>
    <row r="20156">
      <c r="A20156" s="4" t="s">
        <v>25370</v>
      </c>
      <c r="B20156" s="4" t="s">
        <v>25373</v>
      </c>
      <c r="C20156" s="5" t="str">
        <f>IFERROR(__xludf.DUMMYFUNCTION("GOOGLETRANSLATE(B20156,""en"",""es-ES"")"),"Realizan varias acrobacias en un tablero en el camino de entrada.")</f>
        <v>Realizan varias acrobacias en un tablero en el camino de entrada.</v>
      </c>
    </row>
    <row r="20157">
      <c r="A20157" s="4" t="s">
        <v>25374</v>
      </c>
      <c r="B20157" s="4" t="s">
        <v>25375</v>
      </c>
      <c r="C20157" s="5" t="str">
        <f>IFERROR(__xludf.DUMMYFUNCTION("GOOGLETRANSLATE(B20157,""en"",""es-ES"")"),"Un saltador de poste corre y se lanza sobre la barra.")</f>
        <v>Un saltador de poste corre y se lanza sobre la barra.</v>
      </c>
    </row>
    <row r="20158">
      <c r="A20158" s="4" t="s">
        <v>25374</v>
      </c>
      <c r="B20158" s="4" t="s">
        <v>25376</v>
      </c>
      <c r="C20158" s="5" t="str">
        <f>IFERROR(__xludf.DUMMYFUNCTION("GOOGLETRANSLATE(B20158,""en"",""es-ES"")"),"El saltador presenta su desafío a la cámara, que es hacerlo más de diez veces seguidas en 20 minutos.")</f>
        <v>El saltador presenta su desafío a la cámara, que es hacerlo más de diez veces seguidas en 20 minutos.</v>
      </c>
    </row>
    <row r="20159">
      <c r="A20159" s="4" t="s">
        <v>25374</v>
      </c>
      <c r="B20159" s="4" t="s">
        <v>25377</v>
      </c>
      <c r="C20159" s="5" t="str">
        <f>IFERROR(__xludf.DUMMYFUNCTION("GOOGLETRANSLATE(B20159,""en"",""es-ES"")"),"Se lanza más de 10 veces con éxito y fácilmente bajo el límite de 20 minutos.")</f>
        <v>Se lanza más de 10 veces con éxito y fácilmente bajo el límite de 20 minutos.</v>
      </c>
    </row>
    <row r="20160">
      <c r="A20160" s="4" t="s">
        <v>25378</v>
      </c>
      <c r="B20160" s="4" t="s">
        <v>25379</v>
      </c>
      <c r="C20160" s="5" t="str">
        <f>IFERROR(__xludf.DUMMYFUNCTION("GOOGLETRANSLATE(B20160,""en"",""es-ES"")"),"Vemos a un hombre y una mujer que toca un papel de papel de rock competitivo cortado con escenas de la multitud.")</f>
        <v>Vemos a un hombre y una mujer que toca un papel de papel de rock competitivo cortado con escenas de la multitud.</v>
      </c>
    </row>
    <row r="20161">
      <c r="A20161" s="4" t="s">
        <v>25378</v>
      </c>
      <c r="B20161" s="4" t="s">
        <v>25380</v>
      </c>
      <c r="C20161" s="5" t="str">
        <f>IFERROR(__xludf.DUMMYFUNCTION("GOOGLETRANSLATE(B20161,""en"",""es-ES"")"),"Vemos a un hombre con bigote aplaudiendo.")</f>
        <v>Vemos a un hombre con bigote aplaudiendo.</v>
      </c>
    </row>
    <row r="20162">
      <c r="A20162" s="4" t="s">
        <v>25378</v>
      </c>
      <c r="B20162" s="4" t="s">
        <v>25381</v>
      </c>
      <c r="C20162" s="5" t="str">
        <f>IFERROR(__xludf.DUMMYFUNCTION("GOOGLETRANSLATE(B20162,""en"",""es-ES"")"),"La dama gana y el hombre en el traje levanta su mano.")</f>
        <v>La dama gana y el hombre en el traje levanta su mano.</v>
      </c>
    </row>
    <row r="20163">
      <c r="A20163" s="4" t="s">
        <v>25378</v>
      </c>
      <c r="B20163" s="4" t="s">
        <v>25382</v>
      </c>
      <c r="C20163" s="5" t="str">
        <f>IFERROR(__xludf.DUMMYFUNCTION("GOOGLETRANSLATE(B20163,""en"",""es-ES"")"),"El hombre y la mujer se dan las manos del otro.")</f>
        <v>El hombre y la mujer se dan las manos del otro.</v>
      </c>
    </row>
    <row r="20164">
      <c r="A20164" s="4" t="s">
        <v>25378</v>
      </c>
      <c r="B20164" s="4" t="s">
        <v>25383</v>
      </c>
      <c r="C20164" s="5" t="str">
        <f>IFERROR(__xludf.DUMMYFUNCTION("GOOGLETRANSLATE(B20164,""en"",""es-ES"")"),"El hombre en el juego sacude la cabeza mientras se da la vuelta.")</f>
        <v>El hombre en el juego sacude la cabeza mientras se da la vuelta.</v>
      </c>
    </row>
    <row r="20165">
      <c r="A20165" s="4" t="s">
        <v>25384</v>
      </c>
      <c r="B20165" s="4" t="s">
        <v>25385</v>
      </c>
      <c r="C20165" s="5" t="str">
        <f>IFERROR(__xludf.DUMMYFUNCTION("GOOGLETRANSLATE(B20165,""en"",""es-ES"")"),"Una mujer entra en un patio trasero y voltea su cabello hacia adelante.")</f>
        <v>Una mujer entra en un patio trasero y voltea su cabello hacia adelante.</v>
      </c>
    </row>
    <row r="20166">
      <c r="A20166" s="4" t="s">
        <v>25384</v>
      </c>
      <c r="B20166" s="4" t="s">
        <v>25386</v>
      </c>
      <c r="C20166" s="5" t="str">
        <f>IFERROR(__xludf.DUMMYFUNCTION("GOOGLETRANSLATE(B20166,""en"",""es-ES"")"),"Se cepilla el cabello durante mucho tiempo, alisando y tirando.")</f>
        <v>Se cepilla el cabello durante mucho tiempo, alisando y tirando.</v>
      </c>
    </row>
    <row r="20167">
      <c r="A20167" s="4" t="s">
        <v>25384</v>
      </c>
      <c r="B20167" s="4" t="s">
        <v>25387</v>
      </c>
      <c r="C20167" s="5" t="str">
        <f>IFERROR(__xludf.DUMMYFUNCTION("GOOGLETRANSLATE(B20167,""en"",""es-ES"")"),"Luego se aleja de la cámara, continuando cepillando.")</f>
        <v>Luego se aleja de la cámara, continuando cepillando.</v>
      </c>
    </row>
    <row r="20168">
      <c r="A20168" s="4" t="s">
        <v>25384</v>
      </c>
      <c r="B20168" s="4" t="s">
        <v>25388</v>
      </c>
      <c r="C20168" s="5" t="str">
        <f>IFERROR(__xludf.DUMMYFUNCTION("GOOGLETRANSLATE(B20168,""en"",""es-ES"")"),"Ella se pone en posición vertical, luego se inclina para cepillar un poco más.")</f>
        <v>Ella se pone en posición vertical, luego se inclina para cepillar un poco más.</v>
      </c>
    </row>
    <row r="20169">
      <c r="A20169" s="4" t="s">
        <v>25389</v>
      </c>
      <c r="B20169" s="4" t="s">
        <v>25390</v>
      </c>
      <c r="C20169" s="5" t="str">
        <f>IFERROR(__xludf.DUMMYFUNCTION("GOOGLETRANSLATE(B20169,""en"",""es-ES"")"),"Un marco amarillo con chicas tocando lacross abre el video.")</f>
        <v>Un marco amarillo con chicas tocando lacross abre el video.</v>
      </c>
    </row>
    <row r="20170">
      <c r="A20170" s="4" t="s">
        <v>25389</v>
      </c>
      <c r="B20170" s="4" t="s">
        <v>25391</v>
      </c>
      <c r="C20170" s="5" t="str">
        <f>IFERROR(__xludf.DUMMYFUNCTION("GOOGLETRANSLATE(B20170,""en"",""es-ES"")"),"Un juego de chicas lacross está sucediendo a medida que se muestran diferentes diapositivas.")</f>
        <v>Un juego de chicas lacross está sucediendo a medida que se muestran diferentes diapositivas.</v>
      </c>
    </row>
    <row r="20171">
      <c r="A20171" s="4" t="s">
        <v>25389</v>
      </c>
      <c r="B20171" s="4" t="s">
        <v>25392</v>
      </c>
      <c r="C20171" s="5" t="str">
        <f>IFERROR(__xludf.DUMMYFUNCTION("GOOGLETRANSLATE(B20171,""en"",""es-ES"")"),"El juego termina con un tiro penal.")</f>
        <v>El juego termina con un tiro penal.</v>
      </c>
    </row>
    <row r="20172">
      <c r="A20172" s="4" t="s">
        <v>25393</v>
      </c>
      <c r="B20172" s="4" t="s">
        <v>25394</v>
      </c>
      <c r="C20172" s="5" t="str">
        <f>IFERROR(__xludf.DUMMYFUNCTION("GOOGLETRANSLATE(B20172,""en"",""es-ES"")"),"Una persona con un abrigo negro está palpitando desde un camino de entrada.")</f>
        <v>Una persona con un abrigo negro está palpitando desde un camino de entrada.</v>
      </c>
    </row>
    <row r="20173">
      <c r="A20173" s="4" t="s">
        <v>25393</v>
      </c>
      <c r="B20173" s="4" t="s">
        <v>25395</v>
      </c>
      <c r="C20173" s="5" t="str">
        <f>IFERROR(__xludf.DUMMYFUNCTION("GOOGLETRANSLATE(B20173,""en"",""es-ES"")"),"Se muestra a un hombre parado en un garaje.")</f>
        <v>Se muestra a un hombre parado en un garaje.</v>
      </c>
    </row>
    <row r="20174">
      <c r="A20174" s="4" t="s">
        <v>25396</v>
      </c>
      <c r="B20174" s="4" t="s">
        <v>25397</v>
      </c>
      <c r="C20174" s="5" t="str">
        <f>IFERROR(__xludf.DUMMYFUNCTION("GOOGLETRANSLATE(B20174,""en"",""es-ES"")"),"Vemos a un hombre y gente entrando en un estadio.")</f>
        <v>Vemos a un hombre y gente entrando en un estadio.</v>
      </c>
    </row>
    <row r="20175">
      <c r="A20175" s="4" t="s">
        <v>25396</v>
      </c>
      <c r="B20175" s="4" t="s">
        <v>25398</v>
      </c>
      <c r="C20175" s="5" t="str">
        <f>IFERROR(__xludf.DUMMYFUNCTION("GOOGLETRANSLATE(B20175,""en"",""es-ES"")"),"Cambiamos a personas en equipos y marchando militar en un patio.")</f>
        <v>Cambiamos a personas en equipos y marchando militar en un patio.</v>
      </c>
    </row>
    <row r="20176">
      <c r="A20176" s="4" t="s">
        <v>25396</v>
      </c>
      <c r="B20176" s="4" t="s">
        <v>25399</v>
      </c>
      <c r="C20176" s="5" t="str">
        <f>IFERROR(__xludf.DUMMYFUNCTION("GOOGLETRANSLATE(B20176,""en"",""es-ES"")"),"La gente está jugando un juego con palos.")</f>
        <v>La gente está jugando un juego con palos.</v>
      </c>
    </row>
    <row r="20177">
      <c r="A20177" s="4" t="s">
        <v>25396</v>
      </c>
      <c r="B20177" s="4" t="s">
        <v>25400</v>
      </c>
      <c r="C20177" s="5" t="str">
        <f>IFERROR(__xludf.DUMMYFUNCTION("GOOGLETRANSLATE(B20177,""en"",""es-ES"")"),"Vemos a un grupo de personas en un equipo parado en un círculo.")</f>
        <v>Vemos a un grupo de personas en un equipo parado en un círculo.</v>
      </c>
    </row>
    <row r="20178">
      <c r="A20178" s="4" t="s">
        <v>25396</v>
      </c>
      <c r="B20178" s="4" t="s">
        <v>25401</v>
      </c>
      <c r="C20178" s="5" t="str">
        <f>IFERROR(__xludf.DUMMYFUNCTION("GOOGLETRANSLATE(B20178,""en"",""es-ES"")"),"Vemos a un hombre caminando por la calle y luego a una persona sentada en la acera.")</f>
        <v>Vemos a un hombre caminando por la calle y luego a una persona sentada en la acera.</v>
      </c>
    </row>
    <row r="20179">
      <c r="A20179" s="4" t="s">
        <v>25402</v>
      </c>
      <c r="B20179" s="4" t="s">
        <v>25403</v>
      </c>
      <c r="C20179" s="5" t="str">
        <f>IFERROR(__xludf.DUMMYFUNCTION("GOOGLETRANSLATE(B20179,""en"",""es-ES"")"),"Un hombre está de pie en una habitación frente a un espejo hablando.")</f>
        <v>Un hombre está de pie en una habitación frente a un espejo hablando.</v>
      </c>
    </row>
    <row r="20180">
      <c r="A20180" s="4" t="s">
        <v>25402</v>
      </c>
      <c r="B20180" s="4" t="s">
        <v>25404</v>
      </c>
      <c r="C20180" s="5" t="str">
        <f>IFERROR(__xludf.DUMMYFUNCTION("GOOGLETRANSLATE(B20180,""en"",""es-ES"")"),"Se pone de rodillas y se para sobre la cabeza.")</f>
        <v>Se pone de rodillas y se para sobre la cabeza.</v>
      </c>
    </row>
    <row r="20181">
      <c r="A20181" s="4" t="s">
        <v>25402</v>
      </c>
      <c r="B20181" s="4" t="s">
        <v>25405</v>
      </c>
      <c r="C20181" s="5" t="str">
        <f>IFERROR(__xludf.DUMMYFUNCTION("GOOGLETRANSLATE(B20181,""en"",""es-ES"")"),"Se mueve en un círculo sobre su cabeza y gira.")</f>
        <v>Se mueve en un círculo sobre su cabeza y gira.</v>
      </c>
    </row>
    <row r="20182">
      <c r="A20182" s="4" t="s">
        <v>25406</v>
      </c>
      <c r="B20182" s="4" t="s">
        <v>25407</v>
      </c>
      <c r="C20182" s="5" t="str">
        <f>IFERROR(__xludf.DUMMYFUNCTION("GOOGLETRANSLATE(B20182,""en"",""es-ES"")"),"Hay jugadores, uno de amarillo y el otro en lanzamiento rojo en un estadio al aire libre.")</f>
        <v>Hay jugadores, uno de amarillo y el otro en lanzamiento rojo en un estadio al aire libre.</v>
      </c>
    </row>
    <row r="20183">
      <c r="A20183" s="4" t="s">
        <v>25406</v>
      </c>
      <c r="B20183" s="4" t="s">
        <v>25408</v>
      </c>
      <c r="C20183" s="5" t="str">
        <f>IFERROR(__xludf.DUMMYFUNCTION("GOOGLETRANSLATE(B20183,""en"",""es-ES"")"),"Son parte de un equipo que está jugando en el gran estadio con varios espectadores.")</f>
        <v>Son parte de un equipo que está jugando en el gran estadio con varios espectadores.</v>
      </c>
    </row>
    <row r="20184">
      <c r="A20184" s="4" t="s">
        <v>25406</v>
      </c>
      <c r="B20184" s="4" t="s">
        <v>25409</v>
      </c>
      <c r="C20184" s="5" t="str">
        <f>IFERROR(__xludf.DUMMYFUNCTION("GOOGLETRANSLATE(B20184,""en"",""es-ES"")"),"El video está demostrando cómo atrapar la pelota y recogerla con el palo.")</f>
        <v>El video está demostrando cómo atrapar la pelota y recogerla con el palo.</v>
      </c>
    </row>
    <row r="20185">
      <c r="A20185" s="4" t="s">
        <v>25406</v>
      </c>
      <c r="B20185" s="4" t="s">
        <v>25410</v>
      </c>
      <c r="C20185" s="5" t="str">
        <f>IFERROR(__xludf.DUMMYFUNCTION("GOOGLETRANSLATE(B20185,""en"",""es-ES"")"),"También demuestra cómo equilibrar la pelota en el palo mientras el jugador corre.")</f>
        <v>También demuestra cómo equilibrar la pelota en el palo mientras el jugador corre.</v>
      </c>
    </row>
    <row r="20186">
      <c r="A20186" s="4" t="s">
        <v>25406</v>
      </c>
      <c r="B20186" s="4" t="s">
        <v>25411</v>
      </c>
      <c r="C20186" s="5" t="str">
        <f>IFERROR(__xludf.DUMMYFUNCTION("GOOGLETRANSLATE(B20186,""en"",""es-ES"")"),"Los jugadores muestran todos los pasos en el tutorial donde el de los jugadores dispara la pelota valientemente por un punto.")</f>
        <v>Los jugadores muestran todos los pasos en el tutorial donde el de los jugadores dispara la pelota valientemente por un punto.</v>
      </c>
    </row>
    <row r="20187">
      <c r="A20187" s="4" t="s">
        <v>25406</v>
      </c>
      <c r="B20187" s="4" t="s">
        <v>25412</v>
      </c>
      <c r="C20187" s="5" t="str">
        <f>IFERROR(__xludf.DUMMYFUNCTION("GOOGLETRANSLATE(B20187,""en"",""es-ES"")"),"Hay un jugador en un uniforme azul y blanco que dispara la pelota por un punto y anota un gol.")</f>
        <v>Hay un jugador en un uniforme azul y blanco que dispara la pelota por un punto y anota un gol.</v>
      </c>
    </row>
    <row r="20188">
      <c r="A20188" s="4" t="s">
        <v>25413</v>
      </c>
      <c r="B20188" s="4" t="s">
        <v>25414</v>
      </c>
      <c r="C20188" s="5" t="str">
        <f>IFERROR(__xludf.DUMMYFUNCTION("GOOGLETRANSLATE(B20188,""en"",""es-ES"")"),"Un hombre está cruzando la línea de meta de una carrera.")</f>
        <v>Un hombre está cruzando la línea de meta de una carrera.</v>
      </c>
    </row>
    <row r="20189">
      <c r="A20189" s="4" t="s">
        <v>25413</v>
      </c>
      <c r="B20189" s="4" t="s">
        <v>25415</v>
      </c>
      <c r="C20189" s="5" t="str">
        <f>IFERROR(__xludf.DUMMYFUNCTION("GOOGLETRANSLATE(B20189,""en"",""es-ES"")"),"Mucha gente está corriendo en una carrera.")</f>
        <v>Mucha gente está corriendo en una carrera.</v>
      </c>
    </row>
    <row r="20190">
      <c r="A20190" s="4" t="s">
        <v>25413</v>
      </c>
      <c r="B20190" s="4" t="s">
        <v>25416</v>
      </c>
      <c r="C20190" s="5" t="str">
        <f>IFERROR(__xludf.DUMMYFUNCTION("GOOGLETRANSLATE(B20190,""en"",""es-ES"")"),"La gente está corriendo por un camino de tierra.")</f>
        <v>La gente está corriendo por un camino de tierra.</v>
      </c>
    </row>
    <row r="20191">
      <c r="A20191" s="4" t="s">
        <v>25417</v>
      </c>
      <c r="B20191" s="4" t="s">
        <v>25418</v>
      </c>
      <c r="C20191" s="5" t="str">
        <f>IFERROR(__xludf.DUMMYFUNCTION("GOOGLETRANSLATE(B20191,""en"",""es-ES"")"),"Un grupo de cuatro chicas jóvenes se encuentran uno al lado del otro en el baño y toman algo.")</f>
        <v>Un grupo de cuatro chicas jóvenes se encuentran uno al lado del otro en el baño y toman algo.</v>
      </c>
    </row>
    <row r="20192">
      <c r="A20192" s="4" t="s">
        <v>25417</v>
      </c>
      <c r="B20192" s="4" t="s">
        <v>25419</v>
      </c>
      <c r="C20192" s="5" t="str">
        <f>IFERROR(__xludf.DUMMYFUNCTION("GOOGLETRANSLATE(B20192,""en"",""es-ES"")"),"Se lo están agitando en la boca y casi todos tienen las manos sobre sus bocas.")</f>
        <v>Se lo están agitando en la boca y casi todos tienen las manos sobre sus bocas.</v>
      </c>
    </row>
    <row r="20193">
      <c r="A20193" s="4" t="s">
        <v>25417</v>
      </c>
      <c r="B20193" s="4" t="s">
        <v>25420</v>
      </c>
      <c r="C20193" s="5" t="str">
        <f>IFERROR(__xludf.DUMMYFUNCTION("GOOGLETRANSLATE(B20193,""en"",""es-ES"")"),"Uno de ellos lo escupe en el fregadero y los otros tres están tratando de continuar.")</f>
        <v>Uno de ellos lo escupe en el fregadero y los otros tres están tratando de continuar.</v>
      </c>
    </row>
    <row r="20194">
      <c r="A20194" s="4" t="s">
        <v>25417</v>
      </c>
      <c r="B20194" s="4" t="s">
        <v>25421</v>
      </c>
      <c r="C20194" s="5" t="str">
        <f>IFERROR(__xludf.DUMMYFUNCTION("GOOGLETRANSLATE(B20194,""en"",""es-ES"")"),"Están pasando un momento muy difícil y, finalmente, todos escupen y una niña gana.")</f>
        <v>Están pasando un momento muy difícil y, finalmente, todos escupen y una niña gana.</v>
      </c>
    </row>
    <row r="20195">
      <c r="A20195" s="4" t="s">
        <v>25422</v>
      </c>
      <c r="B20195" s="4" t="s">
        <v>25423</v>
      </c>
      <c r="C20195" s="5" t="str">
        <f>IFERROR(__xludf.DUMMYFUNCTION("GOOGLETRANSLATE(B20195,""en"",""es-ES"")"),"Una mujer tiene un pañuelo atado alrededor de sus ojos.")</f>
        <v>Una mujer tiene un pañuelo atado alrededor de sus ojos.</v>
      </c>
    </row>
    <row r="20196">
      <c r="A20196" s="4" t="s">
        <v>25422</v>
      </c>
      <c r="B20196" s="4" t="s">
        <v>25424</v>
      </c>
      <c r="C20196" s="5" t="str">
        <f>IFERROR(__xludf.DUMMYFUNCTION("GOOGLETRANSLATE(B20196,""en"",""es-ES"")"),"Ella usa un palo para balancearse en una piñata.")</f>
        <v>Ella usa un palo para balancearse en una piñata.</v>
      </c>
    </row>
    <row r="20197">
      <c r="A20197" s="4" t="s">
        <v>25422</v>
      </c>
      <c r="B20197" s="4" t="s">
        <v>25425</v>
      </c>
      <c r="C20197" s="5" t="str">
        <f>IFERROR(__xludf.DUMMYFUNCTION("GOOGLETRANSLATE(B20197,""en"",""es-ES"")"),"Ella golpea la piñata en numerosas ocasiones.")</f>
        <v>Ella golpea la piñata en numerosas ocasiones.</v>
      </c>
    </row>
    <row r="20198">
      <c r="A20198" s="4" t="s">
        <v>25426</v>
      </c>
      <c r="B20198" s="4" t="s">
        <v>25427</v>
      </c>
      <c r="C20198" s="5" t="str">
        <f>IFERROR(__xludf.DUMMYFUNCTION("GOOGLETRANSLATE(B20198,""en"",""es-ES"")"),"Un hombre está parado afuera de un tatuaje y una sala de perforación.")</f>
        <v>Un hombre está parado afuera de un tatuaje y una sala de perforación.</v>
      </c>
    </row>
    <row r="20199">
      <c r="A20199" s="4" t="s">
        <v>25426</v>
      </c>
      <c r="B20199" s="4" t="s">
        <v>25428</v>
      </c>
      <c r="C20199" s="5" t="str">
        <f>IFERROR(__xludf.DUMMYFUNCTION("GOOGLETRANSLATE(B20199,""en"",""es-ES"")"),"Se acuesta en un banco mientras un artista del tatuaje trabaja en un tatuaje en su espalda.")</f>
        <v>Se acuesta en un banco mientras un artista del tatuaje trabaja en un tatuaje en su espalda.</v>
      </c>
    </row>
    <row r="20200">
      <c r="A20200" s="4" t="s">
        <v>25426</v>
      </c>
      <c r="B20200" s="4" t="s">
        <v>25429</v>
      </c>
      <c r="C20200" s="5" t="str">
        <f>IFERROR(__xludf.DUMMYFUNCTION("GOOGLETRANSLATE(B20200,""en"",""es-ES"")"),"Muestra un primer plano de su trabajo, que dice Thuglife.")</f>
        <v>Muestra un primer plano de su trabajo, que dice Thuglife.</v>
      </c>
    </row>
    <row r="20201">
      <c r="A20201" s="4" t="s">
        <v>25426</v>
      </c>
      <c r="B20201" s="4" t="s">
        <v>25430</v>
      </c>
      <c r="C20201" s="5" t="str">
        <f>IFERROR(__xludf.DUMMYFUNCTION("GOOGLETRANSLATE(B20201,""en"",""es-ES"")"),"El hombre mira el trabajo en el espejo.")</f>
        <v>El hombre mira el trabajo en el espejo.</v>
      </c>
    </row>
    <row r="20202">
      <c r="A20202" s="4" t="s">
        <v>25431</v>
      </c>
      <c r="B20202" s="4" t="s">
        <v>25432</v>
      </c>
      <c r="C20202" s="5" t="str">
        <f>IFERROR(__xludf.DUMMYFUNCTION("GOOGLETRANSLATE(B20202,""en"",""es-ES"")"),"Un artista de artes marciales realiza movimientos lentos con sus brazos y piernas simultáneamente.")</f>
        <v>Un artista de artes marciales realiza movimientos lentos con sus brazos y piernas simultáneamente.</v>
      </c>
    </row>
    <row r="20203">
      <c r="A20203" s="4" t="s">
        <v>25431</v>
      </c>
      <c r="B20203" s="4" t="s">
        <v>25433</v>
      </c>
      <c r="C20203" s="5" t="str">
        <f>IFERROR(__xludf.DUMMYFUNCTION("GOOGLETRANSLATE(B20203,""en"",""es-ES"")"),"Un hombre habla con la cámara después de que la mujer termina su rutina de artes marciales.")</f>
        <v>Un hombre habla con la cámara después de que la mujer termina su rutina de artes marciales.</v>
      </c>
    </row>
    <row r="20204">
      <c r="A20204" s="4" t="s">
        <v>25434</v>
      </c>
      <c r="B20204" s="4" t="s">
        <v>25435</v>
      </c>
      <c r="C20204" s="5" t="str">
        <f>IFERROR(__xludf.DUMMYFUNCTION("GOOGLETRANSLATE(B20204,""en"",""es-ES"")"),"Un hombre se para en una puerta hablando.")</f>
        <v>Un hombre se para en una puerta hablando.</v>
      </c>
    </row>
    <row r="20205">
      <c r="A20205" s="4" t="s">
        <v>25434</v>
      </c>
      <c r="B20205" s="4" t="s">
        <v>25436</v>
      </c>
      <c r="C20205" s="5" t="str">
        <f>IFERROR(__xludf.DUMMYFUNCTION("GOOGLETRANSLATE(B20205,""en"",""es-ES"")"),"El hombre sube una escalera y agrega un trozo de papel tapiz a la pared.")</f>
        <v>El hombre sube una escalera y agrega un trozo de papel tapiz a la pared.</v>
      </c>
    </row>
    <row r="20206">
      <c r="A20206" s="4" t="s">
        <v>25434</v>
      </c>
      <c r="B20206" s="4" t="s">
        <v>25437</v>
      </c>
      <c r="C20206" s="5" t="str">
        <f>IFERROR(__xludf.DUMMYFUNCTION("GOOGLETRANSLATE(B20206,""en"",""es-ES"")"),"El hombre usa una herramienta antes de girar para hablar y luego lo suaviza.")</f>
        <v>El hombre usa una herramienta antes de girar para hablar y luego lo suaviza.</v>
      </c>
    </row>
    <row r="20207">
      <c r="A20207" s="4" t="s">
        <v>25434</v>
      </c>
      <c r="B20207" s="4" t="s">
        <v>25438</v>
      </c>
      <c r="C20207" s="5" t="str">
        <f>IFERROR(__xludf.DUMMYFUNCTION("GOOGLETRANSLATE(B20207,""en"",""es-ES"")"),"El hombre habla y usa otra herramienta para cortar una pieza y luego limpia el techo.")</f>
        <v>El hombre habla y usa otra herramienta para cortar una pieza y luego limpia el techo.</v>
      </c>
    </row>
    <row r="20208">
      <c r="A20208" s="4" t="s">
        <v>25439</v>
      </c>
      <c r="B20208" s="4" t="s">
        <v>25440</v>
      </c>
      <c r="C20208" s="5" t="str">
        <f>IFERROR(__xludf.DUMMYFUNCTION("GOOGLETRANSLATE(B20208,""en"",""es-ES"")"),"Una mujer se encuentra sosteniendo un violín contra sí misma.")</f>
        <v>Una mujer se encuentra sosteniendo un violín contra sí misma.</v>
      </c>
    </row>
    <row r="20209">
      <c r="A20209" s="4" t="s">
        <v>25439</v>
      </c>
      <c r="B20209" s="4" t="s">
        <v>25441</v>
      </c>
      <c r="C20209" s="5" t="str">
        <f>IFERROR(__xludf.DUMMYFUNCTION("GOOGLETRANSLATE(B20209,""en"",""es-ES"")"),"La mujer toca el violín.")</f>
        <v>La mujer toca el violín.</v>
      </c>
    </row>
    <row r="20210">
      <c r="A20210" s="4" t="s">
        <v>25439</v>
      </c>
      <c r="B20210" s="4" t="s">
        <v>25442</v>
      </c>
      <c r="C20210" s="5" t="str">
        <f>IFERROR(__xludf.DUMMYFUNCTION("GOOGLETRANSLATE(B20210,""en"",""es-ES"")"),"La mujer deja de jugar el violín.")</f>
        <v>La mujer deja de jugar el violín.</v>
      </c>
    </row>
    <row r="20211">
      <c r="A20211" s="4" t="s">
        <v>25443</v>
      </c>
      <c r="B20211" s="4" t="s">
        <v>25444</v>
      </c>
      <c r="C20211" s="5" t="str">
        <f>IFERROR(__xludf.DUMMYFUNCTION("GOOGLETRANSLATE(B20211,""en"",""es-ES"")"),"Hay un hombre con una camisa roja y una camisa a cuadros sobre ella, de pie en un parque.")</f>
        <v>Hay un hombre con una camisa roja y una camisa a cuadros sobre ella, de pie en un parque.</v>
      </c>
    </row>
    <row r="20212">
      <c r="A20212" s="4" t="s">
        <v>25443</v>
      </c>
      <c r="B20212" s="4" t="s">
        <v>25445</v>
      </c>
      <c r="C20212" s="5" t="str">
        <f>IFERROR(__xludf.DUMMYFUNCTION("GOOGLETRANSLATE(B20212,""en"",""es-ES"")"),"Lanza un neumático de goma en el suelo.")</f>
        <v>Lanza un neumático de goma en el suelo.</v>
      </c>
    </row>
    <row r="20213">
      <c r="A20213" s="4" t="s">
        <v>25443</v>
      </c>
      <c r="B20213" s="4" t="s">
        <v>25446</v>
      </c>
      <c r="C20213" s="5" t="str">
        <f>IFERROR(__xludf.DUMMYFUNCTION("GOOGLETRANSLATE(B20213,""en"",""es-ES"")"),"Está parado cerca de un banco del parque con una patineta en la mano.")</f>
        <v>Está parado cerca de un banco del parque con una patineta en la mano.</v>
      </c>
    </row>
    <row r="20214">
      <c r="A20214" s="4" t="s">
        <v>25443</v>
      </c>
      <c r="B20214" s="4" t="s">
        <v>25447</v>
      </c>
      <c r="C20214" s="5" t="str">
        <f>IFERROR(__xludf.DUMMYFUNCTION("GOOGLETRANSLATE(B20214,""en"",""es-ES"")"),"Está demostrando cómo hacer acrobacias en la patineta saltando en el banco del parque.")</f>
        <v>Está demostrando cómo hacer acrobacias en la patineta saltando en el banco del parque.</v>
      </c>
    </row>
    <row r="20215">
      <c r="A20215" s="4" t="s">
        <v>25443</v>
      </c>
      <c r="B20215" s="4" t="s">
        <v>25448</v>
      </c>
      <c r="C20215" s="5" t="str">
        <f>IFERROR(__xludf.DUMMYFUNCTION("GOOGLETRANSLATE(B20215,""en"",""es-ES"")"),"Repite el mismo truco una y otra vez.")</f>
        <v>Repite el mismo truco una y otra vez.</v>
      </c>
    </row>
    <row r="20216">
      <c r="A20216" s="4" t="s">
        <v>25443</v>
      </c>
      <c r="B20216" s="4" t="s">
        <v>25449</v>
      </c>
      <c r="C20216" s="5" t="str">
        <f>IFERROR(__xludf.DUMMYFUNCTION("GOOGLETRANSLATE(B20216,""en"",""es-ES"")"),"Se cae de la patineta un par de veces, pero tiene éxito la mayor parte del tiempo.")</f>
        <v>Se cae de la patineta un par de veces, pero tiene éxito la mayor parte del tiempo.</v>
      </c>
    </row>
    <row r="20217">
      <c r="A20217" s="4" t="s">
        <v>25443</v>
      </c>
      <c r="B20217" s="4" t="s">
        <v>25450</v>
      </c>
      <c r="C20217" s="5" t="str">
        <f>IFERROR(__xludf.DUMMYFUNCTION("GOOGLETRANSLATE(B20217,""en"",""es-ES"")"),"Luego sostiene la patineta en su mano mientras habla mientras señala el banco.")</f>
        <v>Luego sostiene la patineta en su mano mientras habla mientras señala el banco.</v>
      </c>
    </row>
    <row r="20218">
      <c r="A20218" s="4" t="s">
        <v>25451</v>
      </c>
      <c r="B20218" s="4" t="s">
        <v>25452</v>
      </c>
      <c r="C20218" s="5" t="str">
        <f>IFERROR(__xludf.DUMMYFUNCTION("GOOGLETRANSLATE(B20218,""en"",""es-ES"")"),"En la pantalla se muestra un logotipo ""EESA"".")</f>
        <v>En la pantalla se muestra un logotipo "EESA".</v>
      </c>
    </row>
    <row r="20219">
      <c r="A20219" s="4" t="s">
        <v>25451</v>
      </c>
      <c r="B20219" s="4" t="s">
        <v>25453</v>
      </c>
      <c r="C20219" s="5" t="str">
        <f>IFERROR(__xludf.DUMMYFUNCTION("GOOGLETRANSLATE(B20219,""en"",""es-ES"")"),"Dos hombres con equipo de buceo en una piscina interior hablan con la cámara.")</f>
        <v>Dos hombres con equipo de buceo en una piscina interior hablan con la cámara.</v>
      </c>
    </row>
    <row r="20220">
      <c r="A20220" s="4" t="s">
        <v>25451</v>
      </c>
      <c r="B20220" s="4" t="s">
        <v>25454</v>
      </c>
      <c r="C20220" s="5" t="str">
        <f>IFERROR(__xludf.DUMMYFUNCTION("GOOGLETRANSLATE(B20220,""en"",""es-ES"")"),"La cámara sigue a uno de los hombres bajo el agua, donde están presentes numerosos obstáculos artificiales.")</f>
        <v>La cámara sigue a uno de los hombres bajo el agua, donde están presentes numerosos obstáculos artificiales.</v>
      </c>
    </row>
    <row r="20221">
      <c r="A20221" s="4" t="s">
        <v>25451</v>
      </c>
      <c r="B20221" s="4" t="s">
        <v>25455</v>
      </c>
      <c r="C20221" s="5" t="str">
        <f>IFERROR(__xludf.DUMMYFUNCTION("GOOGLETRANSLATE(B20221,""en"",""es-ES"")"),"Otros hombres vestidos como astronautas están bajo el agua con ellos.")</f>
        <v>Otros hombres vestidos como astronautas están bajo el agua con ellos.</v>
      </c>
    </row>
    <row r="20222">
      <c r="A20222" s="4" t="s">
        <v>25451</v>
      </c>
      <c r="B20222" s="4" t="s">
        <v>25456</v>
      </c>
      <c r="C20222" s="5" t="str">
        <f>IFERROR(__xludf.DUMMYFUNCTION("GOOGLETRANSLATE(B20222,""en"",""es-ES"")"),"Los buzos de bucle se despiden y los créditos se rodan.")</f>
        <v>Los buzos de bucle se despiden y los créditos se rodan.</v>
      </c>
    </row>
    <row r="20223">
      <c r="A20223" s="4" t="s">
        <v>25457</v>
      </c>
      <c r="B20223" s="4" t="s">
        <v>1487</v>
      </c>
      <c r="C20223" s="5" t="str">
        <f>IFERROR(__xludf.DUMMYFUNCTION("GOOGLETRANSLATE(B20223,""en"",""es-ES"")"),"Vemos una pantalla de título de apertura.")</f>
        <v>Vemos una pantalla de título de apertura.</v>
      </c>
    </row>
    <row r="20224">
      <c r="A20224" s="4" t="s">
        <v>25457</v>
      </c>
      <c r="B20224" s="4" t="s">
        <v>25458</v>
      </c>
      <c r="C20224" s="5" t="str">
        <f>IFERROR(__xludf.DUMMYFUNCTION("GOOGLETRANSLATE(B20224,""en"",""es-ES"")"),"Vemos bolas y remar y una mesa azul, luego un hombre habla y dos hombres jugando al tenis de mesa.")</f>
        <v>Vemos bolas y remar y una mesa azul, luego un hombre habla y dos hombres jugando al tenis de mesa.</v>
      </c>
    </row>
    <row r="20225">
      <c r="A20225" s="4" t="s">
        <v>25457</v>
      </c>
      <c r="B20225" s="4" t="s">
        <v>25459</v>
      </c>
      <c r="C20225" s="5" t="str">
        <f>IFERROR(__xludf.DUMMYFUNCTION("GOOGLETRANSLATE(B20225,""en"",""es-ES"")"),"Vemos una pantalla de título de instrucción.")</f>
        <v>Vemos una pantalla de título de instrucción.</v>
      </c>
    </row>
    <row r="20226">
      <c r="A20226" s="4" t="s">
        <v>25457</v>
      </c>
      <c r="B20226" s="4" t="s">
        <v>25460</v>
      </c>
      <c r="C20226" s="5" t="str">
        <f>IFERROR(__xludf.DUMMYFUNCTION("GOOGLETRANSLATE(B20226,""en"",""es-ES"")"),"El hombre demuestra golpear una pelota y lo vemos en el juego golpeando la pelota.")</f>
        <v>El hombre demuestra golpear una pelota y lo vemos en el juego golpeando la pelota.</v>
      </c>
    </row>
    <row r="20227">
      <c r="A20227" s="4" t="s">
        <v>25457</v>
      </c>
      <c r="B20227" s="4" t="s">
        <v>777</v>
      </c>
      <c r="C20227" s="5" t="str">
        <f>IFERROR(__xludf.DUMMYFUNCTION("GOOGLETRANSLATE(B20227,""en"",""es-ES"")"),"Vemos la pantalla de título final.")</f>
        <v>Vemos la pantalla de título final.</v>
      </c>
    </row>
    <row r="20228">
      <c r="A20228" s="4" t="s">
        <v>25461</v>
      </c>
      <c r="B20228" s="4" t="s">
        <v>25462</v>
      </c>
      <c r="C20228" s="5" t="str">
        <f>IFERROR(__xludf.DUMMYFUNCTION("GOOGLETRANSLATE(B20228,""en"",""es-ES"")"),"Varios hombres soplan hojas frente a una casa.")</f>
        <v>Varios hombres soplan hojas frente a una casa.</v>
      </c>
    </row>
    <row r="20229">
      <c r="A20229" s="4" t="s">
        <v>25461</v>
      </c>
      <c r="B20229" s="4" t="s">
        <v>25463</v>
      </c>
      <c r="C20229" s="5" t="str">
        <f>IFERROR(__xludf.DUMMYFUNCTION("GOOGLETRANSLATE(B20229,""en"",""es-ES"")"),"Un hombre va por todo el patio para soplar las hojas.")</f>
        <v>Un hombre va por todo el patio para soplar las hojas.</v>
      </c>
    </row>
    <row r="20230">
      <c r="A20230" s="4" t="s">
        <v>25461</v>
      </c>
      <c r="B20230" s="4" t="s">
        <v>25464</v>
      </c>
      <c r="C20230" s="5" t="str">
        <f>IFERROR(__xludf.DUMMYFUNCTION("GOOGLETRANSLATE(B20230,""en"",""es-ES"")"),"Se despeja frente a la casa.")</f>
        <v>Se despeja frente a la casa.</v>
      </c>
    </row>
    <row r="20231">
      <c r="A20231" s="4" t="s">
        <v>25461</v>
      </c>
      <c r="B20231" s="4" t="s">
        <v>25465</v>
      </c>
      <c r="C20231" s="5" t="str">
        <f>IFERROR(__xludf.DUMMYFUNCTION("GOOGLETRANSLATE(B20231,""en"",""es-ES"")"),"También se aclara por el cobertizo.")</f>
        <v>También se aclara por el cobertizo.</v>
      </c>
    </row>
    <row r="20232">
      <c r="A20232" s="4" t="s">
        <v>25461</v>
      </c>
      <c r="B20232" s="4" t="s">
        <v>25466</v>
      </c>
      <c r="C20232" s="5" t="str">
        <f>IFERROR(__xludf.DUMMYFUNCTION("GOOGLETRANSLATE(B20232,""en"",""es-ES"")"),"Se muestra a otro hombre deambulando por el patio.")</f>
        <v>Se muestra a otro hombre deambulando por el patio.</v>
      </c>
    </row>
    <row r="20233">
      <c r="A20233" s="4" t="s">
        <v>25467</v>
      </c>
      <c r="B20233" s="4" t="s">
        <v>25468</v>
      </c>
      <c r="C20233" s="5" t="str">
        <f>IFERROR(__xludf.DUMMYFUNCTION("GOOGLETRANSLATE(B20233,""en"",""es-ES"")"),"Vemos hombres en un campo de lacrosse jugando un juego.")</f>
        <v>Vemos hombres en un campo de lacrosse jugando un juego.</v>
      </c>
    </row>
    <row r="20234">
      <c r="A20234" s="4" t="s">
        <v>25467</v>
      </c>
      <c r="B20234" s="4" t="s">
        <v>25469</v>
      </c>
      <c r="C20234" s="5" t="str">
        <f>IFERROR(__xludf.DUMMYFUNCTION("GOOGLETRANSLATE(B20234,""en"",""es-ES"")"),"Un hombre golpea la pelota y los hombres corren en el campo.")</f>
        <v>Un hombre golpea la pelota y los hombres corren en el campo.</v>
      </c>
    </row>
    <row r="20235">
      <c r="A20235" s="4" t="s">
        <v>25467</v>
      </c>
      <c r="B20235" s="4" t="s">
        <v>25470</v>
      </c>
      <c r="C20235" s="5" t="str">
        <f>IFERROR(__xludf.DUMMYFUNCTION("GOOGLETRANSLATE(B20235,""en"",""es-ES"")"),"Vemos a un hombre en rojo correr en la pantalla y caminar de regreso.")</f>
        <v>Vemos a un hombre en rojo correr en la pantalla y caminar de regreso.</v>
      </c>
    </row>
    <row r="20236">
      <c r="A20236" s="4" t="s">
        <v>25471</v>
      </c>
      <c r="B20236" s="4" t="s">
        <v>25472</v>
      </c>
      <c r="C20236" s="5" t="str">
        <f>IFERROR(__xludf.DUMMYFUNCTION("GOOGLETRANSLATE(B20236,""en"",""es-ES"")"),"La mujer está en un gimnasio haciendo ejercicio en las piernas y abdominales.")</f>
        <v>La mujer está en un gimnasio haciendo ejercicio en las piernas y abdominales.</v>
      </c>
    </row>
    <row r="20237">
      <c r="A20237" s="4" t="s">
        <v>25471</v>
      </c>
      <c r="B20237" s="4" t="s">
        <v>25473</v>
      </c>
      <c r="C20237" s="5" t="str">
        <f>IFERROR(__xludf.DUMMYFUNCTION("GOOGLETRANSLATE(B20237,""en"",""es-ES"")"),"Thw Woman está sentada en una terraza hablando con la cámara.")</f>
        <v>Thw Woman está sentada en una terraza hablando con la cámara.</v>
      </c>
    </row>
    <row r="20238">
      <c r="A20238" s="4" t="s">
        <v>25471</v>
      </c>
      <c r="B20238" s="4" t="s">
        <v>25474</v>
      </c>
      <c r="C20238" s="5" t="str">
        <f>IFERROR(__xludf.DUMMYFUNCTION("GOOGLETRANSLATE(B20238,""en"",""es-ES"")"),"La mujer camina en una acera con un perro pequeño blanco y entra en una casa.")</f>
        <v>La mujer camina en una acera con un perro pequeño blanco y entra en una casa.</v>
      </c>
    </row>
    <row r="20239">
      <c r="A20239" s="4" t="s">
        <v>25471</v>
      </c>
      <c r="B20239" s="4" t="s">
        <v>25475</v>
      </c>
      <c r="C20239" s="5" t="str">
        <f>IFERROR(__xludf.DUMMYFUNCTION("GOOGLETRANSLATE(B20239,""en"",""es-ES"")"),"La mujer está nuevamente en la terraza hablando con la cámara.")</f>
        <v>La mujer está nuevamente en la terraza hablando con la cámara.</v>
      </c>
    </row>
    <row r="20240">
      <c r="A20240" s="4" t="s">
        <v>25476</v>
      </c>
      <c r="B20240" s="4" t="s">
        <v>25477</v>
      </c>
      <c r="C20240" s="5" t="str">
        <f>IFERROR(__xludf.DUMMYFUNCTION("GOOGLETRANSLATE(B20240,""en"",""es-ES"")"),"Una anciana está sentada en el sofá con una niña, mostrándole cómo enhebrar el patio en un gancho de punto.")</f>
        <v>Una anciana está sentada en el sofá con una niña, mostrándole cómo enhebrar el patio en un gancho de punto.</v>
      </c>
    </row>
    <row r="20241">
      <c r="A20241" s="4" t="s">
        <v>25476</v>
      </c>
      <c r="B20241" s="4" t="s">
        <v>25478</v>
      </c>
      <c r="C20241" s="5" t="str">
        <f>IFERROR(__xludf.DUMMYFUNCTION("GOOGLETRANSLATE(B20241,""en"",""es-ES"")"),"La niña sonríe y se ríe mientras descubre cómo manejarlo.")</f>
        <v>La niña sonríe y se ríe mientras descubre cómo manejarlo.</v>
      </c>
    </row>
    <row r="20242">
      <c r="A20242" s="4" t="s">
        <v>25479</v>
      </c>
      <c r="B20242" s="4" t="s">
        <v>25480</v>
      </c>
      <c r="C20242" s="5" t="str">
        <f>IFERROR(__xludf.DUMMYFUNCTION("GOOGLETRANSLATE(B20242,""en"",""es-ES"")"),"Un hombre se sienta en una silla de barbero.")</f>
        <v>Un hombre se sienta en una silla de barbero.</v>
      </c>
    </row>
    <row r="20243">
      <c r="A20243" s="4" t="s">
        <v>25479</v>
      </c>
      <c r="B20243" s="4" t="s">
        <v>25481</v>
      </c>
      <c r="C20243" s="5" t="str">
        <f>IFERROR(__xludf.DUMMYFUNCTION("GOOGLETRANSLATE(B20243,""en"",""es-ES"")"),"El barbero comienza a afeitarse la cabeza.")</f>
        <v>El barbero comienza a afeitarse la cabeza.</v>
      </c>
    </row>
    <row r="20244">
      <c r="A20244" s="4" t="s">
        <v>25479</v>
      </c>
      <c r="B20244" s="4" t="s">
        <v>25482</v>
      </c>
      <c r="C20244" s="5" t="str">
        <f>IFERROR(__xludf.DUMMYFUNCTION("GOOGLETRANSLATE(B20244,""en"",""es-ES"")"),"Se afeita las estrellas en la cabeza.")</f>
        <v>Se afeita las estrellas en la cabeza.</v>
      </c>
    </row>
    <row r="20245">
      <c r="A20245" s="4" t="s">
        <v>25479</v>
      </c>
      <c r="B20245" s="4" t="s">
        <v>25483</v>
      </c>
      <c r="C20245" s="5" t="str">
        <f>IFERROR(__xludf.DUMMYFUNCTION("GOOGLETRANSLATE(B20245,""en"",""es-ES"")"),"El diseño está intrincadamente hecho.")</f>
        <v>El diseño está intrincadamente hecho.</v>
      </c>
    </row>
    <row r="20246">
      <c r="A20246" s="4" t="s">
        <v>25484</v>
      </c>
      <c r="B20246" s="4" t="s">
        <v>25485</v>
      </c>
      <c r="C20246" s="5" t="str">
        <f>IFERROR(__xludf.DUMMYFUNCTION("GOOGLETRANSLATE(B20246,""en"",""es-ES"")"),"La gente navega en las aguas entrecortadas del océano mientras un gato se sienta en una roca.")</f>
        <v>La gente navega en las aguas entrecortadas del océano mientras un gato se sienta en una roca.</v>
      </c>
    </row>
    <row r="20247">
      <c r="A20247" s="4" t="s">
        <v>25484</v>
      </c>
      <c r="B20247" s="4" t="s">
        <v>25486</v>
      </c>
      <c r="C20247" s="5" t="str">
        <f>IFERROR(__xludf.DUMMYFUNCTION("GOOGLETRANSLATE(B20247,""en"",""es-ES"")"),"Una persona surfe en una gran ola que va a la derecha, mientras que otro surfista entra en una ola para surfear y cae, pero vuelve a subir a la tabla de surf.")</f>
        <v>Una persona surfe en una gran ola que va a la derecha, mientras que otro surfista entra en una ola para surfear y cae, pero vuelve a subir a la tabla de surf.</v>
      </c>
    </row>
    <row r="20248">
      <c r="A20248" s="4" t="s">
        <v>25484</v>
      </c>
      <c r="B20248" s="4" t="s">
        <v>25487</v>
      </c>
      <c r="C20248" s="5" t="str">
        <f>IFERROR(__xludf.DUMMYFUNCTION("GOOGLETRANSLATE(B20248,""en"",""es-ES"")"),"Un hombre navega en una ola que va a la izquierda mientras otras personas surfe en el océano.")</f>
        <v>Un hombre navega en una ola que va a la izquierda mientras otras personas surfe en el océano.</v>
      </c>
    </row>
    <row r="20249">
      <c r="A20249" s="4" t="s">
        <v>25484</v>
      </c>
      <c r="B20249" s="4" t="s">
        <v>25488</v>
      </c>
      <c r="C20249" s="5" t="str">
        <f>IFERROR(__xludf.DUMMYFUNCTION("GOOGLETRANSLATE(B20249,""en"",""es-ES"")"),"De repente, un hombre aparece remando una canoa.")</f>
        <v>De repente, un hombre aparece remando una canoa.</v>
      </c>
    </row>
    <row r="20250">
      <c r="A20250" s="4" t="s">
        <v>25489</v>
      </c>
      <c r="B20250" s="4" t="s">
        <v>25490</v>
      </c>
      <c r="C20250" s="5" t="str">
        <f>IFERROR(__xludf.DUMMYFUNCTION("GOOGLETRANSLATE(B20250,""en"",""es-ES"")"),"Un grupo de hombres está en una fila.")</f>
        <v>Un grupo de hombres está en una fila.</v>
      </c>
    </row>
    <row r="20251">
      <c r="A20251" s="4" t="s">
        <v>25489</v>
      </c>
      <c r="B20251" s="4" t="s">
        <v>25491</v>
      </c>
      <c r="C20251" s="5" t="str">
        <f>IFERROR(__xludf.DUMMYFUNCTION("GOOGLETRANSLATE(B20251,""en"",""es-ES"")"),"Están lanzando dardos a los objetivos.")</f>
        <v>Están lanzando dardos a los objetivos.</v>
      </c>
    </row>
    <row r="20252">
      <c r="A20252" s="4" t="s">
        <v>25489</v>
      </c>
      <c r="B20252" s="4" t="s">
        <v>25492</v>
      </c>
      <c r="C20252" s="5" t="str">
        <f>IFERROR(__xludf.DUMMYFUNCTION("GOOGLETRANSLATE(B20252,""en"",""es-ES"")"),"La gente conversa mientras intentan alcanzar sus objetivos.")</f>
        <v>La gente conversa mientras intentan alcanzar sus objetivos.</v>
      </c>
    </row>
    <row r="20253">
      <c r="A20253" s="4" t="s">
        <v>25493</v>
      </c>
      <c r="B20253" s="4" t="s">
        <v>25494</v>
      </c>
      <c r="C20253" s="5" t="str">
        <f>IFERROR(__xludf.DUMMYFUNCTION("GOOGLETRANSLATE(B20253,""en"",""es-ES"")"),"Se ve a un niño pequeño lavar varios platos en un fregadero mientras usa guantes y los corre bajo el agua.")</f>
        <v>Se ve a un niño pequeño lavar varios platos en un fregadero mientras usa guantes y los corre bajo el agua.</v>
      </c>
    </row>
    <row r="20254">
      <c r="A20254" s="4" t="s">
        <v>25493</v>
      </c>
      <c r="B20254" s="4" t="s">
        <v>25495</v>
      </c>
      <c r="C20254" s="5" t="str">
        <f>IFERROR(__xludf.DUMMYFUNCTION("GOOGLETRANSLATE(B20254,""en"",""es-ES"")"),"El niño continúa pegando un tazón debajo del agua mientras la cámara se mueve alrededor de sus movimientos.")</f>
        <v>El niño continúa pegando un tazón debajo del agua mientras la cámara se mueve alrededor de sus movimientos.</v>
      </c>
    </row>
    <row r="20255">
      <c r="A20255" s="4" t="s">
        <v>25496</v>
      </c>
      <c r="B20255" s="4" t="s">
        <v>25497</v>
      </c>
      <c r="C20255" s="5" t="str">
        <f>IFERROR(__xludf.DUMMYFUNCTION("GOOGLETRANSLATE(B20255,""en"",""es-ES"")"),"Se ve a una gimnasta levantando el brazo en el aire y subiendo en la parte superior de un rayo de gimnasia.")</f>
        <v>Se ve a una gimnasta levantando el brazo en el aire y subiendo en la parte superior de un rayo de gimnasia.</v>
      </c>
    </row>
    <row r="20256">
      <c r="A20256" s="4" t="s">
        <v>25496</v>
      </c>
      <c r="B20256" s="4" t="s">
        <v>25498</v>
      </c>
      <c r="C20256" s="5" t="str">
        <f>IFERROR(__xludf.DUMMYFUNCTION("GOOGLETRANSLATE(B20256,""en"",""es-ES"")"),"Se gira a sí mismo realizando varios trucos en la viga y termina saltando hacia abajo y sonriendo a la audiencia aplaudiendo.")</f>
        <v>Se gira a sí mismo realizando varios trucos en la viga y termina saltando hacia abajo y sonriendo a la audiencia aplaudiendo.</v>
      </c>
    </row>
    <row r="20257">
      <c r="A20257" s="4" t="s">
        <v>25499</v>
      </c>
      <c r="B20257" s="4" t="s">
        <v>25500</v>
      </c>
      <c r="C20257" s="5" t="str">
        <f>IFERROR(__xludf.DUMMYFUNCTION("GOOGLETRANSLATE(B20257,""en"",""es-ES"")"),"Una mujer con trajes de alas de mariposas jugando cerveza.")</f>
        <v>Una mujer con trajes de alas de mariposas jugando cerveza.</v>
      </c>
    </row>
    <row r="20258">
      <c r="A20258" s="4" t="s">
        <v>25499</v>
      </c>
      <c r="B20258" s="4" t="s">
        <v>25501</v>
      </c>
      <c r="C20258" s="5" t="str">
        <f>IFERROR(__xludf.DUMMYFUNCTION("GOOGLETRANSLATE(B20258,""en"",""es-ES"")"),"Una mujer lleva un disfraz de malla está parado detrás de la mesa.")</f>
        <v>Una mujer lleva un disfraz de malla está parado detrás de la mesa.</v>
      </c>
    </row>
    <row r="20259">
      <c r="A20259" s="4" t="s">
        <v>25499</v>
      </c>
      <c r="B20259" s="4" t="s">
        <v>25502</v>
      </c>
      <c r="C20259" s="5" t="str">
        <f>IFERROR(__xludf.DUMMYFUNCTION("GOOGLETRANSLATE(B20259,""en"",""es-ES"")"),"La mujer está sentada frente a la mesa y baila cuando la mujer falla la pelota.")</f>
        <v>La mujer está sentada frente a la mesa y baila cuando la mujer falla la pelota.</v>
      </c>
    </row>
    <row r="20260">
      <c r="A20260" s="4" t="s">
        <v>25503</v>
      </c>
      <c r="B20260" s="4" t="s">
        <v>25504</v>
      </c>
      <c r="C20260" s="5" t="str">
        <f>IFERROR(__xludf.DUMMYFUNCTION("GOOGLETRANSLATE(B20260,""en"",""es-ES"")"),"Un hombre y una mujer se paran en una calle hablando en el frente de una ventana.")</f>
        <v>Un hombre y una mujer se paran en una calle hablando en el frente de una ventana.</v>
      </c>
    </row>
    <row r="20261">
      <c r="A20261" s="4" t="s">
        <v>25503</v>
      </c>
      <c r="B20261" s="4" t="s">
        <v>25505</v>
      </c>
      <c r="C20261" s="5" t="str">
        <f>IFERROR(__xludf.DUMMYFUNCTION("GOOGLETRANSLATE(B20261,""en"",""es-ES"")"),"Una persona pasa al frente al hombre y a la mujer.")</f>
        <v>Una persona pasa al frente al hombre y a la mujer.</v>
      </c>
    </row>
    <row r="20262">
      <c r="A20262" s="4" t="s">
        <v>25503</v>
      </c>
      <c r="B20262" s="4" t="s">
        <v>25506</v>
      </c>
      <c r="C20262" s="5" t="str">
        <f>IFERROR(__xludf.DUMMYFUNCTION("GOOGLETRANSLATE(B20262,""en"",""es-ES"")"),"La gente pasa al frente a la mujer y al hombre.")</f>
        <v>La gente pasa al frente a la mujer y al hombre.</v>
      </c>
    </row>
    <row r="20263">
      <c r="A20263" s="4" t="s">
        <v>25507</v>
      </c>
      <c r="B20263" s="4" t="s">
        <v>25508</v>
      </c>
      <c r="C20263" s="5" t="str">
        <f>IFERROR(__xludf.DUMMYFUNCTION("GOOGLETRANSLATE(B20263,""en"",""es-ES"")"),"Vemos gimnastas en un gimnasio entre sí.")</f>
        <v>Vemos gimnastas en un gimnasio entre sí.</v>
      </c>
    </row>
    <row r="20264">
      <c r="A20264" s="4" t="s">
        <v>25507</v>
      </c>
      <c r="B20264" s="4" t="s">
        <v>25509</v>
      </c>
      <c r="C20264" s="5" t="str">
        <f>IFERROR(__xludf.DUMMYFUNCTION("GOOGLETRANSLATE(B20264,""en"",""es-ES"")"),"Luego comienzan un baile aeróbico.")</f>
        <v>Luego comienzan un baile aeróbico.</v>
      </c>
    </row>
    <row r="20265">
      <c r="A20265" s="4" t="s">
        <v>25507</v>
      </c>
      <c r="B20265" s="4" t="s">
        <v>25510</v>
      </c>
      <c r="C20265" s="5" t="str">
        <f>IFERROR(__xludf.DUMMYFUNCTION("GOOGLETRANSLATE(B20265,""en"",""es-ES"")"),"La gente camina hacia sus pasos y pisó ellos.")</f>
        <v>La gente camina hacia sus pasos y pisó ellos.</v>
      </c>
    </row>
    <row r="20266">
      <c r="A20266" s="4" t="s">
        <v>25507</v>
      </c>
      <c r="B20266" s="4" t="s">
        <v>25511</v>
      </c>
      <c r="C20266" s="5" t="str">
        <f>IFERROR(__xludf.DUMMYFUNCTION("GOOGLETRANSLATE(B20266,""en"",""es-ES"")"),"La gente mueve los pasos al centro de la habitación.")</f>
        <v>La gente mueve los pasos al centro de la habitación.</v>
      </c>
    </row>
    <row r="20267">
      <c r="A20267" s="4" t="s">
        <v>25507</v>
      </c>
      <c r="B20267" s="4" t="s">
        <v>25512</v>
      </c>
      <c r="C20267" s="5" t="str">
        <f>IFERROR(__xludf.DUMMYFUNCTION("GOOGLETRANSLATE(B20267,""en"",""es-ES"")"),"Una dama hace una separación en el piso y terminan.")</f>
        <v>Una dama hace una separación en el piso y terminan.</v>
      </c>
    </row>
    <row r="20268">
      <c r="A20268" s="4" t="s">
        <v>25507</v>
      </c>
      <c r="B20268" s="4" t="s">
        <v>25513</v>
      </c>
      <c r="C20268" s="5" t="str">
        <f>IFERROR(__xludf.DUMMYFUNCTION("GOOGLETRANSLATE(B20268,""en"",""es-ES"")"),"El título final aparece en la pantalla.")</f>
        <v>El título final aparece en la pantalla.</v>
      </c>
    </row>
    <row r="20269">
      <c r="A20269" s="4" t="s">
        <v>25514</v>
      </c>
      <c r="B20269" s="4" t="s">
        <v>25515</v>
      </c>
      <c r="C20269" s="5" t="str">
        <f>IFERROR(__xludf.DUMMYFUNCTION("GOOGLETRANSLATE(B20269,""en"",""es-ES"")"),"Hay una pared de pinturas y luego la escena se desvanece.")</f>
        <v>Hay una pared de pinturas y luego la escena se desvanece.</v>
      </c>
    </row>
    <row r="20270">
      <c r="A20270" s="4" t="s">
        <v>25514</v>
      </c>
      <c r="B20270" s="4" t="s">
        <v>25516</v>
      </c>
      <c r="C20270" s="5" t="str">
        <f>IFERROR(__xludf.DUMMYFUNCTION("GOOGLETRANSLATE(B20270,""en"",""es-ES"")"),"La gente está parada en un balcón por mirar un evento de fútbol y la pantalla dice el final de la Copa Wuzler.")</f>
        <v>La gente está parada en un balcón por mirar un evento de fútbol y la pantalla dice el final de la Copa Wuzler.</v>
      </c>
    </row>
    <row r="20271">
      <c r="A20271" s="4" t="s">
        <v>25514</v>
      </c>
      <c r="B20271" s="4" t="s">
        <v>25517</v>
      </c>
      <c r="C20271" s="5" t="str">
        <f>IFERROR(__xludf.DUMMYFUNCTION("GOOGLETRANSLATE(B20271,""en"",""es-ES"")"),"Dos filas de personas están jugando al fútbol de mesa.")</f>
        <v>Dos filas de personas están jugando al fútbol de mesa.</v>
      </c>
    </row>
    <row r="20272">
      <c r="A20272" s="4" t="s">
        <v>25514</v>
      </c>
      <c r="B20272" s="4" t="s">
        <v>25518</v>
      </c>
      <c r="C20272" s="5" t="str">
        <f>IFERROR(__xludf.DUMMYFUNCTION("GOOGLETRANSLATE(B20272,""en"",""es-ES"")"),"La pelota saltó de la mesa y una mujer la volvió a jugar y se hizo un gol.")</f>
        <v>La pelota saltó de la mesa y una mujer la volvió a jugar y se hizo un gol.</v>
      </c>
    </row>
    <row r="20273">
      <c r="A20273" s="4" t="s">
        <v>25514</v>
      </c>
      <c r="B20273" s="4" t="s">
        <v>25519</v>
      </c>
      <c r="C20273" s="5" t="str">
        <f>IFERROR(__xludf.DUMMYFUNCTION("GOOGLETRANSLATE(B20273,""en"",""es-ES"")"),"Hay animadoras para este evento.")</f>
        <v>Hay animadoras para este evento.</v>
      </c>
    </row>
    <row r="20274">
      <c r="A20274" s="4" t="s">
        <v>25514</v>
      </c>
      <c r="B20274" s="4" t="s">
        <v>25520</v>
      </c>
      <c r="C20274" s="5" t="str">
        <f>IFERROR(__xludf.DUMMYFUNCTION("GOOGLETRANSLATE(B20274,""en"",""es-ES"")"),"El equipo rojo ganó y está mostrando sus camisetas.")</f>
        <v>El equipo rojo ganó y está mostrando sus camisetas.</v>
      </c>
    </row>
    <row r="20275">
      <c r="A20275" s="4" t="s">
        <v>25514</v>
      </c>
      <c r="B20275" s="4" t="s">
        <v>25521</v>
      </c>
      <c r="C20275" s="5" t="str">
        <f>IFERROR(__xludf.DUMMYFUNCTION("GOOGLETRANSLATE(B20275,""en"",""es-ES"")"),"La escena cambia a un informado detrás de un escritorio.")</f>
        <v>La escena cambia a un informado detrás de un escritorio.</v>
      </c>
    </row>
    <row r="20276">
      <c r="A20276" s="4" t="s">
        <v>25522</v>
      </c>
      <c r="B20276" s="4" t="s">
        <v>25523</v>
      </c>
      <c r="C20276" s="5" t="str">
        <f>IFERROR(__xludf.DUMMYFUNCTION("GOOGLETRANSLATE(B20276,""en"",""es-ES"")"),"Un grupo de mujeres con vestidos azules está bailando en un escenario sincronizado, cayeron al suelo y la pantalla se desvanece a las negras.")</f>
        <v>Un grupo de mujeres con vestidos azules está bailando en un escenario sincronizado, cayeron al suelo y la pantalla se desvanece a las negras.</v>
      </c>
    </row>
    <row r="20277">
      <c r="A20277" s="4" t="s">
        <v>25522</v>
      </c>
      <c r="B20277" s="4" t="s">
        <v>25524</v>
      </c>
      <c r="C20277" s="5" t="str">
        <f>IFERROR(__xludf.DUMMYFUNCTION("GOOGLETRANSLATE(B20277,""en"",""es-ES"")"),"Una mujer sola aparece en el escenario con palabras blancas en la parte inferior izquierda que dicen ""Ballet d'Irient"", y un fondo de efecto especial y comienza a bailar, luego otras mujeres se unen a ella.")</f>
        <v>Una mujer sola aparece en el escenario con palabras blancas en la parte inferior izquierda que dicen "Ballet d'Irient", y un fondo de efecto especial y comienza a bailar, luego otras mujeres se unen a ella.</v>
      </c>
    </row>
    <row r="20278">
      <c r="A20278" s="4" t="s">
        <v>25522</v>
      </c>
      <c r="B20278" s="4" t="s">
        <v>25525</v>
      </c>
      <c r="C20278" s="5" t="str">
        <f>IFERROR(__xludf.DUMMYFUNCTION("GOOGLETRANSLATE(B20278,""en"",""es-ES"")"),"El foco se desvanece cuando la rutina termina y la pantalla se desvanece hasta negra.")</f>
        <v>El foco se desvanece cuando la rutina termina y la pantalla se desvanece hasta negra.</v>
      </c>
    </row>
    <row r="20279">
      <c r="A20279" s="4" t="s">
        <v>25526</v>
      </c>
      <c r="B20279" s="4" t="s">
        <v>25527</v>
      </c>
      <c r="C20279" s="5" t="str">
        <f>IFERROR(__xludf.DUMMYFUNCTION("GOOGLETRANSLATE(B20279,""en"",""es-ES"")"),"Un hombre y una mujer están sentados detrás de un escritorio hablando.")</f>
        <v>Un hombre y una mujer están sentados detrás de un escritorio hablando.</v>
      </c>
    </row>
    <row r="20280">
      <c r="A20280" s="4" t="s">
        <v>25526</v>
      </c>
      <c r="B20280" s="4" t="s">
        <v>25528</v>
      </c>
      <c r="C20280" s="5" t="str">
        <f>IFERROR(__xludf.DUMMYFUNCTION("GOOGLETRANSLATE(B20280,""en"",""es-ES"")"),"Un médico está realizando cirugía en una habitación.")</f>
        <v>Un médico está realizando cirugía en una habitación.</v>
      </c>
    </row>
    <row r="20281">
      <c r="A20281" s="4" t="s">
        <v>25526</v>
      </c>
      <c r="B20281" s="4" t="s">
        <v>25529</v>
      </c>
      <c r="C20281" s="5" t="str">
        <f>IFERROR(__xludf.DUMMYFUNCTION("GOOGLETRANSLATE(B20281,""en"",""es-ES"")"),"Una mujer con una camisa roja está de pie en un mostrador hablando.")</f>
        <v>Una mujer con una camisa roja está de pie en un mostrador hablando.</v>
      </c>
    </row>
    <row r="20282">
      <c r="A20282" s="4" t="s">
        <v>25526</v>
      </c>
      <c r="B20282" s="4" t="s">
        <v>25530</v>
      </c>
      <c r="C20282" s="5" t="str">
        <f>IFERROR(__xludf.DUMMYFUNCTION("GOOGLETRANSLATE(B20282,""en"",""es-ES"")"),"Una mujer se limpia la boca con una servilleta.")</f>
        <v>Una mujer se limpia la boca con una servilleta.</v>
      </c>
    </row>
    <row r="20283">
      <c r="A20283" s="4" t="s">
        <v>25531</v>
      </c>
      <c r="B20283" s="4" t="s">
        <v>25532</v>
      </c>
      <c r="C20283" s="5" t="str">
        <f>IFERROR(__xludf.DUMMYFUNCTION("GOOGLETRANSLATE(B20283,""en"",""es-ES"")"),"Una introducción conduce a varios disparos de un hombre que montaba una gran ola de una tabla de surf desde varios ángulos.")</f>
        <v>Una introducción conduce a varios disparos de un hombre que montaba una gran ola de una tabla de surf desde varios ángulos.</v>
      </c>
    </row>
    <row r="20284">
      <c r="A20284" s="4" t="s">
        <v>25531</v>
      </c>
      <c r="B20284" s="4" t="s">
        <v>25533</v>
      </c>
      <c r="C20284" s="5" t="str">
        <f>IFERROR(__xludf.DUMMYFUNCTION("GOOGLETRANSLATE(B20284,""en"",""es-ES"")"),"El camarógrafo entrevista a un hombre y se muestra nuevamente montando grandes olas en el océano.")</f>
        <v>El camarógrafo entrevista a un hombre y se muestra nuevamente montando grandes olas en el océano.</v>
      </c>
    </row>
    <row r="20285">
      <c r="A20285" s="4" t="s">
        <v>25531</v>
      </c>
      <c r="B20285" s="4" t="s">
        <v>25534</v>
      </c>
      <c r="C20285" s="5" t="str">
        <f>IFERROR(__xludf.DUMMYFUNCTION("GOOGLETRANSLATE(B20285,""en"",""es-ES"")"),"Otro hombre es entrevistado por la cámara y muestra sus habilidades de surf en su tablero.")</f>
        <v>Otro hombre es entrevistado por la cámara y muestra sus habilidades de surf en su tablero.</v>
      </c>
    </row>
    <row r="20286">
      <c r="A20286" s="4" t="s">
        <v>25535</v>
      </c>
      <c r="B20286" s="4" t="s">
        <v>25536</v>
      </c>
      <c r="C20286" s="5" t="str">
        <f>IFERROR(__xludf.DUMMYFUNCTION("GOOGLETRANSLATE(B20286,""en"",""es-ES"")"),"Un hombre está afuera en una cancha de tenis que habla mientras sostiene una raqueta de tenis.")</f>
        <v>Un hombre está afuera en una cancha de tenis que habla mientras sostiene una raqueta de tenis.</v>
      </c>
    </row>
    <row r="20287">
      <c r="A20287" s="4" t="s">
        <v>25535</v>
      </c>
      <c r="B20287" s="4" t="s">
        <v>25537</v>
      </c>
      <c r="C20287" s="5" t="str">
        <f>IFERROR(__xludf.DUMMYFUNCTION("GOOGLETRANSLATE(B20287,""en"",""es-ES"")"),"Él va a la cancha y con la raqueta y una pelota de su bolsillo y la golpea.")</f>
        <v>Él va a la cancha y con la raqueta y una pelota de su bolsillo y la golpea.</v>
      </c>
    </row>
    <row r="20288">
      <c r="A20288" s="4" t="s">
        <v>25535</v>
      </c>
      <c r="B20288" s="4" t="s">
        <v>25538</v>
      </c>
      <c r="C20288" s="5" t="str">
        <f>IFERROR(__xludf.DUMMYFUNCTION("GOOGLETRANSLATE(B20288,""en"",""es-ES"")"),"Da información muy detallada por un tiempo, el tenis parece ser algo que sabe muy bien.")</f>
        <v>Da información muy detallada por un tiempo, el tenis parece ser algo que sabe muy bien.</v>
      </c>
    </row>
    <row r="20289">
      <c r="A20289" s="4" t="s">
        <v>25535</v>
      </c>
      <c r="B20289" s="4" t="s">
        <v>25539</v>
      </c>
      <c r="C20289" s="5" t="str">
        <f>IFERROR(__xludf.DUMMYFUNCTION("GOOGLETRANSLATE(B20289,""en"",""es-ES"")"),"Él muestra cómo debes golpear la pelota correctamente y continúa hablando un poco más.")</f>
        <v>Él muestra cómo debes golpear la pelota correctamente y continúa hablando un poco más.</v>
      </c>
    </row>
    <row r="20290">
      <c r="A20290" s="4" t="s">
        <v>25540</v>
      </c>
      <c r="B20290" s="4" t="s">
        <v>25541</v>
      </c>
      <c r="C20290" s="5" t="str">
        <f>IFERROR(__xludf.DUMMYFUNCTION("GOOGLETRANSLATE(B20290,""en"",""es-ES"")"),"La mujer está en una Oficina hablando con un hombre que está decorando un árbol de Navidad.")</f>
        <v>La mujer está en una Oficina hablando con un hombre que está decorando un árbol de Navidad.</v>
      </c>
    </row>
    <row r="20291">
      <c r="A20291" s="4" t="s">
        <v>25540</v>
      </c>
      <c r="B20291" s="4" t="s">
        <v>25542</v>
      </c>
      <c r="C20291" s="5" t="str">
        <f>IFERROR(__xludf.DUMMYFUNCTION("GOOGLETRANSLATE(B20291,""en"",""es-ES"")"),"El hombre habla con el que estaba de pie junto al árbol y le da una Barbie.")</f>
        <v>El hombre habla con el que estaba de pie junto al árbol y le da una Barbie.</v>
      </c>
    </row>
    <row r="20292">
      <c r="A20292" s="4" t="s">
        <v>25540</v>
      </c>
      <c r="B20292" s="4" t="s">
        <v>25543</v>
      </c>
      <c r="C20292" s="5" t="str">
        <f>IFERROR(__xludf.DUMMYFUNCTION("GOOGLETRANSLATE(B20292,""en"",""es-ES"")"),"El hombre camina hacia una mujer y comienza a hablar en la esquina de la habitación.")</f>
        <v>El hombre camina hacia una mujer y comienza a hablar en la esquina de la habitación.</v>
      </c>
    </row>
    <row r="20293">
      <c r="A20293" s="4" t="s">
        <v>25540</v>
      </c>
      <c r="B20293" s="4" t="s">
        <v>25544</v>
      </c>
      <c r="C20293" s="5" t="str">
        <f>IFERROR(__xludf.DUMMYFUNCTION("GOOGLETRANSLATE(B20293,""en"",""es-ES"")"),"El hombre sostiene una pelota al lado del árbol de Navidad colocando las bolas.")</f>
        <v>El hombre sostiene una pelota al lado del árbol de Navidad colocando las bolas.</v>
      </c>
    </row>
    <row r="20294">
      <c r="A20294" s="4" t="s">
        <v>25545</v>
      </c>
      <c r="B20294" s="4" t="s">
        <v>25546</v>
      </c>
      <c r="C20294" s="5" t="str">
        <f>IFERROR(__xludf.DUMMYFUNCTION("GOOGLETRANSLATE(B20294,""en"",""es-ES"")"),"Se muestra a un hombre trabajando en varias piezas diferentes de equipos de ejercicio, así como ajustar la configuración.")</f>
        <v>Se muestra a un hombre trabajando en varias piezas diferentes de equipos de ejercicio, así como ajustar la configuración.</v>
      </c>
    </row>
    <row r="20295">
      <c r="A20295" s="4" t="s">
        <v>25545</v>
      </c>
      <c r="B20295" s="4" t="s">
        <v>25547</v>
      </c>
      <c r="C20295" s="5" t="str">
        <f>IFERROR(__xludf.DUMMYFUNCTION("GOOGLETRANSLATE(B20295,""en"",""es-ES"")"),"El hombre pone un USB y continúa viajando en las máquinas.")</f>
        <v>El hombre pone un USB y continúa viajando en las máquinas.</v>
      </c>
    </row>
    <row r="20296">
      <c r="A20296" s="4" t="s">
        <v>25545</v>
      </c>
      <c r="B20296" s="4" t="s">
        <v>25548</v>
      </c>
      <c r="C20296" s="5" t="str">
        <f>IFERROR(__xludf.DUMMYFUNCTION("GOOGLETRANSLATE(B20296,""en"",""es-ES"")"),"Ajusta más configuraciones, así como observa la televisión cuando hace ejercicio y se muestran los primeros planos de los pies y el cuerpo.")</f>
        <v>Ajusta más configuraciones, así como observa la televisión cuando hace ejercicio y se muestran los primeros planos de los pies y el cuerpo.</v>
      </c>
    </row>
    <row r="20297">
      <c r="A20297" s="4" t="s">
        <v>25549</v>
      </c>
      <c r="B20297" s="4" t="s">
        <v>25550</v>
      </c>
      <c r="C20297" s="5" t="str">
        <f>IFERROR(__xludf.DUMMYFUNCTION("GOOGLETRANSLATE(B20297,""en"",""es-ES"")"),"Se ve a un hombre mirando a la cámara con una navaja de afeitar.")</f>
        <v>Se ve a un hombre mirando a la cámara con una navaja de afeitar.</v>
      </c>
    </row>
    <row r="20298">
      <c r="A20298" s="4" t="s">
        <v>25549</v>
      </c>
      <c r="B20298" s="4" t="s">
        <v>25551</v>
      </c>
      <c r="C20298" s="5" t="str">
        <f>IFERROR(__xludf.DUMMYFUNCTION("GOOGLETRANSLATE(B20298,""en"",""es-ES"")"),"Comienza a afeitarse la cara mientras mira al espejo.")</f>
        <v>Comienza a afeitarse la cara mientras mira al espejo.</v>
      </c>
    </row>
    <row r="20299">
      <c r="A20299" s="4" t="s">
        <v>25549</v>
      </c>
      <c r="B20299" s="4" t="s">
        <v>25552</v>
      </c>
      <c r="C20299" s="5" t="str">
        <f>IFERROR(__xludf.DUMMYFUNCTION("GOOGLETRANSLATE(B20299,""en"",""es-ES"")"),"Señala la maquinilla de afeitar y continúa afeitándose la cara y mirando a la cámara.")</f>
        <v>Señala la maquinilla de afeitar y continúa afeitándose la cara y mirando a la cámara.</v>
      </c>
    </row>
    <row r="20300">
      <c r="A20300" s="4" t="s">
        <v>25553</v>
      </c>
      <c r="B20300" s="4" t="s">
        <v>25554</v>
      </c>
      <c r="C20300" s="5" t="str">
        <f>IFERROR(__xludf.DUMMYFUNCTION("GOOGLETRANSLATE(B20300,""en"",""es-ES"")"),"1 Un chico muestra las herramientas para cortar las uñas de sus gatos.")</f>
        <v>1 Un chico muestra las herramientas para cortar las uñas de sus gatos.</v>
      </c>
    </row>
    <row r="20301">
      <c r="A20301" s="4" t="s">
        <v>25553</v>
      </c>
      <c r="B20301" s="4" t="s">
        <v>25555</v>
      </c>
      <c r="C20301" s="5" t="str">
        <f>IFERROR(__xludf.DUMMYFUNCTION("GOOGLETRANSLATE(B20301,""en"",""es-ES"")"),"2 El chico envuelve el gato.")</f>
        <v>2 El chico envuelve el gato.</v>
      </c>
    </row>
    <row r="20302">
      <c r="A20302" s="4" t="s">
        <v>25553</v>
      </c>
      <c r="B20302" s="4" t="s">
        <v>25556</v>
      </c>
      <c r="C20302" s="5" t="str">
        <f>IFERROR(__xludf.DUMMYFUNCTION("GOOGLETRANSLATE(B20302,""en"",""es-ES"")"),"3 El tipo cortó las uñas de los gatos y el gato intenta morderlo varias veces.")</f>
        <v>3 El tipo cortó las uñas de los gatos y el gato intenta morderlo varias veces.</v>
      </c>
    </row>
    <row r="20303">
      <c r="A20303" s="4" t="s">
        <v>25553</v>
      </c>
      <c r="B20303" s="4" t="s">
        <v>25557</v>
      </c>
      <c r="C20303" s="5" t="str">
        <f>IFERROR(__xludf.DUMMYFUNCTION("GOOGLETRANSLATE(B20303,""en"",""es-ES"")"),"4 El chico deja ir al gato.")</f>
        <v>4 El chico deja ir al gato.</v>
      </c>
    </row>
    <row r="20304">
      <c r="A20304" s="4" t="s">
        <v>25558</v>
      </c>
      <c r="B20304" s="4" t="s">
        <v>25559</v>
      </c>
      <c r="C20304" s="5" t="str">
        <f>IFERROR(__xludf.DUMMYFUNCTION("GOOGLETRANSLATE(B20304,""en"",""es-ES"")"),"Un joven bebe seis botellas de cerveza mientras una persona se encuentra al frente de él sosteniendo un cronómetro.")</f>
        <v>Un joven bebe seis botellas de cerveza mientras una persona se encuentra al frente de él sosteniendo un cronómetro.</v>
      </c>
    </row>
    <row r="20305">
      <c r="A20305" s="4" t="s">
        <v>25558</v>
      </c>
      <c r="B20305" s="4" t="s">
        <v>25560</v>
      </c>
      <c r="C20305" s="5" t="str">
        <f>IFERROR(__xludf.DUMMYFUNCTION("GOOGLETRANSLATE(B20305,""en"",""es-ES"")"),"Luego, el joven escupe cerveza a la persona que cae en el suelo.")</f>
        <v>Luego, el joven escupe cerveza a la persona que cae en el suelo.</v>
      </c>
    </row>
    <row r="20306">
      <c r="A20306" s="4" t="s">
        <v>25558</v>
      </c>
      <c r="B20306" s="4" t="s">
        <v>25561</v>
      </c>
      <c r="C20306" s="5" t="str">
        <f>IFERROR(__xludf.DUMMYFUNCTION("GOOGLETRANSLATE(B20306,""en"",""es-ES"")"),"Después, la persona de pie de pie se quitó los pantalones y la camiseta, luego se cierra sobre la hierba.")</f>
        <v>Después, la persona de pie de pie se quitó los pantalones y la camiseta, luego se cierra sobre la hierba.</v>
      </c>
    </row>
    <row r="20307">
      <c r="A20307" s="4" t="s">
        <v>25562</v>
      </c>
      <c r="B20307" s="4" t="s">
        <v>25563</v>
      </c>
      <c r="C20307" s="5" t="str">
        <f>IFERROR(__xludf.DUMMYFUNCTION("GOOGLETRANSLATE(B20307,""en"",""es-ES"")"),"Se ve a un hombre acostado en el suelo mientras habla en voz alta y cruza los brazos sobre su pecho.")</f>
        <v>Se ve a un hombre acostado en el suelo mientras habla en voz alta y cruza los brazos sobre su pecho.</v>
      </c>
    </row>
    <row r="20308">
      <c r="A20308" s="4" t="s">
        <v>25562</v>
      </c>
      <c r="B20308" s="4" t="s">
        <v>25564</v>
      </c>
      <c r="C20308" s="5" t="str">
        <f>IFERROR(__xludf.DUMMYFUNCTION("GOOGLETRANSLATE(B20308,""en"",""es-ES"")"),"El hombre luego hace varios abdominales de varias maneras y termina hablando con la cámara.")</f>
        <v>El hombre luego hace varios abdominales de varias maneras y termina hablando con la cámara.</v>
      </c>
    </row>
    <row r="20309">
      <c r="A20309" s="4" t="s">
        <v>25565</v>
      </c>
      <c r="B20309" s="4" t="s">
        <v>25566</v>
      </c>
      <c r="C20309" s="5" t="str">
        <f>IFERROR(__xludf.DUMMYFUNCTION("GOOGLETRANSLATE(B20309,""en"",""es-ES"")"),"PVC repara un techo.")</f>
        <v>PVC repara un techo.</v>
      </c>
    </row>
    <row r="20310">
      <c r="A20310" s="4" t="s">
        <v>25565</v>
      </c>
      <c r="B20310" s="4" t="s">
        <v>25567</v>
      </c>
      <c r="C20310" s="5" t="str">
        <f>IFERROR(__xludf.DUMMYFUNCTION("GOOGLETRANSLATE(B20310,""en"",""es-ES"")"),"El techo se limpia y el sello está hecho nuevamente.")</f>
        <v>El techo se limpia y el sello está hecho nuevamente.</v>
      </c>
    </row>
    <row r="20311">
      <c r="A20311" s="4" t="s">
        <v>25568</v>
      </c>
      <c r="B20311" s="4" t="s">
        <v>25569</v>
      </c>
      <c r="C20311" s="5" t="str">
        <f>IFERROR(__xludf.DUMMYFUNCTION("GOOGLETRANSLATE(B20311,""en"",""es-ES"")"),"El niño abre sus párpados y lugares en una lente de contacto.")</f>
        <v>El niño abre sus párpados y lugares en una lente de contacto.</v>
      </c>
    </row>
    <row r="20312">
      <c r="A20312" s="4" t="s">
        <v>25568</v>
      </c>
      <c r="B20312" s="4" t="s">
        <v>25570</v>
      </c>
      <c r="C20312" s="5" t="str">
        <f>IFERROR(__xludf.DUMMYFUNCTION("GOOGLETRANSLATE(B20312,""en"",""es-ES"")"),"El hombre inclina la cabeza y cierra los ojos para ajustar la lente de contacto.")</f>
        <v>El hombre inclina la cabeza y cierra los ojos para ajustar la lente de contacto.</v>
      </c>
    </row>
    <row r="20313">
      <c r="A20313" s="4" t="s">
        <v>25568</v>
      </c>
      <c r="B20313" s="4" t="s">
        <v>25571</v>
      </c>
      <c r="C20313" s="5" t="str">
        <f>IFERROR(__xludf.DUMMYFUNCTION("GOOGLETRANSLATE(B20313,""en"",""es-ES"")"),"El hombre se frota los ojos y luego los abre para mostrar los contactos.")</f>
        <v>El hombre se frota los ojos y luego los abre para mostrar los contactos.</v>
      </c>
    </row>
    <row r="20314">
      <c r="A20314" s="4" t="s">
        <v>25572</v>
      </c>
      <c r="B20314" s="4" t="s">
        <v>25573</v>
      </c>
      <c r="C20314" s="5" t="str">
        <f>IFERROR(__xludf.DUMMYFUNCTION("GOOGLETRANSLATE(B20314,""en"",""es-ES"")"),"La gente está en un gimnasio haciendo ejercicio algunas flexiones y estiramientos.")</f>
        <v>La gente está en un gimnasio haciendo ejercicio algunas flexiones y estiramientos.</v>
      </c>
    </row>
    <row r="20315">
      <c r="A20315" s="4" t="s">
        <v>25572</v>
      </c>
      <c r="B20315" s="4" t="s">
        <v>25574</v>
      </c>
      <c r="C20315" s="5" t="str">
        <f>IFERROR(__xludf.DUMMYFUNCTION("GOOGLETRANSLATE(B20315,""en"",""es-ES"")"),"Los hombres comienzan a establecer el gimnasio y traen algunas esteras y cuerdas al gimnasio GE.")</f>
        <v>Los hombres comienzan a establecer el gimnasio y traen algunas esteras y cuerdas al gimnasio GE.</v>
      </c>
    </row>
    <row r="20316">
      <c r="A20316" s="4" t="s">
        <v>25572</v>
      </c>
      <c r="B20316" s="4" t="s">
        <v>25575</v>
      </c>
      <c r="C20316" s="5" t="str">
        <f>IFERROR(__xludf.DUMMYFUNCTION("GOOGLETRANSLATE(B20316,""en"",""es-ES"")"),"La gente está equilibrando los srings en el gimnasio y saltando en la cama elástica en la clase de gimnasio.")</f>
        <v>La gente está equilibrando los srings en el gimnasio y saltando en la cama elástica en la clase de gimnasio.</v>
      </c>
    </row>
    <row r="20317">
      <c r="A20317" s="4" t="s">
        <v>25572</v>
      </c>
      <c r="B20317" s="4" t="s">
        <v>25576</v>
      </c>
      <c r="C20317" s="5" t="str">
        <f>IFERROR(__xludf.DUMMYFUNCTION("GOOGLETRANSLATE(B20317,""en"",""es-ES"")"),"Hombres y mujeres se equilibran en la cuerda y hacen trucos haciendo saltos.")</f>
        <v>Hombres y mujeres se equilibran en la cuerda y hacen trucos haciendo saltos.</v>
      </c>
    </row>
    <row r="20318">
      <c r="A20318" s="4" t="s">
        <v>25577</v>
      </c>
      <c r="B20318" s="4" t="s">
        <v>25578</v>
      </c>
      <c r="C20318" s="5" t="str">
        <f>IFERROR(__xludf.DUMMYFUNCTION("GOOGLETRANSLATE(B20318,""en"",""es-ES"")"),"El hombre está de pie sosteniendo una armónica mientras toca la guitarra y lee la hoja de música.")</f>
        <v>El hombre está de pie sosteniendo una armónica mientras toca la guitarra y lee la hoja de música.</v>
      </c>
    </row>
    <row r="20319">
      <c r="A20319" s="4" t="s">
        <v>25577</v>
      </c>
      <c r="B20319" s="4" t="s">
        <v>25579</v>
      </c>
      <c r="C20319" s="5" t="str">
        <f>IFERROR(__xludf.DUMMYFUNCTION("GOOGLETRANSLATE(B20319,""en"",""es-ES"")"),"El hombre está enseñando cómo tocar la armónica en la clave de A y su conversación y tocando la guitarra.")</f>
        <v>El hombre está enseñando cómo tocar la armónica en la clave de A y su conversación y tocando la guitarra.</v>
      </c>
    </row>
    <row r="20320">
      <c r="A20320" s="4" t="s">
        <v>25580</v>
      </c>
      <c r="B20320" s="4" t="s">
        <v>25581</v>
      </c>
      <c r="C20320" s="5" t="str">
        <f>IFERROR(__xludf.DUMMYFUNCTION("GOOGLETRANSLATE(B20320,""en"",""es-ES"")"),"Se muestran varios clips de personas que viajan en agua en kayaks.")</f>
        <v>Se muestran varios clips de personas que viajan en agua en kayaks.</v>
      </c>
    </row>
    <row r="20321">
      <c r="A20321" s="4" t="s">
        <v>25580</v>
      </c>
      <c r="B20321" s="4" t="s">
        <v>25582</v>
      </c>
      <c r="C20321" s="5" t="str">
        <f>IFERROR(__xludf.DUMMYFUNCTION("GOOGLETRANSLATE(B20321,""en"",""es-ES"")"),"Las personas realizan flips en el agua mientras se muestra el texto.")</f>
        <v>Las personas realizan flips en el agua mientras se muestra el texto.</v>
      </c>
    </row>
    <row r="20322">
      <c r="A20322" s="4" t="s">
        <v>25580</v>
      </c>
      <c r="B20322" s="4" t="s">
        <v>25583</v>
      </c>
      <c r="C20322" s="5" t="str">
        <f>IFERROR(__xludf.DUMMYFUNCTION("GOOGLETRANSLATE(B20322,""en"",""es-ES"")"),"Se muestran más clips de personas que montan en el agua y hacen volteos en los kayaks.")</f>
        <v>Se muestran más clips de personas que montan en el agua y hacen volteos en los kayaks.</v>
      </c>
    </row>
    <row r="20323">
      <c r="A20323" s="4" t="s">
        <v>25584</v>
      </c>
      <c r="B20323" s="4" t="s">
        <v>25585</v>
      </c>
      <c r="C20323" s="5" t="str">
        <f>IFERROR(__xludf.DUMMYFUNCTION("GOOGLETRANSLATE(B20323,""en"",""es-ES"")"),"Se muestra a un bombero caminando sobre una cuerda apretada en su equipo muy lentamente.")</f>
        <v>Se muestra a un bombero caminando sobre una cuerda apretada en su equipo muy lentamente.</v>
      </c>
    </row>
    <row r="20324">
      <c r="A20324" s="4" t="s">
        <v>25584</v>
      </c>
      <c r="B20324" s="4" t="s">
        <v>25586</v>
      </c>
      <c r="C20324" s="5" t="str">
        <f>IFERROR(__xludf.DUMMYFUNCTION("GOOGLETRANSLATE(B20324,""en"",""es-ES"")"),"Se mueve a lo largo de la cuerda hacia el final y regresa al principio hasta que falla.")</f>
        <v>Se mueve a lo largo de la cuerda hacia el final y regresa al principio hasta que falla.</v>
      </c>
    </row>
    <row r="20325">
      <c r="A20325" s="4" t="s">
        <v>25587</v>
      </c>
      <c r="B20325" s="4" t="s">
        <v>21512</v>
      </c>
      <c r="C20325" s="5" t="str">
        <f>IFERROR(__xludf.DUMMYFUNCTION("GOOGLETRANSLATE(B20325,""en"",""es-ES"")"),"Un hombre está arrodillado sobre una alfombra azul.")</f>
        <v>Un hombre está arrodillado sobre una alfombra azul.</v>
      </c>
    </row>
    <row r="20326">
      <c r="A20326" s="4" t="s">
        <v>25587</v>
      </c>
      <c r="B20326" s="4" t="s">
        <v>25588</v>
      </c>
      <c r="C20326" s="5" t="str">
        <f>IFERROR(__xludf.DUMMYFUNCTION("GOOGLETRANSLATE(B20326,""en"",""es-ES"")"),"Un hombre está de pie detrás de él hablando.")</f>
        <v>Un hombre está de pie detrás de él hablando.</v>
      </c>
    </row>
    <row r="20327">
      <c r="A20327" s="4" t="s">
        <v>25587</v>
      </c>
      <c r="B20327" s="4" t="s">
        <v>25589</v>
      </c>
      <c r="C20327" s="5" t="str">
        <f>IFERROR(__xludf.DUMMYFUNCTION("GOOGLETRANSLATE(B20327,""en"",""es-ES"")"),"El hombre en el tapete tiene un cinturón marrón alrededor de su cintura.")</f>
        <v>El hombre en el tapete tiene un cinturón marrón alrededor de su cintura.</v>
      </c>
    </row>
    <row r="20328">
      <c r="A20328" s="4" t="s">
        <v>25590</v>
      </c>
      <c r="B20328" s="4" t="s">
        <v>25591</v>
      </c>
      <c r="C20328" s="5" t="str">
        <f>IFERROR(__xludf.DUMMYFUNCTION("GOOGLETRANSLATE(B20328,""en"",""es-ES"")"),"Se ve a dos personas saliendo de un edificio y los lleva a jugar crochet entre sí.")</f>
        <v>Se ve a dos personas saliendo de un edificio y los lleva a jugar crochet entre sí.</v>
      </c>
    </row>
    <row r="20329">
      <c r="A20329" s="4" t="s">
        <v>25590</v>
      </c>
      <c r="B20329" s="4" t="s">
        <v>25592</v>
      </c>
      <c r="C20329" s="5" t="str">
        <f>IFERROR(__xludf.DUMMYFUNCTION("GOOGLETRANSLATE(B20329,""en"",""es-ES"")"),"Los hombres continúan golpeando la pelota alrededor del patio mientras hablan entre sí y miden la pelota.")</f>
        <v>Los hombres continúan golpeando la pelota alrededor del patio mientras hablan entre sí y miden la pelota.</v>
      </c>
    </row>
    <row r="20330">
      <c r="A20330" s="4" t="s">
        <v>25590</v>
      </c>
      <c r="B20330" s="4" t="s">
        <v>25593</v>
      </c>
      <c r="C20330" s="5" t="str">
        <f>IFERROR(__xludf.DUMMYFUNCTION("GOOGLETRANSLATE(B20330,""en"",""es-ES"")"),"Los hombres continúan jugando y uno sosteniendo su brazo y terminan alejándose.")</f>
        <v>Los hombres continúan jugando y uno sosteniendo su brazo y terminan alejándose.</v>
      </c>
    </row>
    <row r="20331">
      <c r="A20331" s="4" t="s">
        <v>25594</v>
      </c>
      <c r="B20331" s="4" t="s">
        <v>25595</v>
      </c>
      <c r="C20331" s="5" t="str">
        <f>IFERROR(__xludf.DUMMYFUNCTION("GOOGLETRANSLATE(B20331,""en"",""es-ES"")"),"Un hombre está soplando un susurro frente a una habitación llena de gente.")</f>
        <v>Un hombre está soplando un susurro frente a una habitación llena de gente.</v>
      </c>
    </row>
    <row r="20332">
      <c r="A20332" s="4" t="s">
        <v>25594</v>
      </c>
      <c r="B20332" s="4" t="s">
        <v>25596</v>
      </c>
      <c r="C20332" s="5" t="str">
        <f>IFERROR(__xludf.DUMMYFUNCTION("GOOGLETRANSLATE(B20332,""en"",""es-ES"")"),"Están jugando cerveza pong con varias tazas rojas en solitario, bebiendo entre jugadas.")</f>
        <v>Están jugando cerveza pong con varias tazas rojas en solitario, bebiendo entre jugadas.</v>
      </c>
    </row>
    <row r="20333">
      <c r="A20333" s="4" t="s">
        <v>25594</v>
      </c>
      <c r="B20333" s="4" t="s">
        <v>25597</v>
      </c>
      <c r="C20333" s="5" t="str">
        <f>IFERROR(__xludf.DUMMYFUNCTION("GOOGLETRANSLATE(B20333,""en"",""es-ES"")"),"Una mujer rubia observa cómo un hombre gana el juego, abrazando a la mujer a su lado.")</f>
        <v>Una mujer rubia observa cómo un hombre gana el juego, abrazando a la mujer a su lado.</v>
      </c>
    </row>
    <row r="20334">
      <c r="A20334" s="4" t="s">
        <v>25598</v>
      </c>
      <c r="B20334" s="4" t="s">
        <v>25599</v>
      </c>
      <c r="C20334" s="5" t="str">
        <f>IFERROR(__xludf.DUMMYFUNCTION("GOOGLETRANSLATE(B20334,""en"",""es-ES"")"),"Se muestra un partido de waterpolo y una persona obtiene goles.")</f>
        <v>Se muestra un partido de waterpolo y una persona obtiene goles.</v>
      </c>
    </row>
    <row r="20335">
      <c r="A20335" s="4" t="s">
        <v>25598</v>
      </c>
      <c r="B20335" s="4" t="s">
        <v>25600</v>
      </c>
      <c r="C20335" s="5" t="str">
        <f>IFERROR(__xludf.DUMMYFUNCTION("GOOGLETRANSLATE(B20335,""en"",""es-ES"")"),"Este es un video de reclutamiento.")</f>
        <v>Este es un video de reclutamiento.</v>
      </c>
    </row>
    <row r="20336">
      <c r="A20336" s="4" t="s">
        <v>25601</v>
      </c>
      <c r="B20336" s="4" t="s">
        <v>25602</v>
      </c>
      <c r="C20336" s="5" t="str">
        <f>IFERROR(__xludf.DUMMYFUNCTION("GOOGLETRANSLATE(B20336,""en"",""es-ES"")"),"Una persona con una camiseta negra recorta las uñas en las patas delanteras de un gato marrón y moteado.")</f>
        <v>Una persona con una camiseta negra recorta las uñas en las patas delanteras de un gato marrón y moteado.</v>
      </c>
    </row>
    <row r="20337">
      <c r="A20337" s="4" t="s">
        <v>25601</v>
      </c>
      <c r="B20337" s="4" t="s">
        <v>25603</v>
      </c>
      <c r="C20337" s="5" t="str">
        <f>IFERROR(__xludf.DUMMYFUNCTION("GOOGLETRANSLATE(B20337,""en"",""es-ES"")"),"Un gato moldeado y marronado está acostado sobre un cojín blanco cuando una persona camina sosteniendo un par de cortaúñas de clavos manejados en rojo.")</f>
        <v>Un gato moldeado y marronado está acostado sobre un cojín blanco cuando una persona camina sosteniendo un par de cortaúñas de clavos manejados en rojo.</v>
      </c>
    </row>
    <row r="20338">
      <c r="A20338" s="4" t="s">
        <v>25601</v>
      </c>
      <c r="B20338" s="4" t="s">
        <v>25604</v>
      </c>
      <c r="C20338" s="5" t="str">
        <f>IFERROR(__xludf.DUMMYFUNCTION("GOOGLETRANSLATE(B20338,""en"",""es-ES"")"),"La persona corta las patas delanteras mientras el gato observa.")</f>
        <v>La persona corta las patas delanteras mientras el gato observa.</v>
      </c>
    </row>
    <row r="20339">
      <c r="A20339" s="4" t="s">
        <v>25601</v>
      </c>
      <c r="B20339" s="4" t="s">
        <v>25605</v>
      </c>
      <c r="C20339" s="5" t="str">
        <f>IFERROR(__xludf.DUMMYFUNCTION("GOOGLETRANSLATE(B20339,""en"",""es-ES"")"),"La persona termina de cortar las uñas del gato y machaca la cabeza de los gatos y muestra a los Clippers cerca de la cámara antes de alejarse.")</f>
        <v>La persona termina de cortar las uñas del gato y machaca la cabeza de los gatos y muestra a los Clippers cerca de la cámara antes de alejarse.</v>
      </c>
    </row>
    <row r="20340">
      <c r="A20340" s="4" t="s">
        <v>25606</v>
      </c>
      <c r="B20340" s="4" t="s">
        <v>25607</v>
      </c>
      <c r="C20340" s="5" t="str">
        <f>IFERROR(__xludf.DUMMYFUNCTION("GOOGLETRANSLATE(B20340,""en"",""es-ES"")"),"Dos niños están luchando en una habitación.")</f>
        <v>Dos niños están luchando en una habitación.</v>
      </c>
    </row>
    <row r="20341">
      <c r="A20341" s="4" t="s">
        <v>25606</v>
      </c>
      <c r="B20341" s="4" t="s">
        <v>25608</v>
      </c>
      <c r="C20341" s="5" t="str">
        <f>IFERROR(__xludf.DUMMYFUNCTION("GOOGLETRANSLATE(B20341,""en"",""es-ES"")"),"Un niño es recogido y arrojado a la cama.")</f>
        <v>Un niño es recogido y arrojado a la cama.</v>
      </c>
    </row>
    <row r="20342">
      <c r="A20342" s="4" t="s">
        <v>25606</v>
      </c>
      <c r="B20342" s="4" t="s">
        <v>25609</v>
      </c>
      <c r="C20342" s="5" t="str">
        <f>IFERROR(__xludf.DUMMYFUNCTION("GOOGLETRANSLATE(B20342,""en"",""es-ES"")"),"El niño apaga la cámara.")</f>
        <v>El niño apaga la cámara.</v>
      </c>
    </row>
    <row r="20343">
      <c r="A20343" s="4" t="s">
        <v>25610</v>
      </c>
      <c r="B20343" s="4" t="s">
        <v>25611</v>
      </c>
      <c r="C20343" s="5" t="str">
        <f>IFERROR(__xludf.DUMMYFUNCTION("GOOGLETRANSLATE(B20343,""en"",""es-ES"")"),"Un artista penetrante inserta un bar en el pezón de una mujer.")</f>
        <v>Un artista penetrante inserta un bar en el pezón de una mujer.</v>
      </c>
    </row>
    <row r="20344">
      <c r="A20344" s="4" t="s">
        <v>25610</v>
      </c>
      <c r="B20344" s="4" t="s">
        <v>25612</v>
      </c>
      <c r="C20344" s="5" t="str">
        <f>IFERROR(__xludf.DUMMYFUNCTION("GOOGLETRANSLATE(B20344,""en"",""es-ES"")"),"El hombre atornilla el hardware al final de la perforación.")</f>
        <v>El hombre atornilla el hardware al final de la perforación.</v>
      </c>
    </row>
    <row r="20345">
      <c r="A20345" s="4" t="s">
        <v>25610</v>
      </c>
      <c r="B20345" s="4" t="s">
        <v>25613</v>
      </c>
      <c r="C20345" s="5" t="str">
        <f>IFERROR(__xludf.DUMMYFUNCTION("GOOGLETRANSLATE(B20345,""en"",""es-ES"")"),"La mujer que lleva un disfraz se sienta y muestra sus nuevos piercings.")</f>
        <v>La mujer que lleva un disfraz se sienta y muestra sus nuevos piercings.</v>
      </c>
    </row>
    <row r="20346">
      <c r="A20346" s="4" t="s">
        <v>25614</v>
      </c>
      <c r="B20346" s="4" t="s">
        <v>25615</v>
      </c>
      <c r="C20346" s="5" t="str">
        <f>IFERROR(__xludf.DUMMYFUNCTION("GOOGLETRANSLATE(B20346,""en"",""es-ES"")"),"Una mujer fumando un cigarrillo habla con otro sobre cuánto necesita fumar.")</f>
        <v>Una mujer fumando un cigarrillo habla con otro sobre cuánto necesita fumar.</v>
      </c>
    </row>
    <row r="20347">
      <c r="A20347" s="4" t="s">
        <v>25614</v>
      </c>
      <c r="B20347" s="4" t="s">
        <v>25616</v>
      </c>
      <c r="C20347" s="5" t="str">
        <f>IFERROR(__xludf.DUMMYFUNCTION("GOOGLETRANSLATE(B20347,""en"",""es-ES"")"),"Continúan hablando de su hábito de fumar y lo que pueden hacer para seguir fumando si lo hacen.")</f>
        <v>Continúan hablando de su hábito de fumar y lo que pueden hacer para seguir fumando si lo hacen.</v>
      </c>
    </row>
    <row r="20348">
      <c r="A20348" s="4" t="s">
        <v>25617</v>
      </c>
      <c r="B20348" s="4" t="s">
        <v>25618</v>
      </c>
      <c r="C20348" s="5" t="str">
        <f>IFERROR(__xludf.DUMMYFUNCTION("GOOGLETRANSLATE(B20348,""en"",""es-ES"")"),"Un hombre entra en la pantalla para presentar un video sobre él recortando árboles.")</f>
        <v>Un hombre entra en la pantalla para presentar un video sobre él recortando árboles.</v>
      </c>
    </row>
    <row r="20349">
      <c r="A20349" s="4" t="s">
        <v>25617</v>
      </c>
      <c r="B20349" s="4" t="s">
        <v>25619</v>
      </c>
      <c r="C20349" s="5" t="str">
        <f>IFERROR(__xludf.DUMMYFUNCTION("GOOGLETRANSLATE(B20349,""en"",""es-ES"")"),"Recoge una sierra de recorte y comienza el motor.")</f>
        <v>Recoge una sierra de recorte y comienza el motor.</v>
      </c>
    </row>
    <row r="20350">
      <c r="A20350" s="4" t="s">
        <v>25617</v>
      </c>
      <c r="B20350" s="4" t="s">
        <v>25620</v>
      </c>
      <c r="C20350" s="5" t="str">
        <f>IFERROR(__xludf.DUMMYFUNCTION("GOOGLETRANSLATE(B20350,""en"",""es-ES"")"),"Él sube la escalera y comienza a recortar el árbol.")</f>
        <v>Él sube la escalera y comienza a recortar el árbol.</v>
      </c>
    </row>
    <row r="20351">
      <c r="A20351" s="4" t="s">
        <v>25617</v>
      </c>
      <c r="B20351" s="4" t="s">
        <v>25621</v>
      </c>
      <c r="C20351" s="5" t="str">
        <f>IFERROR(__xludf.DUMMYFUNCTION("GOOGLETRANSLATE(B20351,""en"",""es-ES"")"),"Mira de nuevo a la cámara y sonríe.")</f>
        <v>Mira de nuevo a la cámara y sonríe.</v>
      </c>
    </row>
    <row r="20352">
      <c r="A20352" s="4" t="s">
        <v>25622</v>
      </c>
      <c r="B20352" s="4" t="s">
        <v>25623</v>
      </c>
      <c r="C20352" s="5" t="str">
        <f>IFERROR(__xludf.DUMMYFUNCTION("GOOGLETRANSLATE(B20352,""en"",""es-ES"")"),"Una mujer rubia que lleva un vestido tiene dos tomas lado a lado de ella interpretando un violín.")</f>
        <v>Una mujer rubia que lleva un vestido tiene dos tomas lado a lado de ella interpretando un violín.</v>
      </c>
    </row>
    <row r="20353">
      <c r="A20353" s="4" t="s">
        <v>25622</v>
      </c>
      <c r="B20353" s="4" t="s">
        <v>25624</v>
      </c>
      <c r="C20353" s="5" t="str">
        <f>IFERROR(__xludf.DUMMYFUNCTION("GOOGLETRANSLATE(B20353,""en"",""es-ES"")"),"Ella toca dos melodías diferentes en el violín y termina juntos al mismo tiempo, sonriendo a la cámara.")</f>
        <v>Ella toca dos melodías diferentes en el violín y termina juntos al mismo tiempo, sonriendo a la cámara.</v>
      </c>
    </row>
    <row r="20354">
      <c r="A20354" s="4" t="s">
        <v>25625</v>
      </c>
      <c r="B20354" s="4" t="s">
        <v>25626</v>
      </c>
      <c r="C20354" s="5" t="str">
        <f>IFERROR(__xludf.DUMMYFUNCTION("GOOGLETRANSLATE(B20354,""en"",""es-ES"")"),"Un hombre está parado afuera en la oscuridad fumando un cigarrillo frente a un garaje verde.")</f>
        <v>Un hombre está parado afuera en la oscuridad fumando un cigarrillo frente a un garaje verde.</v>
      </c>
    </row>
    <row r="20355">
      <c r="A20355" s="4" t="s">
        <v>25625</v>
      </c>
      <c r="B20355" s="4" t="s">
        <v>25627</v>
      </c>
      <c r="C20355" s="5" t="str">
        <f>IFERROR(__xludf.DUMMYFUNCTION("GOOGLETRANSLATE(B20355,""en"",""es-ES"")"),"Después, se muestra una imagen de pulmón y muestra cómo los cigarrillos afectan sus órganos.")</f>
        <v>Después, se muestra una imagen de pulmón y muestra cómo los cigarrillos afectan sus órganos.</v>
      </c>
    </row>
    <row r="20356">
      <c r="A20356" s="4" t="s">
        <v>25628</v>
      </c>
      <c r="B20356" s="4" t="s">
        <v>25629</v>
      </c>
      <c r="C20356" s="5" t="str">
        <f>IFERROR(__xludf.DUMMYFUNCTION("GOOGLETRANSLATE(B20356,""en"",""es-ES"")"),"Una mujer demuestra cómo hacer tai chi afuera en la hierba.")</f>
        <v>Una mujer demuestra cómo hacer tai chi afuera en la hierba.</v>
      </c>
    </row>
    <row r="20357">
      <c r="A20357" s="4" t="s">
        <v>25628</v>
      </c>
      <c r="B20357" s="4" t="s">
        <v>25630</v>
      </c>
      <c r="C20357" s="5" t="str">
        <f>IFERROR(__xludf.DUMMYFUNCTION("GOOGLETRANSLATE(B20357,""en"",""es-ES"")"),"La misma mujer demuestra Tai Chi en interiores en un escenario.")</f>
        <v>La misma mujer demuestra Tai Chi en interiores en un escenario.</v>
      </c>
    </row>
    <row r="20358">
      <c r="A20358" s="4" t="s">
        <v>25628</v>
      </c>
      <c r="B20358" s="4" t="s">
        <v>25631</v>
      </c>
      <c r="C20358" s="5" t="str">
        <f>IFERROR(__xludf.DUMMYFUNCTION("GOOGLETRANSLATE(B20358,""en"",""es-ES"")"),"Una segunda mujer se une a la primera mujer en ayudar a demostrar.")</f>
        <v>Una segunda mujer se une a la primera mujer en ayudar a demostrar.</v>
      </c>
    </row>
    <row r="20359">
      <c r="A20359" s="4" t="s">
        <v>25632</v>
      </c>
      <c r="B20359" s="4" t="s">
        <v>25633</v>
      </c>
      <c r="C20359" s="5" t="str">
        <f>IFERROR(__xludf.DUMMYFUNCTION("GOOGLETRANSLATE(B20359,""en"",""es-ES"")"),"Hay varias guitarras acústicas de la marca Seagull se muestran en una tienda.")</f>
        <v>Hay varias guitarras acústicas de la marca Seagull se muestran en una tienda.</v>
      </c>
    </row>
    <row r="20360">
      <c r="A20360" s="4" t="s">
        <v>25632</v>
      </c>
      <c r="B20360" s="4" t="s">
        <v>25634</v>
      </c>
      <c r="C20360" s="5" t="str">
        <f>IFERROR(__xludf.DUMMYFUNCTION("GOOGLETRANSLATE(B20360,""en"",""es-ES"")"),"Un hombre vestido de negro, sentado en un taburete, toca la guitarra acústica en la tienda donde se exhiben las guitarras.")</f>
        <v>Un hombre vestido de negro, sentado en un taburete, toca la guitarra acústica en la tienda donde se exhiben las guitarras.</v>
      </c>
    </row>
    <row r="20361">
      <c r="A20361" s="4" t="s">
        <v>25632</v>
      </c>
      <c r="B20361" s="4" t="s">
        <v>25635</v>
      </c>
      <c r="C20361" s="5" t="str">
        <f>IFERROR(__xludf.DUMMYFUNCTION("GOOGLETRANSLATE(B20361,""en"",""es-ES"")"),"El hombre continúa tocando la guitarra.")</f>
        <v>El hombre continúa tocando la guitarra.</v>
      </c>
    </row>
    <row r="20362">
      <c r="A20362" s="4" t="s">
        <v>25636</v>
      </c>
      <c r="B20362" s="4" t="s">
        <v>25637</v>
      </c>
      <c r="C20362" s="5" t="str">
        <f>IFERROR(__xludf.DUMMYFUNCTION("GOOGLETRANSLATE(B20362,""en"",""es-ES"")"),"Varios hombres se paran alrededor de una piñata.")</f>
        <v>Varios hombres se paran alrededor de una piñata.</v>
      </c>
    </row>
    <row r="20363">
      <c r="A20363" s="4" t="s">
        <v>25636</v>
      </c>
      <c r="B20363" s="4" t="s">
        <v>25638</v>
      </c>
      <c r="C20363" s="5" t="str">
        <f>IFERROR(__xludf.DUMMYFUNCTION("GOOGLETRANSLATE(B20363,""en"",""es-ES"")"),"Un hombre gira a un hombre con los ojos vendados.")</f>
        <v>Un hombre gira a un hombre con los ojos vendados.</v>
      </c>
    </row>
    <row r="20364">
      <c r="A20364" s="4" t="s">
        <v>25636</v>
      </c>
      <c r="B20364" s="4" t="s">
        <v>25639</v>
      </c>
      <c r="C20364" s="5" t="str">
        <f>IFERROR(__xludf.DUMMYFUNCTION("GOOGLETRANSLATE(B20364,""en"",""es-ES"")"),"El hombre con los ojos vendados toma algunos columpios en la piñata.")</f>
        <v>El hombre con los ojos vendados toma algunos columpios en la piñata.</v>
      </c>
    </row>
    <row r="20365">
      <c r="A20365" s="4" t="s">
        <v>25636</v>
      </c>
      <c r="B20365" s="4" t="s">
        <v>25640</v>
      </c>
      <c r="C20365" s="5" t="str">
        <f>IFERROR(__xludf.DUMMYFUNCTION("GOOGLETRANSLATE(B20365,""en"",""es-ES"")"),"Una mujer con camisa roja se ríe.")</f>
        <v>Una mujer con camisa roja se ríe.</v>
      </c>
    </row>
    <row r="20366">
      <c r="A20366" s="4" t="s">
        <v>25641</v>
      </c>
      <c r="B20366" s="4" t="s">
        <v>25642</v>
      </c>
      <c r="C20366" s="5" t="str">
        <f>IFERROR(__xludf.DUMMYFUNCTION("GOOGLETRANSLATE(B20366,""en"",""es-ES"")"),"Se ve a una mujer acostada en el sofá con otra chica sentada sobre ella.")</f>
        <v>Se ve a una mujer acostada en el sofá con otra chica sentada sobre ella.</v>
      </c>
    </row>
    <row r="20367">
      <c r="A20367" s="4" t="s">
        <v>25641</v>
      </c>
      <c r="B20367" s="4" t="s">
        <v>25643</v>
      </c>
      <c r="C20367" s="5" t="str">
        <f>IFERROR(__xludf.DUMMYFUNCTION("GOOGLETRANSLATE(B20367,""en"",""es-ES"")"),"Luego se muestra a la niña perforando el pezón de la niña acostada.")</f>
        <v>Luego se muestra a la niña perforando el pezón de la niña acostada.</v>
      </c>
    </row>
    <row r="20368">
      <c r="A20368" s="4" t="s">
        <v>25641</v>
      </c>
      <c r="B20368" s="4" t="s">
        <v>25644</v>
      </c>
      <c r="C20368" s="5" t="str">
        <f>IFERROR(__xludf.DUMMYFUNCTION("GOOGLETRANSLATE(B20368,""en"",""es-ES"")"),"Ella termina la perforación y termina sonriendo a la cámara.")</f>
        <v>Ella termina la perforación y termina sonriendo a la cámara.</v>
      </c>
    </row>
    <row r="20369">
      <c r="A20369" s="4" t="s">
        <v>25645</v>
      </c>
      <c r="B20369" s="4" t="s">
        <v>25646</v>
      </c>
      <c r="C20369" s="5" t="str">
        <f>IFERROR(__xludf.DUMMYFUNCTION("GOOGLETRANSLATE(B20369,""en"",""es-ES"")"),"Un vaquero monta sobre un caballo en una gran arena y está balanceando su cuerda.")</f>
        <v>Un vaquero monta sobre un caballo en una gran arena y está balanceando su cuerda.</v>
      </c>
    </row>
    <row r="20370">
      <c r="A20370" s="4" t="s">
        <v>25645</v>
      </c>
      <c r="B20370" s="4" t="s">
        <v>25647</v>
      </c>
      <c r="C20370" s="5" t="str">
        <f>IFERROR(__xludf.DUMMYFUNCTION("GOOGLETRANSLATE(B20370,""en"",""es-ES"")"),"La vista cambia para mostrar a un grupo de hombres con sus caballos y cada uno se aferran a sus cuerdas y hace varias cosas con ellos como atarlos y balancearlos.")</f>
        <v>La vista cambia para mostrar a un grupo de hombres con sus caballos y cada uno se aferran a sus cuerdas y hace varias cosas con ellos como atarlos y balancearlos.</v>
      </c>
    </row>
    <row r="20371">
      <c r="A20371" s="4" t="s">
        <v>25645</v>
      </c>
      <c r="B20371" s="4" t="s">
        <v>25648</v>
      </c>
      <c r="C20371" s="5" t="str">
        <f>IFERROR(__xludf.DUMMYFUNCTION("GOOGLETRANSLATE(B20371,""en"",""es-ES"")"),"El enfoque cambia a un hombre que habla cuyo nombre es Trevor Brazile y le aparta de él hablando y luego a los clips de él montando su caballo en diferentes arenas, ya que también está disputando un pequeño ternero.")</f>
        <v>El enfoque cambia a un hombre que habla cuyo nombre es Trevor Brazile y le aparta de él hablando y luego a los clips de él montando su caballo en diferentes arenas, ya que también está disputando un pequeño ternero.</v>
      </c>
    </row>
    <row r="20372">
      <c r="A20372" s="4" t="s">
        <v>25645</v>
      </c>
      <c r="B20372" s="4" t="s">
        <v>25649</v>
      </c>
      <c r="C20372" s="5" t="str">
        <f>IFERROR(__xludf.DUMMYFUNCTION("GOOGLETRANSLATE(B20372,""en"",""es-ES"")"),"Otro hombre llamado Stran Smith ahora está hablando y clips de él montando su caballo en diferentes arenas mientras disputa un ternero también juega.")</f>
        <v>Otro hombre llamado Stran Smith ahora está hablando y clips de él montando su caballo en diferentes arenas mientras disputa un ternero también juega.</v>
      </c>
    </row>
    <row r="20373">
      <c r="A20373" s="4" t="s">
        <v>25645</v>
      </c>
      <c r="B20373" s="4" t="s">
        <v>25650</v>
      </c>
      <c r="C20373" s="5" t="str">
        <f>IFERROR(__xludf.DUMMYFUNCTION("GOOGLETRANSLATE(B20373,""en"",""es-ES"")"),"Los clips de ambos hombres hablan y clips de ellos montando caballos y los terneros que se topan y giran entre los dos.")</f>
        <v>Los clips de ambos hombres hablan y clips de ellos montando caballos y los terneros que se topan y giran entre los dos.</v>
      </c>
    </row>
    <row r="20374">
      <c r="A20374" s="4" t="s">
        <v>25645</v>
      </c>
      <c r="B20374" s="4" t="s">
        <v>25651</v>
      </c>
      <c r="C20374" s="5" t="str">
        <f>IFERROR(__xludf.DUMMYFUNCTION("GOOGLETRANSLATE(B20374,""en"",""es-ES"")"),"El video de Outro comienza y muestra una pancarta colgante en la arena que lee ""Calgary Stampede"", una mujer que montaba un caballo y sostiene una bandera roja que dice ""Calgary Stampede"" 1912-2012 "", y una pantorrilla se encuentra a través de un cam"&amp;"po de tierra.")</f>
        <v>El video de Outro comienza y muestra una pancarta colgante en la arena que lee "Calgary Stampede", una mujer que montaba un caballo y sostiene una bandera roja que dice "Calgary Stampede" 1912-2012 ", y una pantorrilla se encuentra a través de un campo de tierra.</v>
      </c>
    </row>
    <row r="20375">
      <c r="A20375" s="4" t="s">
        <v>25652</v>
      </c>
      <c r="B20375" s="4" t="s">
        <v>25653</v>
      </c>
      <c r="C20375" s="5" t="str">
        <f>IFERROR(__xludf.DUMMYFUNCTION("GOOGLETRANSLATE(B20375,""en"",""es-ES"")"),"Una persona canta en el frente a una multitud vestida con ropa de hip hop.")</f>
        <v>Una persona canta en el frente a una multitud vestida con ropa de hip hop.</v>
      </c>
    </row>
    <row r="20376">
      <c r="A20376" s="4" t="s">
        <v>25652</v>
      </c>
      <c r="B20376" s="4" t="s">
        <v>25654</v>
      </c>
      <c r="C20376" s="5" t="str">
        <f>IFERROR(__xludf.DUMMYFUNCTION("GOOGLETRANSLATE(B20376,""en"",""es-ES"")"),"Un hombre de baile Hip Hop haciendo acrobacias se mueve con las manos y las piernas en el piso en el frente de una multitud.")</f>
        <v>Un hombre de baile Hip Hop haciendo acrobacias se mueve con las manos y las piernas en el piso en el frente de una multitud.</v>
      </c>
    </row>
    <row r="20377">
      <c r="A20377" s="4" t="s">
        <v>25652</v>
      </c>
      <c r="B20377" s="4" t="s">
        <v>25655</v>
      </c>
      <c r="C20377" s="5" t="str">
        <f>IFERROR(__xludf.DUMMYFUNCTION("GOOGLETRANSLATE(B20377,""en"",""es-ES"")"),"La gente toma fotos y filma al hombre que está detrás del hombre.")</f>
        <v>La gente toma fotos y filma al hombre que está detrás del hombre.</v>
      </c>
    </row>
    <row r="20378">
      <c r="A20378" s="4" t="s">
        <v>25656</v>
      </c>
      <c r="B20378" s="4" t="s">
        <v>25657</v>
      </c>
      <c r="C20378" s="5" t="str">
        <f>IFERROR(__xludf.DUMMYFUNCTION("GOOGLETRANSLATE(B20378,""en"",""es-ES"")"),"La mujer está en un gran campo verde sosteniendo un frisbee amarillo y jugando con un perro.")</f>
        <v>La mujer está en un gran campo verde sosteniendo un frisbee amarillo y jugando con un perro.</v>
      </c>
    </row>
    <row r="20379">
      <c r="A20379" s="4" t="s">
        <v>25656</v>
      </c>
      <c r="B20379" s="4" t="s">
        <v>25658</v>
      </c>
      <c r="C20379" s="5" t="str">
        <f>IFERROR(__xludf.DUMMYFUNCTION("GOOGLETRANSLATE(B20379,""en"",""es-ES"")"),"Muchos ACR están estacionados en la calle detrás del campo Alrge.")</f>
        <v>Muchos ACR están estacionados en la calle detrás del campo Alrge.</v>
      </c>
    </row>
    <row r="20380">
      <c r="A20380" s="4" t="s">
        <v>25656</v>
      </c>
      <c r="B20380" s="4" t="s">
        <v>25659</v>
      </c>
      <c r="C20380" s="5" t="str">
        <f>IFERROR(__xludf.DUMMYFUNCTION("GOOGLETRANSLATE(B20380,""en"",""es-ES"")"),"La mujer está tirando el frisbee al perro.")</f>
        <v>La mujer está tirando el frisbee al perro.</v>
      </c>
    </row>
    <row r="20381">
      <c r="A20381" s="4" t="s">
        <v>25660</v>
      </c>
      <c r="B20381" s="4" t="s">
        <v>25661</v>
      </c>
      <c r="C20381" s="5" t="str">
        <f>IFERROR(__xludf.DUMMYFUNCTION("GOOGLETRANSLATE(B20381,""en"",""es-ES"")"),"Se ve a una mujer hablando con la cámara frente a una gran barra de ejercicios y comienza a pararse sobre el equipo mientras habla y usa sus manos.")</f>
        <v>Se ve a una mujer hablando con la cámara frente a una gran barra de ejercicios y comienza a pararse sobre el equipo mientras habla y usa sus manos.</v>
      </c>
    </row>
    <row r="20382">
      <c r="A20382" s="4" t="s">
        <v>25660</v>
      </c>
      <c r="B20382" s="4" t="s">
        <v>25662</v>
      </c>
      <c r="C20382" s="5" t="str">
        <f>IFERROR(__xludf.DUMMYFUNCTION("GOOGLETRANSLATE(B20382,""en"",""es-ES"")"),"La mujer continúa demostrando cómo ejecutar adecuadamente los ejercicios mientras mueve los brazos y las piernas hacia atrás y cuarto.")</f>
        <v>La mujer continúa demostrando cómo ejecutar adecuadamente los ejercicios mientras mueve los brazos y las piernas hacia atrás y cuarto.</v>
      </c>
    </row>
    <row r="20383">
      <c r="A20383" s="4" t="s">
        <v>25663</v>
      </c>
      <c r="B20383" s="4" t="s">
        <v>25664</v>
      </c>
      <c r="C20383" s="5" t="str">
        <f>IFERROR(__xludf.DUMMYFUNCTION("GOOGLETRANSLATE(B20383,""en"",""es-ES"")"),"Hay tres constructores de carrocería que hacen ejercicio y hacen ejercicio en un pequeño gimnasio con equipo de levantamiento de pesas.")</f>
        <v>Hay tres constructores de carrocería que hacen ejercicio y hacen ejercicio en un pequeño gimnasio con equipo de levantamiento de pesas.</v>
      </c>
    </row>
    <row r="20384">
      <c r="A20384" s="4" t="s">
        <v>25663</v>
      </c>
      <c r="B20384" s="4" t="s">
        <v>25665</v>
      </c>
      <c r="C20384" s="5" t="str">
        <f>IFERROR(__xludf.DUMMYFUNCTION("GOOGLETRANSLATE(B20384,""en"",""es-ES"")"),"Uno de los constructores de cuerpo levanta la barra de peso varias veces y luego la deja caer mientras los otros dos constructores de cuerpo lo miran.")</f>
        <v>Uno de los constructores de cuerpo levanta la barra de peso varias veces y luego la deja caer mientras los otros dos constructores de cuerpo lo miran.</v>
      </c>
    </row>
    <row r="20385">
      <c r="A20385" s="4" t="s">
        <v>25663</v>
      </c>
      <c r="B20385" s="4" t="s">
        <v>25666</v>
      </c>
      <c r="C20385" s="5" t="str">
        <f>IFERROR(__xludf.DUMMYFUNCTION("GOOGLETRANSLATE(B20385,""en"",""es-ES"")"),"Luego va y se limpia su sudor con una toalla y levanta la barra de pesas nuevamente y la deja caer.")</f>
        <v>Luego va y se limpia su sudor con una toalla y levanta la barra de pesas nuevamente y la deja caer.</v>
      </c>
    </row>
    <row r="20386">
      <c r="A20386" s="4" t="s">
        <v>25663</v>
      </c>
      <c r="B20386" s="4" t="s">
        <v>25667</v>
      </c>
      <c r="C20386" s="5" t="str">
        <f>IFERROR(__xludf.DUMMYFUNCTION("GOOGLETRANSLATE(B20386,""en"",""es-ES"")"),"Luego usa un cinturón abdominal y levanta la barra de peso nuevamente y la deja caer.")</f>
        <v>Luego usa un cinturón abdominal y levanta la barra de peso nuevamente y la deja caer.</v>
      </c>
    </row>
    <row r="20387">
      <c r="A20387" s="4" t="s">
        <v>25663</v>
      </c>
      <c r="B20387" s="4" t="s">
        <v>25668</v>
      </c>
      <c r="C20387" s="5" t="str">
        <f>IFERROR(__xludf.DUMMYFUNCTION("GOOGLETRANSLATE(B20387,""en"",""es-ES"")"),"Lucha por levantar la barra de pesas, la levanta ligeramente y luego la deja caer.")</f>
        <v>Lucha por levantar la barra de pesas, la levanta ligeramente y luego la deja caer.</v>
      </c>
    </row>
    <row r="20388">
      <c r="A20388" s="4" t="s">
        <v>25669</v>
      </c>
      <c r="B20388" s="4" t="s">
        <v>25670</v>
      </c>
      <c r="C20388" s="5" t="str">
        <f>IFERROR(__xludf.DUMMYFUNCTION("GOOGLETRANSLATE(B20388,""en"",""es-ES"")"),"Un hombre con auriculares se encuentra detrás de un par de grandes tambores.")</f>
        <v>Un hombre con auriculares se encuentra detrás de un par de grandes tambores.</v>
      </c>
    </row>
    <row r="20389">
      <c r="A20389" s="4" t="s">
        <v>25669</v>
      </c>
      <c r="B20389" s="4" t="s">
        <v>25671</v>
      </c>
      <c r="C20389" s="5" t="str">
        <f>IFERROR(__xludf.DUMMYFUNCTION("GOOGLETRANSLATE(B20389,""en"",""es-ES"")"),"El hombre toca la batería con sus palmas.")</f>
        <v>El hombre toca la batería con sus palmas.</v>
      </c>
    </row>
    <row r="20390">
      <c r="A20390" s="4" t="s">
        <v>25669</v>
      </c>
      <c r="B20390" s="4" t="s">
        <v>25672</v>
      </c>
      <c r="C20390" s="5" t="str">
        <f>IFERROR(__xludf.DUMMYFUNCTION("GOOGLETRANSLATE(B20390,""en"",""es-ES"")"),"El hombre deja de tocar la batería y se da la vuelta.")</f>
        <v>El hombre deja de tocar la batería y se da la vuelta.</v>
      </c>
    </row>
    <row r="20391">
      <c r="A20391" s="4" t="s">
        <v>25673</v>
      </c>
      <c r="B20391" s="4" t="s">
        <v>25674</v>
      </c>
      <c r="C20391" s="5" t="str">
        <f>IFERROR(__xludf.DUMMYFUNCTION("GOOGLETRANSLATE(B20391,""en"",""es-ES"")"),"Un hombre presenta una bufanda y pone algunos accesorios en el medio.")</f>
        <v>Un hombre presenta una bufanda y pone algunos accesorios en el medio.</v>
      </c>
    </row>
    <row r="20392">
      <c r="A20392" s="4" t="s">
        <v>25673</v>
      </c>
      <c r="B20392" s="4" t="s">
        <v>25675</v>
      </c>
      <c r="C20392" s="5" t="str">
        <f>IFERROR(__xludf.DUMMYFUNCTION("GOOGLETRANSLATE(B20392,""en"",""es-ES"")"),"Él ata el final y lo dobla en nudos dobles.")</f>
        <v>Él ata el final y lo dobla en nudos dobles.</v>
      </c>
    </row>
    <row r="20393">
      <c r="A20393" s="4" t="s">
        <v>25673</v>
      </c>
      <c r="B20393" s="4" t="s">
        <v>25676</v>
      </c>
      <c r="C20393" s="5" t="str">
        <f>IFERROR(__xludf.DUMMYFUNCTION("GOOGLETRANSLATE(B20393,""en"",""es-ES"")"),"Lo abre de nuevo y pone algo más en el medio.")</f>
        <v>Lo abre de nuevo y pone algo más en el medio.</v>
      </c>
    </row>
    <row r="20394">
      <c r="A20394" s="4" t="s">
        <v>25673</v>
      </c>
      <c r="B20394" s="4" t="s">
        <v>25677</v>
      </c>
      <c r="C20394" s="5" t="str">
        <f>IFERROR(__xludf.DUMMYFUNCTION("GOOGLETRANSLATE(B20394,""en"",""es-ES"")"),"Luego lo junta y se cierra, hizo una pequeña bolsa con una bufanda.")</f>
        <v>Luego lo junta y se cierra, hizo una pequeña bolsa con una bufanda.</v>
      </c>
    </row>
    <row r="20395">
      <c r="A20395" s="4" t="s">
        <v>25678</v>
      </c>
      <c r="B20395" s="4" t="s">
        <v>25679</v>
      </c>
      <c r="C20395" s="5" t="str">
        <f>IFERROR(__xludf.DUMMYFUNCTION("GOOGLETRANSLATE(B20395,""en"",""es-ES"")"),"Una introducción llega a la pantalla para un video sobre cómo reproducir squash.")</f>
        <v>Una introducción llega a la pantalla para un video sobre cómo reproducir squash.</v>
      </c>
    </row>
    <row r="20396">
      <c r="A20396" s="4" t="s">
        <v>25678</v>
      </c>
      <c r="B20396" s="4" t="s">
        <v>25680</v>
      </c>
      <c r="C20396" s="5" t="str">
        <f>IFERROR(__xludf.DUMMYFUNCTION("GOOGLETRANSLATE(B20396,""en"",""es-ES"")"),"Dos hombres se muestran en una cancha de squash jugando un juego de squash.")</f>
        <v>Dos hombres se muestran en una cancha de squash jugando un juego de squash.</v>
      </c>
    </row>
    <row r="20397">
      <c r="A20397" s="4" t="s">
        <v>25678</v>
      </c>
      <c r="B20397" s="4" t="s">
        <v>25681</v>
      </c>
      <c r="C20397" s="5" t="str">
        <f>IFERROR(__xludf.DUMMYFUNCTION("GOOGLETRANSLATE(B20397,""en"",""es-ES"")"),"El texto muestra en la pantalla que muestra las cosas que necesitará para el juego.")</f>
        <v>El texto muestra en la pantalla que muestra las cosas que necesitará para el juego.</v>
      </c>
    </row>
    <row r="20398">
      <c r="A20398" s="4" t="s">
        <v>25678</v>
      </c>
      <c r="B20398" s="4" t="s">
        <v>25682</v>
      </c>
      <c r="C20398" s="5" t="str">
        <f>IFERROR(__xludf.DUMMYFUNCTION("GOOGLETRANSLATE(B20398,""en"",""es-ES"")"),"Se muestra una indicación en la pantalla que le permite saber las diferentes líneas.")</f>
        <v>Se muestra una indicación en la pantalla que le permite saber las diferentes líneas.</v>
      </c>
    </row>
    <row r="20399">
      <c r="A20399" s="4" t="s">
        <v>25678</v>
      </c>
      <c r="B20399" s="4" t="s">
        <v>25683</v>
      </c>
      <c r="C20399" s="5" t="str">
        <f>IFERROR(__xludf.DUMMYFUNCTION("GOOGLETRANSLATE(B20399,""en"",""es-ES"")"),"Los consejos para el juego también aparecen en la pantalla.")</f>
        <v>Los consejos para el juego también aparecen en la pantalla.</v>
      </c>
    </row>
    <row r="20400">
      <c r="A20400" s="4" t="s">
        <v>25678</v>
      </c>
      <c r="B20400" s="4" t="s">
        <v>25684</v>
      </c>
      <c r="C20400" s="5" t="str">
        <f>IFERROR(__xludf.DUMMYFUNCTION("GOOGLETRANSLATE(B20400,""en"",""es-ES"")"),"Al final del video, aparece un cuadro de texto con un hecho divertido sobre Squash.")</f>
        <v>Al final del video, aparece un cuadro de texto con un hecho divertido sobre Squash.</v>
      </c>
    </row>
    <row r="20401">
      <c r="A20401" s="4" t="s">
        <v>25685</v>
      </c>
      <c r="B20401" s="4" t="s">
        <v>25686</v>
      </c>
      <c r="C20401" s="5" t="str">
        <f>IFERROR(__xludf.DUMMYFUNCTION("GOOGLETRANSLATE(B20401,""en"",""es-ES"")"),"Un hombre cruzó un estacionamiento que rebota con zapatos rebotando.")</f>
        <v>Un hombre cruzó un estacionamiento que rebota con zapatos rebotando.</v>
      </c>
    </row>
    <row r="20402">
      <c r="A20402" s="4" t="s">
        <v>25685</v>
      </c>
      <c r="B20402" s="4" t="s">
        <v>25687</v>
      </c>
      <c r="C20402" s="5" t="str">
        <f>IFERROR(__xludf.DUMMYFUNCTION("GOOGLETRANSLATE(B20402,""en"",""es-ES"")"),"Hay un coche en el lote de la parecería.")</f>
        <v>Hay un coche en el lote de la parecería.</v>
      </c>
    </row>
    <row r="20403">
      <c r="A20403" s="4" t="s">
        <v>25688</v>
      </c>
      <c r="B20403" s="4" t="s">
        <v>25689</v>
      </c>
      <c r="C20403" s="5" t="str">
        <f>IFERROR(__xludf.DUMMYFUNCTION("GOOGLETRANSLATE(B20403,""en"",""es-ES"")"),"Varias personas están al aire libre disfrutando de la playa.")</f>
        <v>Varias personas están al aire libre disfrutando de la playa.</v>
      </c>
    </row>
    <row r="20404">
      <c r="A20404" s="4" t="s">
        <v>25688</v>
      </c>
      <c r="B20404" s="4" t="s">
        <v>25690</v>
      </c>
      <c r="C20404" s="5" t="str">
        <f>IFERROR(__xludf.DUMMYFUNCTION("GOOGLETRANSLATE(B20404,""en"",""es-ES"")"),"Sin embargo, en el medio de la arena, hay un grupo de hombres que juegan un juego de Beach Volley Ball.")</f>
        <v>Sin embargo, en el medio de la arena, hay un grupo de hombres que juegan un juego de Beach Volley Ball.</v>
      </c>
    </row>
    <row r="20405">
      <c r="A20405" s="4" t="s">
        <v>25688</v>
      </c>
      <c r="B20405" s="4" t="s">
        <v>25691</v>
      </c>
      <c r="C20405" s="5" t="str">
        <f>IFERROR(__xludf.DUMMYFUNCTION("GOOGLETRANSLATE(B20405,""en"",""es-ES"")"),"Después de varios hits, un hombre decide patear la pelota sobre la red y otro hombre sale corriendo desde el otro lado y lo aborda en la tierra.")</f>
        <v>Después de varios hits, un hombre decide patear la pelota sobre la red y otro hombre sale corriendo desde el otro lado y lo aborda en la tierra.</v>
      </c>
    </row>
    <row r="20406">
      <c r="A20406" s="4" t="s">
        <v>25692</v>
      </c>
      <c r="B20406" s="4" t="s">
        <v>25693</v>
      </c>
      <c r="C20406" s="5" t="str">
        <f>IFERROR(__xludf.DUMMYFUNCTION("GOOGLETRANSLATE(B20406,""en"",""es-ES"")"),"Un entrenador da instrucciones a los niños en una cancha de baloncesto.")</f>
        <v>Un entrenador da instrucciones a los niños en una cancha de baloncesto.</v>
      </c>
    </row>
    <row r="20407">
      <c r="A20407" s="4" t="s">
        <v>25692</v>
      </c>
      <c r="B20407" s="4" t="s">
        <v>25694</v>
      </c>
      <c r="C20407" s="5" t="str">
        <f>IFERROR(__xludf.DUMMYFUNCTION("GOOGLETRANSLATE(B20407,""en"",""es-ES"")"),"Luego, dos jóvenes demuestran a los niños cómo pasar y disparar la pelota en la canasta.")</f>
        <v>Luego, dos jóvenes demuestran a los niños cómo pasar y disparar la pelota en la canasta.</v>
      </c>
    </row>
    <row r="20408">
      <c r="A20408" s="4" t="s">
        <v>25692</v>
      </c>
      <c r="B20408" s="4" t="s">
        <v>25695</v>
      </c>
      <c r="C20408" s="5" t="str">
        <f>IFERROR(__xludf.DUMMYFUNCTION("GOOGLETRANSLATE(B20408,""en"",""es-ES"")"),"Después, el joven ayuda a los niños a lanzar la pelota en la canasta, mientras que dos corren pasando la pelota para disparar en una canasta.")</f>
        <v>Después, el joven ayuda a los niños a lanzar la pelota en la canasta, mientras que dos corren pasando la pelota para disparar en una canasta.</v>
      </c>
    </row>
    <row r="20409">
      <c r="A20409" s="4" t="s">
        <v>25692</v>
      </c>
      <c r="B20409" s="4" t="s">
        <v>25696</v>
      </c>
      <c r="C20409" s="5" t="str">
        <f>IFERROR(__xludf.DUMMYFUNCTION("GOOGLETRANSLATE(B20409,""en"",""es-ES"")"),"Luego, los muchachos practican la defensa del baloncesto que se turnan mientras corren hacia el otro lado de la cancha.")</f>
        <v>Luego, los muchachos practican la defensa del baloncesto que se turnan mientras corren hacia el otro lado de la cancha.</v>
      </c>
    </row>
    <row r="20410">
      <c r="A20410" s="4" t="s">
        <v>25697</v>
      </c>
      <c r="B20410" s="4" t="s">
        <v>25698</v>
      </c>
      <c r="C20410" s="5" t="str">
        <f>IFERROR(__xludf.DUMMYFUNCTION("GOOGLETRANSLATE(B20410,""en"",""es-ES"")"),"Se muestran clips viejos de un hombre dibujando una foto y dos niños mirando.")</f>
        <v>Se muestran clips viejos de un hombre dibujando una foto y dos niños mirando.</v>
      </c>
    </row>
    <row r="20411">
      <c r="A20411" s="4" t="s">
        <v>25697</v>
      </c>
      <c r="B20411" s="4" t="s">
        <v>25699</v>
      </c>
      <c r="C20411" s="5" t="str">
        <f>IFERROR(__xludf.DUMMYFUNCTION("GOOGLETRANSLATE(B20411,""en"",""es-ES"")"),"Luego, los niños se muestran en varios clips que realizan inmersiones en un tablero y caminan por los lados que suben a la cima.")</f>
        <v>Luego, los niños se muestran en varios clips que realizan inmersiones en un tablero y caminan por los lados que suben a la cima.</v>
      </c>
    </row>
    <row r="20412">
      <c r="A20412" s="4" t="s">
        <v>25700</v>
      </c>
      <c r="B20412" s="4" t="s">
        <v>25701</v>
      </c>
      <c r="C20412" s="5" t="str">
        <f>IFERROR(__xludf.DUMMYFUNCTION("GOOGLETRANSLATE(B20412,""en"",""es-ES"")"),"Se ve a una persona pasar un baloncesto por una cancha a otros y terminando disparando una canasta.")</f>
        <v>Se ve a una persona pasar un baloncesto por una cancha a otros y terminando disparando una canasta.</v>
      </c>
    </row>
    <row r="20413">
      <c r="A20413" s="4" t="s">
        <v>25700</v>
      </c>
      <c r="B20413" s="4" t="s">
        <v>25702</v>
      </c>
      <c r="C20413" s="5" t="str">
        <f>IFERROR(__xludf.DUMMYFUNCTION("GOOGLETRANSLATE(B20413,""en"",""es-ES"")"),"El grupo continúa pasando la pelota entre sí realizando ejercicios mientras el entrenador instruye.")</f>
        <v>El grupo continúa pasando la pelota entre sí realizando ejercicios mientras el entrenador instruye.</v>
      </c>
    </row>
    <row r="20414">
      <c r="A20414" s="4" t="s">
        <v>25703</v>
      </c>
      <c r="B20414" s="4" t="s">
        <v>25704</v>
      </c>
      <c r="C20414" s="5" t="str">
        <f>IFERROR(__xludf.DUMMYFUNCTION("GOOGLETRANSLATE(B20414,""en"",""es-ES"")"),"Se ve a un hombre hablando con la cámara y conduce un clip de personas que montan por una colina nevada en los tubos.")</f>
        <v>Se ve a un hombre hablando con la cámara y conduce un clip de personas que montan por una colina nevada en los tubos.</v>
      </c>
    </row>
    <row r="20415">
      <c r="A20415" s="4" t="s">
        <v>25703</v>
      </c>
      <c r="B20415" s="4" t="s">
        <v>25705</v>
      </c>
      <c r="C20415" s="5" t="str">
        <f>IFERROR(__xludf.DUMMYFUNCTION("GOOGLETRANSLATE(B20415,""en"",""es-ES"")"),"Se ve a más personas montando por la colina mientras se señalan el uno al otro.")</f>
        <v>Se ve a más personas montando por la colina mientras se señalan el uno al otro.</v>
      </c>
    </row>
    <row r="20416">
      <c r="A20416" s="4" t="s">
        <v>25703</v>
      </c>
      <c r="B20416" s="4" t="s">
        <v>25706</v>
      </c>
      <c r="C20416" s="5" t="str">
        <f>IFERROR(__xludf.DUMMYFUNCTION("GOOGLETRANSLATE(B20416,""en"",""es-ES"")"),"El grupo continúa bajando por la colina mientras también se detiene para hablar con la cámara.")</f>
        <v>El grupo continúa bajando por la colina mientras también se detiene para hablar con la cámara.</v>
      </c>
    </row>
    <row r="20417">
      <c r="A20417" s="4" t="s">
        <v>25707</v>
      </c>
      <c r="B20417" s="4" t="s">
        <v>25708</v>
      </c>
      <c r="C20417" s="5" t="str">
        <f>IFERROR(__xludf.DUMMYFUNCTION("GOOGLETRANSLATE(B20417,""en"",""es-ES"")"),"Se muestran varias fotos en blanco y negro de personas que tocaban la batería.")</f>
        <v>Se muestran varias fotos en blanco y negro de personas que tocaban la batería.</v>
      </c>
    </row>
    <row r="20418">
      <c r="A20418" s="4" t="s">
        <v>25707</v>
      </c>
      <c r="B20418" s="4" t="s">
        <v>25709</v>
      </c>
      <c r="C20418" s="5" t="str">
        <f>IFERROR(__xludf.DUMMYFUNCTION("GOOGLETRANSLATE(B20418,""en"",""es-ES"")"),"Un grupo de tambores se reúne, tocando en una habitación.")</f>
        <v>Un grupo de tambores se reúne, tocando en una habitación.</v>
      </c>
    </row>
    <row r="20419">
      <c r="A20419" s="4" t="s">
        <v>25707</v>
      </c>
      <c r="B20419" s="4" t="s">
        <v>25710</v>
      </c>
      <c r="C20419" s="5" t="str">
        <f>IFERROR(__xludf.DUMMYFUNCTION("GOOGLETRANSLATE(B20419,""en"",""es-ES"")"),"Su reproducción está intercalada con imágenes de partituras, luego vuelve a su actuación.")</f>
        <v>Su reproducción está intercalada con imágenes de partituras, luego vuelve a su actuación.</v>
      </c>
    </row>
    <row r="20420">
      <c r="A20420" s="4" t="s">
        <v>25711</v>
      </c>
      <c r="B20420" s="4" t="s">
        <v>25712</v>
      </c>
      <c r="C20420" s="5" t="str">
        <f>IFERROR(__xludf.DUMMYFUNCTION("GOOGLETRANSLATE(B20420,""en"",""es-ES"")"),"Las gimnastas corren y luego hicieron volteretas y se estremecieron mientras pasaba por el final de la colchoneta.")</f>
        <v>Las gimnastas corren y luego hicieron volteretas y se estremecieron mientras pasaba por el final de la colchoneta.</v>
      </c>
    </row>
    <row r="20421">
      <c r="A20421" s="4" t="s">
        <v>25711</v>
      </c>
      <c r="B20421" s="4" t="s">
        <v>25713</v>
      </c>
      <c r="C20421" s="5" t="str">
        <f>IFERROR(__xludf.DUMMYFUNCTION("GOOGLETRANSLATE(B20421,""en"",""es-ES"")"),"El jugador saltó y Cartwheel alto.")</f>
        <v>El jugador saltó y Cartwheel alto.</v>
      </c>
    </row>
    <row r="20422">
      <c r="A20422" s="4" t="s">
        <v>25711</v>
      </c>
      <c r="B20422" s="4" t="s">
        <v>25714</v>
      </c>
      <c r="C20422" s="5" t="str">
        <f>IFERROR(__xludf.DUMMYFUNCTION("GOOGLETRANSLATE(B20422,""en"",""es-ES"")"),"El gimnasta masculino giró en el aire y luego aterrizó al final de la colchoneta.")</f>
        <v>El gimnasta masculino giró en el aire y luego aterrizó al final de la colchoneta.</v>
      </c>
    </row>
    <row r="20423">
      <c r="A20423" s="4" t="s">
        <v>25715</v>
      </c>
      <c r="B20423" s="4" t="s">
        <v>25716</v>
      </c>
      <c r="C20423" s="5" t="str">
        <f>IFERROR(__xludf.DUMMYFUNCTION("GOOGLETRANSLATE(B20423,""en"",""es-ES"")"),"Se muestran varios disparos de bosques que conducen a una persona que se prepara y conduce en un kayak.")</f>
        <v>Se muestran varios disparos de bosques que conducen a una persona que se prepara y conduce en un kayak.</v>
      </c>
    </row>
    <row r="20424">
      <c r="A20424" s="4" t="s">
        <v>25715</v>
      </c>
      <c r="B20424" s="4" t="s">
        <v>25717</v>
      </c>
      <c r="C20424" s="5" t="str">
        <f>IFERROR(__xludf.DUMMYFUNCTION("GOOGLETRANSLATE(B20424,""en"",""es-ES"")"),"La persona se remonta a lo largo del río áspero, además de mostrar a otras personas viajando.")</f>
        <v>La persona se remonta a lo largo del río áspero, además de mostrar a otras personas viajando.</v>
      </c>
    </row>
    <row r="20425">
      <c r="A20425" s="4" t="s">
        <v>25715</v>
      </c>
      <c r="B20425" s="4" t="s">
        <v>25718</v>
      </c>
      <c r="C20425" s="5" t="str">
        <f>IFERROR(__xludf.DUMMYFUNCTION("GOOGLETRANSLATE(B20425,""en"",""es-ES"")"),"Pasan más allá de las aguas ásperas a lo largo del río y terminan sentados cerca el uno del otro.")</f>
        <v>Pasan más allá de las aguas ásperas a lo largo del río y terminan sentados cerca el uno del otro.</v>
      </c>
    </row>
    <row r="20426">
      <c r="A20426" s="4" t="s">
        <v>25719</v>
      </c>
      <c r="B20426" s="4" t="s">
        <v>25720</v>
      </c>
      <c r="C20426" s="5" t="str">
        <f>IFERROR(__xludf.DUMMYFUNCTION("GOOGLETRANSLATE(B20426,""en"",""es-ES"")"),"Se ve a una mujer dentro de un baño.")</f>
        <v>Se ve a una mujer dentro de un baño.</v>
      </c>
    </row>
    <row r="20427">
      <c r="A20427" s="4" t="s">
        <v>25719</v>
      </c>
      <c r="B20427" s="4" t="s">
        <v>25721</v>
      </c>
      <c r="C20427" s="5" t="str">
        <f>IFERROR(__xludf.DUMMYFUNCTION("GOOGLETRANSLATE(B20427,""en"",""es-ES"")"),"Ella está usando una secadora para secarse el cabello.")</f>
        <v>Ella está usando una secadora para secarse el cabello.</v>
      </c>
    </row>
    <row r="20428">
      <c r="A20428" s="4" t="s">
        <v>25719</v>
      </c>
      <c r="B20428" s="4" t="s">
        <v>25722</v>
      </c>
      <c r="C20428" s="5" t="str">
        <f>IFERROR(__xludf.DUMMYFUNCTION("GOOGLETRANSLATE(B20428,""en"",""es-ES"")"),"Ocasionalmente usa un cepillo para ayudar a acelerar el proceso.")</f>
        <v>Ocasionalmente usa un cepillo para ayudar a acelerar el proceso.</v>
      </c>
    </row>
    <row r="20429">
      <c r="A20429" s="4" t="s">
        <v>25723</v>
      </c>
      <c r="B20429" s="4" t="s">
        <v>25724</v>
      </c>
      <c r="C20429" s="5" t="str">
        <f>IFERROR(__xludf.DUMMYFUNCTION("GOOGLETRANSLATE(B20429,""en"",""es-ES"")"),"Se ve a un pequeño grupo de personas jugando un juego de voleibol mientras la gente mira a lo largo de la barrera.")</f>
        <v>Se ve a un pequeño grupo de personas jugando un juego de voleibol mientras la gente mira a lo largo de la barrera.</v>
      </c>
    </row>
    <row r="20430">
      <c r="A20430" s="4" t="s">
        <v>25723</v>
      </c>
      <c r="B20430" s="4" t="s">
        <v>25725</v>
      </c>
      <c r="C20430" s="5" t="str">
        <f>IFERROR(__xludf.DUMMYFUNCTION("GOOGLETRANSLATE(B20430,""en"",""es-ES"")"),"Los jugadores golpearon la pelota varias veces sobre la red y persiguen la pelota.")</f>
        <v>Los jugadores golpearon la pelota varias veces sobre la red y persiguen la pelota.</v>
      </c>
    </row>
    <row r="20431">
      <c r="A20431" s="4" t="s">
        <v>25723</v>
      </c>
      <c r="B20431" s="4" t="s">
        <v>25726</v>
      </c>
      <c r="C20431" s="5" t="str">
        <f>IFERROR(__xludf.DUMMYFUNCTION("GOOGLETRANSLATE(B20431,""en"",""es-ES"")"),"Continúan jugando el juego, mientras que otros animan y se apoderan del otro después.")</f>
        <v>Continúan jugando el juego, mientras que otros animan y se apoderan del otro después.</v>
      </c>
    </row>
    <row r="20432">
      <c r="A20432" s="4" t="s">
        <v>25727</v>
      </c>
      <c r="B20432" s="4" t="s">
        <v>25728</v>
      </c>
      <c r="C20432" s="5" t="str">
        <f>IFERROR(__xludf.DUMMYFUNCTION("GOOGLETRANSLATE(B20432,""en"",""es-ES"")"),"Un hombre con un sombrero duro camina a través de un patio hasta una estructura de metal.")</f>
        <v>Un hombre con un sombrero duro camina a través de un patio hasta una estructura de metal.</v>
      </c>
    </row>
    <row r="20433">
      <c r="A20433" s="4" t="s">
        <v>25727</v>
      </c>
      <c r="B20433" s="4" t="s">
        <v>25729</v>
      </c>
      <c r="C20433" s="5" t="str">
        <f>IFERROR(__xludf.DUMMYFUNCTION("GOOGLETRANSLATE(B20433,""en"",""es-ES"")"),"Ajusta una escalera y la inclina contra la estructura, regresa a mirar y la ajusta un par más.")</f>
        <v>Ajusta una escalera y la inclina contra la estructura, regresa a mirar y la ajusta un par más.</v>
      </c>
    </row>
    <row r="20434">
      <c r="A20434" s="4" t="s">
        <v>25727</v>
      </c>
      <c r="B20434" s="4" t="s">
        <v>25730</v>
      </c>
      <c r="C20434" s="5" t="str">
        <f>IFERROR(__xludf.DUMMYFUNCTION("GOOGLETRANSLATE(B20434,""en"",""es-ES"")"),"Cuando está satisfecho, aprieta una correa y toma una segunda escalera.")</f>
        <v>Cuando está satisfecho, aprieta una correa y toma una segunda escalera.</v>
      </c>
    </row>
    <row r="20435">
      <c r="A20435" s="4" t="s">
        <v>25727</v>
      </c>
      <c r="B20435" s="4" t="s">
        <v>25731</v>
      </c>
      <c r="C20435" s="5" t="str">
        <f>IFERROR(__xludf.DUMMYFUNCTION("GOOGLETRANSLATE(B20435,""en"",""es-ES"")"),"Él sube, llevando este con él.")</f>
        <v>Él sube, llevando este con él.</v>
      </c>
    </row>
    <row r="20436">
      <c r="A20436" s="4" t="s">
        <v>25732</v>
      </c>
      <c r="B20436" s="4" t="s">
        <v>25733</v>
      </c>
      <c r="C20436" s="5" t="str">
        <f>IFERROR(__xludf.DUMMYFUNCTION("GOOGLETRANSLATE(B20436,""en"",""es-ES"")"),"BMX esperando en la puerta para que la puerta baje y que comience la carrera.")</f>
        <v>BMX esperando en la puerta para que la puerta baje y que comience la carrera.</v>
      </c>
    </row>
    <row r="20437">
      <c r="A20437" s="4" t="s">
        <v>25732</v>
      </c>
      <c r="B20437" s="4" t="s">
        <v>25734</v>
      </c>
      <c r="C20437" s="5" t="str">
        <f>IFERROR(__xludf.DUMMYFUNCTION("GOOGLETRANSLATE(B20437,""en"",""es-ES"")"),"Quitan la pista muy rápido a través de ella muy rápido.")</f>
        <v>Quitan la pista muy rápido a través de ella muy rápido.</v>
      </c>
    </row>
    <row r="20438">
      <c r="A20438" s="4" t="s">
        <v>25732</v>
      </c>
      <c r="B20438" s="4" t="s">
        <v>25735</v>
      </c>
      <c r="C20438" s="5" t="str">
        <f>IFERROR(__xludf.DUMMYFUNCTION("GOOGLETRANSLATE(B20438,""en"",""es-ES"")"),"Florida tiene varias ubicaciones para BMXing si te encanta hacerlo y no sabes a dónde ir, tienen 1500 pasajeros con licencia y 30 equipos patrocinados.")</f>
        <v>Florida tiene varias ubicaciones para BMXing si te encanta hacerlo y no sabes a dónde ir, tienen 1500 pasajeros con licencia y 30 equipos patrocinados.</v>
      </c>
    </row>
    <row r="20439">
      <c r="A20439" s="4" t="s">
        <v>25732</v>
      </c>
      <c r="B20439" s="4" t="s">
        <v>25736</v>
      </c>
      <c r="C20439" s="5" t="str">
        <f>IFERROR(__xludf.DUMMYFUNCTION("GOOGLETRANSLATE(B20439,""en"",""es-ES"")"),"Incluso tienen algunas bicicletas para mini jinetes que quieren ser como las de su papá.")</f>
        <v>Incluso tienen algunas bicicletas para mini jinetes que quieren ser como las de su papá.</v>
      </c>
    </row>
    <row r="20440">
      <c r="A20440" s="4" t="s">
        <v>25737</v>
      </c>
      <c r="B20440" s="4" t="s">
        <v>25738</v>
      </c>
      <c r="C20440" s="5" t="str">
        <f>IFERROR(__xludf.DUMMYFUNCTION("GOOGLETRANSLATE(B20440,""en"",""es-ES"")"),"Se ven diferentes tonos de botellas de esmalte de uñas.")</f>
        <v>Se ven diferentes tonos de botellas de esmalte de uñas.</v>
      </c>
    </row>
    <row r="20441">
      <c r="A20441" s="4" t="s">
        <v>25737</v>
      </c>
      <c r="B20441" s="4" t="s">
        <v>25739</v>
      </c>
      <c r="C20441" s="5" t="str">
        <f>IFERROR(__xludf.DUMMYFUNCTION("GOOGLETRANSLATE(B20441,""en"",""es-ES"")"),"Las piezas de cono están envueltas alrededor de las puntas de los dedos alrededor de las uñas.")</f>
        <v>Las piezas de cono están envueltas alrededor de las puntas de los dedos alrededor de las uñas.</v>
      </c>
    </row>
    <row r="20442">
      <c r="A20442" s="4" t="s">
        <v>25737</v>
      </c>
      <c r="B20442" s="4" t="s">
        <v>25740</v>
      </c>
      <c r="C20442" s="5" t="str">
        <f>IFERROR(__xludf.DUMMYFUNCTION("GOOGLETRANSLATE(B20442,""en"",""es-ES"")"),"Se aplican diferentes tonos de esmalte de uñas a una almohadilla de espuma y luego se dabilizan en las uñas de los dedos.")</f>
        <v>Se aplican diferentes tonos de esmalte de uñas a una almohadilla de espuma y luego se dabilizan en las uñas de los dedos.</v>
      </c>
    </row>
    <row r="20443">
      <c r="A20443" s="4" t="s">
        <v>25737</v>
      </c>
      <c r="B20443" s="4" t="s">
        <v>25741</v>
      </c>
      <c r="C20443" s="5" t="str">
        <f>IFERROR(__xludf.DUMMYFUNCTION("GOOGLETRANSLATE(B20443,""en"",""es-ES"")"),"Se aplica un recubrimiento transparente en las uñas.")</f>
        <v>Se aplica un recubrimiento transparente en las uñas.</v>
      </c>
    </row>
    <row r="20444">
      <c r="A20444" s="4" t="s">
        <v>25737</v>
      </c>
      <c r="B20444" s="4" t="s">
        <v>25742</v>
      </c>
      <c r="C20444" s="5" t="str">
        <f>IFERROR(__xludf.DUMMYFUNCTION("GOOGLETRANSLATE(B20444,""en"",""es-ES"")"),"La cinta se retira y los bordes se limpian con solución de remover de esmalte de uñas.")</f>
        <v>La cinta se retira y los bordes se limpian con solución de remover de esmalte de uñas.</v>
      </c>
    </row>
    <row r="20445">
      <c r="A20445" s="4" t="s">
        <v>25743</v>
      </c>
      <c r="B20445" s="4" t="s">
        <v>25744</v>
      </c>
      <c r="C20445" s="5" t="str">
        <f>IFERROR(__xludf.DUMMYFUNCTION("GOOGLETRANSLATE(B20445,""en"",""es-ES"")"),"Una mujer está sentada en un auto descalzo, tratando de conducir.")</f>
        <v>Una mujer está sentada en un auto descalzo, tratando de conducir.</v>
      </c>
    </row>
    <row r="20446">
      <c r="A20446" s="4" t="s">
        <v>25743</v>
      </c>
      <c r="B20446" s="4" t="s">
        <v>25745</v>
      </c>
      <c r="C20446" s="5" t="str">
        <f>IFERROR(__xludf.DUMMYFUNCTION("GOOGLETRANSLATE(B20446,""en"",""es-ES"")"),"Ella enciende un cigarrillo mientras conduce.")</f>
        <v>Ella enciende un cigarrillo mientras conduce.</v>
      </c>
    </row>
    <row r="20447">
      <c r="A20447" s="4" t="s">
        <v>25746</v>
      </c>
      <c r="B20447" s="4" t="s">
        <v>25747</v>
      </c>
      <c r="C20447" s="5" t="str">
        <f>IFERROR(__xludf.DUMMYFUNCTION("GOOGLETRANSLATE(B20447,""en"",""es-ES"")"),"Un hombre con camisa amarilla y medias negras, caminó hacia la bicicleta, se inclina y desenrosca el tornillo.")</f>
        <v>Un hombre con camisa amarilla y medias negras, caminó hacia la bicicleta, se inclina y desenrosca el tornillo.</v>
      </c>
    </row>
    <row r="20448">
      <c r="A20448" s="4" t="s">
        <v>25746</v>
      </c>
      <c r="B20448" s="4" t="s">
        <v>25748</v>
      </c>
      <c r="C20448" s="5" t="str">
        <f>IFERROR(__xludf.DUMMYFUNCTION("GOOGLETRANSLATE(B20448,""en"",""es-ES"")"),"El hombre de camisa amarilla sacó sus herramientas de su bolsillo, se quitó la rueda de la bicicleta de la bicicleta, sacó una herramienta amarilla, inserte entre el goma y el metal, quitó el goma dentro del neumático, intentó encontrar el agujero, Tomó u"&amp;"n paño cuadrado, limpia el neumático, luego colocó la pegatina, bombeó la goma y luego la volvió a colocar en el neumático.")</f>
        <v>El hombre de camisa amarilla sacó sus herramientas de su bolsillo, se quitó la rueda de la bicicleta de la bicicleta, sacó una herramienta amarilla, inserte entre el goma y el metal, quitó el goma dentro del neumático, intentó encontrar el agujero, Tomó un paño cuadrado, limpia el neumático, luego colocó la pegatina, bombeó la goma y luego la volvió a colocar en el neumático.</v>
      </c>
    </row>
    <row r="20449">
      <c r="A20449" s="4" t="s">
        <v>25746</v>
      </c>
      <c r="B20449" s="4" t="s">
        <v>25749</v>
      </c>
      <c r="C20449" s="5" t="str">
        <f>IFERROR(__xludf.DUMMYFUNCTION("GOOGLETRANSLATE(B20449,""en"",""es-ES"")"),"La persona atornilla la rueda a la bicicleta.")</f>
        <v>La persona atornilla la rueda a la bicicleta.</v>
      </c>
    </row>
    <row r="20450">
      <c r="A20450" s="4" t="s">
        <v>25750</v>
      </c>
      <c r="B20450" s="4" t="s">
        <v>25751</v>
      </c>
      <c r="C20450" s="5" t="str">
        <f>IFERROR(__xludf.DUMMYFUNCTION("GOOGLETRANSLATE(B20450,""en"",""es-ES"")"),"Una persona sostiene el ojo abierto.")</f>
        <v>Una persona sostiene el ojo abierto.</v>
      </c>
    </row>
    <row r="20451">
      <c r="A20451" s="4" t="s">
        <v>25750</v>
      </c>
      <c r="B20451" s="4" t="s">
        <v>25752</v>
      </c>
      <c r="C20451" s="5" t="str">
        <f>IFERROR(__xludf.DUMMYFUNCTION("GOOGLETRANSLATE(B20451,""en"",""es-ES"")"),"Pusieron una lente de contacto en el ojo.")</f>
        <v>Pusieron una lente de contacto en el ojo.</v>
      </c>
    </row>
    <row r="20452">
      <c r="A20452" s="4" t="s">
        <v>25750</v>
      </c>
      <c r="B20452" s="4" t="s">
        <v>25753</v>
      </c>
      <c r="C20452" s="5" t="str">
        <f>IFERROR(__xludf.DUMMYFUNCTION("GOOGLETRANSLATE(B20452,""en"",""es-ES"")"),"Luego sacan la lente de contacto de su ojo.")</f>
        <v>Luego sacan la lente de contacto de su ojo.</v>
      </c>
    </row>
    <row r="20453">
      <c r="A20453" s="4" t="s">
        <v>25754</v>
      </c>
      <c r="B20453" s="4" t="s">
        <v>25755</v>
      </c>
      <c r="C20453" s="5" t="str">
        <f>IFERROR(__xludf.DUMMYFUNCTION("GOOGLETRANSLATE(B20453,""en"",""es-ES"")"),"Se ve a un niño pequeño sentado en un entrenador que abre un regalo.")</f>
        <v>Se ve a un niño pequeño sentado en un entrenador que abre un regalo.</v>
      </c>
    </row>
    <row r="20454">
      <c r="A20454" s="4" t="s">
        <v>25754</v>
      </c>
      <c r="B20454" s="4" t="s">
        <v>25756</v>
      </c>
      <c r="C20454" s="5" t="str">
        <f>IFERROR(__xludf.DUMMYFUNCTION("GOOGLETRANSLATE(B20454,""en"",""es-ES"")"),"La cámara le rodea a su alrededor mientras ella abre el presente y sonríe a la cámara.")</f>
        <v>La cámara le rodea a su alrededor mientras ella abre el presente y sonríe a la cámara.</v>
      </c>
    </row>
    <row r="20455">
      <c r="A20455" s="4" t="s">
        <v>25754</v>
      </c>
      <c r="B20455" s="4" t="s">
        <v>25757</v>
      </c>
      <c r="C20455" s="5" t="str">
        <f>IFERROR(__xludf.DUMMYFUNCTION("GOOGLETRANSLATE(B20455,""en"",""es-ES"")"),"Ella continúa tratando de abrir la caja mientras mira y sonriendo.")</f>
        <v>Ella continúa tratando de abrir la caja mientras mira y sonriendo.</v>
      </c>
    </row>
    <row r="20456">
      <c r="A20456" s="4" t="s">
        <v>25758</v>
      </c>
      <c r="B20456" s="4" t="s">
        <v>25759</v>
      </c>
      <c r="C20456" s="5" t="str">
        <f>IFERROR(__xludf.DUMMYFUNCTION("GOOGLETRANSLATE(B20456,""en"",""es-ES"")"),"Una mujer y un hombre que lleva un baile de color verde a juego en el escenario durante una actuación.")</f>
        <v>Una mujer y un hombre que lleva un baile de color verde a juego en el escenario durante una actuación.</v>
      </c>
    </row>
    <row r="20457">
      <c r="A20457" s="4" t="s">
        <v>25758</v>
      </c>
      <c r="B20457" s="4" t="s">
        <v>25760</v>
      </c>
      <c r="C20457" s="5" t="str">
        <f>IFERROR(__xludf.DUMMYFUNCTION("GOOGLETRANSLATE(B20457,""en"",""es-ES"")"),"El hombre gira a su compañero durante el baile.")</f>
        <v>El hombre gira a su compañero durante el baile.</v>
      </c>
    </row>
    <row r="20458">
      <c r="A20458" s="4" t="s">
        <v>25758</v>
      </c>
      <c r="B20458" s="4" t="s">
        <v>25761</v>
      </c>
      <c r="C20458" s="5" t="str">
        <f>IFERROR(__xludf.DUMMYFUNCTION("GOOGLETRANSLATE(B20458,""en"",""es-ES"")"),"Los bailarines patean los pies mientras bailan.")</f>
        <v>Los bailarines patean los pies mientras bailan.</v>
      </c>
    </row>
    <row r="20459">
      <c r="A20459" s="4" t="s">
        <v>25762</v>
      </c>
      <c r="B20459" s="4" t="s">
        <v>25763</v>
      </c>
      <c r="C20459" s="5" t="str">
        <f>IFERROR(__xludf.DUMMYFUNCTION("GOOGLETRANSLATE(B20459,""en"",""es-ES"")"),"Un niño habla con la cámara.")</f>
        <v>Un niño habla con la cámara.</v>
      </c>
    </row>
    <row r="20460">
      <c r="A20460" s="4" t="s">
        <v>25762</v>
      </c>
      <c r="B20460" s="4" t="s">
        <v>25764</v>
      </c>
      <c r="C20460" s="5" t="str">
        <f>IFERROR(__xludf.DUMMYFUNCTION("GOOGLETRANSLATE(B20460,""en"",""es-ES"")"),"El niño frota un fregadero de metal con un cepillo.")</f>
        <v>El niño frota un fregadero de metal con un cepillo.</v>
      </c>
    </row>
    <row r="20461">
      <c r="A20461" s="4" t="s">
        <v>25762</v>
      </c>
      <c r="B20461" s="4" t="s">
        <v>25765</v>
      </c>
      <c r="C20461" s="5" t="str">
        <f>IFERROR(__xludf.DUMMYFUNCTION("GOOGLETRANSLATE(B20461,""en"",""es-ES"")"),"El niño cambia su agarre en el cepillo.")</f>
        <v>El niño cambia su agarre en el cepillo.</v>
      </c>
    </row>
    <row r="20462">
      <c r="A20462" s="4" t="s">
        <v>25766</v>
      </c>
      <c r="B20462" s="4" t="s">
        <v>25767</v>
      </c>
      <c r="C20462" s="5" t="str">
        <f>IFERROR(__xludf.DUMMYFUNCTION("GOOGLETRANSLATE(B20462,""en"",""es-ES"")"),"Tres personas se sientan en el frente del océano.")</f>
        <v>Tres personas se sientan en el frente del océano.</v>
      </c>
    </row>
    <row r="20463">
      <c r="A20463" s="4" t="s">
        <v>25766</v>
      </c>
      <c r="B20463" s="4" t="s">
        <v>25768</v>
      </c>
      <c r="C20463" s="5" t="str">
        <f>IFERROR(__xludf.DUMMYFUNCTION("GOOGLETRANSLATE(B20463,""en"",""es-ES"")"),"Un hombre navega en una pequeña ola, luego vuela en el aire y aterriza en la orilla.")</f>
        <v>Un hombre navega en una pequeña ola, luego vuela en el aire y aterriza en la orilla.</v>
      </c>
    </row>
    <row r="20464">
      <c r="A20464" s="4" t="s">
        <v>25766</v>
      </c>
      <c r="B20464" s="4" t="s">
        <v>25769</v>
      </c>
      <c r="C20464" s="5" t="str">
        <f>IFERROR(__xludf.DUMMYFUNCTION("GOOGLETRANSLATE(B20464,""en"",""es-ES"")"),"Una persona toma una foto al surfista.")</f>
        <v>Una persona toma una foto al surfista.</v>
      </c>
    </row>
    <row r="20465">
      <c r="A20465" s="4" t="s">
        <v>25766</v>
      </c>
      <c r="B20465" s="4" t="s">
        <v>25770</v>
      </c>
      <c r="C20465" s="5" t="str">
        <f>IFERROR(__xludf.DUMMYFUNCTION("GOOGLETRANSLATE(B20465,""en"",""es-ES"")"),"El hombre continúa surfeando, girando y saltando, después de tomar su tabla de surf y caminar por la playa.")</f>
        <v>El hombre continúa surfeando, girando y saltando, después de tomar su tabla de surf y caminar por la playa.</v>
      </c>
    </row>
    <row r="20466">
      <c r="A20466" s="4" t="s">
        <v>25766</v>
      </c>
      <c r="B20466" s="4" t="s">
        <v>25771</v>
      </c>
      <c r="C20466" s="5" t="str">
        <f>IFERROR(__xludf.DUMMYFUNCTION("GOOGLETRANSLATE(B20466,""en"",""es-ES"")"),"Un surfista se da vuelta en una ola.")</f>
        <v>Un surfista se da vuelta en una ola.</v>
      </c>
    </row>
    <row r="20467">
      <c r="A20467" s="4" t="s">
        <v>25772</v>
      </c>
      <c r="B20467" s="4" t="s">
        <v>25773</v>
      </c>
      <c r="C20467" s="5" t="str">
        <f>IFERROR(__xludf.DUMMYFUNCTION("GOOGLETRANSLATE(B20467,""en"",""es-ES"")"),"Un surfista está parado en la corriente oceánica.")</f>
        <v>Un surfista está parado en la corriente oceánica.</v>
      </c>
    </row>
    <row r="20468">
      <c r="A20468" s="4" t="s">
        <v>25772</v>
      </c>
      <c r="B20468" s="4" t="s">
        <v>25774</v>
      </c>
      <c r="C20468" s="5" t="str">
        <f>IFERROR(__xludf.DUMMYFUNCTION("GOOGLETRANSLATE(B20468,""en"",""es-ES"")"),"Un par de otros surfistas se unen a él mientras surfean en las olas.")</f>
        <v>Un par de otros surfistas se unen a él mientras surfean en las olas.</v>
      </c>
    </row>
    <row r="20469">
      <c r="A20469" s="4" t="s">
        <v>25772</v>
      </c>
      <c r="B20469" s="4" t="s">
        <v>25775</v>
      </c>
      <c r="C20469" s="5" t="str">
        <f>IFERROR(__xludf.DUMMYFUNCTION("GOOGLETRANSLATE(B20469,""en"",""es-ES"")"),"Madean las olas a la orilla.")</f>
        <v>Madean las olas a la orilla.</v>
      </c>
    </row>
    <row r="20470">
      <c r="A20470" s="4" t="s">
        <v>25776</v>
      </c>
      <c r="B20470" s="4" t="s">
        <v>25777</v>
      </c>
      <c r="C20470" s="5" t="str">
        <f>IFERROR(__xludf.DUMMYFUNCTION("GOOGLETRANSLATE(B20470,""en"",""es-ES"")"),"Se ve a un hombre sentado en el suelo y saltando a una posición de pie.")</f>
        <v>Se ve a un hombre sentado en el suelo y saltando a una posición de pie.</v>
      </c>
    </row>
    <row r="20471">
      <c r="A20471" s="4" t="s">
        <v>25776</v>
      </c>
      <c r="B20471" s="4" t="s">
        <v>25778</v>
      </c>
      <c r="C20471" s="5" t="str">
        <f>IFERROR(__xludf.DUMMYFUNCTION("GOOGLETRANSLATE(B20471,""en"",""es-ES"")"),"Luego regresa a una posición de arrodillada y salta a sus pies nuevamente.")</f>
        <v>Luego regresa a una posición de arrodillada y salta a sus pies nuevamente.</v>
      </c>
    </row>
    <row r="20472">
      <c r="A20472" s="4" t="s">
        <v>25776</v>
      </c>
      <c r="B20472" s="4" t="s">
        <v>25779</v>
      </c>
      <c r="C20472" s="5" t="str">
        <f>IFERROR(__xludf.DUMMYFUNCTION("GOOGLETRANSLATE(B20472,""en"",""es-ES"")"),"El mismo hombre hace esto dos veces más.")</f>
        <v>El mismo hombre hace esto dos veces más.</v>
      </c>
    </row>
    <row r="20473">
      <c r="A20473" s="4" t="s">
        <v>25780</v>
      </c>
      <c r="B20473" s="4" t="s">
        <v>25781</v>
      </c>
      <c r="C20473" s="5" t="str">
        <f>IFERROR(__xludf.DUMMYFUNCTION("GOOGLETRANSLATE(B20473,""en"",""es-ES"")"),"Aparece una pantalla de introducción negra y tiene las palabras Super Wash en el medio.")</f>
        <v>Aparece una pantalla de introducción negra y tiene las palabras Super Wash en el medio.</v>
      </c>
    </row>
    <row r="20474">
      <c r="A20474" s="4" t="s">
        <v>25780</v>
      </c>
      <c r="B20474" s="4" t="s">
        <v>25782</v>
      </c>
      <c r="C20474" s="5" t="str">
        <f>IFERROR(__xludf.DUMMYFUNCTION("GOOGLETRANSLATE(B20474,""en"",""es-ES"")"),"Un automóvil rojo y un automóvil detrás de él están en un lavado de autos y ambos están siendo trabajados por dos series de personas en cada automóvil.")</f>
        <v>Un automóvil rojo y un automóvil detrás de él están en un lavado de autos y ambos están siendo trabajados por dos series de personas en cada automóvil.</v>
      </c>
    </row>
    <row r="20475">
      <c r="A20475" s="4" t="s">
        <v>25780</v>
      </c>
      <c r="B20475" s="4" t="s">
        <v>25783</v>
      </c>
      <c r="C20475" s="5" t="str">
        <f>IFERROR(__xludf.DUMMYFUNCTION("GOOGLETRANSLATE(B20475,""en"",""es-ES"")"),"Ahora hay 3 autos visibles y los mismos hombres están trabajando para lavar el automóvil rojo, mientras que otro hombre comienza a trabajar en el tercer automóvil que está al costado del automóvil rojo y todos los autos continúan siendo lavados.")</f>
        <v>Ahora hay 3 autos visibles y los mismos hombres están trabajando para lavar el automóvil rojo, mientras que otro hombre comienza a trabajar en el tercer automóvil que está al costado del automóvil rojo y todos los autos continúan siendo lavados.</v>
      </c>
    </row>
    <row r="20476">
      <c r="A20476" s="4" t="s">
        <v>25780</v>
      </c>
      <c r="B20476" s="4" t="s">
        <v>25784</v>
      </c>
      <c r="C20476" s="5" t="str">
        <f>IFERROR(__xludf.DUMMYFUNCTION("GOOGLETRANSLATE(B20476,""en"",""es-ES"")"),"El auto rojo está estacionado fuera del edificio y está limpio, seco y muy brillante.")</f>
        <v>El auto rojo está estacionado fuera del edificio y está limpio, seco y muy brillante.</v>
      </c>
    </row>
    <row r="20477">
      <c r="A20477" s="4" t="s">
        <v>25785</v>
      </c>
      <c r="B20477" s="4" t="s">
        <v>25786</v>
      </c>
      <c r="C20477" s="5" t="str">
        <f>IFERROR(__xludf.DUMMYFUNCTION("GOOGLETRANSLATE(B20477,""en"",""es-ES"")"),"La gente conduce un automóvil por una calle.")</f>
        <v>La gente conduce un automóvil por una calle.</v>
      </c>
    </row>
    <row r="20478">
      <c r="A20478" s="4" t="s">
        <v>25785</v>
      </c>
      <c r="B20478" s="4" t="s">
        <v>25787</v>
      </c>
      <c r="C20478" s="5" t="str">
        <f>IFERROR(__xludf.DUMMYFUNCTION("GOOGLETRANSLATE(B20478,""en"",""es-ES"")"),"Están remando en un bote por un río.")</f>
        <v>Están remando en un bote por un río.</v>
      </c>
    </row>
    <row r="20479">
      <c r="A20479" s="4" t="s">
        <v>25785</v>
      </c>
      <c r="B20479" s="4" t="s">
        <v>25788</v>
      </c>
      <c r="C20479" s="5" t="str">
        <f>IFERROR(__xludf.DUMMYFUNCTION("GOOGLETRANSLATE(B20479,""en"",""es-ES"")"),"Un hombre está parado en el agua sosteniendo un remo.")</f>
        <v>Un hombre está parado en el agua sosteniendo un remo.</v>
      </c>
    </row>
    <row r="20480">
      <c r="A20480" s="4" t="s">
        <v>25789</v>
      </c>
      <c r="B20480" s="4" t="s">
        <v>25790</v>
      </c>
      <c r="C20480" s="5" t="str">
        <f>IFERROR(__xludf.DUMMYFUNCTION("GOOGLETRANSLATE(B20480,""en"",""es-ES"")"),"Un chef con un uniforme de chef blanco se encuentra en una cocina comercial vacía y demuestra cómo hacer una tortilla.")</f>
        <v>Un chef con un uniforme de chef blanco se encuentra en una cocina comercial vacía y demuestra cómo hacer una tortilla.</v>
      </c>
    </row>
    <row r="20481">
      <c r="A20481" s="4" t="s">
        <v>25789</v>
      </c>
      <c r="B20481" s="4" t="s">
        <v>25791</v>
      </c>
      <c r="C20481" s="5" t="str">
        <f>IFERROR(__xludf.DUMMYFUNCTION("GOOGLETRANSLATE(B20481,""en"",""es-ES"")"),"Un chef se para en una cocina habla con la cámara antes de tomar un huevo y verterlo en una mini sartén negra.")</f>
        <v>Un chef se para en una cocina habla con la cámara antes de tomar un huevo y verterlo en una mini sartén negra.</v>
      </c>
    </row>
    <row r="20482">
      <c r="A20482" s="4" t="s">
        <v>25789</v>
      </c>
      <c r="B20482" s="4" t="s">
        <v>25792</v>
      </c>
      <c r="C20482" s="5" t="str">
        <f>IFERROR(__xludf.DUMMYFUNCTION("GOOGLETRANSLATE(B20482,""en"",""es-ES"")"),"El chef maniobra el huevo sobre la estufa con un tenedor que lo pinchaba suavemente.")</f>
        <v>El chef maniobra el huevo sobre la estufa con un tenedor que lo pinchaba suavemente.</v>
      </c>
    </row>
    <row r="20483">
      <c r="A20483" s="4" t="s">
        <v>25789</v>
      </c>
      <c r="B20483" s="4" t="s">
        <v>25793</v>
      </c>
      <c r="C20483" s="5" t="str">
        <f>IFERROR(__xludf.DUMMYFUNCTION("GOOGLETRANSLATE(B20483,""en"",""es-ES"")"),"El chef luego dobla el huevo por la mitad en la sartén y lo planta en un plato blanco antes de girar hacia la cámara y hablar nuevamente.")</f>
        <v>El chef luego dobla el huevo por la mitad en la sartén y lo planta en un plato blanco antes de girar hacia la cámara y hablar nuevamente.</v>
      </c>
    </row>
    <row r="20484">
      <c r="A20484" s="4" t="s">
        <v>25794</v>
      </c>
      <c r="B20484" s="4" t="s">
        <v>25795</v>
      </c>
      <c r="C20484" s="5" t="str">
        <f>IFERROR(__xludf.DUMMYFUNCTION("GOOGLETRANSLATE(B20484,""en"",""es-ES"")"),"Dos chicas están bailando y girando bastones en el piso de un gimnasio.")</f>
        <v>Dos chicas están bailando y girando bastones en el piso de un gimnasio.</v>
      </c>
    </row>
    <row r="20485">
      <c r="A20485" s="4" t="s">
        <v>25794</v>
      </c>
      <c r="B20485" s="4" t="s">
        <v>25796</v>
      </c>
      <c r="C20485" s="5" t="str">
        <f>IFERROR(__xludf.DUMMYFUNCTION("GOOGLETRANSLATE(B20485,""en"",""es-ES"")"),"Una de las chicas se va y la otra chica continúa bailando sola.")</f>
        <v>Una de las chicas se va y la otra chica continúa bailando sola.</v>
      </c>
    </row>
    <row r="20486">
      <c r="A20486" s="4" t="s">
        <v>25794</v>
      </c>
      <c r="B20486" s="4" t="s">
        <v>25797</v>
      </c>
      <c r="C20486" s="5" t="str">
        <f>IFERROR(__xludf.DUMMYFUNCTION("GOOGLETRANSLATE(B20486,""en"",""es-ES"")"),"Ella comienza a tirar los bastones en el aire.")</f>
        <v>Ella comienza a tirar los bastones en el aire.</v>
      </c>
    </row>
    <row r="20487">
      <c r="A20487" s="4" t="s">
        <v>25794</v>
      </c>
      <c r="B20487" s="4" t="s">
        <v>25798</v>
      </c>
      <c r="C20487" s="5" t="str">
        <f>IFERROR(__xludf.DUMMYFUNCTION("GOOGLETRANSLATE(B20487,""en"",""es-ES"")"),"La segunda chica se une a ella nuevamente y terminan de bailar.")</f>
        <v>La segunda chica se une a ella nuevamente y terminan de bailar.</v>
      </c>
    </row>
    <row r="20488">
      <c r="A20488" s="4" t="s">
        <v>25799</v>
      </c>
      <c r="B20488" s="4" t="s">
        <v>25800</v>
      </c>
      <c r="C20488" s="5" t="str">
        <f>IFERROR(__xludf.DUMMYFUNCTION("GOOGLETRANSLATE(B20488,""en"",""es-ES"")"),"Vemos a un bebés y niños jugando.")</f>
        <v>Vemos a un bebés y niños jugando.</v>
      </c>
    </row>
    <row r="20489">
      <c r="A20489" s="4" t="s">
        <v>25799</v>
      </c>
      <c r="B20489" s="4" t="s">
        <v>25801</v>
      </c>
      <c r="C20489" s="5" t="str">
        <f>IFERROR(__xludf.DUMMYFUNCTION("GOOGLETRANSLATE(B20489,""en"",""es-ES"")"),"Los niños caminan sobre limos en círculos.")</f>
        <v>Los niños caminan sobre limos en círculos.</v>
      </c>
    </row>
    <row r="20490">
      <c r="A20490" s="4" t="s">
        <v>25799</v>
      </c>
      <c r="B20490" s="4" t="s">
        <v>25802</v>
      </c>
      <c r="C20490" s="5" t="str">
        <f>IFERROR(__xludf.DUMMYFUNCTION("GOOGLETRANSLATE(B20490,""en"",""es-ES"")"),"Los niños caminan en líneas en sus zancos.")</f>
        <v>Los niños caminan en líneas en sus zancos.</v>
      </c>
    </row>
    <row r="20491">
      <c r="A20491" s="4" t="s">
        <v>25799</v>
      </c>
      <c r="B20491" s="4" t="s">
        <v>25803</v>
      </c>
      <c r="C20491" s="5" t="str">
        <f>IFERROR(__xludf.DUMMYFUNCTION("GOOGLETRANSLATE(B20491,""en"",""es-ES"")"),"Un hombre ayuda a una niña a caminar sobre las hendiduras.")</f>
        <v>Un hombre ayuda a una niña a caminar sobre las hendiduras.</v>
      </c>
    </row>
    <row r="20492">
      <c r="A20492" s="4" t="s">
        <v>25799</v>
      </c>
      <c r="B20492" s="4" t="s">
        <v>25804</v>
      </c>
      <c r="C20492" s="5" t="str">
        <f>IFERROR(__xludf.DUMMYFUNCTION("GOOGLETRANSLATE(B20492,""en"",""es-ES"")"),"Un niño en pilotes cae de rodillas.")</f>
        <v>Un niño en pilotes cae de rodillas.</v>
      </c>
    </row>
    <row r="20493">
      <c r="A20493" s="4" t="s">
        <v>25799</v>
      </c>
      <c r="B20493" s="4" t="s">
        <v>25805</v>
      </c>
      <c r="C20493" s="5" t="str">
        <f>IFERROR(__xludf.DUMMYFUNCTION("GOOGLETRANSLATE(B20493,""en"",""es-ES"")"),"Los niños caminan en círculo en sus zancos.")</f>
        <v>Los niños caminan en círculo en sus zancos.</v>
      </c>
    </row>
    <row r="20494">
      <c r="A20494" s="4" t="s">
        <v>25799</v>
      </c>
      <c r="B20494" s="4" t="s">
        <v>25806</v>
      </c>
      <c r="C20494" s="5" t="str">
        <f>IFERROR(__xludf.DUMMYFUNCTION("GOOGLETRANSLATE(B20494,""en"",""es-ES"")"),"Veo una pantalla de cierre y se desvanece en negro.")</f>
        <v>Veo una pantalla de cierre y se desvanece en negro.</v>
      </c>
    </row>
    <row r="20495">
      <c r="A20495" s="4" t="s">
        <v>25807</v>
      </c>
      <c r="B20495" s="4" t="s">
        <v>25808</v>
      </c>
      <c r="C20495" s="5" t="str">
        <f>IFERROR(__xludf.DUMMYFUNCTION("GOOGLETRANSLATE(B20495,""en"",""es-ES"")"),"Vemos un juego de hockey interior.")</f>
        <v>Vemos un juego de hockey interior.</v>
      </c>
    </row>
    <row r="20496">
      <c r="A20496" s="4" t="s">
        <v>25807</v>
      </c>
      <c r="B20496" s="4" t="s">
        <v>25809</v>
      </c>
      <c r="C20496" s="5" t="str">
        <f>IFERROR(__xludf.DUMMYFUNCTION("GOOGLETRANSLATE(B20496,""en"",""es-ES"")"),"El portero bloquea un tiro y un puñado de jugadores luchan por el disco.")</f>
        <v>El portero bloquea un tiro y un puñado de jugadores luchan por el disco.</v>
      </c>
    </row>
    <row r="20497">
      <c r="A20497" s="4" t="s">
        <v>25807</v>
      </c>
      <c r="B20497" s="4" t="s">
        <v>25810</v>
      </c>
      <c r="C20497" s="5" t="str">
        <f>IFERROR(__xludf.DUMMYFUNCTION("GOOGLETRANSLATE(B20497,""en"",""es-ES"")"),"El disco golpea al árbitro y lo derriba.")</f>
        <v>El disco golpea al árbitro y lo derriba.</v>
      </c>
    </row>
    <row r="20498">
      <c r="A20498" s="4" t="s">
        <v>25807</v>
      </c>
      <c r="B20498" s="4" t="s">
        <v>25811</v>
      </c>
      <c r="C20498" s="5" t="str">
        <f>IFERROR(__xludf.DUMMYFUNCTION("GOOGLETRANSLATE(B20498,""en"",""es-ES"")"),"El portero bloquea un tiro.")</f>
        <v>El portero bloquea un tiro.</v>
      </c>
    </row>
    <row r="20499">
      <c r="A20499" s="4" t="s">
        <v>25812</v>
      </c>
      <c r="B20499" s="4" t="s">
        <v>25813</v>
      </c>
      <c r="C20499" s="5" t="str">
        <f>IFERROR(__xludf.DUMMYFUNCTION("GOOGLETRANSLATE(B20499,""en"",""es-ES"")"),"Varios niños se sientan a lo largo de una piscina.")</f>
        <v>Varios niños se sientan a lo largo de una piscina.</v>
      </c>
    </row>
    <row r="20500">
      <c r="A20500" s="4" t="s">
        <v>25812</v>
      </c>
      <c r="B20500" s="4" t="s">
        <v>25814</v>
      </c>
      <c r="C20500" s="5" t="str">
        <f>IFERROR(__xludf.DUMMYFUNCTION("GOOGLETRANSLATE(B20500,""en"",""es-ES"")"),"Todos llevan aletas.")</f>
        <v>Todos llevan aletas.</v>
      </c>
    </row>
    <row r="20501">
      <c r="A20501" s="4" t="s">
        <v>25812</v>
      </c>
      <c r="B20501" s="4" t="s">
        <v>25815</v>
      </c>
      <c r="C20501" s="5" t="str">
        <f>IFERROR(__xludf.DUMMYFUNCTION("GOOGLETRANSLATE(B20501,""en"",""es-ES"")"),"Una niña está bajo el agua con equipo de buceo.")</f>
        <v>Una niña está bajo el agua con equipo de buceo.</v>
      </c>
    </row>
    <row r="20502">
      <c r="A20502" s="4" t="s">
        <v>25812</v>
      </c>
      <c r="B20502" s="4" t="s">
        <v>25816</v>
      </c>
      <c r="C20502" s="5" t="str">
        <f>IFERROR(__xludf.DUMMYFUNCTION("GOOGLETRANSLATE(B20502,""en"",""es-ES"")"),"Varios niños practican con equipo de buceo.")</f>
        <v>Varios niños practican con equipo de buceo.</v>
      </c>
    </row>
    <row r="20503">
      <c r="A20503" s="4" t="s">
        <v>25817</v>
      </c>
      <c r="B20503" s="4" t="s">
        <v>25818</v>
      </c>
      <c r="C20503" s="5" t="str">
        <f>IFERROR(__xludf.DUMMYFUNCTION("GOOGLETRANSLATE(B20503,""en"",""es-ES"")"),"Una mujer en una oficina sostiene un par de cortinas de aseo mientras está de pie junto a un perro negro que está parado sobre una mesa junto a ella mientras está atado a un poste de metal en la mesa.")</f>
        <v>Una mujer en una oficina sostiene un par de cortinas de aseo mientras está de pie junto a un perro negro que está parado sobre una mesa junto a ella mientras está atado a un poste de metal en la mesa.</v>
      </c>
    </row>
    <row r="20504">
      <c r="A20504" s="4" t="s">
        <v>25817</v>
      </c>
      <c r="B20504" s="4" t="s">
        <v>25819</v>
      </c>
      <c r="C20504" s="5" t="str">
        <f>IFERROR(__xludf.DUMMYFUNCTION("GOOGLETRANSLATE(B20504,""en"",""es-ES"")"),"La mujer comienza a preparar los perros con los Clippers.")</f>
        <v>La mujer comienza a preparar los perros con los Clippers.</v>
      </c>
    </row>
    <row r="20505">
      <c r="A20505" s="4" t="s">
        <v>25817</v>
      </c>
      <c r="B20505" s="4" t="s">
        <v>25820</v>
      </c>
      <c r="C20505" s="5" t="str">
        <f>IFERROR(__xludf.DUMMYFUNCTION("GOOGLETRANSLATE(B20505,""en"",""es-ES"")"),"La mujer luego comienza a preparar debajo de las piernas delanteras de los perros.")</f>
        <v>La mujer luego comienza a preparar debajo de las piernas delanteras de los perros.</v>
      </c>
    </row>
    <row r="20506">
      <c r="A20506" s="4" t="s">
        <v>25817</v>
      </c>
      <c r="B20506" s="4" t="s">
        <v>25821</v>
      </c>
      <c r="C20506" s="5" t="str">
        <f>IFERROR(__xludf.DUMMYFUNCTION("GOOGLETRANSLATE(B20506,""en"",""es-ES"")"),"Finalmente, la mujer prepara las piernas y la cola de la espalda de los perros antes de que un letrero de publicidad azul y blanco establezca.")</f>
        <v>Finalmente, la mujer prepara las piernas y la cola de la espalda de los perros antes de que un letrero de publicidad azul y blanco establezca.</v>
      </c>
    </row>
    <row r="20507">
      <c r="A20507" s="4" t="s">
        <v>25822</v>
      </c>
      <c r="B20507" s="4" t="s">
        <v>25823</v>
      </c>
      <c r="C20507" s="5" t="str">
        <f>IFERROR(__xludf.DUMMYFUNCTION("GOOGLETRANSLATE(B20507,""en"",""es-ES"")"),"Una niña está atando un pliegue a ciegas alrededor de otro mientras varios niños en look y un adulto mantienen a la niña en su lugar.")</f>
        <v>Una niña está atando un pliegue a ciegas alrededor de otro mientras varios niños en look y un adulto mantienen a la niña en su lugar.</v>
      </c>
    </row>
    <row r="20508">
      <c r="A20508" s="4" t="s">
        <v>25822</v>
      </c>
      <c r="B20508" s="4" t="s">
        <v>25824</v>
      </c>
      <c r="C20508" s="5" t="str">
        <f>IFERROR(__xludf.DUMMYFUNCTION("GOOGLETRANSLATE(B20508,""en"",""es-ES"")"),"Luego se le entrega a la niña un murciélago e intenta romper una piñata.")</f>
        <v>Luego se le entrega a la niña un murciélago e intenta romper una piñata.</v>
      </c>
    </row>
    <row r="20509">
      <c r="A20509" s="4" t="s">
        <v>25822</v>
      </c>
      <c r="B20509" s="4" t="s">
        <v>25825</v>
      </c>
      <c r="C20509" s="5" t="str">
        <f>IFERROR(__xludf.DUMMYFUNCTION("GOOGLETRANSLATE(B20509,""en"",""es-ES"")"),"La niña logra romper la piñata y los niños se emocionan mucho.")</f>
        <v>La niña logra romper la piñata y los niños se emocionan mucho.</v>
      </c>
    </row>
    <row r="20510">
      <c r="A20510" s="4" t="s">
        <v>25826</v>
      </c>
      <c r="B20510" s="4" t="s">
        <v>25827</v>
      </c>
      <c r="C20510" s="5" t="str">
        <f>IFERROR(__xludf.DUMMYFUNCTION("GOOGLETRANSLATE(B20510,""en"",""es-ES"")"),"Una cámara se desplaza por todo el cielo y muestra un primer plano de una cometa.")</f>
        <v>Una cámara se desplaza por todo el cielo y muestra un primer plano de una cometa.</v>
      </c>
    </row>
    <row r="20511">
      <c r="A20511" s="4" t="s">
        <v>25826</v>
      </c>
      <c r="B20511" s="4" t="s">
        <v>25828</v>
      </c>
      <c r="C20511" s="5" t="str">
        <f>IFERROR(__xludf.DUMMYFUNCTION("GOOGLETRANSLATE(B20511,""en"",""es-ES"")"),"Se ve a una persona parada en el suelo y se dirige a la cometa.")</f>
        <v>Se ve a una persona parada en el suelo y se dirige a la cometa.</v>
      </c>
    </row>
    <row r="20512">
      <c r="A20512" s="4" t="s">
        <v>25826</v>
      </c>
      <c r="B20512" s="4" t="s">
        <v>25829</v>
      </c>
      <c r="C20512" s="5" t="str">
        <f>IFERROR(__xludf.DUMMYFUNCTION("GOOGLETRANSLATE(B20512,""en"",""es-ES"")"),"La cometa continúa moviéndose en el aire mientras una persona continúa volando.")</f>
        <v>La cometa continúa moviéndose en el aire mientras una persona continúa volando.</v>
      </c>
    </row>
    <row r="20513">
      <c r="A20513" s="4" t="s">
        <v>25830</v>
      </c>
      <c r="B20513" s="4" t="s">
        <v>25831</v>
      </c>
      <c r="C20513" s="5" t="str">
        <f>IFERROR(__xludf.DUMMYFUNCTION("GOOGLETRANSLATE(B20513,""en"",""es-ES"")"),"Vemos un neumático para bicicletas y un hombre entrevista a los jinetes de bicicletas BMX.")</f>
        <v>Vemos un neumático para bicicletas y un hombre entrevista a los jinetes de bicicletas BMX.</v>
      </c>
    </row>
    <row r="20514">
      <c r="A20514" s="4" t="s">
        <v>25830</v>
      </c>
      <c r="B20514" s="4" t="s">
        <v>25832</v>
      </c>
      <c r="C20514" s="5" t="str">
        <f>IFERROR(__xludf.DUMMYFUNCTION("GOOGLETRANSLATE(B20514,""en"",""es-ES"")"),"Vemos los nombres y países de los jinetes.")</f>
        <v>Vemos los nombres y países de los jinetes.</v>
      </c>
    </row>
    <row r="20515">
      <c r="A20515" s="4" t="s">
        <v>25830</v>
      </c>
      <c r="B20515" s="4" t="s">
        <v>25833</v>
      </c>
      <c r="C20515" s="5" t="str">
        <f>IFERROR(__xludf.DUMMYFUNCTION("GOOGLETRANSLATE(B20515,""en"",""es-ES"")"),"Los hombres esperan y luego despegan por la pista.")</f>
        <v>Los hombres esperan y luego despegan por la pista.</v>
      </c>
    </row>
    <row r="20516">
      <c r="A20516" s="4" t="s">
        <v>25830</v>
      </c>
      <c r="B20516" s="4" t="s">
        <v>25834</v>
      </c>
      <c r="C20516" s="5" t="str">
        <f>IFERROR(__xludf.DUMMYFUNCTION("GOOGLETRANSLATE(B20516,""en"",""es-ES"")"),"Un hombre se cae de su bicicleta y la bicicleta se desliza.")</f>
        <v>Un hombre se cae de su bicicleta y la bicicleta se desliza.</v>
      </c>
    </row>
    <row r="20517">
      <c r="A20517" s="4" t="s">
        <v>25830</v>
      </c>
      <c r="B20517" s="4" t="s">
        <v>25835</v>
      </c>
      <c r="C20517" s="5" t="str">
        <f>IFERROR(__xludf.DUMMYFUNCTION("GOOGLETRANSLATE(B20517,""en"",""es-ES"")"),"Otro hombre se cae de su bicicleta y casi corre.")</f>
        <v>Otro hombre se cae de su bicicleta y casi corre.</v>
      </c>
    </row>
    <row r="20518">
      <c r="A20518" s="4" t="s">
        <v>25830</v>
      </c>
      <c r="B20518" s="4" t="s">
        <v>25836</v>
      </c>
      <c r="C20518" s="5" t="str">
        <f>IFERROR(__xludf.DUMMYFUNCTION("GOOGLETRANSLATE(B20518,""en"",""es-ES"")"),"El hombre entrevista a dos hombres después de la carrera y la pantalla se vuelve verde.")</f>
        <v>El hombre entrevista a dos hombres después de la carrera y la pantalla se vuelve verde.</v>
      </c>
    </row>
    <row r="20519">
      <c r="A20519" s="4" t="s">
        <v>25837</v>
      </c>
      <c r="B20519" s="4" t="s">
        <v>25838</v>
      </c>
      <c r="C20519" s="5" t="str">
        <f>IFERROR(__xludf.DUMMYFUNCTION("GOOGLETRANSLATE(B20519,""en"",""es-ES"")"),"La gente está trabajando en bicicletas en un ciclo en un gimnasio.")</f>
        <v>La gente está trabajando en bicicletas en un ciclo en un gimnasio.</v>
      </c>
    </row>
    <row r="20520">
      <c r="A20520" s="4" t="s">
        <v>25837</v>
      </c>
      <c r="B20520" s="4" t="s">
        <v>25839</v>
      </c>
      <c r="C20520" s="5" t="str">
        <f>IFERROR(__xludf.DUMMYFUNCTION("GOOGLETRANSLATE(B20520,""en"",""es-ES"")"),"Una mujer en el frente se pone de pie y pedales en la bicicleta.")</f>
        <v>Una mujer en el frente se pone de pie y pedales en la bicicleta.</v>
      </c>
    </row>
    <row r="20521">
      <c r="A20521" s="4" t="s">
        <v>25837</v>
      </c>
      <c r="B20521" s="4" t="s">
        <v>25840</v>
      </c>
      <c r="C20521" s="5" t="str">
        <f>IFERROR(__xludf.DUMMYFUNCTION("GOOGLETRANSLATE(B20521,""en"",""es-ES"")"),"Se muestra una pancarta que cuelga en la pared.")</f>
        <v>Se muestra una pancarta que cuelga en la pared.</v>
      </c>
    </row>
    <row r="20522">
      <c r="A20522" s="4" t="s">
        <v>25841</v>
      </c>
      <c r="B20522" s="4" t="s">
        <v>25842</v>
      </c>
      <c r="C20522" s="5" t="str">
        <f>IFERROR(__xludf.DUMMYFUNCTION("GOOGLETRANSLATE(B20522,""en"",""es-ES"")"),"Un hombre de negro está sentado y tocando en un piano mientras un hombre de rojo está de pie cerca de la batería.")</f>
        <v>Un hombre de negro está sentado y tocando en un piano mientras un hombre de rojo está de pie cerca de la batería.</v>
      </c>
    </row>
    <row r="20523">
      <c r="A20523" s="4" t="s">
        <v>25841</v>
      </c>
      <c r="B20523" s="4" t="s">
        <v>25843</v>
      </c>
      <c r="C20523" s="5" t="str">
        <f>IFERROR(__xludf.DUMMYFUNCTION("GOOGLETRANSLATE(B20523,""en"",""es-ES"")"),"Mientras juega el hombre de negro, el hombre de rojo está enrollando un cable.")</f>
        <v>Mientras juega el hombre de negro, el hombre de rojo está enrollando un cable.</v>
      </c>
    </row>
    <row r="20524">
      <c r="A20524" s="4" t="s">
        <v>25841</v>
      </c>
      <c r="B20524" s="4" t="s">
        <v>25844</v>
      </c>
      <c r="C20524" s="5" t="str">
        <f>IFERROR(__xludf.DUMMYFUNCTION("GOOGLETRANSLATE(B20524,""en"",""es-ES"")"),"El hombre de rojo comienza a balancearse la cabeza al ritmo de la música de piano.")</f>
        <v>El hombre de rojo comienza a balancearse la cabeza al ritmo de la música de piano.</v>
      </c>
    </row>
    <row r="20525">
      <c r="A20525" s="4" t="s">
        <v>25841</v>
      </c>
      <c r="B20525" s="4" t="s">
        <v>25845</v>
      </c>
      <c r="C20525" s="5" t="str">
        <f>IFERROR(__xludf.DUMMYFUNCTION("GOOGLETRANSLATE(B20525,""en"",""es-ES"")"),"El hombre luego coloca el cable.")</f>
        <v>El hombre luego coloca el cable.</v>
      </c>
    </row>
    <row r="20526">
      <c r="A20526" s="4" t="s">
        <v>25846</v>
      </c>
      <c r="B20526" s="4" t="s">
        <v>25847</v>
      </c>
      <c r="C20526" s="5" t="str">
        <f>IFERROR(__xludf.DUMMYFUNCTION("GOOGLETRANSLATE(B20526,""en"",""es-ES"")"),"Se ve un bote montando a lo largo del agua con gente sentada en los lados y observando.")</f>
        <v>Se ve un bote montando a lo largo del agua con gente sentada en los lados y observando.</v>
      </c>
    </row>
    <row r="20527">
      <c r="A20527" s="4" t="s">
        <v>25846</v>
      </c>
      <c r="B20527" s="4" t="s">
        <v>25848</v>
      </c>
      <c r="C20527" s="5" t="str">
        <f>IFERROR(__xludf.DUMMYFUNCTION("GOOGLETRANSLATE(B20527,""en"",""es-ES"")"),"Luego se ve a un niño nadando bajo el agua que conduce a personas que montan el bote y conducen por una ciudad.")</f>
        <v>Luego se ve a un niño nadando bajo el agua que conduce a personas que montan el bote y conducen por una ciudad.</v>
      </c>
    </row>
    <row r="20528">
      <c r="A20528" s="4" t="s">
        <v>25846</v>
      </c>
      <c r="B20528" s="4" t="s">
        <v>25849</v>
      </c>
      <c r="C20528" s="5" t="str">
        <f>IFERROR(__xludf.DUMMYFUNCTION("GOOGLETRANSLATE(B20528,""en"",""es-ES"")"),"La cámara continúa pasando por la ciudad y la vida nocturna.")</f>
        <v>La cámara continúa pasando por la ciudad y la vida nocturna.</v>
      </c>
    </row>
    <row r="20529">
      <c r="A20529" s="4" t="s">
        <v>25850</v>
      </c>
      <c r="B20529" s="4" t="s">
        <v>25851</v>
      </c>
      <c r="C20529" s="5" t="str">
        <f>IFERROR(__xludf.DUMMYFUNCTION("GOOGLETRANSLATE(B20529,""en"",""es-ES"")"),"La mujer está practicando saltos en un equipo de porristas.")</f>
        <v>La mujer está practicando saltos en un equipo de porristas.</v>
      </c>
    </row>
    <row r="20530">
      <c r="A20530" s="4" t="s">
        <v>25850</v>
      </c>
      <c r="B20530" s="4" t="s">
        <v>25852</v>
      </c>
      <c r="C20530" s="5" t="str">
        <f>IFERROR(__xludf.DUMMYFUNCTION("GOOGLETRANSLATE(B20530,""en"",""es-ES"")"),"La mujer está acostada en una cama y un hombre la está ayudando.")</f>
        <v>La mujer está acostada en una cama y un hombre la está ayudando.</v>
      </c>
    </row>
    <row r="20531">
      <c r="A20531" s="4" t="s">
        <v>25853</v>
      </c>
      <c r="B20531" s="4" t="s">
        <v>25854</v>
      </c>
      <c r="C20531" s="5" t="str">
        <f>IFERROR(__xludf.DUMMYFUNCTION("GOOGLETRANSLATE(B20531,""en"",""es-ES"")"),"Hay dos personas vestidas con camisas rojas y pantalones cortos azules jugando ping pong en un estadio grande con muchos espectadores mirándolas.")</f>
        <v>Hay dos personas vestidas con camisas rojas y pantalones cortos azules jugando ping pong en un estadio grande con muchos espectadores mirándolas.</v>
      </c>
    </row>
    <row r="20532">
      <c r="A20532" s="4" t="s">
        <v>25853</v>
      </c>
      <c r="B20532" s="4" t="s">
        <v>25855</v>
      </c>
      <c r="C20532" s="5" t="str">
        <f>IFERROR(__xludf.DUMMYFUNCTION("GOOGLETRANSLATE(B20532,""en"",""es-ES"")"),"Los jugadores juegan una larga ronda de Ping Pong mientras continúan manteniendo un gran rally.")</f>
        <v>Los jugadores juegan una larga ronda de Ping Pong mientras continúan manteniendo un gran rally.</v>
      </c>
    </row>
    <row r="20533">
      <c r="A20533" s="4" t="s">
        <v>25853</v>
      </c>
      <c r="B20533" s="4" t="s">
        <v>25856</v>
      </c>
      <c r="C20533" s="5" t="str">
        <f>IFERROR(__xludf.DUMMYFUNCTION("GOOGLETRANSLATE(B20533,""en"",""es-ES"")"),"El jugador de la derecha corta la pelota a través de la mesa de Ping Pong mientras le devuelve la pelota a su oponente.")</f>
        <v>El jugador de la derecha corta la pelota a través de la mesa de Ping Pong mientras le devuelve la pelota a su oponente.</v>
      </c>
    </row>
    <row r="20534">
      <c r="A20534" s="4" t="s">
        <v>25853</v>
      </c>
      <c r="B20534" s="4" t="s">
        <v>25857</v>
      </c>
      <c r="C20534" s="5" t="str">
        <f>IFERROR(__xludf.DUMMYFUNCTION("GOOGLETRANSLATE(B20534,""en"",""es-ES"")"),"El oponente logra devolver el balón sin perderse.")</f>
        <v>El oponente logra devolver el balón sin perderse.</v>
      </c>
    </row>
    <row r="20535">
      <c r="A20535" s="4" t="s">
        <v>25853</v>
      </c>
      <c r="B20535" s="4" t="s">
        <v>25858</v>
      </c>
      <c r="C20535" s="5" t="str">
        <f>IFERROR(__xludf.DUMMYFUNCTION("GOOGLETRANSLATE(B20535,""en"",""es-ES"")"),"Continúan jugando un gran rally ya que uno de los jugadores literalmente salta a la mesa de Ping Pong para devolver el balón.")</f>
        <v>Continúan jugando un gran rally ya que uno de los jugadores literalmente salta a la mesa de Ping Pong para devolver el balón.</v>
      </c>
    </row>
    <row r="20536">
      <c r="A20536" s="4" t="s">
        <v>25853</v>
      </c>
      <c r="B20536" s="4" t="s">
        <v>25859</v>
      </c>
      <c r="C20536" s="5" t="str">
        <f>IFERROR(__xludf.DUMMYFUNCTION("GOOGLETRANSLATE(B20536,""en"",""es-ES"")"),"El otro jugador cae en el suelo tratando de golpear la pelota de regreso a su oponente.")</f>
        <v>El otro jugador cae en el suelo tratando de golpear la pelota de regreso a su oponente.</v>
      </c>
    </row>
    <row r="20537">
      <c r="A20537" s="4" t="s">
        <v>25860</v>
      </c>
      <c r="B20537" s="4" t="s">
        <v>25861</v>
      </c>
      <c r="C20537" s="5" t="str">
        <f>IFERROR(__xludf.DUMMYFUNCTION("GOOGLETRANSLATE(B20537,""en"",""es-ES"")"),"Un hombre está en una época en el bosque nevado.")</f>
        <v>Un hombre está en una época en el bosque nevado.</v>
      </c>
    </row>
    <row r="20538">
      <c r="A20538" s="4" t="s">
        <v>25860</v>
      </c>
      <c r="B20538" s="4" t="s">
        <v>25862</v>
      </c>
      <c r="C20538" s="5" t="str">
        <f>IFERROR(__xludf.DUMMYFUNCTION("GOOGLETRANSLATE(B20538,""en"",""es-ES"")"),"Se toca alto en el aire, sale de la cuerda y vuelve a encender.")</f>
        <v>Se toca alto en el aire, sale de la cuerda y vuelve a encender.</v>
      </c>
    </row>
    <row r="20539">
      <c r="A20539" s="4" t="s">
        <v>25860</v>
      </c>
      <c r="B20539" s="4" t="s">
        <v>25863</v>
      </c>
      <c r="C20539" s="5" t="str">
        <f>IFERROR(__xludf.DUMMYFUNCTION("GOOGLETRANSLATE(B20539,""en"",""es-ES"")"),"Continúa esta acción a lo largo del video.")</f>
        <v>Continúa esta acción a lo largo del video.</v>
      </c>
    </row>
    <row r="20540">
      <c r="A20540" s="4" t="s">
        <v>25864</v>
      </c>
      <c r="B20540" s="4" t="s">
        <v>25865</v>
      </c>
      <c r="C20540" s="5" t="str">
        <f>IFERROR(__xludf.DUMMYFUNCTION("GOOGLETRANSLATE(B20540,""en"",""es-ES"")"),"Un chico adolescente está corriendo en la playa.")</f>
        <v>Un chico adolescente está corriendo en la playa.</v>
      </c>
    </row>
    <row r="20541">
      <c r="A20541" s="4" t="s">
        <v>25864</v>
      </c>
      <c r="B20541" s="4" t="s">
        <v>25866</v>
      </c>
      <c r="C20541" s="5" t="str">
        <f>IFERROR(__xludf.DUMMYFUNCTION("GOOGLETRANSLATE(B20541,""en"",""es-ES"")"),"Un perro lo está persiguiendo, tratando de atrapar a su frisbee.")</f>
        <v>Un perro lo está persiguiendo, tratando de atrapar a su frisbee.</v>
      </c>
    </row>
    <row r="20542">
      <c r="A20542" s="4" t="s">
        <v>25864</v>
      </c>
      <c r="B20542" s="4" t="s">
        <v>25867</v>
      </c>
      <c r="C20542" s="5" t="str">
        <f>IFERROR(__xludf.DUMMYFUNCTION("GOOGLETRANSLATE(B20542,""en"",""es-ES"")"),"Lanza el frisbee, y el perro salta al aire para atraparlo.")</f>
        <v>Lanza el frisbee, y el perro salta al aire para atraparlo.</v>
      </c>
    </row>
    <row r="20543">
      <c r="A20543" s="4" t="s">
        <v>25868</v>
      </c>
      <c r="B20543" s="4" t="s">
        <v>25869</v>
      </c>
      <c r="C20543" s="5" t="str">
        <f>IFERROR(__xludf.DUMMYFUNCTION("GOOGLETRANSLATE(B20543,""en"",""es-ES"")"),"Vemos a un hombre dirigiendo una orquesta.")</f>
        <v>Vemos a un hombre dirigiendo una orquesta.</v>
      </c>
    </row>
    <row r="20544">
      <c r="A20544" s="4" t="s">
        <v>25868</v>
      </c>
      <c r="B20544" s="4" t="s">
        <v>25870</v>
      </c>
      <c r="C20544" s="5" t="str">
        <f>IFERROR(__xludf.DUMMYFUNCTION("GOOGLETRANSLATE(B20544,""en"",""es-ES"")"),"Vemos que una dama con un vestido azul juega frente a los otros jugadores.")</f>
        <v>Vemos que una dama con un vestido azul juega frente a los otros jugadores.</v>
      </c>
    </row>
    <row r="20545">
      <c r="A20545" s="4" t="s">
        <v>25868</v>
      </c>
      <c r="B20545" s="4" t="s">
        <v>25871</v>
      </c>
      <c r="C20545" s="5" t="str">
        <f>IFERROR(__xludf.DUMMYFUNCTION("GOOGLETRANSLATE(B20545,""en"",""es-ES"")"),"Vemos a la dama desde atrás, y vemos a los otros jugadores.")</f>
        <v>Vemos a la dama desde atrás, y vemos a los otros jugadores.</v>
      </c>
    </row>
    <row r="20546">
      <c r="A20546" s="4" t="s">
        <v>25868</v>
      </c>
      <c r="B20546" s="4" t="s">
        <v>25872</v>
      </c>
      <c r="C20546" s="5" t="str">
        <f>IFERROR(__xludf.DUMMYFUNCTION("GOOGLETRANSLATE(B20546,""en"",""es-ES"")"),"Vemos una foto de toda la orquesta.")</f>
        <v>Vemos una foto de toda la orquesta.</v>
      </c>
    </row>
    <row r="20547">
      <c r="A20547" s="4" t="s">
        <v>25868</v>
      </c>
      <c r="B20547" s="4" t="s">
        <v>25873</v>
      </c>
      <c r="C20547" s="5" t="str">
        <f>IFERROR(__xludf.DUMMYFUNCTION("GOOGLETRANSLATE(B20547,""en"",""es-ES"")"),"Vemos a los jugadores de Bausoon jugando.")</f>
        <v>Vemos a los jugadores de Bausoon jugando.</v>
      </c>
    </row>
    <row r="20548">
      <c r="A20548" s="4" t="s">
        <v>25868</v>
      </c>
      <c r="B20548" s="4" t="s">
        <v>25874</v>
      </c>
      <c r="C20548" s="5" t="str">
        <f>IFERROR(__xludf.DUMMYFUNCTION("GOOGLETRANSLATE(B20548,""en"",""es-ES"")"),"Nos desvanecemos en negro y el video termina.")</f>
        <v>Nos desvanecemos en negro y el video termina.</v>
      </c>
    </row>
    <row r="20549">
      <c r="A20549" s="4" t="s">
        <v>25875</v>
      </c>
      <c r="B20549" s="4" t="s">
        <v>25876</v>
      </c>
      <c r="C20549" s="5" t="str">
        <f>IFERROR(__xludf.DUMMYFUNCTION("GOOGLETRANSLATE(B20549,""en"",""es-ES"")"),"Una imagen de un perro que se muestra en una bañera y conduce a las manos que sostienen herramientas y un perro deambulando por una bañera.")</f>
        <v>Una imagen de un perro que se muestra en una bañera y conduce a las manos que sostienen herramientas y un perro deambulando por una bañera.</v>
      </c>
    </row>
    <row r="20550">
      <c r="A20550" s="4" t="s">
        <v>25875</v>
      </c>
      <c r="B20550" s="4" t="s">
        <v>25877</v>
      </c>
      <c r="C20550" s="5" t="str">
        <f>IFERROR(__xludf.DUMMYFUNCTION("GOOGLETRANSLATE(B20550,""en"",""es-ES"")"),"La persona pone la pasta de dientes en un cepillo y cepilla los dientes del perro hacia atrás y cuarto.")</f>
        <v>La persona pone la pasta de dientes en un cepillo y cepilla los dientes del perro hacia atrás y cuarto.</v>
      </c>
    </row>
    <row r="20551">
      <c r="A20551" s="4" t="s">
        <v>25875</v>
      </c>
      <c r="B20551" s="4" t="s">
        <v>25878</v>
      </c>
      <c r="C20551" s="5" t="str">
        <f>IFERROR(__xludf.DUMMYFUNCTION("GOOGLETRANSLATE(B20551,""en"",""es-ES"")"),"Finalmente, pone gel en la boca del perro y se ve al perro sentado en una cama saludando a la cámara.")</f>
        <v>Finalmente, pone gel en la boca del perro y se ve al perro sentado en una cama saludando a la cámara.</v>
      </c>
    </row>
    <row r="20552">
      <c r="A20552" s="4" t="s">
        <v>25879</v>
      </c>
      <c r="B20552" s="4" t="s">
        <v>25880</v>
      </c>
      <c r="C20552" s="5" t="str">
        <f>IFERROR(__xludf.DUMMYFUNCTION("GOOGLETRANSLATE(B20552,""en"",""es-ES"")"),"Se ven dos mujeres actuando en un escenario con una tocando una flauta y la otra tocando el piano.")</f>
        <v>Se ven dos mujeres actuando en un escenario con una tocando una flauta y la otra tocando el piano.</v>
      </c>
    </row>
    <row r="20553">
      <c r="A20553" s="4" t="s">
        <v>25879</v>
      </c>
      <c r="B20553" s="4" t="s">
        <v>25881</v>
      </c>
      <c r="C20553" s="5" t="str">
        <f>IFERROR(__xludf.DUMMYFUNCTION("GOOGLETRANSLATE(B20553,""en"",""es-ES"")"),"Las mujeres tocan una canción mientras la cámara se acerca al jugador de flauta y se inclinan y salen al final.")</f>
        <v>Las mujeres tocan una canción mientras la cámara se acerca al jugador de flauta y se inclinan y salen al final.</v>
      </c>
    </row>
    <row r="20554">
      <c r="A20554" s="4" t="s">
        <v>25882</v>
      </c>
      <c r="B20554" s="4" t="s">
        <v>25883</v>
      </c>
      <c r="C20554" s="5" t="str">
        <f>IFERROR(__xludf.DUMMYFUNCTION("GOOGLETRANSLATE(B20554,""en"",""es-ES"")"),"Un hombre limpia una ventana con una escobilla suave con detergente mientras explica, luego el hombre toma un limpiaparabrisas de acero para limpiar el detergente en la ventana.")</f>
        <v>Un hombre limpia una ventana con una escobilla suave con detergente mientras explica, luego el hombre toma un limpiaparabrisas de acero para limpiar el detergente en la ventana.</v>
      </c>
    </row>
    <row r="20555">
      <c r="A20555" s="4" t="s">
        <v>25882</v>
      </c>
      <c r="B20555" s="4" t="s">
        <v>25884</v>
      </c>
      <c r="C20555" s="5" t="str">
        <f>IFERROR(__xludf.DUMMYFUNCTION("GOOGLETRANSLATE(B20555,""en"",""es-ES"")"),"Luego, el hombre aplica más detergente con la escobilla suave, luego limpia con el limpiaparabrisas.")</f>
        <v>Luego, el hombre aplica más detergente con la escobilla suave, luego limpia con el limpiaparabrisas.</v>
      </c>
    </row>
    <row r="20556">
      <c r="A20556" s="4" t="s">
        <v>25882</v>
      </c>
      <c r="B20556" s="4" t="s">
        <v>25885</v>
      </c>
      <c r="C20556" s="5" t="str">
        <f>IFERROR(__xludf.DUMMYFUNCTION("GOOGLETRANSLATE(B20556,""en"",""es-ES"")"),"Después, el hombre se lave nuevamente con la ventana usando la escobilla suave y la limpieza de acero mientras explica el procedimiento.")</f>
        <v>Después, el hombre se lave nuevamente con la ventana usando la escobilla suave y la limpieza de acero mientras explica el procedimiento.</v>
      </c>
    </row>
    <row r="20557">
      <c r="A20557" s="4" t="s">
        <v>25886</v>
      </c>
      <c r="B20557" s="4" t="s">
        <v>25887</v>
      </c>
      <c r="C20557" s="5" t="str">
        <f>IFERROR(__xludf.DUMMYFUNCTION("GOOGLETRANSLATE(B20557,""en"",""es-ES"")"),"Los ciclistas están en bicicleta en la rampa, mientras que en la línea de salida el grupo de ciclistas está en posición.")</f>
        <v>Los ciclistas están en bicicleta en la rampa, mientras que en la línea de salida el grupo de ciclistas está en posición.</v>
      </c>
    </row>
    <row r="20558">
      <c r="A20558" s="4" t="s">
        <v>25886</v>
      </c>
      <c r="B20558" s="4" t="s">
        <v>25888</v>
      </c>
      <c r="C20558" s="5" t="str">
        <f>IFERROR(__xludf.DUMMYFUNCTION("GOOGLETRANSLATE(B20558,""en"",""es-ES"")"),"La pequeña cerca fue dejada por los motociadores fue en bicicleta corriendo por las grandes rampas.")</f>
        <v>La pequeña cerca fue dejada por los motociadores fue en bicicleta corriendo por las grandes rampas.</v>
      </c>
    </row>
    <row r="20559">
      <c r="A20559" s="4" t="s">
        <v>25886</v>
      </c>
      <c r="B20559" s="4" t="s">
        <v>25889</v>
      </c>
      <c r="C20559" s="5" t="str">
        <f>IFERROR(__xludf.DUMMYFUNCTION("GOOGLETRANSLATE(B20559,""en"",""es-ES"")"),"Los espectadores están del lado de las pistas.")</f>
        <v>Los espectadores están del lado de las pistas.</v>
      </c>
    </row>
    <row r="20560">
      <c r="A20560" s="4" t="s">
        <v>25890</v>
      </c>
      <c r="B20560" s="4" t="s">
        <v>25891</v>
      </c>
      <c r="C20560" s="5" t="str">
        <f>IFERROR(__xludf.DUMMYFUNCTION("GOOGLETRANSLATE(B20560,""en"",""es-ES"")"),"Un hombre sostiene un hierro que pasa por encima de una pintura.")</f>
        <v>Un hombre sostiene un hierro que pasa por encima de una pintura.</v>
      </c>
    </row>
    <row r="20561">
      <c r="A20561" s="4" t="s">
        <v>25890</v>
      </c>
      <c r="B20561" s="4" t="s">
        <v>25892</v>
      </c>
      <c r="C20561" s="5" t="str">
        <f>IFERROR(__xludf.DUMMYFUNCTION("GOOGLETRANSLATE(B20561,""en"",""es-ES"")"),"Un hombre snota por una colina sosteniendo un palo.")</f>
        <v>Un hombre snota por una colina sosteniendo un palo.</v>
      </c>
    </row>
    <row r="20562">
      <c r="A20562" s="4" t="s">
        <v>25890</v>
      </c>
      <c r="B20562" s="4" t="s">
        <v>25893</v>
      </c>
      <c r="C20562" s="5" t="str">
        <f>IFERROR(__xludf.DUMMYFUNCTION("GOOGLETRANSLATE(B20562,""en"",""es-ES"")"),"La nieve volando en el aire aterriza en la cara del hombre, luego el hombre continúa snowboard.")</f>
        <v>La nieve volando en el aire aterriza en la cara del hombre, luego el hombre continúa snowboard.</v>
      </c>
    </row>
    <row r="20563">
      <c r="A20563" s="4" t="s">
        <v>25890</v>
      </c>
      <c r="B20563" s="4" t="s">
        <v>25894</v>
      </c>
      <c r="C20563" s="5" t="str">
        <f>IFERROR(__xludf.DUMMYFUNCTION("GOOGLETRANSLATE(B20563,""en"",""es-ES"")"),"Después, el hombre llega a la estación de esquí.")</f>
        <v>Después, el hombre llega a la estación de esquí.</v>
      </c>
    </row>
    <row r="20564">
      <c r="A20564" s="4" t="s">
        <v>25895</v>
      </c>
      <c r="B20564" s="4" t="s">
        <v>25896</v>
      </c>
      <c r="C20564" s="5" t="str">
        <f>IFERROR(__xludf.DUMMYFUNCTION("GOOGLETRANSLATE(B20564,""en"",""es-ES"")"),"Se ve a un hombre doblándose antes de un gran conjunto de pesos.")</f>
        <v>Se ve a un hombre doblándose antes de un gran conjunto de pesos.</v>
      </c>
    </row>
    <row r="20565">
      <c r="A20565" s="4" t="s">
        <v>25895</v>
      </c>
      <c r="B20565" s="4" t="s">
        <v>25897</v>
      </c>
      <c r="C20565" s="5" t="str">
        <f>IFERROR(__xludf.DUMMYFUNCTION("GOOGLETRANSLATE(B20565,""en"",""es-ES"")"),"El hombre luego se dobla y levanta los pesos sobre su cabeza.")</f>
        <v>El hombre luego se dobla y levanta los pesos sobre su cabeza.</v>
      </c>
    </row>
    <row r="20566">
      <c r="A20566" s="4" t="s">
        <v>25895</v>
      </c>
      <c r="B20566" s="4" t="s">
        <v>25898</v>
      </c>
      <c r="C20566" s="5" t="str">
        <f>IFERROR(__xludf.DUMMYFUNCTION("GOOGLETRANSLATE(B20566,""en"",""es-ES"")"),"Continúa sosteniendo los pesos y los arroja al final mientras se aleja.")</f>
        <v>Continúa sosteniendo los pesos y los arroja al final mientras se aleja.</v>
      </c>
    </row>
    <row r="20567">
      <c r="A20567" s="4" t="s">
        <v>25899</v>
      </c>
      <c r="B20567" s="4" t="s">
        <v>25900</v>
      </c>
      <c r="C20567" s="5" t="str">
        <f>IFERROR(__xludf.DUMMYFUNCTION("GOOGLETRANSLATE(B20567,""en"",""es-ES"")"),"Una mujer se prepara para un lanzamiento de peso balanceándose los brazos en un campo deportivo.")</f>
        <v>Una mujer se prepara para un lanzamiento de peso balanceándose los brazos en un campo deportivo.</v>
      </c>
    </row>
    <row r="20568">
      <c r="A20568" s="4" t="s">
        <v>25899</v>
      </c>
      <c r="B20568" s="4" t="s">
        <v>25901</v>
      </c>
      <c r="C20568" s="5" t="str">
        <f>IFERROR(__xludf.DUMMYFUNCTION("GOOGLETRANSLATE(B20568,""en"",""es-ES"")"),"El atleta retrocede sus hombros que gira su cuerpo lanzando un lanzamiento de bala.")</f>
        <v>El atleta retrocede sus hombros que gira su cuerpo lanzando un lanzamiento de bala.</v>
      </c>
    </row>
    <row r="20569">
      <c r="A20569" s="4" t="s">
        <v>25902</v>
      </c>
      <c r="B20569" s="4" t="s">
        <v>25903</v>
      </c>
      <c r="C20569" s="5" t="str">
        <f>IFERROR(__xludf.DUMMYFUNCTION("GOOGLETRANSLATE(B20569,""en"",""es-ES"")"),"Varios jóvenes abordan un pequeño bote con motor en un día muy agradable y soleado.")</f>
        <v>Varios jóvenes abordan un pequeño bote con motor en un día muy agradable y soleado.</v>
      </c>
    </row>
    <row r="20570">
      <c r="A20570" s="4" t="s">
        <v>25902</v>
      </c>
      <c r="B20570" s="4" t="s">
        <v>25904</v>
      </c>
      <c r="C20570" s="5" t="str">
        <f>IFERROR(__xludf.DUMMYFUNCTION("GOOGLETRANSLATE(B20570,""en"",""es-ES"")"),"El lento retrocede el bote para ir al esquí acuático.")</f>
        <v>El lento retrocede el bote para ir al esquí acuático.</v>
      </c>
    </row>
    <row r="20571">
      <c r="A20571" s="4" t="s">
        <v>25902</v>
      </c>
      <c r="B20571" s="4" t="s">
        <v>25905</v>
      </c>
      <c r="C20571" s="5" t="str">
        <f>IFERROR(__xludf.DUMMYFUNCTION("GOOGLETRANSLATE(B20571,""en"",""es-ES"")"),"El bote deja el muelle y están fuera.")</f>
        <v>El bote deja el muelle y están fuera.</v>
      </c>
    </row>
    <row r="20572">
      <c r="A20572" s="4" t="s">
        <v>25902</v>
      </c>
      <c r="B20572" s="4" t="s">
        <v>25906</v>
      </c>
      <c r="C20572" s="5" t="str">
        <f>IFERROR(__xludf.DUMMYFUNCTION("GOOGLETRANSLATE(B20572,""en"",""es-ES"")"),"Después de acelerar en el bote impulsado, sus amigos saltan y lo pasan muy bien.")</f>
        <v>Después de acelerar en el bote impulsado, sus amigos saltan y lo pasan muy bien.</v>
      </c>
    </row>
    <row r="20573">
      <c r="A20573" s="4" t="s">
        <v>25902</v>
      </c>
      <c r="B20573" s="4" t="s">
        <v>25907</v>
      </c>
      <c r="C20573" s="5" t="str">
        <f>IFERROR(__xludf.DUMMYFUNCTION("GOOGLETRANSLATE(B20573,""en"",""es-ES"")"),"Se arroja una línea de cuerda para que se agarren y comienza.")</f>
        <v>Se arroja una línea de cuerda para que se agarren y comienza.</v>
      </c>
    </row>
    <row r="20574">
      <c r="A20574" s="4" t="s">
        <v>25902</v>
      </c>
      <c r="B20574" s="4" t="s">
        <v>25908</v>
      </c>
      <c r="C20574" s="5" t="str">
        <f>IFERROR(__xludf.DUMMYFUNCTION("GOOGLETRANSLATE(B20574,""en"",""es-ES"")"),"Se aceleran y una mujer joven está esquiando en el agua a un ritmo muy rápido.")</f>
        <v>Se aceleran y una mujer joven está esquiando en el agua a un ritmo muy rápido.</v>
      </c>
    </row>
    <row r="20575">
      <c r="A20575" s="4" t="s">
        <v>25902</v>
      </c>
      <c r="B20575" s="4" t="s">
        <v>25909</v>
      </c>
      <c r="C20575" s="5" t="str">
        <f>IFERROR(__xludf.DUMMYFUNCTION("GOOGLETRANSLATE(B20575,""en"",""es-ES"")"),"Ella va y viene de lado a lado en cámara lenta.")</f>
        <v>Ella va y viene de lado a lado en cámara lenta.</v>
      </c>
    </row>
    <row r="20576">
      <c r="A20576" s="4" t="s">
        <v>25902</v>
      </c>
      <c r="B20576" s="4" t="s">
        <v>25910</v>
      </c>
      <c r="C20576" s="5" t="str">
        <f>IFERROR(__xludf.DUMMYFUNCTION("GOOGLETRANSLATE(B20576,""en"",""es-ES"")"),"Los amigos miran hacia atrás para ver cómo está.")</f>
        <v>Los amigos miran hacia atrás para ver cómo está.</v>
      </c>
    </row>
    <row r="20577">
      <c r="A20577" s="4" t="s">
        <v>25902</v>
      </c>
      <c r="B20577" s="4" t="s">
        <v>25911</v>
      </c>
      <c r="C20577" s="5" t="str">
        <f>IFERROR(__xludf.DUMMYFUNCTION("GOOGLETRANSLATE(B20577,""en"",""es-ES"")"),"Se muestra a un joven esquiando en el agua y está haciendo un gran trabajo.")</f>
        <v>Se muestra a un joven esquiando en el agua y está haciendo un gran trabajo.</v>
      </c>
    </row>
    <row r="20578">
      <c r="A20578" s="4" t="s">
        <v>25902</v>
      </c>
      <c r="B20578" s="4" t="s">
        <v>25912</v>
      </c>
      <c r="C20578" s="5" t="str">
        <f>IFERROR(__xludf.DUMMYFUNCTION("GOOGLETRANSLATE(B20578,""en"",""es-ES"")"),"Después de que termine, suelta la línea y continúa esquiando en el agua, solo para retroceder.")</f>
        <v>Después de que termine, suelta la línea y continúa esquiando en el agua, solo para retroceder.</v>
      </c>
    </row>
    <row r="20579">
      <c r="A20579" s="4" t="s">
        <v>25913</v>
      </c>
      <c r="B20579" s="4" t="s">
        <v>25914</v>
      </c>
      <c r="C20579" s="5" t="str">
        <f>IFERROR(__xludf.DUMMYFUNCTION("GOOGLETRANSLATE(B20579,""en"",""es-ES"")"),"Un par de mujeres se muestran dentro de un gimnasio.")</f>
        <v>Un par de mujeres se muestran dentro de un gimnasio.</v>
      </c>
    </row>
    <row r="20580">
      <c r="A20580" s="4" t="s">
        <v>25913</v>
      </c>
      <c r="B20580" s="4" t="s">
        <v>25915</v>
      </c>
      <c r="C20580" s="5" t="str">
        <f>IFERROR(__xludf.DUMMYFUNCTION("GOOGLETRANSLATE(B20580,""en"",""es-ES"")"),"Una mujer habla con la cámara mientras otra muestra movimientos de baile.")</f>
        <v>Una mujer habla con la cámara mientras otra muestra movimientos de baile.</v>
      </c>
    </row>
    <row r="20581">
      <c r="A20581" s="4" t="s">
        <v>25913</v>
      </c>
      <c r="B20581" s="4" t="s">
        <v>25916</v>
      </c>
      <c r="C20581" s="5" t="str">
        <f>IFERROR(__xludf.DUMMYFUNCTION("GOOGLETRANSLATE(B20581,""en"",""es-ES"")"),"Ella demuestra diferentes movimientos y posiciones de ballet.")</f>
        <v>Ella demuestra diferentes movimientos y posiciones de ballet.</v>
      </c>
    </row>
    <row r="20582">
      <c r="A20582" s="4" t="s">
        <v>25917</v>
      </c>
      <c r="B20582" s="4" t="s">
        <v>25918</v>
      </c>
      <c r="C20582" s="5" t="str">
        <f>IFERROR(__xludf.DUMMYFUNCTION("GOOGLETRANSLATE(B20582,""en"",""es-ES"")"),"La gente está rafting por un río entrecortado.")</f>
        <v>La gente está rafting por un río entrecortado.</v>
      </c>
    </row>
    <row r="20583">
      <c r="A20583" s="4" t="s">
        <v>25917</v>
      </c>
      <c r="B20583" s="4" t="s">
        <v>25919</v>
      </c>
      <c r="C20583" s="5" t="str">
        <f>IFERROR(__xludf.DUMMYFUNCTION("GOOGLETRANSLATE(B20583,""en"",""es-ES"")"),"Una balsa azul cae por una cascada alta.")</f>
        <v>Una balsa azul cae por una cascada alta.</v>
      </c>
    </row>
    <row r="20584">
      <c r="A20584" s="4" t="s">
        <v>25917</v>
      </c>
      <c r="B20584" s="4" t="s">
        <v>1599</v>
      </c>
      <c r="C20584" s="5" t="str">
        <f>IFERROR(__xludf.DUMMYFUNCTION("GOOGLETRANSLATE(B20584,""en"",""es-ES"")"),"Las palabras se muestran en la pantalla.")</f>
        <v>Las palabras se muestran en la pantalla.</v>
      </c>
    </row>
    <row r="20585">
      <c r="A20585" s="4" t="s">
        <v>25920</v>
      </c>
      <c r="B20585" s="4" t="s">
        <v>25921</v>
      </c>
      <c r="C20585" s="5" t="str">
        <f>IFERROR(__xludf.DUMMYFUNCTION("GOOGLETRANSLATE(B20585,""en"",""es-ES"")"),"Dos hombres sostienen una flauta mientras uno sopla y el otro mueve sus manos.")</f>
        <v>Dos hombres sostienen una flauta mientras uno sopla y el otro mueve sus manos.</v>
      </c>
    </row>
    <row r="20586">
      <c r="A20586" s="4" t="s">
        <v>25920</v>
      </c>
      <c r="B20586" s="4" t="s">
        <v>25922</v>
      </c>
      <c r="C20586" s="5" t="str">
        <f>IFERROR(__xludf.DUMMYFUNCTION("GOOGLETRANSLATE(B20586,""en"",""es-ES"")"),"Una orquesta se muestra detrás de los hombres mientras continúan tocando en el mismo instrumento.")</f>
        <v>Una orquesta se muestra detrás de los hombres mientras continúan tocando en el mismo instrumento.</v>
      </c>
    </row>
    <row r="20587">
      <c r="A20587" s="4" t="s">
        <v>25920</v>
      </c>
      <c r="B20587" s="4" t="s">
        <v>25923</v>
      </c>
      <c r="C20587" s="5" t="str">
        <f>IFERROR(__xludf.DUMMYFUNCTION("GOOGLETRANSLATE(B20587,""en"",""es-ES"")"),"Los hombres continúan tocando hasta que la canción termina y hagan una reverencia mientras la banda aplaude.")</f>
        <v>Los hombres continúan tocando hasta que la canción termina y hagan una reverencia mientras la banda aplaude.</v>
      </c>
    </row>
    <row r="20588">
      <c r="A20588" s="4" t="s">
        <v>25924</v>
      </c>
      <c r="B20588" s="4" t="s">
        <v>25925</v>
      </c>
      <c r="C20588" s="5" t="str">
        <f>IFERROR(__xludf.DUMMYFUNCTION("GOOGLETRANSLATE(B20588,""en"",""es-ES"")"),"Vemos la pantalla del título en un fondo rojo.")</f>
        <v>Vemos la pantalla del título en un fondo rojo.</v>
      </c>
    </row>
    <row r="20589">
      <c r="A20589" s="4" t="s">
        <v>25924</v>
      </c>
      <c r="B20589" s="4" t="s">
        <v>25926</v>
      </c>
      <c r="C20589" s="5" t="str">
        <f>IFERROR(__xludf.DUMMYFUNCTION("GOOGLETRANSLATE(B20589,""en"",""es-ES"")"),"Vemos mujeres jugando lacrosse.")</f>
        <v>Vemos mujeres jugando lacrosse.</v>
      </c>
    </row>
    <row r="20590">
      <c r="A20590" s="4" t="s">
        <v>25924</v>
      </c>
      <c r="B20590" s="4" t="s">
        <v>25927</v>
      </c>
      <c r="C20590" s="5" t="str">
        <f>IFERROR(__xludf.DUMMYFUNCTION("GOOGLETRANSLATE(B20590,""en"",""es-ES"")"),"Vemos a los jugadores a través de la red de un gol.")</f>
        <v>Vemos a los jugadores a través de la red de un gol.</v>
      </c>
    </row>
    <row r="20591">
      <c r="A20591" s="4" t="s">
        <v>25924</v>
      </c>
      <c r="B20591" s="4" t="s">
        <v>25928</v>
      </c>
      <c r="C20591" s="5" t="str">
        <f>IFERROR(__xludf.DUMMYFUNCTION("GOOGLETRANSLATE(B20591,""en"",""es-ES"")"),"Vemos a una dama en rosa hablando con la cámara.")</f>
        <v>Vemos a una dama en rosa hablando con la cámara.</v>
      </c>
    </row>
    <row r="20592">
      <c r="A20592" s="4" t="s">
        <v>25924</v>
      </c>
      <c r="B20592" s="4" t="s">
        <v>25929</v>
      </c>
      <c r="C20592" s="5" t="str">
        <f>IFERROR(__xludf.DUMMYFUNCTION("GOOGLETRANSLATE(B20592,""en"",""es-ES"")"),"Luego vemos a una dama con una camisa azul hablando.")</f>
        <v>Luego vemos a una dama con una camisa azul hablando.</v>
      </c>
    </row>
    <row r="20593">
      <c r="A20593" s="4" t="s">
        <v>25924</v>
      </c>
      <c r="B20593" s="4" t="s">
        <v>25930</v>
      </c>
      <c r="C20593" s="5" t="str">
        <f>IFERROR(__xludf.DUMMYFUNCTION("GOOGLETRANSLATE(B20593,""en"",""es-ES"")"),"Una dama en una mochila habla con la cámara.")</f>
        <v>Una dama en una mochila habla con la cámara.</v>
      </c>
    </row>
    <row r="20594">
      <c r="A20594" s="4" t="s">
        <v>25924</v>
      </c>
      <c r="B20594" s="4" t="s">
        <v>25931</v>
      </c>
      <c r="C20594" s="5" t="str">
        <f>IFERROR(__xludf.DUMMYFUNCTION("GOOGLETRANSLATE(B20594,""en"",""es-ES"")"),"Luego vemos la pantalla final y el negro.")</f>
        <v>Luego vemos la pantalla final y el negro.</v>
      </c>
    </row>
    <row r="20595">
      <c r="A20595" s="4" t="s">
        <v>25932</v>
      </c>
      <c r="B20595" s="4" t="s">
        <v>25933</v>
      </c>
      <c r="C20595" s="5" t="str">
        <f>IFERROR(__xludf.DUMMYFUNCTION("GOOGLETRANSLATE(B20595,""en"",""es-ES"")"),"Un logotipo de ""Monkeysee Com"" aparece en la pantalla con el lema ""Vea cómo lo hacen los expertos.")</f>
        <v>Un logotipo de "Monkeysee Com" aparece en la pantalla con el lema "Vea cómo lo hacen los expertos.</v>
      </c>
    </row>
    <row r="20596">
      <c r="A20596" s="4" t="s">
        <v>25932</v>
      </c>
      <c r="B20596" s="4" t="s">
        <v>25934</v>
      </c>
      <c r="C20596" s="5" t="str">
        <f>IFERROR(__xludf.DUMMYFUNCTION("GOOGLETRANSLATE(B20596,""en"",""es-ES"")"),"""Un joven se para en primer plano hablando mientras una animadora se encuentra detrás de él realizando rutinas.")</f>
        <v>"Un joven se para en primer plano hablando mientras una animadora se encuentra detrás de él realizando rutinas.</v>
      </c>
    </row>
    <row r="20597">
      <c r="A20597" s="4" t="s">
        <v>25932</v>
      </c>
      <c r="B20597" s="4" t="s">
        <v>25935</v>
      </c>
      <c r="C20597" s="5" t="str">
        <f>IFERROR(__xludf.DUMMYFUNCTION("GOOGLETRANSLATE(B20597,""en"",""es-ES"")"),"La pantalla de derechos de autor y logotipo aparece en una pantalla negra.")</f>
        <v>La pantalla de derechos de autor y logotipo aparece en una pantalla negra.</v>
      </c>
    </row>
    <row r="20598">
      <c r="A20598" s="4" t="s">
        <v>25936</v>
      </c>
      <c r="B20598" s="4" t="s">
        <v>25937</v>
      </c>
      <c r="C20598" s="5" t="str">
        <f>IFERROR(__xludf.DUMMYFUNCTION("GOOGLETRANSLATE(B20598,""en"",""es-ES"")"),"Un asistente de la tienda sostiene el hula hoop y muestra cómo agarrarlo.")</f>
        <v>Un asistente de la tienda sostiene el hula hoop y muestra cómo agarrarlo.</v>
      </c>
    </row>
    <row r="20599">
      <c r="A20599" s="4" t="s">
        <v>25936</v>
      </c>
      <c r="B20599" s="4" t="s">
        <v>25938</v>
      </c>
      <c r="C20599" s="5" t="str">
        <f>IFERROR(__xludf.DUMMYFUNCTION("GOOGLETRANSLATE(B20599,""en"",""es-ES"")"),"La mujer deja caer el aro y deja que gire alrededor de su cuerpo al suelo.")</f>
        <v>La mujer deja caer el aro y deja que gire alrededor de su cuerpo al suelo.</v>
      </c>
    </row>
    <row r="20600">
      <c r="A20600" s="4" t="s">
        <v>25936</v>
      </c>
      <c r="B20600" s="4" t="s">
        <v>25939</v>
      </c>
      <c r="C20600" s="5" t="str">
        <f>IFERROR(__xludf.DUMMYFUNCTION("GOOGLETRANSLATE(B20600,""en"",""es-ES"")"),"La mujer deja caer el hula hoop y deja que gire alrededor de su cuerpo y luego lo atrapa.")</f>
        <v>La mujer deja caer el hula hoop y deja que gire alrededor de su cuerpo y luego lo atrapa.</v>
      </c>
    </row>
    <row r="20601">
      <c r="A20601" s="4" t="s">
        <v>25936</v>
      </c>
      <c r="B20601" s="4" t="s">
        <v>25940</v>
      </c>
      <c r="C20601" s="5" t="str">
        <f>IFERROR(__xludf.DUMMYFUNCTION("GOOGLETRANSLATE(B20601,""en"",""es-ES"")"),"La mujer practica balanceando el aro entre dos patas.")</f>
        <v>La mujer practica balanceando el aro entre dos patas.</v>
      </c>
    </row>
    <row r="20602">
      <c r="A20602" s="4" t="s">
        <v>25936</v>
      </c>
      <c r="B20602" s="4" t="s">
        <v>25941</v>
      </c>
      <c r="C20602" s="5" t="str">
        <f>IFERROR(__xludf.DUMMYFUNCTION("GOOGLETRANSLATE(B20602,""en"",""es-ES"")"),"La mujer atrapa el hula hoop giratorio cuando cae entre sus piernas.")</f>
        <v>La mujer atrapa el hula hoop giratorio cuando cae entre sus piernas.</v>
      </c>
    </row>
    <row r="20603">
      <c r="A20603" s="4" t="s">
        <v>25936</v>
      </c>
      <c r="B20603" s="4" t="s">
        <v>25942</v>
      </c>
      <c r="C20603" s="5" t="str">
        <f>IFERROR(__xludf.DUMMYFUNCTION("GOOGLETRANSLATE(B20603,""en"",""es-ES"")"),"La mujer gira el aro hacia arriba alrededor de su cuerpo.")</f>
        <v>La mujer gira el aro hacia arriba alrededor de su cuerpo.</v>
      </c>
    </row>
    <row r="20604">
      <c r="A20604" s="4" t="s">
        <v>25943</v>
      </c>
      <c r="B20604" s="4" t="s">
        <v>25944</v>
      </c>
      <c r="C20604" s="5" t="str">
        <f>IFERROR(__xludf.DUMMYFUNCTION("GOOGLETRANSLATE(B20604,""en"",""es-ES"")"),"Un chico está limpiando un neumático de coche.")</f>
        <v>Un chico está limpiando un neumático de coche.</v>
      </c>
    </row>
    <row r="20605">
      <c r="A20605" s="4" t="s">
        <v>25943</v>
      </c>
      <c r="B20605" s="4" t="s">
        <v>25945</v>
      </c>
      <c r="C20605" s="5" t="str">
        <f>IFERROR(__xludf.DUMMYFUNCTION("GOOGLETRANSLATE(B20605,""en"",""es-ES"")"),"Una mujer camina desde el lado del conductor frotando ligeramente una tela negra en la unión del chico.")</f>
        <v>Una mujer camina desde el lado del conductor frotando ligeramente una tela negra en la unión del chico.</v>
      </c>
    </row>
    <row r="20606">
      <c r="A20606" s="4" t="s">
        <v>25943</v>
      </c>
      <c r="B20606" s="4" t="s">
        <v>25946</v>
      </c>
      <c r="C20606" s="5" t="str">
        <f>IFERROR(__xludf.DUMMYFUNCTION("GOOGLETRANSLATE(B20606,""en"",""es-ES"")"),"La hembra arroja la tela negra sobre un automóvil directamente sobre el neumático que el hombre está limpiando.")</f>
        <v>La hembra arroja la tela negra sobre un automóvil directamente sobre el neumático que el hombre está limpiando.</v>
      </c>
    </row>
    <row r="20607">
      <c r="A20607" s="4" t="s">
        <v>25943</v>
      </c>
      <c r="B20607" s="4" t="s">
        <v>25947</v>
      </c>
      <c r="C20607" s="5" t="str">
        <f>IFERROR(__xludf.DUMMYFUNCTION("GOOGLETRANSLATE(B20607,""en"",""es-ES"")"),"El hombre recoge la tela negra, deja caer la alfombra en la acera y la usa para limpiar el neumático.")</f>
        <v>El hombre recoge la tela negra, deja caer la alfombra en la acera y la usa para limpiar el neumático.</v>
      </c>
    </row>
    <row r="20608">
      <c r="A20608" s="4" t="s">
        <v>25948</v>
      </c>
      <c r="B20608" s="4" t="s">
        <v>25949</v>
      </c>
      <c r="C20608" s="5" t="str">
        <f>IFERROR(__xludf.DUMMYFUNCTION("GOOGLETRANSLATE(B20608,""en"",""es-ES"")"),"Una persona está haciendo un arco de la cinta.")</f>
        <v>Una persona está haciendo un arco de la cinta.</v>
      </c>
    </row>
    <row r="20609">
      <c r="A20609" s="4" t="s">
        <v>25948</v>
      </c>
      <c r="B20609" s="4" t="s">
        <v>25950</v>
      </c>
      <c r="C20609" s="5" t="str">
        <f>IFERROR(__xludf.DUMMYFUNCTION("GOOGLETRANSLATE(B20609,""en"",""es-ES"")"),"Atan la cinta en un paquete envuelto.")</f>
        <v>Atan la cinta en un paquete envuelto.</v>
      </c>
    </row>
    <row r="20610">
      <c r="A20610" s="4" t="s">
        <v>25948</v>
      </c>
      <c r="B20610" s="4" t="s">
        <v>25951</v>
      </c>
      <c r="C20610" s="5" t="str">
        <f>IFERROR(__xludf.DUMMYFUNCTION("GOOGLETRANSLATE(B20610,""en"",""es-ES"")"),"Pelean el arco que hicieron en el paquete.")</f>
        <v>Pelean el arco que hicieron en el paquete.</v>
      </c>
    </row>
    <row r="20611">
      <c r="A20611" s="4" t="s">
        <v>25952</v>
      </c>
      <c r="B20611" s="4" t="s">
        <v>25953</v>
      </c>
      <c r="C20611" s="5" t="str">
        <f>IFERROR(__xludf.DUMMYFUNCTION("GOOGLETRANSLATE(B20611,""en"",""es-ES"")"),"Aparece una pantalla negra y las palabras blancas decían ""Nevena &amp; Goran Rodry-go! El Mambo del Tra"".")</f>
        <v>Aparece una pantalla negra y las palabras blancas decían "Nevena &amp; Goran Rodry-go! El Mambo del Tra".</v>
      </c>
    </row>
    <row r="20612">
      <c r="A20612" s="4" t="s">
        <v>25952</v>
      </c>
      <c r="B20612" s="4" t="s">
        <v>25954</v>
      </c>
      <c r="C20612" s="5" t="str">
        <f>IFERROR(__xludf.DUMMYFUNCTION("GOOGLETRANSLATE(B20612,""en"",""es-ES"")"),"Un hombre y una mujer aparecen al aire libre en una cubierta de ladrillo de concreto y comienzan a bailar una rutina al unísono que incluye movimientos de brazos, escalones, giros y varios otros movimientos de baile.")</f>
        <v>Un hombre y una mujer aparecen al aire libre en una cubierta de ladrillo de concreto y comienzan a bailar una rutina al unísono que incluye movimientos de brazos, escalones, giros y varios otros movimientos de baile.</v>
      </c>
    </row>
    <row r="20613">
      <c r="A20613" s="4" t="s">
        <v>25952</v>
      </c>
      <c r="B20613" s="4" t="s">
        <v>25955</v>
      </c>
      <c r="C20613" s="5" t="str">
        <f>IFERROR(__xludf.DUMMYFUNCTION("GOOGLETRANSLATE(B20613,""en"",""es-ES"")"),"Dejan de bailar y la mujer se acerca a la cámara y la canta mientras el hombre detrás de sus bailes.")</f>
        <v>Dejan de bailar y la mujer se acerca a la cámara y la canta mientras el hombre detrás de sus bailes.</v>
      </c>
    </row>
    <row r="20614">
      <c r="A20614" s="4" t="s">
        <v>25952</v>
      </c>
      <c r="B20614" s="4" t="s">
        <v>25956</v>
      </c>
      <c r="C20614" s="5" t="str">
        <f>IFERROR(__xludf.DUMMYFUNCTION("GOOGLETRANSLATE(B20614,""en"",""es-ES"")"),"Ella deja de cantar y ambos se ríen y se alejan.")</f>
        <v>Ella deja de cantar y ambos se ríen y se alejan.</v>
      </c>
    </row>
    <row r="20615">
      <c r="A20615" s="4" t="s">
        <v>25957</v>
      </c>
      <c r="B20615" s="4" t="s">
        <v>25958</v>
      </c>
      <c r="C20615" s="5" t="str">
        <f>IFERROR(__xludf.DUMMYFUNCTION("GOOGLETRANSLATE(B20615,""en"",""es-ES"")"),"Una cámara registra una tienda con dos personas paradas adentro, y finalmente conduce a un grupo de personas parados con muelles.")</f>
        <v>Una cámara registra una tienda con dos personas paradas adentro, y finalmente conduce a un grupo de personas parados con muelles.</v>
      </c>
    </row>
    <row r="20616">
      <c r="A20616" s="4" t="s">
        <v>25957</v>
      </c>
      <c r="B20616" s="4" t="s">
        <v>25959</v>
      </c>
      <c r="C20616" s="5" t="str">
        <f>IFERROR(__xludf.DUMMYFUNCTION("GOOGLETRANSLATE(B20616,""en"",""es-ES"")"),"Un hombre camina por los muelles mientras otro sostiene un cubo y la cámara se acelera a una mujer que habla.")</f>
        <v>Un hombre camina por los muelles mientras otro sostiene un cubo y la cámara se acelera a una mujer que habla.</v>
      </c>
    </row>
    <row r="20617">
      <c r="A20617" s="4" t="s">
        <v>25957</v>
      </c>
      <c r="B20617" s="4" t="s">
        <v>25960</v>
      </c>
      <c r="C20617" s="5" t="str">
        <f>IFERROR(__xludf.DUMMYFUNCTION("GOOGLETRANSLATE(B20617,""en"",""es-ES"")"),"La mujer se pone un chaleco y gafas y camina hacia un bote.")</f>
        <v>La mujer se pone un chaleco y gafas y camina hacia un bote.</v>
      </c>
    </row>
    <row r="20618">
      <c r="A20618" s="4" t="s">
        <v>25957</v>
      </c>
      <c r="B20618" s="4" t="s">
        <v>25961</v>
      </c>
      <c r="C20618" s="5" t="str">
        <f>IFERROR(__xludf.DUMMYFUNCTION("GOOGLETRANSLATE(B20618,""en"",""es-ES"")"),"Ella habla con la cámara mientras ajusta sus gafas y es llevada al agua con un tanque.")</f>
        <v>Ella habla con la cámara mientras ajusta sus gafas y es llevada al agua con un tanque.</v>
      </c>
    </row>
    <row r="20619">
      <c r="A20619" s="4" t="s">
        <v>25957</v>
      </c>
      <c r="B20619" s="4" t="s">
        <v>25962</v>
      </c>
      <c r="C20619" s="5" t="str">
        <f>IFERROR(__xludf.DUMMYFUNCTION("GOOGLETRANSLATE(B20619,""en"",""es-ES"")"),"Ella salta al agua con el hombre y vuelve al bote hablando con la cámara.")</f>
        <v>Ella salta al agua con el hombre y vuelve al bote hablando con la cámara.</v>
      </c>
    </row>
    <row r="20620">
      <c r="A20620" s="4" t="s">
        <v>25963</v>
      </c>
      <c r="B20620" s="4" t="s">
        <v>25964</v>
      </c>
      <c r="C20620" s="5" t="str">
        <f>IFERROR(__xludf.DUMMYFUNCTION("GOOGLETRANSLATE(B20620,""en"",""es-ES"")"),"Una mujer está en una cocina hablando sobre cómo hacer a Lemonde.")</f>
        <v>Una mujer está en una cocina hablando sobre cómo hacer a Lemonde.</v>
      </c>
    </row>
    <row r="20621">
      <c r="A20621" s="4" t="s">
        <v>25963</v>
      </c>
      <c r="B20621" s="4" t="s">
        <v>25965</v>
      </c>
      <c r="C20621" s="5" t="str">
        <f>IFERROR(__xludf.DUMMYFUNCTION("GOOGLETRANSLATE(B20621,""en"",""es-ES"")"),"Ella presenta varios ingredientes que necesitas tener.")</f>
        <v>Ella presenta varios ingredientes que necesitas tener.</v>
      </c>
    </row>
    <row r="20622">
      <c r="A20622" s="4" t="s">
        <v>25963</v>
      </c>
      <c r="B20622" s="4" t="s">
        <v>25966</v>
      </c>
      <c r="C20622" s="5" t="str">
        <f>IFERROR(__xludf.DUMMYFUNCTION("GOOGLETRANSLATE(B20622,""en"",""es-ES"")"),"Ella combina todos los jugos en un molinillo para hacer una mezcla.")</f>
        <v>Ella combina todos los jugos en un molinillo para hacer una mezcla.</v>
      </c>
    </row>
    <row r="20623">
      <c r="A20623" s="4" t="s">
        <v>25963</v>
      </c>
      <c r="B20623" s="4" t="s">
        <v>25967</v>
      </c>
      <c r="C20623" s="5" t="str">
        <f>IFERROR(__xludf.DUMMYFUNCTION("GOOGLETRANSLATE(B20623,""en"",""es-ES"")"),"Luego vierte la mezcla en un vaso y bebe el jugo.")</f>
        <v>Luego vierte la mezcla en un vaso y bebe el jugo.</v>
      </c>
    </row>
    <row r="20624">
      <c r="A20624" s="4" t="s">
        <v>25968</v>
      </c>
      <c r="B20624" s="4" t="s">
        <v>25969</v>
      </c>
      <c r="C20624" s="5" t="str">
        <f>IFERROR(__xludf.DUMMYFUNCTION("GOOGLETRANSLATE(B20624,""en"",""es-ES"")"),"Se muestran varias tomas de una audiencia que se muestran, así como muchos clips de impresionantes eventos deportivos.")</f>
        <v>Se muestran varias tomas de una audiencia que se muestran, así como muchos clips de impresionantes eventos deportivos.</v>
      </c>
    </row>
    <row r="20625">
      <c r="A20625" s="4" t="s">
        <v>25968</v>
      </c>
      <c r="B20625" s="4" t="s">
        <v>25970</v>
      </c>
      <c r="C20625" s="5" t="str">
        <f>IFERROR(__xludf.DUMMYFUNCTION("GOOGLETRANSLATE(B20625,""en"",""es-ES"")"),"La gente golpeó los voleibol y el cuarto entre sí, mientras que también muestra clips de personas que celebran con sus compañeros de equipo.")</f>
        <v>La gente golpeó los voleibol y el cuarto entre sí, mientras que también muestra clips de personas que celebran con sus compañeros de equipo.</v>
      </c>
    </row>
    <row r="20626">
      <c r="A20626" s="4" t="s">
        <v>25971</v>
      </c>
      <c r="B20626" s="4" t="s">
        <v>25972</v>
      </c>
      <c r="C20626" s="5" t="str">
        <f>IFERROR(__xludf.DUMMYFUNCTION("GOOGLETRANSLATE(B20626,""en"",""es-ES"")"),"Una persona es un viento surfeando en un lago.")</f>
        <v>Una persona es un viento surfeando en un lago.</v>
      </c>
    </row>
    <row r="20627">
      <c r="A20627" s="4" t="s">
        <v>25971</v>
      </c>
      <c r="B20627" s="4" t="s">
        <v>25973</v>
      </c>
      <c r="C20627" s="5" t="str">
        <f>IFERROR(__xludf.DUMMYFUNCTION("GOOGLETRANSLATE(B20627,""en"",""es-ES"")"),"Otros Windsurfers pasan detrás de él.")</f>
        <v>Otros Windsurfers pasan detrás de él.</v>
      </c>
    </row>
    <row r="20628">
      <c r="A20628" s="4" t="s">
        <v>25974</v>
      </c>
      <c r="B20628" s="4" t="s">
        <v>25975</v>
      </c>
      <c r="C20628" s="5" t="str">
        <f>IFERROR(__xludf.DUMMYFUNCTION("GOOGLETRANSLATE(B20628,""en"",""es-ES"")"),"Una niña hace un tutorial sobre cómo empacar una bolsa.")</f>
        <v>Una niña hace un tutorial sobre cómo empacar una bolsa.</v>
      </c>
    </row>
    <row r="20629">
      <c r="A20629" s="4" t="s">
        <v>25974</v>
      </c>
      <c r="B20629" s="4" t="s">
        <v>25976</v>
      </c>
      <c r="C20629" s="5" t="str">
        <f>IFERROR(__xludf.DUMMYFUNCTION("GOOGLETRANSLATE(B20629,""en"",""es-ES"")"),"Luego da consejos de bailarina, especialmente sobre cómo tratar los pies correctamente.")</f>
        <v>Luego da consejos de bailarina, especialmente sobre cómo tratar los pies correctamente.</v>
      </c>
    </row>
    <row r="20630">
      <c r="A20630" s="4" t="s">
        <v>25977</v>
      </c>
      <c r="B20630" s="4" t="s">
        <v>25978</v>
      </c>
      <c r="C20630" s="5" t="str">
        <f>IFERROR(__xludf.DUMMYFUNCTION("GOOGLETRANSLATE(B20630,""en"",""es-ES"")"),"Un hombre mayor está en agua de pie sobre una moto acuática.")</f>
        <v>Un hombre mayor está en agua de pie sobre una moto acuática.</v>
      </c>
    </row>
    <row r="20631">
      <c r="A20631" s="4" t="s">
        <v>25977</v>
      </c>
      <c r="B20631" s="4" t="s">
        <v>25979</v>
      </c>
      <c r="C20631" s="5" t="str">
        <f>IFERROR(__xludf.DUMMYFUNCTION("GOOGLETRANSLATE(B20631,""en"",""es-ES"")"),"El hombre comienza a jet ski.")</f>
        <v>El hombre comienza a jet ski.</v>
      </c>
    </row>
    <row r="20632">
      <c r="A20632" s="4" t="s">
        <v>25977</v>
      </c>
      <c r="B20632" s="4" t="s">
        <v>25980</v>
      </c>
      <c r="C20632" s="5" t="str">
        <f>IFERROR(__xludf.DUMMYFUNCTION("GOOGLETRANSLATE(B20632,""en"",""es-ES"")"),"El hombre toma a la mano del mango.")</f>
        <v>El hombre toma a la mano del mango.</v>
      </c>
    </row>
    <row r="20633">
      <c r="A20633" s="4" t="s">
        <v>25977</v>
      </c>
      <c r="B20633" s="4" t="s">
        <v>25981</v>
      </c>
      <c r="C20633" s="5" t="str">
        <f>IFERROR(__xludf.DUMMYFUNCTION("GOOGLETRANSLATE(B20633,""en"",""es-ES"")"),"El hombre coloca ambas manos hacia atrás en el mango y las motos de agua.")</f>
        <v>El hombre coloca ambas manos hacia atrás en el mango y las motos de agua.</v>
      </c>
    </row>
    <row r="20634">
      <c r="A20634" s="4" t="s">
        <v>25982</v>
      </c>
      <c r="B20634" s="4" t="s">
        <v>25983</v>
      </c>
      <c r="C20634" s="5" t="str">
        <f>IFERROR(__xludf.DUMMYFUNCTION("GOOGLETRANSLATE(B20634,""en"",""es-ES"")"),"Un hombre que camina muy lentamente hacia una mujer mientras camina lentamente hacia él.")</f>
        <v>Un hombre que camina muy lentamente hacia una mujer mientras camina lentamente hacia él.</v>
      </c>
    </row>
    <row r="20635">
      <c r="A20635" s="4" t="s">
        <v>25982</v>
      </c>
      <c r="B20635" s="4" t="s">
        <v>25984</v>
      </c>
      <c r="C20635" s="5" t="str">
        <f>IFERROR(__xludf.DUMMYFUNCTION("GOOGLETRANSLATE(B20635,""en"",""es-ES"")"),"Se reúnen y comienzan su baile, es muy intenso y muy bien hecho, funcionan muy bien juntos, cuando terminan, se inclinan y se dan cinco, mientras que la audiencia los anima.")</f>
        <v>Se reúnen y comienzan su baile, es muy intenso y muy bien hecho, funcionan muy bien juntos, cuando terminan, se inclinan y se dan cinco, mientras que la audiencia los anima.</v>
      </c>
    </row>
    <row r="20636">
      <c r="A20636" s="4" t="s">
        <v>25982</v>
      </c>
      <c r="B20636" s="4" t="s">
        <v>25985</v>
      </c>
      <c r="C20636" s="5" t="str">
        <f>IFERROR(__xludf.DUMMYFUNCTION("GOOGLETRANSLATE(B20636,""en"",""es-ES"")"),"Luego, uno de los jueces se pone de pie y les habla, lo que hace que sonreblan y estén más extasiados.")</f>
        <v>Luego, uno de los jueces se pone de pie y les habla, lo que hace que sonreblan y estén más extasiados.</v>
      </c>
    </row>
    <row r="20637">
      <c r="A20637" s="4" t="s">
        <v>25982</v>
      </c>
      <c r="B20637" s="4" t="s">
        <v>25986</v>
      </c>
      <c r="C20637" s="5" t="str">
        <f>IFERROR(__xludf.DUMMYFUNCTION("GOOGLETRANSLATE(B20637,""en"",""es-ES"")"),"Otra jueza la critica y la mujer bailarina corre y las abraza, luego el juez final les dice lo que piensa de su actuación.")</f>
        <v>Otra jueza la critica y la mujer bailarina corre y las abraza, luego el juez final les dice lo que piensa de su actuación.</v>
      </c>
    </row>
    <row r="20638">
      <c r="A20638" s="4" t="s">
        <v>25987</v>
      </c>
      <c r="B20638" s="4" t="s">
        <v>25988</v>
      </c>
      <c r="C20638" s="5" t="str">
        <f>IFERROR(__xludf.DUMMYFUNCTION("GOOGLETRANSLATE(B20638,""en"",""es-ES"")"),"Una mujer con una camisa verde se encuentra en una cocina.")</f>
        <v>Una mujer con una camisa verde se encuentra en una cocina.</v>
      </c>
    </row>
    <row r="20639">
      <c r="A20639" s="4" t="s">
        <v>25987</v>
      </c>
      <c r="B20639" s="4" t="s">
        <v>25989</v>
      </c>
      <c r="C20639" s="5" t="str">
        <f>IFERROR(__xludf.DUMMYFUNCTION("GOOGLETRANSLATE(B20639,""en"",""es-ES"")"),"Ella se para frente a varios ingredientes.")</f>
        <v>Ella se para frente a varios ingredientes.</v>
      </c>
    </row>
    <row r="20640">
      <c r="A20640" s="4" t="s">
        <v>25987</v>
      </c>
      <c r="B20640" s="4" t="s">
        <v>25990</v>
      </c>
      <c r="C20640" s="5" t="str">
        <f>IFERROR(__xludf.DUMMYFUNCTION("GOOGLETRANSLATE(B20640,""en"",""es-ES"")"),"Ella corta un limón por la mitad.")</f>
        <v>Ella corta un limón por la mitad.</v>
      </c>
    </row>
    <row r="20641">
      <c r="A20641" s="4" t="s">
        <v>25987</v>
      </c>
      <c r="B20641" s="4" t="s">
        <v>25991</v>
      </c>
      <c r="C20641" s="5" t="str">
        <f>IFERROR(__xludf.DUMMYFUNCTION("GOOGLETRANSLATE(B20641,""en"",""es-ES"")"),"Ella se ríe mucho durante todo el video.")</f>
        <v>Ella se ríe mucho durante todo el video.</v>
      </c>
    </row>
    <row r="20642">
      <c r="A20642" s="4" t="s">
        <v>25992</v>
      </c>
      <c r="B20642" s="4" t="s">
        <v>25993</v>
      </c>
      <c r="C20642" s="5" t="str">
        <f>IFERROR(__xludf.DUMMYFUNCTION("GOOGLETRANSLATE(B20642,""en"",""es-ES"")"),"Un grupo de personas con gorras de natación está jugando voleibol en una piscina al aire libre, rodeado por una salpicadura de espectadores y un marcador digital vertical.")</f>
        <v>Un grupo de personas con gorras de natación está jugando voleibol en una piscina al aire libre, rodeado por una salpicadura de espectadores y un marcador digital vertical.</v>
      </c>
    </row>
    <row r="20643">
      <c r="A20643" s="4" t="s">
        <v>25992</v>
      </c>
      <c r="B20643" s="4" t="s">
        <v>25994</v>
      </c>
      <c r="C20643" s="5" t="str">
        <f>IFERROR(__xludf.DUMMYFUNCTION("GOOGLETRANSLATE(B20643,""en"",""es-ES"")"),"Una bola amarilla vuela hacia el lado derecho de la piscina y las personas en la piscina nadan y la mueven hacia el lado izquierdo de la piscina, mientras que un hombre de todos los blancos los rastrea desde el costado de la piscina en un borde de cemento"&amp;" elevado.")</f>
        <v>Una bola amarilla vuela hacia el lado derecho de la piscina y las personas en la piscina nadan y la mueven hacia el lado izquierdo de la piscina, mientras que un hombre de todos los blancos los rastrea desde el costado de la piscina en un borde de cemento elevado.</v>
      </c>
    </row>
    <row r="20644">
      <c r="A20644" s="4" t="s">
        <v>25992</v>
      </c>
      <c r="B20644" s="4" t="s">
        <v>25995</v>
      </c>
      <c r="C20644" s="5" t="str">
        <f>IFERROR(__xludf.DUMMYFUNCTION("GOOGLETRANSLATE(B20644,""en"",""es-ES"")"),"Una persona en el frente aumenta la pelota amarilla contra un gol azul y pasa un bloqueador de goles en la piscina.")</f>
        <v>Una persona en el frente aumenta la pelota amarilla contra un gol azul y pasa un bloqueador de goles en la piscina.</v>
      </c>
    </row>
    <row r="20645">
      <c r="A20645" s="4" t="s">
        <v>25992</v>
      </c>
      <c r="B20645" s="4" t="s">
        <v>25996</v>
      </c>
      <c r="C20645" s="5" t="str">
        <f>IFERROR(__xludf.DUMMYFUNCTION("GOOGLETRANSLATE(B20645,""en"",""es-ES"")"),"Una persona en el extremo izquierdo de la piscina arroja la pelota al lado derecho de la piscina, donde todos los jugadores nadan para seguirla.")</f>
        <v>Una persona en el extremo izquierdo de la piscina arroja la pelota al lado derecho de la piscina, donde todos los jugadores nadan para seguirla.</v>
      </c>
    </row>
    <row r="20646">
      <c r="A20646" s="4" t="s">
        <v>25997</v>
      </c>
      <c r="B20646" s="4" t="s">
        <v>25998</v>
      </c>
      <c r="C20646" s="5" t="str">
        <f>IFERROR(__xludf.DUMMYFUNCTION("GOOGLETRANSLATE(B20646,""en"",""es-ES"")"),"Se ve a un niño mirando a lo lejos y a una niña.")</f>
        <v>Se ve a un niño mirando a lo lejos y a una niña.</v>
      </c>
    </row>
    <row r="20647">
      <c r="A20647" s="4" t="s">
        <v>25997</v>
      </c>
      <c r="B20647" s="4" t="s">
        <v>25999</v>
      </c>
      <c r="C20647" s="5" t="str">
        <f>IFERROR(__xludf.DUMMYFUNCTION("GOOGLETRANSLATE(B20647,""en"",""es-ES"")"),"Se ve a las personas caminando adentro seguidas de clips de cercanías de personas.")</f>
        <v>Se ve a las personas caminando adentro seguidas de clips de cercanías de personas.</v>
      </c>
    </row>
    <row r="20648">
      <c r="A20648" s="4" t="s">
        <v>25997</v>
      </c>
      <c r="B20648" s="4" t="s">
        <v>26000</v>
      </c>
      <c r="C20648" s="5" t="str">
        <f>IFERROR(__xludf.DUMMYFUNCTION("GOOGLETRANSLATE(B20648,""en"",""es-ES"")"),"Se muestran más disparos de personas que practican y una niña se topa con un hombre mayor.")</f>
        <v>Se muestran más disparos de personas que practican y una niña se topa con un hombre mayor.</v>
      </c>
    </row>
    <row r="20649">
      <c r="A20649" s="4" t="s">
        <v>26001</v>
      </c>
      <c r="B20649" s="4" t="s">
        <v>26002</v>
      </c>
      <c r="C20649" s="5" t="str">
        <f>IFERROR(__xludf.DUMMYFUNCTION("GOOGLETRANSLATE(B20649,""en"",""es-ES"")"),"Un grupo de niños está pasando el rato junto a una mesa de picnic.")</f>
        <v>Un grupo de niños está pasando el rato junto a una mesa de picnic.</v>
      </c>
    </row>
    <row r="20650">
      <c r="A20650" s="4" t="s">
        <v>26001</v>
      </c>
      <c r="B20650" s="4" t="s">
        <v>26003</v>
      </c>
      <c r="C20650" s="5" t="str">
        <f>IFERROR(__xludf.DUMMYFUNCTION("GOOGLETRANSLATE(B20650,""en"",""es-ES"")"),"Una niña pelea las papas.")</f>
        <v>Una niña pelea las papas.</v>
      </c>
    </row>
    <row r="20651">
      <c r="A20651" s="4" t="s">
        <v>26001</v>
      </c>
      <c r="B20651" s="4" t="s">
        <v>26004</v>
      </c>
      <c r="C20651" s="5" t="str">
        <f>IFERROR(__xludf.DUMMYFUNCTION("GOOGLETRANSLATE(B20651,""en"",""es-ES"")"),"Un niño corta las papas.")</f>
        <v>Un niño corta las papas.</v>
      </c>
    </row>
    <row r="20652">
      <c r="A20652" s="4" t="s">
        <v>26005</v>
      </c>
      <c r="B20652" s="4" t="s">
        <v>26006</v>
      </c>
      <c r="C20652" s="5" t="str">
        <f>IFERROR(__xludf.DUMMYFUNCTION("GOOGLETRANSLATE(B20652,""en"",""es-ES"")"),"Una gimnasta masculina está en una arena llena de gente y toma dos bares para comenzar su rutina.")</f>
        <v>Una gimnasta masculina está en una arena llena de gente y toma dos bares para comenzar su rutina.</v>
      </c>
    </row>
    <row r="20653">
      <c r="A20653" s="4" t="s">
        <v>26005</v>
      </c>
      <c r="B20653" s="4" t="s">
        <v>26007</v>
      </c>
      <c r="C20653" s="5" t="str">
        <f>IFERROR(__xludf.DUMMYFUNCTION("GOOGLETRANSLATE(B20653,""en"",""es-ES"")"),"Después de que está en las barras, hace varios volteos y gira antes de aterrizar su actuación y dejar el tapete.")</f>
        <v>Después de que está en las barras, hace varios volteos y gira antes de aterrizar su actuación y dejar el tapete.</v>
      </c>
    </row>
    <row r="20654">
      <c r="A20654" s="4" t="s">
        <v>26008</v>
      </c>
      <c r="B20654" s="4" t="s">
        <v>26009</v>
      </c>
      <c r="C20654" s="5" t="str">
        <f>IFERROR(__xludf.DUMMYFUNCTION("GOOGLETRANSLATE(B20654,""en"",""es-ES"")"),"Se ve un primer plano de un perro con una persona que sostiene una maquinilla de afeitar.")</f>
        <v>Se ve un primer plano de un perro con una persona que sostiene una maquinilla de afeitar.</v>
      </c>
    </row>
    <row r="20655">
      <c r="A20655" s="4" t="s">
        <v>26008</v>
      </c>
      <c r="B20655" s="4" t="s">
        <v>26010</v>
      </c>
      <c r="C20655" s="5" t="str">
        <f>IFERROR(__xludf.DUMMYFUNCTION("GOOGLETRANSLATE(B20655,""en"",""es-ES"")"),"La persona luego levanta la cara de los perros y comienza a recortar sus ojos.")</f>
        <v>La persona luego levanta la cara de los perros y comienza a recortar sus ojos.</v>
      </c>
    </row>
    <row r="20656">
      <c r="A20656" s="4" t="s">
        <v>26008</v>
      </c>
      <c r="B20656" s="4" t="s">
        <v>26011</v>
      </c>
      <c r="C20656" s="5" t="str">
        <f>IFERROR(__xludf.DUMMYFUNCTION("GOOGLETRANSLATE(B20656,""en"",""es-ES"")"),"La persona continúa afeitándose y termina peinando su cara.")</f>
        <v>La persona continúa afeitándose y termina peinando su cara.</v>
      </c>
    </row>
    <row r="20657">
      <c r="A20657" s="4" t="s">
        <v>26012</v>
      </c>
      <c r="B20657" s="4" t="s">
        <v>26013</v>
      </c>
      <c r="C20657" s="5" t="str">
        <f>IFERROR(__xludf.DUMMYFUNCTION("GOOGLETRANSLATE(B20657,""en"",""es-ES"")"),"Se ve a una mujer hablando con la cámara y conduce a una mujer corriendo y entrevistando a otros corredores.")</f>
        <v>Se ve a una mujer hablando con la cámara y conduce a una mujer corriendo y entrevistando a otros corredores.</v>
      </c>
    </row>
    <row r="20658">
      <c r="A20658" s="4" t="s">
        <v>26012</v>
      </c>
      <c r="B20658" s="4" t="s">
        <v>26014</v>
      </c>
      <c r="C20658" s="5" t="str">
        <f>IFERROR(__xludf.DUMMYFUNCTION("GOOGLETRANSLATE(B20658,""en"",""es-ES"")"),"Entrevista a dos gemelos mientras corre y las noticias muestran a otros corredores en el área.")</f>
        <v>Entrevista a dos gemelos mientras corre y las noticias muestran a otros corredores en el área.</v>
      </c>
    </row>
    <row r="20659">
      <c r="A20659" s="4" t="s">
        <v>26015</v>
      </c>
      <c r="B20659" s="4" t="s">
        <v>26016</v>
      </c>
      <c r="C20659" s="5" t="str">
        <f>IFERROR(__xludf.DUMMYFUNCTION("GOOGLETRANSLATE(B20659,""en"",""es-ES"")"),"Se ve a un hombre grande inclinándose sobre sus rodillas moviendo los brazos y mirando hacia la distancia.")</f>
        <v>Se ve a un hombre grande inclinándose sobre sus rodillas moviendo los brazos y mirando hacia la distancia.</v>
      </c>
    </row>
    <row r="20660">
      <c r="A20660" s="4" t="s">
        <v>26015</v>
      </c>
      <c r="B20660" s="4" t="s">
        <v>26017</v>
      </c>
      <c r="C20660" s="5" t="str">
        <f>IFERROR(__xludf.DUMMYFUNCTION("GOOGLETRANSLATE(B20660,""en"",""es-ES"")"),"El hombre continúa moviéndose por todas partes en la estera realizando varios movimientos de artes marciales y retrocediendo y cuarto a la cámara.")</f>
        <v>El hombre continúa moviéndose por todas partes en la estera realizando varios movimientos de artes marciales y retrocediendo y cuarto a la cámara.</v>
      </c>
    </row>
    <row r="20661">
      <c r="A20661" s="4" t="s">
        <v>26018</v>
      </c>
      <c r="B20661" s="4" t="s">
        <v>26019</v>
      </c>
      <c r="C20661" s="5" t="str">
        <f>IFERROR(__xludf.DUMMYFUNCTION("GOOGLETRANSLATE(B20661,""en"",""es-ES"")"),"La gente se está deslizando por una pendiente nevada con neumáticos inflados.")</f>
        <v>La gente se está deslizando por una pendiente nevada con neumáticos inflados.</v>
      </c>
    </row>
    <row r="20662">
      <c r="A20662" s="4" t="s">
        <v>26018</v>
      </c>
      <c r="B20662" s="4" t="s">
        <v>26020</v>
      </c>
      <c r="C20662" s="5" t="str">
        <f>IFERROR(__xludf.DUMMYFUNCTION("GOOGLETRANSLATE(B20662,""en"",""es-ES"")"),"Un niño se encuentra en el neumático y salta de alegría.")</f>
        <v>Un niño se encuentra en el neumático y salta de alegría.</v>
      </c>
    </row>
    <row r="20663">
      <c r="A20663" s="4" t="s">
        <v>26018</v>
      </c>
      <c r="B20663" s="4" t="s">
        <v>26021</v>
      </c>
      <c r="C20663" s="5" t="str">
        <f>IFERROR(__xludf.DUMMYFUNCTION("GOOGLETRANSLATE(B20663,""en"",""es-ES"")"),"Un adulto se levanta y tira de ambos neumáticos.")</f>
        <v>Un adulto se levanta y tira de ambos neumáticos.</v>
      </c>
    </row>
    <row r="20664">
      <c r="A20664" s="4" t="s">
        <v>26022</v>
      </c>
      <c r="B20664" s="4" t="s">
        <v>26023</v>
      </c>
      <c r="C20664" s="5" t="str">
        <f>IFERROR(__xludf.DUMMYFUNCTION("GOOGLETRANSLATE(B20664,""en"",""es-ES"")"),"Un hombre vestido con un traje camuflado está parado en un gran campo cubierto de hierba con otras personas y está tirando de una cuerda que apenas podemos ver.")</f>
        <v>Un hombre vestido con un traje camuflado está parado en un gran campo cubierto de hierba con otras personas y está tirando de una cuerda que apenas podemos ver.</v>
      </c>
    </row>
    <row r="20665">
      <c r="A20665" s="4" t="s">
        <v>26022</v>
      </c>
      <c r="B20665" s="4" t="s">
        <v>26024</v>
      </c>
      <c r="C20665" s="5" t="str">
        <f>IFERROR(__xludf.DUMMYFUNCTION("GOOGLETRANSLATE(B20665,""en"",""es-ES"")"),"Hay muchas otras personas que se mueven en el campo haciendo lo suyo.")</f>
        <v>Hay muchas otras personas que se mueven en el campo haciendo lo suyo.</v>
      </c>
    </row>
    <row r="20666">
      <c r="A20666" s="4" t="s">
        <v>26022</v>
      </c>
      <c r="B20666" s="4" t="s">
        <v>26025</v>
      </c>
      <c r="C20666" s="5" t="str">
        <f>IFERROR(__xludf.DUMMYFUNCTION("GOOGLETRANSLATE(B20666,""en"",""es-ES"")"),"Los ángulos de la cámara están cambiando y cuando obtenemos un primer plano del hombre, finalmente podemos ver la cuerda que está tirando.")</f>
        <v>Los ángulos de la cámara están cambiando y cuando obtenemos un primer plano del hombre, finalmente podemos ver la cuerda que está tirando.</v>
      </c>
    </row>
    <row r="20667">
      <c r="A20667" s="4" t="s">
        <v>26026</v>
      </c>
      <c r="B20667" s="4" t="s">
        <v>26027</v>
      </c>
      <c r="C20667" s="5" t="str">
        <f>IFERROR(__xludf.DUMMYFUNCTION("GOOGLETRANSLATE(B20667,""en"",""es-ES"")"),"Una mujer está bañando dos cachorros de color blanco en una bañera de naranja llena de agua.")</f>
        <v>Una mujer está bañando dos cachorros de color blanco en una bañera de naranja llena de agua.</v>
      </c>
    </row>
    <row r="20668">
      <c r="A20668" s="4" t="s">
        <v>26026</v>
      </c>
      <c r="B20668" s="4" t="s">
        <v>26028</v>
      </c>
      <c r="C20668" s="5" t="str">
        <f>IFERROR(__xludf.DUMMYFUNCTION("GOOGLETRANSLATE(B20668,""en"",""es-ES"")"),"Se le une a un hombre con un reloj de pulsera, que ayuda a la mujer a bañar a los dos cachorros.")</f>
        <v>Se le une a un hombre con un reloj de pulsera, que ayuda a la mujer a bañar a los dos cachorros.</v>
      </c>
    </row>
    <row r="20669">
      <c r="A20669" s="4" t="s">
        <v>26026</v>
      </c>
      <c r="B20669" s="4" t="s">
        <v>26029</v>
      </c>
      <c r="C20669" s="5" t="str">
        <f>IFERROR(__xludf.DUMMYFUNCTION("GOOGLETRANSLATE(B20669,""en"",""es-ES"")"),"Uno de los cachorros intenta salir de la bañera y el hombre lo sostiene y lo vuelve a poner.")</f>
        <v>Uno de los cachorros intenta salir de la bañera y el hombre lo sostiene y lo vuelve a poner.</v>
      </c>
    </row>
    <row r="20670">
      <c r="A20670" s="4" t="s">
        <v>26026</v>
      </c>
      <c r="B20670" s="4" t="s">
        <v>26030</v>
      </c>
      <c r="C20670" s="5" t="str">
        <f>IFERROR(__xludf.DUMMYFUNCTION("GOOGLETRANSLATE(B20670,""en"",""es-ES"")"),"La mujer continúa lavando a los cachorros.")</f>
        <v>La mujer continúa lavando a los cachorros.</v>
      </c>
    </row>
    <row r="20671">
      <c r="A20671" s="4" t="s">
        <v>26031</v>
      </c>
      <c r="B20671" s="4" t="s">
        <v>26032</v>
      </c>
      <c r="C20671" s="5" t="str">
        <f>IFERROR(__xludf.DUMMYFUNCTION("GOOGLETRANSLATE(B20671,""en"",""es-ES"")"),"Un hombre con camisa negra limpia la mesa con un paño blanco.")</f>
        <v>Un hombre con camisa negra limpia la mesa con un paño blanco.</v>
      </c>
    </row>
    <row r="20672">
      <c r="A20672" s="4" t="s">
        <v>26031</v>
      </c>
      <c r="B20672" s="4" t="s">
        <v>26033</v>
      </c>
      <c r="C20672" s="5" t="str">
        <f>IFERROR(__xludf.DUMMYFUNCTION("GOOGLETRANSLATE(B20672,""en"",""es-ES"")"),"Las luces blancas se reflejan en la mesa.")</f>
        <v>Las luces blancas se reflejan en la mesa.</v>
      </c>
    </row>
    <row r="20673">
      <c r="A20673" s="4" t="s">
        <v>26031</v>
      </c>
      <c r="B20673" s="4" t="s">
        <v>26034</v>
      </c>
      <c r="C20673" s="5" t="str">
        <f>IFERROR(__xludf.DUMMYFUNCTION("GOOGLETRANSLATE(B20673,""en"",""es-ES"")"),"El hombre limpia el borde de la mesa con trapo blanco.")</f>
        <v>El hombre limpia el borde de la mesa con trapo blanco.</v>
      </c>
    </row>
    <row r="20674">
      <c r="A20674" s="4" t="s">
        <v>26035</v>
      </c>
      <c r="B20674" s="4" t="s">
        <v>26036</v>
      </c>
      <c r="C20674" s="5" t="str">
        <f>IFERROR(__xludf.DUMMYFUNCTION("GOOGLETRANSLATE(B20674,""en"",""es-ES"")"),"Una mujer está haciendo un tutorial sobre cómo limpiar un fregadero de cocina con bicarbonato de sodio, cepillo de dientes y trapo de tela.")</f>
        <v>Una mujer está haciendo un tutorial sobre cómo limpiar un fregadero de cocina con bicarbonato de sodio, cepillo de dientes y trapo de tela.</v>
      </c>
    </row>
    <row r="20675">
      <c r="A20675" s="4" t="s">
        <v>26035</v>
      </c>
      <c r="B20675" s="4" t="s">
        <v>26037</v>
      </c>
      <c r="C20675" s="5" t="str">
        <f>IFERROR(__xludf.DUMMYFUNCTION("GOOGLETRANSLATE(B20675,""en"",""es-ES"")"),"Primero toma un poco de bicarbonato de sodio en el trapo y lo frota en el fregadero.")</f>
        <v>Primero toma un poco de bicarbonato de sodio en el trapo y lo frota en el fregadero.</v>
      </c>
    </row>
    <row r="20676">
      <c r="A20676" s="4" t="s">
        <v>26035</v>
      </c>
      <c r="B20676" s="4" t="s">
        <v>26038</v>
      </c>
      <c r="C20676" s="5" t="str">
        <f>IFERROR(__xludf.DUMMYFUNCTION("GOOGLETRANSLATE(B20676,""en"",""es-ES"")"),"Luego toma el cepillo de dientes y lo sumerge en el bicarbonato de sodio.")</f>
        <v>Luego toma el cepillo de dientes y lo sumerge en el bicarbonato de sodio.</v>
      </c>
    </row>
    <row r="20677">
      <c r="A20677" s="4" t="s">
        <v>26035</v>
      </c>
      <c r="B20677" s="4" t="s">
        <v>26039</v>
      </c>
      <c r="C20677" s="5" t="str">
        <f>IFERROR(__xludf.DUMMYFUNCTION("GOOGLETRANSLATE(B20677,""en"",""es-ES"")"),"Ella cepilla el cepillo de dientes en los bordes del fregadero para limpiarlo.")</f>
        <v>Ella cepilla el cepillo de dientes en los bordes del fregadero para limpiarlo.</v>
      </c>
    </row>
    <row r="20678">
      <c r="A20678" s="4" t="s">
        <v>26035</v>
      </c>
      <c r="B20678" s="4" t="s">
        <v>26040</v>
      </c>
      <c r="C20678" s="5" t="str">
        <f>IFERROR(__xludf.DUMMYFUNCTION("GOOGLETRANSLATE(B20678,""en"",""es-ES"")"),"Enciende el grifo y lava el bicarbonato de sodio del fregadero.")</f>
        <v>Enciende el grifo y lava el bicarbonato de sodio del fregadero.</v>
      </c>
    </row>
    <row r="20679">
      <c r="A20679" s="4" t="s">
        <v>26035</v>
      </c>
      <c r="B20679" s="4" t="s">
        <v>26041</v>
      </c>
      <c r="C20679" s="5" t="str">
        <f>IFERROR(__xludf.DUMMYFUNCTION("GOOGLETRANSLATE(B20679,""en"",""es-ES"")"),"Luego toma un poco de vinagre en la tela de lavado y limpia el fregadero con él.")</f>
        <v>Luego toma un poco de vinagre en la tela de lavado y limpia el fregadero con él.</v>
      </c>
    </row>
    <row r="20680">
      <c r="A20680" s="4" t="s">
        <v>26042</v>
      </c>
      <c r="B20680" s="4" t="s">
        <v>26043</v>
      </c>
      <c r="C20680" s="5" t="str">
        <f>IFERROR(__xludf.DUMMYFUNCTION("GOOGLETRANSLATE(B20680,""en"",""es-ES"")"),"Girlwearnig Un cuerpo púrpura está en un poste de equilibrio y salta a los puestos en la parte superior.")</f>
        <v>Girlwearnig Un cuerpo púrpura está en un poste de equilibrio y salta a los puestos en la parte superior.</v>
      </c>
    </row>
    <row r="20681">
      <c r="A20681" s="4" t="s">
        <v>26042</v>
      </c>
      <c r="B20681" s="4" t="s">
        <v>26044</v>
      </c>
      <c r="C20681" s="5" t="str">
        <f>IFERROR(__xludf.DUMMYFUNCTION("GOOGLETRANSLATE(B20681,""en"",""es-ES"")"),"La niña está haciendo gimnasia además del rayo de equilibrio.")</f>
        <v>La niña está haciendo gimnasia además del rayo de equilibrio.</v>
      </c>
    </row>
    <row r="20682">
      <c r="A20682" s="4" t="s">
        <v>26042</v>
      </c>
      <c r="B20682" s="4" t="s">
        <v>26045</v>
      </c>
      <c r="C20682" s="5" t="str">
        <f>IFERROR(__xludf.DUMMYFUNCTION("GOOGLETRANSLATE(B20682,""en"",""es-ES"")"),"La gente en las gradas en la cancha está viendo al niño haciendo gimnasia.")</f>
        <v>La gente en las gradas en la cancha está viendo al niño haciendo gimnasia.</v>
      </c>
    </row>
    <row r="20683">
      <c r="A20683" s="4" t="s">
        <v>26042</v>
      </c>
      <c r="B20683" s="4" t="s">
        <v>26046</v>
      </c>
      <c r="C20683" s="5" t="str">
        <f>IFERROR(__xludf.DUMMYFUNCTION("GOOGLETRANSLATE(B20683,""en"",""es-ES"")"),"La niña hace un gran salto mortal y aterriza en el piso.")</f>
        <v>La niña hace un gran salto mortal y aterriza en el piso.</v>
      </c>
    </row>
    <row r="20684">
      <c r="A20684" s="4" t="s">
        <v>26047</v>
      </c>
      <c r="B20684" s="4" t="s">
        <v>26048</v>
      </c>
      <c r="C20684" s="5" t="str">
        <f>IFERROR(__xludf.DUMMYFUNCTION("GOOGLETRANSLATE(B20684,""en"",""es-ES"")"),"Un hombre con brazos tatuados se detiene la oreja de la joven con un hisopo de la oreja.")</f>
        <v>Un hombre con brazos tatuados se detiene la oreja de la joven con un hisopo de la oreja.</v>
      </c>
    </row>
    <row r="20685">
      <c r="A20685" s="4" t="s">
        <v>26047</v>
      </c>
      <c r="B20685" s="4" t="s">
        <v>26049</v>
      </c>
      <c r="C20685" s="5" t="str">
        <f>IFERROR(__xludf.DUMMYFUNCTION("GOOGLETRANSLATE(B20685,""en"",""es-ES"")"),"La señora se pone de pie y se mira en el espejo.")</f>
        <v>La señora se pone de pie y se mira en el espejo.</v>
      </c>
    </row>
    <row r="20686">
      <c r="A20686" s="4" t="s">
        <v>26047</v>
      </c>
      <c r="B20686" s="4" t="s">
        <v>26050</v>
      </c>
      <c r="C20686" s="5" t="str">
        <f>IFERROR(__xludf.DUMMYFUNCTION("GOOGLETRANSLATE(B20686,""en"",""es-ES"")"),"Ella se acuesta en una silla médica negra y el hombre perfora el trago de su oído con herramientas médicas.")</f>
        <v>Ella se acuesta en una silla médica negra y el hombre perfora el trago de su oído con herramientas médicas.</v>
      </c>
    </row>
    <row r="20687">
      <c r="A20687" s="4" t="s">
        <v>26047</v>
      </c>
      <c r="B20687" s="4" t="s">
        <v>26051</v>
      </c>
      <c r="C20687" s="5" t="str">
        <f>IFERROR(__xludf.DUMMYFUNCTION("GOOGLETRANSLATE(B20687,""en"",""es-ES"")"),"La señora se mira a sí misma y a su nueva perforación en el espejo, sonríe y da dos pulgares hacia arriba.")</f>
        <v>La señora se mira a sí misma y a su nueva perforación en el espejo, sonríe y da dos pulgares hacia arriba.</v>
      </c>
    </row>
    <row r="20688">
      <c r="A20688" s="4" t="s">
        <v>26047</v>
      </c>
      <c r="B20688" s="4" t="s">
        <v>26052</v>
      </c>
      <c r="C20688" s="5" t="str">
        <f>IFERROR(__xludf.DUMMYFUNCTION("GOOGLETRANSLATE(B20688,""en"",""es-ES"")"),"Las palabras ""Si quieres saber algo más sobre perforar, simplemente comente o envíame un mensaje :) Nuevos videos de belleza junto con una colección de maquillaje pronto aparecerán en la pantalla.")</f>
        <v>Las palabras "Si quieres saber algo más sobre perforar, simplemente comente o envíame un mensaje :) Nuevos videos de belleza junto con una colección de maquillaje pronto aparecerán en la pantalla.</v>
      </c>
    </row>
    <row r="20689">
      <c r="A20689" s="4" t="s">
        <v>26053</v>
      </c>
      <c r="B20689" s="4" t="s">
        <v>26054</v>
      </c>
      <c r="C20689" s="5" t="str">
        <f>IFERROR(__xludf.DUMMYFUNCTION("GOOGLETRANSLATE(B20689,""en"",""es-ES"")"),"Una gimnasta se acerca a una viga, preparándose.")</f>
        <v>Una gimnasta se acerca a una viga, preparándose.</v>
      </c>
    </row>
    <row r="20690">
      <c r="A20690" s="4" t="s">
        <v>26053</v>
      </c>
      <c r="B20690" s="4" t="s">
        <v>26055</v>
      </c>
      <c r="C20690" s="5" t="str">
        <f>IFERROR(__xludf.DUMMYFUNCTION("GOOGLETRANSLATE(B20690,""en"",""es-ES"")"),"Él monta la viga, luego hace varios actos a su alrededor, incluyendo girar y voltear.")</f>
        <v>Él monta la viga, luego hace varios actos a su alrededor, incluyendo girar y voltear.</v>
      </c>
    </row>
    <row r="20691">
      <c r="A20691" s="4" t="s">
        <v>26053</v>
      </c>
      <c r="B20691" s="4" t="s">
        <v>26056</v>
      </c>
      <c r="C20691" s="5" t="str">
        <f>IFERROR(__xludf.DUMMYFUNCTION("GOOGLETRANSLATE(B20691,""en"",""es-ES"")"),"Él desmonta y se aleja.")</f>
        <v>Él desmonta y se aleja.</v>
      </c>
    </row>
    <row r="20692">
      <c r="A20692" s="4" t="s">
        <v>26057</v>
      </c>
      <c r="B20692" s="4" t="s">
        <v>26058</v>
      </c>
      <c r="C20692" s="5" t="str">
        <f>IFERROR(__xludf.DUMMYFUNCTION("GOOGLETRANSLATE(B20692,""en"",""es-ES"")"),"Una cámara captura una red frente al cielo y muestra a dos personas preparando cuerdas para saltar el bungee.")</f>
        <v>Una cámara captura una red frente al cielo y muestra a dos personas preparando cuerdas para saltar el bungee.</v>
      </c>
    </row>
    <row r="20693">
      <c r="A20693" s="4" t="s">
        <v>26057</v>
      </c>
      <c r="B20693" s="4" t="s">
        <v>26059</v>
      </c>
      <c r="C20693" s="5" t="str">
        <f>IFERROR(__xludf.DUMMYFUNCTION("GOOGLETRANSLATE(B20693,""en"",""es-ES"")"),"El camarógrafo salta de la repisa y muestra sus pies mientras gira.")</f>
        <v>El camarógrafo salta de la repisa y muestra sus pies mientras gira.</v>
      </c>
    </row>
    <row r="20694">
      <c r="A20694" s="4" t="s">
        <v>26057</v>
      </c>
      <c r="B20694" s="4" t="s">
        <v>26060</v>
      </c>
      <c r="C20694" s="5" t="str">
        <f>IFERROR(__xludf.DUMMYFUNCTION("GOOGLETRANSLATE(B20694,""en"",""es-ES"")"),"Otra cámara capturó su salto desde la parte inferior y conduce a varias personas que esperan en la parte inferior y se alejan.")</f>
        <v>Otra cámara capturó su salto desde la parte inferior y conduce a varias personas que esperan en la parte inferior y se alejan.</v>
      </c>
    </row>
    <row r="20695">
      <c r="A20695" s="4" t="s">
        <v>26061</v>
      </c>
      <c r="B20695" s="4" t="s">
        <v>26062</v>
      </c>
      <c r="C20695" s="5" t="str">
        <f>IFERROR(__xludf.DUMMYFUNCTION("GOOGLETRANSLATE(B20695,""en"",""es-ES"")"),"Un niño con una chaqueta azul se pone en un tubo de nieve de rosquilla.")</f>
        <v>Un niño con una chaqueta azul se pone en un tubo de nieve de rosquilla.</v>
      </c>
    </row>
    <row r="20696">
      <c r="A20696" s="4" t="s">
        <v>26061</v>
      </c>
      <c r="B20696" s="4" t="s">
        <v>26063</v>
      </c>
      <c r="C20696" s="5" t="str">
        <f>IFERROR(__xludf.DUMMYFUNCTION("GOOGLETRANSLATE(B20696,""en"",""es-ES"")"),"Dos niños pequeños lo miran.")</f>
        <v>Dos niños pequeños lo miran.</v>
      </c>
    </row>
    <row r="20697">
      <c r="A20697" s="4" t="s">
        <v>26061</v>
      </c>
      <c r="B20697" s="4" t="s">
        <v>26064</v>
      </c>
      <c r="C20697" s="5" t="str">
        <f>IFERROR(__xludf.DUMMYFUNCTION("GOOGLETRANSLATE(B20697,""en"",""es-ES"")"),"Todo el grupo cae por la nieve.")</f>
        <v>Todo el grupo cae por la nieve.</v>
      </c>
    </row>
    <row r="20698">
      <c r="A20698" s="4" t="s">
        <v>26065</v>
      </c>
      <c r="B20698" s="4" t="s">
        <v>26066</v>
      </c>
      <c r="C20698" s="5" t="str">
        <f>IFERROR(__xludf.DUMMYFUNCTION("GOOGLETRANSLATE(B20698,""en"",""es-ES"")"),"El hombre lleva un traje de neopreno de espaldas haciendo Windsurf en un lago.")</f>
        <v>El hombre lleva un traje de neopreno de espaldas haciendo Windsurf en un lago.</v>
      </c>
    </row>
    <row r="20699">
      <c r="A20699" s="4" t="s">
        <v>26065</v>
      </c>
      <c r="B20699" s="4" t="s">
        <v>26067</v>
      </c>
      <c r="C20699" s="5" t="str">
        <f>IFERROR(__xludf.DUMMYFUNCTION("GOOGLETRANSLATE(B20699,""en"",""es-ES"")"),"El hombre está Windsurf en un lago haciendo trucos.")</f>
        <v>El hombre está Windsurf en un lago haciendo trucos.</v>
      </c>
    </row>
    <row r="20700">
      <c r="A20700" s="4" t="s">
        <v>26065</v>
      </c>
      <c r="B20700" s="4" t="s">
        <v>26068</v>
      </c>
      <c r="C20700" s="5" t="str">
        <f>IFERROR(__xludf.DUMMYFUNCTION("GOOGLETRANSLATE(B20700,""en"",""es-ES"")"),"El hombre Windsurf dio hola a la cámara.")</f>
        <v>El hombre Windsurf dio hola a la cámara.</v>
      </c>
    </row>
    <row r="20701">
      <c r="A20701" s="4" t="s">
        <v>26069</v>
      </c>
      <c r="B20701" s="4" t="s">
        <v>26070</v>
      </c>
      <c r="C20701" s="5" t="str">
        <f>IFERROR(__xludf.DUMMYFUNCTION("GOOGLETRANSLATE(B20701,""en"",""es-ES"")"),"Se ve a una pareja realizando una rutina de tango entre sí en una habitación pequeña.")</f>
        <v>Se ve a una pareja realizando una rutina de tango entre sí en una habitación pequeña.</v>
      </c>
    </row>
    <row r="20702">
      <c r="A20702" s="4" t="s">
        <v>26069</v>
      </c>
      <c r="B20702" s="4" t="s">
        <v>26071</v>
      </c>
      <c r="C20702" s="5" t="str">
        <f>IFERROR(__xludf.DUMMYFUNCTION("GOOGLETRANSLATE(B20702,""en"",""es-ES"")"),"La gente continúa girando y bailando por toda la habitación y termina con ellos deteniéndose y frente a la cámara.")</f>
        <v>La gente continúa girando y bailando por toda la habitación y termina con ellos deteniéndose y frente a la cámara.</v>
      </c>
    </row>
    <row r="20703">
      <c r="A20703" s="4" t="s">
        <v>26072</v>
      </c>
      <c r="B20703" s="4" t="s">
        <v>26073</v>
      </c>
      <c r="C20703" s="5" t="str">
        <f>IFERROR(__xludf.DUMMYFUNCTION("GOOGLETRANSLATE(B20703,""en"",""es-ES"")"),"Un grupo se sienta en una mesa de café y disfruta de café y pasteles.")</f>
        <v>Un grupo se sienta en una mesa de café y disfruta de café y pasteles.</v>
      </c>
    </row>
    <row r="20704">
      <c r="A20704" s="4" t="s">
        <v>26072</v>
      </c>
      <c r="B20704" s="4" t="s">
        <v>26074</v>
      </c>
      <c r="C20704" s="5" t="str">
        <f>IFERROR(__xludf.DUMMYFUNCTION("GOOGLETRANSLATE(B20704,""en"",""es-ES"")"),"Las mujeres se transmiten condimentos entre sí.")</f>
        <v>Las mujeres se transmiten condimentos entre sí.</v>
      </c>
    </row>
    <row r="20705">
      <c r="A20705" s="4" t="s">
        <v>26072</v>
      </c>
      <c r="B20705" s="4" t="s">
        <v>26075</v>
      </c>
      <c r="C20705" s="5" t="str">
        <f>IFERROR(__xludf.DUMMYFUNCTION("GOOGLETRANSLATE(B20705,""en"",""es-ES"")"),"Un pequeño grupo se sienta en un balcón y habla.")</f>
        <v>Un pequeño grupo se sienta en un balcón y habla.</v>
      </c>
    </row>
    <row r="20706">
      <c r="A20706" s="4" t="s">
        <v>26076</v>
      </c>
      <c r="B20706" s="4" t="s">
        <v>26077</v>
      </c>
      <c r="C20706" s="5" t="str">
        <f>IFERROR(__xludf.DUMMYFUNCTION("GOOGLETRANSLATE(B20706,""en"",""es-ES"")"),"Un hombre está arrodillado en el suelo.")</f>
        <v>Un hombre está arrodillado en el suelo.</v>
      </c>
    </row>
    <row r="20707">
      <c r="A20707" s="4" t="s">
        <v>26076</v>
      </c>
      <c r="B20707" s="4" t="s">
        <v>26078</v>
      </c>
      <c r="C20707" s="5" t="str">
        <f>IFERROR(__xludf.DUMMYFUNCTION("GOOGLETRANSLATE(B20707,""en"",""es-ES"")"),"Está tirando de un cordón que está unido a la pared.")</f>
        <v>Está tirando de un cordón que está unido a la pared.</v>
      </c>
    </row>
    <row r="20708">
      <c r="A20708" s="4" t="s">
        <v>26076</v>
      </c>
      <c r="B20708" s="4" t="s">
        <v>26079</v>
      </c>
      <c r="C20708" s="5" t="str">
        <f>IFERROR(__xludf.DUMMYFUNCTION("GOOGLETRANSLATE(B20708,""en"",""es-ES"")"),"Continúa tirando del cordón y haciendo ejercicio.")</f>
        <v>Continúa tirando del cordón y haciendo ejercicio.</v>
      </c>
    </row>
    <row r="20709">
      <c r="A20709" s="4" t="s">
        <v>26080</v>
      </c>
      <c r="B20709" s="4" t="s">
        <v>26081</v>
      </c>
      <c r="C20709" s="5" t="str">
        <f>IFERROR(__xludf.DUMMYFUNCTION("GOOGLETRANSLATE(B20709,""en"",""es-ES"")"),"Un hombre se acerca a un seto que lleva un gran par de recortadores de seto.")</f>
        <v>Un hombre se acerca a un seto que lleva un gran par de recortadores de seto.</v>
      </c>
    </row>
    <row r="20710">
      <c r="A20710" s="4" t="s">
        <v>26080</v>
      </c>
      <c r="B20710" s="4" t="s">
        <v>26082</v>
      </c>
      <c r="C20710" s="5" t="str">
        <f>IFERROR(__xludf.DUMMYFUNCTION("GOOGLETRANSLATE(B20710,""en"",""es-ES"")"),"Muestra cómo recortar los setos cuidadosamente, bajando un poco a la vez.")</f>
        <v>Muestra cómo recortar los setos cuidadosamente, bajando un poco a la vez.</v>
      </c>
    </row>
    <row r="20711">
      <c r="A20711" s="4" t="s">
        <v>26080</v>
      </c>
      <c r="B20711" s="4" t="s">
        <v>26083</v>
      </c>
      <c r="C20711" s="5" t="str">
        <f>IFERROR(__xludf.DUMMYFUNCTION("GOOGLETRANSLATE(B20711,""en"",""es-ES"")"),"Se detiene, hablando con la cámara a medida que avanza.")</f>
        <v>Se detiene, hablando con la cámara a medida que avanza.</v>
      </c>
    </row>
    <row r="20712">
      <c r="A20712" s="4" t="s">
        <v>26084</v>
      </c>
      <c r="B20712" s="4" t="s">
        <v>26085</v>
      </c>
      <c r="C20712" s="5" t="str">
        <f>IFERROR(__xludf.DUMMYFUNCTION("GOOGLETRANSLATE(B20712,""en"",""es-ES"")"),"Vemos a una niña sosteniendo la correa para un perro grande.")</f>
        <v>Vemos a una niña sosteniendo la correa para un perro grande.</v>
      </c>
    </row>
    <row r="20713">
      <c r="A20713" s="4" t="s">
        <v>26084</v>
      </c>
      <c r="B20713" s="4" t="s">
        <v>26086</v>
      </c>
      <c r="C20713" s="5" t="str">
        <f>IFERROR(__xludf.DUMMYFUNCTION("GOOGLETRANSLATE(B20713,""en"",""es-ES"")"),"La niña cae y deja caer la correa.")</f>
        <v>La niña cae y deja caer la correa.</v>
      </c>
    </row>
    <row r="20714">
      <c r="A20714" s="4" t="s">
        <v>26084</v>
      </c>
      <c r="B20714" s="4" t="s">
        <v>26087</v>
      </c>
      <c r="C20714" s="5" t="str">
        <f>IFERROR(__xludf.DUMMYFUNCTION("GOOGLETRANSLATE(B20714,""en"",""es-ES"")"),"La niña luego sigue al perro para obtener la correa.")</f>
        <v>La niña luego sigue al perro para obtener la correa.</v>
      </c>
    </row>
    <row r="20715">
      <c r="A20715" s="4" t="s">
        <v>26084</v>
      </c>
      <c r="B20715" s="4" t="s">
        <v>26088</v>
      </c>
      <c r="C20715" s="5" t="str">
        <f>IFERROR(__xludf.DUMMYFUNCTION("GOOGLETRANSLATE(B20715,""en"",""es-ES"")"),"Ella obtiene la correa y camina al perro.")</f>
        <v>Ella obtiene la correa y camina al perro.</v>
      </c>
    </row>
    <row r="20716">
      <c r="A20716" s="4" t="s">
        <v>26089</v>
      </c>
      <c r="B20716" s="4" t="s">
        <v>26090</v>
      </c>
      <c r="C20716" s="5" t="str">
        <f>IFERROR(__xludf.DUMMYFUNCTION("GOOGLETRANSLATE(B20716,""en"",""es-ES"")"),"Se ve a una mujer de pie ante piñata y balanceando un bate.")</f>
        <v>Se ve a una mujer de pie ante piñata y balanceando un bate.</v>
      </c>
    </row>
    <row r="20717">
      <c r="A20717" s="4" t="s">
        <v>26089</v>
      </c>
      <c r="B20717" s="4" t="s">
        <v>26091</v>
      </c>
      <c r="C20717" s="5" t="str">
        <f>IFERROR(__xludf.DUMMYFUNCTION("GOOGLETRANSLATE(B20717,""en"",""es-ES"")"),"La gente mira a un lado mientras la mujer continúa golpeando el objeto.")</f>
        <v>La gente mira a un lado mientras la mujer continúa golpeando el objeto.</v>
      </c>
    </row>
    <row r="20718">
      <c r="A20718" s="4" t="s">
        <v>26089</v>
      </c>
      <c r="B20718" s="4" t="s">
        <v>26092</v>
      </c>
      <c r="C20718" s="5" t="str">
        <f>IFERROR(__xludf.DUMMYFUNCTION("GOOGLETRANSLATE(B20718,""en"",""es-ES"")"),"La mujer se balancea una y otra vez y un hombre entra en el marco para patearlo.")</f>
        <v>La mujer se balancea una y otra vez y un hombre entra en el marco para patearlo.</v>
      </c>
    </row>
    <row r="20719">
      <c r="A20719" s="4" t="s">
        <v>26093</v>
      </c>
      <c r="B20719" s="4" t="s">
        <v>26094</v>
      </c>
      <c r="C20719" s="5" t="str">
        <f>IFERROR(__xludf.DUMMYFUNCTION("GOOGLETRANSLATE(B20719,""en"",""es-ES"")"),"Un grupo de niños está parado afuera de un edificio.")</f>
        <v>Un grupo de niños está parado afuera de un edificio.</v>
      </c>
    </row>
    <row r="20720">
      <c r="A20720" s="4" t="s">
        <v>26093</v>
      </c>
      <c r="B20720" s="4" t="s">
        <v>26095</v>
      </c>
      <c r="C20720" s="5" t="str">
        <f>IFERROR(__xludf.DUMMYFUNCTION("GOOGLETRANSLATE(B20720,""en"",""es-ES"")"),"Los adultos los supervisan mientras un oficial pasa.")</f>
        <v>Los adultos los supervisan mientras un oficial pasa.</v>
      </c>
    </row>
    <row r="20721">
      <c r="A20721" s="4" t="s">
        <v>26093</v>
      </c>
      <c r="B20721" s="4" t="s">
        <v>26096</v>
      </c>
      <c r="C20721" s="5" t="str">
        <f>IFERROR(__xludf.DUMMYFUNCTION("GOOGLETRANSLATE(B20721,""en"",""es-ES"")"),"Los niños realizan varios ejercicios dirigidos por los adultos.")</f>
        <v>Los niños realizan varios ejercicios dirigidos por los adultos.</v>
      </c>
    </row>
    <row r="20722">
      <c r="A20722" s="4" t="s">
        <v>26097</v>
      </c>
      <c r="B20722" s="4" t="s">
        <v>26098</v>
      </c>
      <c r="C20722" s="5" t="str">
        <f>IFERROR(__xludf.DUMMYFUNCTION("GOOGLETRANSLATE(B20722,""en"",""es-ES"")"),"En 2009, se muestra a un hombre sentado en una mesa.")</f>
        <v>En 2009, se muestra a un hombre sentado en una mesa.</v>
      </c>
    </row>
    <row r="20723">
      <c r="A20723" s="4" t="s">
        <v>26097</v>
      </c>
      <c r="B20723" s="4" t="s">
        <v>26099</v>
      </c>
      <c r="C20723" s="5" t="str">
        <f>IFERROR(__xludf.DUMMYFUNCTION("GOOGLETRANSLATE(B20723,""en"",""es-ES"")"),"Tiene dos cubos de Rubik frente a él.")</f>
        <v>Tiene dos cubos de Rubik frente a él.</v>
      </c>
    </row>
    <row r="20724">
      <c r="A20724" s="4" t="s">
        <v>26097</v>
      </c>
      <c r="B20724" s="4" t="s">
        <v>26100</v>
      </c>
      <c r="C20724" s="5" t="str">
        <f>IFERROR(__xludf.DUMMYFUNCTION("GOOGLETRANSLATE(B20724,""en"",""es-ES"")"),"A medida que funciona un temporizador, resuelve el rompecabezas usando solo una mano.")</f>
        <v>A medida que funciona un temporizador, resuelve el rompecabezas usando solo una mano.</v>
      </c>
    </row>
    <row r="20725">
      <c r="A20725" s="4" t="s">
        <v>26097</v>
      </c>
      <c r="B20725" s="4" t="s">
        <v>26101</v>
      </c>
      <c r="C20725" s="5" t="str">
        <f>IFERROR(__xludf.DUMMYFUNCTION("GOOGLETRANSLATE(B20725,""en"",""es-ES"")"),"Salta en victoria después de solo 17 segundos.")</f>
        <v>Salta en victoria después de solo 17 segundos.</v>
      </c>
    </row>
    <row r="20726">
      <c r="A20726" s="4" t="s">
        <v>26102</v>
      </c>
      <c r="B20726" s="4" t="s">
        <v>26103</v>
      </c>
      <c r="C20726" s="5" t="str">
        <f>IFERROR(__xludf.DUMMYFUNCTION("GOOGLETRANSLATE(B20726,""en"",""es-ES"")"),"La persona está subiendo en las escaleras cuando las olas las golpean, los surfistas están surfeando sobre las fuertes olas.")</f>
        <v>La persona está subiendo en las escaleras cuando las olas las golpean, los surfistas están surfeando sobre las fuertes olas.</v>
      </c>
    </row>
    <row r="20727">
      <c r="A20727" s="4" t="s">
        <v>26102</v>
      </c>
      <c r="B20727" s="4" t="s">
        <v>26104</v>
      </c>
      <c r="C20727" s="5" t="str">
        <f>IFERROR(__xludf.DUMMYFUNCTION("GOOGLETRANSLATE(B20727,""en"",""es-ES"")"),"Dos personas que llevan sus tablas de surf están subiendo en las escaleras.")</f>
        <v>Dos personas que llevan sus tablas de surf están subiendo en las escaleras.</v>
      </c>
    </row>
    <row r="20728">
      <c r="A20728" s="4" t="s">
        <v>26102</v>
      </c>
      <c r="B20728" s="4" t="s">
        <v>26105</v>
      </c>
      <c r="C20728" s="5" t="str">
        <f>IFERROR(__xludf.DUMMYFUNCTION("GOOGLETRANSLATE(B20728,""en"",""es-ES"")"),"La gente detrás de la cerca está observando a los surfistas mientras la carrera antes de la gran ola los golpearon.")</f>
        <v>La gente detrás de la cerca está observando a los surfistas mientras la carrera antes de la gran ola los golpearon.</v>
      </c>
    </row>
    <row r="20729">
      <c r="A20729" s="4" t="s">
        <v>26106</v>
      </c>
      <c r="B20729" s="4" t="s">
        <v>26107</v>
      </c>
      <c r="C20729" s="5" t="str">
        <f>IFERROR(__xludf.DUMMYFUNCTION("GOOGLETRANSLATE(B20729,""en"",""es-ES"")"),"Un niño pequeño con gafas salta a una piscina.")</f>
        <v>Un niño pequeño con gafas salta a una piscina.</v>
      </c>
    </row>
    <row r="20730">
      <c r="A20730" s="4" t="s">
        <v>26106</v>
      </c>
      <c r="B20730" s="4" t="s">
        <v>26108</v>
      </c>
      <c r="C20730" s="5" t="str">
        <f>IFERROR(__xludf.DUMMYFUNCTION("GOOGLETRANSLATE(B20730,""en"",""es-ES"")"),"Se sumerge hasta el fondo y recoge algo en el fondo de la piscina.")</f>
        <v>Se sumerge hasta el fondo y recoge algo en el fondo de la piscina.</v>
      </c>
    </row>
    <row r="20731">
      <c r="A20731" s="4" t="s">
        <v>26106</v>
      </c>
      <c r="B20731" s="4" t="s">
        <v>26109</v>
      </c>
      <c r="C20731" s="5" t="str">
        <f>IFERROR(__xludf.DUMMYFUNCTION("GOOGLETRANSLATE(B20731,""en"",""es-ES"")"),"Vuelve a la cima y por encima del agua.")</f>
        <v>Vuelve a la cima y por encima del agua.</v>
      </c>
    </row>
    <row r="20732">
      <c r="A20732" s="4" t="s">
        <v>26110</v>
      </c>
      <c r="B20732" s="4" t="s">
        <v>26111</v>
      </c>
      <c r="C20732" s="5" t="str">
        <f>IFERROR(__xludf.DUMMYFUNCTION("GOOGLETRANSLATE(B20732,""en"",""es-ES"")"),"Una línea de personas recoge una cuerda.")</f>
        <v>Una línea de personas recoge una cuerda.</v>
      </c>
    </row>
    <row r="20733">
      <c r="A20733" s="4" t="s">
        <v>26110</v>
      </c>
      <c r="B20733" s="4" t="s">
        <v>26112</v>
      </c>
      <c r="C20733" s="5" t="str">
        <f>IFERROR(__xludf.DUMMYFUNCTION("GOOGLETRANSLATE(B20733,""en"",""es-ES"")"),"Comienzan a jugar un juego de tira y afloja.")</f>
        <v>Comienzan a jugar un juego de tira y afloja.</v>
      </c>
    </row>
    <row r="20734">
      <c r="A20734" s="4" t="s">
        <v>26110</v>
      </c>
      <c r="B20734" s="4" t="s">
        <v>26113</v>
      </c>
      <c r="C20734" s="5" t="str">
        <f>IFERROR(__xludf.DUMMYFUNCTION("GOOGLETRANSLATE(B20734,""en"",""es-ES"")"),"Un lado se cae y la multitud aplaude.")</f>
        <v>Un lado se cae y la multitud aplaude.</v>
      </c>
    </row>
    <row r="20735">
      <c r="A20735" s="4" t="s">
        <v>26114</v>
      </c>
      <c r="B20735" s="4" t="s">
        <v>26115</v>
      </c>
      <c r="C20735" s="5" t="str">
        <f>IFERROR(__xludf.DUMMYFUNCTION("GOOGLETRANSLATE(B20735,""en"",""es-ES"")"),"Aparece una pantalla negra con las palabras, ""Ticas preparando bolso"" junto con su URL.")</f>
        <v>Aparece una pantalla negra con las palabras, "Ticas preparando bolso" junto con su URL.</v>
      </c>
    </row>
    <row r="20736">
      <c r="A20736" s="4" t="s">
        <v>26114</v>
      </c>
      <c r="B20736" s="4" t="s">
        <v>26116</v>
      </c>
      <c r="C20736" s="5" t="str">
        <f>IFERROR(__xludf.DUMMYFUNCTION("GOOGLETRANSLATE(B20736,""en"",""es-ES"")"),"Luego se muestra a un perro colgando de un poste de plata con dos correas en él.")</f>
        <v>Luego se muestra a un perro colgando de un poste de plata con dos correas en él.</v>
      </c>
    </row>
    <row r="20737">
      <c r="A20737" s="4" t="s">
        <v>26114</v>
      </c>
      <c r="B20737" s="4" t="s">
        <v>26117</v>
      </c>
      <c r="C20737" s="5" t="str">
        <f>IFERROR(__xludf.DUMMYFUNCTION("GOOGLETRANSLATE(B20737,""en"",""es-ES"")"),"Un humano luego comienza a agarrar las patas de los perros mientras el perro pequeño intenta morderla.")</f>
        <v>Un humano luego comienza a agarrar las patas de los perros mientras el perro pequeño intenta morderla.</v>
      </c>
    </row>
    <row r="20738">
      <c r="A20738" s="4" t="s">
        <v>26114</v>
      </c>
      <c r="B20738" s="4" t="s">
        <v>26118</v>
      </c>
      <c r="C20738" s="5" t="str">
        <f>IFERROR(__xludf.DUMMYFUNCTION("GOOGLETRANSLATE(B20738,""en"",""es-ES"")"),"El aseo continúa y luego el perro finalmente se vuelve a colocar en el suelo.")</f>
        <v>El aseo continúa y luego el perro finalmente se vuelve a colocar en el suelo.</v>
      </c>
    </row>
    <row r="20739">
      <c r="A20739" s="4" t="s">
        <v>26119</v>
      </c>
      <c r="B20739" s="4" t="s">
        <v>26120</v>
      </c>
      <c r="C20739" s="5" t="str">
        <f>IFERROR(__xludf.DUMMYFUNCTION("GOOGLETRANSLATE(B20739,""en"",""es-ES"")"),"Un hombre está en cuclillas en una gran sala abierta hablando.")</f>
        <v>Un hombre está en cuclillas en una gran sala abierta hablando.</v>
      </c>
    </row>
    <row r="20740">
      <c r="A20740" s="4" t="s">
        <v>26119</v>
      </c>
      <c r="B20740" s="4" t="s">
        <v>26121</v>
      </c>
      <c r="C20740" s="5" t="str">
        <f>IFERROR(__xludf.DUMMYFUNCTION("GOOGLETRANSLATE(B20740,""en"",""es-ES"")"),"El hombre demuestra cómo hacer un movimiento de baile.")</f>
        <v>El hombre demuestra cómo hacer un movimiento de baile.</v>
      </c>
    </row>
    <row r="20741">
      <c r="A20741" s="4" t="s">
        <v>26119</v>
      </c>
      <c r="B20741" s="4" t="s">
        <v>26122</v>
      </c>
      <c r="C20741" s="5" t="str">
        <f>IFERROR(__xludf.DUMMYFUNCTION("GOOGLETRANSLATE(B20741,""en"",""es-ES"")"),"Luego hace el movimiento varias veces y se pone de pie.")</f>
        <v>Luego hace el movimiento varias veces y se pone de pie.</v>
      </c>
    </row>
    <row r="20742">
      <c r="A20742" s="4" t="s">
        <v>26123</v>
      </c>
      <c r="B20742" s="4" t="s">
        <v>26124</v>
      </c>
      <c r="C20742" s="5" t="str">
        <f>IFERROR(__xludf.DUMMYFUNCTION("GOOGLETRANSLATE(B20742,""en"",""es-ES"")"),"La gente está jugando un juego de bádminton en una cancha.")</f>
        <v>La gente está jugando un juego de bádminton en una cancha.</v>
      </c>
    </row>
    <row r="20743">
      <c r="A20743" s="4" t="s">
        <v>26123</v>
      </c>
      <c r="B20743" s="4" t="s">
        <v>26125</v>
      </c>
      <c r="C20743" s="5" t="str">
        <f>IFERROR(__xludf.DUMMYFUNCTION("GOOGLETRANSLATE(B20743,""en"",""es-ES"")"),"La gente está sentada detrás de ellos mirando el juego.")</f>
        <v>La gente está sentada detrás de ellos mirando el juego.</v>
      </c>
    </row>
    <row r="20744">
      <c r="A20744" s="4" t="s">
        <v>26123</v>
      </c>
      <c r="B20744" s="4" t="s">
        <v>26126</v>
      </c>
      <c r="C20744" s="5" t="str">
        <f>IFERROR(__xludf.DUMMYFUNCTION("GOOGLETRANSLATE(B20744,""en"",""es-ES"")"),"Una chica con una camisa rosa recoge la pelota.")</f>
        <v>Una chica con una camisa rosa recoge la pelota.</v>
      </c>
    </row>
    <row r="20745">
      <c r="A20745" s="4" t="s">
        <v>26127</v>
      </c>
      <c r="B20745" s="4" t="s">
        <v>26128</v>
      </c>
      <c r="C20745" s="5" t="str">
        <f>IFERROR(__xludf.DUMMYFUNCTION("GOOGLETRANSLATE(B20745,""en"",""es-ES"")"),"Un hombre se prepara en un muelle para ir al esquí acuático.")</f>
        <v>Un hombre se prepara en un muelle para ir al esquí acuático.</v>
      </c>
    </row>
    <row r="20746">
      <c r="A20746" s="4" t="s">
        <v>26127</v>
      </c>
      <c r="B20746" s="4" t="s">
        <v>26129</v>
      </c>
      <c r="C20746" s="5" t="str">
        <f>IFERROR(__xludf.DUMMYFUNCTION("GOOGLETRANSLATE(B20746,""en"",""es-ES"")"),"Se lanza al agua a medida que el bote se apaga.")</f>
        <v>Se lanza al agua a medida que el bote se apaga.</v>
      </c>
    </row>
    <row r="20747">
      <c r="A20747" s="4" t="s">
        <v>26127</v>
      </c>
      <c r="B20747" s="4" t="s">
        <v>26130</v>
      </c>
      <c r="C20747" s="5" t="str">
        <f>IFERROR(__xludf.DUMMYFUNCTION("GOOGLETRANSLATE(B20747,""en"",""es-ES"")"),"El hombre se aferra a la cuerda mientras se desliza por el agua, luciendo muy segura y hábil.")</f>
        <v>El hombre se aferra a la cuerda mientras se desliza por el agua, luciendo muy segura y hábil.</v>
      </c>
    </row>
    <row r="20748">
      <c r="A20748" s="4" t="s">
        <v>26127</v>
      </c>
      <c r="B20748" s="4" t="s">
        <v>26131</v>
      </c>
      <c r="C20748" s="5" t="str">
        <f>IFERROR(__xludf.DUMMYFUNCTION("GOOGLETRANSLATE(B20748,""en"",""es-ES"")"),"El bote está atado en el muelle y el hombre está terminado para el día.")</f>
        <v>El bote está atado en el muelle y el hombre está terminado para el día.</v>
      </c>
    </row>
    <row r="20749">
      <c r="A20749" s="4" t="s">
        <v>26132</v>
      </c>
      <c r="B20749" s="4" t="s">
        <v>26133</v>
      </c>
      <c r="C20749" s="5" t="str">
        <f>IFERROR(__xludf.DUMMYFUNCTION("GOOGLETRANSLATE(B20749,""en"",""es-ES"")"),"Un hombre señala y recoge una lata de spray presurizada para mostrarlo.")</f>
        <v>Un hombre señala y recoge una lata de spray presurizada para mostrarlo.</v>
      </c>
    </row>
    <row r="20750">
      <c r="A20750" s="4" t="s">
        <v>26132</v>
      </c>
      <c r="B20750" s="4" t="s">
        <v>26134</v>
      </c>
      <c r="C20750" s="5" t="str">
        <f>IFERROR(__xludf.DUMMYFUNCTION("GOOGLETRANSLATE(B20750,""en"",""es-ES"")"),"El hombre luego toma un rollo de toallas de papel.")</f>
        <v>El hombre luego toma un rollo de toallas de papel.</v>
      </c>
    </row>
    <row r="20751">
      <c r="A20751" s="4" t="s">
        <v>26132</v>
      </c>
      <c r="B20751" s="4" t="s">
        <v>26135</v>
      </c>
      <c r="C20751" s="5" t="str">
        <f>IFERROR(__xludf.DUMMYFUNCTION("GOOGLETRANSLATE(B20751,""en"",""es-ES"")"),"El hombre sacude la lata de spray presurizado.")</f>
        <v>El hombre sacude la lata de spray presurizado.</v>
      </c>
    </row>
    <row r="20752">
      <c r="A20752" s="4" t="s">
        <v>26132</v>
      </c>
      <c r="B20752" s="4" t="s">
        <v>26136</v>
      </c>
      <c r="C20752" s="5" t="str">
        <f>IFERROR(__xludf.DUMMYFUNCTION("GOOGLETRANSLATE(B20752,""en"",""es-ES"")"),"El hombre rocía la ventana donde está la mancha y limpia el área con una toalla de papel.")</f>
        <v>El hombre rocía la ventana donde está la mancha y limpia el área con una toalla de papel.</v>
      </c>
    </row>
    <row r="20753">
      <c r="A20753" s="4" t="s">
        <v>26132</v>
      </c>
      <c r="B20753" s="4" t="s">
        <v>26137</v>
      </c>
      <c r="C20753" s="5" t="str">
        <f>IFERROR(__xludf.DUMMYFUNCTION("GOOGLETRANSLATE(B20753,""en"",""es-ES"")"),"Rocía el limpiador de vidrio en el medio de la ventana en múltiples puntos y los limpia.")</f>
        <v>Rocía el limpiador de vidrio en el medio de la ventana en múltiples puntos y los limpia.</v>
      </c>
    </row>
    <row r="20754">
      <c r="A20754" s="4" t="s">
        <v>26138</v>
      </c>
      <c r="B20754" s="4" t="s">
        <v>26139</v>
      </c>
      <c r="C20754" s="5" t="str">
        <f>IFERROR(__xludf.DUMMYFUNCTION("GOOGLETRANSLATE(B20754,""en"",""es-ES"")"),"Una niña y un perro están en el columpio.")</f>
        <v>Una niña y un perro están en el columpio.</v>
      </c>
    </row>
    <row r="20755">
      <c r="A20755" s="4" t="s">
        <v>26138</v>
      </c>
      <c r="B20755" s="4" t="s">
        <v>26140</v>
      </c>
      <c r="C20755" s="5" t="str">
        <f>IFERROR(__xludf.DUMMYFUNCTION("GOOGLETRANSLATE(B20755,""en"",""es-ES"")"),"Se balancean hacia arriba y hacia atrás.")</f>
        <v>Se balancean hacia arriba y hacia atrás.</v>
      </c>
    </row>
    <row r="20756">
      <c r="A20756" s="4" t="s">
        <v>26138</v>
      </c>
      <c r="B20756" s="4" t="s">
        <v>26141</v>
      </c>
      <c r="C20756" s="5" t="str">
        <f>IFERROR(__xludf.DUMMYFUNCTION("GOOGLETRANSLATE(B20756,""en"",""es-ES"")"),"Se balancean hacia arriba y hacia abajo de nuevo.")</f>
        <v>Se balancean hacia arriba y hacia abajo de nuevo.</v>
      </c>
    </row>
    <row r="20757">
      <c r="A20757" s="4" t="s">
        <v>26142</v>
      </c>
      <c r="B20757" s="4" t="s">
        <v>26143</v>
      </c>
      <c r="C20757" s="5" t="str">
        <f>IFERROR(__xludf.DUMMYFUNCTION("GOOGLETRANSLATE(B20757,""en"",""es-ES"")"),"El hombre de casco azul está remando a través de la corriente de agua.")</f>
        <v>El hombre de casco azul está remando a través de la corriente de agua.</v>
      </c>
    </row>
    <row r="20758">
      <c r="A20758" s="4" t="s">
        <v>26142</v>
      </c>
      <c r="B20758" s="4" t="s">
        <v>26144</v>
      </c>
      <c r="C20758" s="5" t="str">
        <f>IFERROR(__xludf.DUMMYFUNCTION("GOOGLETRANSLATE(B20758,""en"",""es-ES"")"),"Dos balsas están atascadas en agua corriente.")</f>
        <v>Dos balsas están atascadas en agua corriente.</v>
      </c>
    </row>
    <row r="20759">
      <c r="A20759" s="4" t="s">
        <v>26142</v>
      </c>
      <c r="B20759" s="4" t="s">
        <v>26145</v>
      </c>
      <c r="C20759" s="5" t="str">
        <f>IFERROR(__xludf.DUMMYFUNCTION("GOOGLETRANSLATE(B20759,""en"",""es-ES"")"),"La gente está remando a través del agua pero están atrapados en un lugar.")</f>
        <v>La gente está remando a través del agua pero están atrapados en un lugar.</v>
      </c>
    </row>
    <row r="20760">
      <c r="A20760" s="4" t="s">
        <v>26146</v>
      </c>
      <c r="B20760" s="4" t="s">
        <v>26147</v>
      </c>
      <c r="C20760" s="5" t="str">
        <f>IFERROR(__xludf.DUMMYFUNCTION("GOOGLETRANSLATE(B20760,""en"",""es-ES"")"),"Se muestra a un hombre tocando un violín frente a un videojuego que se juega en la televisión.")</f>
        <v>Se muestra a un hombre tocando un violín frente a un videojuego que se juega en la televisión.</v>
      </c>
    </row>
    <row r="20761">
      <c r="A20761" s="4" t="s">
        <v>26146</v>
      </c>
      <c r="B20761" s="4" t="s">
        <v>26148</v>
      </c>
      <c r="C20761" s="5" t="str">
        <f>IFERROR(__xludf.DUMMYFUNCTION("GOOGLETRANSLATE(B20761,""en"",""es-ES"")"),"El hombre continúa tocando el instrumento mientras la televisión de fondo muestra un juego que se juega.")</f>
        <v>El hombre continúa tocando el instrumento mientras la televisión de fondo muestra un juego que se juega.</v>
      </c>
    </row>
    <row r="20762">
      <c r="A20762" s="4" t="s">
        <v>26149</v>
      </c>
      <c r="B20762" s="4" t="s">
        <v>26150</v>
      </c>
      <c r="C20762" s="5" t="str">
        <f>IFERROR(__xludf.DUMMYFUNCTION("GOOGLETRANSLATE(B20762,""en"",""es-ES"")"),"Se ve a un gran grupo de personas de pie en el fondo de una colina nevada hablando entre sí.")</f>
        <v>Se ve a un gran grupo de personas de pie en el fondo de una colina nevada hablando entre sí.</v>
      </c>
    </row>
    <row r="20763">
      <c r="A20763" s="4" t="s">
        <v>26149</v>
      </c>
      <c r="B20763" s="4" t="s">
        <v>26151</v>
      </c>
      <c r="C20763" s="5" t="str">
        <f>IFERROR(__xludf.DUMMYFUNCTION("GOOGLETRANSLATE(B20763,""en"",""es-ES"")"),"Luego se ve a la gente montar en tubos y bajar por un sendero nevado.")</f>
        <v>Luego se ve a la gente montar en tubos y bajar por un sendero nevado.</v>
      </c>
    </row>
    <row r="20764">
      <c r="A20764" s="4" t="s">
        <v>26149</v>
      </c>
      <c r="B20764" s="4" t="s">
        <v>26152</v>
      </c>
      <c r="C20764" s="5" t="str">
        <f>IFERROR(__xludf.DUMMYFUNCTION("GOOGLETRANSLATE(B20764,""en"",""es-ES"")"),"Se muestran varias tomas de personas que viajan por la montaña mientras miran y sonreen a la cámara.")</f>
        <v>Se muestran varias tomas de personas que viajan por la montaña mientras miran y sonreen a la cámara.</v>
      </c>
    </row>
    <row r="20765">
      <c r="A20765" s="4" t="s">
        <v>26153</v>
      </c>
      <c r="B20765" s="4" t="s">
        <v>26154</v>
      </c>
      <c r="C20765" s="5" t="str">
        <f>IFERROR(__xludf.DUMMYFUNCTION("GOOGLETRANSLATE(B20765,""en"",""es-ES"")"),"Un hombre sentado está usando un afilador para afilar un cuchillo grande.")</f>
        <v>Un hombre sentado está usando un afilador para afilar un cuchillo grande.</v>
      </c>
    </row>
    <row r="20766">
      <c r="A20766" s="4" t="s">
        <v>26153</v>
      </c>
      <c r="B20766" s="4" t="s">
        <v>26155</v>
      </c>
      <c r="C20766" s="5" t="str">
        <f>IFERROR(__xludf.DUMMYFUNCTION("GOOGLETRANSLATE(B20766,""en"",""es-ES"")"),"Lo raspa a lo largo de la superficie y el viento del cuchillo, afilándolo.")</f>
        <v>Lo raspa a lo largo de la superficie y el viento del cuchillo, afilándolo.</v>
      </c>
    </row>
    <row r="20767">
      <c r="A20767" s="4" t="s">
        <v>26156</v>
      </c>
      <c r="B20767" s="4" t="s">
        <v>26157</v>
      </c>
      <c r="C20767" s="5" t="str">
        <f>IFERROR(__xludf.DUMMYFUNCTION("GOOGLETRANSLATE(B20767,""en"",""es-ES"")"),"La persona está montando una balsa azul.")</f>
        <v>La persona está montando una balsa azul.</v>
      </c>
    </row>
    <row r="20768">
      <c r="A20768" s="4" t="s">
        <v>26156</v>
      </c>
      <c r="B20768" s="4" t="s">
        <v>26158</v>
      </c>
      <c r="C20768" s="5" t="str">
        <f>IFERROR(__xludf.DUMMYFUNCTION("GOOGLETRANSLATE(B20768,""en"",""es-ES"")"),"El hombre está remando a través de la fuerte corriente del agua.")</f>
        <v>El hombre está remando a través de la fuerte corriente del agua.</v>
      </c>
    </row>
    <row r="20769">
      <c r="A20769" s="4" t="s">
        <v>26156</v>
      </c>
      <c r="B20769" s="4" t="s">
        <v>26159</v>
      </c>
      <c r="C20769" s="5" t="str">
        <f>IFERROR(__xludf.DUMMYFUNCTION("GOOGLETRANSLATE(B20769,""en"",""es-ES"")"),"El hombre cayó en las pequeñas caídas.")</f>
        <v>El hombre cayó en las pequeñas caídas.</v>
      </c>
    </row>
    <row r="20770">
      <c r="A20770" s="4" t="s">
        <v>26160</v>
      </c>
      <c r="B20770" s="4" t="s">
        <v>26161</v>
      </c>
      <c r="C20770" s="5" t="str">
        <f>IFERROR(__xludf.DUMMYFUNCTION("GOOGLETRANSLATE(B20770,""en"",""es-ES"")"),"Se muestra un video del esquí de fondo.")</f>
        <v>Se muestra un video del esquí de fondo.</v>
      </c>
    </row>
    <row r="20771">
      <c r="A20771" s="4" t="s">
        <v>26160</v>
      </c>
      <c r="B20771" s="4" t="s">
        <v>26162</v>
      </c>
      <c r="C20771" s="5" t="str">
        <f>IFERROR(__xludf.DUMMYFUNCTION("GOOGLETRANSLATE(B20771,""en"",""es-ES"")"),"El grupo prepara su equipo y luego mira su yurta.")</f>
        <v>El grupo prepara su equipo y luego mira su yurta.</v>
      </c>
    </row>
    <row r="20772">
      <c r="A20772" s="4" t="s">
        <v>26160</v>
      </c>
      <c r="B20772" s="4" t="s">
        <v>26163</v>
      </c>
      <c r="C20772" s="5" t="str">
        <f>IFERROR(__xludf.DUMMYFUNCTION("GOOGLETRANSLATE(B20772,""en"",""es-ES"")"),"Luego muestran videos de esquí.")</f>
        <v>Luego muestran videos de esquí.</v>
      </c>
    </row>
    <row r="20773">
      <c r="A20773" s="4" t="s">
        <v>26164</v>
      </c>
      <c r="B20773" s="4" t="s">
        <v>26165</v>
      </c>
      <c r="C20773" s="5" t="str">
        <f>IFERROR(__xludf.DUMMYFUNCTION("GOOGLETRANSLATE(B20773,""en"",""es-ES"")"),"Se ve a un gran grupo de personas de pie alrededor de una habitación con una mujer al frente agarrando una bebida.")</f>
        <v>Se ve a un gran grupo de personas de pie alrededor de una habitación con una mujer al frente agarrando una bebida.</v>
      </c>
    </row>
    <row r="20774">
      <c r="A20774" s="4" t="s">
        <v>26164</v>
      </c>
      <c r="B20774" s="4" t="s">
        <v>26166</v>
      </c>
      <c r="C20774" s="5" t="str">
        <f>IFERROR(__xludf.DUMMYFUNCTION("GOOGLETRANSLATE(B20774,""en"",""es-ES"")"),"La mujer baja su bebida y comienza a guiar a un grupo de personas bailando.")</f>
        <v>La mujer baja su bebida y comienza a guiar a un grupo de personas bailando.</v>
      </c>
    </row>
    <row r="20775">
      <c r="A20775" s="4" t="s">
        <v>26164</v>
      </c>
      <c r="B20775" s="4" t="s">
        <v>26167</v>
      </c>
      <c r="C20775" s="5" t="str">
        <f>IFERROR(__xludf.DUMMYFUNCTION("GOOGLETRANSLATE(B20775,""en"",""es-ES"")"),"El grupo continúa bailando mientras la cámara captura sus movimientos.")</f>
        <v>El grupo continúa bailando mientras la cámara captura sus movimientos.</v>
      </c>
    </row>
    <row r="20776">
      <c r="A20776" s="4" t="s">
        <v>26168</v>
      </c>
      <c r="B20776" s="4" t="s">
        <v>26169</v>
      </c>
      <c r="C20776" s="5" t="str">
        <f>IFERROR(__xludf.DUMMYFUNCTION("GOOGLETRANSLATE(B20776,""en"",""es-ES"")"),"Una niña que lleva una chaqueta de esquí blanca corre a lo largo de la pendiente de esquí que tira de un tubo interior naranja.")</f>
        <v>Una niña que lleva una chaqueta de esquí blanca corre a lo largo de la pendiente de esquí que tira de un tubo interior naranja.</v>
      </c>
    </row>
    <row r="20777">
      <c r="A20777" s="4" t="s">
        <v>26168</v>
      </c>
      <c r="B20777" s="4" t="s">
        <v>26170</v>
      </c>
      <c r="C20777" s="5" t="str">
        <f>IFERROR(__xludf.DUMMYFUNCTION("GOOGLETRANSLATE(B20777,""en"",""es-ES"")"),"Un asistente de tubos ayuda a un grupo de niños que se cargan en sus tubos internos.")</f>
        <v>Un asistente de tubos ayuda a un grupo de niños que se cargan en sus tubos internos.</v>
      </c>
    </row>
    <row r="20778">
      <c r="A20778" s="4" t="s">
        <v>26168</v>
      </c>
      <c r="B20778" s="4" t="s">
        <v>26171</v>
      </c>
      <c r="C20778" s="5" t="str">
        <f>IFERROR(__xludf.DUMMYFUNCTION("GOOGLETRANSLATE(B20778,""en"",""es-ES"")"),"Los niños se deslizan por la pendiente juntos en sus tubos internos.")</f>
        <v>Los niños se deslizan por la pendiente juntos en sus tubos internos.</v>
      </c>
    </row>
    <row r="20779">
      <c r="A20779" s="4" t="s">
        <v>26168</v>
      </c>
      <c r="B20779" s="4" t="s">
        <v>26172</v>
      </c>
      <c r="C20779" s="5" t="str">
        <f>IFERROR(__xludf.DUMMYFUNCTION("GOOGLETRANSLATE(B20779,""en"",""es-ES"")"),"Los niños vuelven a subir la pendiente del tubo y se deslizan hacia abajo sobre sus tubos internos una vez más.")</f>
        <v>Los niños vuelven a subir la pendiente del tubo y se deslizan hacia abajo sobre sus tubos internos una vez más.</v>
      </c>
    </row>
    <row r="20780">
      <c r="A20780" s="4" t="s">
        <v>26173</v>
      </c>
      <c r="B20780" s="4" t="s">
        <v>26174</v>
      </c>
      <c r="C20780" s="5" t="str">
        <f>IFERROR(__xludf.DUMMYFUNCTION("GOOGLETRANSLATE(B20780,""en"",""es-ES"")"),"Un hombre negro mayor está de pie en la cocina planchando una camiseta gris oscuro.")</f>
        <v>Un hombre negro mayor está de pie en la cocina planchando una camiseta gris oscuro.</v>
      </c>
    </row>
    <row r="20781">
      <c r="A20781" s="4" t="s">
        <v>26173</v>
      </c>
      <c r="B20781" s="4" t="s">
        <v>26175</v>
      </c>
      <c r="C20781" s="5" t="str">
        <f>IFERROR(__xludf.DUMMYFUNCTION("GOOGLETRANSLATE(B20781,""en"",""es-ES"")"),"Luego, el hombre detiene su planchado y mira a la persona que lo está filmando y continúa poniéndose la camisa.")</f>
        <v>Luego, el hombre detiene su planchado y mira a la persona que lo está filmando y continúa poniéndose la camisa.</v>
      </c>
    </row>
    <row r="20782">
      <c r="A20782" s="4" t="s">
        <v>26176</v>
      </c>
      <c r="B20782" s="4" t="s">
        <v>26177</v>
      </c>
      <c r="C20782" s="5" t="str">
        <f>IFERROR(__xludf.DUMMYFUNCTION("GOOGLETRANSLATE(B20782,""en"",""es-ES"")"),"Se ve a un hombre con cabello desordenado y mirando a lo lejos.")</f>
        <v>Se ve a un hombre con cabello desordenado y mirando a lo lejos.</v>
      </c>
    </row>
    <row r="20783">
      <c r="A20783" s="4" t="s">
        <v>26176</v>
      </c>
      <c r="B20783" s="4" t="s">
        <v>26178</v>
      </c>
      <c r="C20783" s="5" t="str">
        <f>IFERROR(__xludf.DUMMYFUNCTION("GOOGLETRANSLATE(B20783,""en"",""es-ES"")"),"Levanta una taza de café y se vuelve hacia la cámara.")</f>
        <v>Levanta una taza de café y se vuelve hacia la cámara.</v>
      </c>
    </row>
    <row r="20784">
      <c r="A20784" s="4" t="s">
        <v>26176</v>
      </c>
      <c r="B20784" s="4" t="s">
        <v>26179</v>
      </c>
      <c r="C20784" s="5" t="str">
        <f>IFERROR(__xludf.DUMMYFUNCTION("GOOGLETRANSLATE(B20784,""en"",""es-ES"")"),"Luego da una gran sonrisa mientras mira a la cámara.")</f>
        <v>Luego da una gran sonrisa mientras mira a la cámara.</v>
      </c>
    </row>
    <row r="20785">
      <c r="A20785" s="4" t="s">
        <v>26180</v>
      </c>
      <c r="B20785" s="4" t="s">
        <v>26181</v>
      </c>
      <c r="C20785" s="5" t="str">
        <f>IFERROR(__xludf.DUMMYFUNCTION("GOOGLETRANSLATE(B20785,""en"",""es-ES"")"),"Una pelota inflable rebota en la hierba mientras los niños miran jugar un juego.")</f>
        <v>Una pelota inflable rebota en la hierba mientras los niños miran jugar un juego.</v>
      </c>
    </row>
    <row r="20786">
      <c r="A20786" s="4" t="s">
        <v>26180</v>
      </c>
      <c r="B20786" s="4" t="s">
        <v>26182</v>
      </c>
      <c r="C20786" s="5" t="str">
        <f>IFERROR(__xludf.DUMMYFUNCTION("GOOGLETRANSLATE(B20786,""en"",""es-ES"")"),"Un niño con camisa azul y jeans recupera la pelota y corre hacia el grupo.")</f>
        <v>Un niño con camisa azul y jeans recupera la pelota y corre hacia el grupo.</v>
      </c>
    </row>
    <row r="20787">
      <c r="A20787" s="4" t="s">
        <v>26183</v>
      </c>
      <c r="B20787" s="4" t="s">
        <v>26184</v>
      </c>
      <c r="C20787" s="5" t="str">
        <f>IFERROR(__xludf.DUMMYFUNCTION("GOOGLETRANSLATE(B20787,""en"",""es-ES"")"),"Este hombre se muestra sosteniendo una calabaza al comienzo del video, luego talla y saca las semillas y todo lo demás de la calabaza.")</f>
        <v>Este hombre se muestra sosteniendo una calabaza al comienzo del video, luego talla y saca las semillas y todo lo demás de la calabaza.</v>
      </c>
    </row>
    <row r="20788">
      <c r="A20788" s="4" t="s">
        <v>26183</v>
      </c>
      <c r="B20788" s="4" t="s">
        <v>26185</v>
      </c>
      <c r="C20788" s="5" t="str">
        <f>IFERROR(__xludf.DUMMYFUNCTION("GOOGLETRANSLATE(B20788,""en"",""es-ES"")"),"Alguien le da a uno de los perros de nieve un pedazo de la calabaza.")</f>
        <v>Alguien le da a uno de los perros de nieve un pedazo de la calabaza.</v>
      </c>
    </row>
    <row r="20789">
      <c r="A20789" s="4" t="s">
        <v>26183</v>
      </c>
      <c r="B20789" s="4" t="s">
        <v>26186</v>
      </c>
      <c r="C20789" s="5" t="str">
        <f>IFERROR(__xludf.DUMMYFUNCTION("GOOGLETRANSLATE(B20789,""en"",""es-ES"")"),"Luego pone la plantilla en la calabaza y escala un perro de nieve en la calabaza.")</f>
        <v>Luego pone la plantilla en la calabaza y escala un perro de nieve en la calabaza.</v>
      </c>
    </row>
    <row r="20790">
      <c r="A20790" s="4" t="s">
        <v>26187</v>
      </c>
      <c r="B20790" s="4" t="s">
        <v>26188</v>
      </c>
      <c r="C20790" s="5" t="str">
        <f>IFERROR(__xludf.DUMMYFUNCTION("GOOGLETRANSLATE(B20790,""en"",""es-ES"")"),"Una introducción llega a la pantalla para una compañía de lino fino.")</f>
        <v>Una introducción llega a la pantalla para una compañía de lino fino.</v>
      </c>
    </row>
    <row r="20791">
      <c r="A20791" s="4" t="s">
        <v>26187</v>
      </c>
      <c r="B20791" s="4" t="s">
        <v>26189</v>
      </c>
      <c r="C20791" s="5" t="str">
        <f>IFERROR(__xludf.DUMMYFUNCTION("GOOGLETRANSLATE(B20791,""en"",""es-ES"")"),"Una mujer explica que describirá cómo doblar las servilletas de tela.")</f>
        <v>Una mujer explica que describirá cómo doblar las servilletas de tela.</v>
      </c>
    </row>
    <row r="20792">
      <c r="A20792" s="4" t="s">
        <v>26187</v>
      </c>
      <c r="B20792" s="4" t="s">
        <v>26190</v>
      </c>
      <c r="C20792" s="5" t="str">
        <f>IFERROR(__xludf.DUMMYFUNCTION("GOOGLETRANSLATE(B20792,""en"",""es-ES"")"),"Ella comienza presionando la servilleta con una plancha caliente.")</f>
        <v>Ella comienza presionando la servilleta con una plancha caliente.</v>
      </c>
    </row>
    <row r="20793">
      <c r="A20793" s="4" t="s">
        <v>26187</v>
      </c>
      <c r="B20793" s="4" t="s">
        <v>26191</v>
      </c>
      <c r="C20793" s="5" t="str">
        <f>IFERROR(__xludf.DUMMYFUNCTION("GOOGLETRANSLATE(B20793,""en"",""es-ES"")"),"Ella dobla la servilleta y continúa presionándola un poco más.")</f>
        <v>Ella dobla la servilleta y continúa presionándola un poco más.</v>
      </c>
    </row>
    <row r="20794">
      <c r="A20794" s="4" t="s">
        <v>26187</v>
      </c>
      <c r="B20794" s="4" t="s">
        <v>4959</v>
      </c>
      <c r="C20794" s="5" t="str">
        <f>IFERROR(__xludf.DUMMYFUNCTION("GOOGLETRANSLATE(B20794,""en"",""es-ES"")"),"El video termina con los créditos de cierre.")</f>
        <v>El video termina con los créditos de cierre.</v>
      </c>
    </row>
    <row r="20795">
      <c r="A20795" s="4" t="s">
        <v>26192</v>
      </c>
      <c r="B20795" s="4" t="s">
        <v>26193</v>
      </c>
      <c r="C20795" s="5" t="str">
        <f>IFERROR(__xludf.DUMMYFUNCTION("GOOGLETRANSLATE(B20795,""en"",""es-ES"")"),"Un niño corta el césped delantero en un vecindario residencial suburbano.")</f>
        <v>Un niño corta el césped delantero en un vecindario residencial suburbano.</v>
      </c>
    </row>
    <row r="20796">
      <c r="A20796" s="4" t="s">
        <v>26192</v>
      </c>
      <c r="B20796" s="4" t="s">
        <v>26194</v>
      </c>
      <c r="C20796" s="5" t="str">
        <f>IFERROR(__xludf.DUMMYFUNCTION("GOOGLETRANSLATE(B20796,""en"",""es-ES"")"),"Un niño con camisetas y pantalones cortos maniobra un césped se mueve de un lado a otro a través de un pequeño parche de césped mientras corta el césped.")</f>
        <v>Un niño con camisetas y pantalones cortos maniobra un césped se mueve de un lado a otro a través de un pequeño parche de césped mientras corta el césped.</v>
      </c>
    </row>
    <row r="20797">
      <c r="A20797" s="4" t="s">
        <v>26192</v>
      </c>
      <c r="B20797" s="4" t="s">
        <v>26195</v>
      </c>
      <c r="C20797" s="5" t="str">
        <f>IFERROR(__xludf.DUMMYFUNCTION("GOOGLETRANSLATE(B20797,""en"",""es-ES"")"),"El niño luego camina por el cortacésped por un tramo de césped más largo cerca de la esquina, frente a una señal de alto.")</f>
        <v>El niño luego camina por el cortacésped por un tramo de césped más largo cerca de la esquina, frente a una señal de alto.</v>
      </c>
    </row>
    <row r="20798">
      <c r="A20798" s="4" t="s">
        <v>26196</v>
      </c>
      <c r="B20798" s="4" t="s">
        <v>26197</v>
      </c>
      <c r="C20798" s="5" t="str">
        <f>IFERROR(__xludf.DUMMYFUNCTION("GOOGLETRANSLATE(B20798,""en"",""es-ES"")"),"Una gran área al aire libre se muestra en una cámara en movimiento.")</f>
        <v>Una gran área al aire libre se muestra en una cámara en movimiento.</v>
      </c>
    </row>
    <row r="20799">
      <c r="A20799" s="4" t="s">
        <v>26196</v>
      </c>
      <c r="B20799" s="4" t="s">
        <v>26198</v>
      </c>
      <c r="C20799" s="5" t="str">
        <f>IFERROR(__xludf.DUMMYFUNCTION("GOOGLETRANSLATE(B20799,""en"",""es-ES"")"),"Se muestra a un hombre que usa un casco montando una patineta con una larga base de plan de madera en varios lugares al aire libre.")</f>
        <v>Se muestra a un hombre que usa un casco montando una patineta con una larga base de plan de madera en varios lugares al aire libre.</v>
      </c>
    </row>
    <row r="20800">
      <c r="A20800" s="4" t="s">
        <v>26196</v>
      </c>
      <c r="B20800" s="4" t="s">
        <v>26199</v>
      </c>
      <c r="C20800" s="5" t="str">
        <f>IFERROR(__xludf.DUMMYFUNCTION("GOOGLETRANSLATE(B20800,""en"",""es-ES"")"),"Un segundo piloto se une al primer piloto en la patineta.")</f>
        <v>Un segundo piloto se une al primer piloto en la patineta.</v>
      </c>
    </row>
    <row r="20801">
      <c r="A20801" s="4" t="s">
        <v>26196</v>
      </c>
      <c r="B20801" s="4" t="s">
        <v>26200</v>
      </c>
      <c r="C20801" s="5" t="str">
        <f>IFERROR(__xludf.DUMMYFUNCTION("GOOGLETRANSLATE(B20801,""en"",""es-ES"")"),"Se muestra un clip de un hombre que no usa casco y monta otra patineta.")</f>
        <v>Se muestra un clip de un hombre que no usa casco y monta otra patineta.</v>
      </c>
    </row>
    <row r="20802">
      <c r="A20802" s="4" t="s">
        <v>26196</v>
      </c>
      <c r="B20802" s="4" t="s">
        <v>26201</v>
      </c>
      <c r="C20802" s="5" t="str">
        <f>IFERROR(__xludf.DUMMYFUNCTION("GOOGLETRANSLATE(B20802,""en"",""es-ES"")"),"El hombre casco con la tabla como una patineta se muestra nuevamente.")</f>
        <v>El hombre casco con la tabla como una patineta se muestra nuevamente.</v>
      </c>
    </row>
    <row r="20803">
      <c r="A20803" s="4" t="s">
        <v>26196</v>
      </c>
      <c r="B20803" s="4" t="s">
        <v>26202</v>
      </c>
      <c r="C20803" s="5" t="str">
        <f>IFERROR(__xludf.DUMMYFUNCTION("GOOGLETRANSLATE(B20803,""en"",""es-ES"")"),"Se muestran varias otras personas que viajan en otras patinetas.")</f>
        <v>Se muestran varias otras personas que viajan en otras patinetas.</v>
      </c>
    </row>
    <row r="20804">
      <c r="A20804" s="4" t="s">
        <v>26196</v>
      </c>
      <c r="B20804" s="4" t="s">
        <v>26203</v>
      </c>
      <c r="C20804" s="5" t="str">
        <f>IFERROR(__xludf.DUMMYFUNCTION("GOOGLETRANSLATE(B20804,""en"",""es-ES"")"),"El patinador original se muestra nuevamente.")</f>
        <v>El patinador original se muestra nuevamente.</v>
      </c>
    </row>
    <row r="20805">
      <c r="A20805" s="4" t="s">
        <v>26204</v>
      </c>
      <c r="B20805" s="4" t="s">
        <v>26205</v>
      </c>
      <c r="C20805" s="5" t="str">
        <f>IFERROR(__xludf.DUMMYFUNCTION("GOOGLETRANSLATE(B20805,""en"",""es-ES"")"),"Un hombre corre a través de una acera de concreto con escalones en sus zapatos de canguro.")</f>
        <v>Un hombre corre a través de una acera de concreto con escalones en sus zapatos de canguro.</v>
      </c>
    </row>
    <row r="20806">
      <c r="A20806" s="4" t="s">
        <v>26204</v>
      </c>
      <c r="B20806" s="4" t="s">
        <v>26206</v>
      </c>
      <c r="C20806" s="5" t="str">
        <f>IFERROR(__xludf.DUMMYFUNCTION("GOOGLETRANSLATE(B20806,""en"",""es-ES"")"),"Aparecen más personas y ellos también comienzan a saltar a las multitudes de personas.")</f>
        <v>Aparecen más personas y ellos también comienzan a saltar a las multitudes de personas.</v>
      </c>
    </row>
    <row r="20807">
      <c r="A20807" s="4" t="s">
        <v>26207</v>
      </c>
      <c r="B20807" s="4" t="s">
        <v>26208</v>
      </c>
      <c r="C20807" s="5" t="str">
        <f>IFERROR(__xludf.DUMMYFUNCTION("GOOGLETRANSLATE(B20807,""en"",""es-ES"")"),"Hay un hombre que demuestra cómo usar una herramienta de configuración de manos.")</f>
        <v>Hay un hombre que demuestra cómo usar una herramienta de configuración de manos.</v>
      </c>
    </row>
    <row r="20808">
      <c r="A20808" s="4" t="s">
        <v>26207</v>
      </c>
      <c r="B20808" s="4" t="s">
        <v>26209</v>
      </c>
      <c r="C20808" s="5" t="str">
        <f>IFERROR(__xludf.DUMMYFUNCTION("GOOGLETRANSLATE(B20808,""en"",""es-ES"")"),"Él está golpeando uñas en una barra de madera.")</f>
        <v>Él está golpeando uñas en una barra de madera.</v>
      </c>
    </row>
    <row r="20809">
      <c r="A20809" s="4" t="s">
        <v>26207</v>
      </c>
      <c r="B20809" s="4" t="s">
        <v>26210</v>
      </c>
      <c r="C20809" s="5" t="str">
        <f>IFERROR(__xludf.DUMMYFUNCTION("GOOGLETRANSLATE(B20809,""en"",""es-ES"")"),"Utiliza la herramienta para alinear correctamente las uñas antes de marcarla.")</f>
        <v>Utiliza la herramienta para alinear correctamente las uñas antes de marcarla.</v>
      </c>
    </row>
    <row r="20810">
      <c r="A20810" s="4" t="s">
        <v>26207</v>
      </c>
      <c r="B20810" s="4" t="s">
        <v>26211</v>
      </c>
      <c r="C20810" s="5" t="str">
        <f>IFERROR(__xludf.DUMMYFUNCTION("GOOGLETRANSLATE(B20810,""en"",""es-ES"")"),"Luego demuestra cómo se vería el proceso de martilleo sin usar la herramienta de alineación.")</f>
        <v>Luego demuestra cómo se vería el proceso de martilleo sin usar la herramienta de alineación.</v>
      </c>
    </row>
    <row r="20811">
      <c r="A20811" s="4" t="s">
        <v>26207</v>
      </c>
      <c r="B20811" s="4" t="s">
        <v>26212</v>
      </c>
      <c r="C20811" s="5" t="str">
        <f>IFERROR(__xludf.DUMMYFUNCTION("GOOGLETRANSLATE(B20811,""en"",""es-ES"")"),"Luego usa la herramienta de alineación para mostrar la diferencia que hace para golpear un clavo en la madera cuando se usa la herramienta.")</f>
        <v>Luego usa la herramienta de alineación para mostrar la diferencia que hace para golpear un clavo en la madera cuando se usa la herramienta.</v>
      </c>
    </row>
    <row r="20812">
      <c r="A20812" s="4" t="s">
        <v>26213</v>
      </c>
      <c r="B20812" s="4" t="s">
        <v>26214</v>
      </c>
      <c r="C20812" s="5" t="str">
        <f>IFERROR(__xludf.DUMMYFUNCTION("GOOGLETRANSLATE(B20812,""en"",""es-ES"")"),"Un hombre delgado, está hablando por teléfono con bolos y derriba todos los alfileres de bolos.")</f>
        <v>Un hombre delgado, está hablando por teléfono con bolos y derriba todos los alfileres de bolos.</v>
      </c>
    </row>
    <row r="20813">
      <c r="A20813" s="4" t="s">
        <v>26213</v>
      </c>
      <c r="B20813" s="4" t="s">
        <v>26215</v>
      </c>
      <c r="C20813" s="5" t="str">
        <f>IFERROR(__xludf.DUMMYFUNCTION("GOOGLETRANSLATE(B20813,""en"",""es-ES"")"),"Luego, tiene que pasar por varios obstáculos para rodar la pelota hacia abajo y termina haciéndola de todos modos.")</f>
        <v>Luego, tiene que pasar por varios obstáculos para rodar la pelota hacia abajo y termina haciéndola de todos modos.</v>
      </c>
    </row>
    <row r="20814">
      <c r="A20814" s="4" t="s">
        <v>26213</v>
      </c>
      <c r="B20814" s="4" t="s">
        <v>26216</v>
      </c>
      <c r="C20814" s="5" t="str">
        <f>IFERROR(__xludf.DUMMYFUNCTION("GOOGLETRANSLATE(B20814,""en"",""es-ES"")"),"Algunos de ellos incluyen bolos con alfileres en el carril, parados detrás de una tabla e incluso haciéndolo con los ojos cubiertos.")</f>
        <v>Algunos de ellos incluyen bolos con alfileres en el carril, parados detrás de una tabla e incluso haciéndolo con los ojos cubiertos.</v>
      </c>
    </row>
    <row r="20815">
      <c r="A20815" s="4" t="s">
        <v>26217</v>
      </c>
      <c r="B20815" s="4" t="s">
        <v>26218</v>
      </c>
      <c r="C20815" s="5" t="str">
        <f>IFERROR(__xludf.DUMMYFUNCTION("GOOGLETRANSLATE(B20815,""en"",""es-ES"")"),"Un grupo de cuatro niños está en una mesa.")</f>
        <v>Un grupo de cuatro niños está en una mesa.</v>
      </c>
    </row>
    <row r="20816">
      <c r="A20816" s="4" t="s">
        <v>26217</v>
      </c>
      <c r="B20816" s="4" t="s">
        <v>26219</v>
      </c>
      <c r="C20816" s="5" t="str">
        <f>IFERROR(__xludf.DUMMYFUNCTION("GOOGLETRANSLATE(B20816,""en"",""es-ES"")"),"Como cuenta un temporizador, un niño está tratando de resolver un cubo de Rubik.")</f>
        <v>Como cuenta un temporizador, un niño está tratando de resolver un cubo de Rubik.</v>
      </c>
    </row>
    <row r="20817">
      <c r="A20817" s="4" t="s">
        <v>26217</v>
      </c>
      <c r="B20817" s="4" t="s">
        <v>26220</v>
      </c>
      <c r="C20817" s="5" t="str">
        <f>IFERROR(__xludf.DUMMYFUNCTION("GOOGLETRANSLATE(B20817,""en"",""es-ES"")"),"Él resuelve el cubo y da la mano con los otros niños.")</f>
        <v>Él resuelve el cubo y da la mano con los otros niños.</v>
      </c>
    </row>
    <row r="20818">
      <c r="A20818" s="4" t="s">
        <v>26221</v>
      </c>
      <c r="B20818" s="4" t="s">
        <v>26222</v>
      </c>
      <c r="C20818" s="5" t="str">
        <f>IFERROR(__xludf.DUMMYFUNCTION("GOOGLETRANSLATE(B20818,""en"",""es-ES"")"),"Un grupo baila en un centro de atención con túnicas y sombreros de chines tradicionales.")</f>
        <v>Un grupo baila en un centro de atención con túnicas y sombreros de chines tradicionales.</v>
      </c>
    </row>
    <row r="20819">
      <c r="A20819" s="4" t="s">
        <v>26221</v>
      </c>
      <c r="B20819" s="4" t="s">
        <v>26223</v>
      </c>
      <c r="C20819" s="5" t="str">
        <f>IFERROR(__xludf.DUMMYFUNCTION("GOOGLETRANSLATE(B20819,""en"",""es-ES"")"),"Los hombres fingen atraer cuerdas imaginarias.")</f>
        <v>Los hombres fingen atraer cuerdas imaginarias.</v>
      </c>
    </row>
    <row r="20820">
      <c r="A20820" s="4" t="s">
        <v>26221</v>
      </c>
      <c r="B20820" s="4" t="s">
        <v>26224</v>
      </c>
      <c r="C20820" s="5" t="str">
        <f>IFERROR(__xludf.DUMMYFUNCTION("GOOGLETRANSLATE(B20820,""en"",""es-ES"")"),"Los hombres se agachan uno tras otro y empujan las caderas.")</f>
        <v>Los hombres se agachan uno tras otro y empujan las caderas.</v>
      </c>
    </row>
    <row r="20821">
      <c r="A20821" s="4" t="s">
        <v>26221</v>
      </c>
      <c r="B20821" s="4" t="s">
        <v>26225</v>
      </c>
      <c r="C20821" s="5" t="str">
        <f>IFERROR(__xludf.DUMMYFUNCTION("GOOGLETRANSLATE(B20821,""en"",""es-ES"")"),"Los hombres se detienen en un círculo parcial y bailan.")</f>
        <v>Los hombres se detienen en un círculo parcial y bailan.</v>
      </c>
    </row>
    <row r="20822">
      <c r="A20822" s="4" t="s">
        <v>26221</v>
      </c>
      <c r="B20822" s="4" t="s">
        <v>26226</v>
      </c>
      <c r="C20822" s="5" t="str">
        <f>IFERROR(__xludf.DUMMYFUNCTION("GOOGLETRANSLATE(B20822,""en"",""es-ES"")"),"Los hombres sostienen allí los brazos como una diosa hindú.")</f>
        <v>Los hombres sostienen allí los brazos como una diosa hindú.</v>
      </c>
    </row>
    <row r="20823">
      <c r="A20823" s="4" t="s">
        <v>26227</v>
      </c>
      <c r="B20823" s="4" t="s">
        <v>26228</v>
      </c>
      <c r="C20823" s="5" t="str">
        <f>IFERROR(__xludf.DUMMYFUNCTION("GOOGLETRANSLATE(B20823,""en"",""es-ES"")"),"Se ve una vista de un cañón profundo con un ascensor sobre él.")</f>
        <v>Se ve una vista de un cañón profundo con un ascensor sobre él.</v>
      </c>
    </row>
    <row r="20824">
      <c r="A20824" s="4" t="s">
        <v>26227</v>
      </c>
      <c r="B20824" s="4" t="s">
        <v>26229</v>
      </c>
      <c r="C20824" s="5" t="str">
        <f>IFERROR(__xludf.DUMMYFUNCTION("GOOGLETRANSLATE(B20824,""en"",""es-ES"")"),"Un hombre está vestido con equipo de bungee por otro hombre.")</f>
        <v>Un hombre está vestido con equipo de bungee por otro hombre.</v>
      </c>
    </row>
    <row r="20825">
      <c r="A20825" s="4" t="s">
        <v>26227</v>
      </c>
      <c r="B20825" s="4" t="s">
        <v>26230</v>
      </c>
      <c r="C20825" s="5" t="str">
        <f>IFERROR(__xludf.DUMMYFUNCTION("GOOGLETRANSLATE(B20825,""en"",""es-ES"")"),"Salta, luego se balancea de un lado a otro sobre las delgadas aguas.")</f>
        <v>Salta, luego se balancea de un lado a otro sobre las delgadas aguas.</v>
      </c>
    </row>
    <row r="20826">
      <c r="A20826" s="4" t="s">
        <v>26231</v>
      </c>
      <c r="B20826" s="4" t="s">
        <v>26232</v>
      </c>
      <c r="C20826" s="5" t="str">
        <f>IFERROR(__xludf.DUMMYFUNCTION("GOOGLETRANSLATE(B20826,""en"",""es-ES"")"),"El hombre está en un kichen sosteniendo una sartén en la estufa y preparando una tortilla.")</f>
        <v>El hombre está en un kichen sosteniendo una sartén en la estufa y preparando una tortilla.</v>
      </c>
    </row>
    <row r="20827">
      <c r="A20827" s="4" t="s">
        <v>26231</v>
      </c>
      <c r="B20827" s="4" t="s">
        <v>26233</v>
      </c>
      <c r="C20827" s="5" t="str">
        <f>IFERROR(__xludf.DUMMYFUNCTION("GOOGLETRANSLATE(B20827,""en"",""es-ES"")"),"El hombre sostiene una bolsa y sostiene la sartén, toma un poco de queso de la bolsa y dobla la tortilla.")</f>
        <v>El hombre sostiene una bolsa y sostiene la sartén, toma un poco de queso de la bolsa y dobla la tortilla.</v>
      </c>
    </row>
    <row r="20828">
      <c r="A20828" s="4" t="s">
        <v>26234</v>
      </c>
      <c r="B20828" s="4" t="s">
        <v>26235</v>
      </c>
      <c r="C20828" s="5" t="str">
        <f>IFERROR(__xludf.DUMMYFUNCTION("GOOGLETRANSLATE(B20828,""en"",""es-ES"")"),"Se ve a un grupo de personas de pie alrededor del arco y las flechas, luego la cámara de la cámara baja una larga línea de personas que disparan lazos.")</f>
        <v>Se ve a un grupo de personas de pie alrededor del arco y las flechas, luego la cámara de la cámara baja una larga línea de personas que disparan lazos.</v>
      </c>
    </row>
    <row r="20829">
      <c r="A20829" s="4" t="s">
        <v>26234</v>
      </c>
      <c r="B20829" s="4" t="s">
        <v>26236</v>
      </c>
      <c r="C20829" s="5" t="str">
        <f>IFERROR(__xludf.DUMMYFUNCTION("GOOGLETRANSLATE(B20829,""en"",""es-ES"")"),"Luego se ve a un hombre hablando con la cámara seguido de varias tomas de personas al azar que disparan las flechas a un objetivo.")</f>
        <v>Luego se ve a un hombre hablando con la cámara seguido de varias tomas de personas al azar que disparan las flechas a un objetivo.</v>
      </c>
    </row>
    <row r="20830">
      <c r="A20830" s="4" t="s">
        <v>26234</v>
      </c>
      <c r="B20830" s="4" t="s">
        <v>26237</v>
      </c>
      <c r="C20830" s="5" t="str">
        <f>IFERROR(__xludf.DUMMYFUNCTION("GOOGLETRANSLATE(B20830,""en"",""es-ES"")"),"Muchas personas miran al margen y es seguido por más tomas de personas disparando arcos.")</f>
        <v>Muchas personas miran al margen y es seguido por más tomas de personas disparando arcos.</v>
      </c>
    </row>
    <row r="20831">
      <c r="A20831" s="4" t="s">
        <v>26238</v>
      </c>
      <c r="B20831" s="4" t="s">
        <v>26239</v>
      </c>
      <c r="C20831" s="5" t="str">
        <f>IFERROR(__xludf.DUMMYFUNCTION("GOOGLETRANSLATE(B20831,""en"",""es-ES"")"),"Un tazón rojo contiene una cuchara y un pescado de atún en trozos.")</f>
        <v>Un tazón rojo contiene una cuchara y un pescado de atún en trozos.</v>
      </c>
    </row>
    <row r="20832">
      <c r="A20832" s="4" t="s">
        <v>26238</v>
      </c>
      <c r="B20832" s="4" t="s">
        <v>26240</v>
      </c>
      <c r="C20832" s="5" t="str">
        <f>IFERROR(__xludf.DUMMYFUNCTION("GOOGLETRANSLATE(B20832,""en"",""es-ES"")"),"Alguien vierte la mayonesa en el atún, así como el condimento.")</f>
        <v>Alguien vierte la mayonesa en el atún, así como el condimento.</v>
      </c>
    </row>
    <row r="20833">
      <c r="A20833" s="4" t="s">
        <v>26238</v>
      </c>
      <c r="B20833" s="4" t="s">
        <v>26241</v>
      </c>
      <c r="C20833" s="5" t="str">
        <f>IFERROR(__xludf.DUMMYFUNCTION("GOOGLETRANSLATE(B20833,""en"",""es-ES"")"),"La sustancia se mezcla, luego se extiende sobre el pan para hacer un sándwich.")</f>
        <v>La sustancia se mezcla, luego se extiende sobre el pan para hacer un sándwich.</v>
      </c>
    </row>
    <row r="20834">
      <c r="A20834" s="4" t="s">
        <v>26242</v>
      </c>
      <c r="B20834" s="4" t="s">
        <v>26243</v>
      </c>
      <c r="C20834" s="5" t="str">
        <f>IFERROR(__xludf.DUMMYFUNCTION("GOOGLETRANSLATE(B20834,""en"",""es-ES"")"),"Un hombre es una roca trepando en una pared al lado de una roca.")</f>
        <v>Un hombre es una roca trepando en una pared al lado de una roca.</v>
      </c>
    </row>
    <row r="20835">
      <c r="A20835" s="4" t="s">
        <v>26242</v>
      </c>
      <c r="B20835" s="4" t="s">
        <v>26244</v>
      </c>
      <c r="C20835" s="5" t="str">
        <f>IFERROR(__xludf.DUMMYFUNCTION("GOOGLETRANSLATE(B20835,""en"",""es-ES"")"),"Llega a la cima y se libera para caer al fondo.")</f>
        <v>Llega a la cima y se libera para caer al fondo.</v>
      </c>
    </row>
    <row r="20836">
      <c r="A20836" s="4" t="s">
        <v>26245</v>
      </c>
      <c r="B20836" s="4" t="s">
        <v>26246</v>
      </c>
      <c r="C20836" s="5" t="str">
        <f>IFERROR(__xludf.DUMMYFUNCTION("GOOGLETRANSLATE(B20836,""en"",""es-ES"")"),"Una cámara se mueve alrededor de un área del lago y conduce a una persona que se sube a un kayak.")</f>
        <v>Una cámara se mueve alrededor de un área del lago y conduce a una persona que se sube a un kayak.</v>
      </c>
    </row>
    <row r="20837">
      <c r="A20837" s="4" t="s">
        <v>26245</v>
      </c>
      <c r="B20837" s="4" t="s">
        <v>26247</v>
      </c>
      <c r="C20837" s="5" t="str">
        <f>IFERROR(__xludf.DUMMYFUNCTION("GOOGLETRANSLATE(B20837,""en"",""es-ES"")"),"La persona luego comienza a remar a lo largo del agua mientras se mueve debajo de los puentes.")</f>
        <v>La persona luego comienza a remar a lo largo del agua mientras se mueve debajo de los puentes.</v>
      </c>
    </row>
    <row r="20838">
      <c r="A20838" s="4" t="s">
        <v>26245</v>
      </c>
      <c r="B20838" s="4" t="s">
        <v>26248</v>
      </c>
      <c r="C20838" s="5" t="str">
        <f>IFERROR(__xludf.DUMMYFUNCTION("GOOGLETRANSLATE(B20838,""en"",""es-ES"")"),"La persona continúa remando a lo largo del agua y mirando hacia la cámara.")</f>
        <v>La persona continúa remando a lo largo del agua y mirando hacia la cámara.</v>
      </c>
    </row>
    <row r="20839">
      <c r="A20839" s="4" t="s">
        <v>26249</v>
      </c>
      <c r="B20839" s="4" t="s">
        <v>26250</v>
      </c>
      <c r="C20839" s="5" t="str">
        <f>IFERROR(__xludf.DUMMYFUNCTION("GOOGLETRANSLATE(B20839,""en"",""es-ES"")"),"La mujer se presenta a una cámara en una habitación blanca.")</f>
        <v>La mujer se presenta a una cámara en una habitación blanca.</v>
      </c>
    </row>
    <row r="20840">
      <c r="A20840" s="4" t="s">
        <v>26249</v>
      </c>
      <c r="B20840" s="4" t="s">
        <v>26251</v>
      </c>
      <c r="C20840" s="5" t="str">
        <f>IFERROR(__xludf.DUMMYFUNCTION("GOOGLETRANSLATE(B20840,""en"",""es-ES"")"),"El hombre está de pie detrás del wmoan cortándose el cabello con una tijera y la modelo está posando.")</f>
        <v>El hombre está de pie detrás del wmoan cortándose el cabello con una tijera y la modelo está posando.</v>
      </c>
    </row>
    <row r="20841">
      <c r="A20841" s="4" t="s">
        <v>26252</v>
      </c>
      <c r="B20841" s="4" t="s">
        <v>26253</v>
      </c>
      <c r="C20841" s="5" t="str">
        <f>IFERROR(__xludf.DUMMYFUNCTION("GOOGLETRANSLATE(B20841,""en"",""es-ES"")"),"Una mujer con un atuendo de danza del vientre está bailando moviendo su cuerpo muy estratégicamente.")</f>
        <v>Una mujer con un atuendo de danza del vientre está bailando moviendo su cuerpo muy estratégicamente.</v>
      </c>
    </row>
    <row r="20842">
      <c r="A20842" s="4" t="s">
        <v>26252</v>
      </c>
      <c r="B20842" s="4" t="s">
        <v>26254</v>
      </c>
      <c r="C20842" s="5" t="str">
        <f>IFERROR(__xludf.DUMMYFUNCTION("GOOGLETRANSLATE(B20842,""en"",""es-ES"")"),"Ella tiene sus manos en el aire moviéndose mientras mueve sus caderas muy rápidamente.")</f>
        <v>Ella tiene sus manos en el aire moviéndose mientras mueve sus caderas muy rápidamente.</v>
      </c>
    </row>
    <row r="20843">
      <c r="A20843" s="4" t="s">
        <v>26252</v>
      </c>
      <c r="B20843" s="4" t="s">
        <v>26255</v>
      </c>
      <c r="C20843" s="5" t="str">
        <f>IFERROR(__xludf.DUMMYFUNCTION("GOOGLETRANSLATE(B20843,""en"",""es-ES"")"),"Ella habla de su amor por el baile del vientre y las cosas.")</f>
        <v>Ella habla de su amor por el baile del vientre y las cosas.</v>
      </c>
    </row>
    <row r="20844">
      <c r="A20844" s="4" t="s">
        <v>26252</v>
      </c>
      <c r="B20844" s="4" t="s">
        <v>26256</v>
      </c>
      <c r="C20844" s="5" t="str">
        <f>IFERROR(__xludf.DUMMYFUNCTION("GOOGLETRANSLATE(B20844,""en"",""es-ES"")"),"Entonces la ves un atuendo de baile de vientre púrpura diferente bailando afuera.")</f>
        <v>Entonces la ves un atuendo de baile de vientre púrpura diferente bailando afuera.</v>
      </c>
    </row>
    <row r="20845">
      <c r="A20845" s="4" t="s">
        <v>26257</v>
      </c>
      <c r="B20845" s="4" t="s">
        <v>26258</v>
      </c>
      <c r="C20845" s="5" t="str">
        <f>IFERROR(__xludf.DUMMYFUNCTION("GOOGLETRANSLATE(B20845,""en"",""es-ES"")"),"Un hombre estaba pelando una papa con un pelador verde.")</f>
        <v>Un hombre estaba pelando una papa con un pelador verde.</v>
      </c>
    </row>
    <row r="20846">
      <c r="A20846" s="4" t="s">
        <v>26257</v>
      </c>
      <c r="B20846" s="4" t="s">
        <v>26259</v>
      </c>
      <c r="C20846" s="5" t="str">
        <f>IFERROR(__xludf.DUMMYFUNCTION("GOOGLETRANSLATE(B20846,""en"",""es-ES"")"),"Pega la parte media una vez más.")</f>
        <v>Pega la parte media una vez más.</v>
      </c>
    </row>
    <row r="20847">
      <c r="A20847" s="4" t="s">
        <v>26257</v>
      </c>
      <c r="B20847" s="4" t="s">
        <v>26260</v>
      </c>
      <c r="C20847" s="5" t="str">
        <f>IFERROR(__xludf.DUMMYFUNCTION("GOOGLETRANSLATE(B20847,""en"",""es-ES"")"),"Lo arrojó al contenedor.")</f>
        <v>Lo arrojó al contenedor.</v>
      </c>
    </row>
    <row r="20848">
      <c r="A20848" s="4" t="s">
        <v>26261</v>
      </c>
      <c r="B20848" s="4" t="s">
        <v>26262</v>
      </c>
      <c r="C20848" s="5" t="str">
        <f>IFERROR(__xludf.DUMMYFUNCTION("GOOGLETRANSLATE(B20848,""en"",""es-ES"")"),"Se ve a una persona sosteniendo un palo seguido de varios clips de personas que arrojan una jabalina.")</f>
        <v>Se ve a una persona sosteniendo un palo seguido de varios clips de personas que arrojan una jabalina.</v>
      </c>
    </row>
    <row r="20849">
      <c r="A20849" s="4" t="s">
        <v>26261</v>
      </c>
      <c r="B20849" s="4" t="s">
        <v>26263</v>
      </c>
      <c r="C20849" s="5" t="str">
        <f>IFERROR(__xludf.DUMMYFUNCTION("GOOGLETRANSLATE(B20849,""en"",""es-ES"")"),"Se muestran más disparos de atletas que arrojan grandes distancias de la jabalina mientras gritan cada vez después de su lanzamiento.")</f>
        <v>Se muestran más disparos de atletas que arrojan grandes distancias de la jabalina mientras gritan cada vez después de su lanzamiento.</v>
      </c>
    </row>
    <row r="20850">
      <c r="A20850" s="4" t="s">
        <v>26264</v>
      </c>
      <c r="B20850" s="4" t="s">
        <v>26265</v>
      </c>
      <c r="C20850" s="5" t="str">
        <f>IFERROR(__xludf.DUMMYFUNCTION("GOOGLETRANSLATE(B20850,""en"",""es-ES"")"),"Un hombre está sentado en una silla.")</f>
        <v>Un hombre está sentado en una silla.</v>
      </c>
    </row>
    <row r="20851">
      <c r="A20851" s="4" t="s">
        <v>26264</v>
      </c>
      <c r="B20851" s="4" t="s">
        <v>26266</v>
      </c>
      <c r="C20851" s="5" t="str">
        <f>IFERROR(__xludf.DUMMYFUNCTION("GOOGLETRANSLATE(B20851,""en"",""es-ES"")"),"Se está haciendo un tatuaje en su brazo.")</f>
        <v>Se está haciendo un tatuaje en su brazo.</v>
      </c>
    </row>
    <row r="20852">
      <c r="A20852" s="4" t="s">
        <v>26264</v>
      </c>
      <c r="B20852" s="4" t="s">
        <v>26267</v>
      </c>
      <c r="C20852" s="5" t="str">
        <f>IFERROR(__xludf.DUMMYFUNCTION("GOOGLETRANSLATE(B20852,""en"",""es-ES"")"),"Un hombre lo mira haciendo el tatuaje.")</f>
        <v>Un hombre lo mira haciendo el tatuaje.</v>
      </c>
    </row>
    <row r="20853">
      <c r="A20853" s="4" t="s">
        <v>26264</v>
      </c>
      <c r="B20853" s="4" t="s">
        <v>26268</v>
      </c>
      <c r="C20853" s="5" t="str">
        <f>IFERROR(__xludf.DUMMYFUNCTION("GOOGLETRANSLATE(B20853,""en"",""es-ES"")"),"Obtiene sus envolturas de tatuaje con Saran Wrap.")</f>
        <v>Obtiene sus envolturas de tatuaje con Saran Wrap.</v>
      </c>
    </row>
    <row r="20854">
      <c r="A20854" s="4" t="s">
        <v>26269</v>
      </c>
      <c r="B20854" s="4" t="s">
        <v>26270</v>
      </c>
      <c r="C20854" s="5" t="str">
        <f>IFERROR(__xludf.DUMMYFUNCTION("GOOGLETRANSLATE(B20854,""en"",""es-ES"")"),"Una cámara se aleja de una carretera y muestra los pies de una persona moviéndose.")</f>
        <v>Una cámara se aleja de una carretera y muestra los pies de una persona moviéndose.</v>
      </c>
    </row>
    <row r="20855">
      <c r="A20855" s="4" t="s">
        <v>26269</v>
      </c>
      <c r="B20855" s="4" t="s">
        <v>26271</v>
      </c>
      <c r="C20855" s="5" t="str">
        <f>IFERROR(__xludf.DUMMYFUNCTION("GOOGLETRANSLATE(B20855,""en"",""es-ES"")"),"Se muestran varias tomas de personas que atan sus zapatos, golpean un botón y revisan un reloj.")</f>
        <v>Se muestran varias tomas de personas que atan sus zapatos, golpean un botón y revisan un reloj.</v>
      </c>
    </row>
    <row r="20856">
      <c r="A20856" s="4" t="s">
        <v>26269</v>
      </c>
      <c r="B20856" s="4" t="s">
        <v>26272</v>
      </c>
      <c r="C20856" s="5" t="str">
        <f>IFERROR(__xludf.DUMMYFUNCTION("GOOGLETRANSLATE(B20856,""en"",""es-ES"")"),"Luego se ve a las personas corriendo por el camino uno a la vez seguido de muchos más seguidores.")</f>
        <v>Luego se ve a las personas corriendo por el camino uno a la vez seguido de muchos más seguidores.</v>
      </c>
    </row>
    <row r="20857">
      <c r="A20857" s="4" t="s">
        <v>26273</v>
      </c>
      <c r="B20857" s="4" t="s">
        <v>26274</v>
      </c>
      <c r="C20857" s="5" t="str">
        <f>IFERROR(__xludf.DUMMYFUNCTION("GOOGLETRANSLATE(B20857,""en"",""es-ES"")"),"Se muestran varias tomas de un casino que incluye primeros planos de mesas de póker y personas sentadas en una mesa jugando.")</f>
        <v>Se muestran varias tomas de un casino que incluye primeros planos de mesas de póker y personas sentadas en una mesa jugando.</v>
      </c>
    </row>
    <row r="20858">
      <c r="A20858" s="4" t="s">
        <v>26273</v>
      </c>
      <c r="B20858" s="4" t="s">
        <v>26275</v>
      </c>
      <c r="C20858" s="5" t="str">
        <f>IFERROR(__xludf.DUMMYFUNCTION("GOOGLETRANSLATE(B20858,""en"",""es-ES"")"),"Se muestran muchos disparos de las tarjetas de trato del concesionario mientras las cambian y la audiencia reacciona.")</f>
        <v>Se muestran muchos disparos de las tarjetas de trato del concesionario mientras las cambian y la audiencia reacciona.</v>
      </c>
    </row>
    <row r="20859">
      <c r="A20859" s="4" t="s">
        <v>26276</v>
      </c>
      <c r="B20859" s="4" t="s">
        <v>26277</v>
      </c>
      <c r="C20859" s="5" t="str">
        <f>IFERROR(__xludf.DUMMYFUNCTION("GOOGLETRANSLATE(B20859,""en"",""es-ES"")"),"Una persona está haciendo snowboard en una montaña.")</f>
        <v>Una persona está haciendo snowboard en una montaña.</v>
      </c>
    </row>
    <row r="20860">
      <c r="A20860" s="4" t="s">
        <v>26276</v>
      </c>
      <c r="B20860" s="4" t="s">
        <v>26278</v>
      </c>
      <c r="C20860" s="5" t="str">
        <f>IFERROR(__xludf.DUMMYFUNCTION("GOOGLETRANSLATE(B20860,""en"",""es-ES"")"),"Hay un montaje de carreteras que conducen a una montaña y un telesilla.")</f>
        <v>Hay un montaje de carreteras que conducen a una montaña y un telesilla.</v>
      </c>
    </row>
    <row r="20861">
      <c r="A20861" s="4" t="s">
        <v>26276</v>
      </c>
      <c r="B20861" s="4" t="s">
        <v>26279</v>
      </c>
      <c r="C20861" s="5" t="str">
        <f>IFERROR(__xludf.DUMMYFUNCTION("GOOGLETRANSLATE(B20861,""en"",""es-ES"")"),"La gente salta sobre rampas y medias pipas.")</f>
        <v>La gente salta sobre rampas y medias pipas.</v>
      </c>
    </row>
    <row r="20862">
      <c r="A20862" s="4" t="s">
        <v>26280</v>
      </c>
      <c r="B20862" s="4" t="s">
        <v>26281</v>
      </c>
      <c r="C20862" s="5" t="str">
        <f>IFERROR(__xludf.DUMMYFUNCTION("GOOGLETRANSLATE(B20862,""en"",""es-ES"")"),"Una introducción de texto conduce a un luchador golpeando a otro luchador en un anillo.")</f>
        <v>Una introducción de texto conduce a un luchador golpeando a otro luchador en un anillo.</v>
      </c>
    </row>
    <row r="20863">
      <c r="A20863" s="4" t="s">
        <v>26280</v>
      </c>
      <c r="B20863" s="4" t="s">
        <v>26282</v>
      </c>
      <c r="C20863" s="5" t="str">
        <f>IFERROR(__xludf.DUMMYFUNCTION("GOOGLETRANSLATE(B20863,""en"",""es-ES"")"),"El video continúa con más tomas del hombre fijando a los luchadores.")</f>
        <v>El video continúa con más tomas del hombre fijando a los luchadores.</v>
      </c>
    </row>
    <row r="20864">
      <c r="A20864" s="4" t="s">
        <v>26280</v>
      </c>
      <c r="B20864" s="4" t="s">
        <v>26283</v>
      </c>
      <c r="C20864" s="5" t="str">
        <f>IFERROR(__xludf.DUMMYFUNCTION("GOOGLETRANSLATE(B20864,""en"",""es-ES"")"),"Se muestran y termina varias tomas más con una opción de suscripción.")</f>
        <v>Se muestran y termina varias tomas más con una opción de suscripción.</v>
      </c>
    </row>
    <row r="20865">
      <c r="A20865" s="4" t="s">
        <v>26284</v>
      </c>
      <c r="B20865" s="4" t="s">
        <v>26285</v>
      </c>
      <c r="C20865" s="5" t="str">
        <f>IFERROR(__xludf.DUMMYFUNCTION("GOOGLETRANSLATE(B20865,""en"",""es-ES"")"),"El hombre de la camisa marrón está hablando con la cámara.")</f>
        <v>El hombre de la camisa marrón está hablando con la cámara.</v>
      </c>
    </row>
    <row r="20866">
      <c r="A20866" s="4" t="s">
        <v>26284</v>
      </c>
      <c r="B20866" s="4" t="s">
        <v>26286</v>
      </c>
      <c r="C20866" s="5" t="str">
        <f>IFERROR(__xludf.DUMMYFUNCTION("GOOGLETRANSLATE(B20866,""en"",""es-ES"")"),"El hombre colocó una herramienta en la alfombra con poste largo.")</f>
        <v>El hombre colocó una herramienta en la alfombra con poste largo.</v>
      </c>
    </row>
    <row r="20867">
      <c r="A20867" s="4" t="s">
        <v>26284</v>
      </c>
      <c r="B20867" s="4" t="s">
        <v>26287</v>
      </c>
      <c r="C20867" s="5" t="str">
        <f>IFERROR(__xludf.DUMMYFUNCTION("GOOGLETRANSLATE(B20867,""en"",""es-ES"")"),"El hombre usó la camilla para aplanar la alfombra en el piso.")</f>
        <v>El hombre usó la camilla para aplanar la alfombra en el piso.</v>
      </c>
    </row>
    <row r="20868">
      <c r="A20868" s="4" t="s">
        <v>26288</v>
      </c>
      <c r="B20868" s="4" t="s">
        <v>26289</v>
      </c>
      <c r="C20868" s="5" t="str">
        <f>IFERROR(__xludf.DUMMYFUNCTION("GOOGLETRANSLATE(B20868,""en"",""es-ES"")"),"Vemos una tienda, mapas y personas en un autobús.")</f>
        <v>Vemos una tienda, mapas y personas en un autobús.</v>
      </c>
    </row>
    <row r="20869">
      <c r="A20869" s="4" t="s">
        <v>26288</v>
      </c>
      <c r="B20869" s="4" t="s">
        <v>26290</v>
      </c>
      <c r="C20869" s="5" t="str">
        <f>IFERROR(__xludf.DUMMYFUNCTION("GOOGLETRANSLATE(B20869,""en"",""es-ES"")"),"Vemos gente en la playa.")</f>
        <v>Vemos gente en la playa.</v>
      </c>
    </row>
    <row r="20870">
      <c r="A20870" s="4" t="s">
        <v>26288</v>
      </c>
      <c r="B20870" s="4" t="s">
        <v>26291</v>
      </c>
      <c r="C20870" s="5" t="str">
        <f>IFERROR(__xludf.DUMMYFUNCTION("GOOGLETRANSLATE(B20870,""en"",""es-ES"")"),"Vemos gente en el lago y en las balsas.")</f>
        <v>Vemos gente en el lago y en las balsas.</v>
      </c>
    </row>
    <row r="20871">
      <c r="A20871" s="4" t="s">
        <v>26288</v>
      </c>
      <c r="B20871" s="4" t="s">
        <v>26292</v>
      </c>
      <c r="C20871" s="5" t="str">
        <f>IFERROR(__xludf.DUMMYFUNCTION("GOOGLETRANSLATE(B20871,""en"",""es-ES"")"),"Vemos a un perro en la balsa.")</f>
        <v>Vemos a un perro en la balsa.</v>
      </c>
    </row>
    <row r="20872">
      <c r="A20872" s="4" t="s">
        <v>26288</v>
      </c>
      <c r="B20872" s="4" t="s">
        <v>26293</v>
      </c>
      <c r="C20872" s="5" t="str">
        <f>IFERROR(__xludf.DUMMYFUNCTION("GOOGLETRANSLATE(B20872,""en"",""es-ES"")"),"Vemos a una persona remando una balsa.")</f>
        <v>Vemos a una persona remando una balsa.</v>
      </c>
    </row>
    <row r="20873">
      <c r="A20873" s="4" t="s">
        <v>26288</v>
      </c>
      <c r="B20873" s="4" t="s">
        <v>26294</v>
      </c>
      <c r="C20873" s="5" t="str">
        <f>IFERROR(__xludf.DUMMYFUNCTION("GOOGLETRANSLATE(B20873,""en"",""es-ES"")"),"Vemos a un perro nadando en el río.")</f>
        <v>Vemos a un perro nadando en el río.</v>
      </c>
    </row>
    <row r="20874">
      <c r="A20874" s="4" t="s">
        <v>26288</v>
      </c>
      <c r="B20874" s="4" t="s">
        <v>26295</v>
      </c>
      <c r="C20874" s="5" t="str">
        <f>IFERROR(__xludf.DUMMYFUNCTION("GOOGLETRANSLATE(B20874,""en"",""es-ES"")"),"Vemos la pantalla final en azul.")</f>
        <v>Vemos la pantalla final en azul.</v>
      </c>
    </row>
    <row r="20875">
      <c r="A20875" s="4" t="s">
        <v>26296</v>
      </c>
      <c r="B20875" s="4" t="s">
        <v>26297</v>
      </c>
      <c r="C20875" s="5" t="str">
        <f>IFERROR(__xludf.DUMMYFUNCTION("GOOGLETRANSLATE(B20875,""en"",""es-ES"")"),"Un hombre está patinando en una pista de hockey y va a hacer una meta.")</f>
        <v>Un hombre está patinando en una pista de hockey y va a hacer una meta.</v>
      </c>
    </row>
    <row r="20876">
      <c r="A20876" s="4" t="s">
        <v>26296</v>
      </c>
      <c r="B20876" s="4" t="s">
        <v>26298</v>
      </c>
      <c r="C20876" s="5" t="str">
        <f>IFERROR(__xludf.DUMMYFUNCTION("GOOGLETRANSLATE(B20876,""en"",""es-ES"")"),"Él dispara y hace un punto y la multitud aplaude.")</f>
        <v>Él dispara y hace un punto y la multitud aplaude.</v>
      </c>
    </row>
    <row r="20877">
      <c r="A20877" s="4" t="s">
        <v>26296</v>
      </c>
      <c r="B20877" s="4" t="s">
        <v>26299</v>
      </c>
      <c r="C20877" s="5" t="str">
        <f>IFERROR(__xludf.DUMMYFUNCTION("GOOGLETRANSLATE(B20877,""en"",""es-ES"")"),"Él hace otro punto y la multitud aplaude.")</f>
        <v>Él hace otro punto y la multitud aplaude.</v>
      </c>
    </row>
    <row r="20878">
      <c r="A20878" s="4" t="s">
        <v>26296</v>
      </c>
      <c r="B20878" s="4" t="s">
        <v>26300</v>
      </c>
      <c r="C20878" s="5" t="str">
        <f>IFERROR(__xludf.DUMMYFUNCTION("GOOGLETRANSLATE(B20878,""en"",""es-ES"")"),"Un equipo de camisetas amarillas se apresura al hielo para felicitarlo.")</f>
        <v>Un equipo de camisetas amarillas se apresura al hielo para felicitarlo.</v>
      </c>
    </row>
    <row r="20879">
      <c r="A20879" s="4" t="s">
        <v>26296</v>
      </c>
      <c r="B20879" s="4" t="s">
        <v>26301</v>
      </c>
      <c r="C20879" s="5" t="str">
        <f>IFERROR(__xludf.DUMMYFUNCTION("GOOGLETRANSLATE(B20879,""en"",""es-ES"")"),"Están alineados en la cancha mientras un hombre en una demanda se aleja de ellos.")</f>
        <v>Están alineados en la cancha mientras un hombre en una demanda se aleja de ellos.</v>
      </c>
    </row>
    <row r="20880">
      <c r="A20880" s="4" t="s">
        <v>26296</v>
      </c>
      <c r="B20880" s="4" t="s">
        <v>26302</v>
      </c>
      <c r="C20880" s="5" t="str">
        <f>IFERROR(__xludf.DUMMYFUNCTION("GOOGLETRANSLATE(B20880,""en"",""es-ES"")"),"El hombre del traje se detiene y habla con otro hombre.")</f>
        <v>El hombre del traje se detiene y habla con otro hombre.</v>
      </c>
    </row>
    <row r="20881">
      <c r="A20881" s="4" t="s">
        <v>26296</v>
      </c>
      <c r="B20881" s="4" t="s">
        <v>26303</v>
      </c>
      <c r="C20881" s="5" t="str">
        <f>IFERROR(__xludf.DUMMYFUNCTION("GOOGLETRANSLATE(B20881,""en"",""es-ES"")"),"Él saluda y regresa hacia los jugadores.")</f>
        <v>Él saluda y regresa hacia los jugadores.</v>
      </c>
    </row>
    <row r="20882">
      <c r="A20882" s="4" t="s">
        <v>26296</v>
      </c>
      <c r="B20882" s="4" t="s">
        <v>26304</v>
      </c>
      <c r="C20882" s="5" t="str">
        <f>IFERROR(__xludf.DUMMYFUNCTION("GOOGLETRANSLATE(B20882,""en"",""es-ES"")"),"Los seres del equipo patinando hacia la gente.")</f>
        <v>Los seres del equipo patinando hacia la gente.</v>
      </c>
    </row>
    <row r="20883">
      <c r="A20883" s="4" t="s">
        <v>26296</v>
      </c>
      <c r="B20883" s="4" t="s">
        <v>26305</v>
      </c>
      <c r="C20883" s="5" t="str">
        <f>IFERROR(__xludf.DUMMYFUNCTION("GOOGLETRANSLATE(B20883,""en"",""es-ES"")"),"Patinan a través del hielo y un hombre se para en las gradas y sostiene un trofeo.")</f>
        <v>Patinan a través del hielo y un hombre se para en las gradas y sostiene un trofeo.</v>
      </c>
    </row>
    <row r="20884">
      <c r="A20884" s="4" t="s">
        <v>26306</v>
      </c>
      <c r="B20884" s="4" t="s">
        <v>26307</v>
      </c>
      <c r="C20884" s="5" t="str">
        <f>IFERROR(__xludf.DUMMYFUNCTION("GOOGLETRANSLATE(B20884,""en"",""es-ES"")"),"Un gran grupo de personas bailan en parejas en una pista de baile.")</f>
        <v>Un gran grupo de personas bailan en parejas en una pista de baile.</v>
      </c>
    </row>
    <row r="20885">
      <c r="A20885" s="4" t="s">
        <v>26306</v>
      </c>
      <c r="B20885" s="4" t="s">
        <v>26308</v>
      </c>
      <c r="C20885" s="5" t="str">
        <f>IFERROR(__xludf.DUMMYFUNCTION("GOOGLETRANSLATE(B20885,""en"",""es-ES"")"),"La gente mira desde mesas alrededor de la pista de baile.")</f>
        <v>La gente mira desde mesas alrededor de la pista de baile.</v>
      </c>
    </row>
    <row r="20886">
      <c r="A20886" s="4" t="s">
        <v>26306</v>
      </c>
      <c r="B20886" s="4" t="s">
        <v>26309</v>
      </c>
      <c r="C20886" s="5" t="str">
        <f>IFERROR(__xludf.DUMMYFUNCTION("GOOGLETRANSLATE(B20886,""en"",""es-ES"")"),"Un hombre con un micrófono se encuentra en la pista de baile.")</f>
        <v>Un hombre con un micrófono se encuentra en la pista de baile.</v>
      </c>
    </row>
    <row r="20887">
      <c r="A20887" s="4" t="s">
        <v>26310</v>
      </c>
      <c r="B20887" s="4" t="s">
        <v>26311</v>
      </c>
      <c r="C20887" s="5" t="str">
        <f>IFERROR(__xludf.DUMMYFUNCTION("GOOGLETRANSLATE(B20887,""en"",""es-ES"")"),"Se ve a un hombre con un sombrero poniéndose guantes y arrancando una máquina en una hierba alta.")</f>
        <v>Se ve a un hombre con un sombrero poniéndose guantes y arrancando una máquina en una hierba alta.</v>
      </c>
    </row>
    <row r="20888">
      <c r="A20888" s="4" t="s">
        <v>26310</v>
      </c>
      <c r="B20888" s="4" t="s">
        <v>26312</v>
      </c>
      <c r="C20888" s="5" t="str">
        <f>IFERROR(__xludf.DUMMYFUNCTION("GOOGLETRANSLATE(B20888,""en"",""es-ES"")"),"El hombre luego mueve la máquina a lo largo de la hierba para cortarla.")</f>
        <v>El hombre luego mueve la máquina a lo largo de la hierba para cortarla.</v>
      </c>
    </row>
    <row r="20889">
      <c r="A20889" s="4" t="s">
        <v>26310</v>
      </c>
      <c r="B20889" s="4" t="s">
        <v>26313</v>
      </c>
      <c r="C20889" s="5" t="str">
        <f>IFERROR(__xludf.DUMMYFUNCTION("GOOGLETRANSLATE(B20889,""en"",""es-ES"")"),"Hace una pausa por un momento para hablar con la cámara y levanta las manos.")</f>
        <v>Hace una pausa por un momento para hablar con la cámara y levanta las manos.</v>
      </c>
    </row>
    <row r="20890">
      <c r="A20890" s="4" t="s">
        <v>26314</v>
      </c>
      <c r="B20890" s="4" t="s">
        <v>26315</v>
      </c>
      <c r="C20890" s="5" t="str">
        <f>IFERROR(__xludf.DUMMYFUNCTION("GOOGLETRANSLATE(B20890,""en"",""es-ES"")"),"Se está sosteniendo un palo desde el suelo.")</f>
        <v>Se está sosteniendo un palo desde el suelo.</v>
      </c>
    </row>
    <row r="20891">
      <c r="A20891" s="4" t="s">
        <v>26314</v>
      </c>
      <c r="B20891" s="4" t="s">
        <v>26316</v>
      </c>
      <c r="C20891" s="5" t="str">
        <f>IFERROR(__xludf.DUMMYFUNCTION("GOOGLETRANSLATE(B20891,""en"",""es-ES"")"),"Un hombre usa el murciélago Croquette para golpear una pelota, luego la coloca de vuelta al suelo.")</f>
        <v>Un hombre usa el murciélago Croquette para golpear una pelota, luego la coloca de vuelta al suelo.</v>
      </c>
    </row>
    <row r="20892">
      <c r="A20892" s="4" t="s">
        <v>26317</v>
      </c>
      <c r="B20892" s="4" t="s">
        <v>26318</v>
      </c>
      <c r="C20892" s="5" t="str">
        <f>IFERROR(__xludf.DUMMYFUNCTION("GOOGLETRANSLATE(B20892,""en"",""es-ES"")"),"Una mujer está sentada en el piso, hablando de una aspiradora.")</f>
        <v>Una mujer está sentada en el piso, hablando de una aspiradora.</v>
      </c>
    </row>
    <row r="20893">
      <c r="A20893" s="4" t="s">
        <v>26317</v>
      </c>
      <c r="B20893" s="4" t="s">
        <v>26319</v>
      </c>
      <c r="C20893" s="5" t="str">
        <f>IFERROR(__xludf.DUMMYFUNCTION("GOOGLETRANSLATE(B20893,""en"",""es-ES"")"),"Ella demuestra cómo aplicar polvo a la alfombra y aspirarlo.")</f>
        <v>Ella demuestra cómo aplicar polvo a la alfombra y aspirarlo.</v>
      </c>
    </row>
    <row r="20894">
      <c r="A20894" s="4" t="s">
        <v>26317</v>
      </c>
      <c r="B20894" s="4" t="s">
        <v>26320</v>
      </c>
      <c r="C20894" s="5" t="str">
        <f>IFERROR(__xludf.DUMMYFUNCTION("GOOGLETRANSLATE(B20894,""en"",""es-ES"")"),"Luego muestra cómo limpiar el vacío y la mecánica de la máquina.")</f>
        <v>Luego muestra cómo limpiar el vacío y la mecánica de la máquina.</v>
      </c>
    </row>
    <row r="20895">
      <c r="A20895" s="4" t="s">
        <v>26321</v>
      </c>
      <c r="B20895" s="4" t="s">
        <v>26322</v>
      </c>
      <c r="C20895" s="5" t="str">
        <f>IFERROR(__xludf.DUMMYFUNCTION("GOOGLETRANSLATE(B20895,""en"",""es-ES"")"),"Un grupo de personas está en una casa.")</f>
        <v>Un grupo de personas está en una casa.</v>
      </c>
    </row>
    <row r="20896">
      <c r="A20896" s="4" t="s">
        <v>26321</v>
      </c>
      <c r="B20896" s="4" t="s">
        <v>26323</v>
      </c>
      <c r="C20896" s="5" t="str">
        <f>IFERROR(__xludf.DUMMYFUNCTION("GOOGLETRANSLATE(B20896,""en"",""es-ES"")"),"Un hombre está limpiando el piso con un trapeador.")</f>
        <v>Un hombre está limpiando el piso con un trapeador.</v>
      </c>
    </row>
    <row r="20897">
      <c r="A20897" s="4" t="s">
        <v>26321</v>
      </c>
      <c r="B20897" s="4" t="s">
        <v>26324</v>
      </c>
      <c r="C20897" s="5" t="str">
        <f>IFERROR(__xludf.DUMMYFUNCTION("GOOGLETRANSLATE(B20897,""en"",""es-ES"")"),"Otro niño intenta caminar por donde está limpiando.")</f>
        <v>Otro niño intenta caminar por donde está limpiando.</v>
      </c>
    </row>
    <row r="20898">
      <c r="A20898" s="4" t="s">
        <v>26321</v>
      </c>
      <c r="B20898" s="4" t="s">
        <v>26325</v>
      </c>
      <c r="C20898" s="5" t="str">
        <f>IFERROR(__xludf.DUMMYFUNCTION("GOOGLETRANSLATE(B20898,""en"",""es-ES"")"),"El hombre toma un trago de cerveza y se queja con la cámara.")</f>
        <v>El hombre toma un trago de cerveza y se queja con la cámara.</v>
      </c>
    </row>
    <row r="20899">
      <c r="A20899" s="4" t="s">
        <v>26321</v>
      </c>
      <c r="B20899" s="4" t="s">
        <v>26326</v>
      </c>
      <c r="C20899" s="5" t="str">
        <f>IFERROR(__xludf.DUMMYFUNCTION("GOOGLETRANSLATE(B20899,""en"",""es-ES"")"),"Se tragó a través de la habitación entre la gente.")</f>
        <v>Se tragó a través de la habitación entre la gente.</v>
      </c>
    </row>
    <row r="20900">
      <c r="A20900" s="4" t="s">
        <v>26321</v>
      </c>
      <c r="B20900" s="4" t="s">
        <v>26327</v>
      </c>
      <c r="C20900" s="5" t="str">
        <f>IFERROR(__xludf.DUMMYFUNCTION("GOOGLETRANSLATE(B20900,""en"",""es-ES"")"),"Deja de trapear y habla con la cámara.")</f>
        <v>Deja de trapear y habla con la cámara.</v>
      </c>
    </row>
    <row r="20901">
      <c r="A20901" s="4" t="s">
        <v>26328</v>
      </c>
      <c r="B20901" s="4" t="s">
        <v>26329</v>
      </c>
      <c r="C20901" s="5" t="str">
        <f>IFERROR(__xludf.DUMMYFUNCTION("GOOGLETRANSLATE(B20901,""en"",""es-ES"")"),"Un globo está girando con la escritura frente a él.")</f>
        <v>Un globo está girando con la escritura frente a él.</v>
      </c>
    </row>
    <row r="20902">
      <c r="A20902" s="4" t="s">
        <v>26328</v>
      </c>
      <c r="B20902" s="4" t="s">
        <v>26330</v>
      </c>
      <c r="C20902" s="5" t="str">
        <f>IFERROR(__xludf.DUMMYFUNCTION("GOOGLETRANSLATE(B20902,""en"",""es-ES"")"),"Un hombre arroja una bola de boliche a varios alfileres.")</f>
        <v>Un hombre arroja una bola de boliche a varios alfileres.</v>
      </c>
    </row>
    <row r="20903">
      <c r="A20903" s="4" t="s">
        <v>26328</v>
      </c>
      <c r="B20903" s="4" t="s">
        <v>26331</v>
      </c>
      <c r="C20903" s="5" t="str">
        <f>IFERROR(__xludf.DUMMYFUNCTION("GOOGLETRANSLATE(B20903,""en"",""es-ES"")"),"Lo rebota del trampolín y derriba alfileres.")</f>
        <v>Lo rebota del trampolín y derriba alfileres.</v>
      </c>
    </row>
    <row r="20904">
      <c r="A20904" s="4" t="s">
        <v>26328</v>
      </c>
      <c r="B20904" s="4" t="s">
        <v>26332</v>
      </c>
      <c r="C20904" s="5" t="str">
        <f>IFERROR(__xludf.DUMMYFUNCTION("GOOGLETRANSLATE(B20904,""en"",""es-ES"")"),"El arroja una pelota de bolos de un puente.")</f>
        <v>El arroja una pelota de bolos de un puente.</v>
      </c>
    </row>
    <row r="20905">
      <c r="A20905" s="4" t="s">
        <v>26328</v>
      </c>
      <c r="B20905" s="4" t="s">
        <v>26333</v>
      </c>
      <c r="C20905" s="5" t="str">
        <f>IFERROR(__xludf.DUMMYFUNCTION("GOOGLETRANSLATE(B20905,""en"",""es-ES"")"),"Una mujer arroja la pelota a los alfileres.")</f>
        <v>Una mujer arroja la pelota a los alfileres.</v>
      </c>
    </row>
    <row r="20906">
      <c r="A20906" s="4" t="s">
        <v>26328</v>
      </c>
      <c r="B20906" s="4" t="s">
        <v>26334</v>
      </c>
      <c r="C20906" s="5" t="str">
        <f>IFERROR(__xludf.DUMMYFUNCTION("GOOGLETRANSLATE(B20906,""en"",""es-ES"")"),"Un hombre atrapa la pelota de bolos y la arroja a los alfileres.")</f>
        <v>Un hombre atrapa la pelota de bolos y la arroja a los alfileres.</v>
      </c>
    </row>
    <row r="20907">
      <c r="A20907" s="4" t="s">
        <v>26328</v>
      </c>
      <c r="B20907" s="4" t="s">
        <v>26335</v>
      </c>
      <c r="C20907" s="5" t="str">
        <f>IFERROR(__xludf.DUMMYFUNCTION("GOOGLETRANSLATE(B20907,""en"",""es-ES"")"),"Un hombre lo rebota en un automóvil y golpea alfileres.")</f>
        <v>Un hombre lo rebota en un automóvil y golpea alfileres.</v>
      </c>
    </row>
    <row r="20908">
      <c r="A20908" s="4" t="s">
        <v>26328</v>
      </c>
      <c r="B20908" s="4" t="s">
        <v>26336</v>
      </c>
      <c r="C20908" s="5" t="str">
        <f>IFERROR(__xludf.DUMMYFUNCTION("GOOGLETRANSLATE(B20908,""en"",""es-ES"")"),"Se muestra otro trampolín.")</f>
        <v>Se muestra otro trampolín.</v>
      </c>
    </row>
    <row r="20909">
      <c r="A20909" s="4" t="s">
        <v>26328</v>
      </c>
      <c r="B20909" s="4" t="s">
        <v>26337</v>
      </c>
      <c r="C20909" s="5" t="str">
        <f>IFERROR(__xludf.DUMMYFUNCTION("GOOGLETRANSLATE(B20909,""en"",""es-ES"")"),"Un hombre arroja una pelota de bolos por un tobogán y una persona la atrapa en el fondo.")</f>
        <v>Un hombre arroja una pelota de bolos por un tobogán y una persona la atrapa en el fondo.</v>
      </c>
    </row>
    <row r="20910">
      <c r="A20910" s="4" t="s">
        <v>26328</v>
      </c>
      <c r="B20910" s="4" t="s">
        <v>26338</v>
      </c>
      <c r="C20910" s="5" t="str">
        <f>IFERROR(__xludf.DUMMYFUNCTION("GOOGLETRANSLATE(B20910,""en"",""es-ES"")"),"Un hombre arroja una pelota por una colina y vuelve hacia abajo y golpea alfileres.")</f>
        <v>Un hombre arroja una pelota por una colina y vuelve hacia abajo y golpea alfileres.</v>
      </c>
    </row>
    <row r="20911">
      <c r="A20911" s="4" t="s">
        <v>26328</v>
      </c>
      <c r="B20911" s="4" t="s">
        <v>26339</v>
      </c>
      <c r="C20911" s="5" t="str">
        <f>IFERROR(__xludf.DUMMYFUNCTION("GOOGLETRANSLATE(B20911,""en"",""es-ES"")"),"Dos hombres rebotan en las bolas de los trampolines para golpear alfileres.")</f>
        <v>Dos hombres rebotan en las bolas de los trampolines para golpear alfileres.</v>
      </c>
    </row>
    <row r="20912">
      <c r="A20912" s="4" t="s">
        <v>26328</v>
      </c>
      <c r="B20912" s="4" t="s">
        <v>26340</v>
      </c>
      <c r="C20912" s="5" t="str">
        <f>IFERROR(__xludf.DUMMYFUNCTION("GOOGLETRANSLATE(B20912,""en"",""es-ES"")"),"Un auto de control remoto impulsa la bola de bolos para golpear los alfileres.")</f>
        <v>Un auto de control remoto impulsa la bola de bolos para golpear los alfileres.</v>
      </c>
    </row>
    <row r="20913">
      <c r="A20913" s="4" t="s">
        <v>26328</v>
      </c>
      <c r="B20913" s="4" t="s">
        <v>26341</v>
      </c>
      <c r="C20913" s="5" t="str">
        <f>IFERROR(__xludf.DUMMYFUNCTION("GOOGLETRANSLATE(B20913,""en"",""es-ES"")"),"Dos hombres altos cinco después de derribar pines.")</f>
        <v>Dos hombres altos cinco después de derribar pines.</v>
      </c>
    </row>
    <row r="20914">
      <c r="A20914" s="4" t="s">
        <v>26328</v>
      </c>
      <c r="B20914" s="4" t="s">
        <v>26342</v>
      </c>
      <c r="C20914" s="5" t="str">
        <f>IFERROR(__xludf.DUMMYFUNCTION("GOOGLETRANSLATE(B20914,""en"",""es-ES"")"),"Un hombre de pie sobre un edificio arroja una pelota hacia abajo y golpea alfileres.")</f>
        <v>Un hombre de pie sobre un edificio arroja una pelota hacia abajo y golpea alfileres.</v>
      </c>
    </row>
    <row r="20915">
      <c r="A20915" s="4" t="s">
        <v>26343</v>
      </c>
      <c r="B20915" s="4" t="s">
        <v>26344</v>
      </c>
      <c r="C20915" s="5" t="str">
        <f>IFERROR(__xludf.DUMMYFUNCTION("GOOGLETRANSLATE(B20915,""en"",""es-ES"")"),"Dos bailarines bailan en el centro del piso donde no hay mucha gente mirando.")</f>
        <v>Dos bailarines bailan en el centro del piso donde no hay mucha gente mirando.</v>
      </c>
    </row>
    <row r="20916">
      <c r="A20916" s="4" t="s">
        <v>26343</v>
      </c>
      <c r="B20916" s="4" t="s">
        <v>26345</v>
      </c>
      <c r="C20916" s="5" t="str">
        <f>IFERROR(__xludf.DUMMYFUNCTION("GOOGLETRANSLATE(B20916,""en"",""es-ES"")"),"Ambos llevan una decoración negra y giran los bastones de muchas maneras diferentes y la música se está reproduciendo.")</f>
        <v>Ambos llevan una decoración negra y giran los bastones de muchas maneras diferentes y la música se está reproduciendo.</v>
      </c>
    </row>
    <row r="20917">
      <c r="A20917" s="4" t="s">
        <v>26343</v>
      </c>
      <c r="B20917" s="4" t="s">
        <v>26346</v>
      </c>
      <c r="C20917" s="5" t="str">
        <f>IFERROR(__xludf.DUMMYFUNCTION("GOOGLETRANSLATE(B20917,""en"",""es-ES"")"),"Muchas personas están vitoreando, algunas están de pie y otras están sentadas.")</f>
        <v>Muchas personas están vitoreando, algunas están de pie y otras están sentadas.</v>
      </c>
    </row>
    <row r="20918">
      <c r="A20918" s="4" t="s">
        <v>26347</v>
      </c>
      <c r="B20918" s="4" t="s">
        <v>26348</v>
      </c>
      <c r="C20918" s="5" t="str">
        <f>IFERROR(__xludf.DUMMYFUNCTION("GOOGLETRANSLATE(B20918,""en"",""es-ES"")"),"Dos niños y dos niñas compiten a Beer Pong mientras otras personas miran.")</f>
        <v>Dos niños y dos niñas compiten a Beer Pong mientras otras personas miran.</v>
      </c>
    </row>
    <row r="20919">
      <c r="A20919" s="4" t="s">
        <v>26347</v>
      </c>
      <c r="B20919" s="4" t="s">
        <v>26349</v>
      </c>
      <c r="C20919" s="5" t="str">
        <f>IFERROR(__xludf.DUMMYFUNCTION("GOOGLETRANSLATE(B20919,""en"",""es-ES"")"),"Casi todas las bolas lanzadas por los niños aterrizan en las tazas, solo se pierde una pelota.")</f>
        <v>Casi todas las bolas lanzadas por los niños aterrizan en las tazas, solo se pierde una pelota.</v>
      </c>
    </row>
    <row r="20920">
      <c r="A20920" s="4" t="s">
        <v>26347</v>
      </c>
      <c r="B20920" s="4" t="s">
        <v>26350</v>
      </c>
      <c r="C20920" s="5" t="str">
        <f>IFERROR(__xludf.DUMMYFUNCTION("GOOGLETRANSLATE(B20920,""en"",""es-ES"")"),"Las chicas se hablan mientras miran a los chicos.")</f>
        <v>Las chicas se hablan mientras miran a los chicos.</v>
      </c>
    </row>
    <row r="20921">
      <c r="A20921" s="4" t="s">
        <v>26351</v>
      </c>
      <c r="B20921" s="4" t="s">
        <v>26352</v>
      </c>
      <c r="C20921" s="5" t="str">
        <f>IFERROR(__xludf.DUMMYFUNCTION("GOOGLETRANSLATE(B20921,""en"",""es-ES"")"),"Un chico está poniendo un grilletes de tela en los tobillos de una dama.")</f>
        <v>Un chico está poniendo un grilletes de tela en los tobillos de una dama.</v>
      </c>
    </row>
    <row r="20922">
      <c r="A20922" s="4" t="s">
        <v>26351</v>
      </c>
      <c r="B20922" s="4" t="s">
        <v>26353</v>
      </c>
      <c r="C20922" s="5" t="str">
        <f>IFERROR(__xludf.DUMMYFUNCTION("GOOGLETRANSLATE(B20922,""en"",""es-ES"")"),"El tipo posiciona a la dama en el borde.")</f>
        <v>El tipo posiciona a la dama en el borde.</v>
      </c>
    </row>
    <row r="20923">
      <c r="A20923" s="4" t="s">
        <v>26351</v>
      </c>
      <c r="B20923" s="4" t="s">
        <v>26354</v>
      </c>
      <c r="C20923" s="5" t="str">
        <f>IFERROR(__xludf.DUMMYFUNCTION("GOOGLETRANSLATE(B20923,""en"",""es-ES"")"),"La Lady Bungee salta cuando el tipo se quita la mano.")</f>
        <v>La Lady Bungee salta cuando el tipo se quita la mano.</v>
      </c>
    </row>
    <row r="20924">
      <c r="A20924" s="4" t="s">
        <v>26355</v>
      </c>
      <c r="B20924" s="4" t="s">
        <v>26356</v>
      </c>
      <c r="C20924" s="5" t="str">
        <f>IFERROR(__xludf.DUMMYFUNCTION("GOOGLETRANSLATE(B20924,""en"",""es-ES"")"),"Una mujer está barriendo frente a un granero.")</f>
        <v>Una mujer está barriendo frente a un granero.</v>
      </c>
    </row>
    <row r="20925">
      <c r="A20925" s="4" t="s">
        <v>26355</v>
      </c>
      <c r="B20925" s="4" t="s">
        <v>26357</v>
      </c>
      <c r="C20925" s="5" t="str">
        <f>IFERROR(__xludf.DUMMYFUNCTION("GOOGLETRANSLATE(B20925,""en"",""es-ES"")"),"Las gallinas están en el suelo detrás de ella.")</f>
        <v>Las gallinas están en el suelo detrás de ella.</v>
      </c>
    </row>
    <row r="20926">
      <c r="A20926" s="4" t="s">
        <v>26355</v>
      </c>
      <c r="B20926" s="4" t="s">
        <v>26358</v>
      </c>
      <c r="C20926" s="5" t="str">
        <f>IFERROR(__xludf.DUMMYFUNCTION("GOOGLETRANSLATE(B20926,""en"",""es-ES"")"),"Ella está palizando la suciedad en una carretilla.")</f>
        <v>Ella está palizando la suciedad en una carretilla.</v>
      </c>
    </row>
    <row r="20927">
      <c r="A20927" s="4" t="s">
        <v>26355</v>
      </c>
      <c r="B20927" s="4" t="s">
        <v>26359</v>
      </c>
      <c r="C20927" s="5" t="str">
        <f>IFERROR(__xludf.DUMMYFUNCTION("GOOGLETRANSLATE(B20927,""en"",""es-ES"")"),"Los hombres están barriendo frente al granero.")</f>
        <v>Los hombres están barriendo frente al granero.</v>
      </c>
    </row>
    <row r="20928">
      <c r="A20928" s="4" t="s">
        <v>26355</v>
      </c>
      <c r="B20928" s="4" t="s">
        <v>26360</v>
      </c>
      <c r="C20928" s="5" t="str">
        <f>IFERROR(__xludf.DUMMYFUNCTION("GOOGLETRANSLATE(B20928,""en"",""es-ES"")"),"Una mujer está cepillando un caballo con un cepillo.")</f>
        <v>Una mujer está cepillando un caballo con un cepillo.</v>
      </c>
    </row>
    <row r="20929">
      <c r="A20929" s="4" t="s">
        <v>26361</v>
      </c>
      <c r="B20929" s="4" t="s">
        <v>26362</v>
      </c>
      <c r="C20929" s="5" t="str">
        <f>IFERROR(__xludf.DUMMYFUNCTION("GOOGLETRANSLATE(B20929,""en"",""es-ES"")"),"Un conjunto de cuchillos descansa sobre los conos de alfiler.")</f>
        <v>Un conjunto de cuchillos descansa sobre los conos de alfiler.</v>
      </c>
    </row>
    <row r="20930">
      <c r="A20930" s="4" t="s">
        <v>26361</v>
      </c>
      <c r="B20930" s="4" t="s">
        <v>26363</v>
      </c>
      <c r="C20930" s="5" t="str">
        <f>IFERROR(__xludf.DUMMYFUNCTION("GOOGLETRANSLATE(B20930,""en"",""es-ES"")"),"Una navaja de bolsillo se toma de la caja de madera y se sostiene con una abrazadera.")</f>
        <v>Una navaja de bolsillo se toma de la caja de madera y se sostiene con una abrazadera.</v>
      </c>
    </row>
    <row r="20931">
      <c r="A20931" s="4" t="s">
        <v>26361</v>
      </c>
      <c r="B20931" s="4" t="s">
        <v>26364</v>
      </c>
      <c r="C20931" s="5" t="str">
        <f>IFERROR(__xludf.DUMMYFUNCTION("GOOGLETRANSLATE(B20931,""en"",""es-ES"")"),"El hombre usa piedras de afilado en la cuchilla del cuchillo.")</f>
        <v>El hombre usa piedras de afilado en la cuchilla del cuchillo.</v>
      </c>
    </row>
    <row r="20932">
      <c r="A20932" s="4" t="s">
        <v>26361</v>
      </c>
      <c r="B20932" s="4" t="s">
        <v>26365</v>
      </c>
      <c r="C20932" s="5" t="str">
        <f>IFERROR(__xludf.DUMMYFUNCTION("GOOGLETRANSLATE(B20932,""en"",""es-ES"")"),"El hombre corta trozos de papel para mostrar la nitidez de los cuchillos.")</f>
        <v>El hombre corta trozos de papel para mostrar la nitidez de los cuchillos.</v>
      </c>
    </row>
    <row r="20933">
      <c r="A20933" s="4" t="s">
        <v>26361</v>
      </c>
      <c r="B20933" s="4" t="s">
        <v>26366</v>
      </c>
      <c r="C20933" s="5" t="str">
        <f>IFERROR(__xludf.DUMMYFUNCTION("GOOGLETRANSLATE(B20933,""en"",""es-ES"")"),"Se ve una foto aún de un pozo de fuego abierto.")</f>
        <v>Se ve una foto aún de un pozo de fuego abierto.</v>
      </c>
    </row>
    <row r="20934">
      <c r="A20934" s="4" t="s">
        <v>26367</v>
      </c>
      <c r="B20934" s="4" t="s">
        <v>26368</v>
      </c>
      <c r="C20934" s="5" t="str">
        <f>IFERROR(__xludf.DUMMYFUNCTION("GOOGLETRANSLATE(B20934,""en"",""es-ES"")"),"Un grupo de niños se alinean en un campo de béisbol y luego corre para perseguir el balón.")</f>
        <v>Un grupo de niños se alinean en un campo de béisbol y luego corre para perseguir el balón.</v>
      </c>
    </row>
    <row r="20935">
      <c r="A20935" s="4" t="s">
        <v>26367</v>
      </c>
      <c r="B20935" s="4" t="s">
        <v>26369</v>
      </c>
      <c r="C20935" s="5" t="str">
        <f>IFERROR(__xludf.DUMMYFUNCTION("GOOGLETRANSLATE(B20935,""en"",""es-ES"")"),"Una mujer roda una bola de patada en el campo.")</f>
        <v>Una mujer roda una bola de patada en el campo.</v>
      </c>
    </row>
    <row r="20936">
      <c r="A20936" s="4" t="s">
        <v>26367</v>
      </c>
      <c r="B20936" s="4" t="s">
        <v>26370</v>
      </c>
      <c r="C20936" s="5" t="str">
        <f>IFERROR(__xludf.DUMMYFUNCTION("GOOGLETRANSLATE(B20936,""en"",""es-ES"")"),"La pelota es devuelta al campo por alguien en la banca.")</f>
        <v>La pelota es devuelta al campo por alguien en la banca.</v>
      </c>
    </row>
    <row r="20937">
      <c r="A20937" s="4" t="s">
        <v>26367</v>
      </c>
      <c r="B20937" s="4" t="s">
        <v>26371</v>
      </c>
      <c r="C20937" s="5" t="str">
        <f>IFERROR(__xludf.DUMMYFUNCTION("GOOGLETRANSLATE(B20937,""en"",""es-ES"")"),"Un niño corre por las bases en el campo.")</f>
        <v>Un niño corre por las bases en el campo.</v>
      </c>
    </row>
    <row r="20938">
      <c r="A20938" s="4" t="s">
        <v>26367</v>
      </c>
      <c r="B20938" s="4" t="s">
        <v>26372</v>
      </c>
      <c r="C20938" s="5" t="str">
        <f>IFERROR(__xludf.DUMMYFUNCTION("GOOGLETRANSLATE(B20938,""en"",""es-ES"")"),"El grupo de niños señala y señalan a otros jugadores en el campo.")</f>
        <v>El grupo de niños señala y señalan a otros jugadores en el campo.</v>
      </c>
    </row>
    <row r="20939">
      <c r="A20939" s="4" t="s">
        <v>26367</v>
      </c>
      <c r="B20939" s="4" t="s">
        <v>26373</v>
      </c>
      <c r="C20939" s="5" t="str">
        <f>IFERROR(__xludf.DUMMYFUNCTION("GOOGLETRANSLATE(B20939,""en"",""es-ES"")"),"Un niño patea la pelota y los otros jugadores corren alrededor de las bases.")</f>
        <v>Un niño patea la pelota y los otros jugadores corren alrededor de las bases.</v>
      </c>
    </row>
    <row r="20940">
      <c r="A20940" s="4" t="s">
        <v>26374</v>
      </c>
      <c r="B20940" s="4" t="s">
        <v>26375</v>
      </c>
      <c r="C20940" s="5" t="str">
        <f>IFERROR(__xludf.DUMMYFUNCTION("GOOGLETRANSLATE(B20940,""en"",""es-ES"")"),"Hay un gran gimnasio interior donde se celebra un evento de gimnasia.")</f>
        <v>Hay un gran gimnasio interior donde se celebra un evento de gimnasia.</v>
      </c>
    </row>
    <row r="20941">
      <c r="A20941" s="4" t="s">
        <v>26374</v>
      </c>
      <c r="B20941" s="4" t="s">
        <v>26376</v>
      </c>
      <c r="C20941" s="5" t="str">
        <f>IFERROR(__xludf.DUMMYFUNCTION("GOOGLETRANSLATE(B20941,""en"",""es-ES"")"),"Hay una gimnasta que actúa en los bares.")</f>
        <v>Hay una gimnasta que actúa en los bares.</v>
      </c>
    </row>
    <row r="20942">
      <c r="A20942" s="4" t="s">
        <v>26374</v>
      </c>
      <c r="B20942" s="4" t="s">
        <v>26377</v>
      </c>
      <c r="C20942" s="5" t="str">
        <f>IFERROR(__xludf.DUMMYFUNCTION("GOOGLETRANSLATE(B20942,""en"",""es-ES"")"),"Hay espectadores que la miran mientras se balancea rápidamente.")</f>
        <v>Hay espectadores que la miran mientras se balancea rápidamente.</v>
      </c>
    </row>
    <row r="20943">
      <c r="A20943" s="4" t="s">
        <v>26374</v>
      </c>
      <c r="B20943" s="4" t="s">
        <v>26378</v>
      </c>
      <c r="C20943" s="5" t="str">
        <f>IFERROR(__xludf.DUMMYFUNCTION("GOOGLETRANSLATE(B20943,""en"",""es-ES"")"),"Ella sale de los bares y su entrenador felicita.")</f>
        <v>Ella sale de los bares y su entrenador felicita.</v>
      </c>
    </row>
    <row r="20944">
      <c r="A20944" s="4" t="s">
        <v>26374</v>
      </c>
      <c r="B20944" s="4" t="s">
        <v>26379</v>
      </c>
      <c r="C20944" s="5" t="str">
        <f>IFERROR(__xludf.DUMMYFUNCTION("GOOGLETRANSLATE(B20944,""en"",""es-ES"")"),"Los premios se entregan a los ganadores de la competencia.")</f>
        <v>Los premios se entregan a los ganadores de la competencia.</v>
      </c>
    </row>
    <row r="20945">
      <c r="A20945" s="4" t="s">
        <v>26374</v>
      </c>
      <c r="B20945" s="4" t="s">
        <v>26380</v>
      </c>
      <c r="C20945" s="5" t="str">
        <f>IFERROR(__xludf.DUMMYFUNCTION("GOOGLETRANSLATE(B20945,""en"",""es-ES"")"),"Los ganadores están en el escenario para recibir sus medallas de victoria.")</f>
        <v>Los ganadores están en el escenario para recibir sus medallas de victoria.</v>
      </c>
    </row>
    <row r="20946">
      <c r="A20946" s="4" t="s">
        <v>26374</v>
      </c>
      <c r="B20946" s="4" t="s">
        <v>26381</v>
      </c>
      <c r="C20946" s="5" t="str">
        <f>IFERROR(__xludf.DUMMYFUNCTION("GOOGLETRANSLATE(B20946,""en"",""es-ES"")"),"El tablero de puntuación muestra los nombres de todos los ganadores.")</f>
        <v>El tablero de puntuación muestra los nombres de todos los ganadores.</v>
      </c>
    </row>
    <row r="20947">
      <c r="A20947" s="4" t="s">
        <v>26382</v>
      </c>
      <c r="B20947" s="4" t="s">
        <v>26383</v>
      </c>
      <c r="C20947" s="5" t="str">
        <f>IFERROR(__xludf.DUMMYFUNCTION("GOOGLETRANSLATE(B20947,""en"",""es-ES"")"),"Se muestran varias batallas diferentes de lucha libre con muchos luchadores diferentes exhibidos.")</f>
        <v>Se muestran varias batallas diferentes de lucha libre con muchos luchadores diferentes exhibidos.</v>
      </c>
    </row>
    <row r="20948">
      <c r="A20948" s="4" t="s">
        <v>26382</v>
      </c>
      <c r="B20948" s="4" t="s">
        <v>26384</v>
      </c>
      <c r="C20948" s="5" t="str">
        <f>IFERROR(__xludf.DUMMYFUNCTION("GOOGLETRANSLATE(B20948,""en"",""es-ES"")"),"Un hombre es levantado sobre los hombros de otro hombre y luego es arrojado sobre una mesa, que se rompe por la mitad con la fuerza de su peso.")</f>
        <v>Un hombre es levantado sobre los hombros de otro hombre y luego es arrojado sobre una mesa, que se rompe por la mitad con la fuerza de su peso.</v>
      </c>
    </row>
    <row r="20949">
      <c r="A20949" s="4" t="s">
        <v>26382</v>
      </c>
      <c r="B20949" s="4" t="s">
        <v>26385</v>
      </c>
      <c r="C20949" s="5" t="str">
        <f>IFERROR(__xludf.DUMMYFUNCTION("GOOGLETRANSLATE(B20949,""en"",""es-ES"")"),"Varios luchadores más se arrojan violentamente a los pisos de anillo y superficies planas y mesas, con un hombre oscuro y de pelo largo que aparece varias veces durante el clip gritando de manera animada.")</f>
        <v>Varios luchadores más se arrojan violentamente a los pisos de anillo y superficies planas y mesas, con un hombre oscuro y de pelo largo que aparece varias veces durante el clip gritando de manera animada.</v>
      </c>
    </row>
    <row r="20950">
      <c r="A20950" s="4" t="s">
        <v>26382</v>
      </c>
      <c r="B20950" s="4" t="s">
        <v>26386</v>
      </c>
      <c r="C20950" s="5" t="str">
        <f>IFERROR(__xludf.DUMMYFUNCTION("GOOGLETRANSLATE(B20950,""en"",""es-ES"")"),"Un hombre de cabello rojo habla con una cámara cerca del final del clip.")</f>
        <v>Un hombre de cabello rojo habla con una cámara cerca del final del clip.</v>
      </c>
    </row>
    <row r="20951">
      <c r="A20951" s="4" t="s">
        <v>26387</v>
      </c>
      <c r="B20951" s="4" t="s">
        <v>26388</v>
      </c>
      <c r="C20951" s="5" t="str">
        <f>IFERROR(__xludf.DUMMYFUNCTION("GOOGLETRANSLATE(B20951,""en"",""es-ES"")"),"Dos hombres están hablando en la acera.")</f>
        <v>Dos hombres están hablando en la acera.</v>
      </c>
    </row>
    <row r="20952">
      <c r="A20952" s="4" t="s">
        <v>26387</v>
      </c>
      <c r="B20952" s="4" t="s">
        <v>26389</v>
      </c>
      <c r="C20952" s="5" t="str">
        <f>IFERROR(__xludf.DUMMYFUNCTION("GOOGLETRANSLATE(B20952,""en"",""es-ES"")"),"Un elevador de horquilla de naranja pasa detrás de ellos.")</f>
        <v>Un elevador de horquilla de naranja pasa detrás de ellos.</v>
      </c>
    </row>
    <row r="20953">
      <c r="A20953" s="4" t="s">
        <v>26387</v>
      </c>
      <c r="B20953" s="4" t="s">
        <v>26390</v>
      </c>
      <c r="C20953" s="5" t="str">
        <f>IFERROR(__xludf.DUMMYFUNCTION("GOOGLETRANSLATE(B20953,""en"",""es-ES"")"),"Uno de los hombres está cepillando el cabello del otro hombre.")</f>
        <v>Uno de los hombres está cepillando el cabello del otro hombre.</v>
      </c>
    </row>
    <row r="20954">
      <c r="A20954" s="4" t="s">
        <v>26387</v>
      </c>
      <c r="B20954" s="4" t="s">
        <v>26391</v>
      </c>
      <c r="C20954" s="5" t="str">
        <f>IFERROR(__xludf.DUMMYFUNCTION("GOOGLETRANSLATE(B20954,""en"",""es-ES"")"),"El hombre de la camisa roja juega con su cabello.")</f>
        <v>El hombre de la camisa roja juega con su cabello.</v>
      </c>
    </row>
    <row r="20955">
      <c r="A20955" s="4" t="s">
        <v>26392</v>
      </c>
      <c r="B20955" s="4" t="s">
        <v>26393</v>
      </c>
      <c r="C20955" s="5" t="str">
        <f>IFERROR(__xludf.DUMMYFUNCTION("GOOGLETRANSLATE(B20955,""en"",""es-ES"")"),"Un hombre de pie frente a las flores de naranja habla.")</f>
        <v>Un hombre de pie frente a las flores de naranja habla.</v>
      </c>
    </row>
    <row r="20956">
      <c r="A20956" s="4" t="s">
        <v>26392</v>
      </c>
      <c r="B20956" s="4" t="s">
        <v>26394</v>
      </c>
      <c r="C20956" s="5" t="str">
        <f>IFERROR(__xludf.DUMMYFUNCTION("GOOGLETRANSLATE(B20956,""en"",""es-ES"")"),"Un perro pequeño está acostado en el suelo.")</f>
        <v>Un perro pequeño está acostado en el suelo.</v>
      </c>
    </row>
    <row r="20957">
      <c r="A20957" s="4" t="s">
        <v>26392</v>
      </c>
      <c r="B20957" s="4" t="s">
        <v>26395</v>
      </c>
      <c r="C20957" s="5" t="str">
        <f>IFERROR(__xludf.DUMMYFUNCTION("GOOGLETRANSLATE(B20957,""en"",""es-ES"")"),"Se muestra una cabeza de ducha.")</f>
        <v>Se muestra una cabeza de ducha.</v>
      </c>
    </row>
    <row r="20958">
      <c r="A20958" s="4" t="s">
        <v>26392</v>
      </c>
      <c r="B20958" s="4" t="s">
        <v>26396</v>
      </c>
      <c r="C20958" s="5" t="str">
        <f>IFERROR(__xludf.DUMMYFUNCTION("GOOGLETRANSLATE(B20958,""en"",""es-ES"")"),"Una mujer está sentada en una cama con el perro.")</f>
        <v>Una mujer está sentada en una cama con el perro.</v>
      </c>
    </row>
    <row r="20959">
      <c r="A20959" s="4" t="s">
        <v>26392</v>
      </c>
      <c r="B20959" s="4" t="s">
        <v>26397</v>
      </c>
      <c r="C20959" s="5" t="str">
        <f>IFERROR(__xludf.DUMMYFUNCTION("GOOGLETRANSLATE(B20959,""en"",""es-ES"")"),"Ella y el perro están en la ducha.")</f>
        <v>Ella y el perro están en la ducha.</v>
      </c>
    </row>
    <row r="20960">
      <c r="A20960" s="4" t="s">
        <v>26392</v>
      </c>
      <c r="B20960" s="4" t="s">
        <v>26398</v>
      </c>
      <c r="C20960" s="5" t="str">
        <f>IFERROR(__xludf.DUMMYFUNCTION("GOOGLETRANSLATE(B20960,""en"",""es-ES"")"),"Ella está rociando al perro con agua.")</f>
        <v>Ella está rociando al perro con agua.</v>
      </c>
    </row>
    <row r="20961">
      <c r="A20961" s="4" t="s">
        <v>26392</v>
      </c>
      <c r="B20961" s="4" t="s">
        <v>26399</v>
      </c>
      <c r="C20961" s="5" t="str">
        <f>IFERROR(__xludf.DUMMYFUNCTION("GOOGLETRANSLATE(B20961,""en"",""es-ES"")"),"Se está sosteniendo una botella para ser mostrada.")</f>
        <v>Se está sosteniendo una botella para ser mostrada.</v>
      </c>
    </row>
    <row r="20962">
      <c r="A20962" s="4" t="s">
        <v>26392</v>
      </c>
      <c r="B20962" s="4" t="s">
        <v>26400</v>
      </c>
      <c r="C20962" s="5" t="str">
        <f>IFERROR(__xludf.DUMMYFUNCTION("GOOGLETRANSLATE(B20962,""en"",""es-ES"")"),"Ella seca al perro con una toalla blanca.")</f>
        <v>Ella seca al perro con una toalla blanca.</v>
      </c>
    </row>
    <row r="20963">
      <c r="A20963" s="4" t="s">
        <v>26392</v>
      </c>
      <c r="B20963" s="4" t="s">
        <v>26401</v>
      </c>
      <c r="C20963" s="5" t="str">
        <f>IFERROR(__xludf.DUMMYFUNCTION("GOOGLETRANSLATE(B20963,""en"",""es-ES"")"),"Un robot está bailando en la pantalla.")</f>
        <v>Un robot está bailando en la pantalla.</v>
      </c>
    </row>
    <row r="20964">
      <c r="A20964" s="4" t="s">
        <v>26402</v>
      </c>
      <c r="B20964" s="4" t="s">
        <v>26403</v>
      </c>
      <c r="C20964" s="5" t="str">
        <f>IFERROR(__xludf.DUMMYFUNCTION("GOOGLETRANSLATE(B20964,""en"",""es-ES"")"),"Se muestra un césped apilado por la nieve.")</f>
        <v>Se muestra un césped apilado por la nieve.</v>
      </c>
    </row>
    <row r="20965">
      <c r="A20965" s="4" t="s">
        <v>26402</v>
      </c>
      <c r="B20965" s="4" t="s">
        <v>26404</v>
      </c>
      <c r="C20965" s="5" t="str">
        <f>IFERROR(__xludf.DUMMYFUNCTION("GOOGLETRANSLATE(B20965,""en"",""es-ES"")"),"Un hombre en un tractor está tirando de un niño sobre un tubo sobre montículos de nieve una y otra vez.")</f>
        <v>Un hombre en un tractor está tirando de un niño sobre un tubo sobre montículos de nieve una y otra vez.</v>
      </c>
    </row>
    <row r="20966">
      <c r="A20966" s="4" t="s">
        <v>26402</v>
      </c>
      <c r="B20966" s="4" t="s">
        <v>26405</v>
      </c>
      <c r="C20966" s="5" t="str">
        <f>IFERROR(__xludf.DUMMYFUNCTION("GOOGLETRANSLATE(B20966,""en"",""es-ES"")"),"Termina con el niño de cerca y otro cereal de comer desde la parte superior de una escalera.")</f>
        <v>Termina con el niño de cerca y otro cereal de comer desde la parte superior de una escalera.</v>
      </c>
    </row>
    <row r="20967">
      <c r="A20967" s="4" t="s">
        <v>26406</v>
      </c>
      <c r="B20967" s="4" t="s">
        <v>26407</v>
      </c>
      <c r="C20967" s="5" t="str">
        <f>IFERROR(__xludf.DUMMYFUNCTION("GOOGLETRANSLATE(B20967,""en"",""es-ES"")"),"Un representante de la red GCN está hablando y demostrando cómo usar herramientas para arreglar las ruedas de bicicleta.")</f>
        <v>Un representante de la red GCN está hablando y demostrando cómo usar herramientas para arreglar las ruedas de bicicleta.</v>
      </c>
    </row>
    <row r="20968">
      <c r="A20968" s="4" t="s">
        <v>26406</v>
      </c>
      <c r="B20968" s="4" t="s">
        <v>26408</v>
      </c>
      <c r="C20968" s="5" t="str">
        <f>IFERROR(__xludf.DUMMYFUNCTION("GOOGLETRANSLATE(B20968,""en"",""es-ES"")"),"Está parado cerca de una bicicleta azul elevada con varias herramientas que se muestran en una pared detrás de él.")</f>
        <v>Está parado cerca de una bicicleta azul elevada con varias herramientas que se muestran en una pared detrás de él.</v>
      </c>
    </row>
    <row r="20969">
      <c r="A20969" s="4" t="s">
        <v>26406</v>
      </c>
      <c r="B20969" s="4" t="s">
        <v>26409</v>
      </c>
      <c r="C20969" s="5" t="str">
        <f>IFERROR(__xludf.DUMMYFUNCTION("GOOGLETRANSLATE(B20969,""en"",""es-ES"")"),"Está usando una llave Allen para palear el neumático para bicicletas.")</f>
        <v>Está usando una llave Allen para palear el neumático para bicicletas.</v>
      </c>
    </row>
    <row r="20970">
      <c r="A20970" s="4" t="s">
        <v>26406</v>
      </c>
      <c r="B20970" s="4" t="s">
        <v>26410</v>
      </c>
      <c r="C20970" s="5" t="str">
        <f>IFERROR(__xludf.DUMMYFUNCTION("GOOGLETRANSLATE(B20970,""en"",""es-ES"")"),"Gira el neumático de la bicicleta y luego usa la tecla Allen para ajustar los tornillos.")</f>
        <v>Gira el neumático de la bicicleta y luego usa la tecla Allen para ajustar los tornillos.</v>
      </c>
    </row>
    <row r="20971">
      <c r="A20971" s="4" t="s">
        <v>26406</v>
      </c>
      <c r="B20971" s="4" t="s">
        <v>26411</v>
      </c>
      <c r="C20971" s="5" t="str">
        <f>IFERROR(__xludf.DUMMYFUNCTION("GOOGLETRANSLATE(B20971,""en"",""es-ES"")"),"Luego restablece los pistones de la rueda para realinearlos.")</f>
        <v>Luego restablece los pistones de la rueda para realinearlos.</v>
      </c>
    </row>
    <row r="20972">
      <c r="A20972" s="4" t="s">
        <v>26406</v>
      </c>
      <c r="B20972" s="4" t="s">
        <v>26412</v>
      </c>
      <c r="C20972" s="5" t="str">
        <f>IFERROR(__xludf.DUMMYFUNCTION("GOOGLETRANSLATE(B20972,""en"",""es-ES"")"),"Luego encaja precisamente en el accesorio en la rueda.")</f>
        <v>Luego encaja precisamente en el accesorio en la rueda.</v>
      </c>
    </row>
    <row r="20973">
      <c r="A20973" s="4" t="s">
        <v>26413</v>
      </c>
      <c r="B20973" s="4" t="s">
        <v>26414</v>
      </c>
      <c r="C20973" s="5" t="str">
        <f>IFERROR(__xludf.DUMMYFUNCTION("GOOGLETRANSLATE(B20973,""en"",""es-ES"")"),"Una persona usa una aspiradora para limpiar la alfombra de los escombros en una habitación que lo barre de un lado a otro.")</f>
        <v>Una persona usa una aspiradora para limpiar la alfombra de los escombros en una habitación que lo barre de un lado a otro.</v>
      </c>
    </row>
    <row r="20974">
      <c r="A20974" s="4" t="s">
        <v>26413</v>
      </c>
      <c r="B20974" s="4" t="s">
        <v>26415</v>
      </c>
      <c r="C20974" s="5" t="str">
        <f>IFERROR(__xludf.DUMMYFUNCTION("GOOGLETRANSLATE(B20974,""en"",""es-ES"")"),"El balde de recolección de aspiradoras se mueve para llegar a una nueva área de alfombra.")</f>
        <v>El balde de recolección de aspiradoras se mueve para llegar a una nueva área de alfombra.</v>
      </c>
    </row>
    <row r="20975">
      <c r="A20975" s="4" t="s">
        <v>26413</v>
      </c>
      <c r="B20975" s="4" t="s">
        <v>26416</v>
      </c>
      <c r="C20975" s="5" t="str">
        <f>IFERROR(__xludf.DUMMYFUNCTION("GOOGLETRANSLATE(B20975,""en"",""es-ES"")"),"La persona aspira el área de la alfombra alrededor del sofá.")</f>
        <v>La persona aspira el área de la alfombra alrededor del sofá.</v>
      </c>
    </row>
    <row r="20976">
      <c r="A20976" s="4" t="s">
        <v>26413</v>
      </c>
      <c r="B20976" s="4" t="s">
        <v>26417</v>
      </c>
      <c r="C20976" s="5" t="str">
        <f>IFERROR(__xludf.DUMMYFUNCTION("GOOGLETRANSLATE(B20976,""en"",""es-ES"")"),"La persona levanta la cabeza del vacío y examina las ruedas debajo.")</f>
        <v>La persona levanta la cabeza del vacío y examina las ruedas debajo.</v>
      </c>
    </row>
    <row r="20977">
      <c r="A20977" s="4" t="s">
        <v>26418</v>
      </c>
      <c r="B20977" s="4" t="s">
        <v>26419</v>
      </c>
      <c r="C20977" s="5" t="str">
        <f>IFERROR(__xludf.DUMMYFUNCTION("GOOGLETRANSLATE(B20977,""en"",""es-ES"")"),"Una mujer rubia corre y hace un salto de altura repetidamente.")</f>
        <v>Una mujer rubia corre y hace un salto de altura repetidamente.</v>
      </c>
    </row>
    <row r="20978">
      <c r="A20978" s="4" t="s">
        <v>26418</v>
      </c>
      <c r="B20978" s="4" t="s">
        <v>26420</v>
      </c>
      <c r="C20978" s="5" t="str">
        <f>IFERROR(__xludf.DUMMYFUNCTION("GOOGLETRANSLATE(B20978,""en"",""es-ES"")"),"Una mujer de blanco en el fondo hace un salto de altura.")</f>
        <v>Una mujer de blanco en el fondo hace un salto de altura.</v>
      </c>
    </row>
    <row r="20979">
      <c r="A20979" s="4" t="s">
        <v>26418</v>
      </c>
      <c r="B20979" s="4" t="s">
        <v>26421</v>
      </c>
      <c r="C20979" s="5" t="str">
        <f>IFERROR(__xludf.DUMMYFUNCTION("GOOGLETRANSLATE(B20979,""en"",""es-ES"")"),"Una dama negra pasa junto a la cámara.")</f>
        <v>Una dama negra pasa junto a la cámara.</v>
      </c>
    </row>
    <row r="20980">
      <c r="A20980" s="4" t="s">
        <v>26418</v>
      </c>
      <c r="B20980" s="4" t="s">
        <v>26422</v>
      </c>
      <c r="C20980" s="5" t="str">
        <f>IFERROR(__xludf.DUMMYFUNCTION("GOOGLETRANSLATE(B20980,""en"",""es-ES"")"),"La dama negra aparece nuevamente y ajusta algo en el suelo.")</f>
        <v>La dama negra aparece nuevamente y ajusta algo en el suelo.</v>
      </c>
    </row>
    <row r="20981">
      <c r="A20981" s="4" t="s">
        <v>26418</v>
      </c>
      <c r="B20981" s="4" t="s">
        <v>26423</v>
      </c>
      <c r="C20981" s="5" t="str">
        <f>IFERROR(__xludf.DUMMYFUNCTION("GOOGLETRANSLATE(B20981,""en"",""es-ES"")"),"Un hombre levanta una bandera roja.")</f>
        <v>Un hombre levanta una bandera roja.</v>
      </c>
    </row>
    <row r="20982">
      <c r="A20982" s="4" t="s">
        <v>26424</v>
      </c>
      <c r="B20982" s="4" t="s">
        <v>26425</v>
      </c>
      <c r="C20982" s="5" t="str">
        <f>IFERROR(__xludf.DUMMYFUNCTION("GOOGLETRANSLATE(B20982,""en"",""es-ES"")"),"Una chica con su uniforme de baile está de pie con su madre hablando esperando que su turno aparezca, cuando es su turno que ella y su pareja caminan por el escenario.")</f>
        <v>Una chica con su uniforme de baile está de pie con su madre hablando esperando que su turno aparezca, cuando es su turno que ella y su pareja caminan por el escenario.</v>
      </c>
    </row>
    <row r="20983">
      <c r="A20983" s="4" t="s">
        <v>26424</v>
      </c>
      <c r="B20983" s="4" t="s">
        <v>26426</v>
      </c>
      <c r="C20983" s="5" t="str">
        <f>IFERROR(__xludf.DUMMYFUNCTION("GOOGLETRANSLATE(B20983,""en"",""es-ES"")"),"Comienzan a hacer su rutina con sus bastones.")</f>
        <v>Comienzan a hacer su rutina con sus bastones.</v>
      </c>
    </row>
    <row r="20984">
      <c r="A20984" s="4" t="s">
        <v>26424</v>
      </c>
      <c r="B20984" s="4" t="s">
        <v>26427</v>
      </c>
      <c r="C20984" s="5" t="str">
        <f>IFERROR(__xludf.DUMMYFUNCTION("GOOGLETRANSLATE(B20984,""en"",""es-ES"")"),"Trabajan bien juntas y una de las chicas hace un volteo mientras la otra niña la sostiene, continúan con el resto de su rutina.")</f>
        <v>Trabajan bien juntas y una de las chicas hace un volteo mientras la otra niña la sostiene, continúan con el resto de su rutina.</v>
      </c>
    </row>
    <row r="20985">
      <c r="A20985" s="4" t="s">
        <v>26424</v>
      </c>
      <c r="B20985" s="4" t="s">
        <v>26428</v>
      </c>
      <c r="C20985" s="5" t="str">
        <f>IFERROR(__xludf.DUMMYFUNCTION("GOOGLETRANSLATE(B20985,""en"",""es-ES"")"),"Terminan su rutina, uno de ellos arrodillado y el otro detrás de ella y se levantan y salen del escenario.")</f>
        <v>Terminan su rutina, uno de ellos arrodillado y el otro detrás de ella y se levantan y salen del escenario.</v>
      </c>
    </row>
    <row r="20986">
      <c r="A20986" s="4" t="s">
        <v>26429</v>
      </c>
      <c r="B20986" s="4" t="s">
        <v>26430</v>
      </c>
      <c r="C20986" s="5" t="str">
        <f>IFERROR(__xludf.DUMMYFUNCTION("GOOGLETRANSLATE(B20986,""en"",""es-ES"")"),"Una niña con un disfraz azul y brillante está parado en una cancha mientras sostiene dos bastones.")</f>
        <v>Una niña con un disfraz azul y brillante está parado en una cancha mientras sostiene dos bastones.</v>
      </c>
    </row>
    <row r="20987">
      <c r="A20987" s="4" t="s">
        <v>26429</v>
      </c>
      <c r="B20987" s="4" t="s">
        <v>26431</v>
      </c>
      <c r="C20987" s="5" t="str">
        <f>IFERROR(__xludf.DUMMYFUNCTION("GOOGLETRANSLATE(B20987,""en"",""es-ES"")"),"La niña comienza su rutina de batón y comienza su rutina y gira los bastones y su cuerpo.")</f>
        <v>La niña comienza su rutina de batón y comienza su rutina y gira los bastones y su cuerpo.</v>
      </c>
    </row>
    <row r="20988">
      <c r="A20988" s="4" t="s">
        <v>26429</v>
      </c>
      <c r="B20988" s="4" t="s">
        <v>26432</v>
      </c>
      <c r="C20988" s="5" t="str">
        <f>IFERROR(__xludf.DUMMYFUNCTION("GOOGLETRANSLATE(B20988,""en"",""es-ES"")"),"Los jueces en una mesa la miran todo el tiempo mientras también escriben en una hoja de papel.")</f>
        <v>Los jueces en una mesa la miran todo el tiempo mientras también escriben en una hoja de papel.</v>
      </c>
    </row>
    <row r="20989">
      <c r="A20989" s="4" t="s">
        <v>26429</v>
      </c>
      <c r="B20989" s="4" t="s">
        <v>26433</v>
      </c>
      <c r="C20989" s="5" t="str">
        <f>IFERROR(__xludf.DUMMYFUNCTION("GOOGLETRANSLATE(B20989,""en"",""es-ES"")"),"La niña deja caer su bastón, lo recoge y luego continúa con su rutina.")</f>
        <v>La niña deja caer su bastón, lo recoge y luego continúa con su rutina.</v>
      </c>
    </row>
    <row r="20990">
      <c r="A20990" s="4" t="s">
        <v>26434</v>
      </c>
      <c r="B20990" s="4" t="s">
        <v>26435</v>
      </c>
      <c r="C20990" s="5" t="str">
        <f>IFERROR(__xludf.DUMMYFUNCTION("GOOGLETRANSLATE(B20990,""en"",""es-ES"")"),"Un hombre es un buceo de aguas profundas con algún tipo de máquina como si estuviera buscando algo.")</f>
        <v>Un hombre es un buceo de aguas profundas con algún tipo de máquina como si estuviera buscando algo.</v>
      </c>
    </row>
    <row r="20991">
      <c r="A20991" s="4" t="s">
        <v>26434</v>
      </c>
      <c r="B20991" s="4" t="s">
        <v>26436</v>
      </c>
      <c r="C20991" s="5" t="str">
        <f>IFERROR(__xludf.DUMMYFUNCTION("GOOGLETRANSLATE(B20991,""en"",""es-ES"")"),"En medio, comienza a jugar con un pequeño pez antes de continuar en su búsqueda.")</f>
        <v>En medio, comienza a jugar con un pequeño pez antes de continuar en su búsqueda.</v>
      </c>
    </row>
    <row r="20992">
      <c r="A20992" s="4" t="s">
        <v>26434</v>
      </c>
      <c r="B20992" s="4" t="s">
        <v>26437</v>
      </c>
      <c r="C20992" s="5" t="str">
        <f>IFERROR(__xludf.DUMMYFUNCTION("GOOGLETRANSLATE(B20992,""en"",""es-ES"")"),"El hombre continúa viajando por el agua a un ritmo lento, pero no está encontrando nada.")</f>
        <v>El hombre continúa viajando por el agua a un ritmo lento, pero no está encontrando nada.</v>
      </c>
    </row>
    <row r="20993">
      <c r="A20993" s="4" t="s">
        <v>26438</v>
      </c>
      <c r="B20993" s="4" t="s">
        <v>26439</v>
      </c>
      <c r="C20993" s="5" t="str">
        <f>IFERROR(__xludf.DUMMYFUNCTION("GOOGLETRANSLATE(B20993,""en"",""es-ES"")"),"Dos bailarines participan en un baile de salón de baile frente a una banda en vivo y una audiencia televisada completa.")</f>
        <v>Dos bailarines participan en un baile de salón de baile frente a una banda en vivo y una audiencia televisada completa.</v>
      </c>
    </row>
    <row r="20994">
      <c r="A20994" s="4" t="s">
        <v>26438</v>
      </c>
      <c r="B20994" s="4" t="s">
        <v>26440</v>
      </c>
      <c r="C20994" s="5" t="str">
        <f>IFERROR(__xludf.DUMMYFUNCTION("GOOGLETRANSLATE(B20994,""en"",""es-ES"")"),"Una mujer con un atuendo de salón se acerca a un hombre en un baile de salón de baile, cuando los dos se encuentran comienzan a bailar por el piso usando el elaborado juego de pies durante el baile.")</f>
        <v>Una mujer con un atuendo de salón se acerca a un hombre en un baile de salón de baile, cuando los dos se encuentran comienzan a bailar por el piso usando el elaborado juego de pies durante el baile.</v>
      </c>
    </row>
    <row r="20995">
      <c r="A20995" s="4" t="s">
        <v>26438</v>
      </c>
      <c r="B20995" s="4" t="s">
        <v>26441</v>
      </c>
      <c r="C20995" s="5" t="str">
        <f>IFERROR(__xludf.DUMMYFUNCTION("GOOGLETRANSLATE(B20995,""en"",""es-ES"")"),"Un número de teléfono que invita a las personas a llamar y votar por ellas aparece en la pantalla junto con el logotipo de la red.")</f>
        <v>Un número de teléfono que invita a las personas a llamar y votar por ellas aparece en la pantalla junto con el logotipo de la red.</v>
      </c>
    </row>
    <row r="20996">
      <c r="A20996" s="4" t="s">
        <v>26438</v>
      </c>
      <c r="B20996" s="4" t="s">
        <v>26442</v>
      </c>
      <c r="C20996" s="5" t="str">
        <f>IFERROR(__xludf.DUMMYFUNCTION("GOOGLETRANSLATE(B20996,""en"",""es-ES"")"),"Los dos continúan bailando exhibiendo diapositivas, pastillas, un último beso y toboganes en la pista de baile mientras la gente de la audiencia aplaude.")</f>
        <v>Los dos continúan bailando exhibiendo diapositivas, pastillas, un último beso y toboganes en la pista de baile mientras la gente de la audiencia aplaude.</v>
      </c>
    </row>
    <row r="20997">
      <c r="A20997" s="4" t="s">
        <v>26443</v>
      </c>
      <c r="B20997" s="4" t="s">
        <v>26444</v>
      </c>
      <c r="C20997" s="5" t="str">
        <f>IFERROR(__xludf.DUMMYFUNCTION("GOOGLETRANSLATE(B20997,""en"",""es-ES"")"),"Un hombre y una mujer se apoyan mientras el hombre habla.")</f>
        <v>Un hombre y una mujer se apoyan mientras el hombre habla.</v>
      </c>
    </row>
    <row r="20998">
      <c r="A20998" s="4" t="s">
        <v>26443</v>
      </c>
      <c r="B20998" s="4" t="s">
        <v>26445</v>
      </c>
      <c r="C20998" s="5" t="str">
        <f>IFERROR(__xludf.DUMMYFUNCTION("GOOGLETRANSLATE(B20998,""en"",""es-ES"")"),"La mujer se extiende hacia abajo y levanta un bar.")</f>
        <v>La mujer se extiende hacia abajo y levanta un bar.</v>
      </c>
    </row>
    <row r="20999">
      <c r="A20999" s="4" t="s">
        <v>26443</v>
      </c>
      <c r="B20999" s="4" t="s">
        <v>26446</v>
      </c>
      <c r="C20999" s="5" t="str">
        <f>IFERROR(__xludf.DUMMYFUNCTION("GOOGLETRANSLATE(B20999,""en"",""es-ES"")"),"Ella hace pequeños ascensores contra sus muslos.")</f>
        <v>Ella hace pequeños ascensores contra sus muslos.</v>
      </c>
    </row>
    <row r="21000">
      <c r="A21000" s="4" t="s">
        <v>26443</v>
      </c>
      <c r="B21000" s="4" t="s">
        <v>26447</v>
      </c>
      <c r="C21000" s="5" t="str">
        <f>IFERROR(__xludf.DUMMYFUNCTION("GOOGLETRANSLATE(B21000,""en"",""es-ES"")"),"Ella continúa los pequeños ascensores y agrega una varianza de grandes elevadores.")</f>
        <v>Ella continúa los pequeños ascensores y agrega una varianza de grandes elevadores.</v>
      </c>
    </row>
    <row r="21001">
      <c r="A21001" s="4" t="s">
        <v>26443</v>
      </c>
      <c r="B21001" s="4" t="s">
        <v>26448</v>
      </c>
      <c r="C21001" s="5" t="str">
        <f>IFERROR(__xludf.DUMMYFUNCTION("GOOGLETRANSLATE(B21001,""en"",""es-ES"")"),"Levanta la barra sobre su cabeza y la lleva a su área del muslo para continuar los pequeños elevadores.")</f>
        <v>Levanta la barra sobre su cabeza y la lleva a su área del muslo para continuar los pequeños elevadores.</v>
      </c>
    </row>
    <row r="21002">
      <c r="A21002" s="4" t="s">
        <v>26443</v>
      </c>
      <c r="B21002" s="4" t="s">
        <v>26449</v>
      </c>
      <c r="C21002" s="5" t="str">
        <f>IFERROR(__xludf.DUMMYFUNCTION("GOOGLETRANSLATE(B21002,""en"",""es-ES"")"),"Ella trae la barra sobre su cabeza y la deja caer al suelo.")</f>
        <v>Ella trae la barra sobre su cabeza y la deja caer al suelo.</v>
      </c>
    </row>
    <row r="21003">
      <c r="A21003" s="4" t="s">
        <v>26450</v>
      </c>
      <c r="B21003" s="4" t="s">
        <v>26451</v>
      </c>
      <c r="C21003" s="5" t="str">
        <f>IFERROR(__xludf.DUMMYFUNCTION("GOOGLETRANSLATE(B21003,""en"",""es-ES"")"),"Se ve a un niño pequeño balanceándose en una piñata con un gran grupo de niños detrás de ellos.")</f>
        <v>Se ve a un niño pequeño balanceándose en una piñata con un gran grupo de niños detrás de ellos.</v>
      </c>
    </row>
    <row r="21004">
      <c r="A21004" s="4" t="s">
        <v>26450</v>
      </c>
      <c r="B21004" s="4" t="s">
        <v>26452</v>
      </c>
      <c r="C21004" s="5" t="str">
        <f>IFERROR(__xludf.DUMMYFUNCTION("GOOGLETRANSLATE(B21004,""en"",""es-ES"")"),"Más niños se ponen de pie para colocar en la piñata mientras los padres caminan por los niños.")</f>
        <v>Más niños se ponen de pie para colocar en la piñata mientras los padres caminan por los niños.</v>
      </c>
    </row>
    <row r="21005">
      <c r="A21005" s="4" t="s">
        <v>26450</v>
      </c>
      <c r="B21005" s="4" t="s">
        <v>26453</v>
      </c>
      <c r="C21005" s="5" t="str">
        <f>IFERROR(__xludf.DUMMYFUNCTION("GOOGLETRANSLATE(B21005,""en"",""es-ES"")"),"Una última chica intenta romper la piñata al final.")</f>
        <v>Una última chica intenta romper la piñata al final.</v>
      </c>
    </row>
    <row r="21006">
      <c r="A21006" s="4" t="s">
        <v>26454</v>
      </c>
      <c r="B21006" s="4" t="s">
        <v>26455</v>
      </c>
      <c r="C21006" s="5" t="str">
        <f>IFERROR(__xludf.DUMMYFUNCTION("GOOGLETRANSLATE(B21006,""en"",""es-ES"")"),"Las personas en el tráfico en una ciudad parecen irritadas cuando un policía dirige el tráfico.")</f>
        <v>Las personas en el tráfico en una ciudad parecen irritadas cuando un policía dirige el tráfico.</v>
      </c>
    </row>
    <row r="21007">
      <c r="A21007" s="4" t="s">
        <v>26454</v>
      </c>
      <c r="B21007" s="4" t="s">
        <v>26456</v>
      </c>
      <c r="C21007" s="5" t="str">
        <f>IFERROR(__xludf.DUMMYFUNCTION("GOOGLETRANSLATE(B21007,""en"",""es-ES"")"),"Un hombre le pega algo en sus oídos.")</f>
        <v>Un hombre le pega algo en sus oídos.</v>
      </c>
    </row>
    <row r="21008">
      <c r="A21008" s="4" t="s">
        <v>26454</v>
      </c>
      <c r="B21008" s="4" t="s">
        <v>26457</v>
      </c>
      <c r="C21008" s="5" t="str">
        <f>IFERROR(__xludf.DUMMYFUNCTION("GOOGLETRANSLATE(B21008,""en"",""es-ES"")"),"Un hombre con una camisa verde se burla de un policía y la gente se ríe y aplaude.")</f>
        <v>Un hombre con una camisa verde se burla de un policía y la gente se ríe y aplaude.</v>
      </c>
    </row>
    <row r="21009">
      <c r="A21009" s="4" t="s">
        <v>26454</v>
      </c>
      <c r="B21009" s="4" t="s">
        <v>26458</v>
      </c>
      <c r="C21009" s="5" t="str">
        <f>IFERROR(__xludf.DUMMYFUNCTION("GOOGLETRANSLATE(B21009,""en"",""es-ES"")"),"El policía le da al hombre un pepsi.")</f>
        <v>El policía le da al hombre un pepsi.</v>
      </c>
    </row>
    <row r="21010">
      <c r="A21010" s="4" t="s">
        <v>26454</v>
      </c>
      <c r="B21010" s="4" t="s">
        <v>26459</v>
      </c>
      <c r="C21010" s="5" t="str">
        <f>IFERROR(__xludf.DUMMYFUNCTION("GOOGLETRANSLATE(B21010,""en"",""es-ES"")"),"Vemos al hombre en el campo de cricket arrojando una pelota.")</f>
        <v>Vemos al hombre en el campo de cricket arrojando una pelota.</v>
      </c>
    </row>
    <row r="21011">
      <c r="A21011" s="4" t="s">
        <v>26454</v>
      </c>
      <c r="B21011" s="4" t="s">
        <v>26460</v>
      </c>
      <c r="C21011" s="5" t="str">
        <f>IFERROR(__xludf.DUMMYFUNCTION("GOOGLETRANSLATE(B21011,""en"",""es-ES"")"),"El hombre bebe el Pepsi y vemos la pantalla de cierre.")</f>
        <v>El hombre bebe el Pepsi y vemos la pantalla de cierre.</v>
      </c>
    </row>
    <row r="21012">
      <c r="A21012" s="4" t="s">
        <v>26461</v>
      </c>
      <c r="B21012" s="4" t="s">
        <v>26462</v>
      </c>
      <c r="C21012" s="5" t="str">
        <f>IFERROR(__xludf.DUMMYFUNCTION("GOOGLETRANSLATE(B21012,""en"",""es-ES"")"),"Una audiencia aplaude cuando aparece una pareja en el escenario.")</f>
        <v>Una audiencia aplaude cuando aparece una pareja en el escenario.</v>
      </c>
    </row>
    <row r="21013">
      <c r="A21013" s="4" t="s">
        <v>26461</v>
      </c>
      <c r="B21013" s="4" t="s">
        <v>26463</v>
      </c>
      <c r="C21013" s="5" t="str">
        <f>IFERROR(__xludf.DUMMYFUNCTION("GOOGLETRANSLATE(B21013,""en"",""es-ES"")"),"Bailan con gracia, girando y girando.")</f>
        <v>Bailan con gracia, girando y girando.</v>
      </c>
    </row>
    <row r="21014">
      <c r="A21014" s="4" t="s">
        <v>26461</v>
      </c>
      <c r="B21014" s="4" t="s">
        <v>26464</v>
      </c>
      <c r="C21014" s="5" t="str">
        <f>IFERROR(__xludf.DUMMYFUNCTION("GOOGLETRANSLATE(B21014,""en"",""es-ES"")"),"La pareja se inclina mientras terminan su rutina.")</f>
        <v>La pareja se inclina mientras terminan su rutina.</v>
      </c>
    </row>
    <row r="21015">
      <c r="A21015" s="4" t="s">
        <v>26465</v>
      </c>
      <c r="B21015" s="4" t="s">
        <v>26466</v>
      </c>
      <c r="C21015" s="5" t="str">
        <f>IFERROR(__xludf.DUMMYFUNCTION("GOOGLETRANSLATE(B21015,""en"",""es-ES"")"),"Se ve a un hombre que usa anteojos hablando con la cámara en una tienda de tatuajes.")</f>
        <v>Se ve a un hombre que usa anteojos hablando con la cámara en una tienda de tatuajes.</v>
      </c>
    </row>
    <row r="21016">
      <c r="A21016" s="4" t="s">
        <v>26465</v>
      </c>
      <c r="B21016" s="4" t="s">
        <v>26467</v>
      </c>
      <c r="C21016" s="5" t="str">
        <f>IFERROR(__xludf.DUMMYFUNCTION("GOOGLETRANSLATE(B21016,""en"",""es-ES"")"),"El hombre está acostado en una mesa y saludando a la cámara.")</f>
        <v>El hombre está acostado en una mesa y saludando a la cámara.</v>
      </c>
    </row>
    <row r="21017">
      <c r="A21017" s="4" t="s">
        <v>26465</v>
      </c>
      <c r="B21017" s="4" t="s">
        <v>26468</v>
      </c>
      <c r="C21017" s="5" t="str">
        <f>IFERROR(__xludf.DUMMYFUNCTION("GOOGLETRANSLATE(B21017,""en"",""es-ES"")"),"Muestra su contorno y un hombre comienza a tatuar su pierna.")</f>
        <v>Muestra su contorno y un hombre comienza a tatuar su pierna.</v>
      </c>
    </row>
    <row r="21018">
      <c r="A21018" s="4" t="s">
        <v>26469</v>
      </c>
      <c r="B21018" s="4" t="s">
        <v>26470</v>
      </c>
      <c r="C21018" s="5" t="str">
        <f>IFERROR(__xludf.DUMMYFUNCTION("GOOGLETRANSLATE(B21018,""en"",""es-ES"")"),"Se ve a una niña sentada frente a la cámara pasando un cepillo por su largo cabello.")</f>
        <v>Se ve a una niña sentada frente a la cámara pasando un cepillo por su largo cabello.</v>
      </c>
    </row>
    <row r="21019">
      <c r="A21019" s="4" t="s">
        <v>26469</v>
      </c>
      <c r="B21019" s="4" t="s">
        <v>26471</v>
      </c>
      <c r="C21019" s="5" t="str">
        <f>IFERROR(__xludf.DUMMYFUNCTION("GOOGLETRANSLATE(B21019,""en"",""es-ES"")"),"De repente salta y grita hacia la cámara mientras sonríe y coloca el cepillo.")</f>
        <v>De repente salta y grita hacia la cámara mientras sonríe y coloca el cepillo.</v>
      </c>
    </row>
    <row r="21020">
      <c r="A21020" s="4" t="s">
        <v>26472</v>
      </c>
      <c r="B21020" s="4" t="s">
        <v>26473</v>
      </c>
      <c r="C21020" s="5" t="str">
        <f>IFERROR(__xludf.DUMMYFUNCTION("GOOGLETRANSLATE(B21020,""en"",""es-ES"")"),"Una ciudad a continuación se muestra un río en una pantalla.")</f>
        <v>Una ciudad a continuación se muestra un río en una pantalla.</v>
      </c>
    </row>
    <row r="21021">
      <c r="A21021" s="4" t="s">
        <v>26472</v>
      </c>
      <c r="B21021" s="4" t="s">
        <v>26474</v>
      </c>
      <c r="C21021" s="5" t="str">
        <f>IFERROR(__xludf.DUMMYFUNCTION("GOOGLETRANSLATE(B21021,""en"",""es-ES"")"),"Los periodistas hablan en un televisor donde otras personas están trabajando.")</f>
        <v>Los periodistas hablan en un televisor donde otras personas están trabajando.</v>
      </c>
    </row>
    <row r="21022">
      <c r="A21022" s="4" t="s">
        <v>26472</v>
      </c>
      <c r="B21022" s="4" t="s">
        <v>26475</v>
      </c>
      <c r="C21022" s="5" t="str">
        <f>IFERROR(__xludf.DUMMYFUNCTION("GOOGLETRANSLATE(B21022,""en"",""es-ES"")"),"Un hombre con camisa blanca limpia su rostro mientras se ve un espejo.")</f>
        <v>Un hombre con camisa blanca limpia su rostro mientras se ve un espejo.</v>
      </c>
    </row>
    <row r="21023">
      <c r="A21023" s="4" t="s">
        <v>26476</v>
      </c>
      <c r="B21023" s="4" t="s">
        <v>26477</v>
      </c>
      <c r="C21023" s="5" t="str">
        <f>IFERROR(__xludf.DUMMYFUNCTION("GOOGLETRANSLATE(B21023,""en"",""es-ES"")"),"Un motociclista sentado en una bicicleta revela el motor.")</f>
        <v>Un motociclista sentado en una bicicleta revela el motor.</v>
      </c>
    </row>
    <row r="21024">
      <c r="A21024" s="4" t="s">
        <v>26476</v>
      </c>
      <c r="B21024" s="4" t="s">
        <v>26478</v>
      </c>
      <c r="C21024" s="5" t="str">
        <f>IFERROR(__xludf.DUMMYFUNCTION("GOOGLETRANSLATE(B21024,""en"",""es-ES"")"),"Otro motero se muestra sentado en una bicicleta, haciendo un gesto con ambos brazos.")</f>
        <v>Otro motero se muestra sentado en una bicicleta, haciendo un gesto con ambos brazos.</v>
      </c>
    </row>
    <row r="21025">
      <c r="A21025" s="4" t="s">
        <v>26476</v>
      </c>
      <c r="B21025" s="4" t="s">
        <v>26479</v>
      </c>
      <c r="C21025" s="5" t="str">
        <f>IFERROR(__xludf.DUMMYFUNCTION("GOOGLETRANSLATE(B21025,""en"",""es-ES"")"),"Se muestran escenas de varios ciclistas que fallan en saltos de acrobacias, con una reacción de la multitud ocasional y tomas posteriores.")</f>
        <v>Se muestran escenas de varios ciclistas que fallan en saltos de acrobacias, con una reacción de la multitud ocasional y tomas posteriores.</v>
      </c>
    </row>
    <row r="21026">
      <c r="A21026" s="4" t="s">
        <v>26480</v>
      </c>
      <c r="B21026" s="4" t="s">
        <v>1251</v>
      </c>
      <c r="C21026" s="5" t="str">
        <f>IFERROR(__xludf.DUMMYFUNCTION("GOOGLETRANSLATE(B21026,""en"",""es-ES"")"),"Se muestran los créditos del clip.")</f>
        <v>Se muestran los créditos del clip.</v>
      </c>
    </row>
    <row r="21027">
      <c r="A21027" s="4" t="s">
        <v>26480</v>
      </c>
      <c r="B21027" s="4" t="s">
        <v>26481</v>
      </c>
      <c r="C21027" s="5" t="str">
        <f>IFERROR(__xludf.DUMMYFUNCTION("GOOGLETRANSLATE(B21027,""en"",""es-ES"")"),"Una señora se encuentra levantando un disco de metal en una mano.")</f>
        <v>Una señora se encuentra levantando un disco de metal en una mano.</v>
      </c>
    </row>
    <row r="21028">
      <c r="A21028" s="4" t="s">
        <v>26480</v>
      </c>
      <c r="B21028" s="4" t="s">
        <v>26482</v>
      </c>
      <c r="C21028" s="5" t="str">
        <f>IFERROR(__xludf.DUMMYFUNCTION("GOOGLETRANSLATE(B21028,""en"",""es-ES"")"),"La señora gira con el disco y libera el disco.")</f>
        <v>La señora gira con el disco y libera el disco.</v>
      </c>
    </row>
    <row r="21029">
      <c r="A21029" s="4" t="s">
        <v>26480</v>
      </c>
      <c r="B21029" s="4" t="s">
        <v>26483</v>
      </c>
      <c r="C21029" s="5" t="str">
        <f>IFERROR(__xludf.DUMMYFUNCTION("GOOGLETRANSLATE(B21029,""en"",""es-ES"")"),"La señora coloca una toalla alrededor de su espalda.")</f>
        <v>La señora coloca una toalla alrededor de su espalda.</v>
      </c>
    </row>
    <row r="21030">
      <c r="A21030" s="4" t="s">
        <v>26484</v>
      </c>
      <c r="B21030" s="4" t="s">
        <v>26485</v>
      </c>
      <c r="C21030" s="5" t="str">
        <f>IFERROR(__xludf.DUMMYFUNCTION("GOOGLETRANSLATE(B21030,""en"",""es-ES"")"),"Entre los clips de un hombre en un catamarán que se mueve en el océano, aparecen pantallas negras y diferentes momentos con diferentes palabras que describen cada movimiento que hace el catamarán.")</f>
        <v>Entre los clips de un hombre en un catamarán que se mueve en el océano, aparecen pantallas negras y diferentes momentos con diferentes palabras que describen cada movimiento que hace el catamarán.</v>
      </c>
    </row>
    <row r="21031">
      <c r="A21031" s="4" t="s">
        <v>26484</v>
      </c>
      <c r="B21031" s="4" t="s">
        <v>26486</v>
      </c>
      <c r="C21031" s="5" t="str">
        <f>IFERROR(__xludf.DUMMYFUNCTION("GOOGLETRANSLATE(B21031,""en"",""es-ES"")"),"El hombre ahora está parado en el bote y está tirando de cuerdas que se mueven en el bote y luego se muestra una vez más mientras el bote se mueve.")</f>
        <v>El hombre ahora está parado en el bote y está tirando de cuerdas que se mueven en el bote y luego se muestra una vez más mientras el bote se mueve.</v>
      </c>
    </row>
    <row r="21032">
      <c r="A21032" s="4" t="s">
        <v>26484</v>
      </c>
      <c r="B21032" s="4" t="s">
        <v>26487</v>
      </c>
      <c r="C21032" s="5" t="str">
        <f>IFERROR(__xludf.DUMMYFUNCTION("GOOGLETRANSLATE(B21032,""en"",""es-ES"")"),"Aparece el outro y es una pantalla blanca con una imagen del barco y las palabras ""Multihull Central"".")</f>
        <v>Aparece el outro y es una pantalla blanca con una imagen del barco y las palabras "Multihull Central".</v>
      </c>
    </row>
    <row r="21033">
      <c r="A21033" s="4" t="s">
        <v>26488</v>
      </c>
      <c r="B21033" s="4" t="s">
        <v>26489</v>
      </c>
      <c r="C21033" s="5" t="str">
        <f>IFERROR(__xludf.DUMMYFUNCTION("GOOGLETRANSLATE(B21033,""en"",""es-ES"")"),"Una mujer dobla toallas en una tabla de planchar en casa.")</f>
        <v>Una mujer dobla toallas en una tabla de planchar en casa.</v>
      </c>
    </row>
    <row r="21034">
      <c r="A21034" s="4" t="s">
        <v>26488</v>
      </c>
      <c r="B21034" s="4" t="s">
        <v>26490</v>
      </c>
      <c r="C21034" s="5" t="str">
        <f>IFERROR(__xludf.DUMMYFUNCTION("GOOGLETRANSLATE(B21034,""en"",""es-ES"")"),"Se ven diferentes prendas de vestir, como camisas, calcetines y corbatas.")</f>
        <v>Se ven diferentes prendas de vestir, como camisas, calcetines y corbatas.</v>
      </c>
    </row>
    <row r="21035">
      <c r="A21035" s="4" t="s">
        <v>26488</v>
      </c>
      <c r="B21035" s="4" t="s">
        <v>26491</v>
      </c>
      <c r="C21035" s="5" t="str">
        <f>IFERROR(__xludf.DUMMYFUNCTION("GOOGLETRANSLATE(B21035,""en"",""es-ES"")"),"La mujer agrega una etiqueta a una pieza de ropa y la aloja en su lugar.")</f>
        <v>La mujer agrega una etiqueta a una pieza de ropa y la aloja en su lugar.</v>
      </c>
    </row>
    <row r="21036">
      <c r="A21036" s="4" t="s">
        <v>26488</v>
      </c>
      <c r="B21036" s="4" t="s">
        <v>26492</v>
      </c>
      <c r="C21036" s="5" t="str">
        <f>IFERROR(__xludf.DUMMYFUNCTION("GOOGLETRANSLATE(B21036,""en"",""es-ES"")"),"La etiqueta se muestra de cerca.")</f>
        <v>La etiqueta se muestra de cerca.</v>
      </c>
    </row>
    <row r="21037">
      <c r="A21037" s="4" t="s">
        <v>26493</v>
      </c>
      <c r="B21037" s="4" t="s">
        <v>26494</v>
      </c>
      <c r="C21037" s="5" t="str">
        <f>IFERROR(__xludf.DUMMYFUNCTION("GOOGLETRANSLATE(B21037,""en"",""es-ES"")"),"Hay un hombre vestido con una camisa azul y pantalones cortos azules disparando a dardos en una habitación que tiene paredes beige.")</f>
        <v>Hay un hombre vestido con una camisa azul y pantalones cortos azules disparando a dardos en una habitación que tiene paredes beige.</v>
      </c>
    </row>
    <row r="21038">
      <c r="A21038" s="4" t="s">
        <v>26493</v>
      </c>
      <c r="B21038" s="4" t="s">
        <v>26495</v>
      </c>
      <c r="C21038" s="5" t="str">
        <f>IFERROR(__xludf.DUMMYFUNCTION("GOOGLETRANSLATE(B21038,""en"",""es-ES"")"),"Tiene dos dardos en sus manos que apunta y dispara a un objetivo.")</f>
        <v>Tiene dos dardos en sus manos que apunta y dispara a un objetivo.</v>
      </c>
    </row>
    <row r="21039">
      <c r="A21039" s="4" t="s">
        <v>26496</v>
      </c>
      <c r="B21039" s="4" t="s">
        <v>26497</v>
      </c>
      <c r="C21039" s="5" t="str">
        <f>IFERROR(__xludf.DUMMYFUNCTION("GOOGLETRANSLATE(B21039,""en"",""es-ES"")"),"Una mujer con una camisa negra está hablando frente a un árbol de Navidad.")</f>
        <v>Una mujer con una camisa negra está hablando frente a un árbol de Navidad.</v>
      </c>
    </row>
    <row r="21040">
      <c r="A21040" s="4" t="s">
        <v>26496</v>
      </c>
      <c r="B21040" s="4" t="s">
        <v>26498</v>
      </c>
      <c r="C21040" s="5" t="str">
        <f>IFERROR(__xludf.DUMMYFUNCTION("GOOGLETRANSLATE(B21040,""en"",""es-ES"")"),"Ella comienza a poner decoraciones en el árbol de Navidad.")</f>
        <v>Ella comienza a poner decoraciones en el árbol de Navidad.</v>
      </c>
    </row>
    <row r="21041">
      <c r="A21041" s="4" t="s">
        <v>26496</v>
      </c>
      <c r="B21041" s="4" t="s">
        <v>26499</v>
      </c>
      <c r="C21041" s="5" t="str">
        <f>IFERROR(__xludf.DUMMYFUNCTION("GOOGLETRANSLATE(B21041,""en"",""es-ES"")"),"Ella coloca un arco de oro en la parte superior del árbol.")</f>
        <v>Ella coloca un arco de oro en la parte superior del árbol.</v>
      </c>
    </row>
    <row r="21042">
      <c r="A21042" s="4" t="s">
        <v>26496</v>
      </c>
      <c r="B21042" s="4" t="s">
        <v>26500</v>
      </c>
      <c r="C21042" s="5" t="str">
        <f>IFERROR(__xludf.DUMMYFUNCTION("GOOGLETRANSLATE(B21042,""en"",""es-ES"")"),"Tres mujeres están hablando frente al árbol.")</f>
        <v>Tres mujeres están hablando frente al árbol.</v>
      </c>
    </row>
    <row r="21043">
      <c r="A21043" s="4" t="s">
        <v>26501</v>
      </c>
      <c r="B21043" s="4" t="s">
        <v>26502</v>
      </c>
      <c r="C21043" s="5" t="str">
        <f>IFERROR(__xludf.DUMMYFUNCTION("GOOGLETRANSLATE(B21043,""en"",""es-ES"")"),"Varias personas se paran fuera de los autos.")</f>
        <v>Varias personas se paran fuera de los autos.</v>
      </c>
    </row>
    <row r="21044">
      <c r="A21044" s="4" t="s">
        <v>26501</v>
      </c>
      <c r="B21044" s="4" t="s">
        <v>26503</v>
      </c>
      <c r="C21044" s="5" t="str">
        <f>IFERROR(__xludf.DUMMYFUNCTION("GOOGLETRANSLATE(B21044,""en"",""es-ES"")"),"Se meten en un río en los tubos.")</f>
        <v>Se meten en un río en los tubos.</v>
      </c>
    </row>
    <row r="21045">
      <c r="A21045" s="4" t="s">
        <v>26501</v>
      </c>
      <c r="B21045" s="4" t="s">
        <v>26504</v>
      </c>
      <c r="C21045" s="5" t="str">
        <f>IFERROR(__xludf.DUMMYFUNCTION("GOOGLETRANSLATE(B21045,""en"",""es-ES"")"),"Flotan cerca de un gran puente.")</f>
        <v>Flotan cerca de un gran puente.</v>
      </c>
    </row>
    <row r="21046">
      <c r="A21046" s="4" t="s">
        <v>26501</v>
      </c>
      <c r="B21046" s="4" t="s">
        <v>26505</v>
      </c>
      <c r="C21046" s="5" t="str">
        <f>IFERROR(__xludf.DUMMYFUNCTION("GOOGLETRANSLATE(B21046,""en"",""es-ES"")"),"El agua se pone un poco entrecortada.")</f>
        <v>El agua se pone un poco entrecortada.</v>
      </c>
    </row>
    <row r="21047">
      <c r="A21047" s="4" t="s">
        <v>26506</v>
      </c>
      <c r="B21047" s="4" t="s">
        <v>26507</v>
      </c>
      <c r="C21047" s="5" t="str">
        <f>IFERROR(__xludf.DUMMYFUNCTION("GOOGLETRANSLATE(B21047,""en"",""es-ES"")"),"Se ve a un hombre atlético de pie y corre por una larga pista en un pozo de arena.")</f>
        <v>Se ve a un hombre atlético de pie y corre por una larga pista en un pozo de arena.</v>
      </c>
    </row>
    <row r="21048">
      <c r="A21048" s="4" t="s">
        <v>26506</v>
      </c>
      <c r="B21048" s="4" t="s">
        <v>26508</v>
      </c>
      <c r="C21048" s="5" t="str">
        <f>IFERROR(__xludf.DUMMYFUNCTION("GOOGLETRANSLATE(B21048,""en"",""es-ES"")"),"El hombre se aleja mientras mira a la audiencia seguido de otro hombre que se encuentra con el pozo.")</f>
        <v>El hombre se aleja mientras mira a la audiencia seguido de otro hombre que se encuentra con el pozo.</v>
      </c>
    </row>
    <row r="21049">
      <c r="A21049" s="4" t="s">
        <v>26506</v>
      </c>
      <c r="B21049" s="4" t="s">
        <v>26509</v>
      </c>
      <c r="C21049" s="5" t="str">
        <f>IFERROR(__xludf.DUMMYFUNCTION("GOOGLETRANSLATE(B21049,""en"",""es-ES"")"),"Varios hombres más se turnan para correr hacia abajo con su carrera que se muestra nuevamente después.")</f>
        <v>Varios hombres más se turnan para correr hacia abajo con su carrera que se muestra nuevamente después.</v>
      </c>
    </row>
    <row r="21050">
      <c r="A21050" s="4" t="s">
        <v>26510</v>
      </c>
      <c r="B21050" s="4" t="s">
        <v>26511</v>
      </c>
      <c r="C21050" s="5" t="str">
        <f>IFERROR(__xludf.DUMMYFUNCTION("GOOGLETRANSLATE(B21050,""en"",""es-ES"")"),"Una cámara que se ve mostrando el exterior de una casa seguida de una niña sentada en una bañera.")</f>
        <v>Una cámara que se ve mostrando el exterior de una casa seguida de una niña sentada en una bañera.</v>
      </c>
    </row>
    <row r="21051">
      <c r="A21051" s="4" t="s">
        <v>26510</v>
      </c>
      <c r="B21051" s="4" t="s">
        <v>26512</v>
      </c>
      <c r="C21051" s="5" t="str">
        <f>IFERROR(__xludf.DUMMYFUNCTION("GOOGLETRANSLATE(B21051,""en"",""es-ES"")"),"Ella mira al espejo y hace que una amiga le entregue una taza en solitario.")</f>
        <v>Ella mira al espejo y hace que una amiga le entregue una taza en solitario.</v>
      </c>
    </row>
    <row r="21052">
      <c r="A21052" s="4" t="s">
        <v>26510</v>
      </c>
      <c r="B21052" s="4" t="s">
        <v>26513</v>
      </c>
      <c r="C21052" s="5" t="str">
        <f>IFERROR(__xludf.DUMMYFUNCTION("GOOGLETRANSLATE(B21052,""en"",""es-ES"")"),"Ella corre por toda la casa afuera y muestra un primer plano del lavado de boca.")</f>
        <v>Ella corre por toda la casa afuera y muestra un primer plano del lavado de boca.</v>
      </c>
    </row>
    <row r="21053">
      <c r="A21053" s="4" t="s">
        <v>26514</v>
      </c>
      <c r="B21053" s="4" t="s">
        <v>26515</v>
      </c>
      <c r="C21053" s="5" t="str">
        <f>IFERROR(__xludf.DUMMYFUNCTION("GOOGLETRANSLATE(B21053,""en"",""es-ES"")"),"Una joven explica cómo poner maquillaje en la tapa de los ojos con un cepillo.")</f>
        <v>Una joven explica cómo poner maquillaje en la tapa de los ojos con un cepillo.</v>
      </c>
    </row>
    <row r="21054">
      <c r="A21054" s="4" t="s">
        <v>26514</v>
      </c>
      <c r="B21054" s="4" t="s">
        <v>26516</v>
      </c>
      <c r="C21054" s="5" t="str">
        <f>IFERROR(__xludf.DUMMYFUNCTION("GOOGLETRANSLATE(B21054,""en"",""es-ES"")"),"La joven usa un delineador para pintar el borde de la tapa superior.")</f>
        <v>La joven usa un delineador para pintar el borde de la tapa superior.</v>
      </c>
    </row>
    <row r="21055">
      <c r="A21055" s="4" t="s">
        <v>26514</v>
      </c>
      <c r="B21055" s="4" t="s">
        <v>26517</v>
      </c>
      <c r="C21055" s="5" t="str">
        <f>IFERROR(__xludf.DUMMYFUNCTION("GOOGLETRANSLATE(B21055,""en"",""es-ES"")"),"Luego, le pone el rímel en las pestañas y pinta la tapa inferior.")</f>
        <v>Luego, le pone el rímel en las pestañas y pinta la tapa inferior.</v>
      </c>
    </row>
    <row r="21056">
      <c r="A21056" s="4" t="s">
        <v>26514</v>
      </c>
      <c r="B21056" s="4" t="s">
        <v>26518</v>
      </c>
      <c r="C21056" s="5" t="str">
        <f>IFERROR(__xludf.DUMMYFUNCTION("GOOGLETRANSLATE(B21056,""en"",""es-ES"")"),"Después, se cepilla la mejilla y puso lápiz labial en los labios.")</f>
        <v>Después, se cepilla la mejilla y puso lápiz labial en los labios.</v>
      </c>
    </row>
    <row r="21057">
      <c r="A21057" s="4" t="s">
        <v>26519</v>
      </c>
      <c r="B21057" s="4" t="s">
        <v>26520</v>
      </c>
      <c r="C21057" s="5" t="str">
        <f>IFERROR(__xludf.DUMMYFUNCTION("GOOGLETRANSLATE(B21057,""en"",""es-ES"")"),"Una gran banda de música se ve de pie en medio de una gran multitud.")</f>
        <v>Una gran banda de música se ve de pie en medio de una gran multitud.</v>
      </c>
    </row>
    <row r="21058">
      <c r="A21058" s="4" t="s">
        <v>26519</v>
      </c>
      <c r="B21058" s="4" t="s">
        <v>26521</v>
      </c>
      <c r="C21058" s="5" t="str">
        <f>IFERROR(__xludf.DUMMYFUNCTION("GOOGLETRANSLATE(B21058,""en"",""es-ES"")"),"La banda luego comienza a tocar entre sí en el círculo.")</f>
        <v>La banda luego comienza a tocar entre sí en el círculo.</v>
      </c>
    </row>
    <row r="21059">
      <c r="A21059" s="4" t="s">
        <v>26519</v>
      </c>
      <c r="B21059" s="4" t="s">
        <v>26522</v>
      </c>
      <c r="C21059" s="5" t="str">
        <f>IFERROR(__xludf.DUMMYFUNCTION("GOOGLETRANSLATE(B21059,""en"",""es-ES"")"),"Las personas que continúan jugando entre sí mientras la gente mira a los lados.")</f>
        <v>Las personas que continúan jugando entre sí mientras la gente mira a los lados.</v>
      </c>
    </row>
    <row r="21060">
      <c r="A21060" s="4" t="s">
        <v>26523</v>
      </c>
      <c r="B21060" s="4" t="s">
        <v>26524</v>
      </c>
      <c r="C21060" s="5" t="str">
        <f>IFERROR(__xludf.DUMMYFUNCTION("GOOGLETRANSLATE(B21060,""en"",""es-ES"")"),"Se ve a una mujer hablando con la cámara mientras un grupo de personas se sienta en los tubos a su alrededor.")</f>
        <v>Se ve a una mujer hablando con la cámara mientras un grupo de personas se sienta en los tubos a su alrededor.</v>
      </c>
    </row>
    <row r="21061">
      <c r="A21061" s="4" t="s">
        <v>26523</v>
      </c>
      <c r="B21061" s="4" t="s">
        <v>26525</v>
      </c>
      <c r="C21061" s="5" t="str">
        <f>IFERROR(__xludf.DUMMYFUNCTION("GOOGLETRANSLATE(B21061,""en"",""es-ES"")"),"Las otras personas sonríen y saludan a la cámara mientras mostraban los otros tubos.")</f>
        <v>Las otras personas sonríen y saludan a la cámara mientras mostraban los otros tubos.</v>
      </c>
    </row>
    <row r="21062">
      <c r="A21062" s="4" t="s">
        <v>26523</v>
      </c>
      <c r="B21062" s="4" t="s">
        <v>26526</v>
      </c>
      <c r="C21062" s="5" t="str">
        <f>IFERROR(__xludf.DUMMYFUNCTION("GOOGLETRANSLATE(B21062,""en"",""es-ES"")"),"La gente continúa montando por el agua mientras la cámara se desplaza alrededor de sus movimientos.")</f>
        <v>La gente continúa montando por el agua mientras la cámara se desplaza alrededor de sus movimientos.</v>
      </c>
    </row>
    <row r="21063">
      <c r="A21063" s="4" t="s">
        <v>26527</v>
      </c>
      <c r="B21063" s="4" t="s">
        <v>26528</v>
      </c>
      <c r="C21063" s="5" t="str">
        <f>IFERROR(__xludf.DUMMYFUNCTION("GOOGLETRANSLATE(B21063,""en"",""es-ES"")"),"Este hombre es un rodillo en la calle por las calles extremadamente rápido.")</f>
        <v>Este hombre es un rodillo en la calle por las calles extremadamente rápido.</v>
      </c>
    </row>
    <row r="21064">
      <c r="A21064" s="4" t="s">
        <v>26527</v>
      </c>
      <c r="B21064" s="4" t="s">
        <v>26529</v>
      </c>
      <c r="C21064" s="5" t="str">
        <f>IFERROR(__xludf.DUMMYFUNCTION("GOOGLETRANSLATE(B21064,""en"",""es-ES"")"),"Salta sobre un área cerrada y sigue patinando a las personas pasadas a las calles.")</f>
        <v>Salta sobre un área cerrada y sigue patinando a las personas pasadas a las calles.</v>
      </c>
    </row>
    <row r="21065">
      <c r="A21065" s="4" t="s">
        <v>26527</v>
      </c>
      <c r="B21065" s="4" t="s">
        <v>26530</v>
      </c>
      <c r="C21065" s="5" t="str">
        <f>IFERROR(__xludf.DUMMYFUNCTION("GOOGLETRANSLATE(B21065,""en"",""es-ES"")"),"Está patinando en las calles de París junto con otro patinador, todavía patinando a la gente y bajando al metro.")</f>
        <v>Está patinando en las calles de París junto con otro patinador, todavía patinando a la gente y bajando al metro.</v>
      </c>
    </row>
    <row r="21066">
      <c r="A21066" s="4" t="s">
        <v>26527</v>
      </c>
      <c r="B21066" s="4" t="s">
        <v>26531</v>
      </c>
      <c r="C21066" s="5" t="str">
        <f>IFERROR(__xludf.DUMMYFUNCTION("GOOGLETRANSLATE(B21066,""en"",""es-ES"")"),"Se aferró a la parte posterior de la motocicleta de alguien y la usa para capturar la velocidad y luego continúa fuera del metro de regreso a las aceras.")</f>
        <v>Se aferró a la parte posterior de la motocicleta de alguien y la usa para capturar la velocidad y luego continúa fuera del metro de regreso a las aceras.</v>
      </c>
    </row>
    <row r="21067">
      <c r="A21067" s="4" t="s">
        <v>26532</v>
      </c>
      <c r="B21067" s="4" t="s">
        <v>26533</v>
      </c>
      <c r="C21067" s="5" t="str">
        <f>IFERROR(__xludf.DUMMYFUNCTION("GOOGLETRANSLATE(B21067,""en"",""es-ES"")"),"Una cuerda naranja está atada a un árbol y colgando en el viento.")</f>
        <v>Una cuerda naranja está atada a un árbol y colgando en el viento.</v>
      </c>
    </row>
    <row r="21068">
      <c r="A21068" s="4" t="s">
        <v>26532</v>
      </c>
      <c r="B21068" s="4" t="s">
        <v>26534</v>
      </c>
      <c r="C21068" s="5" t="str">
        <f>IFERROR(__xludf.DUMMYFUNCTION("GOOGLETRANSLATE(B21068,""en"",""es-ES"")"),"Un hombre se acerca a la cuerda y comienza a cruzarla.")</f>
        <v>Un hombre se acerca a la cuerda y comienza a cruzarla.</v>
      </c>
    </row>
    <row r="21069">
      <c r="A21069" s="4" t="s">
        <v>26532</v>
      </c>
      <c r="B21069" s="4" t="s">
        <v>26535</v>
      </c>
      <c r="C21069" s="5" t="str">
        <f>IFERROR(__xludf.DUMMYFUNCTION("GOOGLETRANSLATE(B21069,""en"",""es-ES"")"),"El hombre salta de la cuerda y comienza al principio para cruzarla.")</f>
        <v>El hombre salta de la cuerda y comienza al principio para cruzarla.</v>
      </c>
    </row>
    <row r="21070">
      <c r="A21070" s="4" t="s">
        <v>26532</v>
      </c>
      <c r="B21070" s="4" t="s">
        <v>26536</v>
      </c>
      <c r="C21070" s="5" t="str">
        <f>IFERROR(__xludf.DUMMYFUNCTION("GOOGLETRANSLATE(B21070,""en"",""es-ES"")"),"El hombre salta de nuevo y vuelve a la cuerda y salta.")</f>
        <v>El hombre salta de nuevo y vuelve a la cuerda y salta.</v>
      </c>
    </row>
    <row r="21071">
      <c r="A21071" s="4" t="s">
        <v>26532</v>
      </c>
      <c r="B21071" s="4" t="s">
        <v>26537</v>
      </c>
      <c r="C21071" s="5" t="str">
        <f>IFERROR(__xludf.DUMMYFUNCTION("GOOGLETRANSLATE(B21071,""en"",""es-ES"")"),"El hombre aprieta la cuerda.")</f>
        <v>El hombre aprieta la cuerda.</v>
      </c>
    </row>
    <row r="21072">
      <c r="A21072" s="4" t="s">
        <v>26532</v>
      </c>
      <c r="B21072" s="4" t="s">
        <v>26538</v>
      </c>
      <c r="C21072" s="5" t="str">
        <f>IFERROR(__xludf.DUMMYFUNCTION("GOOGLETRANSLATE(B21072,""en"",""es-ES"")"),"La cámara muestra el suelo.")</f>
        <v>La cámara muestra el suelo.</v>
      </c>
    </row>
    <row r="21073">
      <c r="A21073" s="4" t="s">
        <v>26539</v>
      </c>
      <c r="B21073" s="4" t="s">
        <v>26540</v>
      </c>
      <c r="C21073" s="5" t="str">
        <f>IFERROR(__xludf.DUMMYFUNCTION("GOOGLETRANSLATE(B21073,""en"",""es-ES"")"),"Está lloviendo afuera mientras un hombre está en una cortadora de césped cortando su césped.")</f>
        <v>Está lloviendo afuera mientras un hombre está en una cortadora de césped cortando su césped.</v>
      </c>
    </row>
    <row r="21074">
      <c r="A21074" s="4" t="s">
        <v>26539</v>
      </c>
      <c r="B21074" s="4" t="s">
        <v>26541</v>
      </c>
      <c r="C21074" s="5" t="str">
        <f>IFERROR(__xludf.DUMMYFUNCTION("GOOGLETRANSLATE(B21074,""en"",""es-ES"")"),"La cámara se centra en el agua goteando hacia abajo.")</f>
        <v>La cámara se centra en el agua goteando hacia abajo.</v>
      </c>
    </row>
    <row r="21075">
      <c r="A21075" s="4" t="s">
        <v>26539</v>
      </c>
      <c r="B21075" s="4" t="s">
        <v>26542</v>
      </c>
      <c r="C21075" s="5" t="str">
        <f>IFERROR(__xludf.DUMMYFUNCTION("GOOGLETRANSLATE(B21075,""en"",""es-ES"")"),"El hombre se reorganiza en el cortacésped.")</f>
        <v>El hombre se reorganiza en el cortacésped.</v>
      </c>
    </row>
    <row r="21076">
      <c r="A21076" s="4" t="s">
        <v>26539</v>
      </c>
      <c r="B21076" s="4" t="s">
        <v>26543</v>
      </c>
      <c r="C21076" s="5" t="str">
        <f>IFERROR(__xludf.DUMMYFUNCTION("GOOGLETRANSLATE(B21076,""en"",""es-ES"")"),"Él continúa cortando el césped.")</f>
        <v>Él continúa cortando el césped.</v>
      </c>
    </row>
    <row r="21077">
      <c r="A21077" s="4" t="s">
        <v>26539</v>
      </c>
      <c r="B21077" s="4" t="s">
        <v>26544</v>
      </c>
      <c r="C21077" s="5" t="str">
        <f>IFERROR(__xludf.DUMMYFUNCTION("GOOGLETRANSLATE(B21077,""en"",""es-ES"")"),"La cámara se centra nuevamente en el agua corriente.")</f>
        <v>La cámara se centra nuevamente en el agua corriente.</v>
      </c>
    </row>
    <row r="21078">
      <c r="A21078" s="4" t="s">
        <v>26539</v>
      </c>
      <c r="B21078" s="4" t="s">
        <v>4389</v>
      </c>
      <c r="C21078" s="5" t="str">
        <f>IFERROR(__xludf.DUMMYFUNCTION("GOOGLETRANSLATE(B21078,""en"",""es-ES"")"),"Se remonta al hombre que corta.")</f>
        <v>Se remonta al hombre que corta.</v>
      </c>
    </row>
    <row r="21079">
      <c r="A21079" s="4" t="s">
        <v>26539</v>
      </c>
      <c r="B21079" s="4" t="s">
        <v>26545</v>
      </c>
      <c r="C21079" s="5" t="str">
        <f>IFERROR(__xludf.DUMMYFUNCTION("GOOGLETRANSLATE(B21079,""en"",""es-ES"")"),"Luego vuelve al agua corriente.")</f>
        <v>Luego vuelve al agua corriente.</v>
      </c>
    </row>
    <row r="21080">
      <c r="A21080" s="4" t="s">
        <v>26546</v>
      </c>
      <c r="B21080" s="4" t="s">
        <v>26547</v>
      </c>
      <c r="C21080" s="5" t="str">
        <f>IFERROR(__xludf.DUMMYFUNCTION("GOOGLETRANSLATE(B21080,""en"",""es-ES"")"),"Vemos a una mujer golpeando una piñata.")</f>
        <v>Vemos a una mujer golpeando una piñata.</v>
      </c>
    </row>
    <row r="21081">
      <c r="A21081" s="4" t="s">
        <v>26546</v>
      </c>
      <c r="B21081" s="4" t="s">
        <v>26548</v>
      </c>
      <c r="C21081" s="5" t="str">
        <f>IFERROR(__xludf.DUMMYFUNCTION("GOOGLETRANSLATE(B21081,""en"",""es-ES"")"),"La señora hace una pausa para alinear su tiro.")</f>
        <v>La señora hace una pausa para alinear su tiro.</v>
      </c>
    </row>
    <row r="21082">
      <c r="A21082" s="4" t="s">
        <v>26546</v>
      </c>
      <c r="B21082" s="4" t="s">
        <v>26549</v>
      </c>
      <c r="C21082" s="5" t="str">
        <f>IFERROR(__xludf.DUMMYFUNCTION("GOOGLETRANSLATE(B21082,""en"",""es-ES"")"),"La señora sostiene la piñata cuando ella la golpea.")</f>
        <v>La señora sostiene la piñata cuando ella la golpea.</v>
      </c>
    </row>
    <row r="21083">
      <c r="A21083" s="4" t="s">
        <v>26546</v>
      </c>
      <c r="B21083" s="4" t="s">
        <v>26550</v>
      </c>
      <c r="C21083" s="5" t="str">
        <f>IFERROR(__xludf.DUMMYFUNCTION("GOOGLETRANSLATE(B21083,""en"",""es-ES"")"),"Un hombre toma el bate de las manos de las damas.")</f>
        <v>Un hombre toma el bate de las manos de las damas.</v>
      </c>
    </row>
    <row r="21084">
      <c r="A21084" s="4" t="s">
        <v>26551</v>
      </c>
      <c r="B21084" s="4" t="s">
        <v>26552</v>
      </c>
      <c r="C21084" s="5" t="str">
        <f>IFERROR(__xludf.DUMMYFUNCTION("GOOGLETRANSLATE(B21084,""en"",""es-ES"")"),"Un hombre con una capa de laboratorio usa una escoba Swiffer.")</f>
        <v>Un hombre con una capa de laboratorio usa una escoba Swiffer.</v>
      </c>
    </row>
    <row r="21085">
      <c r="A21085" s="4" t="s">
        <v>26551</v>
      </c>
      <c r="B21085" s="4" t="s">
        <v>26553</v>
      </c>
      <c r="C21085" s="5" t="str">
        <f>IFERROR(__xludf.DUMMYFUNCTION("GOOGLETRANSLATE(B21085,""en"",""es-ES"")"),"Lo rastrilla por un piso con solución de limpieza.")</f>
        <v>Lo rastrilla por un piso con solución de limpieza.</v>
      </c>
    </row>
    <row r="21086">
      <c r="A21086" s="4" t="s">
        <v>26551</v>
      </c>
      <c r="B21086" s="4" t="s">
        <v>26554</v>
      </c>
      <c r="C21086" s="5" t="str">
        <f>IFERROR(__xludf.DUMMYFUNCTION("GOOGLETRANSLATE(B21086,""en"",""es-ES"")"),"El piso brilla cuando se limpia debajo de sus pies.")</f>
        <v>El piso brilla cuando se limpia debajo de sus pies.</v>
      </c>
    </row>
    <row r="21087">
      <c r="A21087" s="4" t="s">
        <v>26555</v>
      </c>
      <c r="B21087" s="4" t="s">
        <v>26556</v>
      </c>
      <c r="C21087" s="5" t="str">
        <f>IFERROR(__xludf.DUMMYFUNCTION("GOOGLETRANSLATE(B21087,""en"",""es-ES"")"),"Un hombre se para con una bicicleta en una rejilla y muestra sus diferentes partes y características que incluyen las ruedas.")</f>
        <v>Un hombre se para con una bicicleta en una rejilla y muestra sus diferentes partes y características que incluyen las ruedas.</v>
      </c>
    </row>
    <row r="21088">
      <c r="A21088" s="4" t="s">
        <v>26555</v>
      </c>
      <c r="B21088" s="4" t="s">
        <v>26557</v>
      </c>
      <c r="C21088" s="5" t="str">
        <f>IFERROR(__xludf.DUMMYFUNCTION("GOOGLETRANSLATE(B21088,""en"",""es-ES"")"),"El hombre gira la manivela y la rueda gira en la bicicleta.")</f>
        <v>El hombre gira la manivela y la rueda gira en la bicicleta.</v>
      </c>
    </row>
    <row r="21089">
      <c r="A21089" s="4" t="s">
        <v>26555</v>
      </c>
      <c r="B21089" s="4" t="s">
        <v>26558</v>
      </c>
      <c r="C21089" s="5" t="str">
        <f>IFERROR(__xludf.DUMMYFUNCTION("GOOGLETRANSLATE(B21089,""en"",""es-ES"")"),"El hombre gira la rueda delantera a mano.")</f>
        <v>El hombre gira la rueda delantera a mano.</v>
      </c>
    </row>
    <row r="21090">
      <c r="A21090" s="4" t="s">
        <v>26555</v>
      </c>
      <c r="B21090" s="4" t="s">
        <v>26559</v>
      </c>
      <c r="C21090" s="5" t="str">
        <f>IFERROR(__xludf.DUMMYFUNCTION("GOOGLETRANSLATE(B21090,""en"",""es-ES"")"),"El hombre aprieta un tornillo con su herramienta de mano.")</f>
        <v>El hombre aprieta un tornillo con su herramienta de mano.</v>
      </c>
    </row>
    <row r="21091">
      <c r="A21091" s="4" t="s">
        <v>26560</v>
      </c>
      <c r="B21091" s="4" t="s">
        <v>26561</v>
      </c>
      <c r="C21091" s="5" t="str">
        <f>IFERROR(__xludf.DUMMYFUNCTION("GOOGLETRANSLATE(B21091,""en"",""es-ES"")"),"Un baloncesto se centra en la forma en que se encuentra en una hierba.")</f>
        <v>Un baloncesto se centra en la forma en que se encuentra en una hierba.</v>
      </c>
    </row>
    <row r="21092">
      <c r="A21092" s="4" t="s">
        <v>26560</v>
      </c>
      <c r="B21092" s="4" t="s">
        <v>26562</v>
      </c>
      <c r="C21092" s="5" t="str">
        <f>IFERROR(__xludf.DUMMYFUNCTION("GOOGLETRANSLATE(B21092,""en"",""es-ES"")"),"Luego se aleja y una niña pequeña está de pie al comienzo de una raya de lágrimas escrita en tiza, y un hombre está parado al final y arroja un trozo de tiza, se rompe, salta a recogerlo, ella elige Sube la otra pieza y la devuelve al contenedor de tiza a"&amp;" un lado.")</f>
        <v>Luego se aleja y una niña pequeña está de pie al comienzo de una raya de lágrimas escrita en tiza, y un hombre está parado al final y arroja un trozo de tiza, se rompe, salta a recogerlo, ella elige Sube la otra pieza y la devuelve al contenedor de tiza a un lado.</v>
      </c>
    </row>
    <row r="21093">
      <c r="A21093" s="4" t="s">
        <v>26560</v>
      </c>
      <c r="B21093" s="4" t="s">
        <v>26563</v>
      </c>
      <c r="C21093" s="5" t="str">
        <f>IFERROR(__xludf.DUMMYFUNCTION("GOOGLETRANSLATE(B21093,""en"",""es-ES"")"),"La niña regresa al comienzo de la rayulación y toma su turno, y van de un lado a otro y juegan giros saltando hacia arriba y hacia abajo por la rayulación.")</f>
        <v>La niña regresa al comienzo de la rayulación y toma su turno, y van de un lado a otro y juegan giros saltando hacia arriba y hacia abajo por la rayulación.</v>
      </c>
    </row>
    <row r="21094">
      <c r="A21094" s="4" t="s">
        <v>26564</v>
      </c>
      <c r="B21094" s="4" t="s">
        <v>26565</v>
      </c>
      <c r="C21094" s="5" t="str">
        <f>IFERROR(__xludf.DUMMYFUNCTION("GOOGLETRANSLATE(B21094,""en"",""es-ES"")"),"En la playa, se configuran varias redes de voleibol en diferentes colores, mientras que las personas están de pie o sentadas a un lado fuera de las redes.")</f>
        <v>En la playa, se configuran varias redes de voleibol en diferentes colores, mientras que las personas están de pie o sentadas a un lado fuera de las redes.</v>
      </c>
    </row>
    <row r="21095">
      <c r="A21095" s="4" t="s">
        <v>26564</v>
      </c>
      <c r="B21095" s="4" t="s">
        <v>26566</v>
      </c>
      <c r="C21095" s="5" t="str">
        <f>IFERROR(__xludf.DUMMYFUNCTION("GOOGLETRANSLATE(B21095,""en"",""es-ES"")"),"Diferentes equipos, con combinación de hombres y mujeres, jugaron las voleibolas de playa en las redes asignadas a ellos.")</f>
        <v>Diferentes equipos, con combinación de hombres y mujeres, jugaron las voleibolas de playa en las redes asignadas a ellos.</v>
      </c>
    </row>
    <row r="21096">
      <c r="A21096" s="4" t="s">
        <v>26567</v>
      </c>
      <c r="B21096" s="4" t="s">
        <v>26568</v>
      </c>
      <c r="C21096" s="5" t="str">
        <f>IFERROR(__xludf.DUMMYFUNCTION("GOOGLETRANSLATE(B21096,""en"",""es-ES"")"),"La gente está trabajando en bicicletas de ejercicio.")</f>
        <v>La gente está trabajando en bicicletas de ejercicio.</v>
      </c>
    </row>
    <row r="21097">
      <c r="A21097" s="4" t="s">
        <v>26567</v>
      </c>
      <c r="B21097" s="4" t="s">
        <v>26569</v>
      </c>
      <c r="C21097" s="5" t="str">
        <f>IFERROR(__xludf.DUMMYFUNCTION("GOOGLETRANSLATE(B21097,""en"",""es-ES"")"),"Un hombre con una camisa azul está parada frente a ellos corriendo.")</f>
        <v>Un hombre con una camisa azul está parada frente a ellos corriendo.</v>
      </c>
    </row>
    <row r="21098">
      <c r="A21098" s="4" t="s">
        <v>26570</v>
      </c>
      <c r="B21098" s="4" t="s">
        <v>26571</v>
      </c>
      <c r="C21098" s="5" t="str">
        <f>IFERROR(__xludf.DUMMYFUNCTION("GOOGLETRANSLATE(B21098,""en"",""es-ES"")"),"Un periodista habla en un televisor, luego un periodista habla en un parque, luego se muestra un mapa de Londres.")</f>
        <v>Un periodista habla en un televisor, luego un periodista habla en un parque, luego se muestra un mapa de Londres.</v>
      </c>
    </row>
    <row r="21099">
      <c r="A21099" s="4" t="s">
        <v>26570</v>
      </c>
      <c r="B21099" s="4" t="s">
        <v>26572</v>
      </c>
      <c r="C21099" s="5" t="str">
        <f>IFERROR(__xludf.DUMMYFUNCTION("GOOGLETRANSLATE(B21099,""en"",""es-ES"")"),"Un hombre muestra una bolsa con un cigarrillo y luego se muestra en los documentos.")</f>
        <v>Un hombre muestra una bolsa con un cigarrillo y luego se muestra en los documentos.</v>
      </c>
    </row>
    <row r="21100">
      <c r="A21100" s="4" t="s">
        <v>26570</v>
      </c>
      <c r="B21100" s="4" t="s">
        <v>26573</v>
      </c>
      <c r="C21100" s="5" t="str">
        <f>IFERROR(__xludf.DUMMYFUNCTION("GOOGLETRANSLATE(B21100,""en"",""es-ES"")"),"Después, el hombre está en un patio trasero explicando al periodista.")</f>
        <v>Después, el hombre está en un patio trasero explicando al periodista.</v>
      </c>
    </row>
    <row r="21101">
      <c r="A21101" s="4" t="s">
        <v>26570</v>
      </c>
      <c r="B21101" s="4" t="s">
        <v>26574</v>
      </c>
      <c r="C21101" s="5" t="str">
        <f>IFERROR(__xludf.DUMMYFUNCTION("GOOGLETRANSLATE(B21101,""en"",""es-ES"")"),"La gente está en un parque caminando, una persona con una mascota y una madre con un hijo.")</f>
        <v>La gente está en un parque caminando, una persona con una mascota y una madre con un hijo.</v>
      </c>
    </row>
    <row r="21102">
      <c r="A21102" s="4" t="s">
        <v>26570</v>
      </c>
      <c r="B21102" s="4" t="s">
        <v>26575</v>
      </c>
      <c r="C21102" s="5" t="str">
        <f>IFERROR(__xludf.DUMMYFUNCTION("GOOGLETRANSLATE(B21102,""en"",""es-ES"")"),"Un hombre y una mujer hablan con el periodista.")</f>
        <v>Un hombre y una mujer hablan con el periodista.</v>
      </c>
    </row>
    <row r="21103">
      <c r="A21103" s="4" t="s">
        <v>26576</v>
      </c>
      <c r="B21103" s="4" t="s">
        <v>26577</v>
      </c>
      <c r="C21103" s="5" t="str">
        <f>IFERROR(__xludf.DUMMYFUNCTION("GOOGLETRANSLATE(B21103,""en"",""es-ES"")"),"Las personas juegan croquet, con la cámara solo mostrando sus piernas y las bolas y mazos.")</f>
        <v>Las personas juegan croquet, con la cámara solo mostrando sus piernas y las bolas y mazos.</v>
      </c>
    </row>
    <row r="21104">
      <c r="A21104" s="4" t="s">
        <v>26576</v>
      </c>
      <c r="B21104" s="4" t="s">
        <v>26578</v>
      </c>
      <c r="C21104" s="5" t="str">
        <f>IFERROR(__xludf.DUMMYFUNCTION("GOOGLETRANSLATE(B21104,""en"",""es-ES"")"),"Un grupo de personas con disfraces de brujas se unen mientras se habla.")</f>
        <v>Un grupo de personas con disfraces de brujas se unen mientras se habla.</v>
      </c>
    </row>
    <row r="21105">
      <c r="A21105" s="4" t="s">
        <v>26576</v>
      </c>
      <c r="B21105" s="4" t="s">
        <v>26579</v>
      </c>
      <c r="C21105" s="5" t="str">
        <f>IFERROR(__xludf.DUMMYFUNCTION("GOOGLETRANSLATE(B21105,""en"",""es-ES"")"),"Se muestran más videos pequeños de personas que reproducen croquet.")</f>
        <v>Se muestran más videos pequeños de personas que reproducen croquet.</v>
      </c>
    </row>
    <row r="21106">
      <c r="A21106" s="4" t="s">
        <v>26576</v>
      </c>
      <c r="B21106" s="4" t="s">
        <v>26580</v>
      </c>
      <c r="C21106" s="5" t="str">
        <f>IFERROR(__xludf.DUMMYFUNCTION("GOOGLETRANSLATE(B21106,""en"",""es-ES"")"),"El grupo de personas con trajes de brujas se muestra nuevamente.")</f>
        <v>El grupo de personas con trajes de brujas se muestra nuevamente.</v>
      </c>
    </row>
    <row r="21107">
      <c r="A21107" s="4" t="s">
        <v>26576</v>
      </c>
      <c r="B21107" s="4" t="s">
        <v>26581</v>
      </c>
      <c r="C21107" s="5" t="str">
        <f>IFERROR(__xludf.DUMMYFUNCTION("GOOGLETRANSLATE(B21107,""en"",""es-ES"")"),"Se muestra una serie de equipos de croquet, y algunos de ellos usan disfraces.")</f>
        <v>Se muestra una serie de equipos de croquet, y algunos de ellos usan disfraces.</v>
      </c>
    </row>
    <row r="21108">
      <c r="A21108" s="4" t="s">
        <v>26576</v>
      </c>
      <c r="B21108" s="4" t="s">
        <v>26582</v>
      </c>
      <c r="C21108" s="5" t="str">
        <f>IFERROR(__xludf.DUMMYFUNCTION("GOOGLETRANSLATE(B21108,""en"",""es-ES"")"),"El grupo de personas con trajes de brujas se muestra una vez más.")</f>
        <v>El grupo de personas con trajes de brujas se muestra una vez más.</v>
      </c>
    </row>
    <row r="21109">
      <c r="A21109" s="4" t="s">
        <v>26576</v>
      </c>
      <c r="B21109" s="4" t="s">
        <v>26583</v>
      </c>
      <c r="C21109" s="5" t="str">
        <f>IFERROR(__xludf.DUMMYFUNCTION("GOOGLETRANSLATE(B21109,""en"",""es-ES"")"),"Sin embargo, se muestran más videos pequeños de personas que reproducen croquet.")</f>
        <v>Sin embargo, se muestran más videos pequeños de personas que reproducen croquet.</v>
      </c>
    </row>
    <row r="21110">
      <c r="A21110" s="4" t="s">
        <v>26576</v>
      </c>
      <c r="B21110" s="4" t="s">
        <v>26584</v>
      </c>
      <c r="C21110" s="5" t="str">
        <f>IFERROR(__xludf.DUMMYFUNCTION("GOOGLETRANSLATE(B21110,""en"",""es-ES"")"),"Y se muestra la pantalla de título final.")</f>
        <v>Y se muestra la pantalla de título final.</v>
      </c>
    </row>
    <row r="21111">
      <c r="A21111" s="4" t="s">
        <v>26585</v>
      </c>
      <c r="B21111" s="4" t="s">
        <v>22735</v>
      </c>
      <c r="C21111" s="5" t="str">
        <f>IFERROR(__xludf.DUMMYFUNCTION("GOOGLETRANSLATE(B21111,""en"",""es-ES"")"),"Un hombre está parado detrás de una barra.")</f>
        <v>Un hombre está parado detrás de una barra.</v>
      </c>
    </row>
    <row r="21112">
      <c r="A21112" s="4" t="s">
        <v>26585</v>
      </c>
      <c r="B21112" s="4" t="s">
        <v>26586</v>
      </c>
      <c r="C21112" s="5" t="str">
        <f>IFERROR(__xludf.DUMMYFUNCTION("GOOGLETRANSLATE(B21112,""en"",""es-ES"")"),"Comienza a cortar fruta y ponerla en el vaso.")</f>
        <v>Comienza a cortar fruta y ponerla en el vaso.</v>
      </c>
    </row>
    <row r="21113">
      <c r="A21113" s="4" t="s">
        <v>26585</v>
      </c>
      <c r="B21113" s="4" t="s">
        <v>26587</v>
      </c>
      <c r="C21113" s="5" t="str">
        <f>IFERROR(__xludf.DUMMYFUNCTION("GOOGLETRANSLATE(B21113,""en"",""es-ES"")"),"Comienza a mezclar la fruta con un palo.")</f>
        <v>Comienza a mezclar la fruta con un palo.</v>
      </c>
    </row>
    <row r="21114">
      <c r="A21114" s="4" t="s">
        <v>26585</v>
      </c>
      <c r="B21114" s="4" t="s">
        <v>26588</v>
      </c>
      <c r="C21114" s="5" t="str">
        <f>IFERROR(__xludf.DUMMYFUNCTION("GOOGLETRANSLATE(B21114,""en"",""es-ES"")"),"Agrega hielo al vaso y vierte alcohol.")</f>
        <v>Agrega hielo al vaso y vierte alcohol.</v>
      </c>
    </row>
    <row r="21115">
      <c r="A21115" s="4" t="s">
        <v>26585</v>
      </c>
      <c r="B21115" s="4" t="s">
        <v>26589</v>
      </c>
      <c r="C21115" s="5" t="str">
        <f>IFERROR(__xludf.DUMMYFUNCTION("GOOGLETRANSLATE(B21115,""en"",""es-ES"")"),"Él sacude la bebida y la vierte en un vaso alto.")</f>
        <v>Él sacude la bebida y la vierte en un vaso alto.</v>
      </c>
    </row>
    <row r="21116">
      <c r="A21116" s="4" t="s">
        <v>26585</v>
      </c>
      <c r="B21116" s="4" t="s">
        <v>26590</v>
      </c>
      <c r="C21116" s="5" t="str">
        <f>IFERROR(__xludf.DUMMYFUNCTION("GOOGLETRANSLATE(B21116,""en"",""es-ES"")"),"Agrega un poco de líquido y lo revuelve con una pajita.")</f>
        <v>Agrega un poco de líquido y lo revuelve con una pajita.</v>
      </c>
    </row>
    <row r="21117">
      <c r="A21117" s="4" t="s">
        <v>26591</v>
      </c>
      <c r="B21117" s="4" t="s">
        <v>1251</v>
      </c>
      <c r="C21117" s="5" t="str">
        <f>IFERROR(__xludf.DUMMYFUNCTION("GOOGLETRANSLATE(B21117,""en"",""es-ES"")"),"Se muestran los créditos del clip.")</f>
        <v>Se muestran los créditos del clip.</v>
      </c>
    </row>
    <row r="21118">
      <c r="A21118" s="4" t="s">
        <v>26591</v>
      </c>
      <c r="B21118" s="4" t="s">
        <v>26592</v>
      </c>
      <c r="C21118" s="5" t="str">
        <f>IFERROR(__xludf.DUMMYFUNCTION("GOOGLETRANSLATE(B21118,""en"",""es-ES"")"),"Un hombre recorta el arbusto en el césped con un cortador eléctrico.")</f>
        <v>Un hombre recorta el arbusto en el césped con un cortador eléctrico.</v>
      </c>
    </row>
    <row r="21119">
      <c r="A21119" s="4" t="s">
        <v>26591</v>
      </c>
      <c r="B21119" s="4" t="s">
        <v>573</v>
      </c>
      <c r="C21119" s="5" t="str">
        <f>IFERROR(__xludf.DUMMYFUNCTION("GOOGLETRANSLATE(B21119,""en"",""es-ES"")"),"Se muestran los créditos del video.")</f>
        <v>Se muestran los créditos del video.</v>
      </c>
    </row>
    <row r="21120">
      <c r="A21120" s="4" t="s">
        <v>26593</v>
      </c>
      <c r="B21120" s="4" t="s">
        <v>26594</v>
      </c>
      <c r="C21120" s="5" t="str">
        <f>IFERROR(__xludf.DUMMYFUNCTION("GOOGLETRANSLATE(B21120,""en"",""es-ES"")"),"Una persona enciende un botón de un dispositivo con un largo camino al lado de una caja de madera.")</f>
        <v>Una persona enciende un botón de un dispositivo con un largo camino al lado de una caja de madera.</v>
      </c>
    </row>
    <row r="21121">
      <c r="A21121" s="4" t="s">
        <v>26593</v>
      </c>
      <c r="B21121" s="4" t="s">
        <v>26595</v>
      </c>
      <c r="C21121" s="5" t="str">
        <f>IFERROR(__xludf.DUMMYFUNCTION("GOOGLETRANSLATE(B21121,""en"",""es-ES"")"),"Luego, el hombre puso la caña en un agujero y sale chispas, después de que el hombre finaliza haciendo destellos.")</f>
        <v>Luego, el hombre puso la caña en un agujero y sale chispas, después de que el hombre finaliza haciendo destellos.</v>
      </c>
    </row>
    <row r="21122">
      <c r="A21122" s="4" t="s">
        <v>26596</v>
      </c>
      <c r="B21122" s="4" t="s">
        <v>26597</v>
      </c>
      <c r="C21122" s="5" t="str">
        <f>IFERROR(__xludf.DUMMYFUNCTION("GOOGLETRANSLATE(B21122,""en"",""es-ES"")"),"Se ve a una persona montar sobre un caballo en un pozo persiguiendo un ternero.")</f>
        <v>Se ve a una persona montar sobre un caballo en un pozo persiguiendo un ternero.</v>
      </c>
    </row>
    <row r="21123">
      <c r="A21123" s="4" t="s">
        <v>26596</v>
      </c>
      <c r="B21123" s="4" t="s">
        <v>26598</v>
      </c>
      <c r="C21123" s="5" t="str">
        <f>IFERROR(__xludf.DUMMYFUNCTION("GOOGLETRANSLATE(B21123,""en"",""es-ES"")"),"El hombre se acerca a la pantorrilla y salta del caballo para atarlo y luego regresa al caballo.")</f>
        <v>El hombre se acerca a la pantorrilla y salta del caballo para atarlo y luego regresa al caballo.</v>
      </c>
    </row>
    <row r="21124">
      <c r="A21124" s="4" t="s">
        <v>26599</v>
      </c>
      <c r="B21124" s="4" t="s">
        <v>26600</v>
      </c>
      <c r="C21124" s="5" t="str">
        <f>IFERROR(__xludf.DUMMYFUNCTION("GOOGLETRANSLATE(B21124,""en"",""es-ES"")"),"Se ve a un hombre en el océano en una tabla de surf.")</f>
        <v>Se ve a un hombre en el océano en una tabla de surf.</v>
      </c>
    </row>
    <row r="21125">
      <c r="A21125" s="4" t="s">
        <v>26599</v>
      </c>
      <c r="B21125" s="4" t="s">
        <v>26601</v>
      </c>
      <c r="C21125" s="5" t="str">
        <f>IFERROR(__xludf.DUMMYFUNCTION("GOOGLETRANSLATE(B21125,""en"",""es-ES"")"),"El hombre se desliza hacia una onda en la próxima.")</f>
        <v>El hombre se desliza hacia una onda en la próxima.</v>
      </c>
    </row>
    <row r="21126">
      <c r="A21126" s="4" t="s">
        <v>26599</v>
      </c>
      <c r="B21126" s="4" t="s">
        <v>26602</v>
      </c>
      <c r="C21126" s="5" t="str">
        <f>IFERROR(__xludf.DUMMYFUNCTION("GOOGLETRANSLATE(B21126,""en"",""es-ES"")"),"El hombre luego salta sobre la ola.")</f>
        <v>El hombre luego salta sobre la ola.</v>
      </c>
    </row>
    <row r="21127">
      <c r="A21127" s="4" t="s">
        <v>26599</v>
      </c>
      <c r="B21127" s="4" t="s">
        <v>26603</v>
      </c>
      <c r="C21127" s="5" t="str">
        <f>IFERROR(__xludf.DUMMYFUNCTION("GOOGLETRANSLATE(B21127,""en"",""es-ES"")"),"El hombre luego monta el interior de una nueva ola.")</f>
        <v>El hombre luego monta el interior de una nueva ola.</v>
      </c>
    </row>
    <row r="21128">
      <c r="A21128" s="4" t="s">
        <v>26604</v>
      </c>
      <c r="B21128" s="4" t="s">
        <v>26605</v>
      </c>
      <c r="C21128" s="5" t="str">
        <f>IFERROR(__xludf.DUMMYFUNCTION("GOOGLETRANSLATE(B21128,""en"",""es-ES"")"),"Una hermosa joven que sostiene un violín en la mano comienza a moverse de un lado a otro contra las cuerdas con el arco para tocar una canción que ha practicado.")</f>
        <v>Una hermosa joven que sostiene un violín en la mano comienza a moverse de un lado a otro contra las cuerdas con el arco para tocar una canción que ha practicado.</v>
      </c>
    </row>
    <row r="21129">
      <c r="A21129" s="4" t="s">
        <v>26604</v>
      </c>
      <c r="B21129" s="4" t="s">
        <v>26606</v>
      </c>
      <c r="C21129" s="5" t="str">
        <f>IFERROR(__xludf.DUMMYFUNCTION("GOOGLETRANSLATE(B21129,""en"",""es-ES"")"),"La mujer bien vestida de negro con mangas blancas continúa jugando y sonriendo de manera intermitente mientras sostiene elocuentemente diferentes acordes y notas en la esquina de la habitación junto a un piano bailando de un lado a otro mientras juega.")</f>
        <v>La mujer bien vestida de negro con mangas blancas continúa jugando y sonriendo de manera intermitente mientras sostiene elocuentemente diferentes acordes y notas en la esquina de la habitación junto a un piano bailando de un lado a otro mientras juega.</v>
      </c>
    </row>
    <row r="21130">
      <c r="A21130" s="4" t="s">
        <v>26604</v>
      </c>
      <c r="B21130" s="4" t="s">
        <v>26607</v>
      </c>
      <c r="C21130" s="5" t="str">
        <f>IFERROR(__xludf.DUMMYFUNCTION("GOOGLETRANSLATE(B21130,""en"",""es-ES"")"),"La mujer deja de tocar y sonríe una vez más antes de salir de la vista de la cámara bajando el violín y terminar la canción.")</f>
        <v>La mujer deja de tocar y sonríe una vez más antes de salir de la vista de la cámara bajando el violín y terminar la canción.</v>
      </c>
    </row>
    <row r="21131">
      <c r="A21131" s="4" t="s">
        <v>26608</v>
      </c>
      <c r="B21131" s="4" t="s">
        <v>26609</v>
      </c>
      <c r="C21131" s="5" t="str">
        <f>IFERROR(__xludf.DUMMYFUNCTION("GOOGLETRANSLATE(B21131,""en"",""es-ES"")"),"Una persona navega por otro bote en el agua.")</f>
        <v>Una persona navega por otro bote en el agua.</v>
      </c>
    </row>
    <row r="21132">
      <c r="A21132" s="4" t="s">
        <v>26608</v>
      </c>
      <c r="B21132" s="4" t="s">
        <v>26610</v>
      </c>
      <c r="C21132" s="5" t="str">
        <f>IFERROR(__xludf.DUMMYFUNCTION("GOOGLETRANSLATE(B21132,""en"",""es-ES"")"),"Se muestran varias escenas de personas que navegan en los barcos.")</f>
        <v>Se muestran varias escenas de personas que navegan en los barcos.</v>
      </c>
    </row>
    <row r="21133">
      <c r="A21133" s="4" t="s">
        <v>26608</v>
      </c>
      <c r="B21133" s="4" t="s">
        <v>26611</v>
      </c>
      <c r="C21133" s="5" t="str">
        <f>IFERROR(__xludf.DUMMYFUNCTION("GOOGLETRANSLATE(B21133,""en"",""es-ES"")"),"Un hombre está de pie y hablando con la cámara.")</f>
        <v>Un hombre está de pie y hablando con la cámara.</v>
      </c>
    </row>
    <row r="21134">
      <c r="A21134" s="4" t="s">
        <v>26612</v>
      </c>
      <c r="B21134" s="4" t="s">
        <v>26613</v>
      </c>
      <c r="C21134" s="5" t="str">
        <f>IFERROR(__xludf.DUMMYFUNCTION("GOOGLETRANSLATE(B21134,""en"",""es-ES"")"),"Un hombre se para sobre los zancos de metal y tira de un borde recto grande sobre un techo para aplanar el yeso.")</f>
        <v>Un hombre se para sobre los zancos de metal y tira de un borde recto grande sobre un techo para aplanar el yeso.</v>
      </c>
    </row>
    <row r="21135">
      <c r="A21135" s="4" t="s">
        <v>26612</v>
      </c>
      <c r="B21135" s="4" t="s">
        <v>26614</v>
      </c>
      <c r="C21135" s="5" t="str">
        <f>IFERROR(__xludf.DUMMYFUNCTION("GOOGLETRANSLATE(B21135,""en"",""es-ES"")"),"El hombre llega al lado más cercano y luego se da vuelta para continuar.")</f>
        <v>El hombre llega al lado más cercano y luego se da vuelta para continuar.</v>
      </c>
    </row>
    <row r="21136">
      <c r="A21136" s="4" t="s">
        <v>26612</v>
      </c>
      <c r="B21136" s="4" t="s">
        <v>26615</v>
      </c>
      <c r="C21136" s="5" t="str">
        <f>IFERROR(__xludf.DUMMYFUNCTION("GOOGLETRANSLATE(B21136,""en"",""es-ES"")"),"El hombre llega al otro lado de la habitación y se da vuelta para continuar.")</f>
        <v>El hombre llega al otro lado de la habitación y se da vuelta para continuar.</v>
      </c>
    </row>
    <row r="21137">
      <c r="A21137" s="4" t="s">
        <v>26612</v>
      </c>
      <c r="B21137" s="4" t="s">
        <v>26616</v>
      </c>
      <c r="C21137" s="5" t="str">
        <f>IFERROR(__xludf.DUMMYFUNCTION("GOOGLETRANSLATE(B21137,""en"",""es-ES"")"),"El hombre termina y baja la herramienta de borde recto sonriendo.")</f>
        <v>El hombre termina y baja la herramienta de borde recto sonriendo.</v>
      </c>
    </row>
    <row r="21138">
      <c r="A21138" s="4" t="s">
        <v>26617</v>
      </c>
      <c r="B21138" s="4" t="s">
        <v>26618</v>
      </c>
      <c r="C21138" s="5" t="str">
        <f>IFERROR(__xludf.DUMMYFUNCTION("GOOGLETRANSLATE(B21138,""en"",""es-ES"")"),"Vemos medio pastel en forma con una persona que apunta a las cosas.")</f>
        <v>Vemos medio pastel en forma con una persona que apunta a las cosas.</v>
      </c>
    </row>
    <row r="21139">
      <c r="A21139" s="4" t="s">
        <v>26617</v>
      </c>
      <c r="B21139" s="4" t="s">
        <v>26619</v>
      </c>
      <c r="C21139" s="5" t="str">
        <f>IFERROR(__xludf.DUMMYFUNCTION("GOOGLETRANSLATE(B21139,""en"",""es-ES"")"),"Vemos a la persona que gira el pastel con el cartón sobre él.")</f>
        <v>Vemos a la persona que gira el pastel con el cartón sobre él.</v>
      </c>
    </row>
    <row r="21140">
      <c r="A21140" s="4" t="s">
        <v>26617</v>
      </c>
      <c r="B21140" s="4" t="s">
        <v>26620</v>
      </c>
      <c r="C21140" s="5" t="str">
        <f>IFERROR(__xludf.DUMMYFUNCTION("GOOGLETRANSLATE(B21140,""en"",""es-ES"")"),"Una persona raspa el papel de cera sobre el pastel.")</f>
        <v>Una persona raspa el papel de cera sobre el pastel.</v>
      </c>
    </row>
    <row r="21141">
      <c r="A21141" s="4" t="s">
        <v>26617</v>
      </c>
      <c r="B21141" s="4" t="s">
        <v>26621</v>
      </c>
      <c r="C21141" s="5" t="str">
        <f>IFERROR(__xludf.DUMMYFUNCTION("GOOGLETRANSLATE(B21141,""en"",""es-ES"")"),"Vemos un mundo entero cubierto de chocolate.")</f>
        <v>Vemos un mundo entero cubierto de chocolate.</v>
      </c>
    </row>
    <row r="21142">
      <c r="A21142" s="4" t="s">
        <v>26622</v>
      </c>
      <c r="B21142" s="4" t="s">
        <v>26623</v>
      </c>
      <c r="C21142" s="5" t="str">
        <f>IFERROR(__xludf.DUMMYFUNCTION("GOOGLETRANSLATE(B21142,""en"",""es-ES"")"),"El hombre elimina el hielo de su parabrisas.")</f>
        <v>El hombre elimina el hielo de su parabrisas.</v>
      </c>
    </row>
    <row r="21143">
      <c r="A21143" s="4" t="s">
        <v>26622</v>
      </c>
      <c r="B21143" s="4" t="s">
        <v>26624</v>
      </c>
      <c r="C21143" s="5" t="str">
        <f>IFERROR(__xludf.DUMMYFUNCTION("GOOGLETRANSLATE(B21143,""en"",""es-ES"")"),"El hombre de negro pone un trozo de cartón en su parabrisas.")</f>
        <v>El hombre de negro pone un trozo de cartón en su parabrisas.</v>
      </c>
    </row>
    <row r="21144">
      <c r="A21144" s="4" t="s">
        <v>26622</v>
      </c>
      <c r="B21144" s="4" t="s">
        <v>26625</v>
      </c>
      <c r="C21144" s="5" t="str">
        <f>IFERROR(__xludf.DUMMYFUNCTION("GOOGLETRANSLATE(B21144,""en"",""es-ES"")"),"El hombre vierte la mezcla de agua caliente en su fría parabrisas.")</f>
        <v>El hombre vierte la mezcla de agua caliente en su fría parabrisas.</v>
      </c>
    </row>
    <row r="21145">
      <c r="A21145" s="4" t="s">
        <v>26626</v>
      </c>
      <c r="B21145" s="4" t="s">
        <v>26627</v>
      </c>
      <c r="C21145" s="5" t="str">
        <f>IFERROR(__xludf.DUMMYFUNCTION("GOOGLETRANSLATE(B21145,""en"",""es-ES"")"),"Se ven dos mujeres sentadas en un parque con uno detrás del otro.")</f>
        <v>Se ven dos mujeres sentadas en un parque con uno detrás del otro.</v>
      </c>
    </row>
    <row r="21146">
      <c r="A21146" s="4" t="s">
        <v>26626</v>
      </c>
      <c r="B21146" s="4" t="s">
        <v>26628</v>
      </c>
      <c r="C21146" s="5" t="str">
        <f>IFERROR(__xludf.DUMMYFUNCTION("GOOGLETRANSLATE(B21146,""en"",""es-ES"")"),"Una niña comienza a trenzar el cabello de otro mientras estaba sentada detrás.")</f>
        <v>Una niña comienza a trenzar el cabello de otro mientras estaba sentada detrás.</v>
      </c>
    </row>
    <row r="21147">
      <c r="A21147" s="4" t="s">
        <v>26626</v>
      </c>
      <c r="B21147" s="4" t="s">
        <v>26629</v>
      </c>
      <c r="C21147" s="5" t="str">
        <f>IFERROR(__xludf.DUMMYFUNCTION("GOOGLETRANSLATE(B21147,""en"",""es-ES"")"),"La niña termina el cabello mientras el otro mira hacia la cámara.")</f>
        <v>La niña termina el cabello mientras el otro mira hacia la cámara.</v>
      </c>
    </row>
    <row r="21148">
      <c r="A21148" s="4" t="s">
        <v>26630</v>
      </c>
      <c r="B21148" s="4" t="s">
        <v>26631</v>
      </c>
      <c r="C21148" s="5" t="str">
        <f>IFERROR(__xludf.DUMMYFUNCTION("GOOGLETRANSLATE(B21148,""en"",""es-ES"")"),"Los atletas arrojan una jabalina a través del campo durante una competencia en un estadio.")</f>
        <v>Los atletas arrojan una jabalina a través del campo durante una competencia en un estadio.</v>
      </c>
    </row>
    <row r="21149">
      <c r="A21149" s="4" t="s">
        <v>26630</v>
      </c>
      <c r="B21149" s="4" t="s">
        <v>26632</v>
      </c>
      <c r="C21149" s="5" t="str">
        <f>IFERROR(__xludf.DUMMYFUNCTION("GOOGLETRANSLATE(B21149,""en"",""es-ES"")"),"El atleta no está satisfecho con su lanzamiento y abofetea las piernas con frustración.")</f>
        <v>El atleta no está satisfecho con su lanzamiento y abofetea las piernas con frustración.</v>
      </c>
    </row>
    <row r="21150">
      <c r="A21150" s="4" t="s">
        <v>26630</v>
      </c>
      <c r="B21150" s="4" t="s">
        <v>26633</v>
      </c>
      <c r="C21150" s="5" t="str">
        <f>IFERROR(__xludf.DUMMYFUNCTION("GOOGLETRANSLATE(B21150,""en"",""es-ES"")"),"El atleta está moderadamente satisfecho con su lanzamiento y aplaude las manos y asiente con la cabeza.")</f>
        <v>El atleta está moderadamente satisfecho con su lanzamiento y aplaude las manos y asiente con la cabeza.</v>
      </c>
    </row>
    <row r="21151">
      <c r="A21151" s="4" t="s">
        <v>26630</v>
      </c>
      <c r="B21151" s="4" t="s">
        <v>26634</v>
      </c>
      <c r="C21151" s="5" t="str">
        <f>IFERROR(__xludf.DUMMYFUNCTION("GOOGLETRANSLATE(B21151,""en"",""es-ES"")"),"Se ve un marcador con los resultados de la competencia.")</f>
        <v>Se ve un marcador con los resultados de la competencia.</v>
      </c>
    </row>
    <row r="21152">
      <c r="A21152" s="4" t="s">
        <v>26635</v>
      </c>
      <c r="B21152" s="4" t="s">
        <v>26636</v>
      </c>
      <c r="C21152" s="5" t="str">
        <f>IFERROR(__xludf.DUMMYFUNCTION("GOOGLETRANSLATE(B21152,""en"",""es-ES"")"),"Una persona está usando un trapeador para trapear el piso.")</f>
        <v>Una persona está usando un trapeador para trapear el piso.</v>
      </c>
    </row>
    <row r="21153">
      <c r="A21153" s="4" t="s">
        <v>26635</v>
      </c>
      <c r="B21153" s="4" t="s">
        <v>26637</v>
      </c>
      <c r="C21153" s="5" t="str">
        <f>IFERROR(__xludf.DUMMYFUNCTION("GOOGLETRANSLATE(B21153,""en"",""es-ES"")"),"Un perro pequeño está persiguiendo al trapeador.")</f>
        <v>Un perro pequeño está persiguiendo al trapeador.</v>
      </c>
    </row>
    <row r="21154">
      <c r="A21154" s="4" t="s">
        <v>26635</v>
      </c>
      <c r="B21154" s="4" t="s">
        <v>26638</v>
      </c>
      <c r="C21154" s="5" t="str">
        <f>IFERROR(__xludf.DUMMYFUNCTION("GOOGLETRANSLATE(B21154,""en"",""es-ES"")"),"Continúan limpiando con el perro en el trapeador.")</f>
        <v>Continúan limpiando con el perro en el trapeador.</v>
      </c>
    </row>
    <row r="21155">
      <c r="A21155" s="4" t="s">
        <v>26639</v>
      </c>
      <c r="B21155" s="4" t="s">
        <v>26640</v>
      </c>
      <c r="C21155" s="5" t="str">
        <f>IFERROR(__xludf.DUMMYFUNCTION("GOOGLETRANSLATE(B21155,""en"",""es-ES"")"),"Un oso de juguete con monos rojo y blanco vierte una taza de café en una taza de café amarillo.")</f>
        <v>Un oso de juguete con monos rojo y blanco vierte una taza de café en una taza de café amarillo.</v>
      </c>
    </row>
    <row r="21156">
      <c r="A21156" s="4" t="s">
        <v>26639</v>
      </c>
      <c r="B21156" s="4" t="s">
        <v>26641</v>
      </c>
      <c r="C21156" s="5" t="str">
        <f>IFERROR(__xludf.DUMMYFUNCTION("GOOGLETRANSLATE(B21156,""en"",""es-ES"")"),"El camarógrafo se acerca al oso de juguete desde una vista lateral a una vista frontal.")</f>
        <v>El camarógrafo se acerca al oso de juguete desde una vista lateral a una vista frontal.</v>
      </c>
    </row>
    <row r="21157">
      <c r="A21157" s="4" t="s">
        <v>26639</v>
      </c>
      <c r="B21157" s="4" t="s">
        <v>26642</v>
      </c>
      <c r="C21157" s="5" t="str">
        <f>IFERROR(__xludf.DUMMYFUNCTION("GOOGLETRANSLATE(B21157,""en"",""es-ES"")"),"El camarógrafo se desplaza y se mueve a una vista lateral del Toy Bear y se aleja.")</f>
        <v>El camarógrafo se desplaza y se mueve a una vista lateral del Toy Bear y se aleja.</v>
      </c>
    </row>
    <row r="21158">
      <c r="A21158" s="4" t="s">
        <v>26643</v>
      </c>
      <c r="B21158" s="4" t="s">
        <v>26644</v>
      </c>
      <c r="C21158" s="5" t="str">
        <f>IFERROR(__xludf.DUMMYFUNCTION("GOOGLETRANSLATE(B21158,""en"",""es-ES"")"),"Hay una chica con una camisa de vítores marrones que hace una demostración sobre cómo pintarse las uñas.")</f>
        <v>Hay una chica con una camisa de vítores marrones que hace una demostración sobre cómo pintarse las uñas.</v>
      </c>
    </row>
    <row r="21159">
      <c r="A21159" s="4" t="s">
        <v>26643</v>
      </c>
      <c r="B21159" s="4" t="s">
        <v>26645</v>
      </c>
      <c r="C21159" s="5" t="str">
        <f>IFERROR(__xludf.DUMMYFUNCTION("GOOGLETRANSLATE(B21159,""en"",""es-ES"")"),"Muestra una botella de esmalte de uñas magenta que ya ha usado en sus uñas.")</f>
        <v>Muestra una botella de esmalte de uñas magenta que ya ha usado en sus uñas.</v>
      </c>
    </row>
    <row r="21160">
      <c r="A21160" s="4" t="s">
        <v>26643</v>
      </c>
      <c r="B21160" s="4" t="s">
        <v>26646</v>
      </c>
      <c r="C21160" s="5" t="str">
        <f>IFERROR(__xludf.DUMMYFUNCTION("GOOGLETRANSLATE(B21160,""en"",""es-ES"")"),"Luego toma una franja de diamantes de imitación que coloca meticulosamente y coloca las uñas pintadas.")</f>
        <v>Luego toma una franja de diamantes de imitación que coloca meticulosamente y coloca las uñas pintadas.</v>
      </c>
    </row>
    <row r="21161">
      <c r="A21161" s="4" t="s">
        <v>26643</v>
      </c>
      <c r="B21161" s="4" t="s">
        <v>26647</v>
      </c>
      <c r="C21161" s="5" t="str">
        <f>IFERROR(__xludf.DUMMYFUNCTION("GOOGLETRANSLATE(B21161,""en"",""es-ES"")"),"Luego recubre sus uñas y los diamantes de imitación con una capa de esmalte neutral para asegurar los diamantes de imitación.")</f>
        <v>Luego recubre sus uñas y los diamantes de imitación con una capa de esmalte neutral para asegurar los diamantes de imitación.</v>
      </c>
    </row>
    <row r="21162">
      <c r="A21162" s="4" t="s">
        <v>26643</v>
      </c>
      <c r="B21162" s="4" t="s">
        <v>26648</v>
      </c>
      <c r="C21162" s="5" t="str">
        <f>IFERROR(__xludf.DUMMYFUNCTION("GOOGLETRANSLATE(B21162,""en"",""es-ES"")"),"Ella habla en la cámara cuando dos niños se respaldan a ella tratando de participar en el video tutorial.")</f>
        <v>Ella habla en la cámara cuando dos niños se respaldan a ella tratando de participar en el video tutorial.</v>
      </c>
    </row>
    <row r="21163">
      <c r="A21163" s="4" t="s">
        <v>26649</v>
      </c>
      <c r="B21163" s="4" t="s">
        <v>1487</v>
      </c>
      <c r="C21163" s="5" t="str">
        <f>IFERROR(__xludf.DUMMYFUNCTION("GOOGLETRANSLATE(B21163,""en"",""es-ES"")"),"Vemos una pantalla de título de apertura.")</f>
        <v>Vemos una pantalla de título de apertura.</v>
      </c>
    </row>
    <row r="21164">
      <c r="A21164" s="4" t="s">
        <v>26649</v>
      </c>
      <c r="B21164" s="4" t="s">
        <v>26650</v>
      </c>
      <c r="C21164" s="5" t="str">
        <f>IFERROR(__xludf.DUMMYFUNCTION("GOOGLETRANSLATE(B21164,""en"",""es-ES"")"),"Vemos a un hombre con una camisa naranja girar y girar para lanzar el martillo de más de 80 km.")</f>
        <v>Vemos a un hombre con una camisa naranja girar y girar para lanzar el martillo de más de 80 km.</v>
      </c>
    </row>
    <row r="21165">
      <c r="A21165" s="4" t="s">
        <v>26649</v>
      </c>
      <c r="B21165" s="4" t="s">
        <v>26651</v>
      </c>
      <c r="C21165" s="5" t="str">
        <f>IFERROR(__xludf.DUMMYFUNCTION("GOOGLETRANSLATE(B21165,""en"",""es-ES"")"),"Luego vemos a un hombre con una camisa azul lanzar 73 km.")</f>
        <v>Luego vemos a un hombre con una camisa azul lanzar 73 km.</v>
      </c>
    </row>
    <row r="21166">
      <c r="A21166" s="4" t="s">
        <v>26649</v>
      </c>
      <c r="B21166" s="4" t="s">
        <v>26652</v>
      </c>
      <c r="C21166" s="5" t="str">
        <f>IFERROR(__xludf.DUMMYFUNCTION("GOOGLETRANSLATE(B21166,""en"",""es-ES"")"),"Vemos a un hombre con una camisa blanca lanzar 75 km.")</f>
        <v>Vemos a un hombre con una camisa blanca lanzar 75 km.</v>
      </c>
    </row>
    <row r="21167">
      <c r="A21167" s="4" t="s">
        <v>26649</v>
      </c>
      <c r="B21167" s="4" t="s">
        <v>26653</v>
      </c>
      <c r="C21167" s="5" t="str">
        <f>IFERROR(__xludf.DUMMYFUNCTION("GOOGLETRANSLATE(B21167,""en"",""es-ES"")"),"El hombre de naranja vuelve y arroja 81 km.")</f>
        <v>El hombre de naranja vuelve y arroja 81 km.</v>
      </c>
    </row>
    <row r="21168">
      <c r="A21168" s="4" t="s">
        <v>26654</v>
      </c>
      <c r="B21168" s="4" t="s">
        <v>26655</v>
      </c>
      <c r="C21168" s="5" t="str">
        <f>IFERROR(__xludf.DUMMYFUNCTION("GOOGLETRANSLATE(B21168,""en"",""es-ES"")"),"Una niña que da un tutorial de maquillaje.")</f>
        <v>Una niña que da un tutorial de maquillaje.</v>
      </c>
    </row>
    <row r="21169">
      <c r="A21169" s="4" t="s">
        <v>26654</v>
      </c>
      <c r="B21169" s="4" t="s">
        <v>26656</v>
      </c>
      <c r="C21169" s="5" t="str">
        <f>IFERROR(__xludf.DUMMYFUNCTION("GOOGLETRANSLATE(B21169,""en"",""es-ES"")"),"Ella comienza con la sombra de ojos.")</f>
        <v>Ella comienza con la sombra de ojos.</v>
      </c>
    </row>
    <row r="21170">
      <c r="A21170" s="4" t="s">
        <v>26654</v>
      </c>
      <c r="B21170" s="4" t="s">
        <v>26657</v>
      </c>
      <c r="C21170" s="5" t="str">
        <f>IFERROR(__xludf.DUMMYFUNCTION("GOOGLETRANSLATE(B21170,""en"",""es-ES"")"),"Ella se distrae un poco y comienza a hablar con alguien más en la habitación.")</f>
        <v>Ella se distrae un poco y comienza a hablar con alguien más en la habitación.</v>
      </c>
    </row>
    <row r="21171">
      <c r="A21171" s="4" t="s">
        <v>26654</v>
      </c>
      <c r="B21171" s="4" t="s">
        <v>26658</v>
      </c>
      <c r="C21171" s="5" t="str">
        <f>IFERROR(__xludf.DUMMYFUNCTION("GOOGLETRANSLATE(B21171,""en"",""es-ES"")"),"Luego termina su otro ojo y se ríe un poco.")</f>
        <v>Luego termina su otro ojo y se ríe un poco.</v>
      </c>
    </row>
    <row r="21172">
      <c r="A21172" s="4" t="s">
        <v>26659</v>
      </c>
      <c r="B21172" s="4" t="s">
        <v>26660</v>
      </c>
      <c r="C21172" s="5" t="str">
        <f>IFERROR(__xludf.DUMMYFUNCTION("GOOGLETRANSLATE(B21172,""en"",""es-ES"")"),"Se ve a una persona acostada en un cable largo y camina hasta el final.")</f>
        <v>Se ve a una persona acostada en un cable largo y camina hasta el final.</v>
      </c>
    </row>
    <row r="21173">
      <c r="A21173" s="4" t="s">
        <v>26659</v>
      </c>
      <c r="B21173" s="4" t="s">
        <v>26661</v>
      </c>
      <c r="C21173" s="5" t="str">
        <f>IFERROR(__xludf.DUMMYFUNCTION("GOOGLETRANSLATE(B21173,""en"",""es-ES"")"),"Intenta voltear la cuerda nuevamente, pero falla y se duele a sí mismo.")</f>
        <v>Intenta voltear la cuerda nuevamente, pero falla y se duele a sí mismo.</v>
      </c>
    </row>
    <row r="21174">
      <c r="A21174" s="4" t="s">
        <v>26659</v>
      </c>
      <c r="B21174" s="4" t="s">
        <v>26662</v>
      </c>
      <c r="C21174" s="5" t="str">
        <f>IFERROR(__xludf.DUMMYFUNCTION("GOOGLETRANSLATE(B21174,""en"",""es-ES"")"),"Varios hombres más se ven mirando desde los lados cuando uno se desliza nuevamente.")</f>
        <v>Varios hombres más se ven mirando desde los lados cuando uno se desliza nuevamente.</v>
      </c>
    </row>
    <row r="21175">
      <c r="A21175" s="4" t="s">
        <v>26659</v>
      </c>
      <c r="B21175" s="4" t="s">
        <v>26663</v>
      </c>
      <c r="C21175" s="5" t="str">
        <f>IFERROR(__xludf.DUMMYFUNCTION("GOOGLETRANSLATE(B21175,""en"",""es-ES"")"),"Se ve a otro hombre haciendo un volteo en una roca y se muestran más personas que caminan y saltan sobre la cuerda.")</f>
        <v>Se ve a otro hombre haciendo un volteo en una roca y se muestran más personas que caminan y saltan sobre la cuerda.</v>
      </c>
    </row>
    <row r="21176">
      <c r="A21176" s="4" t="s">
        <v>26664</v>
      </c>
      <c r="B21176" s="4" t="s">
        <v>26665</v>
      </c>
      <c r="C21176" s="5" t="str">
        <f>IFERROR(__xludf.DUMMYFUNCTION("GOOGLETRANSLATE(B21176,""en"",""es-ES"")"),"Varios hombres y mujeres están afuera en un plateado bares de mono para adultos que se trepan por él.")</f>
        <v>Varios hombres y mujeres están afuera en un plateado bares de mono para adultos que se trepan por él.</v>
      </c>
    </row>
    <row r="21177">
      <c r="A21177" s="4" t="s">
        <v>26664</v>
      </c>
      <c r="B21177" s="4" t="s">
        <v>26666</v>
      </c>
      <c r="C21177" s="5" t="str">
        <f>IFERROR(__xludf.DUMMYFUNCTION("GOOGLETRANSLATE(B21177,""en"",""es-ES"")"),"Después de que todos terminan, la gente se baja y vuelve a correr para hacer otro set en las barras de mono.")</f>
        <v>Después de que todos terminan, la gente se baja y vuelve a correr para hacer otro set en las barras de mono.</v>
      </c>
    </row>
    <row r="21178">
      <c r="A21178" s="4" t="s">
        <v>26664</v>
      </c>
      <c r="B21178" s="4" t="s">
        <v>26667</v>
      </c>
      <c r="C21178" s="5" t="str">
        <f>IFERROR(__xludf.DUMMYFUNCTION("GOOGLETRANSLATE(B21178,""en"",""es-ES"")"),"En la distancia, más personas vienen del sendero y se muestra a un niño que atraviesa los bares antes de que se muestren un grupo de imágenes que realizan diferentes actividades.")</f>
        <v>En la distancia, más personas vienen del sendero y se muestra a un niño que atraviesa los bares antes de que se muestren un grupo de imágenes que realizan diferentes actividades.</v>
      </c>
    </row>
    <row r="21179">
      <c r="A21179" s="4" t="s">
        <v>26668</v>
      </c>
      <c r="B21179" s="4" t="s">
        <v>26669</v>
      </c>
      <c r="C21179" s="5" t="str">
        <f>IFERROR(__xludf.DUMMYFUNCTION("GOOGLETRANSLATE(B21179,""en"",""es-ES"")"),"Una persona pone una lente de contacto en su ojo derecho.")</f>
        <v>Una persona pone una lente de contacto en su ojo derecho.</v>
      </c>
    </row>
    <row r="21180">
      <c r="A21180" s="4" t="s">
        <v>26668</v>
      </c>
      <c r="B21180" s="4" t="s">
        <v>26670</v>
      </c>
      <c r="C21180" s="5" t="str">
        <f>IFERROR(__xludf.DUMMYFUNCTION("GOOGLETRANSLATE(B21180,""en"",""es-ES"")"),"Luego, la persona pone una lente de contacto en su ojo izquierdo.")</f>
        <v>Luego, la persona pone una lente de contacto en su ojo izquierdo.</v>
      </c>
    </row>
    <row r="21181">
      <c r="A21181" s="4" t="s">
        <v>26671</v>
      </c>
      <c r="B21181" s="4" t="s">
        <v>26672</v>
      </c>
      <c r="C21181" s="5" t="str">
        <f>IFERROR(__xludf.DUMMYFUNCTION("GOOGLETRANSLATE(B21181,""en"",""es-ES"")"),"Un hombre está parado frente a otro hombre mientras alguien ajusta la mesa entre ellos.")</f>
        <v>Un hombre está parado frente a otro hombre mientras alguien ajusta la mesa entre ellos.</v>
      </c>
    </row>
    <row r="21182">
      <c r="A21182" s="4" t="s">
        <v>26671</v>
      </c>
      <c r="B21182" s="4" t="s">
        <v>26673</v>
      </c>
      <c r="C21182" s="5" t="str">
        <f>IFERROR(__xludf.DUMMYFUNCTION("GOOGLETRANSLATE(B21182,""en"",""es-ES"")"),"Los hombres bloquean los brazos y comienzan a luchar con el brazo.")</f>
        <v>Los hombres bloquean los brazos y comienzan a luchar con el brazo.</v>
      </c>
    </row>
    <row r="21183">
      <c r="A21183" s="4" t="s">
        <v>26671</v>
      </c>
      <c r="B21183" s="4" t="s">
        <v>26674</v>
      </c>
      <c r="C21183" s="5" t="str">
        <f>IFERROR(__xludf.DUMMYFUNCTION("GOOGLETRANSLATE(B21183,""en"",""es-ES"")"),"Empujan y tiran con fuerza, tratando de ganar.")</f>
        <v>Empujan y tiran con fuerza, tratando de ganar.</v>
      </c>
    </row>
    <row r="21184">
      <c r="A21184" s="4" t="s">
        <v>26671</v>
      </c>
      <c r="B21184" s="4" t="s">
        <v>26675</v>
      </c>
      <c r="C21184" s="5" t="str">
        <f>IFERROR(__xludf.DUMMYFUNCTION("GOOGLETRANSLATE(B21184,""en"",""es-ES"")"),"De repente comienzan a golpear el uno al otro, estallando en una pelea.")</f>
        <v>De repente comienzan a golpear el uno al otro, estallando en una pelea.</v>
      </c>
    </row>
    <row r="21185">
      <c r="A21185" s="4" t="s">
        <v>26671</v>
      </c>
      <c r="B21185" s="4" t="s">
        <v>26676</v>
      </c>
      <c r="C21185" s="5" t="str">
        <f>IFERROR(__xludf.DUMMYFUNCTION("GOOGLETRANSLATE(B21185,""en"",""es-ES"")"),"Uno comienza a caer después de un golpe.")</f>
        <v>Uno comienza a caer después de un golpe.</v>
      </c>
    </row>
    <row r="21186">
      <c r="A21186" s="4" t="s">
        <v>26677</v>
      </c>
      <c r="B21186" s="4" t="s">
        <v>26678</v>
      </c>
      <c r="C21186" s="5" t="str">
        <f>IFERROR(__xludf.DUMMYFUNCTION("GOOGLETRANSLATE(B21186,""en"",""es-ES"")"),"Aparece una pantalla de introducción blanca y las letras rojas en un idioma extranjero aparecen parpadeando en la pantalla.")</f>
        <v>Aparece una pantalla de introducción blanca y las letras rojas en un idioma extranjero aparecen parpadeando en la pantalla.</v>
      </c>
    </row>
    <row r="21187">
      <c r="A21187" s="4" t="s">
        <v>26677</v>
      </c>
      <c r="B21187" s="4" t="s">
        <v>26679</v>
      </c>
      <c r="C21187" s="5" t="str">
        <f>IFERROR(__xludf.DUMMYFUNCTION("GOOGLETRANSLATE(B21187,""en"",""es-ES"")"),"Un recipiente blanco lleno de agua y 3 papas aparecen en un tazón, y los cubitos de hielo están en otro tazón blanco.")</f>
        <v>Un recipiente blanco lleno de agua y 3 papas aparecen en un tazón, y los cubitos de hielo están en otro tazón blanco.</v>
      </c>
    </row>
    <row r="21188">
      <c r="A21188" s="4" t="s">
        <v>26677</v>
      </c>
      <c r="B21188" s="4" t="s">
        <v>26680</v>
      </c>
      <c r="C21188" s="5" t="str">
        <f>IFERROR(__xludf.DUMMYFUNCTION("GOOGLETRANSLATE(B21188,""en"",""es-ES"")"),"Luego, una mano agarra la papa superior, el tazón de cubitos de hielo y vierte los cubos en un tazón blanco más grande que ya tiene agua.")</f>
        <v>Luego, una mano agarra la papa superior, el tazón de cubitos de hielo y vierte los cubos en un tazón blanco más grande que ya tiene agua.</v>
      </c>
    </row>
    <row r="21189">
      <c r="A21189" s="4" t="s">
        <v>26677</v>
      </c>
      <c r="B21189" s="4" t="s">
        <v>26681</v>
      </c>
      <c r="C21189" s="5" t="str">
        <f>IFERROR(__xludf.DUMMYFUNCTION("GOOGLETRANSLATE(B21189,""en"",""es-ES"")"),"Las dos manos ahora dejan caer la papa en el tazón más grande con los cubitos de hielo y el agua y los dedos comienzan a despegar toda la piel debajo del agua y cuando todas las cáscaras se han ido, la papa se coloca en un plato blanco limpio.")</f>
        <v>Las dos manos ahora dejan caer la papa en el tazón más grande con los cubitos de hielo y el agua y los dedos comienzan a despegar toda la piel debajo del agua y cuando todas las cáscaras se han ido, la papa se coloca en un plato blanco limpio.</v>
      </c>
    </row>
    <row r="21190">
      <c r="A21190" s="4" t="s">
        <v>26677</v>
      </c>
      <c r="B21190" s="4" t="s">
        <v>26682</v>
      </c>
      <c r="C21190" s="5" t="str">
        <f>IFERROR(__xludf.DUMMYFUNCTION("GOOGLETRANSLATE(B21190,""en"",""es-ES"")"),"Aparece la pantalla White Outro y aparecen más letras rojas extranjeras.")</f>
        <v>Aparece la pantalla White Outro y aparecen más letras rojas extranjeras.</v>
      </c>
    </row>
    <row r="21191">
      <c r="A21191" s="4" t="s">
        <v>26683</v>
      </c>
      <c r="B21191" s="4" t="s">
        <v>26684</v>
      </c>
      <c r="C21191" s="5" t="str">
        <f>IFERROR(__xludf.DUMMYFUNCTION("GOOGLETRANSLATE(B21191,""en"",""es-ES"")"),"Vemos el título que nos presenta a Jesse.")</f>
        <v>Vemos el título que nos presenta a Jesse.</v>
      </c>
    </row>
    <row r="21192">
      <c r="A21192" s="4" t="s">
        <v>26683</v>
      </c>
      <c r="B21192" s="4" t="s">
        <v>26685</v>
      </c>
      <c r="C21192" s="5" t="str">
        <f>IFERROR(__xludf.DUMMYFUNCTION("GOOGLETRANSLATE(B21192,""en"",""es-ES"")"),"Jesse, el perro corre y atrapa a Frisbee.")</f>
        <v>Jesse, el perro corre y atrapa a Frisbee.</v>
      </c>
    </row>
    <row r="21193">
      <c r="A21193" s="4" t="s">
        <v>26683</v>
      </c>
      <c r="B21193" s="4" t="s">
        <v>26686</v>
      </c>
      <c r="C21193" s="5" t="str">
        <f>IFERROR(__xludf.DUMMYFUNCTION("GOOGLETRANSLATE(B21193,""en"",""es-ES"")"),"Vemos a Jesse de cerca en la cámara.")</f>
        <v>Vemos a Jesse de cerca en la cámara.</v>
      </c>
    </row>
    <row r="21194">
      <c r="A21194" s="4" t="s">
        <v>26683</v>
      </c>
      <c r="B21194" s="4" t="s">
        <v>26687</v>
      </c>
      <c r="C21194" s="5" t="str">
        <f>IFERROR(__xludf.DUMMYFUNCTION("GOOGLETRANSLATE(B21194,""en"",""es-ES"")"),"Jesse está corriendo atrapando al frisbee que lanza la dama.")</f>
        <v>Jesse está corriendo atrapando al frisbee que lanza la dama.</v>
      </c>
    </row>
    <row r="21195">
      <c r="A21195" s="4" t="s">
        <v>26683</v>
      </c>
      <c r="B21195" s="4" t="s">
        <v>26688</v>
      </c>
      <c r="C21195" s="5" t="str">
        <f>IFERROR(__xludf.DUMMYFUNCTION("GOOGLETRANSLATE(B21195,""en"",""es-ES"")"),"Vemos cinco tiros todavía de Jesse saltando en el aire.")</f>
        <v>Vemos cinco tiros todavía de Jesse saltando en el aire.</v>
      </c>
    </row>
    <row r="21196">
      <c r="A21196" s="4" t="s">
        <v>26683</v>
      </c>
      <c r="B21196" s="4" t="s">
        <v>26689</v>
      </c>
      <c r="C21196" s="5" t="str">
        <f>IFERROR(__xludf.DUMMYFUNCTION("GOOGLETRANSLATE(B21196,""en"",""es-ES"")"),"Jesse continúa corriendo con su frisbee.")</f>
        <v>Jesse continúa corriendo con su frisbee.</v>
      </c>
    </row>
    <row r="21197">
      <c r="A21197" s="4" t="s">
        <v>26683</v>
      </c>
      <c r="B21197" s="4" t="s">
        <v>26690</v>
      </c>
      <c r="C21197" s="5" t="str">
        <f>IFERROR(__xludf.DUMMYFUNCTION("GOOGLETRANSLATE(B21197,""en"",""es-ES"")"),"Vemos los créditos finales en una pantalla negra.")</f>
        <v>Vemos los créditos finales en una pantalla negra.</v>
      </c>
    </row>
    <row r="21198">
      <c r="A21198" s="4" t="s">
        <v>26691</v>
      </c>
      <c r="B21198" s="4" t="s">
        <v>26692</v>
      </c>
      <c r="C21198" s="5" t="str">
        <f>IFERROR(__xludf.DUMMYFUNCTION("GOOGLETRANSLATE(B21198,""en"",""es-ES"")"),"Se muestra a una mujer preparándose para levantar una barra en el aire.")</f>
        <v>Se muestra a una mujer preparándose para levantar una barra en el aire.</v>
      </c>
    </row>
    <row r="21199">
      <c r="A21199" s="4" t="s">
        <v>26691</v>
      </c>
      <c r="B21199" s="4" t="s">
        <v>26693</v>
      </c>
      <c r="C21199" s="5" t="str">
        <f>IFERROR(__xludf.DUMMYFUNCTION("GOOGLETRANSLATE(B21199,""en"",""es-ES"")"),"Ella lo levanta en el aire y sobre su cabeza.")</f>
        <v>Ella lo levanta en el aire y sobre su cabeza.</v>
      </c>
    </row>
    <row r="21200">
      <c r="A21200" s="4" t="s">
        <v>26691</v>
      </c>
      <c r="B21200" s="4" t="s">
        <v>26694</v>
      </c>
      <c r="C21200" s="5" t="str">
        <f>IFERROR(__xludf.DUMMYFUNCTION("GOOGLETRANSLATE(B21200,""en"",""es-ES"")"),"Ella deja caer la barra al suelo.")</f>
        <v>Ella deja caer la barra al suelo.</v>
      </c>
    </row>
    <row r="21201">
      <c r="A21201" s="4" t="s">
        <v>26691</v>
      </c>
      <c r="B21201" s="4" t="s">
        <v>26695</v>
      </c>
      <c r="C21201" s="5" t="str">
        <f>IFERROR(__xludf.DUMMYFUNCTION("GOOGLETRANSLATE(B21201,""en"",""es-ES"")"),"Ella se inclina para la multitud y les sopla un beso.")</f>
        <v>Ella se inclina para la multitud y les sopla un beso.</v>
      </c>
    </row>
    <row r="21202">
      <c r="A21202" s="4" t="s">
        <v>26691</v>
      </c>
      <c r="B21202" s="4" t="s">
        <v>26696</v>
      </c>
      <c r="C21202" s="5" t="str">
        <f>IFERROR(__xludf.DUMMYFUNCTION("GOOGLETRANSLATE(B21202,""en"",""es-ES"")"),"Luego sale del escenario.")</f>
        <v>Luego sale del escenario.</v>
      </c>
    </row>
    <row r="21203">
      <c r="A21203" s="4" t="s">
        <v>26697</v>
      </c>
      <c r="B21203" s="4" t="s">
        <v>26698</v>
      </c>
      <c r="C21203" s="5" t="str">
        <f>IFERROR(__xludf.DUMMYFUNCTION("GOOGLETRANSLATE(B21203,""en"",""es-ES"")"),"Un hombre con un sombrero de punto negro habla con la cámara mientras está de pie frente a una mesa con artículos y frente a un camión amarillo con una estrella negra en la puerta.")</f>
        <v>Un hombre con un sombrero de punto negro habla con la cámara mientras está de pie frente a una mesa con artículos y frente a un camión amarillo con una estrella negra en la puerta.</v>
      </c>
    </row>
    <row r="21204">
      <c r="A21204" s="4" t="s">
        <v>26697</v>
      </c>
      <c r="B21204" s="4" t="s">
        <v>26699</v>
      </c>
      <c r="C21204" s="5" t="str">
        <f>IFERROR(__xludf.DUMMYFUNCTION("GOOGLETRANSLATE(B21204,""en"",""es-ES"")"),"El hombre recoge un paquete naranja de la mesa y luego un paquete amarillo más pequeño y un dispositivo naranja, todo mientras habla.")</f>
        <v>El hombre recoge un paquete naranja de la mesa y luego un paquete amarillo más pequeño y un dispositivo naranja, todo mientras habla.</v>
      </c>
    </row>
    <row r="21205">
      <c r="A21205" s="4" t="s">
        <v>26697</v>
      </c>
      <c r="B21205" s="4" t="s">
        <v>26700</v>
      </c>
      <c r="C21205" s="5" t="str">
        <f>IFERROR(__xludf.DUMMYFUNCTION("GOOGLETRANSLATE(B21205,""en"",""es-ES"")"),"Luego, el hombre coloca el paquete amarillo y el dispositivo naranja en la mesa uno al lado del otro en una mesa de metal.")</f>
        <v>Luego, el hombre coloca el paquete amarillo y el dispositivo naranja en la mesa uno al lado del otro en una mesa de metal.</v>
      </c>
    </row>
    <row r="21206">
      <c r="A21206" s="4" t="s">
        <v>26697</v>
      </c>
      <c r="B21206" s="4" t="s">
        <v>26701</v>
      </c>
      <c r="C21206" s="5" t="str">
        <f>IFERROR(__xludf.DUMMYFUNCTION("GOOGLETRANSLATE(B21206,""en"",""es-ES"")"),"Luego, el hombre toma una placa de metal, la pone al revés y comienza un fuego encima de ella usando los materiales en el paquete, antes de volver a hablar con la cámara nuevamente.")</f>
        <v>Luego, el hombre toma una placa de metal, la pone al revés y comienza un fuego encima de ella usando los materiales en el paquete, antes de volver a hablar con la cámara nuevamente.</v>
      </c>
    </row>
    <row r="21207">
      <c r="A21207" s="4" t="s">
        <v>26702</v>
      </c>
      <c r="B21207" s="4" t="s">
        <v>26703</v>
      </c>
      <c r="C21207" s="5" t="str">
        <f>IFERROR(__xludf.DUMMYFUNCTION("GOOGLETRANSLATE(B21207,""en"",""es-ES"")"),"Una persona recoge un pincel y lata de barniz en un césped exterior.")</f>
        <v>Una persona recoge un pincel y lata de barniz en un césped exterior.</v>
      </c>
    </row>
    <row r="21208">
      <c r="A21208" s="4" t="s">
        <v>26702</v>
      </c>
      <c r="B21208" s="4" t="s">
        <v>26704</v>
      </c>
      <c r="C21208" s="5" t="str">
        <f>IFERROR(__xludf.DUMMYFUNCTION("GOOGLETRANSLATE(B21208,""en"",""es-ES"")"),"La persona pinta un abrigo de varios tableros apoyados contra una pared exterior del hogar.")</f>
        <v>La persona pinta un abrigo de varios tableros apoyados contra una pared exterior del hogar.</v>
      </c>
    </row>
    <row r="21209">
      <c r="A21209" s="4" t="s">
        <v>26705</v>
      </c>
      <c r="B21209" s="4" t="s">
        <v>26706</v>
      </c>
      <c r="C21209" s="5" t="str">
        <f>IFERROR(__xludf.DUMMYFUNCTION("GOOGLETRANSLATE(B21209,""en"",""es-ES"")"),"Se muestra una gran caída de agua.")</f>
        <v>Se muestra una gran caída de agua.</v>
      </c>
    </row>
    <row r="21210">
      <c r="A21210" s="4" t="s">
        <v>26705</v>
      </c>
      <c r="B21210" s="4" t="s">
        <v>26707</v>
      </c>
      <c r="C21210" s="5" t="str">
        <f>IFERROR(__xludf.DUMMYFUNCTION("GOOGLETRANSLATE(B21210,""en"",""es-ES"")"),"Una persona pasa por la caída del agua en un kayak verde.")</f>
        <v>Una persona pasa por la caída del agua en un kayak verde.</v>
      </c>
    </row>
    <row r="21211">
      <c r="A21211" s="4" t="s">
        <v>26705</v>
      </c>
      <c r="B21211" s="4" t="s">
        <v>26708</v>
      </c>
      <c r="C21211" s="5" t="str">
        <f>IFERROR(__xludf.DUMMYFUNCTION("GOOGLETRANSLATE(B21211,""en"",""es-ES"")"),"La gente está parada en las rocas sobre la observación del agua.")</f>
        <v>La gente está parada en las rocas sobre la observación del agua.</v>
      </c>
    </row>
    <row r="21212">
      <c r="A21212" s="4" t="s">
        <v>26709</v>
      </c>
      <c r="B21212" s="4" t="s">
        <v>26710</v>
      </c>
      <c r="C21212" s="5" t="str">
        <f>IFERROR(__xludf.DUMMYFUNCTION("GOOGLETRANSLATE(B21212,""en"",""es-ES"")"),"Una persona está poniendo comida en un tazón.")</f>
        <v>Una persona está poniendo comida en un tazón.</v>
      </c>
    </row>
    <row r="21213">
      <c r="A21213" s="4" t="s">
        <v>26709</v>
      </c>
      <c r="B21213" s="4" t="s">
        <v>26711</v>
      </c>
      <c r="C21213" s="5" t="str">
        <f>IFERROR(__xludf.DUMMYFUNCTION("GOOGLETRANSLATE(B21213,""en"",""es-ES"")"),"Rompen una nuez y lo ponen en el tazón.")</f>
        <v>Rompen una nuez y lo ponen en el tazón.</v>
      </c>
    </row>
    <row r="21214">
      <c r="A21214" s="4" t="s">
        <v>26709</v>
      </c>
      <c r="B21214" s="4" t="s">
        <v>26712</v>
      </c>
      <c r="C21214" s="5" t="str">
        <f>IFERROR(__xludf.DUMMYFUNCTION("GOOGLETRANSLATE(B21214,""en"",""es-ES"")"),"Rompe otra nuez sobre una bandeja negra.")</f>
        <v>Rompe otra nuez sobre una bandeja negra.</v>
      </c>
    </row>
    <row r="21215">
      <c r="A21215" s="4" t="s">
        <v>26713</v>
      </c>
      <c r="B21215" s="4" t="s">
        <v>26714</v>
      </c>
      <c r="C21215" s="5" t="str">
        <f>IFERROR(__xludf.DUMMYFUNCTION("GOOGLETRANSLATE(B21215,""en"",""es-ES"")"),"La mujer está arrodillada en el piso hablando con la cámara sosteniendo un tobogán de curva y la abre en la sala de estar.")</f>
        <v>La mujer está arrodillada en el piso hablando con la cámara sosteniendo un tobogán de curva y la abre en la sala de estar.</v>
      </c>
    </row>
    <row r="21216">
      <c r="A21216" s="4" t="s">
        <v>26713</v>
      </c>
      <c r="B21216" s="4" t="s">
        <v>26715</v>
      </c>
      <c r="C21216" s="5" t="str">
        <f>IFERROR(__xludf.DUMMYFUNCTION("GOOGLETRANSLATE(B21216,""en"",""es-ES"")"),"El perro está caminando detrás de la mujer.")</f>
        <v>El perro está caminando detrás de la mujer.</v>
      </c>
    </row>
    <row r="21217">
      <c r="A21217" s="4" t="s">
        <v>26713</v>
      </c>
      <c r="B21217" s="4" t="s">
        <v>26716</v>
      </c>
      <c r="C21217" s="5" t="str">
        <f>IFERROR(__xludf.DUMMYFUNCTION("GOOGLETRANSLATE(B21217,""en"",""es-ES"")"),"El bebé camina hacia la mujer y sube al tobogán.")</f>
        <v>El bebé camina hacia la mujer y sube al tobogán.</v>
      </c>
    </row>
    <row r="21218">
      <c r="A21218" s="4" t="s">
        <v>26717</v>
      </c>
      <c r="B21218" s="4" t="s">
        <v>26718</v>
      </c>
      <c r="C21218" s="5" t="str">
        <f>IFERROR(__xludf.DUMMYFUNCTION("GOOGLETRANSLATE(B21218,""en"",""es-ES"")"),"Se ven tres chicas de pie detrás de un mostrador hablando con la cámara con una extendida por una mantequilla alrededor de una sartén.")</f>
        <v>Se ven tres chicas de pie detrás de un mostrador hablando con la cámara con una extendida por una mantequilla alrededor de una sartén.</v>
      </c>
    </row>
    <row r="21219">
      <c r="A21219" s="4" t="s">
        <v>26717</v>
      </c>
      <c r="B21219" s="4" t="s">
        <v>26719</v>
      </c>
      <c r="C21219" s="5" t="str">
        <f>IFERROR(__xludf.DUMMYFUNCTION("GOOGLETRANSLATE(B21219,""en"",""es-ES"")"),"Otro mezcla ingredientes en un tazón con la ayuda de otra niña y las chicas lamen la cuchara utilizada después.")</f>
        <v>Otro mezcla ingredientes en un tazón con la ayuda de otra niña y las chicas lamen la cuchara utilizada después.</v>
      </c>
    </row>
    <row r="21220">
      <c r="A21220" s="4" t="s">
        <v>26717</v>
      </c>
      <c r="B21220" s="4" t="s">
        <v>26720</v>
      </c>
      <c r="C21220" s="5" t="str">
        <f>IFERROR(__xludf.DUMMYFUNCTION("GOOGLETRANSLATE(B21220,""en"",""es-ES"")"),"Vierten la mezcla en una sartén, la ponen en el horno, luego la sacan poco tiempo después.")</f>
        <v>Vierten la mezcla en una sartén, la ponen en el horno, luego la sacan poco tiempo después.</v>
      </c>
    </row>
    <row r="21221">
      <c r="A21221" s="4" t="s">
        <v>26717</v>
      </c>
      <c r="B21221" s="4" t="s">
        <v>26721</v>
      </c>
      <c r="C21221" s="5" t="str">
        <f>IFERROR(__xludf.DUMMYFUNCTION("GOOGLETRANSLATE(B21221,""en"",""es-ES"")"),"Luego se ve glaseado en todo el pastel y la niña lo extiende y sirve piezas en un plato, seguido de ellos comiendo en una sala de estar.")</f>
        <v>Luego se ve glaseado en todo el pastel y la niña lo extiende y sirve piezas en un plato, seguido de ellos comiendo en una sala de estar.</v>
      </c>
    </row>
    <row r="21222">
      <c r="A21222" s="4" t="s">
        <v>26722</v>
      </c>
      <c r="B21222" s="4" t="s">
        <v>26723</v>
      </c>
      <c r="C21222" s="5" t="str">
        <f>IFERROR(__xludf.DUMMYFUNCTION("GOOGLETRANSLATE(B21222,""en"",""es-ES"")"),"Se muestra una gran máquina de ejercicios.")</f>
        <v>Se muestra una gran máquina de ejercicios.</v>
      </c>
    </row>
    <row r="21223">
      <c r="A21223" s="4" t="s">
        <v>26722</v>
      </c>
      <c r="B21223" s="4" t="s">
        <v>26724</v>
      </c>
      <c r="C21223" s="5" t="str">
        <f>IFERROR(__xludf.DUMMYFUNCTION("GOOGLETRANSLATE(B21223,""en"",""es-ES"")"),"Un hombre se sienta y comienza a hacer ejercicio en la máquina de ejercicios.")</f>
        <v>Un hombre se sienta y comienza a hacer ejercicio en la máquina de ejercicios.</v>
      </c>
    </row>
    <row r="21224">
      <c r="A21224" s="4" t="s">
        <v>26725</v>
      </c>
      <c r="B21224" s="4" t="s">
        <v>26726</v>
      </c>
      <c r="C21224" s="5" t="str">
        <f>IFERROR(__xludf.DUMMYFUNCTION("GOOGLETRANSLATE(B21224,""en"",""es-ES"")"),"Se ve un automóvil sentado dentro de un lavado de autos en una cámara de seguridad con trapos que se mueven hacia arriba y hacia abajo del vehículo.")</f>
        <v>Se ve un automóvil sentado dentro de un lavado de autos en una cámara de seguridad con trapos que se mueven hacia arriba y hacia abajo del vehículo.</v>
      </c>
    </row>
    <row r="21225">
      <c r="A21225" s="4" t="s">
        <v>26725</v>
      </c>
      <c r="B21225" s="4" t="s">
        <v>26727</v>
      </c>
      <c r="C21225" s="5" t="str">
        <f>IFERROR(__xludf.DUMMYFUNCTION("GOOGLETRANSLATE(B21225,""en"",""es-ES"")"),"Luego, un hombre abre su puerta que la máquina se quita la puerta y el automóvil se aleja.")</f>
        <v>Luego, un hombre abre su puerta que la máquina se quita la puerta y el automóvil se aleja.</v>
      </c>
    </row>
    <row r="21226">
      <c r="A21226" s="4" t="s">
        <v>26728</v>
      </c>
      <c r="B21226" s="4" t="s">
        <v>26729</v>
      </c>
      <c r="C21226" s="5" t="str">
        <f>IFERROR(__xludf.DUMMYFUNCTION("GOOGLETRANSLATE(B21226,""en"",""es-ES"")"),"La gente conduce jugando autos para el parachoques.")</f>
        <v>La gente conduce jugando autos para el parachoques.</v>
      </c>
    </row>
    <row r="21227">
      <c r="A21227" s="4" t="s">
        <v>26728</v>
      </c>
      <c r="B21227" s="4" t="s">
        <v>26730</v>
      </c>
      <c r="C21227" s="5" t="str">
        <f>IFERROR(__xludf.DUMMYFUNCTION("GOOGLETRANSLATE(B21227,""en"",""es-ES"")"),"Un hombre tiene que ayudar a que los autos se despegaran.")</f>
        <v>Un hombre tiene que ayudar a que los autos se despegaran.</v>
      </c>
    </row>
    <row r="21228">
      <c r="A21228" s="4" t="s">
        <v>26731</v>
      </c>
      <c r="B21228" s="4" t="s">
        <v>26732</v>
      </c>
      <c r="C21228" s="5" t="str">
        <f>IFERROR(__xludf.DUMMYFUNCTION("GOOGLETRANSLATE(B21228,""en"",""es-ES"")"),"Dos personas cocinan en sartenes en el horno.")</f>
        <v>Dos personas cocinan en sartenes en el horno.</v>
      </c>
    </row>
    <row r="21229">
      <c r="A21229" s="4" t="s">
        <v>26731</v>
      </c>
      <c r="B21229" s="4" t="s">
        <v>26733</v>
      </c>
      <c r="C21229" s="5" t="str">
        <f>IFERROR(__xludf.DUMMYFUNCTION("GOOGLETRANSLATE(B21229,""en"",""es-ES"")"),"Dos platos de comida están en el mostrador.")</f>
        <v>Dos platos de comida están en el mostrador.</v>
      </c>
    </row>
    <row r="21230">
      <c r="A21230" s="4" t="s">
        <v>26731</v>
      </c>
      <c r="B21230" s="4" t="s">
        <v>13650</v>
      </c>
      <c r="C21230" s="5" t="str">
        <f>IFERROR(__xludf.DUMMYFUNCTION("GOOGLETRANSLATE(B21230,""en"",""es-ES"")"),"Las palabras entran en la pantalla.")</f>
        <v>Las palabras entran en la pantalla.</v>
      </c>
    </row>
    <row r="21231">
      <c r="A21231" s="4" t="s">
        <v>26734</v>
      </c>
      <c r="B21231" s="4" t="s">
        <v>26735</v>
      </c>
      <c r="C21231" s="5" t="str">
        <f>IFERROR(__xludf.DUMMYFUNCTION("GOOGLETRANSLATE(B21231,""en"",""es-ES"")"),"Primero se ve a un hombre hablando con la cámara con preguntas de texto que se le están haciendo.")</f>
        <v>Primero se ve a un hombre hablando con la cámara con preguntas de texto que se le están haciendo.</v>
      </c>
    </row>
    <row r="21232">
      <c r="A21232" s="4" t="s">
        <v>26734</v>
      </c>
      <c r="B21232" s="4" t="s">
        <v>26736</v>
      </c>
      <c r="C21232" s="5" t="str">
        <f>IFERROR(__xludf.DUMMYFUNCTION("GOOGLETRANSLATE(B21232,""en"",""es-ES"")"),"Luego se lo ve poniendo un limpiador en los dientes y tomando un poco de comida.")</f>
        <v>Luego se lo ve poniendo un limpiador en los dientes y tomando un poco de comida.</v>
      </c>
    </row>
    <row r="21233">
      <c r="A21233" s="4" t="s">
        <v>26734</v>
      </c>
      <c r="B21233" s="4" t="s">
        <v>26737</v>
      </c>
      <c r="C21233" s="5" t="str">
        <f>IFERROR(__xludf.DUMMYFUNCTION("GOOGLETRANSLATE(B21233,""en"",""es-ES"")"),"Continúa hablando con la cámara mientras ocasionalmente come comida.")</f>
        <v>Continúa hablando con la cámara mientras ocasionalmente come comida.</v>
      </c>
    </row>
    <row r="21234">
      <c r="A21234" s="4" t="s">
        <v>26738</v>
      </c>
      <c r="B21234" s="4" t="s">
        <v>26739</v>
      </c>
      <c r="C21234" s="5" t="str">
        <f>IFERROR(__xludf.DUMMYFUNCTION("GOOGLETRANSLATE(B21234,""en"",""es-ES"")"),"Hay un hombre con una camisa roja y un sombrero marrón que sopla hojas de su camino de entrada con un soplador de hojas.")</f>
        <v>Hay un hombre con una camisa roja y un sombrero marrón que sopla hojas de su camino de entrada con un soplador de hojas.</v>
      </c>
    </row>
    <row r="21235">
      <c r="A21235" s="4" t="s">
        <v>26738</v>
      </c>
      <c r="B21235" s="4" t="s">
        <v>26740</v>
      </c>
      <c r="C21235" s="5" t="str">
        <f>IFERROR(__xludf.DUMMYFUNCTION("GOOGLETRANSLATE(B21235,""en"",""es-ES"")"),"Comienza soplando las hojas de cerca del césped delantero.")</f>
        <v>Comienza soplando las hojas de cerca del césped delantero.</v>
      </c>
    </row>
    <row r="21236">
      <c r="A21236" s="4" t="s">
        <v>26738</v>
      </c>
      <c r="B21236" s="4" t="s">
        <v>26741</v>
      </c>
      <c r="C21236" s="5" t="str">
        <f>IFERROR(__xludf.DUMMYFUNCTION("GOOGLETRANSLATE(B21236,""en"",""es-ES"")"),"Luego se mueve hacia donde está estacionada su camioneta blanca.")</f>
        <v>Luego se mueve hacia donde está estacionada su camioneta blanca.</v>
      </c>
    </row>
    <row r="21237">
      <c r="A21237" s="4" t="s">
        <v>26738</v>
      </c>
      <c r="B21237" s="4" t="s">
        <v>26742</v>
      </c>
      <c r="C21237" s="5" t="str">
        <f>IFERROR(__xludf.DUMMYFUNCTION("GOOGLETRANSLATE(B21237,""en"",""es-ES"")"),"Camina por todo el camino de entrada y sopla las hojas, asegurándose de que cubra todo el camino de entrada.")</f>
        <v>Camina por todo el camino de entrada y sopla las hojas, asegurándose de que cubra todo el camino de entrada.</v>
      </c>
    </row>
    <row r="21238">
      <c r="A21238" s="4" t="s">
        <v>26738</v>
      </c>
      <c r="B21238" s="4" t="s">
        <v>26743</v>
      </c>
      <c r="C21238" s="5" t="str">
        <f>IFERROR(__xludf.DUMMYFUNCTION("GOOGLETRANSLATE(B21238,""en"",""es-ES"")"),"Luego va hacia la esquina del garaje y saca una gran pila de hojas que está ahí en un montón.")</f>
        <v>Luego va hacia la esquina del garaje y saca una gran pila de hojas que está ahí en un montón.</v>
      </c>
    </row>
    <row r="21239">
      <c r="A21239" s="4" t="s">
        <v>26744</v>
      </c>
      <c r="B21239" s="4" t="s">
        <v>26745</v>
      </c>
      <c r="C21239" s="5" t="str">
        <f>IFERROR(__xludf.DUMMYFUNCTION("GOOGLETRANSLATE(B21239,""en"",""es-ES"")"),"Un atleta de pista camina por el camino.")</f>
        <v>Un atleta de pista camina por el camino.</v>
      </c>
    </row>
    <row r="21240">
      <c r="A21240" s="4" t="s">
        <v>26744</v>
      </c>
      <c r="B21240" s="4" t="s">
        <v>26746</v>
      </c>
      <c r="C21240" s="5" t="str">
        <f>IFERROR(__xludf.DUMMYFUNCTION("GOOGLETRANSLATE(B21240,""en"",""es-ES"")"),"Una participante femenina se prepara para correr.")</f>
        <v>Una participante femenina se prepara para correr.</v>
      </c>
    </row>
    <row r="21241">
      <c r="A21241" s="4" t="s">
        <v>26744</v>
      </c>
      <c r="B21241" s="4" t="s">
        <v>26747</v>
      </c>
      <c r="C21241" s="5" t="str">
        <f>IFERROR(__xludf.DUMMYFUNCTION("GOOGLETRANSLATE(B21241,""en"",""es-ES"")"),"Ella corre con una jabalina sobre su hombro, arrojándola tan lejos como puede.")</f>
        <v>Ella corre con una jabalina sobre su hombro, arrojándola tan lejos como puede.</v>
      </c>
    </row>
    <row r="21242">
      <c r="A21242" s="4" t="s">
        <v>26744</v>
      </c>
      <c r="B21242" s="4" t="s">
        <v>26748</v>
      </c>
      <c r="C21242" s="5" t="str">
        <f>IFERROR(__xludf.DUMMYFUNCTION("GOOGLETRANSLATE(B21242,""en"",""es-ES"")"),"Luego huye del lugar en la pista.")</f>
        <v>Luego huye del lugar en la pista.</v>
      </c>
    </row>
    <row r="21243">
      <c r="A21243" s="4" t="s">
        <v>26749</v>
      </c>
      <c r="B21243" s="4" t="s">
        <v>26750</v>
      </c>
      <c r="C21243" s="5" t="str">
        <f>IFERROR(__xludf.DUMMYFUNCTION("GOOGLETRANSLATE(B21243,""en"",""es-ES"")"),"Varias personas surfean con paletas en el agua oceánica que navegan en ondas ásperas mientras los espectadores miran desde botes y kayaks.")</f>
        <v>Varias personas surfean con paletas en el agua oceánica que navegan en ondas ásperas mientras los espectadores miran desde botes y kayaks.</v>
      </c>
    </row>
    <row r="21244">
      <c r="A21244" s="4" t="s">
        <v>26749</v>
      </c>
      <c r="B21244" s="4" t="s">
        <v>26751</v>
      </c>
      <c r="C21244" s="5" t="str">
        <f>IFERROR(__xludf.DUMMYFUNCTION("GOOGLETRANSLATE(B21244,""en"",""es-ES"")"),"Un hombre está remando en una tabla de surf en un cuerpo de agua, cuando comienza a surfear las ondas del océano usando la paleta para navegar y guiar la tabla de surf.")</f>
        <v>Un hombre está remando en una tabla de surf en un cuerpo de agua, cuando comienza a surfear las ondas del océano usando la paleta para navegar y guiar la tabla de surf.</v>
      </c>
    </row>
    <row r="21245">
      <c r="A21245" s="4" t="s">
        <v>26749</v>
      </c>
      <c r="B21245" s="4" t="s">
        <v>26752</v>
      </c>
      <c r="C21245" s="5" t="str">
        <f>IFERROR(__xludf.DUMMYFUNCTION("GOOGLETRANSLATE(B21245,""en"",""es-ES"")"),"Otro hombre se muestra en un atuendo rojo que realiza la misma hazaña con la paleta junto con otro hombre con una camisa verde.")</f>
        <v>Otro hombre se muestra en un atuendo rojo que realiza la misma hazaña con la paleta junto con otro hombre con una camisa verde.</v>
      </c>
    </row>
    <row r="21246">
      <c r="A21246" s="4" t="s">
        <v>26749</v>
      </c>
      <c r="B21246" s="4" t="s">
        <v>26753</v>
      </c>
      <c r="C21246" s="5" t="str">
        <f>IFERROR(__xludf.DUMMYFUNCTION("GOOGLETRANSLATE(B21246,""en"",""es-ES"")"),"Otro hombre es el tablero de surf de paletas en un tipo de agua azul claro antes de que la escena vuelva a cambiar a otras personas más que navegan en las olas grandes y ásperas con tablas de surf y paletas.")</f>
        <v>Otro hombre es el tablero de surf de paletas en un tipo de agua azul claro antes de que la escena vuelva a cambiar a otras personas más que navegan en las olas grandes y ásperas con tablas de surf y paletas.</v>
      </c>
    </row>
    <row r="21247">
      <c r="A21247" s="4" t="s">
        <v>26754</v>
      </c>
      <c r="B21247" s="4" t="s">
        <v>26755</v>
      </c>
      <c r="C21247" s="5" t="str">
        <f>IFERROR(__xludf.DUMMYFUNCTION("GOOGLETRANSLATE(B21247,""en"",""es-ES"")"),"Un gran grupo de personas está sentada mientras dos hombres sacan una mesa y un hombre y una mujer se paran en ella.")</f>
        <v>Un gran grupo de personas está sentada mientras dos hombres sacan una mesa y un hombre y una mujer se paran en ella.</v>
      </c>
    </row>
    <row r="21248">
      <c r="A21248" s="4" t="s">
        <v>26754</v>
      </c>
      <c r="B21248" s="4" t="s">
        <v>26756</v>
      </c>
      <c r="C21248" s="5" t="str">
        <f>IFERROR(__xludf.DUMMYFUNCTION("GOOGLETRANSLATE(B21248,""en"",""es-ES"")"),"El hombre y la mujer hablan con la multitud y realizan una rutina de tango mientras están de pie sobre la mesa todo el tiempo.")</f>
        <v>El hombre y la mujer hablan con la multitud y realizan una rutina de tango mientras están de pie sobre la mesa todo el tiempo.</v>
      </c>
    </row>
    <row r="21249">
      <c r="A21249" s="4" t="s">
        <v>26754</v>
      </c>
      <c r="B21249" s="4" t="s">
        <v>26757</v>
      </c>
      <c r="C21249" s="5" t="str">
        <f>IFERROR(__xludf.DUMMYFUNCTION("GOOGLETRANSLATE(B21249,""en"",""es-ES"")"),"La gente se sale de la mesa y se inclina ante la audiencia aplaudiendo y la cámara rastreando.")</f>
        <v>La gente se sale de la mesa y se inclina ante la audiencia aplaudiendo y la cámara rastreando.</v>
      </c>
    </row>
    <row r="21250">
      <c r="A21250" s="4" t="s">
        <v>26758</v>
      </c>
      <c r="B21250" s="4" t="s">
        <v>26759</v>
      </c>
      <c r="C21250" s="5" t="str">
        <f>IFERROR(__xludf.DUMMYFUNCTION("GOOGLETRANSLATE(B21250,""en"",""es-ES"")"),"Se muestran varios textos con varios clips de personas que se balancean en barras desiguales.")</f>
        <v>Se muestran varios textos con varios clips de personas que se balancean en barras desiguales.</v>
      </c>
    </row>
    <row r="21251">
      <c r="A21251" s="4" t="s">
        <v>26758</v>
      </c>
      <c r="B21251" s="4" t="s">
        <v>26760</v>
      </c>
      <c r="C21251" s="5" t="str">
        <f>IFERROR(__xludf.DUMMYFUNCTION("GOOGLETRANSLATE(B21251,""en"",""es-ES"")"),"Se muestran más y más gimnastas saltando de una viga y en barras desiguales.")</f>
        <v>Se muestran más y más gimnastas saltando de una viga y en barras desiguales.</v>
      </c>
    </row>
    <row r="21252">
      <c r="A21252" s="4" t="s">
        <v>26758</v>
      </c>
      <c r="B21252" s="4" t="s">
        <v>26761</v>
      </c>
      <c r="C21252" s="5" t="str">
        <f>IFERROR(__xludf.DUMMYFUNCTION("GOOGLETRANSLATE(B21252,""en"",""es-ES"")"),"Varias mujeres se muestran de forma consecutiva realizando estos trucos.")</f>
        <v>Varias mujeres se muestran de forma consecutiva realizando estos trucos.</v>
      </c>
    </row>
    <row r="21253">
      <c r="A21253" s="4" t="s">
        <v>26762</v>
      </c>
      <c r="B21253" s="4" t="s">
        <v>26763</v>
      </c>
      <c r="C21253" s="5" t="str">
        <f>IFERROR(__xludf.DUMMYFUNCTION("GOOGLETRANSLATE(B21253,""en"",""es-ES"")"),"Una bailarina de ballet femenina está sola en una sala de estudio con un leotardo púrpura con una falda adjunta.")</f>
        <v>Una bailarina de ballet femenina está sola en una sala de estudio con un leotardo púrpura con una falda adjunta.</v>
      </c>
    </row>
    <row r="21254">
      <c r="A21254" s="4" t="s">
        <v>26762</v>
      </c>
      <c r="B21254" s="4" t="s">
        <v>26764</v>
      </c>
      <c r="C21254" s="5" t="str">
        <f>IFERROR(__xludf.DUMMYFUNCTION("GOOGLETRANSLATE(B21254,""en"",""es-ES"")"),"Ella comienza a bailar con gracia en toda la habitación haciendo una serie de turnos y patadas en la punta de los dedos de los pies.")</f>
        <v>Ella comienza a bailar con gracia en toda la habitación haciendo una serie de turnos y patadas en la punta de los dedos de los pies.</v>
      </c>
    </row>
    <row r="21255">
      <c r="A21255" s="4" t="s">
        <v>26762</v>
      </c>
      <c r="B21255" s="4" t="s">
        <v>26765</v>
      </c>
      <c r="C21255" s="5" t="str">
        <f>IFERROR(__xludf.DUMMYFUNCTION("GOOGLETRANSLATE(B21255,""en"",""es-ES"")"),"Finalmente, ella comienza a hacer una serie de pequeños escalones hacia atrás y termina en la posición en la que comenzó.")</f>
        <v>Finalmente, ella comienza a hacer una serie de pequeños escalones hacia atrás y termina en la posición en la que comenzó.</v>
      </c>
    </row>
    <row r="21256">
      <c r="A21256" s="4" t="s">
        <v>26766</v>
      </c>
      <c r="B21256" s="4" t="s">
        <v>26767</v>
      </c>
      <c r="C21256" s="5" t="str">
        <f>IFERROR(__xludf.DUMMYFUNCTION("GOOGLETRANSLATE(B21256,""en"",""es-ES"")"),"Un hombre al costado de la calle tocando en una batería real.")</f>
        <v>Un hombre al costado de la calle tocando en una batería real.</v>
      </c>
    </row>
    <row r="21257">
      <c r="A21257" s="4" t="s">
        <v>26766</v>
      </c>
      <c r="B21257" s="4" t="s">
        <v>26768</v>
      </c>
      <c r="C21257" s="5" t="str">
        <f>IFERROR(__xludf.DUMMYFUNCTION("GOOGLETRANSLATE(B21257,""en"",""es-ES"")"),"La gente está de pie esperando que lo vean.")</f>
        <v>La gente está de pie esperando que lo vean.</v>
      </c>
    </row>
    <row r="21258">
      <c r="A21258" s="4" t="s">
        <v>26766</v>
      </c>
      <c r="B21258" s="4" t="s">
        <v>26769</v>
      </c>
      <c r="C21258" s="5" t="str">
        <f>IFERROR(__xludf.DUMMYFUNCTION("GOOGLETRANSLATE(B21258,""en"",""es-ES"")"),"Los autos están pasando y él simplemente continúa tambaleando como si fuera normal.")</f>
        <v>Los autos están pasando y él simplemente continúa tambaleando como si fuera normal.</v>
      </c>
    </row>
    <row r="21259">
      <c r="A21259" s="4" t="s">
        <v>26766</v>
      </c>
      <c r="B21259" s="4" t="s">
        <v>26770</v>
      </c>
      <c r="C21259" s="5" t="str">
        <f>IFERROR(__xludf.DUMMYFUNCTION("GOOGLETRANSLATE(B21259,""en"",""es-ES"")"),"Él se atasca usando los platillos y todo.")</f>
        <v>Él se atasca usando los platillos y todo.</v>
      </c>
    </row>
    <row r="21260">
      <c r="A21260" s="4" t="s">
        <v>26771</v>
      </c>
      <c r="B21260" s="4" t="s">
        <v>26772</v>
      </c>
      <c r="C21260" s="5" t="str">
        <f>IFERROR(__xludf.DUMMYFUNCTION("GOOGLETRANSLATE(B21260,""en"",""es-ES"")"),"Una mujer está peinando el cabello de un maniquí.")</f>
        <v>Una mujer está peinando el cabello de un maniquí.</v>
      </c>
    </row>
    <row r="21261">
      <c r="A21261" s="4" t="s">
        <v>26771</v>
      </c>
      <c r="B21261" s="4" t="s">
        <v>26773</v>
      </c>
      <c r="C21261" s="5" t="str">
        <f>IFERROR(__xludf.DUMMYFUNCTION("GOOGLETRANSLATE(B21261,""en"",""es-ES"")"),"Ella rueda el cabello en rizadores sobre la cabeza del maniquí.")</f>
        <v>Ella rueda el cabello en rizadores sobre la cabeza del maniquí.</v>
      </c>
    </row>
    <row r="21262">
      <c r="A21262" s="4" t="s">
        <v>26771</v>
      </c>
      <c r="B21262" s="4" t="s">
        <v>26774</v>
      </c>
      <c r="C21262" s="5" t="str">
        <f>IFERROR(__xludf.DUMMYFUNCTION("GOOGLETRANSLATE(B21262,""en"",""es-ES"")"),"Ella saca los rizadores del cabello y lo estiliza.")</f>
        <v>Ella saca los rizadores del cabello y lo estiliza.</v>
      </c>
    </row>
    <row r="21263">
      <c r="A21263" s="4" t="s">
        <v>26775</v>
      </c>
      <c r="B21263" s="4" t="s">
        <v>26776</v>
      </c>
      <c r="C21263" s="5" t="str">
        <f>IFERROR(__xludf.DUMMYFUNCTION("GOOGLETRANSLATE(B21263,""en"",""es-ES"")"),"Las tiras de películas parecen rodar por la pantalla.")</f>
        <v>Las tiras de películas parecen rodar por la pantalla.</v>
      </c>
    </row>
    <row r="21264">
      <c r="A21264" s="4" t="s">
        <v>26775</v>
      </c>
      <c r="B21264" s="4" t="s">
        <v>26777</v>
      </c>
      <c r="C21264" s="5" t="str">
        <f>IFERROR(__xludf.DUMMYFUNCTION("GOOGLETRANSLATE(B21264,""en"",""es-ES"")"),"Un hombre está usando un poste telescópico al lado de un edificio.")</f>
        <v>Un hombre está usando un poste telescópico al lado de un edificio.</v>
      </c>
    </row>
    <row r="21265">
      <c r="A21265" s="4" t="s">
        <v>26775</v>
      </c>
      <c r="B21265" s="4" t="s">
        <v>26778</v>
      </c>
      <c r="C21265" s="5" t="str">
        <f>IFERROR(__xludf.DUMMYFUNCTION("GOOGLETRANSLATE(B21265,""en"",""es-ES"")"),"Lo estira hacia arriba, luego limpia el costado del edificio con él.")</f>
        <v>Lo estira hacia arriba, luego limpia el costado del edificio con él.</v>
      </c>
    </row>
    <row r="21266">
      <c r="A21266" s="4" t="s">
        <v>26775</v>
      </c>
      <c r="B21266" s="4" t="s">
        <v>26779</v>
      </c>
      <c r="C21266" s="5" t="str">
        <f>IFERROR(__xludf.DUMMYFUNCTION("GOOGLETRANSLATE(B21266,""en"",""es-ES"")"),"Lo usa para limpiar las ventanas que son más altas.")</f>
        <v>Lo usa para limpiar las ventanas que son más altas.</v>
      </c>
    </row>
    <row r="21267">
      <c r="A21267" s="4" t="s">
        <v>26780</v>
      </c>
      <c r="B21267" s="4" t="s">
        <v>26781</v>
      </c>
      <c r="C21267" s="5" t="str">
        <f>IFERROR(__xludf.DUMMYFUNCTION("GOOGLETRANSLATE(B21267,""en"",""es-ES"")"),"El hombre con chaqueta roja está esquiando en la pendiente.")</f>
        <v>El hombre con chaqueta roja está esquiando en la pendiente.</v>
      </c>
    </row>
    <row r="21268">
      <c r="A21268" s="4" t="s">
        <v>26780</v>
      </c>
      <c r="B21268" s="4" t="s">
        <v>26782</v>
      </c>
      <c r="C21268" s="5" t="str">
        <f>IFERROR(__xludf.DUMMYFUNCTION("GOOGLETRANSLATE(B21268,""en"",""es-ES"")"),"El hombre está esquiando hacia abajo con la inclinación de las rodillas.")</f>
        <v>El hombre está esquiando hacia abajo con la inclinación de las rodillas.</v>
      </c>
    </row>
    <row r="21269">
      <c r="A21269" s="4" t="s">
        <v>26780</v>
      </c>
      <c r="B21269" s="4" t="s">
        <v>26783</v>
      </c>
      <c r="C21269" s="5" t="str">
        <f>IFERROR(__xludf.DUMMYFUNCTION("GOOGLETRANSLATE(B21269,""en"",""es-ES"")"),"El hombre está esquiando por la montaña.")</f>
        <v>El hombre está esquiando por la montaña.</v>
      </c>
    </row>
    <row r="21270">
      <c r="A21270" s="4" t="s">
        <v>26784</v>
      </c>
      <c r="B21270" s="4" t="s">
        <v>26785</v>
      </c>
      <c r="C21270" s="5" t="str">
        <f>IFERROR(__xludf.DUMMYFUNCTION("GOOGLETRANSLATE(B21270,""en"",""es-ES"")"),"Vemos a una persona sentada frente a un zapato que sostiene una lata con cepillo.")</f>
        <v>Vemos a una persona sentada frente a un zapato que sostiene una lata con cepillo.</v>
      </c>
    </row>
    <row r="21271">
      <c r="A21271" s="4" t="s">
        <v>26784</v>
      </c>
      <c r="B21271" s="4" t="s">
        <v>26786</v>
      </c>
      <c r="C21271" s="5" t="str">
        <f>IFERROR(__xludf.DUMMYFUNCTION("GOOGLETRANSLATE(B21271,""en"",""es-ES"")"),"El hombre quita la parte superior y rocía los zapatos.")</f>
        <v>El hombre quita la parte superior y rocía los zapatos.</v>
      </c>
    </row>
    <row r="21272">
      <c r="A21272" s="4" t="s">
        <v>26784</v>
      </c>
      <c r="B21272" s="4" t="s">
        <v>26787</v>
      </c>
      <c r="C21272" s="5" t="str">
        <f>IFERROR(__xludf.DUMMYFUNCTION("GOOGLETRANSLATE(B21272,""en"",""es-ES"")"),"El hombre usa el pincel en el zapato para frotar el zapato.")</f>
        <v>El hombre usa el pincel en el zapato para frotar el zapato.</v>
      </c>
    </row>
    <row r="21273">
      <c r="A21273" s="4" t="s">
        <v>26784</v>
      </c>
      <c r="B21273" s="4" t="s">
        <v>26788</v>
      </c>
      <c r="C21273" s="5" t="str">
        <f>IFERROR(__xludf.DUMMYFUNCTION("GOOGLETRANSLATE(B21273,""en"",""es-ES"")"),"El hombre pone la parte superior en la lata.")</f>
        <v>El hombre pone la parte superior en la lata.</v>
      </c>
    </row>
    <row r="21274">
      <c r="A21274" s="4" t="s">
        <v>26784</v>
      </c>
      <c r="B21274" s="4" t="s">
        <v>26789</v>
      </c>
      <c r="C21274" s="5" t="str">
        <f>IFERROR(__xludf.DUMMYFUNCTION("GOOGLETRANSLATE(B21274,""en"",""es-ES"")"),"El hombre se levanta y agarra la cámara.")</f>
        <v>El hombre se levanta y agarra la cámara.</v>
      </c>
    </row>
    <row r="21275">
      <c r="A21275" s="4" t="s">
        <v>26790</v>
      </c>
      <c r="B21275" s="4" t="s">
        <v>26791</v>
      </c>
      <c r="C21275" s="5" t="str">
        <f>IFERROR(__xludf.DUMMYFUNCTION("GOOGLETRANSLATE(B21275,""en"",""es-ES"")"),"La gente está volando cometas en la hierba.")</f>
        <v>La gente está volando cometas en la hierba.</v>
      </c>
    </row>
    <row r="21276">
      <c r="A21276" s="4" t="s">
        <v>26790</v>
      </c>
      <c r="B21276" s="4" t="s">
        <v>26792</v>
      </c>
      <c r="C21276" s="5" t="str">
        <f>IFERROR(__xludf.DUMMYFUNCTION("GOOGLETRANSLATE(B21276,""en"",""es-ES"")"),"Las cometas se muestran en el cielo.")</f>
        <v>Las cometas se muestran en el cielo.</v>
      </c>
    </row>
    <row r="21277">
      <c r="A21277" s="4" t="s">
        <v>26790</v>
      </c>
      <c r="B21277" s="4" t="s">
        <v>26793</v>
      </c>
      <c r="C21277" s="5" t="str">
        <f>IFERROR(__xludf.DUMMYFUNCTION("GOOGLETRANSLATE(B21277,""en"",""es-ES"")"),"Una mujer sostiene un paraguas morado.")</f>
        <v>Una mujer sostiene un paraguas morado.</v>
      </c>
    </row>
    <row r="21278">
      <c r="A21278" s="4" t="s">
        <v>26790</v>
      </c>
      <c r="B21278" s="4" t="s">
        <v>26794</v>
      </c>
      <c r="C21278" s="5" t="str">
        <f>IFERROR(__xludf.DUMMYFUNCTION("GOOGLETRANSLATE(B21278,""en"",""es-ES"")"),"La gente camina en un parque.")</f>
        <v>La gente camina en un parque.</v>
      </c>
    </row>
    <row r="21279">
      <c r="A21279" s="4" t="s">
        <v>26795</v>
      </c>
      <c r="B21279" s="4" t="s">
        <v>26796</v>
      </c>
      <c r="C21279" s="5" t="str">
        <f>IFERROR(__xludf.DUMMYFUNCTION("GOOGLETRANSLATE(B21279,""en"",""es-ES"")"),"Un plato blanco está sentado en una mesa blanca en una cocina.")</f>
        <v>Un plato blanco está sentado en una mesa blanca en una cocina.</v>
      </c>
    </row>
    <row r="21280">
      <c r="A21280" s="4" t="s">
        <v>26795</v>
      </c>
      <c r="B21280" s="4" t="s">
        <v>26797</v>
      </c>
      <c r="C21280" s="5" t="str">
        <f>IFERROR(__xludf.DUMMYFUNCTION("GOOGLETRANSLATE(B21280,""en"",""es-ES"")"),"Un niño coloca rebanadas de pavo en dos trozos de pan blanco, luego agrega una rebanada de queso.")</f>
        <v>Un niño coloca rebanadas de pavo en dos trozos de pan blanco, luego agrega una rebanada de queso.</v>
      </c>
    </row>
    <row r="21281">
      <c r="A21281" s="4" t="s">
        <v>26795</v>
      </c>
      <c r="B21281" s="4" t="s">
        <v>26798</v>
      </c>
      <c r="C21281" s="5" t="str">
        <f>IFERROR(__xludf.DUMMYFUNCTION("GOOGLETRANSLATE(B21281,""en"",""es-ES"")"),"Finalmente, agrega una capa de Miracle Whip.")</f>
        <v>Finalmente, agrega una capa de Miracle Whip.</v>
      </c>
    </row>
    <row r="21282">
      <c r="A21282" s="4" t="s">
        <v>26795</v>
      </c>
      <c r="B21282" s="4" t="s">
        <v>26799</v>
      </c>
      <c r="C21282" s="5" t="str">
        <f>IFERROR(__xludf.DUMMYFUNCTION("GOOGLETRANSLATE(B21282,""en"",""es-ES"")"),"Ella se inclina hacia adelante, dando un gran bocado del sándwich.")</f>
        <v>Ella se inclina hacia adelante, dando un gran bocado del sándwich.</v>
      </c>
    </row>
    <row r="21283">
      <c r="A21283" s="4" t="s">
        <v>26800</v>
      </c>
      <c r="B21283" s="4" t="s">
        <v>26801</v>
      </c>
      <c r="C21283" s="5" t="str">
        <f>IFERROR(__xludf.DUMMYFUNCTION("GOOGLETRANSLATE(B21283,""en"",""es-ES"")"),"Dos mujeres están en una cancha con cuerdas de salto.")</f>
        <v>Dos mujeres están en una cancha con cuerdas de salto.</v>
      </c>
    </row>
    <row r="21284">
      <c r="A21284" s="4" t="s">
        <v>26800</v>
      </c>
      <c r="B21284" s="4" t="s">
        <v>26802</v>
      </c>
      <c r="C21284" s="5" t="str">
        <f>IFERROR(__xludf.DUMMYFUNCTION("GOOGLETRANSLATE(B21284,""en"",""es-ES"")"),"Hacen varias acrobacias mientras saltan las cuerdas.")</f>
        <v>Hacen varias acrobacias mientras saltan las cuerdas.</v>
      </c>
    </row>
    <row r="21285">
      <c r="A21285" s="4" t="s">
        <v>26800</v>
      </c>
      <c r="B21285" s="4" t="s">
        <v>26803</v>
      </c>
      <c r="C21285" s="5" t="str">
        <f>IFERROR(__xludf.DUMMYFUNCTION("GOOGLETRANSLATE(B21285,""en"",""es-ES"")"),"Se voltean hacia adelante, hacia atrás y de lado al unísono.")</f>
        <v>Se voltean hacia adelante, hacia atrás y de lado al unísono.</v>
      </c>
    </row>
    <row r="21286">
      <c r="A21286" s="4" t="s">
        <v>26804</v>
      </c>
      <c r="B21286" s="4" t="s">
        <v>26805</v>
      </c>
      <c r="C21286" s="5" t="str">
        <f>IFERROR(__xludf.DUMMYFUNCTION("GOOGLETRANSLATE(B21286,""en"",""es-ES"")"),"Se ve a una gimnasta sentada antes de una viga y comienza a realizar una rutina con otra persona unida a su mitad inferior.")</f>
        <v>Se ve a una gimnasta sentada antes de una viga y comienza a realizar una rutina con otra persona unida a su mitad inferior.</v>
      </c>
    </row>
    <row r="21287">
      <c r="A21287" s="4" t="s">
        <v>26804</v>
      </c>
      <c r="B21287" s="4" t="s">
        <v>26806</v>
      </c>
      <c r="C21287" s="5" t="str">
        <f>IFERROR(__xludf.DUMMYFUNCTION("GOOGLETRANSLATE(B21287,""en"",""es-ES"")"),"Los dos presentes para ser una gimnasta en un bar y terminar con ellos saltando con los brazos hacia arriba.")</f>
        <v>Los dos presentes para ser una gimnasta en un bar y terminar con ellos saltando con los brazos hacia arriba.</v>
      </c>
    </row>
    <row r="21288">
      <c r="A21288" s="4" t="s">
        <v>26807</v>
      </c>
      <c r="B21288" s="4" t="s">
        <v>26808</v>
      </c>
      <c r="C21288" s="5" t="str">
        <f>IFERROR(__xludf.DUMMYFUNCTION("GOOGLETRANSLATE(B21288,""en"",""es-ES"")"),"Un estilista masculino habla mientras suaviza el cabello de una mujer.")</f>
        <v>Un estilista masculino habla mientras suaviza el cabello de una mujer.</v>
      </c>
    </row>
    <row r="21289">
      <c r="A21289" s="4" t="s">
        <v>26807</v>
      </c>
      <c r="B21289" s="4" t="s">
        <v>26809</v>
      </c>
      <c r="C21289" s="5" t="str">
        <f>IFERROR(__xludf.DUMMYFUNCTION("GOOGLETRANSLATE(B21289,""en"",""es-ES"")"),"Luego demuestra cómo cortar y peinar su cabello, recortándolo a medida que avanza.")</f>
        <v>Luego demuestra cómo cortar y peinar su cabello, recortándolo a medida que avanza.</v>
      </c>
    </row>
    <row r="21290">
      <c r="A21290" s="4" t="s">
        <v>26807</v>
      </c>
      <c r="B21290" s="4" t="s">
        <v>26810</v>
      </c>
      <c r="C21290" s="5" t="str">
        <f>IFERROR(__xludf.DUMMYFUNCTION("GOOGLETRANSLATE(B21290,""en"",""es-ES"")"),"Cuando termina, se seca el pelo y le da su estilo final.")</f>
        <v>Cuando termina, se seca el pelo y le da su estilo final.</v>
      </c>
    </row>
    <row r="21291">
      <c r="A21291" s="4" t="s">
        <v>26811</v>
      </c>
      <c r="B21291" s="4" t="s">
        <v>26812</v>
      </c>
      <c r="C21291" s="5" t="str">
        <f>IFERROR(__xludf.DUMMYFUNCTION("GOOGLETRANSLATE(B21291,""en"",""es-ES"")"),"Vemos el dedo frente a la cámara.")</f>
        <v>Vemos el dedo frente a la cámara.</v>
      </c>
    </row>
    <row r="21292">
      <c r="A21292" s="4" t="s">
        <v>26811</v>
      </c>
      <c r="B21292" s="4" t="s">
        <v>26813</v>
      </c>
      <c r="C21292" s="5" t="str">
        <f>IFERROR(__xludf.DUMMYFUNCTION("GOOGLETRANSLATE(B21292,""en"",""es-ES"")"),"Un hombre de verde camina hacia una cancha de squash.")</f>
        <v>Un hombre de verde camina hacia una cancha de squash.</v>
      </c>
    </row>
    <row r="21293">
      <c r="A21293" s="4" t="s">
        <v>26811</v>
      </c>
      <c r="B21293" s="4" t="s">
        <v>26814</v>
      </c>
      <c r="C21293" s="5" t="str">
        <f>IFERROR(__xludf.DUMMYFUNCTION("GOOGLETRANSLATE(B21293,""en"",""es-ES"")"),"La luz se apaga y la habitación está oscura.")</f>
        <v>La luz se apaga y la habitación está oscura.</v>
      </c>
    </row>
    <row r="21294">
      <c r="A21294" s="4" t="s">
        <v>26811</v>
      </c>
      <c r="B21294" s="4" t="s">
        <v>26815</v>
      </c>
      <c r="C21294" s="5" t="str">
        <f>IFERROR(__xludf.DUMMYFUNCTION("GOOGLETRANSLATE(B21294,""en"",""es-ES"")"),"El hombre de verde camina hasta el centro de la cancha y golpea la pelota de un lado a otro.")</f>
        <v>El hombre de verde camina hasta el centro de la cancha y golpea la pelota de un lado a otro.</v>
      </c>
    </row>
    <row r="21295">
      <c r="A21295" s="4" t="s">
        <v>26811</v>
      </c>
      <c r="B21295" s="4" t="s">
        <v>26816</v>
      </c>
      <c r="C21295" s="5" t="str">
        <f>IFERROR(__xludf.DUMMYFUNCTION("GOOGLETRANSLATE(B21295,""en"",""es-ES"")"),"El hombre termina y camina hacia la cámara.")</f>
        <v>El hombre termina y camina hacia la cámara.</v>
      </c>
    </row>
    <row r="21296">
      <c r="A21296" s="4" t="s">
        <v>26817</v>
      </c>
      <c r="B21296" s="4" t="s">
        <v>26818</v>
      </c>
      <c r="C21296" s="5" t="str">
        <f>IFERROR(__xludf.DUMMYFUNCTION("GOOGLETRANSLATE(B21296,""en"",""es-ES"")"),"Se ve a un niño pequeño sentado en el suelo agarrando helado con sus manos.")</f>
        <v>Se ve a un niño pequeño sentado en el suelo agarrando helado con sus manos.</v>
      </c>
    </row>
    <row r="21297">
      <c r="A21297" s="4" t="s">
        <v>26817</v>
      </c>
      <c r="B21297" s="4" t="s">
        <v>26819</v>
      </c>
      <c r="C21297" s="5" t="str">
        <f>IFERROR(__xludf.DUMMYFUNCTION("GOOGLETRANSLATE(B21297,""en"",""es-ES"")"),"Luego, el niño agarra una cuchara y continúa usando sus manos para comer.")</f>
        <v>Luego, el niño agarra una cuchara y continúa usando sus manos para comer.</v>
      </c>
    </row>
    <row r="21298">
      <c r="A21298" s="4" t="s">
        <v>26820</v>
      </c>
      <c r="B21298" s="4" t="s">
        <v>26821</v>
      </c>
      <c r="C21298" s="5" t="str">
        <f>IFERROR(__xludf.DUMMYFUNCTION("GOOGLETRANSLATE(B21298,""en"",""es-ES"")"),"Se ve a una mujer hablando con la cámara y lo lleva a su jarra de miel.")</f>
        <v>Se ve a una mujer hablando con la cámara y lo lleva a su jarra de miel.</v>
      </c>
    </row>
    <row r="21299">
      <c r="A21299" s="4" t="s">
        <v>26820</v>
      </c>
      <c r="B21299" s="4" t="s">
        <v>26822</v>
      </c>
      <c r="C21299" s="5" t="str">
        <f>IFERROR(__xludf.DUMMYFUNCTION("GOOGLETRANSLATE(B21299,""en"",""es-ES"")"),"Ella continúa hablando y lo lleva a frotar miel en su rostro.")</f>
        <v>Ella continúa hablando y lo lleva a frotar miel en su rostro.</v>
      </c>
    </row>
    <row r="21300">
      <c r="A21300" s="4" t="s">
        <v>26820</v>
      </c>
      <c r="B21300" s="4" t="s">
        <v>26823</v>
      </c>
      <c r="C21300" s="5" t="str">
        <f>IFERROR(__xludf.DUMMYFUNCTION("GOOGLETRANSLATE(B21300,""en"",""es-ES"")"),"Ella se seca la máscara y continúa hablando mientras sonríe con la cámara.")</f>
        <v>Ella se seca la máscara y continúa hablando mientras sonríe con la cámara.</v>
      </c>
    </row>
    <row r="21301">
      <c r="A21301" s="4" t="s">
        <v>26824</v>
      </c>
      <c r="B21301" s="4" t="s">
        <v>26825</v>
      </c>
      <c r="C21301" s="5" t="str">
        <f>IFERROR(__xludf.DUMMYFUNCTION("GOOGLETRANSLATE(B21301,""en"",""es-ES"")"),"Se muestra una vista de un hombre que quita una paleta de una cerca.")</f>
        <v>Se muestra una vista de un hombre que quita una paleta de una cerca.</v>
      </c>
    </row>
    <row r="21302">
      <c r="A21302" s="4" t="s">
        <v>26824</v>
      </c>
      <c r="B21302" s="4" t="s">
        <v>26826</v>
      </c>
      <c r="C21302" s="5" t="str">
        <f>IFERROR(__xludf.DUMMYFUNCTION("GOOGLETRANSLATE(B21302,""en"",""es-ES"")"),"Vemos su rostro mientras habla, antes de que se kayaks por un arroyo muy delgado en aguas abiertas.")</f>
        <v>Vemos su rostro mientras habla, antes de que se kayaks por un arroyo muy delgado en aguas abiertas.</v>
      </c>
    </row>
    <row r="21303">
      <c r="A21303" s="4" t="s">
        <v>26824</v>
      </c>
      <c r="B21303" s="4" t="s">
        <v>26827</v>
      </c>
      <c r="C21303" s="5" t="str">
        <f>IFERROR(__xludf.DUMMYFUNCTION("GOOGLETRANSLATE(B21303,""en"",""es-ES"")"),"Él usa su teléfono cuando llega otra persona, luego videos que otros arrojan el pasaje.")</f>
        <v>Él usa su teléfono cuando llega otra persona, luego videos que otros arrojan el pasaje.</v>
      </c>
    </row>
    <row r="21304">
      <c r="A21304" s="4" t="s">
        <v>26828</v>
      </c>
      <c r="B21304" s="4" t="s">
        <v>26829</v>
      </c>
      <c r="C21304" s="5" t="str">
        <f>IFERROR(__xludf.DUMMYFUNCTION("GOOGLETRANSLATE(B21304,""en"",""es-ES"")"),"La gente montando bicicletas giratorias en un gimnasio.")</f>
        <v>La gente montando bicicletas giratorias en un gimnasio.</v>
      </c>
    </row>
    <row r="21305">
      <c r="A21305" s="4" t="s">
        <v>26828</v>
      </c>
      <c r="B21305" s="4" t="s">
        <v>26830</v>
      </c>
      <c r="C21305" s="5" t="str">
        <f>IFERROR(__xludf.DUMMYFUNCTION("GOOGLETRANSLATE(B21305,""en"",""es-ES"")"),"Dos mujeres están trabajando en bicicletas de ejercicio.")</f>
        <v>Dos mujeres están trabajando en bicicletas de ejercicio.</v>
      </c>
    </row>
    <row r="21306">
      <c r="A21306" s="4" t="s">
        <v>26828</v>
      </c>
      <c r="B21306" s="4" t="s">
        <v>26831</v>
      </c>
      <c r="C21306" s="5" t="str">
        <f>IFERROR(__xludf.DUMMYFUNCTION("GOOGLETRANSLATE(B21306,""en"",""es-ES"")"),"Las palabras amarillas vienen en la pantalla.")</f>
        <v>Las palabras amarillas vienen en la pantalla.</v>
      </c>
    </row>
    <row r="21307">
      <c r="A21307" s="4" t="s">
        <v>26832</v>
      </c>
      <c r="B21307" s="4" t="s">
        <v>26833</v>
      </c>
      <c r="C21307" s="5" t="str">
        <f>IFERROR(__xludf.DUMMYFUNCTION("GOOGLETRANSLATE(B21307,""en"",""es-ES"")"),"Se muestra una cuenta regresiva del texto que conduce a clips de luchadores de sumo que realizan lanzamientos impresionantes.")</f>
        <v>Se muestra una cuenta regresiva del texto que conduce a clips de luchadores de sumo que realizan lanzamientos impresionantes.</v>
      </c>
    </row>
    <row r="21308">
      <c r="A21308" s="4" t="s">
        <v>26832</v>
      </c>
      <c r="B21308" s="4" t="s">
        <v>26834</v>
      </c>
      <c r="C21308" s="5" t="str">
        <f>IFERROR(__xludf.DUMMYFUNCTION("GOOGLETRANSLATE(B21308,""en"",""es-ES"")"),"El video continúa contando a medida que se muestran más disparos de los luchadores de sumo que luchan entre sí y las personas que miran a un lado.")</f>
        <v>El video continúa contando a medida que se muestran más disparos de los luchadores de sumo que luchan entre sí y las personas que miran a un lado.</v>
      </c>
    </row>
    <row r="21309">
      <c r="A21309" s="4" t="s">
        <v>26835</v>
      </c>
      <c r="B21309" s="4" t="s">
        <v>26836</v>
      </c>
      <c r="C21309" s="5" t="str">
        <f>IFERROR(__xludf.DUMMYFUNCTION("GOOGLETRANSLATE(B21309,""en"",""es-ES"")"),"Una persona en una tienda de muebles está hablando de muebles populares hechos de madera recuperada.")</f>
        <v>Una persona en una tienda de muebles está hablando de muebles populares hechos de madera recuperada.</v>
      </c>
    </row>
    <row r="21310">
      <c r="A21310" s="4" t="s">
        <v>26835</v>
      </c>
      <c r="B21310" s="4" t="s">
        <v>26837</v>
      </c>
      <c r="C21310" s="5" t="str">
        <f>IFERROR(__xludf.DUMMYFUNCTION("GOOGLETRANSLATE(B21310,""en"",""es-ES"")"),"Muestra muebles rústicos, contemporáneos y tradicionales que hay en su tienda.")</f>
        <v>Muestra muebles rústicos, contemporáneos y tradicionales que hay en su tienda.</v>
      </c>
    </row>
    <row r="21311">
      <c r="A21311" s="4" t="s">
        <v>26835</v>
      </c>
      <c r="B21311" s="4" t="s">
        <v>26838</v>
      </c>
      <c r="C21311" s="5" t="str">
        <f>IFERROR(__xludf.DUMMYFUNCTION("GOOGLETRANSLATE(B21311,""en"",""es-ES"")"),"Muestra la madera recuperada de alta calidad y los diferentes muebles hechos de ella.")</f>
        <v>Muestra la madera recuperada de alta calidad y los diferentes muebles hechos de ella.</v>
      </c>
    </row>
    <row r="21312">
      <c r="A21312" s="4" t="s">
        <v>26839</v>
      </c>
      <c r="B21312" s="4" t="s">
        <v>26840</v>
      </c>
      <c r="C21312" s="5" t="str">
        <f>IFERROR(__xludf.DUMMYFUNCTION("GOOGLETRANSLATE(B21312,""en"",""es-ES"")"),"Vemos un título en la esquina superior izquierda.")</f>
        <v>Vemos un título en la esquina superior izquierda.</v>
      </c>
    </row>
    <row r="21313">
      <c r="A21313" s="4" t="s">
        <v>26839</v>
      </c>
      <c r="B21313" s="4" t="s">
        <v>539</v>
      </c>
      <c r="C21313" s="5" t="str">
        <f>IFERROR(__xludf.DUMMYFUNCTION("GOOGLETRANSLATE(B21313,""en"",""es-ES"")"),"Un hombre está hablando con la cámara.")</f>
        <v>Un hombre está hablando con la cámara.</v>
      </c>
    </row>
    <row r="21314">
      <c r="A21314" s="4" t="s">
        <v>26839</v>
      </c>
      <c r="B21314" s="4" t="s">
        <v>26841</v>
      </c>
      <c r="C21314" s="5" t="str">
        <f>IFERROR(__xludf.DUMMYFUNCTION("GOOGLETRANSLATE(B21314,""en"",""es-ES"")"),"El hombre perfora los gabinetes y los limpia y los pinta.")</f>
        <v>El hombre perfora los gabinetes y los limpia y los pinta.</v>
      </c>
    </row>
    <row r="21315">
      <c r="A21315" s="4" t="s">
        <v>26839</v>
      </c>
      <c r="B21315" s="4" t="s">
        <v>26842</v>
      </c>
      <c r="C21315" s="5" t="str">
        <f>IFERROR(__xludf.DUMMYFUNCTION("GOOGLETRANSLATE(B21315,""en"",""es-ES"")"),"Los gabinetes se secan y el hombre los limpia.")</f>
        <v>Los gabinetes se secan y el hombre los limpia.</v>
      </c>
    </row>
    <row r="21316">
      <c r="A21316" s="4" t="s">
        <v>26839</v>
      </c>
      <c r="B21316" s="4" t="s">
        <v>26843</v>
      </c>
      <c r="C21316" s="5" t="str">
        <f>IFERROR(__xludf.DUMMYFUNCTION("GOOGLETRANSLATE(B21316,""en"",""es-ES"")"),"Vemos a una persona que aplica un producto sobre la pintura.")</f>
        <v>Vemos a una persona que aplica un producto sobre la pintura.</v>
      </c>
    </row>
    <row r="21317">
      <c r="A21317" s="4" t="s">
        <v>26839</v>
      </c>
      <c r="B21317" s="4" t="s">
        <v>26844</v>
      </c>
      <c r="C21317" s="5" t="str">
        <f>IFERROR(__xludf.DUMMYFUNCTION("GOOGLETRANSLATE(B21317,""en"",""es-ES"")"),"Vemos que las caras del gabinete vuelven a colocar los gabinetes.")</f>
        <v>Vemos que las caras del gabinete vuelven a colocar los gabinetes.</v>
      </c>
    </row>
    <row r="21318">
      <c r="A21318" s="4" t="s">
        <v>26839</v>
      </c>
      <c r="B21318" s="4" t="s">
        <v>26690</v>
      </c>
      <c r="C21318" s="5" t="str">
        <f>IFERROR(__xludf.DUMMYFUNCTION("GOOGLETRANSLATE(B21318,""en"",""es-ES"")"),"Vemos los créditos finales en una pantalla negra.")</f>
        <v>Vemos los créditos finales en una pantalla negra.</v>
      </c>
    </row>
    <row r="21319">
      <c r="A21319" s="4" t="s">
        <v>26845</v>
      </c>
      <c r="B21319" s="4" t="s">
        <v>26846</v>
      </c>
      <c r="C21319" s="5" t="str">
        <f>IFERROR(__xludf.DUMMYFUNCTION("GOOGLETRANSLATE(B21319,""en"",""es-ES"")"),"Santa Cruz Nomad Bike Company está demostrando cómo instalar una bicicleta.")</f>
        <v>Santa Cruz Nomad Bike Company está demostrando cómo instalar una bicicleta.</v>
      </c>
    </row>
    <row r="21320">
      <c r="A21320" s="4" t="s">
        <v>26845</v>
      </c>
      <c r="B21320" s="4" t="s">
        <v>26847</v>
      </c>
      <c r="C21320" s="5" t="str">
        <f>IFERROR(__xludf.DUMMYFUNCTION("GOOGLETRANSLATE(B21320,""en"",""es-ES"")"),"El representante de la compañía está armando la pieza de la bicicleta pieza por pieza.")</f>
        <v>El representante de la compañía está armando la pieza de la bicicleta pieza por pieza.</v>
      </c>
    </row>
    <row r="21321">
      <c r="A21321" s="4" t="s">
        <v>26845</v>
      </c>
      <c r="B21321" s="4" t="s">
        <v>26848</v>
      </c>
      <c r="C21321" s="5" t="str">
        <f>IFERROR(__xludf.DUMMYFUNCTION("GOOGLETRANSLATE(B21321,""en"",""es-ES"")"),"Comienza con el cuerpo principal y luego va a unir las ruedas, el mango y los pedales.")</f>
        <v>Comienza con el cuerpo principal y luego va a unir las ruedas, el mango y los pedales.</v>
      </c>
    </row>
    <row r="21322">
      <c r="A21322" s="4" t="s">
        <v>26845</v>
      </c>
      <c r="B21322" s="4" t="s">
        <v>26849</v>
      </c>
      <c r="C21322" s="5" t="str">
        <f>IFERROR(__xludf.DUMMYFUNCTION("GOOGLETRANSLATE(B21322,""en"",""es-ES"")"),"Luego sigue adelante y une los neumáticos de goma.")</f>
        <v>Luego sigue adelante y une los neumáticos de goma.</v>
      </c>
    </row>
    <row r="21323">
      <c r="A21323" s="4" t="s">
        <v>26845</v>
      </c>
      <c r="B21323" s="4" t="s">
        <v>26850</v>
      </c>
      <c r="C21323" s="5" t="str">
        <f>IFERROR(__xludf.DUMMYFUNCTION("GOOGLETRANSLATE(B21323,""en"",""es-ES"")"),"Después de eso, arregla las manijas de la bicicleta con tapas de goma negra.")</f>
        <v>Después de eso, arregla las manijas de la bicicleta con tapas de goma negra.</v>
      </c>
    </row>
    <row r="21324">
      <c r="A21324" s="4" t="s">
        <v>26845</v>
      </c>
      <c r="B21324" s="4" t="s">
        <v>26851</v>
      </c>
      <c r="C21324" s="5" t="str">
        <f>IFERROR(__xludf.DUMMYFUNCTION("GOOGLETRANSLATE(B21324,""en"",""es-ES"")"),"Finalmente refuerza todas las piezas y asegura que la bicicleta esté lista para su uso.")</f>
        <v>Finalmente refuerza todas las piezas y asegura que la bicicleta esté lista para su uso.</v>
      </c>
    </row>
    <row r="21325">
      <c r="A21325" s="4" t="s">
        <v>26845</v>
      </c>
      <c r="B21325" s="4" t="s">
        <v>26852</v>
      </c>
      <c r="C21325" s="5" t="str">
        <f>IFERROR(__xludf.DUMMYFUNCTION("GOOGLETRANSLATE(B21325,""en"",""es-ES"")"),"Cuando termina, se sube a la bicicleta y la monta.")</f>
        <v>Cuando termina, se sube a la bicicleta y la monta.</v>
      </c>
    </row>
    <row r="21326">
      <c r="A21326" s="4" t="s">
        <v>26853</v>
      </c>
      <c r="B21326" s="4" t="s">
        <v>26854</v>
      </c>
      <c r="C21326" s="5" t="str">
        <f>IFERROR(__xludf.DUMMYFUNCTION("GOOGLETRANSLATE(B21326,""en"",""es-ES"")"),"Se ve a una persona sentada frente a un escritorio sosteniendo una guitarra en sus manos.")</f>
        <v>Se ve a una persona sentada frente a un escritorio sosteniendo una guitarra en sus manos.</v>
      </c>
    </row>
    <row r="21327">
      <c r="A21327" s="4" t="s">
        <v>26853</v>
      </c>
      <c r="B21327" s="4" t="s">
        <v>26855</v>
      </c>
      <c r="C21327" s="5" t="str">
        <f>IFERROR(__xludf.DUMMYFUNCTION("GOOGLETRANSLATE(B21327,""en"",""es-ES"")"),"El hombre luego comienza a tocar el instrumento moviendo las manos arriba y abajo.")</f>
        <v>El hombre luego comienza a tocar el instrumento moviendo las manos arriba y abajo.</v>
      </c>
    </row>
    <row r="21328">
      <c r="A21328" s="4" t="s">
        <v>26853</v>
      </c>
      <c r="B21328" s="4" t="s">
        <v>26856</v>
      </c>
      <c r="C21328" s="5" t="str">
        <f>IFERROR(__xludf.DUMMYFUNCTION("GOOGLETRANSLATE(B21328,""en"",""es-ES"")"),"La persona continúa tocando en la guitarra y mirando a lo lejos.")</f>
        <v>La persona continúa tocando en la guitarra y mirando a lo lejos.</v>
      </c>
    </row>
    <row r="21329">
      <c r="A21329" s="4" t="s">
        <v>26857</v>
      </c>
      <c r="B21329" s="4" t="s">
        <v>26858</v>
      </c>
      <c r="C21329" s="5" t="str">
        <f>IFERROR(__xludf.DUMMYFUNCTION("GOOGLETRANSLATE(B21329,""en"",""es-ES"")"),"Se ve a una persona cabalgando por una colina nevada seguida de un hombre que trabaja en una máquina y saca papel.")</f>
        <v>Se ve a una persona cabalgando por una colina nevada seguida de un hombre que trabaja en una máquina y saca papel.</v>
      </c>
    </row>
    <row r="21330">
      <c r="A21330" s="4" t="s">
        <v>26857</v>
      </c>
      <c r="B21330" s="4" t="s">
        <v>26859</v>
      </c>
      <c r="C21330" s="5" t="str">
        <f>IFERROR(__xludf.DUMMYFUNCTION("GOOGLETRANSLATE(B21330,""en"",""es-ES"")"),"La cámara se acerca a la máquina y el hombre toma un esquí y ejecuta el esquí sobre la máquina.")</f>
        <v>La cámara se acerca a la máquina y el hombre toma un esquí y ejecuta el esquí sobre la máquina.</v>
      </c>
    </row>
    <row r="21331">
      <c r="A21331" s="4" t="s">
        <v>26857</v>
      </c>
      <c r="B21331" s="4" t="s">
        <v>26860</v>
      </c>
      <c r="C21331" s="5" t="str">
        <f>IFERROR(__xludf.DUMMYFUNCTION("GOOGLETRANSLATE(B21331,""en"",""es-ES"")"),"Muestra el esquí mientras continúa usándolos en la máquina y mostrando cómo se ven.")</f>
        <v>Muestra el esquí mientras continúa usándolos en la máquina y mostrando cómo se ven.</v>
      </c>
    </row>
    <row r="21332">
      <c r="A21332" s="4" t="s">
        <v>26861</v>
      </c>
      <c r="B21332" s="4" t="s">
        <v>26862</v>
      </c>
      <c r="C21332" s="5" t="str">
        <f>IFERROR(__xludf.DUMMYFUNCTION("GOOGLETRANSLATE(B21332,""en"",""es-ES"")"),"El video se abre con un segmento de introducción para una carrera BMX.")</f>
        <v>El video se abre con un segmento de introducción para una carrera BMX.</v>
      </c>
    </row>
    <row r="21333">
      <c r="A21333" s="4" t="s">
        <v>26861</v>
      </c>
      <c r="B21333" s="4" t="s">
        <v>26863</v>
      </c>
      <c r="C21333" s="5" t="str">
        <f>IFERROR(__xludf.DUMMYFUNCTION("GOOGLETRANSLATE(B21333,""en"",""es-ES"")"),"Los corredores se muestran en la puerta preparándose para la carrera.")</f>
        <v>Los corredores se muestran en la puerta preparándose para la carrera.</v>
      </c>
    </row>
    <row r="21334">
      <c r="A21334" s="4" t="s">
        <v>26861</v>
      </c>
      <c r="B21334" s="4" t="s">
        <v>26864</v>
      </c>
      <c r="C21334" s="5" t="str">
        <f>IFERROR(__xludf.DUMMYFUNCTION("GOOGLETRANSLATE(B21334,""en"",""es-ES"")"),"Se introducen varios corredores con sus nombres que se muestran en la pantalla.")</f>
        <v>Se introducen varios corredores con sus nombres que se muestran en la pantalla.</v>
      </c>
    </row>
    <row r="21335">
      <c r="A21335" s="4" t="s">
        <v>26861</v>
      </c>
      <c r="B21335" s="4" t="s">
        <v>26865</v>
      </c>
      <c r="C21335" s="5" t="str">
        <f>IFERROR(__xludf.DUMMYFUNCTION("GOOGLETRANSLATE(B21335,""en"",""es-ES"")"),"La carrera comienza y los corredores corren por la pista.")</f>
        <v>La carrera comienza y los corredores corren por la pista.</v>
      </c>
    </row>
    <row r="21336">
      <c r="A21336" s="4" t="s">
        <v>26866</v>
      </c>
      <c r="B21336" s="4" t="s">
        <v>26867</v>
      </c>
      <c r="C21336" s="5" t="str">
        <f>IFERROR(__xludf.DUMMYFUNCTION("GOOGLETRANSLATE(B21336,""en"",""es-ES"")"),"El video comienza con el evento anual de ciclismo BMX donde se reúnen varios participantes para comenzar su evento competitivo.")</f>
        <v>El video comienza con el evento anual de ciclismo BMX donde se reúnen varios participantes para comenzar su evento competitivo.</v>
      </c>
    </row>
    <row r="21337">
      <c r="A21337" s="4" t="s">
        <v>26866</v>
      </c>
      <c r="B21337" s="4" t="s">
        <v>26868</v>
      </c>
      <c r="C21337" s="5" t="str">
        <f>IFERROR(__xludf.DUMMYFUNCTION("GOOGLETRANSLATE(B21337,""en"",""es-ES"")"),"Varios ciclistas comienzan a andar en bicicleta en sus bicicletas en laderas curvas en la arena al aire libre.")</f>
        <v>Varios ciclistas comienzan a andar en bicicleta en sus bicicletas en laderas curvas en la arena al aire libre.</v>
      </c>
    </row>
    <row r="21338">
      <c r="A21338" s="4" t="s">
        <v>26866</v>
      </c>
      <c r="B21338" s="4" t="s">
        <v>26869</v>
      </c>
      <c r="C21338" s="5" t="str">
        <f>IFERROR(__xludf.DUMMYFUNCTION("GOOGLETRANSLATE(B21338,""en"",""es-ES"")"),"Los ciclistas pasan por las laderas baches y montañosas en sus engranajes y cascos.")</f>
        <v>Los ciclistas pasan por las laderas baches y montañosas en sus engranajes y cascos.</v>
      </c>
    </row>
    <row r="21339">
      <c r="A21339" s="4" t="s">
        <v>26866</v>
      </c>
      <c r="B21339" s="4" t="s">
        <v>26870</v>
      </c>
      <c r="C21339" s="5" t="str">
        <f>IFERROR(__xludf.DUMMYFUNCTION("GOOGLETRANSLATE(B21339,""en"",""es-ES"")"),"Hay varios ciclistas que comienzan una carrera desde la parte superior de la pendiente de ciclismo.")</f>
        <v>Hay varios ciclistas que comienzan una carrera desde la parte superior de la pendiente de ciclismo.</v>
      </c>
    </row>
    <row r="21340">
      <c r="A21340" s="4" t="s">
        <v>26866</v>
      </c>
      <c r="B21340" s="4" t="s">
        <v>26871</v>
      </c>
      <c r="C21340" s="5" t="str">
        <f>IFERROR(__xludf.DUMMYFUNCTION("GOOGLETRANSLATE(B21340,""en"",""es-ES"")"),"Muestran sus acrobacias y habilidades a medida que se aceleran a través del curso de obstáculos de la arena de ciclismo.")</f>
        <v>Muestran sus acrobacias y habilidades a medida que se aceleran a través del curso de obstáculos de la arena de ciclismo.</v>
      </c>
    </row>
    <row r="21341">
      <c r="A21341" s="4" t="s">
        <v>26872</v>
      </c>
      <c r="B21341" s="4" t="s">
        <v>26873</v>
      </c>
      <c r="C21341" s="5" t="str">
        <f>IFERROR(__xludf.DUMMYFUNCTION("GOOGLETRANSLATE(B21341,""en"",""es-ES"")"),"Se muestran dos videos lado a lado de un hombre en cámara lenta jugando frisbee y haciendo trucos con un perro.")</f>
        <v>Se muestran dos videos lado a lado de un hombre en cámara lenta jugando frisbee y haciendo trucos con un perro.</v>
      </c>
    </row>
    <row r="21342">
      <c r="A21342" s="4" t="s">
        <v>26872</v>
      </c>
      <c r="B21342" s="4" t="s">
        <v>26874</v>
      </c>
      <c r="C21342" s="5" t="str">
        <f>IFERROR(__xludf.DUMMYFUNCTION("GOOGLETRANSLATE(B21342,""en"",""es-ES"")"),"El mismo hombre se muestra nuevamente realizando varios trucos con su perro que se muestran en tiempo real y en cámara lenta.")</f>
        <v>El mismo hombre se muestra nuevamente realizando varios trucos con su perro que se muestran en tiempo real y en cámara lenta.</v>
      </c>
    </row>
    <row r="21343">
      <c r="A21343" s="4" t="s">
        <v>26875</v>
      </c>
      <c r="B21343" s="4" t="s">
        <v>26876</v>
      </c>
      <c r="C21343" s="5" t="str">
        <f>IFERROR(__xludf.DUMMYFUNCTION("GOOGLETRANSLATE(B21343,""en"",""es-ES"")"),"La gente está en un bote mientras una persona está unida a la parte posterior y al agua.")</f>
        <v>La gente está en un bote mientras una persona está unida a la parte posterior y al agua.</v>
      </c>
    </row>
    <row r="21344">
      <c r="A21344" s="4" t="s">
        <v>26875</v>
      </c>
      <c r="B21344" s="4" t="s">
        <v>26877</v>
      </c>
      <c r="C21344" s="5" t="str">
        <f>IFERROR(__xludf.DUMMYFUNCTION("GOOGLETRANSLATE(B21344,""en"",""es-ES"")"),"A medida que un gran toque de agua vuela en el aire, las palabras blancas aparecen en el medio de la pantalla que dicen ""Bayout Bay of Plenty"".")</f>
        <v>A medida que un gran toque de agua vuela en el aire, las palabras blancas aparecen en el medio de la pantalla que dicen "Bayout Bay of Plenty".</v>
      </c>
    </row>
    <row r="21345">
      <c r="A21345" s="4" t="s">
        <v>26875</v>
      </c>
      <c r="B21345" s="4" t="s">
        <v>26878</v>
      </c>
      <c r="C21345" s="5" t="str">
        <f>IFERROR(__xludf.DUMMYFUNCTION("GOOGLETRANSLATE(B21345,""en"",""es-ES"")"),"La persona se muestra desde diferentes ángulos de agua y luego cae con fuerza en el agua varias veces.")</f>
        <v>La persona se muestra desde diferentes ángulos de agua y luego cae con fuerza en el agua varias veces.</v>
      </c>
    </row>
    <row r="21346">
      <c r="A21346" s="4" t="s">
        <v>26879</v>
      </c>
      <c r="B21346" s="4" t="s">
        <v>26880</v>
      </c>
      <c r="C21346" s="5" t="str">
        <f>IFERROR(__xludf.DUMMYFUNCTION("GOOGLETRANSLATE(B21346,""en"",""es-ES"")"),"Se ve a una niña cepillándose el cabello y rociando productos en su cabello.")</f>
        <v>Se ve a una niña cepillándose el cabello y rociando productos en su cabello.</v>
      </c>
    </row>
    <row r="21347">
      <c r="A21347" s="4" t="s">
        <v>26879</v>
      </c>
      <c r="B21347" s="4" t="s">
        <v>26881</v>
      </c>
      <c r="C21347" s="5" t="str">
        <f>IFERROR(__xludf.DUMMYFUNCTION("GOOGLETRANSLATE(B21347,""en"",""es-ES"")"),"Ella toma su cabello en partes y comienza a trenzar su cabello.")</f>
        <v>Ella toma su cabello en partes y comienza a trenzar su cabello.</v>
      </c>
    </row>
    <row r="21348">
      <c r="A21348" s="4" t="s">
        <v>26879</v>
      </c>
      <c r="B21348" s="4" t="s">
        <v>26882</v>
      </c>
      <c r="C21348" s="5" t="str">
        <f>IFERROR(__xludf.DUMMYFUNCTION("GOOGLETRANSLATE(B21348,""en"",""es-ES"")"),"Ella termina trenzando su cabello y termina por una imagen de la trenza.")</f>
        <v>Ella termina trenzando su cabello y termina por una imagen de la trenza.</v>
      </c>
    </row>
    <row r="21349">
      <c r="A21349" s="4" t="s">
        <v>26883</v>
      </c>
      <c r="B21349" s="4" t="s">
        <v>26884</v>
      </c>
      <c r="C21349" s="5" t="str">
        <f>IFERROR(__xludf.DUMMYFUNCTION("GOOGLETRANSLATE(B21349,""en"",""es-ES"")"),"Una fogata está rodeada de piedras.")</f>
        <v>Una fogata está rodeada de piedras.</v>
      </c>
    </row>
    <row r="21350">
      <c r="A21350" s="4" t="s">
        <v>26883</v>
      </c>
      <c r="B21350" s="4" t="s">
        <v>26885</v>
      </c>
      <c r="C21350" s="5" t="str">
        <f>IFERROR(__xludf.DUMMYFUNCTION("GOOGLETRANSLATE(B21350,""en"",""es-ES"")"),"Una persona agrega hojas doradas a la fogata.")</f>
        <v>Una persona agrega hojas doradas a la fogata.</v>
      </c>
    </row>
    <row r="21351">
      <c r="A21351" s="4" t="s">
        <v>26883</v>
      </c>
      <c r="B21351" s="4" t="s">
        <v>26886</v>
      </c>
      <c r="C21351" s="5" t="str">
        <f>IFERROR(__xludf.DUMMYFUNCTION("GOOGLETRANSLATE(B21351,""en"",""es-ES"")"),"Una persona usa un palo para mover las hojas dentro del fuego.")</f>
        <v>Una persona usa un palo para mover las hojas dentro del fuego.</v>
      </c>
    </row>
    <row r="21352">
      <c r="A21352" s="4" t="s">
        <v>26883</v>
      </c>
      <c r="B21352" s="4" t="s">
        <v>26887</v>
      </c>
      <c r="C21352" s="5" t="str">
        <f>IFERROR(__xludf.DUMMYFUNCTION("GOOGLETRANSLATE(B21352,""en"",""es-ES"")"),"Una persona se aleja del fuego.")</f>
        <v>Una persona se aleja del fuego.</v>
      </c>
    </row>
    <row r="21353">
      <c r="A21353" s="4" t="s">
        <v>26883</v>
      </c>
      <c r="B21353" s="4" t="s">
        <v>26888</v>
      </c>
      <c r="C21353" s="5" t="str">
        <f>IFERROR(__xludf.DUMMYFUNCTION("GOOGLETRANSLATE(B21353,""en"",""es-ES"")"),"Una persona avanza hacia el fuego.")</f>
        <v>Una persona avanza hacia el fuego.</v>
      </c>
    </row>
    <row r="21354">
      <c r="A21354" s="4" t="s">
        <v>26889</v>
      </c>
      <c r="B21354" s="4" t="s">
        <v>26890</v>
      </c>
      <c r="C21354" s="5" t="str">
        <f>IFERROR(__xludf.DUMMYFUNCTION("GOOGLETRANSLATE(B21354,""en"",""es-ES"")"),"Dos personas luchan en el suelo.")</f>
        <v>Dos personas luchan en el suelo.</v>
      </c>
    </row>
    <row r="21355">
      <c r="A21355" s="4" t="s">
        <v>26889</v>
      </c>
      <c r="B21355" s="4" t="s">
        <v>26891</v>
      </c>
      <c r="C21355" s="5" t="str">
        <f>IFERROR(__xludf.DUMMYFUNCTION("GOOGLETRANSLATE(B21355,""en"",""es-ES"")"),"La gente está sentada a su alrededor mirando.")</f>
        <v>La gente está sentada a su alrededor mirando.</v>
      </c>
    </row>
    <row r="21356">
      <c r="A21356" s="4" t="s">
        <v>26889</v>
      </c>
      <c r="B21356" s="4" t="s">
        <v>26892</v>
      </c>
      <c r="C21356" s="5" t="str">
        <f>IFERROR(__xludf.DUMMYFUNCTION("GOOGLETRANSLATE(B21356,""en"",""es-ES"")"),"La gente está sentada en sillas tocando la batería.")</f>
        <v>La gente está sentada en sillas tocando la batería.</v>
      </c>
    </row>
    <row r="21357">
      <c r="A21357" s="4" t="s">
        <v>26893</v>
      </c>
      <c r="B21357" s="4" t="s">
        <v>26894</v>
      </c>
      <c r="C21357" s="5" t="str">
        <f>IFERROR(__xludf.DUMMYFUNCTION("GOOGLETRANSLATE(B21357,""en"",""es-ES"")"),"Una persona va a Windsurf en una tabla de lima en un cuerpo de agua.")</f>
        <v>Una persona va a Windsurf en una tabla de lima en un cuerpo de agua.</v>
      </c>
    </row>
    <row r="21358">
      <c r="A21358" s="4" t="s">
        <v>26893</v>
      </c>
      <c r="B21358" s="4" t="s">
        <v>26895</v>
      </c>
      <c r="C21358" s="5" t="str">
        <f>IFERROR(__xludf.DUMMYFUNCTION("GOOGLETRANSLATE(B21358,""en"",""es-ES"")"),"La persona hace algunos giros.")</f>
        <v>La persona hace algunos giros.</v>
      </c>
    </row>
    <row r="21359">
      <c r="A21359" s="4" t="s">
        <v>26896</v>
      </c>
      <c r="B21359" s="4" t="s">
        <v>26897</v>
      </c>
      <c r="C21359" s="5" t="str">
        <f>IFERROR(__xludf.DUMMYFUNCTION("GOOGLETRANSLATE(B21359,""en"",""es-ES"")"),"Un hombre grande está haciendo detrás de las prensas de hombro del cuello.")</f>
        <v>Un hombre grande está haciendo detrás de las prensas de hombro del cuello.</v>
      </c>
    </row>
    <row r="21360">
      <c r="A21360" s="4" t="s">
        <v>26896</v>
      </c>
      <c r="B21360" s="4" t="s">
        <v>26898</v>
      </c>
      <c r="C21360" s="5" t="str">
        <f>IFERROR(__xludf.DUMMYFUNCTION("GOOGLETRANSLATE(B21360,""en"",""es-ES"")"),"Él está conteniendo la respiración haciéndolos y luego se pone de pie y comienza a caminar.")</f>
        <v>Él está conteniendo la respiración haciéndolos y luego se pone de pie y comienza a caminar.</v>
      </c>
    </row>
    <row r="21361">
      <c r="A21361" s="4" t="s">
        <v>26896</v>
      </c>
      <c r="B21361" s="4" t="s">
        <v>26899</v>
      </c>
      <c r="C21361" s="5" t="str">
        <f>IFERROR(__xludf.DUMMYFUNCTION("GOOGLETRANSLATE(B21361,""en"",""es-ES"")"),"Vuelve al banco y hace algunos más de la pres y los hombros nuevamente.")</f>
        <v>Vuelve al banco y hace algunos más de la pres y los hombros nuevamente.</v>
      </c>
    </row>
    <row r="21362">
      <c r="A21362" s="4" t="s">
        <v>26896</v>
      </c>
      <c r="B21362" s="4" t="s">
        <v>26900</v>
      </c>
      <c r="C21362" s="5" t="str">
        <f>IFERROR(__xludf.DUMMYFUNCTION("GOOGLETRANSLATE(B21362,""en"",""es-ES"")"),"Luego, sale y practica girar y lanzar.")</f>
        <v>Luego, sale y practica girar y lanzar.</v>
      </c>
    </row>
    <row r="21363">
      <c r="A21363" s="4" t="s">
        <v>26901</v>
      </c>
      <c r="B21363" s="4" t="s">
        <v>26902</v>
      </c>
      <c r="C21363" s="5" t="str">
        <f>IFERROR(__xludf.DUMMYFUNCTION("GOOGLETRANSLATE(B21363,""en"",""es-ES"")"),"Un niño está parado afuera sobre la pesca de hielo de un pequeño agujero en el hielo.")</f>
        <v>Un niño está parado afuera sobre la pesca de hielo de un pequeño agujero en el hielo.</v>
      </c>
    </row>
    <row r="21364">
      <c r="A21364" s="4" t="s">
        <v>26901</v>
      </c>
      <c r="B21364" s="4" t="s">
        <v>26903</v>
      </c>
      <c r="C21364" s="5" t="str">
        <f>IFERROR(__xludf.DUMMYFUNCTION("GOOGLETRANSLATE(B21364,""en"",""es-ES"")"),"El niño lucha por sacar el pez y alguien viene y lo saca por él.")</f>
        <v>El niño lucha por sacar el pez y alguien viene y lo saca por él.</v>
      </c>
    </row>
    <row r="21365">
      <c r="A21365" s="4" t="s">
        <v>26901</v>
      </c>
      <c r="B21365" s="4" t="s">
        <v>26904</v>
      </c>
      <c r="C21365" s="5" t="str">
        <f>IFERROR(__xludf.DUMMYFUNCTION("GOOGLETRANSLATE(B21365,""en"",""es-ES"")"),"Ahora hay cuatro hombres visibles y todos comienzan a pescar en el estanque de hielo.")</f>
        <v>Ahora hay cuatro hombres visibles y todos comienzan a pescar en el estanque de hielo.</v>
      </c>
    </row>
    <row r="21366">
      <c r="A21366" s="4" t="s">
        <v>26901</v>
      </c>
      <c r="B21366" s="4" t="s">
        <v>26905</v>
      </c>
      <c r="C21366" s="5" t="str">
        <f>IFERROR(__xludf.DUMMYFUNCTION("GOOGLETRANSLATE(B21366,""en"",""es-ES"")"),"Finalmente, un hombre agarra una silla y comienza a pescar y quitarle el pez de su línea.")</f>
        <v>Finalmente, un hombre agarra una silla y comienza a pescar y quitarle el pez de su línea.</v>
      </c>
    </row>
    <row r="21367">
      <c r="A21367" s="4" t="s">
        <v>26906</v>
      </c>
      <c r="B21367" s="4" t="s">
        <v>26907</v>
      </c>
      <c r="C21367" s="5" t="str">
        <f>IFERROR(__xludf.DUMMYFUNCTION("GOOGLETRANSLATE(B21367,""en"",""es-ES"")"),"Una introducción conduce a un grupo de animadoras que realizan varios movimientos como equipo y niñas entrevistadas en cámara.")</f>
        <v>Una introducción conduce a un grupo de animadoras que realizan varios movimientos como equipo y niñas entrevistadas en cámara.</v>
      </c>
    </row>
    <row r="21368">
      <c r="A21368" s="4" t="s">
        <v>26906</v>
      </c>
      <c r="B21368" s="4" t="s">
        <v>26908</v>
      </c>
      <c r="C21368" s="5" t="str">
        <f>IFERROR(__xludf.DUMMYFUNCTION("GOOGLETRANSLATE(B21368,""en"",""es-ES"")"),"Realizan una rutina mostrada por varios videos e imágenes y continúan mostrando varios trucos en el escenario y en el escenario.")</f>
        <v>Realizan una rutina mostrada por varios videos e imágenes y continúan mostrando varios trucos en el escenario y en el escenario.</v>
      </c>
    </row>
    <row r="21369">
      <c r="A21369" s="4" t="s">
        <v>26906</v>
      </c>
      <c r="B21369" s="4" t="s">
        <v>26909</v>
      </c>
      <c r="C21369" s="5" t="str">
        <f>IFERROR(__xludf.DUMMYFUNCTION("GOOGLETRANSLATE(B21369,""en"",""es-ES"")"),"Las chicas se hablan entre sí con su entrenador y muchas personas interactúan con ellas en la audiencia.")</f>
        <v>Las chicas se hablan entre sí con su entrenador y muchas personas interactúan con ellas en la audiencia.</v>
      </c>
    </row>
    <row r="21370">
      <c r="A21370" s="4" t="s">
        <v>26910</v>
      </c>
      <c r="B21370" s="4" t="s">
        <v>26911</v>
      </c>
      <c r="C21370" s="5" t="str">
        <f>IFERROR(__xludf.DUMMYFUNCTION("GOOGLETRANSLATE(B21370,""en"",""es-ES"")"),"Se ve a una persona cabalgando en las cuchillas de rodillos y realizando una rutina en una barra.")</f>
        <v>Se ve a una persona cabalgando en las cuchillas de rodillos y realizando una rutina en una barra.</v>
      </c>
    </row>
    <row r="21371">
      <c r="A21371" s="4" t="s">
        <v>26910</v>
      </c>
      <c r="B21371" s="4" t="s">
        <v>26912</v>
      </c>
      <c r="C21371" s="5" t="str">
        <f>IFERROR(__xludf.DUMMYFUNCTION("GOOGLETRANSLATE(B21371,""en"",""es-ES"")"),"Se muestran varios clips más de la persona que realiza rutas con cuchillas de rodillos, así como otros flips y trucos.")</f>
        <v>Se muestran varios clips más de la persona que realiza rutas con cuchillas de rodillos, así como otros flips y trucos.</v>
      </c>
    </row>
    <row r="21372">
      <c r="A21372" s="4" t="s">
        <v>26913</v>
      </c>
      <c r="B21372" s="4" t="s">
        <v>26914</v>
      </c>
      <c r="C21372" s="5" t="str">
        <f>IFERROR(__xludf.DUMMYFUNCTION("GOOGLETRANSLATE(B21372,""en"",""es-ES"")"),"La mujer sostiene un secador de pelo y se muere un cabello para niños.")</f>
        <v>La mujer sostiene un secador de pelo y se muere un cabello para niños.</v>
      </c>
    </row>
    <row r="21373">
      <c r="A21373" s="4" t="s">
        <v>26913</v>
      </c>
      <c r="B21373" s="4" t="s">
        <v>26915</v>
      </c>
      <c r="C21373" s="5" t="str">
        <f>IFERROR(__xludf.DUMMYFUNCTION("GOOGLETRANSLATE(B21373,""en"",""es-ES"")"),"El niño pequeño en la espalda está de pie y riendo.")</f>
        <v>El niño pequeño en la espalda está de pie y riendo.</v>
      </c>
    </row>
    <row r="21374">
      <c r="A21374" s="4" t="s">
        <v>26916</v>
      </c>
      <c r="B21374" s="4" t="s">
        <v>26917</v>
      </c>
      <c r="C21374" s="5" t="str">
        <f>IFERROR(__xludf.DUMMYFUNCTION("GOOGLETRANSLATE(B21374,""en"",""es-ES"")"),"El hombre está de pie en una habitación abriendo las persianas.")</f>
        <v>El hombre está de pie en una habitación abriendo las persianas.</v>
      </c>
    </row>
    <row r="21375">
      <c r="A21375" s="4" t="s">
        <v>26916</v>
      </c>
      <c r="B21375" s="4" t="s">
        <v>26918</v>
      </c>
      <c r="C21375" s="5" t="str">
        <f>IFERROR(__xludf.DUMMYFUNCTION("GOOGLETRANSLATE(B21375,""en"",""es-ES"")"),"Los hombres están patinando en las aceras junto a la calle con mucha gente alrededor.")</f>
        <v>Los hombres están patinando en las aceras junto a la calle con mucha gente alrededor.</v>
      </c>
    </row>
    <row r="21376">
      <c r="A21376" s="4" t="s">
        <v>26919</v>
      </c>
      <c r="B21376" s="4" t="s">
        <v>26920</v>
      </c>
      <c r="C21376" s="5" t="str">
        <f>IFERROR(__xludf.DUMMYFUNCTION("GOOGLETRANSLATE(B21376,""en"",""es-ES"")"),"Se ve a un niño pequeño usando una elíptica mientras mira un video de la computadora frente a ella.")</f>
        <v>Se ve a un niño pequeño usando una elíptica mientras mira un video de la computadora frente a ella.</v>
      </c>
    </row>
    <row r="21377">
      <c r="A21377" s="4" t="s">
        <v>26919</v>
      </c>
      <c r="B21377" s="4" t="s">
        <v>26921</v>
      </c>
      <c r="C21377" s="5" t="str">
        <f>IFERROR(__xludf.DUMMYFUNCTION("GOOGLETRANSLATE(B21377,""en"",""es-ES"")"),"La niña controla los movimientos en el video usando la máquina mientras la cámara se acerca y sale del área.")</f>
        <v>La niña controla los movimientos en el video usando la máquina mientras la cámara se acerca y sale del área.</v>
      </c>
    </row>
    <row r="21378">
      <c r="A21378" s="4" t="s">
        <v>26922</v>
      </c>
      <c r="B21378" s="4" t="s">
        <v>26923</v>
      </c>
      <c r="C21378" s="5" t="str">
        <f>IFERROR(__xludf.DUMMYFUNCTION("GOOGLETRANSLATE(B21378,""en"",""es-ES"")"),"La gente sale corriendo a un escenario.")</f>
        <v>La gente sale corriendo a un escenario.</v>
      </c>
    </row>
    <row r="21379">
      <c r="A21379" s="4" t="s">
        <v>26922</v>
      </c>
      <c r="B21379" s="4" t="s">
        <v>26924</v>
      </c>
      <c r="C21379" s="5" t="str">
        <f>IFERROR(__xludf.DUMMYFUNCTION("GOOGLETRANSLATE(B21379,""en"",""es-ES"")"),"Comienzan a bailar y hacer ejercicio en el escenario.")</f>
        <v>Comienzan a bailar y hacer ejercicio en el escenario.</v>
      </c>
    </row>
    <row r="21380">
      <c r="A21380" s="4" t="s">
        <v>26922</v>
      </c>
      <c r="B21380" s="4" t="s">
        <v>26925</v>
      </c>
      <c r="C21380" s="5" t="str">
        <f>IFERROR(__xludf.DUMMYFUNCTION("GOOGLETRANSLATE(B21380,""en"",""es-ES"")"),"Una audiencia los está viendo actuar.")</f>
        <v>Una audiencia los está viendo actuar.</v>
      </c>
    </row>
    <row r="21381">
      <c r="A21381" s="4" t="s">
        <v>26926</v>
      </c>
      <c r="B21381" s="4" t="s">
        <v>26927</v>
      </c>
      <c r="C21381" s="5" t="str">
        <f>IFERROR(__xludf.DUMMYFUNCTION("GOOGLETRANSLATE(B21381,""en"",""es-ES"")"),"Un hombre que usa un suéter morado está demostrando cómo usar tijeras de jardín.")</f>
        <v>Un hombre que usa un suéter morado está demostrando cómo usar tijeras de jardín.</v>
      </c>
    </row>
    <row r="21382">
      <c r="A21382" s="4" t="s">
        <v>26926</v>
      </c>
      <c r="B21382" s="4" t="s">
        <v>26928</v>
      </c>
      <c r="C21382" s="5" t="str">
        <f>IFERROR(__xludf.DUMMYFUNCTION("GOOGLETRANSLATE(B21382,""en"",""es-ES"")"),"Él está recortando los setos y arbustos en el patio.")</f>
        <v>Él está recortando los setos y arbustos en el patio.</v>
      </c>
    </row>
    <row r="21383">
      <c r="A21383" s="4" t="s">
        <v>26926</v>
      </c>
      <c r="B21383" s="4" t="s">
        <v>26929</v>
      </c>
      <c r="C21383" s="5" t="str">
        <f>IFERROR(__xludf.DUMMYFUNCTION("GOOGLETRANSLATE(B21383,""en"",""es-ES"")"),"Muestra cómo las tijeras se pueden usar de manera efectiva en lugares difíciles de alcanzar.")</f>
        <v>Muestra cómo las tijeras se pueden usar de manera efectiva en lugares difíciles de alcanzar.</v>
      </c>
    </row>
    <row r="21384">
      <c r="A21384" s="4" t="s">
        <v>26930</v>
      </c>
      <c r="B21384" s="4" t="s">
        <v>26931</v>
      </c>
      <c r="C21384" s="5" t="str">
        <f>IFERROR(__xludf.DUMMYFUNCTION("GOOGLETRANSLATE(B21384,""en"",""es-ES"")"),"Se muestra un rollo de tejas acostado sobre un techo.")</f>
        <v>Se muestra un rollo de tejas acostado sobre un techo.</v>
      </c>
    </row>
    <row r="21385">
      <c r="A21385" s="4" t="s">
        <v>26930</v>
      </c>
      <c r="B21385" s="4" t="s">
        <v>26932</v>
      </c>
      <c r="C21385" s="5" t="str">
        <f>IFERROR(__xludf.DUMMYFUNCTION("GOOGLETRANSLATE(B21385,""en"",""es-ES"")"),"Un hombre levanta una hoja de tejas.")</f>
        <v>Un hombre levanta una hoja de tejas.</v>
      </c>
    </row>
    <row r="21386">
      <c r="A21386" s="4" t="s">
        <v>26930</v>
      </c>
      <c r="B21386" s="4" t="s">
        <v>26933</v>
      </c>
      <c r="C21386" s="5" t="str">
        <f>IFERROR(__xludf.DUMMYFUNCTION("GOOGLETRANSLATE(B21386,""en"",""es-ES"")"),"Utiliza alicates para eliminar las tejas dañadas antes de reemplazarlas por otras nuevas.")</f>
        <v>Utiliza alicates para eliminar las tejas dañadas antes de reemplazarlas por otras nuevas.</v>
      </c>
    </row>
    <row r="21387">
      <c r="A21387" s="4" t="s">
        <v>26934</v>
      </c>
      <c r="B21387" s="4" t="s">
        <v>26935</v>
      </c>
      <c r="C21387" s="5" t="str">
        <f>IFERROR(__xludf.DUMMYFUNCTION("GOOGLETRANSLATE(B21387,""en"",""es-ES"")"),"Tres hombres aplican yeso al techo de una habitación inacabada mientras otro hombre observa.")</f>
        <v>Tres hombres aplican yeso al techo de una habitación inacabada mientras otro hombre observa.</v>
      </c>
    </row>
    <row r="21388">
      <c r="A21388" s="4" t="s">
        <v>26934</v>
      </c>
      <c r="B21388" s="4" t="s">
        <v>26936</v>
      </c>
      <c r="C21388" s="5" t="str">
        <f>IFERROR(__xludf.DUMMYFUNCTION("GOOGLETRANSLATE(B21388,""en"",""es-ES"")"),"Uno de los hombres sube una escalera para alcanzar el techo.")</f>
        <v>Uno de los hombres sube una escalera para alcanzar el techo.</v>
      </c>
    </row>
    <row r="21389">
      <c r="A21389" s="4" t="s">
        <v>26934</v>
      </c>
      <c r="B21389" s="4" t="s">
        <v>26937</v>
      </c>
      <c r="C21389" s="5" t="str">
        <f>IFERROR(__xludf.DUMMYFUNCTION("GOOGLETRANSLATE(B21389,""en"",""es-ES"")"),"Un hombre realiza un baile corto.")</f>
        <v>Un hombre realiza un baile corto.</v>
      </c>
    </row>
    <row r="21390">
      <c r="A21390" s="4" t="s">
        <v>26934</v>
      </c>
      <c r="B21390" s="4" t="s">
        <v>26938</v>
      </c>
      <c r="C21390" s="5" t="str">
        <f>IFERROR(__xludf.DUMMYFUNCTION("GOOGLETRANSLATE(B21390,""en"",""es-ES"")"),"La cámara se mueve para revelar que el hombre bailando y otro de los hombres está usando zancos para alcanzar el techo.")</f>
        <v>La cámara se mueve para revelar que el hombre bailando y otro de los hombres está usando zancos para alcanzar el techo.</v>
      </c>
    </row>
    <row r="21391">
      <c r="A21391" s="4" t="s">
        <v>26939</v>
      </c>
      <c r="B21391" s="4" t="s">
        <v>26940</v>
      </c>
      <c r="C21391" s="5" t="str">
        <f>IFERROR(__xludf.DUMMYFUNCTION("GOOGLETRANSLATE(B21391,""en"",""es-ES"")"),"Vemos una pantalla de título para el video.")</f>
        <v>Vemos una pantalla de título para el video.</v>
      </c>
    </row>
    <row r="21392">
      <c r="A21392" s="4" t="s">
        <v>26939</v>
      </c>
      <c r="B21392" s="4" t="s">
        <v>26941</v>
      </c>
      <c r="C21392" s="5" t="str">
        <f>IFERROR(__xludf.DUMMYFUNCTION("GOOGLETRANSLATE(B21392,""en"",""es-ES"")"),"Luego vemos niños pequeños jugando fútbol en un par de gimnasios.")</f>
        <v>Luego vemos niños pequeños jugando fútbol en un par de gimnasios.</v>
      </c>
    </row>
    <row r="21393">
      <c r="A21393" s="4" t="s">
        <v>26939</v>
      </c>
      <c r="B21393" s="4" t="s">
        <v>26942</v>
      </c>
      <c r="C21393" s="5" t="str">
        <f>IFERROR(__xludf.DUMMYFUNCTION("GOOGLETRANSLATE(B21393,""en"",""es-ES"")"),"Vemos al niño con la camisa blanca marcar un gol.")</f>
        <v>Vemos al niño con la camisa blanca marcar un gol.</v>
      </c>
    </row>
    <row r="21394">
      <c r="A21394" s="4" t="s">
        <v>26939</v>
      </c>
      <c r="B21394" s="4" t="s">
        <v>26943</v>
      </c>
      <c r="C21394" s="5" t="str">
        <f>IFERROR(__xludf.DUMMYFUNCTION("GOOGLETRANSLATE(B21394,""en"",""es-ES"")"),"Vemos a un niño patear un gol y el portero llega para detener el balón, pero falla.")</f>
        <v>Vemos a un niño patear un gol y el portero llega para detener el balón, pero falla.</v>
      </c>
    </row>
    <row r="21395">
      <c r="A21395" s="4" t="s">
        <v>26939</v>
      </c>
      <c r="B21395" s="4" t="s">
        <v>26944</v>
      </c>
      <c r="C21395" s="5" t="str">
        <f>IFERROR(__xludf.DUMMYFUNCTION("GOOGLETRANSLATE(B21395,""en"",""es-ES"")"),"Vemos al niño de blanco marcar un gol y sus compañeros de equipo lo abrazan.")</f>
        <v>Vemos al niño de blanco marcar un gol y sus compañeros de equipo lo abrazan.</v>
      </c>
    </row>
    <row r="21396">
      <c r="A21396" s="4" t="s">
        <v>26939</v>
      </c>
      <c r="B21396" s="4" t="s">
        <v>26945</v>
      </c>
      <c r="C21396" s="5" t="str">
        <f>IFERROR(__xludf.DUMMYFUNCTION("GOOGLETRANSLATE(B21396,""en"",""es-ES"")"),"3:10 Los puntajes de White Ream número 10 y un compañero de equipo le da un máximo.")</f>
        <v>3:10 Los puntajes de White Ream número 10 y un compañero de equipo le da un máximo.</v>
      </c>
    </row>
    <row r="21397">
      <c r="A21397" s="4" t="s">
        <v>26946</v>
      </c>
      <c r="B21397" s="4" t="s">
        <v>26947</v>
      </c>
      <c r="C21397" s="5" t="str">
        <f>IFERROR(__xludf.DUMMYFUNCTION("GOOGLETRANSLATE(B21397,""en"",""es-ES"")"),"Se muestra a una mujer, jugando con su cabello.")</f>
        <v>Se muestra a una mujer, jugando con su cabello.</v>
      </c>
    </row>
    <row r="21398">
      <c r="A21398" s="4" t="s">
        <v>26946</v>
      </c>
      <c r="B21398" s="4" t="s">
        <v>26948</v>
      </c>
      <c r="C21398" s="5" t="str">
        <f>IFERROR(__xludf.DUMMYFUNCTION("GOOGLETRANSLATE(B21398,""en"",""es-ES"")"),"Aparece un artista de salón, y sus herramientas se muestran en una mesa.")</f>
        <v>Aparece un artista de salón, y sus herramientas se muestran en una mesa.</v>
      </c>
    </row>
    <row r="21399">
      <c r="A21399" s="4" t="s">
        <v>26946</v>
      </c>
      <c r="B21399" s="4" t="s">
        <v>26949</v>
      </c>
      <c r="C21399" s="5" t="str">
        <f>IFERROR(__xludf.DUMMYFUNCTION("GOOGLETRANSLATE(B21399,""en"",""es-ES"")"),"La mujer se seca el pelo antes de posar, y se muestra paso a paso creando rizos en su cabello con sus herramientas.")</f>
        <v>La mujer se seca el pelo antes de posar, y se muestra paso a paso creando rizos en su cabello con sus herramientas.</v>
      </c>
    </row>
    <row r="21400">
      <c r="A21400" s="4" t="s">
        <v>26946</v>
      </c>
      <c r="B21400" s="4" t="s">
        <v>26950</v>
      </c>
      <c r="C21400" s="5" t="str">
        <f>IFERROR(__xludf.DUMMYFUNCTION("GOOGLETRANSLATE(B21400,""en"",""es-ES"")"),"Ella ajusta y cepilla su cabello, luego muestra el resultado final.")</f>
        <v>Ella ajusta y cepilla su cabello, luego muestra el resultado final.</v>
      </c>
    </row>
    <row r="21401">
      <c r="A21401" s="4" t="s">
        <v>26951</v>
      </c>
      <c r="B21401" s="4" t="s">
        <v>26952</v>
      </c>
      <c r="C21401" s="5" t="str">
        <f>IFERROR(__xludf.DUMMYFUNCTION("GOOGLETRANSLATE(B21401,""en"",""es-ES"")"),"Un hombre está usando un soplador de hojas para soplar las hojas de la hierba.")</f>
        <v>Un hombre está usando un soplador de hojas para soplar las hojas de la hierba.</v>
      </c>
    </row>
    <row r="21402">
      <c r="A21402" s="4" t="s">
        <v>26951</v>
      </c>
      <c r="B21402" s="4" t="s">
        <v>26953</v>
      </c>
      <c r="C21402" s="5" t="str">
        <f>IFERROR(__xludf.DUMMYFUNCTION("GOOGLETRANSLATE(B21402,""en"",""es-ES"")"),"Un automóvil pasa por la carretera a una velocidad decente.")</f>
        <v>Un automóvil pasa por la carretera a una velocidad decente.</v>
      </c>
    </row>
    <row r="21403">
      <c r="A21403" s="4" t="s">
        <v>26951</v>
      </c>
      <c r="B21403" s="4" t="s">
        <v>26954</v>
      </c>
      <c r="C21403" s="5" t="str">
        <f>IFERROR(__xludf.DUMMYFUNCTION("GOOGLETRANSLATE(B21403,""en"",""es-ES"")"),"Él continúa soplando las hojas sin pensar.")</f>
        <v>Él continúa soplando las hojas sin pensar.</v>
      </c>
    </row>
    <row r="21404">
      <c r="A21404" s="4" t="s">
        <v>26951</v>
      </c>
      <c r="B21404" s="4" t="s">
        <v>26955</v>
      </c>
      <c r="C21404" s="5" t="str">
        <f>IFERROR(__xludf.DUMMYFUNCTION("GOOGLETRANSLATE(B21404,""en"",""es-ES"")"),"Todas las hojas caen en el camino, haciendo que la hierba se vea mucho mejor.")</f>
        <v>Todas las hojas caen en el camino, haciendo que la hierba se vea mucho mejor.</v>
      </c>
    </row>
    <row r="21405">
      <c r="A21405" s="4" t="s">
        <v>26956</v>
      </c>
      <c r="B21405" s="4" t="s">
        <v>26957</v>
      </c>
      <c r="C21405" s="5" t="str">
        <f>IFERROR(__xludf.DUMMYFUNCTION("GOOGLETRANSLATE(B21405,""en"",""es-ES"")"),"Varias personas son vistas cabalgando en el tablero de surf con cometas en la parte superior.")</f>
        <v>Varias personas son vistas cabalgando en el tablero de surf con cometas en la parte superior.</v>
      </c>
    </row>
    <row r="21406">
      <c r="A21406" s="4" t="s">
        <v>26956</v>
      </c>
      <c r="B21406" s="4" t="s">
        <v>26958</v>
      </c>
      <c r="C21406" s="5" t="str">
        <f>IFERROR(__xludf.DUMMYFUNCTION("GOOGLETRANSLATE(B21406,""en"",""es-ES"")"),"Continúan montando y se ve a un niño pequeño de cerca.")</f>
        <v>Continúan montando y se ve a un niño pequeño de cerca.</v>
      </c>
    </row>
    <row r="21407">
      <c r="A21407" s="4" t="s">
        <v>26956</v>
      </c>
      <c r="B21407" s="4" t="s">
        <v>26959</v>
      </c>
      <c r="C21407" s="5" t="str">
        <f>IFERROR(__xludf.DUMMYFUNCTION("GOOGLETRANSLATE(B21407,""en"",""es-ES"")"),"Se muestran más disparos de ellos montando entre sí y montando por el agua.")</f>
        <v>Se muestran más disparos de ellos montando entre sí y montando por el agua.</v>
      </c>
    </row>
    <row r="21408">
      <c r="A21408" s="4" t="s">
        <v>26960</v>
      </c>
      <c r="B21408" s="4" t="s">
        <v>26961</v>
      </c>
      <c r="C21408" s="5" t="str">
        <f>IFERROR(__xludf.DUMMYFUNCTION("GOOGLETRANSLATE(B21408,""en"",""es-ES"")"),"Se ve a una persona preparándose mientras habla con la cámara y lo lleva a hacer flexiones.")</f>
        <v>Se ve a una persona preparándose mientras habla con la cámara y lo lleva a hacer flexiones.</v>
      </c>
    </row>
    <row r="21409">
      <c r="A21409" s="4" t="s">
        <v>26960</v>
      </c>
      <c r="B21409" s="4" t="s">
        <v>26962</v>
      </c>
      <c r="C21409" s="5" t="str">
        <f>IFERROR(__xludf.DUMMYFUNCTION("GOOGLETRANSLATE(B21409,""en"",""es-ES"")"),"El hombre camina por un pasillo con una mujer presentada y conduce a los dos jugando a Ping Pong.")</f>
        <v>El hombre camina por un pasillo con una mujer presentada y conduce a los dos jugando a Ping Pong.</v>
      </c>
    </row>
    <row r="21410">
      <c r="A21410" s="4" t="s">
        <v>26960</v>
      </c>
      <c r="B21410" s="4" t="s">
        <v>26963</v>
      </c>
      <c r="C21410" s="5" t="str">
        <f>IFERROR(__xludf.DUMMYFUNCTION("GOOGLETRANSLATE(B21410,""en"",""es-ES"")"),"Los dos continúan jugando y conducen al hombre sosteniendo un baloncesto y la mujer se sorprendió.")</f>
        <v>Los dos continúan jugando y conducen al hombre sosteniendo un baloncesto y la mujer se sorprendió.</v>
      </c>
    </row>
    <row r="21411">
      <c r="A21411" s="4" t="s">
        <v>26964</v>
      </c>
      <c r="B21411" s="4" t="s">
        <v>26965</v>
      </c>
      <c r="C21411" s="5" t="str">
        <f>IFERROR(__xludf.DUMMYFUNCTION("GOOGLETRANSLATE(B21411,""en"",""es-ES"")"),"Afuera en un cubo hay algo de madera y alguien sale y comienza a soplar algo en él.")</f>
        <v>Afuera en un cubo hay algo de madera y alguien sale y comienza a soplar algo en él.</v>
      </c>
    </row>
    <row r="21412">
      <c r="A21412" s="4" t="s">
        <v>26964</v>
      </c>
      <c r="B21412" s="4" t="s">
        <v>26966</v>
      </c>
      <c r="C21412" s="5" t="str">
        <f>IFERROR(__xludf.DUMMYFUNCTION("GOOGLETRANSLATE(B21412,""en"",""es-ES"")"),"Está disparando con algún tipo de artilugio de fuego que parece una herramienta de jardinería.")</f>
        <v>Está disparando con algún tipo de artilugio de fuego que parece una herramienta de jardinería.</v>
      </c>
    </row>
    <row r="21413">
      <c r="A21413" s="4" t="s">
        <v>26964</v>
      </c>
      <c r="B21413" s="4" t="s">
        <v>26967</v>
      </c>
      <c r="C21413" s="5" t="str">
        <f>IFERROR(__xludf.DUMMYFUNCTION("GOOGLETRANSLATE(B21413,""en"",""es-ES"")"),"Se está capturando bien y el bosque se está quemando rápidamente.")</f>
        <v>Se está capturando bien y el bosque se está quemando rápidamente.</v>
      </c>
    </row>
    <row r="21414">
      <c r="A21414" s="4" t="s">
        <v>26964</v>
      </c>
      <c r="B21414" s="4" t="s">
        <v>26968</v>
      </c>
      <c r="C21414" s="5" t="str">
        <f>IFERROR(__xludf.DUMMYFUNCTION("GOOGLETRANSLATE(B21414,""en"",""es-ES"")"),"El fuego muere un poco pero todavía está ardiendo.")</f>
        <v>El fuego muere un poco pero todavía está ardiendo.</v>
      </c>
    </row>
    <row r="21415">
      <c r="A21415" s="4" t="s">
        <v>26969</v>
      </c>
      <c r="B21415" s="4" t="s">
        <v>26970</v>
      </c>
      <c r="C21415" s="5" t="str">
        <f>IFERROR(__xludf.DUMMYFUNCTION("GOOGLETRANSLATE(B21415,""en"",""es-ES"")"),"Una mujer demuestra cómo crear un peinado trenzado usando una mujer joven como modelo para el estilo en un tutorial práctico.")</f>
        <v>Una mujer demuestra cómo crear un peinado trenzado usando una mujer joven como modelo para el estilo en un tutorial práctico.</v>
      </c>
    </row>
    <row r="21416">
      <c r="A21416" s="4" t="s">
        <v>26969</v>
      </c>
      <c r="B21416" s="4" t="s">
        <v>26971</v>
      </c>
      <c r="C21416" s="5" t="str">
        <f>IFERROR(__xludf.DUMMYFUNCTION("GOOGLETRANSLATE(B21416,""en"",""es-ES"")"),"El estilista comienza separando el cabello en cuatro secciones con un peine antes de trenzar cada sección y recortar una horquilla en los extremos de cada trenza.")</f>
        <v>El estilista comienza separando el cabello en cuatro secciones con un peine antes de trenzar cada sección y recortar una horquilla en los extremos de cada trenza.</v>
      </c>
    </row>
    <row r="21417">
      <c r="A21417" s="4" t="s">
        <v>26969</v>
      </c>
      <c r="B21417" s="4" t="s">
        <v>26972</v>
      </c>
      <c r="C21417" s="5" t="str">
        <f>IFERROR(__xludf.DUMMYFUNCTION("GOOGLETRANSLATE(B21417,""en"",""es-ES"")"),"La mujer luego tira de cada trenza a través de la parte delantera de las modelos.")</f>
        <v>La mujer luego tira de cada trenza a través de la parte delantera de las modelos.</v>
      </c>
    </row>
    <row r="21418">
      <c r="A21418" s="4" t="s">
        <v>26969</v>
      </c>
      <c r="B21418" s="4" t="s">
        <v>26973</v>
      </c>
      <c r="C21418" s="5" t="str">
        <f>IFERROR(__xludf.DUMMYFUNCTION("GOOGLETRANSLATE(B21418,""en"",""es-ES"")"),"La modelo muestra el aspecto mientras está sentado en la silla y la cámara captura su peinado desde diferentes ángulos antes y la imagen de tres mujeres en un sofá con un globo de helio de volar.")</f>
        <v>La modelo muestra el aspecto mientras está sentado en la silla y la cámara captura su peinado desde diferentes ángulos antes y la imagen de tres mujeres en un sofá con un globo de helio de volar.</v>
      </c>
    </row>
    <row r="21419">
      <c r="A21419" s="4" t="s">
        <v>26974</v>
      </c>
      <c r="B21419" s="4" t="s">
        <v>26975</v>
      </c>
      <c r="C21419" s="5" t="str">
        <f>IFERROR(__xludf.DUMMYFUNCTION("GOOGLETRANSLATE(B21419,""en"",""es-ES"")"),"Una mujer lleva una bata blanca y un cinturón negro.")</f>
        <v>Una mujer lleva una bata blanca y un cinturón negro.</v>
      </c>
    </row>
    <row r="21420">
      <c r="A21420" s="4" t="s">
        <v>26974</v>
      </c>
      <c r="B21420" s="4" t="s">
        <v>26976</v>
      </c>
      <c r="C21420" s="5" t="str">
        <f>IFERROR(__xludf.DUMMYFUNCTION("GOOGLETRANSLATE(B21420,""en"",""es-ES"")"),"Ella hace karate se mueve en su habitación.")</f>
        <v>Ella hace karate se mueve en su habitación.</v>
      </c>
    </row>
    <row r="21421">
      <c r="A21421" s="4" t="s">
        <v>26974</v>
      </c>
      <c r="B21421" s="4" t="s">
        <v>26977</v>
      </c>
      <c r="C21421" s="5" t="str">
        <f>IFERROR(__xludf.DUMMYFUNCTION("GOOGLETRANSLATE(B21421,""en"",""es-ES"")"),"Ella patea sus piernas varias veces.")</f>
        <v>Ella patea sus piernas varias veces.</v>
      </c>
    </row>
    <row r="21422">
      <c r="A21422" s="4" t="s">
        <v>26974</v>
      </c>
      <c r="B21422" s="4" t="s">
        <v>26978</v>
      </c>
      <c r="C21422" s="5" t="str">
        <f>IFERROR(__xludf.DUMMYFUNCTION("GOOGLETRANSLATE(B21422,""en"",""es-ES"")"),"Ella termina y se levanta justo con los brazos a su lado y se inclina.")</f>
        <v>Ella termina y se levanta justo con los brazos a su lado y se inclina.</v>
      </c>
    </row>
    <row r="21423">
      <c r="A21423" s="4" t="s">
        <v>26979</v>
      </c>
      <c r="B21423" s="4" t="s">
        <v>26980</v>
      </c>
      <c r="C21423" s="5" t="str">
        <f>IFERROR(__xludf.DUMMYFUNCTION("GOOGLETRANSLATE(B21423,""en"",""es-ES"")"),"Se ve a un hombre con una capa de laboratorio blanco hablando con la cámara y que muestra varias herramientas en un laboratorio.")</f>
        <v>Se ve a un hombre con una capa de laboratorio blanco hablando con la cámara y que muestra varias herramientas en un laboratorio.</v>
      </c>
    </row>
    <row r="21424">
      <c r="A21424" s="4" t="s">
        <v>26979</v>
      </c>
      <c r="B21424" s="4" t="s">
        <v>26981</v>
      </c>
      <c r="C21424" s="5" t="str">
        <f>IFERROR(__xludf.DUMMYFUNCTION("GOOGLETRANSLATE(B21424,""en"",""es-ES"")"),"Se ve toallas sentadas en un fregadero y el hombre muestra las herramientas de lavado de manos adecuadas.")</f>
        <v>Se ve toallas sentadas en un fregadero y el hombre muestra las herramientas de lavado de manos adecuadas.</v>
      </c>
    </row>
    <row r="21425">
      <c r="A21425" s="4" t="s">
        <v>26979</v>
      </c>
      <c r="B21425" s="4" t="s">
        <v>26982</v>
      </c>
      <c r="C21425" s="5" t="str">
        <f>IFERROR(__xludf.DUMMYFUNCTION("GOOGLETRANSLATE(B21425,""en"",""es-ES"")"),"Él pone sus manos debajo del fregadero con jabón y se lava la mano a fondo.")</f>
        <v>Él pone sus manos debajo del fregadero con jabón y se lava la mano a fondo.</v>
      </c>
    </row>
    <row r="21426">
      <c r="A21426" s="4" t="s">
        <v>26979</v>
      </c>
      <c r="B21426" s="4" t="s">
        <v>26983</v>
      </c>
      <c r="C21426" s="5" t="str">
        <f>IFERROR(__xludf.DUMMYFUNCTION("GOOGLETRANSLATE(B21426,""en"",""es-ES"")"),"Se seca las manos y continúa hablando con la cámara cómo es por qué es importante.")</f>
        <v>Se seca las manos y continúa hablando con la cámara cómo es por qué es importante.</v>
      </c>
    </row>
    <row r="21427">
      <c r="A21427" s="4" t="s">
        <v>26984</v>
      </c>
      <c r="B21427" s="4" t="s">
        <v>26985</v>
      </c>
      <c r="C21427" s="5" t="str">
        <f>IFERROR(__xludf.DUMMYFUNCTION("GOOGLETRANSLATE(B21427,""en"",""es-ES"")"),"Vemos enfermeras que dan vacunas a los niños.")</f>
        <v>Vemos enfermeras que dan vacunas a los niños.</v>
      </c>
    </row>
    <row r="21428">
      <c r="A21428" s="4" t="s">
        <v>26984</v>
      </c>
      <c r="B21428" s="4" t="s">
        <v>26986</v>
      </c>
      <c r="C21428" s="5" t="str">
        <f>IFERROR(__xludf.DUMMYFUNCTION("GOOGLETRANSLATE(B21428,""en"",""es-ES"")"),"Vemos un laboratorio con un científico.")</f>
        <v>Vemos un laboratorio con un científico.</v>
      </c>
    </row>
    <row r="21429">
      <c r="A21429" s="4" t="s">
        <v>26984</v>
      </c>
      <c r="B21429" s="4" t="s">
        <v>26987</v>
      </c>
      <c r="C21429" s="5" t="str">
        <f>IFERROR(__xludf.DUMMYFUNCTION("GOOGLETRANSLATE(B21429,""en"",""es-ES"")"),"Vemos a una persona en una resonancia magnética y vemos a un médico mirando los resultados.")</f>
        <v>Vemos a una persona en una resonancia magnética y vemos a un médico mirando los resultados.</v>
      </c>
    </row>
    <row r="21430">
      <c r="A21430" s="4" t="s">
        <v>26984</v>
      </c>
      <c r="B21430" s="4" t="s">
        <v>26988</v>
      </c>
      <c r="C21430" s="5" t="str">
        <f>IFERROR(__xludf.DUMMYFUNCTION("GOOGLETRANSLATE(B21430,""en"",""es-ES"")"),"El café se vierte en una taza blanca.")</f>
        <v>El café se vierte en una taza blanca.</v>
      </c>
    </row>
    <row r="21431">
      <c r="A21431" s="4" t="s">
        <v>26984</v>
      </c>
      <c r="B21431" s="4" t="s">
        <v>26989</v>
      </c>
      <c r="C21431" s="5" t="str">
        <f>IFERROR(__xludf.DUMMYFUNCTION("GOOGLETRANSLATE(B21431,""en"",""es-ES"")"),"Los granos de café se están derramando el uno al otro.")</f>
        <v>Los granos de café se están derramando el uno al otro.</v>
      </c>
    </row>
    <row r="21432">
      <c r="A21432" s="4" t="s">
        <v>26984</v>
      </c>
      <c r="B21432" s="4" t="s">
        <v>26990</v>
      </c>
      <c r="C21432" s="5" t="str">
        <f>IFERROR(__xludf.DUMMYFUNCTION("GOOGLETRANSLATE(B21432,""en"",""es-ES"")"),"Vemos gente preparando café en una cafetería.")</f>
        <v>Vemos gente preparando café en una cafetería.</v>
      </c>
    </row>
    <row r="21433">
      <c r="A21433" s="4" t="s">
        <v>26991</v>
      </c>
      <c r="B21433" s="4" t="s">
        <v>21372</v>
      </c>
      <c r="C21433" s="5" t="str">
        <f>IFERROR(__xludf.DUMMYFUNCTION("GOOGLETRANSLATE(B21433,""en"",""es-ES"")"),"Una mujer con una camisa negra está hablando con la cámara.")</f>
        <v>Una mujer con una camisa negra está hablando con la cámara.</v>
      </c>
    </row>
    <row r="21434">
      <c r="A21434" s="4" t="s">
        <v>26991</v>
      </c>
      <c r="B21434" s="4" t="s">
        <v>26992</v>
      </c>
      <c r="C21434" s="5" t="str">
        <f>IFERROR(__xludf.DUMMYFUNCTION("GOOGLETRANSLATE(B21434,""en"",""es-ES"")"),"La escena pasa a un grupo de jóvenes que llevan piezas de madera a una zona abierta al aire libre.")</f>
        <v>La escena pasa a un grupo de jóvenes que llevan piezas de madera a una zona abierta al aire libre.</v>
      </c>
    </row>
    <row r="21435">
      <c r="A21435" s="4" t="s">
        <v>26991</v>
      </c>
      <c r="B21435" s="4" t="s">
        <v>26993</v>
      </c>
      <c r="C21435" s="5" t="str">
        <f>IFERROR(__xludf.DUMMYFUNCTION("GOOGLETRANSLATE(B21435,""en"",""es-ES"")"),"Comienzan a intentar cortar la madera, pero tienen problemas para sacar el hacha al principio.")</f>
        <v>Comienzan a intentar cortar la madera, pero tienen problemas para sacar el hacha al principio.</v>
      </c>
    </row>
    <row r="21436">
      <c r="A21436" s="4" t="s">
        <v>26991</v>
      </c>
      <c r="B21436" s="4" t="s">
        <v>26994</v>
      </c>
      <c r="C21436" s="5" t="str">
        <f>IFERROR(__xludf.DUMMYFUNCTION("GOOGLETRANSLATE(B21436,""en"",""es-ES"")"),"Una mujer finalmente saca el hacha y comienzan a cortar la madera.")</f>
        <v>Una mujer finalmente saca el hacha y comienzan a cortar la madera.</v>
      </c>
    </row>
    <row r="21437">
      <c r="A21437" s="4" t="s">
        <v>26991</v>
      </c>
      <c r="B21437" s="4" t="s">
        <v>26995</v>
      </c>
      <c r="C21437" s="5" t="str">
        <f>IFERROR(__xludf.DUMMYFUNCTION("GOOGLETRANSLATE(B21437,""en"",""es-ES"")"),"La cámara se desplaza a los espectadores como una mujer en un pañuelo de pañuelo, corta con éxito la madera y hace un arco.")</f>
        <v>La cámara se desplaza a los espectadores como una mujer en un pañuelo de pañuelo, corta con éxito la madera y hace un arco.</v>
      </c>
    </row>
    <row r="21438">
      <c r="A21438" s="4" t="s">
        <v>26991</v>
      </c>
      <c r="B21438" s="4" t="s">
        <v>26996</v>
      </c>
      <c r="C21438" s="5" t="str">
        <f>IFERROR(__xludf.DUMMYFUNCTION("GOOGLETRANSLATE(B21438,""en"",""es-ES"")"),"La escena vuelve a la mujer al comienzo del video.")</f>
        <v>La escena vuelve a la mujer al comienzo del video.</v>
      </c>
    </row>
    <row r="21439">
      <c r="A21439" s="4" t="s">
        <v>26991</v>
      </c>
      <c r="B21439" s="4" t="s">
        <v>26997</v>
      </c>
      <c r="C21439" s="5" t="str">
        <f>IFERROR(__xludf.DUMMYFUNCTION("GOOGLETRANSLATE(B21439,""en"",""es-ES"")"),"El video termina con las mujeres alrededor de la madera sorprendida cuando algo cae.")</f>
        <v>El video termina con las mujeres alrededor de la madera sorprendida cuando algo cae.</v>
      </c>
    </row>
    <row r="21440">
      <c r="A21440" s="4" t="s">
        <v>26998</v>
      </c>
      <c r="B21440" s="4" t="s">
        <v>26999</v>
      </c>
      <c r="C21440" s="5" t="str">
        <f>IFERROR(__xludf.DUMMYFUNCTION("GOOGLETRANSLATE(B21440,""en"",""es-ES"")"),"Una persona se pone gafas de seguridad y camina por una puerta hacia un patio.")</f>
        <v>Una persona se pone gafas de seguridad y camina por una puerta hacia un patio.</v>
      </c>
    </row>
    <row r="21441">
      <c r="A21441" s="4" t="s">
        <v>26998</v>
      </c>
      <c r="B21441" s="4" t="s">
        <v>27000</v>
      </c>
      <c r="C21441" s="5" t="str">
        <f>IFERROR(__xludf.DUMMYFUNCTION("GOOGLETRANSLATE(B21441,""en"",""es-ES"")"),"La persona sopla las hojas de un camino de entrada con un soplador eléctrico.")</f>
        <v>La persona sopla las hojas de un camino de entrada con un soplador eléctrico.</v>
      </c>
    </row>
    <row r="21442">
      <c r="A21442" s="4" t="s">
        <v>26998</v>
      </c>
      <c r="B21442" s="4" t="s">
        <v>27001</v>
      </c>
      <c r="C21442" s="5" t="str">
        <f>IFERROR(__xludf.DUMMYFUNCTION("GOOGLETRANSLATE(B21442,""en"",""es-ES"")"),"La persona sopla las hojas de un área de hierba usando el ventilador.")</f>
        <v>La persona sopla las hojas de un área de hierba usando el ventilador.</v>
      </c>
    </row>
    <row r="21443">
      <c r="A21443" s="4" t="s">
        <v>26998</v>
      </c>
      <c r="B21443" s="4" t="s">
        <v>27002</v>
      </c>
      <c r="C21443" s="5" t="str">
        <f>IFERROR(__xludf.DUMMYFUNCTION("GOOGLETRANSLATE(B21443,""en"",""es-ES"")"),"El soplador se ve de cerca con diferentes archivos adjuntos y configuraciones presentadas.")</f>
        <v>El soplador se ve de cerca con diferentes archivos adjuntos y configuraciones presentadas.</v>
      </c>
    </row>
    <row r="21444">
      <c r="A21444" s="4" t="s">
        <v>27003</v>
      </c>
      <c r="B21444" s="4" t="s">
        <v>27004</v>
      </c>
      <c r="C21444" s="5" t="str">
        <f>IFERROR(__xludf.DUMMYFUNCTION("GOOGLETRANSLATE(B21444,""en"",""es-ES"")"),"Un hombre pisa un cuadrado dibujado en la playa y gira el cuerpo de un lado a otro.")</f>
        <v>Un hombre pisa un cuadrado dibujado en la playa y gira el cuerpo de un lado a otro.</v>
      </c>
    </row>
    <row r="21445">
      <c r="A21445" s="4" t="s">
        <v>27003</v>
      </c>
      <c r="B21445" s="4" t="s">
        <v>27005</v>
      </c>
      <c r="C21445" s="5" t="str">
        <f>IFERROR(__xludf.DUMMYFUNCTION("GOOGLETRANSLATE(B21445,""en"",""es-ES"")"),"Luego, el hombre pisa el triángulo y hace movimientos de la mano, después de que el hombre se une las manos.")</f>
        <v>Luego, el hombre pisa el triángulo y hace movimientos de la mano, después de que el hombre se une las manos.</v>
      </c>
    </row>
    <row r="21446">
      <c r="A21446" s="4" t="s">
        <v>27006</v>
      </c>
      <c r="B21446" s="4" t="s">
        <v>27007</v>
      </c>
      <c r="C21446" s="5" t="str">
        <f>IFERROR(__xludf.DUMMYFUNCTION("GOOGLETRANSLATE(B21446,""en"",""es-ES"")"),"Un hombre que lleva un delantal se ríe sobre una mesa.")</f>
        <v>Un hombre que lleva un delantal se ríe sobre una mesa.</v>
      </c>
    </row>
    <row r="21447">
      <c r="A21447" s="4" t="s">
        <v>27006</v>
      </c>
      <c r="B21447" s="4" t="s">
        <v>27008</v>
      </c>
      <c r="C21447" s="5" t="str">
        <f>IFERROR(__xludf.DUMMYFUNCTION("GOOGLETRANSLATE(B21447,""en"",""es-ES"")"),"Se le muestra con un tazón grande y varios huevos agrietados.")</f>
        <v>Se le muestra con un tazón grande y varios huevos agrietados.</v>
      </c>
    </row>
    <row r="21448">
      <c r="A21448" s="4" t="s">
        <v>27006</v>
      </c>
      <c r="B21448" s="4" t="s">
        <v>27009</v>
      </c>
      <c r="C21448" s="5" t="str">
        <f>IFERROR(__xludf.DUMMYFUNCTION("GOOGLETRANSLATE(B21448,""en"",""es-ES"")"),"Habla con un grupo de personas sobre qué hacer con los huevos.")</f>
        <v>Habla con un grupo de personas sobre qué hacer con los huevos.</v>
      </c>
    </row>
    <row r="21449">
      <c r="A21449" s="4" t="s">
        <v>27006</v>
      </c>
      <c r="B21449" s="4" t="s">
        <v>27010</v>
      </c>
      <c r="C21449" s="5" t="str">
        <f>IFERROR(__xludf.DUMMYFUNCTION("GOOGLETRANSLATE(B21449,""en"",""es-ES"")"),"Él crea una tortilla y luego la placa.")</f>
        <v>Él crea una tortilla y luego la placa.</v>
      </c>
    </row>
    <row r="21450">
      <c r="A21450" s="4" t="s">
        <v>27011</v>
      </c>
      <c r="B21450" s="4" t="s">
        <v>27012</v>
      </c>
      <c r="C21450" s="5" t="str">
        <f>IFERROR(__xludf.DUMMYFUNCTION("GOOGLETRANSLATE(B21450,""en"",""es-ES"")"),"Un grupo de hombres está jugando voleibol en la playa, 3 en un lado y 2 en el otro lado.")</f>
        <v>Un grupo de hombres está jugando voleibol en la playa, 3 en un lado y 2 en el otro lado.</v>
      </c>
    </row>
    <row r="21451">
      <c r="A21451" s="4" t="s">
        <v>27011</v>
      </c>
      <c r="B21451" s="4" t="s">
        <v>27013</v>
      </c>
      <c r="C21451" s="5" t="str">
        <f>IFERROR(__xludf.DUMMYFUNCTION("GOOGLETRANSLATE(B21451,""en"",""es-ES"")"),"Un equipo intenta servir y se estrella contra la red.")</f>
        <v>Un equipo intenta servir y se estrella contra la red.</v>
      </c>
    </row>
    <row r="21452">
      <c r="A21452" s="4" t="s">
        <v>27011</v>
      </c>
      <c r="B21452" s="4" t="s">
        <v>27014</v>
      </c>
      <c r="C21452" s="5" t="str">
        <f>IFERROR(__xludf.DUMMYFUNCTION("GOOGLETRANSLATE(B21452,""en"",""es-ES"")"),"El otro equipo (a corto plazo) envía su propio servicio, un lóbulo simple, pero el equipo contrario saca su regreso de los límites.")</f>
        <v>El otro equipo (a corto plazo) envía su propio servicio, un lóbulo simple, pero el equipo contrario saca su regreso de los límites.</v>
      </c>
    </row>
    <row r="21453">
      <c r="A21453" s="4" t="s">
        <v>27015</v>
      </c>
      <c r="B21453" s="4" t="s">
        <v>27016</v>
      </c>
      <c r="C21453" s="5" t="str">
        <f>IFERROR(__xludf.DUMMYFUNCTION("GOOGLETRANSLATE(B21453,""en"",""es-ES"")"),"La gente monta autos para el parachoques en un carnaval.")</f>
        <v>La gente monta autos para el parachoques en un carnaval.</v>
      </c>
    </row>
    <row r="21454">
      <c r="A21454" s="4" t="s">
        <v>27015</v>
      </c>
      <c r="B21454" s="4" t="s">
        <v>27017</v>
      </c>
      <c r="C21454" s="5" t="str">
        <f>IFERROR(__xludf.DUMMYFUNCTION("GOOGLETRANSLATE(B21454,""en"",""es-ES"")"),"Un anciano monta un pequeño coche de parachoques.")</f>
        <v>Un anciano monta un pequeño coche de parachoques.</v>
      </c>
    </row>
    <row r="21455">
      <c r="A21455" s="4" t="s">
        <v>27015</v>
      </c>
      <c r="B21455" s="4" t="s">
        <v>27018</v>
      </c>
      <c r="C21455" s="5" t="str">
        <f>IFERROR(__xludf.DUMMYFUNCTION("GOOGLETRANSLATE(B21455,""en"",""es-ES"")"),"Varias personas se atascan con otros autos de parachoques.")</f>
        <v>Varias personas se atascan con otros autos de parachoques.</v>
      </c>
    </row>
    <row r="21456">
      <c r="A21456" s="4" t="s">
        <v>27015</v>
      </c>
      <c r="B21456" s="4" t="s">
        <v>27019</v>
      </c>
      <c r="C21456" s="5" t="str">
        <f>IFERROR(__xludf.DUMMYFUNCTION("GOOGLETRANSLATE(B21456,""en"",""es-ES"")"),"Hay mucha gente en el carnaval.")</f>
        <v>Hay mucha gente en el carnaval.</v>
      </c>
    </row>
    <row r="21457">
      <c r="A21457" s="4" t="s">
        <v>27020</v>
      </c>
      <c r="B21457" s="4" t="s">
        <v>27021</v>
      </c>
      <c r="C21457" s="5" t="str">
        <f>IFERROR(__xludf.DUMMYFUNCTION("GOOGLETRANSLATE(B21457,""en"",""es-ES"")"),"Una niña y un hombre están practicando el boxeo en un gimnasio.")</f>
        <v>Una niña y un hombre están practicando el boxeo en un gimnasio.</v>
      </c>
    </row>
    <row r="21458">
      <c r="A21458" s="4" t="s">
        <v>27020</v>
      </c>
      <c r="B21458" s="4" t="s">
        <v>27022</v>
      </c>
      <c r="C21458" s="5" t="str">
        <f>IFERROR(__xludf.DUMMYFUNCTION("GOOGLETRANSLATE(B21458,""en"",""es-ES"")"),"Hay un saco de boxeo que se balancea en el fondo.")</f>
        <v>Hay un saco de boxeo que se balancea en el fondo.</v>
      </c>
    </row>
    <row r="21459">
      <c r="A21459" s="4" t="s">
        <v>27020</v>
      </c>
      <c r="B21459" s="4" t="s">
        <v>27023</v>
      </c>
      <c r="C21459" s="5" t="str">
        <f>IFERROR(__xludf.DUMMYFUNCTION("GOOGLETRANSLATE(B21459,""en"",""es-ES"")"),"La niña y el hombre se mueven por el suelo balanceándose el uno al otro.")</f>
        <v>La niña y el hombre se mueven por el suelo balanceándose el uno al otro.</v>
      </c>
    </row>
    <row r="21460">
      <c r="A21460" s="4" t="s">
        <v>27024</v>
      </c>
      <c r="B21460" s="4" t="s">
        <v>27025</v>
      </c>
      <c r="C21460" s="5" t="str">
        <f>IFERROR(__xludf.DUMMYFUNCTION("GOOGLETRANSLATE(B21460,""en"",""es-ES"")"),"Los niños practican la gimnasia en una habitación.")</f>
        <v>Los niños practican la gimnasia en una habitación.</v>
      </c>
    </row>
    <row r="21461">
      <c r="A21461" s="4" t="s">
        <v>27024</v>
      </c>
      <c r="B21461" s="4" t="s">
        <v>27026</v>
      </c>
      <c r="C21461" s="5" t="str">
        <f>IFERROR(__xludf.DUMMYFUNCTION("GOOGLETRANSLATE(B21461,""en"",""es-ES"")"),"Una mujer ayuda a un niño a hacer un volteo.")</f>
        <v>Una mujer ayuda a un niño a hacer un volteo.</v>
      </c>
    </row>
    <row r="21462">
      <c r="A21462" s="4" t="s">
        <v>27024</v>
      </c>
      <c r="B21462" s="4" t="s">
        <v>27027</v>
      </c>
      <c r="C21462" s="5" t="str">
        <f>IFERROR(__xludf.DUMMYFUNCTION("GOOGLETRANSLATE(B21462,""en"",""es-ES"")"),"Algunos niños comienzan de una pared.")</f>
        <v>Algunos niños comienzan de una pared.</v>
      </c>
    </row>
    <row r="21463">
      <c r="A21463" s="4" t="s">
        <v>27024</v>
      </c>
      <c r="B21463" s="4" t="s">
        <v>27028</v>
      </c>
      <c r="C21463" s="5" t="str">
        <f>IFERROR(__xludf.DUMMYFUNCTION("GOOGLETRANSLATE(B21463,""en"",""es-ES"")"),"Algunos otros niños hacen más volteos.")</f>
        <v>Algunos otros niños hacen más volteos.</v>
      </c>
    </row>
    <row r="21464">
      <c r="A21464" s="4" t="s">
        <v>27029</v>
      </c>
      <c r="B21464" s="4" t="s">
        <v>27030</v>
      </c>
      <c r="C21464" s="5" t="str">
        <f>IFERROR(__xludf.DUMMYFUNCTION("GOOGLETRANSLATE(B21464,""en"",""es-ES"")"),"Un hombre que lleva un sombrero está hablando en un escenario.")</f>
        <v>Un hombre que lleva un sombrero está hablando en un escenario.</v>
      </c>
    </row>
    <row r="21465">
      <c r="A21465" s="4" t="s">
        <v>27029</v>
      </c>
      <c r="B21465" s="4" t="s">
        <v>27031</v>
      </c>
      <c r="C21465" s="5" t="str">
        <f>IFERROR(__xludf.DUMMYFUNCTION("GOOGLETRANSLATE(B21465,""en"",""es-ES"")"),"Una mujer entra y ella comienza a bailar.")</f>
        <v>Una mujer entra y ella comienza a bailar.</v>
      </c>
    </row>
    <row r="21466">
      <c r="A21466" s="4" t="s">
        <v>27029</v>
      </c>
      <c r="B21466" s="4" t="s">
        <v>27032</v>
      </c>
      <c r="C21466" s="5" t="str">
        <f>IFERROR(__xludf.DUMMYFUNCTION("GOOGLETRANSLATE(B21466,""en"",""es-ES"")"),"La mujer enciende un hula hoop en llamas, bailando con el aro.")</f>
        <v>La mujer enciende un hula hoop en llamas, bailando con el aro.</v>
      </c>
    </row>
    <row r="21467">
      <c r="A21467" s="4" t="s">
        <v>27033</v>
      </c>
      <c r="B21467" s="4" t="s">
        <v>27034</v>
      </c>
      <c r="C21467" s="5" t="str">
        <f>IFERROR(__xludf.DUMMYFUNCTION("GOOGLETRANSLATE(B21467,""en"",""es-ES"")"),"Un niño reúne un cubo de Rubix y lo deja con entusiasmo.")</f>
        <v>Un niño reúne un cubo de Rubix y lo deja con entusiasmo.</v>
      </c>
    </row>
    <row r="21468">
      <c r="A21468" s="4" t="s">
        <v>27033</v>
      </c>
      <c r="B21468" s="4" t="s">
        <v>27035</v>
      </c>
      <c r="C21468" s="5" t="str">
        <f>IFERROR(__xludf.DUMMYFUNCTION("GOOGLETRANSLATE(B21468,""en"",""es-ES"")"),"Salta y aplaude sus manos tan felices por eso.")</f>
        <v>Salta y aplaude sus manos tan felices por eso.</v>
      </c>
    </row>
    <row r="21469">
      <c r="A21469" s="4" t="s">
        <v>27033</v>
      </c>
      <c r="B21469" s="4" t="s">
        <v>27036</v>
      </c>
      <c r="C21469" s="5" t="str">
        <f>IFERROR(__xludf.DUMMYFUNCTION("GOOGLETRANSLATE(B21469,""en"",""es-ES"")"),"Otro niño lo está haciendo solo con sus pies.")</f>
        <v>Otro niño lo está haciendo solo con sus pies.</v>
      </c>
    </row>
    <row r="21470">
      <c r="A21470" s="4" t="s">
        <v>27033</v>
      </c>
      <c r="B21470" s="4" t="s">
        <v>27037</v>
      </c>
      <c r="C21470" s="5" t="str">
        <f>IFERROR(__xludf.DUMMYFUNCTION("GOOGLETRANSLATE(B21470,""en"",""es-ES"")"),"Es una competencia, la audiencia está mirando mientras las personas que compiten están siendo cronometradas.")</f>
        <v>Es una competencia, la audiencia está mirando mientras las personas que compiten están siendo cronometradas.</v>
      </c>
    </row>
    <row r="21471">
      <c r="A21471" s="4" t="s">
        <v>27038</v>
      </c>
      <c r="B21471" s="4" t="s">
        <v>27039</v>
      </c>
      <c r="C21471" s="5" t="str">
        <f>IFERROR(__xludf.DUMMYFUNCTION("GOOGLETRANSLATE(B21471,""en"",""es-ES"")"),"Las pantallas comienzan a aparecer con palabras blancas que describen eventos que están a punto de tener lugar.")</f>
        <v>Las pantallas comienzan a aparecer con palabras blancas que describen eventos que están a punto de tener lugar.</v>
      </c>
    </row>
    <row r="21472">
      <c r="A21472" s="4" t="s">
        <v>27038</v>
      </c>
      <c r="B21472" s="4" t="s">
        <v>27040</v>
      </c>
      <c r="C21472" s="5" t="str">
        <f>IFERROR(__xludf.DUMMYFUNCTION("GOOGLETRANSLATE(B21472,""en"",""es-ES"")"),"Luego se muestra una imagen fija antes de que un chico intente hacer varios saltos de salto con pértiga.")</f>
        <v>Luego se muestra una imagen fija antes de que un chico intente hacer varios saltos de salto con pértiga.</v>
      </c>
    </row>
    <row r="21473">
      <c r="A21473" s="4" t="s">
        <v>27038</v>
      </c>
      <c r="B21473" s="4" t="s">
        <v>27041</v>
      </c>
      <c r="C21473" s="5" t="str">
        <f>IFERROR(__xludf.DUMMYFUNCTION("GOOGLETRANSLATE(B21473,""en"",""es-ES"")"),"Aparece otra pantalla negra y una persona diferente trata de hacer el salto, pero él también golpea el poste.")</f>
        <v>Aparece otra pantalla negra y una persona diferente trata de hacer el salto, pero él también golpea el poste.</v>
      </c>
    </row>
    <row r="21474">
      <c r="A21474" s="4" t="s">
        <v>27038</v>
      </c>
      <c r="B21474" s="4" t="s">
        <v>27042</v>
      </c>
      <c r="C21474" s="5" t="str">
        <f>IFERROR(__xludf.DUMMYFUNCTION("GOOGLETRANSLATE(B21474,""en"",""es-ES"")"),"Una vez que termina, un hombre diferente intenta hacerlo, pero tampoco tiene éxito.")</f>
        <v>Una vez que termina, un hombre diferente intenta hacerlo, pero tampoco tiene éxito.</v>
      </c>
    </row>
    <row r="21475">
      <c r="A21475" s="4" t="s">
        <v>27043</v>
      </c>
      <c r="B21475" s="4" t="s">
        <v>27044</v>
      </c>
      <c r="C21475" s="5" t="str">
        <f>IFERROR(__xludf.DUMMYFUNCTION("GOOGLETRANSLATE(B21475,""en"",""es-ES"")"),"Una mujer está hablando con la cámara mientras está de pie sobre un fondo blanco.")</f>
        <v>Una mujer está hablando con la cámara mientras está de pie sobre un fondo blanco.</v>
      </c>
    </row>
    <row r="21476">
      <c r="A21476" s="4" t="s">
        <v>27043</v>
      </c>
      <c r="B21476" s="4" t="s">
        <v>27045</v>
      </c>
      <c r="C21476" s="5" t="str">
        <f>IFERROR(__xludf.DUMMYFUNCTION("GOOGLETRANSLATE(B21476,""en"",""es-ES"")"),"Ella levanta un hula hoop mientras habla.")</f>
        <v>Ella levanta un hula hoop mientras habla.</v>
      </c>
    </row>
    <row r="21477">
      <c r="A21477" s="4" t="s">
        <v>27043</v>
      </c>
      <c r="B21477" s="4" t="s">
        <v>27046</v>
      </c>
      <c r="C21477" s="5" t="str">
        <f>IFERROR(__xludf.DUMMYFUNCTION("GOOGLETRANSLATE(B21477,""en"",""es-ES"")"),"Luego muestra cómo utilizar el Hula Hoop mientras realiza ejercicios y posturas de yoga, a veces insertando partes de su cuerpo en el aro.")</f>
        <v>Luego muestra cómo utilizar el Hula Hoop mientras realiza ejercicios y posturas de yoga, a veces insertando partes de su cuerpo en el aro.</v>
      </c>
    </row>
    <row r="21478">
      <c r="A21478" s="4" t="s">
        <v>27047</v>
      </c>
      <c r="B21478" s="4" t="s">
        <v>27048</v>
      </c>
      <c r="C21478" s="5" t="str">
        <f>IFERROR(__xludf.DUMMYFUNCTION("GOOGLETRANSLATE(B21478,""en"",""es-ES"")"),"La gente pasa por la cámara.")</f>
        <v>La gente pasa por la cámara.</v>
      </c>
    </row>
    <row r="21479">
      <c r="A21479" s="4" t="s">
        <v>27047</v>
      </c>
      <c r="B21479" s="4" t="s">
        <v>27049</v>
      </c>
      <c r="C21479" s="5" t="str">
        <f>IFERROR(__xludf.DUMMYFUNCTION("GOOGLETRANSLATE(B21479,""en"",""es-ES"")"),"La cámara se acerca para mostrar a la gente nadando en la piscina y algunos jugando voleibol en la piscina.")</f>
        <v>La cámara se acerca para mostrar a la gente nadando en la piscina y algunos jugando voleibol en la piscina.</v>
      </c>
    </row>
    <row r="21480">
      <c r="A21480" s="4" t="s">
        <v>27047</v>
      </c>
      <c r="B21480" s="4" t="s">
        <v>27050</v>
      </c>
      <c r="C21480" s="5" t="str">
        <f>IFERROR(__xludf.DUMMYFUNCTION("GOOGLETRANSLATE(B21480,""en"",""es-ES"")"),"Una persona sale de la piscina y se aleja.")</f>
        <v>Una persona sale de la piscina y se aleja.</v>
      </c>
    </row>
    <row r="21481">
      <c r="A21481" s="4" t="s">
        <v>27047</v>
      </c>
      <c r="B21481" s="4" t="s">
        <v>27051</v>
      </c>
      <c r="C21481" s="5" t="str">
        <f>IFERROR(__xludf.DUMMYFUNCTION("GOOGLETRANSLATE(B21481,""en"",""es-ES"")"),"Una persona arroja la pelota a la cara de alguien.")</f>
        <v>Una persona arroja la pelota a la cara de alguien.</v>
      </c>
    </row>
    <row r="21482">
      <c r="A21482" s="4" t="s">
        <v>27047</v>
      </c>
      <c r="B21482" s="4" t="s">
        <v>27052</v>
      </c>
      <c r="C21482" s="5" t="str">
        <f>IFERROR(__xludf.DUMMYFUNCTION("GOOGLETRANSLATE(B21482,""en"",""es-ES"")"),"La gente arroja las bolas tan lejos que salen de la piscina.")</f>
        <v>La gente arroja las bolas tan lejos que salen de la piscina.</v>
      </c>
    </row>
    <row r="21483">
      <c r="A21483" s="4" t="s">
        <v>27053</v>
      </c>
      <c r="B21483" s="4" t="s">
        <v>27054</v>
      </c>
      <c r="C21483" s="5" t="str">
        <f>IFERROR(__xludf.DUMMYFUNCTION("GOOGLETRANSLATE(B21483,""en"",""es-ES"")"),"Una introducción comienza titulada cómo cortar la hierba.")</f>
        <v>Una introducción comienza titulada cómo cortar la hierba.</v>
      </c>
    </row>
    <row r="21484">
      <c r="A21484" s="4" t="s">
        <v>27053</v>
      </c>
      <c r="B21484" s="4" t="s">
        <v>27055</v>
      </c>
      <c r="C21484" s="5" t="str">
        <f>IFERROR(__xludf.DUMMYFUNCTION("GOOGLETRANSLATE(B21484,""en"",""es-ES"")"),"Un hombre sale con atuendo divertido y presume a la cámara con una cortadora de césped.")</f>
        <v>Un hombre sale con atuendo divertido y presume a la cámara con una cortadora de césped.</v>
      </c>
    </row>
    <row r="21485">
      <c r="A21485" s="4" t="s">
        <v>27053</v>
      </c>
      <c r="B21485" s="4" t="s">
        <v>27056</v>
      </c>
      <c r="C21485" s="5" t="str">
        <f>IFERROR(__xludf.DUMMYFUNCTION("GOOGLETRANSLATE(B21485,""en"",""es-ES"")"),"El hombre luego camina y sopla las hojas que todavía usan el atuendo divertido.")</f>
        <v>El hombre luego camina y sopla las hojas que todavía usan el atuendo divertido.</v>
      </c>
    </row>
    <row r="21486">
      <c r="A21486" s="4" t="s">
        <v>27057</v>
      </c>
      <c r="B21486" s="4" t="s">
        <v>27058</v>
      </c>
      <c r="C21486" s="5" t="str">
        <f>IFERROR(__xludf.DUMMYFUNCTION("GOOGLETRANSLATE(B21486,""en"",""es-ES"")"),"Una mujer con uniforme de karate blanco hace una demostración de una rutina en el tapete para los jueces durante el evento.")</f>
        <v>Una mujer con uniforme de karate blanco hace una demostración de una rutina en el tapete para los jueces durante el evento.</v>
      </c>
    </row>
    <row r="21487">
      <c r="A21487" s="4" t="s">
        <v>27057</v>
      </c>
      <c r="B21487" s="4" t="s">
        <v>27059</v>
      </c>
      <c r="C21487" s="5" t="str">
        <f>IFERROR(__xludf.DUMMYFUNCTION("GOOGLETRANSLATE(B21487,""en"",""es-ES"")"),"La mujer se inclina y sale de la colchoneta.")</f>
        <v>La mujer se inclina y sale de la colchoneta.</v>
      </c>
    </row>
    <row r="21488">
      <c r="A21488" s="4" t="s">
        <v>27057</v>
      </c>
      <c r="B21488" s="4" t="s">
        <v>27060</v>
      </c>
      <c r="C21488" s="5" t="str">
        <f>IFERROR(__xludf.DUMMYFUNCTION("GOOGLETRANSLATE(B21488,""en"",""es-ES"")"),"Una mujer con uniforme negro da la mano con jueces.")</f>
        <v>Una mujer con uniforme negro da la mano con jueces.</v>
      </c>
    </row>
    <row r="21489">
      <c r="A21489" s="4" t="s">
        <v>27057</v>
      </c>
      <c r="B21489" s="4" t="s">
        <v>27061</v>
      </c>
      <c r="C21489" s="5" t="str">
        <f>IFERROR(__xludf.DUMMYFUNCTION("GOOGLETRANSLATE(B21489,""en"",""es-ES"")"),"Una mujer con uniforme blanco se acerca y saluda a los jueces estrechando las manos.")</f>
        <v>Una mujer con uniforme blanco se acerca y saluda a los jueces estrechando las manos.</v>
      </c>
    </row>
    <row r="21490">
      <c r="A21490" s="4" t="s">
        <v>27062</v>
      </c>
      <c r="B21490" s="4" t="s">
        <v>27063</v>
      </c>
      <c r="C21490" s="5" t="str">
        <f>IFERROR(__xludf.DUMMYFUNCTION("GOOGLETRANSLATE(B21490,""en"",""es-ES"")"),"Hay personas volando cometas colectivamente en un enorme estacionamiento donde se estacionan varios automóviles y mini camionetas.")</f>
        <v>Hay personas volando cometas colectivamente en un enorme estacionamiento donde se estacionan varios automóviles y mini camionetas.</v>
      </c>
    </row>
    <row r="21491">
      <c r="A21491" s="4" t="s">
        <v>27062</v>
      </c>
      <c r="B21491" s="4" t="s">
        <v>27064</v>
      </c>
      <c r="C21491" s="5" t="str">
        <f>IFERROR(__xludf.DUMMYFUNCTION("GOOGLETRANSLATE(B21491,""en"",""es-ES"")"),"Hay un hombre con una camisa de rayas azules de pie con otro hombre con una camisa marrón, ambos preparándose para volar su cometa naranja.")</f>
        <v>Hay un hombre con una camisa de rayas azules de pie con otro hombre con una camisa marrón, ambos preparándose para volar su cometa naranja.</v>
      </c>
    </row>
    <row r="21492">
      <c r="A21492" s="4" t="s">
        <v>27062</v>
      </c>
      <c r="B21492" s="4" t="s">
        <v>27065</v>
      </c>
      <c r="C21492" s="5" t="str">
        <f>IFERROR(__xludf.DUMMYFUNCTION("GOOGLETRANSLATE(B21492,""en"",""es-ES"")"),"Sacan las cuerdas del carrete y comienzan a volar la cometa.")</f>
        <v>Sacan las cuerdas del carrete y comienzan a volar la cometa.</v>
      </c>
    </row>
    <row r="21493">
      <c r="A21493" s="4" t="s">
        <v>27066</v>
      </c>
      <c r="B21493" s="4" t="s">
        <v>27067</v>
      </c>
      <c r="C21493" s="5" t="str">
        <f>IFERROR(__xludf.DUMMYFUNCTION("GOOGLETRANSLATE(B21493,""en"",""es-ES"")"),"Dos niños están puliendo zapatos con pinceles.")</f>
        <v>Dos niños están puliendo zapatos con pinceles.</v>
      </c>
    </row>
    <row r="21494">
      <c r="A21494" s="4" t="s">
        <v>27066</v>
      </c>
      <c r="B21494" s="4" t="s">
        <v>27068</v>
      </c>
      <c r="C21494" s="5" t="str">
        <f>IFERROR(__xludf.DUMMYFUNCTION("GOOGLETRANSLATE(B21494,""en"",""es-ES"")"),"Entonces, un niño toma un zapato para jugar.")</f>
        <v>Entonces, un niño toma un zapato para jugar.</v>
      </c>
    </row>
    <row r="21495">
      <c r="A21495" s="4" t="s">
        <v>27066</v>
      </c>
      <c r="B21495" s="4" t="s">
        <v>27069</v>
      </c>
      <c r="C21495" s="5" t="str">
        <f>IFERROR(__xludf.DUMMYFUNCTION("GOOGLETRANSLATE(B21495,""en"",""es-ES"")"),"Un niño pequeño puso su pierna en un gran zapato y se pule con un cepillo.")</f>
        <v>Un niño pequeño puso su pierna en un gran zapato y se pule con un cepillo.</v>
      </c>
    </row>
    <row r="21496">
      <c r="A21496" s="4" t="s">
        <v>27066</v>
      </c>
      <c r="B21496" s="4" t="s">
        <v>27070</v>
      </c>
      <c r="C21496" s="5" t="str">
        <f>IFERROR(__xludf.DUMMYFUNCTION("GOOGLETRANSLATE(B21496,""en"",""es-ES"")"),"Luego, el otro chico puso su mano en el zapato para pulirla.")</f>
        <v>Luego, el otro chico puso su mano en el zapato para pulirla.</v>
      </c>
    </row>
    <row r="21497">
      <c r="A21497" s="4" t="s">
        <v>27071</v>
      </c>
      <c r="B21497" s="4" t="s">
        <v>27072</v>
      </c>
      <c r="C21497" s="5" t="str">
        <f>IFERROR(__xludf.DUMMYFUNCTION("GOOGLETRANSLATE(B21497,""en"",""es-ES"")"),"Dos hombres están en una cancha de racquetball interior.")</f>
        <v>Dos hombres están en una cancha de racquetball interior.</v>
      </c>
    </row>
    <row r="21498">
      <c r="A21498" s="4" t="s">
        <v>27071</v>
      </c>
      <c r="B21498" s="4" t="s">
        <v>2779</v>
      </c>
      <c r="C21498" s="5" t="str">
        <f>IFERROR(__xludf.DUMMYFUNCTION("GOOGLETRANSLATE(B21498,""en"",""es-ES"")"),"Golpearon la pelota de un lado a otro contra la pared.")</f>
        <v>Golpearon la pelota de un lado a otro contra la pared.</v>
      </c>
    </row>
    <row r="21499">
      <c r="A21499" s="4" t="s">
        <v>27071</v>
      </c>
      <c r="B21499" s="4" t="s">
        <v>27073</v>
      </c>
      <c r="C21499" s="5" t="str">
        <f>IFERROR(__xludf.DUMMYFUNCTION("GOOGLETRANSLATE(B21499,""en"",""es-ES"")"),"Recogen la pelota y continúan compitiendo.")</f>
        <v>Recogen la pelota y continúan compitiendo.</v>
      </c>
    </row>
    <row r="21500">
      <c r="A21500" s="4" t="s">
        <v>27074</v>
      </c>
      <c r="B21500" s="4" t="s">
        <v>27075</v>
      </c>
      <c r="C21500" s="5" t="str">
        <f>IFERROR(__xludf.DUMMYFUNCTION("GOOGLETRANSLATE(B21500,""en"",""es-ES"")"),"El hombre con pantalones cortos negros corre en la pista de carreras y hace un lanzamiento de jabalina.")</f>
        <v>El hombre con pantalones cortos negros corre en la pista de carreras y hace un lanzamiento de jabalina.</v>
      </c>
    </row>
    <row r="21501">
      <c r="A21501" s="4" t="s">
        <v>27074</v>
      </c>
      <c r="B21501" s="4" t="s">
        <v>27076</v>
      </c>
      <c r="C21501" s="5" t="str">
        <f>IFERROR(__xludf.DUMMYFUNCTION("GOOGLETRANSLATE(B21501,""en"",""es-ES"")"),"Los hombres están sentados en un lado de la pista de carreras.")</f>
        <v>Los hombres están sentados en un lado de la pista de carreras.</v>
      </c>
    </row>
    <row r="21502">
      <c r="A21502" s="4" t="s">
        <v>27074</v>
      </c>
      <c r="B21502" s="4" t="s">
        <v>27077</v>
      </c>
      <c r="C21502" s="5" t="str">
        <f>IFERROR(__xludf.DUMMYFUNCTION("GOOGLETRANSLATE(B21502,""en"",""es-ES"")"),"El hombre está de pie en un diamante polvoriento detrás de la red verde.")</f>
        <v>El hombre está de pie en un diamante polvoriento detrás de la red verde.</v>
      </c>
    </row>
    <row r="21503">
      <c r="A21503" s="4" t="s">
        <v>27074</v>
      </c>
      <c r="B21503" s="4" t="s">
        <v>27078</v>
      </c>
      <c r="C21503" s="5" t="str">
        <f>IFERROR(__xludf.DUMMYFUNCTION("GOOGLETRANSLATE(B21503,""en"",""es-ES"")"),"Los hombres están de pie junto a una red verde que mira la jabalina.")</f>
        <v>Los hombres están de pie junto a una red verde que mira la jabalina.</v>
      </c>
    </row>
    <row r="21504">
      <c r="A21504" s="4" t="s">
        <v>27074</v>
      </c>
      <c r="B21504" s="4" t="s">
        <v>27079</v>
      </c>
      <c r="C21504" s="5" t="str">
        <f>IFERROR(__xludf.DUMMYFUNCTION("GOOGLETRANSLATE(B21504,""en"",""es-ES"")"),"Los árbitros con camisas verdes están paradas en el campo.")</f>
        <v>Los árbitros con camisas verdes están paradas en el campo.</v>
      </c>
    </row>
    <row r="21505">
      <c r="A21505" s="4" t="s">
        <v>27080</v>
      </c>
      <c r="B21505" s="4" t="s">
        <v>27081</v>
      </c>
      <c r="C21505" s="5" t="str">
        <f>IFERROR(__xludf.DUMMYFUNCTION("GOOGLETRANSLATE(B21505,""en"",""es-ES"")"),"La mujer está en una cocina hablando con la cámara y mostrando cómo preparar galletas.")</f>
        <v>La mujer está en una cocina hablando con la cámara y mostrando cómo preparar galletas.</v>
      </c>
    </row>
    <row r="21506">
      <c r="A21506" s="4" t="s">
        <v>27080</v>
      </c>
      <c r="B21506" s="4" t="s">
        <v>27082</v>
      </c>
      <c r="C21506" s="5" t="str">
        <f>IFERROR(__xludf.DUMMYFUNCTION("GOOGLETRANSLATE(B21506,""en"",""es-ES"")"),"La mujer está mezclando ingredientes ni una ayuda para la cocina y haciendo bolas y las pone en una sartén y en el horno.")</f>
        <v>La mujer está mezclando ingredientes ni una ayuda para la cocina y haciendo bolas y las pone en una sartén y en el horno.</v>
      </c>
    </row>
    <row r="21507">
      <c r="A21507" s="4" t="s">
        <v>27083</v>
      </c>
      <c r="B21507" s="4" t="s">
        <v>27084</v>
      </c>
      <c r="C21507" s="5" t="str">
        <f>IFERROR(__xludf.DUMMYFUNCTION("GOOGLETRANSLATE(B21507,""en"",""es-ES"")"),"Se ve a una mujer mirando a lo lejos mientras fuma un cigarrillo.")</f>
        <v>Se ve a una mujer mirando a lo lejos mientras fuma un cigarrillo.</v>
      </c>
    </row>
    <row r="21508">
      <c r="A21508" s="4" t="s">
        <v>27083</v>
      </c>
      <c r="B21508" s="4" t="s">
        <v>27085</v>
      </c>
      <c r="C21508" s="5" t="str">
        <f>IFERROR(__xludf.DUMMYFUNCTION("GOOGLETRANSLATE(B21508,""en"",""es-ES"")"),"Ella habla con alguien fuera de cuadro mientras toma bocanadas de su cigarrillo.")</f>
        <v>Ella habla con alguien fuera de cuadro mientras toma bocanadas de su cigarrillo.</v>
      </c>
    </row>
    <row r="21509">
      <c r="A21509" s="4" t="s">
        <v>27083</v>
      </c>
      <c r="B21509" s="4" t="s">
        <v>27086</v>
      </c>
      <c r="C21509" s="5" t="str">
        <f>IFERROR(__xludf.DUMMYFUNCTION("GOOGLETRANSLATE(B21509,""en"",""es-ES"")"),"Ella continúa fumando mientras la cámara captura sus movimientos.")</f>
        <v>Ella continúa fumando mientras la cámara captura sus movimientos.</v>
      </c>
    </row>
    <row r="21510">
      <c r="A21510" s="4" t="s">
        <v>27087</v>
      </c>
      <c r="B21510" s="4" t="s">
        <v>27088</v>
      </c>
      <c r="C21510" s="5" t="str">
        <f>IFERROR(__xludf.DUMMYFUNCTION("GOOGLETRANSLATE(B21510,""en"",""es-ES"")"),"Se ve a una mujer girando dos aros alrededor de sus manos mientras mira hacia la cámara y habla.")</f>
        <v>Se ve a una mujer girando dos aros alrededor de sus manos mientras mira hacia la cámara y habla.</v>
      </c>
    </row>
    <row r="21511">
      <c r="A21511" s="4" t="s">
        <v>27087</v>
      </c>
      <c r="B21511" s="4" t="s">
        <v>27089</v>
      </c>
      <c r="C21511" s="5" t="str">
        <f>IFERROR(__xludf.DUMMYFUNCTION("GOOGLETRANSLATE(B21511,""en"",""es-ES"")"),"Ella continúa girando alrededor de los aros mientras se detiene en el medio para sostenerlos y hablar.")</f>
        <v>Ella continúa girando alrededor de los aros mientras se detiene en el medio para sostenerlos y hablar.</v>
      </c>
    </row>
    <row r="21512">
      <c r="A21512" s="4" t="s">
        <v>27090</v>
      </c>
      <c r="B21512" s="4" t="s">
        <v>27091</v>
      </c>
      <c r="C21512" s="5" t="str">
        <f>IFERROR(__xludf.DUMMYFUNCTION("GOOGLETRANSLATE(B21512,""en"",""es-ES"")"),"Un grupo de espectadores se reúne en un gimnasio.")</f>
        <v>Un grupo de espectadores se reúne en un gimnasio.</v>
      </c>
    </row>
    <row r="21513">
      <c r="A21513" s="4" t="s">
        <v>27090</v>
      </c>
      <c r="B21513" s="4" t="s">
        <v>27092</v>
      </c>
      <c r="C21513" s="5" t="str">
        <f>IFERROR(__xludf.DUMMYFUNCTION("GOOGLETRANSLATE(B21513,""en"",""es-ES"")"),"Un hombre y sus compañeros de equipo están presionando un disco.")</f>
        <v>Un hombre y sus compañeros de equipo están presionando un disco.</v>
      </c>
    </row>
    <row r="21514">
      <c r="A21514" s="4" t="s">
        <v>27090</v>
      </c>
      <c r="B21514" s="4" t="s">
        <v>27093</v>
      </c>
      <c r="C21514" s="5" t="str">
        <f>IFERROR(__xludf.DUMMYFUNCTION("GOOGLETRANSLATE(B21514,""en"",""es-ES"")"),"Están comprometidos en un juego de rizado en el hielo.")</f>
        <v>Están comprometidos en un juego de rizado en el hielo.</v>
      </c>
    </row>
    <row r="21515">
      <c r="A21515" s="4" t="s">
        <v>27094</v>
      </c>
      <c r="B21515" s="4" t="s">
        <v>27095</v>
      </c>
      <c r="C21515" s="5" t="str">
        <f>IFERROR(__xludf.DUMMYFUNCTION("GOOGLETRANSLATE(B21515,""en"",""es-ES"")"),"La cámara se acerca a varios jugadores y conduce a un pequeño grupo de personas que juegan fútbol entre sí.")</f>
        <v>La cámara se acerca a varios jugadores y conduce a un pequeño grupo de personas que juegan fútbol entre sí.</v>
      </c>
    </row>
    <row r="21516">
      <c r="A21516" s="4" t="s">
        <v>27094</v>
      </c>
      <c r="B21516" s="4" t="s">
        <v>27096</v>
      </c>
      <c r="C21516" s="5" t="str">
        <f>IFERROR(__xludf.DUMMYFUNCTION("GOOGLETRANSLATE(B21516,""en"",""es-ES"")"),"Los entrenadores y los miembros de la audiencia reaccionan mientras ven el juego y los jugadores continúan pateando la pelota por el campo.")</f>
        <v>Los entrenadores y los miembros de la audiencia reaccionan mientras ven el juego y los jugadores continúan pateando la pelota por el campo.</v>
      </c>
    </row>
    <row r="21517">
      <c r="A21517" s="4" t="s">
        <v>27097</v>
      </c>
      <c r="B21517" s="4" t="s">
        <v>27098</v>
      </c>
      <c r="C21517" s="5" t="str">
        <f>IFERROR(__xludf.DUMMYFUNCTION("GOOGLETRANSLATE(B21517,""en"",""es-ES"")"),"Se ve a un pequeño grupo de personas de pie a cada lado de una cuerda que levanta las manos.")</f>
        <v>Se ve a un pequeño grupo de personas de pie a cada lado de una cuerda que levanta las manos.</v>
      </c>
    </row>
    <row r="21518">
      <c r="A21518" s="4" t="s">
        <v>27097</v>
      </c>
      <c r="B21518" s="4" t="s">
        <v>27099</v>
      </c>
      <c r="C21518" s="5" t="str">
        <f>IFERROR(__xludf.DUMMYFUNCTION("GOOGLETRANSLATE(B21518,""en"",""es-ES"")"),"Los hombres se agarran a la cuerda y tiran uno contra el otro.")</f>
        <v>Los hombres se agarran a la cuerda y tiran uno contra el otro.</v>
      </c>
    </row>
    <row r="21519">
      <c r="A21519" s="4" t="s">
        <v>27097</v>
      </c>
      <c r="B21519" s="4" t="s">
        <v>27100</v>
      </c>
      <c r="C21519" s="5" t="str">
        <f>IFERROR(__xludf.DUMMYFUNCTION("GOOGLETRANSLATE(B21519,""en"",""es-ES"")"),"Los hombres miran a un lado mientras un equipo gana.")</f>
        <v>Los hombres miran a un lado mientras un equipo gana.</v>
      </c>
    </row>
    <row r="21520">
      <c r="A21520" s="4" t="s">
        <v>27101</v>
      </c>
      <c r="B21520" s="4" t="s">
        <v>27102</v>
      </c>
      <c r="C21520" s="5" t="str">
        <f>IFERROR(__xludf.DUMMYFUNCTION("GOOGLETRANSLATE(B21520,""en"",""es-ES"")"),"Se ve a un gran grupo de personas de pie alrededor de un gimnasio cubierto uno detrás del otro.")</f>
        <v>Se ve a un gran grupo de personas de pie alrededor de un gimnasio cubierto uno detrás del otro.</v>
      </c>
    </row>
    <row r="21521">
      <c r="A21521" s="4" t="s">
        <v>27101</v>
      </c>
      <c r="B21521" s="4" t="s">
        <v>27103</v>
      </c>
      <c r="C21521" s="5" t="str">
        <f>IFERROR(__xludf.DUMMYFUNCTION("GOOGLETRANSLATE(B21521,""en"",""es-ES"")"),"El grupo luego comienza a bailar entre sí realizando los mismos movimientos.")</f>
        <v>El grupo luego comienza a bailar entre sí realizando los mismos movimientos.</v>
      </c>
    </row>
    <row r="21522">
      <c r="A21522" s="4" t="s">
        <v>27101</v>
      </c>
      <c r="B21522" s="4" t="s">
        <v>27104</v>
      </c>
      <c r="C21522" s="5" t="str">
        <f>IFERROR(__xludf.DUMMYFUNCTION("GOOGLETRANSLATE(B21522,""en"",""es-ES"")"),"La gente continúa bailando por la habitación mientras la cámara registra sus movimientos.")</f>
        <v>La gente continúa bailando por la habitación mientras la cámara registra sus movimientos.</v>
      </c>
    </row>
    <row r="21523">
      <c r="A21523" s="4" t="s">
        <v>27105</v>
      </c>
      <c r="B21523" s="4" t="s">
        <v>539</v>
      </c>
      <c r="C21523" s="5" t="str">
        <f>IFERROR(__xludf.DUMMYFUNCTION("GOOGLETRANSLATE(B21523,""en"",""es-ES"")"),"Un hombre está hablando con la cámara.")</f>
        <v>Un hombre está hablando con la cámara.</v>
      </c>
    </row>
    <row r="21524">
      <c r="A21524" s="4" t="s">
        <v>27105</v>
      </c>
      <c r="B21524" s="4" t="s">
        <v>27106</v>
      </c>
      <c r="C21524" s="5" t="str">
        <f>IFERROR(__xludf.DUMMYFUNCTION("GOOGLETRANSLATE(B21524,""en"",""es-ES"")"),"Se entrevistan a varios miembros del equipo de un juego de voleibol.")</f>
        <v>Se entrevistan a varios miembros del equipo de un juego de voleibol.</v>
      </c>
    </row>
    <row r="21525">
      <c r="A21525" s="4" t="s">
        <v>27105</v>
      </c>
      <c r="B21525" s="4" t="s">
        <v>27107</v>
      </c>
      <c r="C21525" s="5" t="str">
        <f>IFERROR(__xludf.DUMMYFUNCTION("GOOGLETRANSLATE(B21525,""en"",""es-ES"")"),"Se muestran jugando en la playa, pateando la pelota.")</f>
        <v>Se muestran jugando en la playa, pateando la pelota.</v>
      </c>
    </row>
    <row r="21526">
      <c r="A21526" s="4" t="s">
        <v>27108</v>
      </c>
      <c r="B21526" s="4" t="s">
        <v>27109</v>
      </c>
      <c r="C21526" s="5" t="str">
        <f>IFERROR(__xludf.DUMMYFUNCTION("GOOGLETRANSLATE(B21526,""en"",""es-ES"")"),"Un hombre compite con la resolución de un cubo de rompecabezas.")</f>
        <v>Un hombre compite con la resolución de un cubo de rompecabezas.</v>
      </c>
    </row>
    <row r="21527">
      <c r="A21527" s="4" t="s">
        <v>27108</v>
      </c>
      <c r="B21527" s="4" t="s">
        <v>27110</v>
      </c>
      <c r="C21527" s="5" t="str">
        <f>IFERROR(__xludf.DUMMYFUNCTION("GOOGLETRANSLATE(B21527,""en"",""es-ES"")"),"Una persona pasa detrás del hombre.")</f>
        <v>Una persona pasa detrás del hombre.</v>
      </c>
    </row>
    <row r="21528">
      <c r="A21528" s="4" t="s">
        <v>27108</v>
      </c>
      <c r="B21528" s="4" t="s">
        <v>27111</v>
      </c>
      <c r="C21528" s="5" t="str">
        <f>IFERROR(__xludf.DUMMYFUNCTION("GOOGLETRANSLATE(B21528,""en"",""es-ES"")"),"Una mano extiende una hoja en el frente del jugador.")</f>
        <v>Una mano extiende una hoja en el frente del jugador.</v>
      </c>
    </row>
    <row r="21529">
      <c r="A21529" s="4" t="s">
        <v>27108</v>
      </c>
      <c r="B21529" s="4" t="s">
        <v>27112</v>
      </c>
      <c r="C21529" s="5" t="str">
        <f>IFERROR(__xludf.DUMMYFUNCTION("GOOGLETRANSLATE(B21529,""en"",""es-ES"")"),"Después de terminar, el hombre se pone las gafas.")</f>
        <v>Después de terminar, el hombre se pone las gafas.</v>
      </c>
    </row>
    <row r="21530">
      <c r="A21530" s="4" t="s">
        <v>27113</v>
      </c>
      <c r="B21530" s="4" t="s">
        <v>6958</v>
      </c>
      <c r="C21530" s="5" t="str">
        <f>IFERROR(__xludf.DUMMYFUNCTION("GOOGLETRANSLATE(B21530,""en"",""es-ES"")"),"Vemos una pantalla de apertura blanca.")</f>
        <v>Vemos una pantalla de apertura blanca.</v>
      </c>
    </row>
    <row r="21531">
      <c r="A21531" s="4" t="s">
        <v>27113</v>
      </c>
      <c r="B21531" s="4" t="s">
        <v>27114</v>
      </c>
      <c r="C21531" s="5" t="str">
        <f>IFERROR(__xludf.DUMMYFUNCTION("GOOGLETRANSLATE(B21531,""en"",""es-ES"")"),"Vemos a dos hombres sentados y luego sacudiendo la cabeza.")</f>
        <v>Vemos a dos hombres sentados y luego sacudiendo la cabeza.</v>
      </c>
    </row>
    <row r="21532">
      <c r="A21532" s="4" t="s">
        <v>27113</v>
      </c>
      <c r="B21532" s="4" t="s">
        <v>27115</v>
      </c>
      <c r="C21532" s="5" t="str">
        <f>IFERROR(__xludf.DUMMYFUNCTION("GOOGLETRANSLATE(B21532,""en"",""es-ES"")"),"Vemos herramientas y consejos para Croquet.")</f>
        <v>Vemos herramientas y consejos para Croquet.</v>
      </c>
    </row>
    <row r="21533">
      <c r="A21533" s="4" t="s">
        <v>27113</v>
      </c>
      <c r="B21533" s="4" t="s">
        <v>27116</v>
      </c>
      <c r="C21533" s="5" t="str">
        <f>IFERROR(__xludf.DUMMYFUNCTION("GOOGLETRANSLATE(B21533,""en"",""es-ES"")"),"Los dos hombres discuten sobre el juego.")</f>
        <v>Los dos hombres discuten sobre el juego.</v>
      </c>
    </row>
    <row r="21534">
      <c r="A21534" s="4" t="s">
        <v>27113</v>
      </c>
      <c r="B21534" s="4" t="s">
        <v>27117</v>
      </c>
      <c r="C21534" s="5" t="str">
        <f>IFERROR(__xludf.DUMMYFUNCTION("GOOGLETRANSLATE(B21534,""en"",""es-ES"")"),"Vemos a los hombres jugando croquet.")</f>
        <v>Vemos a los hombres jugando croquet.</v>
      </c>
    </row>
    <row r="21535">
      <c r="A21535" s="4" t="s">
        <v>27113</v>
      </c>
      <c r="B21535" s="4" t="s">
        <v>27118</v>
      </c>
      <c r="C21535" s="5" t="str">
        <f>IFERROR(__xludf.DUMMYFUNCTION("GOOGLETRANSLATE(B21535,""en"",""es-ES"")"),"Vemos un diagrama en la pantalla.")</f>
        <v>Vemos un diagrama en la pantalla.</v>
      </c>
    </row>
    <row r="21536">
      <c r="A21536" s="4" t="s">
        <v>27113</v>
      </c>
      <c r="B21536" s="4" t="s">
        <v>27119</v>
      </c>
      <c r="C21536" s="5" t="str">
        <f>IFERROR(__xludf.DUMMYFUNCTION("GOOGLETRANSLATE(B21536,""en"",""es-ES"")"),"El hombre tiene el pie en una bola roja.")</f>
        <v>El hombre tiene el pie en una bola roja.</v>
      </c>
    </row>
    <row r="21537">
      <c r="A21537" s="4" t="s">
        <v>27113</v>
      </c>
      <c r="B21537" s="4" t="s">
        <v>27120</v>
      </c>
      <c r="C21537" s="5" t="str">
        <f>IFERROR(__xludf.DUMMYFUNCTION("GOOGLETRANSLATE(B21537,""en"",""es-ES"")"),"Vemos a un hombre reír y bailar mientras otro está molesto.")</f>
        <v>Vemos a un hombre reír y bailar mientras otro está molesto.</v>
      </c>
    </row>
    <row r="21538">
      <c r="A21538" s="4" t="s">
        <v>27113</v>
      </c>
      <c r="B21538" s="4" t="s">
        <v>777</v>
      </c>
      <c r="C21538" s="5" t="str">
        <f>IFERROR(__xludf.DUMMYFUNCTION("GOOGLETRANSLATE(B21538,""en"",""es-ES"")"),"Vemos la pantalla de título final.")</f>
        <v>Vemos la pantalla de título final.</v>
      </c>
    </row>
    <row r="21539">
      <c r="A21539" s="4" t="s">
        <v>27121</v>
      </c>
      <c r="B21539" s="4" t="s">
        <v>27122</v>
      </c>
      <c r="C21539" s="5" t="str">
        <f>IFERROR(__xludf.DUMMYFUNCTION("GOOGLETRANSLATE(B21539,""en"",""es-ES"")"),"Se ve a un hombre sentado en un kayak mientras habla con la cámara y sostiene una paleta.")</f>
        <v>Se ve a un hombre sentado en un kayak mientras habla con la cámara y sostiene una paleta.</v>
      </c>
    </row>
    <row r="21540">
      <c r="A21540" s="4" t="s">
        <v>27121</v>
      </c>
      <c r="B21540" s="4" t="s">
        <v>27123</v>
      </c>
      <c r="C21540" s="5" t="str">
        <f>IFERROR(__xludf.DUMMYFUNCTION("GOOGLETRANSLATE(B21540,""en"",""es-ES"")"),"El hombre luego se mueve sobre el kayak mientras demuestra cómo moverse correctamente.")</f>
        <v>El hombre luego se mueve sobre el kayak mientras demuestra cómo moverse correctamente.</v>
      </c>
    </row>
    <row r="21541">
      <c r="A21541" s="4" t="s">
        <v>27121</v>
      </c>
      <c r="B21541" s="4" t="s">
        <v>27124</v>
      </c>
      <c r="C21541" s="5" t="str">
        <f>IFERROR(__xludf.DUMMYFUNCTION("GOOGLETRANSLATE(B21541,""en"",""es-ES"")"),"Él continúa girando mientras mira la cámara.")</f>
        <v>Él continúa girando mientras mira la cámara.</v>
      </c>
    </row>
    <row r="21542">
      <c r="A21542" s="4" t="s">
        <v>27125</v>
      </c>
      <c r="B21542" s="4" t="s">
        <v>27126</v>
      </c>
      <c r="C21542" s="5" t="str">
        <f>IFERROR(__xludf.DUMMYFUNCTION("GOOGLETRANSLATE(B21542,""en"",""es-ES"")"),"Un hombre con gafas de sol está parado afuera de un edificio.")</f>
        <v>Un hombre con gafas de sol está parado afuera de un edificio.</v>
      </c>
    </row>
    <row r="21543">
      <c r="A21543" s="4" t="s">
        <v>27125</v>
      </c>
      <c r="B21543" s="4" t="s">
        <v>27127</v>
      </c>
      <c r="C21543" s="5" t="str">
        <f>IFERROR(__xludf.DUMMYFUNCTION("GOOGLETRANSLATE(B21543,""en"",""es-ES"")"),"Luego se lo ve dentro de un ascensor, actuando extrañamente mientras golpea el aire con diferentes personas montando.")</f>
        <v>Luego se lo ve dentro de un ascensor, actuando extrañamente mientras golpea el aire con diferentes personas montando.</v>
      </c>
    </row>
    <row r="21544">
      <c r="A21544" s="4" t="s">
        <v>27125</v>
      </c>
      <c r="B21544" s="4" t="s">
        <v>27128</v>
      </c>
      <c r="C21544" s="5" t="str">
        <f>IFERROR(__xludf.DUMMYFUNCTION("GOOGLETRANSLATE(B21544,""en"",""es-ES"")"),"Él está tratando intencionalmente de asustarlos y preocuparlos.")</f>
        <v>Él está tratando intencionalmente de asustarlos y preocuparlos.</v>
      </c>
    </row>
    <row r="21545">
      <c r="A21545" s="4" t="s">
        <v>27129</v>
      </c>
      <c r="B21545" s="4" t="s">
        <v>27130</v>
      </c>
      <c r="C21545" s="5" t="str">
        <f>IFERROR(__xludf.DUMMYFUNCTION("GOOGLETRANSLATE(B21545,""en"",""es-ES"")"),"Se muestran a cuatro chicas mirando la cámara.")</f>
        <v>Se muestran a cuatro chicas mirando la cámara.</v>
      </c>
    </row>
    <row r="21546">
      <c r="A21546" s="4" t="s">
        <v>27129</v>
      </c>
      <c r="B21546" s="4" t="s">
        <v>27131</v>
      </c>
      <c r="C21546" s="5" t="str">
        <f>IFERROR(__xludf.DUMMYFUNCTION("GOOGLETRANSLATE(B21546,""en"",""es-ES"")"),"Una niña en el frente comienza a agitar una botella de enjuague bucal.")</f>
        <v>Una niña en el frente comienza a agitar una botella de enjuague bucal.</v>
      </c>
    </row>
    <row r="21547">
      <c r="A21547" s="4" t="s">
        <v>27129</v>
      </c>
      <c r="B21547" s="4" t="s">
        <v>27132</v>
      </c>
      <c r="C21547" s="5" t="str">
        <f>IFERROR(__xludf.DUMMYFUNCTION("GOOGLETRANSLATE(B21547,""en"",""es-ES"")"),"La niña toma una taza de enjuague bucal y la bebe.")</f>
        <v>La niña toma una taza de enjuague bucal y la bebe.</v>
      </c>
    </row>
    <row r="21548">
      <c r="A21548" s="4" t="s">
        <v>27129</v>
      </c>
      <c r="B21548" s="4" t="s">
        <v>27133</v>
      </c>
      <c r="C21548" s="5" t="str">
        <f>IFERROR(__xludf.DUMMYFUNCTION("GOOGLETRANSLATE(B21548,""en"",""es-ES"")"),"La taza de enjuague bucal se pasa hasta que todas las chicas beben.")</f>
        <v>La taza de enjuague bucal se pasa hasta que todas las chicas beben.</v>
      </c>
    </row>
    <row r="21549">
      <c r="A21549" s="4" t="s">
        <v>27134</v>
      </c>
      <c r="B21549" s="4" t="s">
        <v>27135</v>
      </c>
      <c r="C21549" s="5" t="str">
        <f>IFERROR(__xludf.DUMMYFUNCTION("GOOGLETRANSLATE(B21549,""en"",""es-ES"")"),"Varias personas comienzan a entrar en una habitación con zapatos de canguro y rebotando.")</f>
        <v>Varias personas comienzan a entrar en una habitación con zapatos de canguro y rebotando.</v>
      </c>
    </row>
    <row r="21550">
      <c r="A21550" s="4" t="s">
        <v>27134</v>
      </c>
      <c r="B21550" s="4" t="s">
        <v>27136</v>
      </c>
      <c r="C21550" s="5" t="str">
        <f>IFERROR(__xludf.DUMMYFUNCTION("GOOGLETRANSLATE(B21550,""en"",""es-ES"")"),"En el lado izquierdo de la habitación, hay una barra en dos postes que tiene unos cinco pies de altura que cada persona se da vuelta saltando.")</f>
        <v>En el lado izquierdo de la habitación, hay una barra en dos postes que tiene unos cinco pies de altura que cada persona se da vuelta saltando.</v>
      </c>
    </row>
    <row r="21551">
      <c r="A21551" s="4" t="s">
        <v>27137</v>
      </c>
      <c r="B21551" s="4" t="s">
        <v>27138</v>
      </c>
      <c r="C21551" s="5" t="str">
        <f>IFERROR(__xludf.DUMMYFUNCTION("GOOGLETRANSLATE(B21551,""en"",""es-ES"")"),"Los esquiadores suben un ascensor de esquí.")</f>
        <v>Los esquiadores suben un ascensor de esquí.</v>
      </c>
    </row>
    <row r="21552">
      <c r="A21552" s="4" t="s">
        <v>27137</v>
      </c>
      <c r="B21552" s="4" t="s">
        <v>27139</v>
      </c>
      <c r="C21552" s="5" t="str">
        <f>IFERROR(__xludf.DUMMYFUNCTION("GOOGLETRANSLATE(B21552,""en"",""es-ES"")"),"Un hombre con esquís amarillos por una pendiente.")</f>
        <v>Un hombre con esquís amarillos por una pendiente.</v>
      </c>
    </row>
    <row r="21553">
      <c r="A21553" s="4" t="s">
        <v>27137</v>
      </c>
      <c r="B21553" s="4" t="s">
        <v>27140</v>
      </c>
      <c r="C21553" s="5" t="str">
        <f>IFERROR(__xludf.DUMMYFUNCTION("GOOGLETRANSLATE(B21553,""en"",""es-ES"")"),"Varios trucos son realizados por esquiadores.")</f>
        <v>Varios trucos son realizados por esquiadores.</v>
      </c>
    </row>
    <row r="21554">
      <c r="A21554" s="4" t="s">
        <v>27137</v>
      </c>
      <c r="B21554" s="4" t="s">
        <v>27141</v>
      </c>
      <c r="C21554" s="5" t="str">
        <f>IFERROR(__xludf.DUMMYFUNCTION("GOOGLETRANSLATE(B21554,""en"",""es-ES"")"),"Saltan sobre varias rampas.")</f>
        <v>Saltan sobre varias rampas.</v>
      </c>
    </row>
    <row r="21555">
      <c r="A21555" s="4" t="s">
        <v>27142</v>
      </c>
      <c r="B21555" s="4" t="s">
        <v>27143</v>
      </c>
      <c r="C21555" s="5" t="str">
        <f>IFERROR(__xludf.DUMMYFUNCTION("GOOGLETRANSLATE(B21555,""en"",""es-ES"")"),"La zinaida lituana Sendriute lanza el disco de 64 metros para llevar a cabo su tercer lanzamiento, saludando a la cámara mientras se va.")</f>
        <v>La zinaida lituana Sendriute lanza el disco de 64 metros para llevar a cabo su tercer lanzamiento, saludando a la cámara mientras se va.</v>
      </c>
    </row>
    <row r="21556">
      <c r="A21556" s="4" t="s">
        <v>27142</v>
      </c>
      <c r="B21556" s="4" t="s">
        <v>27144</v>
      </c>
      <c r="C21556" s="5" t="str">
        <f>IFERROR(__xludf.DUMMYFUNCTION("GOOGLETRANSLATE(B21556,""en"",""es-ES"")"),"Cuban Yarelis Barrios es el siguiente y desata un poderoso lanzamiento de 67 metros con un grito atronador.")</f>
        <v>Cuban Yarelis Barrios es el siguiente y desata un poderoso lanzamiento de 67 metros con un grito atronador.</v>
      </c>
    </row>
    <row r="21557">
      <c r="A21557" s="4" t="s">
        <v>27142</v>
      </c>
      <c r="B21557" s="4" t="s">
        <v>27145</v>
      </c>
      <c r="C21557" s="5" t="str">
        <f>IFERROR(__xludf.DUMMYFUNCTION("GOOGLETRANSLATE(B21557,""en"",""es-ES"")"),"Croata Sandra Perkovic fuera distancias de los dos lanzadores anteriores con un lanzamiento de 69 metros para reclamar el liderazgo.")</f>
        <v>Croata Sandra Perkovic fuera distancias de los dos lanzadores anteriores con un lanzamiento de 69 metros para reclamar el liderazgo.</v>
      </c>
    </row>
    <row r="21558">
      <c r="A21558" s="4" t="s">
        <v>27146</v>
      </c>
      <c r="B21558" s="4" t="s">
        <v>27147</v>
      </c>
      <c r="C21558" s="5" t="str">
        <f>IFERROR(__xludf.DUMMYFUNCTION("GOOGLETRANSLATE(B21558,""en"",""es-ES"")"),"Se ve a un hombre atlético subiendo a un círculo y arrojando un objeto a la distancia.")</f>
        <v>Se ve a un hombre atlético subiendo a un círculo y arrojando un objeto a la distancia.</v>
      </c>
    </row>
    <row r="21559">
      <c r="A21559" s="4" t="s">
        <v>27146</v>
      </c>
      <c r="B21559" s="4" t="s">
        <v>27148</v>
      </c>
      <c r="C21559" s="5" t="str">
        <f>IFERROR(__xludf.DUMMYFUNCTION("GOOGLETRANSLATE(B21559,""en"",""es-ES"")"),"Su lanzamiento se muestra nuevamente, mientras que otros miden su tiro al lado.")</f>
        <v>Su lanzamiento se muestra nuevamente, mientras que otros miden su tiro al lado.</v>
      </c>
    </row>
    <row r="21560">
      <c r="A21560" s="4" t="s">
        <v>27146</v>
      </c>
      <c r="B21560" s="4" t="s">
        <v>27149</v>
      </c>
      <c r="C21560" s="5" t="str">
        <f>IFERROR(__xludf.DUMMYFUNCTION("GOOGLETRANSLATE(B21560,""en"",""es-ES"")"),"El hombre agarra una bandera y camina por la arena.")</f>
        <v>El hombre agarra una bandera y camina por la arena.</v>
      </c>
    </row>
    <row r="21561">
      <c r="A21561" s="4" t="s">
        <v>27150</v>
      </c>
      <c r="B21561" s="4" t="s">
        <v>27151</v>
      </c>
      <c r="C21561" s="5" t="str">
        <f>IFERROR(__xludf.DUMMYFUNCTION("GOOGLETRANSLATE(B21561,""en"",""es-ES"")"),"Se muestra una pantalla grande seguida de una banda que toca en el escenario.")</f>
        <v>Se muestra una pantalla grande seguida de una banda que toca en el escenario.</v>
      </c>
    </row>
    <row r="21562">
      <c r="A21562" s="4" t="s">
        <v>27150</v>
      </c>
      <c r="B21562" s="4" t="s">
        <v>27152</v>
      </c>
      <c r="C21562" s="5" t="str">
        <f>IFERROR(__xludf.DUMMYFUNCTION("GOOGLETRANSLATE(B21562,""en"",""es-ES"")"),"Un hombre con un disfraz de Mickey y tocando la batería.")</f>
        <v>Un hombre con un disfraz de Mickey y tocando la batería.</v>
      </c>
    </row>
    <row r="21563">
      <c r="A21563" s="4" t="s">
        <v>27150</v>
      </c>
      <c r="B21563" s="4" t="s">
        <v>27153</v>
      </c>
      <c r="C21563" s="5" t="str">
        <f>IFERROR(__xludf.DUMMYFUNCTION("GOOGLETRANSLATE(B21563,""en"",""es-ES"")"),"El hombre continúa tocando la batería y termina con el cierre de la cortina.")</f>
        <v>El hombre continúa tocando la batería y termina con el cierre de la cortina.</v>
      </c>
    </row>
    <row r="21564">
      <c r="A21564" s="4" t="s">
        <v>27154</v>
      </c>
      <c r="B21564" s="4" t="s">
        <v>27155</v>
      </c>
      <c r="C21564" s="5" t="str">
        <f>IFERROR(__xludf.DUMMYFUNCTION("GOOGLETRANSLATE(B21564,""en"",""es-ES"")"),"Vemos una calabaza tallada y una pantalla de título.")</f>
        <v>Vemos una calabaza tallada y una pantalla de título.</v>
      </c>
    </row>
    <row r="21565">
      <c r="A21565" s="4" t="s">
        <v>27154</v>
      </c>
      <c r="B21565" s="4" t="s">
        <v>27156</v>
      </c>
      <c r="C21565" s="5" t="str">
        <f>IFERROR(__xludf.DUMMYFUNCTION("GOOGLETRANSLATE(B21565,""en"",""es-ES"")"),"Un hombre dibuja una cara sobre una calabaza.")</f>
        <v>Un hombre dibuja una cara sobre una calabaza.</v>
      </c>
    </row>
    <row r="21566">
      <c r="A21566" s="4" t="s">
        <v>27154</v>
      </c>
      <c r="B21566" s="4" t="s">
        <v>27157</v>
      </c>
      <c r="C21566" s="5" t="str">
        <f>IFERROR(__xludf.DUMMYFUNCTION("GOOGLETRANSLATE(B21566,""en"",""es-ES"")"),"Un hombre luego escala una calabaza en un anciano gruñendo.")</f>
        <v>Un hombre luego escala una calabaza en un anciano gruñendo.</v>
      </c>
    </row>
    <row r="21567">
      <c r="A21567" s="4" t="s">
        <v>27154</v>
      </c>
      <c r="B21567" s="4" t="s">
        <v>27158</v>
      </c>
      <c r="C21567" s="5" t="str">
        <f>IFERROR(__xludf.DUMMYFUNCTION("GOOGLETRANSLATE(B21567,""en"",""es-ES"")"),"El hombre toma una imagen de la calabaza con un teléfono.")</f>
        <v>El hombre toma una imagen de la calabaza con un teléfono.</v>
      </c>
    </row>
    <row r="21568">
      <c r="A21568" s="4" t="s">
        <v>27154</v>
      </c>
      <c r="B21568" s="4" t="s">
        <v>27159</v>
      </c>
      <c r="C21568" s="5" t="str">
        <f>IFERROR(__xludf.DUMMYFUNCTION("GOOGLETRANSLATE(B21568,""en"",""es-ES"")"),"El hombre inclina la calabaza hacia la luz.")</f>
        <v>El hombre inclina la calabaza hacia la luz.</v>
      </c>
    </row>
    <row r="21569">
      <c r="A21569" s="4" t="s">
        <v>27154</v>
      </c>
      <c r="B21569" s="4" t="s">
        <v>27160</v>
      </c>
      <c r="C21569" s="5" t="str">
        <f>IFERROR(__xludf.DUMMYFUNCTION("GOOGLETRANSLATE(B21569,""en"",""es-ES"")"),"Vemos tiros aún de la calabaza tallada.")</f>
        <v>Vemos tiros aún de la calabaza tallada.</v>
      </c>
    </row>
    <row r="21570">
      <c r="A21570" s="4" t="s">
        <v>27154</v>
      </c>
      <c r="B21570" s="4" t="s">
        <v>27161</v>
      </c>
      <c r="C21570" s="5" t="str">
        <f>IFERROR(__xludf.DUMMYFUNCTION("GOOGLETRANSLATE(B21570,""en"",""es-ES"")"),"Vemos la pantalla final con un sitio web.")</f>
        <v>Vemos la pantalla final con un sitio web.</v>
      </c>
    </row>
    <row r="21571">
      <c r="A21571" s="4" t="s">
        <v>27162</v>
      </c>
      <c r="B21571" s="4" t="s">
        <v>27163</v>
      </c>
      <c r="C21571" s="5" t="str">
        <f>IFERROR(__xludf.DUMMYFUNCTION("GOOGLETRANSLATE(B21571,""en"",""es-ES"")"),"Se ve a un hombre parado en una escalera y trabajando en un techo mientras la cámara captura sus movimientos.")</f>
        <v>Se ve a un hombre parado en una escalera y trabajando en un techo mientras la cámara captura sus movimientos.</v>
      </c>
    </row>
    <row r="21572">
      <c r="A21572" s="4" t="s">
        <v>27162</v>
      </c>
      <c r="B21572" s="4" t="s">
        <v>27164</v>
      </c>
      <c r="C21572" s="5" t="str">
        <f>IFERROR(__xludf.DUMMYFUNCTION("GOOGLETRANSLATE(B21572,""en"",""es-ES"")"),"El hombre rocía por el techo y se mueve hacia atrás y cuarto.")</f>
        <v>El hombre rocía por el techo y se mueve hacia atrás y cuarto.</v>
      </c>
    </row>
    <row r="21573">
      <c r="A21573" s="4" t="s">
        <v>27165</v>
      </c>
      <c r="B21573" s="4" t="s">
        <v>27166</v>
      </c>
      <c r="C21573" s="5" t="str">
        <f>IFERROR(__xludf.DUMMYFUNCTION("GOOGLETRANSLATE(B21573,""en"",""es-ES"")"),"Un niño está sentado frente a una batería.")</f>
        <v>Un niño está sentado frente a una batería.</v>
      </c>
    </row>
    <row r="21574">
      <c r="A21574" s="4" t="s">
        <v>27165</v>
      </c>
      <c r="B21574" s="4" t="s">
        <v>27167</v>
      </c>
      <c r="C21574" s="5" t="str">
        <f>IFERROR(__xludf.DUMMYFUNCTION("GOOGLETRANSLATE(B21574,""en"",""es-ES"")"),"Él está tocando rápidamente la batería frente a él.")</f>
        <v>Él está tocando rápidamente la batería frente a él.</v>
      </c>
    </row>
    <row r="21575">
      <c r="A21575" s="4" t="s">
        <v>27165</v>
      </c>
      <c r="B21575" s="4" t="s">
        <v>27168</v>
      </c>
      <c r="C21575" s="5" t="str">
        <f>IFERROR(__xludf.DUMMYFUNCTION("GOOGLETRANSLATE(B21575,""en"",""es-ES"")"),"También golpea los platillos varias veces.")</f>
        <v>También golpea los platillos varias veces.</v>
      </c>
    </row>
    <row r="21576">
      <c r="A21576" s="4" t="s">
        <v>27169</v>
      </c>
      <c r="B21576" s="4" t="s">
        <v>27170</v>
      </c>
      <c r="C21576" s="5" t="str">
        <f>IFERROR(__xludf.DUMMYFUNCTION("GOOGLETRANSLATE(B21576,""en"",""es-ES"")"),"Vemos a una dama con un disfraz de baile.")</f>
        <v>Vemos a una dama con un disfraz de baile.</v>
      </c>
    </row>
    <row r="21577">
      <c r="A21577" s="4" t="s">
        <v>27169</v>
      </c>
      <c r="B21577" s="4" t="s">
        <v>27171</v>
      </c>
      <c r="C21577" s="5" t="str">
        <f>IFERROR(__xludf.DUMMYFUNCTION("GOOGLETRANSLATE(B21577,""en"",""es-ES"")"),"Ella señala sus caderas y cintura.")</f>
        <v>Ella señala sus caderas y cintura.</v>
      </c>
    </row>
    <row r="21578">
      <c r="A21578" s="4" t="s">
        <v>27169</v>
      </c>
      <c r="B21578" s="4" t="s">
        <v>27172</v>
      </c>
      <c r="C21578" s="5" t="str">
        <f>IFERROR(__xludf.DUMMYFUNCTION("GOOGLETRANSLATE(B21578,""en"",""es-ES"")"),"Ella comienza a bailar lentamente.")</f>
        <v>Ella comienza a bailar lentamente.</v>
      </c>
    </row>
    <row r="21579">
      <c r="A21579" s="4" t="s">
        <v>27169</v>
      </c>
      <c r="B21579" s="4" t="s">
        <v>27173</v>
      </c>
      <c r="C21579" s="5" t="str">
        <f>IFERROR(__xludf.DUMMYFUNCTION("GOOGLETRANSLATE(B21579,""en"",""es-ES"")"),"Ella se acelera y gira las manos.")</f>
        <v>Ella se acelera y gira las manos.</v>
      </c>
    </row>
    <row r="21580">
      <c r="A21580" s="4" t="s">
        <v>27169</v>
      </c>
      <c r="B21580" s="4" t="s">
        <v>27174</v>
      </c>
      <c r="C21580" s="5" t="str">
        <f>IFERROR(__xludf.DUMMYFUNCTION("GOOGLETRANSLATE(B21580,""en"",""es-ES"")"),"Ella se vuelve más lenta y luego vuelve a ser rápido.")</f>
        <v>Ella se vuelve más lenta y luego vuelve a ser rápido.</v>
      </c>
    </row>
    <row r="21581">
      <c r="A21581" s="4" t="s">
        <v>27169</v>
      </c>
      <c r="B21581" s="4" t="s">
        <v>27175</v>
      </c>
      <c r="C21581" s="5" t="str">
        <f>IFERROR(__xludf.DUMMYFUNCTION("GOOGLETRANSLATE(B21581,""en"",""es-ES"")"),"La señora termina su baile, paradas y arcos.")</f>
        <v>La señora termina su baile, paradas y arcos.</v>
      </c>
    </row>
    <row r="21582">
      <c r="A21582" s="4" t="s">
        <v>27176</v>
      </c>
      <c r="B21582" s="4" t="s">
        <v>27177</v>
      </c>
      <c r="C21582" s="5" t="str">
        <f>IFERROR(__xludf.DUMMYFUNCTION("GOOGLETRANSLATE(B21582,""en"",""es-ES"")"),"Un hombre está de pie junto a un escritorio hablando con algunos entrenadores sobre algo.")</f>
        <v>Un hombre está de pie junto a un escritorio hablando con algunos entrenadores sobre algo.</v>
      </c>
    </row>
    <row r="21583">
      <c r="A21583" s="4" t="s">
        <v>27176</v>
      </c>
      <c r="B21583" s="4" t="s">
        <v>27178</v>
      </c>
      <c r="C21583" s="5" t="str">
        <f>IFERROR(__xludf.DUMMYFUNCTION("GOOGLETRANSLATE(B21583,""en"",""es-ES"")"),"Comienza a caminar hacia atrás y prepararse para comenzar a correr.")</f>
        <v>Comienza a caminar hacia atrás y prepararse para comenzar a correr.</v>
      </c>
    </row>
    <row r="21584">
      <c r="A21584" s="4" t="s">
        <v>27176</v>
      </c>
      <c r="B21584" s="4" t="s">
        <v>27179</v>
      </c>
      <c r="C21584" s="5" t="str">
        <f>IFERROR(__xludf.DUMMYFUNCTION("GOOGLETRANSLATE(B21584,""en"",""es-ES"")"),"Comienza a correr y acumula la velocidad bastante rápido.")</f>
        <v>Comienza a correr y acumula la velocidad bastante rápido.</v>
      </c>
    </row>
    <row r="21585">
      <c r="A21585" s="4" t="s">
        <v>27176</v>
      </c>
      <c r="B21585" s="4" t="s">
        <v>27180</v>
      </c>
      <c r="C21585" s="5" t="str">
        <f>IFERROR(__xludf.DUMMYFUNCTION("GOOGLETRANSLATE(B21585,""en"",""es-ES"")"),"Él aterriza en la arena y cuando termina y el hombre se acerca a él para suavizar la arena.")</f>
        <v>Él aterriza en la arena y cuando termina y el hombre se acerca a él para suavizar la arena.</v>
      </c>
    </row>
    <row r="21586">
      <c r="A21586" s="4" t="s">
        <v>27181</v>
      </c>
      <c r="B21586" s="4" t="s">
        <v>27182</v>
      </c>
      <c r="C21586" s="5" t="str">
        <f>IFERROR(__xludf.DUMMYFUNCTION("GOOGLETRANSLATE(B21586,""en"",""es-ES"")"),"Una cámara muestra a un niño pequeño caminando por un patio de recreo con un perro deambulando por la espalda.")</f>
        <v>Una cámara muestra a un niño pequeño caminando por un patio de recreo con un perro deambulando por la espalda.</v>
      </c>
    </row>
    <row r="21587">
      <c r="A21587" s="4" t="s">
        <v>27181</v>
      </c>
      <c r="B21587" s="4" t="s">
        <v>27183</v>
      </c>
      <c r="C21587" s="5" t="str">
        <f>IFERROR(__xludf.DUMMYFUNCTION("GOOGLETRANSLATE(B21587,""en"",""es-ES"")"),"El niño sube un juego de escaleras y se desliza por un tobogán.")</f>
        <v>El niño sube un juego de escaleras y se desliza por un tobogán.</v>
      </c>
    </row>
    <row r="21588">
      <c r="A21588" s="4" t="s">
        <v>27184</v>
      </c>
      <c r="B21588" s="4" t="s">
        <v>27185</v>
      </c>
      <c r="C21588" s="5" t="str">
        <f>IFERROR(__xludf.DUMMYFUNCTION("GOOGLETRANSLATE(B21588,""en"",""es-ES"")"),"Se ve a un joven remando una canoa por un río.")</f>
        <v>Se ve a un joven remando una canoa por un río.</v>
      </c>
    </row>
    <row r="21589">
      <c r="A21589" s="4" t="s">
        <v>27184</v>
      </c>
      <c r="B21589" s="4" t="s">
        <v>27186</v>
      </c>
      <c r="C21589" s="5" t="str">
        <f>IFERROR(__xludf.DUMMYFUNCTION("GOOGLETRANSLATE(B21589,""en"",""es-ES"")"),"Habla con la cámara mientras se acerca.")</f>
        <v>Habla con la cámara mientras se acerca.</v>
      </c>
    </row>
    <row r="21590">
      <c r="A21590" s="4" t="s">
        <v>27184</v>
      </c>
      <c r="B21590" s="4" t="s">
        <v>27187</v>
      </c>
      <c r="C21590" s="5" t="str">
        <f>IFERROR(__xludf.DUMMYFUNCTION("GOOGLETRANSLATE(B21590,""en"",""es-ES"")"),"Él sale, continuando hablando de piragüismo.")</f>
        <v>Él sale, continuando hablando de piragüismo.</v>
      </c>
    </row>
    <row r="21591">
      <c r="A21591" s="4" t="s">
        <v>27188</v>
      </c>
      <c r="B21591" s="4" t="s">
        <v>27189</v>
      </c>
      <c r="C21591" s="5" t="str">
        <f>IFERROR(__xludf.DUMMYFUNCTION("GOOGLETRANSLATE(B21591,""en"",""es-ES"")"),"Se ve a una mujer moviendo un hula hoop cerca de la cámara.")</f>
        <v>Se ve a una mujer moviendo un hula hoop cerca de la cámara.</v>
      </c>
    </row>
    <row r="21592">
      <c r="A21592" s="4" t="s">
        <v>27188</v>
      </c>
      <c r="B21592" s="4" t="s">
        <v>27190</v>
      </c>
      <c r="C21592" s="5" t="str">
        <f>IFERROR(__xludf.DUMMYFUNCTION("GOOGLETRANSLATE(B21592,""en"",""es-ES"")"),"Luego, la niña habla con la cámara y la lleva a girar un hula hoop.")</f>
        <v>Luego, la niña habla con la cámara y la lleva a girar un hula hoop.</v>
      </c>
    </row>
    <row r="21593">
      <c r="A21593" s="4" t="s">
        <v>27188</v>
      </c>
      <c r="B21593" s="4" t="s">
        <v>27191</v>
      </c>
      <c r="C21593" s="5" t="str">
        <f>IFERROR(__xludf.DUMMYFUNCTION("GOOGLETRANSLATE(B21593,""en"",""es-ES"")"),"La mujer continúa hablando con la cámara mientras gira el aro y demuestra cómo realizar movimientos adecuados.")</f>
        <v>La mujer continúa hablando con la cámara mientras gira el aro y demuestra cómo realizar movimientos adecuados.</v>
      </c>
    </row>
    <row r="21594">
      <c r="A21594" s="4" t="s">
        <v>27192</v>
      </c>
      <c r="B21594" s="4" t="s">
        <v>27193</v>
      </c>
      <c r="C21594" s="5" t="str">
        <f>IFERROR(__xludf.DUMMYFUNCTION("GOOGLETRANSLATE(B21594,""en"",""es-ES"")"),"Varios hombres se decían en equipo de lacrosse corriendo hacia un campo.")</f>
        <v>Varios hombres se decían en equipo de lacrosse corriendo hacia un campo.</v>
      </c>
    </row>
    <row r="21595">
      <c r="A21595" s="4" t="s">
        <v>27192</v>
      </c>
      <c r="B21595" s="4" t="s">
        <v>27194</v>
      </c>
      <c r="C21595" s="5" t="str">
        <f>IFERROR(__xludf.DUMMYFUNCTION("GOOGLETRANSLATE(B21595,""en"",""es-ES"")"),"Los equipos opuestos se muestran en varios clips, luchando y golpeando el balón en los goles del otro.")</f>
        <v>Los equipos opuestos se muestran en varios clips, luchando y golpeando el balón en los goles del otro.</v>
      </c>
    </row>
    <row r="21596">
      <c r="A21596" s="4" t="s">
        <v>27195</v>
      </c>
      <c r="B21596" s="4" t="s">
        <v>27196</v>
      </c>
      <c r="C21596" s="5" t="str">
        <f>IFERROR(__xludf.DUMMYFUNCTION("GOOGLETRANSLATE(B21596,""en"",""es-ES"")"),"Se muestran varios clips de personas que levantan pesas pesadas y saltan en una pista.")</f>
        <v>Se muestran varios clips de personas que levantan pesas pesadas y saltan en una pista.</v>
      </c>
    </row>
    <row r="21597">
      <c r="A21597" s="4" t="s">
        <v>27195</v>
      </c>
      <c r="B21597" s="4" t="s">
        <v>27197</v>
      </c>
      <c r="C21597" s="5" t="str">
        <f>IFERROR(__xludf.DUMMYFUNCTION("GOOGLETRANSLATE(B21597,""en"",""es-ES"")"),"Se ve a las personas saltando sobre postes, en cuclillas con pesas, así como realizando otros ejercicios.")</f>
        <v>Se ve a las personas saltando sobre postes, en cuclillas con pesas, así como realizando otros ejercicios.</v>
      </c>
    </row>
    <row r="21598">
      <c r="A21598" s="4" t="s">
        <v>27195</v>
      </c>
      <c r="B21598" s="4" t="s">
        <v>27198</v>
      </c>
      <c r="C21598" s="5" t="str">
        <f>IFERROR(__xludf.DUMMYFUNCTION("GOOGLETRANSLATE(B21598,""en"",""es-ES"")"),"Al final, se ve a más personas saltando sobre un poste.")</f>
        <v>Al final, se ve a más personas saltando sobre un poste.</v>
      </c>
    </row>
    <row r="21599">
      <c r="A21599" s="4" t="s">
        <v>27199</v>
      </c>
      <c r="B21599" s="4" t="s">
        <v>27200</v>
      </c>
      <c r="C21599" s="5" t="str">
        <f>IFERROR(__xludf.DUMMYFUNCTION("GOOGLETRANSLATE(B21599,""en"",""es-ES"")"),"Varios hombres de diferentes lugares están afuera en un gran cricket de campo.")</f>
        <v>Varios hombres de diferentes lugares están afuera en un gran cricket de campo.</v>
      </c>
    </row>
    <row r="21600">
      <c r="A21600" s="4" t="s">
        <v>27199</v>
      </c>
      <c r="B21600" s="4" t="s">
        <v>27201</v>
      </c>
      <c r="C21600" s="5" t="str">
        <f>IFERROR(__xludf.DUMMYFUNCTION("GOOGLETRANSLATE(B21600,""en"",""es-ES"")"),"Los hombres vienen al centro del campo y se paran alrededor de un pequeño rectángulo y comienzan a golpear la pelota extremadamente lejos.")</f>
        <v>Los hombres vienen al centro del campo y se paran alrededor de un pequeño rectángulo y comienzan a golpear la pelota extremadamente lejos.</v>
      </c>
    </row>
    <row r="21601">
      <c r="A21601" s="4" t="s">
        <v>27199</v>
      </c>
      <c r="B21601" s="4" t="s">
        <v>27202</v>
      </c>
      <c r="C21601" s="5" t="str">
        <f>IFERROR(__xludf.DUMMYFUNCTION("GOOGLETRANSLATE(B21601,""en"",""es-ES"")"),"Cuando la pelota va al jardín, los compañeros de equipo comienzan a saltar arriba y abajo y animando a su equipo.")</f>
        <v>Cuando la pelota va al jardín, los compañeros de equipo comienzan a saltar arriba y abajo y animando a su equipo.</v>
      </c>
    </row>
    <row r="21602">
      <c r="A21602" s="4" t="s">
        <v>27199</v>
      </c>
      <c r="B21602" s="4" t="s">
        <v>27203</v>
      </c>
      <c r="C21602" s="5" t="str">
        <f>IFERROR(__xludf.DUMMYFUNCTION("GOOGLETRANSLATE(B21602,""en"",""es-ES"")"),"Finalmente, se muestra a un hombre con un gran premio de plata.")</f>
        <v>Finalmente, se muestra a un hombre con un gran premio de plata.</v>
      </c>
    </row>
    <row r="21603">
      <c r="A21603" s="4" t="s">
        <v>27204</v>
      </c>
      <c r="B21603" s="4" t="s">
        <v>27205</v>
      </c>
      <c r="C21603" s="5" t="str">
        <f>IFERROR(__xludf.DUMMYFUNCTION("GOOGLETRANSLATE(B21603,""en"",""es-ES"")"),"Un hombre está disparando un baloncesto en un aro.")</f>
        <v>Un hombre está disparando un baloncesto en un aro.</v>
      </c>
    </row>
    <row r="21604">
      <c r="A21604" s="4" t="s">
        <v>27204</v>
      </c>
      <c r="B21604" s="4" t="s">
        <v>27206</v>
      </c>
      <c r="C21604" s="5" t="str">
        <f>IFERROR(__xludf.DUMMYFUNCTION("GOOGLETRANSLATE(B21604,""en"",""es-ES"")"),"Otro hombre comienza a disparar un baloncesto en el aro.")</f>
        <v>Otro hombre comienza a disparar un baloncesto en el aro.</v>
      </c>
    </row>
    <row r="21605">
      <c r="A21605" s="4" t="s">
        <v>27204</v>
      </c>
      <c r="B21605" s="4" t="s">
        <v>27207</v>
      </c>
      <c r="C21605" s="5" t="str">
        <f>IFERROR(__xludf.DUMMYFUNCTION("GOOGLETRANSLATE(B21605,""en"",""es-ES"")"),"El primer hombre observa al segundo hombre.")</f>
        <v>El primer hombre observa al segundo hombre.</v>
      </c>
    </row>
    <row r="21606">
      <c r="A21606" s="4" t="s">
        <v>27208</v>
      </c>
      <c r="B21606" s="4" t="s">
        <v>27209</v>
      </c>
      <c r="C21606" s="5" t="str">
        <f>IFERROR(__xludf.DUMMYFUNCTION("GOOGLETRANSLATE(B21606,""en"",""es-ES"")"),"Vemos niños jugando Dodge Ball en un parque de trampolines.")</f>
        <v>Vemos niños jugando Dodge Ball en un parque de trampolines.</v>
      </c>
    </row>
    <row r="21607">
      <c r="A21607" s="4" t="s">
        <v>27208</v>
      </c>
      <c r="B21607" s="4" t="s">
        <v>27210</v>
      </c>
      <c r="C21607" s="5" t="str">
        <f>IFERROR(__xludf.DUMMYFUNCTION("GOOGLETRANSLATE(B21607,""en"",""es-ES"")"),"Vemos a un niño golpear con la pelota y arrojarla hacia atrás.")</f>
        <v>Vemos a un niño golpear con la pelota y arrojarla hacia atrás.</v>
      </c>
    </row>
    <row r="21608">
      <c r="A21608" s="4" t="s">
        <v>27208</v>
      </c>
      <c r="B21608" s="4" t="s">
        <v>27211</v>
      </c>
      <c r="C21608" s="5" t="str">
        <f>IFERROR(__xludf.DUMMYFUNCTION("GOOGLETRANSLATE(B21608,""en"",""es-ES"")"),"Vemos a un niño en verde lanzar la pelota con fuerza.")</f>
        <v>Vemos a un niño en verde lanzar la pelota con fuerza.</v>
      </c>
    </row>
    <row r="21609">
      <c r="A21609" s="4" t="s">
        <v>27208</v>
      </c>
      <c r="B21609" s="4" t="s">
        <v>27212</v>
      </c>
      <c r="C21609" s="5" t="str">
        <f>IFERROR(__xludf.DUMMYFUNCTION("GOOGLETRANSLATE(B21609,""en"",""es-ES"")"),"El chico con camisa a rayas se une al juego y el niño de rojo está fuera.")</f>
        <v>El chico con camisa a rayas se une al juego y el niño de rojo está fuera.</v>
      </c>
    </row>
    <row r="21610">
      <c r="A21610" s="4" t="s">
        <v>27208</v>
      </c>
      <c r="B21610" s="4" t="s">
        <v>27213</v>
      </c>
      <c r="C21610" s="5" t="str">
        <f>IFERROR(__xludf.DUMMYFUNCTION("GOOGLETRANSLATE(B21610,""en"",""es-ES"")"),"Una niña pasa por la cámara agitando su mano.")</f>
        <v>Una niña pasa por la cámara agitando su mano.</v>
      </c>
    </row>
    <row r="21611">
      <c r="A21611" s="4" t="s">
        <v>27208</v>
      </c>
      <c r="B21611" s="4" t="s">
        <v>27214</v>
      </c>
      <c r="C21611" s="5" t="str">
        <f>IFERROR(__xludf.DUMMYFUNCTION("GOOGLETRANSLATE(B21611,""en"",""es-ES"")"),"Un niño con una camisa amarilla camina hacia la cámara.")</f>
        <v>Un niño con una camisa amarilla camina hacia la cámara.</v>
      </c>
    </row>
    <row r="21612">
      <c r="A21612" s="4" t="s">
        <v>27215</v>
      </c>
      <c r="B21612" s="4" t="s">
        <v>27216</v>
      </c>
      <c r="C21612" s="5" t="str">
        <f>IFERROR(__xludf.DUMMYFUNCTION("GOOGLETRANSLATE(B21612,""en"",""es-ES"")"),"Se muestran videos antiguos de las reuniones de pista.")</f>
        <v>Se muestran videos antiguos de las reuniones de pista.</v>
      </c>
    </row>
    <row r="21613">
      <c r="A21613" s="4" t="s">
        <v>27215</v>
      </c>
      <c r="B21613" s="4" t="s">
        <v>27217</v>
      </c>
      <c r="C21613" s="5" t="str">
        <f>IFERROR(__xludf.DUMMYFUNCTION("GOOGLETRANSLATE(B21613,""en"",""es-ES"")"),"Un hombre se muestra varias veces mientras lanza un disco.")</f>
        <v>Un hombre se muestra varias veces mientras lanza un disco.</v>
      </c>
    </row>
    <row r="21614">
      <c r="A21614" s="4" t="s">
        <v>27215</v>
      </c>
      <c r="B21614" s="4" t="s">
        <v>27218</v>
      </c>
      <c r="C21614" s="5" t="str">
        <f>IFERROR(__xludf.DUMMYFUNCTION("GOOGLETRANSLATE(B21614,""en"",""es-ES"")"),"Gira en círculos, luego arroja el disco lo más lejos que puede.")</f>
        <v>Gira en círculos, luego arroja el disco lo más lejos que puede.</v>
      </c>
    </row>
    <row r="21615">
      <c r="A21615" s="4" t="s">
        <v>27219</v>
      </c>
      <c r="B21615" s="4" t="s">
        <v>27220</v>
      </c>
      <c r="C21615" s="5" t="str">
        <f>IFERROR(__xludf.DUMMYFUNCTION("GOOGLETRANSLATE(B21615,""en"",""es-ES"")"),"Las gimnastas hacen rutinas de caída con volteos y giros en una alfombra dentro de un gimnasio.")</f>
        <v>Las gimnastas hacen rutinas de caída con volteos y giros en una alfombra dentro de un gimnasio.</v>
      </c>
    </row>
    <row r="21616">
      <c r="A21616" s="4" t="s">
        <v>27219</v>
      </c>
      <c r="B21616" s="4" t="s">
        <v>27221</v>
      </c>
      <c r="C21616" s="5" t="str">
        <f>IFERROR(__xludf.DUMMYFUNCTION("GOOGLETRANSLATE(B21616,""en"",""es-ES"")"),"Los hombres se balancearon en los anillos de mano como parte de su rutina de caída.")</f>
        <v>Los hombres se balancearon en los anillos de mano como parte de su rutina de caída.</v>
      </c>
    </row>
    <row r="21617">
      <c r="A21617" s="4" t="s">
        <v>27219</v>
      </c>
      <c r="B21617" s="4" t="s">
        <v>27222</v>
      </c>
      <c r="C21617" s="5" t="str">
        <f>IFERROR(__xludf.DUMMYFUNCTION("GOOGLETRANSLATE(B21617,""en"",""es-ES"")"),"El hombre cae en el suelo mientras se balancea en los anillos.")</f>
        <v>El hombre cae en el suelo mientras se balancea en los anillos.</v>
      </c>
    </row>
    <row r="21618">
      <c r="A21618" s="4" t="s">
        <v>27219</v>
      </c>
      <c r="B21618" s="4" t="s">
        <v>27223</v>
      </c>
      <c r="C21618" s="5" t="str">
        <f>IFERROR(__xludf.DUMMYFUNCTION("GOOGLETRANSLATE(B21618,""en"",""es-ES"")"),"La gimnasta juega un poco bateando la oreja y esperando que otra persona despeje el tapete.")</f>
        <v>La gimnasta juega un poco bateando la oreja y esperando que otra persona despeje el tapete.</v>
      </c>
    </row>
    <row r="21619">
      <c r="A21619" s="4" t="s">
        <v>27224</v>
      </c>
      <c r="B21619" s="4" t="s">
        <v>27225</v>
      </c>
      <c r="C21619" s="5" t="str">
        <f>IFERROR(__xludf.DUMMYFUNCTION("GOOGLETRANSLATE(B21619,""en"",""es-ES"")"),"Un niño pequeño está dentro de una sala de garaje.")</f>
        <v>Un niño pequeño está dentro de una sala de garaje.</v>
      </c>
    </row>
    <row r="21620">
      <c r="A21620" s="4" t="s">
        <v>27224</v>
      </c>
      <c r="B21620" s="4" t="s">
        <v>27226</v>
      </c>
      <c r="C21620" s="5" t="str">
        <f>IFERROR(__xludf.DUMMYFUNCTION("GOOGLETRANSLATE(B21620,""en"",""es-ES"")"),"Está tocando una batería grande mientras usa auriculares.")</f>
        <v>Está tocando una batería grande mientras usa auriculares.</v>
      </c>
    </row>
    <row r="21621">
      <c r="A21621" s="4" t="s">
        <v>27224</v>
      </c>
      <c r="B21621" s="4" t="s">
        <v>27227</v>
      </c>
      <c r="C21621" s="5" t="str">
        <f>IFERROR(__xludf.DUMMYFUNCTION("GOOGLETRANSLATE(B21621,""en"",""es-ES"")"),"Golpea los platillos y la batería con los palos.")</f>
        <v>Golpea los platillos y la batería con los palos.</v>
      </c>
    </row>
    <row r="21622">
      <c r="A21622" s="4" t="s">
        <v>27228</v>
      </c>
      <c r="B21622" s="4" t="s">
        <v>27229</v>
      </c>
      <c r="C21622" s="5" t="str">
        <f>IFERROR(__xludf.DUMMYFUNCTION("GOOGLETRANSLATE(B21622,""en"",""es-ES"")"),"Una introducción conduce a varios disparos de skaters que viajan en rieles en una gran ciudad.")</f>
        <v>Una introducción conduce a varios disparos de skaters que viajan en rieles en una gran ciudad.</v>
      </c>
    </row>
    <row r="21623">
      <c r="A21623" s="4" t="s">
        <v>27228</v>
      </c>
      <c r="B21623" s="4" t="s">
        <v>27230</v>
      </c>
      <c r="C21623" s="5" t="str">
        <f>IFERROR(__xludf.DUMMYFUNCTION("GOOGLETRANSLATE(B21623,""en"",""es-ES"")"),"La cámara sigue de cerca estos bordes mientras realizan trucos en escaleras y sobre bancos.")</f>
        <v>La cámara sigue de cerca estos bordes mientras realizan trucos en escaleras y sobre bancos.</v>
      </c>
    </row>
    <row r="21624">
      <c r="A21624" s="4" t="s">
        <v>27228</v>
      </c>
      <c r="B21624" s="4" t="s">
        <v>27231</v>
      </c>
      <c r="C21624" s="5" t="str">
        <f>IFERROR(__xludf.DUMMYFUNCTION("GOOGLETRANSLATE(B21624,""en"",""es-ES"")"),"Los hombres continúan patinando y terminan con una mujer policial sonriendo y dando un pulgar a la cámara.")</f>
        <v>Los hombres continúan patinando y terminan con una mujer policial sonriendo y dando un pulgar a la cámara.</v>
      </c>
    </row>
    <row r="21625">
      <c r="A21625" s="4" t="s">
        <v>27232</v>
      </c>
      <c r="B21625" s="4" t="s">
        <v>27233</v>
      </c>
      <c r="C21625" s="5" t="str">
        <f>IFERROR(__xludf.DUMMYFUNCTION("GOOGLETRANSLATE(B21625,""en"",""es-ES"")"),"Se muestra un gráfico de producción junto con un enlace para más medios.")</f>
        <v>Se muestra un gráfico de producción junto con un enlace para más medios.</v>
      </c>
    </row>
    <row r="21626">
      <c r="A21626" s="4" t="s">
        <v>27232</v>
      </c>
      <c r="B21626" s="4" t="s">
        <v>27234</v>
      </c>
      <c r="C21626" s="5" t="str">
        <f>IFERROR(__xludf.DUMMYFUNCTION("GOOGLETRANSLATE(B21626,""en"",""es-ES"")"),"Esto se desvanece en un hombre que comienza a jugar el saxofón en su sala de estar hasta un micrófono.")</f>
        <v>Esto se desvanece en un hombre que comienza a jugar el saxofón en su sala de estar hasta un micrófono.</v>
      </c>
    </row>
    <row r="21627">
      <c r="A21627" s="4" t="s">
        <v>27232</v>
      </c>
      <c r="B21627" s="4" t="s">
        <v>27235</v>
      </c>
      <c r="C21627" s="5" t="str">
        <f>IFERROR(__xludf.DUMMYFUNCTION("GOOGLETRANSLATE(B21627,""en"",""es-ES"")"),"El hombre ahora usa gafas de sol mientras toca, saliendo a la música.")</f>
        <v>El hombre ahora usa gafas de sol mientras toca, saliendo a la música.</v>
      </c>
    </row>
    <row r="21628">
      <c r="A21628" s="4" t="s">
        <v>27232</v>
      </c>
      <c r="B21628" s="4" t="s">
        <v>27236</v>
      </c>
      <c r="C21628" s="5" t="str">
        <f>IFERROR(__xludf.DUMMYFUNCTION("GOOGLETRANSLATE(B21628,""en"",""es-ES"")"),"El hombre se muestra sin las gafas de sol.")</f>
        <v>El hombre se muestra sin las gafas de sol.</v>
      </c>
    </row>
    <row r="21629">
      <c r="A21629" s="4" t="s">
        <v>27232</v>
      </c>
      <c r="B21629" s="4" t="s">
        <v>27237</v>
      </c>
      <c r="C21629" s="5" t="str">
        <f>IFERROR(__xludf.DUMMYFUNCTION("GOOGLETRANSLATE(B21629,""en"",""es-ES"")"),"Otra ventana que muestra el artista se muestra en la esquina del video.")</f>
        <v>Otra ventana que muestra el artista se muestra en la esquina del video.</v>
      </c>
    </row>
    <row r="21630">
      <c r="A21630" s="4" t="s">
        <v>27238</v>
      </c>
      <c r="B21630" s="4" t="s">
        <v>27239</v>
      </c>
      <c r="C21630" s="5" t="str">
        <f>IFERROR(__xludf.DUMMYFUNCTION("GOOGLETRANSLATE(B21630,""en"",""es-ES"")"),"Un grupo de hombres jóvenes está sentado en las mesas en una competencia Rubiks Cube.")</f>
        <v>Un grupo de hombres jóvenes está sentado en las mesas en una competencia Rubiks Cube.</v>
      </c>
    </row>
    <row r="21631">
      <c r="A21631" s="4" t="s">
        <v>27238</v>
      </c>
      <c r="B21631" s="4" t="s">
        <v>27240</v>
      </c>
      <c r="C21631" s="5" t="str">
        <f>IFERROR(__xludf.DUMMYFUNCTION("GOOGLETRANSLATE(B21631,""en"",""es-ES"")"),"Un funcionario elimina un trozo de papel de un cubo de Rubiks sentado frente a un joven al final de una mesa, después de lo cual el competidor resuelve el cubo y celebra golpeándose las manos sobre la mesa.")</f>
        <v>Un funcionario elimina un trozo de papel de un cubo de Rubiks sentado frente a un joven al final de una mesa, después de lo cual el competidor resuelve el cubo y celebra golpeándose las manos sobre la mesa.</v>
      </c>
    </row>
    <row r="21632">
      <c r="A21632" s="4" t="s">
        <v>27238</v>
      </c>
      <c r="B21632" s="4" t="s">
        <v>27241</v>
      </c>
      <c r="C21632" s="5" t="str">
        <f>IFERROR(__xludf.DUMMYFUNCTION("GOOGLETRANSLATE(B21632,""en"",""es-ES"")"),"Un oficial levanta una taza para revelar un cubo Rubiks que el mismo hombre resuelve.")</f>
        <v>Un oficial levanta una taza para revelar un cubo Rubiks que el mismo hombre resuelve.</v>
      </c>
    </row>
    <row r="21633">
      <c r="A21633" s="4" t="s">
        <v>27238</v>
      </c>
      <c r="B21633" s="4" t="s">
        <v>27242</v>
      </c>
      <c r="C21633" s="5" t="str">
        <f>IFERROR(__xludf.DUMMYFUNCTION("GOOGLETRANSLATE(B21633,""en"",""es-ES"")"),"Un joven que lleva una camisa beige resuelve un cubo y presiona sus manos hacia la cara antes de ponerse de pie.")</f>
        <v>Un joven que lleva una camisa beige resuelve un cubo y presiona sus manos hacia la cara antes de ponerse de pie.</v>
      </c>
    </row>
    <row r="21634">
      <c r="A21634" s="4" t="s">
        <v>27238</v>
      </c>
      <c r="B21634" s="4" t="s">
        <v>27243</v>
      </c>
      <c r="C21634" s="5" t="str">
        <f>IFERROR(__xludf.DUMMYFUNCTION("GOOGLETRANSLATE(B21634,""en"",""es-ES"")"),"Un funcionario elimina un trozo de papel de encima de un cubo cuando el joven en la sudadera negra resuelve otro cubo.")</f>
        <v>Un funcionario elimina un trozo de papel de encima de un cubo cuando el joven en la sudadera negra resuelve otro cubo.</v>
      </c>
    </row>
    <row r="21635">
      <c r="A21635" s="4" t="s">
        <v>27238</v>
      </c>
      <c r="B21635" s="4" t="s">
        <v>27244</v>
      </c>
      <c r="C21635" s="5" t="str">
        <f>IFERROR(__xludf.DUMMYFUNCTION("GOOGLETRANSLATE(B21635,""en"",""es-ES"")"),"El joven resuelve dos cubos más frente a un funcionario antes de mudarse para levantarse.")</f>
        <v>El joven resuelve dos cubos más frente a un funcionario antes de mudarse para levantarse.</v>
      </c>
    </row>
    <row r="21636">
      <c r="A21636" s="4" t="s">
        <v>27245</v>
      </c>
      <c r="B21636" s="4" t="s">
        <v>27246</v>
      </c>
      <c r="C21636" s="5" t="str">
        <f>IFERROR(__xludf.DUMMYFUNCTION("GOOGLETRANSLATE(B21636,""en"",""es-ES"")"),"Se muestra una gran arena de pelota de pintura con un grupo de personas que se paran a un lado.")</f>
        <v>Se muestra una gran arena de pelota de pintura con un grupo de personas que se paran a un lado.</v>
      </c>
    </row>
    <row r="21637">
      <c r="A21637" s="4" t="s">
        <v>27245</v>
      </c>
      <c r="B21637" s="4" t="s">
        <v>27247</v>
      </c>
      <c r="C21637" s="5" t="str">
        <f>IFERROR(__xludf.DUMMYFUNCTION("GOOGLETRANSLATE(B21637,""en"",""es-ES"")"),"Luego, la gente comienza a correr por el curso disparando armas el uno al otro.")</f>
        <v>Luego, la gente comienza a correr por el curso disparando armas el uno al otro.</v>
      </c>
    </row>
    <row r="21638">
      <c r="A21638" s="4" t="s">
        <v>27245</v>
      </c>
      <c r="B21638" s="4" t="s">
        <v>27248</v>
      </c>
      <c r="C21638" s="5" t="str">
        <f>IFERROR(__xludf.DUMMYFUNCTION("GOOGLETRANSLATE(B21638,""en"",""es-ES"")"),"La gente continúa corriendo y se detiene en el final para hablar entre ellos.")</f>
        <v>La gente continúa corriendo y se detiene en el final para hablar entre ellos.</v>
      </c>
    </row>
    <row r="21639">
      <c r="A21639" s="4" t="s">
        <v>27249</v>
      </c>
      <c r="B21639" s="4" t="s">
        <v>27250</v>
      </c>
      <c r="C21639" s="5" t="str">
        <f>IFERROR(__xludf.DUMMYFUNCTION("GOOGLETRANSLATE(B21639,""en"",""es-ES"")"),"Algunos niños en clase están a punto de comenzar la lucha contra el brazo, ponen sus brazos en su lugar para comenzar.")</f>
        <v>Algunos niños en clase están a punto de comenzar la lucha contra el brazo, ponen sus brazos en su lugar para comenzar.</v>
      </c>
    </row>
    <row r="21640">
      <c r="A21640" s="4" t="s">
        <v>27249</v>
      </c>
      <c r="B21640" s="4" t="s">
        <v>27251</v>
      </c>
      <c r="C21640" s="5" t="str">
        <f>IFERROR(__xludf.DUMMYFUNCTION("GOOGLETRANSLATE(B21640,""en"",""es-ES"")"),"El otro niño al lado se siente en uno de los músculos de los luchadores.")</f>
        <v>El otro niño al lado se siente en uno de los músculos de los luchadores.</v>
      </c>
    </row>
    <row r="21641">
      <c r="A21641" s="4" t="s">
        <v>27249</v>
      </c>
      <c r="B21641" s="4" t="s">
        <v>27252</v>
      </c>
      <c r="C21641" s="5" t="str">
        <f>IFERROR(__xludf.DUMMYFUNCTION("GOOGLETRANSLATE(B21641,""en"",""es-ES"")"),"Está escribiendo las cosas manteniendo la puntuación y lo que no.")</f>
        <v>Está escribiendo las cosas manteniendo la puntuación y lo que no.</v>
      </c>
    </row>
    <row r="21642">
      <c r="A21642" s="4" t="s">
        <v>27249</v>
      </c>
      <c r="B21642" s="4" t="s">
        <v>27253</v>
      </c>
      <c r="C21642" s="5" t="str">
        <f>IFERROR(__xludf.DUMMYFUNCTION("GOOGLETRANSLATE(B21642,""en"",""es-ES"")"),"El luchador del brazo femenino gana derribando el brazo de otros chicos.")</f>
        <v>El luchador del brazo femenino gana derribando el brazo de otros chicos.</v>
      </c>
    </row>
    <row r="21643">
      <c r="A21643" s="4" t="s">
        <v>27254</v>
      </c>
      <c r="B21643" s="4" t="s">
        <v>27255</v>
      </c>
      <c r="C21643" s="5" t="str">
        <f>IFERROR(__xludf.DUMMYFUNCTION("GOOGLETRANSLATE(B21643,""en"",""es-ES"")"),"Un hombre recorta una pared de follaje al aire libre, mientras usa pantalones cortos y un par de auriculares que cancelan el ruido con una herramienta motorizada de recorte de árboles.")</f>
        <v>Un hombre recorta una pared de follaje al aire libre, mientras usa pantalones cortos y un par de auriculares que cancelan el ruido con una herramienta motorizada de recorte de árboles.</v>
      </c>
    </row>
    <row r="21644">
      <c r="A21644" s="4" t="s">
        <v>27254</v>
      </c>
      <c r="B21644" s="4" t="s">
        <v>27256</v>
      </c>
      <c r="C21644" s="5" t="str">
        <f>IFERROR(__xludf.DUMMYFUNCTION("GOOGLETRANSLATE(B21644,""en"",""es-ES"")"),"El hombre toma un descanso y luego sube una escalera y usa la herramienta con un brazo extendido para recortar la parte superior de la pared desde la parte superior de la escalera.")</f>
        <v>El hombre toma un descanso y luego sube una escalera y usa la herramienta con un brazo extendido para recortar la parte superior de la pared desde la parte superior de la escalera.</v>
      </c>
    </row>
    <row r="21645">
      <c r="A21645" s="4" t="s">
        <v>27254</v>
      </c>
      <c r="B21645" s="4" t="s">
        <v>27257</v>
      </c>
      <c r="C21645" s="5" t="str">
        <f>IFERROR(__xludf.DUMMYFUNCTION("GOOGLETRANSLATE(B21645,""en"",""es-ES"")"),"El hombre luego mueve la escalera a lo largo de la pared para continuar recortando el follaje.")</f>
        <v>El hombre luego mueve la escalera a lo largo de la pared para continuar recortando el follaje.</v>
      </c>
    </row>
    <row r="21646">
      <c r="A21646" s="4" t="s">
        <v>27258</v>
      </c>
      <c r="B21646" s="4" t="s">
        <v>27259</v>
      </c>
      <c r="C21646" s="5" t="str">
        <f>IFERROR(__xludf.DUMMYFUNCTION("GOOGLETRANSLATE(B21646,""en"",""es-ES"")"),"Se ve a un hombre hablando con la cámara sosteniendo un voleibol y conduce a disparos de él golpeando la pelota.")</f>
        <v>Se ve a un hombre hablando con la cámara sosteniendo un voleibol y conduce a disparos de él golpeando la pelota.</v>
      </c>
    </row>
    <row r="21647">
      <c r="A21647" s="4" t="s">
        <v>27258</v>
      </c>
      <c r="B21647" s="4" t="s">
        <v>27260</v>
      </c>
      <c r="C21647" s="5" t="str">
        <f>IFERROR(__xludf.DUMMYFUNCTION("GOOGLETRANSLATE(B21647,""en"",""es-ES"")"),"Continúa hablando con la cámara mientras sostiene la pelota y mira a lo lejos.")</f>
        <v>Continúa hablando con la cámara mientras sostiene la pelota y mira a lo lejos.</v>
      </c>
    </row>
    <row r="21648">
      <c r="A21648" s="4" t="s">
        <v>27261</v>
      </c>
      <c r="B21648" s="4" t="s">
        <v>27262</v>
      </c>
      <c r="C21648" s="5" t="str">
        <f>IFERROR(__xludf.DUMMYFUNCTION("GOOGLETRANSLATE(B21648,""en"",""es-ES"")"),"Se muestra a una persona en esquís que viajan detrás de un bote en agua que realiza varios trucos.")</f>
        <v>Se muestra a una persona en esquís que viajan detrás de un bote en agua que realiza varios trucos.</v>
      </c>
    </row>
    <row r="21649">
      <c r="A21649" s="4" t="s">
        <v>27261</v>
      </c>
      <c r="B21649" s="4" t="s">
        <v>27263</v>
      </c>
      <c r="C21649" s="5" t="str">
        <f>IFERROR(__xludf.DUMMYFUNCTION("GOOGLETRANSLATE(B21649,""en"",""es-ES"")"),"El hombre continúa haciendo varios trucos diferentes en los esquís y el bote moviéndose mucho más rápido.")</f>
        <v>El hombre continúa haciendo varios trucos diferentes en los esquís y el bote moviéndose mucho más rápido.</v>
      </c>
    </row>
    <row r="21650">
      <c r="A21650" s="4" t="s">
        <v>27264</v>
      </c>
      <c r="B21650" s="4" t="s">
        <v>27265</v>
      </c>
      <c r="C21650" s="5" t="str">
        <f>IFERROR(__xludf.DUMMYFUNCTION("GOOGLETRANSLATE(B21650,""en"",""es-ES"")"),"Se ve a una persona cabalgando sobre una cortadora de césped que corta la hierba en un campo grande.")</f>
        <v>Se ve a una persona cabalgando sobre una cortadora de césped que corta la hierba en un campo grande.</v>
      </c>
    </row>
    <row r="21651">
      <c r="A21651" s="4" t="s">
        <v>27264</v>
      </c>
      <c r="B21651" s="4" t="s">
        <v>27266</v>
      </c>
      <c r="C21651" s="5" t="str">
        <f>IFERROR(__xludf.DUMMYFUNCTION("GOOGLETRANSLATE(B21651,""en"",""es-ES"")"),"El joven se acerca a la cámara mientras conduce y corta el césped.")</f>
        <v>El joven se acerca a la cámara mientras conduce y corta el césped.</v>
      </c>
    </row>
    <row r="21652">
      <c r="A21652" s="4" t="s">
        <v>27267</v>
      </c>
      <c r="B21652" s="4" t="s">
        <v>27268</v>
      </c>
      <c r="C21652" s="5" t="str">
        <f>IFERROR(__xludf.DUMMYFUNCTION("GOOGLETRANSLATE(B21652,""en"",""es-ES"")"),"Se muestran dos bailes de salón de baile realizando una rutina en un gran auditorio.")</f>
        <v>Se muestran dos bailes de salón de baile realizando una rutina en un gran auditorio.</v>
      </c>
    </row>
    <row r="21653">
      <c r="A21653" s="4" t="s">
        <v>27267</v>
      </c>
      <c r="B21653" s="4" t="s">
        <v>27269</v>
      </c>
      <c r="C21653" s="5" t="str">
        <f>IFERROR(__xludf.DUMMYFUNCTION("GOOGLETRANSLATE(B21653,""en"",""es-ES"")"),"La pareja gira varias veces mientras la audiencia los anima en voz alta.")</f>
        <v>La pareja gira varias veces mientras la audiencia los anima en voz alta.</v>
      </c>
    </row>
    <row r="21654">
      <c r="A21654" s="4" t="s">
        <v>27267</v>
      </c>
      <c r="B21654" s="4" t="s">
        <v>27270</v>
      </c>
      <c r="C21654" s="5" t="str">
        <f>IFERROR(__xludf.DUMMYFUNCTION("GOOGLETRANSLATE(B21654,""en"",""es-ES"")"),"Continúan realizando su rutina de baile y varias personas en la mirada utilizando teléfonos y cámaras.")</f>
        <v>Continúan realizando su rutina de baile y varias personas en la mirada utilizando teléfonos y cámaras.</v>
      </c>
    </row>
    <row r="21655">
      <c r="A21655" s="4" t="s">
        <v>27267</v>
      </c>
      <c r="B21655" s="4" t="s">
        <v>27271</v>
      </c>
      <c r="C21655" s="5" t="str">
        <f>IFERROR(__xludf.DUMMYFUNCTION("GOOGLETRANSLATE(B21655,""en"",""es-ES"")"),"La pareja hace un último giro y finalmente hace una reverencia.")</f>
        <v>La pareja hace un último giro y finalmente hace una reverencia.</v>
      </c>
    </row>
    <row r="21656">
      <c r="A21656" s="4" t="s">
        <v>27272</v>
      </c>
      <c r="B21656" s="4" t="s">
        <v>27273</v>
      </c>
      <c r="C21656" s="5" t="str">
        <f>IFERROR(__xludf.DUMMYFUNCTION("GOOGLETRANSLATE(B21656,""en"",""es-ES"")"),"Se muestra a un hombre cortando su césped con un cortacésped.")</f>
        <v>Se muestra a un hombre cortando su césped con un cortacésped.</v>
      </c>
    </row>
    <row r="21657">
      <c r="A21657" s="4" t="s">
        <v>27272</v>
      </c>
      <c r="B21657" s="4" t="s">
        <v>27274</v>
      </c>
      <c r="C21657" s="5" t="str">
        <f>IFERROR(__xludf.DUMMYFUNCTION("GOOGLETRANSLATE(B21657,""en"",""es-ES"")"),"Se da vuelta y va y viene, dejando marcas en el césped.")</f>
        <v>Se da vuelta y va y viene, dejando marcas en el césped.</v>
      </c>
    </row>
    <row r="21658">
      <c r="A21658" s="4" t="s">
        <v>27272</v>
      </c>
      <c r="B21658" s="4" t="s">
        <v>27275</v>
      </c>
      <c r="C21658" s="5" t="str">
        <f>IFERROR(__xludf.DUMMYFUNCTION("GOOGLETRANSLATE(B21658,""en"",""es-ES"")"),"Un hombre habla en la esquina de la pantalla sobre el proceso.")</f>
        <v>Un hombre habla en la esquina de la pantalla sobre el proceso.</v>
      </c>
    </row>
    <row r="21659">
      <c r="A21659" s="4" t="s">
        <v>27276</v>
      </c>
      <c r="B21659" s="4" t="s">
        <v>27277</v>
      </c>
      <c r="C21659" s="5" t="str">
        <f>IFERROR(__xludf.DUMMYFUNCTION("GOOGLETRANSLATE(B21659,""en"",""es-ES"")"),"Se ve un logotipo olímpico con los 5 anillos.")</f>
        <v>Se ve un logotipo olímpico con los 5 anillos.</v>
      </c>
    </row>
    <row r="21660">
      <c r="A21660" s="4" t="s">
        <v>27276</v>
      </c>
      <c r="B21660" s="4" t="s">
        <v>27278</v>
      </c>
      <c r="C21660" s="5" t="str">
        <f>IFERROR(__xludf.DUMMYFUNCTION("GOOGLETRANSLATE(B21660,""en"",""es-ES"")"),"Un niño con camisa a rayas en un gimnasio levanta una barra de pesas sobre su cabeza.")</f>
        <v>Un niño con camisa a rayas en un gimnasio levanta una barra de pesas sobre su cabeza.</v>
      </c>
    </row>
    <row r="21661">
      <c r="A21661" s="4" t="s">
        <v>27276</v>
      </c>
      <c r="B21661" s="4" t="s">
        <v>27279</v>
      </c>
      <c r="C21661" s="5" t="str">
        <f>IFERROR(__xludf.DUMMYFUNCTION("GOOGLETRANSLATE(B21661,""en"",""es-ES"")"),"Un joven con pantalones cortos azules levanta una barra de pesas sobre su cabeza en un gimnasio lleno de gente.")</f>
        <v>Un joven con pantalones cortos azules levanta una barra de pesas sobre su cabeza en un gimnasio lleno de gente.</v>
      </c>
    </row>
    <row r="21662">
      <c r="A21662" s="4" t="s">
        <v>27276</v>
      </c>
      <c r="B21662" s="4" t="s">
        <v>27280</v>
      </c>
      <c r="C21662" s="5" t="str">
        <f>IFERROR(__xludf.DUMMYFUNCTION("GOOGLETRANSLATE(B21662,""en"",""es-ES"")"),"Los atletas profesionales en las competiciones levantan grandes barras con gran peso sobre la cabeza para juzgar.")</f>
        <v>Los atletas profesionales en las competiciones levantan grandes barras con gran peso sobre la cabeza para juzgar.</v>
      </c>
    </row>
    <row r="21663">
      <c r="A21663" s="4" t="s">
        <v>27281</v>
      </c>
      <c r="B21663" s="4" t="s">
        <v>27282</v>
      </c>
      <c r="C21663" s="5" t="str">
        <f>IFERROR(__xludf.DUMMYFUNCTION("GOOGLETRANSLATE(B21663,""en"",""es-ES"")"),"Un hombre está solo en el gimnasio y comienza a hablar con la cámara.")</f>
        <v>Un hombre está solo en el gimnasio y comienza a hablar con la cámara.</v>
      </c>
    </row>
    <row r="21664">
      <c r="A21664" s="4" t="s">
        <v>27281</v>
      </c>
      <c r="B21664" s="4" t="s">
        <v>27283</v>
      </c>
      <c r="C21664" s="5" t="str">
        <f>IFERROR(__xludf.DUMMYFUNCTION("GOOGLETRANSLATE(B21664,""en"",""es-ES"")"),"Luego levanta el puño y comienza al boxeo de la sombra mientras se mueve por la habitación.")</f>
        <v>Luego levanta el puño y comienza al boxeo de la sombra mientras se mueve por la habitación.</v>
      </c>
    </row>
    <row r="21665">
      <c r="A21665" s="4" t="s">
        <v>27281</v>
      </c>
      <c r="B21665" s="4" t="s">
        <v>27284</v>
      </c>
      <c r="C21665" s="5" t="str">
        <f>IFERROR(__xludf.DUMMYFUNCTION("GOOGLETRANSLATE(B21665,""en"",""es-ES"")"),"Luego, agrega los pies y comienza a patear el aire y se torcía como si alguien estuviera allí golpeándolo.")</f>
        <v>Luego, agrega los pies y comienza a patear el aire y se torcía como si alguien estuviera allí golpeándolo.</v>
      </c>
    </row>
    <row r="21666">
      <c r="A21666" s="4" t="s">
        <v>27281</v>
      </c>
      <c r="B21666" s="4" t="s">
        <v>27285</v>
      </c>
      <c r="C21666" s="5" t="str">
        <f>IFERROR(__xludf.DUMMYFUNCTION("GOOGLETRANSLATE(B21666,""en"",""es-ES"")"),"Finalmente, regresa a la pantalla un poco sin aliento para terminar el video.")</f>
        <v>Finalmente, regresa a la pantalla un poco sin aliento para terminar el video.</v>
      </c>
    </row>
    <row r="21667">
      <c r="A21667" s="4" t="s">
        <v>27286</v>
      </c>
      <c r="B21667" s="4" t="s">
        <v>27287</v>
      </c>
      <c r="C21667" s="5" t="str">
        <f>IFERROR(__xludf.DUMMYFUNCTION("GOOGLETRANSLATE(B21667,""en"",""es-ES"")"),"Se ve a un pequeño grupo de personas sentados en un auto de parachoques y comienza a conducir chocando entre sí.")</f>
        <v>Se ve a un pequeño grupo de personas sentados en un auto de parachoques y comienza a conducir chocando entre sí.</v>
      </c>
    </row>
    <row r="21668">
      <c r="A21668" s="4" t="s">
        <v>27286</v>
      </c>
      <c r="B21668" s="4" t="s">
        <v>27288</v>
      </c>
      <c r="C21668" s="5" t="str">
        <f>IFERROR(__xludf.DUMMYFUNCTION("GOOGLETRANSLATE(B21668,""en"",""es-ES"")"),"La cámara sigue a una mujer que parece que no puede mover el auto y otros a un lado le indican cómo conducir mientras otros se estrellan contra ella.")</f>
        <v>La cámara sigue a una mujer que parece que no puede mover el auto y otros a un lado le indican cómo conducir mientras otros se estrellan contra ella.</v>
      </c>
    </row>
    <row r="21669">
      <c r="A21669" s="4" t="s">
        <v>27289</v>
      </c>
      <c r="B21669" s="4" t="s">
        <v>27290</v>
      </c>
      <c r="C21669" s="5" t="str">
        <f>IFERROR(__xludf.DUMMYFUNCTION("GOOGLETRANSLATE(B21669,""en"",""es-ES"")"),"Se ve a un hombre hablando con la cámara frente a una gran piscina mientras usa sus manos con entusiasmo.")</f>
        <v>Se ve a un hombre hablando con la cámara frente a una gran piscina mientras usa sus manos con entusiasmo.</v>
      </c>
    </row>
    <row r="21670">
      <c r="A21670" s="4" t="s">
        <v>27289</v>
      </c>
      <c r="B21670" s="4" t="s">
        <v>27291</v>
      </c>
      <c r="C21670" s="5" t="str">
        <f>IFERROR(__xludf.DUMMYFUNCTION("GOOGLETRANSLATE(B21670,""en"",""es-ES"")"),"El hombre continúa hablando mientras usa sus manos y sartenes para el hombre que nadaba alrededor de la piscina y vuelve a hablar.")</f>
        <v>El hombre continúa hablando mientras usa sus manos y sartenes para el hombre que nadaba alrededor de la piscina y vuelve a hablar.</v>
      </c>
    </row>
    <row r="21671">
      <c r="A21671" s="4" t="s">
        <v>27292</v>
      </c>
      <c r="B21671" s="4" t="s">
        <v>27293</v>
      </c>
      <c r="C21671" s="5" t="str">
        <f>IFERROR(__xludf.DUMMYFUNCTION("GOOGLETRANSLATE(B21671,""en"",""es-ES"")"),"Vemos una arena de las puertas.")</f>
        <v>Vemos una arena de las puertas.</v>
      </c>
    </row>
    <row r="21672">
      <c r="A21672" s="4" t="s">
        <v>27292</v>
      </c>
      <c r="B21672" s="4" t="s">
        <v>27294</v>
      </c>
      <c r="C21672" s="5" t="str">
        <f>IFERROR(__xludf.DUMMYFUNCTION("GOOGLETRANSLATE(B21672,""en"",""es-ES"")"),"Vemos personas en trampolín realizando flips en la arena.")</f>
        <v>Vemos personas en trampolín realizando flips en la arena.</v>
      </c>
    </row>
    <row r="21673">
      <c r="A21673" s="4" t="s">
        <v>27292</v>
      </c>
      <c r="B21673" s="4" t="s">
        <v>27295</v>
      </c>
      <c r="C21673" s="5" t="str">
        <f>IFERROR(__xludf.DUMMYFUNCTION("GOOGLETRANSLATE(B21673,""en"",""es-ES"")"),"Vemos a una persona casi caer después de voltear.")</f>
        <v>Vemos a una persona casi caer después de voltear.</v>
      </c>
    </row>
    <row r="21674">
      <c r="A21674" s="4" t="s">
        <v>27292</v>
      </c>
      <c r="B21674" s="4" t="s">
        <v>27296</v>
      </c>
      <c r="C21674" s="5" t="str">
        <f>IFERROR(__xludf.DUMMYFUNCTION("GOOGLETRANSLATE(B21674,""en"",""es-ES"")"),"La persona aterriza y casi cae.")</f>
        <v>La persona aterriza y casi cae.</v>
      </c>
    </row>
    <row r="21675">
      <c r="A21675" s="4" t="s">
        <v>27292</v>
      </c>
      <c r="B21675" s="4" t="s">
        <v>27297</v>
      </c>
      <c r="C21675" s="5" t="str">
        <f>IFERROR(__xludf.DUMMYFUNCTION("GOOGLETRANSLATE(B21675,""en"",""es-ES"")"),"Una persona voltea varias veces por una tira en el suelo.")</f>
        <v>Una persona voltea varias veces por una tira en el suelo.</v>
      </c>
    </row>
    <row r="21676">
      <c r="A21676" s="4" t="s">
        <v>27292</v>
      </c>
      <c r="B21676" s="4" t="s">
        <v>27298</v>
      </c>
      <c r="C21676" s="5" t="str">
        <f>IFERROR(__xludf.DUMMYFUNCTION("GOOGLETRANSLATE(B21676,""en"",""es-ES"")"),"Vemos a un hombre saltar y aterrizar en el trampolín en cámara lenta.")</f>
        <v>Vemos a un hombre saltar y aterrizar en el trampolín en cámara lenta.</v>
      </c>
    </row>
    <row r="21677">
      <c r="A21677" s="4" t="s">
        <v>27292</v>
      </c>
      <c r="B21677" s="4" t="s">
        <v>11124</v>
      </c>
      <c r="C21677" s="5" t="str">
        <f>IFERROR(__xludf.DUMMYFUNCTION("GOOGLETRANSLATE(B21677,""en"",""es-ES"")"),"Vemos las pantallas de título final.")</f>
        <v>Vemos las pantallas de título final.</v>
      </c>
    </row>
    <row r="21678">
      <c r="A21678" s="4" t="s">
        <v>27299</v>
      </c>
      <c r="B21678" s="4" t="s">
        <v>27300</v>
      </c>
      <c r="C21678" s="5" t="str">
        <f>IFERROR(__xludf.DUMMYFUNCTION("GOOGLETRANSLATE(B21678,""en"",""es-ES"")"),"Vemos una pantalla de apertura animada.")</f>
        <v>Vemos una pantalla de apertura animada.</v>
      </c>
    </row>
    <row r="21679">
      <c r="A21679" s="4" t="s">
        <v>27299</v>
      </c>
      <c r="B21679" s="4" t="s">
        <v>27301</v>
      </c>
      <c r="C21679" s="5" t="str">
        <f>IFERROR(__xludf.DUMMYFUNCTION("GOOGLETRANSLATE(B21679,""en"",""es-ES"")"),"Un hombre conduce y luego sale de su auto.")</f>
        <v>Un hombre conduce y luego sale de su auto.</v>
      </c>
    </row>
    <row r="21680">
      <c r="A21680" s="4" t="s">
        <v>27299</v>
      </c>
      <c r="B21680" s="4" t="s">
        <v>27302</v>
      </c>
      <c r="C21680" s="5" t="str">
        <f>IFERROR(__xludf.DUMMYFUNCTION("GOOGLETRANSLATE(B21680,""en"",""es-ES"")"),"Vemos a un hombre rodando en una plaza y un parque de patinaje.")</f>
        <v>Vemos a un hombre rodando en una plaza y un parque de patinaje.</v>
      </c>
    </row>
    <row r="21681">
      <c r="A21681" s="4" t="s">
        <v>27299</v>
      </c>
      <c r="B21681" s="4" t="s">
        <v>27303</v>
      </c>
      <c r="C21681" s="5" t="str">
        <f>IFERROR(__xludf.DUMMYFUNCTION("GOOGLETRANSLATE(B21681,""en"",""es-ES"")"),"Vemos los pies del hombre en las cuchillas y luego la cara de un hombre.")</f>
        <v>Vemos los pies del hombre en las cuchillas y luego la cara de un hombre.</v>
      </c>
    </row>
    <row r="21682">
      <c r="A21682" s="4" t="s">
        <v>27299</v>
      </c>
      <c r="B21682" s="4" t="s">
        <v>27304</v>
      </c>
      <c r="C21682" s="5" t="str">
        <f>IFERROR(__xludf.DUMMYFUNCTION("GOOGLETRANSLATE(B21682,""en"",""es-ES"")"),"Vemos al hombre de pie en una acera elevada y luego patinando sobre la barandilla.")</f>
        <v>Vemos al hombre de pie en una acera elevada y luego patinando sobre la barandilla.</v>
      </c>
    </row>
    <row r="21683">
      <c r="A21683" s="4" t="s">
        <v>27299</v>
      </c>
      <c r="B21683" s="4" t="s">
        <v>27305</v>
      </c>
      <c r="C21683" s="5" t="str">
        <f>IFERROR(__xludf.DUMMYFUNCTION("GOOGLETRANSLATE(B21683,""en"",""es-ES"")"),"Vemos al hombre patinar a través de un banco y luego ponerse gafas de sol.")</f>
        <v>Vemos al hombre patinar a través de un banco y luego ponerse gafas de sol.</v>
      </c>
    </row>
    <row r="21684">
      <c r="A21684" s="4" t="s">
        <v>27299</v>
      </c>
      <c r="B21684" s="4" t="s">
        <v>27306</v>
      </c>
      <c r="C21684" s="5" t="str">
        <f>IFERROR(__xludf.DUMMYFUNCTION("GOOGLETRANSLATE(B21684,""en"",""es-ES"")"),"Vemos al hombre girar y hacer clic en un botón y un automóvil explota.")</f>
        <v>Vemos al hombre girar y hacer clic en un botón y un automóvil explota.</v>
      </c>
    </row>
    <row r="21685">
      <c r="A21685" s="4" t="s">
        <v>27299</v>
      </c>
      <c r="B21685" s="4" t="s">
        <v>5107</v>
      </c>
      <c r="C21685" s="5" t="str">
        <f>IFERROR(__xludf.DUMMYFUNCTION("GOOGLETRANSLATE(B21685,""en"",""es-ES"")"),"Luego vemos la pantalla de título final.")</f>
        <v>Luego vemos la pantalla de título final.</v>
      </c>
    </row>
    <row r="21686">
      <c r="A21686" s="4" t="s">
        <v>27307</v>
      </c>
      <c r="B21686" s="4" t="s">
        <v>27308</v>
      </c>
      <c r="C21686" s="5" t="str">
        <f>IFERROR(__xludf.DUMMYFUNCTION("GOOGLETRANSLATE(B21686,""en"",""es-ES"")"),"Un hombre atiende una pelota de tenis en la cancha.")</f>
        <v>Un hombre atiende una pelota de tenis en la cancha.</v>
      </c>
    </row>
    <row r="21687">
      <c r="A21687" s="4" t="s">
        <v>27307</v>
      </c>
      <c r="B21687" s="4" t="s">
        <v>27309</v>
      </c>
      <c r="C21687" s="5" t="str">
        <f>IFERROR(__xludf.DUMMYFUNCTION("GOOGLETRANSLATE(B21687,""en"",""es-ES"")"),"El hombre se vuelve para hablar con la cámara.")</f>
        <v>El hombre se vuelve para hablar con la cámara.</v>
      </c>
    </row>
    <row r="21688">
      <c r="A21688" s="4" t="s">
        <v>27310</v>
      </c>
      <c r="B21688" s="4" t="s">
        <v>27311</v>
      </c>
      <c r="C21688" s="5" t="str">
        <f>IFERROR(__xludf.DUMMYFUNCTION("GOOGLETRANSLATE(B21688,""en"",""es-ES"")"),"Un luchador, de pie en la cima de una escalera, con otro hombre en la escalera con él, pero frente a él, salta de la escalera desde la cima y lleva a la otra persona con él.")</f>
        <v>Un luchador, de pie en la cima de una escalera, con otro hombre en la escalera con él, pero frente a él, salta de la escalera desde la cima y lleva a la otra persona con él.</v>
      </c>
    </row>
    <row r="21689">
      <c r="A21689" s="4" t="s">
        <v>27310</v>
      </c>
      <c r="B21689" s="4" t="s">
        <v>27312</v>
      </c>
      <c r="C21689" s="5" t="str">
        <f>IFERROR(__xludf.DUMMYFUNCTION("GOOGLETRANSLATE(B21689,""en"",""es-ES"")"),"Un hombre con un vestuario de lucha libre se encuentra en la parte superior de una escalera en medio de un anillo con un árbitro y gente en la audiencia.")</f>
        <v>Un hombre con un vestuario de lucha libre se encuentra en la parte superior de una escalera en medio de un anillo con un árbitro y gente en la audiencia.</v>
      </c>
    </row>
    <row r="21690">
      <c r="A21690" s="4" t="s">
        <v>27310</v>
      </c>
      <c r="B21690" s="4" t="s">
        <v>27313</v>
      </c>
      <c r="C21690" s="5" t="str">
        <f>IFERROR(__xludf.DUMMYFUNCTION("GOOGLETRANSLATE(B21690,""en"",""es-ES"")"),"El hombre salta de la escalera cuando la gente en la audiencia aplaude para él y el otro hombre también se cae.")</f>
        <v>El hombre salta de la escalera cuando la gente en la audiencia aplaude para él y el otro hombre también se cae.</v>
      </c>
    </row>
    <row r="21691">
      <c r="A21691" s="4" t="s">
        <v>27314</v>
      </c>
      <c r="B21691" s="4" t="s">
        <v>27315</v>
      </c>
      <c r="C21691" s="5" t="str">
        <f>IFERROR(__xludf.DUMMYFUNCTION("GOOGLETRANSLATE(B21691,""en"",""es-ES"")"),"La gente navega en un río rocoso en botes individuales inflables.")</f>
        <v>La gente navega en un río rocoso en botes individuales inflables.</v>
      </c>
    </row>
    <row r="21692">
      <c r="A21692" s="4" t="s">
        <v>27314</v>
      </c>
      <c r="B21692" s="4" t="s">
        <v>27316</v>
      </c>
      <c r="C21692" s="5" t="str">
        <f>IFERROR(__xludf.DUMMYFUNCTION("GOOGLETRANSLATE(B21692,""en"",""es-ES"")"),"Los barcos pasan con dificultad entre las rocas.")</f>
        <v>Los barcos pasan con dificultad entre las rocas.</v>
      </c>
    </row>
    <row r="21693">
      <c r="A21693" s="4" t="s">
        <v>27314</v>
      </c>
      <c r="B21693" s="4" t="s">
        <v>27317</v>
      </c>
      <c r="C21693" s="5" t="str">
        <f>IFERROR(__xludf.DUMMYFUNCTION("GOOGLETRANSLATE(B21693,""en"",""es-ES"")"),"Luego, la gente entra en aguas más problemáticas.")</f>
        <v>Luego, la gente entra en aguas más problemáticas.</v>
      </c>
    </row>
    <row r="21694">
      <c r="A21694" s="4" t="s">
        <v>27318</v>
      </c>
      <c r="B21694" s="4" t="s">
        <v>27319</v>
      </c>
      <c r="C21694" s="5" t="str">
        <f>IFERROR(__xludf.DUMMYFUNCTION("GOOGLETRANSLATE(B21694,""en"",""es-ES"")"),"Los niños están parados en la apertura de una caricatura.")</f>
        <v>Los niños están parados en la apertura de una caricatura.</v>
      </c>
    </row>
    <row r="21695">
      <c r="A21695" s="4" t="s">
        <v>27318</v>
      </c>
      <c r="B21695" s="4" t="s">
        <v>27320</v>
      </c>
      <c r="C21695" s="5" t="str">
        <f>IFERROR(__xludf.DUMMYFUNCTION("GOOGLETRANSLATE(B21695,""en"",""es-ES"")"),"La mujer está hablando frente a una micropona frente a una gran audiencia.")</f>
        <v>La mujer está hablando frente a una micropona frente a una gran audiencia.</v>
      </c>
    </row>
    <row r="21696">
      <c r="A21696" s="4" t="s">
        <v>27318</v>
      </c>
      <c r="B21696" s="4" t="s">
        <v>27321</v>
      </c>
      <c r="C21696" s="5" t="str">
        <f>IFERROR(__xludf.DUMMYFUNCTION("GOOGLETRANSLATE(B21696,""en"",""es-ES"")"),"Los mmen están en medio de una arena en un gran estadio que lucha entre ellos.")</f>
        <v>Los mmen están en medio de una arena en un gran estadio que lucha entre ellos.</v>
      </c>
    </row>
    <row r="21697">
      <c r="A21697" s="4" t="s">
        <v>27322</v>
      </c>
      <c r="B21697" s="4" t="s">
        <v>27323</v>
      </c>
      <c r="C21697" s="5" t="str">
        <f>IFERROR(__xludf.DUMMYFUNCTION("GOOGLETRANSLATE(B21697,""en"",""es-ES"")"),"Un hombre camina al escenario para unirse a una banda.")</f>
        <v>Un hombre camina al escenario para unirse a una banda.</v>
      </c>
    </row>
    <row r="21698">
      <c r="A21698" s="4" t="s">
        <v>27322</v>
      </c>
      <c r="B21698" s="4" t="s">
        <v>27324</v>
      </c>
      <c r="C21698" s="5" t="str">
        <f>IFERROR(__xludf.DUMMYFUNCTION("GOOGLETRANSLATE(B21698,""en"",""es-ES"")"),"Un hombre toca frente a una banda con una armónica.")</f>
        <v>Un hombre toca frente a una banda con una armónica.</v>
      </c>
    </row>
    <row r="21699">
      <c r="A21699" s="4" t="s">
        <v>27322</v>
      </c>
      <c r="B21699" s="4" t="s">
        <v>27325</v>
      </c>
      <c r="C21699" s="5" t="str">
        <f>IFERROR(__xludf.DUMMYFUNCTION("GOOGLETRANSLATE(B21699,""en"",""es-ES"")"),"El tecladista toca un solo enérgico durante la canción.")</f>
        <v>El tecladista toca un solo enérgico durante la canción.</v>
      </c>
    </row>
    <row r="21700">
      <c r="A21700" s="4" t="s">
        <v>27322</v>
      </c>
      <c r="B21700" s="4" t="s">
        <v>27326</v>
      </c>
      <c r="C21700" s="5" t="str">
        <f>IFERROR(__xludf.DUMMYFUNCTION("GOOGLETRANSLATE(B21700,""en"",""es-ES"")"),"El hombre felicita y da un máximo a los cinco al tecladista al final de la canción.")</f>
        <v>El hombre felicita y da un máximo a los cinco al tecladista al final de la canción.</v>
      </c>
    </row>
    <row r="21701">
      <c r="A21701" s="4" t="s">
        <v>27327</v>
      </c>
      <c r="B21701" s="4" t="s">
        <v>27328</v>
      </c>
      <c r="C21701" s="5" t="str">
        <f>IFERROR(__xludf.DUMMYFUNCTION("GOOGLETRANSLATE(B21701,""en"",""es-ES"")"),"Un hombre con bronceado y una camisa con botones barre un piso con una escoba amplia.")</f>
        <v>Un hombre con bronceado y una camisa con botones barre un piso con una escoba amplia.</v>
      </c>
    </row>
    <row r="21702">
      <c r="A21702" s="4" t="s">
        <v>27327</v>
      </c>
      <c r="B21702" s="4" t="s">
        <v>27329</v>
      </c>
      <c r="C21702" s="5" t="str">
        <f>IFERROR(__xludf.DUMMYFUNCTION("GOOGLETRANSLATE(B21702,""en"",""es-ES"")"),"Un hombre camina y barre un piso caminando a la izquierda de la habitación empujando la amplia escoba frente a él.")</f>
        <v>Un hombre camina y barre un piso caminando a la izquierda de la habitación empujando la amplia escoba frente a él.</v>
      </c>
    </row>
    <row r="21703">
      <c r="A21703" s="4" t="s">
        <v>27327</v>
      </c>
      <c r="B21703" s="4" t="s">
        <v>27330</v>
      </c>
      <c r="C21703" s="5" t="str">
        <f>IFERROR(__xludf.DUMMYFUNCTION("GOOGLETRANSLATE(B21703,""en"",""es-ES"")"),"El hombre luego camina hacia el lado derecho de la habitación con la misma escoba ancha.")</f>
        <v>El hombre luego camina hacia el lado derecho de la habitación con la misma escoba ancha.</v>
      </c>
    </row>
    <row r="21704">
      <c r="A21704" s="4" t="s">
        <v>27327</v>
      </c>
      <c r="B21704" s="4" t="s">
        <v>27331</v>
      </c>
      <c r="C21704" s="5" t="str">
        <f>IFERROR(__xludf.DUMMYFUNCTION("GOOGLETRANSLATE(B21704,""en"",""es-ES"")"),"El hombre luego termina de barrer, llena la escoba en la esquina de la habitación y se para contra la pared frente a una ventana.")</f>
        <v>El hombre luego termina de barrer, llena la escoba en la esquina de la habitación y se para contra la pared frente a una ventana.</v>
      </c>
    </row>
    <row r="21705">
      <c r="A21705" s="4" t="s">
        <v>27332</v>
      </c>
      <c r="B21705" s="4" t="s">
        <v>27333</v>
      </c>
      <c r="C21705" s="5" t="str">
        <f>IFERROR(__xludf.DUMMYFUNCTION("GOOGLETRANSLATE(B21705,""en"",""es-ES"")"),"Se ve a un niño pequeño de pie preparado sosteniendo un poste y luego corre por una larga pista y lanza el poste.")</f>
        <v>Se ve a un niño pequeño de pie preparado sosteniendo un poste y luego corre por una larga pista y lanza el poste.</v>
      </c>
    </row>
    <row r="21706">
      <c r="A21706" s="4" t="s">
        <v>27332</v>
      </c>
      <c r="B21706" s="4" t="s">
        <v>27334</v>
      </c>
      <c r="C21706" s="5" t="str">
        <f>IFERROR(__xludf.DUMMYFUNCTION("GOOGLETRANSLATE(B21706,""en"",""es-ES"")"),"Camina por la pista cuando se ve a otra persona corriendo y tirando el palo.")</f>
        <v>Camina por la pista cuando se ve a otra persona corriendo y tirando el palo.</v>
      </c>
    </row>
    <row r="21707">
      <c r="A21707" s="4" t="s">
        <v>27332</v>
      </c>
      <c r="B21707" s="4" t="s">
        <v>27335</v>
      </c>
      <c r="C21707" s="5" t="str">
        <f>IFERROR(__xludf.DUMMYFUNCTION("GOOGLETRANSLATE(B21707,""en"",""es-ES"")"),"Finalmente, un último chico se acerca a la pista para lanzar la jabalina y luego regresa a los demás.")</f>
        <v>Finalmente, un último chico se acerca a la pista para lanzar la jabalina y luego regresa a los demás.</v>
      </c>
    </row>
    <row r="21708">
      <c r="A21708" s="4" t="s">
        <v>27336</v>
      </c>
      <c r="B21708" s="4" t="s">
        <v>27337</v>
      </c>
      <c r="C21708" s="5" t="str">
        <f>IFERROR(__xludf.DUMMYFUNCTION("GOOGLETRANSLATE(B21708,""en"",""es-ES"")"),"Se muestra una introducción con texto en la pantalla seguida de dos caracteres de dibujos animados.")</f>
        <v>Se muestra una introducción con texto en la pantalla seguida de dos caracteres de dibujos animados.</v>
      </c>
    </row>
    <row r="21709">
      <c r="A21709" s="4" t="s">
        <v>27336</v>
      </c>
      <c r="B21709" s="4" t="s">
        <v>27338</v>
      </c>
      <c r="C21709" s="5" t="str">
        <f>IFERROR(__xludf.DUMMYFUNCTION("GOOGLETRANSLATE(B21709,""en"",""es-ES"")"),"Los personajes se hablan unos a otros y lideran a ellos jugando un juego.")</f>
        <v>Los personajes se hablan unos a otros y lideran a ellos jugando un juego.</v>
      </c>
    </row>
    <row r="21710">
      <c r="A21710" s="4" t="s">
        <v>27336</v>
      </c>
      <c r="B21710" s="4" t="s">
        <v>27339</v>
      </c>
      <c r="C21710" s="5" t="str">
        <f>IFERROR(__xludf.DUMMYFUNCTION("GOOGLETRANSLATE(B21710,""en"",""es-ES"")"),"Un personaje pierde el juego y luego desaparece.")</f>
        <v>Un personaje pierde el juego y luego desaparece.</v>
      </c>
    </row>
    <row r="21711">
      <c r="A21711" s="4" t="s">
        <v>27340</v>
      </c>
      <c r="B21711" s="4" t="s">
        <v>27341</v>
      </c>
      <c r="C21711" s="5" t="str">
        <f>IFERROR(__xludf.DUMMYFUNCTION("GOOGLETRANSLATE(B21711,""en"",""es-ES"")"),"Vemos a un joven hablando en un estudio de noticias.")</f>
        <v>Vemos a un joven hablando en un estudio de noticias.</v>
      </c>
    </row>
    <row r="21712">
      <c r="A21712" s="4" t="s">
        <v>27340</v>
      </c>
      <c r="B21712" s="4" t="s">
        <v>27342</v>
      </c>
      <c r="C21712" s="5" t="str">
        <f>IFERROR(__xludf.DUMMYFUNCTION("GOOGLETRANSLATE(B21712,""en"",""es-ES"")"),"Vemos a un hombre montando una bicicleta estacionaria y vemos una foto del hombre sosteniendo un pastel.")</f>
        <v>Vemos a un hombre montando una bicicleta estacionaria y vemos una foto del hombre sosteniendo un pastel.</v>
      </c>
    </row>
    <row r="21713">
      <c r="A21713" s="4" t="s">
        <v>27340</v>
      </c>
      <c r="B21713" s="4" t="s">
        <v>27343</v>
      </c>
      <c r="C21713" s="5" t="str">
        <f>IFERROR(__xludf.DUMMYFUNCTION("GOOGLETRANSLATE(B21713,""en"",""es-ES"")"),"Vemos al hombre entrevistado cortado con escenas del hombre haciendo ejercicio.")</f>
        <v>Vemos al hombre entrevistado cortado con escenas del hombre haciendo ejercicio.</v>
      </c>
    </row>
    <row r="21714">
      <c r="A21714" s="4" t="s">
        <v>27340</v>
      </c>
      <c r="B21714" s="4" t="s">
        <v>27344</v>
      </c>
      <c r="C21714" s="5" t="str">
        <f>IFERROR(__xludf.DUMMYFUNCTION("GOOGLETRANSLATE(B21714,""en"",""es-ES"")"),"Vemos al hombre en la imagen sosteniendo el pastel nuevamente y vemos al hombre en la camisa que ya no se ajusta y es demasiado grande.")</f>
        <v>Vemos al hombre en la imagen sosteniendo el pastel nuevamente y vemos al hombre en la camisa que ya no se ajusta y es demasiado grande.</v>
      </c>
    </row>
    <row r="21715">
      <c r="A21715" s="4" t="s">
        <v>27340</v>
      </c>
      <c r="B21715" s="4" t="s">
        <v>27345</v>
      </c>
      <c r="C21715" s="5" t="str">
        <f>IFERROR(__xludf.DUMMYFUNCTION("GOOGLETRANSLATE(B21715,""en"",""es-ES"")"),"Vemos al hombre haciendo ejercicio nuevamente.")</f>
        <v>Vemos al hombre haciendo ejercicio nuevamente.</v>
      </c>
    </row>
    <row r="21716">
      <c r="A21716" s="4" t="s">
        <v>27340</v>
      </c>
      <c r="B21716" s="4" t="s">
        <v>27346</v>
      </c>
      <c r="C21716" s="5" t="str">
        <f>IFERROR(__xludf.DUMMYFUNCTION("GOOGLETRANSLATE(B21716,""en"",""es-ES"")"),"Vemos tres presentadores de noticias en el estudio.")</f>
        <v>Vemos tres presentadores de noticias en el estudio.</v>
      </c>
    </row>
    <row r="21717">
      <c r="A21717" s="4" t="s">
        <v>27347</v>
      </c>
      <c r="B21717" s="4" t="s">
        <v>27348</v>
      </c>
      <c r="C21717" s="5" t="str">
        <f>IFERROR(__xludf.DUMMYFUNCTION("GOOGLETRANSLATE(B21717,""en"",""es-ES"")"),"Un instructor de Pilates en patines explica cómo atar a sus protectores de riesgo con fuerza y ​​muestra que necesita rodillas para proteger sus rodillas.")</f>
        <v>Un instructor de Pilates en patines explica cómo atar a sus protectores de riesgo con fuerza y ​​muestra que necesita rodillas para proteger sus rodillas.</v>
      </c>
    </row>
    <row r="21718">
      <c r="A21718" s="4" t="s">
        <v>27347</v>
      </c>
      <c r="B21718" s="4" t="s">
        <v>27349</v>
      </c>
      <c r="C21718" s="5" t="str">
        <f>IFERROR(__xludf.DUMMYFUNCTION("GOOGLETRANSLATE(B21718,""en"",""es-ES"")"),"Luego, la señora explica el movimiento de patines y cómo usar los descansos que están en la parte posterior de los patines.")</f>
        <v>Luego, la señora explica el movimiento de patines y cómo usar los descansos que están en la parte posterior de los patines.</v>
      </c>
    </row>
    <row r="21719">
      <c r="A21719" s="4" t="s">
        <v>27347</v>
      </c>
      <c r="B21719" s="4" t="s">
        <v>27350</v>
      </c>
      <c r="C21719" s="5" t="str">
        <f>IFERROR(__xludf.DUMMYFUNCTION("GOOGLETRANSLATE(B21719,""en"",""es-ES"")"),"Finalmente, la señora te muestra la forma correcta de patinar para divertirte.")</f>
        <v>Finalmente, la señora te muestra la forma correcta de patinar para divertirte.</v>
      </c>
    </row>
    <row r="21720">
      <c r="A21720" s="4" t="s">
        <v>27351</v>
      </c>
      <c r="B21720" s="4" t="s">
        <v>27352</v>
      </c>
      <c r="C21720" s="5" t="str">
        <f>IFERROR(__xludf.DUMMYFUNCTION("GOOGLETRANSLATE(B21720,""en"",""es-ES"")"),"Los niños están sentados en autos de parachoques.")</f>
        <v>Los niños están sentados en autos de parachoques.</v>
      </c>
    </row>
    <row r="21721">
      <c r="A21721" s="4" t="s">
        <v>27351</v>
      </c>
      <c r="B21721" s="4" t="s">
        <v>27353</v>
      </c>
      <c r="C21721" s="5" t="str">
        <f>IFERROR(__xludf.DUMMYFUNCTION("GOOGLETRANSLATE(B21721,""en"",""es-ES"")"),"Comienzan a chocar entre sí.")</f>
        <v>Comienzan a chocar entre sí.</v>
      </c>
    </row>
    <row r="21722">
      <c r="A21722" s="4" t="s">
        <v>27351</v>
      </c>
      <c r="B21722" s="4" t="s">
        <v>27354</v>
      </c>
      <c r="C21722" s="5" t="str">
        <f>IFERROR(__xludf.DUMMYFUNCTION("GOOGLETRANSLATE(B21722,""en"",""es-ES"")"),"Se detienen y comienzan a salir de sus autos.")</f>
        <v>Se detienen y comienzan a salir de sus autos.</v>
      </c>
    </row>
    <row r="21723">
      <c r="A21723" s="4" t="s">
        <v>27355</v>
      </c>
      <c r="B21723" s="4" t="s">
        <v>27356</v>
      </c>
      <c r="C21723" s="5" t="str">
        <f>IFERROR(__xludf.DUMMYFUNCTION("GOOGLETRANSLATE(B21723,""en"",""es-ES"")"),"Un joven fuerte está parado en un gran campo verde abierto preparándose para lanzar un lanzamiento de bala.")</f>
        <v>Un joven fuerte está parado en un gran campo verde abierto preparándose para lanzar un lanzamiento de bala.</v>
      </c>
    </row>
    <row r="21724">
      <c r="A21724" s="4" t="s">
        <v>27355</v>
      </c>
      <c r="B21724" s="4" t="s">
        <v>27357</v>
      </c>
      <c r="C21724" s="5" t="str">
        <f>IFERROR(__xludf.DUMMYFUNCTION("GOOGLETRANSLATE(B21724,""en"",""es-ES"")"),"Una vez que lanza la pelota, un hombre sale corriendo para marcar la distancia y camina hacia la tienda y le quita la cinta de la muñeca.")</f>
        <v>Una vez que lanza la pelota, un hombre sale corriendo para marcar la distancia y camina hacia la tienda y le quita la cinta de la muñeca.</v>
      </c>
    </row>
    <row r="21725">
      <c r="A21725" s="4" t="s">
        <v>27355</v>
      </c>
      <c r="B21725" s="4" t="s">
        <v>27358</v>
      </c>
      <c r="C21725" s="5" t="str">
        <f>IFERROR(__xludf.DUMMYFUNCTION("GOOGLETRANSLATE(B21725,""en"",""es-ES"")"),"Otro hombre que es un poco más corto y más grande se acerca al círculo y hace lo mismo seguido de otra persona.")</f>
        <v>Otro hombre que es un poco más corto y más grande se acerca al círculo y hace lo mismo seguido de otra persona.</v>
      </c>
    </row>
    <row r="21726">
      <c r="A21726" s="4" t="s">
        <v>27355</v>
      </c>
      <c r="B21726" s="4" t="s">
        <v>27359</v>
      </c>
      <c r="C21726" s="5" t="str">
        <f>IFERROR(__xludf.DUMMYFUNCTION("GOOGLETRANSLATE(B21726,""en"",""es-ES"")"),"Los tres hombres están terminados y se muestran puntajes.")</f>
        <v>Los tres hombres están terminados y se muestran puntajes.</v>
      </c>
    </row>
    <row r="21727">
      <c r="A21727" s="4" t="s">
        <v>27360</v>
      </c>
      <c r="B21727" s="4" t="s">
        <v>27361</v>
      </c>
      <c r="C21727" s="5" t="str">
        <f>IFERROR(__xludf.DUMMYFUNCTION("GOOGLETRANSLATE(B21727,""en"",""es-ES"")"),"Tres hombres discuten el tema de jugar waterpolo con kayaks.")</f>
        <v>Tres hombres discuten el tema de jugar waterpolo con kayaks.</v>
      </c>
    </row>
    <row r="21728">
      <c r="A21728" s="4" t="s">
        <v>27360</v>
      </c>
      <c r="B21728" s="4" t="s">
        <v>27362</v>
      </c>
      <c r="C21728" s="5" t="str">
        <f>IFERROR(__xludf.DUMMYFUNCTION("GOOGLETRANSLATE(B21728,""en"",""es-ES"")"),"La escena cambia para mostrar una exhibición de waterpolo con kayaks.")</f>
        <v>La escena cambia para mostrar una exhibición de waterpolo con kayaks.</v>
      </c>
    </row>
    <row r="21729">
      <c r="A21729" s="4" t="s">
        <v>27360</v>
      </c>
      <c r="B21729" s="4" t="s">
        <v>27363</v>
      </c>
      <c r="C21729" s="5" t="str">
        <f>IFERROR(__xludf.DUMMYFUNCTION("GOOGLETRANSLATE(B21729,""en"",""es-ES"")"),"Dos barcos se estrellan cuando dos hombres intentan remar su camino hacia la pelota, los hombres comentan sobre la escena, los jugadores miran gravemente heridos.")</f>
        <v>Dos barcos se estrellan cuando dos hombres intentan remar su camino hacia la pelota, los hombres comentan sobre la escena, los jugadores miran gravemente heridos.</v>
      </c>
    </row>
    <row r="21730">
      <c r="A21730" s="4" t="s">
        <v>27360</v>
      </c>
      <c r="B21730" s="4" t="s">
        <v>27364</v>
      </c>
      <c r="C21730" s="5" t="str">
        <f>IFERROR(__xludf.DUMMYFUNCTION("GOOGLETRANSLATE(B21730,""en"",""es-ES"")"),"La pantalla cambia a los hombres que hablan sobre el waterpolo, están muy intrigados y conmocionados.")</f>
        <v>La pantalla cambia a los hombres que hablan sobre el waterpolo, están muy intrigados y conmocionados.</v>
      </c>
    </row>
    <row r="21731">
      <c r="A21731" s="4" t="s">
        <v>27360</v>
      </c>
      <c r="B21731" s="4" t="s">
        <v>27365</v>
      </c>
      <c r="C21731" s="5" t="str">
        <f>IFERROR(__xludf.DUMMYFUNCTION("GOOGLETRANSLATE(B21731,""en"",""es-ES"")"),"La escena vuelve al accidente de Water Polo, el banner del programa concluye el video.")</f>
        <v>La escena vuelve al accidente de Water Polo, el banner del programa concluye el video.</v>
      </c>
    </row>
    <row r="21732">
      <c r="A21732" s="4" t="s">
        <v>27366</v>
      </c>
      <c r="B21732" s="4" t="s">
        <v>27367</v>
      </c>
      <c r="C21732" s="5" t="str">
        <f>IFERROR(__xludf.DUMMYFUNCTION("GOOGLETRANSLATE(B21732,""en"",""es-ES"")"),"Una mujer toca la batería y canta en el escenario.")</f>
        <v>Una mujer toca la batería y canta en el escenario.</v>
      </c>
    </row>
    <row r="21733">
      <c r="A21733" s="4" t="s">
        <v>27366</v>
      </c>
      <c r="B21733" s="4" t="s">
        <v>27368</v>
      </c>
      <c r="C21733" s="5" t="str">
        <f>IFERROR(__xludf.DUMMYFUNCTION("GOOGLETRANSLATE(B21733,""en"",""es-ES"")"),"La cámara retrocede a la escena.")</f>
        <v>La cámara retrocede a la escena.</v>
      </c>
    </row>
    <row r="21734">
      <c r="A21734" s="4" t="s">
        <v>27366</v>
      </c>
      <c r="B21734" s="4" t="s">
        <v>27369</v>
      </c>
      <c r="C21734" s="5" t="str">
        <f>IFERROR(__xludf.DUMMYFUNCTION("GOOGLETRANSLATE(B21734,""en"",""es-ES"")"),"La mujer termina y se pone de pie.")</f>
        <v>La mujer termina y se pone de pie.</v>
      </c>
    </row>
    <row r="21735">
      <c r="A21735" s="4" t="s">
        <v>27370</v>
      </c>
      <c r="B21735" s="4" t="s">
        <v>27371</v>
      </c>
      <c r="C21735" s="5" t="str">
        <f>IFERROR(__xludf.DUMMYFUNCTION("GOOGLETRANSLATE(B21735,""en"",""es-ES"")"),"Vemos una pantalla de título verde.")</f>
        <v>Vemos una pantalla de título verde.</v>
      </c>
    </row>
    <row r="21736">
      <c r="A21736" s="4" t="s">
        <v>27370</v>
      </c>
      <c r="B21736" s="4" t="s">
        <v>27372</v>
      </c>
      <c r="C21736" s="5" t="str">
        <f>IFERROR(__xludf.DUMMYFUNCTION("GOOGLETRANSLATE(B21736,""en"",""es-ES"")"),"Una dama en un baño habla con la cámara.")</f>
        <v>Una dama en un baño habla con la cámara.</v>
      </c>
    </row>
    <row r="21737">
      <c r="A21737" s="4" t="s">
        <v>27370</v>
      </c>
      <c r="B21737" s="4" t="s">
        <v>27373</v>
      </c>
      <c r="C21737" s="5" t="str">
        <f>IFERROR(__xludf.DUMMYFUNCTION("GOOGLETRANSLATE(B21737,""en"",""es-ES"")"),"La vemos verter bicarbonato de sodio y vinagre en su fregadero y habla y mueve sus manos mientras la solución hace espuma.")</f>
        <v>La vemos verter bicarbonato de sodio y vinagre en su fregadero y habla y mueve sus manos mientras la solución hace espuma.</v>
      </c>
    </row>
    <row r="21738">
      <c r="A21738" s="4" t="s">
        <v>27370</v>
      </c>
      <c r="B21738" s="4" t="s">
        <v>27374</v>
      </c>
      <c r="C21738" s="5" t="str">
        <f>IFERROR(__xludf.DUMMYFUNCTION("GOOGLETRANSLATE(B21738,""en"",""es-ES"")"),"La señora enciende el agua para enjuagar la solución por el desagüe.")</f>
        <v>La señora enciende el agua para enjuagar la solución por el desagüe.</v>
      </c>
    </row>
    <row r="21739">
      <c r="A21739" s="4" t="s">
        <v>27375</v>
      </c>
      <c r="B21739" s="4" t="s">
        <v>27376</v>
      </c>
      <c r="C21739" s="5" t="str">
        <f>IFERROR(__xludf.DUMMYFUNCTION("GOOGLETRANSLATE(B21739,""en"",""es-ES"")"),"Un comercial de limpieza de ventanas demuestra que todos los materiales y técnicas necesitan limpiar una ventana de la casa.")</f>
        <v>Un comercial de limpieza de ventanas demuestra que todos los materiales y técnicas necesitan limpiar una ventana de la casa.</v>
      </c>
    </row>
    <row r="21740">
      <c r="A21740" s="4" t="s">
        <v>27375</v>
      </c>
      <c r="B21740" s="4" t="s">
        <v>27377</v>
      </c>
      <c r="C21740" s="5" t="str">
        <f>IFERROR(__xludf.DUMMYFUNCTION("GOOGLETRANSLATE(B21740,""en"",""es-ES"")"),"El comercial comienza con un primer plano de una casa de dos pisos y el interior de la casa, incluida una línea de grandes ventanas.")</f>
        <v>El comercial comienza con un primer plano de una casa de dos pisos y el interior de la casa, incluida una línea de grandes ventanas.</v>
      </c>
    </row>
    <row r="21741">
      <c r="A21741" s="4" t="s">
        <v>27375</v>
      </c>
      <c r="B21741" s="4" t="s">
        <v>27378</v>
      </c>
      <c r="C21741" s="5" t="str">
        <f>IFERROR(__xludf.DUMMYFUNCTION("GOOGLETRANSLATE(B21741,""en"",""es-ES"")"),"Las imágenes de una persona que limpia una ventana, jabón, un cubo y una esponja se muestran junto con una pizarra con ingredientes necesarios para limpiar una ventana.")</f>
        <v>Las imágenes de una persona que limpia una ventana, jabón, un cubo y una esponja se muestran junto con una pizarra con ingredientes necesarios para limpiar una ventana.</v>
      </c>
    </row>
    <row r="21742">
      <c r="A21742" s="4" t="s">
        <v>27375</v>
      </c>
      <c r="B21742" s="4" t="s">
        <v>27379</v>
      </c>
      <c r="C21742" s="5" t="str">
        <f>IFERROR(__xludf.DUMMYFUNCTION("GOOGLETRANSLATE(B21742,""en"",""es-ES"")"),"Una persona limpia una ventana con todas las herramientas, incluida la eliminación de pantallas para limpiarlas y eliminar pegatinas en las ventanas.")</f>
        <v>Una persona limpia una ventana con todas las herramientas, incluida la eliminación de pantallas para limpiarlas y eliminar pegatinas en las ventanas.</v>
      </c>
    </row>
    <row r="21743">
      <c r="A21743" s="4" t="s">
        <v>27380</v>
      </c>
      <c r="B21743" s="4" t="s">
        <v>27381</v>
      </c>
      <c r="C21743" s="5" t="str">
        <f>IFERROR(__xludf.DUMMYFUNCTION("GOOGLETRANSLATE(B21743,""en"",""es-ES"")"),"Un hombre está hablando mientras se encuentra en una cocina.")</f>
        <v>Un hombre está hablando mientras se encuentra en una cocina.</v>
      </c>
    </row>
    <row r="21744">
      <c r="A21744" s="4" t="s">
        <v>27380</v>
      </c>
      <c r="B21744" s="4" t="s">
        <v>27382</v>
      </c>
      <c r="C21744" s="5" t="str">
        <f>IFERROR(__xludf.DUMMYFUNCTION("GOOGLETRANSLATE(B21744,""en"",""es-ES"")"),"El hombre hierve la leche y agrega vainilla fresca y vierte la solución en un tazón con otros ingredientes.")</f>
        <v>El hombre hierve la leche y agrega vainilla fresca y vierte la solución en un tazón con otros ingredientes.</v>
      </c>
    </row>
    <row r="21745">
      <c r="A21745" s="4" t="s">
        <v>27380</v>
      </c>
      <c r="B21745" s="4" t="s">
        <v>27383</v>
      </c>
      <c r="C21745" s="5" t="str">
        <f>IFERROR(__xludf.DUMMYFUNCTION("GOOGLETRANSLATE(B21745,""en"",""es-ES"")"),"El hombre cocina las natillas y se vierte en un tazón y se congela para hacer helado.")</f>
        <v>El hombre cocina las natillas y se vierte en un tazón y se congela para hacer helado.</v>
      </c>
    </row>
    <row r="21746">
      <c r="A21746" s="4" t="s">
        <v>27380</v>
      </c>
      <c r="B21746" s="4" t="s">
        <v>27384</v>
      </c>
      <c r="C21746" s="5" t="str">
        <f>IFERROR(__xludf.DUMMYFUNCTION("GOOGLETRANSLATE(B21746,""en"",""es-ES"")"),"El hombre corta y cocina el rubarbo en azúcar en la estufa.")</f>
        <v>El hombre corta y cocina el rubarbo en azúcar en la estufa.</v>
      </c>
    </row>
    <row r="21747">
      <c r="A21747" s="4" t="s">
        <v>27380</v>
      </c>
      <c r="B21747" s="4" t="s">
        <v>27385</v>
      </c>
      <c r="C21747" s="5" t="str">
        <f>IFERROR(__xludf.DUMMYFUNCTION("GOOGLETRANSLATE(B21747,""en"",""es-ES"")"),"Come el helado sobre el rubarbo cocido.")</f>
        <v>Come el helado sobre el rubarbo cocido.</v>
      </c>
    </row>
    <row r="21748">
      <c r="A21748" s="4" t="s">
        <v>27380</v>
      </c>
      <c r="B21748" s="4" t="s">
        <v>27386</v>
      </c>
      <c r="C21748" s="5" t="str">
        <f>IFERROR(__xludf.DUMMYFUNCTION("GOOGLETRANSLATE(B21748,""en"",""es-ES"")"),"Vemos una foto de Londres y nos desvanecemos.")</f>
        <v>Vemos una foto de Londres y nos desvanecemos.</v>
      </c>
    </row>
    <row r="21749">
      <c r="A21749" s="4" t="s">
        <v>27387</v>
      </c>
      <c r="B21749" s="4" t="s">
        <v>27388</v>
      </c>
      <c r="C21749" s="5" t="str">
        <f>IFERROR(__xludf.DUMMYFUNCTION("GOOGLETRANSLATE(B21749,""en"",""es-ES"")"),"Se muestran varios clips de varias personas cercadas entre sí.")</f>
        <v>Se muestran varios clips de varias personas cercadas entre sí.</v>
      </c>
    </row>
    <row r="21750">
      <c r="A21750" s="4" t="s">
        <v>27387</v>
      </c>
      <c r="B21750" s="4" t="s">
        <v>27389</v>
      </c>
      <c r="C21750" s="5" t="str">
        <f>IFERROR(__xludf.DUMMYFUNCTION("GOOGLETRANSLATE(B21750,""en"",""es-ES"")"),"La gente continúa retrocediendo y cuarto mientras la cámara se acerca a la gente que juega.")</f>
        <v>La gente continúa retrocediendo y cuarto mientras la cámara se acerca a la gente que juega.</v>
      </c>
    </row>
    <row r="21751">
      <c r="A21751" s="4" t="s">
        <v>27390</v>
      </c>
      <c r="B21751" s="4" t="s">
        <v>27391</v>
      </c>
      <c r="C21751" s="5" t="str">
        <f>IFERROR(__xludf.DUMMYFUNCTION("GOOGLETRANSLATE(B21751,""en"",""es-ES"")"),"Una persona está en la canasta de la grúa en un techo de un granero, mientras un hombre se para en el camión que sostiene una cuerda.")</f>
        <v>Una persona está en la canasta de la grúa en un techo de un granero, mientras un hombre se para en el camión que sostiene una cuerda.</v>
      </c>
    </row>
    <row r="21752">
      <c r="A21752" s="4" t="s">
        <v>27390</v>
      </c>
      <c r="B21752" s="4" t="s">
        <v>27392</v>
      </c>
      <c r="C21752" s="5" t="str">
        <f>IFERROR(__xludf.DUMMYFUNCTION("GOOGLETRANSLATE(B21752,""en"",""es-ES"")"),"El humo se acerca a una mesa.")</f>
        <v>El humo se acerca a una mesa.</v>
      </c>
    </row>
    <row r="21753">
      <c r="A21753" s="4" t="s">
        <v>27390</v>
      </c>
      <c r="B21753" s="4" t="s">
        <v>27393</v>
      </c>
      <c r="C21753" s="5" t="str">
        <f>IFERROR(__xludf.DUMMYFUNCTION("GOOGLETRANSLATE(B21753,""en"",""es-ES"")"),"La gente se encuentra al frente del granero que observa, también dos mujeres y dos niños en el frente del granero.")</f>
        <v>La gente se encuentra al frente del granero que observa, también dos mujeres y dos niños en el frente del granero.</v>
      </c>
    </row>
    <row r="21754">
      <c r="A21754" s="4" t="s">
        <v>27394</v>
      </c>
      <c r="B21754" s="4" t="s">
        <v>27395</v>
      </c>
      <c r="C21754" s="5" t="str">
        <f>IFERROR(__xludf.DUMMYFUNCTION("GOOGLETRANSLATE(B21754,""en"",""es-ES"")"),"Se muestran varios disparos de montañas nevadas que pasan entre disparos de personas esquiando y snowboard por la montaña.")</f>
        <v>Se muestran varios disparos de montañas nevadas que pasan entre disparos de personas esquiando y snowboard por la montaña.</v>
      </c>
    </row>
    <row r="21755">
      <c r="A21755" s="4" t="s">
        <v>27394</v>
      </c>
      <c r="B21755" s="4" t="s">
        <v>27396</v>
      </c>
      <c r="C21755" s="5" t="str">
        <f>IFERROR(__xludf.DUMMYFUNCTION("GOOGLETRANSLATE(B21755,""en"",""es-ES"")"),"Se ve a la gente realizando varias flips y trucos por la montaña, mientras que la cámara los captura desde muchos ángulos y de la montaña.")</f>
        <v>Se ve a la gente realizando varias flips y trucos por la montaña, mientras que la cámara los captura desde muchos ángulos y de la montaña.</v>
      </c>
    </row>
    <row r="21756">
      <c r="A21756" s="4" t="s">
        <v>27397</v>
      </c>
      <c r="B21756" s="4" t="s">
        <v>27398</v>
      </c>
      <c r="C21756" s="5" t="str">
        <f>IFERROR(__xludf.DUMMYFUNCTION("GOOGLETRANSLATE(B21756,""en"",""es-ES"")"),"Entramos en una habitación y vemos a un niño poniendo una camisa en una tabla de planchar.")</f>
        <v>Entramos en una habitación y vemos a un niño poniendo una camisa en una tabla de planchar.</v>
      </c>
    </row>
    <row r="21757">
      <c r="A21757" s="4" t="s">
        <v>27397</v>
      </c>
      <c r="B21757" s="4" t="s">
        <v>27399</v>
      </c>
      <c r="C21757" s="5" t="str">
        <f>IFERROR(__xludf.DUMMYFUNCTION("GOOGLETRANSLATE(B21757,""en"",""es-ES"")"),"El niño comienza a planchar la camiseta sin mangas con un hierro desconectado.")</f>
        <v>El niño comienza a planchar la camiseta sin mangas con un hierro desconectado.</v>
      </c>
    </row>
    <row r="21758">
      <c r="A21758" s="4" t="s">
        <v>27397</v>
      </c>
      <c r="B21758" s="4" t="s">
        <v>27400</v>
      </c>
      <c r="C21758" s="5" t="str">
        <f>IFERROR(__xludf.DUMMYFUNCTION("GOOGLETRANSLATE(B21758,""en"",""es-ES"")"),"El niño hierve una camisa gris y se sienta la plancha en el tablero al lado.")</f>
        <v>El niño hierve una camisa gris y se sienta la plancha en el tablero al lado.</v>
      </c>
    </row>
    <row r="21759">
      <c r="A21759" s="4" t="s">
        <v>27397</v>
      </c>
      <c r="B21759" s="4" t="s">
        <v>27401</v>
      </c>
      <c r="C21759" s="5" t="str">
        <f>IFERROR(__xludf.DUMMYFUNCTION("GOOGLETRANSLATE(B21759,""en"",""es-ES"")"),"El niño se aleja sonriendo.")</f>
        <v>El niño se aleja sonriendo.</v>
      </c>
    </row>
    <row r="21760">
      <c r="A21760" s="4" t="s">
        <v>27397</v>
      </c>
      <c r="B21760" s="4" t="s">
        <v>27402</v>
      </c>
      <c r="C21760" s="5" t="str">
        <f>IFERROR(__xludf.DUMMYFUNCTION("GOOGLETRANSLATE(B21760,""en"",""es-ES"")"),"El niño muestra dos dedos y camina por la habitación con el hierro.")</f>
        <v>El niño muestra dos dedos y camina por la habitación con el hierro.</v>
      </c>
    </row>
    <row r="21761">
      <c r="A21761" s="4" t="s">
        <v>27403</v>
      </c>
      <c r="B21761" s="4" t="s">
        <v>27404</v>
      </c>
      <c r="C21761" s="5" t="str">
        <f>IFERROR(__xludf.DUMMYFUNCTION("GOOGLETRANSLATE(B21761,""en"",""es-ES"")"),"Un hombre con una chaqueta habla frente a la casa mientras los hombres se paran en el techo.")</f>
        <v>Un hombre con una chaqueta habla frente a la casa mientras los hombres se paran en el techo.</v>
      </c>
    </row>
    <row r="21762">
      <c r="A21762" s="4" t="s">
        <v>27403</v>
      </c>
      <c r="B21762" s="4" t="s">
        <v>27405</v>
      </c>
      <c r="C21762" s="5" t="str">
        <f>IFERROR(__xludf.DUMMYFUNCTION("GOOGLETRANSLATE(B21762,""en"",""es-ES"")"),"Un hombre arroja tejas del techo en el fondo.")</f>
        <v>Un hombre arroja tejas del techo en el fondo.</v>
      </c>
    </row>
    <row r="21763">
      <c r="A21763" s="4" t="s">
        <v>27403</v>
      </c>
      <c r="B21763" s="4" t="s">
        <v>27406</v>
      </c>
      <c r="C21763" s="5" t="str">
        <f>IFERROR(__xludf.DUMMYFUNCTION("GOOGLETRANSLATE(B21763,""en"",""es-ES"")"),"Los hombres continúan tirando las tejas del techo.")</f>
        <v>Los hombres continúan tirando las tejas del techo.</v>
      </c>
    </row>
    <row r="21764">
      <c r="A21764" s="4" t="s">
        <v>27403</v>
      </c>
      <c r="B21764" s="4" t="s">
        <v>27407</v>
      </c>
      <c r="C21764" s="5" t="str">
        <f>IFERROR(__xludf.DUMMYFUNCTION("GOOGLETRANSLATE(B21764,""en"",""es-ES"")"),"El hombre que sostiene la cámara gira y sube la escalera y se encuentra en la azotea.")</f>
        <v>El hombre que sostiene la cámara gira y sube la escalera y se encuentra en la azotea.</v>
      </c>
    </row>
    <row r="21765">
      <c r="A21765" s="4" t="s">
        <v>27403</v>
      </c>
      <c r="B21765" s="4" t="s">
        <v>27408</v>
      </c>
      <c r="C21765" s="5" t="str">
        <f>IFERROR(__xludf.DUMMYFUNCTION("GOOGLETRANSLATE(B21765,""en"",""es-ES"")"),"El hombre se pone la cámara sobre sí mismo y continúa hablando.")</f>
        <v>El hombre se pone la cámara sobre sí mismo y continúa hablando.</v>
      </c>
    </row>
    <row r="21766">
      <c r="A21766" s="4" t="s">
        <v>27409</v>
      </c>
      <c r="B21766" s="4" t="s">
        <v>27410</v>
      </c>
      <c r="C21766" s="5" t="str">
        <f>IFERROR(__xludf.DUMMYFUNCTION("GOOGLETRANSLATE(B21766,""en"",""es-ES"")"),"Un grupo de amigos está sentado en trineos en la cima de la colina.")</f>
        <v>Un grupo de amigos está sentado en trineos en la cima de la colina.</v>
      </c>
    </row>
    <row r="21767">
      <c r="A21767" s="4" t="s">
        <v>27409</v>
      </c>
      <c r="B21767" s="4" t="s">
        <v>27411</v>
      </c>
      <c r="C21767" s="5" t="str">
        <f>IFERROR(__xludf.DUMMYFUNCTION("GOOGLETRANSLATE(B21767,""en"",""es-ES"")"),"Los dos amigos son empujados por la colina y se deslizan hacia el fondo.")</f>
        <v>Los dos amigos son empujados por la colina y se deslizan hacia el fondo.</v>
      </c>
    </row>
    <row r="21768">
      <c r="A21768" s="4" t="s">
        <v>27409</v>
      </c>
      <c r="B21768" s="4" t="s">
        <v>27412</v>
      </c>
      <c r="C21768" s="5" t="str">
        <f>IFERROR(__xludf.DUMMYFUNCTION("GOOGLETRANSLATE(B21768,""en"",""es-ES"")"),"Los dos amigos son detenidos por esteras de goma en la parte inferior de la colina.")</f>
        <v>Los dos amigos son detenidos por esteras de goma en la parte inferior de la colina.</v>
      </c>
    </row>
    <row r="21769">
      <c r="A21769" s="4" t="s">
        <v>27413</v>
      </c>
      <c r="B21769" s="4" t="s">
        <v>27414</v>
      </c>
      <c r="C21769" s="5" t="str">
        <f>IFERROR(__xludf.DUMMYFUNCTION("GOOGLETRANSLATE(B21769,""en"",""es-ES"")"),"Se ve a una aurora boreal en un paisaje del norte.")</f>
        <v>Se ve a una aurora boreal en un paisaje del norte.</v>
      </c>
    </row>
    <row r="21770">
      <c r="A21770" s="4" t="s">
        <v>27413</v>
      </c>
      <c r="B21770" s="4" t="s">
        <v>27415</v>
      </c>
      <c r="C21770" s="5" t="str">
        <f>IFERROR(__xludf.DUMMYFUNCTION("GOOGLETRANSLATE(B21770,""en"",""es-ES"")"),"Un hombre saca la nieve de su porche con una pala de nieve.")</f>
        <v>Un hombre saca la nieve de su porche con una pala de nieve.</v>
      </c>
    </row>
    <row r="21771">
      <c r="A21771" s="4" t="s">
        <v>27413</v>
      </c>
      <c r="B21771" s="4" t="s">
        <v>27416</v>
      </c>
      <c r="C21771" s="5" t="str">
        <f>IFERROR(__xludf.DUMMYFUNCTION("GOOGLETRANSLATE(B21771,""en"",""es-ES"")"),"El hombre saca la nieve de una caja de escalera con una pala de nieve.")</f>
        <v>El hombre saca la nieve de una caja de escalera con una pala de nieve.</v>
      </c>
    </row>
    <row r="21772">
      <c r="A21772" s="4" t="s">
        <v>27413</v>
      </c>
      <c r="B21772" s="4" t="s">
        <v>27417</v>
      </c>
      <c r="C21772" s="5" t="str">
        <f>IFERROR(__xludf.DUMMYFUNCTION("GOOGLETRANSLATE(B21772,""en"",""es-ES"")"),"El hombre termina el trabajo y muestra sus músculos.")</f>
        <v>El hombre termina el trabajo y muestra sus músculos.</v>
      </c>
    </row>
    <row r="21773">
      <c r="A21773" s="4" t="s">
        <v>27418</v>
      </c>
      <c r="B21773" s="4" t="s">
        <v>27419</v>
      </c>
      <c r="C21773" s="5" t="str">
        <f>IFERROR(__xludf.DUMMYFUNCTION("GOOGLETRANSLATE(B21773,""en"",""es-ES"")"),"Una niña está cruzando los bares de mono.")</f>
        <v>Una niña está cruzando los bares de mono.</v>
      </c>
    </row>
    <row r="21774">
      <c r="A21774" s="4" t="s">
        <v>27418</v>
      </c>
      <c r="B21774" s="4" t="s">
        <v>27420</v>
      </c>
      <c r="C21774" s="5" t="str">
        <f>IFERROR(__xludf.DUMMYFUNCTION("GOOGLETRANSLATE(B21774,""en"",""es-ES"")"),"Una mujer la está ayudando a pararse debajo de ella.")</f>
        <v>Una mujer la está ayudando a pararse debajo de ella.</v>
      </c>
    </row>
    <row r="21775">
      <c r="A21775" s="4" t="s">
        <v>27418</v>
      </c>
      <c r="B21775" s="4" t="s">
        <v>27421</v>
      </c>
      <c r="C21775" s="5" t="str">
        <f>IFERROR(__xludf.DUMMYFUNCTION("GOOGLETRANSLATE(B21775,""en"",""es-ES"")"),"La niña cae y la mujer la atrapa.")</f>
        <v>La niña cae y la mujer la atrapa.</v>
      </c>
    </row>
    <row r="21776">
      <c r="A21776" s="4" t="s">
        <v>27422</v>
      </c>
      <c r="B21776" s="4" t="s">
        <v>27423</v>
      </c>
      <c r="C21776" s="5" t="str">
        <f>IFERROR(__xludf.DUMMYFUNCTION("GOOGLETRANSLATE(B21776,""en"",""es-ES"")"),"Se ve a un atleta parado en círculo y girando a sí misma y alrededor.")</f>
        <v>Se ve a un atleta parado en círculo y girando a sí misma y alrededor.</v>
      </c>
    </row>
    <row r="21777">
      <c r="A21777" s="4" t="s">
        <v>27422</v>
      </c>
      <c r="B21777" s="4" t="s">
        <v>27424</v>
      </c>
      <c r="C21777" s="5" t="str">
        <f>IFERROR(__xludf.DUMMYFUNCTION("GOOGLETRANSLATE(B21777,""en"",""es-ES"")"),"Ella tira un objeto a lo lejos y se muestra nuevamente en cámara lenta.")</f>
        <v>Ella tira un objeto a lo lejos y se muestra nuevamente en cámara lenta.</v>
      </c>
    </row>
    <row r="21778">
      <c r="A21778" s="4" t="s">
        <v>27422</v>
      </c>
      <c r="B21778" s="4" t="s">
        <v>27425</v>
      </c>
      <c r="C21778" s="5" t="str">
        <f>IFERROR(__xludf.DUMMYFUNCTION("GOOGLETRANSLATE(B21778,""en"",""es-ES"")"),"Ella regresa mientras anima y otros sostienen una bandera.")</f>
        <v>Ella regresa mientras anima y otros sostienen una bandera.</v>
      </c>
    </row>
    <row r="21779">
      <c r="A21779" s="4" t="s">
        <v>27426</v>
      </c>
      <c r="B21779" s="4" t="s">
        <v>27427</v>
      </c>
      <c r="C21779" s="5" t="str">
        <f>IFERROR(__xludf.DUMMYFUNCTION("GOOGLETRANSLATE(B21779,""en"",""es-ES"")"),"Se muestran dos clavijas blancas en la pared con un lecho rojo en el costado y alguien que lo golpea con un gran bloque de madera.")</f>
        <v>Se muestran dos clavijas blancas en la pared con un lecho rojo en el costado y alguien que lo golpea con un gran bloque de madera.</v>
      </c>
    </row>
    <row r="21780">
      <c r="A21780" s="4" t="s">
        <v>27426</v>
      </c>
      <c r="B21780" s="4" t="s">
        <v>27428</v>
      </c>
      <c r="C21780" s="5" t="str">
        <f>IFERROR(__xludf.DUMMYFUNCTION("GOOGLETRANSLATE(B21780,""en"",""es-ES"")"),"Se muestra otro ángulo y la persona toma 21 tiros en las bolas.")</f>
        <v>Se muestra otro ángulo y la persona toma 21 tiros en las bolas.</v>
      </c>
    </row>
    <row r="21781">
      <c r="A21781" s="4" t="s">
        <v>27426</v>
      </c>
      <c r="B21781" s="4" t="s">
        <v>27429</v>
      </c>
      <c r="C21781" s="5" t="str">
        <f>IFERROR(__xludf.DUMMYFUNCTION("GOOGLETRANSLATE(B21781,""en"",""es-ES"")"),"Para el 22º tiro, un hombre está parado en un gran campo de clavijas blancas y comienza a golpear las tres bolas al mismo tiempo en diferentes direcciones.")</f>
        <v>Para el 22º tiro, un hombre está parado en un gran campo de clavijas blancas y comienza a golpear las tres bolas al mismo tiempo en diferentes direcciones.</v>
      </c>
    </row>
    <row r="21782">
      <c r="A21782" s="4" t="s">
        <v>27430</v>
      </c>
      <c r="B21782" s="4" t="s">
        <v>27431</v>
      </c>
      <c r="C21782" s="5" t="str">
        <f>IFERROR(__xludf.DUMMYFUNCTION("GOOGLETRANSLATE(B21782,""en"",""es-ES"")"),"Una mujer limpia la alfombra y el piso con un vacío, después de que el vacío recoge la tierra de la alfombra.")</f>
        <v>Una mujer limpia la alfombra y el piso con un vacío, después de que el vacío recoge la tierra de la alfombra.</v>
      </c>
    </row>
    <row r="21783">
      <c r="A21783" s="4" t="s">
        <v>27430</v>
      </c>
      <c r="B21783" s="4" t="s">
        <v>27432</v>
      </c>
      <c r="C21783" s="5" t="str">
        <f>IFERROR(__xludf.DUMMYFUNCTION("GOOGLETRANSLATE(B21783,""en"",""es-ES"")"),"Luego, la mujer saca el recipiente del vacío y continúa limpiando el piso, el muro, el sofá y el piso.")</f>
        <v>Luego, la mujer saca el recipiente del vacío y continúa limpiando el piso, el muro, el sofá y el piso.</v>
      </c>
    </row>
    <row r="21784">
      <c r="A21784" s="4" t="s">
        <v>27430</v>
      </c>
      <c r="B21784" s="4" t="s">
        <v>27433</v>
      </c>
      <c r="C21784" s="5" t="str">
        <f>IFERROR(__xludf.DUMMYFUNCTION("GOOGLETRANSLATE(B21784,""en"",""es-ES"")"),"Después, la mujer limpia los marcos de la imagen y recoge el cabello de una almohada.")</f>
        <v>Después, la mujer limpia los marcos de la imagen y recoge el cabello de una almohada.</v>
      </c>
    </row>
    <row r="21785">
      <c r="A21785" s="4" t="s">
        <v>27430</v>
      </c>
      <c r="B21785" s="4" t="s">
        <v>27434</v>
      </c>
      <c r="C21785" s="5" t="str">
        <f>IFERROR(__xludf.DUMMYFUNCTION("GOOGLETRANSLATE(B21785,""en"",""es-ES"")"),"Luego, la mujer rebobina el cable del recipiente y deja caer la basura en el lata de basura.")</f>
        <v>Luego, la mujer rebobina el cable del recipiente y deja caer la basura en el lata de basura.</v>
      </c>
    </row>
    <row r="21786">
      <c r="A21786" s="4" t="s">
        <v>27435</v>
      </c>
      <c r="B21786" s="4" t="s">
        <v>27436</v>
      </c>
      <c r="C21786" s="5" t="str">
        <f>IFERROR(__xludf.DUMMYFUNCTION("GOOGLETRANSLATE(B21786,""en"",""es-ES"")"),"Se ve a un hombre sentado en varias mesas y pelando las papas mientras la cámara mira a su alrededor en movimiento rápido.")</f>
        <v>Se ve a un hombre sentado en varias mesas y pelando las papas mientras la cámara mira a su alrededor en movimiento rápido.</v>
      </c>
    </row>
    <row r="21787">
      <c r="A21787" s="4" t="s">
        <v>27435</v>
      </c>
      <c r="B21787" s="4" t="s">
        <v>27437</v>
      </c>
      <c r="C21787" s="5" t="str">
        <f>IFERROR(__xludf.DUMMYFUNCTION("GOOGLETRANSLATE(B21787,""en"",""es-ES"")"),"Se ve a otra persona pelar las papas y el hombre regresa a la mesa para continuar pelando.")</f>
        <v>Se ve a otra persona pelar las papas y el hombre regresa a la mesa para continuar pelando.</v>
      </c>
    </row>
    <row r="21788">
      <c r="A21788" s="4" t="s">
        <v>27438</v>
      </c>
      <c r="B21788" s="4" t="s">
        <v>27439</v>
      </c>
      <c r="C21788" s="5" t="str">
        <f>IFERROR(__xludf.DUMMYFUNCTION("GOOGLETRANSLATE(B21788,""en"",""es-ES"")"),"Dos hombres se filman en un partido de lucha libre que alguien les pidió que hicieran.")</f>
        <v>Dos hombres se filman en un partido de lucha libre que alguien les pidió que hicieran.</v>
      </c>
    </row>
    <row r="21789">
      <c r="A21789" s="4" t="s">
        <v>27438</v>
      </c>
      <c r="B21789" s="4" t="s">
        <v>27440</v>
      </c>
      <c r="C21789" s="5" t="str">
        <f>IFERROR(__xludf.DUMMYFUNCTION("GOOGLETRANSLATE(B21789,""en"",""es-ES"")"),"Dos hombres están sentados en una habitación una al lado de la otra mientras un hombre lee una computadora portátil y luego ambos se agarran de la mano para mover lo que está por suceder.")</f>
        <v>Dos hombres están sentados en una habitación una al lado de la otra mientras un hombre lee una computadora portátil y luego ambos se agarran de la mano para mover lo que está por suceder.</v>
      </c>
    </row>
    <row r="21790">
      <c r="A21790" s="4" t="s">
        <v>27438</v>
      </c>
      <c r="B21790" s="4" t="s">
        <v>27441</v>
      </c>
      <c r="C21790" s="5" t="str">
        <f>IFERROR(__xludf.DUMMYFUNCTION("GOOGLETRANSLATE(B21790,""en"",""es-ES"")"),"Un hombre configura la cámara para filmar el partido.")</f>
        <v>Un hombre configura la cámara para filmar el partido.</v>
      </c>
    </row>
    <row r="21791">
      <c r="A21791" s="4" t="s">
        <v>27438</v>
      </c>
      <c r="B21791" s="4" t="s">
        <v>27442</v>
      </c>
      <c r="C21791" s="5" t="str">
        <f>IFERROR(__xludf.DUMMYFUNCTION("GOOGLETRANSLATE(B21791,""en"",""es-ES"")"),"Los hombres se preparan en la esquina de una mesa, toman las manos y luego la cuenta regresiva de tres.")</f>
        <v>Los hombres se preparan en la esquina de una mesa, toman las manos y luego la cuenta regresiva de tres.</v>
      </c>
    </row>
    <row r="21792">
      <c r="A21792" s="4" t="s">
        <v>27438</v>
      </c>
      <c r="B21792" s="4" t="s">
        <v>27443</v>
      </c>
      <c r="C21792" s="5" t="str">
        <f>IFERROR(__xludf.DUMMYFUNCTION("GOOGLETRANSLATE(B21792,""en"",""es-ES"")"),"Los dos hombres del brazo luchan mientras hacen bromas y se ríen mientras lo hacían.")</f>
        <v>Los dos hombres del brazo luchan mientras hacen bromas y se ríen mientras lo hacían.</v>
      </c>
    </row>
    <row r="21793">
      <c r="A21793" s="4" t="s">
        <v>27438</v>
      </c>
      <c r="B21793" s="4" t="s">
        <v>27444</v>
      </c>
      <c r="C21793" s="5" t="str">
        <f>IFERROR(__xludf.DUMMYFUNCTION("GOOGLETRANSLATE(B21793,""en"",""es-ES"")"),"Un hombre se rinde y ambos hombres hablan y se ríen del partido.")</f>
        <v>Un hombre se rinde y ambos hombres hablan y se ríen del partido.</v>
      </c>
    </row>
    <row r="21794">
      <c r="A21794" s="4" t="s">
        <v>27438</v>
      </c>
      <c r="B21794" s="4" t="s">
        <v>27445</v>
      </c>
      <c r="C21794" s="5" t="str">
        <f>IFERROR(__xludf.DUMMYFUNCTION("GOOGLETRANSLATE(B21794,""en"",""es-ES"")"),"Un hombre gruñe y levanta las manos en la victoria.")</f>
        <v>Un hombre gruñe y levanta las manos en la victoria.</v>
      </c>
    </row>
    <row r="21795">
      <c r="A21795" s="4" t="s">
        <v>27446</v>
      </c>
      <c r="B21795" s="4" t="s">
        <v>27447</v>
      </c>
      <c r="C21795" s="5" t="str">
        <f>IFERROR(__xludf.DUMMYFUNCTION("GOOGLETRANSLATE(B21795,""en"",""es-ES"")"),"Se ve a una niña moviéndose rápidamente alrededor de un caballo cepillando sus lados.")</f>
        <v>Se ve a una niña moviéndose rápidamente alrededor de un caballo cepillando sus lados.</v>
      </c>
    </row>
    <row r="21796">
      <c r="A21796" s="4" t="s">
        <v>27446</v>
      </c>
      <c r="B21796" s="4" t="s">
        <v>27448</v>
      </c>
      <c r="C21796" s="5" t="str">
        <f>IFERROR(__xludf.DUMMYFUNCTION("GOOGLETRANSLATE(B21796,""en"",""es-ES"")"),"Ella cepilla por todo el caballo mientras otro caballo entra y sale del marco.")</f>
        <v>Ella cepilla por todo el caballo mientras otro caballo entra y sale del marco.</v>
      </c>
    </row>
    <row r="21797">
      <c r="A21797" s="4" t="s">
        <v>27446</v>
      </c>
      <c r="B21797" s="4" t="s">
        <v>27449</v>
      </c>
      <c r="C21797" s="5" t="str">
        <f>IFERROR(__xludf.DUMMYFUNCTION("GOOGLETRANSLATE(B21797,""en"",""es-ES"")"),"Ella continúa cepillando el caballo mientras la cámara captura sus movimientos.")</f>
        <v>Ella continúa cepillando el caballo mientras la cámara captura sus movimientos.</v>
      </c>
    </row>
    <row r="21798">
      <c r="A21798" s="4" t="s">
        <v>27450</v>
      </c>
      <c r="B21798" s="4" t="s">
        <v>27451</v>
      </c>
      <c r="C21798" s="5" t="str">
        <f>IFERROR(__xludf.DUMMYFUNCTION("GOOGLETRANSLATE(B21798,""en"",""es-ES"")"),"Las mujeres están de pie en una cancha de madera en un gimnasio techo que juega a Voleyball mientras el público está en las tareas mirando el juego.")</f>
        <v>Las mujeres están de pie en una cancha de madera en un gimnasio techo que juega a Voleyball mientras el público está en las tareas mirando el juego.</v>
      </c>
    </row>
    <row r="21799">
      <c r="A21799" s="4" t="s">
        <v>27450</v>
      </c>
      <c r="B21799" s="4" t="s">
        <v>27452</v>
      </c>
      <c r="C21799" s="5" t="str">
        <f>IFERROR(__xludf.DUMMYFUNCTION("GOOGLETRANSLATE(B21799,""en"",""es-ES"")"),"La pelota golpea a una mujer para el equipo rojo y la gente corre hacia ella.")</f>
        <v>La pelota golpea a una mujer para el equipo rojo y la gente corre hacia ella.</v>
      </c>
    </row>
    <row r="21800">
      <c r="A21800" s="4" t="s">
        <v>27453</v>
      </c>
      <c r="B21800" s="4" t="s">
        <v>4683</v>
      </c>
      <c r="C21800" s="5" t="str">
        <f>IFERROR(__xludf.DUMMYFUNCTION("GOOGLETRANSLATE(B21800,""en"",""es-ES"")"),"La gente está parada en una piscina.")</f>
        <v>La gente está parada en una piscina.</v>
      </c>
    </row>
    <row r="21801">
      <c r="A21801" s="4" t="s">
        <v>27453</v>
      </c>
      <c r="B21801" s="4" t="s">
        <v>27454</v>
      </c>
      <c r="C21801" s="5" t="str">
        <f>IFERROR(__xludf.DUMMYFUNCTION("GOOGLETRANSLATE(B21801,""en"",""es-ES"")"),"Están jugando un juego de waterpolo.")</f>
        <v>Están jugando un juego de waterpolo.</v>
      </c>
    </row>
    <row r="21802">
      <c r="A21802" s="4" t="s">
        <v>27453</v>
      </c>
      <c r="B21802" s="4" t="s">
        <v>27455</v>
      </c>
      <c r="C21802" s="5" t="str">
        <f>IFERROR(__xludf.DUMMYFUNCTION("GOOGLETRANSLATE(B21802,""en"",""es-ES"")"),"Una mujer arroja la pelota a la red y está atrapada por el portero.")</f>
        <v>Una mujer arroja la pelota a la red y está atrapada por el portero.</v>
      </c>
    </row>
    <row r="21803">
      <c r="A21803" s="4" t="s">
        <v>27456</v>
      </c>
      <c r="B21803" s="4" t="s">
        <v>27457</v>
      </c>
      <c r="C21803" s="5" t="str">
        <f>IFERROR(__xludf.DUMMYFUNCTION("GOOGLETRANSLATE(B21803,""en"",""es-ES"")"),"Un hombre está afuera en el bien con un hacha que intenta cortar un árbol.")</f>
        <v>Un hombre está afuera en el bien con un hacha que intenta cortar un árbol.</v>
      </c>
    </row>
    <row r="21804">
      <c r="A21804" s="4" t="s">
        <v>27456</v>
      </c>
      <c r="B21804" s="4" t="s">
        <v>27458</v>
      </c>
      <c r="C21804" s="5" t="str">
        <f>IFERROR(__xludf.DUMMYFUNCTION("GOOGLETRANSLATE(B21804,""en"",""es-ES"")"),"Finalmente, el árbol cae y el hombre comienza a golpear el árbol con el hacha.")</f>
        <v>Finalmente, el árbol cae y el hombre comienza a golpear el árbol con el hacha.</v>
      </c>
    </row>
    <row r="21805">
      <c r="A21805" s="4" t="s">
        <v>27459</v>
      </c>
      <c r="B21805" s="4" t="s">
        <v>27460</v>
      </c>
      <c r="C21805" s="5" t="str">
        <f>IFERROR(__xludf.DUMMYFUNCTION("GOOGLETRANSLATE(B21805,""en"",""es-ES"")"),"BMX Biker bajando por una pista practicando en su carril solo.")</f>
        <v>BMX Biker bajando por una pista practicando en su carril solo.</v>
      </c>
    </row>
    <row r="21806">
      <c r="A21806" s="4" t="s">
        <v>27459</v>
      </c>
      <c r="B21806" s="4" t="s">
        <v>27461</v>
      </c>
      <c r="C21806" s="5" t="str">
        <f>IFERROR(__xludf.DUMMYFUNCTION("GOOGLETRANSLATE(B21806,""en"",""es-ES"")"),"Luego también hay otro motero, probablemente estén corriendo, van muy rápido por la pista girando y golpeando altos golpes que los hacen subir al aire.")</f>
        <v>Luego también hay otro motero, probablemente estén corriendo, van muy rápido por la pista girando y golpeando altos golpes que los hacen subir al aire.</v>
      </c>
    </row>
    <row r="21807">
      <c r="A21807" s="4" t="s">
        <v>27459</v>
      </c>
      <c r="B21807" s="4" t="s">
        <v>27462</v>
      </c>
      <c r="C21807" s="5" t="str">
        <f>IFERROR(__xludf.DUMMYFUNCTION("GOOGLETRANSLATE(B21807,""en"",""es-ES"")"),"La pista se abre nuevamente y comienzan otra carrera.")</f>
        <v>La pista se abre nuevamente y comienzan otra carrera.</v>
      </c>
    </row>
    <row r="21808">
      <c r="A21808" s="4" t="s">
        <v>27459</v>
      </c>
      <c r="B21808" s="4" t="s">
        <v>27463</v>
      </c>
      <c r="C21808" s="5" t="str">
        <f>IFERROR(__xludf.DUMMYFUNCTION("GOOGLETRANSLATE(B21808,""en"",""es-ES"")"),"Dos ciclistas están bailando antes de volver a sus bicicletas para volver a la pista para otra pequeña carrera.")</f>
        <v>Dos ciclistas están bailando antes de volver a sus bicicletas para volver a la pista para otra pequeña carrera.</v>
      </c>
    </row>
    <row r="21809">
      <c r="A21809" s="4" t="s">
        <v>27464</v>
      </c>
      <c r="B21809" s="4" t="s">
        <v>27465</v>
      </c>
      <c r="C21809" s="5" t="str">
        <f>IFERROR(__xludf.DUMMYFUNCTION("GOOGLETRANSLATE(B21809,""en"",""es-ES"")"),"Un hombre está debajo de un RV que intenta arreglar la rueda mientras un hombre se para en el exterior ayuda.")</f>
        <v>Un hombre está debajo de un RV que intenta arreglar la rueda mientras un hombre se para en el exterior ayuda.</v>
      </c>
    </row>
    <row r="21810">
      <c r="A21810" s="4" t="s">
        <v>27464</v>
      </c>
      <c r="B21810" s="4" t="s">
        <v>27466</v>
      </c>
      <c r="C21810" s="5" t="str">
        <f>IFERROR(__xludf.DUMMYFUNCTION("GOOGLETRANSLATE(B21810,""en"",""es-ES"")"),"Luego se quita la rueda y el otro grupo de personas se apiñan para encontrar el problema.")</f>
        <v>Luego se quita la rueda y el otro grupo de personas se apiñan para encontrar el problema.</v>
      </c>
    </row>
    <row r="21811">
      <c r="A21811" s="4" t="s">
        <v>27464</v>
      </c>
      <c r="B21811" s="4" t="s">
        <v>27467</v>
      </c>
      <c r="C21811" s="5" t="str">
        <f>IFERROR(__xludf.DUMMYFUNCTION("GOOGLETRANSLATE(B21811,""en"",""es-ES"")"),"Mientras hablan, el hombre permanece debajo del RV y comienza a sonreír mientras sostiene la plataforma.")</f>
        <v>Mientras hablan, el hombre permanece debajo del RV y comienza a sonreír mientras sostiene la plataforma.</v>
      </c>
    </row>
    <row r="21812">
      <c r="A21812" s="4" t="s">
        <v>27468</v>
      </c>
      <c r="B21812" s="4" t="s">
        <v>27469</v>
      </c>
      <c r="C21812" s="5" t="str">
        <f>IFERROR(__xludf.DUMMYFUNCTION("GOOGLETRANSLATE(B21812,""en"",""es-ES"")"),"Un hombre sirve una pelota para jugar squash con un compañero.")</f>
        <v>Un hombre sirve una pelota para jugar squash con un compañero.</v>
      </c>
    </row>
    <row r="21813">
      <c r="A21813" s="4" t="s">
        <v>27468</v>
      </c>
      <c r="B21813" s="4" t="s">
        <v>27470</v>
      </c>
      <c r="C21813" s="5" t="str">
        <f>IFERROR(__xludf.DUMMYFUNCTION("GOOGLETRANSLATE(B21813,""en"",""es-ES"")"),"Los hombres golpearon la pelota hasta la pared.")</f>
        <v>Los hombres golpearon la pelota hasta la pared.</v>
      </c>
    </row>
    <row r="21814">
      <c r="A21814" s="4" t="s">
        <v>27468</v>
      </c>
      <c r="B21814" s="4" t="s">
        <v>27471</v>
      </c>
      <c r="C21814" s="5" t="str">
        <f>IFERROR(__xludf.DUMMYFUNCTION("GOOGLETRANSLATE(B21814,""en"",""es-ES"")"),"El hombre rebota la pelota en el suelo.")</f>
        <v>El hombre rebota la pelota en el suelo.</v>
      </c>
    </row>
    <row r="21815">
      <c r="A21815" s="4" t="s">
        <v>27472</v>
      </c>
      <c r="B21815" s="4" t="s">
        <v>27473</v>
      </c>
      <c r="C21815" s="5" t="str">
        <f>IFERROR(__xludf.DUMMYFUNCTION("GOOGLETRANSLATE(B21815,""en"",""es-ES"")"),"Un hombre que sostiene una jabalina corre por una pista.")</f>
        <v>Un hombre que sostiene una jabalina corre por una pista.</v>
      </c>
    </row>
    <row r="21816">
      <c r="A21816" s="4" t="s">
        <v>27472</v>
      </c>
      <c r="B21816" s="4" t="s">
        <v>27474</v>
      </c>
      <c r="C21816" s="5" t="str">
        <f>IFERROR(__xludf.DUMMYFUNCTION("GOOGLETRANSLATE(B21816,""en"",""es-ES"")"),"El hombre lanza la jabalina.")</f>
        <v>El hombre lanza la jabalina.</v>
      </c>
    </row>
    <row r="21817">
      <c r="A21817" s="4" t="s">
        <v>27472</v>
      </c>
      <c r="B21817" s="4" t="s">
        <v>27475</v>
      </c>
      <c r="C21817" s="5" t="str">
        <f>IFERROR(__xludf.DUMMYFUNCTION("GOOGLETRANSLATE(B21817,""en"",""es-ES"")"),"El hombre cae al suelo.")</f>
        <v>El hombre cae al suelo.</v>
      </c>
    </row>
    <row r="21818">
      <c r="A21818" s="4" t="s">
        <v>27472</v>
      </c>
      <c r="B21818" s="4" t="s">
        <v>27476</v>
      </c>
      <c r="C21818" s="5" t="str">
        <f>IFERROR(__xludf.DUMMYFUNCTION("GOOGLETRANSLATE(B21818,""en"",""es-ES"")"),"Vemos la jabalina volando por el aire.")</f>
        <v>Vemos la jabalina volando por el aire.</v>
      </c>
    </row>
    <row r="21819">
      <c r="A21819" s="4" t="s">
        <v>27472</v>
      </c>
      <c r="B21819" s="4" t="s">
        <v>27477</v>
      </c>
      <c r="C21819" s="5" t="str">
        <f>IFERROR(__xludf.DUMMYFUNCTION("GOOGLETRANSLATE(B21819,""en"",""es-ES"")"),"Vemos a la gente correr para medir la distancia de la jabalina.")</f>
        <v>Vemos a la gente correr para medir la distancia de la jabalina.</v>
      </c>
    </row>
    <row r="21820">
      <c r="A21820" s="4" t="s">
        <v>27472</v>
      </c>
      <c r="B21820" s="4" t="s">
        <v>27478</v>
      </c>
      <c r="C21820" s="5" t="str">
        <f>IFERROR(__xludf.DUMMYFUNCTION("GOOGLETRANSLATE(B21820,""en"",""es-ES"")"),"El hombre se bombea los brazos y vemos gente feliz en la multitud.")</f>
        <v>El hombre se bombea los brazos y vemos gente feliz en la multitud.</v>
      </c>
    </row>
    <row r="21821">
      <c r="A21821" s="4" t="s">
        <v>27472</v>
      </c>
      <c r="B21821" s="4" t="s">
        <v>27479</v>
      </c>
      <c r="C21821" s="5" t="str">
        <f>IFERROR(__xludf.DUMMYFUNCTION("GOOGLETRANSLATE(B21821,""en"",""es-ES"")"),"Luego vemos una respuesta del lanzamiento del hombre.")</f>
        <v>Luego vemos una respuesta del lanzamiento del hombre.</v>
      </c>
    </row>
    <row r="21822">
      <c r="A21822" s="4" t="s">
        <v>27480</v>
      </c>
      <c r="B21822" s="4" t="s">
        <v>27481</v>
      </c>
      <c r="C21822" s="5" t="str">
        <f>IFERROR(__xludf.DUMMYFUNCTION("GOOGLETRANSLATE(B21822,""en"",""es-ES"")"),"Un grupo de giradores de batones práctica su rutina para una próxima competencia.")</f>
        <v>Un grupo de giradores de batones práctica su rutina para una próxima competencia.</v>
      </c>
    </row>
    <row r="21823">
      <c r="A21823" s="4" t="s">
        <v>27480</v>
      </c>
      <c r="B21823" s="4" t="s">
        <v>27482</v>
      </c>
      <c r="C21823" s="5" t="str">
        <f>IFERROR(__xludf.DUMMYFUNCTION("GOOGLETRANSLATE(B21823,""en"",""es-ES"")"),"El locutor de noticias está comentando sobre los eventos.")</f>
        <v>El locutor de noticias está comentando sobre los eventos.</v>
      </c>
    </row>
    <row r="21824">
      <c r="A21824" s="4" t="s">
        <v>27480</v>
      </c>
      <c r="B21824" s="4" t="s">
        <v>27483</v>
      </c>
      <c r="C21824" s="5" t="str">
        <f>IFERROR(__xludf.DUMMYFUNCTION("GOOGLETRANSLATE(B21824,""en"",""es-ES"")"),"Luego se entrevista al entrenador en qué están trabajando las chicas.")</f>
        <v>Luego se entrevista al entrenador en qué están trabajando las chicas.</v>
      </c>
    </row>
    <row r="21825">
      <c r="A21825" s="4" t="s">
        <v>27480</v>
      </c>
      <c r="B21825" s="4" t="s">
        <v>27484</v>
      </c>
      <c r="C21825" s="5" t="str">
        <f>IFERROR(__xludf.DUMMYFUNCTION("GOOGLETRANSLATE(B21825,""en"",""es-ES"")"),"Se entrevistan a varios giradores por su punto de vista sobre por qué están trabajando tan duro.")</f>
        <v>Se entrevistan a varios giradores por su punto de vista sobre por qué están trabajando tan duro.</v>
      </c>
    </row>
    <row r="21826">
      <c r="A21826" s="4" t="s">
        <v>27480</v>
      </c>
      <c r="B21826" s="4" t="s">
        <v>27485</v>
      </c>
      <c r="C21826" s="5" t="str">
        <f>IFERROR(__xludf.DUMMYFUNCTION("GOOGLETRANSLATE(B21826,""en"",""es-ES"")"),"El entrenador establece lo que le encanta del proceso y lo que es más importante.")</f>
        <v>El entrenador establece lo que le encanta del proceso y lo que es más importante.</v>
      </c>
    </row>
    <row r="21827">
      <c r="A21827" s="4" t="s">
        <v>27480</v>
      </c>
      <c r="B21827" s="4" t="s">
        <v>27486</v>
      </c>
      <c r="C21827" s="5" t="str">
        <f>IFERROR(__xludf.DUMMYFUNCTION("GOOGLETRANSLATE(B21827,""en"",""es-ES"")"),"El comentarista anuncia dónde será la competencia y declarará su nombre.")</f>
        <v>El comentarista anuncia dónde será la competencia y declarará su nombre.</v>
      </c>
    </row>
    <row r="21828">
      <c r="A21828" s="4" t="s">
        <v>27487</v>
      </c>
      <c r="B21828" s="4" t="s">
        <v>27488</v>
      </c>
      <c r="C21828" s="5" t="str">
        <f>IFERROR(__xludf.DUMMYFUNCTION("GOOGLETRANSLATE(B21828,""en"",""es-ES"")"),"Tres personas caminan sobre un puente en una laguna.")</f>
        <v>Tres personas caminan sobre un puente en una laguna.</v>
      </c>
    </row>
    <row r="21829">
      <c r="A21829" s="4" t="s">
        <v>27487</v>
      </c>
      <c r="B21829" s="4" t="s">
        <v>27489</v>
      </c>
      <c r="C21829" s="5" t="str">
        <f>IFERROR(__xludf.DUMMYFUNCTION("GOOGLETRANSLATE(B21829,""en"",""es-ES"")"),"Vemos a un hombre en un bote y una dama poniéndose en equipo de buceo.")</f>
        <v>Vemos a un hombre en un bote y una dama poniéndose en equipo de buceo.</v>
      </c>
    </row>
    <row r="21830">
      <c r="A21830" s="4" t="s">
        <v>27487</v>
      </c>
      <c r="B21830" s="4" t="s">
        <v>27490</v>
      </c>
      <c r="C21830" s="5" t="str">
        <f>IFERROR(__xludf.DUMMYFUNCTION("GOOGLETRANSLATE(B21830,""en"",""es-ES"")"),"El hombre y la mujer están bajo el agua mirando la vida marina.")</f>
        <v>El hombre y la mujer están bajo el agua mirando la vida marina.</v>
      </c>
    </row>
    <row r="21831">
      <c r="A21831" s="4" t="s">
        <v>27487</v>
      </c>
      <c r="B21831" s="4" t="s">
        <v>27491</v>
      </c>
      <c r="C21831" s="5" t="str">
        <f>IFERROR(__xludf.DUMMYFUNCTION("GOOGLETRANSLATE(B21831,""en"",""es-ES"")"),"Vemos a un hombre sosteniendo un animal submarino que le entrega a una dama.")</f>
        <v>Vemos a un hombre sosteniendo un animal submarino que le entrega a una dama.</v>
      </c>
    </row>
    <row r="21832">
      <c r="A21832" s="4" t="s">
        <v>27487</v>
      </c>
      <c r="B21832" s="4" t="s">
        <v>27492</v>
      </c>
      <c r="C21832" s="5" t="str">
        <f>IFERROR(__xludf.DUMMYFUNCTION("GOOGLETRANSLATE(B21832,""en"",""es-ES"")"),"Vemos a un hombre y una dama en un patio tropical hablando y riendo.")</f>
        <v>Vemos a un hombre y una dama en un patio tropical hablando y riendo.</v>
      </c>
    </row>
    <row r="21833">
      <c r="A21833" s="4" t="s">
        <v>27493</v>
      </c>
      <c r="B21833" s="4" t="s">
        <v>27494</v>
      </c>
      <c r="C21833" s="5" t="str">
        <f>IFERROR(__xludf.DUMMYFUNCTION("GOOGLETRANSLATE(B21833,""en"",""es-ES"")"),"Se ve a una mujer inclinándose hacia adelante mientras está sentada en una cama y sosteniendo un cepillo en sus manos.")</f>
        <v>Se ve a una mujer inclinándose hacia adelante mientras está sentada en una cama y sosteniendo un cepillo en sus manos.</v>
      </c>
    </row>
    <row r="21834">
      <c r="A21834" s="4" t="s">
        <v>27493</v>
      </c>
      <c r="B21834" s="4" t="s">
        <v>27495</v>
      </c>
      <c r="C21834" s="5" t="str">
        <f>IFERROR(__xludf.DUMMYFUNCTION("GOOGLETRANSLATE(B21834,""en"",""es-ES"")"),"Luego pasa el cepillo a través de su cabello una y otra vez.")</f>
        <v>Luego pasa el cepillo a través de su cabello una y otra vez.</v>
      </c>
    </row>
    <row r="21835">
      <c r="A21835" s="4" t="s">
        <v>27493</v>
      </c>
      <c r="B21835" s="4" t="s">
        <v>27496</v>
      </c>
      <c r="C21835" s="5" t="str">
        <f>IFERROR(__xludf.DUMMYFUNCTION("GOOGLETRANSLATE(B21835,""en"",""es-ES"")"),"Ella continúa pasando el cepillo a través de su cabello y termina sonriendo a la cámara.")</f>
        <v>Ella continúa pasando el cepillo a través de su cabello y termina sonriendo a la cámara.</v>
      </c>
    </row>
    <row r="21836">
      <c r="A21836" s="4" t="s">
        <v>27497</v>
      </c>
      <c r="B21836" s="4" t="s">
        <v>1487</v>
      </c>
      <c r="C21836" s="5" t="str">
        <f>IFERROR(__xludf.DUMMYFUNCTION("GOOGLETRANSLATE(B21836,""en"",""es-ES"")"),"Vemos una pantalla de título de apertura.")</f>
        <v>Vemos una pantalla de título de apertura.</v>
      </c>
    </row>
    <row r="21837">
      <c r="A21837" s="4" t="s">
        <v>27497</v>
      </c>
      <c r="B21837" s="4" t="s">
        <v>27498</v>
      </c>
      <c r="C21837" s="5" t="str">
        <f>IFERROR(__xludf.DUMMYFUNCTION("GOOGLETRANSLATE(B21837,""en"",""es-ES"")"),"Vemos a una dama con un abrigo de chefs en una cocina hablando.")</f>
        <v>Vemos a una dama con un abrigo de chefs en una cocina hablando.</v>
      </c>
    </row>
    <row r="21838">
      <c r="A21838" s="4" t="s">
        <v>27497</v>
      </c>
      <c r="B21838" s="4" t="s">
        <v>27499</v>
      </c>
      <c r="C21838" s="5" t="str">
        <f>IFERROR(__xludf.DUMMYFUNCTION("GOOGLETRANSLATE(B21838,""en"",""es-ES"")"),"Una dama agudiza un cuchillo en una barra.")</f>
        <v>Una dama agudiza un cuchillo en una barra.</v>
      </c>
    </row>
    <row r="21839">
      <c r="A21839" s="4" t="s">
        <v>27497</v>
      </c>
      <c r="B21839" s="4" t="s">
        <v>27500</v>
      </c>
      <c r="C21839" s="5" t="str">
        <f>IFERROR(__xludf.DUMMYFUNCTION("GOOGLETRANSLATE(B21839,""en"",""es-ES"")"),"La señora pone agua en un bloque de afilador negro.")</f>
        <v>La señora pone agua en un bloque de afilador negro.</v>
      </c>
    </row>
    <row r="21840">
      <c r="A21840" s="4" t="s">
        <v>27497</v>
      </c>
      <c r="B21840" s="4" t="s">
        <v>27501</v>
      </c>
      <c r="C21840" s="5" t="str">
        <f>IFERROR(__xludf.DUMMYFUNCTION("GOOGLETRANSLATE(B21840,""en"",""es-ES"")"),"La señora luego agudiza el cuchillo.")</f>
        <v>La señora luego agudiza el cuchillo.</v>
      </c>
    </row>
    <row r="21841">
      <c r="A21841" s="4" t="s">
        <v>27497</v>
      </c>
      <c r="B21841" s="4" t="s">
        <v>27502</v>
      </c>
      <c r="C21841" s="5" t="str">
        <f>IFERROR(__xludf.DUMMYFUNCTION("GOOGLETRANSLATE(B21841,""en"",""es-ES"")"),"Luego regresa a la barra.")</f>
        <v>Luego regresa a la barra.</v>
      </c>
    </row>
    <row r="21842">
      <c r="A21842" s="4" t="s">
        <v>27497</v>
      </c>
      <c r="B21842" s="4" t="s">
        <v>27503</v>
      </c>
      <c r="C21842" s="5" t="str">
        <f>IFERROR(__xludf.DUMMYFUNCTION("GOOGLETRANSLATE(B21842,""en"",""es-ES"")"),"Luego vuelve al bloque negro.")</f>
        <v>Luego vuelve al bloque negro.</v>
      </c>
    </row>
    <row r="21843">
      <c r="A21843" s="4" t="s">
        <v>27497</v>
      </c>
      <c r="B21843" s="4" t="s">
        <v>27504</v>
      </c>
      <c r="C21843" s="5" t="str">
        <f>IFERROR(__xludf.DUMMYFUNCTION("GOOGLETRANSLATE(B21843,""en"",""es-ES"")"),"Vemos una pantalla de título de cierre.")</f>
        <v>Vemos una pantalla de título de cierre.</v>
      </c>
    </row>
    <row r="21844">
      <c r="A21844" s="4" t="s">
        <v>27505</v>
      </c>
      <c r="B21844" s="4" t="s">
        <v>27506</v>
      </c>
      <c r="C21844" s="5" t="str">
        <f>IFERROR(__xludf.DUMMYFUNCTION("GOOGLETRANSLATE(B21844,""en"",""es-ES"")"),"Un niño está parado en un taburete llenando una taza con agua en el fregadero.")</f>
        <v>Un niño está parado en un taburete llenando una taza con agua en el fregadero.</v>
      </c>
    </row>
    <row r="21845">
      <c r="A21845" s="4" t="s">
        <v>27505</v>
      </c>
      <c r="B21845" s="4" t="s">
        <v>27507</v>
      </c>
      <c r="C21845" s="5" t="str">
        <f>IFERROR(__xludf.DUMMYFUNCTION("GOOGLETRANSLATE(B21845,""en"",""es-ES"")"),"El niño se pone guantes morados.")</f>
        <v>El niño se pone guantes morados.</v>
      </c>
    </row>
    <row r="21846">
      <c r="A21846" s="4" t="s">
        <v>27505</v>
      </c>
      <c r="B21846" s="4" t="s">
        <v>27508</v>
      </c>
      <c r="C21846" s="5" t="str">
        <f>IFERROR(__xludf.DUMMYFUNCTION("GOOGLETRANSLATE(B21846,""en"",""es-ES"")"),"Quitan los guantes y los colocan en el fregadero.")</f>
        <v>Quitan los guantes y los colocan en el fregadero.</v>
      </c>
    </row>
    <row r="21847">
      <c r="A21847" s="4" t="s">
        <v>27509</v>
      </c>
      <c r="B21847" s="4" t="s">
        <v>27510</v>
      </c>
      <c r="C21847" s="5" t="str">
        <f>IFERROR(__xludf.DUMMYFUNCTION("GOOGLETRANSLATE(B21847,""en"",""es-ES"")"),"Un hombre mueve los dedos de los pies mientras está sentado en una habitación descalza.")</f>
        <v>Un hombre mueve los dedos de los pies mientras está sentado en una habitación descalza.</v>
      </c>
    </row>
    <row r="21848">
      <c r="A21848" s="4" t="s">
        <v>27509</v>
      </c>
      <c r="B21848" s="4" t="s">
        <v>27511</v>
      </c>
      <c r="C21848" s="5" t="str">
        <f>IFERROR(__xludf.DUMMYFUNCTION("GOOGLETRANSLATE(B21848,""en"",""es-ES"")"),"El hombre se pone los zapatos y ata los cordones.")</f>
        <v>El hombre se pone los zapatos y ata los cordones.</v>
      </c>
    </row>
    <row r="21849">
      <c r="A21849" s="4" t="s">
        <v>27509</v>
      </c>
      <c r="B21849" s="4" t="s">
        <v>27512</v>
      </c>
      <c r="C21849" s="5" t="str">
        <f>IFERROR(__xludf.DUMMYFUNCTION("GOOGLETRANSLATE(B21849,""en"",""es-ES"")"),"El hombre baila los pies mientras está sentado.")</f>
        <v>El hombre baila los pies mientras está sentado.</v>
      </c>
    </row>
    <row r="21850">
      <c r="A21850" s="4" t="s">
        <v>27513</v>
      </c>
      <c r="B21850" s="4" t="s">
        <v>27514</v>
      </c>
      <c r="C21850" s="5" t="str">
        <f>IFERROR(__xludf.DUMMYFUNCTION("GOOGLETRANSLATE(B21850,""en"",""es-ES"")"),"Tres hombres presentan un video instructivo para Slikhaar Studios.")</f>
        <v>Tres hombres presentan un video instructivo para Slikhaar Studios.</v>
      </c>
    </row>
    <row r="21851">
      <c r="A21851" s="4" t="s">
        <v>27513</v>
      </c>
      <c r="B21851" s="4" t="s">
        <v>27515</v>
      </c>
      <c r="C21851" s="5" t="str">
        <f>IFERROR(__xludf.DUMMYFUNCTION("GOOGLETRANSLATE(B21851,""en"",""es-ES"")"),"El hombre en el centro está demostrando un peinado en la persona que usa la camisa azul.")</f>
        <v>El hombre en el centro está demostrando un peinado en la persona que usa la camisa azul.</v>
      </c>
    </row>
    <row r="21852">
      <c r="A21852" s="4" t="s">
        <v>27513</v>
      </c>
      <c r="B21852" s="4" t="s">
        <v>27516</v>
      </c>
      <c r="C21852" s="5" t="str">
        <f>IFERROR(__xludf.DUMMYFUNCTION("GOOGLETRANSLATE(B21852,""en"",""es-ES"")"),"El hombre con la camisa azul se sienta en la silla al lado del fregadero.")</f>
        <v>El hombre con la camisa azul se sienta en la silla al lado del fregadero.</v>
      </c>
    </row>
    <row r="21853">
      <c r="A21853" s="4" t="s">
        <v>27513</v>
      </c>
      <c r="B21853" s="4" t="s">
        <v>27517</v>
      </c>
      <c r="C21853" s="5" t="str">
        <f>IFERROR(__xludf.DUMMYFUNCTION("GOOGLETRANSLATE(B21853,""en"",""es-ES"")"),"El otro hombre comienza a lavarse el cabello.")</f>
        <v>El otro hombre comienza a lavarse el cabello.</v>
      </c>
    </row>
    <row r="21854">
      <c r="A21854" s="4" t="s">
        <v>27513</v>
      </c>
      <c r="B21854" s="4" t="s">
        <v>27518</v>
      </c>
      <c r="C21854" s="5" t="str">
        <f>IFERROR(__xludf.DUMMYFUNCTION("GOOGLETRANSLATE(B21854,""en"",""es-ES"")"),"Se frota en el champú y luego lo lava.")</f>
        <v>Se frota en el champú y luego lo lava.</v>
      </c>
    </row>
    <row r="21855">
      <c r="A21855" s="4" t="s">
        <v>27513</v>
      </c>
      <c r="B21855" s="4" t="s">
        <v>27519</v>
      </c>
      <c r="C21855" s="5" t="str">
        <f>IFERROR(__xludf.DUMMYFUNCTION("GOOGLETRANSLATE(B21855,""en"",""es-ES"")"),"Luego lo tira y soplan su cabello después de peinarlo con gel.")</f>
        <v>Luego lo tira y soplan su cabello después de peinarlo con gel.</v>
      </c>
    </row>
    <row r="21856">
      <c r="A21856" s="4" t="s">
        <v>27513</v>
      </c>
      <c r="B21856" s="4" t="s">
        <v>27520</v>
      </c>
      <c r="C21856" s="5" t="str">
        <f>IFERROR(__xludf.DUMMYFUNCTION("GOOGLETRANSLATE(B21856,""en"",""es-ES"")"),"Utiliza un clipper eléctrico para preparar las patillas y las sienes.")</f>
        <v>Utiliza un clipper eléctrico para preparar las patillas y las sienes.</v>
      </c>
    </row>
    <row r="21857">
      <c r="A21857" s="4" t="s">
        <v>27513</v>
      </c>
      <c r="B21857" s="4" t="s">
        <v>27521</v>
      </c>
      <c r="C21857" s="5" t="str">
        <f>IFERROR(__xludf.DUMMYFUNCTION("GOOGLETRANSLATE(B21857,""en"",""es-ES"")"),"También recorta la parte posterior y los lados de la cabeza con los Clippers.")</f>
        <v>También recorta la parte posterior y los lados de la cabeza con los Clippers.</v>
      </c>
    </row>
    <row r="21858">
      <c r="A21858" s="4" t="s">
        <v>27513</v>
      </c>
      <c r="B21858" s="4" t="s">
        <v>27522</v>
      </c>
      <c r="C21858" s="5" t="str">
        <f>IFERROR(__xludf.DUMMYFUNCTION("GOOGLETRANSLATE(B21858,""en"",""es-ES"")"),"Utiliza tijeras para recortar el cabello y darle un aspecto terminado.")</f>
        <v>Utiliza tijeras para recortar el cabello y darle un aspecto terminado.</v>
      </c>
    </row>
    <row r="21859">
      <c r="A21859" s="4" t="s">
        <v>27513</v>
      </c>
      <c r="B21859" s="4" t="s">
        <v>27523</v>
      </c>
      <c r="C21859" s="5" t="str">
        <f>IFERROR(__xludf.DUMMYFUNCTION("GOOGLETRANSLATE(B21859,""en"",""es-ES"")"),"El modelo usa un poco de gel para el cabello para peinar el cabello después del corte de pelo.")</f>
        <v>El modelo usa un poco de gel para el cabello para peinar el cabello después del corte de pelo.</v>
      </c>
    </row>
    <row r="21860">
      <c r="A21860" s="4" t="s">
        <v>27513</v>
      </c>
      <c r="B21860" s="4" t="s">
        <v>27524</v>
      </c>
      <c r="C21860" s="5" t="str">
        <f>IFERROR(__xludf.DUMMYFUNCTION("GOOGLETRANSLATE(B21860,""en"",""es-ES"")"),"El anfitrión del programa luego explica cómo se cortó y diseñó el cabello y proporciona información sobre su sitio web.")</f>
        <v>El anfitrión del programa luego explica cómo se cortó y diseñó el cabello y proporciona información sobre su sitio web.</v>
      </c>
    </row>
    <row r="21861">
      <c r="A21861" s="4" t="s">
        <v>27525</v>
      </c>
      <c r="B21861" s="4" t="s">
        <v>27526</v>
      </c>
      <c r="C21861" s="5" t="str">
        <f>IFERROR(__xludf.DUMMYFUNCTION("GOOGLETRANSLATE(B21861,""en"",""es-ES"")"),"Se muestra a una mujer parada frente a un entrenador elíptico, hablando.")</f>
        <v>Se muestra a una mujer parada frente a un entrenador elíptico, hablando.</v>
      </c>
    </row>
    <row r="21862">
      <c r="A21862" s="4" t="s">
        <v>27525</v>
      </c>
      <c r="B21862" s="4" t="s">
        <v>27527</v>
      </c>
      <c r="C21862" s="5" t="str">
        <f>IFERROR(__xludf.DUMMYFUNCTION("GOOGLETRANSLATE(B21862,""en"",""es-ES"")"),"Ella voltea un folleto antes de caminar hacia el entrenador.")</f>
        <v>Ella voltea un folleto antes de caminar hacia el entrenador.</v>
      </c>
    </row>
    <row r="21863">
      <c r="A21863" s="4" t="s">
        <v>27525</v>
      </c>
      <c r="B21863" s="4" t="s">
        <v>27528</v>
      </c>
      <c r="C21863" s="5" t="str">
        <f>IFERROR(__xludf.DUMMYFUNCTION("GOOGLETRANSLATE(B21863,""en"",""es-ES"")"),"Ella comienza a demostrar cómo preparar al entrenador para su uso.")</f>
        <v>Ella comienza a demostrar cómo preparar al entrenador para su uso.</v>
      </c>
    </row>
    <row r="21864">
      <c r="A21864" s="4" t="s">
        <v>27525</v>
      </c>
      <c r="B21864" s="4" t="s">
        <v>27529</v>
      </c>
      <c r="C21864" s="5" t="str">
        <f>IFERROR(__xludf.DUMMYFUNCTION("GOOGLETRANSLATE(B21864,""en"",""es-ES"")"),"Se sube al entrenador y muestra cómo se usa al pedalear con los pies.")</f>
        <v>Se sube al entrenador y muestra cómo se usa al pedalear con los pies.</v>
      </c>
    </row>
    <row r="21865">
      <c r="A21865" s="4" t="s">
        <v>27525</v>
      </c>
      <c r="B21865" s="4" t="s">
        <v>27530</v>
      </c>
      <c r="C21865" s="5" t="str">
        <f>IFERROR(__xludf.DUMMYFUNCTION("GOOGLETRANSLATE(B21865,""en"",""es-ES"")"),"Luego se muestra un primer plano de la pantalla.")</f>
        <v>Luego se muestra un primer plano de la pantalla.</v>
      </c>
    </row>
    <row r="21866">
      <c r="A21866" s="4" t="s">
        <v>27525</v>
      </c>
      <c r="B21866" s="4" t="s">
        <v>27531</v>
      </c>
      <c r="C21866" s="5" t="str">
        <f>IFERROR(__xludf.DUMMYFUNCTION("GOOGLETRANSLATE(B21866,""en"",""es-ES"")"),"El entrenador está doblado para mostrar compactación y facilidad de almacenamiento.")</f>
        <v>El entrenador está doblado para mostrar compactación y facilidad de almacenamiento.</v>
      </c>
    </row>
    <row r="21867">
      <c r="A21867" s="4" t="s">
        <v>27532</v>
      </c>
      <c r="B21867" s="4" t="s">
        <v>27533</v>
      </c>
      <c r="C21867" s="5" t="str">
        <f>IFERROR(__xludf.DUMMYFUNCTION("GOOGLETRANSLATE(B21867,""en"",""es-ES"")"),"Un conejito gris está de pie sobre una cama en una toalla negra comiendo algo en la mano.")</f>
        <v>Un conejito gris está de pie sobre una cama en una toalla negra comiendo algo en la mano.</v>
      </c>
    </row>
    <row r="21868">
      <c r="A21868" s="4" t="s">
        <v>27532</v>
      </c>
      <c r="B21868" s="4" t="s">
        <v>27534</v>
      </c>
      <c r="C21868" s="5" t="str">
        <f>IFERROR(__xludf.DUMMYFUNCTION("GOOGLETRANSLATE(B21868,""en"",""es-ES"")"),"Mientras come, el conejito comienza a agarrarse las orejas y sacude la cabeza.")</f>
        <v>Mientras come, el conejito comienza a agarrarse las orejas y sacude la cabeza.</v>
      </c>
    </row>
    <row r="21869">
      <c r="A21869" s="4" t="s">
        <v>27532</v>
      </c>
      <c r="B21869" s="4" t="s">
        <v>27535</v>
      </c>
      <c r="C21869" s="5" t="str">
        <f>IFERROR(__xludf.DUMMYFUNCTION("GOOGLETRANSLATE(B21869,""en"",""es-ES"")"),"Luchando más, el conejito se dobla y sigue comiendo algo antes de mirar.")</f>
        <v>Luchando más, el conejito se dobla y sigue comiendo algo antes de mirar.</v>
      </c>
    </row>
    <row r="21870">
      <c r="A21870" s="4" t="s">
        <v>27536</v>
      </c>
      <c r="B21870" s="4" t="s">
        <v>27537</v>
      </c>
      <c r="C21870" s="5" t="str">
        <f>IFERROR(__xludf.DUMMYFUNCTION("GOOGLETRANSLATE(B21870,""en"",""es-ES"")"),"Se ve a un niño pequeño sentado ante una mesa de fooseball cuando uno le entrega la pelota y ella la pone en el juego.")</f>
        <v>Se ve a un niño pequeño sentado ante una mesa de fooseball cuando uno le entrega la pelota y ella la pone en el juego.</v>
      </c>
    </row>
    <row r="21871">
      <c r="A21871" s="4" t="s">
        <v>27536</v>
      </c>
      <c r="B21871" s="4" t="s">
        <v>27538</v>
      </c>
      <c r="C21871" s="5" t="str">
        <f>IFERROR(__xludf.DUMMYFUNCTION("GOOGLETRANSLATE(B21871,""en"",""es-ES"")"),"El hombre luego ayuda a la niña a jugar sobre la mesa moviendo los postes y empujando a la gente.")</f>
        <v>El hombre luego ayuda a la niña a jugar sobre la mesa moviendo los postes y empujando a la gente.</v>
      </c>
    </row>
    <row r="21872">
      <c r="A21872" s="4" t="s">
        <v>27539</v>
      </c>
      <c r="B21872" s="4" t="s">
        <v>27540</v>
      </c>
      <c r="C21872" s="5" t="str">
        <f>IFERROR(__xludf.DUMMYFUNCTION("GOOGLETRANSLATE(B21872,""en"",""es-ES"")"),"Los atletas corren por una pista y arrojan una jabalina por el campo.")</f>
        <v>Los atletas corren por una pista y arrojan una jabalina por el campo.</v>
      </c>
    </row>
    <row r="21873">
      <c r="A21873" s="4" t="s">
        <v>27539</v>
      </c>
      <c r="B21873" s="4" t="s">
        <v>27541</v>
      </c>
      <c r="C21873" s="5" t="str">
        <f>IFERROR(__xludf.DUMMYFUNCTION("GOOGLETRANSLATE(B21873,""en"",""es-ES"")"),"Un árbitro se agota para verificar la posición de la jabalina.")</f>
        <v>Un árbitro se agota para verificar la posición de la jabalina.</v>
      </c>
    </row>
    <row r="21874">
      <c r="A21874" s="4" t="s">
        <v>27539</v>
      </c>
      <c r="B21874" s="4" t="s">
        <v>27542</v>
      </c>
      <c r="C21874" s="5" t="str">
        <f>IFERROR(__xludf.DUMMYFUNCTION("GOOGLETRANSLATE(B21874,""en"",""es-ES"")"),"Una tabla de líderes muestra decenas de atletas.")</f>
        <v>Una tabla de líderes muestra decenas de atletas.</v>
      </c>
    </row>
    <row r="21875">
      <c r="A21875" s="4" t="s">
        <v>27543</v>
      </c>
      <c r="B21875" s="4" t="s">
        <v>27544</v>
      </c>
      <c r="C21875" s="5" t="str">
        <f>IFERROR(__xludf.DUMMYFUNCTION("GOOGLETRANSLATE(B21875,""en"",""es-ES"")"),"Un jugador de hockey de campo regate una pelota en el campo entre sus piernas.")</f>
        <v>Un jugador de hockey de campo regate una pelota en el campo entre sus piernas.</v>
      </c>
    </row>
    <row r="21876">
      <c r="A21876" s="4" t="s">
        <v>27543</v>
      </c>
      <c r="B21876" s="4" t="s">
        <v>27545</v>
      </c>
      <c r="C21876" s="5" t="str">
        <f>IFERROR(__xludf.DUMMYFUNCTION("GOOGLETRANSLATE(B21876,""en"",""es-ES"")"),"TH Field Hockey juega Driblar la pelota de un lado a otro frente a él.")</f>
        <v>TH Field Hockey juega Driblar la pelota de un lado a otro frente a él.</v>
      </c>
    </row>
    <row r="21877">
      <c r="A21877" s="4" t="s">
        <v>27543</v>
      </c>
      <c r="B21877" s="4" t="s">
        <v>27546</v>
      </c>
      <c r="C21877" s="5" t="str">
        <f>IFERROR(__xludf.DUMMYFUNCTION("GOOGLETRANSLATE(B21877,""en"",""es-ES"")"),"El jugador de hockey sobre césped golpea mientras hace malabares con el balón en el aire y se equilibra en su palo.")</f>
        <v>El jugador de hockey sobre césped golpea mientras hace malabares con el balón en el aire y se equilibra en su palo.</v>
      </c>
    </row>
    <row r="21878">
      <c r="A21878" s="4" t="s">
        <v>27543</v>
      </c>
      <c r="B21878" s="4" t="s">
        <v>27547</v>
      </c>
      <c r="C21878" s="5" t="str">
        <f>IFERROR(__xludf.DUMMYFUNCTION("GOOGLETRANSLATE(B21878,""en"",""es-ES"")"),"Los jugadores gotean a través de un conjunto de conos y toman disparos en la meta.")</f>
        <v>Los jugadores gotean a través de un conjunto de conos y toman disparos en la meta.</v>
      </c>
    </row>
    <row r="21879">
      <c r="A21879" s="4" t="s">
        <v>27548</v>
      </c>
      <c r="B21879" s="4" t="s">
        <v>27549</v>
      </c>
      <c r="C21879" s="5" t="str">
        <f>IFERROR(__xludf.DUMMYFUNCTION("GOOGLETRANSLATE(B21879,""en"",""es-ES"")"),"La gente conduce un automóvil con balsas en la parte posterior.")</f>
        <v>La gente conduce un automóvil con balsas en la parte posterior.</v>
      </c>
    </row>
    <row r="21880">
      <c r="A21880" s="4" t="s">
        <v>27548</v>
      </c>
      <c r="B21880" s="4" t="s">
        <v>27550</v>
      </c>
      <c r="C21880" s="5" t="str">
        <f>IFERROR(__xludf.DUMMYFUNCTION("GOOGLETRANSLATE(B21880,""en"",""es-ES"")"),"Entran en las balsas y están rafting por un río.")</f>
        <v>Entran en las balsas y están rafting por un río.</v>
      </c>
    </row>
    <row r="21881">
      <c r="A21881" s="4" t="s">
        <v>27548</v>
      </c>
      <c r="B21881" s="4" t="s">
        <v>27551</v>
      </c>
      <c r="C21881" s="5" t="str">
        <f>IFERROR(__xludf.DUMMYFUNCTION("GOOGLETRANSLATE(B21881,""en"",""es-ES"")"),"Van a un puesto de perros calientes y consiguen comida.")</f>
        <v>Van a un puesto de perros calientes y consiguen comida.</v>
      </c>
    </row>
    <row r="21882">
      <c r="A21882" s="4" t="s">
        <v>27548</v>
      </c>
      <c r="B21882" s="4" t="s">
        <v>27552</v>
      </c>
      <c r="C21882" s="5" t="str">
        <f>IFERROR(__xludf.DUMMYFUNCTION("GOOGLETRANSLATE(B21882,""en"",""es-ES"")"),"Continúan rafting por el río.")</f>
        <v>Continúan rafting por el río.</v>
      </c>
    </row>
    <row r="21883">
      <c r="A21883" s="4" t="s">
        <v>27553</v>
      </c>
      <c r="B21883" s="4" t="s">
        <v>27554</v>
      </c>
      <c r="C21883" s="5" t="str">
        <f>IFERROR(__xludf.DUMMYFUNCTION("GOOGLETRANSLATE(B21883,""en"",""es-ES"")"),"Un hombre aparece en la pantalla con un uniforme de artes marciales que muestra a las personas cómo hacer una patada lateral.")</f>
        <v>Un hombre aparece en la pantalla con un uniforme de artes marciales que muestra a las personas cómo hacer una patada lateral.</v>
      </c>
    </row>
    <row r="21884">
      <c r="A21884" s="4" t="s">
        <v>27553</v>
      </c>
      <c r="B21884" s="4" t="s">
        <v>27555</v>
      </c>
      <c r="C21884" s="5" t="str">
        <f>IFERROR(__xludf.DUMMYFUNCTION("GOOGLETRANSLATE(B21884,""en"",""es-ES"")"),"Él se balancea de lado a lado para mostrar cómo controlar su equilibrio.")</f>
        <v>Él se balancea de lado a lado para mostrar cómo controlar su equilibrio.</v>
      </c>
    </row>
    <row r="21885">
      <c r="A21885" s="4" t="s">
        <v>27553</v>
      </c>
      <c r="B21885" s="4" t="s">
        <v>27556</v>
      </c>
      <c r="C21885" s="5" t="str">
        <f>IFERROR(__xludf.DUMMYFUNCTION("GOOGLETRANSLATE(B21885,""en"",""es-ES"")"),"Levanta las rodillas, una después de alternarse de izquierda a derecha para mostrar cómo comenzar la patada.")</f>
        <v>Levanta las rodillas, una después de alternarse de izquierda a derecha para mostrar cómo comenzar la patada.</v>
      </c>
    </row>
    <row r="21886">
      <c r="A21886" s="4" t="s">
        <v>27553</v>
      </c>
      <c r="B21886" s="4" t="s">
        <v>27557</v>
      </c>
      <c r="C21886" s="5" t="str">
        <f>IFERROR(__xludf.DUMMYFUNCTION("GOOGLETRANSLATE(B21886,""en"",""es-ES"")"),"Continúa mostrando cómo terminar la patada lateral con un seguimiento.")</f>
        <v>Continúa mostrando cómo terminar la patada lateral con un seguimiento.</v>
      </c>
    </row>
    <row r="21887">
      <c r="A21887" s="4" t="s">
        <v>27553</v>
      </c>
      <c r="B21887" s="4" t="s">
        <v>27558</v>
      </c>
      <c r="C21887" s="5" t="str">
        <f>IFERROR(__xludf.DUMMYFUNCTION("GOOGLETRANSLATE(B21887,""en"",""es-ES"")"),"Luego demuestra cómo hacer la patada desde varios ángulos.")</f>
        <v>Luego demuestra cómo hacer la patada desde varios ángulos.</v>
      </c>
    </row>
    <row r="21888">
      <c r="A21888" s="4" t="s">
        <v>27559</v>
      </c>
      <c r="B21888" s="4" t="s">
        <v>27560</v>
      </c>
      <c r="C21888" s="5" t="str">
        <f>IFERROR(__xludf.DUMMYFUNCTION("GOOGLETRANSLATE(B21888,""en"",""es-ES"")"),"Vemos una pantalla blanca de apertura.")</f>
        <v>Vemos una pantalla blanca de apertura.</v>
      </c>
    </row>
    <row r="21889">
      <c r="A21889" s="4" t="s">
        <v>27559</v>
      </c>
      <c r="B21889" s="4" t="s">
        <v>27561</v>
      </c>
      <c r="C21889" s="5" t="str">
        <f>IFERROR(__xludf.DUMMYFUNCTION("GOOGLETRANSLATE(B21889,""en"",""es-ES"")"),"Luego vemos a un hombre empujando un freno de bicicleta y ajustándolo.")</f>
        <v>Luego vemos a un hombre empujando un freno de bicicleta y ajustándolo.</v>
      </c>
    </row>
    <row r="21890">
      <c r="A21890" s="4" t="s">
        <v>27559</v>
      </c>
      <c r="B21890" s="4" t="s">
        <v>27562</v>
      </c>
      <c r="C21890" s="5" t="str">
        <f>IFERROR(__xludf.DUMMYFUNCTION("GOOGLETRANSLATE(B21890,""en"",""es-ES"")"),"El hombre tira de un cable en la bicicleta cerca de la llanta.")</f>
        <v>El hombre tira de un cable en la bicicleta cerca de la llanta.</v>
      </c>
    </row>
    <row r="21891">
      <c r="A21891" s="4" t="s">
        <v>27559</v>
      </c>
      <c r="B21891" s="4" t="s">
        <v>27563</v>
      </c>
      <c r="C21891" s="5" t="str">
        <f>IFERROR(__xludf.DUMMYFUNCTION("GOOGLETRANSLATE(B21891,""en"",""es-ES"")"),"Los hombres luego ajustan la palanca de horneado nuevamente.")</f>
        <v>Los hombres luego ajustan la palanca de horneado nuevamente.</v>
      </c>
    </row>
    <row r="21892">
      <c r="A21892" s="4" t="s">
        <v>27559</v>
      </c>
      <c r="B21892" s="4" t="s">
        <v>27564</v>
      </c>
      <c r="C21892" s="5" t="str">
        <f>IFERROR(__xludf.DUMMYFUNCTION("GOOGLETRANSLATE(B21892,""en"",""es-ES"")"),"Luego vemos al hombre hablando con la cámara.")</f>
        <v>Luego vemos al hombre hablando con la cámara.</v>
      </c>
    </row>
    <row r="21893">
      <c r="A21893" s="4" t="s">
        <v>27559</v>
      </c>
      <c r="B21893" s="4" t="s">
        <v>777</v>
      </c>
      <c r="C21893" s="5" t="str">
        <f>IFERROR(__xludf.DUMMYFUNCTION("GOOGLETRANSLATE(B21893,""en"",""es-ES"")"),"Vemos la pantalla de título final.")</f>
        <v>Vemos la pantalla de título final.</v>
      </c>
    </row>
    <row r="21894">
      <c r="A21894" s="4" t="s">
        <v>27565</v>
      </c>
      <c r="B21894" s="4" t="s">
        <v>27566</v>
      </c>
      <c r="C21894" s="5" t="str">
        <f>IFERROR(__xludf.DUMMYFUNCTION("GOOGLETRANSLATE(B21894,""en"",""es-ES"")"),"Mujer que está sentada en una silla está sosteniendo una taza en la boca del perro para que la niebla pueda lamer la taza.")</f>
        <v>Mujer que está sentada en una silla está sosteniendo una taza en la boca del perro para que la niebla pueda lamer la taza.</v>
      </c>
    </row>
    <row r="21895">
      <c r="A21895" s="4" t="s">
        <v>27565</v>
      </c>
      <c r="B21895" s="4" t="s">
        <v>27567</v>
      </c>
      <c r="C21895" s="5" t="str">
        <f>IFERROR(__xludf.DUMMYFUNCTION("GOOGLETRANSLATE(B21895,""en"",""es-ES"")"),"Black Dog está parado en un oom vivo lamiendo agua de una taza.")</f>
        <v>Black Dog está parado en un oom vivo lamiendo agua de una taza.</v>
      </c>
    </row>
    <row r="21896">
      <c r="A21896" s="4" t="s">
        <v>27565</v>
      </c>
      <c r="B21896" s="4" t="s">
        <v>27568</v>
      </c>
      <c r="C21896" s="5" t="str">
        <f>IFERROR(__xludf.DUMMYFUNCTION("GOOGLETRANSLATE(B21896,""en"",""es-ES"")"),"Una mujer está viviendo con un perro negro en una alfombra blanca.")</f>
        <v>Una mujer está viviendo con un perro negro en una alfombra blanca.</v>
      </c>
    </row>
    <row r="21897">
      <c r="A21897" s="4" t="s">
        <v>27569</v>
      </c>
      <c r="B21897" s="4" t="s">
        <v>27570</v>
      </c>
      <c r="C21897" s="5" t="str">
        <f>IFERROR(__xludf.DUMMYFUNCTION("GOOGLETRANSLATE(B21897,""en"",""es-ES"")"),"Un niño se está balanceando por los bares de mono en un parque.")</f>
        <v>Un niño se está balanceando por los bares de mono en un parque.</v>
      </c>
    </row>
    <row r="21898">
      <c r="A21898" s="4" t="s">
        <v>27569</v>
      </c>
      <c r="B21898" s="4" t="s">
        <v>27571</v>
      </c>
      <c r="C21898" s="5" t="str">
        <f>IFERROR(__xludf.DUMMYFUNCTION("GOOGLETRANSLATE(B21898,""en"",""es-ES"")"),"Un hombre está haciendo algo detrás de él.")</f>
        <v>Un hombre está haciendo algo detrás de él.</v>
      </c>
    </row>
    <row r="21899">
      <c r="A21899" s="4" t="s">
        <v>27569</v>
      </c>
      <c r="B21899" s="4" t="s">
        <v>27572</v>
      </c>
      <c r="C21899" s="5" t="str">
        <f>IFERROR(__xludf.DUMMYFUNCTION("GOOGLETRANSLATE(B21899,""en"",""es-ES"")"),"El niño se abre paso hasta el camino.")</f>
        <v>El niño se abre paso hasta el camino.</v>
      </c>
    </row>
    <row r="21900">
      <c r="A21900" s="4" t="s">
        <v>27573</v>
      </c>
      <c r="B21900" s="4" t="s">
        <v>27574</v>
      </c>
      <c r="C21900" s="5" t="str">
        <f>IFERROR(__xludf.DUMMYFUNCTION("GOOGLETRANSLATE(B21900,""en"",""es-ES"")"),"Se ve a un gran grupo de personas moviéndose juntas en un gran gimnasio.")</f>
        <v>Se ve a un gran grupo de personas moviéndose juntas en un gran gimnasio.</v>
      </c>
    </row>
    <row r="21901">
      <c r="A21901" s="4" t="s">
        <v>27573</v>
      </c>
      <c r="B21901" s="4" t="s">
        <v>27575</v>
      </c>
      <c r="C21901" s="5" t="str">
        <f>IFERROR(__xludf.DUMMYFUNCTION("GOOGLETRANSLATE(B21901,""en"",""es-ES"")"),"La gente se mueve hacia arriba y hacia abajo en una viga pateando sus piernas y moviéndose.")</f>
        <v>La gente se mueve hacia arriba y hacia abajo en una viga pateando sus piernas y moviéndose.</v>
      </c>
    </row>
    <row r="21902">
      <c r="A21902" s="4" t="s">
        <v>27573</v>
      </c>
      <c r="B21902" s="4" t="s">
        <v>27576</v>
      </c>
      <c r="C21902" s="5" t="str">
        <f>IFERROR(__xludf.DUMMYFUNCTION("GOOGLETRANSLATE(B21902,""en"",""es-ES"")"),"La gente continúa moviéndose por todo el tablero mientras la cámara captura sus movimientos.")</f>
        <v>La gente continúa moviéndose por todo el tablero mientras la cámara captura sus movimientos.</v>
      </c>
    </row>
    <row r="21903">
      <c r="A21903" s="4" t="s">
        <v>27577</v>
      </c>
      <c r="B21903" s="4" t="s">
        <v>27578</v>
      </c>
      <c r="C21903" s="5" t="str">
        <f>IFERROR(__xludf.DUMMYFUNCTION("GOOGLETRANSLATE(B21903,""en"",""es-ES"")"),"Hay mucha gente en un área de la corte abierta y parecen ser en su mayoría personas mayores que juegan algún tipo de deporte.")</f>
        <v>Hay mucha gente en un área de la corte abierta y parecen ser en su mayoría personas mayores que juegan algún tipo de deporte.</v>
      </c>
    </row>
    <row r="21904">
      <c r="A21904" s="4" t="s">
        <v>27577</v>
      </c>
      <c r="B21904" s="4" t="s">
        <v>27579</v>
      </c>
      <c r="C21904" s="5" t="str">
        <f>IFERROR(__xludf.DUMMYFUNCTION("GOOGLETRANSLATE(B21904,""en"",""es-ES"")"),"Un hombre y una mujer comienzan a cruzar la cancha juntos y se detienen para ver a un hombre con un palo que golpea algo en la cancha usando su palo.")</f>
        <v>Un hombre y una mujer comienzan a cruzar la cancha juntos y se detienen para ver a un hombre con un palo que golpea algo en la cancha usando su palo.</v>
      </c>
    </row>
    <row r="21905">
      <c r="A21905" s="4" t="s">
        <v>27577</v>
      </c>
      <c r="B21905" s="4" t="s">
        <v>27580</v>
      </c>
      <c r="C21905" s="5" t="str">
        <f>IFERROR(__xludf.DUMMYFUNCTION("GOOGLETRANSLATE(B21905,""en"",""es-ES"")"),"Otro hombre luego camina hacia la cancha para tomar su turno mientras el hombre que acaba de girar se mueve fuera de su camino.")</f>
        <v>Otro hombre luego camina hacia la cancha para tomar su turno mientras el hombre que acaba de girar se mueve fuera de su camino.</v>
      </c>
    </row>
    <row r="21906">
      <c r="A21906" s="4" t="s">
        <v>27581</v>
      </c>
      <c r="B21906" s="4" t="s">
        <v>27582</v>
      </c>
      <c r="C21906" s="5" t="str">
        <f>IFERROR(__xludf.DUMMYFUNCTION("GOOGLETRANSLATE(B21906,""en"",""es-ES"")"),"Un hombre se pone el equipo de seguridad de soldadura.")</f>
        <v>Un hombre se pone el equipo de seguridad de soldadura.</v>
      </c>
    </row>
    <row r="21907">
      <c r="A21907" s="4" t="s">
        <v>27581</v>
      </c>
      <c r="B21907" s="4" t="s">
        <v>27583</v>
      </c>
      <c r="C21907" s="5" t="str">
        <f>IFERROR(__xludf.DUMMYFUNCTION("GOOGLETRANSLATE(B21907,""en"",""es-ES"")"),"El hombre comienza a soldar algo en una mesa de metal.")</f>
        <v>El hombre comienza a soldar algo en una mesa de metal.</v>
      </c>
    </row>
    <row r="21908">
      <c r="A21908" s="4" t="s">
        <v>27581</v>
      </c>
      <c r="B21908" s="4" t="s">
        <v>27584</v>
      </c>
      <c r="C21908" s="5" t="str">
        <f>IFERROR(__xludf.DUMMYFUNCTION("GOOGLETRANSLATE(B21908,""en"",""es-ES"")"),"Deja de soldar, levanta la máscara de la cara y ajusta las cosas en la mesa.")</f>
        <v>Deja de soldar, levanta la máscara de la cara y ajusta las cosas en la mesa.</v>
      </c>
    </row>
    <row r="21909">
      <c r="A21909" s="4" t="s">
        <v>27581</v>
      </c>
      <c r="B21909" s="4" t="s">
        <v>27585</v>
      </c>
      <c r="C21909" s="5" t="str">
        <f>IFERROR(__xludf.DUMMYFUNCTION("GOOGLETRANSLATE(B21909,""en"",""es-ES"")"),"Luego baja la máscara de su cara y comienza a soldar nuevamente.")</f>
        <v>Luego baja la máscara de su cara y comienza a soldar nuevamente.</v>
      </c>
    </row>
    <row r="21910">
      <c r="A21910" s="4" t="s">
        <v>27581</v>
      </c>
      <c r="B21910" s="4" t="s">
        <v>27586</v>
      </c>
      <c r="C21910" s="5" t="str">
        <f>IFERROR(__xludf.DUMMYFUNCTION("GOOGLETRANSLATE(B21910,""en"",""es-ES"")"),"Se detiene y levanta la máscara nuevamente.")</f>
        <v>Se detiene y levanta la máscara nuevamente.</v>
      </c>
    </row>
    <row r="21911">
      <c r="A21911" s="4" t="s">
        <v>27581</v>
      </c>
      <c r="B21911" s="4" t="s">
        <v>27587</v>
      </c>
      <c r="C21911" s="5" t="str">
        <f>IFERROR(__xludf.DUMMYFUNCTION("GOOGLETRANSLATE(B21911,""en"",""es-ES"")"),"Utiliza una herramienta para golpear algo en la mesa antes de lijarse.")</f>
        <v>Utiliza una herramienta para golpear algo en la mesa antes de lijarse.</v>
      </c>
    </row>
    <row r="21912">
      <c r="A21912" s="4" t="s">
        <v>27581</v>
      </c>
      <c r="B21912" s="4" t="s">
        <v>27588</v>
      </c>
      <c r="C21912" s="5" t="str">
        <f>IFERROR(__xludf.DUMMYFUNCTION("GOOGLETRANSLATE(B21912,""en"",""es-ES"")"),"El hombre se quita los guantes mientras camina hacia la cámara.")</f>
        <v>El hombre se quita los guantes mientras camina hacia la cámara.</v>
      </c>
    </row>
    <row r="21913">
      <c r="A21913" s="4" t="s">
        <v>27581</v>
      </c>
      <c r="B21913" s="4" t="s">
        <v>27589</v>
      </c>
      <c r="C21913" s="5" t="str">
        <f>IFERROR(__xludf.DUMMYFUNCTION("GOOGLETRANSLATE(B21913,""en"",""es-ES"")"),"Trae la cámara a la mesa para mostrar el trabajo que ha realizado.")</f>
        <v>Trae la cámara a la mesa para mostrar el trabajo que ha realizado.</v>
      </c>
    </row>
    <row r="21914">
      <c r="A21914" s="4" t="s">
        <v>27590</v>
      </c>
      <c r="B21914" s="4" t="s">
        <v>27591</v>
      </c>
      <c r="C21914" s="5" t="str">
        <f>IFERROR(__xludf.DUMMYFUNCTION("GOOGLETRANSLATE(B21914,""en"",""es-ES"")"),"Una mujer está vertiendo ingredientes en una batidora.")</f>
        <v>Una mujer está vertiendo ingredientes en una batidora.</v>
      </c>
    </row>
    <row r="21915">
      <c r="A21915" s="4" t="s">
        <v>27590</v>
      </c>
      <c r="B21915" s="4" t="s">
        <v>27592</v>
      </c>
      <c r="C21915" s="5" t="str">
        <f>IFERROR(__xludf.DUMMYFUNCTION("GOOGLETRANSLATE(B21915,""en"",""es-ES"")"),"Luego convierte la masa en bolas y las pone en una bandeja para galletas.")</f>
        <v>Luego convierte la masa en bolas y las pone en una bandeja para galletas.</v>
      </c>
    </row>
    <row r="21916">
      <c r="A21916" s="4" t="s">
        <v>27590</v>
      </c>
      <c r="B21916" s="4" t="s">
        <v>27593</v>
      </c>
      <c r="C21916" s="5" t="str">
        <f>IFERROR(__xludf.DUMMYFUNCTION("GOOGLETRANSLATE(B21916,""en"",""es-ES"")"),"Ella los coloca en el horno.")</f>
        <v>Ella los coloca en el horno.</v>
      </c>
    </row>
    <row r="21917">
      <c r="A21917" s="4" t="s">
        <v>27594</v>
      </c>
      <c r="B21917" s="4" t="s">
        <v>27595</v>
      </c>
      <c r="C21917" s="5" t="str">
        <f>IFERROR(__xludf.DUMMYFUNCTION("GOOGLETRANSLATE(B21917,""en"",""es-ES"")"),"Un hombre está sentado en el suelo y tiene un espectáculo de patín en un pie y una pierna protésica para el otro.")</f>
        <v>Un hombre está sentado en el suelo y tiene un espectáculo de patín en un pie y una pierna protésica para el otro.</v>
      </c>
    </row>
    <row r="21918">
      <c r="A21918" s="4" t="s">
        <v>27594</v>
      </c>
      <c r="B21918" s="4" t="s">
        <v>27596</v>
      </c>
      <c r="C21918" s="5" t="str">
        <f>IFERROR(__xludf.DUMMYFUNCTION("GOOGLETRANSLATE(B21918,""en"",""es-ES"")"),"El hombre luego pone la cuchilla del rodillo sobre su prótesis y luego sigue con el otro pie.")</f>
        <v>El hombre luego pone la cuchilla del rodillo sobre su prótesis y luego sigue con el otro pie.</v>
      </c>
    </row>
    <row r="21919">
      <c r="A21919" s="4" t="s">
        <v>27594</v>
      </c>
      <c r="B21919" s="4" t="s">
        <v>27597</v>
      </c>
      <c r="C21919" s="5" t="str">
        <f>IFERROR(__xludf.DUMMYFUNCTION("GOOGLETRANSLATE(B21919,""en"",""es-ES"")"),"Una vez que ambos están encendidos, él se desliza hacia la hierba y alguien lo ayuda a medida que se levanta.")</f>
        <v>Una vez que ambos están encendidos, él se desliza hacia la hierba y alguien lo ayuda a medida que se levanta.</v>
      </c>
    </row>
    <row r="21920">
      <c r="A21920" s="4" t="s">
        <v>27594</v>
      </c>
      <c r="B21920" s="4" t="s">
        <v>27598</v>
      </c>
      <c r="C21920" s="5" t="str">
        <f>IFERROR(__xludf.DUMMYFUNCTION("GOOGLETRANSLATE(B21920,""en"",""es-ES"")"),"Después de estar estable, se levanta y se pone enrollando por la acera antes de regresar y sentarse en el pavimento.")</f>
        <v>Después de estar estable, se levanta y se pone enrollando por la acera antes de regresar y sentarse en el pavimento.</v>
      </c>
    </row>
    <row r="21921">
      <c r="A21921" s="4" t="s">
        <v>27599</v>
      </c>
      <c r="B21921" s="4" t="s">
        <v>27600</v>
      </c>
      <c r="C21921" s="5" t="str">
        <f>IFERROR(__xludf.DUMMYFUNCTION("GOOGLETRANSLATE(B21921,""en"",""es-ES"")"),"Varios artículos se ven en una mesa seguido de una persona que presenta cada elemento a la cámara.")</f>
        <v>Varios artículos se ven en una mesa seguido de una persona que presenta cada elemento a la cámara.</v>
      </c>
    </row>
    <row r="21922">
      <c r="A21922" s="4" t="s">
        <v>27599</v>
      </c>
      <c r="B21922" s="4" t="s">
        <v>27601</v>
      </c>
      <c r="C21922" s="5" t="str">
        <f>IFERROR(__xludf.DUMMYFUNCTION("GOOGLETRANSLATE(B21922,""en"",""es-ES"")"),"La persona sumerge un cepillo en agua seguido de un limpiador y frotando un trapo a través del cepillo.")</f>
        <v>La persona sumerge un cepillo en agua seguido de un limpiador y frotando un trapo a través del cepillo.</v>
      </c>
    </row>
    <row r="21923">
      <c r="A21923" s="4" t="s">
        <v>27599</v>
      </c>
      <c r="B21923" s="4" t="s">
        <v>27602</v>
      </c>
      <c r="C21923" s="5" t="str">
        <f>IFERROR(__xludf.DUMMYFUNCTION("GOOGLETRANSLATE(B21923,""en"",""es-ES"")"),"La persona frota los zapatos con el cepillo y limpia el costado con un trapo.")</f>
        <v>La persona frota los zapatos con el cepillo y limpia el costado con un trapo.</v>
      </c>
    </row>
    <row r="21924">
      <c r="A21924" s="4" t="s">
        <v>27599</v>
      </c>
      <c r="B21924" s="4" t="s">
        <v>27603</v>
      </c>
      <c r="C21924" s="5" t="str">
        <f>IFERROR(__xludf.DUMMYFUNCTION("GOOGLETRANSLATE(B21924,""en"",""es-ES"")"),"Espera una cierta cantidad de tiempo y frota los zapatos nuevamente y los presenta.")</f>
        <v>Espera una cierta cantidad de tiempo y frota los zapatos nuevamente y los presenta.</v>
      </c>
    </row>
    <row r="21925">
      <c r="A21925" s="4" t="s">
        <v>27604</v>
      </c>
      <c r="B21925" s="4" t="s">
        <v>27605</v>
      </c>
      <c r="C21925" s="5" t="str">
        <f>IFERROR(__xludf.DUMMYFUNCTION("GOOGLETRANSLATE(B21925,""en"",""es-ES"")"),"El hombre camina en un casino mirando el pople y las máquinas.")</f>
        <v>El hombre camina en un casino mirando el pople y las máquinas.</v>
      </c>
    </row>
    <row r="21926">
      <c r="A21926" s="4" t="s">
        <v>27604</v>
      </c>
      <c r="B21926" s="4" t="s">
        <v>27606</v>
      </c>
      <c r="C21926" s="5" t="str">
        <f>IFERROR(__xludf.DUMMYFUNCTION("GOOGLETRANSLATE(B21926,""en"",""es-ES"")"),"La mujer está sentada en una mesa negra y está hablando con los hombres.")</f>
        <v>La mujer está sentada en una mesa negra y está hablando con los hombres.</v>
      </c>
    </row>
    <row r="21927">
      <c r="A21927" s="4" t="s">
        <v>27604</v>
      </c>
      <c r="B21927" s="4" t="s">
        <v>27607</v>
      </c>
      <c r="C21927" s="5" t="str">
        <f>IFERROR(__xludf.DUMMYFUNCTION("GOOGLETRANSLATE(B21927,""en"",""es-ES"")"),"La mujer está sonriendo y estirando su brazo detrás de su espalda.")</f>
        <v>La mujer está sonriendo y estirando su brazo detrás de su espalda.</v>
      </c>
    </row>
    <row r="21928">
      <c r="A21928" s="4" t="s">
        <v>27604</v>
      </c>
      <c r="B21928" s="4" t="s">
        <v>27608</v>
      </c>
      <c r="C21928" s="5" t="str">
        <f>IFERROR(__xludf.DUMMYFUNCTION("GOOGLETRANSLATE(B21928,""en"",""es-ES"")"),"El hombre se sienta en una mesa y comienza a jugar Black Jack en un casino.")</f>
        <v>El hombre se sienta en una mesa y comienza a jugar Black Jack en un casino.</v>
      </c>
    </row>
    <row r="21929">
      <c r="A21929" s="4" t="s">
        <v>27609</v>
      </c>
      <c r="B21929" s="4" t="s">
        <v>27610</v>
      </c>
      <c r="C21929" s="5" t="str">
        <f>IFERROR(__xludf.DUMMYFUNCTION("GOOGLETRANSLATE(B21929,""en"",""es-ES"")"),"Un capataz usa guantes de color azul antes de comenzar a soldar metal.")</f>
        <v>Un capataz usa guantes de color azul antes de comenzar a soldar metal.</v>
      </c>
    </row>
    <row r="21930">
      <c r="A21930" s="4" t="s">
        <v>27609</v>
      </c>
      <c r="B21930" s="4" t="s">
        <v>27611</v>
      </c>
      <c r="C21930" s="5" t="str">
        <f>IFERROR(__xludf.DUMMYFUNCTION("GOOGLETRANSLATE(B21930,""en"",""es-ES"")"),"Continúa soldando el metal con su antorcha y su equipo de protección.")</f>
        <v>Continúa soldando el metal con su antorcha y su equipo de protección.</v>
      </c>
    </row>
    <row r="21931">
      <c r="A21931" s="4" t="s">
        <v>27609</v>
      </c>
      <c r="B21931" s="4" t="s">
        <v>27612</v>
      </c>
      <c r="C21931" s="5" t="str">
        <f>IFERROR(__xludf.DUMMYFUNCTION("GOOGLETRANSLATE(B21931,""en"",""es-ES"")"),"Solda el metal durante mucho tiempo.")</f>
        <v>Solda el metal durante mucho tiempo.</v>
      </c>
    </row>
    <row r="21932">
      <c r="A21932" s="4" t="s">
        <v>27609</v>
      </c>
      <c r="B21932" s="4" t="s">
        <v>27613</v>
      </c>
      <c r="C21932" s="5" t="str">
        <f>IFERROR(__xludf.DUMMYFUNCTION("GOOGLETRANSLATE(B21932,""en"",""es-ES"")"),"Luego apague la antorcha de soldadura y guarde el equipo.")</f>
        <v>Luego apague la antorcha de soldadura y guarde el equipo.</v>
      </c>
    </row>
    <row r="21933">
      <c r="A21933" s="4" t="s">
        <v>27614</v>
      </c>
      <c r="B21933" s="4" t="s">
        <v>27615</v>
      </c>
      <c r="C21933" s="5" t="str">
        <f>IFERROR(__xludf.DUMMYFUNCTION("GOOGLETRANSLATE(B21933,""en"",""es-ES"")"),"Un joven con sudadera con capucha marrón y pantalones de carga está parado en una carretera en un área boscosa, instruyendo a los espectadores mientras se aferran al final de una patineta.")</f>
        <v>Un joven con sudadera con capucha marrón y pantalones de carga está parado en una carretera en un área boscosa, instruyendo a los espectadores mientras se aferran al final de una patineta.</v>
      </c>
    </row>
    <row r="21934">
      <c r="A21934" s="4" t="s">
        <v>27614</v>
      </c>
      <c r="B21934" s="4" t="s">
        <v>27616</v>
      </c>
      <c r="C21934" s="5" t="str">
        <f>IFERROR(__xludf.DUMMYFUNCTION("GOOGLETRANSLATE(B21934,""en"",""es-ES"")"),"Después de demostrar una postura en el tablero, la recoge y regresa varios yardas, y coloca la patineta en el suelo, mubrazándola con un pie en el final.")</f>
        <v>Después de demostrar una postura en el tablero, la recoge y regresa varios yardas, y coloca la patineta en el suelo, mubrazándola con un pie en el final.</v>
      </c>
    </row>
    <row r="21935">
      <c r="A21935" s="4" t="s">
        <v>27614</v>
      </c>
      <c r="B21935" s="4" t="s">
        <v>27617</v>
      </c>
      <c r="C21935" s="5" t="str">
        <f>IFERROR(__xludf.DUMMYFUNCTION("GOOGLETRANSLATE(B21935,""en"",""es-ES"")"),"Lo pone en plano y comienza a patinar hacia adelante en el tablero.")</f>
        <v>Lo pone en plano y comienza a patinar hacia adelante en el tablero.</v>
      </c>
    </row>
    <row r="21936">
      <c r="A21936" s="4" t="s">
        <v>27614</v>
      </c>
      <c r="B21936" s="4" t="s">
        <v>27618</v>
      </c>
      <c r="C21936" s="5" t="str">
        <f>IFERROR(__xludf.DUMMYFUNCTION("GOOGLETRANSLATE(B21936,""en"",""es-ES"")"),"Se voltea en el tablero, haciendo un movimiento difícil, y luego regresa a donde comenzó a patinar.")</f>
        <v>Se voltea en el tablero, haciendo un movimiento difícil, y luego regresa a donde comenzó a patinar.</v>
      </c>
    </row>
    <row r="21937">
      <c r="A21937" s="4" t="s">
        <v>27614</v>
      </c>
      <c r="B21937" s="4" t="s">
        <v>27619</v>
      </c>
      <c r="C21937" s="5" t="str">
        <f>IFERROR(__xludf.DUMMYFUNCTION("GOOGLETRANSLATE(B21937,""en"",""es-ES"")"),"60 Después de hablar un poco más y regalar el tablero, repite el movimiento nuevamente, regresando una vez más al lugar del que comenzó.")</f>
        <v>60 Después de hablar un poco más y regalar el tablero, repite el movimiento nuevamente, regresando una vez más al lugar del que comenzó.</v>
      </c>
    </row>
    <row r="21938">
      <c r="A21938" s="4" t="s">
        <v>27620</v>
      </c>
      <c r="B21938" s="4" t="s">
        <v>27621</v>
      </c>
      <c r="C21938" s="5" t="str">
        <f>IFERROR(__xludf.DUMMYFUNCTION("GOOGLETRANSLATE(B21938,""en"",""es-ES"")"),"Una niña está haciendo volteos en una alfombra azul.")</f>
        <v>Una niña está haciendo volteos en una alfombra azul.</v>
      </c>
    </row>
    <row r="21939">
      <c r="A21939" s="4" t="s">
        <v>27620</v>
      </c>
      <c r="B21939" s="4" t="s">
        <v>27622</v>
      </c>
      <c r="C21939" s="5" t="str">
        <f>IFERROR(__xludf.DUMMYFUNCTION("GOOGLETRANSLATE(B21939,""en"",""es-ES"")"),"Una niña hace las divisiones en el aire.")</f>
        <v>Una niña hace las divisiones en el aire.</v>
      </c>
    </row>
    <row r="21940">
      <c r="A21940" s="4" t="s">
        <v>27620</v>
      </c>
      <c r="B21940" s="4" t="s">
        <v>27623</v>
      </c>
      <c r="C21940" s="5" t="str">
        <f>IFERROR(__xludf.DUMMYFUNCTION("GOOGLETRANSLATE(B21940,""en"",""es-ES"")"),"La gente está acostada en el tapete junto a ella.")</f>
        <v>La gente está acostada en el tapete junto a ella.</v>
      </c>
    </row>
    <row r="21941">
      <c r="A21941" s="4" t="s">
        <v>27620</v>
      </c>
      <c r="B21941" s="4" t="s">
        <v>27624</v>
      </c>
      <c r="C21941" s="5" t="str">
        <f>IFERROR(__xludf.DUMMYFUNCTION("GOOGLETRANSLATE(B21941,""en"",""es-ES"")"),"Ella hace varios volteos en un trampolín.")</f>
        <v>Ella hace varios volteos en un trampolín.</v>
      </c>
    </row>
    <row r="21942">
      <c r="A21942" s="4" t="s">
        <v>27625</v>
      </c>
      <c r="B21942" s="4" t="s">
        <v>27626</v>
      </c>
      <c r="C21942" s="5" t="str">
        <f>IFERROR(__xludf.DUMMYFUNCTION("GOOGLETRANSLATE(B21942,""en"",""es-ES"")"),"Vemos un letrero de gimnasio.")</f>
        <v>Vemos un letrero de gimnasio.</v>
      </c>
    </row>
    <row r="21943">
      <c r="A21943" s="4" t="s">
        <v>27625</v>
      </c>
      <c r="B21943" s="4" t="s">
        <v>27627</v>
      </c>
      <c r="C21943" s="5" t="str">
        <f>IFERROR(__xludf.DUMMYFUNCTION("GOOGLETRANSLATE(B21943,""en"",""es-ES"")"),"Luego vemos a un hombre hablando con la cámara y sentado y acostado en una pelota de ejercicios.")</f>
        <v>Luego vemos a un hombre hablando con la cámara y sentado y acostado en una pelota de ejercicios.</v>
      </c>
    </row>
    <row r="21944">
      <c r="A21944" s="4" t="s">
        <v>27625</v>
      </c>
      <c r="B21944" s="4" t="s">
        <v>27628</v>
      </c>
      <c r="C21944" s="5" t="str">
        <f>IFERROR(__xludf.DUMMYFUNCTION("GOOGLETRANSLATE(B21944,""en"",""es-ES"")"),"El hombre realiza Sits Ups mientras está en la pelota y habla.")</f>
        <v>El hombre realiza Sits Ups mientras está en la pelota y habla.</v>
      </c>
    </row>
    <row r="21945">
      <c r="A21945" s="4" t="s">
        <v>27625</v>
      </c>
      <c r="B21945" s="4" t="s">
        <v>27629</v>
      </c>
      <c r="C21945" s="5" t="str">
        <f>IFERROR(__xludf.DUMMYFUNCTION("GOOGLETRANSLATE(B21945,""en"",""es-ES"")"),"El hombre se sienta y habla con la cámara.")</f>
        <v>El hombre se sienta y habla con la cámara.</v>
      </c>
    </row>
    <row r="21946">
      <c r="A21946" s="4" t="s">
        <v>27625</v>
      </c>
      <c r="B21946" s="4" t="s">
        <v>27630</v>
      </c>
      <c r="C21946" s="5" t="str">
        <f>IFERROR(__xludf.DUMMYFUNCTION("GOOGLETRANSLATE(B21946,""en"",""es-ES"")"),"La pantalla final se ve en un fondo negro.")</f>
        <v>La pantalla final se ve en un fondo negro.</v>
      </c>
    </row>
    <row r="21947">
      <c r="A21947" s="4" t="s">
        <v>27631</v>
      </c>
      <c r="B21947" s="4" t="s">
        <v>27632</v>
      </c>
      <c r="C21947" s="5" t="str">
        <f>IFERROR(__xludf.DUMMYFUNCTION("GOOGLETRANSLATE(B21947,""en"",""es-ES"")"),"Los ingredientes se preparan y se vierten en un tazón grande.")</f>
        <v>Los ingredientes se preparan y se vierten en un tazón grande.</v>
      </c>
    </row>
    <row r="21948">
      <c r="A21948" s="4" t="s">
        <v>27631</v>
      </c>
      <c r="B21948" s="4" t="s">
        <v>27633</v>
      </c>
      <c r="C21948" s="5" t="str">
        <f>IFERROR(__xludf.DUMMYFUNCTION("GOOGLETRANSLATE(B21948,""en"",""es-ES"")"),"Una mujer lava un tazón en un fregadero de cocina con una esponja.")</f>
        <v>Una mujer lava un tazón en un fregadero de cocina con una esponja.</v>
      </c>
    </row>
    <row r="21949">
      <c r="A21949" s="4" t="s">
        <v>27631</v>
      </c>
      <c r="B21949" s="4" t="s">
        <v>27634</v>
      </c>
      <c r="C21949" s="5" t="str">
        <f>IFERROR(__xludf.DUMMYFUNCTION("GOOGLETRANSLATE(B21949,""en"",""es-ES"")"),"La mujer huele el tazón para asegurarse de que esté limpio.")</f>
        <v>La mujer huele el tazón para asegurarse de que esté limpio.</v>
      </c>
    </row>
    <row r="21950">
      <c r="A21950" s="4" t="s">
        <v>27631</v>
      </c>
      <c r="B21950" s="4" t="s">
        <v>27635</v>
      </c>
      <c r="C21950" s="5" t="str">
        <f>IFERROR(__xludf.DUMMYFUNCTION("GOOGLETRANSLATE(B21950,""en"",""es-ES"")"),"La mujer coloca el tazón en un lavador de platos y muestra la ubicación adecuada.")</f>
        <v>La mujer coloca el tazón en un lavador de platos y muestra la ubicación adecuada.</v>
      </c>
    </row>
    <row r="21951">
      <c r="A21951" s="4" t="s">
        <v>27631</v>
      </c>
      <c r="B21951" s="4" t="s">
        <v>27636</v>
      </c>
      <c r="C21951" s="5" t="str">
        <f>IFERROR(__xludf.DUMMYFUNCTION("GOOGLETRANSLATE(B21951,""en"",""es-ES"")"),"Una mujer lava un plato en un fregadero de cocina con una esponja.")</f>
        <v>Una mujer lava un plato en un fregadero de cocina con una esponja.</v>
      </c>
    </row>
    <row r="21952">
      <c r="A21952" s="4" t="s">
        <v>27631</v>
      </c>
      <c r="B21952" s="4" t="s">
        <v>27637</v>
      </c>
      <c r="C21952" s="5" t="str">
        <f>IFERROR(__xludf.DUMMYFUNCTION("GOOGLETRANSLATE(B21952,""en"",""es-ES"")"),"La mujer huele el plato para asegurarse de que esté limpio.")</f>
        <v>La mujer huele el plato para asegurarse de que esté limpio.</v>
      </c>
    </row>
    <row r="21953">
      <c r="A21953" s="4" t="s">
        <v>27631</v>
      </c>
      <c r="B21953" s="4" t="s">
        <v>27638</v>
      </c>
      <c r="C21953" s="5" t="str">
        <f>IFERROR(__xludf.DUMMYFUNCTION("GOOGLETRANSLATE(B21953,""en"",""es-ES"")"),"La mujer coloca el plato en una lavadora y muestra la ubicación adecuada.")</f>
        <v>La mujer coloca el plato en una lavadora y muestra la ubicación adecuada.</v>
      </c>
    </row>
    <row r="21954">
      <c r="A21954" s="4" t="s">
        <v>27631</v>
      </c>
      <c r="B21954" s="4" t="s">
        <v>27639</v>
      </c>
      <c r="C21954" s="5" t="str">
        <f>IFERROR(__xludf.DUMMYFUNCTION("GOOGLETRANSLATE(B21954,""en"",""es-ES"")"),"Una mujer lava tazas de vidrio en un fregadero de cocina con una esponja.")</f>
        <v>Una mujer lava tazas de vidrio en un fregadero de cocina con una esponja.</v>
      </c>
    </row>
    <row r="21955">
      <c r="A21955" s="4" t="s">
        <v>27631</v>
      </c>
      <c r="B21955" s="4" t="s">
        <v>27640</v>
      </c>
      <c r="C21955" s="5" t="str">
        <f>IFERROR(__xludf.DUMMYFUNCTION("GOOGLETRANSLATE(B21955,""en"",""es-ES"")"),"La mujer huele las tazas de vidrio para asegurarse de que estén limpias.")</f>
        <v>La mujer huele las tazas de vidrio para asegurarse de que estén limpias.</v>
      </c>
    </row>
    <row r="21956">
      <c r="A21956" s="4" t="s">
        <v>27631</v>
      </c>
      <c r="B21956" s="4" t="s">
        <v>27641</v>
      </c>
      <c r="C21956" s="5" t="str">
        <f>IFERROR(__xludf.DUMMYFUNCTION("GOOGLETRANSLATE(B21956,""en"",""es-ES"")"),"La mujer coloca las tazas de vidrio en una lavadora y muestra la ubicación adecuada.")</f>
        <v>La mujer coloca las tazas de vidrio en una lavadora y muestra la ubicación adecuada.</v>
      </c>
    </row>
    <row r="21957">
      <c r="A21957" s="4" t="s">
        <v>27631</v>
      </c>
      <c r="B21957" s="4" t="s">
        <v>27642</v>
      </c>
      <c r="C21957" s="5" t="str">
        <f>IFERROR(__xludf.DUMMYFUNCTION("GOOGLETRANSLATE(B21957,""en"",""es-ES"")"),"Se ven créditos finales para la película.")</f>
        <v>Se ven créditos finales para la película.</v>
      </c>
    </row>
    <row r="21958">
      <c r="A21958" s="4" t="s">
        <v>27643</v>
      </c>
      <c r="B21958" s="4" t="s">
        <v>27644</v>
      </c>
      <c r="C21958" s="5" t="str">
        <f>IFERROR(__xludf.DUMMYFUNCTION("GOOGLETRANSLATE(B21958,""en"",""es-ES"")"),"Una introducción aparece en la pantalla para un video sobre galopar a lo largo de la playa.")</f>
        <v>Una introducción aparece en la pantalla para un video sobre galopar a lo largo de la playa.</v>
      </c>
    </row>
    <row r="21959">
      <c r="A21959" s="4" t="s">
        <v>27643</v>
      </c>
      <c r="B21959" s="4" t="s">
        <v>27645</v>
      </c>
      <c r="C21959" s="5" t="str">
        <f>IFERROR(__xludf.DUMMYFUNCTION("GOOGLETRANSLATE(B21959,""en"",""es-ES"")"),"Se muestran varias imágenes de personas que viajan a caballo a lo largo de la playa.")</f>
        <v>Se muestran varias imágenes de personas que viajan a caballo a lo largo de la playa.</v>
      </c>
    </row>
    <row r="21960">
      <c r="A21960" s="4" t="s">
        <v>27643</v>
      </c>
      <c r="B21960" s="4" t="s">
        <v>27646</v>
      </c>
      <c r="C21960" s="5" t="str">
        <f>IFERROR(__xludf.DUMMYFUNCTION("GOOGLETRANSLATE(B21960,""en"",""es-ES"")"),"Las imágenes se convierten en un video de varias personas que van a lo largo de las dunas de arena.")</f>
        <v>Las imágenes se convierten en un video de varias personas que van a lo largo de las dunas de arena.</v>
      </c>
    </row>
    <row r="21961">
      <c r="A21961" s="4" t="s">
        <v>27643</v>
      </c>
      <c r="B21961" s="4" t="s">
        <v>27647</v>
      </c>
      <c r="C21961" s="5" t="str">
        <f>IFERROR(__xludf.DUMMYFUNCTION("GOOGLETRANSLATE(B21961,""en"",""es-ES"")"),"El video luego alterna entre imágenes y video de personas que disfrutan del paseo en la playa.")</f>
        <v>El video luego alterna entre imágenes y video de personas que disfrutan del paseo en la playa.</v>
      </c>
    </row>
    <row r="21962">
      <c r="A21962" s="4" t="s">
        <v>27643</v>
      </c>
      <c r="B21962" s="4" t="s">
        <v>27648</v>
      </c>
      <c r="C21962" s="5" t="str">
        <f>IFERROR(__xludf.DUMMYFUNCTION("GOOGLETRANSLATE(B21962,""en"",""es-ES"")"),"El video termina con texto que se muestra que muestra más información sobre el viaje.")</f>
        <v>El video termina con texto que se muestra que muestra más información sobre el viaje.</v>
      </c>
    </row>
    <row r="21963">
      <c r="A21963" s="4" t="s">
        <v>27649</v>
      </c>
      <c r="B21963" s="4" t="s">
        <v>27650</v>
      </c>
      <c r="C21963" s="5" t="str">
        <f>IFERROR(__xludf.DUMMYFUNCTION("GOOGLETRANSLATE(B21963,""en"",""es-ES"")"),"Una mujer demuestra cómo hacer una bebida mixta en un bar en una encimera de bar frente a una encimera llena de alcohol.")</f>
        <v>Una mujer demuestra cómo hacer una bebida mixta en un bar en una encimera de bar frente a una encimera llena de alcohol.</v>
      </c>
    </row>
    <row r="21964">
      <c r="A21964" s="4" t="s">
        <v>27649</v>
      </c>
      <c r="B21964" s="4" t="s">
        <v>27651</v>
      </c>
      <c r="C21964" s="5" t="str">
        <f>IFERROR(__xludf.DUMMYFUNCTION("GOOGLETRANSLATE(B21964,""en"",""es-ES"")"),"La mujer comienza hablando con la cámara y sacando una botella de alcohol al lado de un frasco de albañil preparado con una porción de limón y menta.")</f>
        <v>La mujer comienza hablando con la cámara y sacando una botella de alcohol al lado de un frasco de albañil preparado con una porción de limón y menta.</v>
      </c>
    </row>
    <row r="21965">
      <c r="A21965" s="4" t="s">
        <v>27649</v>
      </c>
      <c r="B21965" s="4" t="s">
        <v>27652</v>
      </c>
      <c r="C21965" s="5" t="str">
        <f>IFERROR(__xludf.DUMMYFUNCTION("GOOGLETRANSLATE(B21965,""en"",""es-ES"")"),"La mujer vierte hielo en el vaso y algunas tomas de alcohol y luego vierte limonada en el vidrio con una ramita de menta y una cuña de limón en el borde.")</f>
        <v>La mujer vierte hielo en el vaso y algunas tomas de alcohol y luego vierte limonada en el vidrio con una ramita de menta y una cuña de limón en el borde.</v>
      </c>
    </row>
    <row r="21966">
      <c r="A21966" s="4" t="s">
        <v>27649</v>
      </c>
      <c r="B21966" s="4" t="s">
        <v>27653</v>
      </c>
      <c r="C21966" s="5" t="str">
        <f>IFERROR(__xludf.DUMMYFUNCTION("GOOGLETRANSLATE(B21966,""en"",""es-ES"")"),"La mujer toma un sorbo de la bebida antes de que la escena se desvanezca.")</f>
        <v>La mujer toma un sorbo de la bebida antes de que la escena se desvanezca.</v>
      </c>
    </row>
    <row r="21967">
      <c r="A21967" s="4" t="s">
        <v>27654</v>
      </c>
      <c r="B21967" s="4" t="s">
        <v>27655</v>
      </c>
      <c r="C21967" s="5" t="str">
        <f>IFERROR(__xludf.DUMMYFUNCTION("GOOGLETRANSLATE(B21967,""en"",""es-ES"")"),"Un hombre está afuera en su patio.")</f>
        <v>Un hombre está afuera en su patio.</v>
      </c>
    </row>
    <row r="21968">
      <c r="A21968" s="4" t="s">
        <v>27654</v>
      </c>
      <c r="B21968" s="4" t="s">
        <v>27656</v>
      </c>
      <c r="C21968" s="5" t="str">
        <f>IFERROR(__xludf.DUMMYFUNCTION("GOOGLETRANSLATE(B21968,""en"",""es-ES"")"),"Está usando una lavadora a presión para lavar las hojas de su césped.")</f>
        <v>Está usando una lavadora a presión para lavar las hojas de su césped.</v>
      </c>
    </row>
    <row r="21969">
      <c r="A21969" s="4" t="s">
        <v>27654</v>
      </c>
      <c r="B21969" s="4" t="s">
        <v>27657</v>
      </c>
      <c r="C21969" s="5" t="str">
        <f>IFERROR(__xludf.DUMMYFUNCTION("GOOGLETRANSLATE(B21969,""en"",""es-ES"")"),"Los rocía arriba y abajo, empujándolos por una pendiente.")</f>
        <v>Los rocía arriba y abajo, empujándolos por una pendiente.</v>
      </c>
    </row>
    <row r="21970">
      <c r="A21970" s="4" t="s">
        <v>27658</v>
      </c>
      <c r="B21970" s="4" t="s">
        <v>27659</v>
      </c>
      <c r="C21970" s="5" t="str">
        <f>IFERROR(__xludf.DUMMYFUNCTION("GOOGLETRANSLATE(B21970,""en"",""es-ES"")"),"Un hombre llena una olla con agua y agrega sal y aceite, y luego hierve el agua mientras habla.")</f>
        <v>Un hombre llena una olla con agua y agrega sal y aceite, y luego hierve el agua mientras habla.</v>
      </c>
    </row>
    <row r="21971">
      <c r="A21971" s="4" t="s">
        <v>27658</v>
      </c>
      <c r="B21971" s="4" t="s">
        <v>27660</v>
      </c>
      <c r="C21971" s="5" t="str">
        <f>IFERROR(__xludf.DUMMYFUNCTION("GOOGLETRANSLATE(B21971,""en"",""es-ES"")"),"Luego, el hombre pone los espagueti en la bolera.")</f>
        <v>Luego, el hombre pone los espagueti en la bolera.</v>
      </c>
    </row>
    <row r="21972">
      <c r="A21972" s="4" t="s">
        <v>27658</v>
      </c>
      <c r="B21972" s="4" t="s">
        <v>27661</v>
      </c>
      <c r="C21972" s="5" t="str">
        <f>IFERROR(__xludf.DUMMYFUNCTION("GOOGLETRANSLATE(B21972,""en"",""es-ES"")"),"Después, el hombre prueba los espagueti y lo escurra.")</f>
        <v>Después, el hombre prueba los espagueti y lo escurra.</v>
      </c>
    </row>
    <row r="21973">
      <c r="A21973" s="4" t="s">
        <v>27658</v>
      </c>
      <c r="B21973" s="4" t="s">
        <v>27662</v>
      </c>
      <c r="C21973" s="5" t="str">
        <f>IFERROR(__xludf.DUMMYFUNCTION("GOOGLETRANSLATE(B21973,""en"",""es-ES"")"),"A continuación, el hombre agrega queso rallado y aceite en los espagueti.")</f>
        <v>A continuación, el hombre agrega queso rallado y aceite en los espagueti.</v>
      </c>
    </row>
    <row r="21974">
      <c r="A21974" s="4" t="s">
        <v>27663</v>
      </c>
      <c r="B21974" s="4" t="s">
        <v>27664</v>
      </c>
      <c r="C21974" s="5" t="str">
        <f>IFERROR(__xludf.DUMMYFUNCTION("GOOGLETRANSLATE(B21974,""en"",""es-ES"")"),"Hay 3 hombres y 1 mujer.")</f>
        <v>Hay 3 hombres y 1 mujer.</v>
      </c>
    </row>
    <row r="21975">
      <c r="A21975" s="4" t="s">
        <v>27663</v>
      </c>
      <c r="B21975" s="4" t="s">
        <v>27665</v>
      </c>
      <c r="C21975" s="5" t="str">
        <f>IFERROR(__xludf.DUMMYFUNCTION("GOOGLETRANSLATE(B21975,""en"",""es-ES"")"),"Cada uno de ellos muestra y le dice su forma de bolos para ganar huelgas y obtener puntajes perfectos en el marcador alto.")</f>
        <v>Cada uno de ellos muestra y le dice su forma de bolos para ganar huelgas y obtener puntajes perfectos en el marcador alto.</v>
      </c>
    </row>
    <row r="21976">
      <c r="A21976" s="4" t="s">
        <v>27666</v>
      </c>
      <c r="B21976" s="4" t="s">
        <v>27667</v>
      </c>
      <c r="C21976" s="5" t="str">
        <f>IFERROR(__xludf.DUMMYFUNCTION("GOOGLETRANSLATE(B21976,""en"",""es-ES"")"),"Vemos el título de Kyla Ross en las barras paralelas.")</f>
        <v>Vemos el título de Kyla Ross en las barras paralelas.</v>
      </c>
    </row>
    <row r="21977">
      <c r="A21977" s="4" t="s">
        <v>27666</v>
      </c>
      <c r="B21977" s="4" t="s">
        <v>27668</v>
      </c>
      <c r="C21977" s="5" t="str">
        <f>IFERROR(__xludf.DUMMYFUNCTION("GOOGLETRANSLATE(B21977,""en"",""es-ES"")"),"Las chicas se levanta y luego baja los brazos.")</f>
        <v>Las chicas se levanta y luego baja los brazos.</v>
      </c>
    </row>
    <row r="21978">
      <c r="A21978" s="4" t="s">
        <v>27666</v>
      </c>
      <c r="B21978" s="4" t="s">
        <v>27669</v>
      </c>
      <c r="C21978" s="5" t="str">
        <f>IFERROR(__xludf.DUMMYFUNCTION("GOOGLETRANSLATE(B21978,""en"",""es-ES"")"),"Kyla luego salta a la barra corta.")</f>
        <v>Kyla luego salta a la barra corta.</v>
      </c>
    </row>
    <row r="21979">
      <c r="A21979" s="4" t="s">
        <v>27666</v>
      </c>
      <c r="B21979" s="4" t="s">
        <v>27670</v>
      </c>
      <c r="C21979" s="5" t="str">
        <f>IFERROR(__xludf.DUMMYFUNCTION("GOOGLETRANSLATE(B21979,""en"",""es-ES"")"),"Ella se traslada a la barra alta, luego de regreso a la corta.")</f>
        <v>Ella se traslada a la barra alta, luego de regreso a la corta.</v>
      </c>
    </row>
    <row r="21980">
      <c r="A21980" s="4" t="s">
        <v>27666</v>
      </c>
      <c r="B21980" s="4" t="s">
        <v>27671</v>
      </c>
      <c r="C21980" s="5" t="str">
        <f>IFERROR(__xludf.DUMMYFUNCTION("GOOGLETRANSLATE(B21980,""en"",""es-ES"")"),"Ella vuelve a la alta y gira.")</f>
        <v>Ella vuelve a la alta y gira.</v>
      </c>
    </row>
    <row r="21981">
      <c r="A21981" s="4" t="s">
        <v>27666</v>
      </c>
      <c r="B21981" s="4" t="s">
        <v>27672</v>
      </c>
      <c r="C21981" s="5" t="str">
        <f>IFERROR(__xludf.DUMMYFUNCTION("GOOGLETRANSLATE(B21981,""en"",""es-ES"")"),"Ella voltea a la barra corta, luego vuelve a la altura y se voltea.")</f>
        <v>Ella voltea a la barra corta, luego vuelve a la altura y se voltea.</v>
      </c>
    </row>
    <row r="21982">
      <c r="A21982" s="4" t="s">
        <v>27666</v>
      </c>
      <c r="B21982" s="4" t="s">
        <v>27673</v>
      </c>
      <c r="C21982" s="5" t="str">
        <f>IFERROR(__xludf.DUMMYFUNCTION("GOOGLETRANSLATE(B21982,""en"",""es-ES"")"),"Ella desmonta y abraza a su entrenador.")</f>
        <v>Ella desmonta y abraza a su entrenador.</v>
      </c>
    </row>
    <row r="21983">
      <c r="A21983" s="4" t="s">
        <v>27666</v>
      </c>
      <c r="B21983" s="4" t="s">
        <v>27674</v>
      </c>
      <c r="C21983" s="5" t="str">
        <f>IFERROR(__xludf.DUMMYFUNCTION("GOOGLETRANSLATE(B21983,""en"",""es-ES"")"),"Vemos su puntaje final en una pantalla negra.")</f>
        <v>Vemos su puntaje final en una pantalla negra.</v>
      </c>
    </row>
    <row r="21984">
      <c r="A21984" s="4" t="s">
        <v>27675</v>
      </c>
      <c r="B21984" s="4" t="s">
        <v>27676</v>
      </c>
      <c r="C21984" s="5" t="str">
        <f>IFERROR(__xludf.DUMMYFUNCTION("GOOGLETRANSLATE(B21984,""en"",""es-ES"")"),"Una mujer con una camiseta sin mangas blanca está montando una bicicleta de ejercicios en una habitación.")</f>
        <v>Una mujer con una camiseta sin mangas blanca está montando una bicicleta de ejercicios en una habitación.</v>
      </c>
    </row>
    <row r="21985">
      <c r="A21985" s="4" t="s">
        <v>27675</v>
      </c>
      <c r="B21985" s="4" t="s">
        <v>27677</v>
      </c>
      <c r="C21985" s="5" t="str">
        <f>IFERROR(__xludf.DUMMYFUNCTION("GOOGLETRANSLATE(B21985,""en"",""es-ES"")"),"Ella está haciendo flexiones en una estera negra.")</f>
        <v>Ella está haciendo flexiones en una estera negra.</v>
      </c>
    </row>
    <row r="21986">
      <c r="A21986" s="4" t="s">
        <v>27675</v>
      </c>
      <c r="B21986" s="4" t="s">
        <v>27678</v>
      </c>
      <c r="C21986" s="5" t="str">
        <f>IFERROR(__xludf.DUMMYFUNCTION("GOOGLETRANSLATE(B21986,""en"",""es-ES"")"),"Ella ha vuelto a montar la bicicleta de ejercicios.")</f>
        <v>Ella ha vuelto a montar la bicicleta de ejercicios.</v>
      </c>
    </row>
    <row r="21987">
      <c r="A21987" s="4" t="s">
        <v>27675</v>
      </c>
      <c r="B21987" s="4" t="s">
        <v>27679</v>
      </c>
      <c r="C21987" s="5" t="str">
        <f>IFERROR(__xludf.DUMMYFUNCTION("GOOGLETRANSLATE(B21987,""en"",""es-ES"")"),"Ella está levantando pesas hacia arriba y hacia abajo a los costados.")</f>
        <v>Ella está levantando pesas hacia arriba y hacia abajo a los costados.</v>
      </c>
    </row>
    <row r="21988">
      <c r="A21988" s="4" t="s">
        <v>27675</v>
      </c>
      <c r="B21988" s="4" t="s">
        <v>27680</v>
      </c>
      <c r="C21988" s="5" t="str">
        <f>IFERROR(__xludf.DUMMYFUNCTION("GOOGLETRANSLATE(B21988,""en"",""es-ES"")"),"Ella vuelve a montar en la bicicleta de ejercicios.")</f>
        <v>Ella vuelve a montar en la bicicleta de ejercicios.</v>
      </c>
    </row>
    <row r="21989">
      <c r="A21989" s="4" t="s">
        <v>27681</v>
      </c>
      <c r="B21989" s="4" t="s">
        <v>27682</v>
      </c>
      <c r="C21989" s="5" t="str">
        <f>IFERROR(__xludf.DUMMYFUNCTION("GOOGLETRANSLATE(B21989,""en"",""es-ES"")"),"Un hombre está demostrando cómo cocinar un sándwich de Bolonia de amiga en su cocina.")</f>
        <v>Un hombre está demostrando cómo cocinar un sándwich de Bolonia de amiga en su cocina.</v>
      </c>
    </row>
    <row r="21990">
      <c r="A21990" s="4" t="s">
        <v>27681</v>
      </c>
      <c r="B21990" s="4" t="s">
        <v>27683</v>
      </c>
      <c r="C21990" s="5" t="str">
        <f>IFERROR(__xludf.DUMMYFUNCTION("GOOGLETRANSLATE(B21990,""en"",""es-ES"")"),"Toma dos rebanadas de pan de sándwich y las pone en la tostadora.")</f>
        <v>Toma dos rebanadas de pan de sándwich y las pone en la tostadora.</v>
      </c>
    </row>
    <row r="21991">
      <c r="A21991" s="4" t="s">
        <v>27681</v>
      </c>
      <c r="B21991" s="4" t="s">
        <v>27684</v>
      </c>
      <c r="C21991" s="5" t="str">
        <f>IFERROR(__xludf.DUMMYFUNCTION("GOOGLETRANSLATE(B21991,""en"",""es-ES"")"),"Luego toma un poco de mantequilla y bolonia en una sartén y la frita.")</f>
        <v>Luego toma un poco de mantequilla y bolonia en una sartén y la frita.</v>
      </c>
    </row>
    <row r="21992">
      <c r="A21992" s="4" t="s">
        <v>27681</v>
      </c>
      <c r="B21992" s="4" t="s">
        <v>27685</v>
      </c>
      <c r="C21992" s="5" t="str">
        <f>IFERROR(__xludf.DUMMYFUNCTION("GOOGLETRANSLATE(B21992,""en"",""es-ES"")"),"Voltea la bolonia para freírla en ambos lados.")</f>
        <v>Voltea la bolonia para freírla en ambos lados.</v>
      </c>
    </row>
    <row r="21993">
      <c r="A21993" s="4" t="s">
        <v>27681</v>
      </c>
      <c r="B21993" s="4" t="s">
        <v>27686</v>
      </c>
      <c r="C21993" s="5" t="str">
        <f>IFERROR(__xludf.DUMMYFUNCTION("GOOGLETRANSLATE(B21993,""en"",""es-ES"")"),"Luego toma dos rebanadas de queso americano.")</f>
        <v>Luego toma dos rebanadas de queso americano.</v>
      </c>
    </row>
    <row r="21994">
      <c r="A21994" s="4" t="s">
        <v>27681</v>
      </c>
      <c r="B21994" s="4" t="s">
        <v>27687</v>
      </c>
      <c r="C21994" s="5" t="str">
        <f>IFERROR(__xludf.DUMMYFUNCTION("GOOGLETRANSLATE(B21994,""en"",""es-ES"")"),"Saca la bolonia de la sartén y la coloca en la tostada junto con las rodajas de queso.")</f>
        <v>Saca la bolonia de la sartén y la coloca en la tostada junto con las rodajas de queso.</v>
      </c>
    </row>
    <row r="21995">
      <c r="A21995" s="4" t="s">
        <v>27681</v>
      </c>
      <c r="B21995" s="4" t="s">
        <v>27688</v>
      </c>
      <c r="C21995" s="5" t="str">
        <f>IFERROR(__xludf.DUMMYFUNCTION("GOOGLETRANSLATE(B21995,""en"",""es-ES"")"),"Muestra el sándwich terminado con la bolonia y el queso.")</f>
        <v>Muestra el sándwich terminado con la bolonia y el queso.</v>
      </c>
    </row>
    <row r="21996">
      <c r="A21996" s="4" t="s">
        <v>27689</v>
      </c>
      <c r="B21996" s="4" t="s">
        <v>27690</v>
      </c>
      <c r="C21996" s="5" t="str">
        <f>IFERROR(__xludf.DUMMYFUNCTION("GOOGLETRANSLATE(B21996,""en"",""es-ES"")"),"Un hombre está sentado en una máquina de pesas y agarrando las barras de mango.")</f>
        <v>Un hombre está sentado en una máquina de pesas y agarrando las barras de mango.</v>
      </c>
    </row>
    <row r="21997">
      <c r="A21997" s="4" t="s">
        <v>27689</v>
      </c>
      <c r="B21997" s="4" t="s">
        <v>27691</v>
      </c>
      <c r="C21997" s="5" t="str">
        <f>IFERROR(__xludf.DUMMYFUNCTION("GOOGLETRANSLATE(B21997,""en"",""es-ES"")"),"Él tira el manillar hacia atrás y el cuarto a medida que el asiento en el que se mueve se mueve continuamente.")</f>
        <v>Él tira el manillar hacia atrás y el cuarto a medida que el asiento en el que se mueve se mueve continuamente.</v>
      </c>
    </row>
    <row r="21998">
      <c r="A21998" s="4" t="s">
        <v>27689</v>
      </c>
      <c r="B21998" s="4" t="s">
        <v>27692</v>
      </c>
      <c r="C21998" s="5" t="str">
        <f>IFERROR(__xludf.DUMMYFUNCTION("GOOGLETRANSLATE(B21998,""en"",""es-ES"")"),"Realiza este conjunto varias veces y finalmente se detiene para dejar que la instrucción termine.")</f>
        <v>Realiza este conjunto varias veces y finalmente se detiene para dejar que la instrucción termine.</v>
      </c>
    </row>
    <row r="21999">
      <c r="A21999" s="4" t="s">
        <v>27693</v>
      </c>
      <c r="B21999" s="4" t="s">
        <v>27694</v>
      </c>
      <c r="C21999" s="5" t="str">
        <f>IFERROR(__xludf.DUMMYFUNCTION("GOOGLETRANSLATE(B21999,""en"",""es-ES"")"),"Un hombre calvo con camisa gris está de pie en el patio de recreo, caminó hacia las barras de mono y comenzó a torcirse arriba y abajo, caminó hacia un poste inferior y comenzó a torcerse mientras sus piernas se estiran hacia abajo.")</f>
        <v>Un hombre calvo con camisa gris está de pie en el patio de recreo, caminó hacia las barras de mono y comenzó a torcirse arriba y abajo, caminó hacia un poste inferior y comenzó a torcerse mientras sus piernas se estiran hacia abajo.</v>
      </c>
    </row>
    <row r="22000">
      <c r="A22000" s="4" t="s">
        <v>27693</v>
      </c>
      <c r="B22000" s="4" t="s">
        <v>27695</v>
      </c>
      <c r="C22000" s="5" t="str">
        <f>IFERROR(__xludf.DUMMYFUNCTION("GOOGLETRANSLATE(B22000,""en"",""es-ES"")"),"Caminó de regreso a la barra de mono y se tiró de arriba abajo, sus piernas se mueven de lado a lado y luego lo tiran hacia arriba y hacia abajo.")</f>
        <v>Caminó de regreso a la barra de mono y se tiró de arriba abajo, sus piernas se mueven de lado a lado y luego lo tiran hacia arriba y hacia abajo.</v>
      </c>
    </row>
    <row r="22001">
      <c r="A22001" s="4" t="s">
        <v>27696</v>
      </c>
      <c r="B22001" s="4" t="s">
        <v>27697</v>
      </c>
      <c r="C22001" s="5" t="str">
        <f>IFERROR(__xludf.DUMMYFUNCTION("GOOGLETRANSLATE(B22001,""en"",""es-ES"")"),"Una mujer habla mientras sostiene un saxofón.")</f>
        <v>Una mujer habla mientras sostiene un saxofón.</v>
      </c>
    </row>
    <row r="22002">
      <c r="A22002" s="4" t="s">
        <v>27696</v>
      </c>
      <c r="B22002" s="4" t="s">
        <v>27698</v>
      </c>
      <c r="C22002" s="5" t="str">
        <f>IFERROR(__xludf.DUMMYFUNCTION("GOOGLETRANSLATE(B22002,""en"",""es-ES"")"),"Ella comienza a jugar el saxofón.")</f>
        <v>Ella comienza a jugar el saxofón.</v>
      </c>
    </row>
    <row r="22003">
      <c r="A22003" s="4" t="s">
        <v>27699</v>
      </c>
      <c r="B22003" s="4" t="s">
        <v>1251</v>
      </c>
      <c r="C22003" s="5" t="str">
        <f>IFERROR(__xludf.DUMMYFUNCTION("GOOGLETRANSLATE(B22003,""en"",""es-ES"")"),"Se muestran los créditos del clip.")</f>
        <v>Se muestran los créditos del clip.</v>
      </c>
    </row>
    <row r="22004">
      <c r="A22004" s="4" t="s">
        <v>27699</v>
      </c>
      <c r="B22004" s="4" t="s">
        <v>27700</v>
      </c>
      <c r="C22004" s="5" t="str">
        <f>IFERROR(__xludf.DUMMYFUNCTION("GOOGLETRANSLATE(B22004,""en"",""es-ES"")"),"Un tipo levanta una bola de metal sobre su cabeza, gira con una bola de metal y libera la bola de metal.")</f>
        <v>Un tipo levanta una bola de metal sobre su cabeza, gira con una bola de metal y libera la bola de metal.</v>
      </c>
    </row>
    <row r="22005">
      <c r="A22005" s="4" t="s">
        <v>27699</v>
      </c>
      <c r="B22005" s="4" t="s">
        <v>27701</v>
      </c>
      <c r="C22005" s="5" t="str">
        <f>IFERROR(__xludf.DUMMYFUNCTION("GOOGLETRANSLATE(B22005,""en"",""es-ES"")"),"Un chico aplaude después de liberar la bola de metal.")</f>
        <v>Un chico aplaude después de liberar la bola de metal.</v>
      </c>
    </row>
    <row r="22006">
      <c r="A22006" s="4" t="s">
        <v>27699</v>
      </c>
      <c r="B22006" s="4" t="s">
        <v>27702</v>
      </c>
      <c r="C22006" s="5" t="str">
        <f>IFERROR(__xludf.DUMMYFUNCTION("GOOGLETRANSLATE(B22006,""en"",""es-ES"")"),"Se muestra el tablero de puntaje.")</f>
        <v>Se muestra el tablero de puntaje.</v>
      </c>
    </row>
    <row r="22007">
      <c r="A22007" s="4" t="s">
        <v>27703</v>
      </c>
      <c r="B22007" s="4" t="s">
        <v>27704</v>
      </c>
      <c r="C22007" s="5" t="str">
        <f>IFERROR(__xludf.DUMMYFUNCTION("GOOGLETRANSLATE(B22007,""en"",""es-ES"")"),"Un niño pequeño cabalga en un automóvil bebiendo una bebida y jugando con su teléfono.")</f>
        <v>Un niño pequeño cabalga en un automóvil bebiendo una bebida y jugando con su teléfono.</v>
      </c>
    </row>
    <row r="22008">
      <c r="A22008" s="4" t="s">
        <v>27703</v>
      </c>
      <c r="B22008" s="4" t="s">
        <v>27705</v>
      </c>
      <c r="C22008" s="5" t="str">
        <f>IFERROR(__xludf.DUMMYFUNCTION("GOOGLETRANSLATE(B22008,""en"",""es-ES"")"),"Comienza a tener una conversación con un hombre mayor que lo está grabando en el auto.")</f>
        <v>Comienza a tener una conversación con un hombre mayor que lo está grabando en el auto.</v>
      </c>
    </row>
    <row r="22009">
      <c r="A22009" s="4" t="s">
        <v>27706</v>
      </c>
      <c r="B22009" s="4" t="s">
        <v>27707</v>
      </c>
      <c r="C22009" s="5" t="str">
        <f>IFERROR(__xludf.DUMMYFUNCTION("GOOGLETRANSLATE(B22009,""en"",""es-ES"")"),"Un hombre sale corriendo en un estadio profesional y arroja una pelota a un bateador.")</f>
        <v>Un hombre sale corriendo en un estadio profesional y arroja una pelota a un bateador.</v>
      </c>
    </row>
    <row r="22010">
      <c r="A22010" s="4" t="s">
        <v>27706</v>
      </c>
      <c r="B22010" s="4" t="s">
        <v>27708</v>
      </c>
      <c r="C22010" s="5" t="str">
        <f>IFERROR(__xludf.DUMMYFUNCTION("GOOGLETRANSLATE(B22010,""en"",""es-ES"")"),"Dos mujeres viendo el juego alegrar después del bateador golpea la pelota con su tabla.")</f>
        <v>Dos mujeres viendo el juego alegrar después del bateador golpea la pelota con su tabla.</v>
      </c>
    </row>
    <row r="22011">
      <c r="A22011" s="4" t="s">
        <v>27706</v>
      </c>
      <c r="B22011" s="4" t="s">
        <v>27709</v>
      </c>
      <c r="C22011" s="5" t="str">
        <f>IFERROR(__xludf.DUMMYFUNCTION("GOOGLETRANSLATE(B22011,""en"",""es-ES"")"),"Una de las mujeres expone su pecho desnudo a la cámara, se superpone una barra negra.")</f>
        <v>Una de las mujeres expone su pecho desnudo a la cámara, se superpone una barra negra.</v>
      </c>
    </row>
    <row r="22012">
      <c r="A22012" s="4" t="s">
        <v>27706</v>
      </c>
      <c r="B22012" s="4" t="s">
        <v>27710</v>
      </c>
      <c r="C22012" s="5" t="str">
        <f>IFERROR(__xludf.DUMMYFUNCTION("GOOGLETRANSLATE(B22012,""en"",""es-ES"")"),"La cámara vuelve a la acción en el campo.")</f>
        <v>La cámara vuelve a la acción en el campo.</v>
      </c>
    </row>
    <row r="22013">
      <c r="A22013" s="4" t="s">
        <v>27711</v>
      </c>
      <c r="B22013" s="4" t="s">
        <v>27712</v>
      </c>
      <c r="C22013" s="5" t="str">
        <f>IFERROR(__xludf.DUMMYFUNCTION("GOOGLETRANSLATE(B22013,""en"",""es-ES"")"),"Se muestra una Rodea de tierra, ya que un hombre en un caballo se libera de una puerta.")</f>
        <v>Se muestra una Rodea de tierra, ya que un hombre en un caballo se libera de una puerta.</v>
      </c>
    </row>
    <row r="22014">
      <c r="A22014" s="4" t="s">
        <v>27711</v>
      </c>
      <c r="B22014" s="4" t="s">
        <v>27713</v>
      </c>
      <c r="C22014" s="5" t="str">
        <f>IFERROR(__xludf.DUMMYFUNCTION("GOOGLETRANSLATE(B22014,""en"",""es-ES"")"),"Él tiene un ternero, desmontado para atarlo.")</f>
        <v>Él tiene un ternero, desmontado para atarlo.</v>
      </c>
    </row>
    <row r="22015">
      <c r="A22015" s="4" t="s">
        <v>27711</v>
      </c>
      <c r="B22015" s="4" t="s">
        <v>27714</v>
      </c>
      <c r="C22015" s="5" t="str">
        <f>IFERROR(__xludf.DUMMYFUNCTION("GOOGLETRANSLATE(B22015,""en"",""es-ES"")"),"Otro hombre cabalga en la pantalla momentáneamente.")</f>
        <v>Otro hombre cabalga en la pantalla momentáneamente.</v>
      </c>
    </row>
    <row r="22016">
      <c r="A22016" s="4" t="s">
        <v>27715</v>
      </c>
      <c r="B22016" s="4" t="s">
        <v>27716</v>
      </c>
      <c r="C22016" s="5" t="str">
        <f>IFERROR(__xludf.DUMMYFUNCTION("GOOGLETRANSLATE(B22016,""en"",""es-ES"")"),"Se ve a un hombre parado en un baño con una mujer y mirando hacia atrás para hablar con la cámara.")</f>
        <v>Se ve a un hombre parado en un baño con una mujer y mirando hacia atrás para hablar con la cámara.</v>
      </c>
    </row>
    <row r="22017">
      <c r="A22017" s="4" t="s">
        <v>27715</v>
      </c>
      <c r="B22017" s="4" t="s">
        <v>27717</v>
      </c>
      <c r="C22017" s="5" t="str">
        <f>IFERROR(__xludf.DUMMYFUNCTION("GOOGLETRANSLATE(B22017,""en"",""es-ES"")"),"El hombre luego se mueve por todo el baño mientras continúa hablando y la cámara se acerca.")</f>
        <v>El hombre luego se mueve por todo el baño mientras continúa hablando y la cámara se acerca.</v>
      </c>
    </row>
    <row r="22018">
      <c r="A22018" s="4" t="s">
        <v>27718</v>
      </c>
      <c r="B22018" s="4" t="s">
        <v>27719</v>
      </c>
      <c r="C22018" s="5" t="str">
        <f>IFERROR(__xludf.DUMMYFUNCTION("GOOGLETRANSLATE(B22018,""en"",""es-ES"")"),"Se ve a un hombre hablando con la cámara mientras está parado frente al equipo de ejercicio.")</f>
        <v>Se ve a un hombre hablando con la cámara mientras está parado frente al equipo de ejercicio.</v>
      </c>
    </row>
    <row r="22019">
      <c r="A22019" s="4" t="s">
        <v>27718</v>
      </c>
      <c r="B22019" s="4" t="s">
        <v>27720</v>
      </c>
      <c r="C22019" s="5" t="str">
        <f>IFERROR(__xludf.DUMMYFUNCTION("GOOGLETRANSLATE(B22019,""en"",""es-ES"")"),"Continúa hablando y conduce a clips de los pies de una persona que se mueven en la máquina.")</f>
        <v>Continúa hablando y conduce a clips de los pies de una persona que se mueven en la máquina.</v>
      </c>
    </row>
    <row r="22020">
      <c r="A22020" s="4" t="s">
        <v>27718</v>
      </c>
      <c r="B22020" s="4" t="s">
        <v>27721</v>
      </c>
      <c r="C22020" s="5" t="str">
        <f>IFERROR(__xludf.DUMMYFUNCTION("GOOGLETRANSLATE(B22020,""en"",""es-ES"")"),"El hombre que usa la máquina continuamente mientras señala su cuerpo y mostrando sus piernas.")</f>
        <v>El hombre que usa la máquina continuamente mientras señala su cuerpo y mostrando sus piernas.</v>
      </c>
    </row>
    <row r="22021">
      <c r="A22021" s="4" t="s">
        <v>27722</v>
      </c>
      <c r="B22021" s="4" t="s">
        <v>27723</v>
      </c>
      <c r="C22021" s="5" t="str">
        <f>IFERROR(__xludf.DUMMYFUNCTION("GOOGLETRANSLATE(B22021,""en"",""es-ES"")"),"Un conjunto de botas negras se muestra en una pequeña mesa junto con una botella de aceite y un trapo frente a una mujer.")</f>
        <v>Un conjunto de botas negras se muestra en una pequeña mesa junto con una botella de aceite y un trapo frente a una mujer.</v>
      </c>
    </row>
    <row r="22022">
      <c r="A22022" s="4" t="s">
        <v>27722</v>
      </c>
      <c r="B22022" s="4" t="s">
        <v>27724</v>
      </c>
      <c r="C22022" s="5" t="str">
        <f>IFERROR(__xludf.DUMMYFUNCTION("GOOGLETRANSLATE(B22022,""en"",""es-ES"")"),"La mujer luego agarra el trapo y le pone aceite de oliva y comienza a pulir las botas.")</f>
        <v>La mujer luego agarra el trapo y le pone aceite de oliva y comienza a pulir las botas.</v>
      </c>
    </row>
    <row r="22023">
      <c r="A22023" s="4" t="s">
        <v>27722</v>
      </c>
      <c r="B22023" s="4" t="s">
        <v>27725</v>
      </c>
      <c r="C22023" s="5" t="str">
        <f>IFERROR(__xludf.DUMMYFUNCTION("GOOGLETRANSLATE(B22023,""en"",""es-ES"")"),"Luego hace una pausa con los trapos y comienza a hablar.")</f>
        <v>Luego hace una pausa con los trapos y comienza a hablar.</v>
      </c>
    </row>
    <row r="22024">
      <c r="A22024" s="4" t="s">
        <v>27726</v>
      </c>
      <c r="B22024" s="4" t="s">
        <v>27727</v>
      </c>
      <c r="C22024" s="5" t="str">
        <f>IFERROR(__xludf.DUMMYFUNCTION("GOOGLETRANSLATE(B22024,""en"",""es-ES"")"),"Se ve a una persona caminando en el marco y comienza a tocar en un conjunto de tambores de bongo.")</f>
        <v>Se ve a una persona caminando en el marco y comienza a tocar en un conjunto de tambores de bongo.</v>
      </c>
    </row>
    <row r="22025">
      <c r="A22025" s="4" t="s">
        <v>27726</v>
      </c>
      <c r="B22025" s="4" t="s">
        <v>27728</v>
      </c>
      <c r="C22025" s="5" t="str">
        <f>IFERROR(__xludf.DUMMYFUNCTION("GOOGLETRANSLATE(B22025,""en"",""es-ES"")"),"El hombre continúa tocando en la batería mientras la cámara no se mueve y termina con él golpeándolos una vez y alejándose.")</f>
        <v>El hombre continúa tocando en la batería mientras la cámara no se mueve y termina con él golpeándolos una vez y alejándose.</v>
      </c>
    </row>
    <row r="22026">
      <c r="A22026" s="4" t="s">
        <v>27729</v>
      </c>
      <c r="B22026" s="4" t="s">
        <v>27730</v>
      </c>
      <c r="C22026" s="5" t="str">
        <f>IFERROR(__xludf.DUMMYFUNCTION("GOOGLETRANSLATE(B22026,""en"",""es-ES"")"),"Un niño rodilla de una rampa y en otra rampa.")</f>
        <v>Un niño rodilla de una rampa y en otra rampa.</v>
      </c>
    </row>
    <row r="22027">
      <c r="A22027" s="4" t="s">
        <v>27729</v>
      </c>
      <c r="B22027" s="4" t="s">
        <v>27731</v>
      </c>
      <c r="C22027" s="5" t="str">
        <f>IFERROR(__xludf.DUMMYFUNCTION("GOOGLETRANSLATE(B22027,""en"",""es-ES"")"),"El niño se acelera en una rampa y salta, aterrizando en el cemento.")</f>
        <v>El niño se acelera en una rampa y salta, aterrizando en el cemento.</v>
      </c>
    </row>
    <row r="22028">
      <c r="A22028" s="4" t="s">
        <v>27729</v>
      </c>
      <c r="B22028" s="4" t="s">
        <v>27732</v>
      </c>
      <c r="C22028" s="5" t="str">
        <f>IFERROR(__xludf.DUMMYFUNCTION("GOOGLETRANSLATE(B22028,""en"",""es-ES"")"),"Más tarde, el niño rodilla en otra rampa.")</f>
        <v>Más tarde, el niño rodilla en otra rampa.</v>
      </c>
    </row>
    <row r="22029">
      <c r="A22029" s="4" t="s">
        <v>27729</v>
      </c>
      <c r="B22029" s="4" t="s">
        <v>27733</v>
      </c>
      <c r="C22029" s="5" t="str">
        <f>IFERROR(__xludf.DUMMYFUNCTION("GOOGLETRANSLATE(B22029,""en"",""es-ES"")"),"El joven se ve en otro atuendo, realizando giros al final de su rodillo.")</f>
        <v>El joven se ve en otro atuendo, realizando giros al final de su rodillo.</v>
      </c>
    </row>
    <row r="22030">
      <c r="A22030" s="4" t="s">
        <v>27729</v>
      </c>
      <c r="B22030" s="4" t="s">
        <v>27734</v>
      </c>
      <c r="C22030" s="5" t="str">
        <f>IFERROR(__xludf.DUMMYFUNCTION("GOOGLETRANSLATE(B22030,""en"",""es-ES"")"),"Las cuchillas de los niños se entristecen al estilo cruzado alrededor de algunos conos de naranja.")</f>
        <v>Las cuchillas de los niños se entristecen al estilo cruzado alrededor de algunos conos de naranja.</v>
      </c>
    </row>
    <row r="22031">
      <c r="A22031" s="4" t="s">
        <v>27729</v>
      </c>
      <c r="B22031" s="4" t="s">
        <v>27735</v>
      </c>
      <c r="C22031" s="5" t="str">
        <f>IFERROR(__xludf.DUMMYFUNCTION("GOOGLETRANSLATE(B22031,""en"",""es-ES"")"),"El niño lo hace de nuevo, esta vez entrando y saliendo de los conos.")</f>
        <v>El niño lo hace de nuevo, esta vez entrando y saliendo de los conos.</v>
      </c>
    </row>
    <row r="22032">
      <c r="A22032" s="4" t="s">
        <v>27736</v>
      </c>
      <c r="B22032" s="4" t="s">
        <v>27737</v>
      </c>
      <c r="C22032" s="5" t="str">
        <f>IFERROR(__xludf.DUMMYFUNCTION("GOOGLETRANSLATE(B22032,""en"",""es-ES"")"),"Un hombre está utilizando una herramienta de soldadura en una pila de metal aleatorio en interiores.")</f>
        <v>Un hombre está utilizando una herramienta de soldadura en una pila de metal aleatorio en interiores.</v>
      </c>
    </row>
    <row r="22033">
      <c r="A22033" s="4" t="s">
        <v>27736</v>
      </c>
      <c r="B22033" s="4" t="s">
        <v>27738</v>
      </c>
      <c r="C22033" s="5" t="str">
        <f>IFERROR(__xludf.DUMMYFUNCTION("GOOGLETRANSLATE(B22033,""en"",""es-ES"")"),"Otro hombre está sosteniendo un escudo para protegerse.")</f>
        <v>Otro hombre está sosteniendo un escudo para protegerse.</v>
      </c>
    </row>
    <row r="22034">
      <c r="A22034" s="4" t="s">
        <v>27736</v>
      </c>
      <c r="B22034" s="4" t="s">
        <v>27739</v>
      </c>
      <c r="C22034" s="5" t="str">
        <f>IFERROR(__xludf.DUMMYFUNCTION("GOOGLETRANSLATE(B22034,""en"",""es-ES"")"),"El hombre le levanta un escudo a la cara mientras se soltera.")</f>
        <v>El hombre le levanta un escudo a la cara mientras se soltera.</v>
      </c>
    </row>
    <row r="22035">
      <c r="A22035" s="4" t="s">
        <v>27740</v>
      </c>
      <c r="B22035" s="4" t="s">
        <v>27741</v>
      </c>
      <c r="C22035" s="5" t="str">
        <f>IFERROR(__xludf.DUMMYFUNCTION("GOOGLETRANSLATE(B22035,""en"",""es-ES"")"),"Un hombre demuestra cómo usar un cuello especial para perros y arnés en un perro usando un perro de juguete de peluche y perros de verdad.")</f>
        <v>Un hombre demuestra cómo usar un cuello especial para perros y arnés en un perro usando un perro de juguete de peluche y perros de verdad.</v>
      </c>
    </row>
    <row r="22036">
      <c r="A22036" s="4" t="s">
        <v>27740</v>
      </c>
      <c r="B22036" s="4" t="s">
        <v>27742</v>
      </c>
      <c r="C22036" s="5" t="str">
        <f>IFERROR(__xludf.DUMMYFUNCTION("GOOGLETRANSLATE(B22036,""en"",""es-ES"")"),"Un hombre que está parado frente a una cerca de madera sostiene un perro de peluche con un collar rojo/arnés y sostiene al perro mientras habla y demuestra características del arnés del cuello.")</f>
        <v>Un hombre que está parado frente a una cerca de madera sostiene un perro de peluche con un collar rojo/arnés y sostiene al perro mientras habla y demuestra características del arnés del cuello.</v>
      </c>
    </row>
    <row r="22037">
      <c r="A22037" s="4" t="s">
        <v>27740</v>
      </c>
      <c r="B22037" s="4" t="s">
        <v>27743</v>
      </c>
      <c r="C22037" s="5" t="str">
        <f>IFERROR(__xludf.DUMMYFUNCTION("GOOGLETRANSLATE(B22037,""en"",""es-ES"")"),"Se muestran dos manos sosteniendo el collar rojo por sí solo y demuestran las características del arnés del cuello con gráficos fijos para acompañar el escaparate de la mano.")</f>
        <v>Se muestran dos manos sosteniendo el collar rojo por sí solo y demuestran las características del arnés del cuello con gráficos fijos para acompañar el escaparate de la mano.</v>
      </c>
    </row>
    <row r="22038">
      <c r="A22038" s="4" t="s">
        <v>27740</v>
      </c>
      <c r="B22038" s="4" t="s">
        <v>27744</v>
      </c>
      <c r="C22038" s="5" t="str">
        <f>IFERROR(__xludf.DUMMYFUNCTION("GOOGLETRANSLATE(B22038,""en"",""es-ES"")"),"El hombre se encuentra, ahora, con un perro real y demuestra cómo poner el arnés en el perro real, luego vuelve a demostrar con el perro de peluche antes de finalmente terminar con la acarición, el perro real, el bronceado, como un labrador retriever negr"&amp;"o deambulando. en el tiro final.")</f>
        <v>El hombre se encuentra, ahora, con un perro real y demuestra cómo poner el arnés en el perro real, luego vuelve a demostrar con el perro de peluche antes de finalmente terminar con la acarición, el perro real, el bronceado, como un labrador retriever negro deambulando. en el tiro final.</v>
      </c>
    </row>
    <row r="22039">
      <c r="A22039" s="4" t="s">
        <v>27745</v>
      </c>
      <c r="B22039" s="4" t="s">
        <v>27746</v>
      </c>
      <c r="C22039" s="5" t="str">
        <f>IFERROR(__xludf.DUMMYFUNCTION("GOOGLETRANSLATE(B22039,""en"",""es-ES"")"),"Una cámara se acerca a un patio trasero que contiene un Volkswagon y otros artículos diferentes.")</f>
        <v>Una cámara se acerca a un patio trasero que contiene un Volkswagon y otros artículos diferentes.</v>
      </c>
    </row>
    <row r="22040">
      <c r="A22040" s="4" t="s">
        <v>27745</v>
      </c>
      <c r="B22040" s="4" t="s">
        <v>27747</v>
      </c>
      <c r="C22040" s="5" t="str">
        <f>IFERROR(__xludf.DUMMYFUNCTION("GOOGLETRANSLATE(B22040,""en"",""es-ES"")"),"Se muestra a un hombre juntando esquís a un ritmo rápido.")</f>
        <v>Se muestra a un hombre juntando esquís a un ritmo rápido.</v>
      </c>
    </row>
    <row r="22041">
      <c r="A22041" s="4" t="s">
        <v>27745</v>
      </c>
      <c r="B22041" s="4" t="s">
        <v>27748</v>
      </c>
      <c r="C22041" s="5" t="str">
        <f>IFERROR(__xludf.DUMMYFUNCTION("GOOGLETRANSLATE(B22041,""en"",""es-ES"")"),"El hombre termina los esquís y deja su sombrero encima de los esquís.")</f>
        <v>El hombre termina los esquís y deja su sombrero encima de los esquís.</v>
      </c>
    </row>
    <row r="22042">
      <c r="A22042" s="4" t="s">
        <v>27749</v>
      </c>
      <c r="B22042" s="4" t="s">
        <v>27750</v>
      </c>
      <c r="C22042" s="5" t="str">
        <f>IFERROR(__xludf.DUMMYFUNCTION("GOOGLETRANSLATE(B22042,""en"",""es-ES"")"),"Una vista submarina del agua azul aparece en el fondo de la piscina.")</f>
        <v>Una vista submarina del agua azul aparece en el fondo de la piscina.</v>
      </c>
    </row>
    <row r="22043">
      <c r="A22043" s="4" t="s">
        <v>27749</v>
      </c>
      <c r="B22043" s="4" t="s">
        <v>27751</v>
      </c>
      <c r="C22043" s="5" t="str">
        <f>IFERROR(__xludf.DUMMYFUNCTION("GOOGLETRANSLATE(B22043,""en"",""es-ES"")"),"En cámara lenta, alguien salpica en el agua.")</f>
        <v>En cámara lenta, alguien salpica en el agua.</v>
      </c>
    </row>
    <row r="22044">
      <c r="A22044" s="4" t="s">
        <v>27749</v>
      </c>
      <c r="B22044" s="4" t="s">
        <v>27752</v>
      </c>
      <c r="C22044" s="5" t="str">
        <f>IFERROR(__xludf.DUMMYFUNCTION("GOOGLETRANSLATE(B22044,""en"",""es-ES"")"),"Aparecen varios clips de hombres haciendo diferentes inmersiones en la piscina y desde diferentes alturas.")</f>
        <v>Aparecen varios clips de hombres haciendo diferentes inmersiones en la piscina y desde diferentes alturas.</v>
      </c>
    </row>
    <row r="22045">
      <c r="A22045" s="4" t="s">
        <v>27749</v>
      </c>
      <c r="B22045" s="4" t="s">
        <v>27753</v>
      </c>
      <c r="C22045" s="5" t="str">
        <f>IFERROR(__xludf.DUMMYFUNCTION("GOOGLETRANSLATE(B22045,""en"",""es-ES"")"),"Un hombre entra primero en los pies de agua, aterriza en el fondo de la piscina profunda, luego cae para hacer un empuje y luego se dispara rápidamente.")</f>
        <v>Un hombre entra primero en los pies de agua, aterriza en el fondo de la piscina profunda, luego cae para hacer un empuje y luego se dispara rápidamente.</v>
      </c>
    </row>
    <row r="22046">
      <c r="A22046" s="4" t="s">
        <v>27749</v>
      </c>
      <c r="B22046" s="4" t="s">
        <v>27754</v>
      </c>
      <c r="C22046" s="5" t="str">
        <f>IFERROR(__xludf.DUMMYFUNCTION("GOOGLETRANSLATE(B22046,""en"",""es-ES"")"),"Un chico salta a la tabla de buceo, pero en lugar de bucear, pierde el equilibrio y cae al agua.")</f>
        <v>Un chico salta a la tabla de buceo, pero en lugar de bucear, pierde el equilibrio y cae al agua.</v>
      </c>
    </row>
    <row r="22047">
      <c r="A22047" s="4" t="s">
        <v>27749</v>
      </c>
      <c r="B22047" s="4" t="s">
        <v>27755</v>
      </c>
      <c r="C22047" s="5" t="str">
        <f>IFERROR(__xludf.DUMMYFUNCTION("GOOGLETRANSLATE(B22047,""en"",""es-ES"")"),"Un niño está parado en una pared presionando un botón y hablando en un intercomunicador, luego se detiene y se ríe.")</f>
        <v>Un niño está parado en una pared presionando un botón y hablando en un intercomunicador, luego se detiene y se ríe.</v>
      </c>
    </row>
    <row r="22048">
      <c r="A22048" s="4" t="s">
        <v>27756</v>
      </c>
      <c r="B22048" s="4" t="s">
        <v>27757</v>
      </c>
      <c r="C22048" s="5" t="str">
        <f>IFERROR(__xludf.DUMMYFUNCTION("GOOGLETRANSLATE(B22048,""en"",""es-ES"")"),"Un hombre y una mujer están bailando en un techo de un edificio en una ciudad.")</f>
        <v>Un hombre y una mujer están bailando en un techo de un edificio en una ciudad.</v>
      </c>
    </row>
    <row r="22049">
      <c r="A22049" s="4" t="s">
        <v>27756</v>
      </c>
      <c r="B22049" s="4" t="s">
        <v>27758</v>
      </c>
      <c r="C22049" s="5" t="str">
        <f>IFERROR(__xludf.DUMMYFUNCTION("GOOGLETRANSLATE(B22049,""en"",""es-ES"")"),"Levanta a la mujer en el aire.")</f>
        <v>Levanta a la mujer en el aire.</v>
      </c>
    </row>
    <row r="22050">
      <c r="A22050" s="4" t="s">
        <v>27756</v>
      </c>
      <c r="B22050" s="4" t="s">
        <v>27759</v>
      </c>
      <c r="C22050" s="5" t="str">
        <f>IFERROR(__xludf.DUMMYFUNCTION("GOOGLETRANSLATE(B22050,""en"",""es-ES"")"),"La cámara se dirige a un edificio alto en el fondo.")</f>
        <v>La cámara se dirige a un edificio alto en el fondo.</v>
      </c>
    </row>
    <row r="22051">
      <c r="A22051" s="4" t="s">
        <v>27760</v>
      </c>
      <c r="B22051" s="4" t="s">
        <v>27761</v>
      </c>
      <c r="C22051" s="5" t="str">
        <f>IFERROR(__xludf.DUMMYFUNCTION("GOOGLETRANSLATE(B22051,""en"",""es-ES"")"),"Una introducción conduce a un bailarín del vientre que realiza una rutina frente a un espejo.")</f>
        <v>Una introducción conduce a un bailarín del vientre que realiza una rutina frente a un espejo.</v>
      </c>
    </row>
    <row r="22052">
      <c r="A22052" s="4" t="s">
        <v>27760</v>
      </c>
      <c r="B22052" s="4" t="s">
        <v>27762</v>
      </c>
      <c r="C22052" s="5" t="str">
        <f>IFERROR(__xludf.DUMMYFUNCTION("GOOGLETRANSLATE(B22052,""en"",""es-ES"")"),"Ella continúa bailando mientras se mueve por todo el piso azotando su cabello y agarrando su falda.")</f>
        <v>Ella continúa bailando mientras se mueve por todo el piso azotando su cabello y agarrando su falda.</v>
      </c>
    </row>
    <row r="22053">
      <c r="A22053" s="4" t="s">
        <v>27760</v>
      </c>
      <c r="B22053" s="4" t="s">
        <v>27763</v>
      </c>
      <c r="C22053" s="5" t="str">
        <f>IFERROR(__xludf.DUMMYFUNCTION("GOOGLETRANSLATE(B22053,""en"",""es-ES"")"),"Ella termina sentándose en el suelo y mirando al espejo.")</f>
        <v>Ella termina sentándose en el suelo y mirando al espejo.</v>
      </c>
    </row>
    <row r="22054">
      <c r="A22054" s="4" t="s">
        <v>27764</v>
      </c>
      <c r="B22054" s="4" t="s">
        <v>27765</v>
      </c>
      <c r="C22054" s="5" t="str">
        <f>IFERROR(__xludf.DUMMYFUNCTION("GOOGLETRANSLATE(B22054,""en"",""es-ES"")"),"Se ve a una mujer hablando con la cámara mientras se aferra a un acordeón.")</f>
        <v>Se ve a una mujer hablando con la cámara mientras se aferra a un acordeón.</v>
      </c>
    </row>
    <row r="22055">
      <c r="A22055" s="4" t="s">
        <v>27764</v>
      </c>
      <c r="B22055" s="4" t="s">
        <v>27766</v>
      </c>
      <c r="C22055" s="5" t="str">
        <f>IFERROR(__xludf.DUMMYFUNCTION("GOOGLETRANSLATE(B22055,""en"",""es-ES"")"),"Ella comienza a mover el instrumento lentamente mientras mira a la cámara.")</f>
        <v>Ella comienza a mover el instrumento lentamente mientras mira a la cámara.</v>
      </c>
    </row>
    <row r="22056">
      <c r="A22056" s="4" t="s">
        <v>27764</v>
      </c>
      <c r="B22056" s="4" t="s">
        <v>27767</v>
      </c>
      <c r="C22056" s="5" t="str">
        <f>IFERROR(__xludf.DUMMYFUNCTION("GOOGLETRANSLATE(B22056,""en"",""es-ES"")"),"Ella continúa jugando el acordeón mientras habla y mira hacia otro lado.")</f>
        <v>Ella continúa jugando el acordeón mientras habla y mira hacia otro lado.</v>
      </c>
    </row>
    <row r="22057">
      <c r="A22057" s="4" t="s">
        <v>27768</v>
      </c>
      <c r="B22057" s="4" t="s">
        <v>27769</v>
      </c>
      <c r="C22057" s="5" t="str">
        <f>IFERROR(__xludf.DUMMYFUNCTION("GOOGLETRANSLATE(B22057,""en"",""es-ES"")"),"Un joven adolescente está parado afuera de la casa con una pelota de tenis y una raqueta.")</f>
        <v>Un joven adolescente está parado afuera de la casa con una pelota de tenis y una raqueta.</v>
      </c>
    </row>
    <row r="22058">
      <c r="A22058" s="4" t="s">
        <v>27768</v>
      </c>
      <c r="B22058" s="4" t="s">
        <v>27770</v>
      </c>
      <c r="C22058" s="5" t="str">
        <f>IFERROR(__xludf.DUMMYFUNCTION("GOOGLETRANSLATE(B22058,""en"",""es-ES"")"),"Va a la cancha de tenis y comienza a hablar sobre el juego del tenis.")</f>
        <v>Va a la cancha de tenis y comienza a hablar sobre el juego del tenis.</v>
      </c>
    </row>
    <row r="22059">
      <c r="A22059" s="4" t="s">
        <v>27768</v>
      </c>
      <c r="B22059" s="4" t="s">
        <v>27771</v>
      </c>
      <c r="C22059" s="5" t="str">
        <f>IFERROR(__xludf.DUMMYFUNCTION("GOOGLETRANSLATE(B22059,""en"",""es-ES"")"),"Hace algunos estiramientos por un poco pero y luego se prepara para golpear la pelota hacia el otro lado de la cancha.")</f>
        <v>Hace algunos estiramientos por un poco pero y luego se prepara para golpear la pelota hacia el otro lado de la cancha.</v>
      </c>
    </row>
    <row r="22060">
      <c r="A22060" s="4" t="s">
        <v>27768</v>
      </c>
      <c r="B22060" s="4" t="s">
        <v>27772</v>
      </c>
      <c r="C22060" s="5" t="str">
        <f>IFERROR(__xludf.DUMMYFUNCTION("GOOGLETRANSLATE(B22060,""en"",""es-ES"")"),"Habla de ello en la cancha y luego se va para irse a casa.")</f>
        <v>Habla de ello en la cancha y luego se va para irse a casa.</v>
      </c>
    </row>
    <row r="22061">
      <c r="A22061" s="4" t="s">
        <v>27773</v>
      </c>
      <c r="B22061" s="4" t="s">
        <v>27774</v>
      </c>
      <c r="C22061" s="5" t="str">
        <f>IFERROR(__xludf.DUMMYFUNCTION("GOOGLETRANSLATE(B22061,""en"",""es-ES"")"),"Una escena de dunas de arena que conduce a una costa de playa.")</f>
        <v>Una escena de dunas de arena que conduce a una costa de playa.</v>
      </c>
    </row>
    <row r="22062">
      <c r="A22062" s="4" t="s">
        <v>27773</v>
      </c>
      <c r="B22062" s="4" t="s">
        <v>27775</v>
      </c>
      <c r="C22062" s="5" t="str">
        <f>IFERROR(__xludf.DUMMYFUNCTION("GOOGLETRANSLATE(B22062,""en"",""es-ES"")"),"Una chica con una blusa azul camina y posa en la arena.")</f>
        <v>Una chica con una blusa azul camina y posa en la arena.</v>
      </c>
    </row>
    <row r="22063">
      <c r="A22063" s="4" t="s">
        <v>27773</v>
      </c>
      <c r="B22063" s="4" t="s">
        <v>27776</v>
      </c>
      <c r="C22063" s="5" t="str">
        <f>IFERROR(__xludf.DUMMYFUNCTION("GOOGLETRANSLATE(B22063,""en"",""es-ES"")"),"Un hombre que lleva un sombrero de safari lidera un grupo de camellos con jinetes en un solo archivo.")</f>
        <v>Un hombre que lleva un sombrero de safari lidera un grupo de camellos con jinetes en un solo archivo.</v>
      </c>
    </row>
    <row r="22064">
      <c r="A22064" s="4" t="s">
        <v>27773</v>
      </c>
      <c r="B22064" s="4" t="s">
        <v>27777</v>
      </c>
      <c r="C22064" s="5" t="str">
        <f>IFERROR(__xludf.DUMMYFUNCTION("GOOGLETRANSLATE(B22064,""en"",""es-ES"")"),"La cámara se acerque a los camellos que se encuentran en la arena con sus sillines.")</f>
        <v>La cámara se acerque a los camellos que se encuentran en la arena con sus sillines.</v>
      </c>
    </row>
    <row r="22065">
      <c r="A22065" s="4" t="s">
        <v>27773</v>
      </c>
      <c r="B22065" s="4" t="s">
        <v>27778</v>
      </c>
      <c r="C22065" s="5" t="str">
        <f>IFERROR(__xludf.DUMMYFUNCTION("GOOGLETRANSLATE(B22065,""en"",""es-ES"")"),"Un jinete captura la vista de las dunas de arena que conducen al océano.")</f>
        <v>Un jinete captura la vista de las dunas de arena que conducen al océano.</v>
      </c>
    </row>
    <row r="22066">
      <c r="A22066" s="4" t="s">
        <v>27773</v>
      </c>
      <c r="B22066" s="4" t="s">
        <v>27779</v>
      </c>
      <c r="C22066" s="5" t="str">
        <f>IFERROR(__xludf.DUMMYFUNCTION("GOOGLETRANSLATE(B22066,""en"",""es-ES"")"),"La caravana Camel llega a un campamento en la playa.")</f>
        <v>La caravana Camel llega a un campamento en la playa.</v>
      </c>
    </row>
    <row r="22067">
      <c r="A22067" s="4" t="s">
        <v>27780</v>
      </c>
      <c r="B22067" s="4" t="s">
        <v>27781</v>
      </c>
      <c r="C22067" s="5" t="str">
        <f>IFERROR(__xludf.DUMMYFUNCTION("GOOGLETRANSLATE(B22067,""en"",""es-ES"")"),"Un niño rocía crema afeitándose en su mano desde una lata en su baño.")</f>
        <v>Un niño rocía crema afeitándose en su mano desde una lata en su baño.</v>
      </c>
    </row>
    <row r="22068">
      <c r="A22068" s="4" t="s">
        <v>27780</v>
      </c>
      <c r="B22068" s="4" t="s">
        <v>27782</v>
      </c>
      <c r="C22068" s="5" t="str">
        <f>IFERROR(__xludf.DUMMYFUNCTION("GOOGLETRANSLATE(B22068,""en"",""es-ES"")"),"El niño aplica la crema de afeitar a la cara.")</f>
        <v>El niño aplica la crema de afeitar a la cara.</v>
      </c>
    </row>
    <row r="22069">
      <c r="A22069" s="4" t="s">
        <v>27780</v>
      </c>
      <c r="B22069" s="4" t="s">
        <v>27783</v>
      </c>
      <c r="C22069" s="5" t="str">
        <f>IFERROR(__xludf.DUMMYFUNCTION("GOOGLETRANSLATE(B22069,""en"",""es-ES"")"),"Un hombre tiene crema de afeitar en la cara y lee una etiqueta en una lata presurizada y la discute.")</f>
        <v>Un hombre tiene crema de afeitar en la cara y lee una etiqueta en una lata presurizada y la discute.</v>
      </c>
    </row>
    <row r="22070">
      <c r="A22070" s="4" t="s">
        <v>27780</v>
      </c>
      <c r="B22070" s="4" t="s">
        <v>27784</v>
      </c>
      <c r="C22070" s="5" t="str">
        <f>IFERROR(__xludf.DUMMYFUNCTION("GOOGLETRANSLATE(B22070,""en"",""es-ES"")"),"Un hombre frota su cara lisa.")</f>
        <v>Un hombre frota su cara lisa.</v>
      </c>
    </row>
    <row r="22071">
      <c r="A22071" s="4" t="s">
        <v>27780</v>
      </c>
      <c r="B22071" s="4" t="s">
        <v>27785</v>
      </c>
      <c r="C22071" s="5" t="str">
        <f>IFERROR(__xludf.DUMMYFUNCTION("GOOGLETRANSLATE(B22071,""en"",""es-ES"")"),"El hombre sostiene una lata de aceite de metal.")</f>
        <v>El hombre sostiene una lata de aceite de metal.</v>
      </c>
    </row>
    <row r="22072">
      <c r="A22072" s="4" t="s">
        <v>27780</v>
      </c>
      <c r="B22072" s="4" t="s">
        <v>27786</v>
      </c>
      <c r="C22072" s="5" t="str">
        <f>IFERROR(__xludf.DUMMYFUNCTION("GOOGLETRANSLATE(B22072,""en"",""es-ES"")"),"El hombre aplica un gotero de medicina con líquido a una maquinilla de afeitar y demuestra cómo usarla.")</f>
        <v>El hombre aplica un gotero de medicina con líquido a una maquinilla de afeitar y demuestra cómo usarla.</v>
      </c>
    </row>
    <row r="22073">
      <c r="A22073" s="4" t="s">
        <v>27787</v>
      </c>
      <c r="B22073" s="4" t="s">
        <v>27788</v>
      </c>
      <c r="C22073" s="5" t="str">
        <f>IFERROR(__xludf.DUMMYFUNCTION("GOOGLETRANSLATE(B22073,""en"",""es-ES"")"),"Se ve a una persona colocando sus manos en un fregadero lleno de agua sucia y presionando su cara contra el agua.")</f>
        <v>Se ve a una persona colocando sus manos en un fregadero lleno de agua sucia y presionando su cara contra el agua.</v>
      </c>
    </row>
    <row r="22074">
      <c r="A22074" s="4" t="s">
        <v>27787</v>
      </c>
      <c r="B22074" s="4" t="s">
        <v>27789</v>
      </c>
      <c r="C22074" s="5" t="str">
        <f>IFERROR(__xludf.DUMMYFUNCTION("GOOGLETRANSLATE(B22074,""en"",""es-ES"")"),"El hombre continúa limpiando el barro de su rostro mientras el barro gota hacia el fregadero.")</f>
        <v>El hombre continúa limpiando el barro de su rostro mientras el barro gota hacia el fregadero.</v>
      </c>
    </row>
    <row r="22075">
      <c r="A22075" s="4" t="s">
        <v>27790</v>
      </c>
      <c r="B22075" s="4" t="s">
        <v>27791</v>
      </c>
      <c r="C22075" s="5" t="str">
        <f>IFERROR(__xludf.DUMMYFUNCTION("GOOGLETRANSLATE(B22075,""en"",""es-ES"")"),"Elmo de Sesame Street presenta cómo cepillar los dientes junto con el cantante Bruno Mars.")</f>
        <v>Elmo de Sesame Street presenta cómo cepillar los dientes junto con el cantante Bruno Mars.</v>
      </c>
    </row>
    <row r="22076">
      <c r="A22076" s="4" t="s">
        <v>27790</v>
      </c>
      <c r="B22076" s="4" t="s">
        <v>27792</v>
      </c>
      <c r="C22076" s="5" t="str">
        <f>IFERROR(__xludf.DUMMYFUNCTION("GOOGLETRANSLATE(B22076,""en"",""es-ES"")"),"Elmo saca un cepillo de dientes y comienza a bailar mientras Bruno Mars aparece cepillando los dientes en el espejo.")</f>
        <v>Elmo saca un cepillo de dientes y comienza a bailar mientras Bruno Mars aparece cepillando los dientes en el espejo.</v>
      </c>
    </row>
    <row r="22077">
      <c r="A22077" s="4" t="s">
        <v>27790</v>
      </c>
      <c r="B22077" s="4" t="s">
        <v>27793</v>
      </c>
      <c r="C22077" s="5" t="str">
        <f>IFERROR(__xludf.DUMMYFUNCTION("GOOGLETRANSLATE(B22077,""en"",""es-ES"")"),"Elmo está cantando mientras Bruno Mars continúa cepillándose los dientes y las luces multicolores en el parpadeo del espejo.")</f>
        <v>Elmo está cantando mientras Bruno Mars continúa cepillándose los dientes y las luces multicolores en el parpadeo del espejo.</v>
      </c>
    </row>
    <row r="22078">
      <c r="A22078" s="4" t="s">
        <v>27790</v>
      </c>
      <c r="B22078" s="4" t="s">
        <v>27794</v>
      </c>
      <c r="C22078" s="5" t="str">
        <f>IFERROR(__xludf.DUMMYFUNCTION("GOOGLETRANSLATE(B22078,""en"",""es-ES"")"),"Elmo y Bruno Mars continúan bailando mientras enseñan a los niños pequeños la importancia de cepillarse los dientes.")</f>
        <v>Elmo y Bruno Mars continúan bailando mientras enseñan a los niños pequeños la importancia de cepillarse los dientes.</v>
      </c>
    </row>
    <row r="22079">
      <c r="A22079" s="4" t="s">
        <v>27795</v>
      </c>
      <c r="B22079" s="4" t="s">
        <v>27796</v>
      </c>
      <c r="C22079" s="5" t="str">
        <f>IFERROR(__xludf.DUMMYFUNCTION("GOOGLETRANSLATE(B22079,""en"",""es-ES"")"),"Se ve a una pequeña niña de pie con las manos en las caderas y entre saltar por un contorno escocés de lúpulo.")</f>
        <v>Se ve a una pequeña niña de pie con las manos en las caderas y entre saltar por un contorno escocés de lúpulo.</v>
      </c>
    </row>
    <row r="22080">
      <c r="A22080" s="4" t="s">
        <v>27795</v>
      </c>
      <c r="B22080" s="4" t="s">
        <v>27797</v>
      </c>
      <c r="C22080" s="5" t="str">
        <f>IFERROR(__xludf.DUMMYFUNCTION("GOOGLETRANSLATE(B22080,""en"",""es-ES"")"),"Ella salta hacia abajo y habla con la cámara al final.")</f>
        <v>Ella salta hacia abajo y habla con la cámara al final.</v>
      </c>
    </row>
    <row r="22081">
      <c r="A22081" s="4" t="s">
        <v>27798</v>
      </c>
      <c r="B22081" s="4" t="s">
        <v>27799</v>
      </c>
      <c r="C22081" s="5" t="str">
        <f>IFERROR(__xludf.DUMMYFUNCTION("GOOGLETRANSLATE(B22081,""en"",""es-ES"")"),"Dos equipos en caballos viajan en un campo.")</f>
        <v>Dos equipos en caballos viajan en un campo.</v>
      </c>
    </row>
    <row r="22082">
      <c r="A22082" s="4" t="s">
        <v>27798</v>
      </c>
      <c r="B22082" s="4" t="s">
        <v>27800</v>
      </c>
      <c r="C22082" s="5" t="str">
        <f>IFERROR(__xludf.DUMMYFUNCTION("GOOGLETRANSLATE(B22082,""en"",""es-ES"")"),"Usando murciélagos de cricket golpearon una pelota de un lado a otro.")</f>
        <v>Usando murciélagos de cricket golpearon una pelota de un lado a otro.</v>
      </c>
    </row>
    <row r="22083">
      <c r="A22083" s="4" t="s">
        <v>27798</v>
      </c>
      <c r="B22083" s="4" t="s">
        <v>27801</v>
      </c>
      <c r="C22083" s="5" t="str">
        <f>IFERROR(__xludf.DUMMYFUNCTION("GOOGLETRANSLATE(B22083,""en"",""es-ES"")"),"Un equipo finalmente hace un gol.")</f>
        <v>Un equipo finalmente hace un gol.</v>
      </c>
    </row>
    <row r="22084">
      <c r="A22084" s="4" t="s">
        <v>27798</v>
      </c>
      <c r="B22084" s="4" t="s">
        <v>27802</v>
      </c>
      <c r="C22084" s="5" t="str">
        <f>IFERROR(__xludf.DUMMYFUNCTION("GOOGLETRANSLATE(B22084,""en"",""es-ES"")"),"El equipo de anotación luego cabalga en la victoria.")</f>
        <v>El equipo de anotación luego cabalga en la victoria.</v>
      </c>
    </row>
    <row r="22085">
      <c r="A22085" s="4" t="s">
        <v>27803</v>
      </c>
      <c r="B22085" s="4" t="s">
        <v>27804</v>
      </c>
      <c r="C22085" s="5" t="str">
        <f>IFERROR(__xludf.DUMMYFUNCTION("GOOGLETRANSLATE(B22085,""en"",""es-ES"")"),"Un hombre apunta a algunos productos para el uso de esquís de depilación.")</f>
        <v>Un hombre apunta a algunos productos para el uso de esquís de depilación.</v>
      </c>
    </row>
    <row r="22086">
      <c r="A22086" s="4" t="s">
        <v>27803</v>
      </c>
      <c r="B22086" s="4" t="s">
        <v>27805</v>
      </c>
      <c r="C22086" s="5" t="str">
        <f>IFERROR(__xludf.DUMMYFUNCTION("GOOGLETRANSLATE(B22086,""en"",""es-ES"")"),"El hombre limpia el esquí con una toalla.")</f>
        <v>El hombre limpia el esquí con una toalla.</v>
      </c>
    </row>
    <row r="22087">
      <c r="A22087" s="4" t="s">
        <v>27803</v>
      </c>
      <c r="B22087" s="4" t="s">
        <v>27806</v>
      </c>
      <c r="C22087" s="5" t="str">
        <f>IFERROR(__xludf.DUMMYFUNCTION("GOOGLETRANSLATE(B22087,""en"",""es-ES"")"),"El hombre toma uno de los productos y lo frota por todo el esquí, dejando que el producto se sienta allí por un tiempo.")</f>
        <v>El hombre toma uno de los productos y lo frota por todo el esquí, dejando que el producto se sienta allí por un tiempo.</v>
      </c>
    </row>
    <row r="22088">
      <c r="A22088" s="4" t="s">
        <v>27803</v>
      </c>
      <c r="B22088" s="4" t="s">
        <v>27807</v>
      </c>
      <c r="C22088" s="5" t="str">
        <f>IFERROR(__xludf.DUMMYFUNCTION("GOOGLETRANSLATE(B22088,""en"",""es-ES"")"),"Después de pasar un tiempo, el hombre toma otro producto y lo frota por todo el esquí.")</f>
        <v>Después de pasar un tiempo, el hombre toma otro producto y lo frota por todo el esquí.</v>
      </c>
    </row>
    <row r="22089">
      <c r="A22089" s="4" t="s">
        <v>27808</v>
      </c>
      <c r="B22089" s="4" t="s">
        <v>27809</v>
      </c>
      <c r="C22089" s="5" t="str">
        <f>IFERROR(__xludf.DUMMYFUNCTION("GOOGLETRANSLATE(B22089,""en"",""es-ES"")"),"Una mujer pone una varilla en una base.")</f>
        <v>Una mujer pone una varilla en una base.</v>
      </c>
    </row>
    <row r="22090">
      <c r="A22090" s="4" t="s">
        <v>27808</v>
      </c>
      <c r="B22090" s="4" t="s">
        <v>27810</v>
      </c>
      <c r="C22090" s="5" t="str">
        <f>IFERROR(__xludf.DUMMYFUNCTION("GOOGLETRANSLATE(B22090,""en"",""es-ES"")"),"Luego pone una falda sobre la caña en el suelo.")</f>
        <v>Luego pone una falda sobre la caña en el suelo.</v>
      </c>
    </row>
    <row r="22091">
      <c r="A22091" s="4" t="s">
        <v>27808</v>
      </c>
      <c r="B22091" s="4" t="s">
        <v>27811</v>
      </c>
      <c r="C22091" s="5" t="str">
        <f>IFERROR(__xludf.DUMMYFUNCTION("GOOGLETRANSLATE(B22091,""en"",""es-ES"")"),"Ella pone un falso árbol de Navidad en la barra.")</f>
        <v>Ella pone un falso árbol de Navidad en la barra.</v>
      </c>
    </row>
    <row r="22092">
      <c r="A22092" s="4" t="s">
        <v>27808</v>
      </c>
      <c r="B22092" s="4" t="s">
        <v>27812</v>
      </c>
      <c r="C22092" s="5" t="str">
        <f>IFERROR(__xludf.DUMMYFUNCTION("GOOGLETRANSLATE(B22092,""en"",""es-ES"")"),"Se muestra un primer plano del arco del árbol de Navidad.")</f>
        <v>Se muestra un primer plano del arco del árbol de Navidad.</v>
      </c>
    </row>
    <row r="22093">
      <c r="A22093" s="4" t="s">
        <v>27808</v>
      </c>
      <c r="B22093" s="4" t="s">
        <v>27813</v>
      </c>
      <c r="C22093" s="5" t="str">
        <f>IFERROR(__xludf.DUMMYFUNCTION("GOOGLETRANSLATE(B22093,""en"",""es-ES"")"),"Ella arregla el arco en el árbol.")</f>
        <v>Ella arregla el arco en el árbol.</v>
      </c>
    </row>
    <row r="22094">
      <c r="A22094" s="4" t="s">
        <v>27814</v>
      </c>
      <c r="B22094" s="4" t="s">
        <v>27815</v>
      </c>
      <c r="C22094" s="5" t="str">
        <f>IFERROR(__xludf.DUMMYFUNCTION("GOOGLETRANSLATE(B22094,""en"",""es-ES"")"),"Se muestra una pared blanca en el interior de una habitación.")</f>
        <v>Se muestra una pared blanca en el interior de una habitación.</v>
      </c>
    </row>
    <row r="22095">
      <c r="A22095" s="4" t="s">
        <v>27814</v>
      </c>
      <c r="B22095" s="4" t="s">
        <v>27816</v>
      </c>
      <c r="C22095" s="5" t="str">
        <f>IFERROR(__xludf.DUMMYFUNCTION("GOOGLETRANSLATE(B22095,""en"",""es-ES"")"),"Una mano que sostiene un partido iluminado enciende una vela.")</f>
        <v>Una mano que sostiene un partido iluminado enciende una vela.</v>
      </c>
    </row>
    <row r="22096">
      <c r="A22096" s="4" t="s">
        <v>27814</v>
      </c>
      <c r="B22096" s="4" t="s">
        <v>27817</v>
      </c>
      <c r="C22096" s="5" t="str">
        <f>IFERROR(__xludf.DUMMYFUNCTION("GOOGLETRANSLATE(B22096,""en"",""es-ES"")"),"Un hombre coloca la vela junto a un fregadero y comienza a lavar los platos.")</f>
        <v>Un hombre coloca la vela junto a un fregadero y comienza a lavar los platos.</v>
      </c>
    </row>
    <row r="22097">
      <c r="A22097" s="4" t="s">
        <v>27818</v>
      </c>
      <c r="B22097" s="4" t="s">
        <v>27819</v>
      </c>
      <c r="C22097" s="5" t="str">
        <f>IFERROR(__xludf.DUMMYFUNCTION("GOOGLETRANSLATE(B22097,""en"",""es-ES"")"),"Se muestra un primer plano de personas que barren las personas que caminan por una arena.")</f>
        <v>Se muestra un primer plano de personas que barren las personas que caminan por una arena.</v>
      </c>
    </row>
    <row r="22098">
      <c r="A22098" s="4" t="s">
        <v>27818</v>
      </c>
      <c r="B22098" s="4" t="s">
        <v>27820</v>
      </c>
      <c r="C22098" s="5" t="str">
        <f>IFERROR(__xludf.DUMMYFUNCTION("GOOGLETRANSLATE(B22098,""en"",""es-ES"")"),"Dos luchadores se inclinan y caminan alrededor del pozo un poco seguidos de luchar unos a otros.")</f>
        <v>Dos luchadores se inclinan y caminan alrededor del pozo un poco seguidos de luchar unos a otros.</v>
      </c>
    </row>
    <row r="22099">
      <c r="A22099" s="4" t="s">
        <v>27818</v>
      </c>
      <c r="B22099" s="4" t="s">
        <v>27821</v>
      </c>
      <c r="C22099" s="5" t="str">
        <f>IFERROR(__xludf.DUMMYFUNCTION("GOOGLETRANSLATE(B22099,""en"",""es-ES"")"),"Un hombre arroja al otro y conduce a clips de la ciudad.")</f>
        <v>Un hombre arroja al otro y conduce a clips de la ciudad.</v>
      </c>
    </row>
    <row r="22100">
      <c r="A22100" s="4" t="s">
        <v>27822</v>
      </c>
      <c r="B22100" s="4" t="s">
        <v>27823</v>
      </c>
      <c r="C22100" s="5" t="str">
        <f>IFERROR(__xludf.DUMMYFUNCTION("GOOGLETRANSLATE(B22100,""en"",""es-ES"")"),"Se ve a una persona montando un trineo cuesta abajo seguido de varias personas que suben por la colina y se deslizan nuevamente hacia abajo.")</f>
        <v>Se ve a una persona montando un trineo cuesta abajo seguido de varias personas que suben por la colina y se deslizan nuevamente hacia abajo.</v>
      </c>
    </row>
    <row r="22101">
      <c r="A22101" s="4" t="s">
        <v>27822</v>
      </c>
      <c r="B22101" s="4" t="s">
        <v>27824</v>
      </c>
      <c r="C22101" s="5" t="str">
        <f>IFERROR(__xludf.DUMMYFUNCTION("GOOGLETRANSLATE(B22101,""en"",""es-ES"")"),"Un adulto y un niño bajan mientras la persona saca al niño del trineo seguido de más personas que montan y caminan nuevamente.")</f>
        <v>Un adulto y un niño bajan mientras la persona saca al niño del trineo seguido de más personas que montan y caminan nuevamente.</v>
      </c>
    </row>
    <row r="22102">
      <c r="A22102" s="4" t="s">
        <v>27825</v>
      </c>
      <c r="B22102" s="4" t="s">
        <v>27826</v>
      </c>
      <c r="C22102" s="5" t="str">
        <f>IFERROR(__xludf.DUMMYFUNCTION("GOOGLETRANSLATE(B22102,""en"",""es-ES"")"),"Un niño pequeño se pinta los labios con un lápiz labial.")</f>
        <v>Un niño pequeño se pinta los labios con un lápiz labial.</v>
      </c>
    </row>
    <row r="22103">
      <c r="A22103" s="4" t="s">
        <v>27825</v>
      </c>
      <c r="B22103" s="4" t="s">
        <v>27827</v>
      </c>
      <c r="C22103" s="5" t="str">
        <f>IFERROR(__xludf.DUMMYFUNCTION("GOOGLETRANSLATE(B22103,""en"",""es-ES"")"),"Luego, el niño pequeño aplica a sus párpados en el frente un espejo azul.")</f>
        <v>Luego, el niño pequeño aplica a sus párpados en el frente un espejo azul.</v>
      </c>
    </row>
    <row r="22104">
      <c r="A22104" s="4" t="s">
        <v>27825</v>
      </c>
      <c r="B22104" s="4" t="s">
        <v>27828</v>
      </c>
      <c r="C22104" s="5" t="str">
        <f>IFERROR(__xludf.DUMMYFUNCTION("GOOGLETRANSLATE(B22104,""en"",""es-ES"")"),"A continuación, el Toddle toma más maquillaje de una paleta para continuar aplicándose a sus párpados.")</f>
        <v>A continuación, el Toddle toma más maquillaje de una paleta para continuar aplicándose a sus párpados.</v>
      </c>
    </row>
    <row r="22105">
      <c r="A22105" s="4" t="s">
        <v>27829</v>
      </c>
      <c r="B22105" s="4" t="s">
        <v>27830</v>
      </c>
      <c r="C22105" s="5" t="str">
        <f>IFERROR(__xludf.DUMMYFUNCTION("GOOGLETRANSLATE(B22105,""en"",""es-ES"")"),"Un hombre está cruzando una línea floja.")</f>
        <v>Un hombre está cruzando una línea floja.</v>
      </c>
    </row>
    <row r="22106">
      <c r="A22106" s="4" t="s">
        <v>27829</v>
      </c>
      <c r="B22106" s="4" t="s">
        <v>27831</v>
      </c>
      <c r="C22106" s="5" t="str">
        <f>IFERROR(__xludf.DUMMYFUNCTION("GOOGLETRANSLATE(B22106,""en"",""es-ES"")"),"Él pone algo en la cajuela de un automóvil.")</f>
        <v>Él pone algo en la cajuela de un automóvil.</v>
      </c>
    </row>
    <row r="22107">
      <c r="A22107" s="4" t="s">
        <v>27829</v>
      </c>
      <c r="B22107" s="4" t="s">
        <v>27832</v>
      </c>
      <c r="C22107" s="5" t="str">
        <f>IFERROR(__xludf.DUMMYFUNCTION("GOOGLETRANSLATE(B22107,""en"",""es-ES"")"),"Él cruza la línea de holgura al otro lado.")</f>
        <v>Él cruza la línea de holgura al otro lado.</v>
      </c>
    </row>
    <row r="22108">
      <c r="A22108" s="4" t="s">
        <v>27833</v>
      </c>
      <c r="B22108" s="4" t="s">
        <v>27834</v>
      </c>
      <c r="C22108" s="5" t="str">
        <f>IFERROR(__xludf.DUMMYFUNCTION("GOOGLETRANSLATE(B22108,""en"",""es-ES"")"),"Se ve un primer plano de un cortacésped con los zapatos de una persona caminando.")</f>
        <v>Se ve un primer plano de un cortacésped con los zapatos de una persona caminando.</v>
      </c>
    </row>
    <row r="22109">
      <c r="A22109" s="4" t="s">
        <v>27833</v>
      </c>
      <c r="B22109" s="4" t="s">
        <v>27835</v>
      </c>
      <c r="C22109" s="5" t="str">
        <f>IFERROR(__xludf.DUMMYFUNCTION("GOOGLETRANSLATE(B22109,""en"",""es-ES"")"),"Una cámara sale de un agujero de tierra y muestra a un hombre colocándolo junto a un árbol.")</f>
        <v>Una cámara sale de un agujero de tierra y muestra a un hombre colocándolo junto a un árbol.</v>
      </c>
    </row>
    <row r="22110">
      <c r="A22110" s="4" t="s">
        <v>27833</v>
      </c>
      <c r="B22110" s="4" t="s">
        <v>27836</v>
      </c>
      <c r="C22110" s="5" t="str">
        <f>IFERROR(__xludf.DUMMYFUNCTION("GOOGLETRANSLATE(B22110,""en"",""es-ES"")"),"La cámara se mueve alrededor del árbol y muestra al hombre revisando la tierra.")</f>
        <v>La cámara se mueve alrededor del árbol y muestra al hombre revisando la tierra.</v>
      </c>
    </row>
    <row r="22111">
      <c r="A22111" s="4" t="s">
        <v>27837</v>
      </c>
      <c r="B22111" s="4" t="s">
        <v>27838</v>
      </c>
      <c r="C22111" s="5" t="str">
        <f>IFERROR(__xludf.DUMMYFUNCTION("GOOGLETRANSLATE(B22111,""en"",""es-ES"")"),"Un hombre sentado en un kayak que se empujaba alrededor de agua girando usando sus paletas para su apoyo.")</f>
        <v>Un hombre sentado en un kayak que se empujaba alrededor de agua girando usando sus paletas para su apoyo.</v>
      </c>
    </row>
    <row r="22112">
      <c r="A22112" s="4" t="s">
        <v>27837</v>
      </c>
      <c r="B22112" s="4" t="s">
        <v>27839</v>
      </c>
      <c r="C22112" s="5" t="str">
        <f>IFERROR(__xludf.DUMMYFUNCTION("GOOGLETRANSLATE(B22112,""en"",""es-ES"")"),"El hombre voltea varias veces en el agua que intenta liberarse y finalmente lo hace.")</f>
        <v>El hombre voltea varias veces en el agua que intenta liberarse y finalmente lo hace.</v>
      </c>
    </row>
    <row r="22113">
      <c r="A22113" s="4" t="s">
        <v>27840</v>
      </c>
      <c r="B22113" s="4" t="s">
        <v>27841</v>
      </c>
      <c r="C22113" s="5" t="str">
        <f>IFERROR(__xludf.DUMMYFUNCTION("GOOGLETRANSLATE(B22113,""en"",""es-ES"")"),"Un hombre está hablando en la cámara, mientras que otro hombre con bufanda está detrás de él, luego entraron en el edificio y se sentaron en dos sofás, una mujer vino a darles agua.")</f>
        <v>Un hombre está hablando en la cámara, mientras que otro hombre con bufanda está detrás de él, luego entraron en el edificio y se sentaron en dos sofás, una mujer vino a darles agua.</v>
      </c>
    </row>
    <row r="22114">
      <c r="A22114" s="4" t="s">
        <v>27840</v>
      </c>
      <c r="B22114" s="4" t="s">
        <v>27842</v>
      </c>
      <c r="C22114" s="5" t="str">
        <f>IFERROR(__xludf.DUMMYFUNCTION("GOOGLETRANSLATE(B22114,""en"",""es-ES"")"),"El hombre de suéter revisó su teléfono y luego consiguió dos raquetas en la bolsa, le entregó una al tipo, el tipo de pie rebotó la pelota en la raqueta.")</f>
        <v>El hombre de suéter revisó su teléfono y luego consiguió dos raquetas en la bolsa, le entregó una al tipo, el tipo de pie rebotó la pelota en la raqueta.</v>
      </c>
    </row>
    <row r="22115">
      <c r="A22115" s="4" t="s">
        <v>27840</v>
      </c>
      <c r="B22115" s="4" t="s">
        <v>27843</v>
      </c>
      <c r="C22115" s="5" t="str">
        <f>IFERROR(__xludf.DUMMYFUNCTION("GOOGLETRANSLATE(B22115,""en"",""es-ES"")"),"Los dos hombres comenzaron a jugar al tenis mientras están sentados.")</f>
        <v>Los dos hombres comenzaron a jugar al tenis mientras están sentados.</v>
      </c>
    </row>
    <row r="22116">
      <c r="A22116" s="4" t="s">
        <v>27840</v>
      </c>
      <c r="B22116" s="4" t="s">
        <v>27844</v>
      </c>
      <c r="C22116" s="5" t="str">
        <f>IFERROR(__xludf.DUMMYFUNCTION("GOOGLETRANSLATE(B22116,""en"",""es-ES"")"),"Luego movieron los sofás y comenzaron a jugar en la pared, luego jugaron en el área donde las personas donde trabajan.")</f>
        <v>Luego movieron los sofás y comenzaron a jugar en la pared, luego jugaron en el área donde las personas donde trabajan.</v>
      </c>
    </row>
    <row r="22117">
      <c r="A22117" s="4" t="s">
        <v>27840</v>
      </c>
      <c r="B22117" s="4" t="s">
        <v>27845</v>
      </c>
      <c r="C22117" s="5" t="str">
        <f>IFERROR(__xludf.DUMMYFUNCTION("GOOGLETRANSLATE(B22117,""en"",""es-ES"")"),"Un hombre calvo subió a las escaleras y fue a los dos hombres que jugaban tenis en la pared.")</f>
        <v>Un hombre calvo subió a las escaleras y fue a los dos hombres que jugaban tenis en la pared.</v>
      </c>
    </row>
    <row r="22118">
      <c r="A22118" s="4" t="s">
        <v>27846</v>
      </c>
      <c r="B22118" s="4" t="s">
        <v>27847</v>
      </c>
      <c r="C22118" s="5" t="str">
        <f>IFERROR(__xludf.DUMMYFUNCTION("GOOGLETRANSLATE(B22118,""en"",""es-ES"")"),"Se ve a una mujer trabajando con un hombre y lleva a ella hablando con la cámara.")</f>
        <v>Se ve a una mujer trabajando con un hombre y lleva a ella hablando con la cámara.</v>
      </c>
    </row>
    <row r="22119">
      <c r="A22119" s="4" t="s">
        <v>27846</v>
      </c>
      <c r="B22119" s="4" t="s">
        <v>27848</v>
      </c>
      <c r="C22119" s="5" t="str">
        <f>IFERROR(__xludf.DUMMYFUNCTION("GOOGLETRANSLATE(B22119,""en"",""es-ES"")"),"Luego retrocede y cuarto en un tablero moviendo las piernas y continuando hablando con la cámara.")</f>
        <v>Luego retrocede y cuarto en un tablero moviendo las piernas y continuando hablando con la cámara.</v>
      </c>
    </row>
    <row r="22120">
      <c r="A22120" s="4" t="s">
        <v>27846</v>
      </c>
      <c r="B22120" s="4" t="s">
        <v>27849</v>
      </c>
      <c r="C22120" s="5" t="str">
        <f>IFERROR(__xludf.DUMMYFUNCTION("GOOGLETRANSLATE(B22120,""en"",""es-ES"")"),"Luego salta alrededor de la cámara y morde y termina hablando con la cámara.")</f>
        <v>Luego salta alrededor de la cámara y morde y termina hablando con la cámara.</v>
      </c>
    </row>
    <row r="22121">
      <c r="A22121" s="4" t="s">
        <v>27850</v>
      </c>
      <c r="B22121" s="4" t="s">
        <v>27851</v>
      </c>
      <c r="C22121" s="5" t="str">
        <f>IFERROR(__xludf.DUMMYFUNCTION("GOOGLETRANSLATE(B22121,""en"",""es-ES"")"),"Una mujer que sopla besos a la cámara, luego inserta sus lentes de contacto.")</f>
        <v>Una mujer que sopla besos a la cámara, luego inserta sus lentes de contacto.</v>
      </c>
    </row>
    <row r="22122">
      <c r="A22122" s="4" t="s">
        <v>27850</v>
      </c>
      <c r="B22122" s="4" t="s">
        <v>27852</v>
      </c>
      <c r="C22122" s="5" t="str">
        <f>IFERROR(__xludf.DUMMYFUNCTION("GOOGLETRANSLATE(B22122,""en"",""es-ES"")"),"Ella comienza a poner la sombra de ojos en sus párpados y frotarlo.")</f>
        <v>Ella comienza a poner la sombra de ojos en sus párpados y frotarlo.</v>
      </c>
    </row>
    <row r="22123">
      <c r="A22123" s="4" t="s">
        <v>27850</v>
      </c>
      <c r="B22123" s="4" t="s">
        <v>27853</v>
      </c>
      <c r="C22123" s="5" t="str">
        <f>IFERROR(__xludf.DUMMYFUNCTION("GOOGLETRANSLATE(B22123,""en"",""es-ES"")"),"Agrega extensiones de pestañas en sus ojos.")</f>
        <v>Agrega extensiones de pestañas en sus ojos.</v>
      </c>
    </row>
    <row r="22124">
      <c r="A22124" s="4" t="s">
        <v>27850</v>
      </c>
      <c r="B22124" s="4" t="s">
        <v>27854</v>
      </c>
      <c r="C22124" s="5" t="str">
        <f>IFERROR(__xludf.DUMMYFUNCTION("GOOGLETRANSLATE(B22124,""en"",""es-ES"")"),"Luego, ella comienza a contornear toda su cara, poco a poco la acariciaba mientras avanza.")</f>
        <v>Luego, ella comienza a contornear toda su cara, poco a poco la acariciaba mientras avanza.</v>
      </c>
    </row>
    <row r="22125">
      <c r="A22125" s="4" t="s">
        <v>27855</v>
      </c>
      <c r="B22125" s="4" t="s">
        <v>27856</v>
      </c>
      <c r="C22125" s="5" t="str">
        <f>IFERROR(__xludf.DUMMYFUNCTION("GOOGLETRANSLATE(B22125,""en"",""es-ES"")"),"Un grupo de animadoras actúan haciendo una torre, luego las animadoras saltan.")</f>
        <v>Un grupo de animadoras actúan haciendo una torre, luego las animadoras saltan.</v>
      </c>
    </row>
    <row r="22126">
      <c r="A22126" s="4" t="s">
        <v>27855</v>
      </c>
      <c r="B22126" s="4" t="s">
        <v>27857</v>
      </c>
      <c r="C22126" s="5" t="str">
        <f>IFERROR(__xludf.DUMMYFUNCTION("GOOGLETRANSLATE(B22126,""en"",""es-ES"")"),"Después, las animadoras saltan, voltean y hace volteretas.")</f>
        <v>Después, las animadoras saltan, voltean y hace volteretas.</v>
      </c>
    </row>
    <row r="22127">
      <c r="A22127" s="4" t="s">
        <v>27855</v>
      </c>
      <c r="B22127" s="4" t="s">
        <v>27858</v>
      </c>
      <c r="C22127" s="5" t="str">
        <f>IFERROR(__xludf.DUMMYFUNCTION("GOOGLETRANSLATE(B22127,""en"",""es-ES"")"),"Luego, las animadoras forman torres humanas y bailan juntos.")</f>
        <v>Luego, las animadoras forman torres humanas y bailan juntos.</v>
      </c>
    </row>
    <row r="22128">
      <c r="A22128" s="4" t="s">
        <v>27859</v>
      </c>
      <c r="B22128" s="4" t="s">
        <v>27860</v>
      </c>
      <c r="C22128" s="5" t="str">
        <f>IFERROR(__xludf.DUMMYFUNCTION("GOOGLETRANSLATE(B22128,""en"",""es-ES"")"),"Una mujer está trabajando en una máquina elíptica.")</f>
        <v>Una mujer está trabajando en una máquina elíptica.</v>
      </c>
    </row>
    <row r="22129">
      <c r="A22129" s="4" t="s">
        <v>27859</v>
      </c>
      <c r="B22129" s="4" t="s">
        <v>27861</v>
      </c>
      <c r="C22129" s="5" t="str">
        <f>IFERROR(__xludf.DUMMYFUNCTION("GOOGLETRANSLATE(B22129,""en"",""es-ES"")"),"La mujer está sentada en un sofá con los talones.")</f>
        <v>La mujer está sentada en un sofá con los talones.</v>
      </c>
    </row>
    <row r="22130">
      <c r="A22130" s="4" t="s">
        <v>27859</v>
      </c>
      <c r="B22130" s="4" t="s">
        <v>27862</v>
      </c>
      <c r="C22130" s="5" t="str">
        <f>IFERROR(__xludf.DUMMYFUNCTION("GOOGLETRANSLATE(B22130,""en"",""es-ES"")"),"Ella continúa haciendo ejercicio en la máquina.")</f>
        <v>Ella continúa haciendo ejercicio en la máquina.</v>
      </c>
    </row>
    <row r="22131">
      <c r="A22131" s="4" t="s">
        <v>27863</v>
      </c>
      <c r="B22131" s="4" t="s">
        <v>27864</v>
      </c>
      <c r="C22131" s="5" t="str">
        <f>IFERROR(__xludf.DUMMYFUNCTION("GOOGLETRANSLATE(B22131,""en"",""es-ES"")"),"Una niña está sentada en la arena.")</f>
        <v>Una niña está sentada en la arena.</v>
      </c>
    </row>
    <row r="22132">
      <c r="A22132" s="4" t="s">
        <v>27863</v>
      </c>
      <c r="B22132" s="4" t="s">
        <v>27865</v>
      </c>
      <c r="C22132" s="5" t="str">
        <f>IFERROR(__xludf.DUMMYFUNCTION("GOOGLETRANSLATE(B22132,""en"",""es-ES"")"),"Ella está poniendo arena en un cubo azul frente a ella.")</f>
        <v>Ella está poniendo arena en un cubo azul frente a ella.</v>
      </c>
    </row>
    <row r="22133">
      <c r="A22133" s="4" t="s">
        <v>27863</v>
      </c>
      <c r="B22133" s="4" t="s">
        <v>27866</v>
      </c>
      <c r="C22133" s="5" t="str">
        <f>IFERROR(__xludf.DUMMYFUNCTION("GOOGLETRANSLATE(B22133,""en"",""es-ES"")"),"Dos personas caminan por la playa frente a ella.")</f>
        <v>Dos personas caminan por la playa frente a ella.</v>
      </c>
    </row>
    <row r="22134">
      <c r="A22134" s="4" t="s">
        <v>27867</v>
      </c>
      <c r="B22134" s="4" t="s">
        <v>27868</v>
      </c>
      <c r="C22134" s="5" t="str">
        <f>IFERROR(__xludf.DUMMYFUNCTION("GOOGLETRANSLATE(B22134,""en"",""es-ES"")"),"Un hombre entra en una habitación y pone su mano en una escalera mientras habla.")</f>
        <v>Un hombre entra en una habitación y pone su mano en una escalera mientras habla.</v>
      </c>
    </row>
    <row r="22135">
      <c r="A22135" s="4" t="s">
        <v>27867</v>
      </c>
      <c r="B22135" s="4" t="s">
        <v>27869</v>
      </c>
      <c r="C22135" s="5" t="str">
        <f>IFERROR(__xludf.DUMMYFUNCTION("GOOGLETRANSLATE(B22135,""en"",""es-ES"")"),"Vemos a un hombre que pone azulejos naranja en un piso.")</f>
        <v>Vemos a un hombre que pone azulejos naranja en un piso.</v>
      </c>
    </row>
    <row r="22136">
      <c r="A22136" s="4" t="s">
        <v>27867</v>
      </c>
      <c r="B22136" s="4" t="s">
        <v>27870</v>
      </c>
      <c r="C22136" s="5" t="str">
        <f>IFERROR(__xludf.DUMMYFUNCTION("GOOGLETRANSLATE(B22136,""en"",""es-ES"")"),"Vemos a un hombre manchado de una ducha.")</f>
        <v>Vemos a un hombre manchado de una ducha.</v>
      </c>
    </row>
    <row r="22137">
      <c r="A22137" s="4" t="s">
        <v>27867</v>
      </c>
      <c r="B22137" s="4" t="s">
        <v>27871</v>
      </c>
      <c r="C22137" s="5" t="str">
        <f>IFERROR(__xludf.DUMMYFUNCTION("GOOGLETRANSLATE(B22137,""en"",""es-ES"")"),"Vemos al hombre poniendo las baldosas en un piso nuevamente.")</f>
        <v>Vemos al hombre poniendo las baldosas en un piso nuevamente.</v>
      </c>
    </row>
    <row r="22138">
      <c r="A22138" s="4" t="s">
        <v>27867</v>
      </c>
      <c r="B22138" s="4" t="s">
        <v>27872</v>
      </c>
      <c r="C22138" s="5" t="str">
        <f>IFERROR(__xludf.DUMMYFUNCTION("GOOGLETRANSLATE(B22138,""en"",""es-ES"")"),"Regresamos al hombre que habla cerca de la escalera y aparece un sitio web en la pantalla.")</f>
        <v>Regresamos al hombre que habla cerca de la escalera y aparece un sitio web en la pantalla.</v>
      </c>
    </row>
    <row r="22139">
      <c r="A22139" s="4" t="s">
        <v>27873</v>
      </c>
      <c r="B22139" s="4" t="s">
        <v>27874</v>
      </c>
      <c r="C22139" s="5" t="str">
        <f>IFERROR(__xludf.DUMMYFUNCTION("GOOGLETRANSLATE(B22139,""en"",""es-ES"")"),"Un periodista en un traje está hablando.")</f>
        <v>Un periodista en un traje está hablando.</v>
      </c>
    </row>
    <row r="22140">
      <c r="A22140" s="4" t="s">
        <v>27873</v>
      </c>
      <c r="B22140" s="4" t="s">
        <v>27875</v>
      </c>
      <c r="C22140" s="5" t="str">
        <f>IFERROR(__xludf.DUMMYFUNCTION("GOOGLETRANSLATE(B22140,""en"",""es-ES"")"),"Las mujeres mayores están detrás de las máquinas de coser de costura.")</f>
        <v>Las mujeres mayores están detrás de las máquinas de coser de costura.</v>
      </c>
    </row>
    <row r="22141">
      <c r="A22141" s="4" t="s">
        <v>27876</v>
      </c>
      <c r="B22141" s="4" t="s">
        <v>27877</v>
      </c>
      <c r="C22141" s="5" t="str">
        <f>IFERROR(__xludf.DUMMYFUNCTION("GOOGLETRANSLATE(B22141,""en"",""es-ES"")"),"Algunas personas están sentadas al estilo indio con chaleco salvavidas al ver a un hombre dentro de un bote de flotador hablar.")</f>
        <v>Algunas personas están sentadas al estilo indio con chaleco salvavidas al ver a un hombre dentro de un bote de flotador hablar.</v>
      </c>
    </row>
    <row r="22142">
      <c r="A22142" s="4" t="s">
        <v>27876</v>
      </c>
      <c r="B22142" s="4" t="s">
        <v>27878</v>
      </c>
      <c r="C22142" s="5" t="str">
        <f>IFERROR(__xludf.DUMMYFUNCTION("GOOGLETRANSLATE(B22142,""en"",""es-ES"")"),"Consiguen el bote con paletas y algunos otros a su lado en un kayak.")</f>
        <v>Consiguen el bote con paletas y algunos otros a su lado en un kayak.</v>
      </c>
    </row>
    <row r="22143">
      <c r="A22143" s="4" t="s">
        <v>27876</v>
      </c>
      <c r="B22143" s="4" t="s">
        <v>27879</v>
      </c>
      <c r="C22143" s="5" t="str">
        <f>IFERROR(__xludf.DUMMYFUNCTION("GOOGLETRANSLATE(B22143,""en"",""es-ES"")"),"Usan la paleta para tratar de controlar el bote, pero son salpicados por el agua marrón.")</f>
        <v>Usan la paleta para tratar de controlar el bote, pero son salpicados por el agua marrón.</v>
      </c>
    </row>
    <row r="22144">
      <c r="A22144" s="4" t="s">
        <v>27876</v>
      </c>
      <c r="B22144" s="4" t="s">
        <v>27880</v>
      </c>
      <c r="C22144" s="5" t="str">
        <f>IFERROR(__xludf.DUMMYFUNCTION("GOOGLETRANSLATE(B22144,""en"",""es-ES"")"),"Viene otro pequeño bote y se toca con ellos, reman hasta que están a punto de llegar a la tierra.")</f>
        <v>Viene otro pequeño bote y se toca con ellos, reman hasta que están a punto de llegar a la tierra.</v>
      </c>
    </row>
    <row r="22145">
      <c r="A22145" s="4" t="s">
        <v>27881</v>
      </c>
      <c r="B22145" s="4" t="s">
        <v>27882</v>
      </c>
      <c r="C22145" s="5" t="str">
        <f>IFERROR(__xludf.DUMMYFUNCTION("GOOGLETRANSLATE(B22145,""en"",""es-ES"")"),"Se muestran dos galletas en un plato.")</f>
        <v>Se muestran dos galletas en un plato.</v>
      </c>
    </row>
    <row r="22146">
      <c r="A22146" s="4" t="s">
        <v>27881</v>
      </c>
      <c r="B22146" s="4" t="s">
        <v>27883</v>
      </c>
      <c r="C22146" s="5" t="str">
        <f>IFERROR(__xludf.DUMMYFUNCTION("GOOGLETRANSLATE(B22146,""en"",""es-ES"")"),"Los ingredientes se mezclan en un tazón uno a la vez, agregando huevos, azúcar y mantequilla.")</f>
        <v>Los ingredientes se mezclan en un tazón uno a la vez, agregando huevos, azúcar y mantequilla.</v>
      </c>
    </row>
    <row r="22147">
      <c r="A22147" s="4" t="s">
        <v>27881</v>
      </c>
      <c r="B22147" s="4" t="s">
        <v>27884</v>
      </c>
      <c r="C22147" s="5" t="str">
        <f>IFERROR(__xludf.DUMMYFUNCTION("GOOGLETRANSLATE(B22147,""en"",""es-ES"")"),"Las galletas se cortan de la masa.")</f>
        <v>Las galletas se cortan de la masa.</v>
      </c>
    </row>
    <row r="22148">
      <c r="A22148" s="4" t="s">
        <v>27881</v>
      </c>
      <c r="B22148" s="4" t="s">
        <v>27885</v>
      </c>
      <c r="C22148" s="5" t="str">
        <f>IFERROR(__xludf.DUMMYFUNCTION("GOOGLETRANSLATE(B22148,""en"",""es-ES"")"),"Luego se hornean y ensamblan.")</f>
        <v>Luego se hornean y ensamblan.</v>
      </c>
    </row>
    <row r="22149">
      <c r="A22149" s="4" t="s">
        <v>27886</v>
      </c>
      <c r="B22149" s="4" t="s">
        <v>27887</v>
      </c>
      <c r="C22149" s="5" t="str">
        <f>IFERROR(__xludf.DUMMYFUNCTION("GOOGLETRANSLATE(B22149,""en"",""es-ES"")"),"La gente está vestida jugando a Ping Pong.")</f>
        <v>La gente está vestida jugando a Ping Pong.</v>
      </c>
    </row>
    <row r="22150">
      <c r="A22150" s="4" t="s">
        <v>27886</v>
      </c>
      <c r="B22150" s="4" t="s">
        <v>27888</v>
      </c>
      <c r="C22150" s="5" t="str">
        <f>IFERROR(__xludf.DUMMYFUNCTION("GOOGLETRANSLATE(B22150,""en"",""es-ES"")"),"La gente está parada al lado de la mesa mirando.")</f>
        <v>La gente está parada al lado de la mesa mirando.</v>
      </c>
    </row>
    <row r="22151">
      <c r="A22151" s="4" t="s">
        <v>27886</v>
      </c>
      <c r="B22151" s="4" t="s">
        <v>27889</v>
      </c>
      <c r="C22151" s="5" t="str">
        <f>IFERROR(__xludf.DUMMYFUNCTION("GOOGLETRANSLATE(B22151,""en"",""es-ES"")"),"Continúan jugando y dos de los hombres de los hombres.")</f>
        <v>Continúan jugando y dos de los hombres de los hombres.</v>
      </c>
    </row>
    <row r="22152">
      <c r="A22152" s="4" t="s">
        <v>27890</v>
      </c>
      <c r="B22152" s="4" t="s">
        <v>27891</v>
      </c>
      <c r="C22152" s="5" t="str">
        <f>IFERROR(__xludf.DUMMYFUNCTION("GOOGLETRANSLATE(B22152,""en"",""es-ES"")"),"Se ve a una persona cabalgando en una bicicleta por una calle con un perro atado a su lado.")</f>
        <v>Se ve a una persona cabalgando en una bicicleta por una calle con un perro atado a su lado.</v>
      </c>
    </row>
    <row r="22153">
      <c r="A22153" s="4" t="s">
        <v>27890</v>
      </c>
      <c r="B22153" s="4" t="s">
        <v>27892</v>
      </c>
      <c r="C22153" s="5" t="str">
        <f>IFERROR(__xludf.DUMMYFUNCTION("GOOGLETRANSLATE(B22153,""en"",""es-ES"")"),"La cámara se muestra en varios ángulos, el hombre montando la bicicleta con el perro.")</f>
        <v>La cámara se muestra en varios ángulos, el hombre montando la bicicleta con el perro.</v>
      </c>
    </row>
    <row r="22154">
      <c r="A22154" s="4" t="s">
        <v>27890</v>
      </c>
      <c r="B22154" s="4" t="s">
        <v>27893</v>
      </c>
      <c r="C22154" s="5" t="str">
        <f>IFERROR(__xludf.DUMMYFUNCTION("GOOGLETRANSLATE(B22154,""en"",""es-ES"")"),"El hombre continúa paseando con el perro.")</f>
        <v>El hombre continúa paseando con el perro.</v>
      </c>
    </row>
    <row r="22155">
      <c r="A22155" s="4" t="s">
        <v>27894</v>
      </c>
      <c r="B22155" s="4" t="s">
        <v>27895</v>
      </c>
      <c r="C22155" s="5" t="str">
        <f>IFERROR(__xludf.DUMMYFUNCTION("GOOGLETRANSLATE(B22155,""en"",""es-ES"")"),"Un hombre con un silbato contiene el centro de la cuerda.")</f>
        <v>Un hombre con un silbato contiene el centro de la cuerda.</v>
      </c>
    </row>
    <row r="22156">
      <c r="A22156" s="4" t="s">
        <v>27894</v>
      </c>
      <c r="B22156" s="4" t="s">
        <v>27896</v>
      </c>
      <c r="C22156" s="5" t="str">
        <f>IFERROR(__xludf.DUMMYFUNCTION("GOOGLETRANSLATE(B22156,""en"",""es-ES"")"),"Dos hombres están en cada extremo de la cuerda tirando en su propia dirección sobre el barro.")</f>
        <v>Dos hombres están en cada extremo de la cuerda tirando en su propia dirección sobre el barro.</v>
      </c>
    </row>
    <row r="22157">
      <c r="A22157" s="4" t="s">
        <v>27894</v>
      </c>
      <c r="B22157" s="4" t="s">
        <v>27897</v>
      </c>
      <c r="C22157" s="5" t="str">
        <f>IFERROR(__xludf.DUMMYFUNCTION("GOOGLETRANSLATE(B22157,""en"",""es-ES"")"),"La cuerda roja se inclina hacia el hombre de azul mientras casi se sienta en el suelo.")</f>
        <v>La cuerda roja se inclina hacia el hombre de azul mientras casi se sienta en el suelo.</v>
      </c>
    </row>
    <row r="22158">
      <c r="A22158" s="4" t="s">
        <v>27894</v>
      </c>
      <c r="B22158" s="4" t="s">
        <v>27898</v>
      </c>
      <c r="C22158" s="5" t="str">
        <f>IFERROR(__xludf.DUMMYFUNCTION("GOOGLETRANSLATE(B22158,""en"",""es-ES"")"),"El árbitro está en su rodilla observando.")</f>
        <v>El árbitro está en su rodilla observando.</v>
      </c>
    </row>
    <row r="22159">
      <c r="A22159" s="4" t="s">
        <v>27894</v>
      </c>
      <c r="B22159" s="4" t="s">
        <v>27899</v>
      </c>
      <c r="C22159" s="5" t="str">
        <f>IFERROR(__xludf.DUMMYFUNCTION("GOOGLETRANSLATE(B22159,""en"",""es-ES"")"),"El competidor está respirando cortos mientras mira.")</f>
        <v>El competidor está respirando cortos mientras mira.</v>
      </c>
    </row>
    <row r="22160">
      <c r="A22160" s="4" t="s">
        <v>27894</v>
      </c>
      <c r="B22160" s="4" t="s">
        <v>27900</v>
      </c>
      <c r="C22160" s="5" t="str">
        <f>IFERROR(__xludf.DUMMYFUNCTION("GOOGLETRANSLATE(B22160,""en"",""es-ES"")"),"Un hombre con barba da un guiño y sonríe.")</f>
        <v>Un hombre con barba da un guiño y sonríe.</v>
      </c>
    </row>
    <row r="22161">
      <c r="A22161" s="4" t="s">
        <v>27894</v>
      </c>
      <c r="B22161" s="4" t="s">
        <v>27901</v>
      </c>
      <c r="C22161" s="5" t="str">
        <f>IFERROR(__xludf.DUMMYFUNCTION("GOOGLETRANSLATE(B22161,""en"",""es-ES"")"),"Cada hombre continúa tirando mientras se recostan en el barro.")</f>
        <v>Cada hombre continúa tirando mientras se recostan en el barro.</v>
      </c>
    </row>
    <row r="22162">
      <c r="A22162" s="4" t="s">
        <v>27894</v>
      </c>
      <c r="B22162" s="4" t="s">
        <v>27902</v>
      </c>
      <c r="C22162" s="5" t="str">
        <f>IFERROR(__xludf.DUMMYFUNCTION("GOOGLETRANSLATE(B22162,""en"",""es-ES"")"),"Muestra que han pasado 6 minutos mientras continúan tirando.")</f>
        <v>Muestra que han pasado 6 minutos mientras continúan tirando.</v>
      </c>
    </row>
    <row r="22163">
      <c r="A22163" s="4" t="s">
        <v>27894</v>
      </c>
      <c r="B22163" s="4" t="s">
        <v>27903</v>
      </c>
      <c r="C22163" s="5" t="str">
        <f>IFERROR(__xludf.DUMMYFUNCTION("GOOGLETRANSLATE(B22163,""en"",""es-ES"")"),"Muestra 8 minutos y han pasado 30 segundos.")</f>
        <v>Muestra 8 minutos y han pasado 30 segundos.</v>
      </c>
    </row>
    <row r="22164">
      <c r="A22164" s="4" t="s">
        <v>27894</v>
      </c>
      <c r="B22164" s="4" t="s">
        <v>27904</v>
      </c>
      <c r="C22164" s="5" t="str">
        <f>IFERROR(__xludf.DUMMYFUNCTION("GOOGLETRANSLATE(B22164,""en"",""es-ES"")"),"El hombre de rojo se levanta y corre hacia atrás tirando al otro hombre a través de la línea.")</f>
        <v>El hombre de rojo se levanta y corre hacia atrás tirando al otro hombre a través de la línea.</v>
      </c>
    </row>
    <row r="22165">
      <c r="A22165" s="4" t="s">
        <v>27894</v>
      </c>
      <c r="B22165" s="4" t="s">
        <v>27905</v>
      </c>
      <c r="C22165" s="5" t="str">
        <f>IFERROR(__xludf.DUMMYFUNCTION("GOOGLETRANSLATE(B22165,""en"",""es-ES"")"),"Los dos hombres se dan la mano y se abrazan y se alejan.")</f>
        <v>Los dos hombres se dan la mano y se abrazan y se alejan.</v>
      </c>
    </row>
    <row r="22166">
      <c r="A22166" s="4" t="s">
        <v>27894</v>
      </c>
      <c r="B22166" s="4" t="s">
        <v>27906</v>
      </c>
      <c r="C22166" s="5" t="str">
        <f>IFERROR(__xludf.DUMMYFUNCTION("GOOGLETRANSLATE(B22166,""en"",""es-ES"")"),"El hombre de azul pone sus brazos alrededor de dos hombres y se aleja.")</f>
        <v>El hombre de azul pone sus brazos alrededor de dos hombres y se aleja.</v>
      </c>
    </row>
    <row r="22167">
      <c r="A22167" s="4" t="s">
        <v>27907</v>
      </c>
      <c r="B22167" s="4" t="s">
        <v>27908</v>
      </c>
      <c r="C22167" s="5" t="str">
        <f>IFERROR(__xludf.DUMMYFUNCTION("GOOGLETRANSLATE(B22167,""en"",""es-ES"")"),"La gente está parada en una colina de nieve.")</f>
        <v>La gente está parada en una colina de nieve.</v>
      </c>
    </row>
    <row r="22168">
      <c r="A22168" s="4" t="s">
        <v>27907</v>
      </c>
      <c r="B22168" s="4" t="s">
        <v>4423</v>
      </c>
      <c r="C22168" s="5" t="str">
        <f>IFERROR(__xludf.DUMMYFUNCTION("GOOGLETRANSLATE(B22168,""en"",""es-ES"")"),"La gente está haciendo snowboard cuesta abajo por una colina de nieve.")</f>
        <v>La gente está haciendo snowboard cuesta abajo por una colina de nieve.</v>
      </c>
    </row>
    <row r="22169">
      <c r="A22169" s="4" t="s">
        <v>27907</v>
      </c>
      <c r="B22169" s="4" t="s">
        <v>27909</v>
      </c>
      <c r="C22169" s="5" t="str">
        <f>IFERROR(__xludf.DUMMYFUNCTION("GOOGLETRANSLATE(B22169,""en"",""es-ES"")"),"La gente está esquiando por una colina.")</f>
        <v>La gente está esquiando por una colina.</v>
      </c>
    </row>
    <row r="22170">
      <c r="A22170" s="4" t="s">
        <v>27907</v>
      </c>
      <c r="B22170" s="4" t="s">
        <v>27910</v>
      </c>
      <c r="C22170" s="5" t="str">
        <f>IFERROR(__xludf.DUMMYFUNCTION("GOOGLETRANSLATE(B22170,""en"",""es-ES"")"),"Los esquiadores se detienen en la parte inferior y hablan.")</f>
        <v>Los esquiadores se detienen en la parte inferior y hablan.</v>
      </c>
    </row>
    <row r="22171">
      <c r="A22171" s="4" t="s">
        <v>27911</v>
      </c>
      <c r="B22171" s="4" t="s">
        <v>27912</v>
      </c>
      <c r="C22171" s="5" t="str">
        <f>IFERROR(__xludf.DUMMYFUNCTION("GOOGLETRANSLATE(B22171,""en"",""es-ES"")"),"Un grupo de hombres es tirado de un hot dog inflable que hace un giro rápido, lo que hace que caigan.")</f>
        <v>Un grupo de hombres es tirado de un hot dog inflable que hace un giro rápido, lo que hace que caigan.</v>
      </c>
    </row>
    <row r="22172">
      <c r="A22172" s="4" t="s">
        <v>27911</v>
      </c>
      <c r="B22172" s="4" t="s">
        <v>27913</v>
      </c>
      <c r="C22172" s="5" t="str">
        <f>IFERROR(__xludf.DUMMYFUNCTION("GOOGLETRANSLATE(B22172,""en"",""es-ES"")"),"Las personas en esquís acuáticos y tubos interscitan accidentes cómicos mientras se lo empujan en el agua.")</f>
        <v>Las personas en esquís acuáticos y tubos interscitan accidentes cómicos mientras se lo empujan en el agua.</v>
      </c>
    </row>
    <row r="22173">
      <c r="A22173" s="4" t="s">
        <v>27911</v>
      </c>
      <c r="B22173" s="4" t="s">
        <v>27914</v>
      </c>
      <c r="C22173" s="5" t="str">
        <f>IFERROR(__xludf.DUMMYFUNCTION("GOOGLETRANSLATE(B22173,""en"",""es-ES"")"),"Un niño en esquís sostiene una cuerda de remolcador en un muelle y es tirado sobre el agua.")</f>
        <v>Un niño en esquís sostiene una cuerda de remolcador en un muelle y es tirado sobre el agua.</v>
      </c>
    </row>
    <row r="22174">
      <c r="A22174" s="4" t="s">
        <v>27911</v>
      </c>
      <c r="B22174" s="4" t="s">
        <v>27915</v>
      </c>
      <c r="C22174" s="5" t="str">
        <f>IFERROR(__xludf.DUMMYFUNCTION("GOOGLETRANSLATE(B22174,""en"",""es-ES"")"),"Un grupo grande en los tubos entre remolcados en el agua, luego golpea una gran onda y voltea el aire.")</f>
        <v>Un grupo grande en los tubos entre remolcados en el agua, luego golpea una gran onda y voltea el aire.</v>
      </c>
    </row>
    <row r="22175">
      <c r="A22175" s="4" t="s">
        <v>27911</v>
      </c>
      <c r="B22175" s="4" t="s">
        <v>27916</v>
      </c>
      <c r="C22175" s="5" t="str">
        <f>IFERROR(__xludf.DUMMYFUNCTION("GOOGLETRANSLATE(B22175,""en"",""es-ES"")"),"Un hombre en un bote salta un barco después de que un artículo con el bote aún se mueva.")</f>
        <v>Un hombre en un bote salta un barco después de que un artículo con el bote aún se mueva.</v>
      </c>
    </row>
    <row r="22176">
      <c r="A22176" s="4" t="s">
        <v>27917</v>
      </c>
      <c r="B22176" s="4" t="s">
        <v>27918</v>
      </c>
      <c r="C22176" s="5" t="str">
        <f>IFERROR(__xludf.DUMMYFUNCTION("GOOGLETRANSLATE(B22176,""en"",""es-ES"")"),"Un hombre se recuesta en el agua del océano mientras se sostiene en un bar.")</f>
        <v>Un hombre se recuesta en el agua del océano mientras se sostiene en un bar.</v>
      </c>
    </row>
    <row r="22177">
      <c r="A22177" s="4" t="s">
        <v>27917</v>
      </c>
      <c r="B22177" s="4" t="s">
        <v>27919</v>
      </c>
      <c r="C22177" s="5" t="str">
        <f>IFERROR(__xludf.DUMMYFUNCTION("GOOGLETRANSLATE(B22177,""en"",""es-ES"")"),"Él es droga por un bote lleno de gente.")</f>
        <v>Él es droga por un bote lleno de gente.</v>
      </c>
    </row>
    <row r="22178">
      <c r="A22178" s="4" t="s">
        <v>27917</v>
      </c>
      <c r="B22178" s="4" t="s">
        <v>27920</v>
      </c>
      <c r="C22178" s="5" t="str">
        <f>IFERROR(__xludf.DUMMYFUNCTION("GOOGLETRANSLATE(B22178,""en"",""es-ES"")"),"Obtiene el equilibrio y está esquiando rápidamente detrás del bote.")</f>
        <v>Obtiene el equilibrio y está esquiando rápidamente detrás del bote.</v>
      </c>
    </row>
    <row r="22179">
      <c r="A22179" s="4" t="s">
        <v>27921</v>
      </c>
      <c r="B22179" s="4" t="s">
        <v>27922</v>
      </c>
      <c r="C22179" s="5" t="str">
        <f>IFERROR(__xludf.DUMMYFUNCTION("GOOGLETRANSLATE(B22179,""en"",""es-ES"")"),"Varias personas son capturadas decorando un árbol de Navidad en una sala de estar en un video de movimiento rápido y avanzado.")</f>
        <v>Varias personas son capturadas decorando un árbol de Navidad en una sala de estar en un video de movimiento rápido y avanzado.</v>
      </c>
    </row>
    <row r="22180">
      <c r="A22180" s="4" t="s">
        <v>27921</v>
      </c>
      <c r="B22180" s="4" t="s">
        <v>27923</v>
      </c>
      <c r="C22180" s="5" t="str">
        <f>IFERROR(__xludf.DUMMYFUNCTION("GOOGLETRANSLATE(B22180,""en"",""es-ES"")"),"Un árbol de Navidad se encuentra sin decorarse en una sala de estar.")</f>
        <v>Un árbol de Navidad se encuentra sin decorarse en una sala de estar.</v>
      </c>
    </row>
    <row r="22181">
      <c r="A22181" s="4" t="s">
        <v>27921</v>
      </c>
      <c r="B22181" s="4" t="s">
        <v>27924</v>
      </c>
      <c r="C22181" s="5" t="str">
        <f>IFERROR(__xludf.DUMMYFUNCTION("GOOGLETRANSLATE(B22181,""en"",""es-ES"")"),"Dos personas decoran el árbol con un cordón ligero.")</f>
        <v>Dos personas decoran el árbol con un cordón ligero.</v>
      </c>
    </row>
    <row r="22182">
      <c r="A22182" s="4" t="s">
        <v>27921</v>
      </c>
      <c r="B22182" s="4" t="s">
        <v>27925</v>
      </c>
      <c r="C22182" s="5" t="str">
        <f>IFERROR(__xludf.DUMMYFUNCTION("GOOGLETRANSLATE(B22182,""en"",""es-ES"")"),"Tres personas decoran el árbol con bolas azules y plateadas.")</f>
        <v>Tres personas decoran el árbol con bolas azules y plateadas.</v>
      </c>
    </row>
    <row r="22183">
      <c r="A22183" s="4" t="s">
        <v>27921</v>
      </c>
      <c r="B22183" s="4" t="s">
        <v>27926</v>
      </c>
      <c r="C22183" s="5" t="str">
        <f>IFERROR(__xludf.DUMMYFUNCTION("GOOGLETRANSLATE(B22183,""en"",""es-ES"")"),"Las luces del árbol se encienden y los regalos envueltos se colocan debajo del árbol cuando las personas comienzan a sentarse debajo del árbol y un perro camina casualmente junto al árbol.")</f>
        <v>Las luces del árbol se encienden y los regalos envueltos se colocan debajo del árbol cuando las personas comienzan a sentarse debajo del árbol y un perro camina casualmente junto al árbol.</v>
      </c>
    </row>
    <row r="22184">
      <c r="A22184" s="4" t="s">
        <v>27927</v>
      </c>
      <c r="B22184" s="4" t="s">
        <v>1251</v>
      </c>
      <c r="C22184" s="5" t="str">
        <f>IFERROR(__xludf.DUMMYFUNCTION("GOOGLETRANSLATE(B22184,""en"",""es-ES"")"),"Se muestran los créditos del clip.")</f>
        <v>Se muestran los créditos del clip.</v>
      </c>
    </row>
    <row r="22185">
      <c r="A22185" s="4" t="s">
        <v>27927</v>
      </c>
      <c r="B22185" s="4" t="s">
        <v>27928</v>
      </c>
      <c r="C22185" s="5" t="str">
        <f>IFERROR(__xludf.DUMMYFUNCTION("GOOGLETRANSLATE(B22185,""en"",""es-ES"")"),"Un chico está de pie, gesticando e instruyendo en un gimnasio.")</f>
        <v>Un chico está de pie, gesticando e instruyendo en un gimnasio.</v>
      </c>
    </row>
    <row r="22186">
      <c r="A22186" s="4" t="s">
        <v>27927</v>
      </c>
      <c r="B22186" s="4" t="s">
        <v>27929</v>
      </c>
      <c r="C22186" s="5" t="str">
        <f>IFERROR(__xludf.DUMMYFUNCTION("GOOGLETRANSLATE(B22186,""en"",""es-ES"")"),"Un hombre demuestra un truco gimnástico en una plataforma de mano.")</f>
        <v>Un hombre demuestra un truco gimnástico en una plataforma de mano.</v>
      </c>
    </row>
    <row r="22187">
      <c r="A22187" s="4" t="s">
        <v>27927</v>
      </c>
      <c r="B22187" s="4" t="s">
        <v>27930</v>
      </c>
      <c r="C22187" s="5" t="str">
        <f>IFERROR(__xludf.DUMMYFUNCTION("GOOGLETRANSLATE(B22187,""en"",""es-ES"")"),"El hombre posa con las manos extendidas en el aire.")</f>
        <v>El hombre posa con las manos extendidas en el aire.</v>
      </c>
    </row>
    <row r="22188">
      <c r="A22188" s="4" t="s">
        <v>27927</v>
      </c>
      <c r="B22188" s="4" t="s">
        <v>573</v>
      </c>
      <c r="C22188" s="5" t="str">
        <f>IFERROR(__xludf.DUMMYFUNCTION("GOOGLETRANSLATE(B22188,""en"",""es-ES"")"),"Se muestran los créditos del video.")</f>
        <v>Se muestran los créditos del video.</v>
      </c>
    </row>
    <row r="22189">
      <c r="A22189" s="4" t="s">
        <v>27931</v>
      </c>
      <c r="B22189" s="4" t="s">
        <v>27932</v>
      </c>
      <c r="C22189" s="5" t="str">
        <f>IFERROR(__xludf.DUMMYFUNCTION("GOOGLETRANSLATE(B22189,""en"",""es-ES"")"),"Hay un hombre vestido con un suéter negro tocando el violín en una iglesia.")</f>
        <v>Hay un hombre vestido con un suéter negro tocando el violín en una iglesia.</v>
      </c>
    </row>
    <row r="22190">
      <c r="A22190" s="4" t="s">
        <v>27931</v>
      </c>
      <c r="B22190" s="4" t="s">
        <v>27933</v>
      </c>
      <c r="C22190" s="5" t="str">
        <f>IFERROR(__xludf.DUMMYFUNCTION("GOOGLETRANSLATE(B22190,""en"",""es-ES"")"),"Hay una mujer parada a su lado, también vestida de negro sosteniendo un violín en sus manos.")</f>
        <v>Hay una mujer parada a su lado, también vestida de negro sosteniendo un violín en sus manos.</v>
      </c>
    </row>
    <row r="22191">
      <c r="A22191" s="4" t="s">
        <v>27931</v>
      </c>
      <c r="B22191" s="4" t="s">
        <v>27934</v>
      </c>
      <c r="C22191" s="5" t="str">
        <f>IFERROR(__xludf.DUMMYFUNCTION("GOOGLETRANSLATE(B22191,""en"",""es-ES"")"),"Hay una estatua de Jesucristo justo detrás de ellos.")</f>
        <v>Hay una estatua de Jesucristo justo detrás de ellos.</v>
      </c>
    </row>
    <row r="22192">
      <c r="A22192" s="4" t="s">
        <v>27931</v>
      </c>
      <c r="B22192" s="4" t="s">
        <v>27935</v>
      </c>
      <c r="C22192" s="5" t="str">
        <f>IFERROR(__xludf.DUMMYFUNCTION("GOOGLETRANSLATE(B22192,""en"",""es-ES"")"),"Después de que el hombre deja de tocar el violín, la mujer se une y comienza a tocar su violín.")</f>
        <v>Después de que el hombre deja de tocar el violín, la mujer se une y comienza a tocar su violín.</v>
      </c>
    </row>
    <row r="22193">
      <c r="A22193" s="4" t="s">
        <v>27931</v>
      </c>
      <c r="B22193" s="4" t="s">
        <v>27936</v>
      </c>
      <c r="C22193" s="5" t="str">
        <f>IFERROR(__xludf.DUMMYFUNCTION("GOOGLETRANSLATE(B22193,""en"",""es-ES"")"),"Hay algunas personas sentadas en la primera fila, mirando a la mujer jugar.")</f>
        <v>Hay algunas personas sentadas en la primera fila, mirando a la mujer jugar.</v>
      </c>
    </row>
    <row r="22194">
      <c r="A22194" s="4" t="s">
        <v>27937</v>
      </c>
      <c r="B22194" s="4" t="s">
        <v>27938</v>
      </c>
      <c r="C22194" s="5" t="str">
        <f>IFERROR(__xludf.DUMMYFUNCTION("GOOGLETRANSLATE(B22194,""en"",""es-ES"")"),"Un grupo de hombres en burros juega una forma de polo en un campo de tierra.")</f>
        <v>Un grupo de hombres en burros juega una forma de polo en un campo de tierra.</v>
      </c>
    </row>
    <row r="22195">
      <c r="A22195" s="4" t="s">
        <v>27937</v>
      </c>
      <c r="B22195" s="4" t="s">
        <v>27939</v>
      </c>
      <c r="C22195" s="5" t="str">
        <f>IFERROR(__xludf.DUMMYFUNCTION("GOOGLETRANSLATE(B22195,""en"",""es-ES"")"),"La cámara se maneja a la gente que mira el juego.")</f>
        <v>La cámara se maneja a la gente que mira el juego.</v>
      </c>
    </row>
    <row r="22196">
      <c r="A22196" s="4" t="s">
        <v>27937</v>
      </c>
      <c r="B22196" s="4" t="s">
        <v>27940</v>
      </c>
      <c r="C22196" s="5" t="str">
        <f>IFERROR(__xludf.DUMMYFUNCTION("GOOGLETRANSLATE(B22196,""en"",""es-ES"")"),"La cámara regresa a las personas que montan los burros.")</f>
        <v>La cámara regresa a las personas que montan los burros.</v>
      </c>
    </row>
    <row r="22197">
      <c r="A22197" s="4" t="s">
        <v>27941</v>
      </c>
      <c r="B22197" s="4" t="s">
        <v>27942</v>
      </c>
      <c r="C22197" s="5" t="str">
        <f>IFERROR(__xludf.DUMMYFUNCTION("GOOGLETRANSLATE(B22197,""en"",""es-ES"")"),"Se muestra un primer plano de un tablero de puntaje seguido por un hombre que levanta un gran conjunto de pesos.")</f>
        <v>Se muestra un primer plano de un tablero de puntaje seguido por un hombre que levanta un gran conjunto de pesos.</v>
      </c>
    </row>
    <row r="22198">
      <c r="A22198" s="4" t="s">
        <v>27941</v>
      </c>
      <c r="B22198" s="4" t="s">
        <v>27943</v>
      </c>
      <c r="C22198" s="5" t="str">
        <f>IFERROR(__xludf.DUMMYFUNCTION("GOOGLETRANSLATE(B22198,""en"",""es-ES"")"),"El hombre lo levanta sobre su cabeza y su puntaje se muestra después.")</f>
        <v>El hombre lo levanta sobre su cabeza y su puntaje se muestra después.</v>
      </c>
    </row>
    <row r="22199">
      <c r="A22199" s="4" t="s">
        <v>27941</v>
      </c>
      <c r="B22199" s="4" t="s">
        <v>27944</v>
      </c>
      <c r="C22199" s="5" t="str">
        <f>IFERROR(__xludf.DUMMYFUNCTION("GOOGLETRANSLATE(B22199,""en"",""es-ES"")"),"Él hace esto varias veces más.")</f>
        <v>Él hace esto varias veces más.</v>
      </c>
    </row>
    <row r="22200">
      <c r="A22200" s="4" t="s">
        <v>27945</v>
      </c>
      <c r="B22200" s="4" t="s">
        <v>27946</v>
      </c>
      <c r="C22200" s="5" t="str">
        <f>IFERROR(__xludf.DUMMYFUNCTION("GOOGLETRANSLATE(B22200,""en"",""es-ES"")"),"Varios perros están en un parque.")</f>
        <v>Varios perros están en un parque.</v>
      </c>
    </row>
    <row r="22201">
      <c r="A22201" s="4" t="s">
        <v>27945</v>
      </c>
      <c r="B22201" s="4" t="s">
        <v>27947</v>
      </c>
      <c r="C22201" s="5" t="str">
        <f>IFERROR(__xludf.DUMMYFUNCTION("GOOGLETRANSLATE(B22201,""en"",""es-ES"")"),"Sus dueños hablan sobre el.")</f>
        <v>Sus dueños hablan sobre el.</v>
      </c>
    </row>
    <row r="22202">
      <c r="A22202" s="4" t="s">
        <v>27945</v>
      </c>
      <c r="B22202" s="4" t="s">
        <v>27948</v>
      </c>
      <c r="C22202" s="5" t="str">
        <f>IFERROR(__xludf.DUMMYFUNCTION("GOOGLETRANSLATE(B22202,""en"",""es-ES"")"),"Varios proveedores están configurados en tiendas de campaña.")</f>
        <v>Varios proveedores están configurados en tiendas de campaña.</v>
      </c>
    </row>
    <row r="22203">
      <c r="A22203" s="4" t="s">
        <v>27945</v>
      </c>
      <c r="B22203" s="4" t="s">
        <v>27949</v>
      </c>
      <c r="C22203" s="5" t="str">
        <f>IFERROR(__xludf.DUMMYFUNCTION("GOOGLETRANSLATE(B22203,""en"",""es-ES"")"),"Los propios caminan a los perros.")</f>
        <v>Los propios caminan a los perros.</v>
      </c>
    </row>
    <row r="22204">
      <c r="A22204" s="4" t="s">
        <v>27950</v>
      </c>
      <c r="B22204" s="4" t="s">
        <v>27951</v>
      </c>
      <c r="C22204" s="5" t="str">
        <f>IFERROR(__xludf.DUMMYFUNCTION("GOOGLETRANSLATE(B22204,""en"",""es-ES"")"),"Un hombre está sentado detrás de una computadora portátil.")</f>
        <v>Un hombre está sentado detrás de una computadora portátil.</v>
      </c>
    </row>
    <row r="22205">
      <c r="A22205" s="4" t="s">
        <v>27950</v>
      </c>
      <c r="B22205" s="4" t="s">
        <v>27952</v>
      </c>
      <c r="C22205" s="5" t="str">
        <f>IFERROR(__xludf.DUMMYFUNCTION("GOOGLETRANSLATE(B22205,""en"",""es-ES"")"),"Se lleva un contacto de su ojo.")</f>
        <v>Se lleva un contacto de su ojo.</v>
      </c>
    </row>
    <row r="22206">
      <c r="A22206" s="4" t="s">
        <v>27950</v>
      </c>
      <c r="B22206" s="4" t="s">
        <v>27953</v>
      </c>
      <c r="C22206" s="5" t="str">
        <f>IFERROR(__xludf.DUMMYFUNCTION("GOOGLETRANSLATE(B22206,""en"",""es-ES"")"),"Se frota el ojo antes de volver a ponerlo.")</f>
        <v>Se frota el ojo antes de volver a ponerlo.</v>
      </c>
    </row>
    <row r="22207">
      <c r="A22207" s="4" t="s">
        <v>27954</v>
      </c>
      <c r="B22207" s="4" t="s">
        <v>27955</v>
      </c>
      <c r="C22207" s="5" t="str">
        <f>IFERROR(__xludf.DUMMYFUNCTION("GOOGLETRANSLATE(B22207,""en"",""es-ES"")"),"Un grupo de personas está aprendiendo a rodar.")</f>
        <v>Un grupo de personas está aprendiendo a rodar.</v>
      </c>
    </row>
    <row r="22208">
      <c r="A22208" s="4" t="s">
        <v>27954</v>
      </c>
      <c r="B22208" s="4" t="s">
        <v>27956</v>
      </c>
      <c r="C22208" s="5" t="str">
        <f>IFERROR(__xludf.DUMMYFUNCTION("GOOGLETRANSLATE(B22208,""en"",""es-ES"")"),"Algunas oraciones van en grupos, pero generalmente son lentos e incómodos.")</f>
        <v>Algunas oraciones van en grupos, pero generalmente son lentos e incómodos.</v>
      </c>
    </row>
    <row r="22209">
      <c r="A22209" s="4" t="s">
        <v>27957</v>
      </c>
      <c r="B22209" s="4" t="s">
        <v>27958</v>
      </c>
      <c r="C22209" s="5" t="str">
        <f>IFERROR(__xludf.DUMMYFUNCTION("GOOGLETRANSLATE(B22209,""en"",""es-ES"")"),"Se muestra a una mujer hablando en su cocina.")</f>
        <v>Se muestra a una mujer hablando en su cocina.</v>
      </c>
    </row>
    <row r="22210">
      <c r="A22210" s="4" t="s">
        <v>27957</v>
      </c>
      <c r="B22210" s="4" t="s">
        <v>27959</v>
      </c>
      <c r="C22210" s="5" t="str">
        <f>IFERROR(__xludf.DUMMYFUNCTION("GOOGLETRANSLATE(B22210,""en"",""es-ES"")"),"Llena un tazón con mantequilla, harina y azúcar, y agrega huevos.")</f>
        <v>Llena un tazón con mantequilla, harina y azúcar, y agrega huevos.</v>
      </c>
    </row>
    <row r="22211">
      <c r="A22211" s="4" t="s">
        <v>27957</v>
      </c>
      <c r="B22211" s="4" t="s">
        <v>27960</v>
      </c>
      <c r="C22211" s="5" t="str">
        <f>IFERROR(__xludf.DUMMYFUNCTION("GOOGLETRANSLATE(B22211,""en"",""es-ES"")"),"Ella crea una masa, y luego hace y hornea un lote de galletas.")</f>
        <v>Ella crea una masa, y luego hace y hornea un lote de galletas.</v>
      </c>
    </row>
    <row r="22212">
      <c r="A22212" s="4" t="s">
        <v>27961</v>
      </c>
      <c r="B22212" s="4" t="s">
        <v>27962</v>
      </c>
      <c r="C22212" s="5" t="str">
        <f>IFERROR(__xludf.DUMMYFUNCTION("GOOGLETRANSLATE(B22212,""en"",""es-ES"")"),"Una niña está cruzando los bares de mono.")</f>
        <v>Una niña está cruzando los bares de mono.</v>
      </c>
    </row>
    <row r="22213">
      <c r="A22213" s="4" t="s">
        <v>27961</v>
      </c>
      <c r="B22213" s="4" t="s">
        <v>27963</v>
      </c>
      <c r="C22213" s="5" t="str">
        <f>IFERROR(__xludf.DUMMYFUNCTION("GOOGLETRANSLATE(B22213,""en"",""es-ES"")"),"Una chica con una camisa amarilla está de pie en el suelo mirando.")</f>
        <v>Una chica con una camisa amarilla está de pie en el suelo mirando.</v>
      </c>
    </row>
    <row r="22214">
      <c r="A22214" s="4" t="s">
        <v>27961</v>
      </c>
      <c r="B22214" s="4" t="s">
        <v>27964</v>
      </c>
      <c r="C22214" s="5" t="str">
        <f>IFERROR(__xludf.DUMMYFUNCTION("GOOGLETRANSLATE(B22214,""en"",""es-ES"")"),"Una chica sobre una camisa azul está parada en un patio de recreo.")</f>
        <v>Una chica sobre una camisa azul está parada en un patio de recreo.</v>
      </c>
    </row>
    <row r="22215">
      <c r="A22215" s="4" t="s">
        <v>27965</v>
      </c>
      <c r="B22215" s="4" t="s">
        <v>27966</v>
      </c>
      <c r="C22215" s="5" t="str">
        <f>IFERROR(__xludf.DUMMYFUNCTION("GOOGLETRANSLATE(B22215,""en"",""es-ES"")"),"Se ve a una mujer sentada en una canoa cuando un hombre la empuja y sube hacia atrás.")</f>
        <v>Se ve a una mujer sentada en una canoa cuando un hombre la empuja y sube hacia atrás.</v>
      </c>
    </row>
    <row r="22216">
      <c r="A22216" s="4" t="s">
        <v>27965</v>
      </c>
      <c r="B22216" s="4" t="s">
        <v>27967</v>
      </c>
      <c r="C22216" s="5" t="str">
        <f>IFERROR(__xludf.DUMMYFUNCTION("GOOGLETRANSLATE(B22216,""en"",""es-ES"")"),"Se ve al hombre cabalgando y mirando su entorno mientras el hombre detrás de las paletas.")</f>
        <v>Se ve al hombre cabalgando y mirando su entorno mientras el hombre detrás de las paletas.</v>
      </c>
    </row>
    <row r="22217">
      <c r="A22217" s="4" t="s">
        <v>27965</v>
      </c>
      <c r="B22217" s="4" t="s">
        <v>27968</v>
      </c>
      <c r="C22217" s="5" t="str">
        <f>IFERROR(__xludf.DUMMYFUNCTION("GOOGLETRANSLATE(B22217,""en"",""es-ES"")"),"La mujer continúa sentada y mirándola a los árboles y las vistas.")</f>
        <v>La mujer continúa sentada y mirándola a los árboles y las vistas.</v>
      </c>
    </row>
    <row r="22218">
      <c r="A22218" s="4" t="s">
        <v>27969</v>
      </c>
      <c r="B22218" s="4" t="s">
        <v>27970</v>
      </c>
      <c r="C22218" s="5" t="str">
        <f>IFERROR(__xludf.DUMMYFUNCTION("GOOGLETRANSLATE(B22218,""en"",""es-ES"")"),"Un hombre le está perforando la oreja por otro individuo que solo tiene sus manos en el cuadro.")</f>
        <v>Un hombre le está perforando la oreja por otro individuo que solo tiene sus manos en el cuadro.</v>
      </c>
    </row>
    <row r="22219">
      <c r="A22219" s="4" t="s">
        <v>27969</v>
      </c>
      <c r="B22219" s="4" t="s">
        <v>27971</v>
      </c>
      <c r="C22219" s="5" t="str">
        <f>IFERROR(__xludf.DUMMYFUNCTION("GOOGLETRANSLATE(B22219,""en"",""es-ES"")"),"El segundo individuo empuja un carro detrás del primer individuo.")</f>
        <v>El segundo individuo empuja un carro detrás del primer individuo.</v>
      </c>
    </row>
    <row r="22220">
      <c r="A22220" s="4" t="s">
        <v>27969</v>
      </c>
      <c r="B22220" s="4" t="s">
        <v>27972</v>
      </c>
      <c r="C22220" s="5" t="str">
        <f>IFERROR(__xludf.DUMMYFUNCTION("GOOGLETRANSLATE(B22220,""en"",""es-ES"")"),"La cámara se centra en el primer individuo.")</f>
        <v>La cámara se centra en el primer individuo.</v>
      </c>
    </row>
    <row r="22221">
      <c r="A22221" s="4" t="s">
        <v>27969</v>
      </c>
      <c r="B22221" s="4" t="s">
        <v>27973</v>
      </c>
      <c r="C22221" s="5" t="str">
        <f>IFERROR(__xludf.DUMMYFUNCTION("GOOGLETRANSLATE(B22221,""en"",""es-ES"")"),"El segundo individuo perfora la otra oreja del primer hombre.")</f>
        <v>El segundo individuo perfora la otra oreja del primer hombre.</v>
      </c>
    </row>
    <row r="22222">
      <c r="A22222" s="4" t="s">
        <v>27974</v>
      </c>
      <c r="B22222" s="4" t="s">
        <v>1487</v>
      </c>
      <c r="C22222" s="5" t="str">
        <f>IFERROR(__xludf.DUMMYFUNCTION("GOOGLETRANSLATE(B22222,""en"",""es-ES"")"),"Vemos una pantalla de título de apertura.")</f>
        <v>Vemos una pantalla de título de apertura.</v>
      </c>
    </row>
    <row r="22223">
      <c r="A22223" s="4" t="s">
        <v>27974</v>
      </c>
      <c r="B22223" s="4" t="s">
        <v>27975</v>
      </c>
      <c r="C22223" s="5" t="str">
        <f>IFERROR(__xludf.DUMMYFUNCTION("GOOGLETRANSLATE(B22223,""en"",""es-ES"")"),"Vemos a una dama lavando la ropa a mano al aire libre.")</f>
        <v>Vemos a una dama lavando la ropa a mano al aire libre.</v>
      </c>
    </row>
    <row r="22224">
      <c r="A22224" s="4" t="s">
        <v>27974</v>
      </c>
      <c r="B22224" s="4" t="s">
        <v>27976</v>
      </c>
      <c r="C22224" s="5" t="str">
        <f>IFERROR(__xludf.DUMMYFUNCTION("GOOGLETRANSLATE(B22224,""en"",""es-ES"")"),"La señora vierte agua sobre la ropa de un tazón.")</f>
        <v>La señora vierte agua sobre la ropa de un tazón.</v>
      </c>
    </row>
    <row r="22225">
      <c r="A22225" s="4" t="s">
        <v>27974</v>
      </c>
      <c r="B22225" s="4" t="s">
        <v>27977</v>
      </c>
      <c r="C22225" s="5" t="str">
        <f>IFERROR(__xludf.DUMMYFUNCTION("GOOGLETRANSLATE(B22225,""en"",""es-ES"")"),"La señora empuja su cabello hacia atrás.")</f>
        <v>La señora empuja su cabello hacia atrás.</v>
      </c>
    </row>
    <row r="22226">
      <c r="A22226" s="4" t="s">
        <v>27974</v>
      </c>
      <c r="B22226" s="4" t="s">
        <v>27978</v>
      </c>
      <c r="C22226" s="5" t="str">
        <f>IFERROR(__xludf.DUMMYFUNCTION("GOOGLETRANSLATE(B22226,""en"",""es-ES"")"),"La señora vierte más agua sobre la ropa.")</f>
        <v>La señora vierte más agua sobre la ropa.</v>
      </c>
    </row>
    <row r="22227">
      <c r="A22227" s="4" t="s">
        <v>27974</v>
      </c>
      <c r="B22227" s="4" t="s">
        <v>2892</v>
      </c>
      <c r="C22227" s="5" t="str">
        <f>IFERROR(__xludf.DUMMYFUNCTION("GOOGLETRANSLATE(B22227,""en"",""es-ES"")"),"Vemos la pantalla de título de cierre.")</f>
        <v>Vemos la pantalla de título de cierre.</v>
      </c>
    </row>
    <row r="22228">
      <c r="A22228" s="4" t="s">
        <v>27979</v>
      </c>
      <c r="B22228" s="4" t="s">
        <v>27980</v>
      </c>
      <c r="C22228" s="5" t="str">
        <f>IFERROR(__xludf.DUMMYFUNCTION("GOOGLETRANSLATE(B22228,""en"",""es-ES"")"),"Un hombre está afuera raspando el hielo de las ventanas de su automóvil.")</f>
        <v>Un hombre está afuera raspando el hielo de las ventanas de su automóvil.</v>
      </c>
    </row>
    <row r="22229">
      <c r="A22229" s="4" t="s">
        <v>27979</v>
      </c>
      <c r="B22229" s="4" t="s">
        <v>27981</v>
      </c>
      <c r="C22229" s="5" t="str">
        <f>IFERROR(__xludf.DUMMYFUNCTION("GOOGLETRANSLATE(B22229,""en"",""es-ES"")"),"Una vez que termina, pone la herramienta en el fondo de su asiento y sube al auto.")</f>
        <v>Una vez que termina, pone la herramienta en el fondo de su asiento y sube al auto.</v>
      </c>
    </row>
    <row r="22230">
      <c r="A22230" s="4" t="s">
        <v>27982</v>
      </c>
      <c r="B22230" s="4" t="s">
        <v>27983</v>
      </c>
      <c r="C22230" s="5" t="str">
        <f>IFERROR(__xludf.DUMMYFUNCTION("GOOGLETRANSLATE(B22230,""en"",""es-ES"")"),"Se ve a una persona haciendo una copa de cerca seguido de él hablando con otros en una montaña.")</f>
        <v>Se ve a una persona haciendo una copa de cerca seguido de él hablando con otros en una montaña.</v>
      </c>
    </row>
    <row r="22231">
      <c r="A22231" s="4" t="s">
        <v>27982</v>
      </c>
      <c r="B22231" s="4" t="s">
        <v>27984</v>
      </c>
      <c r="C22231" s="5" t="str">
        <f>IFERROR(__xludf.DUMMYFUNCTION("GOOGLETRANSLATE(B22231,""en"",""es-ES"")"),"Se muestran más tomas del hombre que tome una copa y habla con los demás.")</f>
        <v>Se muestran más tomas del hombre que tome una copa y habla con los demás.</v>
      </c>
    </row>
    <row r="22232">
      <c r="A22232" s="4" t="s">
        <v>27982</v>
      </c>
      <c r="B22232" s="4" t="s">
        <v>27985</v>
      </c>
      <c r="C22232" s="5" t="str">
        <f>IFERROR(__xludf.DUMMYFUNCTION("GOOGLETRANSLATE(B22232,""en"",""es-ES"")"),"El hombre tiene otra piscina de bebidas y juega seguida de una foto de ellos.")</f>
        <v>El hombre tiene otra piscina de bebidas y juega seguida de una foto de ellos.</v>
      </c>
    </row>
    <row r="22233">
      <c r="A22233" s="4" t="s">
        <v>27986</v>
      </c>
      <c r="B22233" s="4" t="s">
        <v>27987</v>
      </c>
      <c r="C22233" s="5" t="str">
        <f>IFERROR(__xludf.DUMMYFUNCTION("GOOGLETRANSLATE(B22233,""en"",""es-ES"")"),"Una dama está sentada y tocando el piano.")</f>
        <v>Una dama está sentada y tocando el piano.</v>
      </c>
    </row>
    <row r="22234">
      <c r="A22234" s="4" t="s">
        <v>27986</v>
      </c>
      <c r="B22234" s="4" t="s">
        <v>27988</v>
      </c>
      <c r="C22234" s="5" t="str">
        <f>IFERROR(__xludf.DUMMYFUNCTION("GOOGLETRANSLATE(B22234,""en"",""es-ES"")"),"Un chico está de pie y tocando un saxofón.")</f>
        <v>Un chico está de pie y tocando un saxofón.</v>
      </c>
    </row>
    <row r="22235">
      <c r="A22235" s="4" t="s">
        <v>27986</v>
      </c>
      <c r="B22235" s="4" t="s">
        <v>27989</v>
      </c>
      <c r="C22235" s="5" t="str">
        <f>IFERROR(__xludf.DUMMYFUNCTION("GOOGLETRANSLATE(B22235,""en"",""es-ES"")"),"La dama y el chico están actuando en el mismo escenario, juntos.")</f>
        <v>La dama y el chico están actuando en el mismo escenario, juntos.</v>
      </c>
    </row>
    <row r="22236">
      <c r="A22236" s="4" t="s">
        <v>27986</v>
      </c>
      <c r="B22236" s="4" t="s">
        <v>27990</v>
      </c>
      <c r="C22236" s="5" t="str">
        <f>IFERROR(__xludf.DUMMYFUNCTION("GOOGLETRANSLATE(B22236,""en"",""es-ES"")"),"La dama y el chico dejan de jugar.")</f>
        <v>La dama y el chico dejan de jugar.</v>
      </c>
    </row>
    <row r="22237">
      <c r="A22237" s="4" t="s">
        <v>27991</v>
      </c>
      <c r="B22237" s="4" t="s">
        <v>27992</v>
      </c>
      <c r="C22237" s="5" t="str">
        <f>IFERROR(__xludf.DUMMYFUNCTION("GOOGLETRANSLATE(B22237,""en"",""es-ES"")"),"Un hombre y un niño pequeño juegan bádminton en una cancha cubierta.")</f>
        <v>Un hombre y un niño pequeño juegan bádminton en una cancha cubierta.</v>
      </c>
    </row>
    <row r="22238">
      <c r="A22238" s="4" t="s">
        <v>27991</v>
      </c>
      <c r="B22238" s="4" t="s">
        <v>27993</v>
      </c>
      <c r="C22238" s="5" t="str">
        <f>IFERROR(__xludf.DUMMYFUNCTION("GOOGLETRANSLATE(B22238,""en"",""es-ES"")"),"El niño sirve y devuelve bien la pelota.")</f>
        <v>El niño sirve y devuelve bien la pelota.</v>
      </c>
    </row>
    <row r="22239">
      <c r="A22239" s="4" t="s">
        <v>27991</v>
      </c>
      <c r="B22239" s="4" t="s">
        <v>27994</v>
      </c>
      <c r="C22239" s="5" t="str">
        <f>IFERROR(__xludf.DUMMYFUNCTION("GOOGLETRANSLATE(B22239,""en"",""es-ES"")"),"El niño pierde una pelota que termina en la red, luego el hombre recupera la pelota y continúan jugando.")</f>
        <v>El niño pierde una pelota que termina en la red, luego el hombre recupera la pelota y continúan jugando.</v>
      </c>
    </row>
    <row r="22240">
      <c r="A22240" s="4" t="s">
        <v>27995</v>
      </c>
      <c r="B22240" s="4" t="s">
        <v>27996</v>
      </c>
      <c r="C22240" s="5" t="str">
        <f>IFERROR(__xludf.DUMMYFUNCTION("GOOGLETRANSLATE(B22240,""en"",""es-ES"")"),"Dos jóvenes motociclistas se sientan en las bicicletas y saludan en un sendero de tierra.")</f>
        <v>Dos jóvenes motociclistas se sientan en las bicicletas y saludan en un sendero de tierra.</v>
      </c>
    </row>
    <row r="22241">
      <c r="A22241" s="4" t="s">
        <v>27995</v>
      </c>
      <c r="B22241" s="4" t="s">
        <v>27997</v>
      </c>
      <c r="C22241" s="5" t="str">
        <f>IFERROR(__xludf.DUMMYFUNCTION("GOOGLETRANSLATE(B22241,""en"",""es-ES"")"),"Los muchachos montan sus bicicletas sobre saltos en los senderos.")</f>
        <v>Los muchachos montan sus bicicletas sobre saltos en los senderos.</v>
      </c>
    </row>
    <row r="22242">
      <c r="A22242" s="4" t="s">
        <v>27995</v>
      </c>
      <c r="B22242" s="4" t="s">
        <v>27998</v>
      </c>
      <c r="C22242" s="5" t="str">
        <f>IFERROR(__xludf.DUMMYFUNCTION("GOOGLETRANSLATE(B22242,""en"",""es-ES"")"),"Un joven jinete salta una rampa y agarra el manillar con los pies.")</f>
        <v>Un joven jinete salta una rampa y agarra el manillar con los pies.</v>
      </c>
    </row>
    <row r="22243">
      <c r="A22243" s="4" t="s">
        <v>27995</v>
      </c>
      <c r="B22243" s="4" t="s">
        <v>27999</v>
      </c>
      <c r="C22243" s="5" t="str">
        <f>IFERROR(__xludf.DUMMYFUNCTION("GOOGLETRANSLATE(B22243,""en"",""es-ES"")"),"El niño cura los clics y patea los pies al costado de la bicicleta del motor en el aire.")</f>
        <v>El niño cura los clics y patea los pies al costado de la bicicleta del motor en el aire.</v>
      </c>
    </row>
    <row r="22244">
      <c r="A22244" s="4" t="s">
        <v>28000</v>
      </c>
      <c r="B22244" s="4" t="s">
        <v>28001</v>
      </c>
      <c r="C22244" s="5" t="str">
        <f>IFERROR(__xludf.DUMMYFUNCTION("GOOGLETRANSLATE(B22244,""en"",""es-ES"")"),"Una niña con cabello desordenado y rizado está parado frente al fregadero limpiando un plato con una esponja azul.")</f>
        <v>Una niña con cabello desordenado y rizado está parado frente al fregadero limpiando un plato con una esponja azul.</v>
      </c>
    </row>
    <row r="22245">
      <c r="A22245" s="4" t="s">
        <v>28000</v>
      </c>
      <c r="B22245" s="4" t="s">
        <v>28002</v>
      </c>
      <c r="C22245" s="5" t="str">
        <f>IFERROR(__xludf.DUMMYFUNCTION("GOOGLETRANSLATE(B22245,""en"",""es-ES"")"),"Luego enjuague la parte superior del plato y se la entrega a alguien de pie detrás de ella.")</f>
        <v>Luego enjuague la parte superior del plato y se la entrega a alguien de pie detrás de ella.</v>
      </c>
    </row>
    <row r="22246">
      <c r="A22246" s="4" t="s">
        <v>28000</v>
      </c>
      <c r="B22246" s="4" t="s">
        <v>28003</v>
      </c>
      <c r="C22246" s="5" t="str">
        <f>IFERROR(__xludf.DUMMYFUNCTION("GOOGLETRANSLATE(B22246,""en"",""es-ES"")"),"Mientras toma el siguiente plato, alguien viene y pone otro plato en el fregadero mientras continúa arrojando agua dentro y fuera del recipiente.")</f>
        <v>Mientras toma el siguiente plato, alguien viene y pone otro plato en el fregadero mientras continúa arrojando agua dentro y fuera del recipiente.</v>
      </c>
    </row>
    <row r="22247">
      <c r="A22247" s="4" t="s">
        <v>28004</v>
      </c>
      <c r="B22247" s="4" t="s">
        <v>28005</v>
      </c>
      <c r="C22247" s="5" t="str">
        <f>IFERROR(__xludf.DUMMYFUNCTION("GOOGLETRANSLATE(B22247,""en"",""es-ES"")"),"Un hombre está sentado tocando un saxofón.")</f>
        <v>Un hombre está sentado tocando un saxofón.</v>
      </c>
    </row>
    <row r="22248">
      <c r="A22248" s="4" t="s">
        <v>28004</v>
      </c>
      <c r="B22248" s="4" t="s">
        <v>28006</v>
      </c>
      <c r="C22248" s="5" t="str">
        <f>IFERROR(__xludf.DUMMYFUNCTION("GOOGLETRANSLATE(B22248,""en"",""es-ES"")"),"Deja de tocar el saxofón y habla.")</f>
        <v>Deja de tocar el saxofón y habla.</v>
      </c>
    </row>
    <row r="22249">
      <c r="A22249" s="4" t="s">
        <v>28004</v>
      </c>
      <c r="B22249" s="4" t="s">
        <v>28007</v>
      </c>
      <c r="C22249" s="5" t="str">
        <f>IFERROR(__xludf.DUMMYFUNCTION("GOOGLETRANSLATE(B22249,""en"",""es-ES"")"),"Él se pone de pie y continúa jugando el saxofón.")</f>
        <v>Él se pone de pie y continúa jugando el saxofón.</v>
      </c>
    </row>
    <row r="22250">
      <c r="A22250" s="4" t="s">
        <v>28008</v>
      </c>
      <c r="B22250" s="4" t="s">
        <v>28009</v>
      </c>
      <c r="C22250" s="5" t="str">
        <f>IFERROR(__xludf.DUMMYFUNCTION("GOOGLETRANSLATE(B22250,""en"",""es-ES"")"),"Una introducción colorida con muchas palabras intermitentes flashean en la pantalla junto con un logotipo y una pancarta con un idioma extranjero escrito en él.")</f>
        <v>Una introducción colorida con muchas palabras intermitentes flashean en la pantalla junto con un logotipo y una pancarta con un idioma extranjero escrito en él.</v>
      </c>
    </row>
    <row r="22251">
      <c r="A22251" s="4" t="s">
        <v>28008</v>
      </c>
      <c r="B22251" s="4" t="s">
        <v>28010</v>
      </c>
      <c r="C22251" s="5" t="str">
        <f>IFERROR(__xludf.DUMMYFUNCTION("GOOGLETRANSLATE(B22251,""en"",""es-ES"")"),"Una mujer vestida con un vestido y bufanda naranja y rojo está de pie y habla, tiene papel blanco en sus manos.")</f>
        <v>Una mujer vestida con un vestido y bufanda naranja y rojo está de pie y habla, tiene papel blanco en sus manos.</v>
      </c>
    </row>
    <row r="22252">
      <c r="A22252" s="4" t="s">
        <v>28008</v>
      </c>
      <c r="B22252" s="4" t="s">
        <v>28011</v>
      </c>
      <c r="C22252" s="5" t="str">
        <f>IFERROR(__xludf.DUMMYFUNCTION("GOOGLETRANSLATE(B22252,""en"",""es-ES"")"),"La mujer ya no se muestra y hay varias imágenes parpadeando que parecen ser sobre el lavado de autos de velocidad.")</f>
        <v>La mujer ya no se muestra y hay varias imágenes parpadeando que parecen ser sobre el lavado de autos de velocidad.</v>
      </c>
    </row>
    <row r="22253">
      <c r="A22253" s="4" t="s">
        <v>28008</v>
      </c>
      <c r="B22253" s="4" t="s">
        <v>28012</v>
      </c>
      <c r="C22253" s="5" t="str">
        <f>IFERROR(__xludf.DUMMYFUNCTION("GOOGLETRANSLATE(B22253,""en"",""es-ES"")"),"Comienzan algunos videoclips cortos y todos tienen lugar en la compañía Speed ​​Car Wash donde conducen los automóviles, se muestran productos, un hombre está lavando un automóvil y varias personas están hablando juntas o solas.")</f>
        <v>Comienzan algunos videoclips cortos y todos tienen lugar en la compañía Speed ​​Car Wash donde conducen los automóviles, se muestran productos, un hombre está lavando un automóvil y varias personas están hablando juntas o solas.</v>
      </c>
    </row>
    <row r="22254">
      <c r="A22254" s="4" t="s">
        <v>28008</v>
      </c>
      <c r="B22254" s="4" t="s">
        <v>28013</v>
      </c>
      <c r="C22254" s="5" t="str">
        <f>IFERROR(__xludf.DUMMYFUNCTION("GOOGLETRANSLATE(B22254,""en"",""es-ES"")"),"La mujer de antes que está vestida con un vestido naranja y rojo aparece nuevamente y todavía sostiene el papel blanco mientras habla.")</f>
        <v>La mujer de antes que está vestida con un vestido naranja y rojo aparece nuevamente y todavía sostiene el papel blanco mientras habla.</v>
      </c>
    </row>
    <row r="22255">
      <c r="A22255" s="4" t="s">
        <v>28008</v>
      </c>
      <c r="B22255" s="4" t="s">
        <v>28014</v>
      </c>
      <c r="C22255" s="5" t="str">
        <f>IFERROR(__xludf.DUMMYFUNCTION("GOOGLETRANSLATE(B22255,""en"",""es-ES"")"),"Las palabras intermitentes aparecen después de que la mujer está hablando y continúa hasta el final.")</f>
        <v>Las palabras intermitentes aparecen después de que la mujer está hablando y continúa hasta el final.</v>
      </c>
    </row>
    <row r="22256">
      <c r="A22256" s="4" t="s">
        <v>28015</v>
      </c>
      <c r="B22256" s="4" t="s">
        <v>28016</v>
      </c>
      <c r="C22256" s="5" t="str">
        <f>IFERROR(__xludf.DUMMYFUNCTION("GOOGLETRANSLATE(B22256,""en"",""es-ES"")"),"Se muestra un muelle en una playa, con gente caminando a su lado.")</f>
        <v>Se muestra un muelle en una playa, con gente caminando a su lado.</v>
      </c>
    </row>
    <row r="22257">
      <c r="A22257" s="4" t="s">
        <v>28015</v>
      </c>
      <c r="B22257" s="4" t="s">
        <v>28017</v>
      </c>
      <c r="C22257" s="5" t="str">
        <f>IFERROR(__xludf.DUMMYFUNCTION("GOOGLETRANSLATE(B22257,""en"",""es-ES"")"),"Se muestran muchas imágenes de una mujer que ata un par de patines.")</f>
        <v>Se muestran muchas imágenes de una mujer que ata un par de patines.</v>
      </c>
    </row>
    <row r="22258">
      <c r="A22258" s="4" t="s">
        <v>28015</v>
      </c>
      <c r="B22258" s="4" t="s">
        <v>28018</v>
      </c>
      <c r="C22258" s="5" t="str">
        <f>IFERROR(__xludf.DUMMYFUNCTION("GOOGLETRANSLATE(B22258,""en"",""es-ES"")"),"Ella patina y vemos bicicletas, personas que las montan, las palmeras y las ruedas de las ferris.")</f>
        <v>Ella patina y vemos bicicletas, personas que las montan, las palmeras y las ruedas de las ferris.</v>
      </c>
    </row>
    <row r="22259">
      <c r="A22259" s="4" t="s">
        <v>28015</v>
      </c>
      <c r="B22259" s="4" t="s">
        <v>28019</v>
      </c>
      <c r="C22259" s="5" t="str">
        <f>IFERROR(__xludf.DUMMYFUNCTION("GOOGLETRANSLATE(B22259,""en"",""es-ES"")"),"Seguimos a la mujer mientras patina junto con tablas de surf y otras personas.")</f>
        <v>Seguimos a la mujer mientras patina junto con tablas de surf y otras personas.</v>
      </c>
    </row>
    <row r="22260">
      <c r="A22260" s="4" t="s">
        <v>28020</v>
      </c>
      <c r="B22260" s="4" t="s">
        <v>28021</v>
      </c>
      <c r="C22260" s="5" t="str">
        <f>IFERROR(__xludf.DUMMYFUNCTION("GOOGLETRANSLATE(B22260,""en"",""es-ES"")"),"Un hombre y una mujer bailan en un restaurante lleno de gente.")</f>
        <v>Un hombre y una mujer bailan en un restaurante lleno de gente.</v>
      </c>
    </row>
    <row r="22261">
      <c r="A22261" s="4" t="s">
        <v>28020</v>
      </c>
      <c r="B22261" s="4" t="s">
        <v>28022</v>
      </c>
      <c r="C22261" s="5" t="str">
        <f>IFERROR(__xludf.DUMMYFUNCTION("GOOGLETRANSLATE(B22261,""en"",""es-ES"")"),"La mujer se acerca a un hombre joven y le toca la cara, luego el hombre se enoja y empuja a la mujer que termina en sus brazos y continúan bailando.")</f>
        <v>La mujer se acerca a un hombre joven y le toca la cara, luego el hombre se enoja y empuja a la mujer que termina en sus brazos y continúan bailando.</v>
      </c>
    </row>
    <row r="22262">
      <c r="A22262" s="4" t="s">
        <v>28020</v>
      </c>
      <c r="B22262" s="4" t="s">
        <v>28023</v>
      </c>
      <c r="C22262" s="5" t="str">
        <f>IFERROR(__xludf.DUMMYFUNCTION("GOOGLETRANSLATE(B22262,""en"",""es-ES"")"),"Aparece un fuego en el piso.")</f>
        <v>Aparece un fuego en el piso.</v>
      </c>
    </row>
    <row r="22263">
      <c r="A22263" s="4" t="s">
        <v>28020</v>
      </c>
      <c r="B22263" s="4" t="s">
        <v>28024</v>
      </c>
      <c r="C22263" s="5" t="str">
        <f>IFERROR(__xludf.DUMMYFUNCTION("GOOGLETRANSLATE(B22263,""en"",""es-ES"")"),"Un hombre pone dos palitos de pan en la nariz mientras una mujer mira con sorpresa.")</f>
        <v>Un hombre pone dos palitos de pan en la nariz mientras una mujer mira con sorpresa.</v>
      </c>
    </row>
    <row r="22264">
      <c r="A22264" s="4" t="s">
        <v>28020</v>
      </c>
      <c r="B22264" s="4" t="s">
        <v>28025</v>
      </c>
      <c r="C22264" s="5" t="str">
        <f>IFERROR(__xludf.DUMMYFUNCTION("GOOGLETRANSLATE(B22264,""en"",""es-ES"")"),"El hombre ayuda a una mujer a encender un cigarrillo, luego se voltea y toma como tela de mesa roja para hacer trucos, el hombre y la mujer continúan bailando hasta que se besan mientras el líquido sale de las botellas y aparece la luna al final.")</f>
        <v>El hombre ayuda a una mujer a encender un cigarrillo, luego se voltea y toma como tela de mesa roja para hacer trucos, el hombre y la mujer continúan bailando hasta que se besan mientras el líquido sale de las botellas y aparece la luna al final.</v>
      </c>
    </row>
    <row r="22265">
      <c r="A22265" s="4" t="s">
        <v>28026</v>
      </c>
      <c r="B22265" s="4" t="s">
        <v>28027</v>
      </c>
      <c r="C22265" s="5" t="str">
        <f>IFERROR(__xludf.DUMMYFUNCTION("GOOGLETRANSLATE(B22265,""en"",""es-ES"")"),"Una niña se limpia agua en toda la cara.")</f>
        <v>Una niña se limpia agua en toda la cara.</v>
      </c>
    </row>
    <row r="22266">
      <c r="A22266" s="4" t="s">
        <v>28026</v>
      </c>
      <c r="B22266" s="4" t="s">
        <v>28028</v>
      </c>
      <c r="C22266" s="5" t="str">
        <f>IFERROR(__xludf.DUMMYFUNCTION("GOOGLETRANSLATE(B22266,""en"",""es-ES"")"),"Mira la cámara y sonríe mientras continúa lavándose la cara.")</f>
        <v>Mira la cámara y sonríe mientras continúa lavándose la cara.</v>
      </c>
    </row>
    <row r="22267">
      <c r="A22267" s="4" t="s">
        <v>28026</v>
      </c>
      <c r="B22267" s="4" t="s">
        <v>28029</v>
      </c>
      <c r="C22267" s="5" t="str">
        <f>IFERROR(__xludf.DUMMYFUNCTION("GOOGLETRANSLATE(B22267,""en"",""es-ES"")"),"Ella le pega ligeramente la lengua a la cámara.")</f>
        <v>Ella le pega ligeramente la lengua a la cámara.</v>
      </c>
    </row>
    <row r="22268">
      <c r="A22268" s="4" t="s">
        <v>28030</v>
      </c>
      <c r="B22268" s="4" t="s">
        <v>28031</v>
      </c>
      <c r="C22268" s="5" t="str">
        <f>IFERROR(__xludf.DUMMYFUNCTION("GOOGLETRANSLATE(B22268,""en"",""es-ES"")"),"La gente se divierte jugando con pistolas de pelota de pintura de manera interesante, algunas conducen en autos y otros están en el suelo disparando bolas de pintura el uno al otro.")</f>
        <v>La gente se divierte jugando con pistolas de pelota de pintura de manera interesante, algunas conducen en autos y otros están en el suelo disparando bolas de pintura el uno al otro.</v>
      </c>
    </row>
    <row r="22269">
      <c r="A22269" s="4" t="s">
        <v>28030</v>
      </c>
      <c r="B22269" s="4" t="s">
        <v>28032</v>
      </c>
      <c r="C22269" s="5" t="str">
        <f>IFERROR(__xludf.DUMMYFUNCTION("GOOGLETRANSLATE(B22269,""en"",""es-ES"")"),"Hay personas en motocicletas, así como en el aire en paracaídas, solo tienen un gran día divertido.")</f>
        <v>Hay personas en motocicletas, así como en el aire en paracaídas, solo tienen un gran día divertido.</v>
      </c>
    </row>
    <row r="22270">
      <c r="A22270" s="4" t="s">
        <v>28030</v>
      </c>
      <c r="B22270" s="4" t="s">
        <v>28033</v>
      </c>
      <c r="C22270" s="5" t="str">
        <f>IFERROR(__xludf.DUMMYFUNCTION("GOOGLETRANSLATE(B22270,""en"",""es-ES"")"),"Un tipo parece tener un lanzador de cohetes de bola de pintura y dispara a un chico con él.")</f>
        <v>Un tipo parece tener un lanzador de cohetes de bola de pintura y dispara a un chico con él.</v>
      </c>
    </row>
    <row r="22271">
      <c r="A22271" s="4" t="s">
        <v>28030</v>
      </c>
      <c r="B22271" s="4" t="s">
        <v>28034</v>
      </c>
      <c r="C22271" s="5" t="str">
        <f>IFERROR(__xludf.DUMMYFUNCTION("GOOGLETRANSLATE(B22271,""en"",""es-ES"")"),"También hay personas en las tablas de patinaje de motor.")</f>
        <v>También hay personas en las tablas de patinaje de motor.</v>
      </c>
    </row>
    <row r="22272">
      <c r="A22272" s="4" t="s">
        <v>28030</v>
      </c>
      <c r="B22272" s="4" t="s">
        <v>28035</v>
      </c>
      <c r="C22272" s="5" t="str">
        <f>IFERROR(__xludf.DUMMYFUNCTION("GOOGLETRANSLATE(B22272,""en"",""es-ES"")"),"Muestran que un grupo de personas llegó a la cima de una pequeña colina para plantar allí y muchos de sus compañeros de equipo fueron derrotados.")</f>
        <v>Muestran que un grupo de personas llegó a la cima de una pequeña colina para plantar allí y muchos de sus compañeros de equipo fueron derrotados.</v>
      </c>
    </row>
    <row r="22273">
      <c r="A22273" s="4" t="s">
        <v>28036</v>
      </c>
      <c r="B22273" s="4" t="s">
        <v>28037</v>
      </c>
      <c r="C22273" s="5" t="str">
        <f>IFERROR(__xludf.DUMMYFUNCTION("GOOGLETRANSLATE(B22273,""en"",""es-ES"")"),"Dos chicas vestidas con una camisa roja y los spanx negros se inclinan sobre la preparación para un juego de volea.")</f>
        <v>Dos chicas vestidas con una camisa roja y los spanx negros se inclinan sobre la preparación para un juego de volea.</v>
      </c>
    </row>
    <row r="22274">
      <c r="A22274" s="4" t="s">
        <v>28036</v>
      </c>
      <c r="B22274" s="4" t="s">
        <v>28038</v>
      </c>
      <c r="C22274" s="5" t="str">
        <f>IFERROR(__xludf.DUMMYFUNCTION("GOOGLETRANSLATE(B22274,""en"",""es-ES"")"),"El otro equipo se muestra al otro lado de la red y sirven la pelota.")</f>
        <v>El otro equipo se muestra al otro lado de la red y sirven la pelota.</v>
      </c>
    </row>
    <row r="22275">
      <c r="A22275" s="4" t="s">
        <v>28036</v>
      </c>
      <c r="B22275" s="4" t="s">
        <v>28039</v>
      </c>
      <c r="C22275" s="5" t="str">
        <f>IFERROR(__xludf.DUMMYFUNCTION("GOOGLETRANSLATE(B22275,""en"",""es-ES"")"),"Ambas chicas comienzan a jugar, vuelve a golpear la pelota y la niña aplaude a medida que ganan un punto.")</f>
        <v>Ambas chicas comienzan a jugar, vuelve a golpear la pelota y la niña aplaude a medida que ganan un punto.</v>
      </c>
    </row>
    <row r="22276">
      <c r="A22276" s="4" t="s">
        <v>28040</v>
      </c>
      <c r="B22276" s="4" t="s">
        <v>28041</v>
      </c>
      <c r="C22276" s="5" t="str">
        <f>IFERROR(__xludf.DUMMYFUNCTION("GOOGLETRANSLATE(B22276,""en"",""es-ES"")"),"Hay muchos equipos diferentes remando muy rápido en un gran cuerpo de agua que está al aire libre, rodeado de muchos árboles y muchos edificios.")</f>
        <v>Hay muchos equipos diferentes remando muy rápido en un gran cuerpo de agua que está al aire libre, rodeado de muchos árboles y muchos edificios.</v>
      </c>
    </row>
    <row r="22277">
      <c r="A22277" s="4" t="s">
        <v>28040</v>
      </c>
      <c r="B22277" s="4" t="s">
        <v>28042</v>
      </c>
      <c r="C22277" s="5" t="str">
        <f>IFERROR(__xludf.DUMMYFUNCTION("GOOGLETRANSLATE(B22277,""en"",""es-ES"")"),"Ahora el enfoque está en las canoas que solo tienen una mujer y están corriendo en otra tal como lo hicieron los equipos, pero están solos y tienen números detrás de ellos.")</f>
        <v>Ahora el enfoque está en las canoas que solo tienen una mujer y están corriendo en otra tal como lo hicieron los equipos, pero están solos y tienen números detrás de ellos.</v>
      </c>
    </row>
    <row r="22278">
      <c r="A22278" s="4" t="s">
        <v>28040</v>
      </c>
      <c r="B22278" s="4" t="s">
        <v>28043</v>
      </c>
      <c r="C22278" s="5" t="str">
        <f>IFERROR(__xludf.DUMMYFUNCTION("GOOGLETRANSLATE(B22278,""en"",""es-ES"")"),"Ahora están mostrando canoas con dos hombres corriendo y también están remando muy rápido, y luego los equipos de 4 hombres comienzan a competir.")</f>
        <v>Ahora están mostrando canoas con dos hombres corriendo y también están remando muy rápido, y luego los equipos de 4 hombres comienzan a competir.</v>
      </c>
    </row>
    <row r="22279">
      <c r="A22279" s="4" t="s">
        <v>28040</v>
      </c>
      <c r="B22279" s="4" t="s">
        <v>28044</v>
      </c>
      <c r="C22279" s="5" t="str">
        <f>IFERROR(__xludf.DUMMYFUNCTION("GOOGLETRANSLATE(B22279,""en"",""es-ES"")"),"Cuando terminan de correr, ahora se les muestra caminando hacia un hombre y una mujer que coloca medallas en cintas alrededor de hombres y mujeres que se acercan a él.")</f>
        <v>Cuando terminan de correr, ahora se les muestra caminando hacia un hombre y una mujer que coloca medallas en cintas alrededor de hombres y mujeres que se acercan a él.</v>
      </c>
    </row>
    <row r="22280">
      <c r="A22280" s="4" t="s">
        <v>28040</v>
      </c>
      <c r="B22280" s="4" t="s">
        <v>28045</v>
      </c>
      <c r="C22280" s="5" t="str">
        <f>IFERROR(__xludf.DUMMYFUNCTION("GOOGLETRANSLATE(B22280,""en"",""es-ES"")"),"Cuando todas las medallas se han dado, la lista de ganadores comienza a mostrar en diferentes pantallas.")</f>
        <v>Cuando todas las medallas se han dado, la lista de ganadores comienza a mostrar en diferentes pantallas.</v>
      </c>
    </row>
    <row r="22281">
      <c r="A22281" s="4" t="s">
        <v>28046</v>
      </c>
      <c r="B22281" s="4" t="s">
        <v>28047</v>
      </c>
      <c r="C22281" s="5" t="str">
        <f>IFERROR(__xludf.DUMMYFUNCTION("GOOGLETRANSLATE(B22281,""en"",""es-ES"")"),"Dos personas están esquiando por una pendiente de montaña muy fría y nevada durante el invierno.")</f>
        <v>Dos personas están esquiando por una pendiente de montaña muy fría y nevada durante el invierno.</v>
      </c>
    </row>
    <row r="22282">
      <c r="A22282" s="4" t="s">
        <v>28046</v>
      </c>
      <c r="B22282" s="4" t="s">
        <v>28048</v>
      </c>
      <c r="C22282" s="5" t="str">
        <f>IFERROR(__xludf.DUMMYFUNCTION("GOOGLETRANSLATE(B22282,""en"",""es-ES"")"),"Ir a la izquierda y a la derecha y comenzando a acumular más velocidad a medida que avanzan.")</f>
        <v>Ir a la izquierda y a la derecha y comenzando a acumular más velocidad a medida que avanzan.</v>
      </c>
    </row>
    <row r="22283">
      <c r="A22283" s="4" t="s">
        <v>28046</v>
      </c>
      <c r="B22283" s="4" t="s">
        <v>28049</v>
      </c>
      <c r="C22283" s="5" t="str">
        <f>IFERROR(__xludf.DUMMYFUNCTION("GOOGLETRANSLATE(B22283,""en"",""es-ES"")"),"Uno de ellos cae y aún por la pendiente termina corriendo hacia otro esquiador haciendo que se caiga también.")</f>
        <v>Uno de ellos cae y aún por la pendiente termina corriendo hacia otro esquiador haciendo que se caiga también.</v>
      </c>
    </row>
    <row r="22284">
      <c r="A22284" s="4" t="s">
        <v>28046</v>
      </c>
      <c r="B22284" s="4" t="s">
        <v>28050</v>
      </c>
      <c r="C22284" s="5" t="str">
        <f>IFERROR(__xludf.DUMMYFUNCTION("GOOGLETRANSLATE(B22284,""en"",""es-ES"")"),"Intentan agarrar las manos y finalmente terminan en un punto de vista.")</f>
        <v>Intentan agarrar las manos y finalmente terminan en un punto de vista.</v>
      </c>
    </row>
    <row r="22285">
      <c r="A22285" s="4" t="s">
        <v>28051</v>
      </c>
      <c r="B22285" s="4" t="s">
        <v>28052</v>
      </c>
      <c r="C22285" s="5" t="str">
        <f>IFERROR(__xludf.DUMMYFUNCTION("GOOGLETRANSLATE(B22285,""en"",""es-ES"")"),"Vemos escritura verde en una pantalla de título negro.")</f>
        <v>Vemos escritura verde en una pantalla de título negro.</v>
      </c>
    </row>
    <row r="22286">
      <c r="A22286" s="4" t="s">
        <v>28051</v>
      </c>
      <c r="B22286" s="4" t="s">
        <v>28053</v>
      </c>
      <c r="C22286" s="5" t="str">
        <f>IFERROR(__xludf.DUMMYFUNCTION("GOOGLETRANSLATE(B22286,""en"",""es-ES"")"),"Una señora con un sujetador de encaje en blanco y negro se encuentra en una habitación negra bajo luces de punto brillante fumando un cigarrillo.")</f>
        <v>Una señora con un sujetador de encaje en blanco y negro se encuentra en una habitación negra bajo luces de punto brillante fumando un cigarrillo.</v>
      </c>
    </row>
    <row r="22287">
      <c r="A22287" s="4" t="s">
        <v>28051</v>
      </c>
      <c r="B22287" s="4" t="s">
        <v>27977</v>
      </c>
      <c r="C22287" s="5" t="str">
        <f>IFERROR(__xludf.DUMMYFUNCTION("GOOGLETRANSLATE(B22287,""en"",""es-ES"")"),"La señora empuja su cabello hacia atrás.")</f>
        <v>La señora empuja su cabello hacia atrás.</v>
      </c>
    </row>
    <row r="22288">
      <c r="A22288" s="4" t="s">
        <v>28051</v>
      </c>
      <c r="B22288" s="4" t="s">
        <v>28054</v>
      </c>
      <c r="C22288" s="5" t="str">
        <f>IFERROR(__xludf.DUMMYFUNCTION("GOOGLETRANSLATE(B22288,""en"",""es-ES"")"),"La señora ajusta su posición en la silla y mira hacia abajo.")</f>
        <v>La señora ajusta su posición en la silla y mira hacia abajo.</v>
      </c>
    </row>
    <row r="22289">
      <c r="A22289" s="4" t="s">
        <v>28051</v>
      </c>
      <c r="B22289" s="4" t="s">
        <v>5107</v>
      </c>
      <c r="C22289" s="5" t="str">
        <f>IFERROR(__xludf.DUMMYFUNCTION("GOOGLETRANSLATE(B22289,""en"",""es-ES"")"),"Luego vemos la pantalla de título final.")</f>
        <v>Luego vemos la pantalla de título final.</v>
      </c>
    </row>
    <row r="22290">
      <c r="A22290" s="4" t="s">
        <v>28055</v>
      </c>
      <c r="B22290" s="4" t="s">
        <v>28056</v>
      </c>
      <c r="C22290" s="5" t="str">
        <f>IFERROR(__xludf.DUMMYFUNCTION("GOOGLETRANSLATE(B22290,""en"",""es-ES"")"),"Una persona que lleva una máscara toca el acordeón.")</f>
        <v>Una persona que lleva una máscara toca el acordeón.</v>
      </c>
    </row>
    <row r="22291">
      <c r="A22291" s="4" t="s">
        <v>28055</v>
      </c>
      <c r="B22291" s="4" t="s">
        <v>28057</v>
      </c>
      <c r="C22291" s="5" t="str">
        <f>IFERROR(__xludf.DUMMYFUNCTION("GOOGLETRANSLATE(B22291,""en"",""es-ES"")"),"Una mujer saluda a la persona con la cámara.")</f>
        <v>Una mujer saluda a la persona con la cámara.</v>
      </c>
    </row>
    <row r="22292">
      <c r="A22292" s="4" t="s">
        <v>28058</v>
      </c>
      <c r="B22292" s="4" t="s">
        <v>28059</v>
      </c>
      <c r="C22292" s="5" t="str">
        <f>IFERROR(__xludf.DUMMYFUNCTION("GOOGLETRANSLATE(B22292,""en"",""es-ES"")"),"Se muestra un primer plano de nieve que conduce a un hombre tocando la batería.")</f>
        <v>Se muestra un primer plano de nieve que conduce a un hombre tocando la batería.</v>
      </c>
    </row>
    <row r="22293">
      <c r="A22293" s="4" t="s">
        <v>28058</v>
      </c>
      <c r="B22293" s="4" t="s">
        <v>28060</v>
      </c>
      <c r="C22293" s="5" t="str">
        <f>IFERROR(__xludf.DUMMYFUNCTION("GOOGLETRANSLATE(B22293,""en"",""es-ES"")"),"El hombre se inclina sobre un juego de tambores en la nieve mientras la cámara se acelera.")</f>
        <v>El hombre se inclina sobre un juego de tambores en la nieve mientras la cámara se acelera.</v>
      </c>
    </row>
    <row r="22294">
      <c r="A22294" s="4" t="s">
        <v>28058</v>
      </c>
      <c r="B22294" s="4" t="s">
        <v>28061</v>
      </c>
      <c r="C22294" s="5" t="str">
        <f>IFERROR(__xludf.DUMMYFUNCTION("GOOGLETRANSLATE(B22294,""en"",""es-ES"")"),"El hombre todavía toca la batería y se detiene para alejarse y mirar la cámara.")</f>
        <v>El hombre todavía toca la batería y se detiene para alejarse y mirar la cámara.</v>
      </c>
    </row>
    <row r="22295">
      <c r="A22295" s="4" t="s">
        <v>28062</v>
      </c>
      <c r="B22295" s="4" t="s">
        <v>28063</v>
      </c>
      <c r="C22295" s="5" t="str">
        <f>IFERROR(__xludf.DUMMYFUNCTION("GOOGLETRANSLATE(B22295,""en"",""es-ES"")"),"Un hombre está pintando una habitación.")</f>
        <v>Un hombre está pintando una habitación.</v>
      </c>
    </row>
    <row r="22296">
      <c r="A22296" s="4" t="s">
        <v>28062</v>
      </c>
      <c r="B22296" s="4" t="s">
        <v>28064</v>
      </c>
      <c r="C22296" s="5" t="str">
        <f>IFERROR(__xludf.DUMMYFUNCTION("GOOGLETRANSLATE(B22296,""en"",""es-ES"")"),"Se encuentra en muchas escaleras para llegar a las paredes.")</f>
        <v>Se encuentra en muchas escaleras para llegar a las paredes.</v>
      </c>
    </row>
    <row r="22297">
      <c r="A22297" s="4" t="s">
        <v>28062</v>
      </c>
      <c r="B22297" s="4" t="s">
        <v>28065</v>
      </c>
      <c r="C22297" s="5" t="str">
        <f>IFERROR(__xludf.DUMMYFUNCTION("GOOGLETRANSLATE(B22297,""en"",""es-ES"")"),"Él posa frente a una chimenea.")</f>
        <v>Él posa frente a una chimenea.</v>
      </c>
    </row>
    <row r="22298">
      <c r="A22298" s="4" t="s">
        <v>28066</v>
      </c>
      <c r="B22298" s="4" t="s">
        <v>28067</v>
      </c>
      <c r="C22298" s="5" t="str">
        <f>IFERROR(__xludf.DUMMYFUNCTION("GOOGLETRANSLATE(B22298,""en"",""es-ES"")"),"Una cámara captura varias tomas de sitios, así como personas paradas afuera bebiendo y celebrando.")</f>
        <v>Una cámara captura varias tomas de sitios, así como personas paradas afuera bebiendo y celebrando.</v>
      </c>
    </row>
    <row r="22299">
      <c r="A22299" s="4" t="s">
        <v>28066</v>
      </c>
      <c r="B22299" s="4" t="s">
        <v>28068</v>
      </c>
      <c r="C22299" s="5" t="str">
        <f>IFERROR(__xludf.DUMMYFUNCTION("GOOGLETRANSLATE(B22299,""en"",""es-ES"")"),"Un hombre saca una hierba y se ve un dron volando en la distancia.")</f>
        <v>Un hombre saca una hierba y se ve un dron volando en la distancia.</v>
      </c>
    </row>
    <row r="22300">
      <c r="A22300" s="4" t="s">
        <v>28066</v>
      </c>
      <c r="B22300" s="4" t="s">
        <v>28069</v>
      </c>
      <c r="C22300" s="5" t="str">
        <f>IFERROR(__xludf.DUMMYFUNCTION("GOOGLETRANSLATE(B22300,""en"",""es-ES"")"),"La gente intenta golpear el dron y luego se los ve conduciendo en un carrito de golf alrededor de otras personas.")</f>
        <v>La gente intenta golpear el dron y luego se los ve conduciendo en un carrito de golf alrededor de otras personas.</v>
      </c>
    </row>
    <row r="22301">
      <c r="A22301" s="4" t="s">
        <v>28066</v>
      </c>
      <c r="B22301" s="4" t="s">
        <v>28070</v>
      </c>
      <c r="C22301" s="5" t="str">
        <f>IFERROR(__xludf.DUMMYFUNCTION("GOOGLETRANSLATE(B22301,""en"",""es-ES"")"),"Un hombre aparece en un traje de guerrilla y el dron vuela sobre las personas que juegan y pasean.")</f>
        <v>Un hombre aparece en un traje de guerrilla y el dron vuela sobre las personas que juegan y pasean.</v>
      </c>
    </row>
    <row r="22302">
      <c r="A22302" s="4" t="s">
        <v>28071</v>
      </c>
      <c r="B22302" s="4" t="s">
        <v>28072</v>
      </c>
      <c r="C22302" s="5" t="str">
        <f>IFERROR(__xludf.DUMMYFUNCTION("GOOGLETRANSLATE(B22302,""en"",""es-ES"")"),"Una chica con top blanco y jeans azules está cepillando el pelaje del caballo en un lado, luego se movió al otro lado y luego se cepilló la pierna.")</f>
        <v>Una chica con top blanco y jeans azules está cepillando el pelaje del caballo en un lado, luego se movió al otro lado y luego se cepilló la pierna.</v>
      </c>
    </row>
    <row r="22303">
      <c r="A22303" s="4" t="s">
        <v>28071</v>
      </c>
      <c r="B22303" s="4" t="s">
        <v>28073</v>
      </c>
      <c r="C22303" s="5" t="str">
        <f>IFERROR(__xludf.DUMMYFUNCTION("GOOGLETRANSLATE(B22303,""en"",""es-ES"")"),"La señora recogió una botella negra y rocía el cuerpo del caballo, luego se quitó la tierra de los zapatos de caballo y luego puso pulido en los pies del caballo.")</f>
        <v>La señora recogió una botella negra y rocía el cuerpo del caballo, luego se quitó la tierra de los zapatos de caballo y luego puso pulido en los pies del caballo.</v>
      </c>
    </row>
    <row r="22304">
      <c r="A22304" s="4" t="s">
        <v>28074</v>
      </c>
      <c r="B22304" s="4" t="s">
        <v>28075</v>
      </c>
      <c r="C22304" s="5" t="str">
        <f>IFERROR(__xludf.DUMMYFUNCTION("GOOGLETRANSLATE(B22304,""en"",""es-ES"")"),"Un niño arregla una camisa en el suelo.")</f>
        <v>Un niño arregla una camisa en el suelo.</v>
      </c>
    </row>
    <row r="22305">
      <c r="A22305" s="4" t="s">
        <v>28074</v>
      </c>
      <c r="B22305" s="4" t="s">
        <v>28076</v>
      </c>
      <c r="C22305" s="5" t="str">
        <f>IFERROR(__xludf.DUMMYFUNCTION("GOOGLETRANSLATE(B22305,""en"",""es-ES"")"),"Agarra y hierve y hierve la camisa.")</f>
        <v>Agarra y hierve y hierve la camisa.</v>
      </c>
    </row>
    <row r="22306">
      <c r="A22306" s="4" t="s">
        <v>28074</v>
      </c>
      <c r="B22306" s="4" t="s">
        <v>28077</v>
      </c>
      <c r="C22306" s="5" t="str">
        <f>IFERROR(__xludf.DUMMYFUNCTION("GOOGLETRANSLATE(B22306,""en"",""es-ES"")"),"Él coloca la plancha y mira alrededor de la habitación.")</f>
        <v>Él coloca la plancha y mira alrededor de la habitación.</v>
      </c>
    </row>
    <row r="22307">
      <c r="A22307" s="4" t="s">
        <v>28078</v>
      </c>
      <c r="B22307" s="4" t="s">
        <v>28079</v>
      </c>
      <c r="C22307" s="5" t="str">
        <f>IFERROR(__xludf.DUMMYFUNCTION("GOOGLETRANSLATE(B22307,""en"",""es-ES"")"),"Un joven se para en una habitación oscura sosteniendo dos maracas y hablando con la cámara.")</f>
        <v>Un joven se para en una habitación oscura sosteniendo dos maracas y hablando con la cámara.</v>
      </c>
    </row>
    <row r="22308">
      <c r="A22308" s="4" t="s">
        <v>28078</v>
      </c>
      <c r="B22308" s="4" t="s">
        <v>28080</v>
      </c>
      <c r="C22308" s="5" t="str">
        <f>IFERROR(__xludf.DUMMYFUNCTION("GOOGLETRANSLATE(B22308,""en"",""es-ES"")"),"Otro hombre entra regañándolo y luego finalmente se quita las camisas.")</f>
        <v>Otro hombre entra regañándolo y luego finalmente se quita las camisas.</v>
      </c>
    </row>
    <row r="22309">
      <c r="A22309" s="4" t="s">
        <v>28078</v>
      </c>
      <c r="B22309" s="4" t="s">
        <v>28081</v>
      </c>
      <c r="C22309" s="5" t="str">
        <f>IFERROR(__xludf.DUMMYFUNCTION("GOOGLETRANSLATE(B22309,""en"",""es-ES"")"),"Caminan hacia el baño y frotan crema de afeitar por todas las piernas.")</f>
        <v>Caminan hacia el baño y frotan crema de afeitar por todas las piernas.</v>
      </c>
    </row>
    <row r="22310">
      <c r="A22310" s="4" t="s">
        <v>28078</v>
      </c>
      <c r="B22310" s="4" t="s">
        <v>28082</v>
      </c>
      <c r="C22310" s="5" t="str">
        <f>IFERROR(__xludf.DUMMYFUNCTION("GOOGLETRANSLATE(B22310,""en"",""es-ES"")"),"Comienzan a afeitarse las piernas y sosteniendo una navaja de afeitar sonriendo a la cámara.")</f>
        <v>Comienzan a afeitarse las piernas y sosteniendo una navaja de afeitar sonriendo a la cámara.</v>
      </c>
    </row>
    <row r="22311">
      <c r="A22311" s="4" t="s">
        <v>28083</v>
      </c>
      <c r="B22311" s="4" t="s">
        <v>28084</v>
      </c>
      <c r="C22311" s="5" t="str">
        <f>IFERROR(__xludf.DUMMYFUNCTION("GOOGLETRANSLATE(B22311,""en"",""es-ES"")"),"Un hombre camina afuera enchufa su cortadora de césped y se prepara para cortar.")</f>
        <v>Un hombre camina afuera enchufa su cortadora de césped y se prepara para cortar.</v>
      </c>
    </row>
    <row r="22312">
      <c r="A22312" s="4" t="s">
        <v>28083</v>
      </c>
      <c r="B22312" s="4" t="s">
        <v>28085</v>
      </c>
      <c r="C22312" s="5" t="str">
        <f>IFERROR(__xludf.DUMMYFUNCTION("GOOGLETRANSLATE(B22312,""en"",""es-ES"")"),"Comienza a cortar su césped casualmente sobre toda la hierba.")</f>
        <v>Comienza a cortar su césped casualmente sobre toda la hierba.</v>
      </c>
    </row>
    <row r="22313">
      <c r="A22313" s="4" t="s">
        <v>28083</v>
      </c>
      <c r="B22313" s="4" t="s">
        <v>28086</v>
      </c>
      <c r="C22313" s="5" t="str">
        <f>IFERROR(__xludf.DUMMYFUNCTION("GOOGLETRANSLATE(B22313,""en"",""es-ES"")"),"Su perro sale y comienza a seguirlo un poco mientras está más cerca de la casa.")</f>
        <v>Su perro sale y comienza a seguirlo un poco mientras está más cerca de la casa.</v>
      </c>
    </row>
    <row r="22314">
      <c r="A22314" s="4" t="s">
        <v>28083</v>
      </c>
      <c r="B22314" s="4" t="s">
        <v>28087</v>
      </c>
      <c r="C22314" s="5" t="str">
        <f>IFERROR(__xludf.DUMMYFUNCTION("GOOGLETRANSLATE(B22314,""en"",""es-ES"")"),"El patio está comenzando a verse muy bien, una vez que está completamente terminado, el patio se ve muy bien, agradable y suave.")</f>
        <v>El patio está comenzando a verse muy bien, una vez que está completamente terminado, el patio se ve muy bien, agradable y suave.</v>
      </c>
    </row>
    <row r="22315">
      <c r="A22315" s="4" t="s">
        <v>28088</v>
      </c>
      <c r="B22315" s="4" t="s">
        <v>28089</v>
      </c>
      <c r="C22315" s="5" t="str">
        <f>IFERROR(__xludf.DUMMYFUNCTION("GOOGLETRANSLATE(B22315,""en"",""es-ES"")"),"Un hombre está parado en una cocina hablando.")</f>
        <v>Un hombre está parado en una cocina hablando.</v>
      </c>
    </row>
    <row r="22316">
      <c r="A22316" s="4" t="s">
        <v>28088</v>
      </c>
      <c r="B22316" s="4" t="s">
        <v>28090</v>
      </c>
      <c r="C22316" s="5" t="str">
        <f>IFERROR(__xludf.DUMMYFUNCTION("GOOGLETRANSLATE(B22316,""en"",""es-ES"")"),"Utiliza un vacío para limpiar el piso.")</f>
        <v>Utiliza un vacío para limpiar el piso.</v>
      </c>
    </row>
    <row r="22317">
      <c r="A22317" s="4" t="s">
        <v>28088</v>
      </c>
      <c r="B22317" s="4" t="s">
        <v>28091</v>
      </c>
      <c r="C22317" s="5" t="str">
        <f>IFERROR(__xludf.DUMMYFUNCTION("GOOGLETRANSLATE(B22317,""en"",""es-ES"")"),"Elimina el filtro del vacío.")</f>
        <v>Elimina el filtro del vacío.</v>
      </c>
    </row>
    <row r="22318">
      <c r="A22318" s="4" t="s">
        <v>28088</v>
      </c>
      <c r="B22318" s="4" t="s">
        <v>28092</v>
      </c>
      <c r="C22318" s="5" t="str">
        <f>IFERROR(__xludf.DUMMYFUNCTION("GOOGLETRANSLATE(B22318,""en"",""es-ES"")"),"Habla un poco más después de esto.")</f>
        <v>Habla un poco más después de esto.</v>
      </c>
    </row>
    <row r="22319">
      <c r="A22319" s="4" t="s">
        <v>28093</v>
      </c>
      <c r="B22319" s="4" t="s">
        <v>28094</v>
      </c>
      <c r="C22319" s="5" t="str">
        <f>IFERROR(__xludf.DUMMYFUNCTION("GOOGLETRANSLATE(B22319,""en"",""es-ES"")"),"Un hombre de mediana edad habla mientras sostiene un trapeador.")</f>
        <v>Un hombre de mediana edad habla mientras sostiene un trapeador.</v>
      </c>
    </row>
    <row r="22320">
      <c r="A22320" s="4" t="s">
        <v>28093</v>
      </c>
      <c r="B22320" s="4" t="s">
        <v>28095</v>
      </c>
      <c r="C22320" s="5" t="str">
        <f>IFERROR(__xludf.DUMMYFUNCTION("GOOGLETRANSLATE(B22320,""en"",""es-ES"")"),"El hombre arroja una almohadilla de trapeador en el piso y pone el trapeador sobre él recogiendo la almohadilla.")</f>
        <v>El hombre arroja una almohadilla de trapeador en el piso y pone el trapeador sobre él recogiendo la almohadilla.</v>
      </c>
    </row>
    <row r="22321">
      <c r="A22321" s="4" t="s">
        <v>28093</v>
      </c>
      <c r="B22321" s="4" t="s">
        <v>28096</v>
      </c>
      <c r="C22321" s="5" t="str">
        <f>IFERROR(__xludf.DUMMYFUNCTION("GOOGLETRANSLATE(B22321,""en"",""es-ES"")"),"El hombre da la vuelta a la habitación limpiando el piso.")</f>
        <v>El hombre da la vuelta a la habitación limpiando el piso.</v>
      </c>
    </row>
    <row r="22322">
      <c r="A22322" s="4" t="s">
        <v>28093</v>
      </c>
      <c r="B22322" s="4" t="s">
        <v>28097</v>
      </c>
      <c r="C22322" s="5" t="str">
        <f>IFERROR(__xludf.DUMMYFUNCTION("GOOGLETRANSLATE(B22322,""en"",""es-ES"")"),"El mismo hombre está de pie en una cocina.")</f>
        <v>El mismo hombre está de pie en una cocina.</v>
      </c>
    </row>
    <row r="22323">
      <c r="A22323" s="4" t="s">
        <v>28093</v>
      </c>
      <c r="B22323" s="4" t="s">
        <v>28098</v>
      </c>
      <c r="C22323" s="5" t="str">
        <f>IFERROR(__xludf.DUMMYFUNCTION("GOOGLETRANSLATE(B22323,""en"",""es-ES"")"),"El hombre corre el agua sobre la almohadilla de la trapeación y luego la expulsa.")</f>
        <v>El hombre corre el agua sobre la almohadilla de la trapeación y luego la expulsa.</v>
      </c>
    </row>
    <row r="22324">
      <c r="A22324" s="4" t="s">
        <v>28093</v>
      </c>
      <c r="B22324" s="4" t="s">
        <v>28099</v>
      </c>
      <c r="C22324" s="5" t="str">
        <f>IFERROR(__xludf.DUMMYFUNCTION("GOOGLETRANSLATE(B22324,""en"",""es-ES"")"),"El hombre vuelve a lanzar la plataforma de la trapeadora y la recoge con el trapeador.")</f>
        <v>El hombre vuelve a lanzar la plataforma de la trapeadora y la recoge con el trapeador.</v>
      </c>
    </row>
    <row r="22325">
      <c r="A22325" s="4" t="s">
        <v>28093</v>
      </c>
      <c r="B22325" s="4" t="s">
        <v>28100</v>
      </c>
      <c r="C22325" s="5" t="str">
        <f>IFERROR(__xludf.DUMMYFUNCTION("GOOGLETRANSLATE(B22325,""en"",""es-ES"")"),"El hombre traza el piso alrededor de los muebles.")</f>
        <v>El hombre traza el piso alrededor de los muebles.</v>
      </c>
    </row>
    <row r="22326">
      <c r="A22326" s="4" t="s">
        <v>28101</v>
      </c>
      <c r="B22326" s="4" t="s">
        <v>28102</v>
      </c>
      <c r="C22326" s="5" t="str">
        <f>IFERROR(__xludf.DUMMYFUNCTION("GOOGLETRANSLATE(B22326,""en"",""es-ES"")"),"Un hombre anciano está usando un entrenador elíptico dentro de un gimnasio.")</f>
        <v>Un hombre anciano está usando un entrenador elíptico dentro de un gimnasio.</v>
      </c>
    </row>
    <row r="22327">
      <c r="A22327" s="4" t="s">
        <v>28101</v>
      </c>
      <c r="B22327" s="4" t="s">
        <v>28103</v>
      </c>
      <c r="C22327" s="5" t="str">
        <f>IFERROR(__xludf.DUMMYFUNCTION("GOOGLETRANSLATE(B22327,""en"",""es-ES"")"),"Él pedaliza y empuja de un lado a otro mientras habla con la persona con la cámara.")</f>
        <v>Él pedaliza y empuja de un lado a otro mientras habla con la persona con la cámara.</v>
      </c>
    </row>
    <row r="22328">
      <c r="A22328" s="4" t="s">
        <v>28104</v>
      </c>
      <c r="B22328" s="4" t="s">
        <v>28105</v>
      </c>
      <c r="C22328" s="5" t="str">
        <f>IFERROR(__xludf.DUMMYFUNCTION("GOOGLETRANSLATE(B22328,""en"",""es-ES"")"),"Un grupo está flotando perezosamente en intertubos en un río.")</f>
        <v>Un grupo está flotando perezosamente en intertubos en un río.</v>
      </c>
    </row>
    <row r="22329">
      <c r="A22329" s="4" t="s">
        <v>28104</v>
      </c>
      <c r="B22329" s="4" t="s">
        <v>28106</v>
      </c>
      <c r="C22329" s="5" t="str">
        <f>IFERROR(__xludf.DUMMYFUNCTION("GOOGLETRANSLATE(B22329,""en"",""es-ES"")"),"La gente se toma de la mano para que se mantengan juntas.")</f>
        <v>La gente se toma de la mano para que se mantengan juntas.</v>
      </c>
    </row>
    <row r="22330">
      <c r="A22330" s="4" t="s">
        <v>28104</v>
      </c>
      <c r="B22330" s="4" t="s">
        <v>28107</v>
      </c>
      <c r="C22330" s="5" t="str">
        <f>IFERROR(__xludf.DUMMYFUNCTION("GOOGLETRANSLATE(B22330,""en"",""es-ES"")"),"Flotan por el agua bajo la lluvia, a través de los rápidos.")</f>
        <v>Flotan por el agua bajo la lluvia, a través de los rápidos.</v>
      </c>
    </row>
    <row r="22331">
      <c r="A22331" s="4" t="s">
        <v>28108</v>
      </c>
      <c r="B22331" s="4" t="s">
        <v>4448</v>
      </c>
      <c r="C22331" s="5" t="str">
        <f>IFERROR(__xludf.DUMMYFUNCTION("GOOGLETRANSLATE(B22331,""en"",""es-ES"")"),"Vemos la pantalla de título de apertura.")</f>
        <v>Vemos la pantalla de título de apertura.</v>
      </c>
    </row>
    <row r="22332">
      <c r="A22332" s="4" t="s">
        <v>28108</v>
      </c>
      <c r="B22332" s="4" t="s">
        <v>28109</v>
      </c>
      <c r="C22332" s="5" t="str">
        <f>IFERROR(__xludf.DUMMYFUNCTION("GOOGLETRANSLATE(B22332,""en"",""es-ES"")"),"Vemos el océano y una isla en el agua.")</f>
        <v>Vemos el océano y una isla en el agua.</v>
      </c>
    </row>
    <row r="22333">
      <c r="A22333" s="4" t="s">
        <v>28108</v>
      </c>
      <c r="B22333" s="4" t="s">
        <v>28110</v>
      </c>
      <c r="C22333" s="5" t="str">
        <f>IFERROR(__xludf.DUMMYFUNCTION("GOOGLETRANSLATE(B22333,""en"",""es-ES"")"),"Vemos a una persona Kitesurf en el agua.")</f>
        <v>Vemos a una persona Kitesurf en el agua.</v>
      </c>
    </row>
    <row r="22334">
      <c r="A22334" s="4" t="s">
        <v>28108</v>
      </c>
      <c r="B22334" s="4" t="s">
        <v>28111</v>
      </c>
      <c r="C22334" s="5" t="str">
        <f>IFERROR(__xludf.DUMMYFUNCTION("GOOGLETRANSLATE(B22334,""en"",""es-ES"")"),"Luego vemos a dos personas kitesurf.")</f>
        <v>Luego vemos a dos personas kitesurf.</v>
      </c>
    </row>
    <row r="22335">
      <c r="A22335" s="4" t="s">
        <v>28108</v>
      </c>
      <c r="B22335" s="4" t="s">
        <v>28112</v>
      </c>
      <c r="C22335" s="5" t="str">
        <f>IFERROR(__xludf.DUMMYFUNCTION("GOOGLETRANSLATE(B22335,""en"",""es-ES"")"),"Volvemos a una sola persona surfeando.")</f>
        <v>Volvemos a una sola persona surfeando.</v>
      </c>
    </row>
    <row r="22336">
      <c r="A22336" s="4" t="s">
        <v>28108</v>
      </c>
      <c r="B22336" s="4" t="s">
        <v>28113</v>
      </c>
      <c r="C22336" s="5" t="str">
        <f>IFERROR(__xludf.DUMMYFUNCTION("GOOGLETRANSLATE(B22336,""en"",""es-ES"")"),"Vemos la isla desde arriba.")</f>
        <v>Vemos la isla desde arriba.</v>
      </c>
    </row>
    <row r="22337">
      <c r="A22337" s="4" t="s">
        <v>28108</v>
      </c>
      <c r="B22337" s="4" t="s">
        <v>28114</v>
      </c>
      <c r="C22337" s="5" t="str">
        <f>IFERROR(__xludf.DUMMYFUNCTION("GOOGLETRANSLATE(B22337,""en"",""es-ES"")"),"Regresamos al surfista en el agua.")</f>
        <v>Regresamos al surfista en el agua.</v>
      </c>
    </row>
    <row r="22338">
      <c r="A22338" s="4" t="s">
        <v>28108</v>
      </c>
      <c r="B22338" s="4" t="s">
        <v>10150</v>
      </c>
      <c r="C22338" s="5" t="str">
        <f>IFERROR(__xludf.DUMMYFUNCTION("GOOGLETRANSLATE(B22338,""en"",""es-ES"")"),"Luego vemos la pantalla de título de cierre.")</f>
        <v>Luego vemos la pantalla de título de cierre.</v>
      </c>
    </row>
    <row r="22339">
      <c r="A22339" s="4" t="s">
        <v>28115</v>
      </c>
      <c r="B22339" s="4" t="s">
        <v>28116</v>
      </c>
      <c r="C22339" s="5" t="str">
        <f>IFERROR(__xludf.DUMMYFUNCTION("GOOGLETRANSLATE(B22339,""en"",""es-ES"")"),"Un hombre sale de una casa mientras un perro lo sigue.")</f>
        <v>Un hombre sale de una casa mientras un perro lo sigue.</v>
      </c>
    </row>
    <row r="22340">
      <c r="A22340" s="4" t="s">
        <v>28115</v>
      </c>
      <c r="B22340" s="4" t="s">
        <v>28117</v>
      </c>
      <c r="C22340" s="5" t="str">
        <f>IFERROR(__xludf.DUMMYFUNCTION("GOOGLETRANSLATE(B22340,""en"",""es-ES"")"),"Luego, un niño pequeño sale de la casa, párese en el borde de la piscina y cae en el agua.")</f>
        <v>Luego, un niño pequeño sale de la casa, párese en el borde de la piscina y cae en el agua.</v>
      </c>
    </row>
    <row r="22341">
      <c r="A22341" s="4" t="s">
        <v>28115</v>
      </c>
      <c r="B22341" s="4" t="s">
        <v>28118</v>
      </c>
      <c r="C22341" s="5" t="str">
        <f>IFERROR(__xludf.DUMMYFUNCTION("GOOGLETRANSLATE(B22341,""en"",""es-ES"")"),"El bebé flota boca arriba, luego un hombre viene y toma al bebé.")</f>
        <v>El bebé flota boca arriba, luego un hombre viene y toma al bebé.</v>
      </c>
    </row>
    <row r="22342">
      <c r="A22342" s="4" t="s">
        <v>28115</v>
      </c>
      <c r="B22342" s="4" t="s">
        <v>28119</v>
      </c>
      <c r="C22342" s="5" t="str">
        <f>IFERROR(__xludf.DUMMYFUNCTION("GOOGLETRANSLATE(B22342,""en"",""es-ES"")"),"Una mujer pone a un bebé en la piscina, y el bebé nada rápido para llegar al borde de la piscina.")</f>
        <v>Una mujer pone a un bebé en la piscina, y el bebé nada rápido para llegar al borde de la piscina.</v>
      </c>
    </row>
    <row r="22343">
      <c r="A22343" s="4" t="s">
        <v>28115</v>
      </c>
      <c r="B22343" s="4" t="s">
        <v>28120</v>
      </c>
      <c r="C22343" s="5" t="str">
        <f>IFERROR(__xludf.DUMMYFUNCTION("GOOGLETRANSLATE(B22343,""en"",""es-ES"")"),"Una mujer pone al bebé en la piscina que se balancea y flota.")</f>
        <v>Una mujer pone al bebé en la piscina que se balancea y flota.</v>
      </c>
    </row>
    <row r="22344">
      <c r="A22344" s="4" t="s">
        <v>28121</v>
      </c>
      <c r="B22344" s="4" t="s">
        <v>28122</v>
      </c>
      <c r="C22344" s="5" t="str">
        <f>IFERROR(__xludf.DUMMYFUNCTION("GOOGLETRANSLATE(B22344,""en"",""es-ES"")"),"Dos mujeres están frente a una cámara, la mujer con la camisa roja está hablando.")</f>
        <v>Dos mujeres están frente a una cámara, la mujer con la camisa roja está hablando.</v>
      </c>
    </row>
    <row r="22345">
      <c r="A22345" s="4" t="s">
        <v>28121</v>
      </c>
      <c r="B22345" s="4" t="s">
        <v>28123</v>
      </c>
      <c r="C22345" s="5" t="str">
        <f>IFERROR(__xludf.DUMMYFUNCTION("GOOGLETRANSLATE(B22345,""en"",""es-ES"")"),"Ambas mujeres pusieron algo de una taza en la boca.")</f>
        <v>Ambas mujeres pusieron algo de una taza en la boca.</v>
      </c>
    </row>
    <row r="22346">
      <c r="A22346" s="4" t="s">
        <v>28121</v>
      </c>
      <c r="B22346" s="4" t="s">
        <v>28124</v>
      </c>
      <c r="C22346" s="5" t="str">
        <f>IFERROR(__xludf.DUMMYFUNCTION("GOOGLETRANSLATE(B22346,""en"",""es-ES"")"),"La mujer de rojo comienza a bailar.")</f>
        <v>La mujer de rojo comienza a bailar.</v>
      </c>
    </row>
    <row r="22347">
      <c r="A22347" s="4" t="s">
        <v>28121</v>
      </c>
      <c r="B22347" s="4" t="s">
        <v>28125</v>
      </c>
      <c r="C22347" s="5" t="str">
        <f>IFERROR(__xludf.DUMMYFUNCTION("GOOGLETRANSLATE(B22347,""en"",""es-ES"")"),"La mujer de negro hace una cara a la cámara.")</f>
        <v>La mujer de negro hace una cara a la cámara.</v>
      </c>
    </row>
    <row r="22348">
      <c r="A22348" s="4" t="s">
        <v>28121</v>
      </c>
      <c r="B22348" s="4" t="s">
        <v>28126</v>
      </c>
      <c r="C22348" s="5" t="str">
        <f>IFERROR(__xludf.DUMMYFUNCTION("GOOGLETRANSLATE(B22348,""en"",""es-ES"")"),"Ambas chicas se inclinan un poco frente a la cámara.")</f>
        <v>Ambas chicas se inclinan un poco frente a la cámara.</v>
      </c>
    </row>
    <row r="22349">
      <c r="A22349" s="4" t="s">
        <v>28121</v>
      </c>
      <c r="B22349" s="4" t="s">
        <v>28127</v>
      </c>
      <c r="C22349" s="5" t="str">
        <f>IFERROR(__xludf.DUMMYFUNCTION("GOOGLETRANSLATE(B22349,""en"",""es-ES"")"),"La mujer de rojo deja de bailar y comienza a reír y la mujer de negro también hace esto.")</f>
        <v>La mujer de rojo deja de bailar y comienza a reír y la mujer de negro también hace esto.</v>
      </c>
    </row>
    <row r="22350">
      <c r="A22350" s="4" t="s">
        <v>28121</v>
      </c>
      <c r="B22350" s="4" t="s">
        <v>28128</v>
      </c>
      <c r="C22350" s="5" t="str">
        <f>IFERROR(__xludf.DUMMYFUNCTION("GOOGLETRANSLATE(B22350,""en"",""es-ES"")"),"Parece que ambas mujeres tragan o escupen lo que estaba en la boca.")</f>
        <v>Parece que ambas mujeres tragan o escupen lo que estaba en la boca.</v>
      </c>
    </row>
    <row r="22351">
      <c r="A22351" s="4" t="s">
        <v>28129</v>
      </c>
      <c r="B22351" s="4" t="s">
        <v>28130</v>
      </c>
      <c r="C22351" s="5" t="str">
        <f>IFERROR(__xludf.DUMMYFUNCTION("GOOGLETRANSLATE(B22351,""en"",""es-ES"")"),"Se ve a un niño pequeño hablando con la cámara mientras usa mitades del horno y sosteniendo un palo.")</f>
        <v>Se ve a un niño pequeño hablando con la cámara mientras usa mitades del horno y sosteniendo un palo.</v>
      </c>
    </row>
    <row r="22352">
      <c r="A22352" s="4" t="s">
        <v>28129</v>
      </c>
      <c r="B22352" s="4" t="s">
        <v>28131</v>
      </c>
      <c r="C22352" s="5" t="str">
        <f>IFERROR(__xludf.DUMMYFUNCTION("GOOGLETRANSLATE(B22352,""en"",""es-ES"")"),"El niño luego abre y la puerta del horno y saca un plato de galletas.")</f>
        <v>El niño luego abre y la puerta del horno y saca un plato de galletas.</v>
      </c>
    </row>
    <row r="22353">
      <c r="A22353" s="4" t="s">
        <v>28129</v>
      </c>
      <c r="B22353" s="4" t="s">
        <v>28132</v>
      </c>
      <c r="C22353" s="5" t="str">
        <f>IFERROR(__xludf.DUMMYFUNCTION("GOOGLETRANSLATE(B22353,""en"",""es-ES"")"),"Utiliza el palo para empujar la rejilla hacia atrás y cierra el horno mientras ondea a la cámara.")</f>
        <v>Utiliza el palo para empujar la rejilla hacia atrás y cierra el horno mientras ondea a la cámara.</v>
      </c>
    </row>
    <row r="22354">
      <c r="A22354" s="4" t="s">
        <v>28133</v>
      </c>
      <c r="B22354" s="4" t="s">
        <v>28134</v>
      </c>
      <c r="C22354" s="5" t="str">
        <f>IFERROR(__xludf.DUMMYFUNCTION("GOOGLETRANSLATE(B22354,""en"",""es-ES"")"),"Un hombre con una camisa amarilla tiene las manos detrás de la cabeza.")</f>
        <v>Un hombre con una camisa amarilla tiene las manos detrás de la cabeza.</v>
      </c>
    </row>
    <row r="22355">
      <c r="A22355" s="4" t="s">
        <v>28133</v>
      </c>
      <c r="B22355" s="4" t="s">
        <v>28135</v>
      </c>
      <c r="C22355" s="5" t="str">
        <f>IFERROR(__xludf.DUMMYFUNCTION("GOOGLETRANSLATE(B22355,""en"",""es-ES"")"),"Está corriendo por una pista y lanzando una jabalina.")</f>
        <v>Está corriendo por una pista y lanzando una jabalina.</v>
      </c>
    </row>
    <row r="22356">
      <c r="A22356" s="4" t="s">
        <v>28133</v>
      </c>
      <c r="B22356" s="4" t="s">
        <v>28136</v>
      </c>
      <c r="C22356" s="5" t="str">
        <f>IFERROR(__xludf.DUMMYFUNCTION("GOOGLETRANSLATE(B22356,""en"",""es-ES"")"),"Él tropieza y cae hacia adelante.")</f>
        <v>Él tropieza y cae hacia adelante.</v>
      </c>
    </row>
    <row r="22357">
      <c r="A22357" s="4" t="s">
        <v>28133</v>
      </c>
      <c r="B22357" s="4" t="s">
        <v>28137</v>
      </c>
      <c r="C22357" s="5" t="str">
        <f>IFERROR(__xludf.DUMMYFUNCTION("GOOGLETRANSLATE(B22357,""en"",""es-ES"")"),"Una foto del campo es espectáculos con muchas personas caminando sobre él.")</f>
        <v>Una foto del campo es espectáculos con muchas personas caminando sobre él.</v>
      </c>
    </row>
    <row r="22358">
      <c r="A22358" s="4" t="s">
        <v>28138</v>
      </c>
      <c r="B22358" s="4" t="s">
        <v>28139</v>
      </c>
      <c r="C22358" s="5" t="str">
        <f>IFERROR(__xludf.DUMMYFUNCTION("GOOGLETRANSLATE(B22358,""en"",""es-ES"")"),"Las gimnastas se estiran y se preparan para una rutina.")</f>
        <v>Las gimnastas se estiran y se preparan para una rutina.</v>
      </c>
    </row>
    <row r="22359">
      <c r="A22359" s="4" t="s">
        <v>28138</v>
      </c>
      <c r="B22359" s="4" t="s">
        <v>28140</v>
      </c>
      <c r="C22359" s="5" t="str">
        <f>IFERROR(__xludf.DUMMYFUNCTION("GOOGLETRANSLATE(B22359,""en"",""es-ES"")"),"Hacen un montón de cosas con sus camisas apagadas.")</f>
        <v>Hacen un montón de cosas con sus camisas apagadas.</v>
      </c>
    </row>
    <row r="22360">
      <c r="A22360" s="4" t="s">
        <v>28141</v>
      </c>
      <c r="B22360" s="4" t="s">
        <v>28142</v>
      </c>
      <c r="C22360" s="5" t="str">
        <f>IFERROR(__xludf.DUMMYFUNCTION("GOOGLETRANSLATE(B22360,""en"",""es-ES"")"),"Se ve dos luchadores en un anillo con uno corriendo hacia el otro.")</f>
        <v>Se ve dos luchadores en un anillo con uno corriendo hacia el otro.</v>
      </c>
    </row>
    <row r="22361">
      <c r="A22361" s="4" t="s">
        <v>28141</v>
      </c>
      <c r="B22361" s="4" t="s">
        <v>28143</v>
      </c>
      <c r="C22361" s="5" t="str">
        <f>IFERROR(__xludf.DUMMYFUNCTION("GOOGLETRANSLATE(B22361,""en"",""es-ES"")"),"Un luchador agarra al otro y lo voltea sobre sus hombros, luego un árbitro golpea el costado para tocar.")</f>
        <v>Un luchador agarra al otro y lo voltea sobre sus hombros, luego un árbitro golpea el costado para tocar.</v>
      </c>
    </row>
    <row r="22362">
      <c r="A22362" s="4" t="s">
        <v>28144</v>
      </c>
      <c r="B22362" s="4" t="s">
        <v>28145</v>
      </c>
      <c r="C22362" s="5" t="str">
        <f>IFERROR(__xludf.DUMMYFUNCTION("GOOGLETRANSLATE(B22362,""en"",""es-ES"")"),"Una mujer está sentada en una estera en el suelo.")</f>
        <v>Una mujer está sentada en una estera en el suelo.</v>
      </c>
    </row>
    <row r="22363">
      <c r="A22363" s="4" t="s">
        <v>28144</v>
      </c>
      <c r="B22363" s="4" t="s">
        <v>28146</v>
      </c>
      <c r="C22363" s="5" t="str">
        <f>IFERROR(__xludf.DUMMYFUNCTION("GOOGLETRANSLATE(B22363,""en"",""es-ES"")"),"Un hombre está hablando de cómo usar un Bowflex.")</f>
        <v>Un hombre está hablando de cómo usar un Bowflex.</v>
      </c>
    </row>
    <row r="22364">
      <c r="A22364" s="4" t="s">
        <v>28144</v>
      </c>
      <c r="B22364" s="4" t="s">
        <v>28147</v>
      </c>
      <c r="C22364" s="5" t="str">
        <f>IFERROR(__xludf.DUMMYFUNCTION("GOOGLETRANSLATE(B22364,""en"",""es-ES"")"),"Ella se acuesta, haciendo sentados mientras él continúa hablando.")</f>
        <v>Ella se acuesta, haciendo sentados mientras él continúa hablando.</v>
      </c>
    </row>
    <row r="22365">
      <c r="A22365" s="4" t="s">
        <v>28148</v>
      </c>
      <c r="B22365" s="4" t="s">
        <v>28149</v>
      </c>
      <c r="C22365" s="5" t="str">
        <f>IFERROR(__xludf.DUMMYFUNCTION("GOOGLETRANSLATE(B22365,""en"",""es-ES"")"),"Un televisor de pantalla plana está sentada en un stand que muestra el programa de televisión Raw.")</f>
        <v>Un televisor de pantalla plana está sentada en un stand que muestra el programa de televisión Raw.</v>
      </c>
    </row>
    <row r="22366">
      <c r="A22366" s="4" t="s">
        <v>28148</v>
      </c>
      <c r="B22366" s="4" t="s">
        <v>28150</v>
      </c>
      <c r="C22366" s="5" t="str">
        <f>IFERROR(__xludf.DUMMYFUNCTION("GOOGLETRANSLATE(B22366,""en"",""es-ES"")"),"En el programa, dos hombres luchan cada uno sobre moviéndose en el suelo.")</f>
        <v>En el programa, dos hombres luchan cada uno sobre moviéndose en el suelo.</v>
      </c>
    </row>
    <row r="22367">
      <c r="A22367" s="4" t="s">
        <v>28148</v>
      </c>
      <c r="B22367" s="4" t="s">
        <v>28151</v>
      </c>
      <c r="C22367" s="5" t="str">
        <f>IFERROR(__xludf.DUMMYFUNCTION("GOOGLETRANSLATE(B22367,""en"",""es-ES"")"),"El hombre gordo luego recoge al tipo delgado, lo deja caer y se detiene sobre él.")</f>
        <v>El hombre gordo luego recoge al tipo delgado, lo deja caer y se detiene sobre él.</v>
      </c>
    </row>
    <row r="22368">
      <c r="A22368" s="4" t="s">
        <v>28152</v>
      </c>
      <c r="B22368" s="4" t="s">
        <v>28153</v>
      </c>
      <c r="C22368" s="5" t="str">
        <f>IFERROR(__xludf.DUMMYFUNCTION("GOOGLETRANSLATE(B22368,""en"",""es-ES"")"),"Una persona sostiene a un perro cubierto de espuma y sostiene una botella de champú en un patio.")</f>
        <v>Una persona sostiene a un perro cubierto de espuma y sostiene una botella de champú en un patio.</v>
      </c>
    </row>
    <row r="22369">
      <c r="A22369" s="4" t="s">
        <v>28152</v>
      </c>
      <c r="B22369" s="4" t="s">
        <v>28154</v>
      </c>
      <c r="C22369" s="5" t="str">
        <f>IFERROR(__xludf.DUMMYFUNCTION("GOOGLETRANSLATE(B22369,""en"",""es-ES"")"),"Vemos a la persona de pie junto al perro y lo lavamos con el champú.")</f>
        <v>Vemos a la persona de pie junto al perro y lo lavamos con el champú.</v>
      </c>
    </row>
    <row r="22370">
      <c r="A22370" s="4" t="s">
        <v>28152</v>
      </c>
      <c r="B22370" s="4" t="s">
        <v>28155</v>
      </c>
      <c r="C22370" s="5" t="str">
        <f>IFERROR(__xludf.DUMMYFUNCTION("GOOGLETRANSLATE(B22370,""en"",""es-ES"")"),"Una persona agita su mano frente al perro.")</f>
        <v>Una persona agita su mano frente al perro.</v>
      </c>
    </row>
    <row r="22371">
      <c r="A22371" s="4" t="s">
        <v>28152</v>
      </c>
      <c r="B22371" s="4" t="s">
        <v>28156</v>
      </c>
      <c r="C22371" s="5" t="str">
        <f>IFERROR(__xludf.DUMMYFUNCTION("GOOGLETRANSLATE(B22371,""en"",""es-ES"")"),"La cámara sortea y vemos a otro perro acostado en el suelo.")</f>
        <v>La cámara sortea y vemos a otro perro acostado en el suelo.</v>
      </c>
    </row>
    <row r="22372">
      <c r="A22372" s="4" t="s">
        <v>28157</v>
      </c>
      <c r="B22372" s="4" t="s">
        <v>28158</v>
      </c>
      <c r="C22372" s="5" t="str">
        <f>IFERROR(__xludf.DUMMYFUNCTION("GOOGLETRANSLATE(B22372,""en"",""es-ES"")"),"Aparece una pantalla blanca con una imagen de un globo y un banner a su alrededor con palabras amarillas que dicen ""Abada-Capoeira"" y se sigue con varias pantallas blancas que tienen escritura negra en cada pantalla individual.")</f>
        <v>Aparece una pantalla blanca con una imagen de un globo y un banner a su alrededor con palabras amarillas que dicen "Abada-Capoeira" y se sigue con varias pantallas blancas que tienen escritura negra en cada pantalla individual.</v>
      </c>
    </row>
    <row r="22373">
      <c r="A22373" s="4" t="s">
        <v>28157</v>
      </c>
      <c r="B22373" s="4" t="s">
        <v>28159</v>
      </c>
      <c r="C22373" s="5" t="str">
        <f>IFERROR(__xludf.DUMMYFUNCTION("GOOGLETRANSLATE(B22373,""en"",""es-ES"")"),"Las personas que incluyen niños y adultos se reúnen en una habitación y están viendo una película que se proyecta en una gran pared.")</f>
        <v>Las personas que incluyen niños y adultos se reúnen en una habitación y están viendo una película que se proyecta en una gran pared.</v>
      </c>
    </row>
    <row r="22374">
      <c r="A22374" s="4" t="s">
        <v>28157</v>
      </c>
      <c r="B22374" s="4" t="s">
        <v>28160</v>
      </c>
      <c r="C22374" s="5" t="str">
        <f>IFERROR(__xludf.DUMMYFUNCTION("GOOGLETRANSLATE(B22374,""en"",""es-ES"")"),"Ahora hay personas que están vestidas de blanco y están en una habitación con alfombras azules en el suelo y varias personas diferentes, incluidos adultos y niños, todos están bailando estilo capoeira, o por separado, mientras que algunas personas tocan i"&amp;"nstrumentos y algunas personas simplemente los miran. .")</f>
        <v>Ahora hay personas que están vestidas de blanco y están en una habitación con alfombras azules en el suelo y varias personas diferentes, incluidos adultos y niños, todos están bailando estilo capoeira, o por separado, mientras que algunas personas tocan instrumentos y algunas personas simplemente los miran. .</v>
      </c>
    </row>
    <row r="22375">
      <c r="A22375" s="4" t="s">
        <v>28157</v>
      </c>
      <c r="B22375" s="4" t="s">
        <v>28161</v>
      </c>
      <c r="C22375" s="5" t="str">
        <f>IFERROR(__xludf.DUMMYFUNCTION("GOOGLETRANSLATE(B22375,""en"",""es-ES"")"),"Cuando terminan de bailar, muchos de los niños se acumulan en y alrededor de un hombre adulto y toman una foto grupal.")</f>
        <v>Cuando terminan de bailar, muchos de los niños se acumulan en y alrededor de un hombre adulto y toman una foto grupal.</v>
      </c>
    </row>
    <row r="22376">
      <c r="A22376" s="4" t="s">
        <v>28157</v>
      </c>
      <c r="B22376" s="4" t="s">
        <v>28162</v>
      </c>
      <c r="C22376" s="5" t="str">
        <f>IFERROR(__xludf.DUMMYFUNCTION("GOOGLETRANSLATE(B22376,""en"",""es-ES"")"),"Aparece el outro y es el globo, las pantallas blancas con palabras negras en cada una, y luego logotipos.")</f>
        <v>Aparece el outro y es el globo, las pantallas blancas con palabras negras en cada una, y luego logotipos.</v>
      </c>
    </row>
    <row r="22377">
      <c r="A22377" s="4" t="s">
        <v>28163</v>
      </c>
      <c r="B22377" s="4" t="s">
        <v>28164</v>
      </c>
      <c r="C22377" s="5" t="str">
        <f>IFERROR(__xludf.DUMMYFUNCTION("GOOGLETRANSLATE(B22377,""en"",""es-ES"")"),"Dos niños hermanos entran en una cocina, luego un niño pequeño lava los platos en el fregadero.")</f>
        <v>Dos niños hermanos entran en una cocina, luego un niño pequeño lava los platos en el fregadero.</v>
      </c>
    </row>
    <row r="22378">
      <c r="A22378" s="4" t="s">
        <v>28163</v>
      </c>
      <c r="B22378" s="4" t="s">
        <v>28165</v>
      </c>
      <c r="C22378" s="5" t="str">
        <f>IFERROR(__xludf.DUMMYFUNCTION("GOOGLETRANSLATE(B22378,""en"",""es-ES"")"),"La madre pone platos en el fregadero y abre el lavavajillas.")</f>
        <v>La madre pone platos en el fregadero y abre el lavavajillas.</v>
      </c>
    </row>
    <row r="22379">
      <c r="A22379" s="4" t="s">
        <v>28163</v>
      </c>
      <c r="B22379" s="4" t="s">
        <v>28166</v>
      </c>
      <c r="C22379" s="5" t="str">
        <f>IFERROR(__xludf.DUMMYFUNCTION("GOOGLETRANSLATE(B22379,""en"",""es-ES"")"),"La hermana pequeña ayuda con el lavavajillas y luego sube la silla alta y ayuda a lavar los platos y el niño pequeño carga el lavavajillas.")</f>
        <v>La hermana pequeña ayuda con el lavavajillas y luego sube la silla alta y ayuda a lavar los platos y el niño pequeño carga el lavavajillas.</v>
      </c>
    </row>
    <row r="22380">
      <c r="A22380" s="4" t="s">
        <v>28163</v>
      </c>
      <c r="B22380" s="4" t="s">
        <v>28167</v>
      </c>
      <c r="C22380" s="5" t="str">
        <f>IFERROR(__xludf.DUMMYFUNCTION("GOOGLETRANSLATE(B22380,""en"",""es-ES"")"),"La madre se encuentra cerca del refrigerador bebiendo té y mensajes de texto.")</f>
        <v>La madre se encuentra cerca del refrigerador bebiendo té y mensajes de texto.</v>
      </c>
    </row>
    <row r="22381">
      <c r="A22381" s="4" t="s">
        <v>28163</v>
      </c>
      <c r="B22381" s="4" t="s">
        <v>28168</v>
      </c>
      <c r="C22381" s="5" t="str">
        <f>IFERROR(__xludf.DUMMYFUNCTION("GOOGLETRANSLATE(B22381,""en"",""es-ES"")"),"El niño hermana baja por la silla y sale de la cocina.")</f>
        <v>El niño hermana baja por la silla y sale de la cocina.</v>
      </c>
    </row>
    <row r="22382">
      <c r="A22382" s="4" t="s">
        <v>28163</v>
      </c>
      <c r="B22382" s="4" t="s">
        <v>28169</v>
      </c>
      <c r="C22382" s="5" t="str">
        <f>IFERROR(__xludf.DUMMYFUNCTION("GOOGLETRANSLATE(B22382,""en"",""es-ES"")"),"Luego, el niño pequeño baja por la silla, luego se cierra y enciende el lavavajillas.")</f>
        <v>Luego, el niño pequeño baja por la silla, luego se cierra y enciende el lavavajillas.</v>
      </c>
    </row>
    <row r="22383">
      <c r="A22383" s="4" t="s">
        <v>28170</v>
      </c>
      <c r="B22383" s="4" t="s">
        <v>28171</v>
      </c>
      <c r="C22383" s="5" t="str">
        <f>IFERROR(__xludf.DUMMYFUNCTION("GOOGLETRANSLATE(B22383,""en"",""es-ES"")"),"Una cuerda está colgada entre dos árboles.")</f>
        <v>Una cuerda está colgada entre dos árboles.</v>
      </c>
    </row>
    <row r="22384">
      <c r="A22384" s="4" t="s">
        <v>28170</v>
      </c>
      <c r="B22384" s="4" t="s">
        <v>28172</v>
      </c>
      <c r="C22384" s="5" t="str">
        <f>IFERROR(__xludf.DUMMYFUNCTION("GOOGLETRANSLATE(B22384,""en"",""es-ES"")"),"Un hombre camina por la cuerda.")</f>
        <v>Un hombre camina por la cuerda.</v>
      </c>
    </row>
    <row r="22385">
      <c r="A22385" s="4" t="s">
        <v>28170</v>
      </c>
      <c r="B22385" s="4" t="s">
        <v>28173</v>
      </c>
      <c r="C22385" s="5" t="str">
        <f>IFERROR(__xludf.DUMMYFUNCTION("GOOGLETRANSLATE(B22385,""en"",""es-ES"")"),"Se cae varias veces de la cuerda.")</f>
        <v>Se cae varias veces de la cuerda.</v>
      </c>
    </row>
    <row r="22386">
      <c r="A22386" s="4" t="s">
        <v>28170</v>
      </c>
      <c r="B22386" s="4" t="s">
        <v>28174</v>
      </c>
      <c r="C22386" s="5" t="str">
        <f>IFERROR(__xludf.DUMMYFUNCTION("GOOGLETRANSLATE(B22386,""en"",""es-ES"")"),"Finalmente, puede equilibrar y camina de un lado a otro.")</f>
        <v>Finalmente, puede equilibrar y camina de un lado a otro.</v>
      </c>
    </row>
    <row r="22387">
      <c r="A22387" s="4" t="s">
        <v>28175</v>
      </c>
      <c r="B22387" s="4" t="s">
        <v>28176</v>
      </c>
      <c r="C22387" s="5" t="str">
        <f>IFERROR(__xludf.DUMMYFUNCTION("GOOGLETRANSLATE(B22387,""en"",""es-ES"")"),"Un niño pequeño está lanzando dardos a un tablero.")</f>
        <v>Un niño pequeño está lanzando dardos a un tablero.</v>
      </c>
    </row>
    <row r="22388">
      <c r="A22388" s="4" t="s">
        <v>28175</v>
      </c>
      <c r="B22388" s="4" t="s">
        <v>28177</v>
      </c>
      <c r="C22388" s="5" t="str">
        <f>IFERROR(__xludf.DUMMYFUNCTION("GOOGLETRANSLATE(B22388,""en"",""es-ES"")"),"Se acerca al objetivo, mirando dónde golpean los dardos.")</f>
        <v>Se acerca al objetivo, mirando dónde golpean los dardos.</v>
      </c>
    </row>
    <row r="22389">
      <c r="A22389" s="4" t="s">
        <v>28178</v>
      </c>
      <c r="B22389" s="4" t="s">
        <v>28179</v>
      </c>
      <c r="C22389" s="5" t="str">
        <f>IFERROR(__xludf.DUMMYFUNCTION("GOOGLETRANSLATE(B22389,""en"",""es-ES"")"),"Una niña está de pie en una habitación sacando varias flechas de su paquete y usando su flecha para liberarlas.")</f>
        <v>Una niña está de pie en una habitación sacando varias flechas de su paquete y usando su flecha para liberarlas.</v>
      </c>
    </row>
    <row r="22390">
      <c r="A22390" s="4" t="s">
        <v>28178</v>
      </c>
      <c r="B22390" s="4" t="s">
        <v>28180</v>
      </c>
      <c r="C22390" s="5" t="str">
        <f>IFERROR(__xludf.DUMMYFUNCTION("GOOGLETRANSLATE(B22390,""en"",""es-ES"")"),"Luego se mueve por el gimnasio, respira profundamente y continúa yendo.")</f>
        <v>Luego se mueve por el gimnasio, respira profundamente y continúa yendo.</v>
      </c>
    </row>
    <row r="22391">
      <c r="A22391" s="4" t="s">
        <v>28178</v>
      </c>
      <c r="B22391" s="4" t="s">
        <v>28181</v>
      </c>
      <c r="C22391" s="5" t="str">
        <f>IFERROR(__xludf.DUMMYFUNCTION("GOOGLETRANSLATE(B22391,""en"",""es-ES"")"),"Después de que se mueve nuevamente, se muestran dos alfombras colgando de la pared y continúa apuntando a su objetivo hasta que todos sus arcos se hayan ido.")</f>
        <v>Después de que se mueve nuevamente, se muestran dos alfombras colgando de la pared y continúa apuntando a su objetivo hasta que todos sus arcos se hayan ido.</v>
      </c>
    </row>
    <row r="22392">
      <c r="A22392" s="4" t="s">
        <v>28182</v>
      </c>
      <c r="B22392" s="4" t="s">
        <v>28183</v>
      </c>
      <c r="C22392" s="5" t="str">
        <f>IFERROR(__xludf.DUMMYFUNCTION("GOOGLETRANSLATE(B22392,""en"",""es-ES"")"),"Una niña camina sobre una estera, inclinándose ante los jueces.")</f>
        <v>Una niña camina sobre una estera, inclinándose ante los jueces.</v>
      </c>
    </row>
    <row r="22393">
      <c r="A22393" s="4" t="s">
        <v>28182</v>
      </c>
      <c r="B22393" s="4" t="s">
        <v>28184</v>
      </c>
      <c r="C22393" s="5" t="str">
        <f>IFERROR(__xludf.DUMMYFUNCTION("GOOGLETRANSLATE(B22393,""en"",""es-ES"")"),"Ella realiza varios movimientos de artes marciales usando un gran palo de madera.")</f>
        <v>Ella realiza varios movimientos de artes marciales usando un gran palo de madera.</v>
      </c>
    </row>
    <row r="22394">
      <c r="A22394" s="4" t="s">
        <v>28182</v>
      </c>
      <c r="B22394" s="4" t="s">
        <v>28185</v>
      </c>
      <c r="C22394" s="5" t="str">
        <f>IFERROR(__xludf.DUMMYFUNCTION("GOOGLETRANSLATE(B22394,""en"",""es-ES"")"),"Cuando termina, un hombre sopla un silbato.")</f>
        <v>Cuando termina, un hombre sopla un silbato.</v>
      </c>
    </row>
    <row r="22395">
      <c r="A22395" s="4" t="s">
        <v>28186</v>
      </c>
      <c r="B22395" s="4" t="s">
        <v>28187</v>
      </c>
      <c r="C22395" s="5" t="str">
        <f>IFERROR(__xludf.DUMMYFUNCTION("GOOGLETRANSLATE(B22395,""en"",""es-ES"")"),"Se muestra a una mujer hablando con la cámara sosteniendo una aspiradora y seguida de ella aspirando por su piso a un ritmo rápido.")</f>
        <v>Se muestra a una mujer hablando con la cámara sosteniendo una aspiradora y seguida de ella aspirando por su piso a un ritmo rápido.</v>
      </c>
    </row>
    <row r="22396">
      <c r="A22396" s="4" t="s">
        <v>28186</v>
      </c>
      <c r="B22396" s="4" t="s">
        <v>28188</v>
      </c>
      <c r="C22396" s="5" t="str">
        <f>IFERROR(__xludf.DUMMYFUNCTION("GOOGLETRANSLATE(B22396,""en"",""es-ES"")"),"Ella se aspira por todo el área mientras sigue hablando con la cámara y finalmente hace la transición a un primer plano del vacío.")</f>
        <v>Ella se aspira por todo el área mientras sigue hablando con la cámara y finalmente hace la transición a un primer plano del vacío.</v>
      </c>
    </row>
    <row r="22397">
      <c r="A22397" s="4" t="s">
        <v>28189</v>
      </c>
      <c r="B22397" s="4" t="s">
        <v>28190</v>
      </c>
      <c r="C22397" s="5" t="str">
        <f>IFERROR(__xludf.DUMMYFUNCTION("GOOGLETRANSLATE(B22397,""en"",""es-ES"")"),"Hay algunos hombres jugando dardos en un sótano donde se cuelgan dos tableros de dardos en la pared.")</f>
        <v>Hay algunos hombres jugando dardos en un sótano donde se cuelgan dos tableros de dardos en la pared.</v>
      </c>
    </row>
    <row r="22398">
      <c r="A22398" s="4" t="s">
        <v>28189</v>
      </c>
      <c r="B22398" s="4" t="s">
        <v>28191</v>
      </c>
      <c r="C22398" s="5" t="str">
        <f>IFERROR(__xludf.DUMMYFUNCTION("GOOGLETRANSLATE(B22398,""en"",""es-ES"")"),"Uno de los hombres con una camisa verde apunta al tablero de dardos con un dardo para golpear el ojo del toro en un tablero.")</f>
        <v>Uno de los hombres con una camisa verde apunta al tablero de dardos con un dardo para golpear el ojo del toro en un tablero.</v>
      </c>
    </row>
    <row r="22399">
      <c r="A22399" s="4" t="s">
        <v>28189</v>
      </c>
      <c r="B22399" s="4" t="s">
        <v>28192</v>
      </c>
      <c r="C22399" s="5" t="str">
        <f>IFERROR(__xludf.DUMMYFUNCTION("GOOGLETRANSLATE(B22399,""en"",""es-ES"")"),"Otro hombre también golpea el dardo en el otro tablero de dardos.")</f>
        <v>Otro hombre también golpea el dardo en el otro tablero de dardos.</v>
      </c>
    </row>
    <row r="22400">
      <c r="A22400" s="4" t="s">
        <v>28189</v>
      </c>
      <c r="B22400" s="4" t="s">
        <v>28193</v>
      </c>
      <c r="C22400" s="5" t="str">
        <f>IFERROR(__xludf.DUMMYFUNCTION("GOOGLETRANSLATE(B22400,""en"",""es-ES"")"),"El hombre de verde dispara a otro dardo y luego va a quitarlo del tablero de dardos.")</f>
        <v>El hombre de verde dispara a otro dardo y luego va a quitarlo del tablero de dardos.</v>
      </c>
    </row>
    <row r="22401">
      <c r="A22401" s="4" t="s">
        <v>28194</v>
      </c>
      <c r="B22401" s="4" t="s">
        <v>28195</v>
      </c>
      <c r="C22401" s="5" t="str">
        <f>IFERROR(__xludf.DUMMYFUNCTION("GOOGLETRANSLATE(B22401,""en"",""es-ES"")"),"Un grupo de personas se reúne dentro de una habitación.")</f>
        <v>Un grupo de personas se reúne dentro de una habitación.</v>
      </c>
    </row>
    <row r="22402">
      <c r="A22402" s="4" t="s">
        <v>28194</v>
      </c>
      <c r="B22402" s="4" t="s">
        <v>28196</v>
      </c>
      <c r="C22402" s="5" t="str">
        <f>IFERROR(__xludf.DUMMYFUNCTION("GOOGLETRANSLATE(B22402,""en"",""es-ES"")"),"Están caminando de regreso y hacia adelante juntos.")</f>
        <v>Están caminando de regreso y hacia adelante juntos.</v>
      </c>
    </row>
    <row r="22403">
      <c r="A22403" s="4" t="s">
        <v>28194</v>
      </c>
      <c r="B22403" s="4" t="s">
        <v>28197</v>
      </c>
      <c r="C22403" s="5" t="str">
        <f>IFERROR(__xludf.DUMMYFUNCTION("GOOGLETRANSLATE(B22403,""en"",""es-ES"")"),"Están bailando como una forma de aeróbicos.")</f>
        <v>Están bailando como una forma de aeróbicos.</v>
      </c>
    </row>
    <row r="22404">
      <c r="A22404" s="4" t="s">
        <v>28198</v>
      </c>
      <c r="B22404" s="4" t="s">
        <v>28199</v>
      </c>
      <c r="C22404" s="5" t="str">
        <f>IFERROR(__xludf.DUMMYFUNCTION("GOOGLETRANSLATE(B22404,""en"",""es-ES"")"),"Se muestran varias tomas de personas que conducen alrededor de los caballos y uno vincula a un caballo con la poste y hace que una maquinilla de afeitar.")</f>
        <v>Se muestran varias tomas de personas que conducen alrededor de los caballos y uno vincula a un caballo con la poste y hace que una maquinilla de afeitar.</v>
      </c>
    </row>
    <row r="22405">
      <c r="A22405" s="4" t="s">
        <v>28198</v>
      </c>
      <c r="B22405" s="4" t="s">
        <v>28200</v>
      </c>
      <c r="C22405" s="5" t="str">
        <f>IFERROR(__xludf.DUMMYFUNCTION("GOOGLETRANSLATE(B22405,""en"",""es-ES"")"),"Luego, la mujer corta los caballos y frota el abrigo de los caballos mientras la cámara se acelera.")</f>
        <v>Luego, la mujer corta los caballos y frota el abrigo de los caballos mientras la cámara se acelera.</v>
      </c>
    </row>
    <row r="22406">
      <c r="A22406" s="4" t="s">
        <v>28198</v>
      </c>
      <c r="B22406" s="4" t="s">
        <v>28201</v>
      </c>
      <c r="C22406" s="5" t="str">
        <f>IFERROR(__xludf.DUMMYFUNCTION("GOOGLETRANSLATE(B22406,""en"",""es-ES"")"),"La mujer desata el caballo y termina hablando con la cámara.")</f>
        <v>La mujer desata el caballo y termina hablando con la cámara.</v>
      </c>
    </row>
    <row r="22407">
      <c r="A22407" s="4" t="s">
        <v>28202</v>
      </c>
      <c r="B22407" s="4" t="s">
        <v>28203</v>
      </c>
      <c r="C22407" s="5" t="str">
        <f>IFERROR(__xludf.DUMMYFUNCTION("GOOGLETRANSLATE(B22407,""en"",""es-ES"")"),"Se muestra una pequeña boquilla de agua al aire libre entre el bosque y las rocas y está creando pequeñas olas.")</f>
        <v>Se muestra una pequeña boquilla de agua al aire libre entre el bosque y las rocas y está creando pequeñas olas.</v>
      </c>
    </row>
    <row r="22408">
      <c r="A22408" s="4" t="s">
        <v>28202</v>
      </c>
      <c r="B22408" s="4" t="s">
        <v>28204</v>
      </c>
      <c r="C22408" s="5" t="str">
        <f>IFERROR(__xludf.DUMMYFUNCTION("GOOGLETRANSLATE(B22408,""en"",""es-ES"")"),"De repente, una persona baja el kayak de agua.")</f>
        <v>De repente, una persona baja el kayak de agua.</v>
      </c>
    </row>
    <row r="22409">
      <c r="A22409" s="4" t="s">
        <v>28202</v>
      </c>
      <c r="B22409" s="4" t="s">
        <v>28205</v>
      </c>
      <c r="C22409" s="5" t="str">
        <f>IFERROR(__xludf.DUMMYFUNCTION("GOOGLETRANSLATE(B22409,""en"",""es-ES"")"),"Una vez que llega al fondo, el kayakista gira y las olas continúan fluyendo lavando contra las rocas.")</f>
        <v>Una vez que llega al fondo, el kayakista gira y las olas continúan fluyendo lavando contra las rocas.</v>
      </c>
    </row>
    <row r="22410">
      <c r="A22410" s="4" t="s">
        <v>28206</v>
      </c>
      <c r="B22410" s="4" t="s">
        <v>28207</v>
      </c>
      <c r="C22410" s="5" t="str">
        <f>IFERROR(__xludf.DUMMYFUNCTION("GOOGLETRANSLATE(B22410,""en"",""es-ES"")"),"Se ve un conjunto de fútbol de mesa sin jugadores construidos con bloques de tipo LEGO.")</f>
        <v>Se ve un conjunto de fútbol de mesa sin jugadores construidos con bloques de tipo LEGO.</v>
      </c>
    </row>
    <row r="22411">
      <c r="A22411" s="4" t="s">
        <v>28206</v>
      </c>
      <c r="B22411" s="4" t="s">
        <v>28208</v>
      </c>
      <c r="C22411" s="5" t="str">
        <f>IFERROR(__xludf.DUMMYFUNCTION("GOOGLETRANSLATE(B22411,""en"",""es-ES"")"),"Se dispensa una pelota de un recinto.")</f>
        <v>Se dispensa una pelota de un recinto.</v>
      </c>
    </row>
    <row r="22412">
      <c r="A22412" s="4" t="s">
        <v>28206</v>
      </c>
      <c r="B22412" s="4" t="s">
        <v>28209</v>
      </c>
      <c r="C22412" s="5" t="str">
        <f>IFERROR(__xludf.DUMMYFUNCTION("GOOGLETRANSLATE(B22412,""en"",""es-ES"")"),"Dos niños juegan un juego de fútbol de mesa.")</f>
        <v>Dos niños juegan un juego de fútbol de mesa.</v>
      </c>
    </row>
    <row r="22413">
      <c r="A22413" s="4" t="s">
        <v>28206</v>
      </c>
      <c r="B22413" s="4" t="s">
        <v>28210</v>
      </c>
      <c r="C22413" s="5" t="str">
        <f>IFERROR(__xludf.DUMMYFUNCTION("GOOGLETRANSLATE(B22413,""en"",""es-ES"")"),"Un niño anota un gol y la pelota se recupera de la ranura.")</f>
        <v>Un niño anota un gol y la pelota se recupera de la ranura.</v>
      </c>
    </row>
    <row r="22414">
      <c r="A22414" s="4" t="s">
        <v>28206</v>
      </c>
      <c r="B22414" s="4" t="s">
        <v>28211</v>
      </c>
      <c r="C22414" s="5" t="str">
        <f>IFERROR(__xludf.DUMMYFUNCTION("GOOGLETRANSLATE(B22414,""en"",""es-ES"")"),"Una pelota cae por una rampa cuadrada.")</f>
        <v>Una pelota cae por una rampa cuadrada.</v>
      </c>
    </row>
    <row r="22415">
      <c r="A22415" s="4" t="s">
        <v>28212</v>
      </c>
      <c r="B22415" s="4" t="s">
        <v>28213</v>
      </c>
      <c r="C22415" s="5" t="str">
        <f>IFERROR(__xludf.DUMMYFUNCTION("GOOGLETRANSLATE(B22415,""en"",""es-ES"")"),"Una mujer de rojo está practicando para saltar en la arena, corre un poco y salta a la arena nuevamente.")</f>
        <v>Una mujer de rojo está practicando para saltar en la arena, corre un poco y salta a la arena nuevamente.</v>
      </c>
    </row>
    <row r="22416">
      <c r="A22416" s="4" t="s">
        <v>28212</v>
      </c>
      <c r="B22416" s="4" t="s">
        <v>28214</v>
      </c>
      <c r="C22416" s="5" t="str">
        <f>IFERROR(__xludf.DUMMYFUNCTION("GOOGLETRANSLATE(B22416,""en"",""es-ES"")"),"Luego comienza a intentarlo desde más atrás, corriendo y saltando a la arena.")</f>
        <v>Luego comienza a intentarlo desde más atrás, corriendo y saltando a la arena.</v>
      </c>
    </row>
    <row r="22417">
      <c r="A22417" s="4" t="s">
        <v>28212</v>
      </c>
      <c r="B22417" s="4" t="s">
        <v>28215</v>
      </c>
      <c r="C22417" s="5" t="str">
        <f>IFERROR(__xludf.DUMMYFUNCTION("GOOGLETRANSLATE(B22417,""en"",""es-ES"")"),"Ella comienza a saltar sobre pequeños puestos a continuación y luego otro hombre se une para practicar con ella.")</f>
        <v>Ella comienza a saltar sobre pequeños puestos a continuación y luego otro hombre se une para practicar con ella.</v>
      </c>
    </row>
    <row r="22418">
      <c r="A22418" s="4" t="s">
        <v>28212</v>
      </c>
      <c r="B22418" s="4" t="s">
        <v>28216</v>
      </c>
      <c r="C22418" s="5" t="str">
        <f>IFERROR(__xludf.DUMMYFUNCTION("GOOGLETRANSLATE(B22418,""en"",""es-ES"")"),"Entonces, comienza una carrera real y todos corren.")</f>
        <v>Entonces, comienza una carrera real y todos corren.</v>
      </c>
    </row>
    <row r="22419">
      <c r="A22419" s="4" t="s">
        <v>28217</v>
      </c>
      <c r="B22419" s="4" t="s">
        <v>27016</v>
      </c>
      <c r="C22419" s="5" t="str">
        <f>IFERROR(__xludf.DUMMYFUNCTION("GOOGLETRANSLATE(B22419,""en"",""es-ES"")"),"La gente monta autos para el parachoques en un carnaval.")</f>
        <v>La gente monta autos para el parachoques en un carnaval.</v>
      </c>
    </row>
    <row r="22420">
      <c r="A22420" s="4" t="s">
        <v>28217</v>
      </c>
      <c r="B22420" s="4" t="s">
        <v>28218</v>
      </c>
      <c r="C22420" s="5" t="str">
        <f>IFERROR(__xludf.DUMMYFUNCTION("GOOGLETRANSLATE(B22420,""en"",""es-ES"")"),"Un adolescente con copa roja es atropellada por otros autos.")</f>
        <v>Un adolescente con copa roja es atropellada por otros autos.</v>
      </c>
    </row>
    <row r="22421">
      <c r="A22421" s="4" t="s">
        <v>28217</v>
      </c>
      <c r="B22421" s="4" t="s">
        <v>28219</v>
      </c>
      <c r="C22421" s="5" t="str">
        <f>IFERROR(__xludf.DUMMYFUNCTION("GOOGLETRANSLATE(B22421,""en"",""es-ES"")"),"La gente gira y luego continúa montando y golpeando.")</f>
        <v>La gente gira y luego continúa montando y golpeando.</v>
      </c>
    </row>
    <row r="22422">
      <c r="A22422" s="4" t="s">
        <v>28217</v>
      </c>
      <c r="B22422" s="4" t="s">
        <v>28220</v>
      </c>
      <c r="C22422" s="5" t="str">
        <f>IFERROR(__xludf.DUMMYFUNCTION("GOOGLETRANSLATE(B22422,""en"",""es-ES"")"),"Luego, la gente gira sin golpear y luego continúa montando y golpeando autos.")</f>
        <v>Luego, la gente gira sin golpear y luego continúa montando y golpeando autos.</v>
      </c>
    </row>
    <row r="22423">
      <c r="A22423" s="4" t="s">
        <v>28217</v>
      </c>
      <c r="B22423" s="4" t="s">
        <v>28221</v>
      </c>
      <c r="C22423" s="5" t="str">
        <f>IFERROR(__xludf.DUMMYFUNCTION("GOOGLETRANSLATE(B22423,""en"",""es-ES"")"),"Un niño con camisa blanca gira y es golpeada por varios autos.")</f>
        <v>Un niño con camisa blanca gira y es golpeada por varios autos.</v>
      </c>
    </row>
    <row r="22424">
      <c r="A22424" s="4" t="s">
        <v>28222</v>
      </c>
      <c r="B22424" s="4" t="s">
        <v>22365</v>
      </c>
      <c r="C22424" s="5" t="str">
        <f>IFERROR(__xludf.DUMMYFUNCTION("GOOGLETRANSLATE(B22424,""en"",""es-ES"")"),"Una introducción llega a la pantalla para un video sobre cómo esquiar.")</f>
        <v>Una introducción llega a la pantalla para un video sobre cómo esquiar.</v>
      </c>
    </row>
    <row r="22425">
      <c r="A22425" s="4" t="s">
        <v>28222</v>
      </c>
      <c r="B22425" s="4" t="s">
        <v>28223</v>
      </c>
      <c r="C22425" s="5" t="str">
        <f>IFERROR(__xludf.DUMMYFUNCTION("GOOGLETRANSLATE(B22425,""en"",""es-ES"")"),"Un hombre presenta los videos con los temas que cubrirá, así como el equipo que se necesitará para esquiar.")</f>
        <v>Un hombre presenta los videos con los temas que cubrirá, así como el equipo que se necesitará para esquiar.</v>
      </c>
    </row>
    <row r="22426">
      <c r="A22426" s="4" t="s">
        <v>28222</v>
      </c>
      <c r="B22426" s="4" t="s">
        <v>28224</v>
      </c>
      <c r="C22426" s="5" t="str">
        <f>IFERROR(__xludf.DUMMYFUNCTION("GOOGLETRANSLATE(B22426,""en"",""es-ES"")"),"A lo largo del video, se muestran a varias personas que demuestran algunos conceptos clave de la lección de esquí.")</f>
        <v>A lo largo del video, se muestran a varias personas que demuestran algunos conceptos clave de la lección de esquí.</v>
      </c>
    </row>
    <row r="22427">
      <c r="A22427" s="4" t="s">
        <v>28222</v>
      </c>
      <c r="B22427" s="4" t="s">
        <v>28225</v>
      </c>
      <c r="C22427" s="5" t="str">
        <f>IFERROR(__xludf.DUMMYFUNCTION("GOOGLETRANSLATE(B22427,""en"",""es-ES"")"),"El video termina con los créditos de cierre para el segmento.")</f>
        <v>El video termina con los créditos de cierre para el segmento.</v>
      </c>
    </row>
    <row r="22428">
      <c r="A22428" s="4" t="s">
        <v>28226</v>
      </c>
      <c r="B22428" s="4" t="s">
        <v>28227</v>
      </c>
      <c r="C22428" s="5" t="str">
        <f>IFERROR(__xludf.DUMMYFUNCTION("GOOGLETRANSLATE(B22428,""en"",""es-ES"")"),"Se ve a una mujer sosteniendo una pose en un escenario y conduce a otro hombre caminando en el escenario.")</f>
        <v>Se ve a una mujer sosteniendo una pose en un escenario y conduce a otro hombre caminando en el escenario.</v>
      </c>
    </row>
    <row r="22429">
      <c r="A22429" s="4" t="s">
        <v>28226</v>
      </c>
      <c r="B22429" s="4" t="s">
        <v>28228</v>
      </c>
      <c r="C22429" s="5" t="str">
        <f>IFERROR(__xludf.DUMMYFUNCTION("GOOGLETRANSLATE(B22429,""en"",""es-ES"")"),"El hombre y la mujer realizan una rutina de baile juntas en el escenario mientras se miran.")</f>
        <v>El hombre y la mujer realizan una rutina de baile juntas en el escenario mientras se miran.</v>
      </c>
    </row>
    <row r="22430">
      <c r="A22430" s="4" t="s">
        <v>28226</v>
      </c>
      <c r="B22430" s="4" t="s">
        <v>28229</v>
      </c>
      <c r="C22430" s="5" t="str">
        <f>IFERROR(__xludf.DUMMYFUNCTION("GOOGLETRANSLATE(B22430,""en"",""es-ES"")"),"Los dos continúan bailando y terminan con un arco y el público aplaudiendo.")</f>
        <v>Los dos continúan bailando y terminan con un arco y el público aplaudiendo.</v>
      </c>
    </row>
    <row r="22431">
      <c r="A22431" s="4" t="s">
        <v>28230</v>
      </c>
      <c r="B22431" s="4" t="s">
        <v>28231</v>
      </c>
      <c r="C22431" s="5" t="str">
        <f>IFERROR(__xludf.DUMMYFUNCTION("GOOGLETRANSLATE(B22431,""en"",""es-ES"")"),"Se ve un primer plano de un tablero de dardos que conduce a los dardos que aparecen.")</f>
        <v>Se ve un primer plano de un tablero de dardos que conduce a los dardos que aparecen.</v>
      </c>
    </row>
    <row r="22432">
      <c r="A22432" s="4" t="s">
        <v>28230</v>
      </c>
      <c r="B22432" s="4" t="s">
        <v>28232</v>
      </c>
      <c r="C22432" s="5" t="str">
        <f>IFERROR(__xludf.DUMMYFUNCTION("GOOGLETRANSLATE(B22432,""en"",""es-ES"")"),"La mano de una persona se quita los dardos y se muestra más dardos golpeando el tablero.")</f>
        <v>La mano de una persona se quita los dardos y se muestra más dardos golpeando el tablero.</v>
      </c>
    </row>
    <row r="22433">
      <c r="A22433" s="4" t="s">
        <v>28230</v>
      </c>
      <c r="B22433" s="4" t="s">
        <v>28233</v>
      </c>
      <c r="C22433" s="5" t="str">
        <f>IFERROR(__xludf.DUMMYFUNCTION("GOOGLETRANSLATE(B22433,""en"",""es-ES"")"),"Esto sucede varias veces más mientras la cámara captura sus movimientos.")</f>
        <v>Esto sucede varias veces más mientras la cámara captura sus movimientos.</v>
      </c>
    </row>
    <row r="22434">
      <c r="A22434" s="4" t="s">
        <v>28234</v>
      </c>
      <c r="B22434" s="4" t="s">
        <v>28235</v>
      </c>
      <c r="C22434" s="5" t="str">
        <f>IFERROR(__xludf.DUMMYFUNCTION("GOOGLETRANSLATE(B22434,""en"",""es-ES"")"),"Hay dos hombres jugando a Foos Ball con dos niños en una sala de estar.")</f>
        <v>Hay dos hombres jugando a Foos Ball con dos niños en una sala de estar.</v>
      </c>
    </row>
    <row r="22435">
      <c r="A22435" s="4" t="s">
        <v>28234</v>
      </c>
      <c r="B22435" s="4" t="s">
        <v>28236</v>
      </c>
      <c r="C22435" s="5" t="str">
        <f>IFERROR(__xludf.DUMMYFUNCTION("GOOGLETRANSLATE(B22435,""en"",""es-ES"")"),"Hay un gran árbol de Navidad decorado detrás de ellos.")</f>
        <v>Hay un gran árbol de Navidad decorado detrás de ellos.</v>
      </c>
    </row>
    <row r="22436">
      <c r="A22436" s="4" t="s">
        <v>28234</v>
      </c>
      <c r="B22436" s="4" t="s">
        <v>28237</v>
      </c>
      <c r="C22436" s="5" t="str">
        <f>IFERROR(__xludf.DUMMYFUNCTION("GOOGLETRANSLATE(B22436,""en"",""es-ES"")"),"Hay una mujer sentada en la sala de estar con una niña.")</f>
        <v>Hay una mujer sentada en la sala de estar con una niña.</v>
      </c>
    </row>
    <row r="22437">
      <c r="A22437" s="4" t="s">
        <v>28234</v>
      </c>
      <c r="B22437" s="4" t="s">
        <v>28238</v>
      </c>
      <c r="C22437" s="5" t="str">
        <f>IFERROR(__xludf.DUMMYFUNCTION("GOOGLETRANSLATE(B22437,""en"",""es-ES"")"),"Los chicos juegan a Foos Ball con los hombres.")</f>
        <v>Los chicos juegan a Foos Ball con los hombres.</v>
      </c>
    </row>
    <row r="22438">
      <c r="A22438" s="4" t="s">
        <v>28234</v>
      </c>
      <c r="B22438" s="4" t="s">
        <v>28239</v>
      </c>
      <c r="C22438" s="5" t="str">
        <f>IFERROR(__xludf.DUMMYFUNCTION("GOOGLETRANSLATE(B22438,""en"",""es-ES"")"),"Se ríen y se divierten mientras continúan jugando.")</f>
        <v>Se ríen y se divierten mientras continúan jugando.</v>
      </c>
    </row>
    <row r="22439">
      <c r="A22439" s="4" t="s">
        <v>28240</v>
      </c>
      <c r="B22439" s="4" t="s">
        <v>28241</v>
      </c>
      <c r="C22439" s="5" t="str">
        <f>IFERROR(__xludf.DUMMYFUNCTION("GOOGLETRANSLATE(B22439,""en"",""es-ES"")"),"Se ve una gran arena con una persona que corre y señala la cámara.")</f>
        <v>Se ve una gran arena con una persona que corre y señala la cámara.</v>
      </c>
    </row>
    <row r="22440">
      <c r="A22440" s="4" t="s">
        <v>28240</v>
      </c>
      <c r="B22440" s="4" t="s">
        <v>28242</v>
      </c>
      <c r="C22440" s="5" t="str">
        <f>IFERROR(__xludf.DUMMYFUNCTION("GOOGLETRANSLATE(B22440,""en"",""es-ES"")"),"Se muestran varios tiros del atleta que juega al fútbol y lo lleva a estar de pie.")</f>
        <v>Se muestran varios tiros del atleta que juega al fútbol y lo lleva a estar de pie.</v>
      </c>
    </row>
    <row r="22441">
      <c r="A22441" s="4" t="s">
        <v>28240</v>
      </c>
      <c r="B22441" s="4" t="s">
        <v>28243</v>
      </c>
      <c r="C22441" s="5" t="str">
        <f>IFERROR(__xludf.DUMMYFUNCTION("GOOGLETRANSLATE(B22441,""en"",""es-ES"")"),"El hombre luego corre por el campo y Long sale a un pozo de arena y su salto se muestra nuevamente.")</f>
        <v>El hombre luego corre por el campo y Long sale a un pozo de arena y su salto se muestra nuevamente.</v>
      </c>
    </row>
    <row r="22442">
      <c r="A22442" s="4" t="s">
        <v>28244</v>
      </c>
      <c r="B22442" s="4" t="s">
        <v>28245</v>
      </c>
      <c r="C22442" s="5" t="str">
        <f>IFERROR(__xludf.DUMMYFUNCTION("GOOGLETRANSLATE(B22442,""en"",""es-ES"")"),"Se ve a un hombre sosteniendo un cuchillo afilado en sus manos mientras la cámara se acerca y el hombre apunta a dos cajas.")</f>
        <v>Se ve a un hombre sosteniendo un cuchillo afilado en sus manos mientras la cámara se acerca y el hombre apunta a dos cajas.</v>
      </c>
    </row>
    <row r="22443">
      <c r="A22443" s="4" t="s">
        <v>28244</v>
      </c>
      <c r="B22443" s="4" t="s">
        <v>28246</v>
      </c>
      <c r="C22443" s="5" t="str">
        <f>IFERROR(__xludf.DUMMYFUNCTION("GOOGLETRANSLATE(B22443,""en"",""es-ES"")"),"Luego desliza el cuchillo a lo largo de las cajas y muestra el cuchillo afilado a la cámara.")</f>
        <v>Luego desliza el cuchillo a lo largo de las cajas y muestra el cuchillo afilado a la cámara.</v>
      </c>
    </row>
    <row r="22444">
      <c r="A22444" s="4" t="s">
        <v>28244</v>
      </c>
      <c r="B22444" s="4" t="s">
        <v>28247</v>
      </c>
      <c r="C22444" s="5" t="str">
        <f>IFERROR(__xludf.DUMMYFUNCTION("GOOGLETRANSLATE(B22444,""en"",""es-ES"")"),"Termina sosteniendo el cuchillo y sonriendo a la cámara.")</f>
        <v>Termina sosteniendo el cuchillo y sonriendo a la cámara.</v>
      </c>
    </row>
    <row r="22445">
      <c r="A22445" s="4" t="s">
        <v>28248</v>
      </c>
      <c r="B22445" s="4" t="s">
        <v>28249</v>
      </c>
      <c r="C22445" s="5" t="str">
        <f>IFERROR(__xludf.DUMMYFUNCTION("GOOGLETRANSLATE(B22445,""en"",""es-ES"")"),"Se ve a un hombre mirando a lo lejos y lo lleva a hablar con la cámara.")</f>
        <v>Se ve a un hombre mirando a lo lejos y lo lleva a hablar con la cámara.</v>
      </c>
    </row>
    <row r="22446">
      <c r="A22446" s="4" t="s">
        <v>28248</v>
      </c>
      <c r="B22446" s="4" t="s">
        <v>28250</v>
      </c>
      <c r="C22446" s="5" t="str">
        <f>IFERROR(__xludf.DUMMYFUNCTION("GOOGLETRANSLATE(B22446,""en"",""es-ES"")"),"El hombre continúa hablando con la cámara y luego camina detrás de un juego de tambores.")</f>
        <v>El hombre continúa hablando con la cámara y luego camina detrás de un juego de tambores.</v>
      </c>
    </row>
    <row r="22447">
      <c r="A22447" s="4" t="s">
        <v>28248</v>
      </c>
      <c r="B22447" s="4" t="s">
        <v>28251</v>
      </c>
      <c r="C22447" s="5" t="str">
        <f>IFERROR(__xludf.DUMMYFUNCTION("GOOGLETRANSLATE(B22447,""en"",""es-ES"")"),"El hombre toca la batería continuamente y termina hablando con la cámara.")</f>
        <v>El hombre toca la batería continuamente y termina hablando con la cámara.</v>
      </c>
    </row>
    <row r="22448">
      <c r="A22448" s="4" t="s">
        <v>28252</v>
      </c>
      <c r="B22448" s="4" t="s">
        <v>28253</v>
      </c>
      <c r="C22448" s="5" t="str">
        <f>IFERROR(__xludf.DUMMYFUNCTION("GOOGLETRANSLATE(B22448,""en"",""es-ES"")"),"Se muestra a una niña balanceándose hacia atrás y cuarto en un columpio y sonriendo hacia la cámara.")</f>
        <v>Se muestra a una niña balanceándose hacia atrás y cuarto en un columpio y sonriendo hacia la cámara.</v>
      </c>
    </row>
    <row r="22449">
      <c r="A22449" s="4" t="s">
        <v>28252</v>
      </c>
      <c r="B22449" s="4" t="s">
        <v>28254</v>
      </c>
      <c r="C22449" s="5" t="str">
        <f>IFERROR(__xludf.DUMMYFUNCTION("GOOGLETRANSLATE(B22449,""en"",""es-ES"")"),"Ella continúa regresando y cuarto mientras la cámara la captura gritando a la cámara.")</f>
        <v>Ella continúa regresando y cuarto mientras la cámara la captura gritando a la cámara.</v>
      </c>
    </row>
    <row r="22450">
      <c r="A22450" s="4" t="s">
        <v>28255</v>
      </c>
      <c r="B22450" s="4" t="s">
        <v>28256</v>
      </c>
      <c r="C22450" s="5" t="str">
        <f>IFERROR(__xludf.DUMMYFUNCTION("GOOGLETRANSLATE(B22450,""en"",""es-ES"")"),"Una persona corta el ajo molido y el perejil de corte.")</f>
        <v>Una persona corta el ajo molido y el perejil de corte.</v>
      </c>
    </row>
    <row r="22451">
      <c r="A22451" s="4" t="s">
        <v>28255</v>
      </c>
      <c r="B22451" s="4" t="s">
        <v>28257</v>
      </c>
      <c r="C22451" s="5" t="str">
        <f>IFERROR(__xludf.DUMMYFUNCTION("GOOGLETRANSLATE(B22451,""en"",""es-ES"")"),"Luego, la persona agrega el ajo en el aceite caliente en una sartén.")</f>
        <v>Luego, la persona agrega el ajo en el aceite caliente en una sartén.</v>
      </c>
    </row>
    <row r="22452">
      <c r="A22452" s="4" t="s">
        <v>28255</v>
      </c>
      <c r="B22452" s="4" t="s">
        <v>28258</v>
      </c>
      <c r="C22452" s="5" t="str">
        <f>IFERROR(__xludf.DUMMYFUNCTION("GOOGLETRANSLATE(B22452,""en"",""es-ES"")"),"La persona cocina y drena la pasta, luego coloca la pasta en la olla y agrega caldo de pollo, el ajo cocido, el perejil, la sal, la pimienta y el queso en la parte superior.")</f>
        <v>La persona cocina y drena la pasta, luego coloca la pasta en la olla y agrega caldo de pollo, el ajo cocido, el perejil, la sal, la pimienta y el queso en la parte superior.</v>
      </c>
    </row>
    <row r="22453">
      <c r="A22453" s="4" t="s">
        <v>28255</v>
      </c>
      <c r="B22453" s="4" t="s">
        <v>28259</v>
      </c>
      <c r="C22453" s="5" t="str">
        <f>IFERROR(__xludf.DUMMYFUNCTION("GOOGLETRANSLATE(B22453,""en"",""es-ES"")"),"Luego, la persona hace pollo frito, luego sirve la pasta con el pollo.")</f>
        <v>Luego, la persona hace pollo frito, luego sirve la pasta con el pollo.</v>
      </c>
    </row>
    <row r="22454">
      <c r="A22454" s="4" t="s">
        <v>28260</v>
      </c>
      <c r="B22454" s="4" t="s">
        <v>28261</v>
      </c>
      <c r="C22454" s="5" t="str">
        <f>IFERROR(__xludf.DUMMYFUNCTION("GOOGLETRANSLATE(B22454,""en"",""es-ES"")"),"Diferentes personas disfrutan tomar una taza de té juntos.")</f>
        <v>Diferentes personas disfrutan tomar una taza de té juntos.</v>
      </c>
    </row>
    <row r="22455">
      <c r="A22455" s="4" t="s">
        <v>28260</v>
      </c>
      <c r="B22455" s="4" t="s">
        <v>28262</v>
      </c>
      <c r="C22455" s="5" t="str">
        <f>IFERROR(__xludf.DUMMYFUNCTION("GOOGLETRANSLATE(B22455,""en"",""es-ES"")"),"Una mujer combina el soporte de una sartén engrasada y luego agrega una mantequilla amarilla a un tazón.")</f>
        <v>Una mujer combina el soporte de una sartén engrasada y luego agrega una mantequilla amarilla a un tazón.</v>
      </c>
    </row>
    <row r="22456">
      <c r="A22456" s="4" t="s">
        <v>28260</v>
      </c>
      <c r="B22456" s="4" t="s">
        <v>28263</v>
      </c>
      <c r="C22456" s="5" t="str">
        <f>IFERROR(__xludf.DUMMYFUNCTION("GOOGLETRANSLATE(B22456,""en"",""es-ES"")"),"La harina se agrega al tazón y todo se mezcla.")</f>
        <v>La harina se agrega al tazón y todo se mezcla.</v>
      </c>
    </row>
    <row r="22457">
      <c r="A22457" s="4" t="s">
        <v>28260</v>
      </c>
      <c r="B22457" s="4" t="s">
        <v>28264</v>
      </c>
      <c r="C22457" s="5" t="str">
        <f>IFERROR(__xludf.DUMMYFUNCTION("GOOGLETRANSLATE(B22457,""en"",""es-ES"")"),"Los huevos se agregan a la mezcla y se mezclan con una licuadora.")</f>
        <v>Los huevos se agregan a la mezcla y se mezclan con una licuadora.</v>
      </c>
    </row>
    <row r="22458">
      <c r="A22458" s="4" t="s">
        <v>28260</v>
      </c>
      <c r="B22458" s="4" t="s">
        <v>28265</v>
      </c>
      <c r="C22458" s="5" t="str">
        <f>IFERROR(__xludf.DUMMYFUNCTION("GOOGLETRANSLATE(B22458,""en"",""es-ES"")"),"La mujer agrega extractos líquidos, así como harina en polvo adicional al plato.")</f>
        <v>La mujer agrega extractos líquidos, así como harina en polvo adicional al plato.</v>
      </c>
    </row>
    <row r="22459">
      <c r="A22459" s="4" t="s">
        <v>28260</v>
      </c>
      <c r="B22459" s="4" t="s">
        <v>28266</v>
      </c>
      <c r="C22459" s="5" t="str">
        <f>IFERROR(__xludf.DUMMYFUNCTION("GOOGLETRANSLATE(B22459,""en"",""es-ES"")"),"La mujer agrega fruta en cubos a la mezcla y la revuelve con una espátula.")</f>
        <v>La mujer agrega fruta en cubos a la mezcla y la revuelve con una espátula.</v>
      </c>
    </row>
    <row r="22460">
      <c r="A22460" s="4" t="s">
        <v>28260</v>
      </c>
      <c r="B22460" s="4" t="s">
        <v>28267</v>
      </c>
      <c r="C22460" s="5" t="str">
        <f>IFERROR(__xludf.DUMMYFUNCTION("GOOGLETRANSLATE(B22460,""en"",""es-ES"")"),"El anfitrión vierte los ingredientes en una sartén y luego los cocina en un horno.")</f>
        <v>El anfitrión vierte los ingredientes en una sartén y luego los cocina en un horno.</v>
      </c>
    </row>
    <row r="22461">
      <c r="A22461" s="4" t="s">
        <v>28260</v>
      </c>
      <c r="B22461" s="4" t="s">
        <v>28268</v>
      </c>
      <c r="C22461" s="5" t="str">
        <f>IFERROR(__xludf.DUMMYFUNCTION("GOOGLETRANSLATE(B22461,""en"",""es-ES"")"),"Las mujeres disfrutan de un bocado del plato juntas.")</f>
        <v>Las mujeres disfrutan de un bocado del plato juntas.</v>
      </c>
    </row>
    <row r="22462">
      <c r="A22462" s="4" t="s">
        <v>28260</v>
      </c>
      <c r="B22462" s="4" t="s">
        <v>28269</v>
      </c>
      <c r="C22462" s="5" t="str">
        <f>IFERROR(__xludf.DUMMYFUNCTION("GOOGLETRANSLATE(B22462,""en"",""es-ES"")"),"El anfitrión vierte una taza de té para disfrutar.")</f>
        <v>El anfitrión vierte una taza de té para disfrutar.</v>
      </c>
    </row>
    <row r="22463">
      <c r="A22463" s="4" t="s">
        <v>28270</v>
      </c>
      <c r="B22463" s="4" t="s">
        <v>28271</v>
      </c>
      <c r="C22463" s="5" t="str">
        <f>IFERROR(__xludf.DUMMYFUNCTION("GOOGLETRANSLATE(B22463,""en"",""es-ES"")"),"Una mujer se frota la mano muy bien.")</f>
        <v>Una mujer se frota la mano muy bien.</v>
      </c>
    </row>
    <row r="22464">
      <c r="A22464" s="4" t="s">
        <v>28270</v>
      </c>
      <c r="B22464" s="4" t="s">
        <v>28272</v>
      </c>
      <c r="C22464" s="5" t="str">
        <f>IFERROR(__xludf.DUMMYFUNCTION("GOOGLETRANSLATE(B22464,""en"",""es-ES"")"),"Luego, la mujer enjuague las manos con agua.")</f>
        <v>Luego, la mujer enjuague las manos con agua.</v>
      </c>
    </row>
    <row r="22465">
      <c r="A22465" s="4" t="s">
        <v>28273</v>
      </c>
      <c r="B22465" s="4" t="s">
        <v>28274</v>
      </c>
      <c r="C22465" s="5" t="str">
        <f>IFERROR(__xludf.DUMMYFUNCTION("GOOGLETRANSLATE(B22465,""en"",""es-ES"")"),"La gente juega hockey en una pista de hielo.")</f>
        <v>La gente juega hockey en una pista de hielo.</v>
      </c>
    </row>
    <row r="22466">
      <c r="A22466" s="4" t="s">
        <v>28273</v>
      </c>
      <c r="B22466" s="4" t="s">
        <v>28275</v>
      </c>
      <c r="C22466" s="5" t="str">
        <f>IFERROR(__xludf.DUMMYFUNCTION("GOOGLETRANSLATE(B22466,""en"",""es-ES"")"),"Un árbitro patina a la gente.")</f>
        <v>Un árbitro patina a la gente.</v>
      </c>
    </row>
    <row r="22467">
      <c r="A22467" s="4" t="s">
        <v>28273</v>
      </c>
      <c r="B22467" s="4" t="s">
        <v>28276</v>
      </c>
      <c r="C22467" s="5" t="str">
        <f>IFERROR(__xludf.DUMMYFUNCTION("GOOGLETRANSLATE(B22467,""en"",""es-ES"")"),"Continúan jugando el juego de hockey.")</f>
        <v>Continúan jugando el juego de hockey.</v>
      </c>
    </row>
    <row r="22468">
      <c r="A22468" s="4" t="s">
        <v>28277</v>
      </c>
      <c r="B22468" s="4" t="s">
        <v>28278</v>
      </c>
      <c r="C22468" s="5" t="str">
        <f>IFERROR(__xludf.DUMMYFUNCTION("GOOGLETRANSLATE(B22468,""en"",""es-ES"")"),"Dos chicos están en el patio jugando a la pelota.")</f>
        <v>Dos chicos están en el patio jugando a la pelota.</v>
      </c>
    </row>
    <row r="22469">
      <c r="A22469" s="4" t="s">
        <v>28277</v>
      </c>
      <c r="B22469" s="4" t="s">
        <v>28279</v>
      </c>
      <c r="C22469" s="5" t="str">
        <f>IFERROR(__xludf.DUMMYFUNCTION("GOOGLETRANSLATE(B22469,""en"",""es-ES"")"),"Uno se para frente a la red y pasa al otro con palos de lacrosse.")</f>
        <v>Uno se para frente a la red y pasa al otro con palos de lacrosse.</v>
      </c>
    </row>
    <row r="22470">
      <c r="A22470" s="4" t="s">
        <v>28277</v>
      </c>
      <c r="B22470" s="4" t="s">
        <v>28280</v>
      </c>
      <c r="C22470" s="5" t="str">
        <f>IFERROR(__xludf.DUMMYFUNCTION("GOOGLETRANSLATE(B22470,""en"",""es-ES"")"),"Los muchachos continúan pasando el baño de pelota y cuarto entre sí.")</f>
        <v>Los muchachos continúan pasando el baño de pelota y cuarto entre sí.</v>
      </c>
    </row>
    <row r="22471">
      <c r="A22471" s="4" t="s">
        <v>28277</v>
      </c>
      <c r="B22471" s="4" t="s">
        <v>28281</v>
      </c>
      <c r="C22471" s="5" t="str">
        <f>IFERROR(__xludf.DUMMYFUNCTION("GOOGLETRANSLATE(B22471,""en"",""es-ES"")"),"Un niño arroja la pelota a la carretera mientras el otro corre después de ella.")</f>
        <v>Un niño arroja la pelota a la carretera mientras el otro corre después de ella.</v>
      </c>
    </row>
    <row r="22472">
      <c r="A22472" s="4" t="s">
        <v>28277</v>
      </c>
      <c r="B22472" s="4" t="s">
        <v>28282</v>
      </c>
      <c r="C22472" s="5" t="str">
        <f>IFERROR(__xludf.DUMMYFUNCTION("GOOGLETRANSLATE(B22472,""en"",""es-ES"")"),"Otro niño entra con una peluca y los chicos comienzan a luchar entre sí.")</f>
        <v>Otro niño entra con una peluca y los chicos comienzan a luchar entre sí.</v>
      </c>
    </row>
    <row r="22473">
      <c r="A22473" s="4" t="s">
        <v>28277</v>
      </c>
      <c r="B22473" s="4" t="s">
        <v>28283</v>
      </c>
      <c r="C22473" s="5" t="str">
        <f>IFERROR(__xludf.DUMMYFUNCTION("GOOGLETRANSLATE(B22473,""en"",""es-ES"")"),"Los muchachos fingen que golpearon al niño con la peluca.")</f>
        <v>Los muchachos fingen que golpearon al niño con la peluca.</v>
      </c>
    </row>
    <row r="22474">
      <c r="A22474" s="4" t="s">
        <v>28277</v>
      </c>
      <c r="B22474" s="4" t="s">
        <v>28284</v>
      </c>
      <c r="C22474" s="5" t="str">
        <f>IFERROR(__xludf.DUMMYFUNCTION("GOOGLETRANSLATE(B22474,""en"",""es-ES"")"),"Todos los muchachos continúan luchando entre sí mientras agarran los objetos y huyen.")</f>
        <v>Todos los muchachos continúan luchando entre sí mientras agarran los objetos y huyen.</v>
      </c>
    </row>
    <row r="22475">
      <c r="A22475" s="4" t="s">
        <v>28285</v>
      </c>
      <c r="B22475" s="4" t="s">
        <v>28286</v>
      </c>
      <c r="C22475" s="5" t="str">
        <f>IFERROR(__xludf.DUMMYFUNCTION("GOOGLETRANSLATE(B22475,""en"",""es-ES"")"),"La gente montando bicicletas alrededor de un sendero de tierra.")</f>
        <v>La gente montando bicicletas alrededor de un sendero de tierra.</v>
      </c>
    </row>
    <row r="22476">
      <c r="A22476" s="4" t="s">
        <v>28285</v>
      </c>
      <c r="B22476" s="4" t="s">
        <v>28287</v>
      </c>
      <c r="C22476" s="5" t="str">
        <f>IFERROR(__xludf.DUMMYFUNCTION("GOOGLETRANSLATE(B22476,""en"",""es-ES"")"),"Van por una colina varias veces.")</f>
        <v>Van por una colina varias veces.</v>
      </c>
    </row>
    <row r="22477">
      <c r="A22477" s="4" t="s">
        <v>28285</v>
      </c>
      <c r="B22477" s="4" t="s">
        <v>28288</v>
      </c>
      <c r="C22477" s="5" t="str">
        <f>IFERROR(__xludf.DUMMYFUNCTION("GOOGLETRANSLATE(B22477,""en"",""es-ES"")"),"El niño lleva un casco.")</f>
        <v>El niño lleva un casco.</v>
      </c>
    </row>
    <row r="22478">
      <c r="A22478" s="4" t="s">
        <v>28289</v>
      </c>
      <c r="B22478" s="4" t="s">
        <v>28290</v>
      </c>
      <c r="C22478" s="5" t="str">
        <f>IFERROR(__xludf.DUMMYFUNCTION("GOOGLETRANSLATE(B22478,""en"",""es-ES"")"),"Una persona está soldando un pequeño objeto de metal cuadrado.")</f>
        <v>Una persona está soldando un pequeño objeto de metal cuadrado.</v>
      </c>
    </row>
    <row r="22479">
      <c r="A22479" s="4" t="s">
        <v>28289</v>
      </c>
      <c r="B22479" s="4" t="s">
        <v>28291</v>
      </c>
      <c r="C22479" s="5" t="str">
        <f>IFERROR(__xludf.DUMMYFUNCTION("GOOGLETRANSLATE(B22479,""en"",""es-ES"")"),"Una llama sale de un tubo y un brillo ligero forma la máquina de soldadura.")</f>
        <v>Una llama sale de un tubo y un brillo ligero forma la máquina de soldadura.</v>
      </c>
    </row>
    <row r="22480">
      <c r="A22480" s="4" t="s">
        <v>28289</v>
      </c>
      <c r="B22480" s="4" t="s">
        <v>28292</v>
      </c>
      <c r="C22480" s="5" t="str">
        <f>IFERROR(__xludf.DUMMYFUNCTION("GOOGLETRANSLATE(B22480,""en"",""es-ES"")"),"Dos hombres soldan para unirse a grandes cilindros.")</f>
        <v>Dos hombres soldan para unirse a grandes cilindros.</v>
      </c>
    </row>
    <row r="22481">
      <c r="A22481" s="4" t="s">
        <v>28293</v>
      </c>
      <c r="B22481" s="4" t="s">
        <v>28294</v>
      </c>
      <c r="C22481" s="5" t="str">
        <f>IFERROR(__xludf.DUMMYFUNCTION("GOOGLETRANSLATE(B22481,""en"",""es-ES"")"),"Un hombre elimina la nieve en un automóvil con un fragmento de nieve.")</f>
        <v>Un hombre elimina la nieve en un automóvil con un fragmento de nieve.</v>
      </c>
    </row>
    <row r="22482">
      <c r="A22482" s="4" t="s">
        <v>28293</v>
      </c>
      <c r="B22482" s="4" t="s">
        <v>28295</v>
      </c>
      <c r="C22482" s="5" t="str">
        <f>IFERROR(__xludf.DUMMYFUNCTION("GOOGLETRANSLATE(B22482,""en"",""es-ES"")"),"Luego, el hombre escribe sobre la nieve que cubre la ventana de un automóvil, y una mujer con ropa de invierno sonríe.")</f>
        <v>Luego, el hombre escribe sobre la nieve que cubre la ventana de un automóvil, y una mujer con ropa de invierno sonríe.</v>
      </c>
    </row>
    <row r="22483">
      <c r="A22483" s="4" t="s">
        <v>28293</v>
      </c>
      <c r="B22483" s="4" t="s">
        <v>28296</v>
      </c>
      <c r="C22483" s="5" t="str">
        <f>IFERROR(__xludf.DUMMYFUNCTION("GOOGLETRANSLATE(B22483,""en"",""es-ES"")"),"Luego, el hombre continúa quitando la nieve en su auto.")</f>
        <v>Luego, el hombre continúa quitando la nieve en su auto.</v>
      </c>
    </row>
    <row r="22484">
      <c r="A22484" s="4" t="s">
        <v>28297</v>
      </c>
      <c r="B22484" s="4" t="s">
        <v>28298</v>
      </c>
      <c r="C22484" s="5" t="str">
        <f>IFERROR(__xludf.DUMMYFUNCTION("GOOGLETRANSLATE(B22484,""en"",""es-ES"")"),"Un hombre con traje de baño y su esposa flotan por un río en Intertubes.")</f>
        <v>Un hombre con traje de baño y su esposa flotan por un río en Intertubes.</v>
      </c>
    </row>
    <row r="22485">
      <c r="A22485" s="4" t="s">
        <v>28297</v>
      </c>
      <c r="B22485" s="4" t="s">
        <v>28299</v>
      </c>
      <c r="C22485" s="5" t="str">
        <f>IFERROR(__xludf.DUMMYFUNCTION("GOOGLETRANSLATE(B22485,""en"",""es-ES"")"),"El hombre cae de su intertube y se acerca al borde de las aguas.")</f>
        <v>El hombre cae de su intertube y se acerca al borde de las aguas.</v>
      </c>
    </row>
    <row r="22486">
      <c r="A22486" s="4" t="s">
        <v>28297</v>
      </c>
      <c r="B22486" s="4" t="s">
        <v>28300</v>
      </c>
      <c r="C22486" s="5" t="str">
        <f>IFERROR(__xludf.DUMMYFUNCTION("GOOGLETRANSLATE(B22486,""en"",""es-ES"")"),"El hombre, que ahora usa chaleco salvavidas, con su esposa flotó por un río en medio de un grupo grande.")</f>
        <v>El hombre, que ahora usa chaleco salvavidas, con su esposa flotó por un río en medio de un grupo grande.</v>
      </c>
    </row>
    <row r="22487">
      <c r="A22487" s="4" t="s">
        <v>28297</v>
      </c>
      <c r="B22487" s="4" t="s">
        <v>28301</v>
      </c>
      <c r="C22487" s="5" t="str">
        <f>IFERROR(__xludf.DUMMYFUNCTION("GOOGLETRANSLATE(B22487,""en"",""es-ES"")"),"Un grupo desde atrás flota al lado del hombre y la mujer mientras disminuyen la velocidad cerca del lado del río.")</f>
        <v>Un grupo desde atrás flota al lado del hombre y la mujer mientras disminuyen la velocidad cerca del lado del río.</v>
      </c>
    </row>
    <row r="22488">
      <c r="A22488" s="4" t="s">
        <v>28302</v>
      </c>
      <c r="B22488" s="4" t="s">
        <v>28303</v>
      </c>
      <c r="C22488" s="5" t="str">
        <f>IFERROR(__xludf.DUMMYFUNCTION("GOOGLETRANSLATE(B22488,""en"",""es-ES"")"),"Una mujer corta los extremos de una batata en una tabla de cortar con un cuchillo.")</f>
        <v>Una mujer corta los extremos de una batata en una tabla de cortar con un cuchillo.</v>
      </c>
    </row>
    <row r="22489">
      <c r="A22489" s="4" t="s">
        <v>28302</v>
      </c>
      <c r="B22489" s="4" t="s">
        <v>28304</v>
      </c>
      <c r="C22489" s="5" t="str">
        <f>IFERROR(__xludf.DUMMYFUNCTION("GOOGLETRANSLATE(B22489,""en"",""es-ES"")"),"La mujer usa una herramienta de pelado para lucir una batata sobre la tabla de cortar.")</f>
        <v>La mujer usa una herramienta de pelado para lucir una batata sobre la tabla de cortar.</v>
      </c>
    </row>
    <row r="22490">
      <c r="A22490" s="4" t="s">
        <v>28305</v>
      </c>
      <c r="B22490" s="4" t="s">
        <v>28306</v>
      </c>
      <c r="C22490" s="5" t="str">
        <f>IFERROR(__xludf.DUMMYFUNCTION("GOOGLETRANSLATE(B22490,""en"",""es-ES"")"),"Vemos a un hombre y una mujer bailando juntos.")</f>
        <v>Vemos a un hombre y una mujer bailando juntos.</v>
      </c>
    </row>
    <row r="22491">
      <c r="A22491" s="4" t="s">
        <v>28305</v>
      </c>
      <c r="B22491" s="4" t="s">
        <v>28307</v>
      </c>
      <c r="C22491" s="5" t="str">
        <f>IFERROR(__xludf.DUMMYFUNCTION("GOOGLETRANSLATE(B22491,""en"",""es-ES"")"),"El hombre gira a la mujer de un lado a otro.")</f>
        <v>El hombre gira a la mujer de un lado a otro.</v>
      </c>
    </row>
    <row r="22492">
      <c r="A22492" s="4" t="s">
        <v>28305</v>
      </c>
      <c r="B22492" s="4" t="s">
        <v>28308</v>
      </c>
      <c r="C22492" s="5" t="str">
        <f>IFERROR(__xludf.DUMMYFUNCTION("GOOGLETRANSLATE(B22492,""en"",""es-ES"")"),"La pantalla vuelve un tono verde.")</f>
        <v>La pantalla vuelve un tono verde.</v>
      </c>
    </row>
    <row r="22493">
      <c r="A22493" s="4" t="s">
        <v>28305</v>
      </c>
      <c r="B22493" s="4" t="s">
        <v>28309</v>
      </c>
      <c r="C22493" s="5" t="str">
        <f>IFERROR(__xludf.DUMMYFUNCTION("GOOGLETRANSLATE(B22493,""en"",""es-ES"")"),"La señora saca su cabello de una cola de caballo.")</f>
        <v>La señora saca su cabello de una cola de caballo.</v>
      </c>
    </row>
    <row r="22494">
      <c r="A22494" s="4" t="s">
        <v>28305</v>
      </c>
      <c r="B22494" s="4" t="s">
        <v>28310</v>
      </c>
      <c r="C22494" s="5" t="str">
        <f>IFERROR(__xludf.DUMMYFUNCTION("GOOGLETRANSLATE(B22494,""en"",""es-ES"")"),"La pantalla vuelve un tono azul.")</f>
        <v>La pantalla vuelve un tono azul.</v>
      </c>
    </row>
    <row r="22495">
      <c r="A22495" s="4" t="s">
        <v>28305</v>
      </c>
      <c r="B22495" s="4" t="s">
        <v>28311</v>
      </c>
      <c r="C22495" s="5" t="str">
        <f>IFERROR(__xludf.DUMMYFUNCTION("GOOGLETRANSLATE(B22495,""en"",""es-ES"")"),"Una persona ingresa a la habitación y luego se va.")</f>
        <v>Una persona ingresa a la habitación y luego se va.</v>
      </c>
    </row>
    <row r="22496">
      <c r="A22496" s="4" t="s">
        <v>28305</v>
      </c>
      <c r="B22496" s="4" t="s">
        <v>28312</v>
      </c>
      <c r="C22496" s="5" t="str">
        <f>IFERROR(__xludf.DUMMYFUNCTION("GOOGLETRANSLATE(B22496,""en"",""es-ES"")"),"La gente comienza a volar de nuevo.")</f>
        <v>La gente comienza a volar de nuevo.</v>
      </c>
    </row>
    <row r="22497">
      <c r="A22497" s="4" t="s">
        <v>28305</v>
      </c>
      <c r="B22497" s="4" t="s">
        <v>28313</v>
      </c>
      <c r="C22497" s="5" t="str">
        <f>IFERROR(__xludf.DUMMYFUNCTION("GOOGLETRANSLATE(B22497,""en"",""es-ES"")"),"La persona regresa y se mueve hacia la izquierda.")</f>
        <v>La persona regresa y se mueve hacia la izquierda.</v>
      </c>
    </row>
    <row r="22498">
      <c r="A22498" s="4" t="s">
        <v>28305</v>
      </c>
      <c r="B22498" s="4" t="s">
        <v>28314</v>
      </c>
      <c r="C22498" s="5" t="str">
        <f>IFERROR(__xludf.DUMMYFUNCTION("GOOGLETRANSLATE(B22498,""en"",""es-ES"")"),"El color se vuelve normal de nuevo.")</f>
        <v>El color se vuelve normal de nuevo.</v>
      </c>
    </row>
    <row r="22499">
      <c r="A22499" s="4" t="s">
        <v>28305</v>
      </c>
      <c r="B22499" s="4" t="s">
        <v>28315</v>
      </c>
      <c r="C22499" s="5" t="str">
        <f>IFERROR(__xludf.DUMMYFUNCTION("GOOGLETRANSLATE(B22499,""en"",""es-ES"")"),"El hombre se detiene y la mujer está molesta.")</f>
        <v>El hombre se detiene y la mujer está molesta.</v>
      </c>
    </row>
    <row r="22500">
      <c r="A22500" s="4" t="s">
        <v>28316</v>
      </c>
      <c r="B22500" s="4" t="s">
        <v>28317</v>
      </c>
      <c r="C22500" s="5" t="str">
        <f>IFERROR(__xludf.DUMMYFUNCTION("GOOGLETRANSLATE(B22500,""en"",""es-ES"")"),"Una introducción aparece en una pantalla oscura con efectos especiales rojos y blancos y las palabras ""Milwaukee Open"" y ""Best Plays"" aparecen en pantallas separadas.")</f>
        <v>Una introducción aparece en una pantalla oscura con efectos especiales rojos y blancos y las palabras "Milwaukee Open" y "Best Plays" aparecen en pantallas separadas.</v>
      </c>
    </row>
    <row r="22501">
      <c r="A22501" s="4" t="s">
        <v>28316</v>
      </c>
      <c r="B22501" s="4" t="s">
        <v>28318</v>
      </c>
      <c r="C22501" s="5" t="str">
        <f>IFERROR(__xludf.DUMMYFUNCTION("GOOGLETRANSLATE(B22501,""en"",""es-ES"")"),"Clips de varias personas, tanto hombres como mujeres, están al aire libre en las playas, visten vestimenta de playa mientras juegan voleibol de arena durante diferentes partidos, mientras que muchos espectadores los miran y los animan.")</f>
        <v>Clips de varias personas, tanto hombres como mujeres, están al aire libre en las playas, visten vestimenta de playa mientras juegan voleibol de arena durante diferentes partidos, mientras que muchos espectadores los miran y los animan.</v>
      </c>
    </row>
    <row r="22502">
      <c r="A22502" s="4" t="s">
        <v>28316</v>
      </c>
      <c r="B22502" s="4" t="s">
        <v>28319</v>
      </c>
      <c r="C22502" s="5" t="str">
        <f>IFERROR(__xludf.DUMMYFUNCTION("GOOGLETRANSLATE(B22502,""en"",""es-ES"")"),"Los clips terminan y el outro aparece y se parece a la introducción y termina con las palabras ""mejores juegos"" y ""Milwaukee abre"" en dos pantallas diferentes.")</f>
        <v>Los clips terminan y el outro aparece y se parece a la introducción y termina con las palabras "mejores juegos" y "Milwaukee abre" en dos pantallas diferentes.</v>
      </c>
    </row>
    <row r="22503">
      <c r="A22503" s="4" t="s">
        <v>28320</v>
      </c>
      <c r="B22503" s="4" t="s">
        <v>20552</v>
      </c>
      <c r="C22503" s="5" t="str">
        <f>IFERROR(__xludf.DUMMYFUNCTION("GOOGLETRANSLATE(B22503,""en"",""es-ES"")"),"Dos personas están jugando tenis en una cancha.")</f>
        <v>Dos personas están jugando tenis en una cancha.</v>
      </c>
    </row>
    <row r="22504">
      <c r="A22504" s="4" t="s">
        <v>28320</v>
      </c>
      <c r="B22504" s="4" t="s">
        <v>28321</v>
      </c>
      <c r="C22504" s="5" t="str">
        <f>IFERROR(__xludf.DUMMYFUNCTION("GOOGLETRANSLATE(B22504,""en"",""es-ES"")"),"Una persona con una camisa amarilla se encuentra afuera mirando.")</f>
        <v>Una persona con una camisa amarilla se encuentra afuera mirando.</v>
      </c>
    </row>
    <row r="22505">
      <c r="A22505" s="4" t="s">
        <v>28320</v>
      </c>
      <c r="B22505" s="4" t="s">
        <v>28322</v>
      </c>
      <c r="C22505" s="5" t="str">
        <f>IFERROR(__xludf.DUMMYFUNCTION("GOOGLETRANSLATE(B22505,""en"",""es-ES"")"),"Una mujer abre la puerta y sale.")</f>
        <v>Una mujer abre la puerta y sale.</v>
      </c>
    </row>
    <row r="22506">
      <c r="A22506" s="4" t="s">
        <v>28323</v>
      </c>
      <c r="B22506" s="4" t="s">
        <v>28324</v>
      </c>
      <c r="C22506" s="5" t="str">
        <f>IFERROR(__xludf.DUMMYFUNCTION("GOOGLETRANSLATE(B22506,""en"",""es-ES"")"),"Se ve a un gran grupo de personas realizando una rutina juntas en una clase de ejercicio mientras se mueve hacia arriba y hacia abajo en una viga.")</f>
        <v>Se ve a un gran grupo de personas realizando una rutina juntas en una clase de ejercicio mientras se mueve hacia arriba y hacia abajo en una viga.</v>
      </c>
    </row>
    <row r="22507">
      <c r="A22507" s="4" t="s">
        <v>28323</v>
      </c>
      <c r="B22507" s="4" t="s">
        <v>28325</v>
      </c>
      <c r="C22507" s="5" t="str">
        <f>IFERROR(__xludf.DUMMYFUNCTION("GOOGLETRANSLATE(B22507,""en"",""es-ES"")"),"La gente continúa moviéndose unos a otros mientras se mueve los brazos hacia arriba y hacia abajo sobre la viga y terminan sosteniendo el uno al otro y caminando por la habitación.")</f>
        <v>La gente continúa moviéndose unos a otros mientras se mueve los brazos hacia arriba y hacia abajo sobre la viga y terminan sosteniendo el uno al otro y caminando por la habitación.</v>
      </c>
    </row>
    <row r="22508">
      <c r="A22508" s="4" t="s">
        <v>28326</v>
      </c>
      <c r="B22508" s="4" t="s">
        <v>28327</v>
      </c>
      <c r="C22508" s="5" t="str">
        <f>IFERROR(__xludf.DUMMYFUNCTION("GOOGLETRANSLATE(B22508,""en"",""es-ES"")"),"La gente está jugando a Black Jack alrededor de una mesa.")</f>
        <v>La gente está jugando a Black Jack alrededor de una mesa.</v>
      </c>
    </row>
    <row r="22509">
      <c r="A22509" s="4" t="s">
        <v>28326</v>
      </c>
      <c r="B22509" s="4" t="s">
        <v>28328</v>
      </c>
      <c r="C22509" s="5" t="str">
        <f>IFERROR(__xludf.DUMMYFUNCTION("GOOGLETRANSLATE(B22509,""en"",""es-ES"")"),"El concesionario es Dealnig the Cards y las fichas para las mujeres.")</f>
        <v>El concesionario es Dealnig the Cards y las fichas para las mujeres.</v>
      </c>
    </row>
    <row r="22510">
      <c r="A22510" s="4" t="s">
        <v>28326</v>
      </c>
      <c r="B22510" s="4" t="s">
        <v>28329</v>
      </c>
      <c r="C22510" s="5" t="str">
        <f>IFERROR(__xludf.DUMMYFUNCTION("GOOGLETRANSLATE(B22510,""en"",""es-ES"")"),"El hombre se encuentra de una mesa y camina en una habitación.")</f>
        <v>El hombre se encuentra de una mesa y camina en una habitación.</v>
      </c>
    </row>
    <row r="22511">
      <c r="A22511" s="4" t="s">
        <v>28330</v>
      </c>
      <c r="B22511" s="4" t="s">
        <v>28331</v>
      </c>
      <c r="C22511" s="5" t="str">
        <f>IFERROR(__xludf.DUMMYFUNCTION("GOOGLETRANSLATE(B22511,""en"",""es-ES"")"),"Se ve a una persona rastrillando un patio y hace una pausa para meterse la mano en su bolsillo.")</f>
        <v>Se ve a una persona rastrillando un patio y hace una pausa para meterse la mano en su bolsillo.</v>
      </c>
    </row>
    <row r="22512">
      <c r="A22512" s="4" t="s">
        <v>28330</v>
      </c>
      <c r="B22512" s="4" t="s">
        <v>28332</v>
      </c>
      <c r="C22512" s="5" t="str">
        <f>IFERROR(__xludf.DUMMYFUNCTION("GOOGLETRANSLATE(B22512,""en"",""es-ES"")"),"Otro hombre entra con un soplador de hojas empujando las hojas.")</f>
        <v>Otro hombre entra con un soplador de hojas empujando las hojas.</v>
      </c>
    </row>
    <row r="22513">
      <c r="A22513" s="4" t="s">
        <v>28330</v>
      </c>
      <c r="B22513" s="4" t="s">
        <v>28333</v>
      </c>
      <c r="C22513" s="5" t="str">
        <f>IFERROR(__xludf.DUMMYFUNCTION("GOOGLETRANSLATE(B22513,""en"",""es-ES"")"),"El hombre rasa más hojas y el hombre del soplador de la hoja vuelve a entrar.")</f>
        <v>El hombre rasa más hojas y el hombre del soplador de la hoja vuelve a entrar.</v>
      </c>
    </row>
    <row r="22514">
      <c r="A22514" s="4" t="s">
        <v>28334</v>
      </c>
      <c r="B22514" s="4" t="s">
        <v>28335</v>
      </c>
      <c r="C22514" s="5" t="str">
        <f>IFERROR(__xludf.DUMMYFUNCTION("GOOGLETRANSLATE(B22514,""en"",""es-ES"")"),"Vemos el fondo del mar bajo el agua.")</f>
        <v>Vemos el fondo del mar bajo el agua.</v>
      </c>
    </row>
    <row r="22515">
      <c r="A22515" s="4" t="s">
        <v>28334</v>
      </c>
      <c r="B22515" s="4" t="s">
        <v>28336</v>
      </c>
      <c r="C22515" s="5" t="str">
        <f>IFERROR(__xludf.DUMMYFUNCTION("GOOGLETRANSLATE(B22515,""en"",""es-ES"")"),"Dos personas nadan frente a la cámara.")</f>
        <v>Dos personas nadan frente a la cámara.</v>
      </c>
    </row>
    <row r="22516">
      <c r="A22516" s="4" t="s">
        <v>28334</v>
      </c>
      <c r="B22516" s="4" t="s">
        <v>28337</v>
      </c>
      <c r="C22516" s="5" t="str">
        <f>IFERROR(__xludf.DUMMYFUNCTION("GOOGLETRANSLATE(B22516,""en"",""es-ES"")"),"Vemos a un hombre sosteniendo una cámara.")</f>
        <v>Vemos a un hombre sosteniendo una cámara.</v>
      </c>
    </row>
    <row r="22517">
      <c r="A22517" s="4" t="s">
        <v>28334</v>
      </c>
      <c r="B22517" s="4" t="s">
        <v>28338</v>
      </c>
      <c r="C22517" s="5" t="str">
        <f>IFERROR(__xludf.DUMMYFUNCTION("GOOGLETRANSLATE(B22517,""en"",""es-ES"")"),"Vemos una aleta ingresar a la cámara.")</f>
        <v>Vemos una aleta ingresar a la cámara.</v>
      </c>
    </row>
    <row r="22518">
      <c r="A22518" s="4" t="s">
        <v>28334</v>
      </c>
      <c r="B22518" s="4" t="s">
        <v>28339</v>
      </c>
      <c r="C22518" s="5" t="str">
        <f>IFERROR(__xludf.DUMMYFUNCTION("GOOGLETRANSLATE(B22518,""en"",""es-ES"")"),"La cámara está girando salvajemente.")</f>
        <v>La cámara está girando salvajemente.</v>
      </c>
    </row>
    <row r="22519">
      <c r="A22519" s="4" t="s">
        <v>28334</v>
      </c>
      <c r="B22519" s="4" t="s">
        <v>28340</v>
      </c>
      <c r="C22519" s="5" t="str">
        <f>IFERROR(__xludf.DUMMYFUNCTION("GOOGLETRANSLATE(B22519,""en"",""es-ES"")"),"Las burbujas se levantan de un tubo.")</f>
        <v>Las burbujas se levantan de un tubo.</v>
      </c>
    </row>
    <row r="22520">
      <c r="A22520" s="4" t="s">
        <v>28334</v>
      </c>
      <c r="B22520" s="4" t="s">
        <v>28341</v>
      </c>
      <c r="C22520" s="5" t="str">
        <f>IFERROR(__xludf.DUMMYFUNCTION("GOOGLETRANSLATE(B22520,""en"",""es-ES"")"),"Un hombre entrega a otra persona la boquilla.")</f>
        <v>Un hombre entrega a otra persona la boquilla.</v>
      </c>
    </row>
    <row r="22521">
      <c r="A22521" s="4" t="s">
        <v>28342</v>
      </c>
      <c r="B22521" s="4" t="s">
        <v>28343</v>
      </c>
      <c r="C22521" s="5" t="str">
        <f>IFERROR(__xludf.DUMMYFUNCTION("GOOGLETRANSLATE(B22521,""en"",""es-ES"")"),"Se ven dos personas caminando por un patio frente a un tablero.")</f>
        <v>Se ven dos personas caminando por un patio frente a un tablero.</v>
      </c>
    </row>
    <row r="22522">
      <c r="A22522" s="4" t="s">
        <v>28342</v>
      </c>
      <c r="B22522" s="4" t="s">
        <v>28344</v>
      </c>
      <c r="C22522" s="5" t="str">
        <f>IFERROR(__xludf.DUMMYFUNCTION("GOOGLETRANSLATE(B22522,""en"",""es-ES"")"),"Otro hombre entra y se ve al grupo poniendo una cerca.")</f>
        <v>Otro hombre entra y se ve al grupo poniendo una cerca.</v>
      </c>
    </row>
    <row r="22523">
      <c r="A22523" s="4" t="s">
        <v>28342</v>
      </c>
      <c r="B22523" s="4" t="s">
        <v>28345</v>
      </c>
      <c r="C22523" s="5" t="str">
        <f>IFERROR(__xludf.DUMMYFUNCTION("GOOGLETRANSLATE(B22523,""en"",""es-ES"")"),"Los hombres continúan poniendo tablas en la cerca y terminan presentándola a la cámara.")</f>
        <v>Los hombres continúan poniendo tablas en la cerca y terminan presentándola a la cámara.</v>
      </c>
    </row>
    <row r="22524">
      <c r="A22524" s="4" t="s">
        <v>28346</v>
      </c>
      <c r="B22524" s="4" t="s">
        <v>28347</v>
      </c>
      <c r="C22524" s="5" t="str">
        <f>IFERROR(__xludf.DUMMYFUNCTION("GOOGLETRANSLATE(B22524,""en"",""es-ES"")"),"Un hombre está sentado detrás de una mesa completando un cubo de Rubik.")</f>
        <v>Un hombre está sentado detrás de una mesa completando un cubo de Rubik.</v>
      </c>
    </row>
    <row r="22525">
      <c r="A22525" s="4" t="s">
        <v>28346</v>
      </c>
      <c r="B22525" s="4" t="s">
        <v>28348</v>
      </c>
      <c r="C22525" s="5" t="str">
        <f>IFERROR(__xludf.DUMMYFUNCTION("GOOGLETRANSLATE(B22525,""en"",""es-ES"")"),"Una persona con una camisa azul está parada al lado de la mesa sosteniendo una parada.")</f>
        <v>Una persona con una camisa azul está parada al lado de la mesa sosteniendo una parada.</v>
      </c>
    </row>
    <row r="22526">
      <c r="A22526" s="4" t="s">
        <v>28346</v>
      </c>
      <c r="B22526" s="4" t="s">
        <v>28349</v>
      </c>
      <c r="C22526" s="5" t="str">
        <f>IFERROR(__xludf.DUMMYFUNCTION("GOOGLETRANSLATE(B22526,""en"",""es-ES"")"),"El hombre completa el cubo de Rubik y lo establece.")</f>
        <v>El hombre completa el cubo de Rubik y lo establece.</v>
      </c>
    </row>
    <row r="22527">
      <c r="A22527" s="4" t="s">
        <v>28346</v>
      </c>
      <c r="B22527" s="4" t="s">
        <v>28350</v>
      </c>
      <c r="C22527" s="5" t="str">
        <f>IFERROR(__xludf.DUMMYFUNCTION("GOOGLETRANSLATE(B22527,""en"",""es-ES"")"),"Abraza a una persona que camina a su lado.")</f>
        <v>Abraza a una persona que camina a su lado.</v>
      </c>
    </row>
    <row r="22528">
      <c r="A22528" s="4" t="s">
        <v>28351</v>
      </c>
      <c r="B22528" s="4" t="s">
        <v>28352</v>
      </c>
      <c r="C22528" s="5" t="str">
        <f>IFERROR(__xludf.DUMMYFUNCTION("GOOGLETRANSLATE(B22528,""en"",""es-ES"")"),"Dos hombres están al aire libre en una acera, tocando la batería con sus manos desnudas.")</f>
        <v>Dos hombres están al aire libre en una acera, tocando la batería con sus manos desnudas.</v>
      </c>
    </row>
    <row r="22529">
      <c r="A22529" s="4" t="s">
        <v>28351</v>
      </c>
      <c r="B22529" s="4" t="s">
        <v>28353</v>
      </c>
      <c r="C22529" s="5" t="str">
        <f>IFERROR(__xludf.DUMMYFUNCTION("GOOGLETRANSLATE(B22529,""en"",""es-ES"")"),"Una gran multitud cruza la acera mientras completan el espectáculo, y el hombre de la izquierda se alza.")</f>
        <v>Una gran multitud cruza la acera mientras completan el espectáculo, y el hombre de la izquierda se alza.</v>
      </c>
    </row>
    <row r="22530">
      <c r="A22530" s="4" t="s">
        <v>28354</v>
      </c>
      <c r="B22530" s="4" t="s">
        <v>28355</v>
      </c>
      <c r="C22530" s="5" t="str">
        <f>IFERROR(__xludf.DUMMYFUNCTION("GOOGLETRANSLATE(B22530,""en"",""es-ES"")"),"Un grupo de personas se alinean contra una pared frente a un conjunto de bolas al comienzo de un juego en un gimnasio.")</f>
        <v>Un grupo de personas se alinean contra una pared frente a un conjunto de bolas al comienzo de un juego en un gimnasio.</v>
      </c>
    </row>
    <row r="22531">
      <c r="A22531" s="4" t="s">
        <v>28354</v>
      </c>
      <c r="B22531" s="4" t="s">
        <v>28356</v>
      </c>
      <c r="C22531" s="5" t="str">
        <f>IFERROR(__xludf.DUMMYFUNCTION("GOOGLETRANSLATE(B22531,""en"",""es-ES"")"),"El grupo corre para recuperar las bolas.")</f>
        <v>El grupo corre para recuperar las bolas.</v>
      </c>
    </row>
    <row r="22532">
      <c r="A22532" s="4" t="s">
        <v>28354</v>
      </c>
      <c r="B22532" s="4" t="s">
        <v>28357</v>
      </c>
      <c r="C22532" s="5" t="str">
        <f>IFERROR(__xludf.DUMMYFUNCTION("GOOGLETRANSLATE(B22532,""en"",""es-ES"")"),"El grupo transporta un balón de un lado a otro con un equipo contrario en un juego de Bodge Ball.")</f>
        <v>El grupo transporta un balón de un lado a otro con un equipo contrario en un juego de Bodge Ball.</v>
      </c>
    </row>
    <row r="22533">
      <c r="A22533" s="4" t="s">
        <v>28354</v>
      </c>
      <c r="B22533" s="4" t="s">
        <v>28358</v>
      </c>
      <c r="C22533" s="5" t="str">
        <f>IFERROR(__xludf.DUMMYFUNCTION("GOOGLETRANSLATE(B22533,""en"",""es-ES"")"),"Un hombre es golpeado varias veces mientras corre hacia adelante en la cancha y recupera bolas.")</f>
        <v>Un hombre es golpeado varias veces mientras corre hacia adelante en la cancha y recupera bolas.</v>
      </c>
    </row>
    <row r="22534">
      <c r="A22534" s="4" t="s">
        <v>28359</v>
      </c>
      <c r="B22534" s="4" t="s">
        <v>28360</v>
      </c>
      <c r="C22534" s="5" t="str">
        <f>IFERROR(__xludf.DUMMYFUNCTION("GOOGLETRANSLATE(B22534,""en"",""es-ES"")"),"Vemos hombres en un escenario caminando en una línea de holgura mientras otros dos hombres filman el evento.")</f>
        <v>Vemos hombres en un escenario caminando en una línea de holgura mientras otros dos hombres filman el evento.</v>
      </c>
    </row>
    <row r="22535">
      <c r="A22535" s="4" t="s">
        <v>28359</v>
      </c>
      <c r="B22535" s="4" t="s">
        <v>28361</v>
      </c>
      <c r="C22535" s="5" t="str">
        <f>IFERROR(__xludf.DUMMYFUNCTION("GOOGLETRANSLATE(B22535,""en"",""es-ES"")"),"Cambian y un hombre diferente camina por la línea de holgura que voltea la línea de holgura.")</f>
        <v>Cambian y un hombre diferente camina por la línea de holgura que voltea la línea de holgura.</v>
      </c>
    </row>
    <row r="22536">
      <c r="A22536" s="4" t="s">
        <v>28359</v>
      </c>
      <c r="B22536" s="4" t="s">
        <v>28362</v>
      </c>
      <c r="C22536" s="5" t="str">
        <f>IFERROR(__xludf.DUMMYFUNCTION("GOOGLETRANSLATE(B22536,""en"",""es-ES"")"),"Los hombres cambian nuevamente y el primer hombre está en la línea de holgura.")</f>
        <v>Los hombres cambian nuevamente y el primer hombre está en la línea de holgura.</v>
      </c>
    </row>
    <row r="22537">
      <c r="A22537" s="4" t="s">
        <v>28359</v>
      </c>
      <c r="B22537" s="4" t="s">
        <v>28363</v>
      </c>
      <c r="C22537" s="5" t="str">
        <f>IFERROR(__xludf.DUMMYFUNCTION("GOOGLETRANSLATE(B22537,""en"",""es-ES"")"),"El hombre se cae de la línea de holgura sobre su trasero.")</f>
        <v>El hombre se cae de la línea de holgura sobre su trasero.</v>
      </c>
    </row>
    <row r="22538">
      <c r="A22538" s="4" t="s">
        <v>28359</v>
      </c>
      <c r="B22538" s="4" t="s">
        <v>28364</v>
      </c>
      <c r="C22538" s="5" t="str">
        <f>IFERROR(__xludf.DUMMYFUNCTION("GOOGLETRANSLATE(B22538,""en"",""es-ES"")"),"El segundo hombre rebota y voltea.")</f>
        <v>El segundo hombre rebota y voltea.</v>
      </c>
    </row>
    <row r="22539">
      <c r="A22539" s="4" t="s">
        <v>28359</v>
      </c>
      <c r="B22539" s="4" t="s">
        <v>28365</v>
      </c>
      <c r="C22539" s="5" t="str">
        <f>IFERROR(__xludf.DUMMYFUNCTION("GOOGLETRANSLATE(B22539,""en"",""es-ES"")"),"El primer hombre rebota y voltea.")</f>
        <v>El primer hombre rebota y voltea.</v>
      </c>
    </row>
    <row r="22540">
      <c r="A22540" s="4" t="s">
        <v>28359</v>
      </c>
      <c r="B22540" s="4" t="s">
        <v>28366</v>
      </c>
      <c r="C22540" s="5" t="str">
        <f>IFERROR(__xludf.DUMMYFUNCTION("GOOGLETRANSLATE(B22540,""en"",""es-ES"")"),"Los hombres aplauden y sacan la línea de holgura fuera del escenario.")</f>
        <v>Los hombres aplauden y sacan la línea de holgura fuera del escenario.</v>
      </c>
    </row>
    <row r="22541">
      <c r="A22541" s="4" t="s">
        <v>28367</v>
      </c>
      <c r="B22541" s="4" t="s">
        <v>28368</v>
      </c>
      <c r="C22541" s="5" t="str">
        <f>IFERROR(__xludf.DUMMYFUNCTION("GOOGLETRANSLATE(B22541,""en"",""es-ES"")"),"Se muestra un primer plano de un reloj, seguido por una persona que hace y derrama café, así como el exterior de un edificio.")</f>
        <v>Se muestra un primer plano de un reloj, seguido por una persona que hace y derrama café, así como el exterior de un edificio.</v>
      </c>
    </row>
    <row r="22542">
      <c r="A22542" s="4" t="s">
        <v>28367</v>
      </c>
      <c r="B22542" s="4" t="s">
        <v>28369</v>
      </c>
      <c r="C22542" s="5" t="str">
        <f>IFERROR(__xludf.DUMMYFUNCTION("GOOGLETRANSLATE(B22542,""en"",""es-ES"")"),"Una mujer establece sus llaves, escribe en un tablero y lleva a su preparación y acariciando a los perros.")</f>
        <v>Una mujer establece sus llaves, escribe en un tablero y lleva a su preparación y acariciando a los perros.</v>
      </c>
    </row>
    <row r="22543">
      <c r="A22543" s="4" t="s">
        <v>28367</v>
      </c>
      <c r="B22543" s="4" t="s">
        <v>28370</v>
      </c>
      <c r="C22543" s="5" t="str">
        <f>IFERROR(__xludf.DUMMYFUNCTION("GOOGLETRANSLATE(B22543,""en"",""es-ES"")"),"Se muestran varios clips de la mujer preparando a los animales desde varias vistas y los animales que se muestran después.")</f>
        <v>Se muestran varios clips de la mujer preparando a los animales desde varias vistas y los animales que se muestran después.</v>
      </c>
    </row>
    <row r="22544">
      <c r="A22544" s="4" t="s">
        <v>28371</v>
      </c>
      <c r="B22544" s="4" t="s">
        <v>28372</v>
      </c>
      <c r="C22544" s="5" t="str">
        <f>IFERROR(__xludf.DUMMYFUNCTION("GOOGLETRANSLATE(B22544,""en"",""es-ES"")"),"Se ve a una chica con anteojos hablando con la cámara que la lleva a quitarse y sostenerlas en su cámara.")</f>
        <v>Se ve a una chica con anteojos hablando con la cámara que la lleva a quitarse y sostenerlas en su cámara.</v>
      </c>
    </row>
    <row r="22545">
      <c r="A22545" s="4" t="s">
        <v>28371</v>
      </c>
      <c r="B22545" s="4" t="s">
        <v>28373</v>
      </c>
      <c r="C22545" s="5" t="str">
        <f>IFERROR(__xludf.DUMMYFUNCTION("GOOGLETRANSLATE(B22545,""en"",""es-ES"")"),"Luego levanta varios artículos y mantiene el ojo abierto para poner en contacto con ambos ojos.")</f>
        <v>Luego levanta varios artículos y mantiene el ojo abierto para poner en contacto con ambos ojos.</v>
      </c>
    </row>
    <row r="22546">
      <c r="A22546" s="4" t="s">
        <v>28374</v>
      </c>
      <c r="B22546" s="4" t="s">
        <v>1487</v>
      </c>
      <c r="C22546" s="5" t="str">
        <f>IFERROR(__xludf.DUMMYFUNCTION("GOOGLETRANSLATE(B22546,""en"",""es-ES"")"),"Vemos una pantalla de título de apertura.")</f>
        <v>Vemos una pantalla de título de apertura.</v>
      </c>
    </row>
    <row r="22547">
      <c r="A22547" s="4" t="s">
        <v>28374</v>
      </c>
      <c r="B22547" s="4" t="s">
        <v>28375</v>
      </c>
      <c r="C22547" s="5" t="str">
        <f>IFERROR(__xludf.DUMMYFUNCTION("GOOGLETRANSLATE(B22547,""en"",""es-ES"")"),"Vemos a un hombre caminando por una cuerda floja sobre una cordillera.")</f>
        <v>Vemos a un hombre caminando por una cuerda floja sobre una cordillera.</v>
      </c>
    </row>
    <row r="22548">
      <c r="A22548" s="4" t="s">
        <v>28374</v>
      </c>
      <c r="B22548" s="4" t="s">
        <v>28376</v>
      </c>
      <c r="C22548" s="5" t="str">
        <f>IFERROR(__xludf.DUMMYFUNCTION("GOOGLETRANSLATE(B22548,""en"",""es-ES"")"),"Vemos una imagen en la imagen en la esquina superior izquierda.")</f>
        <v>Vemos una imagen en la imagen en la esquina superior izquierda.</v>
      </c>
    </row>
    <row r="22549">
      <c r="A22549" s="4" t="s">
        <v>28374</v>
      </c>
      <c r="B22549" s="4" t="s">
        <v>28377</v>
      </c>
      <c r="C22549" s="5" t="str">
        <f>IFERROR(__xludf.DUMMYFUNCTION("GOOGLETRANSLATE(B22549,""en"",""es-ES"")"),"Vemos al hombre sosteniendo un palo selfie.")</f>
        <v>Vemos al hombre sosteniendo un palo selfie.</v>
      </c>
    </row>
    <row r="22550">
      <c r="A22550" s="4" t="s">
        <v>28374</v>
      </c>
      <c r="B22550" s="4" t="s">
        <v>28378</v>
      </c>
      <c r="C22550" s="5" t="str">
        <f>IFERROR(__xludf.DUMMYFUNCTION("GOOGLETRANSLATE(B22550,""en"",""es-ES"")"),"El hombre llega al otro lado y se da la vuelta.")</f>
        <v>El hombre llega al otro lado y se da la vuelta.</v>
      </c>
    </row>
    <row r="22551">
      <c r="A22551" s="4" t="s">
        <v>28374</v>
      </c>
      <c r="B22551" s="4" t="s">
        <v>28379</v>
      </c>
      <c r="C22551" s="5" t="str">
        <f>IFERROR(__xludf.DUMMYFUNCTION("GOOGLETRANSLATE(B22551,""en"",""es-ES"")"),"Se carga la pantalla del título final.")</f>
        <v>Se carga la pantalla del título final.</v>
      </c>
    </row>
    <row r="22552">
      <c r="A22552" s="4" t="s">
        <v>28380</v>
      </c>
      <c r="B22552" s="4" t="s">
        <v>28381</v>
      </c>
      <c r="C22552" s="5" t="str">
        <f>IFERROR(__xludf.DUMMYFUNCTION("GOOGLETRANSLATE(B22552,""en"",""es-ES"")"),"Se muestran varias tomas de una celebridad que camina por la alfombra roja, así como una mujer que organiza un segmento de noticias y imágenes que se muestran a su lado.")</f>
        <v>Se muestran varias tomas de una celebridad que camina por la alfombra roja, así como una mujer que organiza un segmento de noticias y imágenes que se muestran a su lado.</v>
      </c>
    </row>
    <row r="22553">
      <c r="A22553" s="4" t="s">
        <v>28380</v>
      </c>
      <c r="B22553" s="4" t="s">
        <v>28382</v>
      </c>
      <c r="C22553" s="5" t="str">
        <f>IFERROR(__xludf.DUMMYFUNCTION("GOOGLETRANSLATE(B22553,""en"",""es-ES"")"),"Se muestran más fotos, así como el esquí de celebridades y el snowboard, y termina con hombres acompañando a la celebridad a un edificio y más fotos mientras la mujer habla.")</f>
        <v>Se muestran más fotos, así como el esquí de celebridades y el snowboard, y termina con hombres acompañando a la celebridad a un edificio y más fotos mientras la mujer habla.</v>
      </c>
    </row>
    <row r="22554">
      <c r="A22554" s="4" t="s">
        <v>28383</v>
      </c>
      <c r="B22554" s="4" t="s">
        <v>28384</v>
      </c>
      <c r="C22554" s="5" t="str">
        <f>IFERROR(__xludf.DUMMYFUNCTION("GOOGLETRANSLATE(B22554,""en"",""es-ES"")"),"Se ve a una gran banda de música parada junta frente a un gran edificio con otros parados.")</f>
        <v>Se ve a una gran banda de música parada junta frente a un gran edificio con otros parados.</v>
      </c>
    </row>
    <row r="22555">
      <c r="A22555" s="4" t="s">
        <v>28383</v>
      </c>
      <c r="B22555" s="4" t="s">
        <v>28385</v>
      </c>
      <c r="C22555" s="5" t="str">
        <f>IFERROR(__xludf.DUMMYFUNCTION("GOOGLETRANSLATE(B22555,""en"",""es-ES"")"),"Se muestran más tomas del grupo de pie entre sí mientras la cámara se aplica.")</f>
        <v>Se muestran más tomas del grupo de pie entre sí mientras la cámara se aplica.</v>
      </c>
    </row>
    <row r="22556">
      <c r="A22556" s="4" t="s">
        <v>28386</v>
      </c>
      <c r="B22556" s="4" t="s">
        <v>28387</v>
      </c>
      <c r="C22556" s="5" t="str">
        <f>IFERROR(__xludf.DUMMYFUNCTION("GOOGLETRANSLATE(B22556,""en"",""es-ES"")"),"Una introducción conduce a dos mujeres frente a la cámara, una de pie y hablando, y la otra sentada y observando.")</f>
        <v>Una introducción conduce a dos mujeres frente a la cámara, una de pie y hablando, y la otra sentada y observando.</v>
      </c>
    </row>
    <row r="22557">
      <c r="A22557" s="4" t="s">
        <v>28386</v>
      </c>
      <c r="B22557" s="4" t="s">
        <v>28388</v>
      </c>
      <c r="C22557" s="5" t="str">
        <f>IFERROR(__xludf.DUMMYFUNCTION("GOOGLETRANSLATE(B22557,""en"",""es-ES"")"),"La mujer de pie levanta un cepillo y comienza a cepillarse el cabello de la mujer.")</f>
        <v>La mujer de pie levanta un cepillo y comienza a cepillarse el cabello de la mujer.</v>
      </c>
    </row>
    <row r="22558">
      <c r="A22558" s="4" t="s">
        <v>28386</v>
      </c>
      <c r="B22558" s="4" t="s">
        <v>28389</v>
      </c>
      <c r="C22558" s="5" t="str">
        <f>IFERROR(__xludf.DUMMYFUNCTION("GOOGLETRANSLATE(B22558,""en"",""es-ES"")"),"Ella termina de cepillarse el cabello de la mujer y mira hacia la cámara sonriendo.")</f>
        <v>Ella termina de cepillarse el cabello de la mujer y mira hacia la cámara sonriendo.</v>
      </c>
    </row>
    <row r="22559">
      <c r="A22559" s="4" t="s">
        <v>28390</v>
      </c>
      <c r="B22559" s="4" t="s">
        <v>28391</v>
      </c>
      <c r="C22559" s="5" t="str">
        <f>IFERROR(__xludf.DUMMYFUNCTION("GOOGLETRANSLATE(B22559,""en"",""es-ES"")"),"Una mujer ayuda a un niño pequeño a patear una pelota durante un juego de kickball.")</f>
        <v>Una mujer ayuda a un niño pequeño a patear una pelota durante un juego de kickball.</v>
      </c>
    </row>
    <row r="22560">
      <c r="A22560" s="4" t="s">
        <v>28390</v>
      </c>
      <c r="B22560" s="4" t="s">
        <v>28392</v>
      </c>
      <c r="C22560" s="5" t="str">
        <f>IFERROR(__xludf.DUMMYFUNCTION("GOOGLETRANSLATE(B22560,""en"",""es-ES"")"),"Cada vez que la pelota llega a la base, otro niño tiene un giro para patear.")</f>
        <v>Cada vez que la pelota llega a la base, otro niño tiene un giro para patear.</v>
      </c>
    </row>
    <row r="22561">
      <c r="A22561" s="4" t="s">
        <v>28393</v>
      </c>
      <c r="B22561" s="4" t="s">
        <v>28394</v>
      </c>
      <c r="C22561" s="5" t="str">
        <f>IFERROR(__xludf.DUMMYFUNCTION("GOOGLETRANSLATE(B22561,""en"",""es-ES"")"),"Un hombre corre con un poste y un salto alto, luego la gente salta varias veces.")</f>
        <v>Un hombre corre con un poste y un salto alto, luego la gente salta varias veces.</v>
      </c>
    </row>
    <row r="22562">
      <c r="A22562" s="4" t="s">
        <v>28393</v>
      </c>
      <c r="B22562" s="4" t="s">
        <v>28395</v>
      </c>
      <c r="C22562" s="5" t="str">
        <f>IFERROR(__xludf.DUMMYFUNCTION("GOOGLETRANSLATE(B22562,""en"",""es-ES"")"),"Dos hombres están boxeando, luego la gente se reúne, los hombres paracaídas y un hombre buceado en el agua.")</f>
        <v>Dos hombres están boxeando, luego la gente se reúne, los hombres paracaídas y un hombre buceado en el agua.</v>
      </c>
    </row>
    <row r="22563">
      <c r="A22563" s="4" t="s">
        <v>28393</v>
      </c>
      <c r="B22563" s="4" t="s">
        <v>28396</v>
      </c>
      <c r="C22563" s="5" t="str">
        <f>IFERROR(__xludf.DUMMYFUNCTION("GOOGLETRANSLATE(B22563,""en"",""es-ES"")"),"Personas vestidas con ropa militar, luego están haciendo otras actividades.")</f>
        <v>Personas vestidas con ropa militar, luego están haciendo otras actividades.</v>
      </c>
    </row>
    <row r="22564">
      <c r="A22564" s="4" t="s">
        <v>28393</v>
      </c>
      <c r="B22564" s="4" t="s">
        <v>28397</v>
      </c>
      <c r="C22564" s="5" t="str">
        <f>IFERROR(__xludf.DUMMYFUNCTION("GOOGLETRANSLATE(B22564,""en"",""es-ES"")"),"Las personas practican salto con pértiga, escalada y otras actividades.")</f>
        <v>Las personas practican salto con pértiga, escalada y otras actividades.</v>
      </c>
    </row>
    <row r="22565">
      <c r="A22565" s="4" t="s">
        <v>28398</v>
      </c>
      <c r="B22565" s="4" t="s">
        <v>28399</v>
      </c>
      <c r="C22565" s="5" t="str">
        <f>IFERROR(__xludf.DUMMYFUNCTION("GOOGLETRANSLATE(B22565,""en"",""es-ES"")"),"Dos hombres corren en una pista mientras una gran multitud de espectadores y reloj de prensa.")</f>
        <v>Dos hombres corren en una pista mientras una gran multitud de espectadores y reloj de prensa.</v>
      </c>
    </row>
    <row r="22566">
      <c r="A22566" s="4" t="s">
        <v>28398</v>
      </c>
      <c r="B22566" s="4" t="s">
        <v>28400</v>
      </c>
      <c r="C22566" s="5" t="str">
        <f>IFERROR(__xludf.DUMMYFUNCTION("GOOGLETRANSLATE(B22566,""en"",""es-ES"")"),"Un hombre en la hierba en el fondo corre con los hombres por un momento.")</f>
        <v>Un hombre en la hierba en el fondo corre con los hombres por un momento.</v>
      </c>
    </row>
    <row r="22567">
      <c r="A22567" s="4" t="s">
        <v>28398</v>
      </c>
      <c r="B22567" s="4" t="s">
        <v>28401</v>
      </c>
      <c r="C22567" s="5" t="str">
        <f>IFERROR(__xludf.DUMMYFUNCTION("GOOGLETRANSLATE(B22567,""en"",""es-ES"")"),"El hombre en el carril interior de la pista comienza a correr muy rápido y luego salta a un pozo de arena.")</f>
        <v>El hombre en el carril interior de la pista comienza a correr muy rápido y luego salta a un pozo de arena.</v>
      </c>
    </row>
    <row r="22568">
      <c r="A22568" s="4" t="s">
        <v>28398</v>
      </c>
      <c r="B22568" s="4" t="s">
        <v>28402</v>
      </c>
      <c r="C22568" s="5" t="str">
        <f>IFERROR(__xludf.DUMMYFUNCTION("GOOGLETRANSLATE(B22568,""en"",""es-ES"")"),"El otro hombre pasa más allá del pozo de arena.")</f>
        <v>El otro hombre pasa más allá del pozo de arena.</v>
      </c>
    </row>
    <row r="22569">
      <c r="A22569" s="4" t="s">
        <v>28398</v>
      </c>
      <c r="B22569" s="4" t="s">
        <v>28403</v>
      </c>
      <c r="C22569" s="5" t="str">
        <f>IFERROR(__xludf.DUMMYFUNCTION("GOOGLETRANSLATE(B22569,""en"",""es-ES"")"),"El hombre que saltó de la arena y camina hacia un lado.")</f>
        <v>El hombre que saltó de la arena y camina hacia un lado.</v>
      </c>
    </row>
    <row r="22570">
      <c r="A22570" s="4" t="s">
        <v>28404</v>
      </c>
      <c r="B22570" s="4" t="s">
        <v>28405</v>
      </c>
      <c r="C22570" s="5" t="str">
        <f>IFERROR(__xludf.DUMMYFUNCTION("GOOGLETRANSLATE(B22570,""en"",""es-ES"")"),"Dentro de una cerca, los hombres están sentados sobre caballos esperando.")</f>
        <v>Dentro de una cerca, los hombres están sentados sobre caballos esperando.</v>
      </c>
    </row>
    <row r="22571">
      <c r="A22571" s="4" t="s">
        <v>28404</v>
      </c>
      <c r="B22571" s="4" t="s">
        <v>28406</v>
      </c>
      <c r="C22571" s="5" t="str">
        <f>IFERROR(__xludf.DUMMYFUNCTION("GOOGLETRANSLATE(B22571,""en"",""es-ES"")"),"Uno de los hombres comienza a perseguir a un toro en su caballo.")</f>
        <v>Uno de los hombres comienza a perseguir a un toro en su caballo.</v>
      </c>
    </row>
    <row r="22572">
      <c r="A22572" s="4" t="s">
        <v>28404</v>
      </c>
      <c r="B22572" s="4" t="s">
        <v>28407</v>
      </c>
      <c r="C22572" s="5" t="str">
        <f>IFERROR(__xludf.DUMMYFUNCTION("GOOGLETRANSLATE(B22572,""en"",""es-ES"")"),"Se levanta de su caballo y derriba el toro y comienza a caminar de regreso a su caballo.")</f>
        <v>Se levanta de su caballo y derriba el toro y comienza a caminar de regreso a su caballo.</v>
      </c>
    </row>
    <row r="22573">
      <c r="A22573" s="4" t="s">
        <v>28404</v>
      </c>
      <c r="B22573" s="4" t="s">
        <v>28408</v>
      </c>
      <c r="C22573" s="5" t="str">
        <f>IFERROR(__xludf.DUMMYFUNCTION("GOOGLETRANSLATE(B22573,""en"",""es-ES"")"),"Vuelve al caballo cuando el toro se acuesta en el suelo derrotó.")</f>
        <v>Vuelve al caballo cuando el toro se acuesta en el suelo derrotó.</v>
      </c>
    </row>
    <row r="22574">
      <c r="A22574" s="4" t="s">
        <v>28409</v>
      </c>
      <c r="B22574" s="4" t="s">
        <v>28410</v>
      </c>
      <c r="C22574" s="5" t="str">
        <f>IFERROR(__xludf.DUMMYFUNCTION("GOOGLETRANSLATE(B22574,""en"",""es-ES"")"),"Los hombres discuten un proyecto sentado en la mesa.")</f>
        <v>Los hombres discuten un proyecto sentado en la mesa.</v>
      </c>
    </row>
    <row r="22575">
      <c r="A22575" s="4" t="s">
        <v>28409</v>
      </c>
      <c r="B22575" s="4" t="s">
        <v>28411</v>
      </c>
      <c r="C22575" s="5" t="str">
        <f>IFERROR(__xludf.DUMMYFUNCTION("GOOGLETRANSLATE(B22575,""en"",""es-ES"")"),"Dos hombres se sientan juntos en una mesa y leen de un documento.")</f>
        <v>Dos hombres se sientan juntos en una mesa y leen de un documento.</v>
      </c>
    </row>
    <row r="22576">
      <c r="A22576" s="4" t="s">
        <v>28409</v>
      </c>
      <c r="B22576" s="4" t="s">
        <v>28412</v>
      </c>
      <c r="C22576" s="5" t="str">
        <f>IFERROR(__xludf.DUMMYFUNCTION("GOOGLETRANSLATE(B22576,""en"",""es-ES"")"),"Los dos hombres juegan un juego de tijeras de papel rock.")</f>
        <v>Los dos hombres juegan un juego de tijeras de papel rock.</v>
      </c>
    </row>
    <row r="22577">
      <c r="A22577" s="4" t="s">
        <v>28413</v>
      </c>
      <c r="B22577" s="4" t="s">
        <v>28414</v>
      </c>
      <c r="C22577" s="5" t="str">
        <f>IFERROR(__xludf.DUMMYFUNCTION("GOOGLETRANSLATE(B22577,""en"",""es-ES"")"),"Hay una niña que lava platos y cucharas en el fregadero de la cocina.")</f>
        <v>Hay una niña que lava platos y cucharas en el fregadero de la cocina.</v>
      </c>
    </row>
    <row r="22578">
      <c r="A22578" s="4" t="s">
        <v>28413</v>
      </c>
      <c r="B22578" s="4" t="s">
        <v>28415</v>
      </c>
      <c r="C22578" s="5" t="str">
        <f>IFERROR(__xludf.DUMMYFUNCTION("GOOGLETRANSLATE(B22578,""en"",""es-ES"")"),"Ella usa un matorral de plato azul y un montón de jabón para platos y lava el vaso y las cucharas mientras mantiene el grifo en funcionamiento.")</f>
        <v>Ella usa un matorral de plato azul y un montón de jabón para platos y lava el vaso y las cucharas mientras mantiene el grifo en funcionamiento.</v>
      </c>
    </row>
    <row r="22579">
      <c r="A22579" s="4" t="s">
        <v>28413</v>
      </c>
      <c r="B22579" s="4" t="s">
        <v>28416</v>
      </c>
      <c r="C22579" s="5" t="str">
        <f>IFERROR(__xludf.DUMMYFUNCTION("GOOGLETRANSLATE(B22579,""en"",""es-ES"")"),"Ella tiene las manos cubiertas con espuma de jabón mientras lava las cucharas y los cuchillos debajo del grifo.")</f>
        <v>Ella tiene las manos cubiertas con espuma de jabón mientras lava las cucharas y los cuchillos debajo del grifo.</v>
      </c>
    </row>
    <row r="22580">
      <c r="A22580" s="4" t="s">
        <v>28413</v>
      </c>
      <c r="B22580" s="4" t="s">
        <v>28417</v>
      </c>
      <c r="C22580" s="5" t="str">
        <f>IFERROR(__xludf.DUMMYFUNCTION("GOOGLETRANSLATE(B22580,""en"",""es-ES"")"),"Luego lava un cortador de pizza y una cuchara a fondo con el jabón y el jabón.")</f>
        <v>Luego lava un cortador de pizza y una cuchara a fondo con el jabón y el jabón.</v>
      </c>
    </row>
    <row r="22581">
      <c r="A22581" s="4" t="s">
        <v>28418</v>
      </c>
      <c r="B22581" s="4" t="s">
        <v>28419</v>
      </c>
      <c r="C22581" s="5" t="str">
        <f>IFERROR(__xludf.DUMMYFUNCTION("GOOGLETRANSLATE(B22581,""en"",""es-ES"")"),"Un hombre está jugando un juego de shuffleboard.")</f>
        <v>Un hombre está jugando un juego de shuffleboard.</v>
      </c>
    </row>
    <row r="22582">
      <c r="A22582" s="4" t="s">
        <v>28418</v>
      </c>
      <c r="B22582" s="4" t="s">
        <v>28420</v>
      </c>
      <c r="C22582" s="5" t="str">
        <f>IFERROR(__xludf.DUMMYFUNCTION("GOOGLETRANSLATE(B22582,""en"",""es-ES"")"),"Un hombre cae sobre el shuffleboard.")</f>
        <v>Un hombre cae sobre el shuffleboard.</v>
      </c>
    </row>
    <row r="22583">
      <c r="A22583" s="4" t="s">
        <v>28418</v>
      </c>
      <c r="B22583" s="4" t="s">
        <v>28421</v>
      </c>
      <c r="C22583" s="5" t="str">
        <f>IFERROR(__xludf.DUMMYFUNCTION("GOOGLETRANSLATE(B22583,""en"",""es-ES"")"),"Se deja caer un disco al suelo.")</f>
        <v>Se deja caer un disco al suelo.</v>
      </c>
    </row>
    <row r="22584">
      <c r="A22584" s="4" t="s">
        <v>28422</v>
      </c>
      <c r="B22584" s="4" t="s">
        <v>28423</v>
      </c>
      <c r="C22584" s="5" t="str">
        <f>IFERROR(__xludf.DUMMYFUNCTION("GOOGLETRANSLATE(B22584,""en"",""es-ES"")"),"Una niña habla en la acera, luego camina hacia una raya.")</f>
        <v>Una niña habla en la acera, luego camina hacia una raya.</v>
      </c>
    </row>
    <row r="22585">
      <c r="A22585" s="4" t="s">
        <v>28422</v>
      </c>
      <c r="B22585" s="4" t="s">
        <v>28424</v>
      </c>
      <c r="C22585" s="5" t="str">
        <f>IFERROR(__xludf.DUMMYFUNCTION("GOOGLETRANSLATE(B22585,""en"",""es-ES"")"),"La niña se para en la raya de la láminas, luego salta a la rumba mientras habla.")</f>
        <v>La niña se para en la raya de la láminas, luego salta a la rumba mientras habla.</v>
      </c>
    </row>
    <row r="22586">
      <c r="A22586" s="4" t="s">
        <v>28425</v>
      </c>
      <c r="B22586" s="4" t="s">
        <v>28426</v>
      </c>
      <c r="C22586" s="5" t="str">
        <f>IFERROR(__xludf.DUMMYFUNCTION("GOOGLETRANSLATE(B22586,""en"",""es-ES"")"),"Un hombre da consejos sobre entrenamiento físico al aire libre.")</f>
        <v>Un hombre da consejos sobre entrenamiento físico al aire libre.</v>
      </c>
    </row>
    <row r="22587">
      <c r="A22587" s="4" t="s">
        <v>28425</v>
      </c>
      <c r="B22587" s="4" t="s">
        <v>28427</v>
      </c>
      <c r="C22587" s="5" t="str">
        <f>IFERROR(__xludf.DUMMYFUNCTION("GOOGLETRANSLATE(B22587,""en"",""es-ES"")"),"Demuestra en las barras de mono yendo y viniendo con la fuerza de la parte superior del cuerpo.")</f>
        <v>Demuestra en las barras de mono yendo y viniendo con la fuerza de la parte superior del cuerpo.</v>
      </c>
    </row>
    <row r="22588">
      <c r="A22588" s="4" t="s">
        <v>28428</v>
      </c>
      <c r="B22588" s="4" t="s">
        <v>28429</v>
      </c>
      <c r="C22588" s="5" t="str">
        <f>IFERROR(__xludf.DUMMYFUNCTION("GOOGLETRANSLATE(B22588,""en"",""es-ES"")"),"Se da un informe de noticias sobre la aptitud física.")</f>
        <v>Se da un informe de noticias sobre la aptitud física.</v>
      </c>
    </row>
    <row r="22589">
      <c r="A22589" s="4" t="s">
        <v>28428</v>
      </c>
      <c r="B22589" s="4" t="s">
        <v>28430</v>
      </c>
      <c r="C22589" s="5" t="str">
        <f>IFERROR(__xludf.DUMMYFUNCTION("GOOGLETRANSLATE(B22589,""en"",""es-ES"")"),"Algunas personas discuten los beneficios de Hulahooping y luego hacen una demostración.")</f>
        <v>Algunas personas discuten los beneficios de Hulahooping y luego hacen una demostración.</v>
      </c>
    </row>
    <row r="22590">
      <c r="A22590" s="4" t="s">
        <v>28431</v>
      </c>
      <c r="B22590" s="4" t="s">
        <v>28432</v>
      </c>
      <c r="C22590" s="5" t="str">
        <f>IFERROR(__xludf.DUMMYFUNCTION("GOOGLETRANSLATE(B22590,""en"",""es-ES"")"),"Se ve a una mujer sosteniendo una bebida en el escenario que habla en un micrófono y de la audiencia.")</f>
        <v>Se ve a una mujer sosteniendo una bebida en el escenario que habla en un micrófono y de la audiencia.</v>
      </c>
    </row>
    <row r="22591">
      <c r="A22591" s="4" t="s">
        <v>28431</v>
      </c>
      <c r="B22591" s="4" t="s">
        <v>28433</v>
      </c>
      <c r="C22591" s="5" t="str">
        <f>IFERROR(__xludf.DUMMYFUNCTION("GOOGLETRANSLATE(B22591,""en"",""es-ES"")"),"La mujer continúa hablando y mirando alrededor de la audiencia mientras toma sorbos de su bebida y la dejó.")</f>
        <v>La mujer continúa hablando y mirando alrededor de la audiencia mientras toma sorbos de su bebida y la dejó.</v>
      </c>
    </row>
    <row r="22592">
      <c r="A22592" s="4" t="s">
        <v>28431</v>
      </c>
      <c r="B22592" s="4" t="s">
        <v>28434</v>
      </c>
      <c r="C22592" s="5" t="str">
        <f>IFERROR(__xludf.DUMMYFUNCTION("GOOGLETRANSLATE(B22592,""en"",""es-ES"")"),"Finalmente recoge una guitarra y toma una foto desde el frente y se aleja.")</f>
        <v>Finalmente recoge una guitarra y toma una foto desde el frente y se aleja.</v>
      </c>
    </row>
    <row r="22593">
      <c r="A22593" s="4" t="s">
        <v>28435</v>
      </c>
      <c r="B22593" s="4" t="s">
        <v>28436</v>
      </c>
      <c r="C22593" s="5" t="str">
        <f>IFERROR(__xludf.DUMMYFUNCTION("GOOGLETRANSLATE(B22593,""en"",""es-ES"")"),"Se ve a un gran grupo de personas de pie uno al lado del otro con otras mirando a los lados y conduce al grupo corriendo por un camino.")</f>
        <v>Se ve a un gran grupo de personas de pie uno al lado del otro con otras mirando a los lados y conduce al grupo corriendo por un camino.</v>
      </c>
    </row>
    <row r="22594">
      <c r="A22594" s="4" t="s">
        <v>28435</v>
      </c>
      <c r="B22594" s="4" t="s">
        <v>28437</v>
      </c>
      <c r="C22594" s="5" t="str">
        <f>IFERROR(__xludf.DUMMYFUNCTION("GOOGLETRANSLATE(B22594,""en"",""es-ES"")"),"El gran grupo de niños continúa corriendo por la carretera mientras las personas aún miran a los lados.")</f>
        <v>El gran grupo de niños continúa corriendo por la carretera mientras las personas aún miran a los lados.</v>
      </c>
    </row>
    <row r="22595">
      <c r="A22595" s="4" t="s">
        <v>28438</v>
      </c>
      <c r="B22595" s="4" t="s">
        <v>28439</v>
      </c>
      <c r="C22595" s="5" t="str">
        <f>IFERROR(__xludf.DUMMYFUNCTION("GOOGLETRANSLATE(B22595,""en"",""es-ES"")"),"Se ve a un hombre sentado frente a una mujer que comienza a tocar un piano.")</f>
        <v>Se ve a un hombre sentado frente a una mujer que comienza a tocar un piano.</v>
      </c>
    </row>
    <row r="22596">
      <c r="A22596" s="4" t="s">
        <v>28438</v>
      </c>
      <c r="B22596" s="4" t="s">
        <v>28440</v>
      </c>
      <c r="C22596" s="5" t="str">
        <f>IFERROR(__xludf.DUMMYFUNCTION("GOOGLETRANSLATE(B22596,""en"",""es-ES"")"),"Se ve a otro hombre sentado a su lado tocando un acordeón.")</f>
        <v>Se ve a otro hombre sentado a su lado tocando un acordeón.</v>
      </c>
    </row>
    <row r="22597">
      <c r="A22597" s="4" t="s">
        <v>28438</v>
      </c>
      <c r="B22597" s="4" t="s">
        <v>28441</v>
      </c>
      <c r="C22597" s="5" t="str">
        <f>IFERROR(__xludf.DUMMYFUNCTION("GOOGLETRANSLATE(B22597,""en"",""es-ES"")"),"El hombre y la mujer juegan juntos mientras sonreen y asienten y terminan al detenerse y el hombre aplaudiendo.")</f>
        <v>El hombre y la mujer juegan juntos mientras sonreen y asienten y terminan al detenerse y el hombre aplaudiendo.</v>
      </c>
    </row>
    <row r="22598">
      <c r="A22598" s="4" t="s">
        <v>28442</v>
      </c>
      <c r="B22598" s="4" t="s">
        <v>28443</v>
      </c>
      <c r="C22598" s="5" t="str">
        <f>IFERROR(__xludf.DUMMYFUNCTION("GOOGLETRANSLATE(B22598,""en"",""es-ES"")"),"Un hombre está sentado detrás de tres tambores.")</f>
        <v>Un hombre está sentado detrás de tres tambores.</v>
      </c>
    </row>
    <row r="22599">
      <c r="A22599" s="4" t="s">
        <v>28442</v>
      </c>
      <c r="B22599" s="4" t="s">
        <v>28444</v>
      </c>
      <c r="C22599" s="5" t="str">
        <f>IFERROR(__xludf.DUMMYFUNCTION("GOOGLETRANSLATE(B22599,""en"",""es-ES"")"),"Comienza a tocar la batería frente a él.")</f>
        <v>Comienza a tocar la batería frente a él.</v>
      </c>
    </row>
    <row r="22600">
      <c r="A22600" s="4" t="s">
        <v>28442</v>
      </c>
      <c r="B22600" s="4" t="s">
        <v>28445</v>
      </c>
      <c r="C22600" s="5" t="str">
        <f>IFERROR(__xludf.DUMMYFUNCTION("GOOGLETRANSLATE(B22600,""en"",""es-ES"")"),"Él termina de jugar y las imágenes se muestran en la pantalla.")</f>
        <v>Él termina de jugar y las imágenes se muestran en la pantalla.</v>
      </c>
    </row>
    <row r="22601">
      <c r="A22601" s="4" t="s">
        <v>28446</v>
      </c>
      <c r="B22601" s="4" t="s">
        <v>28447</v>
      </c>
      <c r="C22601" s="5" t="str">
        <f>IFERROR(__xludf.DUMMYFUNCTION("GOOGLETRANSLATE(B22601,""en"",""es-ES"")"),"Se ve a un gran grupo de personas de pie alrededor de un gran gimnasio jugando un juego de Dodge Ball el uno con el otro.")</f>
        <v>Se ve a un gran grupo de personas de pie alrededor de un gran gimnasio jugando un juego de Dodge Ball el uno con el otro.</v>
      </c>
    </row>
    <row r="22602">
      <c r="A22602" s="4" t="s">
        <v>28446</v>
      </c>
      <c r="B22602" s="4" t="s">
        <v>28448</v>
      </c>
      <c r="C22602" s="5" t="str">
        <f>IFERROR(__xludf.DUMMYFUNCTION("GOOGLETRANSLATE(B22602,""en"",""es-ES"")"),"Un hombre realiza un lanzamiento impresionante que lleva a un hombre que habla con la cámara y muestra más tomas de impresionante juego de dodgeball.")</f>
        <v>Un hombre realiza un lanzamiento impresionante que lleva a un hombre que habla con la cámara y muestra más tomas de impresionante juego de dodgeball.</v>
      </c>
    </row>
    <row r="22603">
      <c r="A22603" s="4" t="s">
        <v>28449</v>
      </c>
      <c r="B22603" s="4" t="s">
        <v>28450</v>
      </c>
      <c r="C22603" s="5" t="str">
        <f>IFERROR(__xludf.DUMMYFUNCTION("GOOGLETRANSLATE(B22603,""en"",""es-ES"")"),"Un atleta masculino pone polvo en sus manos.")</f>
        <v>Un atleta masculino pone polvo en sus manos.</v>
      </c>
    </row>
    <row r="22604">
      <c r="A22604" s="4" t="s">
        <v>28449</v>
      </c>
      <c r="B22604" s="4" t="s">
        <v>28451</v>
      </c>
      <c r="C22604" s="5" t="str">
        <f>IFERROR(__xludf.DUMMYFUNCTION("GOOGLETRANSLATE(B22604,""en"",""es-ES"")"),"Él monta una viga alta en el gimnasio.")</f>
        <v>Él monta una viga alta en el gimnasio.</v>
      </c>
    </row>
    <row r="22605">
      <c r="A22605" s="4" t="s">
        <v>28449</v>
      </c>
      <c r="B22605" s="4" t="s">
        <v>28452</v>
      </c>
      <c r="C22605" s="5" t="str">
        <f>IFERROR(__xludf.DUMMYFUNCTION("GOOGLETRANSLATE(B22605,""en"",""es-ES"")"),"Él gira y voltea varias veces antes de desmontar.")</f>
        <v>Él gira y voltea varias veces antes de desmontar.</v>
      </c>
    </row>
    <row r="22606">
      <c r="A22606" s="4" t="s">
        <v>28453</v>
      </c>
      <c r="B22606" s="4" t="s">
        <v>28454</v>
      </c>
      <c r="C22606" s="5" t="str">
        <f>IFERROR(__xludf.DUMMYFUNCTION("GOOGLETRANSLATE(B22606,""en"",""es-ES"")"),"Una foto de personas se muestra desde varios ángulos y conduce a varios disparos de personas que montan esquís y hacen trucos.")</f>
        <v>Una foto de personas se muestra desde varios ángulos y conduce a varios disparos de personas que montan esquís y hacen trucos.</v>
      </c>
    </row>
    <row r="22607">
      <c r="A22607" s="4" t="s">
        <v>28453</v>
      </c>
      <c r="B22607" s="4" t="s">
        <v>28455</v>
      </c>
      <c r="C22607" s="5" t="str">
        <f>IFERROR(__xludf.DUMMYFUNCTION("GOOGLETRANSLATE(B22607,""en"",""es-ES"")"),"Se muestran más esquiadores acuáticos de cerca mientras el bote se siente alrededor del área.")</f>
        <v>Se muestran más esquiadores acuáticos de cerca mientras el bote se siente alrededor del área.</v>
      </c>
    </row>
    <row r="22608">
      <c r="A22608" s="4" t="s">
        <v>28456</v>
      </c>
      <c r="B22608" s="4" t="s">
        <v>28457</v>
      </c>
      <c r="C22608" s="5" t="str">
        <f>IFERROR(__xludf.DUMMYFUNCTION("GOOGLETRANSLATE(B22608,""en"",""es-ES"")"),"Un hombre está corriendo por una pista.")</f>
        <v>Un hombre está corriendo por una pista.</v>
      </c>
    </row>
    <row r="22609">
      <c r="A22609" s="4" t="s">
        <v>28456</v>
      </c>
      <c r="B22609" s="4" t="s">
        <v>28458</v>
      </c>
      <c r="C22609" s="5" t="str">
        <f>IFERROR(__xludf.DUMMYFUNCTION("GOOGLETRANSLATE(B22609,""en"",""es-ES"")"),"Salta a una alfombra azul.")</f>
        <v>Salta a una alfombra azul.</v>
      </c>
    </row>
    <row r="22610">
      <c r="A22610" s="4" t="s">
        <v>28456</v>
      </c>
      <c r="B22610" s="4" t="s">
        <v>28459</v>
      </c>
      <c r="C22610" s="5" t="str">
        <f>IFERROR(__xludf.DUMMYFUNCTION("GOOGLETRANSLATE(B22610,""en"",""es-ES"")"),"Salta sobre una barra alta y aterriza en la alfombra azul.")</f>
        <v>Salta sobre una barra alta y aterriza en la alfombra azul.</v>
      </c>
    </row>
    <row r="22611">
      <c r="A22611" s="4" t="s">
        <v>28460</v>
      </c>
      <c r="B22611" s="4" t="s">
        <v>28461</v>
      </c>
      <c r="C22611" s="5" t="str">
        <f>IFERROR(__xludf.DUMMYFUNCTION("GOOGLETRANSLATE(B22611,""en"",""es-ES"")"),"Una mujer cepilla y se seca el cabello.")</f>
        <v>Una mujer cepilla y se seca el cabello.</v>
      </c>
    </row>
    <row r="22612">
      <c r="A22612" s="4" t="s">
        <v>28460</v>
      </c>
      <c r="B22612" s="4" t="s">
        <v>28462</v>
      </c>
      <c r="C22612" s="5" t="str">
        <f>IFERROR(__xludf.DUMMYFUNCTION("GOOGLETRANSLATE(B22612,""en"",""es-ES"")"),"La mujer baja el secador de soplado y le cepilla el cabello nuevamente.")</f>
        <v>La mujer baja el secador de soplado y le cepilla el cabello nuevamente.</v>
      </c>
    </row>
    <row r="22613">
      <c r="A22613" s="4" t="s">
        <v>28463</v>
      </c>
      <c r="B22613" s="4" t="s">
        <v>28464</v>
      </c>
      <c r="C22613" s="5" t="str">
        <f>IFERROR(__xludf.DUMMYFUNCTION("GOOGLETRANSLATE(B22613,""en"",""es-ES"")"),"Un niño sonríe a la cámara.")</f>
        <v>Un niño sonríe a la cámara.</v>
      </c>
    </row>
    <row r="22614">
      <c r="A22614" s="4" t="s">
        <v>28463</v>
      </c>
      <c r="B22614" s="4" t="s">
        <v>28465</v>
      </c>
      <c r="C22614" s="5" t="str">
        <f>IFERROR(__xludf.DUMMYFUNCTION("GOOGLETRANSLATE(B22614,""en"",""es-ES"")"),"El niño practica hockey sobre campo con obstáculos en el suelo.")</f>
        <v>El niño practica hockey sobre campo con obstáculos en el suelo.</v>
      </c>
    </row>
    <row r="22615">
      <c r="A22615" s="4" t="s">
        <v>28463</v>
      </c>
      <c r="B22615" s="4" t="s">
        <v>28466</v>
      </c>
      <c r="C22615" s="5" t="str">
        <f>IFERROR(__xludf.DUMMYFUNCTION("GOOGLETRANSLATE(B22615,""en"",""es-ES"")"),"El niño se aleja de la cámara.")</f>
        <v>El niño se aleja de la cámara.</v>
      </c>
    </row>
    <row r="22616">
      <c r="A22616" s="4" t="s">
        <v>28467</v>
      </c>
      <c r="B22616" s="4" t="s">
        <v>28468</v>
      </c>
      <c r="C22616" s="5" t="str">
        <f>IFERROR(__xludf.DUMMYFUNCTION("GOOGLETRANSLATE(B22616,""en"",""es-ES"")"),"Vemos a dos hombres en un estudio de televisión hablando.")</f>
        <v>Vemos a dos hombres en un estudio de televisión hablando.</v>
      </c>
    </row>
    <row r="22617">
      <c r="A22617" s="4" t="s">
        <v>28467</v>
      </c>
      <c r="B22617" s="4" t="s">
        <v>28469</v>
      </c>
      <c r="C22617" s="5" t="str">
        <f>IFERROR(__xludf.DUMMYFUNCTION("GOOGLETRANSLATE(B22617,""en"",""es-ES"")"),"Vemos gente jugando un juego de fútbol interior.")</f>
        <v>Vemos gente jugando un juego de fútbol interior.</v>
      </c>
    </row>
    <row r="22618">
      <c r="A22618" s="4" t="s">
        <v>28467</v>
      </c>
      <c r="B22618" s="4" t="s">
        <v>28470</v>
      </c>
      <c r="C22618" s="5" t="str">
        <f>IFERROR(__xludf.DUMMYFUNCTION("GOOGLETRANSLATE(B22618,""en"",""es-ES"")"),"Un hombre de negro corre con los brazos en el aire.")</f>
        <v>Un hombre de negro corre con los brazos en el aire.</v>
      </c>
    </row>
    <row r="22619">
      <c r="A22619" s="4" t="s">
        <v>28467</v>
      </c>
      <c r="B22619" s="4" t="s">
        <v>28471</v>
      </c>
      <c r="C22619" s="5" t="str">
        <f>IFERROR(__xludf.DUMMYFUNCTION("GOOGLETRANSLATE(B22619,""en"",""es-ES"")"),"Un hombre con toboganes amarillos en el suelo.")</f>
        <v>Un hombre con toboganes amarillos en el suelo.</v>
      </c>
    </row>
    <row r="22620">
      <c r="A22620" s="4" t="s">
        <v>28467</v>
      </c>
      <c r="B22620" s="4" t="s">
        <v>28472</v>
      </c>
      <c r="C22620" s="5" t="str">
        <f>IFERROR(__xludf.DUMMYFUNCTION("GOOGLETRANSLATE(B22620,""en"",""es-ES"")"),"El 10 en amarillo hace un berrinche.")</f>
        <v>El 10 en amarillo hace un berrinche.</v>
      </c>
    </row>
    <row r="22621">
      <c r="A22621" s="4" t="s">
        <v>28467</v>
      </c>
      <c r="B22621" s="4" t="s">
        <v>28473</v>
      </c>
      <c r="C22621" s="5" t="str">
        <f>IFERROR(__xludf.DUMMYFUNCTION("GOOGLETRANSLATE(B22621,""en"",""es-ES"")"),"El equipo amarillo se abrazó.")</f>
        <v>El equipo amarillo se abrazó.</v>
      </c>
    </row>
    <row r="22622">
      <c r="A22622" s="4" t="s">
        <v>28467</v>
      </c>
      <c r="B22622" s="4" t="s">
        <v>28474</v>
      </c>
      <c r="C22622" s="5" t="str">
        <f>IFERROR(__xludf.DUMMYFUNCTION("GOOGLETRANSLATE(B22622,""en"",""es-ES"")"),"Regresamos a los hombres en el estudio.")</f>
        <v>Regresamos a los hombres en el estudio.</v>
      </c>
    </row>
    <row r="22623">
      <c r="A22623" s="4" t="s">
        <v>28475</v>
      </c>
      <c r="B22623" s="4" t="s">
        <v>28476</v>
      </c>
      <c r="C22623" s="5" t="str">
        <f>IFERROR(__xludf.DUMMYFUNCTION("GOOGLETRANSLATE(B22623,""en"",""es-ES"")"),"Un hombre está afuera con dos perros con correas.")</f>
        <v>Un hombre está afuera con dos perros con correas.</v>
      </c>
    </row>
    <row r="22624">
      <c r="A22624" s="4" t="s">
        <v>28475</v>
      </c>
      <c r="B22624" s="4" t="s">
        <v>28477</v>
      </c>
      <c r="C22624" s="5" t="str">
        <f>IFERROR(__xludf.DUMMYFUNCTION("GOOGLETRANSLATE(B22624,""en"",""es-ES"")"),"Se pone un espectáculo con los perros entrenados.")</f>
        <v>Se pone un espectáculo con los perros entrenados.</v>
      </c>
    </row>
    <row r="22625">
      <c r="A22625" s="4" t="s">
        <v>28475</v>
      </c>
      <c r="B22625" s="4" t="s">
        <v>28478</v>
      </c>
      <c r="C22625" s="5" t="str">
        <f>IFERROR(__xludf.DUMMYFUNCTION("GOOGLETRANSLATE(B22625,""en"",""es-ES"")"),"Lanza frisbees, y la pequeña multitud aplaude para los perros actuales.")</f>
        <v>Lanza frisbees, y la pequeña multitud aplaude para los perros actuales.</v>
      </c>
    </row>
    <row r="22626">
      <c r="A22626" s="4" t="s">
        <v>28479</v>
      </c>
      <c r="B22626" s="4" t="s">
        <v>28480</v>
      </c>
      <c r="C22626" s="5" t="str">
        <f>IFERROR(__xludf.DUMMYFUNCTION("GOOGLETRANSLATE(B22626,""en"",""es-ES"")"),"Un hombre se para sobre un techo de una casa y pone una toma del techo.")</f>
        <v>Un hombre se para sobre un techo de una casa y pone una toma del techo.</v>
      </c>
    </row>
    <row r="22627">
      <c r="A22627" s="4" t="s">
        <v>28479</v>
      </c>
      <c r="B22627" s="4" t="s">
        <v>28481</v>
      </c>
      <c r="C22627" s="5" t="str">
        <f>IFERROR(__xludf.DUMMYFUNCTION("GOOGLETRANSLATE(B22627,""en"",""es-ES"")"),"Luego, el hombre sostiene el mango de una herramienta con una mano.")</f>
        <v>Luego, el hombre sostiene el mango de una herramienta con una mano.</v>
      </c>
    </row>
    <row r="22628">
      <c r="A22628" s="4" t="s">
        <v>28479</v>
      </c>
      <c r="B22628" s="4" t="s">
        <v>28482</v>
      </c>
      <c r="C22628" s="5" t="str">
        <f>IFERROR(__xludf.DUMMYFUNCTION("GOOGLETRANSLATE(B22628,""en"",""es-ES"")"),"El hombre sostiene el mango con dos manos, luego continúa sosteniendo la herramienta con una mano.")</f>
        <v>El hombre sostiene el mango con dos manos, luego continúa sosteniendo la herramienta con una mano.</v>
      </c>
    </row>
    <row r="22629">
      <c r="A22629" s="4" t="s">
        <v>28483</v>
      </c>
      <c r="B22629" s="4" t="s">
        <v>28484</v>
      </c>
      <c r="C22629" s="5" t="str">
        <f>IFERROR(__xludf.DUMMYFUNCTION("GOOGLETRANSLATE(B22629,""en"",""es-ES"")"),"Se ven las manos de una persona intentando resolver un cubo Rubix mientras se muestra el final de una mesa.")</f>
        <v>Se ven las manos de una persona intentando resolver un cubo Rubix mientras se muestra el final de una mesa.</v>
      </c>
    </row>
    <row r="22630">
      <c r="A22630" s="4" t="s">
        <v>28483</v>
      </c>
      <c r="B22630" s="4" t="s">
        <v>28485</v>
      </c>
      <c r="C22630" s="5" t="str">
        <f>IFERROR(__xludf.DUMMYFUNCTION("GOOGLETRANSLATE(B22630,""en"",""es-ES"")"),"La persona continúa hasta que termina el cubo y luego muestra su tiempo en la pantalla.")</f>
        <v>La persona continúa hasta que termina el cubo y luego muestra su tiempo en la pantalla.</v>
      </c>
    </row>
    <row r="22631">
      <c r="A22631" s="4" t="s">
        <v>28486</v>
      </c>
      <c r="B22631" s="4" t="s">
        <v>28487</v>
      </c>
      <c r="C22631" s="5" t="str">
        <f>IFERROR(__xludf.DUMMYFUNCTION("GOOGLETRANSLATE(B22631,""en"",""es-ES"")"),"Un grupo de chicas jóvenes está vestida con tutus rosa, de pie en un escenario y haciendo su rutina de bailarina.")</f>
        <v>Un grupo de chicas jóvenes está vestida con tutus rosa, de pie en un escenario y haciendo su rutina de bailarina.</v>
      </c>
    </row>
    <row r="22632">
      <c r="A22632" s="4" t="s">
        <v>28486</v>
      </c>
      <c r="B22632" s="4" t="s">
        <v>28488</v>
      </c>
      <c r="C22632" s="5" t="str">
        <f>IFERROR(__xludf.DUMMYFUNCTION("GOOGLETRANSLATE(B22632,""en"",""es-ES"")"),"Una de las chicas no está sincronizada del resto y comienza a mover los pies mientras está haciendo su rutina y todo lo que otra chica solo está de pie y se mueve solo sus brazos.")</f>
        <v>Una de las chicas no está sincronizada del resto y comienza a mover los pies mientras está haciendo su rutina y todo lo que otra chica solo está de pie y se mueve solo sus brazos.</v>
      </c>
    </row>
    <row r="22633">
      <c r="A22633" s="4" t="s">
        <v>28486</v>
      </c>
      <c r="B22633" s="4" t="s">
        <v>28489</v>
      </c>
      <c r="C22633" s="5" t="str">
        <f>IFERROR(__xludf.DUMMYFUNCTION("GOOGLETRANSLATE(B22633,""en"",""es-ES"")"),"Las chicas ahora comienzan a cantar mientras continúan bailando y la misma chica que estaba haciendo lo suyo por sincronización continúa haciendo su propio baile diferente de la mayoría de las chicas jóvenes.")</f>
        <v>Las chicas ahora comienzan a cantar mientras continúan bailando y la misma chica que estaba haciendo lo suyo por sincronización continúa haciendo su propio baile diferente de la mayoría de las chicas jóvenes.</v>
      </c>
    </row>
    <row r="22634">
      <c r="A22634" s="4" t="s">
        <v>28486</v>
      </c>
      <c r="B22634" s="4" t="s">
        <v>28490</v>
      </c>
      <c r="C22634" s="5" t="str">
        <f>IFERROR(__xludf.DUMMYFUNCTION("GOOGLETRANSLATE(B22634,""en"",""es-ES"")"),"El baile termina y algunas de las chicas hacen una reverencia y luego todas salen del escenario.")</f>
        <v>El baile termina y algunas de las chicas hacen una reverencia y luego todas salen del escenario.</v>
      </c>
    </row>
    <row r="22635">
      <c r="A22635" s="4" t="s">
        <v>28491</v>
      </c>
      <c r="B22635" s="4" t="s">
        <v>28492</v>
      </c>
      <c r="C22635" s="5" t="str">
        <f>IFERROR(__xludf.DUMMYFUNCTION("GOOGLETRANSLATE(B22635,""en"",""es-ES"")"),"Un hombre en una máscara de película está sentado por un tramo de escaleras.")</f>
        <v>Un hombre en una máscara de película está sentado por un tramo de escaleras.</v>
      </c>
    </row>
    <row r="22636">
      <c r="A22636" s="4" t="s">
        <v>28491</v>
      </c>
      <c r="B22636" s="4" t="s">
        <v>28493</v>
      </c>
      <c r="C22636" s="5" t="str">
        <f>IFERROR(__xludf.DUMMYFUNCTION("GOOGLETRANSLATE(B22636,""en"",""es-ES"")"),"Está jugando un acordeo para las personas que pasan.")</f>
        <v>Está jugando un acordeo para las personas que pasan.</v>
      </c>
    </row>
    <row r="22637">
      <c r="A22637" s="4" t="s">
        <v>28491</v>
      </c>
      <c r="B22637" s="4" t="s">
        <v>28494</v>
      </c>
      <c r="C22637" s="5" t="str">
        <f>IFERROR(__xludf.DUMMYFUNCTION("GOOGLETRANSLATE(B22637,""en"",""es-ES"")"),"Algunas pausas para escuchar y luego continuar en su camino.")</f>
        <v>Algunas pausas para escuchar y luego continuar en su camino.</v>
      </c>
    </row>
    <row r="22638">
      <c r="A22638" s="4" t="s">
        <v>28495</v>
      </c>
      <c r="B22638" s="4" t="s">
        <v>28496</v>
      </c>
      <c r="C22638" s="5" t="str">
        <f>IFERROR(__xludf.DUMMYFUNCTION("GOOGLETRANSLATE(B22638,""en"",""es-ES"")"),"Una mujer demuestra, en un bebé de juguete, cómo atrapar a un bebé y lavar la cara de un bebé con bolas de algodón y toallas húmedas.")</f>
        <v>Una mujer demuestra, en un bebé de juguete, cómo atrapar a un bebé y lavar la cara de un bebé con bolas de algodón y toallas húmedas.</v>
      </c>
    </row>
    <row r="22639">
      <c r="A22639" s="4" t="s">
        <v>28495</v>
      </c>
      <c r="B22639" s="4" t="s">
        <v>28497</v>
      </c>
      <c r="C22639" s="5" t="str">
        <f>IFERROR(__xludf.DUMMYFUNCTION("GOOGLETRANSLATE(B22639,""en"",""es-ES"")"),"Una mujer se para frente a un bebé de juguete y habla con la cámara.")</f>
        <v>Una mujer se para frente a un bebé de juguete y habla con la cámara.</v>
      </c>
    </row>
    <row r="22640">
      <c r="A22640" s="4" t="s">
        <v>28495</v>
      </c>
      <c r="B22640" s="4" t="s">
        <v>28498</v>
      </c>
      <c r="C22640" s="5" t="str">
        <f>IFERROR(__xludf.DUMMYFUNCTION("GOOGLETRANSLATE(B22640,""en"",""es-ES"")"),"La mujer envuelve al bebé en una manta blanca y luego comienza a aplicar bolas de algodón empapadas de agua, desde un recipiente lleno de agua cercano, hasta los ojos y la nariz y la cara del bebé.")</f>
        <v>La mujer envuelve al bebé en una manta blanca y luego comienza a aplicar bolas de algodón empapadas de agua, desde un recipiente lleno de agua cercano, hasta los ojos y la nariz y la cara del bebé.</v>
      </c>
    </row>
    <row r="22641">
      <c r="A22641" s="4" t="s">
        <v>28495</v>
      </c>
      <c r="B22641" s="4" t="s">
        <v>28499</v>
      </c>
      <c r="C22641" s="5" t="str">
        <f>IFERROR(__xludf.DUMMYFUNCTION("GOOGLETRANSLATE(B22641,""en"",""es-ES"")"),"La mujer termina y habla con la cámara nuevamente.")</f>
        <v>La mujer termina y habla con la cámara nuevamente.</v>
      </c>
    </row>
    <row r="22642">
      <c r="A22642" s="4" t="s">
        <v>28500</v>
      </c>
      <c r="B22642" s="4" t="s">
        <v>28501</v>
      </c>
      <c r="C22642" s="5" t="str">
        <f>IFERROR(__xludf.DUMMYFUNCTION("GOOGLETRANSLATE(B22642,""en"",""es-ES"")"),"Se ve a una mujer hablando con la cámara y comienza a descifrar un artículo.")</f>
        <v>Se ve a una mujer hablando con la cámara y comienza a descifrar un artículo.</v>
      </c>
    </row>
    <row r="22643">
      <c r="A22643" s="4" t="s">
        <v>28500</v>
      </c>
      <c r="B22643" s="4" t="s">
        <v>28502</v>
      </c>
      <c r="C22643" s="5" t="str">
        <f>IFERROR(__xludf.DUMMYFUNCTION("GOOGLETRANSLATE(B22643,""en"",""es-ES"")"),"Ella saca los paneles y se pone gafas de sol y presenta una sartén de objetos a la cámara.")</f>
        <v>Ella saca los paneles y se pone gafas de sol y presenta una sartén de objetos a la cámara.</v>
      </c>
    </row>
    <row r="22644">
      <c r="A22644" s="4" t="s">
        <v>28500</v>
      </c>
      <c r="B22644" s="4" t="s">
        <v>28503</v>
      </c>
      <c r="C22644" s="5" t="str">
        <f>IFERROR(__xludf.DUMMYFUNCTION("GOOGLETRANSLATE(B22644,""en"",""es-ES"")"),"Ella continúa hablando con la cámara y saca los objetos para presentar galletas horneadas.")</f>
        <v>Ella continúa hablando con la cámara y saca los objetos para presentar galletas horneadas.</v>
      </c>
    </row>
    <row r="22645">
      <c r="A22645" s="4" t="s">
        <v>28500</v>
      </c>
      <c r="B22645" s="4" t="s">
        <v>28504</v>
      </c>
      <c r="C22645" s="5" t="str">
        <f>IFERROR(__xludf.DUMMYFUNCTION("GOOGLETRANSLATE(B22645,""en"",""es-ES"")"),"Las galletas se ven nuevamente en una bandeja y ella las abre para ver.")</f>
        <v>Las galletas se ven nuevamente en una bandeja y ella las abre para ver.</v>
      </c>
    </row>
    <row r="22646">
      <c r="A22646" s="4" t="s">
        <v>28505</v>
      </c>
      <c r="B22646" s="4" t="s">
        <v>28506</v>
      </c>
      <c r="C22646" s="5" t="str">
        <f>IFERROR(__xludf.DUMMYFUNCTION("GOOGLETRANSLATE(B22646,""en"",""es-ES"")"),"Un niño pequeño se inclina sobre la cepillo de una pintura en un cubo azul.")</f>
        <v>Un niño pequeño se inclina sobre la cepillo de una pintura en un cubo azul.</v>
      </c>
    </row>
    <row r="22647">
      <c r="A22647" s="4" t="s">
        <v>28505</v>
      </c>
      <c r="B22647" s="4" t="s">
        <v>28507</v>
      </c>
      <c r="C22647" s="5" t="str">
        <f>IFERROR(__xludf.DUMMYFUNCTION("GOOGLETRANSLATE(B22647,""en"",""es-ES"")"),"Pinta la cerca frente a él.")</f>
        <v>Pinta la cerca frente a él.</v>
      </c>
    </row>
    <row r="22648">
      <c r="A22648" s="4" t="s">
        <v>28505</v>
      </c>
      <c r="B22648" s="4" t="s">
        <v>28508</v>
      </c>
      <c r="C22648" s="5" t="str">
        <f>IFERROR(__xludf.DUMMYFUNCTION("GOOGLETRANSLATE(B22648,""en"",""es-ES"")"),"Camina hacia la cámara.")</f>
        <v>Camina hacia la cámara.</v>
      </c>
    </row>
    <row r="22649">
      <c r="A22649" s="4" t="s">
        <v>28509</v>
      </c>
      <c r="B22649" s="4" t="s">
        <v>28510</v>
      </c>
      <c r="C22649" s="5" t="str">
        <f>IFERROR(__xludf.DUMMYFUNCTION("GOOGLETRANSLATE(B22649,""en"",""es-ES"")"),"Se ven dos chicas moviéndose rápidamente alrededor de la habitación mientras cambian de lugar y miran a una cámara.")</f>
        <v>Se ven dos chicas moviéndose rápidamente alrededor de la habitación mientras cambian de lugar y miran a una cámara.</v>
      </c>
    </row>
    <row r="22650">
      <c r="A22650" s="4" t="s">
        <v>28509</v>
      </c>
      <c r="B22650" s="4" t="s">
        <v>28511</v>
      </c>
      <c r="C22650" s="5" t="str">
        <f>IFERROR(__xludf.DUMMYFUNCTION("GOOGLETRANSLATE(B22650,""en"",""es-ES"")"),"La niña más joven se ríe de la cámara mientras se pone maquillaje y el otro se mueve rápidamente.")</f>
        <v>La niña más joven se ríe de la cámara mientras se pone maquillaje y el otro se mueve rápidamente.</v>
      </c>
    </row>
    <row r="22651">
      <c r="A22651" s="4" t="s">
        <v>28512</v>
      </c>
      <c r="B22651" s="4" t="s">
        <v>28513</v>
      </c>
      <c r="C22651" s="5" t="str">
        <f>IFERROR(__xludf.DUMMYFUNCTION("GOOGLETRANSLATE(B22651,""en"",""es-ES"")"),"Se ve a una niña hablando con la cámara mientras está sentada en una mesa y la lleva a sostener un estuche de contactos.")</f>
        <v>Se ve a una niña hablando con la cámara mientras está sentada en una mesa y la lleva a sostener un estuche de contactos.</v>
      </c>
    </row>
    <row r="22652">
      <c r="A22652" s="4" t="s">
        <v>28512</v>
      </c>
      <c r="B22652" s="4" t="s">
        <v>28514</v>
      </c>
      <c r="C22652" s="5" t="str">
        <f>IFERROR(__xludf.DUMMYFUNCTION("GOOGLETRANSLATE(B22652,""en"",""es-ES"")"),"Luego, la niña se abre el ojo y saca el contacto, seguida de ella sumergiéndolo en líquido y volviendo a ponerlo mientras sigue hablando.")</f>
        <v>Luego, la niña se abre el ojo y saca el contacto, seguida de ella sumergiéndolo en líquido y volviendo a ponerlo mientras sigue hablando.</v>
      </c>
    </row>
    <row r="22653">
      <c r="A22653" s="4" t="s">
        <v>28515</v>
      </c>
      <c r="B22653" s="4" t="s">
        <v>28516</v>
      </c>
      <c r="C22653" s="5" t="str">
        <f>IFERROR(__xludf.DUMMYFUNCTION("GOOGLETRANSLATE(B22653,""en"",""es-ES"")"),"Una mujer está patinando en una calle con gente cruzando detrás de ella.")</f>
        <v>Una mujer está patinando en una calle con gente cruzando detrás de ella.</v>
      </c>
    </row>
    <row r="22654">
      <c r="A22654" s="4" t="s">
        <v>28515</v>
      </c>
      <c r="B22654" s="4" t="s">
        <v>28517</v>
      </c>
      <c r="C22654" s="5" t="str">
        <f>IFERROR(__xludf.DUMMYFUNCTION("GOOGLETRANSLATE(B22654,""en"",""es-ES"")"),"Ella regresa a la calle sola.")</f>
        <v>Ella regresa a la calle sola.</v>
      </c>
    </row>
    <row r="22655">
      <c r="A22655" s="4" t="s">
        <v>28515</v>
      </c>
      <c r="B22655" s="4" t="s">
        <v>28518</v>
      </c>
      <c r="C22655" s="5" t="str">
        <f>IFERROR(__xludf.DUMMYFUNCTION("GOOGLETRANSLATE(B22655,""en"",""es-ES"")"),"Una mujer con un suéter gris habla con la cámara en la acera.")</f>
        <v>Una mujer con un suéter gris habla con la cámara en la acera.</v>
      </c>
    </row>
    <row r="22656">
      <c r="A22656" s="4" t="s">
        <v>28515</v>
      </c>
      <c r="B22656" s="4" t="s">
        <v>28519</v>
      </c>
      <c r="C22656" s="5" t="str">
        <f>IFERROR(__xludf.DUMMYFUNCTION("GOOGLETRANSLATE(B22656,""en"",""es-ES"")"),"Un hombre con un sombrero negro habla con la cámara frente a un edificio azul.")</f>
        <v>Un hombre con un sombrero negro habla con la cámara frente a un edificio azul.</v>
      </c>
    </row>
    <row r="22657">
      <c r="A22657" s="4" t="s">
        <v>28515</v>
      </c>
      <c r="B22657" s="4" t="s">
        <v>28520</v>
      </c>
      <c r="C22657" s="5" t="str">
        <f>IFERROR(__xludf.DUMMYFUNCTION("GOOGLETRANSLATE(B22657,""en"",""es-ES"")"),"Un hombre con una camisa negra está sentada y hablando.")</f>
        <v>Un hombre con una camisa negra está sentada y hablando.</v>
      </c>
    </row>
    <row r="22658">
      <c r="A22658" s="4" t="s">
        <v>28515</v>
      </c>
      <c r="B22658" s="4" t="s">
        <v>28521</v>
      </c>
      <c r="C22658" s="5" t="str">
        <f>IFERROR(__xludf.DUMMYFUNCTION("GOOGLETRANSLATE(B22658,""en"",""es-ES"")"),"Se remonta al hombre con un sombrero negro hablando.")</f>
        <v>Se remonta al hombre con un sombrero negro hablando.</v>
      </c>
    </row>
    <row r="22659">
      <c r="A22659" s="4" t="s">
        <v>28515</v>
      </c>
      <c r="B22659" s="4" t="s">
        <v>28522</v>
      </c>
      <c r="C22659" s="5" t="str">
        <f>IFERROR(__xludf.DUMMYFUNCTION("GOOGLETRANSLATE(B22659,""en"",""es-ES"")"),"Vuelve al hombre con la camisa negra que habla.")</f>
        <v>Vuelve al hombre con la camisa negra que habla.</v>
      </c>
    </row>
    <row r="22660">
      <c r="A22660" s="4" t="s">
        <v>28515</v>
      </c>
      <c r="B22660" s="4" t="s">
        <v>28523</v>
      </c>
      <c r="C22660" s="5" t="str">
        <f>IFERROR(__xludf.DUMMYFUNCTION("GOOGLETRANSLATE(B22660,""en"",""es-ES"")"),"La niña se inclina sobre las cuchillas de rodillos sacando algo de un banco.")</f>
        <v>La niña se inclina sobre las cuchillas de rodillos sacando algo de un banco.</v>
      </c>
    </row>
    <row r="22661">
      <c r="A22661" s="4" t="s">
        <v>28515</v>
      </c>
      <c r="B22661" s="4" t="s">
        <v>28524</v>
      </c>
      <c r="C22661" s="5" t="str">
        <f>IFERROR(__xludf.DUMMYFUNCTION("GOOGLETRANSLATE(B22661,""en"",""es-ES"")"),"Ella hace trucos en el banco.")</f>
        <v>Ella hace trucos en el banco.</v>
      </c>
    </row>
    <row r="22662">
      <c r="A22662" s="4" t="s">
        <v>28515</v>
      </c>
      <c r="B22662" s="4" t="s">
        <v>28525</v>
      </c>
      <c r="C22662" s="5" t="str">
        <f>IFERROR(__xludf.DUMMYFUNCTION("GOOGLETRANSLATE(B22662,""en"",""es-ES"")"),"Una mujer con un sombrero marrón está hablando.")</f>
        <v>Una mujer con un sombrero marrón está hablando.</v>
      </c>
    </row>
    <row r="22663">
      <c r="A22663" s="4" t="s">
        <v>28515</v>
      </c>
      <c r="B22663" s="4" t="s">
        <v>28526</v>
      </c>
      <c r="C22663" s="5" t="str">
        <f>IFERROR(__xludf.DUMMYFUNCTION("GOOGLETRANSLATE(B22663,""en"",""es-ES"")"),"Un hombre con un mohawk habla.")</f>
        <v>Un hombre con un mohawk habla.</v>
      </c>
    </row>
    <row r="22664">
      <c r="A22664" s="4" t="s">
        <v>28515</v>
      </c>
      <c r="B22664" s="4" t="s">
        <v>28527</v>
      </c>
      <c r="C22664" s="5" t="str">
        <f>IFERROR(__xludf.DUMMYFUNCTION("GOOGLETRANSLATE(B22664,""en"",""es-ES"")"),"La niña hace más trucos en sus cuchillas.")</f>
        <v>La niña hace más trucos en sus cuchillas.</v>
      </c>
    </row>
    <row r="22665">
      <c r="A22665" s="4" t="s">
        <v>28515</v>
      </c>
      <c r="B22665" s="4" t="s">
        <v>18302</v>
      </c>
      <c r="C22665" s="5" t="str">
        <f>IFERROR(__xludf.DUMMYFUNCTION("GOOGLETRANSLATE(B22665,""en"",""es-ES"")"),"Una mujer con una camisa rosa está hablando.")</f>
        <v>Una mujer con una camisa rosa está hablando.</v>
      </c>
    </row>
    <row r="22666">
      <c r="A22666" s="4" t="s">
        <v>28515</v>
      </c>
      <c r="B22666" s="4" t="s">
        <v>28528</v>
      </c>
      <c r="C22666" s="5" t="str">
        <f>IFERROR(__xludf.DUMMYFUNCTION("GOOGLETRANSLATE(B22666,""en"",""es-ES"")"),"Tres niños están sentados en un banco en patines hablando.")</f>
        <v>Tres niños están sentados en un banco en patines hablando.</v>
      </c>
    </row>
    <row r="22667">
      <c r="A22667" s="4" t="s">
        <v>28515</v>
      </c>
      <c r="B22667" s="4" t="s">
        <v>28529</v>
      </c>
      <c r="C22667" s="5" t="str">
        <f>IFERROR(__xludf.DUMMYFUNCTION("GOOGLETRANSLATE(B22667,""en"",""es-ES"")"),"La niña de Roller Blades hace otro truco.")</f>
        <v>La niña de Roller Blades hace otro truco.</v>
      </c>
    </row>
    <row r="22668">
      <c r="A22668" s="4" t="s">
        <v>28515</v>
      </c>
      <c r="B22668" s="4" t="s">
        <v>28530</v>
      </c>
      <c r="C22668" s="5" t="str">
        <f>IFERROR(__xludf.DUMMYFUNCTION("GOOGLETRANSLATE(B22668,""en"",""es-ES"")"),"Una mujer mayor está hablando con la cámara.")</f>
        <v>Una mujer mayor está hablando con la cámara.</v>
      </c>
    </row>
    <row r="22669">
      <c r="A22669" s="4" t="s">
        <v>28531</v>
      </c>
      <c r="B22669" s="4" t="s">
        <v>28532</v>
      </c>
      <c r="C22669" s="5" t="str">
        <f>IFERROR(__xludf.DUMMYFUNCTION("GOOGLETRANSLATE(B22669,""en"",""es-ES"")"),"Un niño está dibujando con tiza sobre concreto mientras trata los problemas de la vida familiar y la escuela.")</f>
        <v>Un niño está dibujando con tiza sobre concreto mientras trata los problemas de la vida familiar y la escuela.</v>
      </c>
    </row>
    <row r="22670">
      <c r="A22670" s="4" t="s">
        <v>28531</v>
      </c>
      <c r="B22670" s="4" t="s">
        <v>28533</v>
      </c>
      <c r="C22670" s="5" t="str">
        <f>IFERROR(__xludf.DUMMYFUNCTION("GOOGLETRANSLATE(B22670,""en"",""es-ES"")"),"Termina de dibujar cajas de rayos de hop en el concreto cuando comienza a saltar sobre los cuadrados y comienza a bailar solo para recordar el acoso escolar en la escuela.")</f>
        <v>Termina de dibujar cajas de rayos de hop en el concreto cuando comienza a saltar sobre los cuadrados y comienza a bailar solo para recordar el acoso escolar en la escuela.</v>
      </c>
    </row>
    <row r="22671">
      <c r="A22671" s="4" t="s">
        <v>28531</v>
      </c>
      <c r="B22671" s="4" t="s">
        <v>28534</v>
      </c>
      <c r="C22671" s="5" t="str">
        <f>IFERROR(__xludf.DUMMYFUNCTION("GOOGLETRANSLATE(B22671,""en"",""es-ES"")"),"Se ve al joven ahora break bailando y pasando por una rutina.")</f>
        <v>Se ve al joven ahora break bailando y pasando por una rutina.</v>
      </c>
    </row>
    <row r="22672">
      <c r="A22672" s="4" t="s">
        <v>28531</v>
      </c>
      <c r="B22672" s="4" t="s">
        <v>28535</v>
      </c>
      <c r="C22672" s="5" t="str">
        <f>IFERROR(__xludf.DUMMYFUNCTION("GOOGLETRANSLATE(B22672,""en"",""es-ES"")"),"De vuelta en casa con su problemática familia que está comiendo y el día soñando con bailar mientras la escena se remonta a él bailando.")</f>
        <v>De vuelta en casa con su problemática familia que está comiendo y el día soñando con bailar mientras la escena se remonta a él bailando.</v>
      </c>
    </row>
    <row r="22673">
      <c r="A22673" s="4" t="s">
        <v>28531</v>
      </c>
      <c r="B22673" s="4" t="s">
        <v>28536</v>
      </c>
      <c r="C22673" s="5" t="str">
        <f>IFERROR(__xludf.DUMMYFUNCTION("GOOGLETRANSLATE(B22673,""en"",""es-ES"")"),"Deja de bailar para mirar los cuadrados de rayos hopas que ahora se desvanecen y usan.")</f>
        <v>Deja de bailar para mirar los cuadrados de rayos hopas que ahora se desvanecen y usan.</v>
      </c>
    </row>
    <row r="22674">
      <c r="A22674" s="4" t="s">
        <v>28531</v>
      </c>
      <c r="B22674" s="4" t="s">
        <v>28537</v>
      </c>
      <c r="C22674" s="5" t="str">
        <f>IFERROR(__xludf.DUMMYFUNCTION("GOOGLETRANSLATE(B22674,""en"",""es-ES"")"),"En el aula, mientras el maestro camina por las hileras de escritorios, se da cuenta del joven dormido en su escritorio mientras usa una regla para tocarlo en la cabeza para despertarlo.")</f>
        <v>En el aula, mientras el maestro camina por las hileras de escritorios, se da cuenta del joven dormido en su escritorio mientras usa una regla para tocarlo en la cabeza para despertarlo.</v>
      </c>
    </row>
    <row r="22675">
      <c r="A22675" s="4" t="s">
        <v>28531</v>
      </c>
      <c r="B22675" s="4" t="s">
        <v>28538</v>
      </c>
      <c r="C22675" s="5" t="str">
        <f>IFERROR(__xludf.DUMMYFUNCTION("GOOGLETRANSLATE(B22675,""en"",""es-ES"")"),"El joven nota una nota en su escritorio que tiene una foto de los cuadrados de la rayulación que dice ""Enséñame"" seguido de una cara sonriente.")</f>
        <v>El joven nota una nota en su escritorio que tiene una foto de los cuadrados de la rayulación que dice "Enséñame" seguido de una cara sonriente.</v>
      </c>
    </row>
    <row r="22676">
      <c r="A22676" s="4" t="s">
        <v>28531</v>
      </c>
      <c r="B22676" s="4" t="s">
        <v>28539</v>
      </c>
      <c r="C22676" s="5" t="str">
        <f>IFERROR(__xludf.DUMMYFUNCTION("GOOGLETRANSLATE(B22676,""en"",""es-ES"")"),"Se muestran los créditos a medida que se muestran el concreto y las marcas de tiza de los cuadrados de rayos hopas.")</f>
        <v>Se muestran los créditos a medida que se muestran el concreto y las marcas de tiza de los cuadrados de rayos hopas.</v>
      </c>
    </row>
    <row r="22677">
      <c r="A22677" s="4" t="s">
        <v>28540</v>
      </c>
      <c r="B22677" s="4" t="s">
        <v>8286</v>
      </c>
      <c r="C22677" s="5" t="str">
        <f>IFERROR(__xludf.DUMMYFUNCTION("GOOGLETRANSLATE(B22677,""en"",""es-ES"")"),"Una mujer está de pie detrás de una mesa.")</f>
        <v>Una mujer está de pie detrás de una mesa.</v>
      </c>
    </row>
    <row r="22678">
      <c r="A22678" s="4" t="s">
        <v>28540</v>
      </c>
      <c r="B22678" s="4" t="s">
        <v>28541</v>
      </c>
      <c r="C22678" s="5" t="str">
        <f>IFERROR(__xludf.DUMMYFUNCTION("GOOGLETRANSLATE(B22678,""en"",""es-ES"")"),"Ella abre un contenedor blanco y vierte agua y jabón en él.")</f>
        <v>Ella abre un contenedor blanco y vierte agua y jabón en él.</v>
      </c>
    </row>
    <row r="22679">
      <c r="A22679" s="4" t="s">
        <v>28540</v>
      </c>
      <c r="B22679" s="4" t="s">
        <v>28542</v>
      </c>
      <c r="C22679" s="5" t="str">
        <f>IFERROR(__xludf.DUMMYFUNCTION("GOOGLETRANSLATE(B22679,""en"",""es-ES"")"),"Luego lo cierra y gira la cima.")</f>
        <v>Luego lo cierra y gira la cima.</v>
      </c>
    </row>
    <row r="22680">
      <c r="A22680" s="4" t="s">
        <v>28540</v>
      </c>
      <c r="B22680" s="4" t="s">
        <v>28543</v>
      </c>
      <c r="C22680" s="5" t="str">
        <f>IFERROR(__xludf.DUMMYFUNCTION("GOOGLETRANSLATE(B22680,""en"",""es-ES"")"),"Ella cuelga la ropa de un estante de madera para que se seque.")</f>
        <v>Ella cuelga la ropa de un estante de madera para que se seque.</v>
      </c>
    </row>
    <row r="22681">
      <c r="A22681" s="4" t="s">
        <v>28544</v>
      </c>
      <c r="B22681" s="4" t="s">
        <v>28545</v>
      </c>
      <c r="C22681" s="5" t="str">
        <f>IFERROR(__xludf.DUMMYFUNCTION("GOOGLETRANSLATE(B22681,""en"",""es-ES"")"),"Hay varios trabajadores en la parte superior de un techo trabajando para reparar el techo.")</f>
        <v>Hay varios trabajadores en la parte superior de un techo trabajando para reparar el techo.</v>
      </c>
    </row>
    <row r="22682">
      <c r="A22682" s="4" t="s">
        <v>28544</v>
      </c>
      <c r="B22682" s="4" t="s">
        <v>28546</v>
      </c>
      <c r="C22682" s="5" t="str">
        <f>IFERROR(__xludf.DUMMYFUNCTION("GOOGLETRANSLATE(B22682,""en"",""es-ES"")"),"Están quitando las viejas tejas con la ayuda de un techo.")</f>
        <v>Están quitando las viejas tejas con la ayuda de un techo.</v>
      </c>
    </row>
    <row r="22683">
      <c r="A22683" s="4" t="s">
        <v>28544</v>
      </c>
      <c r="B22683" s="4" t="s">
        <v>28547</v>
      </c>
      <c r="C22683" s="5" t="str">
        <f>IFERROR(__xludf.DUMMYFUNCTION("GOOGLETRANSLATE(B22683,""en"",""es-ES"")"),"Continúan quitando las tejas mientras están de pie sobre el techo.")</f>
        <v>Continúan quitando las tejas mientras están de pie sobre el techo.</v>
      </c>
    </row>
    <row r="22684">
      <c r="A22684" s="4" t="s">
        <v>28548</v>
      </c>
      <c r="B22684" s="4" t="s">
        <v>28549</v>
      </c>
      <c r="C22684" s="5" t="str">
        <f>IFERROR(__xludf.DUMMYFUNCTION("GOOGLETRANSLATE(B22684,""en"",""es-ES"")"),"Un hombre se acerca a un conjunto de bares paralelos.")</f>
        <v>Un hombre se acerca a un conjunto de bares paralelos.</v>
      </c>
    </row>
    <row r="22685">
      <c r="A22685" s="4" t="s">
        <v>28548</v>
      </c>
      <c r="B22685" s="4" t="s">
        <v>28550</v>
      </c>
      <c r="C22685" s="5" t="str">
        <f>IFERROR(__xludf.DUMMYFUNCTION("GOOGLETRANSLATE(B22685,""en"",""es-ES"")"),"El hombre realiza acrobacias en los bares en un lugar profesional.")</f>
        <v>El hombre realiza acrobacias en los bares en un lugar profesional.</v>
      </c>
    </row>
    <row r="22686">
      <c r="A22686" s="4" t="s">
        <v>28548</v>
      </c>
      <c r="B22686" s="4" t="s">
        <v>28551</v>
      </c>
      <c r="C22686" s="5" t="str">
        <f>IFERROR(__xludf.DUMMYFUNCTION("GOOGLETRANSLATE(B22686,""en"",""es-ES"")"),"El hombre salta con éxito de las barras y aterriza de pie.")</f>
        <v>El hombre salta con éxito de las barras y aterriza de pie.</v>
      </c>
    </row>
    <row r="22687">
      <c r="A22687" s="4" t="s">
        <v>28552</v>
      </c>
      <c r="B22687" s="4" t="s">
        <v>28553</v>
      </c>
      <c r="C22687" s="5" t="str">
        <f>IFERROR(__xludf.DUMMYFUNCTION("GOOGLETRANSLATE(B22687,""en"",""es-ES"")"),"El hombre con camisa blanca está tocando el tambor de bongo.")</f>
        <v>El hombre con camisa blanca está tocando el tambor de bongo.</v>
      </c>
    </row>
    <row r="22688">
      <c r="A22688" s="4" t="s">
        <v>28552</v>
      </c>
      <c r="B22688" s="4" t="s">
        <v>28554</v>
      </c>
      <c r="C22688" s="5" t="str">
        <f>IFERROR(__xludf.DUMMYFUNCTION("GOOGLETRANSLATE(B22688,""en"",""es-ES"")"),"En el mostrador, el hombre está sentado detrás del mostrador.")</f>
        <v>En el mostrador, el hombre está sentado detrás del mostrador.</v>
      </c>
    </row>
    <row r="22689">
      <c r="A22689" s="4" t="s">
        <v>28552</v>
      </c>
      <c r="B22689" s="4" t="s">
        <v>28555</v>
      </c>
      <c r="C22689" s="5" t="str">
        <f>IFERROR(__xludf.DUMMYFUNCTION("GOOGLETRANSLATE(B22689,""en"",""es-ES"")"),"El hombre tocando Bongo golpeó un tambor y luego al siguiente, luego venció rápidamente la batería.")</f>
        <v>El hombre tocando Bongo golpeó un tambor y luego al siguiente, luego venció rápidamente la batería.</v>
      </c>
    </row>
    <row r="22690">
      <c r="A22690" s="4" t="s">
        <v>28556</v>
      </c>
      <c r="B22690" s="4" t="s">
        <v>28557</v>
      </c>
      <c r="C22690" s="5" t="str">
        <f>IFERROR(__xludf.DUMMYFUNCTION("GOOGLETRANSLATE(B22690,""en"",""es-ES"")"),"Un hombre está colocando una cámara y luego entra en una habitación a través de una pared de vidrio con tres paredes.")</f>
        <v>Un hombre está colocando una cámara y luego entra en una habitación a través de una pared de vidrio con tres paredes.</v>
      </c>
    </row>
    <row r="22691">
      <c r="A22691" s="4" t="s">
        <v>28556</v>
      </c>
      <c r="B22691" s="4" t="s">
        <v>28558</v>
      </c>
      <c r="C22691" s="5" t="str">
        <f>IFERROR(__xludf.DUMMYFUNCTION("GOOGLETRANSLATE(B22691,""en"",""es-ES"")"),"Cuando entra en la habitación, otro hombre aparece con una raqueta en la mano y comienzan a golpear la pelota contra la pared.")</f>
        <v>Cuando entra en la habitación, otro hombre aparece con una raqueta en la mano y comienzan a golpear la pelota contra la pared.</v>
      </c>
    </row>
    <row r="22692">
      <c r="A22692" s="4" t="s">
        <v>28556</v>
      </c>
      <c r="B22692" s="4" t="s">
        <v>28559</v>
      </c>
      <c r="C22692" s="5" t="str">
        <f>IFERROR(__xludf.DUMMYFUNCTION("GOOGLETRANSLATE(B22692,""en"",""es-ES"")"),"Los dos van y vienen golpeando la pelota y eventualmente se detienen cuando ninguno de los hombres puede llegar a la pelota.")</f>
        <v>Los dos van y vienen golpeando la pelota y eventualmente se detienen cuando ninguno de los hombres puede llegar a la pelota.</v>
      </c>
    </row>
    <row r="22693">
      <c r="A22693" s="4" t="s">
        <v>28560</v>
      </c>
      <c r="B22693" s="4" t="s">
        <v>28561</v>
      </c>
      <c r="C22693" s="5" t="str">
        <f>IFERROR(__xludf.DUMMYFUNCTION("GOOGLETRANSLATE(B22693,""en"",""es-ES"")"),"La gente está sentada en un estudio hablando entre sí.")</f>
        <v>La gente está sentada en un estudio hablando entre sí.</v>
      </c>
    </row>
    <row r="22694">
      <c r="A22694" s="4" t="s">
        <v>28560</v>
      </c>
      <c r="B22694" s="4" t="s">
        <v>28562</v>
      </c>
      <c r="C22694" s="5" t="str">
        <f>IFERROR(__xludf.DUMMYFUNCTION("GOOGLETRANSLATE(B22694,""en"",""es-ES"")"),"El hombre está en la playa haciendo trucos con un niño pequeño y la gente en el estudio está hablando del video.")</f>
        <v>El hombre está en la playa haciendo trucos con un niño pequeño y la gente en el estudio está hablando del video.</v>
      </c>
    </row>
    <row r="22695">
      <c r="A22695" s="4" t="s">
        <v>28560</v>
      </c>
      <c r="B22695" s="4" t="s">
        <v>28563</v>
      </c>
      <c r="C22695" s="5" t="str">
        <f>IFERROR(__xludf.DUMMYFUNCTION("GOOGLETRANSLATE(B22695,""en"",""es-ES"")"),"Page of a Cheerleaders se muestra en la pantalla y el video de la chica en la playa haciendo trucos.")</f>
        <v>Page of a Cheerleaders se muestra en la pantalla y el video de la chica en la playa haciendo trucos.</v>
      </c>
    </row>
    <row r="22696">
      <c r="A22696" s="4" t="s">
        <v>28560</v>
      </c>
      <c r="B22696" s="4" t="s">
        <v>28564</v>
      </c>
      <c r="C22696" s="5" t="str">
        <f>IFERROR(__xludf.DUMMYFUNCTION("GOOGLETRANSLATE(B22696,""en"",""es-ES"")"),"El hombre está en una sala de estar con una niña y está haciendo trucos con ella y en la playa, luego se muestra un video del hombre y la niña que habla con una cámara mientras la gente en Stuio sigue hablando y mostrando sus videos.")</f>
        <v>El hombre está en una sala de estar con una niña y está haciendo trucos con ella y en la playa, luego se muestra un video del hombre y la niña que habla con una cámara mientras la gente en Stuio sigue hablando y mostrando sus videos.</v>
      </c>
    </row>
    <row r="22697">
      <c r="A22697" s="4" t="s">
        <v>28565</v>
      </c>
      <c r="B22697" s="4" t="s">
        <v>28566</v>
      </c>
      <c r="C22697" s="5" t="str">
        <f>IFERROR(__xludf.DUMMYFUNCTION("GOOGLETRANSLATE(B22697,""en"",""es-ES"")"),"Se muestra a la gente interactuando en un salón de baile.")</f>
        <v>Se muestra a la gente interactuando en un salón de baile.</v>
      </c>
    </row>
    <row r="22698">
      <c r="A22698" s="4" t="s">
        <v>28565</v>
      </c>
      <c r="B22698" s="4" t="s">
        <v>28567</v>
      </c>
      <c r="C22698" s="5" t="str">
        <f>IFERROR(__xludf.DUMMYFUNCTION("GOOGLETRANSLATE(B22698,""en"",""es-ES"")"),"Una mujer fuma y exhala humo negro.")</f>
        <v>Una mujer fuma y exhala humo negro.</v>
      </c>
    </row>
    <row r="22699">
      <c r="A22699" s="4" t="s">
        <v>28565</v>
      </c>
      <c r="B22699" s="4" t="s">
        <v>28568</v>
      </c>
      <c r="C22699" s="5" t="str">
        <f>IFERROR(__xludf.DUMMYFUNCTION("GOOGLETRANSLATE(B22699,""en"",""es-ES"")"),"Un hombre se acerca a una mesa y coloca comida en ella.")</f>
        <v>Un hombre se acerca a una mesa y coloca comida en ella.</v>
      </c>
    </row>
    <row r="22700">
      <c r="A22700" s="4" t="s">
        <v>28565</v>
      </c>
      <c r="B22700" s="4" t="s">
        <v>28569</v>
      </c>
      <c r="C22700" s="5" t="str">
        <f>IFERROR(__xludf.DUMMYFUNCTION("GOOGLETRANSLATE(B22700,""en"",""es-ES"")"),"Dos niños comen debajo de la mesa.")</f>
        <v>Dos niños comen debajo de la mesa.</v>
      </c>
    </row>
    <row r="22701">
      <c r="A22701" s="4" t="s">
        <v>28565</v>
      </c>
      <c r="B22701" s="4" t="s">
        <v>28570</v>
      </c>
      <c r="C22701" s="5" t="str">
        <f>IFERROR(__xludf.DUMMYFUNCTION("GOOGLETRANSLATE(B22701,""en"",""es-ES"")"),"Dos personas bailando juntas se besan.")</f>
        <v>Dos personas bailando juntas se besan.</v>
      </c>
    </row>
    <row r="22702">
      <c r="A22702" s="4" t="s">
        <v>28565</v>
      </c>
      <c r="B22702" s="4" t="s">
        <v>28571</v>
      </c>
      <c r="C22702" s="5" t="str">
        <f>IFERROR(__xludf.DUMMYFUNCTION("GOOGLETRANSLATE(B22702,""en"",""es-ES"")"),"La mujer fuma y el humo negro desaparece.")</f>
        <v>La mujer fuma y el humo negro desaparece.</v>
      </c>
    </row>
    <row r="22703">
      <c r="A22703" s="4" t="s">
        <v>28572</v>
      </c>
      <c r="B22703" s="4" t="s">
        <v>28573</v>
      </c>
      <c r="C22703" s="5" t="str">
        <f>IFERROR(__xludf.DUMMYFUNCTION("GOOGLETRANSLATE(B22703,""en"",""es-ES"")"),"Se muestra un primer plano de una bebida de café, seguido de un hombre que bebe de la taza.")</f>
        <v>Se muestra un primer plano de una bebida de café, seguido de un hombre que bebe de la taza.</v>
      </c>
    </row>
    <row r="22704">
      <c r="A22704" s="4" t="s">
        <v>28572</v>
      </c>
      <c r="B22704" s="4" t="s">
        <v>28574</v>
      </c>
      <c r="C22704" s="5" t="str">
        <f>IFERROR(__xludf.DUMMYFUNCTION("GOOGLETRANSLATE(B22704,""en"",""es-ES"")"),"La cámara se desplaza a más personas con bebidas en sus manos.")</f>
        <v>La cámara se desplaza a más personas con bebidas en sus manos.</v>
      </c>
    </row>
    <row r="22705">
      <c r="A22705" s="4" t="s">
        <v>28572</v>
      </c>
      <c r="B22705" s="4" t="s">
        <v>28575</v>
      </c>
      <c r="C22705" s="5" t="str">
        <f>IFERROR(__xludf.DUMMYFUNCTION("GOOGLETRANSLATE(B22705,""en"",""es-ES"")"),"Una maestría mira su regazo con la bebida todavía frente a él.")</f>
        <v>Una maestría mira su regazo con la bebida todavía frente a él.</v>
      </c>
    </row>
    <row r="22706">
      <c r="A22706" s="4" t="s">
        <v>28576</v>
      </c>
      <c r="B22706" s="4" t="s">
        <v>28577</v>
      </c>
      <c r="C22706" s="5" t="str">
        <f>IFERROR(__xludf.DUMMYFUNCTION("GOOGLETRANSLATE(B22706,""en"",""es-ES"")"),"Se muestra un gran campo verde cuando dos equipos comienzan a correr hacia una pelota que la golpea con un palo que tiene una red al final.")</f>
        <v>Se muestra un gran campo verde cuando dos equipos comienzan a correr hacia una pelota que la golpea con un palo que tiene una red al final.</v>
      </c>
    </row>
    <row r="22707">
      <c r="A22707" s="4" t="s">
        <v>28576</v>
      </c>
      <c r="B22707" s="4" t="s">
        <v>28578</v>
      </c>
      <c r="C22707" s="5" t="str">
        <f>IFERROR(__xludf.DUMMYFUNCTION("GOOGLETRANSLATE(B22707,""en"",""es-ES"")"),"A medida que avanza el juego, un jugador se encuentra con otras dos personas y se voltea sobre sus hombros finalmente lesionados.")</f>
        <v>A medida que avanza el juego, un jugador se encuentra con otras dos personas y se voltea sobre sus hombros finalmente lesionados.</v>
      </c>
    </row>
    <row r="22708">
      <c r="A22708" s="4" t="s">
        <v>28576</v>
      </c>
      <c r="B22708" s="4" t="s">
        <v>28579</v>
      </c>
      <c r="C22708" s="5" t="str">
        <f>IFERROR(__xludf.DUMMYFUNCTION("GOOGLETRANSLATE(B22708,""en"",""es-ES"")"),"Se acuesta en el suelo y se muestran varias repeticiones del incidente.")</f>
        <v>Se acuesta en el suelo y se muestran varias repeticiones del incidente.</v>
      </c>
    </row>
    <row r="22709">
      <c r="A22709" s="4" t="s">
        <v>28576</v>
      </c>
      <c r="B22709" s="4" t="s">
        <v>28580</v>
      </c>
      <c r="C22709" s="5" t="str">
        <f>IFERROR(__xludf.DUMMYFUNCTION("GOOGLETRANSLATE(B22709,""en"",""es-ES"")"),"A continuación, se muestran varias imágenes fijas de otros equipos que caminan y se preparan para comenzar de que juegan en varios lugares.")</f>
        <v>A continuación, se muestran varias imágenes fijas de otros equipos que caminan y se preparan para comenzar de que juegan en varios lugares.</v>
      </c>
    </row>
    <row r="22710">
      <c r="A22710" s="4" t="s">
        <v>28581</v>
      </c>
      <c r="B22710" s="4" t="s">
        <v>28582</v>
      </c>
      <c r="C22710" s="5" t="str">
        <f>IFERROR(__xludf.DUMMYFUNCTION("GOOGLETRANSLATE(B22710,""en"",""es-ES"")"),"La cámara se acerca a una vaca bebé con varias páginas de título que se muestran en la pantalla.")</f>
        <v>La cámara se acerca a una vaca bebé con varias páginas de título que se muestran en la pantalla.</v>
      </c>
    </row>
    <row r="22711">
      <c r="A22711" s="4" t="s">
        <v>28581</v>
      </c>
      <c r="B22711" s="4" t="s">
        <v>28583</v>
      </c>
      <c r="C22711" s="5" t="str">
        <f>IFERROR(__xludf.DUMMYFUNCTION("GOOGLETRANSLATE(B22711,""en"",""es-ES"")"),"Un grupo de hombres corre alrededor de un ternero mientras que otros lo mantienen presionado.")</f>
        <v>Un grupo de hombres corre alrededor de un ternero mientras que otros lo mantienen presionado.</v>
      </c>
    </row>
    <row r="22712">
      <c r="A22712" s="4" t="s">
        <v>28581</v>
      </c>
      <c r="B22712" s="4" t="s">
        <v>28584</v>
      </c>
      <c r="C22712" s="5" t="str">
        <f>IFERROR(__xludf.DUMMYFUNCTION("GOOGLETRANSLATE(B22712,""en"",""es-ES"")"),"Un hombre borracho intenta interactuar con un toro y es volteado al aire.")</f>
        <v>Un hombre borracho intenta interactuar con un toro y es volteado al aire.</v>
      </c>
    </row>
    <row r="22713">
      <c r="A22713" s="4" t="s">
        <v>28581</v>
      </c>
      <c r="B22713" s="4" t="s">
        <v>28585</v>
      </c>
      <c r="C22713" s="5" t="str">
        <f>IFERROR(__xludf.DUMMYFUNCTION("GOOGLETRANSLATE(B22713,""en"",""es-ES"")"),"Varios hombres lo arrastran mientras un turista intenta atraer al toro.")</f>
        <v>Varios hombres lo arrastran mientras un turista intenta atraer al toro.</v>
      </c>
    </row>
    <row r="22714">
      <c r="A22714" s="4" t="s">
        <v>28581</v>
      </c>
      <c r="B22714" s="4" t="s">
        <v>28586</v>
      </c>
      <c r="C22714" s="5" t="str">
        <f>IFERROR(__xludf.DUMMYFUNCTION("GOOGLETRANSLATE(B22714,""en"",""es-ES"")"),"El toro casi lo agarra, pero el niño llega a la cerca y arroja la manta roja sobre el toro.")</f>
        <v>El toro casi lo agarra, pero el niño llega a la cerca y arroja la manta roja sobre el toro.</v>
      </c>
    </row>
    <row r="22715">
      <c r="A22715" s="4" t="s">
        <v>28587</v>
      </c>
      <c r="B22715" s="4" t="s">
        <v>28588</v>
      </c>
      <c r="C22715" s="5" t="str">
        <f>IFERROR(__xludf.DUMMYFUNCTION("GOOGLETRANSLATE(B22715,""en"",""es-ES"")"),"Una mujer con pantalones de pista y sus hijas lavan un perro pequeño con jabón y jabón en un balde en un patio.")</f>
        <v>Una mujer con pantalones de pista y sus hijas lavan un perro pequeño con jabón y jabón en un balde en un patio.</v>
      </c>
    </row>
    <row r="22716">
      <c r="A22716" s="4" t="s">
        <v>28587</v>
      </c>
      <c r="B22716" s="4" t="s">
        <v>28589</v>
      </c>
      <c r="C22716" s="5" t="str">
        <f>IFERROR(__xludf.DUMMYFUNCTION("GOOGLETRANSLATE(B22716,""en"",""es-ES"")"),"Una mujer usa una taza para verter agua en el perro para quitar el jabón.")</f>
        <v>Una mujer usa una taza para verter agua en el perro para quitar el jabón.</v>
      </c>
    </row>
    <row r="22717">
      <c r="A22717" s="4" t="s">
        <v>28590</v>
      </c>
      <c r="B22717" s="4" t="s">
        <v>28591</v>
      </c>
      <c r="C22717" s="5" t="str">
        <f>IFERROR(__xludf.DUMMYFUNCTION("GOOGLETRANSLATE(B22717,""en"",""es-ES"")"),"Se muestra un campo con unos diez hombres parados en el medio y un hombre despega corriendo y arroja una pelota a un hombre que sostiene una paleta.")</f>
        <v>Se muestra un campo con unos diez hombres parados en el medio y un hombre despega corriendo y arroja una pelota a un hombre que sostiene una paleta.</v>
      </c>
    </row>
    <row r="22718">
      <c r="A22718" s="4" t="s">
        <v>28590</v>
      </c>
      <c r="B22718" s="4" t="s">
        <v>28592</v>
      </c>
      <c r="C22718" s="5" t="str">
        <f>IFERROR(__xludf.DUMMYFUNCTION("GOOGLETRANSLATE(B22718,""en"",""es-ES"")"),"Se muestran más juegos y las mismas acciones exactas se repiten en varios equipos.")</f>
        <v>Se muestran más juegos y las mismas acciones exactas se repiten en varios equipos.</v>
      </c>
    </row>
    <row r="22719">
      <c r="A22719" s="4" t="s">
        <v>28590</v>
      </c>
      <c r="B22719" s="4" t="s">
        <v>28593</v>
      </c>
      <c r="C22719" s="5" t="str">
        <f>IFERROR(__xludf.DUMMYFUNCTION("GOOGLETRANSLATE(B22719,""en"",""es-ES"")"),"Luego se muestra un hombre con cabello negro corto y sus compañeros de equipo comienzan a felicitarlo y se muestran más equipos jugando el juego.")</f>
        <v>Luego se muestra un hombre con cabello negro corto y sus compañeros de equipo comienzan a felicitarlo y se muestran más equipos jugando el juego.</v>
      </c>
    </row>
    <row r="22720">
      <c r="A22720" s="4" t="s">
        <v>28594</v>
      </c>
      <c r="B22720" s="4" t="s">
        <v>28595</v>
      </c>
      <c r="C22720" s="5" t="str">
        <f>IFERROR(__xludf.DUMMYFUNCTION("GOOGLETRANSLATE(B22720,""en"",""es-ES"")"),"El hombre sostiene un martillo fijando el techo de un garaje.")</f>
        <v>El hombre sostiene un martillo fijando el techo de un garaje.</v>
      </c>
    </row>
    <row r="22721">
      <c r="A22721" s="4" t="s">
        <v>28594</v>
      </c>
      <c r="B22721" s="4" t="s">
        <v>28596</v>
      </c>
      <c r="C22721" s="5" t="str">
        <f>IFERROR(__xludf.DUMMYFUNCTION("GOOGLETRANSLATE(B22721,""en"",""es-ES"")"),"El hombre está de pie en la azotea agregando una mezcla negra.")</f>
        <v>El hombre está de pie en la azotea agregando una mezcla negra.</v>
      </c>
    </row>
    <row r="22722">
      <c r="A22722" s="4" t="s">
        <v>28597</v>
      </c>
      <c r="B22722" s="4" t="s">
        <v>28598</v>
      </c>
      <c r="C22722" s="5" t="str">
        <f>IFERROR(__xludf.DUMMYFUNCTION("GOOGLETRANSLATE(B22722,""en"",""es-ES"")"),"El hombre está sentado en una mesa comiendo un sándwich en un rstaurant hablando con otro hombre.")</f>
        <v>El hombre está sentado en una mesa comiendo un sándwich en un rstaurant hablando con otro hombre.</v>
      </c>
    </row>
    <row r="22723">
      <c r="A22723" s="4" t="s">
        <v>28597</v>
      </c>
      <c r="B22723" s="4" t="s">
        <v>28599</v>
      </c>
      <c r="C22723" s="5" t="str">
        <f>IFERROR(__xludf.DUMMYFUNCTION("GOOGLETRANSLATE(B22723,""en"",""es-ES"")"),"El hombre está mirando al hombre mientras come y habla con él.")</f>
        <v>El hombre está mirando al hombre mientras come y habla con él.</v>
      </c>
    </row>
    <row r="22724">
      <c r="A22724" s="4" t="s">
        <v>28597</v>
      </c>
      <c r="B22724" s="4" t="s">
        <v>28600</v>
      </c>
      <c r="C22724" s="5" t="str">
        <f>IFERROR(__xludf.DUMMYFUNCTION("GOOGLETRANSLATE(B22724,""en"",""es-ES"")"),"Ambos hombres se paran y juegan un papel de rock y al hombre golpea la arena del hombre que cae al piso.")</f>
        <v>Ambos hombres se paran y juegan un papel de rock y al hombre golpea la arena del hombre que cae al piso.</v>
      </c>
    </row>
    <row r="22725">
      <c r="A22725" s="4" t="s">
        <v>28597</v>
      </c>
      <c r="B22725" s="4" t="s">
        <v>28601</v>
      </c>
      <c r="C22725" s="5" t="str">
        <f>IFERROR(__xludf.DUMMYFUNCTION("GOOGLETRANSLATE(B22725,""en"",""es-ES"")"),"El hombre está sentado en la silla y habla con el hombre en el piso y le arroja el sándwich.")</f>
        <v>El hombre está sentado en la silla y habla con el hombre en el piso y le arroja el sándwich.</v>
      </c>
    </row>
    <row r="22726">
      <c r="A22726" s="4" t="s">
        <v>28597</v>
      </c>
      <c r="B22726" s="4" t="s">
        <v>28602</v>
      </c>
      <c r="C22726" s="5" t="str">
        <f>IFERROR(__xludf.DUMMYFUNCTION("GOOGLETRANSLATE(B22726,""en"",""es-ES"")"),"El hombre camina hacia un escritorio y se sienta frente al agua potable de la computadora y el otro hombre está acostado en el suelo tratando de hablar.")</f>
        <v>El hombre camina hacia un escritorio y se sienta frente al agua potable de la computadora y el otro hombre está acostado en el suelo tratando de hablar.</v>
      </c>
    </row>
    <row r="22727">
      <c r="A22727" s="4" t="s">
        <v>28597</v>
      </c>
      <c r="B22727" s="4" t="s">
        <v>28603</v>
      </c>
      <c r="C22727" s="5" t="str">
        <f>IFERROR(__xludf.DUMMYFUNCTION("GOOGLETRANSLATE(B22727,""en"",""es-ES"")"),"Anoher Man en el frente habla con el hombre en el escritorio.")</f>
        <v>Anoher Man en el frente habla con el hombre en el escritorio.</v>
      </c>
    </row>
    <row r="22728">
      <c r="A22728" s="4" t="s">
        <v>28597</v>
      </c>
      <c r="B22728" s="4" t="s">
        <v>28604</v>
      </c>
      <c r="C22728" s="5" t="str">
        <f>IFERROR(__xludf.DUMMYFUNCTION("GOOGLETRANSLATE(B22728,""en"",""es-ES"")"),"El hombre se para y habla con el hombre en el suelo y lo golpea nuevamente y el hombre escupe sangre.")</f>
        <v>El hombre se para y habla con el hombre en el suelo y lo golpea nuevamente y el hombre escupe sangre.</v>
      </c>
    </row>
    <row r="22729">
      <c r="A22729" s="4" t="s">
        <v>28605</v>
      </c>
      <c r="B22729" s="4" t="s">
        <v>28606</v>
      </c>
      <c r="C22729" s="5" t="str">
        <f>IFERROR(__xludf.DUMMYFUNCTION("GOOGLETRANSLATE(B22729,""en"",""es-ES"")"),"Un hombre en su trabajo de lavado de platos tiene una forma única de lavar sus platos a una velocidad muy rápida.")</f>
        <v>Un hombre en su trabajo de lavado de platos tiene una forma única de lavar sus platos a una velocidad muy rápida.</v>
      </c>
    </row>
    <row r="22730">
      <c r="A22730" s="4" t="s">
        <v>28605</v>
      </c>
      <c r="B22730" s="4" t="s">
        <v>28607</v>
      </c>
      <c r="C22730" s="5" t="str">
        <f>IFERROR(__xludf.DUMMYFUNCTION("GOOGLETRANSLATE(B22730,""en"",""es-ES"")"),"Lanza todos los platos uno por uno muy rápido.")</f>
        <v>Lanza todos los platos uno por uno muy rápido.</v>
      </c>
    </row>
    <row r="22731">
      <c r="A22731" s="4" t="s">
        <v>28605</v>
      </c>
      <c r="B22731" s="4" t="s">
        <v>28608</v>
      </c>
      <c r="C22731" s="5" t="str">
        <f>IFERROR(__xludf.DUMMYFUNCTION("GOOGLETRANSLATE(B22731,""en"",""es-ES"")"),"Todos aterrizan en el fregadero uno encima del otro después de que los limpia, algunos de ellos se caen un poco.")</f>
        <v>Todos aterrizan en el fregadero uno encima del otro después de que los limpia, algunos de ellos se caen un poco.</v>
      </c>
    </row>
    <row r="22732">
      <c r="A22732" s="4" t="s">
        <v>28605</v>
      </c>
      <c r="B22732" s="4" t="s">
        <v>28609</v>
      </c>
      <c r="C22732" s="5" t="str">
        <f>IFERROR(__xludf.DUMMYFUNCTION("GOOGLETRANSLATE(B22732,""en"",""es-ES"")"),"Los empuja a todos hacia el agua.")</f>
        <v>Los empuja a todos hacia el agua.</v>
      </c>
    </row>
    <row r="22733">
      <c r="A22733" s="4" t="s">
        <v>28610</v>
      </c>
      <c r="B22733" s="4" t="s">
        <v>4448</v>
      </c>
      <c r="C22733" s="5" t="str">
        <f>IFERROR(__xludf.DUMMYFUNCTION("GOOGLETRANSLATE(B22733,""en"",""es-ES"")"),"Vemos la pantalla de título de apertura.")</f>
        <v>Vemos la pantalla de título de apertura.</v>
      </c>
    </row>
    <row r="22734">
      <c r="A22734" s="4" t="s">
        <v>28610</v>
      </c>
      <c r="B22734" s="4" t="s">
        <v>28611</v>
      </c>
      <c r="C22734" s="5" t="str">
        <f>IFERROR(__xludf.DUMMYFUNCTION("GOOGLETRANSLATE(B22734,""en"",""es-ES"")"),"La gente está poniendo sus suministros y viajando en balsas por un río.")</f>
        <v>La gente está poniendo sus suministros y viajando en balsas por un río.</v>
      </c>
    </row>
    <row r="22735">
      <c r="A22735" s="4" t="s">
        <v>28610</v>
      </c>
      <c r="B22735" s="4" t="s">
        <v>28612</v>
      </c>
      <c r="C22735" s="5" t="str">
        <f>IFERROR(__xludf.DUMMYFUNCTION("GOOGLETRANSLATE(B22735,""en"",""es-ES"")"),"Vemos el nombre de la ubicación y las tomas turísticas de los restaurantes, baños y más.")</f>
        <v>Vemos el nombre de la ubicación y las tomas turísticas de los restaurantes, baños y más.</v>
      </c>
    </row>
    <row r="22736">
      <c r="A22736" s="4" t="s">
        <v>28610</v>
      </c>
      <c r="B22736" s="4" t="s">
        <v>28613</v>
      </c>
      <c r="C22736" s="5" t="str">
        <f>IFERROR(__xludf.DUMMYFUNCTION("GOOGLETRANSLATE(B22736,""en"",""es-ES"")"),"Vemos a la gente bailar y jugar juegos al aire libre y en una habitación en grupos con globos y bailes.")</f>
        <v>Vemos a la gente bailar y jugar juegos al aire libre y en una habitación en grupos con globos y bailes.</v>
      </c>
    </row>
    <row r="22737">
      <c r="A22737" s="4" t="s">
        <v>28610</v>
      </c>
      <c r="B22737" s="4" t="s">
        <v>28614</v>
      </c>
      <c r="C22737" s="5" t="str">
        <f>IFERROR(__xludf.DUMMYFUNCTION("GOOGLETRANSLATE(B22737,""en"",""es-ES"")"),"Vemos gente con cremallera en la jungla.")</f>
        <v>Vemos gente con cremallera en la jungla.</v>
      </c>
    </row>
    <row r="22738">
      <c r="A22738" s="4" t="s">
        <v>28615</v>
      </c>
      <c r="B22738" s="4" t="s">
        <v>28616</v>
      </c>
      <c r="C22738" s="5" t="str">
        <f>IFERROR(__xludf.DUMMYFUNCTION("GOOGLETRANSLATE(B22738,""en"",""es-ES"")"),"Un hombre con una chaqueta plateada está arreglando un hablado en el neumático de su bicicleta.")</f>
        <v>Un hombre con una chaqueta plateada está arreglando un hablado en el neumático de su bicicleta.</v>
      </c>
    </row>
    <row r="22739">
      <c r="A22739" s="4" t="s">
        <v>28615</v>
      </c>
      <c r="B22739" s="4" t="s">
        <v>28617</v>
      </c>
      <c r="C22739" s="5" t="str">
        <f>IFERROR(__xludf.DUMMYFUNCTION("GOOGLETRANSLATE(B22739,""en"",""es-ES"")"),"Gira la rueda del neumático.")</f>
        <v>Gira la rueda del neumático.</v>
      </c>
    </row>
    <row r="22740">
      <c r="A22740" s="4" t="s">
        <v>28615</v>
      </c>
      <c r="B22740" s="4" t="s">
        <v>28618</v>
      </c>
      <c r="C22740" s="5" t="str">
        <f>IFERROR(__xludf.DUMMYFUNCTION("GOOGLETRANSLATE(B22740,""en"",""es-ES"")"),"Quita el neumático de la bicicleta y lo pone contra el edificio.")</f>
        <v>Quita el neumático de la bicicleta y lo pone contra el edificio.</v>
      </c>
    </row>
    <row r="22741">
      <c r="A22741" s="4" t="s">
        <v>28615</v>
      </c>
      <c r="B22741" s="4" t="s">
        <v>28619</v>
      </c>
      <c r="C22741" s="5" t="str">
        <f>IFERROR(__xludf.DUMMYFUNCTION("GOOGLETRANSLATE(B22741,""en"",""es-ES"")"),"Utiliza una herramienta para arreglar el Spicio de la llanta.")</f>
        <v>Utiliza una herramienta para arreglar el Spicio de la llanta.</v>
      </c>
    </row>
    <row r="22742">
      <c r="A22742" s="4" t="s">
        <v>28615</v>
      </c>
      <c r="B22742" s="4" t="s">
        <v>28620</v>
      </c>
      <c r="C22742" s="5" t="str">
        <f>IFERROR(__xludf.DUMMYFUNCTION("GOOGLETRANSLATE(B22742,""en"",""es-ES"")"),"Él pone el neumático en la bicicleta y lo gira.")</f>
        <v>Él pone el neumático en la bicicleta y lo gira.</v>
      </c>
    </row>
    <row r="22743">
      <c r="A22743" s="4" t="s">
        <v>28621</v>
      </c>
      <c r="B22743" s="4" t="s">
        <v>28622</v>
      </c>
      <c r="C22743" s="5" t="str">
        <f>IFERROR(__xludf.DUMMYFUNCTION("GOOGLETRANSLATE(B22743,""en"",""es-ES"")"),"Se ve a una persona corriendo hacia una cancha y disparando un baloncesto.")</f>
        <v>Se ve a una persona corriendo hacia una cancha y disparando un baloncesto.</v>
      </c>
    </row>
    <row r="22744">
      <c r="A22744" s="4" t="s">
        <v>28621</v>
      </c>
      <c r="B22744" s="4" t="s">
        <v>28623</v>
      </c>
      <c r="C22744" s="5" t="str">
        <f>IFERROR(__xludf.DUMMYFUNCTION("GOOGLETRANSLATE(B22744,""en"",""es-ES"")"),"El hombre se muestra en varios clips corriendo y anotando una canasta.")</f>
        <v>El hombre se muestra en varios clips corriendo y anotando una canasta.</v>
      </c>
    </row>
    <row r="22745">
      <c r="A22745" s="4" t="s">
        <v>28621</v>
      </c>
      <c r="B22745" s="4" t="s">
        <v>28624</v>
      </c>
      <c r="C22745" s="5" t="str">
        <f>IFERROR(__xludf.DUMMYFUNCTION("GOOGLETRANSLATE(B22745,""en"",""es-ES"")"),"El hombre continúa disparando aros una y otra vez.")</f>
        <v>El hombre continúa disparando aros una y otra vez.</v>
      </c>
    </row>
    <row r="22746">
      <c r="A22746" s="4" t="s">
        <v>28625</v>
      </c>
      <c r="B22746" s="4" t="s">
        <v>28626</v>
      </c>
      <c r="C22746" s="5" t="str">
        <f>IFERROR(__xludf.DUMMYFUNCTION("GOOGLETRANSLATE(B22746,""en"",""es-ES"")"),"Un niño se sienta en un mostrador de cocina y ajusta la cámara.")</f>
        <v>Un niño se sienta en un mostrador de cocina y ajusta la cámara.</v>
      </c>
    </row>
    <row r="22747">
      <c r="A22747" s="4" t="s">
        <v>28625</v>
      </c>
      <c r="B22747" s="4" t="s">
        <v>28627</v>
      </c>
      <c r="C22747" s="5" t="str">
        <f>IFERROR(__xludf.DUMMYFUNCTION("GOOGLETRANSLATE(B22747,""en"",""es-ES"")"),"Su amigo regresa a la cámara para que sean más visibles.")</f>
        <v>Su amigo regresa a la cámara para que sean más visibles.</v>
      </c>
    </row>
    <row r="22748">
      <c r="A22748" s="4" t="s">
        <v>28625</v>
      </c>
      <c r="B22748" s="4" t="s">
        <v>28628</v>
      </c>
      <c r="C22748" s="5" t="str">
        <f>IFERROR(__xludf.DUMMYFUNCTION("GOOGLETRANSLATE(B22748,""en"",""es-ES"")"),"Los dos muchachos luego luchan por el brazo y el niño izquierdo gana las dos veces.")</f>
        <v>Los dos muchachos luego luchan por el brazo y el niño izquierdo gana las dos veces.</v>
      </c>
    </row>
    <row r="22749">
      <c r="A22749" s="4" t="s">
        <v>28625</v>
      </c>
      <c r="B22749" s="4" t="s">
        <v>28629</v>
      </c>
      <c r="C22749" s="5" t="str">
        <f>IFERROR(__xludf.DUMMYFUNCTION("GOOGLETRANSLATE(B22749,""en"",""es-ES"")"),"El chico derecho se aleja y el niño izquierdo alcanza la cámara.")</f>
        <v>El chico derecho se aleja y el niño izquierdo alcanza la cámara.</v>
      </c>
    </row>
    <row r="22750">
      <c r="A22750" s="4" t="s">
        <v>28630</v>
      </c>
      <c r="B22750" s="4" t="s">
        <v>28631</v>
      </c>
      <c r="C22750" s="5" t="str">
        <f>IFERROR(__xludf.DUMMYFUNCTION("GOOGLETRANSLATE(B22750,""en"",""es-ES"")"),"Se ven dos mujeres corriendo por una habitación y conduce a una que habla con la cámara.")</f>
        <v>Se ven dos mujeres corriendo por una habitación y conduce a una que habla con la cámara.</v>
      </c>
    </row>
    <row r="22751">
      <c r="A22751" s="4" t="s">
        <v>28630</v>
      </c>
      <c r="B22751" s="4" t="s">
        <v>28632</v>
      </c>
      <c r="C22751" s="5" t="str">
        <f>IFERROR(__xludf.DUMMYFUNCTION("GOOGLETRANSLATE(B22751,""en"",""es-ES"")"),"La gente golpeó una pelota de tenis alrededor de la habitación mientras bailaba y animaba unos con otros.")</f>
        <v>La gente golpeó una pelota de tenis alrededor de la habitación mientras bailaba y animaba unos con otros.</v>
      </c>
    </row>
    <row r="22752">
      <c r="A22752" s="4" t="s">
        <v>28630</v>
      </c>
      <c r="B22752" s="4" t="s">
        <v>28633</v>
      </c>
      <c r="C22752" s="5" t="str">
        <f>IFERROR(__xludf.DUMMYFUNCTION("GOOGLETRANSLATE(B22752,""en"",""es-ES"")"),"La gente continúa golpeando la pelota mientras juega entre sí.")</f>
        <v>La gente continúa golpeando la pelota mientras juega entre sí.</v>
      </c>
    </row>
    <row r="22753">
      <c r="A22753" s="4" t="s">
        <v>28634</v>
      </c>
      <c r="B22753" s="4" t="s">
        <v>28635</v>
      </c>
      <c r="C22753" s="5" t="str">
        <f>IFERROR(__xludf.DUMMYFUNCTION("GOOGLETRANSLATE(B22753,""en"",""es-ES"")"),"Un hombre con vestimenta de soldadura soldaba un trozo de metal a otro trozo de metal en la cámara.")</f>
        <v>Un hombre con vestimenta de soldadura soldaba un trozo de metal a otro trozo de metal en la cámara.</v>
      </c>
    </row>
    <row r="22754">
      <c r="A22754" s="4" t="s">
        <v>28634</v>
      </c>
      <c r="B22754" s="4" t="s">
        <v>28636</v>
      </c>
      <c r="C22754" s="5" t="str">
        <f>IFERROR(__xludf.DUMMYFUNCTION("GOOGLETRANSLATE(B22754,""en"",""es-ES"")"),"Un hombre que usa ropa protectora y un sombrero de soldadura de metal se encuentra frente a un trozo de metal que falta una tira larga en la cara.")</f>
        <v>Un hombre que usa ropa protectora y un sombrero de soldadura de metal se encuentra frente a un trozo de metal que falta una tira larga en la cara.</v>
      </c>
    </row>
    <row r="22755">
      <c r="A22755" s="4" t="s">
        <v>28634</v>
      </c>
      <c r="B22755" s="4" t="s">
        <v>28637</v>
      </c>
      <c r="C22755" s="5" t="str">
        <f>IFERROR(__xludf.DUMMYFUNCTION("GOOGLETRANSLATE(B22755,""en"",""es-ES"")"),"El hombre comienza a soldar creando grandes chispas de luz blanca.")</f>
        <v>El hombre comienza a soldar creando grandes chispas de luz blanca.</v>
      </c>
    </row>
    <row r="22756">
      <c r="A22756" s="4" t="s">
        <v>28634</v>
      </c>
      <c r="B22756" s="4" t="s">
        <v>28638</v>
      </c>
      <c r="C22756" s="5" t="str">
        <f>IFERROR(__xludf.DUMMYFUNCTION("GOOGLETRANSLATE(B22756,""en"",""es-ES"")"),"Cuando la parada de soldadura, el producto terminado revela que una tira ha sido soldada en el punto anteriormente desnudo y el soldador lo prueba con un instrumento duro.")</f>
        <v>Cuando la parada de soldadura, el producto terminado revela que una tira ha sido soldada en el punto anteriormente desnudo y el soldador lo prueba con un instrumento duro.</v>
      </c>
    </row>
    <row r="22757">
      <c r="A22757" s="4" t="s">
        <v>28639</v>
      </c>
      <c r="B22757" s="4" t="s">
        <v>28640</v>
      </c>
      <c r="C22757" s="5" t="str">
        <f>IFERROR(__xludf.DUMMYFUNCTION("GOOGLETRANSLATE(B22757,""en"",""es-ES"")"),"Una mujer monta una bicicleta afuera.")</f>
        <v>Una mujer monta una bicicleta afuera.</v>
      </c>
    </row>
    <row r="22758">
      <c r="A22758" s="4" t="s">
        <v>28639</v>
      </c>
      <c r="B22758" s="4" t="s">
        <v>28641</v>
      </c>
      <c r="C22758" s="5" t="str">
        <f>IFERROR(__xludf.DUMMYFUNCTION("GOOGLETRANSLATE(B22758,""en"",""es-ES"")"),"Luego se le muestra tocando un violín.")</f>
        <v>Luego se le muestra tocando un violín.</v>
      </c>
    </row>
    <row r="22759">
      <c r="A22759" s="4" t="s">
        <v>28639</v>
      </c>
      <c r="B22759" s="4" t="s">
        <v>28642</v>
      </c>
      <c r="C22759" s="5" t="str">
        <f>IFERROR(__xludf.DUMMYFUNCTION("GOOGLETRANSLATE(B22759,""en"",""es-ES"")"),"Luego ella afuera.")</f>
        <v>Luego ella afuera.</v>
      </c>
    </row>
    <row r="22760">
      <c r="A22760" s="4" t="s">
        <v>28639</v>
      </c>
      <c r="B22760" s="4" t="s">
        <v>28643</v>
      </c>
      <c r="C22760" s="5" t="str">
        <f>IFERROR(__xludf.DUMMYFUNCTION("GOOGLETRANSLATE(B22760,""en"",""es-ES"")"),"Y luego ella hace empuje sobre un techo.")</f>
        <v>Y luego ella hace empuje sobre un techo.</v>
      </c>
    </row>
    <row r="22761">
      <c r="A22761" s="4" t="s">
        <v>28644</v>
      </c>
      <c r="B22761" s="4" t="s">
        <v>28645</v>
      </c>
      <c r="C22761" s="5" t="str">
        <f>IFERROR(__xludf.DUMMYFUNCTION("GOOGLETRANSLATE(B22761,""en"",""es-ES"")"),"Una persona salta y aterriza en la arena.")</f>
        <v>Una persona salta y aterriza en la arena.</v>
      </c>
    </row>
    <row r="22762">
      <c r="A22762" s="4" t="s">
        <v>28644</v>
      </c>
      <c r="B22762" s="4" t="s">
        <v>28646</v>
      </c>
      <c r="C22762" s="5" t="str">
        <f>IFERROR(__xludf.DUMMYFUNCTION("GOOGLETRANSLATE(B22762,""en"",""es-ES"")"),"Un hombre corre rápido y salta alto para aterrizar en la arena, luego pararse y saltarse a su sentado, mientras la gente camina en el estadio.")</f>
        <v>Un hombre corre rápido y salta alto para aterrizar en la arena, luego pararse y saltarse a su sentado, mientras la gente camina en el estadio.</v>
      </c>
    </row>
    <row r="22763">
      <c r="A22763" s="4" t="s">
        <v>28644</v>
      </c>
      <c r="B22763" s="4" t="s">
        <v>28647</v>
      </c>
      <c r="C22763" s="5" t="str">
        <f>IFERROR(__xludf.DUMMYFUNCTION("GOOGLETRANSLATE(B22763,""en"",""es-ES"")"),"Un hombre habla sentado en una habitación elegante.")</f>
        <v>Un hombre habla sentado en una habitación elegante.</v>
      </c>
    </row>
    <row r="22764">
      <c r="A22764" s="4" t="s">
        <v>28644</v>
      </c>
      <c r="B22764" s="4" t="s">
        <v>28648</v>
      </c>
      <c r="C22764" s="5" t="str">
        <f>IFERROR(__xludf.DUMMYFUNCTION("GOOGLETRANSLATE(B22764,""en"",""es-ES"")"),"Un hombre pasa por la multitud, luego salta y se dobla en el piso para celebrar.")</f>
        <v>Un hombre pasa por la multitud, luego salta y se dobla en el piso para celebrar.</v>
      </c>
    </row>
    <row r="22765">
      <c r="A22765" s="4" t="s">
        <v>28644</v>
      </c>
      <c r="B22765" s="4" t="s">
        <v>28649</v>
      </c>
      <c r="C22765" s="5" t="str">
        <f>IFERROR(__xludf.DUMMYFUNCTION("GOOGLETRANSLATE(B22765,""en"",""es-ES"")"),"Tres atletas se paran en el podio, luego un hombre corre y salta para aterrizar en la arena.")</f>
        <v>Tres atletas se paran en el podio, luego un hombre corre y salta para aterrizar en la arena.</v>
      </c>
    </row>
    <row r="22766">
      <c r="A22766" s="4" t="s">
        <v>28650</v>
      </c>
      <c r="B22766" s="4" t="s">
        <v>28651</v>
      </c>
      <c r="C22766" s="5" t="str">
        <f>IFERROR(__xludf.DUMMYFUNCTION("GOOGLETRANSLATE(B22766,""en"",""es-ES"")"),"La gente está sentada en la arena en una playa.")</f>
        <v>La gente está sentada en la arena en una playa.</v>
      </c>
    </row>
    <row r="22767">
      <c r="A22767" s="4" t="s">
        <v>28650</v>
      </c>
      <c r="B22767" s="4" t="s">
        <v>28652</v>
      </c>
      <c r="C22767" s="5" t="str">
        <f>IFERROR(__xludf.DUMMYFUNCTION("GOOGLETRANSLATE(B22767,""en"",""es-ES"")"),"La gente navega en grandes olas en el agua.")</f>
        <v>La gente navega en grandes olas en el agua.</v>
      </c>
    </row>
    <row r="22768">
      <c r="A22768" s="4" t="s">
        <v>28650</v>
      </c>
      <c r="B22768" s="4" t="s">
        <v>28653</v>
      </c>
      <c r="C22768" s="5" t="str">
        <f>IFERROR(__xludf.DUMMYFUNCTION("GOOGLETRANSLATE(B22768,""en"",""es-ES"")"),"Un niño pone una toalla en la arena de la playa.")</f>
        <v>Un niño pone una toalla en la arena de la playa.</v>
      </c>
    </row>
    <row r="22769">
      <c r="A22769" s="4" t="s">
        <v>28650</v>
      </c>
      <c r="B22769" s="4" t="s">
        <v>28654</v>
      </c>
      <c r="C22769" s="5" t="str">
        <f>IFERROR(__xludf.DUMMYFUNCTION("GOOGLETRANSLATE(B22769,""en"",""es-ES"")"),"La gente continúa surfeando en las grandes olas del agua.")</f>
        <v>La gente continúa surfeando en las grandes olas del agua.</v>
      </c>
    </row>
    <row r="22770">
      <c r="A22770" s="4" t="s">
        <v>28655</v>
      </c>
      <c r="B22770" s="4" t="s">
        <v>28656</v>
      </c>
      <c r="C22770" s="5" t="str">
        <f>IFERROR(__xludf.DUMMYFUNCTION("GOOGLETRANSLATE(B22770,""en"",""es-ES"")"),"Un hombre con una camisa negra sostiene una pelota de ejercicios sobre otro hombre que lleva una camisa azul claro realiza abdominales en un banco inclinado.")</f>
        <v>Un hombre con una camisa negra sostiene una pelota de ejercicios sobre otro hombre que lleva una camisa azul claro realiza abdominales en un banco inclinado.</v>
      </c>
    </row>
    <row r="22771">
      <c r="A22771" s="4" t="s">
        <v>28655</v>
      </c>
      <c r="B22771" s="4" t="s">
        <v>28657</v>
      </c>
      <c r="C22771" s="5" t="str">
        <f>IFERROR(__xludf.DUMMYFUNCTION("GOOGLETRANSLATE(B22771,""en"",""es-ES"")"),"El hombre que lleva la camisa negra deja caer la pelota en el piso y se agacha y se convierte en el hombre que realiza los abdominales.")</f>
        <v>El hombre que lleva la camisa negra deja caer la pelota en el piso y se agacha y se convierte en el hombre que realiza los abdominales.</v>
      </c>
    </row>
    <row r="22772">
      <c r="A22772" s="4" t="s">
        <v>28658</v>
      </c>
      <c r="B22772" s="4" t="s">
        <v>28659</v>
      </c>
      <c r="C22772" s="5" t="str">
        <f>IFERROR(__xludf.DUMMYFUNCTION("GOOGLETRANSLATE(B22772,""en"",""es-ES"")"),"Un hombre está sentado en una roca junto a un río que fluye rápidamente.")</f>
        <v>Un hombre está sentado en una roca junto a un río que fluye rápidamente.</v>
      </c>
    </row>
    <row r="22773">
      <c r="A22773" s="4" t="s">
        <v>28658</v>
      </c>
      <c r="B22773" s="4" t="s">
        <v>28660</v>
      </c>
      <c r="C22773" s="5" t="str">
        <f>IFERROR(__xludf.DUMMYFUNCTION("GOOGLETRANSLATE(B22773,""en"",""es-ES"")"),"Otro hombre navega junto a él en una balsa tratando de mantenerse al día con la fuerte corriente y las olas.")</f>
        <v>Otro hombre navega junto a él en una balsa tratando de mantenerse al día con la fuerte corriente y las olas.</v>
      </c>
    </row>
    <row r="22774">
      <c r="A22774" s="4" t="s">
        <v>28658</v>
      </c>
      <c r="B22774" s="4" t="s">
        <v>28661</v>
      </c>
      <c r="C22774" s="5" t="str">
        <f>IFERROR(__xludf.DUMMYFUNCTION("GOOGLETRANSLATE(B22774,""en"",""es-ES"")"),"Hay varias otras personas sentadas en las rocas mirando pasar a la Rafter.")</f>
        <v>Hay varias otras personas sentadas en las rocas mirando pasar a la Rafter.</v>
      </c>
    </row>
    <row r="22775">
      <c r="A22775" s="4" t="s">
        <v>28658</v>
      </c>
      <c r="B22775" s="4" t="s">
        <v>28662</v>
      </c>
      <c r="C22775" s="5" t="str">
        <f>IFERROR(__xludf.DUMMYFUNCTION("GOOGLETRANSLATE(B22775,""en"",""es-ES"")"),"Están sentados en las rocas con sus chalecos salvavidas además de ellos.")</f>
        <v>Están sentados en las rocas con sus chalecos salvavidas además de ellos.</v>
      </c>
    </row>
    <row r="22776">
      <c r="A22776" s="4" t="s">
        <v>28663</v>
      </c>
      <c r="B22776" s="4" t="s">
        <v>28664</v>
      </c>
      <c r="C22776" s="5" t="str">
        <f>IFERROR(__xludf.DUMMYFUNCTION("GOOGLETRANSLATE(B22776,""en"",""es-ES"")"),"Una cámara sale de galletas con chispas de chocolate y leche y conduce a una mujer que habla.")</f>
        <v>Una cámara sale de galletas con chispas de chocolate y leche y conduce a una mujer que habla.</v>
      </c>
    </row>
    <row r="22777">
      <c r="A22777" s="4" t="s">
        <v>28663</v>
      </c>
      <c r="B22777" s="4" t="s">
        <v>28665</v>
      </c>
      <c r="C22777" s="5" t="str">
        <f>IFERROR(__xludf.DUMMYFUNCTION("GOOGLETRANSLATE(B22777,""en"",""es-ES"")"),"La mujer mezcla varios ingredientes en un tazón y la lleva a colocar grupos de masa en una sartén.")</f>
        <v>La mujer mezcla varios ingredientes en un tazón y la lleva a colocar grupos de masa en una sartén.</v>
      </c>
    </row>
    <row r="22778">
      <c r="A22778" s="4" t="s">
        <v>28663</v>
      </c>
      <c r="B22778" s="4" t="s">
        <v>28666</v>
      </c>
      <c r="C22778" s="5" t="str">
        <f>IFERROR(__xludf.DUMMYFUNCTION("GOOGLETRANSLATE(B22778,""en"",""es-ES"")"),"Ella pone la sartén en el horno y luego la saca para mostrar sus galletas de chocolate.")</f>
        <v>Ella pone la sartén en el horno y luego la saca para mostrar sus galletas de chocolate.</v>
      </c>
    </row>
    <row r="22779">
      <c r="A22779" s="4" t="s">
        <v>28667</v>
      </c>
      <c r="B22779" s="4" t="s">
        <v>28668</v>
      </c>
      <c r="C22779" s="5" t="str">
        <f>IFERROR(__xludf.DUMMYFUNCTION("GOOGLETRANSLATE(B22779,""en"",""es-ES"")"),"Se ve a una mujer parada frente a la cámara aguantando.")</f>
        <v>Se ve a una mujer parada frente a la cámara aguantando.</v>
      </c>
    </row>
    <row r="22780">
      <c r="A22780" s="4" t="s">
        <v>28667</v>
      </c>
      <c r="B22780" s="4" t="s">
        <v>28669</v>
      </c>
      <c r="C22780" s="5" t="str">
        <f>IFERROR(__xludf.DUMMYFUNCTION("GOOGLETRANSLATE(B22780,""en"",""es-ES"")"),"Otra mujer pasa junto al primero y los dos comienzan a realizar una rutina de fuego entre sí.")</f>
        <v>Otra mujer pasa junto al primero y los dos comienzan a realizar una rutina de fuego entre sí.</v>
      </c>
    </row>
    <row r="22781">
      <c r="A22781" s="4" t="s">
        <v>28667</v>
      </c>
      <c r="B22781" s="4" t="s">
        <v>28670</v>
      </c>
      <c r="C22781" s="5" t="str">
        <f>IFERROR(__xludf.DUMMYFUNCTION("GOOGLETRANSLATE(B22781,""en"",""es-ES"")"),"Un hombre les entrega objetos a la luz y la mujer continúa bailando y girando con el fuego.")</f>
        <v>Un hombre les entrega objetos a la luz y la mujer continúa bailando y girando con el fuego.</v>
      </c>
    </row>
    <row r="22782">
      <c r="A22782" s="4" t="s">
        <v>28671</v>
      </c>
      <c r="B22782" s="4" t="s">
        <v>28672</v>
      </c>
      <c r="C22782" s="5" t="str">
        <f>IFERROR(__xludf.DUMMYFUNCTION("GOOGLETRANSLATE(B22782,""en"",""es-ES"")"),"Un hombre y una mujer están de pie en un mostrador con una piña.")</f>
        <v>Un hombre y una mujer están de pie en un mostrador con una piña.</v>
      </c>
    </row>
    <row r="22783">
      <c r="A22783" s="4" t="s">
        <v>28671</v>
      </c>
      <c r="B22783" s="4" t="s">
        <v>28673</v>
      </c>
      <c r="C22783" s="5" t="str">
        <f>IFERROR(__xludf.DUMMYFUNCTION("GOOGLETRANSLATE(B22783,""en"",""es-ES"")"),"El hombre rasgó la parte superior de la piña.")</f>
        <v>El hombre rasgó la parte superior de la piña.</v>
      </c>
    </row>
    <row r="22784">
      <c r="A22784" s="4" t="s">
        <v>28671</v>
      </c>
      <c r="B22784" s="4" t="s">
        <v>28674</v>
      </c>
      <c r="C22784" s="5" t="str">
        <f>IFERROR(__xludf.DUMMYFUNCTION("GOOGLETRANSLATE(B22784,""en"",""es-ES"")"),"El hombre cortó la parte superior de la piña.")</f>
        <v>El hombre cortó la parte superior de la piña.</v>
      </c>
    </row>
    <row r="22785">
      <c r="A22785" s="4" t="s">
        <v>28671</v>
      </c>
      <c r="B22785" s="4" t="s">
        <v>28675</v>
      </c>
      <c r="C22785" s="5" t="str">
        <f>IFERROR(__xludf.DUMMYFUNCTION("GOOGLETRANSLATE(B22785,""en"",""es-ES"")"),"El hombre cortó la piña por la mitad.")</f>
        <v>El hombre cortó la piña por la mitad.</v>
      </c>
    </row>
    <row r="22786">
      <c r="A22786" s="4" t="s">
        <v>28671</v>
      </c>
      <c r="B22786" s="4" t="s">
        <v>28676</v>
      </c>
      <c r="C22786" s="5" t="str">
        <f>IFERROR(__xludf.DUMMYFUNCTION("GOOGLETRANSLATE(B22786,""en"",""es-ES"")"),"El hombre cortó la piel de la piña.")</f>
        <v>El hombre cortó la piel de la piña.</v>
      </c>
    </row>
    <row r="22787">
      <c r="A22787" s="4" t="s">
        <v>28677</v>
      </c>
      <c r="B22787" s="4" t="s">
        <v>28678</v>
      </c>
      <c r="C22787" s="5" t="str">
        <f>IFERROR(__xludf.DUMMYFUNCTION("GOOGLETRANSLATE(B22787,""en"",""es-ES"")"),"Se ve a una persona subir a la parte trasera de un kayak con otro hombre y remar solo el agua.")</f>
        <v>Se ve a una persona subir a la parte trasera de un kayak con otro hombre y remar solo el agua.</v>
      </c>
    </row>
    <row r="22788">
      <c r="A22788" s="4" t="s">
        <v>28677</v>
      </c>
      <c r="B22788" s="4" t="s">
        <v>28679</v>
      </c>
      <c r="C22788" s="5" t="str">
        <f>IFERROR(__xludf.DUMMYFUNCTION("GOOGLETRANSLATE(B22788,""en"",""es-ES"")"),"La cámara se mueve alrededor del área y se aleja y cuarto a lo largo del agua y sartenes para las personas en la playa.")</f>
        <v>La cámara se mueve alrededor del área y se aleja y cuarto a lo largo del agua y sartenes para las personas en la playa.</v>
      </c>
    </row>
    <row r="22789">
      <c r="A22789" s="4" t="s">
        <v>28680</v>
      </c>
      <c r="B22789" s="4" t="s">
        <v>28681</v>
      </c>
      <c r="C22789" s="5" t="str">
        <f>IFERROR(__xludf.DUMMYFUNCTION("GOOGLETRANSLATE(B22789,""en"",""es-ES"")"),"Se muestra un estacionamiento, y un hombre en las cuchillas de rodillos despega cuesta abajo.")</f>
        <v>Se muestra un estacionamiento, y un hombre en las cuchillas de rodillos despega cuesta abajo.</v>
      </c>
    </row>
    <row r="22790">
      <c r="A22790" s="4" t="s">
        <v>28680</v>
      </c>
      <c r="B22790" s="4" t="s">
        <v>28682</v>
      </c>
      <c r="C22790" s="5" t="str">
        <f>IFERROR(__xludf.DUMMYFUNCTION("GOOGLETRANSLATE(B22790,""en"",""es-ES"")"),"Él da la vuelta a las curvas afiladas en sus patines.")</f>
        <v>Él da la vuelta a las curvas afiladas en sus patines.</v>
      </c>
    </row>
    <row r="22791">
      <c r="A22791" s="4" t="s">
        <v>28680</v>
      </c>
      <c r="B22791" s="4" t="s">
        <v>28683</v>
      </c>
      <c r="C22791" s="5" t="str">
        <f>IFERROR(__xludf.DUMMYFUNCTION("GOOGLETRANSLATE(B22791,""en"",""es-ES"")"),"Toma varios países y caminos boscosos antes de parar en un estacionamiento.")</f>
        <v>Toma varios países y caminos boscosos antes de parar en un estacionamiento.</v>
      </c>
    </row>
    <row r="22792">
      <c r="A22792" s="4" t="s">
        <v>28684</v>
      </c>
      <c r="B22792" s="4" t="s">
        <v>28685</v>
      </c>
      <c r="C22792" s="5" t="str">
        <f>IFERROR(__xludf.DUMMYFUNCTION("GOOGLETRANSLATE(B22792,""en"",""es-ES"")"),"Una niña demuestra varios movimientos de gimnasia y vaso en una sala de estar y en un césped verde con una línea de casas residenciales como telón de fondo.")</f>
        <v>Una niña demuestra varios movimientos de gimnasia y vaso en una sala de estar y en un césped verde con una línea de casas residenciales como telón de fondo.</v>
      </c>
    </row>
    <row r="22793">
      <c r="A22793" s="4" t="s">
        <v>28684</v>
      </c>
      <c r="B22793" s="4" t="s">
        <v>28686</v>
      </c>
      <c r="C22793" s="5" t="str">
        <f>IFERROR(__xludf.DUMMYFUNCTION("GOOGLETRANSLATE(B22793,""en"",""es-ES"")"),"Una niña demuestra un movimiento de salto mortal en la sala de estar frente a dos sofás.")</f>
        <v>Una niña demuestra un movimiento de salto mortal en la sala de estar frente a dos sofás.</v>
      </c>
    </row>
    <row r="22794">
      <c r="A22794" s="4" t="s">
        <v>28684</v>
      </c>
      <c r="B22794" s="4" t="s">
        <v>28687</v>
      </c>
      <c r="C22794" s="5" t="str">
        <f>IFERROR(__xludf.DUMMYFUNCTION("GOOGLETRANSLATE(B22794,""en"",""es-ES"")"),"La niña demuestra movimientos de gimnasia más avanzados en un campo de hierba con casas en un vecindario residencial como telón de fondo.")</f>
        <v>La niña demuestra movimientos de gimnasia más avanzados en un campo de hierba con casas en un vecindario residencial como telón de fondo.</v>
      </c>
    </row>
    <row r="22795">
      <c r="A22795" s="4" t="s">
        <v>28688</v>
      </c>
      <c r="B22795" s="4" t="s">
        <v>28689</v>
      </c>
      <c r="C22795" s="5" t="str">
        <f>IFERROR(__xludf.DUMMYFUNCTION("GOOGLETRANSLATE(B22795,""en"",""es-ES"")"),"Se ve a un pequeño grupo de personas nadando en una piscina y conduce a varios clips de niños que aprenden a nadar.")</f>
        <v>Se ve a un pequeño grupo de personas nadando en una piscina y conduce a varios clips de niños que aprenden a nadar.</v>
      </c>
    </row>
    <row r="22796">
      <c r="A22796" s="4" t="s">
        <v>28688</v>
      </c>
      <c r="B22796" s="4" t="s">
        <v>28690</v>
      </c>
      <c r="C22796" s="5" t="str">
        <f>IFERROR(__xludf.DUMMYFUNCTION("GOOGLETRANSLATE(B22796,""en"",""es-ES"")"),"Un hombre les ayuda a practicar en el agua y saltar de una tabla de buceo.")</f>
        <v>Un hombre les ayuda a practicar en el agua y saltar de una tabla de buceo.</v>
      </c>
    </row>
    <row r="22797">
      <c r="A22797" s="4" t="s">
        <v>28688</v>
      </c>
      <c r="B22797" s="4" t="s">
        <v>28691</v>
      </c>
      <c r="C22797" s="5" t="str">
        <f>IFERROR(__xludf.DUMMYFUNCTION("GOOGLETRANSLATE(B22797,""en"",""es-ES"")"),"Se muestran más disparos de los niños nadando y conduce a una niña agarrando objetos bajo el agua y nadando con otro.")</f>
        <v>Se muestran más disparos de los niños nadando y conduce a una niña agarrando objetos bajo el agua y nadando con otro.</v>
      </c>
    </row>
    <row r="22798">
      <c r="A22798" s="4" t="s">
        <v>28692</v>
      </c>
      <c r="B22798" s="4" t="s">
        <v>28693</v>
      </c>
      <c r="C22798" s="5" t="str">
        <f>IFERROR(__xludf.DUMMYFUNCTION("GOOGLETRANSLATE(B22798,""en"",""es-ES"")"),"El joven sirve al Shuttlecock pero llegó a la red.")</f>
        <v>El joven sirve al Shuttlecock pero llegó a la red.</v>
      </c>
    </row>
    <row r="22799">
      <c r="A22799" s="4" t="s">
        <v>28692</v>
      </c>
      <c r="B22799" s="4" t="s">
        <v>28694</v>
      </c>
      <c r="C22799" s="5" t="str">
        <f>IFERROR(__xludf.DUMMYFUNCTION("GOOGLETRANSLATE(B22799,""en"",""es-ES"")"),"El hombre mayor sirve la pelota y el niño se lo perdió.")</f>
        <v>El hombre mayor sirve la pelota y el niño se lo perdió.</v>
      </c>
    </row>
    <row r="22800">
      <c r="A22800" s="4" t="s">
        <v>28692</v>
      </c>
      <c r="B22800" s="4" t="s">
        <v>28695</v>
      </c>
      <c r="C22800" s="5" t="str">
        <f>IFERROR(__xludf.DUMMYFUNCTION("GOOGLETRANSLATE(B22800,""en"",""es-ES"")"),"Una mujer mayor con camisa gris sirve la pelota y la niña de rojo la golpeó.")</f>
        <v>Una mujer mayor con camisa gris sirve la pelota y la niña de rojo la golpeó.</v>
      </c>
    </row>
    <row r="22801">
      <c r="A22801" s="4" t="s">
        <v>28696</v>
      </c>
      <c r="B22801" s="4" t="s">
        <v>28697</v>
      </c>
      <c r="C22801" s="5" t="str">
        <f>IFERROR(__xludf.DUMMYFUNCTION("GOOGLETRANSLATE(B22801,""en"",""es-ES"")"),"Un hombre está patinando, salta a niveles más altos.")</f>
        <v>Un hombre está patinando, salta a niveles más altos.</v>
      </c>
    </row>
    <row r="22802">
      <c r="A22802" s="4" t="s">
        <v>28696</v>
      </c>
      <c r="B22802" s="4" t="s">
        <v>28698</v>
      </c>
      <c r="C22802" s="5" t="str">
        <f>IFERROR(__xludf.DUMMYFUNCTION("GOOGLETRANSLATE(B22802,""en"",""es-ES"")"),"Él patea para desarrollar algo de velocidad y hace algunos trucos geniales.")</f>
        <v>Él patea para desarrollar algo de velocidad y hace algunos trucos geniales.</v>
      </c>
    </row>
    <row r="22803">
      <c r="A22803" s="4" t="s">
        <v>28696</v>
      </c>
      <c r="B22803" s="4" t="s">
        <v>28699</v>
      </c>
      <c r="C22803" s="5" t="str">
        <f>IFERROR(__xludf.DUMMYFUNCTION("GOOGLETRANSLATE(B22803,""en"",""es-ES"")"),"Se baja y luego salta al tablero y hace más trucos por todas partes.")</f>
        <v>Se baja y luego salta al tablero y hace más trucos por todas partes.</v>
      </c>
    </row>
    <row r="22804">
      <c r="A22804" s="4" t="s">
        <v>28696</v>
      </c>
      <c r="B22804" s="4" t="s">
        <v>28700</v>
      </c>
      <c r="C22804" s="5" t="str">
        <f>IFERROR(__xludf.DUMMYFUNCTION("GOOGLETRANSLATE(B22804,""en"",""es-ES"")"),"Salta sobre un ferrocarril y luego vuelve a bajar y se sienta en el tablero y saluda.")</f>
        <v>Salta sobre un ferrocarril y luego vuelve a bajar y se sienta en el tablero y saluda.</v>
      </c>
    </row>
    <row r="22805">
      <c r="A22805" s="4" t="s">
        <v>28701</v>
      </c>
      <c r="B22805" s="4" t="s">
        <v>28702</v>
      </c>
      <c r="C22805" s="5" t="str">
        <f>IFERROR(__xludf.DUMMYFUNCTION("GOOGLETRANSLATE(B22805,""en"",""es-ES"")"),"Se ve a un jugador de béisbol parado sobre un parche de tierra con otro detrás de él.")</f>
        <v>Se ve a un jugador de béisbol parado sobre un parche de tierra con otro detrás de él.</v>
      </c>
    </row>
    <row r="22806">
      <c r="A22806" s="4" t="s">
        <v>28701</v>
      </c>
      <c r="B22806" s="4" t="s">
        <v>28703</v>
      </c>
      <c r="C22806" s="5" t="str">
        <f>IFERROR(__xludf.DUMMYFUNCTION("GOOGLETRANSLATE(B22806,""en"",""es-ES"")"),"El hombre luego comienza a golpear una pelota.")</f>
        <v>El hombre luego comienza a golpear una pelota.</v>
      </c>
    </row>
    <row r="22807">
      <c r="A22807" s="4" t="s">
        <v>28701</v>
      </c>
      <c r="B22807" s="4" t="s">
        <v>28704</v>
      </c>
      <c r="C22807" s="5" t="str">
        <f>IFERROR(__xludf.DUMMYFUNCTION("GOOGLETRANSLATE(B22807,""en"",""es-ES"")"),"El hombre golpea la pelota en cámara lenta.")</f>
        <v>El hombre golpea la pelota en cámara lenta.</v>
      </c>
    </row>
    <row r="22808">
      <c r="A22808" s="4" t="s">
        <v>28705</v>
      </c>
      <c r="B22808" s="4" t="s">
        <v>28706</v>
      </c>
      <c r="C22808" s="5" t="str">
        <f>IFERROR(__xludf.DUMMYFUNCTION("GOOGLETRANSLATE(B22808,""en"",""es-ES"")"),"Una persona hace espagueti desde cero con harina, huevos, una licuadora y una prensa de pasta.")</f>
        <v>Una persona hace espagueti desde cero con harina, huevos, una licuadora y una prensa de pasta.</v>
      </c>
    </row>
    <row r="22809">
      <c r="A22809" s="4" t="s">
        <v>28705</v>
      </c>
      <c r="B22809" s="4" t="s">
        <v>28707</v>
      </c>
      <c r="C22809" s="5" t="str">
        <f>IFERROR(__xludf.DUMMYFUNCTION("GOOGLETRANSLATE(B22809,""en"",""es-ES"")"),"Una mano mezcla harina en un tazón, agrega huevos y mezcla ambos ingredientes con una batidora.")</f>
        <v>Una mano mezcla harina en un tazón, agrega huevos y mezcla ambos ingredientes con una batidora.</v>
      </c>
    </row>
    <row r="22810">
      <c r="A22810" s="4" t="s">
        <v>28705</v>
      </c>
      <c r="B22810" s="4" t="s">
        <v>28708</v>
      </c>
      <c r="C22810" s="5" t="str">
        <f>IFERROR(__xludf.DUMMYFUNCTION("GOOGLETRANSLATE(B22810,""en"",""es-ES"")"),"Luego, las manos toman la bola de masa resultante y la amasan, la cubre en saran y la corta en pedazos antes de rodarla con un rodillo.")</f>
        <v>Luego, las manos toman la bola de masa resultante y la amasan, la cubre en saran y la corta en pedazos antes de rodarla con un rodillo.</v>
      </c>
    </row>
    <row r="22811">
      <c r="A22811" s="4" t="s">
        <v>28705</v>
      </c>
      <c r="B22811" s="4" t="s">
        <v>28709</v>
      </c>
      <c r="C22811" s="5" t="str">
        <f>IFERROR(__xludf.DUMMYFUNCTION("GOOGLETRANSLATE(B22811,""en"",""es-ES"")"),"Luego, la persona toma la masa aplanada y la pone en un prensador, la espía con harina y la pone en un recipiente y luego una prensa de espagueti que produce muchos hilos de espagueti.")</f>
        <v>Luego, la persona toma la masa aplanada y la pone en un prensador, la espía con harina y la pone en un recipiente y luego una prensa de espagueti que produce muchos hilos de espagueti.</v>
      </c>
    </row>
    <row r="22812">
      <c r="A22812" s="4" t="s">
        <v>28710</v>
      </c>
      <c r="B22812" s="4" t="s">
        <v>28711</v>
      </c>
      <c r="C22812" s="5" t="str">
        <f>IFERROR(__xludf.DUMMYFUNCTION("GOOGLETRANSLATE(B22812,""en"",""es-ES"")"),"Un hombre y una mujer están parados afuera en la nieve hablando.")</f>
        <v>Un hombre y una mujer están parados afuera en la nieve hablando.</v>
      </c>
    </row>
    <row r="22813">
      <c r="A22813" s="4" t="s">
        <v>28710</v>
      </c>
      <c r="B22813" s="4" t="s">
        <v>28712</v>
      </c>
      <c r="C22813" s="5" t="str">
        <f>IFERROR(__xludf.DUMMYFUNCTION("GOOGLETRANSLATE(B22813,""en"",""es-ES"")"),"El hombre está limpiando la nieve del auto.")</f>
        <v>El hombre está limpiando la nieve del auto.</v>
      </c>
    </row>
    <row r="22814">
      <c r="A22814" s="4" t="s">
        <v>28710</v>
      </c>
      <c r="B22814" s="4" t="s">
        <v>28713</v>
      </c>
      <c r="C22814" s="5" t="str">
        <f>IFERROR(__xludf.DUMMYFUNCTION("GOOGLETRANSLATE(B22814,""en"",""es-ES"")"),"La niña usa un abrigo de piel y habla con la cámara.")</f>
        <v>La niña usa un abrigo de piel y habla con la cámara.</v>
      </c>
    </row>
    <row r="22815">
      <c r="A22815" s="4" t="s">
        <v>28710</v>
      </c>
      <c r="B22815" s="4" t="s">
        <v>28714</v>
      </c>
      <c r="C22815" s="5" t="str">
        <f>IFERROR(__xludf.DUMMYFUNCTION("GOOGLETRANSLATE(B22815,""en"",""es-ES"")"),"El hombre continúa cepillando la nieve del auto.")</f>
        <v>El hombre continúa cepillando la nieve del auto.</v>
      </c>
    </row>
    <row r="22816">
      <c r="A22816" s="4" t="s">
        <v>28710</v>
      </c>
      <c r="B22816" s="4" t="s">
        <v>28715</v>
      </c>
      <c r="C22816" s="5" t="str">
        <f>IFERROR(__xludf.DUMMYFUNCTION("GOOGLETRANSLATE(B22816,""en"",""es-ES"")"),"Están sentados dentro del auto hablando.")</f>
        <v>Están sentados dentro del auto hablando.</v>
      </c>
    </row>
    <row r="22817">
      <c r="A22817" s="4" t="s">
        <v>28716</v>
      </c>
      <c r="B22817" s="4" t="s">
        <v>28717</v>
      </c>
      <c r="C22817" s="5" t="str">
        <f>IFERROR(__xludf.DUMMYFUNCTION("GOOGLETRANSLATE(B22817,""en"",""es-ES"")"),"Se muestra algún guión sobre el miedo a cantar en el escenario.")</f>
        <v>Se muestra algún guión sobre el miedo a cantar en el escenario.</v>
      </c>
    </row>
    <row r="22818">
      <c r="A22818" s="4" t="s">
        <v>28716</v>
      </c>
      <c r="B22818" s="4" t="s">
        <v>28718</v>
      </c>
      <c r="C22818" s="5" t="str">
        <f>IFERROR(__xludf.DUMMYFUNCTION("GOOGLETRANSLATE(B22818,""en"",""es-ES"")"),"Una mujer con una camisa verde canta mientras está platos en el fregadero de su cocina.")</f>
        <v>Una mujer con una camisa verde canta mientras está platos en el fregadero de su cocina.</v>
      </c>
    </row>
    <row r="22819">
      <c r="A22819" s="4" t="s">
        <v>28716</v>
      </c>
      <c r="B22819" s="4" t="s">
        <v>28719</v>
      </c>
      <c r="C22819" s="5" t="str">
        <f>IFERROR(__xludf.DUMMYFUNCTION("GOOGLETRANSLATE(B22819,""en"",""es-ES"")"),"Ella continúa lavando las cucharas y tenedores con un exfoliante azul y jabón mientras canta en un tono y tono.")</f>
        <v>Ella continúa lavando las cucharas y tenedores con un exfoliante azul y jabón mientras canta en un tono y tono.</v>
      </c>
    </row>
    <row r="22820">
      <c r="A22820" s="4" t="s">
        <v>28716</v>
      </c>
      <c r="B22820" s="4" t="s">
        <v>28720</v>
      </c>
      <c r="C22820" s="5" t="str">
        <f>IFERROR(__xludf.DUMMYFUNCTION("GOOGLETRANSLATE(B22820,""en"",""es-ES"")"),"Ella continúa lavando un cuchillo grande y luego coloca los utensilios húmedos en una rejilla de secado.")</f>
        <v>Ella continúa lavando un cuchillo grande y luego coloca los utensilios húmedos en una rejilla de secado.</v>
      </c>
    </row>
    <row r="22821">
      <c r="A22821" s="4" t="s">
        <v>28716</v>
      </c>
      <c r="B22821" s="4" t="s">
        <v>28721</v>
      </c>
      <c r="C22821" s="5" t="str">
        <f>IFERROR(__xludf.DUMMYFUNCTION("GOOGLETRANSLATE(B22821,""en"",""es-ES"")"),"Ella lava algunas gafas y las frota bien con la misma esponja.")</f>
        <v>Ella lava algunas gafas y las frota bien con la misma esponja.</v>
      </c>
    </row>
    <row r="22822">
      <c r="A22822" s="4" t="s">
        <v>28716</v>
      </c>
      <c r="B22822" s="4" t="s">
        <v>28722</v>
      </c>
      <c r="C22822" s="5" t="str">
        <f>IFERROR(__xludf.DUMMYFUNCTION("GOOGLETRANSLATE(B22822,""en"",""es-ES"")"),"Luego coloca el vaso en la rejilla de secado.")</f>
        <v>Luego coloca el vaso en la rejilla de secado.</v>
      </c>
    </row>
    <row r="22823">
      <c r="A22823" s="4" t="s">
        <v>28723</v>
      </c>
      <c r="B22823" s="4" t="s">
        <v>28724</v>
      </c>
      <c r="C22823" s="5" t="str">
        <f>IFERROR(__xludf.DUMMYFUNCTION("GOOGLETRANSLATE(B22823,""en"",""es-ES"")"),"Un hombre rapea junto con una canción.")</f>
        <v>Un hombre rapea junto con una canción.</v>
      </c>
    </row>
    <row r="22824">
      <c r="A22824" s="4" t="s">
        <v>28723</v>
      </c>
      <c r="B22824" s="4" t="s">
        <v>28725</v>
      </c>
      <c r="C22824" s="5" t="str">
        <f>IFERROR(__xludf.DUMMYFUNCTION("GOOGLETRANSLATE(B22824,""en"",""es-ES"")"),"El tipo también se hace un tatuaje.")</f>
        <v>El tipo también se hace un tatuaje.</v>
      </c>
    </row>
    <row r="22825">
      <c r="A22825" s="4" t="s">
        <v>28726</v>
      </c>
      <c r="B22825" s="4" t="s">
        <v>28727</v>
      </c>
      <c r="C22825" s="5" t="str">
        <f>IFERROR(__xludf.DUMMYFUNCTION("GOOGLETRANSLATE(B22825,""en"",""es-ES"")"),"Se ve a un gran grupo de personas jugando un partido de fútbol en una gran playa de arena.")</f>
        <v>Se ve a un gran grupo de personas jugando un partido de fútbol en una gran playa de arena.</v>
      </c>
    </row>
    <row r="22826">
      <c r="A22826" s="4" t="s">
        <v>28726</v>
      </c>
      <c r="B22826" s="4" t="s">
        <v>28728</v>
      </c>
      <c r="C22826" s="5" t="str">
        <f>IFERROR(__xludf.DUMMYFUNCTION("GOOGLETRANSLATE(B22826,""en"",""es-ES"")"),"Muchas personas miran al margen mientras los niños pasan el balón y cuarto entre sí.")</f>
        <v>Muchas personas miran al margen mientras los niños pasan el balón y cuarto entre sí.</v>
      </c>
    </row>
    <row r="22827">
      <c r="A22827" s="4" t="s">
        <v>28726</v>
      </c>
      <c r="B22827" s="4" t="s">
        <v>28729</v>
      </c>
      <c r="C22827" s="5" t="str">
        <f>IFERROR(__xludf.DUMMYFUNCTION("GOOGLETRANSLATE(B22827,""en"",""es-ES"")"),"El juego continúa a medida que los niños suben y bajan por el campo e intentan varios goles que terminan perdidos.")</f>
        <v>El juego continúa a medida que los niños suben y bajan por el campo e intentan varios goles que terminan perdidos.</v>
      </c>
    </row>
    <row r="22828">
      <c r="A22828" s="4" t="s">
        <v>28730</v>
      </c>
      <c r="B22828" s="4" t="s">
        <v>28731</v>
      </c>
      <c r="C22828" s="5" t="str">
        <f>IFERROR(__xludf.DUMMYFUNCTION("GOOGLETRANSLATE(B22828,""en"",""es-ES"")"),"Una joven rubia salta afuera.")</f>
        <v>Una joven rubia salta afuera.</v>
      </c>
    </row>
    <row r="22829">
      <c r="A22829" s="4" t="s">
        <v>28730</v>
      </c>
      <c r="B22829" s="4" t="s">
        <v>28732</v>
      </c>
      <c r="C22829" s="5" t="str">
        <f>IFERROR(__xludf.DUMMYFUNCTION("GOOGLETRANSLATE(B22829,""en"",""es-ES"")"),"Ella sostiene una cuerda de salto y gira la cuerda de salto frente a ella.")</f>
        <v>Ella sostiene una cuerda de salto y gira la cuerda de salto frente a ella.</v>
      </c>
    </row>
    <row r="22830">
      <c r="A22830" s="4" t="s">
        <v>28730</v>
      </c>
      <c r="B22830" s="4" t="s">
        <v>28733</v>
      </c>
      <c r="C22830" s="5" t="str">
        <f>IFERROR(__xludf.DUMMYFUNCTION("GOOGLETRANSLATE(B22830,""en"",""es-ES"")"),"Ella realiza lo mismo nuevamente.")</f>
        <v>Ella realiza lo mismo nuevamente.</v>
      </c>
    </row>
    <row r="22831">
      <c r="A22831" s="4" t="s">
        <v>28730</v>
      </c>
      <c r="B22831" s="4" t="s">
        <v>28734</v>
      </c>
      <c r="C22831" s="5" t="str">
        <f>IFERROR(__xludf.DUMMYFUNCTION("GOOGLETRANSLATE(B22831,""en"",""es-ES"")"),"Ella gira la cuerda de salto una vez más y la atrapa con los pies.")</f>
        <v>Ella gira la cuerda de salto una vez más y la atrapa con los pies.</v>
      </c>
    </row>
    <row r="22832">
      <c r="A22832" s="4" t="s">
        <v>28730</v>
      </c>
      <c r="B22832" s="4" t="s">
        <v>28735</v>
      </c>
      <c r="C22832" s="5" t="str">
        <f>IFERROR(__xludf.DUMMYFUNCTION("GOOGLETRANSLATE(B22832,""en"",""es-ES"")"),"Ella lo hace una vez más.")</f>
        <v>Ella lo hace una vez más.</v>
      </c>
    </row>
    <row r="22833">
      <c r="A22833" s="4" t="s">
        <v>28730</v>
      </c>
      <c r="B22833" s="4" t="s">
        <v>28736</v>
      </c>
      <c r="C22833" s="5" t="str">
        <f>IFERROR(__xludf.DUMMYFUNCTION("GOOGLETRANSLATE(B22833,""en"",""es-ES"")"),"Ella gira la cuerda de salto y completa un salto completo.")</f>
        <v>Ella gira la cuerda de salto y completa un salto completo.</v>
      </c>
    </row>
    <row r="22834">
      <c r="A22834" s="4" t="s">
        <v>28730</v>
      </c>
      <c r="B22834" s="4" t="s">
        <v>28737</v>
      </c>
      <c r="C22834" s="5" t="str">
        <f>IFERROR(__xludf.DUMMYFUNCTION("GOOGLETRANSLATE(B22834,""en"",""es-ES"")"),"Ella va y lo hace de nuevo.")</f>
        <v>Ella va y lo hace de nuevo.</v>
      </c>
    </row>
    <row r="22835">
      <c r="A22835" s="4" t="s">
        <v>28730</v>
      </c>
      <c r="B22835" s="4" t="s">
        <v>28738</v>
      </c>
      <c r="C22835" s="5" t="str">
        <f>IFERROR(__xludf.DUMMYFUNCTION("GOOGLETRANSLATE(B22835,""en"",""es-ES"")"),"Ella salta cuerdas varias veces.")</f>
        <v>Ella salta cuerdas varias veces.</v>
      </c>
    </row>
    <row r="22836">
      <c r="A22836" s="4" t="s">
        <v>28730</v>
      </c>
      <c r="B22836" s="4" t="s">
        <v>28739</v>
      </c>
      <c r="C22836" s="5" t="str">
        <f>IFERROR(__xludf.DUMMYFUNCTION("GOOGLETRANSLATE(B22836,""en"",""es-ES"")"),"Ella lo hace de nuevo, salta una y otra vez.")</f>
        <v>Ella lo hace de nuevo, salta una y otra vez.</v>
      </c>
    </row>
    <row r="22837">
      <c r="A22837" s="4" t="s">
        <v>28730</v>
      </c>
      <c r="B22837" s="4" t="s">
        <v>28740</v>
      </c>
      <c r="C22837" s="5" t="str">
        <f>IFERROR(__xludf.DUMMYFUNCTION("GOOGLETRANSLATE(B22837,""en"",""es-ES"")"),"Ella habla con la cámara.")</f>
        <v>Ella habla con la cámara.</v>
      </c>
    </row>
    <row r="22838">
      <c r="A22838" s="4" t="s">
        <v>28741</v>
      </c>
      <c r="B22838" s="4" t="s">
        <v>28742</v>
      </c>
      <c r="C22838" s="5" t="str">
        <f>IFERROR(__xludf.DUMMYFUNCTION("GOOGLETRANSLATE(B22838,""en"",""es-ES"")"),"Un majorette macho negro comienza a caminar a través de la línea de batería con su bastón.")</f>
        <v>Un majorette macho negro comienza a caminar a través de la línea de batería con su bastón.</v>
      </c>
    </row>
    <row r="22839">
      <c r="A22839" s="4" t="s">
        <v>28741</v>
      </c>
      <c r="B22839" s="4" t="s">
        <v>28743</v>
      </c>
      <c r="C22839" s="5" t="str">
        <f>IFERROR(__xludf.DUMMYFUNCTION("GOOGLETRANSLATE(B22839,""en"",""es-ES"")"),"Mientras se dirige al frente de la banda, Bgeins para girar el bastón y moverse por el campo y quitarse los pantalones.")</f>
        <v>Mientras se dirige al frente de la banda, Bgeins para girar el bastón y moverse por el campo y quitarse los pantalones.</v>
      </c>
    </row>
    <row r="22840">
      <c r="A22840" s="4" t="s">
        <v>28741</v>
      </c>
      <c r="B22840" s="4" t="s">
        <v>28744</v>
      </c>
      <c r="C22840" s="5" t="str">
        <f>IFERROR(__xludf.DUMMYFUNCTION("GOOGLETRANSLATE(B22840,""en"",""es-ES"")"),"Debajo de sus pantalones hay un par de pantalones cortos brillantes y continúa bailando, haciendo giros, trucos, patadas, divisiones y estallidos mientras la banda toca la banda.")</f>
        <v>Debajo de sus pantalones hay un par de pantalones cortos brillantes y continúa bailando, haciendo giros, trucos, patadas, divisiones y estallidos mientras la banda toca la banda.</v>
      </c>
    </row>
    <row r="22841">
      <c r="A22841" s="4" t="s">
        <v>28745</v>
      </c>
      <c r="B22841" s="4" t="s">
        <v>28746</v>
      </c>
      <c r="C22841" s="5" t="str">
        <f>IFERROR(__xludf.DUMMYFUNCTION("GOOGLETRANSLATE(B22841,""en"",""es-ES"")"),"Una mujer vestida con una camiseta sin mangas rosa y medias grises está girando en un gimnasio de fitness.")</f>
        <v>Una mujer vestida con una camiseta sin mangas rosa y medias grises está girando en un gimnasio de fitness.</v>
      </c>
    </row>
    <row r="22842">
      <c r="A22842" s="4" t="s">
        <v>28745</v>
      </c>
      <c r="B22842" s="4" t="s">
        <v>28747</v>
      </c>
      <c r="C22842" s="5" t="str">
        <f>IFERROR(__xludf.DUMMYFUNCTION("GOOGLETRANSLATE(B22842,""en"",""es-ES"")"),"Ella muestra los diversos ejercicios usando la bicicleta.")</f>
        <v>Ella muestra los diversos ejercicios usando la bicicleta.</v>
      </c>
    </row>
    <row r="22843">
      <c r="A22843" s="4" t="s">
        <v>28745</v>
      </c>
      <c r="B22843" s="4" t="s">
        <v>28748</v>
      </c>
      <c r="C22843" s="5" t="str">
        <f>IFERROR(__xludf.DUMMYFUNCTION("GOOGLETRANSLATE(B22843,""en"",""es-ES"")"),"También muestra abdominales y estiramientos estomacales mientras se acuesta en el piso.")</f>
        <v>También muestra abdominales y estiramientos estomacales mientras se acuesta en el piso.</v>
      </c>
    </row>
    <row r="22844">
      <c r="A22844" s="4" t="s">
        <v>28745</v>
      </c>
      <c r="B22844" s="4" t="s">
        <v>28749</v>
      </c>
      <c r="C22844" s="5" t="str">
        <f>IFERROR(__xludf.DUMMYFUNCTION("GOOGLETRANSLATE(B22844,""en"",""es-ES"")"),"Ella motiva a su equipo a continuar en bicicleta mientras los alienta a ir más rápido.")</f>
        <v>Ella motiva a su equipo a continuar en bicicleta mientras los alienta a ir más rápido.</v>
      </c>
    </row>
    <row r="22845">
      <c r="A22845" s="4" t="s">
        <v>28750</v>
      </c>
      <c r="B22845" s="4" t="s">
        <v>28751</v>
      </c>
      <c r="C22845" s="5" t="str">
        <f>IFERROR(__xludf.DUMMYFUNCTION("GOOGLETRANSLATE(B22845,""en"",""es-ES"")"),"Un hombre y una mujer se presentan a la cámara y comienzan a hablar entre ellos mientras el hombre está sentado detrás de un set de cuatro set y la mujer está al otro lado sosteniendo una botella de agua.")</f>
        <v>Un hombre y una mujer se presentan a la cámara y comienzan a hablar entre ellos mientras el hombre está sentado detrás de un set de cuatro set y la mujer está al otro lado sosteniendo una botella de agua.</v>
      </c>
    </row>
    <row r="22846">
      <c r="A22846" s="4" t="s">
        <v>28750</v>
      </c>
      <c r="B22846" s="4" t="s">
        <v>28752</v>
      </c>
      <c r="C22846" s="5" t="str">
        <f>IFERROR(__xludf.DUMMYFUNCTION("GOOGLETRANSLATE(B22846,""en"",""es-ES"")"),"A medida que se produce la conversación, otra mujer se acerca a la mujer y le quita la botella de agua.")</f>
        <v>A medida que se produce la conversación, otra mujer se acerca a la mujer y le quita la botella de agua.</v>
      </c>
    </row>
    <row r="22847">
      <c r="A22847" s="4" t="s">
        <v>28750</v>
      </c>
      <c r="B22847" s="4" t="s">
        <v>28753</v>
      </c>
      <c r="C22847" s="5" t="str">
        <f>IFERROR(__xludf.DUMMYFUNCTION("GOOGLETRANSLATE(B22847,""en"",""es-ES"")"),"Luego, el hombre comienza a tocar los bongos y la mujer comienza a bailar.")</f>
        <v>Luego, el hombre comienza a tocar los bongos y la mujer comienza a bailar.</v>
      </c>
    </row>
    <row r="22848">
      <c r="A22848" s="4" t="s">
        <v>28750</v>
      </c>
      <c r="B22848" s="4" t="s">
        <v>28754</v>
      </c>
      <c r="C22848" s="5" t="str">
        <f>IFERROR(__xludf.DUMMYFUNCTION("GOOGLETRANSLATE(B22848,""en"",""es-ES"")"),"Cuando la mujer baila en un hombre en una bicicleta y comienza a observar lo que está pasando.")</f>
        <v>Cuando la mujer baila en un hombre en una bicicleta y comienza a observar lo que está pasando.</v>
      </c>
    </row>
    <row r="22849">
      <c r="A22849" s="4" t="s">
        <v>28750</v>
      </c>
      <c r="B22849" s="4" t="s">
        <v>28755</v>
      </c>
      <c r="C22849" s="5" t="str">
        <f>IFERROR(__xludf.DUMMYFUNCTION("GOOGLETRANSLATE(B22849,""en"",""es-ES"")"),"Al final, mientras la mujer deja de bailar y comienza a aplaudir y el hombre que toca el Bongos deja de jugar y hace un aplauso final.")</f>
        <v>Al final, mientras la mujer deja de bailar y comienza a aplaudir y el hombre que toca el Bongos deja de jugar y hace un aplauso final.</v>
      </c>
    </row>
    <row r="22850">
      <c r="A22850" s="4" t="s">
        <v>28756</v>
      </c>
      <c r="B22850" s="4" t="s">
        <v>28757</v>
      </c>
      <c r="C22850" s="5" t="str">
        <f>IFERROR(__xludf.DUMMYFUNCTION("GOOGLETRANSLATE(B22850,""en"",""es-ES"")"),"Vemos a un hombre realizando capoera en una plaza.")</f>
        <v>Vemos a un hombre realizando capoera en una plaza.</v>
      </c>
    </row>
    <row r="22851">
      <c r="A22851" s="4" t="s">
        <v>28756</v>
      </c>
      <c r="B22851" s="4" t="s">
        <v>28758</v>
      </c>
      <c r="C22851" s="5" t="str">
        <f>IFERROR(__xludf.DUMMYFUNCTION("GOOGLETRANSLATE(B22851,""en"",""es-ES"")"),"Al hombre se unen un segundo hombre y la práctica juntos.")</f>
        <v>Al hombre se unen un segundo hombre y la práctica juntos.</v>
      </c>
    </row>
    <row r="22852">
      <c r="A22852" s="4" t="s">
        <v>28756</v>
      </c>
      <c r="B22852" s="4" t="s">
        <v>28759</v>
      </c>
      <c r="C22852" s="5" t="str">
        <f>IFERROR(__xludf.DUMMYFUNCTION("GOOGLETRANSLATE(B22852,""en"",""es-ES"")"),"El primer hombre se va y otro hombre salta.")</f>
        <v>El primer hombre se va y otro hombre salta.</v>
      </c>
    </row>
    <row r="22853">
      <c r="A22853" s="4" t="s">
        <v>28756</v>
      </c>
      <c r="B22853" s="4" t="s">
        <v>28760</v>
      </c>
      <c r="C22853" s="5" t="str">
        <f>IFERROR(__xludf.DUMMYFUNCTION("GOOGLETRANSLATE(B22853,""en"",""es-ES"")"),"Los dos hombres terminan y se dan la mano y abrazan.")</f>
        <v>Los dos hombres terminan y se dan la mano y abrazan.</v>
      </c>
    </row>
    <row r="22854">
      <c r="A22854" s="4" t="s">
        <v>28756</v>
      </c>
      <c r="B22854" s="4" t="s">
        <v>28761</v>
      </c>
      <c r="C22854" s="5" t="str">
        <f>IFERROR(__xludf.DUMMYFUNCTION("GOOGLETRANSLATE(B22854,""en"",""es-ES"")"),"Ambos hombres retroceden del ring y entra un nuevo hombre.")</f>
        <v>Ambos hombres retroceden del ring y entra un nuevo hombre.</v>
      </c>
    </row>
    <row r="22855">
      <c r="A22855" s="4" t="s">
        <v>28762</v>
      </c>
      <c r="B22855" s="4" t="s">
        <v>28763</v>
      </c>
      <c r="C22855" s="5" t="str">
        <f>IFERROR(__xludf.DUMMYFUNCTION("GOOGLETRANSLATE(B22855,""en"",""es-ES"")"),"Un niño empuja una aspiradora en la cocina de una casa.")</f>
        <v>Un niño empuja una aspiradora en la cocina de una casa.</v>
      </c>
    </row>
    <row r="22856">
      <c r="A22856" s="4" t="s">
        <v>28762</v>
      </c>
      <c r="B22856" s="4" t="s">
        <v>28764</v>
      </c>
      <c r="C22856" s="5" t="str">
        <f>IFERROR(__xludf.DUMMYFUNCTION("GOOGLETRANSLATE(B22856,""en"",""es-ES"")"),"La madre apunta debajo de los muebles con la mano y luego el pie dirigía al niño.")</f>
        <v>La madre apunta debajo de los muebles con la mano y luego el pie dirigía al niño.</v>
      </c>
    </row>
    <row r="22857">
      <c r="A22857" s="4" t="s">
        <v>28762</v>
      </c>
      <c r="B22857" s="4" t="s">
        <v>28765</v>
      </c>
      <c r="C22857" s="5" t="str">
        <f>IFERROR(__xludf.DUMMYFUNCTION("GOOGLETRANSLATE(B22857,""en"",""es-ES"")"),"El niño empuja la aspiradora al pasillo y aspira el área.")</f>
        <v>El niño empuja la aspiradora al pasillo y aspira el área.</v>
      </c>
    </row>
    <row r="22858">
      <c r="A22858" s="4" t="s">
        <v>28766</v>
      </c>
      <c r="B22858" s="4" t="s">
        <v>28767</v>
      </c>
      <c r="C22858" s="5" t="str">
        <f>IFERROR(__xludf.DUMMYFUNCTION("GOOGLETRANSLATE(B22858,""en"",""es-ES"")"),"Un hombre explica y muestra cómo hacer el giro en la ladera de la tabla de surf de la nieve.")</f>
        <v>Un hombre explica y muestra cómo hacer el giro en la ladera de la tabla de surf de la nieve.</v>
      </c>
    </row>
    <row r="22859">
      <c r="A22859" s="4" t="s">
        <v>28766</v>
      </c>
      <c r="B22859" s="4" t="s">
        <v>28768</v>
      </c>
      <c r="C22859" s="5" t="str">
        <f>IFERROR(__xludf.DUMMYFUNCTION("GOOGLETRANSLATE(B22859,""en"",""es-ES"")"),"Luego, el hombre realiza dedos de los pies usando una patineta de nieve.")</f>
        <v>Luego, el hombre realiza dedos de los pies usando una patineta de nieve.</v>
      </c>
    </row>
    <row r="22860">
      <c r="A22860" s="4" t="s">
        <v>28766</v>
      </c>
      <c r="B22860" s="4" t="s">
        <v>28769</v>
      </c>
      <c r="C22860" s="5" t="str">
        <f>IFERROR(__xludf.DUMMYFUNCTION("GOOGLETRANSLATE(B22860,""en"",""es-ES"")"),"El hombre continúa explicando y realiza un giro.")</f>
        <v>El hombre continúa explicando y realiza un giro.</v>
      </c>
    </row>
    <row r="22861">
      <c r="A22861" s="4" t="s">
        <v>28766</v>
      </c>
      <c r="B22861" s="4" t="s">
        <v>28770</v>
      </c>
      <c r="C22861" s="5" t="str">
        <f>IFERROR(__xludf.DUMMYFUNCTION("GOOGLETRANSLATE(B22861,""en"",""es-ES"")"),"Un niño es esquista en la nieve.")</f>
        <v>Un niño es esquista en la nieve.</v>
      </c>
    </row>
    <row r="22862">
      <c r="A22862" s="4" t="s">
        <v>28771</v>
      </c>
      <c r="B22862" s="4" t="s">
        <v>28772</v>
      </c>
      <c r="C22862" s="5" t="str">
        <f>IFERROR(__xludf.DUMMYFUNCTION("GOOGLETRANSLATE(B22862,""en"",""es-ES"")"),"Una mujer está de pie y hablando en una cocina.")</f>
        <v>Una mujer está de pie y hablando en una cocina.</v>
      </c>
    </row>
    <row r="22863">
      <c r="A22863" s="4" t="s">
        <v>28771</v>
      </c>
      <c r="B22863" s="4" t="s">
        <v>28773</v>
      </c>
      <c r="C22863" s="5" t="str">
        <f>IFERROR(__xludf.DUMMYFUNCTION("GOOGLETRANSLATE(B22863,""en"",""es-ES"")"),"Ella está usando una pequeña aspiradora.")</f>
        <v>Ella está usando una pequeña aspiradora.</v>
      </c>
    </row>
    <row r="22864">
      <c r="A22864" s="4" t="s">
        <v>28771</v>
      </c>
      <c r="B22864" s="4" t="s">
        <v>28774</v>
      </c>
      <c r="C22864" s="5" t="str">
        <f>IFERROR(__xludf.DUMMYFUNCTION("GOOGLETRANSLATE(B22864,""en"",""es-ES"")"),"Ella demuestra cómo usar el vacío mientras habla.")</f>
        <v>Ella demuestra cómo usar el vacío mientras habla.</v>
      </c>
    </row>
    <row r="22865">
      <c r="A22865" s="4" t="s">
        <v>28775</v>
      </c>
      <c r="B22865" s="4" t="s">
        <v>28776</v>
      </c>
      <c r="C22865" s="5" t="str">
        <f>IFERROR(__xludf.DUMMYFUNCTION("GOOGLETRANSLATE(B22865,""en"",""es-ES"")"),"La mujer está en una cocina hablando y cortando queso cheddar en trozos gruesos, cortando el pan, luego pone mantequilla en una sartén y el pan de pan en la sartén con el queso en la parte superior para que el queso se pueda derretir en la sartén, la muje"&amp;"r dice esto. Está Mal.")</f>
        <v>La mujer está en una cocina hablando y cortando queso cheddar en trozos gruesos, cortando el pan, luego pone mantequilla en una sartén y el pan de pan en la sartén con el queso en la parte superior para que el queso se pueda derretir en la sartén, la mujer dice esto. Está Mal.</v>
      </c>
    </row>
    <row r="22866">
      <c r="A22866" s="4" t="s">
        <v>28775</v>
      </c>
      <c r="B22866" s="4" t="s">
        <v>28777</v>
      </c>
      <c r="C22866" s="5" t="str">
        <f>IFERROR(__xludf.DUMMYFUNCTION("GOOGLETRANSLATE(B22866,""en"",""es-ES"")"),"La mujer muestra una sartén limpia, ponte la mantequilla en el pan y ralle el queso, luego lo coló como un sándwich y en la sartén con una tapa hasta que el pan esté sabroso.")</f>
        <v>La mujer muestra una sartén limpia, ponte la mantequilla en el pan y ralle el queso, luego lo coló como un sándwich y en la sartén con una tapa hasta que el pan esté sabroso.</v>
      </c>
    </row>
    <row r="22867">
      <c r="A22867" s="4" t="s">
        <v>28775</v>
      </c>
      <c r="B22867" s="4" t="s">
        <v>28778</v>
      </c>
      <c r="C22867" s="5" t="str">
        <f>IFERROR(__xludf.DUMMYFUNCTION("GOOGLETRANSLATE(B22867,""en"",""es-ES"")"),"Mujer sirva el pan en un plato azul y corte en dos.")</f>
        <v>Mujer sirva el pan en un plato azul y corte en dos.</v>
      </c>
    </row>
    <row r="22868">
      <c r="A22868" s="4" t="s">
        <v>28779</v>
      </c>
      <c r="B22868" s="4" t="s">
        <v>28780</v>
      </c>
      <c r="C22868" s="5" t="str">
        <f>IFERROR(__xludf.DUMMYFUNCTION("GOOGLETRANSLATE(B22868,""en"",""es-ES"")"),"Se ve a un hombre de pie ante un fuego sosteniendo un hacha y comienza a cortar un trozo de madera.")</f>
        <v>Se ve a un hombre de pie ante un fuego sosteniendo un hacha y comienza a cortar un trozo de madera.</v>
      </c>
    </row>
    <row r="22869">
      <c r="A22869" s="4" t="s">
        <v>28779</v>
      </c>
      <c r="B22869" s="4" t="s">
        <v>28781</v>
      </c>
      <c r="C22869" s="5" t="str">
        <f>IFERROR(__xludf.DUMMYFUNCTION("GOOGLETRANSLATE(B22869,""en"",""es-ES"")"),"Otro hombre levanta las piezas de madera mientras el hombre continúa cortando la madera y el otro hombre moviendo la madera.")</f>
        <v>Otro hombre levanta las piezas de madera mientras el hombre continúa cortando la madera y el otro hombre moviendo la madera.</v>
      </c>
    </row>
    <row r="22870">
      <c r="A22870" s="4" t="s">
        <v>28782</v>
      </c>
      <c r="B22870" s="4" t="s">
        <v>28783</v>
      </c>
      <c r="C22870" s="5" t="str">
        <f>IFERROR(__xludf.DUMMYFUNCTION("GOOGLETRANSLATE(B22870,""en"",""es-ES"")"),"Una persona en blanco corre hacia la primera base jugando kickball.")</f>
        <v>Una persona en blanco corre hacia la primera base jugando kickball.</v>
      </c>
    </row>
    <row r="22871">
      <c r="A22871" s="4" t="s">
        <v>28782</v>
      </c>
      <c r="B22871" s="4" t="s">
        <v>28784</v>
      </c>
      <c r="C22871" s="5" t="str">
        <f>IFERROR(__xludf.DUMMYFUNCTION("GOOGLETRANSLATE(B22871,""en"",""es-ES"")"),"El hombre es etiquetado por una mujer con rojo.")</f>
        <v>El hombre es etiquetado por una mujer con rojo.</v>
      </c>
    </row>
    <row r="22872">
      <c r="A22872" s="4" t="s">
        <v>28785</v>
      </c>
      <c r="B22872" s="4" t="s">
        <v>28786</v>
      </c>
      <c r="C22872" s="5" t="str">
        <f>IFERROR(__xludf.DUMMYFUNCTION("GOOGLETRANSLATE(B22872,""en"",""es-ES"")"),"Vemos una pantalla de apertura y un hombre bebe de una taza.")</f>
        <v>Vemos una pantalla de apertura y un hombre bebe de una taza.</v>
      </c>
    </row>
    <row r="22873">
      <c r="A22873" s="4" t="s">
        <v>28785</v>
      </c>
      <c r="B22873" s="4" t="s">
        <v>28787</v>
      </c>
      <c r="C22873" s="5" t="str">
        <f>IFERROR(__xludf.DUMMYFUNCTION("GOOGLETRANSLATE(B22873,""en"",""es-ES"")"),"El hombre pinta las uñas de una dama en un comedor.")</f>
        <v>El hombre pinta las uñas de una dama en un comedor.</v>
      </c>
    </row>
    <row r="22874">
      <c r="A22874" s="4" t="s">
        <v>28785</v>
      </c>
      <c r="B22874" s="4" t="s">
        <v>28788</v>
      </c>
      <c r="C22874" s="5" t="str">
        <f>IFERROR(__xludf.DUMMYFUNCTION("GOOGLETRANSLATE(B22874,""en"",""es-ES"")"),"La señora nos muestra las uñas de los dedos.")</f>
        <v>La señora nos muestra las uñas de los dedos.</v>
      </c>
    </row>
    <row r="22875">
      <c r="A22875" s="4" t="s">
        <v>28785</v>
      </c>
      <c r="B22875" s="4" t="s">
        <v>28789</v>
      </c>
      <c r="C22875" s="5" t="str">
        <f>IFERROR(__xludf.DUMMYFUNCTION("GOOGLETRANSLATE(B22875,""en"",""es-ES"")"),"El hombre bebe de su taza.")</f>
        <v>El hombre bebe de su taza.</v>
      </c>
    </row>
    <row r="22876">
      <c r="A22876" s="4" t="s">
        <v>28785</v>
      </c>
      <c r="B22876" s="4" t="s">
        <v>28790</v>
      </c>
      <c r="C22876" s="5" t="str">
        <f>IFERROR(__xludf.DUMMYFUNCTION("GOOGLETRANSLATE(B22876,""en"",""es-ES"")"),"El hombre se inclina hacia atrás y se ríe.")</f>
        <v>El hombre se inclina hacia atrás y se ríe.</v>
      </c>
    </row>
    <row r="22877">
      <c r="A22877" s="4" t="s">
        <v>28785</v>
      </c>
      <c r="B22877" s="4" t="s">
        <v>28791</v>
      </c>
      <c r="C22877" s="5" t="str">
        <f>IFERROR(__xludf.DUMMYFUNCTION("GOOGLETRANSLATE(B22877,""en"",""es-ES"")"),"Vemos una pantalla de crédito final.")</f>
        <v>Vemos una pantalla de crédito final.</v>
      </c>
    </row>
    <row r="22878">
      <c r="A22878" s="4" t="s">
        <v>28792</v>
      </c>
      <c r="B22878" s="4" t="s">
        <v>28793</v>
      </c>
      <c r="C22878" s="5" t="str">
        <f>IFERROR(__xludf.DUMMYFUNCTION("GOOGLETRANSLATE(B22878,""en"",""es-ES"")"),"Se ve a un hombre atlético sosteniendo una discusión y comienza a girar a sí mismo en cámara lenta.")</f>
        <v>Se ve a un hombre atlético sosteniendo una discusión y comienza a girar a sí mismo en cámara lenta.</v>
      </c>
    </row>
    <row r="22879">
      <c r="A22879" s="4" t="s">
        <v>28792</v>
      </c>
      <c r="B22879" s="4" t="s">
        <v>28794</v>
      </c>
      <c r="C22879" s="5" t="str">
        <f>IFERROR(__xludf.DUMMYFUNCTION("GOOGLETRANSLATE(B22879,""en"",""es-ES"")"),"El hombre luego arroja el objeto a la distancia y camina hacia atrás mientras se mueve en cámara lenta.")</f>
        <v>El hombre luego arroja el objeto a la distancia y camina hacia atrás mientras se mueve en cámara lenta.</v>
      </c>
    </row>
    <row r="22880">
      <c r="A22880" s="4" t="s">
        <v>28795</v>
      </c>
      <c r="B22880" s="4" t="s">
        <v>28796</v>
      </c>
      <c r="C22880" s="5" t="str">
        <f>IFERROR(__xludf.DUMMYFUNCTION("GOOGLETRANSLATE(B22880,""en"",""es-ES"")"),"Una cortadora de césped está atada a una cuerda blanca.")</f>
        <v>Una cortadora de césped está atada a una cuerda blanca.</v>
      </c>
    </row>
    <row r="22881">
      <c r="A22881" s="4" t="s">
        <v>28795</v>
      </c>
      <c r="B22881" s="4" t="s">
        <v>28797</v>
      </c>
      <c r="C22881" s="5" t="str">
        <f>IFERROR(__xludf.DUMMYFUNCTION("GOOGLETRANSLATE(B22881,""en"",""es-ES"")"),"Se enciende y comienza a ir en círculos alrededor de la cuerda cortando el césped.")</f>
        <v>Se enciende y comienza a ir en círculos alrededor de la cuerda cortando el césped.</v>
      </c>
    </row>
    <row r="22882">
      <c r="A22882" s="4" t="s">
        <v>28798</v>
      </c>
      <c r="B22882" s="4" t="s">
        <v>28799</v>
      </c>
      <c r="C22882" s="5" t="str">
        <f>IFERROR(__xludf.DUMMYFUNCTION("GOOGLETRANSLATE(B22882,""en"",""es-ES"")"),"Se muestra una foto de un patio de recreo con varios niños jugando en el patio de recreo y bajando por un tobogán.")</f>
        <v>Se muestra una foto de un patio de recreo con varios niños jugando en el patio de recreo y bajando por un tobogán.</v>
      </c>
    </row>
    <row r="22883">
      <c r="A22883" s="4" t="s">
        <v>28798</v>
      </c>
      <c r="B22883" s="4" t="s">
        <v>28800</v>
      </c>
      <c r="C22883" s="5" t="str">
        <f>IFERROR(__xludf.DUMMYFUNCTION("GOOGLETRANSLATE(B22883,""en"",""es-ES"")"),"Se muestran más disparos de los niños balanceándose y colgando hacia abajo, así como mover un volante y subir a la cima.")</f>
        <v>Se muestran más disparos de los niños balanceándose y colgando hacia abajo, así como mover un volante y subir a la cima.</v>
      </c>
    </row>
    <row r="22884">
      <c r="A22884" s="4" t="s">
        <v>28801</v>
      </c>
      <c r="B22884" s="4" t="s">
        <v>28802</v>
      </c>
      <c r="C22884" s="5" t="str">
        <f>IFERROR(__xludf.DUMMYFUNCTION("GOOGLETRANSLATE(B22884,""en"",""es-ES"")"),"Un equipo de nadadores está acurrucado.")</f>
        <v>Un equipo de nadadores está acurrucado.</v>
      </c>
    </row>
    <row r="22885">
      <c r="A22885" s="4" t="s">
        <v>28801</v>
      </c>
      <c r="B22885" s="4" t="s">
        <v>28803</v>
      </c>
      <c r="C22885" s="5" t="str">
        <f>IFERROR(__xludf.DUMMYFUNCTION("GOOGLETRANSLATE(B22885,""en"",""es-ES"")"),"El equipo entra en la piscina.")</f>
        <v>El equipo entra en la piscina.</v>
      </c>
    </row>
    <row r="22886">
      <c r="A22886" s="4" t="s">
        <v>28801</v>
      </c>
      <c r="B22886" s="4" t="s">
        <v>28804</v>
      </c>
      <c r="C22886" s="5" t="str">
        <f>IFERROR(__xludf.DUMMYFUNCTION("GOOGLETRANSLATE(B22886,""en"",""es-ES"")"),"Dos equipos juegan waterpolo entre sí.")</f>
        <v>Dos equipos juegan waterpolo entre sí.</v>
      </c>
    </row>
    <row r="22887">
      <c r="A22887" s="4" t="s">
        <v>28801</v>
      </c>
      <c r="B22887" s="4" t="s">
        <v>28805</v>
      </c>
      <c r="C22887" s="5" t="str">
        <f>IFERROR(__xludf.DUMMYFUNCTION("GOOGLETRANSLATE(B22887,""en"",""es-ES"")"),"Una multitud mira desde las gradas.")</f>
        <v>Una multitud mira desde las gradas.</v>
      </c>
    </row>
    <row r="22888">
      <c r="A22888" s="4" t="s">
        <v>28806</v>
      </c>
      <c r="B22888" s="4" t="s">
        <v>28807</v>
      </c>
      <c r="C22888" s="5" t="str">
        <f>IFERROR(__xludf.DUMMYFUNCTION("GOOGLETRANSLATE(B22888,""en"",""es-ES"")"),"Vemos un marcador en un juego.")</f>
        <v>Vemos un marcador en un juego.</v>
      </c>
    </row>
    <row r="22889">
      <c r="A22889" s="4" t="s">
        <v>28806</v>
      </c>
      <c r="B22889" s="4" t="s">
        <v>28808</v>
      </c>
      <c r="C22889" s="5" t="str">
        <f>IFERROR(__xludf.DUMMYFUNCTION("GOOGLETRANSLATE(B22889,""en"",""es-ES"")"),"Las chicas corren al campo y se dan la mano con el otro equipo.")</f>
        <v>Las chicas corren al campo y se dan la mano con el otro equipo.</v>
      </c>
    </row>
    <row r="22890">
      <c r="A22890" s="4" t="s">
        <v>28806</v>
      </c>
      <c r="B22890" s="4" t="s">
        <v>28809</v>
      </c>
      <c r="C22890" s="5" t="str">
        <f>IFERROR(__xludf.DUMMYFUNCTION("GOOGLETRANSLATE(B22890,""en"",""es-ES"")"),"Vemos chicas jugando voleibol en el interior.")</f>
        <v>Vemos chicas jugando voleibol en el interior.</v>
      </c>
    </row>
    <row r="22891">
      <c r="A22891" s="4" t="s">
        <v>28806</v>
      </c>
      <c r="B22891" s="4" t="s">
        <v>28810</v>
      </c>
      <c r="C22891" s="5" t="str">
        <f>IFERROR(__xludf.DUMMYFUNCTION("GOOGLETRANSLATE(B22891,""en"",""es-ES"")"),"Las chicas de la izquierda hacen un tiro y el equipo se abraza.")</f>
        <v>Las chicas de la izquierda hacen un tiro y el equipo se abraza.</v>
      </c>
    </row>
    <row r="22892">
      <c r="A22892" s="4" t="s">
        <v>28806</v>
      </c>
      <c r="B22892" s="4" t="s">
        <v>28811</v>
      </c>
      <c r="C22892" s="5" t="str">
        <f>IFERROR(__xludf.DUMMYFUNCTION("GOOGLETRANSLATE(B22892,""en"",""es-ES"")"),"Vemos el marcador y la gente al margen hablando.")</f>
        <v>Vemos el marcador y la gente al margen hablando.</v>
      </c>
    </row>
    <row r="22893">
      <c r="A22893" s="4" t="s">
        <v>28806</v>
      </c>
      <c r="B22893" s="4" t="s">
        <v>28812</v>
      </c>
      <c r="C22893" s="5" t="str">
        <f>IFERROR(__xludf.DUMMYFUNCTION("GOOGLETRANSLATE(B22893,""en"",""es-ES"")"),"Vemos un tiro en cámara lenta y las chicas se abrazan.")</f>
        <v>Vemos un tiro en cámara lenta y las chicas se abrazan.</v>
      </c>
    </row>
    <row r="22894">
      <c r="A22894" s="4" t="s">
        <v>28806</v>
      </c>
      <c r="B22894" s="4" t="s">
        <v>28813</v>
      </c>
      <c r="C22894" s="5" t="str">
        <f>IFERROR(__xludf.DUMMYFUNCTION("GOOGLETRANSLATE(B22894,""en"",""es-ES"")"),"El juego ha terminado y todas las chicas se dan la mano.")</f>
        <v>El juego ha terminado y todas las chicas se dan la mano.</v>
      </c>
    </row>
    <row r="22895">
      <c r="A22895" s="4" t="s">
        <v>28814</v>
      </c>
      <c r="B22895" s="4" t="s">
        <v>28815</v>
      </c>
      <c r="C22895" s="5" t="str">
        <f>IFERROR(__xludf.DUMMYFUNCTION("GOOGLETRANSLATE(B22895,""en"",""es-ES"")"),"Dos hombres están en una piscina poniéndose en equipo de buceo.")</f>
        <v>Dos hombres están en una piscina poniéndose en equipo de buceo.</v>
      </c>
    </row>
    <row r="22896">
      <c r="A22896" s="4" t="s">
        <v>28814</v>
      </c>
      <c r="B22896" s="4" t="s">
        <v>28816</v>
      </c>
      <c r="C22896" s="5" t="str">
        <f>IFERROR(__xludf.DUMMYFUNCTION("GOOGLETRANSLATE(B22896,""en"",""es-ES"")"),"El hombre de rojo pone el respiro en su boca y luego flota hacia atrás sobre su espalda.")</f>
        <v>El hombre de rojo pone el respiro en su boca y luego flota hacia atrás sobre su espalda.</v>
      </c>
    </row>
    <row r="22897">
      <c r="A22897" s="4" t="s">
        <v>28814</v>
      </c>
      <c r="B22897" s="4" t="s">
        <v>28817</v>
      </c>
      <c r="C22897" s="5" t="str">
        <f>IFERROR(__xludf.DUMMYFUNCTION("GOOGLETRANSLATE(B22897,""en"",""es-ES"")"),"Vemos al hombre de rojo y azul poniendo una solución en sus gafas antes de probarlas.")</f>
        <v>Vemos al hombre de rojo y azul poniendo una solución en sus gafas antes de probarlas.</v>
      </c>
    </row>
    <row r="22898">
      <c r="A22898" s="4" t="s">
        <v>28814</v>
      </c>
      <c r="B22898" s="4" t="s">
        <v>28818</v>
      </c>
      <c r="C22898" s="5" t="str">
        <f>IFERROR(__xludf.DUMMYFUNCTION("GOOGLETRANSLATE(B22898,""en"",""es-ES"")"),"El hombre de rojo se pone el tubo en la boca y luego el respirador antes de pasar bajo el agua.")</f>
        <v>El hombre de rojo se pone el tubo en la boca y luego el respirador antes de pasar bajo el agua.</v>
      </c>
    </row>
    <row r="22899">
      <c r="A22899" s="4" t="s">
        <v>28814</v>
      </c>
      <c r="B22899" s="4" t="s">
        <v>28819</v>
      </c>
      <c r="C22899" s="5" t="str">
        <f>IFERROR(__xludf.DUMMYFUNCTION("GOOGLETRANSLATE(B22899,""en"",""es-ES"")"),"Luego vemos un ascensor flotando en el agua.")</f>
        <v>Luego vemos un ascensor flotando en el agua.</v>
      </c>
    </row>
    <row r="22900">
      <c r="A22900" s="4" t="s">
        <v>28820</v>
      </c>
      <c r="B22900" s="4" t="s">
        <v>28821</v>
      </c>
      <c r="C22900" s="5" t="str">
        <f>IFERROR(__xludf.DUMMYFUNCTION("GOOGLETRANSLATE(B22900,""en"",""es-ES"")"),"Una niña está sentada junto a todos sus juguetes comiendo un helado muy desordenadamente.")</f>
        <v>Una niña está sentada junto a todos sus juguetes comiendo un helado muy desordenadamente.</v>
      </c>
    </row>
    <row r="22901">
      <c r="A22901" s="4" t="s">
        <v>28820</v>
      </c>
      <c r="B22901" s="4" t="s">
        <v>28822</v>
      </c>
      <c r="C22901" s="5" t="str">
        <f>IFERROR(__xludf.DUMMYFUNCTION("GOOGLETRANSLATE(B22901,""en"",""es-ES"")"),"Su madre le quita el helado y ella comienza a llorar.")</f>
        <v>Su madre le quita el helado y ella comienza a llorar.</v>
      </c>
    </row>
    <row r="22902">
      <c r="A22902" s="4" t="s">
        <v>28820</v>
      </c>
      <c r="B22902" s="4" t="s">
        <v>28823</v>
      </c>
      <c r="C22902" s="5" t="str">
        <f>IFERROR(__xludf.DUMMYFUNCTION("GOOGLETRANSLATE(B22902,""en"",""es-ES"")"),"Su madre le devuelve el helado y está feliz nuevamente, de regreso a comerlo.")</f>
        <v>Su madre le devuelve el helado y está feliz nuevamente, de regreso a comerlo.</v>
      </c>
    </row>
    <row r="22903">
      <c r="A22903" s="4" t="s">
        <v>28820</v>
      </c>
      <c r="B22903" s="4" t="s">
        <v>28824</v>
      </c>
      <c r="C22903" s="5" t="str">
        <f>IFERROR(__xludf.DUMMYFUNCTION("GOOGLETRANSLATE(B22903,""en"",""es-ES"")"),"Ella juega con sus juguetes con sus pegajosos dedos de helado y su helado en la otra mano.")</f>
        <v>Ella juega con sus juguetes con sus pegajosos dedos de helado y su helado en la otra mano.</v>
      </c>
    </row>
    <row r="22904">
      <c r="A22904" s="4" t="s">
        <v>28825</v>
      </c>
      <c r="B22904" s="4" t="s">
        <v>28826</v>
      </c>
      <c r="C22904" s="5" t="str">
        <f>IFERROR(__xludf.DUMMYFUNCTION("GOOGLETRANSLATE(B22904,""en"",""es-ES"")"),"Vemos a un hombre brotar bailando en una plaza de oficina.")</f>
        <v>Vemos a un hombre brotar bailando en una plaza de oficina.</v>
      </c>
    </row>
    <row r="22905">
      <c r="A22905" s="4" t="s">
        <v>28825</v>
      </c>
      <c r="B22905" s="4" t="s">
        <v>28827</v>
      </c>
      <c r="C22905" s="5" t="str">
        <f>IFERROR(__xludf.DUMMYFUNCTION("GOOGLETRANSLATE(B22905,""en"",""es-ES"")"),"Cambiamos y vemos a diferentes hombres break dance en plazas de oficina y vestíbulos.")</f>
        <v>Cambiamos y vemos a diferentes hombres break dance en plazas de oficina y vestíbulos.</v>
      </c>
    </row>
    <row r="22906">
      <c r="A22906" s="4" t="s">
        <v>28825</v>
      </c>
      <c r="B22906" s="4" t="s">
        <v>28828</v>
      </c>
      <c r="C22906" s="5" t="str">
        <f>IFERROR(__xludf.DUMMYFUNCTION("GOOGLETRANSLATE(B22906,""en"",""es-ES"")"),"Vemos al hombre hacer una parada de manos.")</f>
        <v>Vemos al hombre hacer una parada de manos.</v>
      </c>
    </row>
    <row r="22907">
      <c r="A22907" s="4" t="s">
        <v>28825</v>
      </c>
      <c r="B22907" s="4" t="s">
        <v>28829</v>
      </c>
      <c r="C22907" s="5" t="str">
        <f>IFERROR(__xludf.DUMMYFUNCTION("GOOGLETRANSLATE(B22907,""en"",""es-ES"")"),"Vemos a un hombre despegar y arrojar su chaqueta a la cámara.")</f>
        <v>Vemos a un hombre despegar y arrojar su chaqueta a la cámara.</v>
      </c>
    </row>
    <row r="22908">
      <c r="A22908" s="4" t="s">
        <v>28825</v>
      </c>
      <c r="B22908" s="4" t="s">
        <v>28830</v>
      </c>
      <c r="C22908" s="5" t="str">
        <f>IFERROR(__xludf.DUMMYFUNCTION("GOOGLETRANSLATE(B22908,""en"",""es-ES"")"),"Vemos la pantalla de cierre negra.")</f>
        <v>Vemos la pantalla de cierre negra.</v>
      </c>
    </row>
    <row r="22909">
      <c r="A22909" s="4" t="s">
        <v>28831</v>
      </c>
      <c r="B22909" s="4" t="s">
        <v>28832</v>
      </c>
      <c r="C22909" s="5" t="str">
        <f>IFERROR(__xludf.DUMMYFUNCTION("GOOGLETRANSLATE(B22909,""en"",""es-ES"")"),"Un hombre que lleva una sombrero de béisbol negro y una camisa negra está tocando una guitarra acústica.")</f>
        <v>Un hombre que lleva una sombrero de béisbol negro y una camisa negra está tocando una guitarra acústica.</v>
      </c>
    </row>
    <row r="22910">
      <c r="A22910" s="4" t="s">
        <v>28831</v>
      </c>
      <c r="B22910" s="4" t="s">
        <v>28833</v>
      </c>
      <c r="C22910" s="5" t="str">
        <f>IFERROR(__xludf.DUMMYFUNCTION("GOOGLETRANSLATE(B22910,""en"",""es-ES"")"),"Ayer está tocando la canción de los Beatles en su guitarra.")</f>
        <v>Ayer está tocando la canción de los Beatles en su guitarra.</v>
      </c>
    </row>
    <row r="22911">
      <c r="A22911" s="4" t="s">
        <v>28831</v>
      </c>
      <c r="B22911" s="4" t="s">
        <v>28834</v>
      </c>
      <c r="C22911" s="5" t="str">
        <f>IFERROR(__xludf.DUMMYFUNCTION("GOOGLETRANSLATE(B22911,""en"",""es-ES"")"),"Él toca hasta que termina toda la canción y luego se detiene y sonríe a la cámara.")</f>
        <v>Él toca hasta que termina toda la canción y luego se detiene y sonríe a la cámara.</v>
      </c>
    </row>
    <row r="22912">
      <c r="A22912" s="4" t="s">
        <v>28835</v>
      </c>
      <c r="B22912" s="4" t="s">
        <v>28836</v>
      </c>
      <c r="C22912" s="5" t="str">
        <f>IFERROR(__xludf.DUMMYFUNCTION("GOOGLETRANSLATE(B22912,""en"",""es-ES"")"),"Un grupo de personas transporta un bote sobre sus cabezas.")</f>
        <v>Un grupo de personas transporta un bote sobre sus cabezas.</v>
      </c>
    </row>
    <row r="22913">
      <c r="A22913" s="4" t="s">
        <v>28835</v>
      </c>
      <c r="B22913" s="4" t="s">
        <v>28837</v>
      </c>
      <c r="C22913" s="5" t="str">
        <f>IFERROR(__xludf.DUMMYFUNCTION("GOOGLETRANSLATE(B22913,""en"",""es-ES"")"),"La gente salta hacia atrás en el río y flota sobre sus espaldas.")</f>
        <v>La gente salta hacia atrás en el río y flota sobre sus espaldas.</v>
      </c>
    </row>
    <row r="22914">
      <c r="A22914" s="4" t="s">
        <v>28835</v>
      </c>
      <c r="B22914" s="4" t="s">
        <v>28838</v>
      </c>
      <c r="C22914" s="5" t="str">
        <f>IFERROR(__xludf.DUMMYFUNCTION("GOOGLETRANSLATE(B22914,""en"",""es-ES"")"),"Luego, la gente en una balsa de un bote por las aguas entrecortadas de un río mientras remaba.")</f>
        <v>Luego, la gente en una balsa de un bote por las aguas entrecortadas de un río mientras remaba.</v>
      </c>
    </row>
    <row r="22915">
      <c r="A22915" s="4" t="s">
        <v>28835</v>
      </c>
      <c r="B22915" s="4" t="s">
        <v>28839</v>
      </c>
      <c r="C22915" s="5" t="str">
        <f>IFERROR(__xludf.DUMMYFUNCTION("GOOGLETRANSLATE(B22915,""en"",""es-ES"")"),"Las personas en dos barcos se encuentran y comienzan a tirar agua utilizando los remos, luego algunas vigas saltan al agua.")</f>
        <v>Las personas en dos barcos se encuentran y comienzan a tirar agua utilizando los remos, luego algunas vigas saltan al agua.</v>
      </c>
    </row>
    <row r="22916">
      <c r="A22916" s="4" t="s">
        <v>28835</v>
      </c>
      <c r="B22916" s="4" t="s">
        <v>28840</v>
      </c>
      <c r="C22916" s="5" t="str">
        <f>IFERROR(__xludf.DUMMYFUNCTION("GOOGLETRANSLATE(B22916,""en"",""es-ES"")"),"Las personas saltan de un balcón en las rocas al agua, mientras que otras personas continúan rafting.")</f>
        <v>Las personas saltan de un balcón en las rocas al agua, mientras que otras personas continúan rafting.</v>
      </c>
    </row>
    <row r="22917">
      <c r="A22917" s="4" t="s">
        <v>28841</v>
      </c>
      <c r="B22917" s="4" t="s">
        <v>28842</v>
      </c>
      <c r="C22917" s="5" t="str">
        <f>IFERROR(__xludf.DUMMYFUNCTION("GOOGLETRANSLATE(B22917,""en"",""es-ES"")"),"Una niña pequeña está de pie detrás de un hombre en un baño que está de pie en un lavabo.")</f>
        <v>Una niña pequeña está de pie detrás de un hombre en un baño que está de pie en un lavabo.</v>
      </c>
    </row>
    <row r="22918">
      <c r="A22918" s="4" t="s">
        <v>28841</v>
      </c>
      <c r="B22918" s="4" t="s">
        <v>28843</v>
      </c>
      <c r="C22918" s="5" t="str">
        <f>IFERROR(__xludf.DUMMYFUNCTION("GOOGLETRANSLATE(B22918,""en"",""es-ES"")"),"El hombre se da vuelta, agarra la toalla y comienza a secarse mientras la niña todavía está parada en el suelo, y luego devuelve la toalla cuando termina.")</f>
        <v>El hombre se da vuelta, agarra la toalla y comienza a secarse mientras la niña todavía está parada en el suelo, y luego devuelve la toalla cuando termina.</v>
      </c>
    </row>
    <row r="22919">
      <c r="A22919" s="4" t="s">
        <v>28841</v>
      </c>
      <c r="B22919" s="4" t="s">
        <v>28844</v>
      </c>
      <c r="C22919" s="5" t="str">
        <f>IFERROR(__xludf.DUMMYFUNCTION("GOOGLETRANSLATE(B22919,""en"",""es-ES"")"),"Luego, el hombre recoge a la niña pequeña y comienza a lavarse la cara y mientras la niña se cepilla los dientes mientras se limpia la cara.")</f>
        <v>Luego, el hombre recoge a la niña pequeña y comienza a lavarse la cara y mientras la niña se cepilla los dientes mientras se limpia la cara.</v>
      </c>
    </row>
    <row r="22920">
      <c r="A22920" s="4" t="s">
        <v>28845</v>
      </c>
      <c r="B22920" s="4" t="s">
        <v>28846</v>
      </c>
      <c r="C22920" s="5" t="str">
        <f>IFERROR(__xludf.DUMMYFUNCTION("GOOGLETRANSLATE(B22920,""en"",""es-ES"")"),"Un hombre está hablando frente a dos grandes ventanas.")</f>
        <v>Un hombre está hablando frente a dos grandes ventanas.</v>
      </c>
    </row>
    <row r="22921">
      <c r="A22921" s="4" t="s">
        <v>28845</v>
      </c>
      <c r="B22921" s="4" t="s">
        <v>28847</v>
      </c>
      <c r="C22921" s="5" t="str">
        <f>IFERROR(__xludf.DUMMYFUNCTION("GOOGLETRANSLATE(B22921,""en"",""es-ES"")"),"Dos hombres están arrodillados en el suelo.")</f>
        <v>Dos hombres están arrodillados en el suelo.</v>
      </c>
    </row>
    <row r="22922">
      <c r="A22922" s="4" t="s">
        <v>28845</v>
      </c>
      <c r="B22922" s="4" t="s">
        <v>28848</v>
      </c>
      <c r="C22922" s="5" t="str">
        <f>IFERROR(__xludf.DUMMYFUNCTION("GOOGLETRANSLATE(B22922,""en"",""es-ES"")"),"El hombre vuelve a hablar frente a las ventanas.")</f>
        <v>El hombre vuelve a hablar frente a las ventanas.</v>
      </c>
    </row>
    <row r="22923">
      <c r="A22923" s="4" t="s">
        <v>28845</v>
      </c>
      <c r="B22923" s="4" t="s">
        <v>28849</v>
      </c>
      <c r="C22923" s="5" t="str">
        <f>IFERROR(__xludf.DUMMYFUNCTION("GOOGLETRANSLATE(B22923,""en"",""es-ES"")"),"Dos hombres están sentados en un tren hablando.")</f>
        <v>Dos hombres están sentados en un tren hablando.</v>
      </c>
    </row>
    <row r="22924">
      <c r="A22924" s="4" t="s">
        <v>28845</v>
      </c>
      <c r="B22924" s="4" t="s">
        <v>28850</v>
      </c>
      <c r="C22924" s="5" t="str">
        <f>IFERROR(__xludf.DUMMYFUNCTION("GOOGLETRANSLATE(B22924,""en"",""es-ES"")"),"Un hombre con un abrigo negro camina por la calle.")</f>
        <v>Un hombre con un abrigo negro camina por la calle.</v>
      </c>
    </row>
    <row r="22925">
      <c r="A22925" s="4" t="s">
        <v>28845</v>
      </c>
      <c r="B22925" s="4" t="s">
        <v>28851</v>
      </c>
      <c r="C22925" s="5" t="str">
        <f>IFERROR(__xludf.DUMMYFUNCTION("GOOGLETRANSLATE(B22925,""en"",""es-ES"")"),"Está sosteniendo un papel blanco en la mano y escribiendo sobre él.")</f>
        <v>Está sosteniendo un papel blanco en la mano y escribiendo sobre él.</v>
      </c>
    </row>
    <row r="22926">
      <c r="A22926" s="4" t="s">
        <v>28845</v>
      </c>
      <c r="B22926" s="4" t="s">
        <v>28852</v>
      </c>
      <c r="C22926" s="5" t="str">
        <f>IFERROR(__xludf.DUMMYFUNCTION("GOOGLETRANSLATE(B22926,""en"",""es-ES"")"),"Luego sube unas escaleras en un puente con otras personas.")</f>
        <v>Luego sube unas escaleras en un puente con otras personas.</v>
      </c>
    </row>
    <row r="22927">
      <c r="A22927" s="4" t="s">
        <v>28845</v>
      </c>
      <c r="B22927" s="4" t="s">
        <v>28853</v>
      </c>
      <c r="C22927" s="5" t="str">
        <f>IFERROR(__xludf.DUMMYFUNCTION("GOOGLETRANSLATE(B22927,""en"",""es-ES"")"),"Se está aprovechando en la parte superior del puente.")</f>
        <v>Se está aprovechando en la parte superior del puente.</v>
      </c>
    </row>
    <row r="22928">
      <c r="A22928" s="4" t="s">
        <v>28845</v>
      </c>
      <c r="B22928" s="4" t="s">
        <v>28854</v>
      </c>
      <c r="C22928" s="5" t="str">
        <f>IFERROR(__xludf.DUMMYFUNCTION("GOOGLETRANSLATE(B22928,""en"",""es-ES"")"),"Salta del puente y salta el bungee.")</f>
        <v>Salta del puente y salta el bungee.</v>
      </c>
    </row>
    <row r="22929">
      <c r="A22929" s="4" t="s">
        <v>28845</v>
      </c>
      <c r="B22929" s="4" t="s">
        <v>28855</v>
      </c>
      <c r="C22929" s="5" t="str">
        <f>IFERROR(__xludf.DUMMYFUNCTION("GOOGLETRANSLATE(B22929,""en"",""es-ES"")"),"Un hombre con un chaleco naranja lo pone en el bote.")</f>
        <v>Un hombre con un chaleco naranja lo pone en el bote.</v>
      </c>
    </row>
    <row r="22930">
      <c r="A22930" s="4" t="s">
        <v>28845</v>
      </c>
      <c r="B22930" s="4" t="s">
        <v>28856</v>
      </c>
      <c r="C22930" s="5" t="str">
        <f>IFERROR(__xludf.DUMMYFUNCTION("GOOGLETRANSLATE(B22930,""en"",""es-ES"")"),"Un hombre que sostiene una cámara está parado en la acera y observa a otro hombre tropezar y caer y corre para ayudarlo.")</f>
        <v>Un hombre que sostiene una cámara está parado en la acera y observa a otro hombre tropezar y caer y corre para ayudarlo.</v>
      </c>
    </row>
    <row r="22931">
      <c r="A22931" s="4" t="s">
        <v>28857</v>
      </c>
      <c r="B22931" s="4" t="s">
        <v>28858</v>
      </c>
      <c r="C22931" s="5" t="str">
        <f>IFERROR(__xludf.DUMMYFUNCTION("GOOGLETRANSLATE(B22931,""en"",""es-ES"")"),"Un hombre se muestra en el agua, con casco, sosteniendo una paleta y sentada en un kayak.")</f>
        <v>Un hombre se muestra en el agua, con casco, sosteniendo una paleta y sentada en un kayak.</v>
      </c>
    </row>
    <row r="22932">
      <c r="A22932" s="4" t="s">
        <v>28857</v>
      </c>
      <c r="B22932" s="4" t="s">
        <v>28859</v>
      </c>
      <c r="C22932" s="5" t="str">
        <f>IFERROR(__xludf.DUMMYFUNCTION("GOOGLETRANSLATE(B22932,""en"",""es-ES"")"),"Está hablando con la cámara sobre cómo usar el kayak.")</f>
        <v>Está hablando con la cámara sobre cómo usar el kayak.</v>
      </c>
    </row>
    <row r="22933">
      <c r="A22933" s="4" t="s">
        <v>28857</v>
      </c>
      <c r="B22933" s="4" t="s">
        <v>28860</v>
      </c>
      <c r="C22933" s="5" t="str">
        <f>IFERROR(__xludf.DUMMYFUNCTION("GOOGLETRANSLATE(B22933,""en"",""es-ES"")"),"Muestra varios movimientos de balanceo y remo, y voltea el kayak una vez al final.")</f>
        <v>Muestra varios movimientos de balanceo y remo, y voltea el kayak una vez al final.</v>
      </c>
    </row>
    <row r="22934">
      <c r="A22934" s="4" t="s">
        <v>28861</v>
      </c>
      <c r="B22934" s="4" t="s">
        <v>28862</v>
      </c>
      <c r="C22934" s="5" t="str">
        <f>IFERROR(__xludf.DUMMYFUNCTION("GOOGLETRANSLATE(B22934,""en"",""es-ES"")"),"Un grupo está jugando fútbol en un campo.")</f>
        <v>Un grupo está jugando fútbol en un campo.</v>
      </c>
    </row>
    <row r="22935">
      <c r="A22935" s="4" t="s">
        <v>28861</v>
      </c>
      <c r="B22935" s="4" t="s">
        <v>28863</v>
      </c>
      <c r="C22935" s="5" t="str">
        <f>IFERROR(__xludf.DUMMYFUNCTION("GOOGLETRANSLATE(B22935,""en"",""es-ES"")"),"Las chicas persiguen la pelota, golpeándola con palos, tratando de meterla en la portería.")</f>
        <v>Las chicas persiguen la pelota, golpeándola con palos, tratando de meterla en la portería.</v>
      </c>
    </row>
    <row r="22936">
      <c r="A22936" s="4" t="s">
        <v>28864</v>
      </c>
      <c r="B22936" s="4" t="s">
        <v>28865</v>
      </c>
      <c r="C22936" s="5" t="str">
        <f>IFERROR(__xludf.DUMMYFUNCTION("GOOGLETRANSLATE(B22936,""en"",""es-ES"")"),"Un hombre limpia un lugar en el fregadero de la cocina con una esponja y una botella de limpiador de Clorox, en un comercial en blanco y negro.")</f>
        <v>Un hombre limpia un lugar en el fregadero de la cocina con una esponja y una botella de limpiador de Clorox, en un comercial en blanco y negro.</v>
      </c>
    </row>
    <row r="22937">
      <c r="A22937" s="4" t="s">
        <v>28864</v>
      </c>
      <c r="B22937" s="4" t="s">
        <v>28866</v>
      </c>
      <c r="C22937" s="5" t="str">
        <f>IFERROR(__xludf.DUMMYFUNCTION("GOOGLETRANSLATE(B22937,""en"",""es-ES"")"),"Se muestra una foto de una ciudad suburbana con un primer plano del nombre de la ciudad en un letrero de la ciudad.")</f>
        <v>Se muestra una foto de una ciudad suburbana con un primer plano del nombre de la ciudad en un letrero de la ciudad.</v>
      </c>
    </row>
    <row r="22938">
      <c r="A22938" s="4" t="s">
        <v>28864</v>
      </c>
      <c r="B22938" s="4" t="s">
        <v>28867</v>
      </c>
      <c r="C22938" s="5" t="str">
        <f>IFERROR(__xludf.DUMMYFUNCTION("GOOGLETRANSLATE(B22938,""en"",""es-ES"")"),"Un hombre en un delantal se encuentra frente a un fregadero de la cocina que pone platos en un drenador.")</f>
        <v>Un hombre en un delantal se encuentra frente a un fregadero de la cocina que pone platos en un drenador.</v>
      </c>
    </row>
    <row r="22939">
      <c r="A22939" s="4" t="s">
        <v>28864</v>
      </c>
      <c r="B22939" s="4" t="s">
        <v>28868</v>
      </c>
      <c r="C22939" s="5" t="str">
        <f>IFERROR(__xludf.DUMMYFUNCTION("GOOGLETRANSLATE(B22939,""en"",""es-ES"")"),"El hombre limpia un lugar en el fregadero con una botella de Clorox y una esponja, antes de que aparezca una plantilla de marketing con letras y primer plano de la botella de Clorox.")</f>
        <v>El hombre limpia un lugar en el fregadero con una botella de Clorox y una esponja, antes de que aparezca una plantilla de marketing con letras y primer plano de la botella de Clorox.</v>
      </c>
    </row>
    <row r="22940">
      <c r="A22940" s="4" t="s">
        <v>28869</v>
      </c>
      <c r="B22940" s="4" t="s">
        <v>28870</v>
      </c>
      <c r="C22940" s="5" t="str">
        <f>IFERROR(__xludf.DUMMYFUNCTION("GOOGLETRANSLATE(B22940,""en"",""es-ES"")"),"Una mujer sostiene la rueda del yate que navega en el océano, y un delfín nada cerca del yate.")</f>
        <v>Una mujer sostiene la rueda del yate que navega en el océano, y un delfín nada cerca del yate.</v>
      </c>
    </row>
    <row r="22941">
      <c r="A22941" s="4" t="s">
        <v>28869</v>
      </c>
      <c r="B22941" s="4" t="s">
        <v>28871</v>
      </c>
      <c r="C22941" s="5" t="str">
        <f>IFERROR(__xludf.DUMMYFUNCTION("GOOGLETRANSLATE(B22941,""en"",""es-ES"")"),"Luego, un hombre joven habla, y desde el momento en que el tiempo muestra la puesta de sol.")</f>
        <v>Luego, un hombre joven habla, y desde el momento en que el tiempo muestra la puesta de sol.</v>
      </c>
    </row>
    <row r="22942">
      <c r="A22942" s="4" t="s">
        <v>28869</v>
      </c>
      <c r="B22942" s="4" t="s">
        <v>28872</v>
      </c>
      <c r="C22942" s="5" t="str">
        <f>IFERROR(__xludf.DUMMYFUNCTION("GOOGLETRANSLATE(B22942,""en"",""es-ES"")"),"Cuatro personas comienzan a bailar en el yate, y un niño bailan contra la vela.")</f>
        <v>Cuatro personas comienzan a bailar en el yate, y un niño bailan contra la vela.</v>
      </c>
    </row>
    <row r="22943">
      <c r="A22943" s="4" t="s">
        <v>28869</v>
      </c>
      <c r="B22943" s="4" t="s">
        <v>28873</v>
      </c>
      <c r="C22943" s="5" t="str">
        <f>IFERROR(__xludf.DUMMYFUNCTION("GOOGLETRANSLATE(B22943,""en"",""es-ES"")"),"Las cuatro personas sostienen un gran pez con ambas manos mientras el yate continúa navegando.")</f>
        <v>Las cuatro personas sostienen un gran pez con ambas manos mientras el yate continúa navegando.</v>
      </c>
    </row>
    <row r="22944">
      <c r="A22944" s="4" t="s">
        <v>28874</v>
      </c>
      <c r="B22944" s="4" t="s">
        <v>28875</v>
      </c>
      <c r="C22944" s="5" t="str">
        <f>IFERROR(__xludf.DUMMYFUNCTION("GOOGLETRANSLATE(B22944,""en"",""es-ES"")"),"Una mujer vestida muy cómodamente está haciendo un ejercicio en una rodilla.")</f>
        <v>Una mujer vestida muy cómodamente está haciendo un ejercicio en una rodilla.</v>
      </c>
    </row>
    <row r="22945">
      <c r="A22945" s="4" t="s">
        <v>28874</v>
      </c>
      <c r="B22945" s="4" t="s">
        <v>28876</v>
      </c>
      <c r="C22945" s="5" t="str">
        <f>IFERROR(__xludf.DUMMYFUNCTION("GOOGLETRANSLATE(B22945,""en"",""es-ES"")"),"Ella pone su brazo en el aire y mira a la distancia sosteniéndolo en su lugar.")</f>
        <v>Ella pone su brazo en el aire y mira a la distancia sosteniéndolo en su lugar.</v>
      </c>
    </row>
    <row r="22946">
      <c r="A22946" s="4" t="s">
        <v>28874</v>
      </c>
      <c r="B22946" s="4" t="s">
        <v>28877</v>
      </c>
      <c r="C22946" s="5" t="str">
        <f>IFERROR(__xludf.DUMMYFUNCTION("GOOGLETRANSLATE(B22946,""en"",""es-ES"")"),"Después de sostener eso en el lugar durante unos minutos, ella baja el brazo y luego se dirige hacia adelante.")</f>
        <v>Después de sostener eso en el lugar durante unos minutos, ella baja el brazo y luego se dirige hacia adelante.</v>
      </c>
    </row>
    <row r="22947">
      <c r="A22947" s="4" t="s">
        <v>28874</v>
      </c>
      <c r="B22947" s="4" t="s">
        <v>28878</v>
      </c>
      <c r="C22947" s="5" t="str">
        <f>IFERROR(__xludf.DUMMYFUNCTION("GOOGLETRANSLATE(B22947,""en"",""es-ES"")"),"Ella continúa permaneciendo en esa posición.")</f>
        <v>Ella continúa permaneciendo en esa posición.</v>
      </c>
    </row>
    <row r="22948">
      <c r="A22948" s="4" t="s">
        <v>28879</v>
      </c>
      <c r="B22948" s="4" t="s">
        <v>28880</v>
      </c>
      <c r="C22948" s="5" t="str">
        <f>IFERROR(__xludf.DUMMYFUNCTION("GOOGLETRANSLATE(B22948,""en"",""es-ES"")"),"Se ve una visión en primera persona de un hombre que montaba un cortacésped de césped.")</f>
        <v>Se ve una visión en primera persona de un hombre que montaba un cortacésped de césped.</v>
      </c>
    </row>
    <row r="22949">
      <c r="A22949" s="4" t="s">
        <v>28879</v>
      </c>
      <c r="B22949" s="4" t="s">
        <v>28881</v>
      </c>
      <c r="C22949" s="5" t="str">
        <f>IFERROR(__xludf.DUMMYFUNCTION("GOOGLETRANSLATE(B22949,""en"",""es-ES"")"),"Se turna rápidamente, cortando el césped.")</f>
        <v>Se turna rápidamente, cortando el césped.</v>
      </c>
    </row>
    <row r="22950">
      <c r="A22950" s="4" t="s">
        <v>28879</v>
      </c>
      <c r="B22950" s="4" t="s">
        <v>28882</v>
      </c>
      <c r="C22950" s="5" t="str">
        <f>IFERROR(__xludf.DUMMYFUNCTION("GOOGLETRANSLATE(B22950,""en"",""es-ES"")"),"Continúa hasta que todo el patio se cierra.")</f>
        <v>Continúa hasta que todo el patio se cierra.</v>
      </c>
    </row>
    <row r="22951">
      <c r="A22951" s="4" t="s">
        <v>28883</v>
      </c>
      <c r="B22951" s="4" t="s">
        <v>28884</v>
      </c>
      <c r="C22951" s="5" t="str">
        <f>IFERROR(__xludf.DUMMYFUNCTION("GOOGLETRANSLATE(B22951,""en"",""es-ES"")"),"Una niña actúa en un rayo de equilibrio.")</f>
        <v>Una niña actúa en un rayo de equilibrio.</v>
      </c>
    </row>
    <row r="22952">
      <c r="A22952" s="4" t="s">
        <v>28883</v>
      </c>
      <c r="B22952" s="4" t="s">
        <v>28885</v>
      </c>
      <c r="C22952" s="5" t="str">
        <f>IFERROR(__xludf.DUMMYFUNCTION("GOOGLETRANSLATE(B22952,""en"",""es-ES"")"),"La niña se para y realiza dos flips.")</f>
        <v>La niña se para y realiza dos flips.</v>
      </c>
    </row>
    <row r="22953">
      <c r="A22953" s="4" t="s">
        <v>28883</v>
      </c>
      <c r="B22953" s="4" t="s">
        <v>28886</v>
      </c>
      <c r="C22953" s="5" t="str">
        <f>IFERROR(__xludf.DUMMYFUNCTION("GOOGLETRANSLATE(B22953,""en"",""es-ES"")"),"La niña salta en el aire dos veces.")</f>
        <v>La niña salta en el aire dos veces.</v>
      </c>
    </row>
    <row r="22954">
      <c r="A22954" s="4" t="s">
        <v>28883</v>
      </c>
      <c r="B22954" s="4" t="s">
        <v>28887</v>
      </c>
      <c r="C22954" s="5" t="str">
        <f>IFERROR(__xludf.DUMMYFUNCTION("GOOGLETRANSLATE(B22954,""en"",""es-ES"")"),"La niña se sienta y luego vuelve a ponerse de pie.")</f>
        <v>La niña se sienta y luego vuelve a ponerse de pie.</v>
      </c>
    </row>
    <row r="22955">
      <c r="A22955" s="4" t="s">
        <v>28883</v>
      </c>
      <c r="B22955" s="4" t="s">
        <v>28888</v>
      </c>
      <c r="C22955" s="5" t="str">
        <f>IFERROR(__xludf.DUMMYFUNCTION("GOOGLETRANSLATE(B22955,""en"",""es-ES"")"),"La niña voltea el haz dos veces y desmonta el haz.")</f>
        <v>La niña voltea el haz dos veces y desmonta el haz.</v>
      </c>
    </row>
    <row r="22956">
      <c r="A22956" s="4" t="s">
        <v>28883</v>
      </c>
      <c r="B22956" s="4" t="s">
        <v>28889</v>
      </c>
      <c r="C22956" s="5" t="str">
        <f>IFERROR(__xludf.DUMMYFUNCTION("GOOGLETRANSLATE(B22956,""en"",""es-ES"")"),"La niña levanta los brazos y se vuelve hacia los cinco y abraza a una dama de pie cerca.")</f>
        <v>La niña levanta los brazos y se vuelve hacia los cinco y abraza a una dama de pie cerca.</v>
      </c>
    </row>
    <row r="22957">
      <c r="A22957" s="4" t="s">
        <v>28890</v>
      </c>
      <c r="B22957" s="4" t="s">
        <v>28891</v>
      </c>
      <c r="C22957" s="5" t="str">
        <f>IFERROR(__xludf.DUMMYFUNCTION("GOOGLETRANSLATE(B22957,""en"",""es-ES"")"),"Se ve a un pequeño grupo de niños montando en autos de parachoques que se estrellan entre sí.")</f>
        <v>Se ve a un pequeño grupo de niños montando en autos de parachoques que se estrellan entre sí.</v>
      </c>
    </row>
    <row r="22958">
      <c r="A22958" s="4" t="s">
        <v>28890</v>
      </c>
      <c r="B22958" s="4" t="s">
        <v>28892</v>
      </c>
      <c r="C22958" s="5" t="str">
        <f>IFERROR(__xludf.DUMMYFUNCTION("GOOGLETRANSLATE(B22958,""en"",""es-ES"")"),"Los niños se mueven por todo el juego golpeando el uno al otro.")</f>
        <v>Los niños se mueven por todo el juego golpeando el uno al otro.</v>
      </c>
    </row>
    <row r="22959">
      <c r="A22959" s="4" t="s">
        <v>28890</v>
      </c>
      <c r="B22959" s="4" t="s">
        <v>28893</v>
      </c>
      <c r="C22959" s="5" t="str">
        <f>IFERROR(__xludf.DUMMYFUNCTION("GOOGLETRANSLATE(B22959,""en"",""es-ES"")"),"El juego continúa con los niños jugando y chocando entre sí.")</f>
        <v>El juego continúa con los niños jugando y chocando entre sí.</v>
      </c>
    </row>
    <row r="22960">
      <c r="A22960" s="4" t="s">
        <v>28894</v>
      </c>
      <c r="B22960" s="4" t="s">
        <v>28895</v>
      </c>
      <c r="C22960" s="5" t="str">
        <f>IFERROR(__xludf.DUMMYFUNCTION("GOOGLETRANSLATE(B22960,""en"",""es-ES"")"),"Un joven seca una tapa de marihuana mientras baila.")</f>
        <v>Un joven seca una tapa de marihuana mientras baila.</v>
      </c>
    </row>
    <row r="22961">
      <c r="A22961" s="4" t="s">
        <v>28894</v>
      </c>
      <c r="B22961" s="4" t="s">
        <v>28896</v>
      </c>
      <c r="C22961" s="5" t="str">
        <f>IFERROR(__xludf.DUMMYFUNCTION("GOOGLETRANSLATE(B22961,""en"",""es-ES"")"),"Además, un adolescente lava una taza de acero y baile.")</f>
        <v>Además, un adolescente lava una taza de acero y baile.</v>
      </c>
    </row>
    <row r="22962">
      <c r="A22962" s="4" t="s">
        <v>28894</v>
      </c>
      <c r="B22962" s="4" t="s">
        <v>28897</v>
      </c>
      <c r="C22962" s="5" t="str">
        <f>IFERROR(__xludf.DUMMYFUNCTION("GOOGLETRANSLATE(B22962,""en"",""es-ES"")"),"Una mujer entra y luego sale de la cocina.")</f>
        <v>Una mujer entra y luego sale de la cocina.</v>
      </c>
    </row>
    <row r="22963">
      <c r="A22963" s="4" t="s">
        <v>28898</v>
      </c>
      <c r="B22963" s="4" t="s">
        <v>28899</v>
      </c>
      <c r="C22963" s="5" t="str">
        <f>IFERROR(__xludf.DUMMYFUNCTION("GOOGLETRANSLATE(B22963,""en"",""es-ES"")"),"Un joven se sienta en una maceta frente a un edificio de ladrillos.")</f>
        <v>Un joven se sienta en una maceta frente a un edificio de ladrillos.</v>
      </c>
    </row>
    <row r="22964">
      <c r="A22964" s="4" t="s">
        <v>28898</v>
      </c>
      <c r="B22964" s="4" t="s">
        <v>28900</v>
      </c>
      <c r="C22964" s="5" t="str">
        <f>IFERROR(__xludf.DUMMYFUNCTION("GOOGLETRANSLATE(B22964,""en"",""es-ES"")"),"Se ve un gráfico con dibujos animados.")</f>
        <v>Se ve un gráfico con dibujos animados.</v>
      </c>
    </row>
    <row r="22965">
      <c r="A22965" s="4" t="s">
        <v>28898</v>
      </c>
      <c r="B22965" s="4" t="s">
        <v>28901</v>
      </c>
      <c r="C22965" s="5" t="str">
        <f>IFERROR(__xludf.DUMMYFUNCTION("GOOGLETRANSLATE(B22965,""en"",""es-ES"")"),"El joven se sienta en una maceta con una patineta en su regazo, el joven gira su tabla y hace trucos de skateboard que conduce sobre asfalto.")</f>
        <v>El joven se sienta en una maceta con una patineta en su regazo, el joven gira su tabla y hace trucos de skateboard que conduce sobre asfalto.</v>
      </c>
    </row>
    <row r="22966">
      <c r="A22966" s="4" t="s">
        <v>28898</v>
      </c>
      <c r="B22966" s="4" t="s">
        <v>28902</v>
      </c>
      <c r="C22966" s="5" t="str">
        <f>IFERROR(__xludf.DUMMYFUNCTION("GOOGLETRANSLATE(B22966,""en"",""es-ES"")"),"El joven hace trucos sobre un cono de seguridad naranja.")</f>
        <v>El joven hace trucos sobre un cono de seguridad naranja.</v>
      </c>
    </row>
    <row r="22967">
      <c r="A22967" s="4" t="s">
        <v>28898</v>
      </c>
      <c r="B22967" s="4" t="s">
        <v>28903</v>
      </c>
      <c r="C22967" s="5" t="str">
        <f>IFERROR(__xludf.DUMMYFUNCTION("GOOGLETRANSLATE(B22967,""en"",""es-ES"")"),"El patinador se levanta de la repisa y se para en su patineta.")</f>
        <v>El patinador se levanta de la repisa y se para en su patineta.</v>
      </c>
    </row>
    <row r="22968">
      <c r="A22968" s="4" t="s">
        <v>28904</v>
      </c>
      <c r="B22968" s="4" t="s">
        <v>28905</v>
      </c>
      <c r="C22968" s="5" t="str">
        <f>IFERROR(__xludf.DUMMYFUNCTION("GOOGLETRANSLATE(B22968,""en"",""es-ES"")"),"Se ve a un hombre hablando con la cámara mientras está de pie en una playa al lado de una pala.")</f>
        <v>Se ve a un hombre hablando con la cámara mientras está de pie en una playa al lado de una pala.</v>
      </c>
    </row>
    <row r="22969">
      <c r="A22969" s="4" t="s">
        <v>28904</v>
      </c>
      <c r="B22969" s="4" t="s">
        <v>28906</v>
      </c>
      <c r="C22969" s="5" t="str">
        <f>IFERROR(__xludf.DUMMYFUNCTION("GOOGLETRANSLATE(B22969,""en"",""es-ES"")"),"El hombre luego comienza a palear una pila de tierra y caminar hacia el agua para llenar cubos.")</f>
        <v>El hombre luego comienza a palear una pila de tierra y caminar hacia el agua para llenar cubos.</v>
      </c>
    </row>
    <row r="22970">
      <c r="A22970" s="4" t="s">
        <v>28904</v>
      </c>
      <c r="B22970" s="4" t="s">
        <v>28907</v>
      </c>
      <c r="C22970" s="5" t="str">
        <f>IFERROR(__xludf.DUMMYFUNCTION("GOOGLETRANSLATE(B22970,""en"",""es-ES"")"),"El hombre apila los cubos y comienza a poner arena a su alrededor y esculpiéndola en un castillo.")</f>
        <v>El hombre apila los cubos y comienza a poner arena a su alrededor y esculpiéndola en un castillo.</v>
      </c>
    </row>
    <row r="22971">
      <c r="A22971" s="4" t="s">
        <v>28904</v>
      </c>
      <c r="B22971" s="4" t="s">
        <v>28908</v>
      </c>
      <c r="C22971" s="5" t="str">
        <f>IFERROR(__xludf.DUMMYFUNCTION("GOOGLETRANSLATE(B22971,""en"",""es-ES"")"),"Se aleja al final y muestra el castillo que ha hecho.")</f>
        <v>Se aleja al final y muestra el castillo que ha hecho.</v>
      </c>
    </row>
    <row r="22972">
      <c r="A22972" s="4" t="s">
        <v>28909</v>
      </c>
      <c r="B22972" s="4" t="s">
        <v>28910</v>
      </c>
      <c r="C22972" s="5" t="str">
        <f>IFERROR(__xludf.DUMMYFUNCTION("GOOGLETRANSLATE(B22972,""en"",""es-ES"")"),"Una introducción conduce a varios disparos de personas que montan una patineta alrededor de varias áreas y terminan en un campo de maíz.")</f>
        <v>Una introducción conduce a varios disparos de personas que montan una patineta alrededor de varias áreas y terminan en un campo de maíz.</v>
      </c>
    </row>
    <row r="22973">
      <c r="A22973" s="4" t="s">
        <v>28909</v>
      </c>
      <c r="B22973" s="4" t="s">
        <v>28911</v>
      </c>
      <c r="C22973" s="5" t="str">
        <f>IFERROR(__xludf.DUMMYFUNCTION("GOOGLETRANSLATE(B22973,""en"",""es-ES"")"),"Terminan en una casa y nadan en la piscina haciendo trucos en sus tablas bajo el agua.")</f>
        <v>Terminan en una casa y nadan en la piscina haciendo trucos en sus tablas bajo el agua.</v>
      </c>
    </row>
    <row r="22974">
      <c r="A22974" s="4" t="s">
        <v>28909</v>
      </c>
      <c r="B22974" s="4" t="s">
        <v>28912</v>
      </c>
      <c r="C22974" s="5" t="str">
        <f>IFERROR(__xludf.DUMMYFUNCTION("GOOGLETRANSLATE(B22974,""en"",""es-ES"")"),"Luego se los ve montando por un camino nuevamente al final y un huésped raspa la tierra en la cámara.")</f>
        <v>Luego se los ve montando por un camino nuevamente al final y un huésped raspa la tierra en la cámara.</v>
      </c>
    </row>
    <row r="22975">
      <c r="A22975" s="4" t="s">
        <v>28913</v>
      </c>
      <c r="B22975" s="4" t="s">
        <v>28914</v>
      </c>
      <c r="C22975" s="5" t="str">
        <f>IFERROR(__xludf.DUMMYFUNCTION("GOOGLETRANSLATE(B22975,""en"",""es-ES"")"),"Un niño pequeño es empujado en un swing de un patio al aire libre en un parque.")</f>
        <v>Un niño pequeño es empujado en un swing de un patio al aire libre en un parque.</v>
      </c>
    </row>
    <row r="22976">
      <c r="A22976" s="4" t="s">
        <v>28913</v>
      </c>
      <c r="B22976" s="4" t="s">
        <v>28915</v>
      </c>
      <c r="C22976" s="5" t="str">
        <f>IFERROR(__xludf.DUMMYFUNCTION("GOOGLETRANSLATE(B22976,""en"",""es-ES"")"),"El niño extiende su mano.")</f>
        <v>El niño extiende su mano.</v>
      </c>
    </row>
    <row r="22977">
      <c r="A22977" s="4" t="s">
        <v>28916</v>
      </c>
      <c r="B22977" s="4" t="s">
        <v>28917</v>
      </c>
      <c r="C22977" s="5" t="str">
        <f>IFERROR(__xludf.DUMMYFUNCTION("GOOGLETRANSLATE(B22977,""en"",""es-ES"")"),"Se ven tres personas paradas en un césped que comienzan a realizar movimientos de artes marciales.")</f>
        <v>Se ven tres personas paradas en un césped que comienzan a realizar movimientos de artes marciales.</v>
      </c>
    </row>
    <row r="22978">
      <c r="A22978" s="4" t="s">
        <v>28916</v>
      </c>
      <c r="B22978" s="4" t="s">
        <v>28918</v>
      </c>
      <c r="C22978" s="5" t="str">
        <f>IFERROR(__xludf.DUMMYFUNCTION("GOOGLETRANSLATE(B22978,""en"",""es-ES"")"),"El grupo se mueve al mismo tiempo mientras mira hacia otro lado de la cámara.")</f>
        <v>El grupo se mueve al mismo tiempo mientras mira hacia otro lado de la cámara.</v>
      </c>
    </row>
    <row r="22979">
      <c r="A22979" s="4" t="s">
        <v>28916</v>
      </c>
      <c r="B22979" s="4" t="s">
        <v>28919</v>
      </c>
      <c r="C22979" s="5" t="str">
        <f>IFERROR(__xludf.DUMMYFUNCTION("GOOGLETRANSLATE(B22979,""en"",""es-ES"")"),"Continúan moviendo sus brazos y piernas juntos y terminan sosteniendo S pose.")</f>
        <v>Continúan moviendo sus brazos y piernas juntos y terminan sosteniendo S pose.</v>
      </c>
    </row>
    <row r="22980">
      <c r="A22980" s="4" t="s">
        <v>28920</v>
      </c>
      <c r="B22980" s="4" t="s">
        <v>28921</v>
      </c>
      <c r="C22980" s="5" t="str">
        <f>IFERROR(__xludf.DUMMYFUNCTION("GOOGLETRANSLATE(B22980,""en"",""es-ES"")"),"La gente está en trineo cuesta abajo por una colina nevada en un tubo interior.")</f>
        <v>La gente está en trineo cuesta abajo por una colina nevada en un tubo interior.</v>
      </c>
    </row>
    <row r="22981">
      <c r="A22981" s="4" t="s">
        <v>28920</v>
      </c>
      <c r="B22981" s="4" t="s">
        <v>28922</v>
      </c>
      <c r="C22981" s="5" t="str">
        <f>IFERROR(__xludf.DUMMYFUNCTION("GOOGLETRANSLATE(B22981,""en"",""es-ES"")"),"Se detienen en el fondo de la colina.")</f>
        <v>Se detienen en el fondo de la colina.</v>
      </c>
    </row>
    <row r="22982">
      <c r="A22982" s="4" t="s">
        <v>28920</v>
      </c>
      <c r="B22982" s="4" t="s">
        <v>28923</v>
      </c>
      <c r="C22982" s="5" t="str">
        <f>IFERROR(__xludf.DUMMYFUNCTION("GOOGLETRANSLATE(B22982,""en"",""es-ES"")"),"Varios tubos están en una cuerda que sube una colina.")</f>
        <v>Varios tubos están en una cuerda que sube una colina.</v>
      </c>
    </row>
    <row r="22983">
      <c r="A22983" s="4" t="s">
        <v>28920</v>
      </c>
      <c r="B22983" s="4" t="s">
        <v>28924</v>
      </c>
      <c r="C22983" s="5" t="str">
        <f>IFERROR(__xludf.DUMMYFUNCTION("GOOGLETRANSLATE(B22983,""en"",""es-ES"")"),"La gente está en trineo cuesta abajo en un tubo interior nuevamente.")</f>
        <v>La gente está en trineo cuesta abajo en un tubo interior nuevamente.</v>
      </c>
    </row>
    <row r="22984">
      <c r="A22984" s="4" t="s">
        <v>28925</v>
      </c>
      <c r="B22984" s="4" t="s">
        <v>28926</v>
      </c>
      <c r="C22984" s="5" t="str">
        <f>IFERROR(__xludf.DUMMYFUNCTION("GOOGLETRANSLATE(B22984,""en"",""es-ES"")"),"Los niños se sientan en motocicletas y los padres están a su lado.")</f>
        <v>Los niños se sientan en motocicletas y los padres están a su lado.</v>
      </c>
    </row>
    <row r="22985">
      <c r="A22985" s="4" t="s">
        <v>28925</v>
      </c>
      <c r="B22985" s="4" t="s">
        <v>28927</v>
      </c>
      <c r="C22985" s="5" t="str">
        <f>IFERROR(__xludf.DUMMYFUNCTION("GOOGLETRANSLATE(B22985,""en"",""es-ES"")"),"Un hombre lleva a un hijo, una mujer aplaude y un hombre toma fotos.")</f>
        <v>Un hombre lleva a un hijo, una mujer aplaude y un hombre toma fotos.</v>
      </c>
    </row>
    <row r="22986">
      <c r="A22986" s="4" t="s">
        <v>28925</v>
      </c>
      <c r="B22986" s="4" t="s">
        <v>28928</v>
      </c>
      <c r="C22986" s="5" t="str">
        <f>IFERROR(__xludf.DUMMYFUNCTION("GOOGLETRANSLATE(B22986,""en"",""es-ES"")"),"Un niño pequeño se encuentra en el heno y agarra la pierna de una mujer.")</f>
        <v>Un niño pequeño se encuentra en el heno y agarra la pierna de una mujer.</v>
      </c>
    </row>
    <row r="22987">
      <c r="A22987" s="4" t="s">
        <v>28925</v>
      </c>
      <c r="B22987" s="4" t="s">
        <v>28929</v>
      </c>
      <c r="C22987" s="5" t="str">
        <f>IFERROR(__xludf.DUMMYFUNCTION("GOOGLETRANSLATE(B22987,""en"",""es-ES"")"),"Luego, los hombres empujan las motocicletas con los niños mientras un hombre toma notas.")</f>
        <v>Luego, los hombres empujan las motocicletas con los niños mientras un hombre toma notas.</v>
      </c>
    </row>
    <row r="22988">
      <c r="A22988" s="4" t="s">
        <v>28925</v>
      </c>
      <c r="B22988" s="4" t="s">
        <v>28930</v>
      </c>
      <c r="C22988" s="5" t="str">
        <f>IFERROR(__xludf.DUMMYFUNCTION("GOOGLETRANSLATE(B22988,""en"",""es-ES"")"),"Luego, los niños se alinean en la línea de inicio y luego corren.")</f>
        <v>Luego, los niños se alinean en la línea de inicio y luego corren.</v>
      </c>
    </row>
    <row r="22989">
      <c r="A22989" s="4" t="s">
        <v>28931</v>
      </c>
      <c r="B22989" s="4" t="s">
        <v>28932</v>
      </c>
      <c r="C22989" s="5" t="str">
        <f>IFERROR(__xludf.DUMMYFUNCTION("GOOGLETRANSLATE(B22989,""en"",""es-ES"")"),"Un hombre está sentado en un sofá, tocando una armónica.")</f>
        <v>Un hombre está sentado en un sofá, tocando una armónica.</v>
      </c>
    </row>
    <row r="22990">
      <c r="A22990" s="4" t="s">
        <v>28931</v>
      </c>
      <c r="B22990" s="4" t="s">
        <v>28933</v>
      </c>
      <c r="C22990" s="5" t="str">
        <f>IFERROR(__xludf.DUMMYFUNCTION("GOOGLETRANSLATE(B22990,""en"",""es-ES"")"),"Lo baja de su boca cuando termina.")</f>
        <v>Lo baja de su boca cuando termina.</v>
      </c>
    </row>
    <row r="22991">
      <c r="A22991" s="4" t="s">
        <v>28934</v>
      </c>
      <c r="B22991" s="4" t="s">
        <v>25231</v>
      </c>
      <c r="C22991" s="5" t="str">
        <f>IFERROR(__xludf.DUMMYFUNCTION("GOOGLETRANSLATE(B22991,""en"",""es-ES"")"),"Un hombre con una camisa negra está hablando.")</f>
        <v>Un hombre con una camisa negra está hablando.</v>
      </c>
    </row>
    <row r="22992">
      <c r="A22992" s="4" t="s">
        <v>28934</v>
      </c>
      <c r="B22992" s="4" t="s">
        <v>28935</v>
      </c>
      <c r="C22992" s="5" t="str">
        <f>IFERROR(__xludf.DUMMYFUNCTION("GOOGLETRANSLATE(B22992,""en"",""es-ES"")"),"Varias personas están arrodilladas sobre una estera roja haciendo estiramientos.")</f>
        <v>Varias personas están arrodilladas sobre una estera roja haciendo estiramientos.</v>
      </c>
    </row>
    <row r="22993">
      <c r="A22993" s="4" t="s">
        <v>28936</v>
      </c>
      <c r="B22993" s="4" t="s">
        <v>28937</v>
      </c>
      <c r="C22993" s="5" t="str">
        <f>IFERROR(__xludf.DUMMYFUNCTION("GOOGLETRANSLATE(B22993,""en"",""es-ES"")"),"Una niña está arrodillada en una almohadilla, brazos en el aire.")</f>
        <v>Una niña está arrodillada en una almohadilla, brazos en el aire.</v>
      </c>
    </row>
    <row r="22994">
      <c r="A22994" s="4" t="s">
        <v>28936</v>
      </c>
      <c r="B22994" s="4" t="s">
        <v>28938</v>
      </c>
      <c r="C22994" s="5" t="str">
        <f>IFERROR(__xludf.DUMMYFUNCTION("GOOGLETRANSLATE(B22994,""en"",""es-ES"")"),"Ella se inclina hacia atrás, dejando que sus brazos toquen la pared.")</f>
        <v>Ella se inclina hacia atrás, dejando que sus brazos toquen la pared.</v>
      </c>
    </row>
    <row r="22995">
      <c r="A22995" s="4" t="s">
        <v>28936</v>
      </c>
      <c r="B22995" s="4" t="s">
        <v>28939</v>
      </c>
      <c r="C22995" s="5" t="str">
        <f>IFERROR(__xludf.DUMMYFUNCTION("GOOGLETRANSLATE(B22995,""en"",""es-ES"")"),"Ella repite la acción una vez más.")</f>
        <v>Ella repite la acción una vez más.</v>
      </c>
    </row>
    <row r="22996">
      <c r="A22996" s="4" t="s">
        <v>28940</v>
      </c>
      <c r="B22996" s="4" t="s">
        <v>28941</v>
      </c>
      <c r="C22996" s="5" t="str">
        <f>IFERROR(__xludf.DUMMYFUNCTION("GOOGLETRANSLATE(B22996,""en"",""es-ES"")"),"Se ve a una persona arrodillada en la parte superior de un techo y sosteniendo objetos en su lugar para martillar.")</f>
        <v>Se ve a una persona arrodillada en la parte superior de un techo y sosteniendo objetos en su lugar para martillar.</v>
      </c>
    </row>
    <row r="22997">
      <c r="A22997" s="4" t="s">
        <v>28940</v>
      </c>
      <c r="B22997" s="4" t="s">
        <v>28942</v>
      </c>
      <c r="C22997" s="5" t="str">
        <f>IFERROR(__xludf.DUMMYFUNCTION("GOOGLETRANSLATE(B22997,""en"",""es-ES"")"),"Luego, el hombre coloca más azulejos mientras multa los lados y presenta los mosaicos a la cámara.")</f>
        <v>Luego, el hombre coloca más azulejos mientras multa los lados y presenta los mosaicos a la cámara.</v>
      </c>
    </row>
    <row r="22998">
      <c r="A22998" s="4" t="s">
        <v>28943</v>
      </c>
      <c r="B22998" s="4" t="s">
        <v>28944</v>
      </c>
      <c r="C22998" s="5" t="str">
        <f>IFERROR(__xludf.DUMMYFUNCTION("GOOGLETRANSLATE(B22998,""en"",""es-ES"")"),"Una mujer vestida con ropa de entrenamiento y una chaqueta camina por un pasillo y se detiene para hablar sobre lo que está detrás de la puerta.")</f>
        <v>Una mujer vestida con ropa de entrenamiento y una chaqueta camina por un pasillo y se detiene para hablar sobre lo que está detrás de la puerta.</v>
      </c>
    </row>
    <row r="22999">
      <c r="A22999" s="4" t="s">
        <v>28943</v>
      </c>
      <c r="B22999" s="4" t="s">
        <v>28945</v>
      </c>
      <c r="C22999" s="5" t="str">
        <f>IFERROR(__xludf.DUMMYFUNCTION("GOOGLETRANSLATE(B22999,""en"",""es-ES"")"),"Una vez que abre la puerta, la cámara splia muchas máquinas de entrenamiento y la mujer comienza a hablar con el director del programa.")</f>
        <v>Una vez que abre la puerta, la cámara splia muchas máquinas de entrenamiento y la mujer comienza a hablar con el director del programa.</v>
      </c>
    </row>
    <row r="23000">
      <c r="A23000" s="4" t="s">
        <v>28943</v>
      </c>
      <c r="B23000" s="4" t="s">
        <v>28946</v>
      </c>
      <c r="C23000" s="5" t="str">
        <f>IFERROR(__xludf.DUMMYFUNCTION("GOOGLETRANSLATE(B23000,""en"",""es-ES"")"),"Después de que hayan terminado de hablar, la joven comienza a hacer ejercicio con el resto de la clase mientras el entrenador camina asegurándose de que estén haciendo ejercicio correctamente.")</f>
        <v>Después de que hayan terminado de hablar, la joven comienza a hacer ejercicio con el resto de la clase mientras el entrenador camina asegurándose de que estén haciendo ejercicio correctamente.</v>
      </c>
    </row>
    <row r="23001">
      <c r="A23001" s="4" t="s">
        <v>28943</v>
      </c>
      <c r="B23001" s="4" t="s">
        <v>28947</v>
      </c>
      <c r="C23001" s="5" t="str">
        <f>IFERROR(__xludf.DUMMYFUNCTION("GOOGLETRANSLATE(B23001,""en"",""es-ES"")"),"Finalmente, el entrenamiento está terminado y todos comienzan a volcarse unos a otros y la mujer comienza a hablar nuevamente.")</f>
        <v>Finalmente, el entrenamiento está terminado y todos comienzan a volcarse unos a otros y la mujer comienza a hablar nuevamente.</v>
      </c>
    </row>
    <row r="23002">
      <c r="A23002" s="4" t="s">
        <v>28948</v>
      </c>
      <c r="B23002" s="4" t="s">
        <v>28949</v>
      </c>
      <c r="C23002" s="5" t="str">
        <f>IFERROR(__xludf.DUMMYFUNCTION("GOOGLETRANSLATE(B23002,""en"",""es-ES"")"),"Una cámara se mueve alrededor de un grupo de personas de pie entre sí con un giro en círculos.")</f>
        <v>Una cámara se mueve alrededor de un grupo de personas de pie entre sí con un giro en círculos.</v>
      </c>
    </row>
    <row r="23003">
      <c r="A23003" s="4" t="s">
        <v>28948</v>
      </c>
      <c r="B23003" s="4" t="s">
        <v>28950</v>
      </c>
      <c r="C23003" s="5" t="str">
        <f>IFERROR(__xludf.DUMMYFUNCTION("GOOGLETRANSLATE(B23003,""en"",""es-ES"")"),"Un hombre empujando a la niña giratoria alrededor y de alrededor y se acerca a una piñata.")</f>
        <v>Un hombre empujando a la niña giratoria alrededor y de alrededor y se acerca a una piñata.</v>
      </c>
    </row>
    <row r="23004">
      <c r="A23004" s="4" t="s">
        <v>28948</v>
      </c>
      <c r="B23004" s="4" t="s">
        <v>28951</v>
      </c>
      <c r="C23004" s="5" t="str">
        <f>IFERROR(__xludf.DUMMYFUNCTION("GOOGLETRANSLATE(B23004,""en"",""es-ES"")"),"La niña se balancea la piñata con los ojos vendados y un hombre salta hacia abajo para agarrar un trozo de dulces caídos.")</f>
        <v>La niña se balancea la piñata con los ojos vendados y un hombre salta hacia abajo para agarrar un trozo de dulces caídos.</v>
      </c>
    </row>
    <row r="23005">
      <c r="A23005" s="4" t="s">
        <v>28948</v>
      </c>
      <c r="B23005" s="4" t="s">
        <v>28952</v>
      </c>
      <c r="C23005" s="5" t="str">
        <f>IFERROR(__xludf.DUMMYFUNCTION("GOOGLETRANSLATE(B23005,""en"",""es-ES"")"),"La niña abre la piñata y varias personas corren hacia abajo para agarrar los dulces.")</f>
        <v>La niña abre la piñata y varias personas corren hacia abajo para agarrar los dulces.</v>
      </c>
    </row>
    <row r="23006">
      <c r="A23006" s="4" t="s">
        <v>28953</v>
      </c>
      <c r="B23006" s="4" t="s">
        <v>28954</v>
      </c>
      <c r="C23006" s="5" t="str">
        <f>IFERROR(__xludf.DUMMYFUNCTION("GOOGLETRANSLATE(B23006,""en"",""es-ES"")"),"Una mujer está pintando una foto en un lienzo.")</f>
        <v>Una mujer está pintando una foto en un lienzo.</v>
      </c>
    </row>
    <row r="23007">
      <c r="A23007" s="4" t="s">
        <v>28953</v>
      </c>
      <c r="B23007" s="4" t="s">
        <v>28955</v>
      </c>
      <c r="C23007" s="5" t="str">
        <f>IFERROR(__xludf.DUMMYFUNCTION("GOOGLETRANSLATE(B23007,""en"",""es-ES"")"),"Ella tiene pintura naranja y amarilla en un tablero frente a ella.")</f>
        <v>Ella tiene pintura naranja y amarilla en un tablero frente a ella.</v>
      </c>
    </row>
    <row r="23008">
      <c r="A23008" s="4" t="s">
        <v>28953</v>
      </c>
      <c r="B23008" s="4" t="s">
        <v>28956</v>
      </c>
      <c r="C23008" s="5" t="str">
        <f>IFERROR(__xludf.DUMMYFUNCTION("GOOGLETRANSLATE(B23008,""en"",""es-ES"")"),"Ella pinta dos flores en el lienzo.")</f>
        <v>Ella pinta dos flores en el lienzo.</v>
      </c>
    </row>
    <row r="23009">
      <c r="A23009" s="4" t="s">
        <v>28957</v>
      </c>
      <c r="B23009" s="4" t="s">
        <v>28958</v>
      </c>
      <c r="C23009" s="5" t="str">
        <f>IFERROR(__xludf.DUMMYFUNCTION("GOOGLETRANSLATE(B23009,""en"",""es-ES"")"),"Un hombre y una mujer están hablando con una cámara en ejercicios.")</f>
        <v>Un hombre y una mujer están hablando con una cámara en ejercicios.</v>
      </c>
    </row>
    <row r="23010">
      <c r="A23010" s="4" t="s">
        <v>28957</v>
      </c>
      <c r="B23010" s="4" t="s">
        <v>28959</v>
      </c>
      <c r="C23010" s="5" t="str">
        <f>IFERROR(__xludf.DUMMYFUNCTION("GOOGLETRANSLATE(B23010,""en"",""es-ES"")"),"La niña habla sobre el equipo y cómo usarlo.")</f>
        <v>La niña habla sobre el equipo y cómo usarlo.</v>
      </c>
    </row>
    <row r="23011">
      <c r="A23011" s="4" t="s">
        <v>28957</v>
      </c>
      <c r="B23011" s="4" t="s">
        <v>28960</v>
      </c>
      <c r="C23011" s="5" t="str">
        <f>IFERROR(__xludf.DUMMYFUNCTION("GOOGLETRANSLATE(B23011,""en"",""es-ES"")"),"Ella prepara el equipo y ayuda al hombre a realizar el ejercicio.")</f>
        <v>Ella prepara el equipo y ayuda al hombre a realizar el ejercicio.</v>
      </c>
    </row>
    <row r="23012">
      <c r="A23012" s="4" t="s">
        <v>28961</v>
      </c>
      <c r="B23012" s="4" t="s">
        <v>28962</v>
      </c>
      <c r="C23012" s="5" t="str">
        <f>IFERROR(__xludf.DUMMYFUNCTION("GOOGLETRANSLATE(B23012,""en"",""es-ES"")"),"Personas paradas al costado de la carretera en las patinetas y con autos estacionados en un lado.")</f>
        <v>Personas paradas al costado de la carretera en las patinetas y con autos estacionados en un lado.</v>
      </c>
    </row>
    <row r="23013">
      <c r="A23013" s="4" t="s">
        <v>28961</v>
      </c>
      <c r="B23013" s="4" t="s">
        <v>28963</v>
      </c>
      <c r="C23013" s="5" t="str">
        <f>IFERROR(__xludf.DUMMYFUNCTION("GOOGLETRANSLATE(B23013,""en"",""es-ES"")"),"Los niños están haciendo trucos montando patinetas en el asfalto húmedo que bajan por una colina.")</f>
        <v>Los niños están haciendo trucos montando patinetas en el asfalto húmedo que bajan por una colina.</v>
      </c>
    </row>
    <row r="23014">
      <c r="A23014" s="4" t="s">
        <v>28961</v>
      </c>
      <c r="B23014" s="4" t="s">
        <v>28964</v>
      </c>
      <c r="C23014" s="5" t="str">
        <f>IFERROR(__xludf.DUMMYFUNCTION("GOOGLETRANSLATE(B23014,""en"",""es-ES"")"),"Los niños se reúnen debajo de una tienda de campaña en la acera y hacen trucos en el patineta que muestran el asfalto Wey y la hierba húmeda.")</f>
        <v>Los niños se reúnen debajo de una tienda de campaña en la acera y hacen trucos en el patineta que muestran el asfalto Wey y la hierba húmeda.</v>
      </c>
    </row>
    <row r="23015">
      <c r="A23015" s="4" t="s">
        <v>28965</v>
      </c>
      <c r="B23015" s="4" t="s">
        <v>28966</v>
      </c>
      <c r="C23015" s="5" t="str">
        <f>IFERROR(__xludf.DUMMYFUNCTION("GOOGLETRANSLATE(B23015,""en"",""es-ES"")"),"Se muestra una cámara con un título y conduce a varias personas saltando de un puente.")</f>
        <v>Se muestra una cámara con un título y conduce a varias personas saltando de un puente.</v>
      </c>
    </row>
    <row r="23016">
      <c r="A23016" s="4" t="s">
        <v>28965</v>
      </c>
      <c r="B23016" s="4" t="s">
        <v>28967</v>
      </c>
      <c r="C23016" s="5" t="str">
        <f>IFERROR(__xludf.DUMMYFUNCTION("GOOGLETRANSLATE(B23016,""en"",""es-ES"")"),"Otra toma de personas que montan por un río en tubos se muestra seguido de grandes grupos de personas en las barras de arena.")</f>
        <v>Otra toma de personas que montan por un río en tubos se muestra seguido de grandes grupos de personas en las barras de arena.</v>
      </c>
    </row>
    <row r="23017">
      <c r="A23017" s="4" t="s">
        <v>28965</v>
      </c>
      <c r="B23017" s="4" t="s">
        <v>28968</v>
      </c>
      <c r="C23017" s="5" t="str">
        <f>IFERROR(__xludf.DUMMYFUNCTION("GOOGLETRANSLATE(B23017,""en"",""es-ES"")"),"El camarógrafo agarra otro tubo y salta en el agua mientras flota hacia abajo y atrapa un globo popped.")</f>
        <v>El camarógrafo agarra otro tubo y salta en el agua mientras flota hacia abajo y atrapa un globo popped.</v>
      </c>
    </row>
    <row r="23018">
      <c r="A23018" s="4" t="s">
        <v>28969</v>
      </c>
      <c r="B23018" s="4" t="s">
        <v>28970</v>
      </c>
      <c r="C23018" s="5" t="str">
        <f>IFERROR(__xludf.DUMMYFUNCTION("GOOGLETRANSLATE(B23018,""en"",""es-ES"")"),"El hombre está sentado en Akayak sosteniendo una fila y mostrando la forma corectiva de remar.")</f>
        <v>El hombre está sentado en Akayak sosteniendo una fila y mostrando la forma corectiva de remar.</v>
      </c>
    </row>
    <row r="23019">
      <c r="A23019" s="4" t="s">
        <v>28969</v>
      </c>
      <c r="B23019" s="4" t="s">
        <v>28971</v>
      </c>
      <c r="C23019" s="5" t="str">
        <f>IFERROR(__xludf.DUMMYFUNCTION("GOOGLETRANSLATE(B23019,""en"",""es-ES"")"),"La gente está en un kayak en Lakeside.")</f>
        <v>La gente está en un kayak en Lakeside.</v>
      </c>
    </row>
    <row r="23020">
      <c r="A23020" s="4" t="s">
        <v>28969</v>
      </c>
      <c r="B23020" s="4" t="s">
        <v>28972</v>
      </c>
      <c r="C23020" s="5" t="str">
        <f>IFERROR(__xludf.DUMMYFUNCTION("GOOGLETRANSLATE(B23020,""en"",""es-ES"")"),"La gente está en kayak de rápido.")</f>
        <v>La gente está en kayak de rápido.</v>
      </c>
    </row>
    <row r="23021">
      <c r="A23021" s="4" t="s">
        <v>28969</v>
      </c>
      <c r="B23021" s="4" t="s">
        <v>28973</v>
      </c>
      <c r="C23021" s="5" t="str">
        <f>IFERROR(__xludf.DUMMYFUNCTION("GOOGLETRANSLATE(B23021,""en"",""es-ES"")"),"Los hombres están nadando en el lago junto al kayak y caminando en el listón de lagos sosteniendo kayaks.")</f>
        <v>Los hombres están nadando en el lago junto al kayak y caminando en el listón de lagos sosteniendo kayaks.</v>
      </c>
    </row>
    <row r="23022">
      <c r="A23022" s="4" t="s">
        <v>28974</v>
      </c>
      <c r="B23022" s="4" t="s">
        <v>28975</v>
      </c>
      <c r="C23022" s="5" t="str">
        <f>IFERROR(__xludf.DUMMYFUNCTION("GOOGLETRANSLATE(B23022,""en"",""es-ES"")"),"Se muestra a una mujer trabajando en una elíptica y sonriendo a lo lejos.")</f>
        <v>Se muestra a una mujer trabajando en una elíptica y sonriendo a lo lejos.</v>
      </c>
    </row>
    <row r="23023">
      <c r="A23023" s="4" t="s">
        <v>28974</v>
      </c>
      <c r="B23023" s="4" t="s">
        <v>28976</v>
      </c>
      <c r="C23023" s="5" t="str">
        <f>IFERROR(__xludf.DUMMYFUNCTION("GOOGLETRANSLATE(B23023,""en"",""es-ES"")"),"El video muestra varias ventajas diferentes que la máquina puede hacer mientras la mujer continúa trabajando.")</f>
        <v>El video muestra varias ventajas diferentes que la máquina puede hacer mientras la mujer continúa trabajando.</v>
      </c>
    </row>
    <row r="23024">
      <c r="A23024" s="4" t="s">
        <v>28974</v>
      </c>
      <c r="B23024" s="4" t="s">
        <v>28977</v>
      </c>
      <c r="C23024" s="5" t="str">
        <f>IFERROR(__xludf.DUMMYFUNCTION("GOOGLETRANSLATE(B23024,""en"",""es-ES"")"),"Eventualmente vuelve a hacer la máquina y continúa haciendo ejercicio en la máquina.")</f>
        <v>Eventualmente vuelve a hacer la máquina y continúa haciendo ejercicio en la máquina.</v>
      </c>
    </row>
    <row r="23025">
      <c r="A23025" s="4" t="s">
        <v>28978</v>
      </c>
      <c r="B23025" s="4" t="s">
        <v>28979</v>
      </c>
      <c r="C23025" s="5" t="str">
        <f>IFERROR(__xludf.DUMMYFUNCTION("GOOGLETRANSLATE(B23025,""en"",""es-ES"")"),"Vemos a una dama bajando las escaleras.")</f>
        <v>Vemos a una dama bajando las escaleras.</v>
      </c>
    </row>
    <row r="23026">
      <c r="A23026" s="4" t="s">
        <v>28978</v>
      </c>
      <c r="B23026" s="4" t="s">
        <v>28980</v>
      </c>
      <c r="C23026" s="5" t="str">
        <f>IFERROR(__xludf.DUMMYFUNCTION("GOOGLETRANSLATE(B23026,""en"",""es-ES"")"),"Ella entra en una habitación con niños, se quita el abrigo y comienza a bailar.")</f>
        <v>Ella entra en una habitación con niños, se quita el abrigo y comienza a bailar.</v>
      </c>
    </row>
    <row r="23027">
      <c r="A23027" s="4" t="s">
        <v>28978</v>
      </c>
      <c r="B23027" s="4" t="s">
        <v>28981</v>
      </c>
      <c r="C23027" s="5" t="str">
        <f>IFERROR(__xludf.DUMMYFUNCTION("GOOGLETRANSLATE(B23027,""en"",""es-ES"")"),"Un hombre entra y la dama y el hombre realizan un baile elegante mientras los niños miran.")</f>
        <v>Un hombre entra y la dama y el hombre realizan un baile elegante mientras los niños miran.</v>
      </c>
    </row>
    <row r="23028">
      <c r="A23028" s="4" t="s">
        <v>28978</v>
      </c>
      <c r="B23028" s="4" t="s">
        <v>28982</v>
      </c>
      <c r="C23028" s="5" t="str">
        <f>IFERROR(__xludf.DUMMYFUNCTION("GOOGLETRANSLATE(B23028,""en"",""es-ES"")"),"El hombre arroja su abrigo por la habitación.")</f>
        <v>El hombre arroja su abrigo por la habitación.</v>
      </c>
    </row>
    <row r="23029">
      <c r="A23029" s="4" t="s">
        <v>28978</v>
      </c>
      <c r="B23029" s="4" t="s">
        <v>28983</v>
      </c>
      <c r="C23029" s="5" t="str">
        <f>IFERROR(__xludf.DUMMYFUNCTION("GOOGLETRANSLATE(B23029,""en"",""es-ES"")"),"La señora abraza al hombre por detrás.")</f>
        <v>La señora abraza al hombre por detrás.</v>
      </c>
    </row>
    <row r="23030">
      <c r="A23030" s="4" t="s">
        <v>28978</v>
      </c>
      <c r="B23030" s="4" t="s">
        <v>28984</v>
      </c>
      <c r="C23030" s="5" t="str">
        <f>IFERROR(__xludf.DUMMYFUNCTION("GOOGLETRANSLATE(B23030,""en"",""es-ES"")"),"La señora intenta irse y el hombre la agarra y la retira.")</f>
        <v>La señora intenta irse y el hombre la agarra y la retira.</v>
      </c>
    </row>
    <row r="23031">
      <c r="A23031" s="4" t="s">
        <v>28978</v>
      </c>
      <c r="B23031" s="4" t="s">
        <v>28985</v>
      </c>
      <c r="C23031" s="5" t="str">
        <f>IFERROR(__xludf.DUMMYFUNCTION("GOOGLETRANSLATE(B23031,""en"",""es-ES"")"),"Terminan y el hombre sacude las manos de los niños.")</f>
        <v>Terminan y el hombre sacude las manos de los niños.</v>
      </c>
    </row>
    <row r="23032">
      <c r="A23032" s="4" t="s">
        <v>28978</v>
      </c>
      <c r="B23032" s="4" t="s">
        <v>28986</v>
      </c>
      <c r="C23032" s="5" t="str">
        <f>IFERROR(__xludf.DUMMYFUNCTION("GOOGLETRANSLATE(B23032,""en"",""es-ES"")"),"La señora se pone su abrigo cuando una niña habla con ella y sale de la habitación.")</f>
        <v>La señora se pone su abrigo cuando una niña habla con ella y sale de la habitación.</v>
      </c>
    </row>
    <row r="23033">
      <c r="A23033" s="4" t="s">
        <v>28987</v>
      </c>
      <c r="B23033" s="4" t="s">
        <v>28988</v>
      </c>
      <c r="C23033" s="5" t="str">
        <f>IFERROR(__xludf.DUMMYFUNCTION("GOOGLETRANSLATE(B23033,""en"",""es-ES"")"),"Se ve a un hombre hablando con la cámara y lo lleva a sostener un trozo de papel y dos objetos.")</f>
        <v>Se ve a un hombre hablando con la cámara y lo lleva a sostener un trozo de papel y dos objetos.</v>
      </c>
    </row>
    <row r="23034">
      <c r="A23034" s="4" t="s">
        <v>28987</v>
      </c>
      <c r="B23034" s="4" t="s">
        <v>28989</v>
      </c>
      <c r="C23034" s="5" t="str">
        <f>IFERROR(__xludf.DUMMYFUNCTION("GOOGLETRANSLATE(B23034,""en"",""es-ES"")"),"Él pone los objetos en un tablero y agudiza un cuchillo a lo largo del objeto.")</f>
        <v>Él pone los objetos en un tablero y agudiza un cuchillo a lo largo del objeto.</v>
      </c>
    </row>
    <row r="23035">
      <c r="A23035" s="4" t="s">
        <v>28987</v>
      </c>
      <c r="B23035" s="4" t="s">
        <v>28990</v>
      </c>
      <c r="C23035" s="5" t="str">
        <f>IFERROR(__xludf.DUMMYFUNCTION("GOOGLETRANSLATE(B23035,""en"",""es-ES"")"),"Continúa hablando con la cámara mientras agudiza la cuchilla y apunta al objeto.")</f>
        <v>Continúa hablando con la cámara mientras agudiza la cuchilla y apunta al objeto.</v>
      </c>
    </row>
    <row r="23036">
      <c r="A23036" s="4" t="s">
        <v>28991</v>
      </c>
      <c r="B23036" s="4" t="s">
        <v>28992</v>
      </c>
      <c r="C23036" s="5" t="str">
        <f>IFERROR(__xludf.DUMMYFUNCTION("GOOGLETRANSLATE(B23036,""en"",""es-ES"")"),"Un niño pequeño sostiene un palo de lacrosse, luego atrapa una pelota con el palo de lacrosse y tira al suelo.")</f>
        <v>Un niño pequeño sostiene un palo de lacrosse, luego atrapa una pelota con el palo de lacrosse y tira al suelo.</v>
      </c>
    </row>
    <row r="23037">
      <c r="A23037" s="4" t="s">
        <v>28991</v>
      </c>
      <c r="B23037" s="4" t="s">
        <v>28993</v>
      </c>
      <c r="C23037" s="5" t="str">
        <f>IFERROR(__xludf.DUMMYFUNCTION("GOOGLETRANSLATE(B23037,""en"",""es-ES"")"),"Luego, el niño intenta atrapar otra pelota, pero rueda debajo de una silla.")</f>
        <v>Luego, el niño intenta atrapar otra pelota, pero rueda debajo de una silla.</v>
      </c>
    </row>
    <row r="23038">
      <c r="A23038" s="4" t="s">
        <v>28991</v>
      </c>
      <c r="B23038" s="4" t="s">
        <v>28994</v>
      </c>
      <c r="C23038" s="5" t="str">
        <f>IFERROR(__xludf.DUMMYFUNCTION("GOOGLETRANSLATE(B23038,""en"",""es-ES"")"),"Luego, el niño captura una pelota y tira al suelo y la pelota rebota.")</f>
        <v>Luego, el niño captura una pelota y tira al suelo y la pelota rebota.</v>
      </c>
    </row>
    <row r="23039">
      <c r="A23039" s="4" t="s">
        <v>28991</v>
      </c>
      <c r="B23039" s="4" t="s">
        <v>28995</v>
      </c>
      <c r="C23039" s="5" t="str">
        <f>IFERROR(__xludf.DUMMYFUNCTION("GOOGLETRANSLATE(B23039,""en"",""es-ES"")"),"Después, el niño pequeño atrapa la pelota de rebotes y tira al patio trasero, luego el niño da un paso por un paso.")</f>
        <v>Después, el niño pequeño atrapa la pelota de rebotes y tira al patio trasero, luego el niño da un paso por un paso.</v>
      </c>
    </row>
    <row r="23040">
      <c r="A23040" s="4" t="s">
        <v>28996</v>
      </c>
      <c r="B23040" s="4" t="s">
        <v>28997</v>
      </c>
      <c r="C23040" s="5" t="str">
        <f>IFERROR(__xludf.DUMMYFUNCTION("GOOGLETRANSLATE(B23040,""en"",""es-ES"")"),"Vemos a una dama pelando las papas pequeñas.")</f>
        <v>Vemos a una dama pelando las papas pequeñas.</v>
      </c>
    </row>
    <row r="23041">
      <c r="A23041" s="4" t="s">
        <v>28996</v>
      </c>
      <c r="B23041" s="4" t="s">
        <v>28998</v>
      </c>
      <c r="C23041" s="5" t="str">
        <f>IFERROR(__xludf.DUMMYFUNCTION("GOOGLETRANSLATE(B23041,""en"",""es-ES"")"),"La señora pelea su segunda papa.")</f>
        <v>La señora pelea su segunda papa.</v>
      </c>
    </row>
    <row r="23042">
      <c r="A23042" s="4" t="s">
        <v>28996</v>
      </c>
      <c r="B23042" s="4" t="s">
        <v>28999</v>
      </c>
      <c r="C23042" s="5" t="str">
        <f>IFERROR(__xludf.DUMMYFUNCTION("GOOGLETRANSLATE(B23042,""en"",""es-ES"")"),"La señora pasa a sus terceras papas.")</f>
        <v>La señora pasa a sus terceras papas.</v>
      </c>
    </row>
    <row r="23043">
      <c r="A23043" s="4" t="s">
        <v>28996</v>
      </c>
      <c r="B23043" s="4" t="s">
        <v>29000</v>
      </c>
      <c r="C23043" s="5" t="str">
        <f>IFERROR(__xludf.DUMMYFUNCTION("GOOGLETRANSLATE(B23043,""en"",""es-ES"")"),"Salimos y vemos la cara de las damas.")</f>
        <v>Salimos y vemos la cara de las damas.</v>
      </c>
    </row>
    <row r="23044">
      <c r="A23044" s="4" t="s">
        <v>28996</v>
      </c>
      <c r="B23044" s="4" t="s">
        <v>29001</v>
      </c>
      <c r="C23044" s="5" t="str">
        <f>IFERROR(__xludf.DUMMYFUNCTION("GOOGLETRANSLATE(B23044,""en"",""es-ES"")"),"La señora pelea su cuarta y quinta papa.")</f>
        <v>La señora pelea su cuarta y quinta papa.</v>
      </c>
    </row>
    <row r="23045">
      <c r="A23045" s="4" t="s">
        <v>29002</v>
      </c>
      <c r="B23045" s="4" t="s">
        <v>29003</v>
      </c>
      <c r="C23045" s="5" t="str">
        <f>IFERROR(__xludf.DUMMYFUNCTION("GOOGLETRANSLATE(B23045,""en"",""es-ES"")"),"Dos personas están reproduciendo bádminton mientras alguien los graba con una cámara de video.")</f>
        <v>Dos personas están reproduciendo bádminton mientras alguien los graba con una cámara de video.</v>
      </c>
    </row>
    <row r="23046">
      <c r="A23046" s="4" t="s">
        <v>29002</v>
      </c>
      <c r="B23046" s="4" t="s">
        <v>29004</v>
      </c>
      <c r="C23046" s="5" t="str">
        <f>IFERROR(__xludf.DUMMYFUNCTION("GOOGLETRANSLATE(B23046,""en"",""es-ES"")"),"Un chico se lastima cuando la otra gente lo mira reír de él.")</f>
        <v>Un chico se lastima cuando la otra gente lo mira reír de él.</v>
      </c>
    </row>
    <row r="23047">
      <c r="A23047" s="4" t="s">
        <v>29002</v>
      </c>
      <c r="B23047" s="4" t="s">
        <v>29005</v>
      </c>
      <c r="C23047" s="5" t="str">
        <f>IFERROR(__xludf.DUMMYFUNCTION("GOOGLETRANSLATE(B23047,""en"",""es-ES"")"),"Las personas que jugaban bádminton van y hablan con otras personas que están sentadas en sillas de jardín.")</f>
        <v>Las personas que jugaban bádminton van y hablan con otras personas que están sentadas en sillas de jardín.</v>
      </c>
    </row>
    <row r="23048">
      <c r="A23048" s="4" t="s">
        <v>29002</v>
      </c>
      <c r="B23048" s="4" t="s">
        <v>29006</v>
      </c>
      <c r="C23048" s="5" t="str">
        <f>IFERROR(__xludf.DUMMYFUNCTION("GOOGLETRANSLATE(B23048,""en"",""es-ES"")"),"El niño entra en la casa mientras la gente continúa riendo.")</f>
        <v>El niño entra en la casa mientras la gente continúa riendo.</v>
      </c>
    </row>
    <row r="23049">
      <c r="A23049" s="4" t="s">
        <v>29007</v>
      </c>
      <c r="B23049" s="4" t="s">
        <v>29008</v>
      </c>
      <c r="C23049" s="5" t="str">
        <f>IFERROR(__xludf.DUMMYFUNCTION("GOOGLETRANSLATE(B23049,""en"",""es-ES"")"),"Vemos una escena de apertura con una imagen.")</f>
        <v>Vemos una escena de apertura con una imagen.</v>
      </c>
    </row>
    <row r="23050">
      <c r="A23050" s="4" t="s">
        <v>29007</v>
      </c>
      <c r="B23050" s="4" t="s">
        <v>29009</v>
      </c>
      <c r="C23050" s="5" t="str">
        <f>IFERROR(__xludf.DUMMYFUNCTION("GOOGLETRANSLATE(B23050,""en"",""es-ES"")"),"Luego vemos un lago con patos y rocas.")</f>
        <v>Luego vemos un lago con patos y rocas.</v>
      </c>
    </row>
    <row r="23051">
      <c r="A23051" s="4" t="s">
        <v>29007</v>
      </c>
      <c r="B23051" s="4" t="s">
        <v>29010</v>
      </c>
      <c r="C23051" s="5" t="str">
        <f>IFERROR(__xludf.DUMMYFUNCTION("GOOGLETRANSLATE(B23051,""en"",""es-ES"")"),"La gente está remando en el lago en una canoa.")</f>
        <v>La gente está remando en el lago en una canoa.</v>
      </c>
    </row>
    <row r="23052">
      <c r="A23052" s="4" t="s">
        <v>29007</v>
      </c>
      <c r="B23052" s="4" t="s">
        <v>29011</v>
      </c>
      <c r="C23052" s="5" t="str">
        <f>IFERROR(__xludf.DUMMYFUNCTION("GOOGLETRANSLATE(B23052,""en"",""es-ES"")"),"Vemos un puente y la gente pasa debajo del puente.")</f>
        <v>Vemos un puente y la gente pasa debajo del puente.</v>
      </c>
    </row>
    <row r="23053">
      <c r="A23053" s="4" t="s">
        <v>29007</v>
      </c>
      <c r="B23053" s="4" t="s">
        <v>29012</v>
      </c>
      <c r="C23053" s="5" t="str">
        <f>IFERROR(__xludf.DUMMYFUNCTION("GOOGLETRANSLATE(B23053,""en"",""es-ES"")"),"Vemos una hierba alta en la brisa mientras los navegantes pasan.")</f>
        <v>Vemos una hierba alta en la brisa mientras los navegantes pasan.</v>
      </c>
    </row>
    <row r="23054">
      <c r="A23054" s="4" t="s">
        <v>29007</v>
      </c>
      <c r="B23054" s="4" t="s">
        <v>29013</v>
      </c>
      <c r="C23054" s="5" t="str">
        <f>IFERROR(__xludf.DUMMYFUNCTION("GOOGLETRANSLATE(B23054,""en"",""es-ES"")"),"Los navegantes llegan a la orilla.")</f>
        <v>Los navegantes llegan a la orilla.</v>
      </c>
    </row>
    <row r="23055">
      <c r="A23055" s="4" t="s">
        <v>29007</v>
      </c>
      <c r="B23055" s="4" t="s">
        <v>10150</v>
      </c>
      <c r="C23055" s="5" t="str">
        <f>IFERROR(__xludf.DUMMYFUNCTION("GOOGLETRANSLATE(B23055,""en"",""es-ES"")"),"Luego vemos la pantalla de título de cierre.")</f>
        <v>Luego vemos la pantalla de título de cierre.</v>
      </c>
    </row>
    <row r="23056">
      <c r="A23056" s="4" t="s">
        <v>29014</v>
      </c>
      <c r="B23056" s="4" t="s">
        <v>29015</v>
      </c>
      <c r="C23056" s="5" t="str">
        <f>IFERROR(__xludf.DUMMYFUNCTION("GOOGLETRANSLATE(B23056,""en"",""es-ES"")"),"Se muestran un marcador y una gran pantalla de video.")</f>
        <v>Se muestran un marcador y una gran pantalla de video.</v>
      </c>
    </row>
    <row r="23057">
      <c r="A23057" s="4" t="s">
        <v>29014</v>
      </c>
      <c r="B23057" s="4" t="s">
        <v>29016</v>
      </c>
      <c r="C23057" s="5" t="str">
        <f>IFERROR(__xludf.DUMMYFUNCTION("GOOGLETRANSLATE(B23057,""en"",""es-ES"")"),"Los ciclistas lanzan una rampa muy alta en una pista de bicicleta de tierra.")</f>
        <v>Los ciclistas lanzan una rampa muy alta en una pista de bicicleta de tierra.</v>
      </c>
    </row>
    <row r="23058">
      <c r="A23058" s="4" t="s">
        <v>29014</v>
      </c>
      <c r="B23058" s="4" t="s">
        <v>29017</v>
      </c>
      <c r="C23058" s="5" t="str">
        <f>IFERROR(__xludf.DUMMYFUNCTION("GOOGLETRANSLATE(B23058,""en"",""es-ES"")"),"Los motociclistas corren alrededor de la pista llena de baches.")</f>
        <v>Los motociclistas corren alrededor de la pista llena de baches.</v>
      </c>
    </row>
    <row r="23059">
      <c r="A23059" s="4" t="s">
        <v>29018</v>
      </c>
      <c r="B23059" s="4" t="s">
        <v>29019</v>
      </c>
      <c r="C23059" s="5" t="str">
        <f>IFERROR(__xludf.DUMMYFUNCTION("GOOGLETRANSLATE(B23059,""en"",""es-ES"")"),"Se ve un primer plano de los pies de una persona montando a lo largo del río en un tubo.")</f>
        <v>Se ve un primer plano de los pies de una persona montando a lo largo del río en un tubo.</v>
      </c>
    </row>
    <row r="23060">
      <c r="A23060" s="4" t="s">
        <v>29018</v>
      </c>
      <c r="B23060" s="4" t="s">
        <v>29020</v>
      </c>
      <c r="C23060" s="5" t="str">
        <f>IFERROR(__xludf.DUMMYFUNCTION("GOOGLETRANSLATE(B23060,""en"",""es-ES"")"),"Varias personas más se ven montando en tubos río abajo mientras otras miran a un lado.")</f>
        <v>Varias personas más se ven montando en tubos río abajo mientras otras miran a un lado.</v>
      </c>
    </row>
    <row r="23061">
      <c r="A23061" s="4" t="s">
        <v>29018</v>
      </c>
      <c r="B23061" s="4" t="s">
        <v>29021</v>
      </c>
      <c r="C23061" s="5" t="str">
        <f>IFERROR(__xludf.DUMMYFUNCTION("GOOGLETRANSLATE(B23061,""en"",""es-ES"")"),"La persona continúa pasando por el río más allá de los demás.")</f>
        <v>La persona continúa pasando por el río más allá de los demás.</v>
      </c>
    </row>
    <row r="23062">
      <c r="A23062" s="4" t="s">
        <v>29022</v>
      </c>
      <c r="B23062" s="4" t="s">
        <v>29023</v>
      </c>
      <c r="C23062" s="5" t="str">
        <f>IFERROR(__xludf.DUMMYFUNCTION("GOOGLETRANSLATE(B23062,""en"",""es-ES"")"),"Se ve a un hombre parado detrás de un niño pequeño con los ojos vendados.")</f>
        <v>Se ve a un hombre parado detrás de un niño pequeño con los ojos vendados.</v>
      </c>
    </row>
    <row r="23063">
      <c r="A23063" s="4" t="s">
        <v>29022</v>
      </c>
      <c r="B23063" s="4" t="s">
        <v>29024</v>
      </c>
      <c r="C23063" s="5" t="str">
        <f>IFERROR(__xludf.DUMMYFUNCTION("GOOGLETRANSLATE(B23063,""en"",""es-ES"")"),"Luego se muestran varios clips de personas que se balancean en Pinatas y fallan miserablemente.")</f>
        <v>Luego se muestran varios clips de personas que se balancean en Pinatas y fallan miserablemente.</v>
      </c>
    </row>
    <row r="23064">
      <c r="A23064" s="4" t="s">
        <v>29022</v>
      </c>
      <c r="B23064" s="4" t="s">
        <v>29025</v>
      </c>
      <c r="C23064" s="5" t="str">
        <f>IFERROR(__xludf.DUMMYFUNCTION("GOOGLETRANSLATE(B23064,""en"",""es-ES"")"),"Se muestran más clips de personas que se balancean en Pinatas y termina con ellos golpeando a otras personas.")</f>
        <v>Se muestran más clips de personas que se balancean en Pinatas y termina con ellos golpeando a otras personas.</v>
      </c>
    </row>
    <row r="23065">
      <c r="A23065" s="4" t="s">
        <v>29026</v>
      </c>
      <c r="B23065" s="4" t="s">
        <v>29027</v>
      </c>
      <c r="C23065" s="5" t="str">
        <f>IFERROR(__xludf.DUMMYFUNCTION("GOOGLETRANSLATE(B23065,""en"",""es-ES"")"),"El sol brillante está en el cielo y muestra una montaña nevada y muchos pinos cubiertos de nieve.")</f>
        <v>El sol brillante está en el cielo y muestra una montaña nevada y muchos pinos cubiertos de nieve.</v>
      </c>
    </row>
    <row r="23066">
      <c r="A23066" s="4" t="s">
        <v>29026</v>
      </c>
      <c r="B23066" s="4" t="s">
        <v>29028</v>
      </c>
      <c r="C23066" s="5" t="str">
        <f>IFERROR(__xludf.DUMMYFUNCTION("GOOGLETRANSLATE(B23066,""en"",""es-ES"")"),"Un snowboarder camina en la nieve sosteniendo dos postes.")</f>
        <v>Un snowboarder camina en la nieve sosteniendo dos postes.</v>
      </c>
    </row>
    <row r="23067">
      <c r="A23067" s="4" t="s">
        <v>29026</v>
      </c>
      <c r="B23067" s="4" t="s">
        <v>29029</v>
      </c>
      <c r="C23067" s="5" t="str">
        <f>IFERROR(__xludf.DUMMYFUNCTION("GOOGLETRANSLATE(B23067,""en"",""es-ES"")"),"Cubicles está colgando de cables y un snowboarder está bajando por la pendiente de nieve con otros snowboarders de pie.")</f>
        <v>Cubicles está colgando de cables y un snowboarder está bajando por la pendiente de nieve con otros snowboarders de pie.</v>
      </c>
    </row>
    <row r="23068">
      <c r="A23068" s="4" t="s">
        <v>29026</v>
      </c>
      <c r="B23068" s="4" t="s">
        <v>29030</v>
      </c>
      <c r="C23068" s="5" t="str">
        <f>IFERROR(__xludf.DUMMYFUNCTION("GOOGLETRANSLATE(B23068,""en"",""es-ES"")"),"Los hombres caminan en una pendiente nevada sosteniendo los postes y otros snowboarders se deslizan detrás.")</f>
        <v>Los hombres caminan en una pendiente nevada sosteniendo los postes y otros snowboarders se deslizan detrás.</v>
      </c>
    </row>
    <row r="23069">
      <c r="A23069" s="4" t="s">
        <v>29026</v>
      </c>
      <c r="B23069" s="4" t="s">
        <v>29031</v>
      </c>
      <c r="C23069" s="5" t="str">
        <f>IFERROR(__xludf.DUMMYFUNCTION("GOOGLETRANSLATE(B23069,""en"",""es-ES"")"),"Las mujeres están en una silla colgante y debajo de los niños están bajando por la pendiente montando en snowboard y jugando en un castillo de nieve.")</f>
        <v>Las mujeres están en una silla colgante y debajo de los niños están bajando por la pendiente montando en snowboard y jugando en un castillo de nieve.</v>
      </c>
    </row>
    <row r="23070">
      <c r="A23070" s="4" t="s">
        <v>29026</v>
      </c>
      <c r="B23070" s="4" t="s">
        <v>29032</v>
      </c>
      <c r="C23070" s="5" t="str">
        <f>IFERROR(__xludf.DUMMYFUNCTION("GOOGLETRANSLATE(B23070,""en"",""es-ES"")"),"La gente camina en montaña nevada y snowboard.")</f>
        <v>La gente camina en montaña nevada y snowboard.</v>
      </c>
    </row>
    <row r="23071">
      <c r="A23071" s="4" t="s">
        <v>29026</v>
      </c>
      <c r="B23071" s="4" t="s">
        <v>29033</v>
      </c>
      <c r="C23071" s="5" t="str">
        <f>IFERROR(__xludf.DUMMYFUNCTION("GOOGLETRANSLATE(B23071,""en"",""es-ES"")"),"Wmoan entra en una cueva con un hombre y está sirviendo vino y una pareja de ancianos tostan.")</f>
        <v>Wmoan entra en una cueva con un hombre y está sirviendo vino y una pareja de ancianos tostan.</v>
      </c>
    </row>
    <row r="23072">
      <c r="A23072" s="4" t="s">
        <v>29026</v>
      </c>
      <c r="B23072" s="4" t="s">
        <v>29034</v>
      </c>
      <c r="C23072" s="5" t="str">
        <f>IFERROR(__xludf.DUMMYFUNCTION("GOOGLETRANSLATE(B23072,""en"",""es-ES"")"),"Mucha gente está esperando y sentada en sus maletas con las snowboards de un lado, la gente va por la montaña mientras pasan los días.")</f>
        <v>Mucha gente está esperando y sentada en sus maletas con las snowboards de un lado, la gente va por la montaña mientras pasan los días.</v>
      </c>
    </row>
    <row r="23073">
      <c r="A23073" s="4" t="s">
        <v>29035</v>
      </c>
      <c r="B23073" s="4" t="s">
        <v>29036</v>
      </c>
      <c r="C23073" s="5" t="str">
        <f>IFERROR(__xludf.DUMMYFUNCTION("GOOGLETRANSLATE(B23073,""en"",""es-ES"")"),"Varios hombres profesionales están colocando cera en todo tipo de esquís.")</f>
        <v>Varios hombres profesionales están colocando cera en todo tipo de esquís.</v>
      </c>
    </row>
    <row r="23074">
      <c r="A23074" s="4" t="s">
        <v>29035</v>
      </c>
      <c r="B23074" s="4" t="s">
        <v>29037</v>
      </c>
      <c r="C23074" s="5" t="str">
        <f>IFERROR(__xludf.DUMMYFUNCTION("GOOGLETRANSLATE(B23074,""en"",""es-ES"")"),"A medida que continúan colocando cera, usan herramientas para moler y suavizar los esquís.")</f>
        <v>A medida que continúan colocando cera, usan herramientas para moler y suavizar los esquís.</v>
      </c>
    </row>
    <row r="23075">
      <c r="A23075" s="4" t="s">
        <v>29035</v>
      </c>
      <c r="B23075" s="4" t="s">
        <v>29038</v>
      </c>
      <c r="C23075" s="5" t="str">
        <f>IFERROR(__xludf.DUMMYFUNCTION("GOOGLETRANSLATE(B23075,""en"",""es-ES"")"),"Finalmente, el uso de telas de los trabajadores suaviza y brilla los esquís.")</f>
        <v>Finalmente, el uso de telas de los trabajadores suaviza y brilla los esquís.</v>
      </c>
    </row>
    <row r="23076">
      <c r="A23076" s="4" t="s">
        <v>29039</v>
      </c>
      <c r="B23076" s="4" t="s">
        <v>29040</v>
      </c>
      <c r="C23076" s="5" t="str">
        <f>IFERROR(__xludf.DUMMYFUNCTION("GOOGLETRANSLATE(B23076,""en"",""es-ES"")"),"Una procesión militar lleva un ataúd y pasa por una ceremonia de funeral.")</f>
        <v>Una procesión militar lleva un ataúd y pasa por una ceremonia de funeral.</v>
      </c>
    </row>
    <row r="23077">
      <c r="A23077" s="4" t="s">
        <v>29039</v>
      </c>
      <c r="B23077" s="4" t="s">
        <v>29041</v>
      </c>
      <c r="C23077" s="5" t="str">
        <f>IFERROR(__xludf.DUMMYFUNCTION("GOOGLETRANSLATE(B23077,""en"",""es-ES"")"),"Un presentador de noticias habla en una sala de redacción.")</f>
        <v>Un presentador de noticias habla en una sala de redacción.</v>
      </c>
    </row>
    <row r="23078">
      <c r="A23078" s="4" t="s">
        <v>29039</v>
      </c>
      <c r="B23078" s="4" t="s">
        <v>29042</v>
      </c>
      <c r="C23078" s="5" t="str">
        <f>IFERROR(__xludf.DUMMYFUNCTION("GOOGLETRANSLATE(B23078,""en"",""es-ES"")"),"Un ataúd y es transportado por un vagón junto con el personal militar.")</f>
        <v>Un ataúd y es transportado por un vagón junto con el personal militar.</v>
      </c>
    </row>
    <row r="23079">
      <c r="A23079" s="4" t="s">
        <v>29039</v>
      </c>
      <c r="B23079" s="4" t="s">
        <v>29043</v>
      </c>
      <c r="C23079" s="5" t="str">
        <f>IFERROR(__xludf.DUMMYFUNCTION("GOOGLETRANSLATE(B23079,""en"",""es-ES"")"),"Un militar presenta una bandera a un invitado.")</f>
        <v>Un militar presenta una bandera a un invitado.</v>
      </c>
    </row>
    <row r="23080">
      <c r="A23080" s="4" t="s">
        <v>29039</v>
      </c>
      <c r="B23080" s="4" t="s">
        <v>29044</v>
      </c>
      <c r="C23080" s="5" t="str">
        <f>IFERROR(__xludf.DUMMYFUNCTION("GOOGLETRANSLATE(B23080,""en"",""es-ES"")"),"Un hombre con una pierna protésica y una mujer monta a caballo con entrenadores con un entrenador al lado.")</f>
        <v>Un hombre con una pierna protésica y una mujer monta a caballo con entrenadores con un entrenador al lado.</v>
      </c>
    </row>
    <row r="23081">
      <c r="A23081" s="4" t="s">
        <v>29039</v>
      </c>
      <c r="B23081" s="4" t="s">
        <v>29045</v>
      </c>
      <c r="C23081" s="5" t="str">
        <f>IFERROR(__xludf.DUMMYFUNCTION("GOOGLETRANSLATE(B23081,""en"",""es-ES"")"),"Un periodista cabalga con un hombre en la camiseta de fútbol a lo largo de una acera.")</f>
        <v>Un periodista cabalga con un hombre en la camiseta de fútbol a lo largo de una acera.</v>
      </c>
    </row>
    <row r="23082">
      <c r="A23082" s="4" t="s">
        <v>29039</v>
      </c>
      <c r="B23082" s="4" t="s">
        <v>29046</v>
      </c>
      <c r="C23082" s="5" t="str">
        <f>IFERROR(__xludf.DUMMYFUNCTION("GOOGLETRANSLATE(B23082,""en"",""es-ES"")"),"Un entrenador de caballos habla cerca de un área boscosa.")</f>
        <v>Un entrenador de caballos habla cerca de un área boscosa.</v>
      </c>
    </row>
    <row r="23083">
      <c r="A23083" s="4" t="s">
        <v>29039</v>
      </c>
      <c r="B23083" s="4" t="s">
        <v>29047</v>
      </c>
      <c r="C23083" s="5" t="str">
        <f>IFERROR(__xludf.DUMMYFUNCTION("GOOGLETRANSLATE(B23083,""en"",""es-ES"")"),"El hombre en una camiseta se detiene en el caballo cuando se acerca a la procesión fúnebre.")</f>
        <v>El hombre en una camiseta se detiene en el caballo cuando se acerca a la procesión fúnebre.</v>
      </c>
    </row>
    <row r="23084">
      <c r="A23084" s="4" t="s">
        <v>29048</v>
      </c>
      <c r="B23084" s="4" t="s">
        <v>29049</v>
      </c>
      <c r="C23084" s="5" t="str">
        <f>IFERROR(__xludf.DUMMYFUNCTION("GOOGLETRANSLATE(B23084,""en"",""es-ES"")"),"Hay un hombre hablando en el micrófono para anunciar quién viene.")</f>
        <v>Hay un hombre hablando en el micrófono para anunciar quién viene.</v>
      </c>
    </row>
    <row r="23085">
      <c r="A23085" s="4" t="s">
        <v>29048</v>
      </c>
      <c r="B23085" s="4" t="s">
        <v>29050</v>
      </c>
      <c r="C23085" s="5" t="str">
        <f>IFERROR(__xludf.DUMMYFUNCTION("GOOGLETRANSLATE(B23085,""en"",""es-ES"")"),"A continuación, muchas personas diferentes suben al escenario para bailar.")</f>
        <v>A continuación, muchas personas diferentes suben al escenario para bailar.</v>
      </c>
    </row>
    <row r="23086">
      <c r="A23086" s="4" t="s">
        <v>29051</v>
      </c>
      <c r="B23086" s="4" t="s">
        <v>29052</v>
      </c>
      <c r="C23086" s="5" t="str">
        <f>IFERROR(__xludf.DUMMYFUNCTION("GOOGLETRANSLATE(B23086,""en"",""es-ES"")"),"Varios clips de mostrados de una persona que sube por las calles de la ciudad en las palas de los rodillos.")</f>
        <v>Varios clips de mostrados de una persona que sube por las calles de la ciudad en las palas de los rodillos.</v>
      </c>
    </row>
    <row r="23087">
      <c r="A23087" s="4" t="s">
        <v>29051</v>
      </c>
      <c r="B23087" s="4" t="s">
        <v>29053</v>
      </c>
      <c r="C23087" s="5" t="str">
        <f>IFERROR(__xludf.DUMMYFUNCTION("GOOGLETRANSLATE(B23087,""en"",""es-ES"")"),"La persona continúa viajando por las calles y luego aparece texto a través de la pantalla.")</f>
        <v>La persona continúa viajando por las calles y luego aparece texto a través de la pantalla.</v>
      </c>
    </row>
    <row r="23088">
      <c r="A23088" s="4" t="s">
        <v>29054</v>
      </c>
      <c r="B23088" s="4" t="s">
        <v>29055</v>
      </c>
      <c r="C23088" s="5" t="str">
        <f>IFERROR(__xludf.DUMMYFUNCTION("GOOGLETRANSLATE(B23088,""en"",""es-ES"")"),"Se muestra a una niña en un gran piso de gimnasio haciendo flips y trucos con un bastón y varios jueces que la miran.")</f>
        <v>Se muestra a una niña en un gran piso de gimnasio haciendo flips y trucos con un bastón y varios jueces que la miran.</v>
      </c>
    </row>
    <row r="23089">
      <c r="A23089" s="4" t="s">
        <v>29054</v>
      </c>
      <c r="B23089" s="4" t="s">
        <v>29056</v>
      </c>
      <c r="C23089" s="5" t="str">
        <f>IFERROR(__xludf.DUMMYFUNCTION("GOOGLETRANSLATE(B23089,""en"",""es-ES"")"),"Ella continúa moviéndose por el piso mientras a lo largo de la niña practica detrás de ella.")</f>
        <v>Ella continúa moviéndose por el piso mientras a lo largo de la niña practica detrás de ella.</v>
      </c>
    </row>
    <row r="23090">
      <c r="A23090" s="4" t="s">
        <v>29054</v>
      </c>
      <c r="B23090" s="4" t="s">
        <v>29057</v>
      </c>
      <c r="C23090" s="5" t="str">
        <f>IFERROR(__xludf.DUMMYFUNCTION("GOOGLETRANSLATE(B23090,""en"",""es-ES"")"),"Ella termina su rutina y se para frente a los jueces y escucha sus resultados.")</f>
        <v>Ella termina su rutina y se para frente a los jueces y escucha sus resultados.</v>
      </c>
    </row>
    <row r="23091">
      <c r="A23091" s="4" t="s">
        <v>29058</v>
      </c>
      <c r="B23091" s="4" t="s">
        <v>29059</v>
      </c>
      <c r="C23091" s="5" t="str">
        <f>IFERROR(__xludf.DUMMYFUNCTION("GOOGLETRANSLATE(B23091,""en"",""es-ES"")"),"Un surfista que lleva un traje húmedo despega y monta una ola en el océano.")</f>
        <v>Un surfista que lleva un traje húmedo despega y monta una ola en el océano.</v>
      </c>
    </row>
    <row r="23092">
      <c r="A23092" s="4" t="s">
        <v>29058</v>
      </c>
      <c r="B23092" s="4" t="s">
        <v>29060</v>
      </c>
      <c r="C23092" s="5" t="str">
        <f>IFERROR(__xludf.DUMMYFUNCTION("GOOGLETRANSLATE(B23092,""en"",""es-ES"")"),"Dos surfistas es recibido por un sello en el océano que salta sobre su tablero y juega con ellos.")</f>
        <v>Dos surfistas es recibido por un sello en el océano que salta sobre su tablero y juega con ellos.</v>
      </c>
    </row>
    <row r="23093">
      <c r="A23093" s="4" t="s">
        <v>29058</v>
      </c>
      <c r="B23093" s="4" t="s">
        <v>29061</v>
      </c>
      <c r="C23093" s="5" t="str">
        <f>IFERROR(__xludf.DUMMYFUNCTION("GOOGLETRANSLATE(B23093,""en"",""es-ES"")"),"El surfista que lleva un traje húmedo despega de una ola dejando atrás el sello.")</f>
        <v>El surfista que lleva un traje húmedo despega de una ola dejando atrás el sello.</v>
      </c>
    </row>
    <row r="23094">
      <c r="A23094" s="4" t="s">
        <v>29062</v>
      </c>
      <c r="B23094" s="4" t="s">
        <v>29063</v>
      </c>
      <c r="C23094" s="5" t="str">
        <f>IFERROR(__xludf.DUMMYFUNCTION("GOOGLETRANSLATE(B23094,""en"",""es-ES"")"),"Un hombre está en una habitación, señalando y hablando de azulejos.")</f>
        <v>Un hombre está en una habitación, señalando y hablando de azulejos.</v>
      </c>
    </row>
    <row r="23095">
      <c r="A23095" s="4" t="s">
        <v>29062</v>
      </c>
      <c r="B23095" s="4" t="s">
        <v>29064</v>
      </c>
      <c r="C23095" s="5" t="str">
        <f>IFERROR(__xludf.DUMMYFUNCTION("GOOGLETRANSLATE(B23095,""en"",""es-ES"")"),"Él está colocando los mosaicos en la pared uno a la vez.")</f>
        <v>Él está colocando los mosaicos en la pared uno a la vez.</v>
      </c>
    </row>
    <row r="23096">
      <c r="A23096" s="4" t="s">
        <v>29062</v>
      </c>
      <c r="B23096" s="4" t="s">
        <v>29065</v>
      </c>
      <c r="C23096" s="5" t="str">
        <f>IFERROR(__xludf.DUMMYFUNCTION("GOOGLETRANSLATE(B23096,""en"",""es-ES"")"),"El hombre completa la construcción y luego apaga la cámara.")</f>
        <v>El hombre completa la construcción y luego apaga la cámara.</v>
      </c>
    </row>
    <row r="23097">
      <c r="A23097" s="4" t="s">
        <v>29066</v>
      </c>
      <c r="B23097" s="4" t="s">
        <v>29067</v>
      </c>
      <c r="C23097" s="5" t="str">
        <f>IFERROR(__xludf.DUMMYFUNCTION("GOOGLETRANSLATE(B23097,""en"",""es-ES"")"),"Se muestra una página con un video estructurado para parecer similar a YouTube.")</f>
        <v>Se muestra una página con un video estructurado para parecer similar a YouTube.</v>
      </c>
    </row>
    <row r="23098">
      <c r="A23098" s="4" t="s">
        <v>29066</v>
      </c>
      <c r="B23098" s="4" t="s">
        <v>29068</v>
      </c>
      <c r="C23098" s="5" t="str">
        <f>IFERROR(__xludf.DUMMYFUNCTION("GOOGLETRANSLATE(B23098,""en"",""es-ES"")"),"Una mujer sentada habla con la cámara, intercalada por escenas de individuos que se muestran soldadura.")</f>
        <v>Una mujer sentada habla con la cámara, intercalada por escenas de individuos que se muestran soldadura.</v>
      </c>
    </row>
    <row r="23099">
      <c r="A23099" s="4" t="s">
        <v>29066</v>
      </c>
      <c r="B23099" s="4" t="s">
        <v>17268</v>
      </c>
      <c r="C23099" s="5" t="str">
        <f>IFERROR(__xludf.DUMMYFUNCTION("GOOGLETRANSLATE(B23099,""en"",""es-ES"")"),"Un hombre habla con la cámara.")</f>
        <v>Un hombre habla con la cámara.</v>
      </c>
    </row>
    <row r="23100">
      <c r="A23100" s="4" t="s">
        <v>29066</v>
      </c>
      <c r="B23100" s="4" t="s">
        <v>29069</v>
      </c>
      <c r="C23100" s="5" t="str">
        <f>IFERROR(__xludf.DUMMYFUNCTION("GOOGLETRANSLATE(B23100,""en"",""es-ES"")"),"La página Lookalike de YouTube con un video se muestra nuevamente.")</f>
        <v>La página Lookalike de YouTube con un video se muestra nuevamente.</v>
      </c>
    </row>
    <row r="23101">
      <c r="A23101" s="4" t="s">
        <v>29070</v>
      </c>
      <c r="B23101" s="4" t="s">
        <v>29071</v>
      </c>
      <c r="C23101" s="5" t="str">
        <f>IFERROR(__xludf.DUMMYFUNCTION("GOOGLETRANSLATE(B23101,""en"",""es-ES"")"),"Un lanzador de noticias del Medio Oriente está hablando de un evento reciente en otro idioma.")</f>
        <v>Un lanzador de noticias del Medio Oriente está hablando de un evento reciente en otro idioma.</v>
      </c>
    </row>
    <row r="23102">
      <c r="A23102" s="4" t="s">
        <v>29070</v>
      </c>
      <c r="B23102" s="4" t="s">
        <v>29072</v>
      </c>
      <c r="C23102" s="5" t="str">
        <f>IFERROR(__xludf.DUMMYFUNCTION("GOOGLETRANSLATE(B23102,""en"",""es-ES"")"),"La escena cambia para mostrar al grupo de personas en un evento de algún tipo.")</f>
        <v>La escena cambia para mostrar al grupo de personas en un evento de algún tipo.</v>
      </c>
    </row>
    <row r="23103">
      <c r="A23103" s="4" t="s">
        <v>29070</v>
      </c>
      <c r="B23103" s="4" t="s">
        <v>29073</v>
      </c>
      <c r="C23103" s="5" t="str">
        <f>IFERROR(__xludf.DUMMYFUNCTION("GOOGLETRANSLATE(B23103,""en"",""es-ES"")"),"A las personas en el evento se les muestra zapatos de pulido.")</f>
        <v>A las personas en el evento se les muestra zapatos de pulido.</v>
      </c>
    </row>
    <row r="23104">
      <c r="A23104" s="4" t="s">
        <v>29070</v>
      </c>
      <c r="B23104" s="4" t="s">
        <v>29074</v>
      </c>
      <c r="C23104" s="5" t="str">
        <f>IFERROR(__xludf.DUMMYFUNCTION("GOOGLETRANSLATE(B23104,""en"",""es-ES"")"),"Un hombre con una camisa roja está siendo entrevistado mientras muestra a otros en el evento en la pantalla dividida.")</f>
        <v>Un hombre con una camisa roja está siendo entrevistado mientras muestra a otros en el evento en la pantalla dividida.</v>
      </c>
    </row>
    <row r="23105">
      <c r="A23105" s="4" t="s">
        <v>29070</v>
      </c>
      <c r="B23105" s="4" t="s">
        <v>29075</v>
      </c>
      <c r="C23105" s="5" t="str">
        <f>IFERROR(__xludf.DUMMYFUNCTION("GOOGLETRANSLATE(B23105,""en"",""es-ES"")"),"La escena regresa al evento con el presentador de noticias hablando sobre el metraje.")</f>
        <v>La escena regresa al evento con el presentador de noticias hablando sobre el metraje.</v>
      </c>
    </row>
    <row r="23106">
      <c r="A23106" s="4" t="s">
        <v>29076</v>
      </c>
      <c r="B23106" s="4" t="s">
        <v>29077</v>
      </c>
      <c r="C23106" s="5" t="str">
        <f>IFERROR(__xludf.DUMMYFUNCTION("GOOGLETRANSLATE(B23106,""en"",""es-ES"")"),"La mujer está de pie junto a un caballo que sostiene un cepillo peinado el cabello del caballo.")</f>
        <v>La mujer está de pie junto a un caballo que sostiene un cepillo peinado el cabello del caballo.</v>
      </c>
    </row>
    <row r="23107">
      <c r="A23107" s="4" t="s">
        <v>29076</v>
      </c>
      <c r="B23107" s="4" t="s">
        <v>29078</v>
      </c>
      <c r="C23107" s="5" t="str">
        <f>IFERROR(__xludf.DUMMYFUNCTION("GOOGLETRANSLATE(B23107,""en"",""es-ES"")"),"Litle Kid está acariciando al caballo.")</f>
        <v>Litle Kid está acariciando al caballo.</v>
      </c>
    </row>
    <row r="23108">
      <c r="A23108" s="4" t="s">
        <v>29076</v>
      </c>
      <c r="B23108" s="4" t="s">
        <v>29079</v>
      </c>
      <c r="C23108" s="5" t="str">
        <f>IFERROR(__xludf.DUMMYFUNCTION("GOOGLETRANSLATE(B23108,""en"",""es-ES"")"),"La mujer camina hacia la pista.")</f>
        <v>La mujer camina hacia la pista.</v>
      </c>
    </row>
    <row r="23109">
      <c r="A23109" s="4" t="s">
        <v>29080</v>
      </c>
      <c r="B23109" s="4" t="s">
        <v>29081</v>
      </c>
      <c r="C23109" s="5" t="str">
        <f>IFERROR(__xludf.DUMMYFUNCTION("GOOGLETRANSLATE(B23109,""en"",""es-ES"")"),"Se ve a una niña cruzando los brazos y la hula aro una y otra vez.")</f>
        <v>Se ve a una niña cruzando los brazos y la hula aro una y otra vez.</v>
      </c>
    </row>
    <row r="23110">
      <c r="A23110" s="4" t="s">
        <v>29080</v>
      </c>
      <c r="B23110" s="4" t="s">
        <v>29082</v>
      </c>
      <c r="C23110" s="5" t="str">
        <f>IFERROR(__xludf.DUMMYFUNCTION("GOOGLETRANSLATE(B23110,""en"",""es-ES"")"),"Continuamente hula aro mientras movía las piernas por todas partes y hace varios saltos y trucos.")</f>
        <v>Continuamente hula aro mientras movía las piernas por todas partes y hace varios saltos y trucos.</v>
      </c>
    </row>
    <row r="23111">
      <c r="A23111" s="4" t="s">
        <v>29083</v>
      </c>
      <c r="B23111" s="4" t="s">
        <v>29084</v>
      </c>
      <c r="C23111" s="5" t="str">
        <f>IFERROR(__xludf.DUMMYFUNCTION("GOOGLETRANSLATE(B23111,""en"",""es-ES"")"),"Un hombre llamado Andrei se acerca al escenario.")</f>
        <v>Un hombre llamado Andrei se acerca al escenario.</v>
      </c>
    </row>
    <row r="23112">
      <c r="A23112" s="4" t="s">
        <v>29083</v>
      </c>
      <c r="B23112" s="4" t="s">
        <v>29085</v>
      </c>
      <c r="C23112" s="5" t="str">
        <f>IFERROR(__xludf.DUMMYFUNCTION("GOOGLETRANSLATE(B23112,""en"",""es-ES"")"),"Él polvienta sus manos en preparación.")</f>
        <v>Él polvienta sus manos en preparación.</v>
      </c>
    </row>
    <row r="23113">
      <c r="A23113" s="4" t="s">
        <v>29083</v>
      </c>
      <c r="B23113" s="4" t="s">
        <v>29086</v>
      </c>
      <c r="C23113" s="5" t="str">
        <f>IFERROR(__xludf.DUMMYFUNCTION("GOOGLETRANSLATE(B23113,""en"",""es-ES"")"),"Él pone sus manos sobre el peso.")</f>
        <v>Él pone sus manos sobre el peso.</v>
      </c>
    </row>
    <row r="23114">
      <c r="A23114" s="4" t="s">
        <v>29083</v>
      </c>
      <c r="B23114" s="4" t="s">
        <v>29087</v>
      </c>
      <c r="C23114" s="5" t="str">
        <f>IFERROR(__xludf.DUMMYFUNCTION("GOOGLETRANSLATE(B23114,""en"",""es-ES"")"),"Prepara su cuerpo para levantar el peso pesado.")</f>
        <v>Prepara su cuerpo para levantar el peso pesado.</v>
      </c>
    </row>
    <row r="23115">
      <c r="A23115" s="4" t="s">
        <v>29083</v>
      </c>
      <c r="B23115" s="4" t="s">
        <v>29088</v>
      </c>
      <c r="C23115" s="5" t="str">
        <f>IFERROR(__xludf.DUMMYFUNCTION("GOOGLETRANSLATE(B23115,""en"",""es-ES"")"),"Se detiene pero deja caer el peso y cae.")</f>
        <v>Se detiene pero deja caer el peso y cae.</v>
      </c>
    </row>
    <row r="23116">
      <c r="A23116" s="4" t="s">
        <v>29083</v>
      </c>
      <c r="B23116" s="4" t="s">
        <v>29089</v>
      </c>
      <c r="C23116" s="5" t="str">
        <f>IFERROR(__xludf.DUMMYFUNCTION("GOOGLETRANSLATE(B23116,""en"",""es-ES"")"),"El otro competidor se regocija en su victoria.")</f>
        <v>El otro competidor se regocija en su victoria.</v>
      </c>
    </row>
    <row r="23117">
      <c r="A23117" s="4" t="s">
        <v>29090</v>
      </c>
      <c r="B23117" s="4" t="s">
        <v>29091</v>
      </c>
      <c r="C23117" s="5" t="str">
        <f>IFERROR(__xludf.DUMMYFUNCTION("GOOGLETRANSLATE(B23117,""en"",""es-ES"")"),"El cielo transparente se muestra antes de que aparezca un grupo de chicas jugando un juego de hockey sobre césped.")</f>
        <v>El cielo transparente se muestra antes de que aparezca un grupo de chicas jugando un juego de hockey sobre césped.</v>
      </c>
    </row>
    <row r="23118">
      <c r="A23118" s="4" t="s">
        <v>29090</v>
      </c>
      <c r="B23118" s="4" t="s">
        <v>29092</v>
      </c>
      <c r="C23118" s="5" t="str">
        <f>IFERROR(__xludf.DUMMYFUNCTION("GOOGLETRANSLATE(B23118,""en"",""es-ES"")"),"Los dos equipos compiten entre sí en el edificio, ya que las imágenes fijas se muestran entre las jugadas.")</f>
        <v>Los dos equipos compiten entre sí en el edificio, ya que las imágenes fijas se muestran entre las jugadas.</v>
      </c>
    </row>
    <row r="23119">
      <c r="A23119" s="4" t="s">
        <v>29090</v>
      </c>
      <c r="B23119" s="4" t="s">
        <v>29093</v>
      </c>
      <c r="C23119" s="5" t="str">
        <f>IFERROR(__xludf.DUMMYFUNCTION("GOOGLETRANSLATE(B23119,""en"",""es-ES"")"),"A medida que un equipo se acerca a hacer un gol, se muestra a un fotógrafo masculino en la esquina de la meta y luego una niña aparece al final del video haciendo una cara divertida.")</f>
        <v>A medida que un equipo se acerca a hacer un gol, se muestra a un fotógrafo masculino en la esquina de la meta y luego una niña aparece al final del video haciendo una cara divertida.</v>
      </c>
    </row>
    <row r="23120">
      <c r="A23120" s="4" t="s">
        <v>29094</v>
      </c>
      <c r="B23120" s="4" t="s">
        <v>29095</v>
      </c>
      <c r="C23120" s="5" t="str">
        <f>IFERROR(__xludf.DUMMYFUNCTION("GOOGLETRANSLATE(B23120,""en"",""es-ES"")"),"Dos hombres están realizando capoeria en medio de un círculo de personas.")</f>
        <v>Dos hombres están realizando capoeria en medio de un círculo de personas.</v>
      </c>
    </row>
    <row r="23121">
      <c r="A23121" s="4" t="s">
        <v>29094</v>
      </c>
      <c r="B23121" s="4" t="s">
        <v>29096</v>
      </c>
      <c r="C23121" s="5" t="str">
        <f>IFERROR(__xludf.DUMMYFUNCTION("GOOGLETRANSLATE(B23121,""en"",""es-ES"")"),"Están actuando mientras todos aplauden.")</f>
        <v>Están actuando mientras todos aplauden.</v>
      </c>
    </row>
    <row r="23122">
      <c r="A23122" s="4" t="s">
        <v>29094</v>
      </c>
      <c r="B23122" s="4" t="s">
        <v>29097</v>
      </c>
      <c r="C23122" s="5" t="str">
        <f>IFERROR(__xludf.DUMMYFUNCTION("GOOGLETRANSLATE(B23122,""en"",""es-ES"")"),"Toman un breve descanso y caminan un poco antes de comenzar su actuación nuevamente.")</f>
        <v>Toman un breve descanso y caminan un poco antes de comenzar su actuación nuevamente.</v>
      </c>
    </row>
    <row r="23123">
      <c r="A23123" s="4" t="s">
        <v>29094</v>
      </c>
      <c r="B23123" s="4" t="s">
        <v>29098</v>
      </c>
      <c r="C23123" s="5" t="str">
        <f>IFERROR(__xludf.DUMMYFUNCTION("GOOGLETRANSLATE(B23123,""en"",""es-ES"")"),"La gente aplaude a un ritmo establecido.")</f>
        <v>La gente aplaude a un ritmo establecido.</v>
      </c>
    </row>
    <row r="23124">
      <c r="A23124" s="4" t="s">
        <v>29094</v>
      </c>
      <c r="B23124" s="4" t="s">
        <v>29099</v>
      </c>
      <c r="C23124" s="5" t="str">
        <f>IFERROR(__xludf.DUMMYFUNCTION("GOOGLETRANSLATE(B23124,""en"",""es-ES"")"),"Esto dura mucho tiempo.")</f>
        <v>Esto dura mucho tiempo.</v>
      </c>
    </row>
    <row r="23125">
      <c r="A23125" s="4" t="s">
        <v>29100</v>
      </c>
      <c r="B23125" s="4" t="s">
        <v>29101</v>
      </c>
      <c r="C23125" s="5" t="str">
        <f>IFERROR(__xludf.DUMMYFUNCTION("GOOGLETRANSLATE(B23125,""en"",""es-ES"")"),"El texto brillante aparece en la pantalla.")</f>
        <v>El texto brillante aparece en la pantalla.</v>
      </c>
    </row>
    <row r="23126">
      <c r="A23126" s="4" t="s">
        <v>29100</v>
      </c>
      <c r="B23126" s="4" t="s">
        <v>29102</v>
      </c>
      <c r="C23126" s="5" t="str">
        <f>IFERROR(__xludf.DUMMYFUNCTION("GOOGLETRANSLATE(B23126,""en"",""es-ES"")"),"Se muestra una obra de arte en la pared, y se nos muestra varios primeros planos de la pintura.")</f>
        <v>Se muestra una obra de arte en la pared, y se nos muestra varios primeros planos de la pintura.</v>
      </c>
    </row>
    <row r="23127">
      <c r="A23127" s="4" t="s">
        <v>29100</v>
      </c>
      <c r="B23127" s="4" t="s">
        <v>29103</v>
      </c>
      <c r="C23127" s="5" t="str">
        <f>IFERROR(__xludf.DUMMYFUNCTION("GOOGLETRANSLATE(B23127,""en"",""es-ES"")"),"Los lectores de arte caminan por la galería, mirando la pintura.")</f>
        <v>Los lectores de arte caminan por la galería, mirando la pintura.</v>
      </c>
    </row>
    <row r="23128">
      <c r="A23128" s="4" t="s">
        <v>29100</v>
      </c>
      <c r="B23128" s="4" t="s">
        <v>29104</v>
      </c>
      <c r="C23128" s="5" t="str">
        <f>IFERROR(__xludf.DUMMYFUNCTION("GOOGLETRANSLATE(B23128,""en"",""es-ES"")"),"Luego concluimos con alguien tomando una foto y alejándose.")</f>
        <v>Luego concluimos con alguien tomando una foto y alejándose.</v>
      </c>
    </row>
    <row r="23129">
      <c r="A23129" s="4" t="s">
        <v>29105</v>
      </c>
      <c r="B23129" s="4" t="s">
        <v>29106</v>
      </c>
      <c r="C23129" s="5" t="str">
        <f>IFERROR(__xludf.DUMMYFUNCTION("GOOGLETRANSLATE(B23129,""en"",""es-ES"")"),"Un hombre muestra una ballesta y un cuchillo y otro equipo de caza.")</f>
        <v>Un hombre muestra una ballesta y un cuchillo y otro equipo de caza.</v>
      </c>
    </row>
    <row r="23130">
      <c r="A23130" s="4" t="s">
        <v>29105</v>
      </c>
      <c r="B23130" s="4" t="s">
        <v>29107</v>
      </c>
      <c r="C23130" s="5" t="str">
        <f>IFERROR(__xludf.DUMMYFUNCTION("GOOGLETRANSLATE(B23130,""en"",""es-ES"")"),"El hombre está hablando con la cámara que muestra un arco de caza.")</f>
        <v>El hombre está hablando con la cámara que muestra un arco de caza.</v>
      </c>
    </row>
    <row r="23131">
      <c r="A23131" s="4" t="s">
        <v>29105</v>
      </c>
      <c r="B23131" s="4" t="s">
        <v>29108</v>
      </c>
      <c r="C23131" s="5" t="str">
        <f>IFERROR(__xludf.DUMMYFUNCTION("GOOGLETRANSLATE(B23131,""en"",""es-ES"")"),"El arco se muestra en detalle.")</f>
        <v>El arco se muestra en detalle.</v>
      </c>
    </row>
    <row r="23132">
      <c r="A23132" s="4" t="s">
        <v>29105</v>
      </c>
      <c r="B23132" s="4" t="s">
        <v>29109</v>
      </c>
      <c r="C23132" s="5" t="str">
        <f>IFERROR(__xludf.DUMMYFUNCTION("GOOGLETRANSLATE(B23132,""en"",""es-ES"")"),"Otro hombre se muestra al aire libre usando el arco de caza para disparar a un objetivo.")</f>
        <v>Otro hombre se muestra al aire libre usando el arco de caza para disparar a un objetivo.</v>
      </c>
    </row>
    <row r="23133">
      <c r="A23133" s="4" t="s">
        <v>29105</v>
      </c>
      <c r="B23133" s="4" t="s">
        <v>29110</v>
      </c>
      <c r="C23133" s="5" t="str">
        <f>IFERROR(__xludf.DUMMYFUNCTION("GOOGLETRANSLATE(B23133,""en"",""es-ES"")"),"El hombre está hablando con la cámara nuevamente en interiores mostrando el arco de caza.")</f>
        <v>El hombre está hablando con la cámara nuevamente en interiores mostrando el arco de caza.</v>
      </c>
    </row>
    <row r="23134">
      <c r="A23134" s="4" t="s">
        <v>29111</v>
      </c>
      <c r="B23134" s="4" t="s">
        <v>29112</v>
      </c>
      <c r="C23134" s="5" t="str">
        <f>IFERROR(__xludf.DUMMYFUNCTION("GOOGLETRANSLATE(B23134,""en"",""es-ES"")"),"Un hombre está en un tablero de buceo y comienza a saltar al tablero una vez.")</f>
        <v>Un hombre está en un tablero de buceo y comienza a saltar al tablero una vez.</v>
      </c>
    </row>
    <row r="23135">
      <c r="A23135" s="4" t="s">
        <v>29111</v>
      </c>
      <c r="B23135" s="4" t="s">
        <v>29113</v>
      </c>
      <c r="C23135" s="5" t="str">
        <f>IFERROR(__xludf.DUMMYFUNCTION("GOOGLETRANSLATE(B23135,""en"",""es-ES"")"),"El hombre entra al aire y hace un rollo hacia adelante en el aire.")</f>
        <v>El hombre entra al aire y hace un rollo hacia adelante en el aire.</v>
      </c>
    </row>
    <row r="23136">
      <c r="A23136" s="4" t="s">
        <v>29111</v>
      </c>
      <c r="B23136" s="4" t="s">
        <v>29114</v>
      </c>
      <c r="C23136" s="5" t="str">
        <f>IFERROR(__xludf.DUMMYFUNCTION("GOOGLETRANSLATE(B23136,""en"",""es-ES"")"),"El hombre luego comienza a descender al agua desde la parte superior de su salto.")</f>
        <v>El hombre luego comienza a descender al agua desde la parte superior de su salto.</v>
      </c>
    </row>
    <row r="23137">
      <c r="A23137" s="4" t="s">
        <v>29111</v>
      </c>
      <c r="B23137" s="4" t="s">
        <v>29115</v>
      </c>
      <c r="C23137" s="5" t="str">
        <f>IFERROR(__xludf.DUMMYFUNCTION("GOOGLETRANSLATE(B23137,""en"",""es-ES"")"),"El hombre aterriza en el agua mientras salpica y hace el movimiento de regresar a la superficie.")</f>
        <v>El hombre aterriza en el agua mientras salpica y hace el movimiento de regresar a la superficie.</v>
      </c>
    </row>
    <row r="23138">
      <c r="A23138" s="4" t="s">
        <v>29116</v>
      </c>
      <c r="B23138" s="4" t="s">
        <v>29117</v>
      </c>
      <c r="C23138" s="5" t="str">
        <f>IFERROR(__xludf.DUMMYFUNCTION("GOOGLETRANSLATE(B23138,""en"",""es-ES"")"),"La mujer con gafas de sol, la chaqueta azul empujó el buque de vida redondo en la nieve y saltó sobre ella.")</f>
        <v>La mujer con gafas de sol, la chaqueta azul empujó el buque de vida redondo en la nieve y saltó sobre ella.</v>
      </c>
    </row>
    <row r="23139">
      <c r="A23139" s="4" t="s">
        <v>29116</v>
      </c>
      <c r="B23139" s="4" t="s">
        <v>29118</v>
      </c>
      <c r="C23139" s="5" t="str">
        <f>IFERROR(__xludf.DUMMYFUNCTION("GOOGLETRANSLATE(B23139,""en"",""es-ES"")"),"El LifeBuoy continúa deslizándose sobre la nieve, la mujer está mirando la cámara, pasó las banderas de naranja y varias personas que están paradas al costado del sendero.")</f>
        <v>El LifeBuoy continúa deslizándose sobre la nieve, la mujer está mirando la cámara, pasó las banderas de naranja y varias personas que están paradas al costado del sendero.</v>
      </c>
    </row>
    <row r="23140">
      <c r="A23140" s="4" t="s">
        <v>29119</v>
      </c>
      <c r="B23140" s="4" t="s">
        <v>1251</v>
      </c>
      <c r="C23140" s="5" t="str">
        <f>IFERROR(__xludf.DUMMYFUNCTION("GOOGLETRANSLATE(B23140,""en"",""es-ES"")"),"Se muestran los créditos del clip.")</f>
        <v>Se muestran los créditos del clip.</v>
      </c>
    </row>
    <row r="23141">
      <c r="A23141" s="4" t="s">
        <v>29119</v>
      </c>
      <c r="B23141" s="4" t="s">
        <v>29120</v>
      </c>
      <c r="C23141" s="5" t="str">
        <f>IFERROR(__xludf.DUMMYFUNCTION("GOOGLETRANSLATE(B23141,""en"",""es-ES"")"),"Un chico habla mientras gestica.")</f>
        <v>Un chico habla mientras gestica.</v>
      </c>
    </row>
    <row r="23142">
      <c r="A23142" s="4" t="s">
        <v>29119</v>
      </c>
      <c r="B23142" s="4" t="s">
        <v>29121</v>
      </c>
      <c r="C23142" s="5" t="str">
        <f>IFERROR(__xludf.DUMMYFUNCTION("GOOGLETRANSLATE(B23142,""en"",""es-ES"")"),"Se muestran los ingredientes para hacer un plato.")</f>
        <v>Se muestran los ingredientes para hacer un plato.</v>
      </c>
    </row>
    <row r="23143">
      <c r="A23143" s="4" t="s">
        <v>29119</v>
      </c>
      <c r="B23143" s="4" t="s">
        <v>29122</v>
      </c>
      <c r="C23143" s="5" t="str">
        <f>IFERROR(__xludf.DUMMYFUNCTION("GOOGLETRANSLATE(B23143,""en"",""es-ES"")"),"El chico pone mantequilla, aceite e ingredientes secos en una sartén.")</f>
        <v>El chico pone mantequilla, aceite e ingredientes secos en una sartén.</v>
      </c>
    </row>
    <row r="23144">
      <c r="A23144" s="4" t="s">
        <v>29119</v>
      </c>
      <c r="B23144" s="4" t="s">
        <v>29123</v>
      </c>
      <c r="C23144" s="5" t="str">
        <f>IFERROR(__xludf.DUMMYFUNCTION("GOOGLETRANSLATE(B23144,""en"",""es-ES"")"),"El tipo agrega pasta a la sartén.")</f>
        <v>El tipo agrega pasta a la sartén.</v>
      </c>
    </row>
    <row r="23145">
      <c r="A23145" s="4" t="s">
        <v>29119</v>
      </c>
      <c r="B23145" s="4" t="s">
        <v>573</v>
      </c>
      <c r="C23145" s="5" t="str">
        <f>IFERROR(__xludf.DUMMYFUNCTION("GOOGLETRANSLATE(B23145,""en"",""es-ES"")"),"Se muestran los créditos del video.")</f>
        <v>Se muestran los créditos del video.</v>
      </c>
    </row>
    <row r="23146">
      <c r="A23146" s="4" t="s">
        <v>29124</v>
      </c>
      <c r="B23146" s="4" t="s">
        <v>29125</v>
      </c>
      <c r="C23146" s="5" t="str">
        <f>IFERROR(__xludf.DUMMYFUNCTION("GOOGLETRANSLATE(B23146,""en"",""es-ES"")"),"Se ve a un grupo de personas de pie alrededor de un patio cuando uno golpea una pelota y otro observa de cerca.")</f>
        <v>Se ve a un grupo de personas de pie alrededor de un patio cuando uno golpea una pelota y otro observa de cerca.</v>
      </c>
    </row>
    <row r="23147">
      <c r="A23147" s="4" t="s">
        <v>29124</v>
      </c>
      <c r="B23147" s="4" t="s">
        <v>29126</v>
      </c>
      <c r="C23147" s="5" t="str">
        <f>IFERROR(__xludf.DUMMYFUNCTION("GOOGLETRANSLATE(B23147,""en"",""es-ES"")"),"Otro hombre entra al marco golpeando la pelota y las otras personas detrás de él continúan jugando.")</f>
        <v>Otro hombre entra al marco golpeando la pelota y las otras personas detrás de él continúan jugando.</v>
      </c>
    </row>
    <row r="23148">
      <c r="A23148" s="4" t="s">
        <v>29127</v>
      </c>
      <c r="B23148" s="4" t="s">
        <v>29128</v>
      </c>
      <c r="C23148" s="5" t="str">
        <f>IFERROR(__xludf.DUMMYFUNCTION("GOOGLETRANSLATE(B23148,""en"",""es-ES"")"),"Una cámara se mueve sobre un techo y muestra a varias personas trabajando y a un hombre siendo entrevistado.")</f>
        <v>Una cámara se mueve sobre un techo y muestra a varias personas trabajando y a un hombre siendo entrevistado.</v>
      </c>
    </row>
    <row r="23149">
      <c r="A23149" s="4" t="s">
        <v>29127</v>
      </c>
      <c r="B23149" s="4" t="s">
        <v>29129</v>
      </c>
      <c r="C23149" s="5" t="str">
        <f>IFERROR(__xludf.DUMMYFUNCTION("GOOGLETRANSLATE(B23149,""en"",""es-ES"")"),"Un hombre rocía un techo y muestra el producto utilizado varias veces y la parte superior del techo.")</f>
        <v>Un hombre rocía un techo y muestra el producto utilizado varias veces y la parte superior del techo.</v>
      </c>
    </row>
    <row r="23150">
      <c r="A23150" s="4" t="s">
        <v>29127</v>
      </c>
      <c r="B23150" s="4" t="s">
        <v>29130</v>
      </c>
      <c r="C23150" s="5" t="str">
        <f>IFERROR(__xludf.DUMMYFUNCTION("GOOGLETRANSLATE(B23150,""en"",""es-ES"")"),"Otro hombre es entrevistado y muestra a más hombres trabajando en el techo.")</f>
        <v>Otro hombre es entrevistado y muestra a más hombres trabajando en el techo.</v>
      </c>
    </row>
    <row r="23151">
      <c r="A23151" s="4" t="s">
        <v>29131</v>
      </c>
      <c r="B23151" s="4" t="s">
        <v>29132</v>
      </c>
      <c r="C23151" s="5" t="str">
        <f>IFERROR(__xludf.DUMMYFUNCTION("GOOGLETRANSLATE(B23151,""en"",""es-ES"")"),"Una persona pone una prenda en un cubo, luego agrega detergente y agua.")</f>
        <v>Una persona pone una prenda en un cubo, luego agrega detergente y agua.</v>
      </c>
    </row>
    <row r="23152">
      <c r="A23152" s="4" t="s">
        <v>29131</v>
      </c>
      <c r="B23152" s="4" t="s">
        <v>29133</v>
      </c>
      <c r="C23152" s="5" t="str">
        <f>IFERROR(__xludf.DUMMYFUNCTION("GOOGLETRANSLATE(B23152,""en"",""es-ES"")"),"Luego, el hombre lava la tela con la mano y luego vierte agua y enjuague varias veces.")</f>
        <v>Luego, el hombre lava la tela con la mano y luego vierte agua y enjuague varias veces.</v>
      </c>
    </row>
    <row r="23153">
      <c r="A23153" s="4" t="s">
        <v>29131</v>
      </c>
      <c r="B23153" s="4" t="s">
        <v>29134</v>
      </c>
      <c r="C23153" s="5" t="str">
        <f>IFERROR(__xludf.DUMMYFUNCTION("GOOGLETRANSLATE(B23153,""en"",""es-ES"")"),"Luego, la persona lleva la prenda para colgar una cuerda y secarse.")</f>
        <v>Luego, la persona lleva la prenda para colgar una cuerda y secarse.</v>
      </c>
    </row>
    <row r="23154">
      <c r="A23154" s="4" t="s">
        <v>29135</v>
      </c>
      <c r="B23154" s="4" t="s">
        <v>29136</v>
      </c>
      <c r="C23154" s="5" t="str">
        <f>IFERROR(__xludf.DUMMYFUNCTION("GOOGLETRANSLATE(B23154,""en"",""es-ES"")"),"Se ve a un gran río seguido por una persona que conduce en un tubo.")</f>
        <v>Se ve a un gran río seguido por una persona que conduce en un tubo.</v>
      </c>
    </row>
    <row r="23155">
      <c r="A23155" s="4" t="s">
        <v>29135</v>
      </c>
      <c r="B23155" s="4" t="s">
        <v>29137</v>
      </c>
      <c r="C23155" s="5" t="str">
        <f>IFERROR(__xludf.DUMMYFUNCTION("GOOGLETRANSLATE(B23155,""en"",""es-ES"")"),"También se ve a otra persona montando en un tubo.")</f>
        <v>También se ve a otra persona montando en un tubo.</v>
      </c>
    </row>
    <row r="23156">
      <c r="A23156" s="4" t="s">
        <v>29135</v>
      </c>
      <c r="B23156" s="4" t="s">
        <v>29138</v>
      </c>
      <c r="C23156" s="5" t="str">
        <f>IFERROR(__xludf.DUMMYFUNCTION("GOOGLETRANSLATE(B23156,""en"",""es-ES"")"),"Los dos viajan por el río juntos y pasan a otras personas sentadas junto al río.")</f>
        <v>Los dos viajan por el río juntos y pasan a otras personas sentadas junto al río.</v>
      </c>
    </row>
    <row r="23157">
      <c r="A23157" s="4" t="s">
        <v>29139</v>
      </c>
      <c r="B23157" s="4" t="s">
        <v>29140</v>
      </c>
      <c r="C23157" s="5" t="str">
        <f>IFERROR(__xludf.DUMMYFUNCTION("GOOGLETRANSLATE(B23157,""en"",""es-ES"")"),"Se ve a un hombre hablando con la cámara mientras sostiene un gran acordeón en sus manos.")</f>
        <v>Se ve a un hombre hablando con la cámara mientras sostiene un gran acordeón en sus manos.</v>
      </c>
    </row>
    <row r="23158">
      <c r="A23158" s="4" t="s">
        <v>29139</v>
      </c>
      <c r="B23158" s="4" t="s">
        <v>29141</v>
      </c>
      <c r="C23158" s="5" t="str">
        <f>IFERROR(__xludf.DUMMYFUNCTION("GOOGLETRANSLATE(B23158,""en"",""es-ES"")"),"El hombre luego demuestra cómo tocar adecuadamente el instrumento mientras se mueve hacia arriba y hacia abajo.")</f>
        <v>El hombre luego demuestra cómo tocar adecuadamente el instrumento mientras se mueve hacia arriba y hacia abajo.</v>
      </c>
    </row>
    <row r="23159">
      <c r="A23159" s="4" t="s">
        <v>29142</v>
      </c>
      <c r="B23159" s="4" t="s">
        <v>29143</v>
      </c>
      <c r="C23159" s="5" t="str">
        <f>IFERROR(__xludf.DUMMYFUNCTION("GOOGLETRANSLATE(B23159,""en"",""es-ES"")"),"Un hombre de cabello blanco se sienta en un piano vertical y comienza a jugar en un vestíbulo mientras la gente pasa.")</f>
        <v>Un hombre de cabello blanco se sienta en un piano vertical y comienza a jugar en un vestíbulo mientras la gente pasa.</v>
      </c>
    </row>
    <row r="23160">
      <c r="A23160" s="4" t="s">
        <v>29142</v>
      </c>
      <c r="B23160" s="4" t="s">
        <v>29144</v>
      </c>
      <c r="C23160" s="5" t="str">
        <f>IFERROR(__xludf.DUMMYFUNCTION("GOOGLETRANSLATE(B23160,""en"",""es-ES"")"),"El camarógrafo se acerca a las manos del hombre mientras juega y se aleja.")</f>
        <v>El camarógrafo se acerca a las manos del hombre mientras juega y se aleja.</v>
      </c>
    </row>
    <row r="23161">
      <c r="A23161" s="4" t="s">
        <v>29145</v>
      </c>
      <c r="B23161" s="4" t="s">
        <v>29146</v>
      </c>
      <c r="C23161" s="5" t="str">
        <f>IFERROR(__xludf.DUMMYFUNCTION("GOOGLETRANSLATE(B23161,""en"",""es-ES"")"),"Una introducción conduce a un hombre alto con un disfraz de Santa y patinando por una larga calle entre personas.")</f>
        <v>Una introducción conduce a un hombre alto con un disfraz de Santa y patinando por una larga calle entre personas.</v>
      </c>
    </row>
    <row r="23162">
      <c r="A23162" s="4" t="s">
        <v>29145</v>
      </c>
      <c r="B23162" s="4" t="s">
        <v>29147</v>
      </c>
      <c r="C23162" s="5" t="str">
        <f>IFERROR(__xludf.DUMMYFUNCTION("GOOGLETRANSLATE(B23162,""en"",""es-ES"")"),"La cámara lo sigue montando por la ciudad y realizando varios trucos y maniobras alrededor de los autos y las personas.")</f>
        <v>La cámara lo sigue montando por la ciudad y realizando varios trucos y maniobras alrededor de los autos y las personas.</v>
      </c>
    </row>
    <row r="23163">
      <c r="A23163" s="4" t="s">
        <v>29148</v>
      </c>
      <c r="B23163" s="4" t="s">
        <v>29149</v>
      </c>
      <c r="C23163" s="5" t="str">
        <f>IFERROR(__xludf.DUMMYFUNCTION("GOOGLETRANSLATE(B23163,""en"",""es-ES"")"),"Dos hombres entraron sobre la mesa de fútbol, ​​un hombre contó los dados a un lado.")</f>
        <v>Dos hombres entraron sobre la mesa de fútbol, ​​un hombre contó los dados a un lado.</v>
      </c>
    </row>
    <row r="23164">
      <c r="A23164" s="4" t="s">
        <v>29148</v>
      </c>
      <c r="B23164" s="4" t="s">
        <v>29150</v>
      </c>
      <c r="C23164" s="5" t="str">
        <f>IFERROR(__xludf.DUMMYFUNCTION("GOOGLETRANSLATE(B23164,""en"",""es-ES"")"),"Los jugadores giran y empujan y tiran de los postes mientras juegan sobre la mesa.")</f>
        <v>Los jugadores giran y empujan y tiran de los postes mientras juegan sobre la mesa.</v>
      </c>
    </row>
    <row r="23165">
      <c r="A23165" s="4" t="s">
        <v>29148</v>
      </c>
      <c r="B23165" s="4" t="s">
        <v>29151</v>
      </c>
      <c r="C23165" s="5" t="str">
        <f>IFERROR(__xludf.DUMMYFUNCTION("GOOGLETRANSLATE(B23165,""en"",""es-ES"")"),"Los camarógrafos están tomando fotos detrás de ellos.")</f>
        <v>Los camarógrafos están tomando fotos detrás de ellos.</v>
      </c>
    </row>
    <row r="23166">
      <c r="A23166" s="4" t="s">
        <v>29152</v>
      </c>
      <c r="B23166" s="4" t="s">
        <v>29153</v>
      </c>
      <c r="C23166" s="5" t="str">
        <f>IFERROR(__xludf.DUMMYFUNCTION("GOOGLETRANSLATE(B23166,""en"",""es-ES"")"),"Se muestran a varios hombres bolos mientras una audiencia observa.")</f>
        <v>Se muestran a varios hombres bolos mientras una audiencia observa.</v>
      </c>
    </row>
    <row r="23167">
      <c r="A23167" s="4" t="s">
        <v>29152</v>
      </c>
      <c r="B23167" s="4" t="s">
        <v>29154</v>
      </c>
      <c r="C23167" s="5" t="str">
        <f>IFERROR(__xludf.DUMMYFUNCTION("GOOGLETRANSLATE(B23167,""en"",""es-ES"")"),"Los jugadores de bolos son a su vez, uno a la vez.")</f>
        <v>Los jugadores de bolos son a su vez, uno a la vez.</v>
      </c>
    </row>
    <row r="23168">
      <c r="A23168" s="4" t="s">
        <v>29152</v>
      </c>
      <c r="B23168" s="4" t="s">
        <v>29155</v>
      </c>
      <c r="C23168" s="5" t="str">
        <f>IFERROR(__xludf.DUMMYFUNCTION("GOOGLETRANSLATE(B23168,""en"",""es-ES"")"),"Los jugadores y la audiencia animan a uno de los jugadores.")</f>
        <v>Los jugadores y la audiencia animan a uno de los jugadores.</v>
      </c>
    </row>
    <row r="23169">
      <c r="A23169" s="4" t="s">
        <v>29156</v>
      </c>
      <c r="B23169" s="4" t="s">
        <v>29157</v>
      </c>
      <c r="C23169" s="5" t="str">
        <f>IFERROR(__xludf.DUMMYFUNCTION("GOOGLETRANSLATE(B23169,""en"",""es-ES"")"),"Un hombre está usando un par de recortadores de cobertura en los árboles.")</f>
        <v>Un hombre está usando un par de recortadores de cobertura en los árboles.</v>
      </c>
    </row>
    <row r="23170">
      <c r="A23170" s="4" t="s">
        <v>29156</v>
      </c>
      <c r="B23170" s="4" t="s">
        <v>29158</v>
      </c>
      <c r="C23170" s="5" t="str">
        <f>IFERROR(__xludf.DUMMYFUNCTION("GOOGLETRANSLATE(B23170,""en"",""es-ES"")"),"Está hablando con la cámara a medida que avanza.")</f>
        <v>Está hablando con la cámara a medida que avanza.</v>
      </c>
    </row>
    <row r="23171">
      <c r="A23171" s="4" t="s">
        <v>29156</v>
      </c>
      <c r="B23171" s="4" t="s">
        <v>29159</v>
      </c>
      <c r="C23171" s="5" t="str">
        <f>IFERROR(__xludf.DUMMYFUNCTION("GOOGLETRANSLATE(B23171,""en"",""es-ES"")"),"Él recorta los árboles con las tijeras.")</f>
        <v>Él recorta los árboles con las tijeras.</v>
      </c>
    </row>
    <row r="23172">
      <c r="A23172" s="4" t="s">
        <v>29160</v>
      </c>
      <c r="B23172" s="4" t="s">
        <v>29161</v>
      </c>
      <c r="C23172" s="5" t="str">
        <f>IFERROR(__xludf.DUMMYFUNCTION("GOOGLETRANSLATE(B23172,""en"",""es-ES"")"),"Una persona recoge trapeadores y materiales de limpieza en un piso duro.")</f>
        <v>Una persona recoge trapeadores y materiales de limpieza en un piso duro.</v>
      </c>
    </row>
    <row r="23173">
      <c r="A23173" s="4" t="s">
        <v>29160</v>
      </c>
      <c r="B23173" s="4" t="s">
        <v>29162</v>
      </c>
      <c r="C23173" s="5" t="str">
        <f>IFERROR(__xludf.DUMMYFUNCTION("GOOGLETRANSLATE(B23173,""en"",""es-ES"")"),"La persona limpia el piso duro con un trapeador de polvo.")</f>
        <v>La persona limpia el piso duro con un trapeador de polvo.</v>
      </c>
    </row>
    <row r="23174">
      <c r="A23174" s="4" t="s">
        <v>29160</v>
      </c>
      <c r="B23174" s="4" t="s">
        <v>29163</v>
      </c>
      <c r="C23174" s="5" t="str">
        <f>IFERROR(__xludf.DUMMYFUNCTION("GOOGLETRANSLATE(B23174,""en"",""es-ES"")"),"Luego, la persona pone una taza de detergente en una camada de agua, luego humedece una tela y se une a un mango para trapear el piso.")</f>
        <v>Luego, la persona pone una taza de detergente en una camada de agua, luego humedece una tela y se une a un mango para trapear el piso.</v>
      </c>
    </row>
    <row r="23175">
      <c r="A23175" s="4" t="s">
        <v>29160</v>
      </c>
      <c r="B23175" s="4" t="s">
        <v>29164</v>
      </c>
      <c r="C23175" s="5" t="str">
        <f>IFERROR(__xludf.DUMMYFUNCTION("GOOGLETRANSLATE(B23175,""en"",""es-ES"")"),"La persona elimina las manchas en el piso con un paño con una solución especial.")</f>
        <v>La persona elimina las manchas en el piso con un paño con una solución especial.</v>
      </c>
    </row>
    <row r="23176">
      <c r="A23176" s="4" t="s">
        <v>29165</v>
      </c>
      <c r="B23176" s="4" t="s">
        <v>29166</v>
      </c>
      <c r="C23176" s="5" t="str">
        <f>IFERROR(__xludf.DUMMYFUNCTION("GOOGLETRANSLATE(B23176,""en"",""es-ES"")"),"Una persona toma dos palos en la batería, un palo se sostiene con una mano y la otra con el pie, luego la persona toca con una mano y la batería cae.")</f>
        <v>Una persona toma dos palos en la batería, un palo se sostiene con una mano y la otra con el pie, luego la persona toca con una mano y la batería cae.</v>
      </c>
    </row>
    <row r="23177">
      <c r="A23177" s="4" t="s">
        <v>29165</v>
      </c>
      <c r="B23177" s="4" t="s">
        <v>29167</v>
      </c>
      <c r="C23177" s="5" t="str">
        <f>IFERROR(__xludf.DUMMYFUNCTION("GOOGLETRANSLATE(B23177,""en"",""es-ES"")"),"La persona juega con una mano y pies, y la cara de un gorila aparece.")</f>
        <v>La persona juega con una mano y pies, y la cara de un gorila aparece.</v>
      </c>
    </row>
    <row r="23178">
      <c r="A23178" s="4" t="s">
        <v>29165</v>
      </c>
      <c r="B23178" s="4" t="s">
        <v>29168</v>
      </c>
      <c r="C23178" s="5" t="str">
        <f>IFERROR(__xludf.DUMMYFUNCTION("GOOGLETRANSLATE(B23178,""en"",""es-ES"")"),"Luego, la persona pone mostaza en un tambor y un huevo en otro tambor y tambores.")</f>
        <v>Luego, la persona pone mostaza en un tambor y un huevo en otro tambor y tambores.</v>
      </c>
    </row>
    <row r="23179">
      <c r="A23179" s="4" t="s">
        <v>29165</v>
      </c>
      <c r="B23179" s="4" t="s">
        <v>29169</v>
      </c>
      <c r="C23179" s="5" t="str">
        <f>IFERROR(__xludf.DUMMYFUNCTION("GOOGLETRANSLATE(B23179,""en"",""es-ES"")"),"Después, la persona pone una tortilla y tambores, luego frito y huevo.")</f>
        <v>Después, la persona pone una tortilla y tambores, luego frito y huevo.</v>
      </c>
    </row>
    <row r="23180">
      <c r="A23180" s="4" t="s">
        <v>29165</v>
      </c>
      <c r="B23180" s="4" t="s">
        <v>29170</v>
      </c>
      <c r="C23180" s="5" t="str">
        <f>IFERROR(__xludf.DUMMYFUNCTION("GOOGLETRANSLATE(B23180,""en"",""es-ES"")"),"Luego, la persona destruye la batería.")</f>
        <v>Luego, la persona destruye la batería.</v>
      </c>
    </row>
    <row r="23181">
      <c r="A23181" s="4" t="s">
        <v>29171</v>
      </c>
      <c r="B23181" s="4" t="s">
        <v>29172</v>
      </c>
      <c r="C23181" s="5" t="str">
        <f>IFERROR(__xludf.DUMMYFUNCTION("GOOGLETRANSLATE(B23181,""en"",""es-ES"")"),"El video comienza con varias tomas de una persona que hace trucos en una patineta, mientras que muchas personas lo miran a los costados.")</f>
        <v>El video comienza con varias tomas de una persona que hace trucos en una patineta, mientras que muchas personas lo miran a los costados.</v>
      </c>
    </row>
    <row r="23182">
      <c r="A23182" s="4" t="s">
        <v>29171</v>
      </c>
      <c r="B23182" s="4" t="s">
        <v>29173</v>
      </c>
      <c r="C23182" s="5" t="str">
        <f>IFERROR(__xludf.DUMMYFUNCTION("GOOGLETRANSLATE(B23182,""en"",""es-ES"")"),"Intenta muchos más trucos que no lo hacen aterrizar en el tablero y camina alrededor del tazón cada vez después.")</f>
        <v>Intenta muchos más trucos que no lo hacen aterrizar en el tablero y camina alrededor del tazón cada vez después.</v>
      </c>
    </row>
    <row r="23183">
      <c r="A23183" s="4" t="s">
        <v>29174</v>
      </c>
      <c r="B23183" s="4" t="s">
        <v>29175</v>
      </c>
      <c r="C23183" s="5" t="str">
        <f>IFERROR(__xludf.DUMMYFUNCTION("GOOGLETRANSLATE(B23183,""en"",""es-ES"")"),"Se ve a una mujer parada en un escenario con una sola luz que se muestra y comienza a realizar una rutina de baile.")</f>
        <v>Se ve a una mujer parada en un escenario con una sola luz que se muestra y comienza a realizar una rutina de baile.</v>
      </c>
    </row>
    <row r="23184">
      <c r="A23184" s="4" t="s">
        <v>29174</v>
      </c>
      <c r="B23184" s="4" t="s">
        <v>29176</v>
      </c>
      <c r="C23184" s="5" t="str">
        <f>IFERROR(__xludf.DUMMYFUNCTION("GOOGLETRANSLATE(B23184,""en"",""es-ES"")"),"La luz se ve en la mujer es llevada a ella en un escenario iluminado que realiza una rutina de baile del vientre.")</f>
        <v>La luz se ve en la mujer es llevada a ella en un escenario iluminado que realiza una rutina de baile del vientre.</v>
      </c>
    </row>
    <row r="23185">
      <c r="A23185" s="4" t="s">
        <v>29174</v>
      </c>
      <c r="B23185" s="4" t="s">
        <v>29177</v>
      </c>
      <c r="C23185" s="5" t="str">
        <f>IFERROR(__xludf.DUMMYFUNCTION("GOOGLETRANSLATE(B23185,""en"",""es-ES"")"),"El escenario vuelve a oscurecer nuevamente y la mujer continúa bailando todo en el escenario y sosteniendo una pose.")</f>
        <v>El escenario vuelve a oscurecer nuevamente y la mujer continúa bailando todo en el escenario y sosteniendo una pose.</v>
      </c>
    </row>
    <row r="23186">
      <c r="A23186" s="4" t="s">
        <v>29178</v>
      </c>
      <c r="B23186" s="4" t="s">
        <v>29179</v>
      </c>
      <c r="C23186" s="5" t="str">
        <f>IFERROR(__xludf.DUMMYFUNCTION("GOOGLETRANSLATE(B23186,""en"",""es-ES"")"),"Un niño palea la nieve en un patio y la arroja al camino de entrada.")</f>
        <v>Un niño palea la nieve en un patio y la arroja al camino de entrada.</v>
      </c>
    </row>
    <row r="23187">
      <c r="A23187" s="4" t="s">
        <v>29178</v>
      </c>
      <c r="B23187" s="4" t="s">
        <v>29180</v>
      </c>
      <c r="C23187" s="5" t="str">
        <f>IFERROR(__xludf.DUMMYFUNCTION("GOOGLETRANSLATE(B23187,""en"",""es-ES"")"),"La niña deja caer su pala y su pala en la nieve.")</f>
        <v>La niña deja caer su pala y su pala en la nieve.</v>
      </c>
    </row>
    <row r="23188">
      <c r="A23188" s="4" t="s">
        <v>29178</v>
      </c>
      <c r="B23188" s="4" t="s">
        <v>29181</v>
      </c>
      <c r="C23188" s="5" t="str">
        <f>IFERROR(__xludf.DUMMYFUNCTION("GOOGLETRANSLATE(B23188,""en"",""es-ES"")"),"El niño se acerca a su familia en el patio.")</f>
        <v>El niño se acerca a su familia en el patio.</v>
      </c>
    </row>
    <row r="23189">
      <c r="A23189" s="4" t="s">
        <v>29182</v>
      </c>
      <c r="B23189" s="4" t="s">
        <v>29183</v>
      </c>
      <c r="C23189" s="5" t="str">
        <f>IFERROR(__xludf.DUMMYFUNCTION("GOOGLETRANSLATE(B23189,""en"",""es-ES"")"),"Varias personas están en caballos en un rodeo.")</f>
        <v>Varias personas están en caballos en un rodeo.</v>
      </c>
    </row>
    <row r="23190">
      <c r="A23190" s="4" t="s">
        <v>29182</v>
      </c>
      <c r="B23190" s="4" t="s">
        <v>29184</v>
      </c>
      <c r="C23190" s="5" t="str">
        <f>IFERROR(__xludf.DUMMYFUNCTION("GOOGLETRANSLATE(B23190,""en"",""es-ES"")"),"Un hombre sale de la puerta y tiene una pantorrilla.")</f>
        <v>Un hombre sale de la puerta y tiene una pantorrilla.</v>
      </c>
    </row>
    <row r="23191">
      <c r="A23191" s="4" t="s">
        <v>29182</v>
      </c>
      <c r="B23191" s="4" t="s">
        <v>29185</v>
      </c>
      <c r="C23191" s="5" t="str">
        <f>IFERROR(__xludf.DUMMYFUNCTION("GOOGLETRANSLATE(B23191,""en"",""es-ES"")"),"El ternero cae al suelo mientras está en su lugar.")</f>
        <v>El ternero cae al suelo mientras está en su lugar.</v>
      </c>
    </row>
    <row r="23192">
      <c r="A23192" s="4" t="s">
        <v>29182</v>
      </c>
      <c r="B23192" s="4" t="s">
        <v>29186</v>
      </c>
      <c r="C23192" s="5" t="str">
        <f>IFERROR(__xludf.DUMMYFUNCTION("GOOGLETRANSLATE(B23192,""en"",""es-ES"")"),"Intenta pararse, pero otro hombre lo agarra.")</f>
        <v>Intenta pararse, pero otro hombre lo agarra.</v>
      </c>
    </row>
    <row r="23193">
      <c r="A23193" s="4" t="s">
        <v>29187</v>
      </c>
      <c r="B23193" s="4" t="s">
        <v>29188</v>
      </c>
      <c r="C23193" s="5" t="str">
        <f>IFERROR(__xludf.DUMMYFUNCTION("GOOGLETRANSLATE(B23193,""en"",""es-ES"")"),"Mucha gente con chaquetas de vida roja y está en un autobús y sosteniendo balsas.")</f>
        <v>Mucha gente con chaquetas de vida roja y está en un autobús y sosteniendo balsas.</v>
      </c>
    </row>
    <row r="23194">
      <c r="A23194" s="4" t="s">
        <v>29187</v>
      </c>
      <c r="B23194" s="4" t="s">
        <v>29189</v>
      </c>
      <c r="C23194" s="5" t="str">
        <f>IFERROR(__xludf.DUMMYFUNCTION("GOOGLETRANSLATE(B23194,""en"",""es-ES"")"),"La gente está en agua remando en el río.")</f>
        <v>La gente está en agua remando en el río.</v>
      </c>
    </row>
    <row r="23195">
      <c r="A23195" s="4" t="s">
        <v>29190</v>
      </c>
      <c r="B23195" s="4" t="s">
        <v>29191</v>
      </c>
      <c r="C23195" s="5" t="str">
        <f>IFERROR(__xludf.DUMMYFUNCTION("GOOGLETRANSLATE(B23195,""en"",""es-ES"")"),"El atleta masculino arco luego levantó los brazos y luego caminó hacia los postes.")</f>
        <v>El atleta masculino arco luego levantó los brazos y luego caminó hacia los postes.</v>
      </c>
    </row>
    <row r="23196">
      <c r="A23196" s="4" t="s">
        <v>29190</v>
      </c>
      <c r="B23196" s="4" t="s">
        <v>29192</v>
      </c>
      <c r="C23196" s="5" t="str">
        <f>IFERROR(__xludf.DUMMYFUNCTION("GOOGLETRANSLATE(B23196,""en"",""es-ES"")"),"El atleta saltó sobre los postes y se equilibró en los dos postes, parados sobre sus brazos y luego cayendo y girando.")</f>
        <v>El atleta saltó sobre los postes y se equilibró en los dos postes, parados sobre sus brazos y luego cayendo y girando.</v>
      </c>
    </row>
    <row r="23197">
      <c r="A23197" s="4" t="s">
        <v>29190</v>
      </c>
      <c r="B23197" s="4" t="s">
        <v>29193</v>
      </c>
      <c r="C23197" s="5" t="str">
        <f>IFERROR(__xludf.DUMMYFUNCTION("GOOGLETRANSLATE(B23197,""en"",""es-ES"")"),"Cuando el atleta termina con su número, saltó del poste y aterrizó sobre sus pies sobre la colchoneta.")</f>
        <v>Cuando el atleta termina con su número, saltó del poste y aterrizó sobre sus pies sobre la colchoneta.</v>
      </c>
    </row>
    <row r="23198">
      <c r="A23198" s="4" t="s">
        <v>29194</v>
      </c>
      <c r="B23198" s="4" t="s">
        <v>29195</v>
      </c>
      <c r="C23198" s="5" t="str">
        <f>IFERROR(__xludf.DUMMYFUNCTION("GOOGLETRANSLATE(B23198,""en"",""es-ES"")"),"Una fila de bateristas está parado frente a una orquesta.")</f>
        <v>Una fila de bateristas está parado frente a una orquesta.</v>
      </c>
    </row>
    <row r="23199">
      <c r="A23199" s="4" t="s">
        <v>29194</v>
      </c>
      <c r="B23199" s="4" t="s">
        <v>29196</v>
      </c>
      <c r="C23199" s="5" t="str">
        <f>IFERROR(__xludf.DUMMYFUNCTION("GOOGLETRANSLATE(B23199,""en"",""es-ES"")"),"Los bateristas sostienen sus baquetas frente a su cara.")</f>
        <v>Los bateristas sostienen sus baquetas frente a su cara.</v>
      </c>
    </row>
    <row r="23200">
      <c r="A23200" s="4" t="s">
        <v>29194</v>
      </c>
      <c r="B23200" s="4" t="s">
        <v>29197</v>
      </c>
      <c r="C23200" s="5" t="str">
        <f>IFERROR(__xludf.DUMMYFUNCTION("GOOGLETRANSLATE(B23200,""en"",""es-ES"")"),"Cada uno venció a su batería.")</f>
        <v>Cada uno venció a su batería.</v>
      </c>
    </row>
    <row r="23201">
      <c r="A23201" s="4" t="s">
        <v>29194</v>
      </c>
      <c r="B23201" s="4" t="s">
        <v>29198</v>
      </c>
      <c r="C23201" s="5" t="str">
        <f>IFERROR(__xludf.DUMMYFUNCTION("GOOGLETRANSLATE(B23201,""en"",""es-ES"")"),"Después de cada nota, los bateristas levantan sus baquetas frente a sus caras.")</f>
        <v>Después de cada nota, los bateristas levantan sus baquetas frente a sus caras.</v>
      </c>
    </row>
    <row r="23202">
      <c r="A23202" s="4" t="s">
        <v>29199</v>
      </c>
      <c r="B23202" s="4" t="s">
        <v>29200</v>
      </c>
      <c r="C23202" s="5" t="str">
        <f>IFERROR(__xludf.DUMMYFUNCTION("GOOGLETRANSLATE(B23202,""en"",""es-ES"")"),"Se ve a un hombre parado en una escalera y hablando con la cámara.")</f>
        <v>Se ve a un hombre parado en una escalera y hablando con la cámara.</v>
      </c>
    </row>
    <row r="23203">
      <c r="A23203" s="4" t="s">
        <v>29199</v>
      </c>
      <c r="B23203" s="4" t="s">
        <v>29201</v>
      </c>
      <c r="C23203" s="5" t="str">
        <f>IFERROR(__xludf.DUMMYFUNCTION("GOOGLETRANSLATE(B23203,""en"",""es-ES"")"),"Él sostiene varias herramientas y comienza a juntarlas.")</f>
        <v>Él sostiene varias herramientas y comienza a juntarlas.</v>
      </c>
    </row>
    <row r="23204">
      <c r="A23204" s="4" t="s">
        <v>29199</v>
      </c>
      <c r="B23204" s="4" t="s">
        <v>29202</v>
      </c>
      <c r="C23204" s="5" t="str">
        <f>IFERROR(__xludf.DUMMYFUNCTION("GOOGLETRANSLATE(B23204,""en"",""es-ES"")"),"Luego limpia una ventana usando las herramientas y aprieta la escalera.")</f>
        <v>Luego limpia una ventana usando las herramientas y aprieta la escalera.</v>
      </c>
    </row>
    <row r="23205">
      <c r="A23205" s="4" t="s">
        <v>29203</v>
      </c>
      <c r="B23205" s="4" t="s">
        <v>29204</v>
      </c>
      <c r="C23205" s="5" t="str">
        <f>IFERROR(__xludf.DUMMYFUNCTION("GOOGLETRANSLATE(B23205,""en"",""es-ES"")"),"Una persona que lleva una chaqueta azul y un casco de naranja está en una balsa volcada en el agua.")</f>
        <v>Una persona que lleva una chaqueta azul y un casco de naranja está en una balsa volcada en el agua.</v>
      </c>
    </row>
    <row r="23206">
      <c r="A23206" s="4" t="s">
        <v>29203</v>
      </c>
      <c r="B23206" s="4" t="s">
        <v>29205</v>
      </c>
      <c r="C23206" s="5" t="str">
        <f>IFERROR(__xludf.DUMMYFUNCTION("GOOGLETRANSLATE(B23206,""en"",""es-ES"")"),"La balsa vuelve por completo mientras intenta subir.")</f>
        <v>La balsa vuelve por completo mientras intenta subir.</v>
      </c>
    </row>
    <row r="23207">
      <c r="A23207" s="4" t="s">
        <v>29203</v>
      </c>
      <c r="B23207" s="4" t="s">
        <v>29206</v>
      </c>
      <c r="C23207" s="5" t="str">
        <f>IFERROR(__xludf.DUMMYFUNCTION("GOOGLETRANSLATE(B23207,""en"",""es-ES"")"),"Luego, el hombre endereza la balsa y se sienta directamente en la balsa.")</f>
        <v>Luego, el hombre endereza la balsa y se sienta directamente en la balsa.</v>
      </c>
    </row>
    <row r="23208">
      <c r="A23208" s="4" t="s">
        <v>29207</v>
      </c>
      <c r="B23208" s="4" t="s">
        <v>29208</v>
      </c>
      <c r="C23208" s="5" t="str">
        <f>IFERROR(__xludf.DUMMYFUNCTION("GOOGLETRANSLATE(B23208,""en"",""es-ES"")"),"Se ve a un hombre montar sobre un caballo mientras balancea una cuerda y agarra una pantorrilla.")</f>
        <v>Se ve a un hombre montar sobre un caballo mientras balancea una cuerda y agarra una pantorrilla.</v>
      </c>
    </row>
    <row r="23209">
      <c r="A23209" s="4" t="s">
        <v>29207</v>
      </c>
      <c r="B23209" s="4" t="s">
        <v>29209</v>
      </c>
      <c r="C23209" s="5" t="str">
        <f>IFERROR(__xludf.DUMMYFUNCTION("GOOGLETRANSLATE(B23209,""en"",""es-ES"")"),"La persona ata el ternero mientras otros montan en caballos y los hombres desataban al animal.")</f>
        <v>La persona ata el ternero mientras otros montan en caballos y los hombres desataban al animal.</v>
      </c>
    </row>
    <row r="23210">
      <c r="A23210" s="4" t="s">
        <v>29210</v>
      </c>
      <c r="B23210" s="4" t="s">
        <v>29211</v>
      </c>
      <c r="C23210" s="5" t="str">
        <f>IFERROR(__xludf.DUMMYFUNCTION("GOOGLETRANSLATE(B23210,""en"",""es-ES"")"),"Una mujer sostiene a un bebé en la playa.")</f>
        <v>Una mujer sostiene a un bebé en la playa.</v>
      </c>
    </row>
    <row r="23211">
      <c r="A23211" s="4" t="s">
        <v>29210</v>
      </c>
      <c r="B23211" s="4" t="s">
        <v>29212</v>
      </c>
      <c r="C23211" s="5" t="str">
        <f>IFERROR(__xludf.DUMMYFUNCTION("GOOGLETRANSLATE(B23211,""en"",""es-ES"")"),"Ella pone al bebé en una toalla y comienza a frotar el protector solar en el bebé.")</f>
        <v>Ella pone al bebé en una toalla y comienza a frotar el protector solar en el bebé.</v>
      </c>
    </row>
    <row r="23212">
      <c r="A23212" s="4" t="s">
        <v>29210</v>
      </c>
      <c r="B23212" s="4" t="s">
        <v>29213</v>
      </c>
      <c r="C23212" s="5" t="str">
        <f>IFERROR(__xludf.DUMMYFUNCTION("GOOGLETRANSLATE(B23212,""en"",""es-ES"")"),"Ella recoge al bebé y le da un beso.")</f>
        <v>Ella recoge al bebé y le da un beso.</v>
      </c>
    </row>
    <row r="23213">
      <c r="A23213" s="4" t="s">
        <v>29214</v>
      </c>
      <c r="B23213" s="4" t="s">
        <v>29215</v>
      </c>
      <c r="C23213" s="5" t="str">
        <f>IFERROR(__xludf.DUMMYFUNCTION("GOOGLETRANSLATE(B23213,""en"",""es-ES"")"),"Se muestra una cartelera en una pared.")</f>
        <v>Se muestra una cartelera en una pared.</v>
      </c>
    </row>
    <row r="23214">
      <c r="A23214" s="4" t="s">
        <v>29214</v>
      </c>
      <c r="B23214" s="4" t="s">
        <v>29216</v>
      </c>
      <c r="C23214" s="5" t="str">
        <f>IFERROR(__xludf.DUMMYFUNCTION("GOOGLETRANSLATE(B23214,""en"",""es-ES"")"),"Los niños salen corriendo al escenario y se forman en formación.")</f>
        <v>Los niños salen corriendo al escenario y se forman en formación.</v>
      </c>
    </row>
    <row r="23215">
      <c r="A23215" s="4" t="s">
        <v>29214</v>
      </c>
      <c r="B23215" s="4" t="s">
        <v>29217</v>
      </c>
      <c r="C23215" s="5" t="str">
        <f>IFERROR(__xludf.DUMMYFUNCTION("GOOGLETRANSLATE(B23215,""en"",""es-ES"")"),"Se coloca una pancarta en la parte delantera del escenario.")</f>
        <v>Se coloca una pancarta en la parte delantera del escenario.</v>
      </c>
    </row>
    <row r="23216">
      <c r="A23216" s="4" t="s">
        <v>29214</v>
      </c>
      <c r="B23216" s="4" t="s">
        <v>29218</v>
      </c>
      <c r="C23216" s="5" t="str">
        <f>IFERROR(__xludf.DUMMYFUNCTION("GOOGLETRANSLATE(B23216,""en"",""es-ES"")"),"Los niños comienzan a animar en el escenario.")</f>
        <v>Los niños comienzan a animar en el escenario.</v>
      </c>
    </row>
    <row r="23217">
      <c r="A23217" s="4" t="s">
        <v>29214</v>
      </c>
      <c r="B23217" s="4" t="s">
        <v>29219</v>
      </c>
      <c r="C23217" s="5" t="str">
        <f>IFERROR(__xludf.DUMMYFUNCTION("GOOGLETRANSLATE(B23217,""en"",""es-ES"")"),"Los niños en el frente sostienen el banner.")</f>
        <v>Los niños en el frente sostienen el banner.</v>
      </c>
    </row>
    <row r="23218">
      <c r="A23218" s="4" t="s">
        <v>29214</v>
      </c>
      <c r="B23218" s="4" t="s">
        <v>29220</v>
      </c>
      <c r="C23218" s="5" t="str">
        <f>IFERROR(__xludf.DUMMYFUNCTION("GOOGLETRANSLATE(B23218,""en"",""es-ES"")"),"Huyen del escenario.")</f>
        <v>Huyen del escenario.</v>
      </c>
    </row>
    <row r="23219">
      <c r="A23219" s="4" t="s">
        <v>29221</v>
      </c>
      <c r="B23219" s="4" t="s">
        <v>29222</v>
      </c>
      <c r="C23219" s="5" t="str">
        <f>IFERROR(__xludf.DUMMYFUNCTION("GOOGLETRANSLATE(B23219,""en"",""es-ES"")"),"Un bebé está sentado en la mesa de un restaurante.")</f>
        <v>Un bebé está sentado en la mesa de un restaurante.</v>
      </c>
    </row>
    <row r="23220">
      <c r="A23220" s="4" t="s">
        <v>29221</v>
      </c>
      <c r="B23220" s="4" t="s">
        <v>29223</v>
      </c>
      <c r="C23220" s="5" t="str">
        <f>IFERROR(__xludf.DUMMYFUNCTION("GOOGLETRANSLATE(B23220,""en"",""es-ES"")"),"Está comiendo un cono de helado de vainilla.")</f>
        <v>Está comiendo un cono de helado de vainilla.</v>
      </c>
    </row>
    <row r="23221">
      <c r="A23221" s="4" t="s">
        <v>29221</v>
      </c>
      <c r="B23221" s="4" t="s">
        <v>29224</v>
      </c>
      <c r="C23221" s="5" t="str">
        <f>IFERROR(__xludf.DUMMYFUNCTION("GOOGLETRANSLATE(B23221,""en"",""es-ES"")"),"Toma una servilleta y se limpia la boca antes de devolverle la servilleta y continuar comiendo.")</f>
        <v>Toma una servilleta y se limpia la boca antes de devolverle la servilleta y continuar comiendo.</v>
      </c>
    </row>
    <row r="23222">
      <c r="A23222" s="4" t="s">
        <v>29225</v>
      </c>
      <c r="B23222" s="4" t="s">
        <v>29226</v>
      </c>
      <c r="C23222" s="5" t="str">
        <f>IFERROR(__xludf.DUMMYFUNCTION("GOOGLETRANSLATE(B23222,""en"",""es-ES"")"),"Una niña es guiada mientras monta un camello en una estación.")</f>
        <v>Una niña es guiada mientras monta un camello en una estación.</v>
      </c>
    </row>
    <row r="23223">
      <c r="A23223" s="4" t="s">
        <v>29225</v>
      </c>
      <c r="B23223" s="4" t="s">
        <v>29227</v>
      </c>
      <c r="C23223" s="5" t="str">
        <f>IFERROR(__xludf.DUMMYFUNCTION("GOOGLETRANSLATE(B23223,""en"",""es-ES"")"),"Un hombre la ayuda mientras dirige el camello.")</f>
        <v>Un hombre la ayuda mientras dirige el camello.</v>
      </c>
    </row>
    <row r="23224">
      <c r="A23224" s="4" t="s">
        <v>29225</v>
      </c>
      <c r="B23224" s="4" t="s">
        <v>29228</v>
      </c>
      <c r="C23224" s="5" t="str">
        <f>IFERROR(__xludf.DUMMYFUNCTION("GOOGLETRANSLATE(B23224,""en"",""es-ES"")"),"La niña sonríe mientras monta el camello alrededor de la pluma.")</f>
        <v>La niña sonríe mientras monta el camello alrededor de la pluma.</v>
      </c>
    </row>
    <row r="23225">
      <c r="A23225" s="4" t="s">
        <v>29229</v>
      </c>
      <c r="B23225" s="4" t="s">
        <v>29230</v>
      </c>
      <c r="C23225" s="5" t="str">
        <f>IFERROR(__xludf.DUMMYFUNCTION("GOOGLETRANSLATE(B23225,""en"",""es-ES"")"),"La joven está hablando con la cámara.")</f>
        <v>La joven está hablando con la cámara.</v>
      </c>
    </row>
    <row r="23226">
      <c r="A23226" s="4" t="s">
        <v>29229</v>
      </c>
      <c r="B23226" s="4" t="s">
        <v>29231</v>
      </c>
      <c r="C23226" s="5" t="str">
        <f>IFERROR(__xludf.DUMMYFUNCTION("GOOGLETRANSLATE(B23226,""en"",""es-ES"")"),"La niña sostiene un rizador de cabello.")</f>
        <v>La niña sostiene un rizador de cabello.</v>
      </c>
    </row>
    <row r="23227">
      <c r="A23227" s="4" t="s">
        <v>29229</v>
      </c>
      <c r="B23227" s="4" t="s">
        <v>29232</v>
      </c>
      <c r="C23227" s="5" t="str">
        <f>IFERROR(__xludf.DUMMYFUNCTION("GOOGLETRANSLATE(B23227,""en"",""es-ES"")"),"La joven está proporcionando consejos a otras chicas sobre cómo rizar su cabello.")</f>
        <v>La joven está proporcionando consejos a otras chicas sobre cómo rizar su cabello.</v>
      </c>
    </row>
    <row r="23228">
      <c r="A23228" s="4" t="s">
        <v>29229</v>
      </c>
      <c r="B23228" s="4" t="s">
        <v>29233</v>
      </c>
      <c r="C23228" s="5" t="str">
        <f>IFERROR(__xludf.DUMMYFUNCTION("GOOGLETRANSLATE(B23228,""en"",""es-ES"")"),"Al final del video, la niña pide que le guste el video.")</f>
        <v>Al final del video, la niña pide que le guste el video.</v>
      </c>
    </row>
    <row r="23229">
      <c r="A23229" s="4" t="s">
        <v>29234</v>
      </c>
      <c r="B23229" s="4" t="s">
        <v>29235</v>
      </c>
      <c r="C23229" s="5" t="str">
        <f>IFERROR(__xludf.DUMMYFUNCTION("GOOGLETRANSLATE(B23229,""en"",""es-ES"")"),"Una cámara muestra a una persona montando una pista de tierra en una bicicleta que se mueve a una velocidad rápida.")</f>
        <v>Una cámara muestra a una persona montando una pista de tierra en una bicicleta que se mueve a una velocidad rápida.</v>
      </c>
    </row>
    <row r="23230">
      <c r="A23230" s="4" t="s">
        <v>29234</v>
      </c>
      <c r="B23230" s="4" t="s">
        <v>29236</v>
      </c>
      <c r="C23230" s="5" t="str">
        <f>IFERROR(__xludf.DUMMYFUNCTION("GOOGLETRANSLATE(B23230,""en"",""es-ES"")"),"Se muestran varias tomas más de personas que montan la pista de tierra en las bicicletas, mientras que la cámara las captura desde varios ángulos.")</f>
        <v>Se muestran varias tomas más de personas que montan la pista de tierra en las bicicletas, mientras que la cámara las captura desde varios ángulos.</v>
      </c>
    </row>
    <row r="23231">
      <c r="A23231" s="4" t="s">
        <v>29237</v>
      </c>
      <c r="B23231" s="4" t="s">
        <v>29238</v>
      </c>
      <c r="C23231" s="5" t="str">
        <f>IFERROR(__xludf.DUMMYFUNCTION("GOOGLETRANSLATE(B23231,""en"",""es-ES"")"),"Se ve a un joven hablando con la cámara desde varios ángulos y luego usando una maquinilla de afeitar para cortarle el cabello.")</f>
        <v>Se ve a un joven hablando con la cámara desde varios ángulos y luego usando una maquinilla de afeitar para cortarle el cabello.</v>
      </c>
    </row>
    <row r="23232">
      <c r="A23232" s="4" t="s">
        <v>29237</v>
      </c>
      <c r="B23232" s="4" t="s">
        <v>29239</v>
      </c>
      <c r="C23232" s="5" t="str">
        <f>IFERROR(__xludf.DUMMYFUNCTION("GOOGLETRANSLATE(B23232,""en"",""es-ES"")"),"Continúa cortándose el cabello mientras habla con la cámara y se ríe.")</f>
        <v>Continúa cortándose el cabello mientras habla con la cámara y se ríe.</v>
      </c>
    </row>
    <row r="23233">
      <c r="A23233" s="4" t="s">
        <v>29237</v>
      </c>
      <c r="B23233" s="4" t="s">
        <v>29240</v>
      </c>
      <c r="C23233" s="5" t="str">
        <f>IFERROR(__xludf.DUMMYFUNCTION("GOOGLETRANSLATE(B23233,""en"",""es-ES"")"),"Termina su cabello mientras mira la cámara y luego se muestra su reflejo detrás de una cortina de ducha.")</f>
        <v>Termina su cabello mientras mira la cámara y luego se muestra su reflejo detrás de una cortina de ducha.</v>
      </c>
    </row>
    <row r="23234">
      <c r="A23234" s="4" t="s">
        <v>29241</v>
      </c>
      <c r="B23234" s="4" t="s">
        <v>29242</v>
      </c>
      <c r="C23234" s="5" t="str">
        <f>IFERROR(__xludf.DUMMYFUNCTION("GOOGLETRANSLATE(B23234,""en"",""es-ES"")"),"Dos personas están boxeando en un anillo.")</f>
        <v>Dos personas están boxeando en un anillo.</v>
      </c>
    </row>
    <row r="23235">
      <c r="A23235" s="4" t="s">
        <v>29241</v>
      </c>
      <c r="B23235" s="4" t="s">
        <v>29243</v>
      </c>
      <c r="C23235" s="5" t="str">
        <f>IFERROR(__xludf.DUMMYFUNCTION("GOOGLETRANSLATE(B23235,""en"",""es-ES"")"),"Un hombre con una camisa negra está arbitrando la pelea.")</f>
        <v>Un hombre con una camisa negra está arbitrando la pelea.</v>
      </c>
    </row>
    <row r="23236">
      <c r="A23236" s="4" t="s">
        <v>29241</v>
      </c>
      <c r="B23236" s="4" t="s">
        <v>29244</v>
      </c>
      <c r="C23236" s="5" t="str">
        <f>IFERROR(__xludf.DUMMYFUNCTION("GOOGLETRANSLATE(B23236,""en"",""es-ES"")"),"Una mujer está sosteniendo una cámara tomando fotos de ellos peleando.")</f>
        <v>Una mujer está sosteniendo una cámara tomando fotos de ellos peleando.</v>
      </c>
    </row>
    <row r="23237">
      <c r="A23237" s="4" t="s">
        <v>29245</v>
      </c>
      <c r="B23237" s="4" t="s">
        <v>29246</v>
      </c>
      <c r="C23237" s="5" t="str">
        <f>IFERROR(__xludf.DUMMYFUNCTION("GOOGLETRANSLATE(B23237,""en"",""es-ES"")"),"Los videos pasan a una cuenta regresiva de varias personas que se lastiman en las calles por ataques de toros.")</f>
        <v>Los videos pasan a una cuenta regresiva de varias personas que se lastiman en las calles por ataques de toros.</v>
      </c>
    </row>
    <row r="23238">
      <c r="A23238" s="4" t="s">
        <v>29245</v>
      </c>
      <c r="B23238" s="4" t="s">
        <v>29247</v>
      </c>
      <c r="C23238" s="5" t="str">
        <f>IFERROR(__xludf.DUMMYFUNCTION("GOOGLETRANSLATE(B23238,""en"",""es-ES"")"),"Se ve a muchas personas diferentes corriendo por las calles mientras un toro las voltea y las lastima.")</f>
        <v>Se ve a muchas personas diferentes corriendo por las calles mientras un toro las voltea y las lastima.</v>
      </c>
    </row>
    <row r="23239">
      <c r="A23239" s="4" t="s">
        <v>29248</v>
      </c>
      <c r="B23239" s="4" t="s">
        <v>29249</v>
      </c>
      <c r="C23239" s="5" t="str">
        <f>IFERROR(__xludf.DUMMYFUNCTION("GOOGLETRANSLATE(B23239,""en"",""es-ES"")"),"Hay una mujer hablando de ser la primera mujer en participar en un maratón en 1967.")</f>
        <v>Hay una mujer hablando de ser la primera mujer en participar en un maratón en 1967.</v>
      </c>
    </row>
    <row r="23240">
      <c r="A23240" s="4" t="s">
        <v>29248</v>
      </c>
      <c r="B23240" s="4" t="s">
        <v>29250</v>
      </c>
      <c r="C23240" s="5" t="str">
        <f>IFERROR(__xludf.DUMMYFUNCTION("GOOGLETRANSLATE(B23240,""en"",""es-ES"")"),"Se muestra una imagen del participante cuando era joven.")</f>
        <v>Se muestra una imagen del participante cuando era joven.</v>
      </c>
    </row>
    <row r="23241">
      <c r="A23241" s="4" t="s">
        <v>29248</v>
      </c>
      <c r="B23241" s="4" t="s">
        <v>29251</v>
      </c>
      <c r="C23241" s="5" t="str">
        <f>IFERROR(__xludf.DUMMYFUNCTION("GOOGLETRANSLATE(B23241,""en"",""es-ES"")"),"Ella habla sobre cuán diferentes solían ser los maratones en el día en que muestra clips de participantes de un maratón hace al menos 50 años.")</f>
        <v>Ella habla sobre cuán diferentes solían ser los maratones en el día en que muestra clips de participantes de un maratón hace al menos 50 años.</v>
      </c>
    </row>
    <row r="23242">
      <c r="A23242" s="4" t="s">
        <v>29248</v>
      </c>
      <c r="B23242" s="4" t="s">
        <v>29252</v>
      </c>
      <c r="C23242" s="5" t="str">
        <f>IFERROR(__xludf.DUMMYFUNCTION("GOOGLETRANSLATE(B23242,""en"",""es-ES"")"),"Hay imágenes de participantes masculinos que se muestran dominando la escena en la que era la única participante femenina.")</f>
        <v>Hay imágenes de participantes masculinos que se muestran dominando la escena en la que era la única participante femenina.</v>
      </c>
    </row>
    <row r="23243">
      <c r="A23243" s="4" t="s">
        <v>29248</v>
      </c>
      <c r="B23243" s="4" t="s">
        <v>29253</v>
      </c>
      <c r="C23243" s="5" t="str">
        <f>IFERROR(__xludf.DUMMYFUNCTION("GOOGLETRANSLATE(B23243,""en"",""es-ES"")"),"Ella habla sobre su experiencia mientras muestra más fotos de su participación contra viento y marea.")</f>
        <v>Ella habla sobre su experiencia mientras muestra más fotos de su participación contra viento y marea.</v>
      </c>
    </row>
    <row r="23244">
      <c r="A23244" s="4" t="s">
        <v>29248</v>
      </c>
      <c r="B23244" s="4" t="s">
        <v>29254</v>
      </c>
      <c r="C23244" s="5" t="str">
        <f>IFERROR(__xludf.DUMMYFUNCTION("GOOGLETRANSLATE(B23244,""en"",""es-ES"")"),"También comparte información sobre cómo las cosas cambiaron más tarde cuando finalmente se le permitió participar libremente.")</f>
        <v>También comparte información sobre cómo las cosas cambiaron más tarde cuando finalmente se le permitió participar libremente.</v>
      </c>
    </row>
    <row r="23245">
      <c r="A23245" s="4" t="s">
        <v>29255</v>
      </c>
      <c r="B23245" s="4" t="s">
        <v>29256</v>
      </c>
      <c r="C23245" s="5" t="str">
        <f>IFERROR(__xludf.DUMMYFUNCTION("GOOGLETRANSLATE(B23245,""en"",""es-ES"")"),"Una mujer está de pie en una mesa, poniendo comida en una gran pita en un plato.")</f>
        <v>Una mujer está de pie en una mesa, poniendo comida en una gran pita en un plato.</v>
      </c>
    </row>
    <row r="23246">
      <c r="A23246" s="4" t="s">
        <v>29255</v>
      </c>
      <c r="B23246" s="4" t="s">
        <v>29257</v>
      </c>
      <c r="C23246" s="5" t="str">
        <f>IFERROR(__xludf.DUMMYFUNCTION("GOOGLETRANSLATE(B23246,""en"",""es-ES"")"),"Una mujer mayor demuestra cómo cortar cebollas, pimientos, lechuga, zanahorias, tomates, etc. en trozos.")</f>
        <v>Una mujer mayor demuestra cómo cortar cebollas, pimientos, lechuga, zanahorias, tomates, etc. en trozos.</v>
      </c>
    </row>
    <row r="23247">
      <c r="A23247" s="4" t="s">
        <v>29255</v>
      </c>
      <c r="B23247" s="4" t="s">
        <v>29258</v>
      </c>
      <c r="C23247" s="5" t="str">
        <f>IFERROR(__xludf.DUMMYFUNCTION("GOOGLETRANSLATE(B23247,""en"",""es-ES"")"),"Las verduras son lugares en un procesador y se purifican en un tazón.")</f>
        <v>Las verduras son lugares en un procesador y se purifican en un tazón.</v>
      </c>
    </row>
    <row r="23248">
      <c r="A23248" s="4" t="s">
        <v>29255</v>
      </c>
      <c r="B23248" s="4" t="s">
        <v>29259</v>
      </c>
      <c r="C23248" s="5" t="str">
        <f>IFERROR(__xludf.DUMMYFUNCTION("GOOGLETRANSLATE(B23248,""en"",""es-ES"")"),"La mezcla se combina y se pone sobre la mesa para servir en las tortillas.")</f>
        <v>La mezcla se combina y se pone sobre la mesa para servir en las tortillas.</v>
      </c>
    </row>
    <row r="23249">
      <c r="A23249" s="4" t="s">
        <v>29255</v>
      </c>
      <c r="B23249" s="4" t="s">
        <v>29260</v>
      </c>
      <c r="C23249" s="5" t="str">
        <f>IFERROR(__xludf.DUMMYFUNCTION("GOOGLETRANSLATE(B23249,""en"",""es-ES"")"),"Las mujeres se sientan a la mesa y hablan mientras comen.")</f>
        <v>Las mujeres se sientan a la mesa y hablan mientras comen.</v>
      </c>
    </row>
    <row r="23250">
      <c r="A23250" s="4" t="s">
        <v>29261</v>
      </c>
      <c r="B23250" s="4" t="s">
        <v>29262</v>
      </c>
      <c r="C23250" s="5" t="str">
        <f>IFERROR(__xludf.DUMMYFUNCTION("GOOGLETRANSLATE(B23250,""en"",""es-ES"")"),"Un grupo de estudiantes se extiende en la clase de gimnasia.")</f>
        <v>Un grupo de estudiantes se extiende en la clase de gimnasia.</v>
      </c>
    </row>
    <row r="23251">
      <c r="A23251" s="4" t="s">
        <v>29261</v>
      </c>
      <c r="B23251" s="4" t="s">
        <v>29263</v>
      </c>
      <c r="C23251" s="5" t="str">
        <f>IFERROR(__xludf.DUMMYFUNCTION("GOOGLETRANSLATE(B23251,""en"",""es-ES"")"),"Un grupo de estudiantes de banda practican dentro de un salón de clases y gimnasio.")</f>
        <v>Un grupo de estudiantes de banda practican dentro de un salón de clases y gimnasio.</v>
      </c>
    </row>
    <row r="23252">
      <c r="A23252" s="4" t="s">
        <v>29261</v>
      </c>
      <c r="B23252" s="4" t="s">
        <v>29264</v>
      </c>
      <c r="C23252" s="5" t="str">
        <f>IFERROR(__xludf.DUMMYFUNCTION("GOOGLETRANSLATE(B23252,""en"",""es-ES"")"),"La banda de la escuela toca durante eventos al aire libre y juegos deportivos.")</f>
        <v>La banda de la escuela toca durante eventos al aire libre y juegos deportivos.</v>
      </c>
    </row>
    <row r="23253">
      <c r="A23253" s="4" t="s">
        <v>29265</v>
      </c>
      <c r="B23253" s="4" t="s">
        <v>29266</v>
      </c>
      <c r="C23253" s="5" t="str">
        <f>IFERROR(__xludf.DUMMYFUNCTION("GOOGLETRANSLATE(B23253,""en"",""es-ES"")"),"Vemos un presentador de noticias en un estudio.")</f>
        <v>Vemos un presentador de noticias en un estudio.</v>
      </c>
    </row>
    <row r="23254">
      <c r="A23254" s="4" t="s">
        <v>29265</v>
      </c>
      <c r="B23254" s="4" t="s">
        <v>29267</v>
      </c>
      <c r="C23254" s="5" t="str">
        <f>IFERROR(__xludf.DUMMYFUNCTION("GOOGLETRANSLATE(B23254,""en"",""es-ES"")"),"Vemos a un hombre que opera 2 aspiradoras manuales.")</f>
        <v>Vemos a un hombre que opera 2 aspiradoras manuales.</v>
      </c>
    </row>
    <row r="23255">
      <c r="A23255" s="4" t="s">
        <v>29265</v>
      </c>
      <c r="B23255" s="4" t="s">
        <v>29268</v>
      </c>
      <c r="C23255" s="5" t="str">
        <f>IFERROR(__xludf.DUMMYFUNCTION("GOOGLETRANSLATE(B23255,""en"",""es-ES"")"),"Vemos algunas aspiradoras de estilo antiguo.")</f>
        <v>Vemos algunas aspiradoras de estilo antiguo.</v>
      </c>
    </row>
    <row r="23256">
      <c r="A23256" s="4" t="s">
        <v>29265</v>
      </c>
      <c r="B23256" s="4" t="s">
        <v>29269</v>
      </c>
      <c r="C23256" s="5" t="str">
        <f>IFERROR(__xludf.DUMMYFUNCTION("GOOGLETRANSLATE(B23256,""en"",""es-ES"")"),"Vemos un clip de televisión en blanco y negro.")</f>
        <v>Vemos un clip de televisión en blanco y negro.</v>
      </c>
    </row>
    <row r="23257">
      <c r="A23257" s="4" t="s">
        <v>29265</v>
      </c>
      <c r="B23257" s="4" t="s">
        <v>29270</v>
      </c>
      <c r="C23257" s="5" t="str">
        <f>IFERROR(__xludf.DUMMYFUNCTION("GOOGLETRANSLATE(B23257,""en"",""es-ES"")"),"Vemos al hombre al vacío y todavía del museo.")</f>
        <v>Vemos al hombre al vacío y todavía del museo.</v>
      </c>
    </row>
    <row r="23258">
      <c r="A23258" s="4" t="s">
        <v>29265</v>
      </c>
      <c r="B23258" s="4" t="s">
        <v>29271</v>
      </c>
      <c r="C23258" s="5" t="str">
        <f>IFERROR(__xludf.DUMMYFUNCTION("GOOGLETRANSLATE(B23258,""en"",""es-ES"")"),"Vemos a una dama en blanco y negro y de color.")</f>
        <v>Vemos a una dama en blanco y negro y de color.</v>
      </c>
    </row>
    <row r="23259">
      <c r="A23259" s="4" t="s">
        <v>29265</v>
      </c>
      <c r="B23259" s="4" t="s">
        <v>29272</v>
      </c>
      <c r="C23259" s="5" t="str">
        <f>IFERROR(__xludf.DUMMYFUNCTION("GOOGLETRANSLATE(B23259,""en"",""es-ES"")"),"Luego vemos una fábrica y un hombre hablando.")</f>
        <v>Luego vemos una fábrica y un hombre hablando.</v>
      </c>
    </row>
    <row r="23260">
      <c r="A23260" s="4" t="s">
        <v>29265</v>
      </c>
      <c r="B23260" s="4" t="s">
        <v>29273</v>
      </c>
      <c r="C23260" s="5" t="str">
        <f>IFERROR(__xludf.DUMMYFUNCTION("GOOGLETRANSLATE(B23260,""en"",""es-ES"")"),"Vemos al hombre hablando y lo vemos cerca de un vacío.")</f>
        <v>Vemos al hombre hablando y lo vemos cerca de un vacío.</v>
      </c>
    </row>
    <row r="23261">
      <c r="A23261" s="4" t="s">
        <v>29265</v>
      </c>
      <c r="B23261" s="4" t="s">
        <v>29274</v>
      </c>
      <c r="C23261" s="5" t="str">
        <f>IFERROR(__xludf.DUMMYFUNCTION("GOOGLETRANSLATE(B23261,""en"",""es-ES"")"),"Vemos un viejo anuncio impreso.")</f>
        <v>Vemos un viejo anuncio impreso.</v>
      </c>
    </row>
    <row r="23262">
      <c r="A23262" s="4" t="s">
        <v>29265</v>
      </c>
      <c r="B23262" s="4" t="s">
        <v>29275</v>
      </c>
      <c r="C23262" s="5" t="str">
        <f>IFERROR(__xludf.DUMMYFUNCTION("GOOGLETRANSLATE(B23262,""en"",""es-ES"")"),"Regresamos al presentador de noticias en el estudio.")</f>
        <v>Regresamos al presentador de noticias en el estudio.</v>
      </c>
    </row>
    <row r="23263">
      <c r="A23263" s="4" t="s">
        <v>29276</v>
      </c>
      <c r="B23263" s="4" t="s">
        <v>29277</v>
      </c>
      <c r="C23263" s="5" t="str">
        <f>IFERROR(__xludf.DUMMYFUNCTION("GOOGLETRANSLATE(B23263,""en"",""es-ES"")"),"Se ve a una mujer hablando con la cámara y conduce a clips de ella y otro montar a caballo en un bosque y playa.")</f>
        <v>Se ve a una mujer hablando con la cámara y conduce a clips de ella y otro montar a caballo en un bosque y playa.</v>
      </c>
    </row>
    <row r="23264">
      <c r="A23264" s="4" t="s">
        <v>29276</v>
      </c>
      <c r="B23264" s="4" t="s">
        <v>29278</v>
      </c>
      <c r="C23264" s="5" t="str">
        <f>IFERROR(__xludf.DUMMYFUNCTION("GOOGLETRANSLATE(B23264,""en"",""es-ES"")"),"Luego, las mujeres corren los caballos a lo largo de la playa mientras la cámara los captura desde varios ángulos.")</f>
        <v>Luego, las mujeres corren los caballos a lo largo de la playa mientras la cámara los captura desde varios ángulos.</v>
      </c>
    </row>
    <row r="23265">
      <c r="A23265" s="4" t="s">
        <v>29279</v>
      </c>
      <c r="B23265" s="4" t="s">
        <v>29280</v>
      </c>
      <c r="C23265" s="5" t="str">
        <f>IFERROR(__xludf.DUMMYFUNCTION("GOOGLETRANSLATE(B23265,""en"",""es-ES"")"),"Se ve a dos hombres haciendo un movimiento de sumo en un gran círculo rodeado de otros.")</f>
        <v>Se ve a dos hombres haciendo un movimiento de sumo en un gran círculo rodeado de otros.</v>
      </c>
    </row>
    <row r="23266">
      <c r="A23266" s="4" t="s">
        <v>29279</v>
      </c>
      <c r="B23266" s="4" t="s">
        <v>29281</v>
      </c>
      <c r="C23266" s="5" t="str">
        <f>IFERROR(__xludf.DUMMYFUNCTION("GOOGLETRANSLATE(B23266,""en"",""es-ES"")"),"Un hombre finge luchar contra un luchador de sumo y es empujado hacia un lado muy fácilmente.")</f>
        <v>Un hombre finge luchar contra un luchador de sumo y es empujado hacia un lado muy fácilmente.</v>
      </c>
    </row>
    <row r="23267">
      <c r="A23267" s="4" t="s">
        <v>29279</v>
      </c>
      <c r="B23267" s="4" t="s">
        <v>29282</v>
      </c>
      <c r="C23267" s="5" t="str">
        <f>IFERROR(__xludf.DUMMYFUNCTION("GOOGLETRANSLATE(B23267,""en"",""es-ES"")"),"El otro hombre intenta con su disparo que se muestra nuevamente en cámara lenta y se une todo junto con sus brazos hacia arriba.")</f>
        <v>El otro hombre intenta con su disparo que se muestra nuevamente en cámara lenta y se une todo junto con sus brazos hacia arriba.</v>
      </c>
    </row>
    <row r="23268">
      <c r="A23268" s="4" t="s">
        <v>29283</v>
      </c>
      <c r="B23268" s="4" t="s">
        <v>29284</v>
      </c>
      <c r="C23268" s="5" t="str">
        <f>IFERROR(__xludf.DUMMYFUNCTION("GOOGLETRANSLATE(B23268,""en"",""es-ES"")"),"Un hombre y una mujer están parados en el mostrador mientras el hombre habla en la cámara.")</f>
        <v>Un hombre y una mujer están parados en el mostrador mientras el hombre habla en la cámara.</v>
      </c>
    </row>
    <row r="23269">
      <c r="A23269" s="4" t="s">
        <v>29283</v>
      </c>
      <c r="B23269" s="4" t="s">
        <v>29285</v>
      </c>
      <c r="C23269" s="5" t="str">
        <f>IFERROR(__xludf.DUMMYFUNCTION("GOOGLETRANSLATE(B23269,""en"",""es-ES"")"),"Una placa de piña cortada está en un plato sobre la mesa, ya que el hombre obtiene algunas uvas y la puso en la tabla de cortar y las cortó en la mitad, luego las colocó encima de los cortes de piña, luego se limpió las manos y mostró el plato a la cámara"&amp;".")</f>
        <v>Una placa de piña cortada está en un plato sobre la mesa, ya que el hombre obtiene algunas uvas y la puso en la tabla de cortar y las cortó en la mitad, luego las colocó encima de los cortes de piña, luego se limpió las manos y mostró el plato a la cámara.</v>
      </c>
    </row>
    <row r="23270">
      <c r="A23270" s="4" t="s">
        <v>29286</v>
      </c>
      <c r="B23270" s="4" t="s">
        <v>29287</v>
      </c>
      <c r="C23270" s="5" t="str">
        <f>IFERROR(__xludf.DUMMYFUNCTION("GOOGLETRANSLATE(B23270,""en"",""es-ES"")"),"Un niño mira a una ventana mientras un hombre al aire libre está palpitando la nieve.")</f>
        <v>Un niño mira a una ventana mientras un hombre al aire libre está palpitando la nieve.</v>
      </c>
    </row>
    <row r="23271">
      <c r="A23271" s="4" t="s">
        <v>29286</v>
      </c>
      <c r="B23271" s="4" t="s">
        <v>29288</v>
      </c>
      <c r="C23271" s="5" t="str">
        <f>IFERROR(__xludf.DUMMYFUNCTION("GOOGLETRANSLATE(B23271,""en"",""es-ES"")"),"Se mueve de un lado a otro, recogiendo la nieve y alejándola de la puerta.")</f>
        <v>Se mueve de un lado a otro, recogiendo la nieve y alejándola de la puerta.</v>
      </c>
    </row>
    <row r="23272">
      <c r="A23272" s="4" t="s">
        <v>29289</v>
      </c>
      <c r="B23272" s="4" t="s">
        <v>29290</v>
      </c>
      <c r="C23272" s="5" t="str">
        <f>IFERROR(__xludf.DUMMYFUNCTION("GOOGLETRANSLATE(B23272,""en"",""es-ES"")"),"Vemos persianas en una ventana.")</f>
        <v>Vemos persianas en una ventana.</v>
      </c>
    </row>
    <row r="23273">
      <c r="A23273" s="4" t="s">
        <v>29289</v>
      </c>
      <c r="B23273" s="4" t="s">
        <v>29291</v>
      </c>
      <c r="C23273" s="5" t="str">
        <f>IFERROR(__xludf.DUMMYFUNCTION("GOOGLETRANSLATE(B23273,""en"",""es-ES"")"),"Una persona está acostada en una sala de tatuajes tatuada.")</f>
        <v>Una persona está acostada en una sala de tatuajes tatuada.</v>
      </c>
    </row>
    <row r="23274">
      <c r="A23274" s="4" t="s">
        <v>29289</v>
      </c>
      <c r="B23274" s="4" t="s">
        <v>29292</v>
      </c>
      <c r="C23274" s="5" t="str">
        <f>IFERROR(__xludf.DUMMYFUNCTION("GOOGLETRANSLATE(B23274,""en"",""es-ES"")"),"Respalamos y vemos al artista del tatuaje.")</f>
        <v>Respalamos y vemos al artista del tatuaje.</v>
      </c>
    </row>
    <row r="23275">
      <c r="A23275" s="4" t="s">
        <v>29289</v>
      </c>
      <c r="B23275" s="4" t="s">
        <v>29293</v>
      </c>
      <c r="C23275" s="5" t="str">
        <f>IFERROR(__xludf.DUMMYFUNCTION("GOOGLETRANSLATE(B23275,""en"",""es-ES"")"),"La señora mira en su teléfono y sonríe a la cámara.")</f>
        <v>La señora mira en su teléfono y sonríe a la cámara.</v>
      </c>
    </row>
    <row r="23276">
      <c r="A23276" s="4" t="s">
        <v>29289</v>
      </c>
      <c r="B23276" s="4" t="s">
        <v>29294</v>
      </c>
      <c r="C23276" s="5" t="str">
        <f>IFERROR(__xludf.DUMMYFUNCTION("GOOGLETRANSLATE(B23276,""en"",""es-ES"")"),"Batimos y vemos el trabajo del artista del tatuaje.")</f>
        <v>Batimos y vemos el trabajo del artista del tatuaje.</v>
      </c>
    </row>
    <row r="23277">
      <c r="A23277" s="4" t="s">
        <v>29295</v>
      </c>
      <c r="B23277" s="4" t="s">
        <v>29296</v>
      </c>
      <c r="C23277" s="5" t="str">
        <f>IFERROR(__xludf.DUMMYFUNCTION("GOOGLETRANSLATE(B23277,""en"",""es-ES"")"),"Se ve a un gran grupo de personas montando en caballos y comienza a moverse.")</f>
        <v>Se ve a un gran grupo de personas montando en caballos y comienza a moverse.</v>
      </c>
    </row>
    <row r="23278">
      <c r="A23278" s="4" t="s">
        <v>29295</v>
      </c>
      <c r="B23278" s="4" t="s">
        <v>29297</v>
      </c>
      <c r="C23278" s="5" t="str">
        <f>IFERROR(__xludf.DUMMYFUNCTION("GOOGLETRANSLATE(B23278,""en"",""es-ES"")"),"La gente juega un juego en los caballos mientras persigue una pelota.")</f>
        <v>La gente juega un juego en los caballos mientras persigue una pelota.</v>
      </c>
    </row>
    <row r="23279">
      <c r="A23279" s="4" t="s">
        <v>29295</v>
      </c>
      <c r="B23279" s="4" t="s">
        <v>29298</v>
      </c>
      <c r="C23279" s="5" t="str">
        <f>IFERROR(__xludf.DUMMYFUNCTION("GOOGLETRANSLATE(B23279,""en"",""es-ES"")"),"Los hombres continúan jugando y terminan saltando del caballo.")</f>
        <v>Los hombres continúan jugando y terminan saltando del caballo.</v>
      </c>
    </row>
    <row r="23280">
      <c r="A23280" s="4" t="s">
        <v>29299</v>
      </c>
      <c r="B23280" s="4" t="s">
        <v>29300</v>
      </c>
      <c r="C23280" s="5" t="str">
        <f>IFERROR(__xludf.DUMMYFUNCTION("GOOGLETRANSLATE(B23280,""en"",""es-ES"")"),"Una mujer con una camisa blanca está hablando con la cámara.")</f>
        <v>Una mujer con una camisa blanca está hablando con la cámara.</v>
      </c>
    </row>
    <row r="23281">
      <c r="A23281" s="4" t="s">
        <v>29299</v>
      </c>
      <c r="B23281" s="4" t="s">
        <v>29301</v>
      </c>
      <c r="C23281" s="5" t="str">
        <f>IFERROR(__xludf.DUMMYFUNCTION("GOOGLETRANSLATE(B23281,""en"",""es-ES"")"),"Un hombre y la mujer comienzan a bailar juntos.")</f>
        <v>Un hombre y la mujer comienzan a bailar juntos.</v>
      </c>
    </row>
    <row r="23282">
      <c r="A23282" s="4" t="s">
        <v>29299</v>
      </c>
      <c r="B23282" s="4" t="s">
        <v>29302</v>
      </c>
      <c r="C23282" s="5" t="str">
        <f>IFERROR(__xludf.DUMMYFUNCTION("GOOGLETRANSLATE(B23282,""en"",""es-ES"")"),"Ella levanta su brazo y él la gira.")</f>
        <v>Ella levanta su brazo y él la gira.</v>
      </c>
    </row>
    <row r="23283">
      <c r="A23283" s="4" t="s">
        <v>29303</v>
      </c>
      <c r="B23283" s="4" t="s">
        <v>29304</v>
      </c>
      <c r="C23283" s="5" t="str">
        <f>IFERROR(__xludf.DUMMYFUNCTION("GOOGLETRANSLATE(B23283,""en"",""es-ES"")"),"Dos hombres con azul están adentro jugando un juego de ping.")</f>
        <v>Dos hombres con azul están adentro jugando un juego de ping.</v>
      </c>
    </row>
    <row r="23284">
      <c r="A23284" s="4" t="s">
        <v>29303</v>
      </c>
      <c r="B23284" s="4" t="s">
        <v>29305</v>
      </c>
      <c r="C23284" s="5" t="str">
        <f>IFERROR(__xludf.DUMMYFUNCTION("GOOGLETRANSLATE(B23284,""en"",""es-ES"")"),"Están golpeando la pelota de un lado a otro rápidamente sin detenerse.")</f>
        <v>Están golpeando la pelota de un lado a otro rápidamente sin detenerse.</v>
      </c>
    </row>
    <row r="23285">
      <c r="A23285" s="4" t="s">
        <v>29303</v>
      </c>
      <c r="B23285" s="4" t="s">
        <v>29306</v>
      </c>
      <c r="C23285" s="5" t="str">
        <f>IFERROR(__xludf.DUMMYFUNCTION("GOOGLETRANSLATE(B23285,""en"",""es-ES"")"),"Uno de ellos golpea la pelota y detiene su progreso, tienen que comenzar de nuevo.")</f>
        <v>Uno de ellos golpea la pelota y detiene su progreso, tienen que comenzar de nuevo.</v>
      </c>
    </row>
    <row r="23286">
      <c r="A23286" s="4" t="s">
        <v>29303</v>
      </c>
      <c r="B23286" s="4" t="s">
        <v>29307</v>
      </c>
      <c r="C23286" s="5" t="str">
        <f>IFERROR(__xludf.DUMMYFUNCTION("GOOGLETRANSLATE(B23286,""en"",""es-ES"")"),"Vuelven a jugar y golpearlo apenas perdiendo un ritmo.")</f>
        <v>Vuelven a jugar y golpearlo apenas perdiendo un ritmo.</v>
      </c>
    </row>
    <row r="23287">
      <c r="A23287" s="4" t="s">
        <v>29308</v>
      </c>
      <c r="B23287" s="4" t="s">
        <v>29309</v>
      </c>
      <c r="C23287" s="5" t="str">
        <f>IFERROR(__xludf.DUMMYFUNCTION("GOOGLETRANSLATE(B23287,""en"",""es-ES"")"),"Se muestra una introducción seguida por dos personas y un hombre que habla con la cámara.")</f>
        <v>Se muestra una introducción seguida por dos personas y un hombre que habla con la cámara.</v>
      </c>
    </row>
    <row r="23288">
      <c r="A23288" s="4" t="s">
        <v>29308</v>
      </c>
      <c r="B23288" s="4" t="s">
        <v>29310</v>
      </c>
      <c r="C23288" s="5" t="str">
        <f>IFERROR(__xludf.DUMMYFUNCTION("GOOGLETRANSLATE(B23288,""en"",""es-ES"")"),"La cámara se desplaza a más personas y les muestra realizar un ejercicio que le devuelve las piernas y el cuarto.")</f>
        <v>La cámara se desplaza a más personas y les muestra realizar un ejercicio que le devuelve las piernas y el cuarto.</v>
      </c>
    </row>
    <row r="23289">
      <c r="A23289" s="4" t="s">
        <v>29308</v>
      </c>
      <c r="B23289" s="4" t="s">
        <v>29311</v>
      </c>
      <c r="C23289" s="5" t="str">
        <f>IFERROR(__xludf.DUMMYFUNCTION("GOOGLETRANSLATE(B23289,""en"",""es-ES"")"),"La gente continúa siguiendo al instructor a través de varios movimientos mientras él los lleva al ejercicio.")</f>
        <v>La gente continúa siguiendo al instructor a través de varios movimientos mientras él los lleva al ejercicio.</v>
      </c>
    </row>
    <row r="23290">
      <c r="A23290" s="4" t="s">
        <v>29312</v>
      </c>
      <c r="B23290" s="4" t="s">
        <v>29313</v>
      </c>
      <c r="C23290" s="5" t="str">
        <f>IFERROR(__xludf.DUMMYFUNCTION("GOOGLETRANSLATE(B23290,""en"",""es-ES"")"),"Un hombre está vestido con un uniforme negro y se acerca a un pequeño círculo que está en el medio del campo rodeado de redes verdes.")</f>
        <v>Un hombre está vestido con un uniforme negro y se acerca a un pequeño círculo que está en el medio del campo rodeado de redes verdes.</v>
      </c>
    </row>
    <row r="23291">
      <c r="A23291" s="4" t="s">
        <v>29312</v>
      </c>
      <c r="B23291" s="4" t="s">
        <v>29314</v>
      </c>
      <c r="C23291" s="5" t="str">
        <f>IFERROR(__xludf.DUMMYFUNCTION("GOOGLETRANSLATE(B23291,""en"",""es-ES"")"),"La multitud se critica y luego se muestra al hombre lanzando su disco mientras varias personas salen corriendo para rastrear su distancia.")</f>
        <v>La multitud se critica y luego se muestra al hombre lanzando su disco mientras varias personas salen corriendo para rastrear su distancia.</v>
      </c>
    </row>
    <row r="23292">
      <c r="A23292" s="4" t="s">
        <v>29312</v>
      </c>
      <c r="B23292" s="4" t="s">
        <v>29315</v>
      </c>
      <c r="C23292" s="5" t="str">
        <f>IFERROR(__xludf.DUMMYFUNCTION("GOOGLETRANSLATE(B23292,""en"",""es-ES"")"),"Se reproduce una repetición instantánea y el frente de la cara del hombre es visible.")</f>
        <v>Se reproduce una repetición instantánea y el frente de la cara del hombre es visible.</v>
      </c>
    </row>
    <row r="23293">
      <c r="A23293" s="4" t="s">
        <v>29316</v>
      </c>
      <c r="B23293" s="4" t="s">
        <v>24280</v>
      </c>
      <c r="C23293" s="5" t="str">
        <f>IFERROR(__xludf.DUMMYFUNCTION("GOOGLETRANSLATE(B23293,""en"",""es-ES"")"),"Vemos una serie de pantallas de títulos.")</f>
        <v>Vemos una serie de pantallas de títulos.</v>
      </c>
    </row>
    <row r="23294">
      <c r="A23294" s="4" t="s">
        <v>29316</v>
      </c>
      <c r="B23294" s="4" t="s">
        <v>29317</v>
      </c>
      <c r="C23294" s="5" t="str">
        <f>IFERROR(__xludf.DUMMYFUNCTION("GOOGLETRANSLATE(B23294,""en"",""es-ES"")"),"Vemos una piedra rizada y un gráfico.")</f>
        <v>Vemos una piedra rizada y un gráfico.</v>
      </c>
    </row>
    <row r="23295">
      <c r="A23295" s="4" t="s">
        <v>29316</v>
      </c>
      <c r="B23295" s="4" t="s">
        <v>29318</v>
      </c>
      <c r="C23295" s="5" t="str">
        <f>IFERROR(__xludf.DUMMYFUNCTION("GOOGLETRANSLATE(B23295,""en"",""es-ES"")"),"Vemos a una persona empujando la piedra.")</f>
        <v>Vemos a una persona empujando la piedra.</v>
      </c>
    </row>
    <row r="23296">
      <c r="A23296" s="4" t="s">
        <v>29316</v>
      </c>
      <c r="B23296" s="4" t="s">
        <v>29319</v>
      </c>
      <c r="C23296" s="5" t="str">
        <f>IFERROR(__xludf.DUMMYFUNCTION("GOOGLETRANSLATE(B23296,""en"",""es-ES"")"),"Vemos la piedra en otro gráfico.")</f>
        <v>Vemos la piedra en otro gráfico.</v>
      </c>
    </row>
    <row r="23297">
      <c r="A23297" s="4" t="s">
        <v>29316</v>
      </c>
      <c r="B23297" s="4" t="s">
        <v>29320</v>
      </c>
      <c r="C23297" s="5" t="str">
        <f>IFERROR(__xludf.DUMMYFUNCTION("GOOGLETRANSLATE(B23297,""en"",""es-ES"")"),"Vemos a un hombre empujar la piedra y la gente barre frente a ella.")</f>
        <v>Vemos a un hombre empujar la piedra y la gente barre frente a ella.</v>
      </c>
    </row>
    <row r="23298">
      <c r="A23298" s="4" t="s">
        <v>29321</v>
      </c>
      <c r="B23298" s="4" t="s">
        <v>29322</v>
      </c>
      <c r="C23298" s="5" t="str">
        <f>IFERROR(__xludf.DUMMYFUNCTION("GOOGLETRANSLATE(B23298,""en"",""es-ES"")"),"Un primer plano de los pies de una persona se muestra sentado en una silla.")</f>
        <v>Un primer plano de los pies de una persona se muestra sentado en una silla.</v>
      </c>
    </row>
    <row r="23299">
      <c r="A23299" s="4" t="s">
        <v>29321</v>
      </c>
      <c r="B23299" s="4" t="s">
        <v>29323</v>
      </c>
      <c r="C23299" s="5" t="str">
        <f>IFERROR(__xludf.DUMMYFUNCTION("GOOGLETRANSLATE(B23299,""en"",""es-ES"")"),"La persona luego se inclina hacia adelante y comienza a ponerse los zapatos.")</f>
        <v>La persona luego se inclina hacia adelante y comienza a ponerse los zapatos.</v>
      </c>
    </row>
    <row r="23300">
      <c r="A23300" s="4" t="s">
        <v>29321</v>
      </c>
      <c r="B23300" s="4" t="s">
        <v>29324</v>
      </c>
      <c r="C23300" s="5" t="str">
        <f>IFERROR(__xludf.DUMMYFUNCTION("GOOGLETRANSLATE(B23300,""en"",""es-ES"")"),"Termina de ponerse los zapatos y se levanta para alejarse.")</f>
        <v>Termina de ponerse los zapatos y se levanta para alejarse.</v>
      </c>
    </row>
    <row r="23301">
      <c r="A23301" s="4" t="s">
        <v>29325</v>
      </c>
      <c r="B23301" s="4" t="s">
        <v>29326</v>
      </c>
      <c r="C23301" s="5" t="str">
        <f>IFERROR(__xludf.DUMMYFUNCTION("GOOGLETRANSLATE(B23301,""en"",""es-ES"")"),"Un hombre está parado en un campo.")</f>
        <v>Un hombre está parado en un campo.</v>
      </c>
    </row>
    <row r="23302">
      <c r="A23302" s="4" t="s">
        <v>29325</v>
      </c>
      <c r="B23302" s="4" t="s">
        <v>29327</v>
      </c>
      <c r="C23302" s="5" t="str">
        <f>IFERROR(__xludf.DUMMYFUNCTION("GOOGLETRANSLATE(B23302,""en"",""es-ES"")"),"Él patea una pelota en el aire.")</f>
        <v>Él patea una pelota en el aire.</v>
      </c>
    </row>
    <row r="23303">
      <c r="A23303" s="4" t="s">
        <v>29325</v>
      </c>
      <c r="B23303" s="4" t="s">
        <v>29328</v>
      </c>
      <c r="C23303" s="5" t="str">
        <f>IFERROR(__xludf.DUMMYFUNCTION("GOOGLETRANSLATE(B23303,""en"",""es-ES"")"),"Él corre a la primera base.")</f>
        <v>Él corre a la primera base.</v>
      </c>
    </row>
    <row r="23304">
      <c r="A23304" s="4" t="s">
        <v>29329</v>
      </c>
      <c r="B23304" s="4" t="s">
        <v>29330</v>
      </c>
      <c r="C23304" s="5" t="str">
        <f>IFERROR(__xludf.DUMMYFUNCTION("GOOGLETRANSLATE(B23304,""en"",""es-ES"")"),"Una mujer está de pie detrás de una mesa con varios kits de talla de calabaza.")</f>
        <v>Una mujer está de pie detrás de una mesa con varios kits de talla de calabaza.</v>
      </c>
    </row>
    <row r="23305">
      <c r="A23305" s="4" t="s">
        <v>29329</v>
      </c>
      <c r="B23305" s="4" t="s">
        <v>29331</v>
      </c>
      <c r="C23305" s="5" t="str">
        <f>IFERROR(__xludf.DUMMYFUNCTION("GOOGLETRANSLATE(B23305,""en"",""es-ES"")"),"Ella muestra el contenido de los libros.")</f>
        <v>Ella muestra el contenido de los libros.</v>
      </c>
    </row>
    <row r="23306">
      <c r="A23306" s="4" t="s">
        <v>29329</v>
      </c>
      <c r="B23306" s="4" t="s">
        <v>29332</v>
      </c>
      <c r="C23306" s="5" t="str">
        <f>IFERROR(__xludf.DUMMYFUNCTION("GOOGLETRANSLATE(B23306,""en"",""es-ES"")"),"La mujer elige un diseño, tallándolo en la calabaza.")</f>
        <v>La mujer elige un diseño, tallándolo en la calabaza.</v>
      </c>
    </row>
    <row r="23307">
      <c r="A23307" s="4" t="s">
        <v>29329</v>
      </c>
      <c r="B23307" s="4" t="s">
        <v>29333</v>
      </c>
      <c r="C23307" s="5" t="str">
        <f>IFERROR(__xludf.DUMMYFUNCTION("GOOGLETRANSLATE(B23307,""en"",""es-ES"")"),"Luego coloca baterías en luz de té para entrar y pinta la calabaza de negro.")</f>
        <v>Luego coloca baterías en luz de té para entrar y pinta la calabaza de negro.</v>
      </c>
    </row>
    <row r="23308">
      <c r="A23308" s="4" t="s">
        <v>29334</v>
      </c>
      <c r="B23308" s="4" t="s">
        <v>29335</v>
      </c>
      <c r="C23308" s="5" t="str">
        <f>IFERROR(__xludf.DUMMYFUNCTION("GOOGLETRANSLATE(B23308,""en"",""es-ES"")"),"Vemos a una persona deslizando discos azules por una mesa de madera.")</f>
        <v>Vemos a una persona deslizando discos azules por una mesa de madera.</v>
      </c>
    </row>
    <row r="23309">
      <c r="A23309" s="4" t="s">
        <v>29334</v>
      </c>
      <c r="B23309" s="4" t="s">
        <v>29336</v>
      </c>
      <c r="C23309" s="5" t="str">
        <f>IFERROR(__xludf.DUMMYFUNCTION("GOOGLETRANSLATE(B23309,""en"",""es-ES"")"),"El hombre se mueve al otro extremo de la mesa y la cámara se mueve para verlos desde el final.")</f>
        <v>El hombre se mueve al otro extremo de la mesa y la cámara se mueve para verlos desde el final.</v>
      </c>
    </row>
    <row r="23310">
      <c r="A23310" s="4" t="s">
        <v>29334</v>
      </c>
      <c r="B23310" s="4" t="s">
        <v>29337</v>
      </c>
      <c r="C23310" s="5" t="str">
        <f>IFERROR(__xludf.DUMMYFUNCTION("GOOGLETRANSLATE(B23310,""en"",""es-ES"")"),"Nosotros, la persona, deslizamos todo su azul y luego los discos rojos por la mesa.")</f>
        <v>Nosotros, la persona, deslizamos todo su azul y luego los discos rojos por la mesa.</v>
      </c>
    </row>
    <row r="23311">
      <c r="A23311" s="4" t="s">
        <v>29334</v>
      </c>
      <c r="B23311" s="4" t="s">
        <v>29338</v>
      </c>
      <c r="C23311" s="5" t="str">
        <f>IFERROR(__xludf.DUMMYFUNCTION("GOOGLETRANSLATE(B23311,""en"",""es-ES"")"),"Vemos aparecer una mano y apuntar.")</f>
        <v>Vemos aparecer una mano y apuntar.</v>
      </c>
    </row>
    <row r="23312">
      <c r="A23312" s="4" t="s">
        <v>29334</v>
      </c>
      <c r="B23312" s="4" t="s">
        <v>29339</v>
      </c>
      <c r="C23312" s="5" t="str">
        <f>IFERROR(__xludf.DUMMYFUNCTION("GOOGLETRANSLATE(B23312,""en"",""es-ES"")"),"La persona toma un disco azul y lo desliza dos veces.")</f>
        <v>La persona toma un disco azul y lo desliza dos veces.</v>
      </c>
    </row>
    <row r="23313">
      <c r="A23313" s="4" t="s">
        <v>29340</v>
      </c>
      <c r="B23313" s="4" t="s">
        <v>29341</v>
      </c>
      <c r="C23313" s="5" t="str">
        <f>IFERROR(__xludf.DUMMYFUNCTION("GOOGLETRANSLATE(B23313,""en"",""es-ES"")"),"Un hombre está parado en un camino frente a un bosque con el pie en una patineta.")</f>
        <v>Un hombre está parado en un camino frente a un bosque con el pie en una patineta.</v>
      </c>
    </row>
    <row r="23314">
      <c r="A23314" s="4" t="s">
        <v>29340</v>
      </c>
      <c r="B23314" s="4" t="s">
        <v>29342</v>
      </c>
      <c r="C23314" s="5" t="str">
        <f>IFERROR(__xludf.DUMMYFUNCTION("GOOGLETRANSLATE(B23314,""en"",""es-ES"")"),"El hombre luego se sube a la patineta y comienza a equilibrarse en él.")</f>
        <v>El hombre luego se sube a la patineta y comienza a equilibrarse en él.</v>
      </c>
    </row>
    <row r="23315">
      <c r="A23315" s="4" t="s">
        <v>29340</v>
      </c>
      <c r="B23315" s="4" t="s">
        <v>29343</v>
      </c>
      <c r="C23315" s="5" t="str">
        <f>IFERROR(__xludf.DUMMYFUNCTION("GOOGLETRANSLATE(B23315,""en"",""es-ES"")"),"Después, recoge la patineta y mueve unos metros atrás y comienza a patinar.")</f>
        <v>Después, recoge la patineta y mueve unos metros atrás y comienza a patinar.</v>
      </c>
    </row>
    <row r="23316">
      <c r="A23316" s="4" t="s">
        <v>29340</v>
      </c>
      <c r="B23316" s="4" t="s">
        <v>29344</v>
      </c>
      <c r="C23316" s="5" t="str">
        <f>IFERROR(__xludf.DUMMYFUNCTION("GOOGLETRANSLATE(B23316,""en"",""es-ES"")"),"Una vez hecho, recoge la patineta y la retiene de vuelta a su lado.")</f>
        <v>Una vez hecho, recoge la patineta y la retiene de vuelta a su lado.</v>
      </c>
    </row>
    <row r="23317">
      <c r="A23317" s="4" t="s">
        <v>29345</v>
      </c>
      <c r="B23317" s="4" t="s">
        <v>29346</v>
      </c>
      <c r="C23317" s="5" t="str">
        <f>IFERROR(__xludf.DUMMYFUNCTION("GOOGLETRANSLATE(B23317,""en"",""es-ES"")"),"Una mujer sale de una cocina y se acerca a un vapor con su hija detrás de ella.")</f>
        <v>Una mujer sale de una cocina y se acerca a un vapor con su hija detrás de ella.</v>
      </c>
    </row>
    <row r="23318">
      <c r="A23318" s="4" t="s">
        <v>29345</v>
      </c>
      <c r="B23318" s="4" t="s">
        <v>29347</v>
      </c>
      <c r="C23318" s="5" t="str">
        <f>IFERROR(__xludf.DUMMYFUNCTION("GOOGLETRANSLATE(B23318,""en"",""es-ES"")"),"Ella recoge su hierro y comienza a planchar un par de pantalones mientras la niña juega con un vestido, y la mujer ha dejado el hierro descansando sobre la ropa.")</f>
        <v>Ella recoge su hierro y comienza a planchar un par de pantalones mientras la niña juega con un vestido, y la mujer ha dejado el hierro descansando sobre la ropa.</v>
      </c>
    </row>
    <row r="23319">
      <c r="A23319" s="4" t="s">
        <v>29345</v>
      </c>
      <c r="B23319" s="4" t="s">
        <v>29348</v>
      </c>
      <c r="C23319" s="5" t="str">
        <f>IFERROR(__xludf.DUMMYFUNCTION("GOOGLETRANSLATE(B23319,""en"",""es-ES"")"),"Ella moldea el vestido para la niña mientras mira.")</f>
        <v>Ella moldea el vestido para la niña mientras mira.</v>
      </c>
    </row>
    <row r="23320">
      <c r="A23320" s="4" t="s">
        <v>29349</v>
      </c>
      <c r="B23320" s="4" t="s">
        <v>29350</v>
      </c>
      <c r="C23320" s="5" t="str">
        <f>IFERROR(__xludf.DUMMYFUNCTION("GOOGLETRANSLATE(B23320,""en"",""es-ES"")"),"Se ven tres chicas paradas en un acantilado golpeando un birdie entre sí.")</f>
        <v>Se ven tres chicas paradas en un acantilado golpeando un birdie entre sí.</v>
      </c>
    </row>
    <row r="23321">
      <c r="A23321" s="4" t="s">
        <v>29349</v>
      </c>
      <c r="B23321" s="4" t="s">
        <v>29351</v>
      </c>
      <c r="C23321" s="5" t="str">
        <f>IFERROR(__xludf.DUMMYFUNCTION("GOOGLETRANSLATE(B23321,""en"",""es-ES"")"),"La cámara se mueve alrededor de sus movimientos mientras golpean el birdie alrededor.")</f>
        <v>La cámara se mueve alrededor de sus movimientos mientras golpean el birdie alrededor.</v>
      </c>
    </row>
    <row r="23322">
      <c r="A23322" s="4" t="s">
        <v>29349</v>
      </c>
      <c r="B23322" s="4" t="s">
        <v>29352</v>
      </c>
      <c r="C23322" s="5" t="str">
        <f>IFERROR(__xludf.DUMMYFUNCTION("GOOGLETRANSLATE(B23322,""en"",""es-ES"")"),"Las chicas continúan golpeando el birdie y mostrando sus traseros al final.")</f>
        <v>Las chicas continúan golpeando el birdie y mostrando sus traseros al final.</v>
      </c>
    </row>
    <row r="23323">
      <c r="A23323" s="4" t="s">
        <v>29353</v>
      </c>
      <c r="B23323" s="4" t="s">
        <v>29354</v>
      </c>
      <c r="C23323" s="5" t="str">
        <f>IFERROR(__xludf.DUMMYFUNCTION("GOOGLETRANSLATE(B23323,""en"",""es-ES"")"),"Una mujer teje y muestra su trabajo.")</f>
        <v>Una mujer teje y muestra su trabajo.</v>
      </c>
    </row>
    <row r="23324">
      <c r="A23324" s="4" t="s">
        <v>29353</v>
      </c>
      <c r="B23324" s="4" t="s">
        <v>29355</v>
      </c>
      <c r="C23324" s="5" t="str">
        <f>IFERROR(__xludf.DUMMYFUNCTION("GOOGLETRANSLATE(B23324,""en"",""es-ES"")"),"Las mujeres se tejen mientras están sentadas en círculo y se hablan.")</f>
        <v>Las mujeres se tejen mientras están sentadas en círculo y se hablan.</v>
      </c>
    </row>
    <row r="23325">
      <c r="A23325" s="4" t="s">
        <v>29353</v>
      </c>
      <c r="B23325" s="4" t="s">
        <v>29356</v>
      </c>
      <c r="C23325" s="5" t="str">
        <f>IFERROR(__xludf.DUMMYFUNCTION("GOOGLETRANSLATE(B23325,""en"",""es-ES"")"),"Un periodista habla en la habitación donde las mujeres se tejen.")</f>
        <v>Un periodista habla en la habitación donde las mujeres se tejen.</v>
      </c>
    </row>
    <row r="23326">
      <c r="A23326" s="4" t="s">
        <v>29357</v>
      </c>
      <c r="B23326" s="4" t="s">
        <v>29358</v>
      </c>
      <c r="C23326" s="5" t="str">
        <f>IFERROR(__xludf.DUMMYFUNCTION("GOOGLETRANSLATE(B23326,""en"",""es-ES"")"),"Una mujer está planchando una camisa marrón en una tabla de planchar.")</f>
        <v>Una mujer está planchando una camisa marrón en una tabla de planchar.</v>
      </c>
    </row>
    <row r="23327">
      <c r="A23327" s="4" t="s">
        <v>29357</v>
      </c>
      <c r="B23327" s="4" t="s">
        <v>29359</v>
      </c>
      <c r="C23327" s="5" t="str">
        <f>IFERROR(__xludf.DUMMYFUNCTION("GOOGLETRANSLATE(B23327,""en"",""es-ES"")"),"Ella mira la etiqueta de la camisa.")</f>
        <v>Ella mira la etiqueta de la camisa.</v>
      </c>
    </row>
    <row r="23328">
      <c r="A23328" s="4" t="s">
        <v>29357</v>
      </c>
      <c r="B23328" s="4" t="s">
        <v>29360</v>
      </c>
      <c r="C23328" s="5" t="str">
        <f>IFERROR(__xludf.DUMMYFUNCTION("GOOGLETRANSLATE(B23328,""en"",""es-ES"")"),"Ella continúa planchando la camisa en la tabla de planchar.")</f>
        <v>Ella continúa planchando la camisa en la tabla de planchar.</v>
      </c>
    </row>
    <row r="23329">
      <c r="A23329" s="4" t="s">
        <v>29357</v>
      </c>
      <c r="B23329" s="4" t="s">
        <v>29361</v>
      </c>
      <c r="C23329" s="5" t="str">
        <f>IFERROR(__xludf.DUMMYFUNCTION("GOOGLETRANSLATE(B23329,""en"",""es-ES"")"),"Levanta la camisa y la pone sobre la tabla de planchar.")</f>
        <v>Levanta la camisa y la pone sobre la tabla de planchar.</v>
      </c>
    </row>
    <row r="23330">
      <c r="A23330" s="4" t="s">
        <v>29357</v>
      </c>
      <c r="B23330" s="4" t="s">
        <v>29362</v>
      </c>
      <c r="C23330" s="5" t="str">
        <f>IFERROR(__xludf.DUMMYFUNCTION("GOOGLETRANSLATE(B23330,""en"",""es-ES"")"),"Ella gira la camisa al revés y la sostiene.")</f>
        <v>Ella gira la camisa al revés y la sostiene.</v>
      </c>
    </row>
    <row r="23331">
      <c r="A23331" s="4" t="s">
        <v>29363</v>
      </c>
      <c r="B23331" s="4" t="s">
        <v>29364</v>
      </c>
      <c r="C23331" s="5" t="str">
        <f>IFERROR(__xludf.DUMMYFUNCTION("GOOGLETRANSLATE(B23331,""en"",""es-ES"")"),"Un hombre habla con la cámara sonriendo y hace una transición a él sosteniendo una sartén y extendiendo mantequilla en ella.")</f>
        <v>Un hombre habla con la cámara sonriendo y hace una transición a él sosteniendo una sartén y extendiendo mantequilla en ella.</v>
      </c>
    </row>
    <row r="23332">
      <c r="A23332" s="4" t="s">
        <v>29363</v>
      </c>
      <c r="B23332" s="4" t="s">
        <v>29365</v>
      </c>
      <c r="C23332" s="5" t="str">
        <f>IFERROR(__xludf.DUMMYFUNCTION("GOOGLETRANSLATE(B23332,""en"",""es-ES"")"),"Vierte huevo en la sartén y lo empuja con varias verduras.")</f>
        <v>Vierte huevo en la sartén y lo empuja con varias verduras.</v>
      </c>
    </row>
    <row r="23333">
      <c r="A23333" s="4" t="s">
        <v>29363</v>
      </c>
      <c r="B23333" s="4" t="s">
        <v>29366</v>
      </c>
      <c r="C23333" s="5" t="str">
        <f>IFERROR(__xludf.DUMMYFUNCTION("GOOGLETRANSLATE(B23333,""en"",""es-ES"")"),"Termina colocando la tortilla en un plato y comiendo un gran bocado.")</f>
        <v>Termina colocando la tortilla en un plato y comiendo un gran bocado.</v>
      </c>
    </row>
    <row r="23334">
      <c r="A23334" s="4" t="s">
        <v>29367</v>
      </c>
      <c r="B23334" s="4" t="s">
        <v>29368</v>
      </c>
      <c r="C23334" s="5" t="str">
        <f>IFERROR(__xludf.DUMMYFUNCTION("GOOGLETRANSLATE(B23334,""en"",""es-ES"")"),"Una pantalla de introducción animada tiene muchas pequeñas imágenes de Navidad que se mueven y aparecen palabras blancas que dicen ""decorar el árbol de Navidad"".")</f>
        <v>Una pantalla de introducción animada tiene muchas pequeñas imágenes de Navidad que se mueven y aparecen palabras blancas que dicen "decorar el árbol de Navidad".</v>
      </c>
    </row>
    <row r="23335">
      <c r="A23335" s="4" t="s">
        <v>29367</v>
      </c>
      <c r="B23335" s="4" t="s">
        <v>29369</v>
      </c>
      <c r="C23335" s="5" t="str">
        <f>IFERROR(__xludf.DUMMYFUNCTION("GOOGLETRANSLATE(B23335,""en"",""es-ES"")"),"La misma animación sigue jugando y las palabras blancas que ahora aparecen son ""With Me, My Sis, Mom y Chris"".")</f>
        <v>La misma animación sigue jugando y las palabras blancas que ahora aparecen son "With Me, My Sis, Mom y Chris".</v>
      </c>
    </row>
    <row r="23336">
      <c r="A23336" s="4" t="s">
        <v>29367</v>
      </c>
      <c r="B23336" s="4" t="s">
        <v>29370</v>
      </c>
      <c r="C23336" s="5" t="str">
        <f>IFERROR(__xludf.DUMMYFUNCTION("GOOGLETRANSLATE(B23336,""en"",""es-ES"")"),"En movimiento rápido, hay personas en una casa residencial y son cuerdas de las luces blancas de los árboles de Navidad alrededor de un árbol muy lleno y adulto.")</f>
        <v>En movimiento rápido, hay personas en una casa residencial y son cuerdas de las luces blancas de los árboles de Navidad alrededor de un árbol muy lleno y adulto.</v>
      </c>
    </row>
    <row r="23337">
      <c r="A23337" s="4" t="s">
        <v>29367</v>
      </c>
      <c r="B23337" s="4" t="s">
        <v>29371</v>
      </c>
      <c r="C23337" s="5" t="str">
        <f>IFERROR(__xludf.DUMMYFUNCTION("GOOGLETRANSLATE(B23337,""en"",""es-ES"")"),"Cuando terminen con las luces, comienzan a decorar el árbol con adornos hasta que todo esté lleno de adornos.")</f>
        <v>Cuando terminen con las luces, comienzan a decorar el árbol con adornos hasta que todo esté lleno de adornos.</v>
      </c>
    </row>
    <row r="23338">
      <c r="A23338" s="4" t="s">
        <v>29367</v>
      </c>
      <c r="B23338" s="4" t="s">
        <v>29372</v>
      </c>
      <c r="C23338" s="5" t="str">
        <f>IFERROR(__xludf.DUMMYFUNCTION("GOOGLETRANSLATE(B23338,""en"",""es-ES"")"),"La cámara se recoge y el hombre ahora intenta poner una estrella blanca en la parte superior del árbol mientras los niños están dando vueltas y hablando.")</f>
        <v>La cámara se recoge y el hombre ahora intenta poner una estrella blanca en la parte superior del árbol mientras los niños están dando vueltas y hablando.</v>
      </c>
    </row>
    <row r="23339">
      <c r="A23339" s="4" t="s">
        <v>29367</v>
      </c>
      <c r="B23339" s="4" t="s">
        <v>29373</v>
      </c>
      <c r="C23339" s="5" t="str">
        <f>IFERROR(__xludf.DUMMYFUNCTION("GOOGLETRANSLATE(B23339,""en"",""es-ES"")"),"La estrella ahora está en el árbol, la cámara se vuelve a colocar, una de las niñas abraza el árbol.")</f>
        <v>La estrella ahora está en el árbol, la cámara se vuelve a colocar, una de las niñas abraza el árbol.</v>
      </c>
    </row>
    <row r="23340">
      <c r="A23340" s="4" t="s">
        <v>29374</v>
      </c>
      <c r="B23340" s="4" t="s">
        <v>29375</v>
      </c>
      <c r="C23340" s="5" t="str">
        <f>IFERROR(__xludf.DUMMYFUNCTION("GOOGLETRANSLATE(B23340,""en"",""es-ES"")"),"Un hombre está de pie dentro de un gimnasio mientras habla con la cámara.")</f>
        <v>Un hombre está de pie dentro de un gimnasio mientras habla con la cámara.</v>
      </c>
    </row>
    <row r="23341">
      <c r="A23341" s="4" t="s">
        <v>29374</v>
      </c>
      <c r="B23341" s="4" t="s">
        <v>29376</v>
      </c>
      <c r="C23341" s="5" t="str">
        <f>IFERROR(__xludf.DUMMYFUNCTION("GOOGLETRANSLATE(B23341,""en"",""es-ES"")"),"Indicó un bloque azul en el suelo antes de pasar sobre él y arrodillarse encima.")</f>
        <v>Indicó un bloque azul en el suelo antes de pasar sobre él y arrodillarse encima.</v>
      </c>
    </row>
    <row r="23342">
      <c r="A23342" s="4" t="s">
        <v>29374</v>
      </c>
      <c r="B23342" s="4" t="s">
        <v>29377</v>
      </c>
      <c r="C23342" s="5" t="str">
        <f>IFERROR(__xludf.DUMMYFUNCTION("GOOGLETRANSLATE(B23342,""en"",""es-ES"")"),"Comienza a tirar del cable sobre el equipo, mostrando cómo se usa.")</f>
        <v>Comienza a tirar del cable sobre el equipo, mostrando cómo se usa.</v>
      </c>
    </row>
    <row r="23343">
      <c r="A23343" s="4" t="s">
        <v>29378</v>
      </c>
      <c r="B23343" s="4" t="s">
        <v>29379</v>
      </c>
      <c r="C23343" s="5" t="str">
        <f>IFERROR(__xludf.DUMMYFUNCTION("GOOGLETRANSLATE(B23343,""en"",""es-ES"")"),"Un hombre está hablando detrás de una barra, de pie frente a numerosas botellas de alcohol.")</f>
        <v>Un hombre está hablando detrás de una barra, de pie frente a numerosas botellas de alcohol.</v>
      </c>
    </row>
    <row r="23344">
      <c r="A23344" s="4" t="s">
        <v>29378</v>
      </c>
      <c r="B23344" s="4" t="s">
        <v>29380</v>
      </c>
      <c r="C23344" s="5" t="str">
        <f>IFERROR(__xludf.DUMMYFUNCTION("GOOGLETRANSLATE(B23344,""en"",""es-ES"")"),"Vierte líquidos sobre un vaso lleno de hielo.")</f>
        <v>Vierte líquidos sobre un vaso lleno de hielo.</v>
      </c>
    </row>
    <row r="23345">
      <c r="A23345" s="4" t="s">
        <v>29378</v>
      </c>
      <c r="B23345" s="4" t="s">
        <v>29381</v>
      </c>
      <c r="C23345" s="5" t="str">
        <f>IFERROR(__xludf.DUMMYFUNCTION("GOOGLETRANSLATE(B23345,""en"",""es-ES"")"),"Luego adorna el producto final para servir.")</f>
        <v>Luego adorna el producto final para servir.</v>
      </c>
    </row>
    <row r="23346">
      <c r="A23346" s="4" t="s">
        <v>29382</v>
      </c>
      <c r="B23346" s="4" t="s">
        <v>29383</v>
      </c>
      <c r="C23346" s="5" t="str">
        <f>IFERROR(__xludf.DUMMYFUNCTION("GOOGLETRANSLATE(B23346,""en"",""es-ES"")"),"Los estudiantes de Karate tocan la batería de pie y de manos en un estudio.")</f>
        <v>Los estudiantes de Karate tocan la batería de pie y de manos en un estudio.</v>
      </c>
    </row>
    <row r="23347">
      <c r="A23347" s="4" t="s">
        <v>29382</v>
      </c>
      <c r="B23347" s="4" t="s">
        <v>29384</v>
      </c>
      <c r="C23347" s="5" t="str">
        <f>IFERROR(__xludf.DUMMYFUNCTION("GOOGLETRANSLATE(B23347,""en"",""es-ES"")"),"Los estudiantes de Karate saltan sobre la cima de una cuerda que tiene otros estudiantes en una colchoneta.")</f>
        <v>Los estudiantes de Karate saltan sobre la cima de una cuerda que tiene otros estudiantes en una colchoneta.</v>
      </c>
    </row>
    <row r="23348">
      <c r="A23348" s="4" t="s">
        <v>29382</v>
      </c>
      <c r="B23348" s="4" t="s">
        <v>29385</v>
      </c>
      <c r="C23348" s="5" t="str">
        <f>IFERROR(__xludf.DUMMYFUNCTION("GOOGLETRANSLATE(B23348,""en"",""es-ES"")"),"El grupo de estudiantes de karate practica golpes de pie en una línea.")</f>
        <v>El grupo de estudiantes de karate practica golpes de pie en una línea.</v>
      </c>
    </row>
    <row r="23349">
      <c r="A23349" s="4" t="s">
        <v>29382</v>
      </c>
      <c r="B23349" s="4" t="s">
        <v>29386</v>
      </c>
      <c r="C23349" s="5" t="str">
        <f>IFERROR(__xludf.DUMMYFUNCTION("GOOGLETRANSLATE(B23349,""en"",""es-ES"")"),"Un grupo de prácticas estudiantiles más jóvenes se combinan contra oponentes.")</f>
        <v>Un grupo de prácticas estudiantiles más jóvenes se combinan contra oponentes.</v>
      </c>
    </row>
    <row r="23350">
      <c r="A23350" s="4" t="s">
        <v>29382</v>
      </c>
      <c r="B23350" s="4" t="s">
        <v>29387</v>
      </c>
      <c r="C23350" s="5" t="str">
        <f>IFERROR(__xludf.DUMMYFUNCTION("GOOGLETRANSLATE(B23350,""en"",""es-ES"")"),"Los grupos se giran entre sí en círculos que tienen las manos.")</f>
        <v>Los grupos se giran entre sí en círculos que tienen las manos.</v>
      </c>
    </row>
    <row r="23351">
      <c r="A23351" s="4" t="s">
        <v>29382</v>
      </c>
      <c r="B23351" s="4" t="s">
        <v>29388</v>
      </c>
      <c r="C23351" s="5" t="str">
        <f>IFERROR(__xludf.DUMMYFUNCTION("GOOGLETRANSLATE(B23351,""en"",""es-ES"")"),"El grupo se encuentra en círculo y salta de arriba abajo mientras mira al instructor.")</f>
        <v>El grupo se encuentra en círculo y salta de arriba abajo mientras mira al instructor.</v>
      </c>
    </row>
    <row r="23352">
      <c r="A23352" s="4" t="s">
        <v>29389</v>
      </c>
      <c r="B23352" s="4" t="s">
        <v>29390</v>
      </c>
      <c r="C23352" s="5" t="str">
        <f>IFERROR(__xludf.DUMMYFUNCTION("GOOGLETRANSLATE(B23352,""en"",""es-ES"")"),"Una mujer habla mientras se para afuera de los establos de caballos.")</f>
        <v>Una mujer habla mientras se para afuera de los establos de caballos.</v>
      </c>
    </row>
    <row r="23353">
      <c r="A23353" s="4" t="s">
        <v>29389</v>
      </c>
      <c r="B23353" s="4" t="s">
        <v>29391</v>
      </c>
      <c r="C23353" s="5" t="str">
        <f>IFERROR(__xludf.DUMMYFUNCTION("GOOGLETRANSLATE(B23353,""en"",""es-ES"")"),"Ella habla como cliente está montando uno de sus caballos en un campo de tierra.")</f>
        <v>Ella habla como cliente está montando uno de sus caballos en un campo de tierra.</v>
      </c>
    </row>
    <row r="23354">
      <c r="A23354" s="4" t="s">
        <v>29389</v>
      </c>
      <c r="B23354" s="4" t="s">
        <v>29392</v>
      </c>
      <c r="C23354" s="5" t="str">
        <f>IFERROR(__xludf.DUMMYFUNCTION("GOOGLETRANSLATE(B23354,""en"",""es-ES"")"),"Ella discute la forma y el posicionamiento del piloto.")</f>
        <v>Ella discute la forma y el posicionamiento del piloto.</v>
      </c>
    </row>
    <row r="23355">
      <c r="A23355" s="4" t="s">
        <v>29389</v>
      </c>
      <c r="B23355" s="4" t="s">
        <v>29393</v>
      </c>
      <c r="C23355" s="5" t="str">
        <f>IFERROR(__xludf.DUMMYFUNCTION("GOOGLETRANSLATE(B23355,""en"",""es-ES"")"),"El jinete lleva al caballo por un trote mientras la mujer mira.")</f>
        <v>El jinete lleva al caballo por un trote mientras la mujer mira.</v>
      </c>
    </row>
    <row r="23356">
      <c r="A23356" s="4" t="s">
        <v>29394</v>
      </c>
      <c r="B23356" s="4" t="s">
        <v>29395</v>
      </c>
      <c r="C23356" s="5" t="str">
        <f>IFERROR(__xludf.DUMMYFUNCTION("GOOGLETRANSLATE(B23356,""en"",""es-ES"")"),"Una mujer rubia está hablando en una sala de noticias frente a una gran pantalla.")</f>
        <v>Una mujer rubia está hablando en una sala de noticias frente a una gran pantalla.</v>
      </c>
    </row>
    <row r="23357">
      <c r="A23357" s="4" t="s">
        <v>29394</v>
      </c>
      <c r="B23357" s="4" t="s">
        <v>29396</v>
      </c>
      <c r="C23357" s="5" t="str">
        <f>IFERROR(__xludf.DUMMYFUNCTION("GOOGLETRANSLATE(B23357,""en"",""es-ES"")"),"Se ven barcos tirando de personas en esquís acuáticos.")</f>
        <v>Se ven barcos tirando de personas en esquís acuáticos.</v>
      </c>
    </row>
    <row r="23358">
      <c r="A23358" s="4" t="s">
        <v>29394</v>
      </c>
      <c r="B23358" s="4" t="s">
        <v>29397</v>
      </c>
      <c r="C23358" s="5" t="str">
        <f>IFERROR(__xludf.DUMMYFUNCTION("GOOGLETRANSLATE(B23358,""en"",""es-ES"")"),"Se muestra a un hombre preparándose y luego esquiando a través del agua.")</f>
        <v>Se muestra a un hombre preparándose y luego esquiando a través del agua.</v>
      </c>
    </row>
    <row r="23359">
      <c r="A23359" s="4" t="s">
        <v>29398</v>
      </c>
      <c r="B23359" s="4" t="s">
        <v>29399</v>
      </c>
      <c r="C23359" s="5" t="str">
        <f>IFERROR(__xludf.DUMMYFUNCTION("GOOGLETRANSLATE(B23359,""en"",""es-ES"")"),"Se ve a varias personas deambulando por un campo interior con un volumen de un poste sobre una barra.")</f>
        <v>Se ve a varias personas deambulando por un campo interior con un volumen de un poste sobre una barra.</v>
      </c>
    </row>
    <row r="23360">
      <c r="A23360" s="4" t="s">
        <v>29398</v>
      </c>
      <c r="B23360" s="4" t="s">
        <v>29400</v>
      </c>
      <c r="C23360" s="5" t="str">
        <f>IFERROR(__xludf.DUMMYFUNCTION("GOOGLETRANSLATE(B23360,""en"",""es-ES"")"),"El mismo disparo se muestra nuevamente en cámara lenta, así como en varios otros intentos que hace el niño.")</f>
        <v>El mismo disparo se muestra nuevamente en cámara lenta, así como en varios otros intentos que hace el niño.</v>
      </c>
    </row>
    <row r="23361">
      <c r="A23361" s="4" t="s">
        <v>29398</v>
      </c>
      <c r="B23361" s="4" t="s">
        <v>29401</v>
      </c>
      <c r="C23361" s="5" t="str">
        <f>IFERROR(__xludf.DUMMYFUNCTION("GOOGLETRANSLATE(B23361,""en"",""es-ES"")"),"Intenta el salto varias veces más mientras la gente lo mira a los lados.")</f>
        <v>Intenta el salto varias veces más mientras la gente lo mira a los lados.</v>
      </c>
    </row>
    <row r="23362">
      <c r="A23362" s="4" t="s">
        <v>29402</v>
      </c>
      <c r="B23362" s="4" t="s">
        <v>29403</v>
      </c>
      <c r="C23362" s="5" t="str">
        <f>IFERROR(__xludf.DUMMYFUNCTION("GOOGLETRANSLATE(B23362,""en"",""es-ES"")"),"Un hombre está parado junto a un estanque.")</f>
        <v>Un hombre está parado junto a un estanque.</v>
      </c>
    </row>
    <row r="23363">
      <c r="A23363" s="4" t="s">
        <v>29402</v>
      </c>
      <c r="B23363" s="4" t="s">
        <v>29404</v>
      </c>
      <c r="C23363" s="5" t="str">
        <f>IFERROR(__xludf.DUMMYFUNCTION("GOOGLETRANSLATE(B23363,""en"",""es-ES"")"),"Él carga una flecha en la proa.")</f>
        <v>Él carga una flecha en la proa.</v>
      </c>
    </row>
    <row r="23364">
      <c r="A23364" s="4" t="s">
        <v>29402</v>
      </c>
      <c r="B23364" s="4" t="s">
        <v>29405</v>
      </c>
      <c r="C23364" s="5" t="str">
        <f>IFERROR(__xludf.DUMMYFUNCTION("GOOGLETRANSLATE(B23364,""en"",""es-ES"")"),"Dispara la flecha en un gato de cerámica, golpeándola en el agua antes de pasar a otros objetivos.")</f>
        <v>Dispara la flecha en un gato de cerámica, golpeándola en el agua antes de pasar a otros objetivos.</v>
      </c>
    </row>
    <row r="23365">
      <c r="A23365" s="4" t="s">
        <v>29406</v>
      </c>
      <c r="B23365" s="4" t="s">
        <v>29407</v>
      </c>
      <c r="C23365" s="5" t="str">
        <f>IFERROR(__xludf.DUMMYFUNCTION("GOOGLETRANSLATE(B23365,""en"",""es-ES"")"),"Se ve a una mujer entrando en el marco y hablando con la cámara.")</f>
        <v>Se ve a una mujer entrando en el marco y hablando con la cámara.</v>
      </c>
    </row>
    <row r="23366">
      <c r="A23366" s="4" t="s">
        <v>29406</v>
      </c>
      <c r="B23366" s="4" t="s">
        <v>29408</v>
      </c>
      <c r="C23366" s="5" t="str">
        <f>IFERROR(__xludf.DUMMYFUNCTION("GOOGLETRANSLATE(B23366,""en"",""es-ES"")"),"Ella se sienta sobre las cajas mientras sostiene a los demás y comienza a colocar baldosas en el piso.")</f>
        <v>Ella se sienta sobre las cajas mientras sostiene a los demás y comienza a colocar baldosas en el piso.</v>
      </c>
    </row>
    <row r="23367">
      <c r="A23367" s="4" t="s">
        <v>29406</v>
      </c>
      <c r="B23367" s="4" t="s">
        <v>29409</v>
      </c>
      <c r="C23367" s="5" t="str">
        <f>IFERROR(__xludf.DUMMYFUNCTION("GOOGLETRANSLATE(B23367,""en"",""es-ES"")"),"Ella recoge a otros mientras habla con la cámara seguida de la aspiradora del piso y un niño que juega.")</f>
        <v>Ella recoge a otros mientras habla con la cámara seguida de la aspiradora del piso y un niño que juega.</v>
      </c>
    </row>
    <row r="23368">
      <c r="A23368" s="4" t="s">
        <v>29410</v>
      </c>
      <c r="B23368" s="4" t="s">
        <v>29411</v>
      </c>
      <c r="C23368" s="5" t="str">
        <f>IFERROR(__xludf.DUMMYFUNCTION("GOOGLETRANSLATE(B23368,""en"",""es-ES"")"),"Se ve a un niño pequeño corriendo alrededor de un patio trasero en un gran juego de pilotes.")</f>
        <v>Se ve a un niño pequeño corriendo alrededor de un patio trasero en un gran juego de pilotes.</v>
      </c>
    </row>
    <row r="23369">
      <c r="A23369" s="4" t="s">
        <v>29410</v>
      </c>
      <c r="B23369" s="4" t="s">
        <v>29412</v>
      </c>
      <c r="C23369" s="5" t="str">
        <f>IFERROR(__xludf.DUMMYFUNCTION("GOOGLETRANSLATE(B23369,""en"",""es-ES"")"),"El niño continúa rebotando mientras la cámara lo captura y corre.")</f>
        <v>El niño continúa rebotando mientras la cámara lo captura y corre.</v>
      </c>
    </row>
    <row r="23370">
      <c r="A23370" s="4" t="s">
        <v>29413</v>
      </c>
      <c r="B23370" s="4" t="s">
        <v>29414</v>
      </c>
      <c r="C23370" s="5" t="str">
        <f>IFERROR(__xludf.DUMMYFUNCTION("GOOGLETRANSLATE(B23370,""en"",""es-ES"")"),"Los niños corren en un campo jugando un juego de fútbol.")</f>
        <v>Los niños corren en un campo jugando un juego de fútbol.</v>
      </c>
    </row>
    <row r="23371">
      <c r="A23371" s="4" t="s">
        <v>29413</v>
      </c>
      <c r="B23371" s="4" t="s">
        <v>29415</v>
      </c>
      <c r="C23371" s="5" t="str">
        <f>IFERROR(__xludf.DUMMYFUNCTION("GOOGLETRANSLATE(B23371,""en"",""es-ES"")"),"Luego están jugando profesionales en una cancha interior mientras una audiencia mira.")</f>
        <v>Luego están jugando profesionales en una cancha interior mientras una audiencia mira.</v>
      </c>
    </row>
    <row r="23372">
      <c r="A23372" s="4" t="s">
        <v>29413</v>
      </c>
      <c r="B23372" s="4" t="s">
        <v>29416</v>
      </c>
      <c r="C23372" s="5" t="str">
        <f>IFERROR(__xludf.DUMMYFUNCTION("GOOGLETRANSLATE(B23372,""en"",""es-ES"")"),"Muestran muchos clips diferentes de muchos juegos diferentes, como una memoria de videos.")</f>
        <v>Muestran muchos clips diferentes de muchos juegos diferentes, como una memoria de videos.</v>
      </c>
    </row>
    <row r="23373">
      <c r="A23373" s="4" t="s">
        <v>29413</v>
      </c>
      <c r="B23373" s="4" t="s">
        <v>29417</v>
      </c>
      <c r="C23373" s="5" t="str">
        <f>IFERROR(__xludf.DUMMYFUNCTION("GOOGLETRANSLATE(B23373,""en"",""es-ES"")"),"El número 12 es la base de todos, parece ser un gran jugador de fútbol.")</f>
        <v>El número 12 es la base de todos, parece ser un gran jugador de fútbol.</v>
      </c>
    </row>
    <row r="23374">
      <c r="A23374" s="4" t="s">
        <v>29418</v>
      </c>
      <c r="B23374" s="4" t="s">
        <v>29419</v>
      </c>
      <c r="C23374" s="5" t="str">
        <f>IFERROR(__xludf.DUMMYFUNCTION("GOOGLETRANSLATE(B23374,""en"",""es-ES"")"),"Se ve a una niña hablando con la cámara y mirando a lo lejos.")</f>
        <v>Se ve a una niña hablando con la cámara y mirando a lo lejos.</v>
      </c>
    </row>
    <row r="23375">
      <c r="A23375" s="4" t="s">
        <v>29418</v>
      </c>
      <c r="B23375" s="4" t="s">
        <v>29420</v>
      </c>
      <c r="C23375" s="5" t="str">
        <f>IFERROR(__xludf.DUMMYFUNCTION("GOOGLETRANSLATE(B23375,""en"",""es-ES"")"),"Ella continúa hablando y lleva a una mujer cortándose el cabello.")</f>
        <v>Ella continúa hablando y lleva a una mujer cortándose el cabello.</v>
      </c>
    </row>
    <row r="23376">
      <c r="A23376" s="4" t="s">
        <v>29418</v>
      </c>
      <c r="B23376" s="4" t="s">
        <v>29421</v>
      </c>
      <c r="C23376" s="5" t="str">
        <f>IFERROR(__xludf.DUMMYFUNCTION("GOOGLETRANSLATE(B23376,""en"",""es-ES"")"),"Le entrega a la niña su cabello y muestra su corte al final.")</f>
        <v>Le entrega a la niña su cabello y muestra su corte al final.</v>
      </c>
    </row>
    <row r="23377">
      <c r="A23377" s="4" t="s">
        <v>29422</v>
      </c>
      <c r="B23377" s="4" t="s">
        <v>29423</v>
      </c>
      <c r="C23377" s="5" t="str">
        <f>IFERROR(__xludf.DUMMYFUNCTION("GOOGLETRANSLATE(B23377,""en"",""es-ES"")"),"Múltiples colores y diseños parpadean en la pantalla.")</f>
        <v>Múltiples colores y diseños parpadean en la pantalla.</v>
      </c>
    </row>
    <row r="23378">
      <c r="A23378" s="4" t="s">
        <v>29422</v>
      </c>
      <c r="B23378" s="4" t="s">
        <v>29424</v>
      </c>
      <c r="C23378" s="5" t="str">
        <f>IFERROR(__xludf.DUMMYFUNCTION("GOOGLETRANSLATE(B23378,""en"",""es-ES"")"),"Las mujeres se reúnen en el escenario cuando están a punto de actuar.")</f>
        <v>Las mujeres se reúnen en el escenario cuando están a punto de actuar.</v>
      </c>
    </row>
    <row r="23379">
      <c r="A23379" s="4" t="s">
        <v>29422</v>
      </c>
      <c r="B23379" s="4" t="s">
        <v>29425</v>
      </c>
      <c r="C23379" s="5" t="str">
        <f>IFERROR(__xludf.DUMMYFUNCTION("GOOGLETRANSLATE(B23379,""en"",""es-ES"")"),"Las mujeres bailan y saltan, liderando una rutina de Zumba.")</f>
        <v>Las mujeres bailan y saltan, liderando una rutina de Zumba.</v>
      </c>
    </row>
    <row r="23380">
      <c r="A23380" s="4" t="s">
        <v>29426</v>
      </c>
      <c r="B23380" s="4" t="s">
        <v>29427</v>
      </c>
      <c r="C23380" s="5" t="str">
        <f>IFERROR(__xludf.DUMMYFUNCTION("GOOGLETRANSLATE(B23380,""en"",""es-ES"")"),"Se muestran varias tomas de letreros, así como personas que caminan por un campo y se preparan para los eventos.")</f>
        <v>Se muestran varias tomas de letreros, así como personas que caminan por un campo y se preparan para los eventos.</v>
      </c>
    </row>
    <row r="23381">
      <c r="A23381" s="4" t="s">
        <v>29426</v>
      </c>
      <c r="B23381" s="4" t="s">
        <v>29428</v>
      </c>
      <c r="C23381" s="5" t="str">
        <f>IFERROR(__xludf.DUMMYFUNCTION("GOOGLETRANSLATE(B23381,""en"",""es-ES"")"),"Muchas personas son entrevistadas para la cámara y muestran a las personas que saludan y se preparan en los lados.")</f>
        <v>Muchas personas son entrevistadas para la cámara y muestran a las personas que saludan y se preparan en los lados.</v>
      </c>
    </row>
    <row r="23382">
      <c r="A23382" s="4" t="s">
        <v>29426</v>
      </c>
      <c r="B23382" s="4" t="s">
        <v>29429</v>
      </c>
      <c r="C23382" s="5" t="str">
        <f>IFERROR(__xludf.DUMMYFUNCTION("GOOGLETRANSLATE(B23382,""en"",""es-ES"")"),"Las personas saludan a la cámara y se paran sosteniendo señales mientras más hablan con la cámara y muestran juegos de rayos hopas.")</f>
        <v>Las personas saludan a la cámara y se paran sosteniendo señales mientras más hablan con la cámara y muestran juegos de rayos hopas.</v>
      </c>
    </row>
    <row r="23383">
      <c r="A23383" s="4" t="s">
        <v>29430</v>
      </c>
      <c r="B23383" s="4" t="s">
        <v>29431</v>
      </c>
      <c r="C23383" s="5" t="str">
        <f>IFERROR(__xludf.DUMMYFUNCTION("GOOGLETRANSLATE(B23383,""en"",""es-ES"")"),"Un perro empuja un cochecito por la acera.")</f>
        <v>Un perro empuja un cochecito por la acera.</v>
      </c>
    </row>
    <row r="23384">
      <c r="A23384" s="4" t="s">
        <v>29430</v>
      </c>
      <c r="B23384" s="4" t="s">
        <v>29432</v>
      </c>
      <c r="C23384" s="5" t="str">
        <f>IFERROR(__xludf.DUMMYFUNCTION("GOOGLETRANSLATE(B23384,""en"",""es-ES"")"),"Una persona de blanco pasa el árbol.")</f>
        <v>Una persona de blanco pasa el árbol.</v>
      </c>
    </row>
    <row r="23385">
      <c r="A23385" s="4" t="s">
        <v>29430</v>
      </c>
      <c r="B23385" s="4" t="s">
        <v>29433</v>
      </c>
      <c r="C23385" s="5" t="str">
        <f>IFERROR(__xludf.DUMMYFUNCTION("GOOGLETRANSLATE(B23385,""en"",""es-ES"")"),"El perro pasa un pequeño árbol.")</f>
        <v>El perro pasa un pequeño árbol.</v>
      </c>
    </row>
    <row r="23386">
      <c r="A23386" s="4" t="s">
        <v>29434</v>
      </c>
      <c r="B23386" s="4" t="s">
        <v>29435</v>
      </c>
      <c r="C23386" s="5" t="str">
        <f>IFERROR(__xludf.DUMMYFUNCTION("GOOGLETRANSLATE(B23386,""en"",""es-ES"")"),"Un hombre comienza a cortar un trozo de madera con un hacha.")</f>
        <v>Un hombre comienza a cortar un trozo de madera con un hacha.</v>
      </c>
    </row>
    <row r="23387">
      <c r="A23387" s="4" t="s">
        <v>29434</v>
      </c>
      <c r="B23387" s="4" t="s">
        <v>29436</v>
      </c>
      <c r="C23387" s="5" t="str">
        <f>IFERROR(__xludf.DUMMYFUNCTION("GOOGLETRANSLATE(B23387,""en"",""es-ES"")"),"Recoge la madera y la arroja a una pila.")</f>
        <v>Recoge la madera y la arroja a una pila.</v>
      </c>
    </row>
    <row r="23388">
      <c r="A23388" s="4" t="s">
        <v>29434</v>
      </c>
      <c r="B23388" s="4" t="s">
        <v>29437</v>
      </c>
      <c r="C23388" s="5" t="str">
        <f>IFERROR(__xludf.DUMMYFUNCTION("GOOGLETRANSLATE(B23388,""en"",""es-ES"")"),"Él recoge una nueva pieza de madera y chuletas.")</f>
        <v>Él recoge una nueva pieza de madera y chuletas.</v>
      </c>
    </row>
    <row r="23389">
      <c r="A23389" s="4" t="s">
        <v>29438</v>
      </c>
      <c r="B23389" s="4" t="s">
        <v>29439</v>
      </c>
      <c r="C23389" s="5" t="str">
        <f>IFERROR(__xludf.DUMMYFUNCTION("GOOGLETRANSLATE(B23389,""en"",""es-ES"")"),"Se ve a una mujer sentada en un hilo de tejer silla mientras la cámara la mira.")</f>
        <v>Se ve a una mujer sentada en un hilo de tejer silla mientras la cámara la mira.</v>
      </c>
    </row>
    <row r="23390">
      <c r="A23390" s="4" t="s">
        <v>29438</v>
      </c>
      <c r="B23390" s="4" t="s">
        <v>29440</v>
      </c>
      <c r="C23390" s="5" t="str">
        <f>IFERROR(__xludf.DUMMYFUNCTION("GOOGLETRANSLATE(B23390,""en"",""es-ES"")"),"La mujer continúa tejiendo mientras se detiene para mirar la cámara y hacer caras.")</f>
        <v>La mujer continúa tejiendo mientras se detiene para mirar la cámara y hacer caras.</v>
      </c>
    </row>
    <row r="23391">
      <c r="A23391" s="4" t="s">
        <v>29441</v>
      </c>
      <c r="B23391" s="4" t="s">
        <v>29442</v>
      </c>
      <c r="C23391" s="5" t="str">
        <f>IFERROR(__xludf.DUMMYFUNCTION("GOOGLETRANSLATE(B23391,""en"",""es-ES"")"),"Un Hummer respalda un bote por una rampa.")</f>
        <v>Un Hummer respalda un bote por una rampa.</v>
      </c>
    </row>
    <row r="23392">
      <c r="A23392" s="4" t="s">
        <v>29441</v>
      </c>
      <c r="B23392" s="4" t="s">
        <v>29443</v>
      </c>
      <c r="C23392" s="5" t="str">
        <f>IFERROR(__xludf.DUMMYFUNCTION("GOOGLETRANSLATE(B23392,""en"",""es-ES"")"),"Una persona se despierta detrás del bote.")</f>
        <v>Una persona se despierta detrás del bote.</v>
      </c>
    </row>
    <row r="23393">
      <c r="A23393" s="4" t="s">
        <v>29441</v>
      </c>
      <c r="B23393" s="4" t="s">
        <v>29444</v>
      </c>
      <c r="C23393" s="5" t="str">
        <f>IFERROR(__xludf.DUMMYFUNCTION("GOOGLETRANSLATE(B23393,""en"",""es-ES"")"),"La gente está sentada en el bote.")</f>
        <v>La gente está sentada en el bote.</v>
      </c>
    </row>
    <row r="23394">
      <c r="A23394" s="4" t="s">
        <v>29445</v>
      </c>
      <c r="B23394" s="4" t="s">
        <v>29446</v>
      </c>
      <c r="C23394" s="5" t="str">
        <f>IFERROR(__xludf.DUMMYFUNCTION("GOOGLETRANSLATE(B23394,""en"",""es-ES"")"),"Una mujer está sentada en la parte inferior de una diapositiva.")</f>
        <v>Una mujer está sentada en la parte inferior de una diapositiva.</v>
      </c>
    </row>
    <row r="23395">
      <c r="A23395" s="4" t="s">
        <v>29445</v>
      </c>
      <c r="B23395" s="4" t="s">
        <v>29447</v>
      </c>
      <c r="C23395" s="5" t="str">
        <f>IFERROR(__xludf.DUMMYFUNCTION("GOOGLETRANSLATE(B23395,""en"",""es-ES"")"),"Ella está ajustando su cámara.")</f>
        <v>Ella está ajustando su cámara.</v>
      </c>
    </row>
    <row r="23396">
      <c r="A23396" s="4" t="s">
        <v>29445</v>
      </c>
      <c r="B23396" s="4" t="s">
        <v>29448</v>
      </c>
      <c r="C23396" s="5" t="str">
        <f>IFERROR(__xludf.DUMMYFUNCTION("GOOGLETRANSLATE(B23396,""en"",""es-ES"")"),"Un niño se desliza por el tobogán, corriendo hacia ella por detrás.")</f>
        <v>Un niño se desliza por el tobogán, corriendo hacia ella por detrás.</v>
      </c>
    </row>
    <row r="23397">
      <c r="A23397" s="4" t="s">
        <v>29449</v>
      </c>
      <c r="B23397" s="4" t="s">
        <v>29450</v>
      </c>
      <c r="C23397" s="5" t="str">
        <f>IFERROR(__xludf.DUMMYFUNCTION("GOOGLETRANSLATE(B23397,""en"",""es-ES"")"),"Se ve a un niño pequeño trepando por un patio de recreo y luego bajando por un tobogán.")</f>
        <v>Se ve a un niño pequeño trepando por un patio de recreo y luego bajando por un tobogán.</v>
      </c>
    </row>
    <row r="23398">
      <c r="A23398" s="4" t="s">
        <v>29449</v>
      </c>
      <c r="B23398" s="4" t="s">
        <v>29451</v>
      </c>
      <c r="C23398" s="5" t="str">
        <f>IFERROR(__xludf.DUMMYFUNCTION("GOOGLETRANSLATE(B23398,""en"",""es-ES"")"),"Vuelve a la cima de nuevo, seguido de otro, ve por el tobogán y regresa a las escaleras nuevamente.")</f>
        <v>Vuelve a la cima de nuevo, seguido de otro, ve por el tobogán y regresa a las escaleras nuevamente.</v>
      </c>
    </row>
    <row r="23399">
      <c r="A23399" s="4" t="s">
        <v>29452</v>
      </c>
      <c r="B23399" s="4" t="s">
        <v>29453</v>
      </c>
      <c r="C23399" s="5" t="str">
        <f>IFERROR(__xludf.DUMMYFUNCTION("GOOGLETRANSLATE(B23399,""en"",""es-ES"")"),"Una persona se para en una colina cubierta de nieve, luego la persona esquía por la colina y cae.")</f>
        <v>Una persona se para en una colina cubierta de nieve, luego la persona esquía por la colina y cae.</v>
      </c>
    </row>
    <row r="23400">
      <c r="A23400" s="4" t="s">
        <v>29452</v>
      </c>
      <c r="B23400" s="4" t="s">
        <v>29454</v>
      </c>
      <c r="C23400" s="5" t="str">
        <f>IFERROR(__xludf.DUMMYFUNCTION("GOOGLETRANSLATE(B23400,""en"",""es-ES"")"),"Un esquiador baja por una colina hace un salto sobre piedras y caídas y rueda sobre la nieve.")</f>
        <v>Un esquiador baja por una colina hace un salto sobre piedras y caídas y rueda sobre la nieve.</v>
      </c>
    </row>
    <row r="23401">
      <c r="A23401" s="4" t="s">
        <v>29452</v>
      </c>
      <c r="B23401" s="4" t="s">
        <v>29455</v>
      </c>
      <c r="C23401" s="5" t="str">
        <f>IFERROR(__xludf.DUMMYFUNCTION("GOOGLETRANSLATE(B23401,""en"",""es-ES"")"),"Luego, otro hombre cielo en la colina y las áreas planas cubiertas de nieve.")</f>
        <v>Luego, otro hombre cielo en la colina y las áreas planas cubiertas de nieve.</v>
      </c>
    </row>
    <row r="23402">
      <c r="A23402" s="4" t="s">
        <v>29452</v>
      </c>
      <c r="B23402" s="4" t="s">
        <v>29456</v>
      </c>
      <c r="C23402" s="5" t="str">
        <f>IFERROR(__xludf.DUMMYFUNCTION("GOOGLETRANSLATE(B23402,""en"",""es-ES"")"),"Además, los esquiadores hacen un volteo en el aire mientras otras personas miran.")</f>
        <v>Además, los esquiadores hacen un volteo en el aire mientras otras personas miran.</v>
      </c>
    </row>
    <row r="23403">
      <c r="A23403" s="4" t="s">
        <v>29457</v>
      </c>
      <c r="B23403" s="4" t="s">
        <v>29458</v>
      </c>
      <c r="C23403" s="5" t="str">
        <f>IFERROR(__xludf.DUMMYFUNCTION("GOOGLETRANSLATE(B23403,""en"",""es-ES"")"),"Dos hombres juegan squash en una cancha interior.")</f>
        <v>Dos hombres juegan squash en una cancha interior.</v>
      </c>
    </row>
    <row r="23404">
      <c r="A23404" s="4" t="s">
        <v>29457</v>
      </c>
      <c r="B23404" s="4" t="s">
        <v>29459</v>
      </c>
      <c r="C23404" s="5" t="str">
        <f>IFERROR(__xludf.DUMMYFUNCTION("GOOGLETRANSLATE(B23404,""en"",""es-ES"")"),"El hombre izquierdo con la camisa blanca pierde la pelota y el comienzo.")</f>
        <v>El hombre izquierdo con la camisa blanca pierde la pelota y el comienzo.</v>
      </c>
    </row>
    <row r="23405">
      <c r="A23405" s="4" t="s">
        <v>29457</v>
      </c>
      <c r="B23405" s="4" t="s">
        <v>29460</v>
      </c>
      <c r="C23405" s="5" t="str">
        <f>IFERROR(__xludf.DUMMYFUNCTION("GOOGLETRANSLATE(B23405,""en"",""es-ES"")"),"Vemos que el hombre de la camisa gris se pone de pie y se pone el puño mientras parece decepcionado.")</f>
        <v>Vemos que el hombre de la camisa gris se pone de pie y se pone el puño mientras parece decepcionado.</v>
      </c>
    </row>
    <row r="23406">
      <c r="A23406" s="4" t="s">
        <v>29461</v>
      </c>
      <c r="B23406" s="4" t="s">
        <v>29462</v>
      </c>
      <c r="C23406" s="5" t="str">
        <f>IFERROR(__xludf.DUMMYFUNCTION("GOOGLETRANSLATE(B23406,""en"",""es-ES"")"),"Una niña está sentada en el piso del porche con su papá mientras prepara una cometa de mariposa azul para ella.")</f>
        <v>Una niña está sentada en el piso del porche con su papá mientras prepara una cometa de mariposa azul para ella.</v>
      </c>
    </row>
    <row r="23407">
      <c r="A23407" s="4" t="s">
        <v>29461</v>
      </c>
      <c r="B23407" s="4" t="s">
        <v>29463</v>
      </c>
      <c r="C23407" s="5" t="str">
        <f>IFERROR(__xludf.DUMMYFUNCTION("GOOGLETRANSLATE(B23407,""en"",""es-ES"")"),"Después de que termine de completar la cometa, salen a la luz para volar la cometa.")</f>
        <v>Después de que termine de completar la cometa, salen a la luz para volar la cometa.</v>
      </c>
    </row>
    <row r="23408">
      <c r="A23408" s="4" t="s">
        <v>29461</v>
      </c>
      <c r="B23408" s="4" t="s">
        <v>29464</v>
      </c>
      <c r="C23408" s="5" t="str">
        <f>IFERROR(__xludf.DUMMYFUNCTION("GOOGLETRANSLATE(B23408,""en"",""es-ES"")"),"El padre sostiene la cometa en su mano mientras el viento sopla fuertemente.")</f>
        <v>El padre sostiene la cometa en su mano mientras el viento sopla fuertemente.</v>
      </c>
    </row>
    <row r="23409">
      <c r="A23409" s="4" t="s">
        <v>29461</v>
      </c>
      <c r="B23409" s="4" t="s">
        <v>29465</v>
      </c>
      <c r="C23409" s="5" t="str">
        <f>IFERROR(__xludf.DUMMYFUNCTION("GOOGLETRANSLATE(B23409,""en"",""es-ES"")"),"La niña sostiene la cuerda de la cometa y comienza a volar la cometa en lo alto del aire.")</f>
        <v>La niña sostiene la cuerda de la cometa y comienza a volar la cometa en lo alto del aire.</v>
      </c>
    </row>
    <row r="23410">
      <c r="A23410" s="4" t="s">
        <v>29466</v>
      </c>
      <c r="B23410" s="4" t="s">
        <v>29467</v>
      </c>
      <c r="C23410" s="5" t="str">
        <f>IFERROR(__xludf.DUMMYFUNCTION("GOOGLETRANSLATE(B23410,""en"",""es-ES"")"),"Un chef explica cómo cocinar una tortilla con verduras y especias, luego, el chef toma un plato y sirve la tortilla con lechuga y limón.")</f>
        <v>Un chef explica cómo cocinar una tortilla con verduras y especias, luego, el chef toma un plato y sirve la tortilla con lechuga y limón.</v>
      </c>
    </row>
    <row r="23411">
      <c r="A23411" s="4" t="s">
        <v>29466</v>
      </c>
      <c r="B23411" s="4" t="s">
        <v>29468</v>
      </c>
      <c r="C23411" s="5" t="str">
        <f>IFERROR(__xludf.DUMMYFUNCTION("GOOGLETRANSLATE(B23411,""en"",""es-ES"")"),"Un hombre y una mujer pasan detrás del chef en el restaurante.")</f>
        <v>Un hombre y una mujer pasan detrás del chef en el restaurante.</v>
      </c>
    </row>
    <row r="23412">
      <c r="A23412" s="4" t="s">
        <v>29466</v>
      </c>
      <c r="B23412" s="4" t="s">
        <v>29469</v>
      </c>
      <c r="C23412" s="5" t="str">
        <f>IFERROR(__xludf.DUMMYFUNCTION("GOOGLETRANSLATE(B23412,""en"",""es-ES"")"),"Otro hombre se sienta en una mesa, de pie y se aleja.")</f>
        <v>Otro hombre se sienta en una mesa, de pie y se aleja.</v>
      </c>
    </row>
    <row r="23413">
      <c r="A23413" s="4" t="s">
        <v>29466</v>
      </c>
      <c r="B23413" s="4" t="s">
        <v>29470</v>
      </c>
      <c r="C23413" s="5" t="str">
        <f>IFERROR(__xludf.DUMMYFUNCTION("GOOGLETRANSLATE(B23413,""en"",""es-ES"")"),"Otra persona entra en el restaurante y gira a la izquierda.")</f>
        <v>Otra persona entra en el restaurante y gira a la izquierda.</v>
      </c>
    </row>
    <row r="23414">
      <c r="A23414" s="4" t="s">
        <v>29471</v>
      </c>
      <c r="B23414" s="4" t="s">
        <v>29472</v>
      </c>
      <c r="C23414" s="5" t="str">
        <f>IFERROR(__xludf.DUMMYFUNCTION("GOOGLETRANSLATE(B23414,""en"",""es-ES"")"),"Un niño pequeño está en un patio, usando un soplador de hojas.")</f>
        <v>Un niño pequeño está en un patio, usando un soplador de hojas.</v>
      </c>
    </row>
    <row r="23415">
      <c r="A23415" s="4" t="s">
        <v>29471</v>
      </c>
      <c r="B23415" s="4" t="s">
        <v>29473</v>
      </c>
      <c r="C23415" s="5" t="str">
        <f>IFERROR(__xludf.DUMMYFUNCTION("GOOGLETRANSLATE(B23415,""en"",""es-ES"")"),"Una niña pronto se une a él, rastrillando las hojas.")</f>
        <v>Una niña pronto se une a él, rastrillando las hojas.</v>
      </c>
    </row>
    <row r="23416">
      <c r="A23416" s="4" t="s">
        <v>29474</v>
      </c>
      <c r="B23416" s="4" t="s">
        <v>29475</v>
      </c>
      <c r="C23416" s="5" t="str">
        <f>IFERROR(__xludf.DUMMYFUNCTION("GOOGLETRANSLATE(B23416,""en"",""es-ES"")"),"Se ve a un hombre inclinado sobre lavarse las manos cuando otro hombre sale y le habla.")</f>
        <v>Se ve a un hombre inclinado sobre lavarse las manos cuando otro hombre sale y le habla.</v>
      </c>
    </row>
    <row r="23417">
      <c r="A23417" s="4" t="s">
        <v>29474</v>
      </c>
      <c r="B23417" s="4" t="s">
        <v>29476</v>
      </c>
      <c r="C23417" s="5" t="str">
        <f>IFERROR(__xludf.DUMMYFUNCTION("GOOGLETRANSLATE(B23417,""en"",""es-ES"")"),"El otro hombre comienza a lavarse las manos con jabón debajo del grifo mientras el otro hombre mira.")</f>
        <v>El otro hombre comienza a lavarse las manos con jabón debajo del grifo mientras el otro hombre mira.</v>
      </c>
    </row>
    <row r="23418">
      <c r="A23418" s="4" t="s">
        <v>29474</v>
      </c>
      <c r="B23418" s="4" t="s">
        <v>29477</v>
      </c>
      <c r="C23418" s="5" t="str">
        <f>IFERROR(__xludf.DUMMYFUNCTION("GOOGLETRANSLATE(B23418,""en"",""es-ES"")"),"Termina de lavarse mientras el otro hombre se va y señala a un tercer hombre que sale del puesto.")</f>
        <v>Termina de lavarse mientras el otro hombre se va y señala a un tercer hombre que sale del puesto.</v>
      </c>
    </row>
    <row r="23419">
      <c r="A23419" s="4" t="s">
        <v>29478</v>
      </c>
      <c r="B23419" s="4" t="s">
        <v>29479</v>
      </c>
      <c r="C23419" s="5" t="str">
        <f>IFERROR(__xludf.DUMMYFUNCTION("GOOGLETRANSLATE(B23419,""en"",""es-ES"")"),"La gente está jugando cerveza pong en una fiesta.")</f>
        <v>La gente está jugando cerveza pong en una fiesta.</v>
      </c>
    </row>
    <row r="23420">
      <c r="A23420" s="4" t="s">
        <v>29478</v>
      </c>
      <c r="B23420" s="4" t="s">
        <v>29480</v>
      </c>
      <c r="C23420" s="5" t="str">
        <f>IFERROR(__xludf.DUMMYFUNCTION("GOOGLETRANSLATE(B23420,""en"",""es-ES"")"),"La gente está bebiendo bebidas de la mesa.")</f>
        <v>La gente está bebiendo bebidas de la mesa.</v>
      </c>
    </row>
    <row r="23421">
      <c r="A23421" s="4" t="s">
        <v>29478</v>
      </c>
      <c r="B23421" s="4" t="s">
        <v>29481</v>
      </c>
      <c r="C23421" s="5" t="str">
        <f>IFERROR(__xludf.DUMMYFUNCTION("GOOGLETRANSLATE(B23421,""en"",""es-ES"")"),"Se muestra un vaso de cerveza.")</f>
        <v>Se muestra un vaso de cerveza.</v>
      </c>
    </row>
    <row r="23422">
      <c r="A23422" s="4" t="s">
        <v>29482</v>
      </c>
      <c r="B23422" s="4" t="s">
        <v>29483</v>
      </c>
      <c r="C23422" s="5" t="str">
        <f>IFERROR(__xludf.DUMMYFUNCTION("GOOGLETRANSLATE(B23422,""en"",""es-ES"")"),"Se ve a un hombre lanzando un dardo a un tablero y conduce a una mujer que habla.")</f>
        <v>Se ve a un hombre lanzando un dardo a un tablero y conduce a una mujer que habla.</v>
      </c>
    </row>
    <row r="23423">
      <c r="A23423" s="4" t="s">
        <v>29482</v>
      </c>
      <c r="B23423" s="4" t="s">
        <v>29484</v>
      </c>
      <c r="C23423" s="5" t="str">
        <f>IFERROR(__xludf.DUMMYFUNCTION("GOOGLETRANSLATE(B23423,""en"",""es-ES"")"),"El hombre lanza varios dardos más mientras se toma el tiempo para hablar con la mujer.")</f>
        <v>El hombre lanza varios dardos más mientras se toma el tiempo para hablar con la mujer.</v>
      </c>
    </row>
    <row r="23424">
      <c r="A23424" s="4" t="s">
        <v>29482</v>
      </c>
      <c r="B23424" s="4" t="s">
        <v>29485</v>
      </c>
      <c r="C23424" s="5" t="str">
        <f>IFERROR(__xludf.DUMMYFUNCTION("GOOGLETRANSLATE(B23424,""en"",""es-ES"")"),"Se muestra a más personas lanzando Dart mientras los dos continúan hablando y el hombre señala al tablero.")</f>
        <v>Se muestra a más personas lanzando Dart mientras los dos continúan hablando y el hombre señala al tablero.</v>
      </c>
    </row>
    <row r="23425">
      <c r="A23425" s="4" t="s">
        <v>29486</v>
      </c>
      <c r="B23425" s="4" t="s">
        <v>29487</v>
      </c>
      <c r="C23425" s="5" t="str">
        <f>IFERROR(__xludf.DUMMYFUNCTION("GOOGLETRANSLATE(B23425,""en"",""es-ES"")"),"Se ve a los bandejas de la cámara alrededor de varios grupos de personas realizando artes marciales entre sí, así como personas que caminan y observan.")</f>
        <v>Se ve a los bandejas de la cámara alrededor de varios grupos de personas realizando artes marciales entre sí, así como personas que caminan y observan.</v>
      </c>
    </row>
    <row r="23426">
      <c r="A23426" s="4" t="s">
        <v>29486</v>
      </c>
      <c r="B23426" s="4" t="s">
        <v>29488</v>
      </c>
      <c r="C23426" s="5" t="str">
        <f>IFERROR(__xludf.DUMMYFUNCTION("GOOGLETRANSLATE(B23426,""en"",""es-ES"")"),"Se muestran muchas tomas de personas que bailan y cantan, además de realizar artes marciales en las calles y ayudarse mutuamente.")</f>
        <v>Se muestran muchas tomas de personas que bailan y cantan, además de realizar artes marciales en las calles y ayudarse mutuamente.</v>
      </c>
    </row>
    <row r="23427">
      <c r="A23427" s="4" t="s">
        <v>29486</v>
      </c>
      <c r="B23427" s="4" t="s">
        <v>29489</v>
      </c>
      <c r="C23427" s="5" t="str">
        <f>IFERROR(__xludf.DUMMYFUNCTION("GOOGLETRANSLATE(B23427,""en"",""es-ES"")"),"Se ve a la gente tocando instrumentos, leyendo las noticias y realizando artes marciales en toda la calle.")</f>
        <v>Se ve a la gente tocando instrumentos, leyendo las noticias y realizando artes marciales en toda la calle.</v>
      </c>
    </row>
    <row r="23428">
      <c r="A23428" s="4" t="s">
        <v>29490</v>
      </c>
      <c r="B23428" s="4" t="s">
        <v>29491</v>
      </c>
      <c r="C23428" s="5" t="str">
        <f>IFERROR(__xludf.DUMMYFUNCTION("GOOGLETRANSLATE(B23428,""en"",""es-ES"")"),"Una persona juega tam-tam dentro de una habitación, el hombre juega principalmente en el tamm en el zumbido delantero.")</f>
        <v>Una persona juega tam-tam dentro de una habitación, el hombre juega principalmente en el tamm en el zumbido delantero.</v>
      </c>
    </row>
    <row r="23429">
      <c r="A23429" s="4" t="s">
        <v>29490</v>
      </c>
      <c r="B23429" s="4" t="s">
        <v>29492</v>
      </c>
      <c r="C23429" s="5" t="str">
        <f>IFERROR(__xludf.DUMMYFUNCTION("GOOGLETRANSLATE(B23429,""en"",""es-ES"")"),"Una mano pasa en el frente de la pantalla.")</f>
        <v>Una mano pasa en el frente de la pantalla.</v>
      </c>
    </row>
    <row r="23430">
      <c r="A23430" s="4" t="s">
        <v>29490</v>
      </c>
      <c r="B23430" s="4" t="s">
        <v>29493</v>
      </c>
      <c r="C23430" s="5" t="str">
        <f>IFERROR(__xludf.DUMMYFUNCTION("GOOGLETRANSLATE(B23430,""en"",""es-ES"")"),"La persona extiende su brazo sobre el tam-tam.")</f>
        <v>La persona extiende su brazo sobre el tam-tam.</v>
      </c>
    </row>
    <row r="23431">
      <c r="A23431" s="4" t="s">
        <v>29494</v>
      </c>
      <c r="B23431" s="4" t="s">
        <v>29495</v>
      </c>
      <c r="C23431" s="5" t="str">
        <f>IFERROR(__xludf.DUMMYFUNCTION("GOOGLETRANSLATE(B23431,""en"",""es-ES"")"),"Un hombre salta del caballo marrón y elassos al toro al suelo al principio.")</f>
        <v>Un hombre salta del caballo marrón y elassos al toro al suelo al principio.</v>
      </c>
    </row>
    <row r="23432">
      <c r="A23432" s="4" t="s">
        <v>29494</v>
      </c>
      <c r="B23432" s="4" t="s">
        <v>29496</v>
      </c>
      <c r="C23432" s="5" t="str">
        <f>IFERROR(__xludf.DUMMYFUNCTION("GOOGLETRANSLATE(B23432,""en"",""es-ES"")"),"Luego se sube a otro caballo y lassos un toro más grande que el último al suelo.")</f>
        <v>Luego se sube a otro caballo y lassos un toro más grande que el último al suelo.</v>
      </c>
    </row>
    <row r="23433">
      <c r="A23433" s="4" t="s">
        <v>29494</v>
      </c>
      <c r="B23433" s="4" t="s">
        <v>29497</v>
      </c>
      <c r="C23433" s="5" t="str">
        <f>IFERROR(__xludf.DUMMYFUNCTION("GOOGLETRANSLATE(B23433,""en"",""es-ES"")"),"Cuando termine de unir las piernas del toro, se levanta y se aleja.")</f>
        <v>Cuando termine de unir las piernas del toro, se levanta y se aleja.</v>
      </c>
    </row>
    <row r="23434">
      <c r="A23434" s="4" t="s">
        <v>29498</v>
      </c>
      <c r="B23434" s="4" t="s">
        <v>29499</v>
      </c>
      <c r="C23434" s="5" t="str">
        <f>IFERROR(__xludf.DUMMYFUNCTION("GOOGLETRANSLATE(B23434,""en"",""es-ES"")"),"Se está jugando un juego de cricket entre dos equipos frente a una multitud de personas.")</f>
        <v>Se está jugando un juego de cricket entre dos equipos frente a una multitud de personas.</v>
      </c>
    </row>
    <row r="23435">
      <c r="A23435" s="4" t="s">
        <v>29498</v>
      </c>
      <c r="B23435" s="4" t="s">
        <v>29500</v>
      </c>
      <c r="C23435" s="5" t="str">
        <f>IFERROR(__xludf.DUMMYFUNCTION("GOOGLETRANSLATE(B23435,""en"",""es-ES"")"),"Se hace la primera obra y los comentaristas narran la obra.")</f>
        <v>Se hace la primera obra y los comentaristas narran la obra.</v>
      </c>
    </row>
    <row r="23436">
      <c r="A23436" s="4" t="s">
        <v>29498</v>
      </c>
      <c r="B23436" s="4" t="s">
        <v>29501</v>
      </c>
      <c r="C23436" s="5" t="str">
        <f>IFERROR(__xludf.DUMMYFUNCTION("GOOGLETRANSLATE(B23436,""en"",""es-ES"")"),"Luego, se inicia una repetición de la obra anterior mientras los comentaristas lo narran.")</f>
        <v>Luego, se inicia una repetición de la obra anterior mientras los comentaristas lo narran.</v>
      </c>
    </row>
    <row r="23437">
      <c r="A23437" s="4" t="s">
        <v>29498</v>
      </c>
      <c r="B23437" s="4" t="s">
        <v>29502</v>
      </c>
      <c r="C23437" s="5" t="str">
        <f>IFERROR(__xludf.DUMMYFUNCTION("GOOGLETRANSLATE(B23437,""en"",""es-ES"")"),"La cámara corta a un hombre que se ríe de un error cometido en la obra.")</f>
        <v>La cámara corta a un hombre que se ríe de un error cometido en la obra.</v>
      </c>
    </row>
    <row r="23438">
      <c r="A23438" s="4" t="s">
        <v>29503</v>
      </c>
      <c r="B23438" s="4" t="s">
        <v>29504</v>
      </c>
      <c r="C23438" s="5" t="str">
        <f>IFERROR(__xludf.DUMMYFUNCTION("GOOGLETRANSLATE(B23438,""en"",""es-ES"")"),"El video conduce a varios clips de personas que realizan trucos de skate en lugares públicos.")</f>
        <v>El video conduce a varios clips de personas que realizan trucos de skate en lugares públicos.</v>
      </c>
    </row>
    <row r="23439">
      <c r="A23439" s="4" t="s">
        <v>29503</v>
      </c>
      <c r="B23439" s="4" t="s">
        <v>29505</v>
      </c>
      <c r="C23439" s="5" t="str">
        <f>IFERROR(__xludf.DUMMYFUNCTION("GOOGLETRANSLATE(B23439,""en"",""es-ES"")"),"Se muestran muchos más clips de personas que viajan en patinetas haciendo flips y trucos.")</f>
        <v>Se muestran muchos más clips de personas que viajan en patinetas haciendo flips y trucos.</v>
      </c>
    </row>
    <row r="23440">
      <c r="A23440" s="4" t="s">
        <v>29506</v>
      </c>
      <c r="B23440" s="4" t="s">
        <v>29507</v>
      </c>
      <c r="C23440" s="5" t="str">
        <f>IFERROR(__xludf.DUMMYFUNCTION("GOOGLETRANSLATE(B23440,""en"",""es-ES"")"),"Elephant camina en un pequeño agua jugando con una pelota.")</f>
        <v>Elephant camina en un pequeño agua jugando con una pelota.</v>
      </c>
    </row>
    <row r="23441">
      <c r="A23441" s="4" t="s">
        <v>29506</v>
      </c>
      <c r="B23441" s="4" t="s">
        <v>29508</v>
      </c>
      <c r="C23441" s="5" t="str">
        <f>IFERROR(__xludf.DUMMYFUNCTION("GOOGLETRANSLATE(B23441,""en"",""es-ES"")"),"La mujer está hablando en la cámara y el elefante está nuevamente en el agua jugando con la pelota.")</f>
        <v>La mujer está hablando en la cámara y el elefante está nuevamente en el agua jugando con la pelota.</v>
      </c>
    </row>
    <row r="23442">
      <c r="A23442" s="4" t="s">
        <v>29506</v>
      </c>
      <c r="B23442" s="4" t="s">
        <v>29509</v>
      </c>
      <c r="C23442" s="5" t="str">
        <f>IFERROR(__xludf.DUMMYFUNCTION("GOOGLETRANSLATE(B23442,""en"",""es-ES"")"),"Little Elephant está jugando con una gran bola azul.")</f>
        <v>Little Elephant está jugando con una gran bola azul.</v>
      </c>
    </row>
    <row r="23443">
      <c r="A23443" s="4" t="s">
        <v>29510</v>
      </c>
      <c r="B23443" s="4" t="s">
        <v>29511</v>
      </c>
      <c r="C23443" s="5" t="str">
        <f>IFERROR(__xludf.DUMMYFUNCTION("GOOGLETRANSLATE(B23443,""en"",""es-ES"")"),"Una niña está parada en un fregadero, lavando los platos y jugando en el agua.")</f>
        <v>Una niña está parada en un fregadero, lavando los platos y jugando en el agua.</v>
      </c>
    </row>
    <row r="23444">
      <c r="A23444" s="4" t="s">
        <v>29510</v>
      </c>
      <c r="B23444" s="4" t="s">
        <v>29512</v>
      </c>
      <c r="C23444" s="5" t="str">
        <f>IFERROR(__xludf.DUMMYFUNCTION("GOOGLETRANSLATE(B23444,""en"",""es-ES"")"),"Ella sonríe mientras enjuague un tazón de plástico.")</f>
        <v>Ella sonríe mientras enjuague un tazón de plástico.</v>
      </c>
    </row>
    <row r="23445">
      <c r="A23445" s="4" t="s">
        <v>29510</v>
      </c>
      <c r="B23445" s="4" t="s">
        <v>29513</v>
      </c>
      <c r="C23445" s="5" t="str">
        <f>IFERROR(__xludf.DUMMYFUNCTION("GOOGLETRANSLATE(B23445,""en"",""es-ES"")"),"Ella camina hacia la cámara hablando y riendo antes de salir de la habitación con su hermano.")</f>
        <v>Ella camina hacia la cámara hablando y riendo antes de salir de la habitación con su hermano.</v>
      </c>
    </row>
    <row r="23446">
      <c r="A23446" s="4" t="s">
        <v>29514</v>
      </c>
      <c r="B23446" s="4" t="s">
        <v>1487</v>
      </c>
      <c r="C23446" s="5" t="str">
        <f>IFERROR(__xludf.DUMMYFUNCTION("GOOGLETRANSLATE(B23446,""en"",""es-ES"")"),"Vemos una pantalla de título de apertura.")</f>
        <v>Vemos una pantalla de título de apertura.</v>
      </c>
    </row>
    <row r="23447">
      <c r="A23447" s="4" t="s">
        <v>29514</v>
      </c>
      <c r="B23447" s="4" t="s">
        <v>29515</v>
      </c>
      <c r="C23447" s="5" t="str">
        <f>IFERROR(__xludf.DUMMYFUNCTION("GOOGLETRANSLATE(B23447,""en"",""es-ES"")"),"Un hombre se pone un montón de malvaviscos en la boca.")</f>
        <v>Un hombre se pone un montón de malvaviscos en la boca.</v>
      </c>
    </row>
    <row r="23448">
      <c r="A23448" s="4" t="s">
        <v>29514</v>
      </c>
      <c r="B23448" s="4" t="s">
        <v>29516</v>
      </c>
      <c r="C23448" s="5" t="str">
        <f>IFERROR(__xludf.DUMMYFUNCTION("GOOGLETRANSLATE(B23448,""en"",""es-ES"")"),"Un hombre hace una fogata y las puntas parpadean en la pantalla.")</f>
        <v>Un hombre hace una fogata y las puntas parpadean en la pantalla.</v>
      </c>
    </row>
    <row r="23449">
      <c r="A23449" s="4" t="s">
        <v>29514</v>
      </c>
      <c r="B23449" s="4" t="s">
        <v>29517</v>
      </c>
      <c r="C23449" s="5" t="str">
        <f>IFERROR(__xludf.DUMMYFUNCTION("GOOGLETRANSLATE(B23449,""en"",""es-ES"")"),"El hombre cava un agujero colocando rocas a su alrededor y recoge leña.")</f>
        <v>El hombre cava un agujero colocando rocas a su alrededor y recoge leña.</v>
      </c>
    </row>
    <row r="23450">
      <c r="A23450" s="4" t="s">
        <v>29514</v>
      </c>
      <c r="B23450" s="4" t="s">
        <v>29518</v>
      </c>
      <c r="C23450" s="5" t="str">
        <f>IFERROR(__xludf.DUMMYFUNCTION("GOOGLETRANSLATE(B23450,""en"",""es-ES"")"),"Él pone la madera en un triángulo en el pozo y registra el exterior.")</f>
        <v>Él pone la madera en un triángulo en el pozo y registra el exterior.</v>
      </c>
    </row>
    <row r="23451">
      <c r="A23451" s="4" t="s">
        <v>29514</v>
      </c>
      <c r="B23451" s="4" t="s">
        <v>29519</v>
      </c>
      <c r="C23451" s="5" t="str">
        <f>IFERROR(__xludf.DUMMYFUNCTION("GOOGLETRANSLATE(B23451,""en"",""es-ES"")"),"El hombre enciende el fuego y agrega algunas piezas más de madera.")</f>
        <v>El hombre enciende el fuego y agrega algunas piezas más de madera.</v>
      </c>
    </row>
    <row r="23452">
      <c r="A23452" s="4" t="s">
        <v>29514</v>
      </c>
      <c r="B23452" s="4" t="s">
        <v>777</v>
      </c>
      <c r="C23452" s="5" t="str">
        <f>IFERROR(__xludf.DUMMYFUNCTION("GOOGLETRANSLATE(B23452,""en"",""es-ES"")"),"Vemos la pantalla de título final.")</f>
        <v>Vemos la pantalla de título final.</v>
      </c>
    </row>
    <row r="23453">
      <c r="A23453" s="4" t="s">
        <v>29520</v>
      </c>
      <c r="B23453" s="4" t="s">
        <v>29521</v>
      </c>
      <c r="C23453" s="5" t="str">
        <f>IFERROR(__xludf.DUMMYFUNCTION("GOOGLETRANSLATE(B23453,""en"",""es-ES"")"),"El hombre está parado frente a un espejo sosteniendo una cámara.")</f>
        <v>El hombre está parado frente a un espejo sosteniendo una cámara.</v>
      </c>
    </row>
    <row r="23454">
      <c r="A23454" s="4" t="s">
        <v>29520</v>
      </c>
      <c r="B23454" s="4" t="s">
        <v>29522</v>
      </c>
      <c r="C23454" s="5" t="str">
        <f>IFERROR(__xludf.DUMMYFUNCTION("GOOGLETRANSLATE(B23454,""en"",""es-ES"")"),"La mujer entra en el baño cargando de un gato blanco y el hombre se arrodilla para que el gato pueda pararse boca arriba.")</f>
        <v>La mujer entra en el baño cargando de un gato blanco y el hombre se arrodilla para que el gato pueda pararse boca arriba.</v>
      </c>
    </row>
    <row r="23455">
      <c r="A23455" s="4" t="s">
        <v>29520</v>
      </c>
      <c r="B23455" s="4" t="s">
        <v>29523</v>
      </c>
      <c r="C23455" s="5" t="str">
        <f>IFERROR(__xludf.DUMMYFUNCTION("GOOGLETRANSLATE(B23455,""en"",""es-ES"")"),"La mujer deja el baño y el hombre sigue grabando a sí mismo haciendo poses frente a la cámara y hablando consigo mismo en el espejo.")</f>
        <v>La mujer deja el baño y el hombre sigue grabando a sí mismo haciendo poses frente a la cámara y hablando consigo mismo en el espejo.</v>
      </c>
    </row>
    <row r="23456">
      <c r="A23456" s="4" t="s">
        <v>29520</v>
      </c>
      <c r="B23456" s="4" t="s">
        <v>29524</v>
      </c>
      <c r="C23456" s="5" t="str">
        <f>IFERROR(__xludf.DUMMYFUNCTION("GOOGLETRANSLATE(B23456,""en"",""es-ES"")"),"El hombre entra en el dormitorio y la mujer está sentada en la cama sosteniendo el gato.")</f>
        <v>El hombre entra en el dormitorio y la mujer está sentada en la cama sosteniendo el gato.</v>
      </c>
    </row>
    <row r="23457">
      <c r="A23457" s="4" t="s">
        <v>29520</v>
      </c>
      <c r="B23457" s="4" t="s">
        <v>29525</v>
      </c>
      <c r="C23457" s="5" t="str">
        <f>IFERROR(__xludf.DUMMYFUNCTION("GOOGLETRANSLATE(B23457,""en"",""es-ES"")"),"El hombre está en el baño nuevamente sosteniendo un cuchillo y la mujer entra en la habitación con una bufanda trasera alrededor de su cabeza.")</f>
        <v>El hombre está en el baño nuevamente sosteniendo un cuchillo y la mujer entra en la habitación con una bufanda trasera alrededor de su cabeza.</v>
      </c>
    </row>
    <row r="23458">
      <c r="A23458" s="4" t="s">
        <v>29520</v>
      </c>
      <c r="B23458" s="4" t="s">
        <v>29526</v>
      </c>
      <c r="C23458" s="5" t="str">
        <f>IFERROR(__xludf.DUMMYFUNCTION("GOOGLETRANSLATE(B23458,""en"",""es-ES"")"),"Están conduciendo el automóvil y están estacionados en estacionamiento nevado.")</f>
        <v>Están conduciendo el automóvil y están estacionados en estacionamiento nevado.</v>
      </c>
    </row>
    <row r="23459">
      <c r="A23459" s="4" t="s">
        <v>29520</v>
      </c>
      <c r="B23459" s="4" t="s">
        <v>29527</v>
      </c>
      <c r="C23459" s="5" t="str">
        <f>IFERROR(__xludf.DUMMYFUNCTION("GOOGLETRANSLATE(B23459,""en"",""es-ES"")"),"Eners en un restaurante y se van y camina hacia el auto nuevamente.")</f>
        <v>Eners en un restaurante y se van y camina hacia el auto nuevamente.</v>
      </c>
    </row>
    <row r="23460">
      <c r="A23460" s="4" t="s">
        <v>29520</v>
      </c>
      <c r="B23460" s="4" t="s">
        <v>29528</v>
      </c>
      <c r="C23460" s="5" t="str">
        <f>IFERROR(__xludf.DUMMYFUNCTION("GOOGLETRANSLATE(B23460,""en"",""es-ES"")"),"La mujer se mete en el auto y el hombre abre la puerta y agarra un pequeño cepillo y limpia el parabrisas y la mujer hace lo mismo y juega con el hombre.")</f>
        <v>La mujer se mete en el auto y el hombre abre la puerta y agarra un pequeño cepillo y limpia el parabrisas y la mujer hace lo mismo y juega con el hombre.</v>
      </c>
    </row>
    <row r="23461">
      <c r="A23461" s="4" t="s">
        <v>29529</v>
      </c>
      <c r="B23461" s="4" t="s">
        <v>29530</v>
      </c>
      <c r="C23461" s="5" t="str">
        <f>IFERROR(__xludf.DUMMYFUNCTION("GOOGLETRANSLATE(B23461,""en"",""es-ES"")"),"Se ve a una mujer empujando un disco a lo largo del hielo con otros seguidos de un hombre que habla con la cámara.")</f>
        <v>Se ve a una mujer empujando un disco a lo largo del hielo con otros seguidos de un hombre que habla con la cámara.</v>
      </c>
    </row>
    <row r="23462">
      <c r="A23462" s="4" t="s">
        <v>29529</v>
      </c>
      <c r="B23462" s="4" t="s">
        <v>29531</v>
      </c>
      <c r="C23462" s="5" t="str">
        <f>IFERROR(__xludf.DUMMYFUNCTION("GOOGLETRANSLATE(B23462,""en"",""es-ES"")"),"Se muestran más clips de personas que se acurrucan en el hielo mientras el hombre continúa hablando con la cámara y el juego se muestra en cámara lenta.")</f>
        <v>Se muestran más clips de personas que se acurrucan en el hielo mientras el hombre continúa hablando con la cámara y el juego se muestra en cámara lenta.</v>
      </c>
    </row>
    <row r="23463">
      <c r="A23463" s="4" t="s">
        <v>29532</v>
      </c>
      <c r="B23463" s="4" t="s">
        <v>29533</v>
      </c>
      <c r="C23463" s="5" t="str">
        <f>IFERROR(__xludf.DUMMYFUNCTION("GOOGLETRANSLATE(B23463,""en"",""es-ES"")"),"La mujer lleva una camisa roja y está hablando con la cámara en una habitación blanca.")</f>
        <v>La mujer lleva una camisa roja y está hablando con la cámara en una habitación blanca.</v>
      </c>
    </row>
    <row r="23464">
      <c r="A23464" s="4" t="s">
        <v>29532</v>
      </c>
      <c r="B23464" s="4" t="s">
        <v>29534</v>
      </c>
      <c r="C23464" s="5" t="str">
        <f>IFERROR(__xludf.DUMMYFUNCTION("GOOGLETRANSLATE(B23464,""en"",""es-ES"")"),"La mujer comienza a bailar salsa pasos en una cancha de madera.")</f>
        <v>La mujer comienza a bailar salsa pasos en una cancha de madera.</v>
      </c>
    </row>
    <row r="23465">
      <c r="A23465" s="4" t="s">
        <v>29532</v>
      </c>
      <c r="B23465" s="4" t="s">
        <v>29535</v>
      </c>
      <c r="C23465" s="5" t="str">
        <f>IFERROR(__xludf.DUMMYFUNCTION("GOOGLETRANSLATE(B23465,""en"",""es-ES"")"),"La mujer está haciendo escalones de samba sacudiendo su cuerpo de lado a lado.")</f>
        <v>La mujer está haciendo escalones de samba sacudiendo su cuerpo de lado a lado.</v>
      </c>
    </row>
    <row r="23466">
      <c r="A23466" s="4" t="s">
        <v>29536</v>
      </c>
      <c r="B23466" s="4" t="s">
        <v>29537</v>
      </c>
      <c r="C23466" s="5" t="str">
        <f>IFERROR(__xludf.DUMMYFUNCTION("GOOGLETRANSLATE(B23466,""en"",""es-ES"")"),"Una introducción muestra una recortadora de cobertura.")</f>
        <v>Una introducción muestra una recortadora de cobertura.</v>
      </c>
    </row>
    <row r="23467">
      <c r="A23467" s="4" t="s">
        <v>29536</v>
      </c>
      <c r="B23467" s="4" t="s">
        <v>29538</v>
      </c>
      <c r="C23467" s="5" t="str">
        <f>IFERROR(__xludf.DUMMYFUNCTION("GOOGLETRANSLATE(B23467,""en"",""es-ES"")"),"Una mujer seres para hablar sobre el recortador de cobertura.")</f>
        <v>Una mujer seres para hablar sobre el recortador de cobertura.</v>
      </c>
    </row>
    <row r="23468">
      <c r="A23468" s="4" t="s">
        <v>29536</v>
      </c>
      <c r="B23468" s="4" t="s">
        <v>29539</v>
      </c>
      <c r="C23468" s="5" t="str">
        <f>IFERROR(__xludf.DUMMYFUNCTION("GOOGLETRANSLATE(B23468,""en"",""es-ES"")"),"El producto se muestra en acción, recortando un arbusto.")</f>
        <v>El producto se muestra en acción, recortando un arbusto.</v>
      </c>
    </row>
    <row r="23469">
      <c r="A23469" s="4" t="s">
        <v>29536</v>
      </c>
      <c r="B23469" s="4" t="s">
        <v>29540</v>
      </c>
      <c r="C23469" s="5" t="str">
        <f>IFERROR(__xludf.DUMMYFUNCTION("GOOGLETRANSLATE(B23469,""en"",""es-ES"")"),"La mujer muestra la cuchilla y el cargador.")</f>
        <v>La mujer muestra la cuchilla y el cargador.</v>
      </c>
    </row>
    <row r="23470">
      <c r="A23470" s="4" t="s">
        <v>29536</v>
      </c>
      <c r="B23470" s="4" t="s">
        <v>29541</v>
      </c>
      <c r="C23470" s="5" t="str">
        <f>IFERROR(__xludf.DUMMYFUNCTION("GOOGLETRANSLATE(B23470,""en"",""es-ES"")"),"Vemos el producto en uso nuevamente.")</f>
        <v>Vemos el producto en uso nuevamente.</v>
      </c>
    </row>
    <row r="23471">
      <c r="A23471" s="4" t="s">
        <v>29536</v>
      </c>
      <c r="B23471" s="4" t="s">
        <v>29542</v>
      </c>
      <c r="C23471" s="5" t="str">
        <f>IFERROR(__xludf.DUMMYFUNCTION("GOOGLETRANSLATE(B23471,""en"",""es-ES"")"),"La mujer muestra el agarre de comodidad.")</f>
        <v>La mujer muestra el agarre de comodidad.</v>
      </c>
    </row>
    <row r="23472">
      <c r="A23472" s="4" t="s">
        <v>29536</v>
      </c>
      <c r="B23472" s="4" t="s">
        <v>29543</v>
      </c>
      <c r="C23472" s="5" t="str">
        <f>IFERROR(__xludf.DUMMYFUNCTION("GOOGLETRANSLATE(B23472,""en"",""es-ES"")"),"La mujer habla sobre cómo pedir el producto.")</f>
        <v>La mujer habla sobre cómo pedir el producto.</v>
      </c>
    </row>
    <row r="23473">
      <c r="A23473" s="4" t="s">
        <v>29544</v>
      </c>
      <c r="B23473" s="4" t="s">
        <v>29545</v>
      </c>
      <c r="C23473" s="5" t="str">
        <f>IFERROR(__xludf.DUMMYFUNCTION("GOOGLETRANSLATE(B23473,""en"",""es-ES"")"),"Se ve a un hombre de pie junto al agua sosteniendo un hacha en una mano y un bloque de madera en la otra.")</f>
        <v>Se ve a un hombre de pie junto al agua sosteniendo un hacha en una mano y un bloque de madera en la otra.</v>
      </c>
    </row>
    <row r="23474">
      <c r="A23474" s="4" t="s">
        <v>29544</v>
      </c>
      <c r="B23474" s="4" t="s">
        <v>29546</v>
      </c>
      <c r="C23474" s="5" t="str">
        <f>IFERROR(__xludf.DUMMYFUNCTION("GOOGLETRANSLATE(B23474,""en"",""es-ES"")"),"El hombre continúa cortando la madera mientras la cámara se mueve a otras personas en la habitación y a una mujer que habla con la cámara.")</f>
        <v>El hombre continúa cortando la madera mientras la cámara se mueve a otras personas en la habitación y a una mujer que habla con la cámara.</v>
      </c>
    </row>
    <row r="23475">
      <c r="A23475" s="4" t="s">
        <v>29547</v>
      </c>
      <c r="B23475" s="4" t="s">
        <v>29548</v>
      </c>
      <c r="C23475" s="5" t="str">
        <f>IFERROR(__xludf.DUMMYFUNCTION("GOOGLETRANSLATE(B23475,""en"",""es-ES"")"),"Una atleta femenina está en un campo y comienza a lanzar un lanzamiento de bala.")</f>
        <v>Una atleta femenina está en un campo y comienza a lanzar un lanzamiento de bala.</v>
      </c>
    </row>
    <row r="23476">
      <c r="A23476" s="4" t="s">
        <v>29547</v>
      </c>
      <c r="B23476" s="4" t="s">
        <v>29549</v>
      </c>
      <c r="C23476" s="5" t="str">
        <f>IFERROR(__xludf.DUMMYFUNCTION("GOOGLETRANSLATE(B23476,""en"",""es-ES"")"),"La señora gira y gira en cámara lenta a medida que las palabras se muestran en la parte superior que describe cada fase necesaria para lanzar un lanzamiento de bala con éxito.")</f>
        <v>La señora gira y gira en cámara lenta a medida que las palabras se muestran en la parte superior que describe cada fase necesaria para lanzar un lanzamiento de bala con éxito.</v>
      </c>
    </row>
    <row r="23477">
      <c r="A23477" s="4" t="s">
        <v>29550</v>
      </c>
      <c r="B23477" s="4" t="s">
        <v>29551</v>
      </c>
      <c r="C23477" s="5" t="str">
        <f>IFERROR(__xludf.DUMMYFUNCTION("GOOGLETRANSLATE(B23477,""en"",""es-ES"")"),"Vemos a un hombre actuando lentamente a Tai Chi.")</f>
        <v>Vemos a un hombre actuando lentamente a Tai Chi.</v>
      </c>
    </row>
    <row r="23478">
      <c r="A23478" s="4" t="s">
        <v>29550</v>
      </c>
      <c r="B23478" s="4" t="s">
        <v>29552</v>
      </c>
      <c r="C23478" s="5" t="str">
        <f>IFERROR(__xludf.DUMMYFUNCTION("GOOGLETRANSLATE(B23478,""en"",""es-ES"")"),"Una pancarta blanca fluye en la parte inferior.")</f>
        <v>Una pancarta blanca fluye en la parte inferior.</v>
      </c>
    </row>
    <row r="23479">
      <c r="A23479" s="4" t="s">
        <v>29550</v>
      </c>
      <c r="B23479" s="4" t="s">
        <v>29553</v>
      </c>
      <c r="C23479" s="5" t="str">
        <f>IFERROR(__xludf.DUMMYFUNCTION("GOOGLETRANSLATE(B23479,""en"",""es-ES"")"),"El hombre levanta las piernas delante de él y luego sale.")</f>
        <v>El hombre levanta las piernas delante de él y luego sale.</v>
      </c>
    </row>
    <row r="23480">
      <c r="A23480" s="4" t="s">
        <v>29550</v>
      </c>
      <c r="B23480" s="4" t="s">
        <v>29554</v>
      </c>
      <c r="C23480" s="5" t="str">
        <f>IFERROR(__xludf.DUMMYFUNCTION("GOOGLETRANSLATE(B23480,""en"",""es-ES"")"),"El hombre se detiene y se detiene.")</f>
        <v>El hombre se detiene y se detiene.</v>
      </c>
    </row>
    <row r="23481">
      <c r="A23481" s="4" t="s">
        <v>29555</v>
      </c>
      <c r="B23481" s="4" t="s">
        <v>29556</v>
      </c>
      <c r="C23481" s="5" t="str">
        <f>IFERROR(__xludf.DUMMYFUNCTION("GOOGLETRANSLATE(B23481,""en"",""es-ES"")"),"Se ve a una mujer tirando de un equipo de ejercicio mientras lucha para que se mueva.")</f>
        <v>Se ve a una mujer tirando de un equipo de ejercicio mientras lucha para que se mueva.</v>
      </c>
    </row>
    <row r="23482">
      <c r="A23482" s="4" t="s">
        <v>29555</v>
      </c>
      <c r="B23482" s="4" t="s">
        <v>29557</v>
      </c>
      <c r="C23482" s="5" t="str">
        <f>IFERROR(__xludf.DUMMYFUNCTION("GOOGLETRANSLATE(B23482,""en"",""es-ES"")"),"Ella mueve la alfombra debajo de ella y luego puede tirar de la barra hacia atrás y cuarto hacia ella.")</f>
        <v>Ella mueve la alfombra debajo de ella y luego puede tirar de la barra hacia atrás y cuarto hacia ella.</v>
      </c>
    </row>
    <row r="23483">
      <c r="A23483" s="4" t="s">
        <v>29558</v>
      </c>
      <c r="B23483" s="4" t="s">
        <v>29559</v>
      </c>
      <c r="C23483" s="5" t="str">
        <f>IFERROR(__xludf.DUMMYFUNCTION("GOOGLETRANSLATE(B23483,""en"",""es-ES"")"),"Un joven en un festival al aire libre está haciendo trucos de cuerda floja frente a una multitud.")</f>
        <v>Un joven en un festival al aire libre está haciendo trucos de cuerda floja frente a una multitud.</v>
      </c>
    </row>
    <row r="23484">
      <c r="A23484" s="4" t="s">
        <v>29558</v>
      </c>
      <c r="B23484" s="4" t="s">
        <v>29560</v>
      </c>
      <c r="C23484" s="5" t="str">
        <f>IFERROR(__xludf.DUMMYFUNCTION("GOOGLETRANSLATE(B23484,""en"",""es-ES"")"),"El joven hace varios trucos de rebotes y equilibrando en una cuerda apretada a unos pocos metros sobre tapetes negros.")</f>
        <v>El joven hace varios trucos de rebotes y equilibrando en una cuerda apretada a unos pocos metros sobre tapetes negros.</v>
      </c>
    </row>
    <row r="23485">
      <c r="A23485" s="4" t="s">
        <v>29558</v>
      </c>
      <c r="B23485" s="4" t="s">
        <v>29561</v>
      </c>
      <c r="C23485" s="5" t="str">
        <f>IFERROR(__xludf.DUMMYFUNCTION("GOOGLETRANSLATE(B23485,""en"",""es-ES"")"),"Se bajan de la cuerda y camina sobre las esteras del piso y hacia su grupo.")</f>
        <v>Se bajan de la cuerda y camina sobre las esteras del piso y hacia su grupo.</v>
      </c>
    </row>
    <row r="23486">
      <c r="A23486" s="4" t="s">
        <v>29562</v>
      </c>
      <c r="B23486" s="4" t="s">
        <v>29563</v>
      </c>
      <c r="C23486" s="5" t="str">
        <f>IFERROR(__xludf.DUMMYFUNCTION("GOOGLETRANSLATE(B23486,""en"",""es-ES"")"),"Se ve a una mujer sentada en una silla mientras un hombre usa varias herramientas para perforar su oreja.")</f>
        <v>Se ve a una mujer sentada en una silla mientras un hombre usa varias herramientas para perforar su oreja.</v>
      </c>
    </row>
    <row r="23487">
      <c r="A23487" s="4" t="s">
        <v>29562</v>
      </c>
      <c r="B23487" s="4" t="s">
        <v>29564</v>
      </c>
      <c r="C23487" s="5" t="str">
        <f>IFERROR(__xludf.DUMMYFUNCTION("GOOGLETRANSLATE(B23487,""en"",""es-ES"")"),"El hombre termina el piercing y la niña comienza a girar al final.")</f>
        <v>El hombre termina el piercing y la niña comienza a girar al final.</v>
      </c>
    </row>
    <row r="23488">
      <c r="A23488" s="4" t="s">
        <v>29565</v>
      </c>
      <c r="B23488" s="4" t="s">
        <v>29566</v>
      </c>
      <c r="C23488" s="5" t="str">
        <f>IFERROR(__xludf.DUMMYFUNCTION("GOOGLETRANSLATE(B23488,""en"",""es-ES"")"),"El hombre está parado en una cancha frente a los niños y está caminando mostrando cómo anotar una canasta.")</f>
        <v>El hombre está parado en una cancha frente a los niños y está caminando mostrando cómo anotar una canasta.</v>
      </c>
    </row>
    <row r="23489">
      <c r="A23489" s="4" t="s">
        <v>29565</v>
      </c>
      <c r="B23489" s="4" t="s">
        <v>29567</v>
      </c>
      <c r="C23489" s="5" t="str">
        <f>IFERROR(__xludf.DUMMYFUNCTION("GOOGLETRANSLATE(B23489,""en"",""es-ES"")"),"El hombre tira la pelota con alguien en el otro lado de la cancha y hace un tono y los niños detrás de él en la cancha hacen lo mismo.")</f>
        <v>El hombre tira la pelota con alguien en el otro lado de la cancha y hace un tono y los niños detrás de él en la cancha hacen lo mismo.</v>
      </c>
    </row>
    <row r="23490">
      <c r="A23490" s="4" t="s">
        <v>29565</v>
      </c>
      <c r="B23490" s="4" t="s">
        <v>29568</v>
      </c>
      <c r="C23490" s="5" t="str">
        <f>IFERROR(__xludf.DUMMYFUNCTION("GOOGLETRANSLATE(B23490,""en"",""es-ES"")"),"El entrenador Os Hlping a la niña para atrapar el balón y correr.")</f>
        <v>El entrenador Os Hlping a la niña para atrapar el balón y correr.</v>
      </c>
    </row>
    <row r="23491">
      <c r="A23491" s="4" t="s">
        <v>29565</v>
      </c>
      <c r="B23491" s="4" t="s">
        <v>29569</v>
      </c>
      <c r="C23491" s="5" t="str">
        <f>IFERROR(__xludf.DUMMYFUNCTION("GOOGLETRANSLATE(B23491,""en"",""es-ES"")"),"El niño hace un lanzamiento y luego anota una canasta y los niños detrás de ella siguen haciendo lo mismo.")</f>
        <v>El niño hace un lanzamiento y luego anota una canasta y los niños detrás de ella siguen haciendo lo mismo.</v>
      </c>
    </row>
    <row r="23492">
      <c r="A23492" s="4" t="s">
        <v>29570</v>
      </c>
      <c r="B23492" s="4" t="s">
        <v>29571</v>
      </c>
      <c r="C23492" s="5" t="str">
        <f>IFERROR(__xludf.DUMMYFUNCTION("GOOGLETRANSLATE(B23492,""en"",""es-ES"")"),"El sol sale sobre las colinas.")</f>
        <v>El sol sale sobre las colinas.</v>
      </c>
    </row>
    <row r="23493">
      <c r="A23493" s="4" t="s">
        <v>29570</v>
      </c>
      <c r="B23493" s="4" t="s">
        <v>29572</v>
      </c>
      <c r="C23493" s="5" t="str">
        <f>IFERROR(__xludf.DUMMYFUNCTION("GOOGLETRANSLATE(B23493,""en"",""es-ES"")"),"Un hombre en pantalones cortos camina.")</f>
        <v>Un hombre en pantalones cortos camina.</v>
      </c>
    </row>
    <row r="23494">
      <c r="A23494" s="4" t="s">
        <v>29570</v>
      </c>
      <c r="B23494" s="4" t="s">
        <v>29573</v>
      </c>
      <c r="C23494" s="5" t="str">
        <f>IFERROR(__xludf.DUMMYFUNCTION("GOOGLETRANSLATE(B23494,""en"",""es-ES"")"),"Agarra su tabla y lo coloca en el agua.")</f>
        <v>Agarra su tabla y lo coloca en el agua.</v>
      </c>
    </row>
    <row r="23495">
      <c r="A23495" s="4" t="s">
        <v>29570</v>
      </c>
      <c r="B23495" s="4" t="s">
        <v>29574</v>
      </c>
      <c r="C23495" s="5" t="str">
        <f>IFERROR(__xludf.DUMMYFUNCTION("GOOGLETRANSLATE(B23495,""en"",""es-ES"")"),"El hombre sube al tablero y surfe.")</f>
        <v>El hombre sube al tablero y surfe.</v>
      </c>
    </row>
    <row r="23496">
      <c r="A23496" s="4" t="s">
        <v>29575</v>
      </c>
      <c r="B23496" s="4" t="s">
        <v>29576</v>
      </c>
      <c r="C23496" s="5" t="str">
        <f>IFERROR(__xludf.DUMMYFUNCTION("GOOGLETRANSLATE(B23496,""en"",""es-ES"")"),"Un hombre recoge un peso sobre su cabeza y lo deja caer en el suelo.")</f>
        <v>Un hombre recoge un peso sobre su cabeza y lo deja caer en el suelo.</v>
      </c>
    </row>
    <row r="23497">
      <c r="A23497" s="4" t="s">
        <v>29575</v>
      </c>
      <c r="B23497" s="4" t="s">
        <v>29577</v>
      </c>
      <c r="C23497" s="5" t="str">
        <f>IFERROR(__xludf.DUMMYFUNCTION("GOOGLETRANSLATE(B23497,""en"",""es-ES"")"),"Un hombre recoge un bar y lo levanta varias veces.")</f>
        <v>Un hombre recoge un bar y lo levanta varias veces.</v>
      </c>
    </row>
    <row r="23498">
      <c r="A23498" s="4" t="s">
        <v>29575</v>
      </c>
      <c r="B23498" s="4" t="s">
        <v>29578</v>
      </c>
      <c r="C23498" s="5" t="str">
        <f>IFERROR(__xludf.DUMMYFUNCTION("GOOGLETRANSLATE(B23498,""en"",""es-ES"")"),"Un hombre con una camisa negra está de pie junto a él.")</f>
        <v>Un hombre con una camisa negra está de pie junto a él.</v>
      </c>
    </row>
    <row r="23499">
      <c r="A23499" s="4" t="s">
        <v>29575</v>
      </c>
      <c r="B23499" s="4" t="s">
        <v>29579</v>
      </c>
      <c r="C23499" s="5" t="str">
        <f>IFERROR(__xludf.DUMMYFUNCTION("GOOGLETRANSLATE(B23499,""en"",""es-ES"")"),"Otro hombre se para junto a él y levanta un bar con él.")</f>
        <v>Otro hombre se para junto a él y levanta un bar con él.</v>
      </c>
    </row>
    <row r="23500">
      <c r="A23500" s="4" t="s">
        <v>29580</v>
      </c>
      <c r="B23500" s="4" t="s">
        <v>29581</v>
      </c>
      <c r="C23500" s="5" t="str">
        <f>IFERROR(__xludf.DUMMYFUNCTION("GOOGLETRANSLATE(B23500,""en"",""es-ES"")"),"Hay una niña que se desliza lentamente por el costado con la comodidad de sostener la mano de su madre, la primera vez que cayó.")</f>
        <v>Hay una niña que se desliza lentamente por el costado con la comodidad de sostener la mano de su madre, la primera vez que cayó.</v>
      </c>
    </row>
    <row r="23501">
      <c r="A23501" s="4" t="s">
        <v>29580</v>
      </c>
      <c r="B23501" s="4" t="s">
        <v>29582</v>
      </c>
      <c r="C23501" s="5" t="str">
        <f>IFERROR(__xludf.DUMMYFUNCTION("GOOGLETRANSLATE(B23501,""en"",""es-ES"")"),"La segunda vez que cayó sobre su vientre sin ayuda.")</f>
        <v>La segunda vez que cayó sobre su vientre sin ayuda.</v>
      </c>
    </row>
    <row r="23502">
      <c r="A23502" s="4" t="s">
        <v>29583</v>
      </c>
      <c r="B23502" s="4" t="s">
        <v>29584</v>
      </c>
      <c r="C23502" s="5" t="str">
        <f>IFERROR(__xludf.DUMMYFUNCTION("GOOGLETRANSLATE(B23502,""en"",""es-ES"")"),"Hay dos acampando en invierno para un viaje de pesca en hielo.")</f>
        <v>Hay dos acampando en invierno para un viaje de pesca en hielo.</v>
      </c>
    </row>
    <row r="23503">
      <c r="A23503" s="4" t="s">
        <v>29583</v>
      </c>
      <c r="B23503" s="4" t="s">
        <v>29585</v>
      </c>
      <c r="C23503" s="5" t="str">
        <f>IFERROR(__xludf.DUMMYFUNCTION("GOOGLETRANSLATE(B23503,""en"",""es-ES"")"),"Uno de los hombres sale de su carpa de campamento con un pez en la mano.")</f>
        <v>Uno de los hombres sale de su carpa de campamento con un pez en la mano.</v>
      </c>
    </row>
    <row r="23504">
      <c r="A23504" s="4" t="s">
        <v>29583</v>
      </c>
      <c r="B23504" s="4" t="s">
        <v>29586</v>
      </c>
      <c r="C23504" s="5" t="str">
        <f>IFERROR(__xludf.DUMMYFUNCTION("GOOGLETRANSLATE(B23504,""en"",""es-ES"")"),"Los dos hombres están sentados en su tienda de cambio, pescando a través de un agujero en el lago congelado.")</f>
        <v>Los dos hombres están sentados en su tienda de cambio, pescando a través de un agujero en el lago congelado.</v>
      </c>
    </row>
    <row r="23505">
      <c r="A23505" s="4" t="s">
        <v>29583</v>
      </c>
      <c r="B23505" s="4" t="s">
        <v>29587</v>
      </c>
      <c r="C23505" s="5" t="str">
        <f>IFERROR(__xludf.DUMMYFUNCTION("GOOGLETRANSLATE(B23505,""en"",""es-ES"")"),"Están sentados pacientemente con sus cañas de pesca hasta que pescan peces de tamaño medio de los agujeros.")</f>
        <v>Están sentados pacientemente con sus cañas de pesca hasta que pescan peces de tamaño medio de los agujeros.</v>
      </c>
    </row>
    <row r="23506">
      <c r="A23506" s="4" t="s">
        <v>29583</v>
      </c>
      <c r="B23506" s="4" t="s">
        <v>29588</v>
      </c>
      <c r="C23506" s="5" t="str">
        <f>IFERROR(__xludf.DUMMYFUNCTION("GOOGLETRANSLATE(B23506,""en"",""es-ES"")"),"Muestran el tipo de pez que han encontrado mientras lo presentan en el terreno congelado.")</f>
        <v>Muestran el tipo de pez que han encontrado mientras lo presentan en el terreno congelado.</v>
      </c>
    </row>
    <row r="23507">
      <c r="A23507" s="4" t="s">
        <v>29583</v>
      </c>
      <c r="B23507" s="4" t="s">
        <v>29589</v>
      </c>
      <c r="C23507" s="5" t="str">
        <f>IFERROR(__xludf.DUMMYFUNCTION("GOOGLETRANSLATE(B23507,""en"",""es-ES"")"),"Uno de los hombres limpia las escamas de pescado.")</f>
        <v>Uno de los hombres limpia las escamas de pescado.</v>
      </c>
    </row>
    <row r="23508">
      <c r="A23508" s="4" t="s">
        <v>29583</v>
      </c>
      <c r="B23508" s="4" t="s">
        <v>29590</v>
      </c>
      <c r="C23508" s="5" t="str">
        <f>IFERROR(__xludf.DUMMYFUNCTION("GOOGLETRANSLATE(B23508,""en"",""es-ES"")"),"Luego cortaron el pescado en trozos pequeños y los limpian fuera de su garaje.")</f>
        <v>Luego cortaron el pescado en trozos pequeños y los limpian fuera de su garaje.</v>
      </c>
    </row>
    <row r="23509">
      <c r="A23509" s="4" t="s">
        <v>29583</v>
      </c>
      <c r="B23509" s="4" t="s">
        <v>29591</v>
      </c>
      <c r="C23509" s="5" t="str">
        <f>IFERROR(__xludf.DUMMYFUNCTION("GOOGLETRANSLATE(B23509,""en"",""es-ES"")"),"Afilan el cuchillo para cortar el pescado para preparar el pescado frito cubierto de masa.")</f>
        <v>Afilan el cuchillo para cortar el pescado para preparar el pescado frito cubierto de masa.</v>
      </c>
    </row>
    <row r="23510">
      <c r="A23510" s="4" t="s">
        <v>29583</v>
      </c>
      <c r="B23510" s="4" t="s">
        <v>29592</v>
      </c>
      <c r="C23510" s="5" t="str">
        <f>IFERROR(__xludf.DUMMYFUNCTION("GOOGLETRANSLATE(B23510,""en"",""es-ES"")"),"Toda la familia se sienta junta en una gran mesa de comedor y disfruta de una deliciosa comida de pescado frito.")</f>
        <v>Toda la familia se sienta junta en una gran mesa de comedor y disfruta de una deliciosa comida de pescado frito.</v>
      </c>
    </row>
    <row r="23511">
      <c r="A23511" s="4" t="s">
        <v>29593</v>
      </c>
      <c r="B23511" s="4" t="s">
        <v>29594</v>
      </c>
      <c r="C23511" s="5" t="str">
        <f>IFERROR(__xludf.DUMMYFUNCTION("GOOGLETRANSLATE(B23511,""en"",""es-ES"")"),"Los niños y las niñas se encuentran en una cancha que practica la coreografía de las porristas y una mujer está hablando en un estudio en noticias.")</f>
        <v>Los niños y las niñas se encuentran en una cancha que practica la coreografía de las porristas y una mujer está hablando en un estudio en noticias.</v>
      </c>
    </row>
    <row r="23512">
      <c r="A23512" s="4" t="s">
        <v>29593</v>
      </c>
      <c r="B23512" s="4" t="s">
        <v>29595</v>
      </c>
      <c r="C23512" s="5" t="str">
        <f>IFERROR(__xludf.DUMMYFUNCTION("GOOGLETRANSLATE(B23512,""en"",""es-ES"")"),"High Scoo Musical Scene es Show y un hombre que practica está siendo entrevistado y se muestran escenas de Tra.")</f>
        <v>High Scoo Musical Scene es Show y un hombre que practica está siendo entrevistado y se muestran escenas de Tra.</v>
      </c>
    </row>
    <row r="23513">
      <c r="A23513" s="4" t="s">
        <v>29596</v>
      </c>
      <c r="B23513" s="4" t="s">
        <v>29597</v>
      </c>
      <c r="C23513" s="5" t="str">
        <f>IFERROR(__xludf.DUMMYFUNCTION("GOOGLETRANSLATE(B23513,""en"",""es-ES"")"),"Un hombre está hablando frente a un par de gráficos.")</f>
        <v>Un hombre está hablando frente a un par de gráficos.</v>
      </c>
    </row>
    <row r="23514">
      <c r="A23514" s="4" t="s">
        <v>29596</v>
      </c>
      <c r="B23514" s="4" t="s">
        <v>29598</v>
      </c>
      <c r="C23514" s="5" t="str">
        <f>IFERROR(__xludf.DUMMYFUNCTION("GOOGLETRANSLATE(B23514,""en"",""es-ES"")"),"Ella demuestra la técnica con su raqueta.")</f>
        <v>Ella demuestra la técnica con su raqueta.</v>
      </c>
    </row>
    <row r="23515">
      <c r="A23515" s="4" t="s">
        <v>29596</v>
      </c>
      <c r="B23515" s="4" t="s">
        <v>29599</v>
      </c>
      <c r="C23515" s="5" t="str">
        <f>IFERROR(__xludf.DUMMYFUNCTION("GOOGLETRANSLATE(B23515,""en"",""es-ES"")"),"Luego entra en una habitación y juega un juego de racquetball con un hombre.")</f>
        <v>Luego entra en una habitación y juega un juego de racquetball con un hombre.</v>
      </c>
    </row>
    <row r="23516">
      <c r="A23516" s="4" t="s">
        <v>29596</v>
      </c>
      <c r="B23516" s="4" t="s">
        <v>2779</v>
      </c>
      <c r="C23516" s="5" t="str">
        <f>IFERROR(__xludf.DUMMYFUNCTION("GOOGLETRANSLATE(B23516,""en"",""es-ES"")"),"Golpearon la pelota de un lado a otro contra la pared.")</f>
        <v>Golpearon la pelota de un lado a otro contra la pared.</v>
      </c>
    </row>
    <row r="23517">
      <c r="A23517" s="4" t="s">
        <v>29596</v>
      </c>
      <c r="B23517" s="4" t="s">
        <v>29600</v>
      </c>
      <c r="C23517" s="5" t="str">
        <f>IFERROR(__xludf.DUMMYFUNCTION("GOOGLETRANSLATE(B23517,""en"",""es-ES"")"),"Cuando terminan, él sale y lo discute un poco más.")</f>
        <v>Cuando terminan, él sale y lo discute un poco más.</v>
      </c>
    </row>
    <row r="23518">
      <c r="A23518" s="4" t="s">
        <v>29601</v>
      </c>
      <c r="B23518" s="4" t="s">
        <v>29602</v>
      </c>
      <c r="C23518" s="5" t="str">
        <f>IFERROR(__xludf.DUMMYFUNCTION("GOOGLETRANSLATE(B23518,""en"",""es-ES"")"),"Se ve a una bailarina girando en una habitación y conduce a la mujer que habla con la cámara y realiza varios movimientos de ballet.")</f>
        <v>Se ve a una bailarina girando en una habitación y conduce a la mujer que habla con la cámara y realiza varios movimientos de ballet.</v>
      </c>
    </row>
    <row r="23519">
      <c r="A23519" s="4" t="s">
        <v>29601</v>
      </c>
      <c r="B23519" s="4" t="s">
        <v>29603</v>
      </c>
      <c r="C23519" s="5" t="str">
        <f>IFERROR(__xludf.DUMMYFUNCTION("GOOGLETRANSLATE(B23519,""en"",""es-ES"")"),"Ella se para en la barra y luego por su cuenta para demostrar cómo realizar movimientos de ballet adecuadamente.")</f>
        <v>Ella se para en la barra y luego por su cuenta para demostrar cómo realizar movimientos de ballet adecuadamente.</v>
      </c>
    </row>
    <row r="23520">
      <c r="A23520" s="4" t="s">
        <v>29601</v>
      </c>
      <c r="B23520" s="4" t="s">
        <v>29604</v>
      </c>
      <c r="C23520" s="5" t="str">
        <f>IFERROR(__xludf.DUMMYFUNCTION("GOOGLETRANSLATE(B23520,""en"",""es-ES"")"),"Mueve los brazos hacia arriba y hacia abajo, así como sus piernas y continuamente hablando con la cámara.")</f>
        <v>Mueve los brazos hacia arriba y hacia abajo, así como sus piernas y continuamente hablando con la cámara.</v>
      </c>
    </row>
    <row r="23521">
      <c r="A23521" s="4" t="s">
        <v>29605</v>
      </c>
      <c r="B23521" s="4" t="s">
        <v>29606</v>
      </c>
      <c r="C23521" s="5" t="str">
        <f>IFERROR(__xludf.DUMMYFUNCTION("GOOGLETRANSLATE(B23521,""en"",""es-ES"")"),"Se ve un juego de manos colocando un cepillo en una pila de palos y luego coloca algodón en la pila.")</f>
        <v>Se ve un juego de manos colocando un cepillo en una pila de palos y luego coloca algodón en la pila.</v>
      </c>
    </row>
    <row r="23522">
      <c r="A23522" s="4" t="s">
        <v>29605</v>
      </c>
      <c r="B23522" s="4" t="s">
        <v>29607</v>
      </c>
      <c r="C23522" s="5" t="str">
        <f>IFERROR(__xludf.DUMMYFUNCTION("GOOGLETRANSLATE(B23522,""en"",""es-ES"")"),"Luego enciende un partido y crea un fuego y luego se dobla sobre el fuego para poner más.")</f>
        <v>Luego enciende un partido y crea un fuego y luego se dobla sobre el fuego para poner más.</v>
      </c>
    </row>
    <row r="23523">
      <c r="A23523" s="4" t="s">
        <v>29605</v>
      </c>
      <c r="B23523" s="4" t="s">
        <v>29608</v>
      </c>
      <c r="C23523" s="5" t="str">
        <f>IFERROR(__xludf.DUMMYFUNCTION("GOOGLETRANSLATE(B23523,""en"",""es-ES"")"),"La cámara se cierra sobre el pozo y se ve colocando troncos a un lado.")</f>
        <v>La cámara se cierra sobre el pozo y se ve colocando troncos a un lado.</v>
      </c>
    </row>
    <row r="23524">
      <c r="A23524" s="4" t="s">
        <v>29609</v>
      </c>
      <c r="B23524" s="4" t="s">
        <v>29610</v>
      </c>
      <c r="C23524" s="5" t="str">
        <f>IFERROR(__xludf.DUMMYFUNCTION("GOOGLETRANSLATE(B23524,""en"",""es-ES"")"),"Dos hombres están jugando con Foosball en una habitación oscura.")</f>
        <v>Dos hombres están jugando con Foosball en una habitación oscura.</v>
      </c>
    </row>
    <row r="23525">
      <c r="A23525" s="4" t="s">
        <v>29609</v>
      </c>
      <c r="B23525" s="4" t="s">
        <v>29611</v>
      </c>
      <c r="C23525" s="5" t="str">
        <f>IFERROR(__xludf.DUMMYFUNCTION("GOOGLETRANSLATE(B23525,""en"",""es-ES"")"),"Compiten intensamente a un ritmo rápido.")</f>
        <v>Compiten intensamente a un ritmo rápido.</v>
      </c>
    </row>
    <row r="23526">
      <c r="A23526" s="4" t="s">
        <v>29609</v>
      </c>
      <c r="B23526" s="4" t="s">
        <v>29612</v>
      </c>
      <c r="C23526" s="5" t="str">
        <f>IFERROR(__xludf.DUMMYFUNCTION("GOOGLETRANSLATE(B23526,""en"",""es-ES"")"),"El hombre del equipo rojo gana las cuatro veces.")</f>
        <v>El hombre del equipo rojo gana las cuatro veces.</v>
      </c>
    </row>
    <row r="23527">
      <c r="A23527" s="4" t="s">
        <v>29609</v>
      </c>
      <c r="B23527" s="4" t="s">
        <v>29613</v>
      </c>
      <c r="C23527" s="5" t="str">
        <f>IFERROR(__xludf.DUMMYFUNCTION("GOOGLETRANSLATE(B23527,""en"",""es-ES"")"),"Cada vez que gana, baila un poco de vítores.")</f>
        <v>Cada vez que gana, baila un poco de vítores.</v>
      </c>
    </row>
    <row r="23528">
      <c r="A23528" s="4" t="s">
        <v>29614</v>
      </c>
      <c r="B23528" s="4" t="s">
        <v>29615</v>
      </c>
      <c r="C23528" s="5" t="str">
        <f>IFERROR(__xludf.DUMMYFUNCTION("GOOGLETRANSLATE(B23528,""en"",""es-ES"")"),"Una persona usa el inodoro en un puesto.")</f>
        <v>Una persona usa el inodoro en un puesto.</v>
      </c>
    </row>
    <row r="23529">
      <c r="A23529" s="4" t="s">
        <v>29614</v>
      </c>
      <c r="B23529" s="4" t="s">
        <v>29616</v>
      </c>
      <c r="C23529" s="5" t="str">
        <f>IFERROR(__xludf.DUMMYFUNCTION("GOOGLETRANSLATE(B23529,""en"",""es-ES"")"),"El hombre deja el baño sin lavarse las manos.")</f>
        <v>El hombre deja el baño sin lavarse las manos.</v>
      </c>
    </row>
    <row r="23530">
      <c r="A23530" s="4" t="s">
        <v>29614</v>
      </c>
      <c r="B23530" s="4" t="s">
        <v>29617</v>
      </c>
      <c r="C23530" s="5" t="str">
        <f>IFERROR(__xludf.DUMMYFUNCTION("GOOGLETRANSLATE(B23530,""en"",""es-ES"")"),"El hombre come de platos de comida con sus manos.")</f>
        <v>El hombre come de platos de comida con sus manos.</v>
      </c>
    </row>
    <row r="23531">
      <c r="A23531" s="4" t="s">
        <v>29614</v>
      </c>
      <c r="B23531" s="4" t="s">
        <v>29618</v>
      </c>
      <c r="C23531" s="5" t="str">
        <f>IFERROR(__xludf.DUMMYFUNCTION("GOOGLETRANSLATE(B23531,""en"",""es-ES"")"),"Una mujer juega con los perros.")</f>
        <v>Una mujer juega con los perros.</v>
      </c>
    </row>
    <row r="23532">
      <c r="A23532" s="4" t="s">
        <v>29614</v>
      </c>
      <c r="B23532" s="4" t="s">
        <v>29619</v>
      </c>
      <c r="C23532" s="5" t="str">
        <f>IFERROR(__xludf.DUMMYFUNCTION("GOOGLETRANSLATE(B23532,""en"",""es-ES"")"),"Una persona se lava las manos en un fregadero con jabón de espuma.")</f>
        <v>Una persona se lava las manos en un fregadero con jabón de espuma.</v>
      </c>
    </row>
    <row r="23533">
      <c r="A23533" s="4" t="s">
        <v>29614</v>
      </c>
      <c r="B23533" s="4" t="s">
        <v>29620</v>
      </c>
      <c r="C23533" s="5" t="str">
        <f>IFERROR(__xludf.DUMMYFUNCTION("GOOGLETRANSLATE(B23533,""en"",""es-ES"")"),"La persona usa una toalla de papel para secarse las manos.")</f>
        <v>La persona usa una toalla de papel para secarse las manos.</v>
      </c>
    </row>
    <row r="23534">
      <c r="A23534" s="4" t="s">
        <v>29614</v>
      </c>
      <c r="B23534" s="4" t="s">
        <v>29621</v>
      </c>
      <c r="C23534" s="5" t="str">
        <f>IFERROR(__xludf.DUMMYFUNCTION("GOOGLETRANSLATE(B23534,""en"",""es-ES"")"),"Una persona se lava las manos en un fregadero de acero inoxidable.")</f>
        <v>Una persona se lava las manos en un fregadero de acero inoxidable.</v>
      </c>
    </row>
    <row r="23535">
      <c r="A23535" s="4" t="s">
        <v>29622</v>
      </c>
      <c r="B23535" s="4" t="s">
        <v>29623</v>
      </c>
      <c r="C23535" s="5" t="str">
        <f>IFERROR(__xludf.DUMMYFUNCTION("GOOGLETRANSLATE(B23535,""en"",""es-ES"")"),"Un niño desordenado está comiendo un cono de helado.")</f>
        <v>Un niño desordenado está comiendo un cono de helado.</v>
      </c>
    </row>
    <row r="23536">
      <c r="A23536" s="4" t="s">
        <v>29622</v>
      </c>
      <c r="B23536" s="4" t="s">
        <v>29624</v>
      </c>
      <c r="C23536" s="5" t="str">
        <f>IFERROR(__xludf.DUMMYFUNCTION("GOOGLETRANSLATE(B23536,""en"",""es-ES"")"),"Él muerde el cono de helado de los padres.")</f>
        <v>Él muerde el cono de helado de los padres.</v>
      </c>
    </row>
    <row r="23537">
      <c r="A23537" s="4" t="s">
        <v>29622</v>
      </c>
      <c r="B23537" s="4" t="s">
        <v>29625</v>
      </c>
      <c r="C23537" s="5" t="str">
        <f>IFERROR(__xludf.DUMMYFUNCTION("GOOGLETRANSLATE(B23537,""en"",""es-ES"")"),"El padre ajusta el cono para el niño.")</f>
        <v>El padre ajusta el cono para el niño.</v>
      </c>
    </row>
    <row r="23538">
      <c r="A23538" s="4" t="s">
        <v>29622</v>
      </c>
      <c r="B23538" s="4" t="s">
        <v>29626</v>
      </c>
      <c r="C23538" s="5" t="str">
        <f>IFERROR(__xludf.DUMMYFUNCTION("GOOGLETRANSLATE(B23538,""en"",""es-ES"")"),"El padre limpia el helado de la cara del niño.")</f>
        <v>El padre limpia el helado de la cara del niño.</v>
      </c>
    </row>
    <row r="23539">
      <c r="A23539" s="4" t="s">
        <v>29627</v>
      </c>
      <c r="B23539" s="4" t="s">
        <v>29628</v>
      </c>
      <c r="C23539" s="5" t="str">
        <f>IFERROR(__xludf.DUMMYFUNCTION("GOOGLETRANSLATE(B23539,""en"",""es-ES"")"),"Un empleado de la Patrulla de Beach está hablando sobre cómo tener un día seguro en la playa.")</f>
        <v>Un empleado de la Patrulla de Beach está hablando sobre cómo tener un día seguro en la playa.</v>
      </c>
    </row>
    <row r="23540">
      <c r="A23540" s="4" t="s">
        <v>29627</v>
      </c>
      <c r="B23540" s="4" t="s">
        <v>29629</v>
      </c>
      <c r="C23540" s="5" t="str">
        <f>IFERROR(__xludf.DUMMYFUNCTION("GOOGLETRANSLATE(B23540,""en"",""es-ES"")"),"El protector solar se aborda y resulta cómo y por qué aplicar el protector solar correctamente.")</f>
        <v>El protector solar se aborda y resulta cómo y por qué aplicar el protector solar correctamente.</v>
      </c>
    </row>
    <row r="23541">
      <c r="A23541" s="4" t="s">
        <v>29627</v>
      </c>
      <c r="B23541" s="4" t="s">
        <v>29630</v>
      </c>
      <c r="C23541" s="5" t="str">
        <f>IFERROR(__xludf.DUMMYFUNCTION("GOOGLETRANSLATE(B23541,""en"",""es-ES"")"),"El valor SPF de protector solar se aborda con una diapositiva sobre cómo prestar atención al SPF adecuado.")</f>
        <v>El valor SPF de protector solar se aborda con una diapositiva sobre cómo prestar atención al SPF adecuado.</v>
      </c>
    </row>
    <row r="23542">
      <c r="A23542" s="4" t="s">
        <v>29627</v>
      </c>
      <c r="B23542" s="4" t="s">
        <v>29631</v>
      </c>
      <c r="C23542" s="5" t="str">
        <f>IFERROR(__xludf.DUMMYFUNCTION("GOOGLETRANSLATE(B23542,""en"",""es-ES"")"),"Aborda los impactos negativos de las quemaduras solares, especialmente con los niños.")</f>
        <v>Aborda los impactos negativos de las quemaduras solares, especialmente con los niños.</v>
      </c>
    </row>
    <row r="23543">
      <c r="A23543" s="4" t="s">
        <v>29627</v>
      </c>
      <c r="B23543" s="4" t="s">
        <v>29632</v>
      </c>
      <c r="C23543" s="5" t="str">
        <f>IFERROR(__xludf.DUMMYFUNCTION("GOOGLETRANSLATE(B23543,""en"",""es-ES"")"),"Luego habla sobre diferentes tipos de protector solar especializado para asegurarse de que esté cubierto de forma segura.")</f>
        <v>Luego habla sobre diferentes tipos de protector solar especializado para asegurarse de que esté cubierto de forma segura.</v>
      </c>
    </row>
    <row r="23544">
      <c r="A23544" s="4" t="s">
        <v>29627</v>
      </c>
      <c r="B23544" s="4" t="s">
        <v>29633</v>
      </c>
      <c r="C23544" s="5" t="str">
        <f>IFERROR(__xludf.DUMMYFUNCTION("GOOGLETRANSLATE(B23544,""en"",""es-ES"")"),"Luego se habla de seguridad para el protector solar de los niños y cómo proteger adecuadamente a sus hijos.")</f>
        <v>Luego se habla de seguridad para el protector solar de los niños y cómo proteger adecuadamente a sus hijos.</v>
      </c>
    </row>
    <row r="23545">
      <c r="A23545" s="4" t="s">
        <v>29627</v>
      </c>
      <c r="B23545" s="4" t="s">
        <v>29634</v>
      </c>
      <c r="C23545" s="5" t="str">
        <f>IFERROR(__xludf.DUMMYFUNCTION("GOOGLETRANSLATE(B23545,""en"",""es-ES"")"),"Luego discute qué hacer cuando ocurre una quemadura solar, cómo manejarla para cuidar su piel.")</f>
        <v>Luego discute qué hacer cuando ocurre una quemadura solar, cómo manejarla para cuidar su piel.</v>
      </c>
    </row>
    <row r="23546">
      <c r="A23546" s="4" t="s">
        <v>29627</v>
      </c>
      <c r="B23546" s="4" t="s">
        <v>29635</v>
      </c>
      <c r="C23546" s="5" t="str">
        <f>IFERROR(__xludf.DUMMYFUNCTION("GOOGLETRANSLATE(B23546,""en"",""es-ES"")"),"Se muestra que una diapositiva nos hace saber cuándo una quemadura solar es mala y necesita atención médica.")</f>
        <v>Se muestra que una diapositiva nos hace saber cuándo una quemadura solar es mala y necesita atención médica.</v>
      </c>
    </row>
    <row r="23547">
      <c r="A23547" s="4" t="s">
        <v>29627</v>
      </c>
      <c r="B23547" s="4" t="s">
        <v>29636</v>
      </c>
      <c r="C23547" s="5" t="str">
        <f>IFERROR(__xludf.DUMMYFUNCTION("GOOGLETRANSLATE(B23547,""en"",""es-ES"")"),"Luego toma otra visión general de cómo usar el protector solar para hacer que su día sea agradable.")</f>
        <v>Luego toma otra visión general de cómo usar el protector solar para hacer que su día sea agradable.</v>
      </c>
    </row>
    <row r="23548">
      <c r="A23548" s="4" t="s">
        <v>29637</v>
      </c>
      <c r="B23548" s="4" t="s">
        <v>29638</v>
      </c>
      <c r="C23548" s="5" t="str">
        <f>IFERROR(__xludf.DUMMYFUNCTION("GOOGLETRANSLATE(B23548,""en"",""es-ES"")"),"Se muestran varios clips de cajas, así como personas que se mueven alrededor de un escenario y una audiencia que observa.")</f>
        <v>Se muestran varios clips de cajas, así como personas que se mueven alrededor de un escenario y una audiencia que observa.</v>
      </c>
    </row>
    <row r="23549">
      <c r="A23549" s="4" t="s">
        <v>29637</v>
      </c>
      <c r="B23549" s="4" t="s">
        <v>29639</v>
      </c>
      <c r="C23549" s="5" t="str">
        <f>IFERROR(__xludf.DUMMYFUNCTION("GOOGLETRANSLATE(B23549,""en"",""es-ES"")"),"El video conduce a varias personas que lavan las ventanas lo más rápido que pueden, mientras que muchos las miran a un lado.")</f>
        <v>El video conduce a varias personas que lavan las ventanas lo más rápido que pueden, mientras que muchos las miran a un lado.</v>
      </c>
    </row>
    <row r="23550">
      <c r="A23550" s="4" t="s">
        <v>29637</v>
      </c>
      <c r="B23550" s="4" t="s">
        <v>29640</v>
      </c>
      <c r="C23550" s="5" t="str">
        <f>IFERROR(__xludf.DUMMYFUNCTION("GOOGLETRANSLATE(B23550,""en"",""es-ES"")"),"Muchos hombres hablan con la cámara y las personas que anuncian los puntajes y más lavado de ventanas.")</f>
        <v>Muchos hombres hablan con la cámara y las personas que anuncian los puntajes y más lavado de ventanas.</v>
      </c>
    </row>
    <row r="23551">
      <c r="A23551" s="4" t="s">
        <v>29641</v>
      </c>
      <c r="B23551" s="4" t="s">
        <v>29642</v>
      </c>
      <c r="C23551" s="5" t="str">
        <f>IFERROR(__xludf.DUMMYFUNCTION("GOOGLETRANSLATE(B23551,""en"",""es-ES"")"),"La mujer muestra sus uñas con una linda manicura y algunos esmaltes detrás de su mano.")</f>
        <v>La mujer muestra sus uñas con una linda manicura y algunos esmaltes detrás de su mano.</v>
      </c>
    </row>
    <row r="23552">
      <c r="A23552" s="4" t="s">
        <v>29641</v>
      </c>
      <c r="B23552" s="4" t="s">
        <v>29643</v>
      </c>
      <c r="C23552" s="5" t="str">
        <f>IFERROR(__xludf.DUMMYFUNCTION("GOOGLETRANSLATE(B23552,""en"",""es-ES"")"),"La mujer sostiene un esmalte rosa y comienza a pintarle la uña.")</f>
        <v>La mujer sostiene un esmalte rosa y comienza a pintarle la uña.</v>
      </c>
    </row>
    <row r="23553">
      <c r="A23553" s="4" t="s">
        <v>29641</v>
      </c>
      <c r="B23553" s="4" t="s">
        <v>29644</v>
      </c>
      <c r="C23553" s="5" t="str">
        <f>IFERROR(__xludf.DUMMYFUNCTION("GOOGLETRANSLATE(B23553,""en"",""es-ES"")"),"Y con un poco de esponja y un pequeño pin de pintura con azul blanco y pintura morada.")</f>
        <v>Y con un poco de esponja y un pequeño pin de pintura con azul blanco y pintura morada.</v>
      </c>
    </row>
    <row r="23554">
      <c r="A23554" s="4" t="s">
        <v>29641</v>
      </c>
      <c r="B23554" s="4" t="s">
        <v>29645</v>
      </c>
      <c r="C23554" s="5" t="str">
        <f>IFERROR(__xludf.DUMMYFUNCTION("GOOGLETRANSLATE(B23554,""en"",""es-ES"")"),"Con un pequeño arbusto, coloque los puntos de Som Wwhite y limpie la uña.")</f>
        <v>Con un pequeño arbusto, coloque los puntos de Som Wwhite y limpie la uña.</v>
      </c>
    </row>
    <row r="23555">
      <c r="A23555" s="4" t="s">
        <v>29641</v>
      </c>
      <c r="B23555" s="4" t="s">
        <v>29646</v>
      </c>
      <c r="C23555" s="5" t="str">
        <f>IFERROR(__xludf.DUMMYFUNCTION("GOOGLETRANSLATE(B23555,""en"",""es-ES"")"),"Mujer corta un papel rojo y pinta con esmalte gris helado.")</f>
        <v>Mujer corta un papel rojo y pinta con esmalte gris helado.</v>
      </c>
    </row>
    <row r="23556">
      <c r="A23556" s="4" t="s">
        <v>29647</v>
      </c>
      <c r="B23556" s="4" t="s">
        <v>29648</v>
      </c>
      <c r="C23556" s="5" t="str">
        <f>IFERROR(__xludf.DUMMYFUNCTION("GOOGLETRANSLATE(B23556,""en"",""es-ES"")"),"Hay una cachimba colocada en un mostrador de cocina.")</f>
        <v>Hay una cachimba colocada en un mostrador de cocina.</v>
      </c>
    </row>
    <row r="23557">
      <c r="A23557" s="4" t="s">
        <v>29647</v>
      </c>
      <c r="B23557" s="4" t="s">
        <v>29649</v>
      </c>
      <c r="C23557" s="5" t="str">
        <f>IFERROR(__xludf.DUMMYFUNCTION("GOOGLETRANSLATE(B23557,""en"",""es-ES"")"),"Un hombre que lleva una camisa sin mangas negra llega allí y se arrodilla para que comience a fumar la narguile.")</f>
        <v>Un hombre que lleva una camisa sin mangas negra llega allí y se arrodilla para que comience a fumar la narguile.</v>
      </c>
    </row>
    <row r="23558">
      <c r="A23558" s="4" t="s">
        <v>29647</v>
      </c>
      <c r="B23558" s="4" t="s">
        <v>29650</v>
      </c>
      <c r="C23558" s="5" t="str">
        <f>IFERROR(__xludf.DUMMYFUNCTION("GOOGLETRANSLATE(B23558,""en"",""es-ES"")"),"Él fuma la cachimba y explota humo.")</f>
        <v>Él fuma la cachimba y explota humo.</v>
      </c>
    </row>
    <row r="23559">
      <c r="A23559" s="4" t="s">
        <v>29647</v>
      </c>
      <c r="B23559" s="4" t="s">
        <v>29651</v>
      </c>
      <c r="C23559" s="5" t="str">
        <f>IFERROR(__xludf.DUMMYFUNCTION("GOOGLETRANSLATE(B23559,""en"",""es-ES"")"),"Toma algunas bocanadas de la cachimba y exhala el humo.")</f>
        <v>Toma algunas bocanadas de la cachimba y exhala el humo.</v>
      </c>
    </row>
    <row r="23560">
      <c r="A23560" s="4" t="s">
        <v>29647</v>
      </c>
      <c r="B23560" s="4" t="s">
        <v>29652</v>
      </c>
      <c r="C23560" s="5" t="str">
        <f>IFERROR(__xludf.DUMMYFUNCTION("GOOGLETRANSLATE(B23560,""en"",""es-ES"")"),"Continúa fumando tomando largas bocanadas de la cachimba y luego se va.")</f>
        <v>Continúa fumando tomando largas bocanadas de la cachimba y luego se va.</v>
      </c>
    </row>
    <row r="23561">
      <c r="A23561" s="4" t="s">
        <v>29653</v>
      </c>
      <c r="B23561" s="4" t="s">
        <v>29654</v>
      </c>
      <c r="C23561" s="5" t="str">
        <f>IFERROR(__xludf.DUMMYFUNCTION("GOOGLETRANSLATE(B23561,""en"",""es-ES"")"),"Se ve un primer plano de una bolsa seguido por una mujer que mira a la cámara.")</f>
        <v>Se ve un primer plano de una bolsa seguido por una mujer que mira a la cámara.</v>
      </c>
    </row>
    <row r="23562">
      <c r="A23562" s="4" t="s">
        <v>29653</v>
      </c>
      <c r="B23562" s="4" t="s">
        <v>29655</v>
      </c>
      <c r="C23562" s="5" t="str">
        <f>IFERROR(__xludf.DUMMYFUNCTION("GOOGLETRANSLATE(B23562,""en"",""es-ES"")"),"Ella levanta un teléfono y habla en el espejo.")</f>
        <v>Ella levanta un teléfono y habla en el espejo.</v>
      </c>
    </row>
    <row r="23563">
      <c r="A23563" s="4" t="s">
        <v>29653</v>
      </c>
      <c r="B23563" s="4" t="s">
        <v>29656</v>
      </c>
      <c r="C23563" s="5" t="str">
        <f>IFERROR(__xludf.DUMMYFUNCTION("GOOGLETRANSLATE(B23563,""en"",""es-ES"")"),"Finalmente salta un poco hacia arriba y hacia abajo y termina apagando la cámara.")</f>
        <v>Finalmente salta un poco hacia arriba y hacia abajo y termina apagando la cámara.</v>
      </c>
    </row>
    <row r="23564">
      <c r="A23564" s="4" t="s">
        <v>29657</v>
      </c>
      <c r="B23564" s="4" t="s">
        <v>29658</v>
      </c>
      <c r="C23564" s="5" t="str">
        <f>IFERROR(__xludf.DUMMYFUNCTION("GOOGLETRANSLATE(B23564,""en"",""es-ES"")"),"Un hombre con un garaje lleno de gente con muchas herramientas habla con la cámara mientras sostiene un trozo de papel.")</f>
        <v>Un hombre con un garaje lleno de gente con muchas herramientas habla con la cámara mientras sostiene un trozo de papel.</v>
      </c>
    </row>
    <row r="23565">
      <c r="A23565" s="4" t="s">
        <v>29657</v>
      </c>
      <c r="B23565" s="4" t="s">
        <v>29659</v>
      </c>
      <c r="C23565" s="5" t="str">
        <f>IFERROR(__xludf.DUMMYFUNCTION("GOOGLETRANSLATE(B23565,""en"",""es-ES"")"),"Toca un papel, continuamente, en una herramienta de tipo de hierro y cepilla el papel contra una larga pieza de madera.")</f>
        <v>Toca un papel, continuamente, en una herramienta de tipo de hierro y cepilla el papel contra una larga pieza de madera.</v>
      </c>
    </row>
    <row r="23566">
      <c r="A23566" s="4" t="s">
        <v>29657</v>
      </c>
      <c r="B23566" s="4" t="s">
        <v>29660</v>
      </c>
      <c r="C23566" s="5" t="str">
        <f>IFERROR(__xludf.DUMMYFUNCTION("GOOGLETRANSLATE(B23566,""en"",""es-ES"")"),"Él baja el pedazo de papel y lleva la herramienta de hierro directamente a la pieza de madera.")</f>
        <v>Él baja el pedazo de papel y lleva la herramienta de hierro directamente a la pieza de madera.</v>
      </c>
    </row>
    <row r="23567">
      <c r="A23567" s="4" t="s">
        <v>29657</v>
      </c>
      <c r="B23567" s="4" t="s">
        <v>29661</v>
      </c>
      <c r="C23567" s="5" t="str">
        <f>IFERROR(__xludf.DUMMYFUNCTION("GOOGLETRANSLATE(B23567,""en"",""es-ES"")"),"Recoge una toalla de papel y presiona el hierro contra el trozo de madera con una mano mientras usa la otra mano para arrastrar una toalla de papel sobre las áreas planchadas del tablero.")</f>
        <v>Recoge una toalla de papel y presiona el hierro contra el trozo de madera con una mano mientras usa la otra mano para arrastrar una toalla de papel sobre las áreas planchadas del tablero.</v>
      </c>
    </row>
    <row r="23568">
      <c r="A23568" s="4" t="s">
        <v>29657</v>
      </c>
      <c r="B23568" s="4" t="s">
        <v>29662</v>
      </c>
      <c r="C23568" s="5" t="str">
        <f>IFERROR(__xludf.DUMMYFUNCTION("GOOGLETRANSLATE(B23568,""en"",""es-ES"")"),"Él coloca el hierro hacia abajo.")</f>
        <v>Él coloca el hierro hacia abajo.</v>
      </c>
    </row>
    <row r="23569">
      <c r="A23569" s="4" t="s">
        <v>29657</v>
      </c>
      <c r="B23569" s="4" t="s">
        <v>29663</v>
      </c>
      <c r="C23569" s="5" t="str">
        <f>IFERROR(__xludf.DUMMYFUNCTION("GOOGLETRANSLATE(B23569,""en"",""es-ES"")"),"Toma la toalla de papel y limpia rápidamente el trozo de madera.")</f>
        <v>Toma la toalla de papel y limpia rápidamente el trozo de madera.</v>
      </c>
    </row>
    <row r="23570">
      <c r="A23570" s="4" t="s">
        <v>29664</v>
      </c>
      <c r="B23570" s="4" t="s">
        <v>29665</v>
      </c>
      <c r="C23570" s="5" t="str">
        <f>IFERROR(__xludf.DUMMYFUNCTION("GOOGLETRANSLATE(B23570,""en"",""es-ES"")"),"Un hombre vierte un líquido sobre una mesa.")</f>
        <v>Un hombre vierte un líquido sobre una mesa.</v>
      </c>
    </row>
    <row r="23571">
      <c r="A23571" s="4" t="s">
        <v>29664</v>
      </c>
      <c r="B23571" s="4" t="s">
        <v>29666</v>
      </c>
      <c r="C23571" s="5" t="str">
        <f>IFERROR(__xludf.DUMMYFUNCTION("GOOGLETRANSLATE(B23571,""en"",""es-ES"")"),"Con el uso de un pincel, cubre la mesa con el líquido.")</f>
        <v>Con el uso de un pincel, cubre la mesa con el líquido.</v>
      </c>
    </row>
    <row r="23572">
      <c r="A23572" s="4" t="s">
        <v>29664</v>
      </c>
      <c r="B23572" s="4" t="s">
        <v>29667</v>
      </c>
      <c r="C23572" s="5" t="str">
        <f>IFERROR(__xludf.DUMMYFUNCTION("GOOGLETRANSLATE(B23572,""en"",""es-ES"")"),"Elimina el barniz de la parte superior de la mesa.")</f>
        <v>Elimina el barniz de la parte superior de la mesa.</v>
      </c>
    </row>
    <row r="23573">
      <c r="A23573" s="4" t="s">
        <v>29664</v>
      </c>
      <c r="B23573" s="4" t="s">
        <v>29668</v>
      </c>
      <c r="C23573" s="5" t="str">
        <f>IFERROR(__xludf.DUMMYFUNCTION("GOOGLETRANSLATE(B23573,""en"",""es-ES"")"),"Luego, él hace un ligero lijado de la mesa.")</f>
        <v>Luego, él hace un ligero lijado de la mesa.</v>
      </c>
    </row>
    <row r="23574">
      <c r="A23574" s="4" t="s">
        <v>29664</v>
      </c>
      <c r="B23574" s="4" t="s">
        <v>29669</v>
      </c>
      <c r="C23574" s="5" t="str">
        <f>IFERROR(__xludf.DUMMYFUNCTION("GOOGLETRANSLATE(B23574,""en"",""es-ES"")"),"Con una alfombra, él quita el polvo.")</f>
        <v>Con una alfombra, él quita el polvo.</v>
      </c>
    </row>
    <row r="23575">
      <c r="A23575" s="4" t="s">
        <v>29664</v>
      </c>
      <c r="B23575" s="4" t="s">
        <v>29670</v>
      </c>
      <c r="C23575" s="5" t="str">
        <f>IFERROR(__xludf.DUMMYFUNCTION("GOOGLETRANSLATE(B23575,""en"",""es-ES"")"),"Usando guantes, aplica una mancha a la mesa.")</f>
        <v>Usando guantes, aplica una mancha a la mesa.</v>
      </c>
    </row>
    <row r="23576">
      <c r="A23576" s="4" t="s">
        <v>29664</v>
      </c>
      <c r="B23576" s="4" t="s">
        <v>29671</v>
      </c>
      <c r="C23576" s="5" t="str">
        <f>IFERROR(__xludf.DUMMYFUNCTION("GOOGLETRANSLATE(B23576,""en"",""es-ES"")"),"Finalmente, pule la mesa y muestra su resultado final.")</f>
        <v>Finalmente, pule la mesa y muestra su resultado final.</v>
      </c>
    </row>
    <row r="23577">
      <c r="A23577" s="4" t="s">
        <v>29672</v>
      </c>
      <c r="B23577" s="4" t="s">
        <v>29673</v>
      </c>
      <c r="C23577" s="5" t="str">
        <f>IFERROR(__xludf.DUMMYFUNCTION("GOOGLETRANSLATE(B23577,""en"",""es-ES"")"),"La Sra. Smith está dando una entrevista hablando sobre el levantamiento de pesas, habla sobre cómo comenzó alrededor de 12.")</f>
        <v>La Sra. Smith está dando una entrevista hablando sobre el levantamiento de pesas, habla sobre cómo comenzó alrededor de 12.</v>
      </c>
    </row>
    <row r="23578">
      <c r="A23578" s="4" t="s">
        <v>29672</v>
      </c>
      <c r="B23578" s="4" t="s">
        <v>29674</v>
      </c>
      <c r="C23578" s="5" t="str">
        <f>IFERROR(__xludf.DUMMYFUNCTION("GOOGLETRANSLATE(B23578,""en"",""es-ES"")"),"El entrenador habla brevemente sobre cómo les da descanso antes de cada competencia.")</f>
        <v>El entrenador habla brevemente sobre cómo les da descanso antes de cada competencia.</v>
      </c>
    </row>
    <row r="23579">
      <c r="A23579" s="4" t="s">
        <v>29672</v>
      </c>
      <c r="B23579" s="4" t="s">
        <v>29675</v>
      </c>
      <c r="C23579" s="5" t="str">
        <f>IFERROR(__xludf.DUMMYFUNCTION("GOOGLETRANSLATE(B23579,""en"",""es-ES"")"),"Levanta el peso por encima de su cabeza y lo deja llevar por su uniforme.")</f>
        <v>Levanta el peso por encima de su cabeza y lo deja llevar por su uniforme.</v>
      </c>
    </row>
    <row r="23580">
      <c r="A23580" s="4" t="s">
        <v>29672</v>
      </c>
      <c r="B23580" s="4" t="s">
        <v>29676</v>
      </c>
      <c r="C23580" s="5" t="str">
        <f>IFERROR(__xludf.DUMMYFUNCTION("GOOGLETRANSLATE(B23580,""en"",""es-ES"")"),"Todos aplauden por ella, y luego escuchas de ella y del entrenador nuevamente antes de que termine la entrevista.")</f>
        <v>Todos aplauden por ella, y luego escuchas de ella y del entrenador nuevamente antes de que termine la entrevista.</v>
      </c>
    </row>
    <row r="23581">
      <c r="A23581" s="4" t="s">
        <v>29677</v>
      </c>
      <c r="B23581" s="4" t="s">
        <v>29678</v>
      </c>
      <c r="C23581" s="5" t="str">
        <f>IFERROR(__xludf.DUMMYFUNCTION("GOOGLETRANSLATE(B23581,""en"",""es-ES"")"),"Una vista nocturna de una ciudad se muestra a través de una ventana.")</f>
        <v>Una vista nocturna de una ciudad se muestra a través de una ventana.</v>
      </c>
    </row>
    <row r="23582">
      <c r="A23582" s="4" t="s">
        <v>29677</v>
      </c>
      <c r="B23582" s="4" t="s">
        <v>29679</v>
      </c>
      <c r="C23582" s="5" t="str">
        <f>IFERROR(__xludf.DUMMYFUNCTION("GOOGLETRANSLATE(B23582,""en"",""es-ES"")"),"Un hombre con el abrigo de un chef está parado en una cocina hablando con la cámara.")</f>
        <v>Un hombre con el abrigo de un chef está parado en una cocina hablando con la cámara.</v>
      </c>
    </row>
    <row r="23583">
      <c r="A23583" s="4" t="s">
        <v>29677</v>
      </c>
      <c r="B23583" s="4" t="s">
        <v>29680</v>
      </c>
      <c r="C23583" s="5" t="str">
        <f>IFERROR(__xludf.DUMMYFUNCTION("GOOGLETRANSLATE(B23583,""en"",""es-ES"")"),"Se muestra un panqueque con jarabe que se vierte sobre él.")</f>
        <v>Se muestra un panqueque con jarabe que se vierte sobre él.</v>
      </c>
    </row>
    <row r="23584">
      <c r="A23584" s="4" t="s">
        <v>29677</v>
      </c>
      <c r="B23584" s="4" t="s">
        <v>29681</v>
      </c>
      <c r="C23584" s="5" t="str">
        <f>IFERROR(__xludf.DUMMYFUNCTION("GOOGLETRANSLATE(B23584,""en"",""es-ES"")"),"Los ingredientes se colocan en un tazón.")</f>
        <v>Los ingredientes se colocan en un tazón.</v>
      </c>
    </row>
    <row r="23585">
      <c r="A23585" s="4" t="s">
        <v>29677</v>
      </c>
      <c r="B23585" s="4" t="s">
        <v>29682</v>
      </c>
      <c r="C23585" s="5" t="str">
        <f>IFERROR(__xludf.DUMMYFUNCTION("GOOGLETRANSLATE(B23585,""en"",""es-ES"")"),"El hombre rompe un huevo y bate los ingredientes en un tazón.")</f>
        <v>El hombre rompe un huevo y bate los ingredientes en un tazón.</v>
      </c>
    </row>
    <row r="23586">
      <c r="A23586" s="4" t="s">
        <v>29677</v>
      </c>
      <c r="B23586" s="4" t="s">
        <v>29683</v>
      </c>
      <c r="C23586" s="5" t="str">
        <f>IFERROR(__xludf.DUMMYFUNCTION("GOOGLETRANSLATE(B23586,""en"",""es-ES"")"),"Se muestra un cucharón al lado del tazón.")</f>
        <v>Se muestra un cucharón al lado del tazón.</v>
      </c>
    </row>
    <row r="23587">
      <c r="A23587" s="4" t="s">
        <v>29677</v>
      </c>
      <c r="B23587" s="4" t="s">
        <v>29684</v>
      </c>
      <c r="C23587" s="5" t="str">
        <f>IFERROR(__xludf.DUMMYFUNCTION("GOOGLETRANSLATE(B23587,""en"",""es-ES"")"),"El hombre depende de la masa de panqueque en la plancha.")</f>
        <v>El hombre depende de la masa de panqueque en la plancha.</v>
      </c>
    </row>
    <row r="23588">
      <c r="A23588" s="4" t="s">
        <v>29677</v>
      </c>
      <c r="B23588" s="4" t="s">
        <v>29685</v>
      </c>
      <c r="C23588" s="5" t="str">
        <f>IFERROR(__xludf.DUMMYFUNCTION("GOOGLETRANSLATE(B23588,""en"",""es-ES"")"),"El hombre voltea los panqueques.")</f>
        <v>El hombre voltea los panqueques.</v>
      </c>
    </row>
    <row r="23589">
      <c r="A23589" s="4" t="s">
        <v>29677</v>
      </c>
      <c r="B23589" s="4" t="s">
        <v>29686</v>
      </c>
      <c r="C23589" s="5" t="str">
        <f>IFERROR(__xludf.DUMMYFUNCTION("GOOGLETRANSLATE(B23589,""en"",""es-ES"")"),"El panqueque se coloca en un plato y el jarabe se vierte sobre él.")</f>
        <v>El panqueque se coloca en un plato y el jarabe se vierte sobre él.</v>
      </c>
    </row>
    <row r="23590">
      <c r="A23590" s="4" t="s">
        <v>29677</v>
      </c>
      <c r="B23590" s="4" t="s">
        <v>29687</v>
      </c>
      <c r="C23590" s="5" t="str">
        <f>IFERROR(__xludf.DUMMYFUNCTION("GOOGLETRANSLATE(B23590,""en"",""es-ES"")"),"Se muestra al hombre comiendo un pedazo del panqueque.")</f>
        <v>Se muestra al hombre comiendo un pedazo del panqueque.</v>
      </c>
    </row>
    <row r="23591">
      <c r="A23591" s="4" t="s">
        <v>29677</v>
      </c>
      <c r="B23591" s="4" t="s">
        <v>29688</v>
      </c>
      <c r="C23591" s="5" t="str">
        <f>IFERROR(__xludf.DUMMYFUNCTION("GOOGLETRANSLATE(B23591,""en"",""es-ES"")"),"El hombre continúa hablando con la cámara mientras sostiene un pedazo de panqueque.")</f>
        <v>El hombre continúa hablando con la cámara mientras sostiene un pedazo de panqueque.</v>
      </c>
    </row>
    <row r="23592">
      <c r="A23592" s="4" t="s">
        <v>29677</v>
      </c>
      <c r="B23592" s="4" t="s">
        <v>29689</v>
      </c>
      <c r="C23592" s="5" t="str">
        <f>IFERROR(__xludf.DUMMYFUNCTION("GOOGLETRANSLATE(B23592,""en"",""es-ES"")"),"Se muestra un estudio de televisión.")</f>
        <v>Se muestra un estudio de televisión.</v>
      </c>
    </row>
    <row r="23593">
      <c r="A23593" s="4" t="s">
        <v>29690</v>
      </c>
      <c r="B23593" s="4" t="s">
        <v>29691</v>
      </c>
      <c r="C23593" s="5" t="str">
        <f>IFERROR(__xludf.DUMMYFUNCTION("GOOGLETRANSLATE(B23593,""en"",""es-ES"")"),"Un joven con tazones de síndrome de Downs.")</f>
        <v>Un joven con tazones de síndrome de Downs.</v>
      </c>
    </row>
    <row r="23594">
      <c r="A23594" s="4" t="s">
        <v>29690</v>
      </c>
      <c r="B23594" s="4" t="s">
        <v>29692</v>
      </c>
      <c r="C23594" s="5" t="str">
        <f>IFERROR(__xludf.DUMMYFUNCTION("GOOGLETRANSLATE(B23594,""en"",""es-ES"")"),"Otro joven lanza una bola de boliche.")</f>
        <v>Otro joven lanza una bola de boliche.</v>
      </c>
    </row>
    <row r="23595">
      <c r="A23595" s="4" t="s">
        <v>29690</v>
      </c>
      <c r="B23595" s="4" t="s">
        <v>29693</v>
      </c>
      <c r="C23595" s="5" t="str">
        <f>IFERROR(__xludf.DUMMYFUNCTION("GOOGLETRANSLATE(B23595,""en"",""es-ES"")"),"El primer joven celebra después de un lanzamiento exitoso.")</f>
        <v>El primer joven celebra después de un lanzamiento exitoso.</v>
      </c>
    </row>
    <row r="23596">
      <c r="A23596" s="4" t="s">
        <v>29694</v>
      </c>
      <c r="B23596" s="4" t="s">
        <v>29695</v>
      </c>
      <c r="C23596" s="5" t="str">
        <f>IFERROR(__xludf.DUMMYFUNCTION("GOOGLETRANSLATE(B23596,""en"",""es-ES"")"),"El hombre está parado frente a un automóvil gris en un taller que cambia la rueda de un automóvil y habla con la cámara TE.")</f>
        <v>El hombre está parado frente a un automóvil gris en un taller que cambia la rueda de un automóvil y habla con la cámara TE.</v>
      </c>
    </row>
    <row r="23597">
      <c r="A23597" s="4" t="s">
        <v>29694</v>
      </c>
      <c r="B23597" s="4" t="s">
        <v>29696</v>
      </c>
      <c r="C23597" s="5" t="str">
        <f>IFERROR(__xludf.DUMMYFUNCTION("GOOGLETRANSLATE(B23597,""en"",""es-ES"")"),"Primero, el hombre tome un gato hiyráulico y lo puso debajo del auto, desenrosque los pernos con una tumba de la rueda y saca la rueda y monta la nueva, vuelva a colocar los tornillos con la tumba de la rueda y tensa.")</f>
        <v>Primero, el hombre tome un gato hiyráulico y lo puso debajo del auto, desenrosque los pernos con una tumba de la rueda y saca la rueda y monta la nueva, vuelva a colocar los tornillos con la tumba de la rueda y tensa.</v>
      </c>
    </row>
    <row r="23598">
      <c r="A23598" s="4" t="s">
        <v>29694</v>
      </c>
      <c r="B23598" s="4" t="s">
        <v>29697</v>
      </c>
      <c r="C23598" s="5" t="str">
        <f>IFERROR(__xludf.DUMMYFUNCTION("GOOGLETRANSLATE(B23598,""en"",""es-ES"")"),"Hombre hablando frente al automóvil y dando recomendaciones.")</f>
        <v>Hombre hablando frente al automóvil y dando recomendaciones.</v>
      </c>
    </row>
    <row r="23599">
      <c r="A23599" s="4" t="s">
        <v>29698</v>
      </c>
      <c r="B23599" s="4" t="s">
        <v>1251</v>
      </c>
      <c r="C23599" s="5" t="str">
        <f>IFERROR(__xludf.DUMMYFUNCTION("GOOGLETRANSLATE(B23599,""en"",""es-ES"")"),"Se muestran los créditos del clip.")</f>
        <v>Se muestran los créditos del clip.</v>
      </c>
    </row>
    <row r="23600">
      <c r="A23600" s="4" t="s">
        <v>29698</v>
      </c>
      <c r="B23600" s="4" t="s">
        <v>29699</v>
      </c>
      <c r="C23600" s="5" t="str">
        <f>IFERROR(__xludf.DUMMYFUNCTION("GOOGLETRANSLATE(B23600,""en"",""es-ES"")"),"Un chico se sienta en el piso y habla.")</f>
        <v>Un chico se sienta en el piso y habla.</v>
      </c>
    </row>
    <row r="23601">
      <c r="A23601" s="4" t="s">
        <v>29698</v>
      </c>
      <c r="B23601" s="4" t="s">
        <v>29700</v>
      </c>
      <c r="C23601" s="5" t="str">
        <f>IFERROR(__xludf.DUMMYFUNCTION("GOOGLETRANSLATE(B23601,""en"",""es-ES"")"),"El tipo se acuesta y hace sentados.")</f>
        <v>El tipo se acuesta y hace sentados.</v>
      </c>
    </row>
    <row r="23602">
      <c r="A23602" s="4" t="s">
        <v>29698</v>
      </c>
      <c r="B23602" s="4" t="s">
        <v>29701</v>
      </c>
      <c r="C23602" s="5" t="str">
        <f>IFERROR(__xludf.DUMMYFUNCTION("GOOGLETRANSLATE(B23602,""en"",""es-ES"")"),"El tipo vuelve a la posición sentada.")</f>
        <v>El tipo vuelve a la posición sentada.</v>
      </c>
    </row>
    <row r="23603">
      <c r="A23603" s="4" t="s">
        <v>29698</v>
      </c>
      <c r="B23603" s="4" t="s">
        <v>29702</v>
      </c>
      <c r="C23603" s="5" t="str">
        <f>IFERROR(__xludf.DUMMYFUNCTION("GOOGLETRANSLATE(B23603,""en"",""es-ES"")"),"Se muestran los créditos del video y una imagen.")</f>
        <v>Se muestran los créditos del video y una imagen.</v>
      </c>
    </row>
    <row r="23604">
      <c r="A23604" s="4" t="s">
        <v>29703</v>
      </c>
      <c r="B23604" s="4" t="s">
        <v>29704</v>
      </c>
      <c r="C23604" s="5" t="str">
        <f>IFERROR(__xludf.DUMMYFUNCTION("GOOGLETRANSLATE(B23604,""en"",""es-ES"")"),"Una mujer caucásica está sentada en una silla girando mostrando su largo peinado rubio, está fijado a la derecha y tiene rizos en la parte inferior.")</f>
        <v>Una mujer caucásica está sentada en una silla girando mostrando su largo peinado rubio, está fijado a la derecha y tiene rizos en la parte inferior.</v>
      </c>
    </row>
    <row r="23605">
      <c r="A23605" s="4" t="s">
        <v>29703</v>
      </c>
      <c r="B23605" s="4" t="s">
        <v>29705</v>
      </c>
      <c r="C23605" s="5" t="str">
        <f>IFERROR(__xludf.DUMMYFUNCTION("GOOGLETRANSLATE(B23605,""en"",""es-ES"")"),"En la siguiente pantalla, una mujer comienza a agarrar el fondo y rodar desde abajo hasta aproximadamente tres pulgadas y sella con un trozo de papel.")</f>
        <v>En la siguiente pantalla, una mujer comienza a agarrar el fondo y rodar desde abajo hasta aproximadamente tres pulgadas y sella con un trozo de papel.</v>
      </c>
    </row>
    <row r="23606">
      <c r="A23606" s="4" t="s">
        <v>29703</v>
      </c>
      <c r="B23606" s="4" t="s">
        <v>29706</v>
      </c>
      <c r="C23606" s="5" t="str">
        <f>IFERROR(__xludf.DUMMYFUNCTION("GOOGLETRANSLATE(B23606,""en"",""es-ES"")"),"Una vez que el cabello se plega en el papel de aluminio, la señora toma una plancha y lo pasa sobre el papel de aluminio.")</f>
        <v>Una vez que el cabello se plega en el papel de aluminio, la señora toma una plancha y lo pasa sobre el papel de aluminio.</v>
      </c>
    </row>
    <row r="23607">
      <c r="A23607" s="4" t="s">
        <v>29703</v>
      </c>
      <c r="B23607" s="4" t="s">
        <v>29707</v>
      </c>
      <c r="C23607" s="5" t="str">
        <f>IFERROR(__xludf.DUMMYFUNCTION("GOOGLETRANSLATE(B23607,""en"",""es-ES"")"),"A medida que llega la siguiente escena, la dama es fotografiada con ocho rizos frustrados en la cabeza que están sellados con alfileres de cabello largo.")</f>
        <v>A medida que llega la siguiente escena, la dama es fotografiada con ocho rizos frustrados en la cabeza que están sellados con alfileres de cabello largo.</v>
      </c>
    </row>
    <row r="23608">
      <c r="A23608" s="4" t="s">
        <v>29703</v>
      </c>
      <c r="B23608" s="4" t="s">
        <v>29708</v>
      </c>
      <c r="C23608" s="5" t="str">
        <f>IFERROR(__xludf.DUMMYFUNCTION("GOOGLETRANSLATE(B23608,""en"",""es-ES"")"),"El siguiente paso es eliminar los pasadores seguido de la lámina y liberar los rizos.")</f>
        <v>El siguiente paso es eliminar los pasadores seguido de la lámina y liberar los rizos.</v>
      </c>
    </row>
    <row r="23609">
      <c r="A23609" s="4" t="s">
        <v>29703</v>
      </c>
      <c r="B23609" s="4" t="s">
        <v>29709</v>
      </c>
      <c r="C23609" s="5" t="str">
        <f>IFERROR(__xludf.DUMMYFUNCTION("GOOGLETRANSLATE(B23609,""en"",""es-ES"")"),"Finalmente, el estilo se completa y se gira una vez más para mostrar el producto terminado.")</f>
        <v>Finalmente, el estilo se completa y se gira una vez más para mostrar el producto terminado.</v>
      </c>
    </row>
    <row r="23610">
      <c r="A23610" s="4" t="s">
        <v>29710</v>
      </c>
      <c r="B23610" s="4" t="s">
        <v>29711</v>
      </c>
      <c r="C23610" s="5" t="str">
        <f>IFERROR(__xludf.DUMMYFUNCTION("GOOGLETRANSLATE(B23610,""en"",""es-ES"")"),"Una mujer camina hacia un escenario azul iluminado.")</f>
        <v>Una mujer camina hacia un escenario azul iluminado.</v>
      </c>
    </row>
    <row r="23611">
      <c r="A23611" s="4" t="s">
        <v>29710</v>
      </c>
      <c r="B23611" s="4" t="s">
        <v>29712</v>
      </c>
      <c r="C23611" s="5" t="str">
        <f>IFERROR(__xludf.DUMMYFUNCTION("GOOGLETRANSLATE(B23611,""en"",""es-ES"")"),"Ella comienza a voltear de un lado a otro en el escenario.")</f>
        <v>Ella comienza a voltear de un lado a otro en el escenario.</v>
      </c>
    </row>
    <row r="23612">
      <c r="A23612" s="4" t="s">
        <v>29710</v>
      </c>
      <c r="B23612" s="4" t="s">
        <v>29713</v>
      </c>
      <c r="C23612" s="5" t="str">
        <f>IFERROR(__xludf.DUMMYFUNCTION("GOOGLETRANSLATE(B23612,""en"",""es-ES"")"),"Ella está girando y girando un bastón mientras actúa antes de desaparecer.")</f>
        <v>Ella está girando y girando un bastón mientras actúa antes de desaparecer.</v>
      </c>
    </row>
    <row r="23613">
      <c r="A23613" s="4" t="s">
        <v>29714</v>
      </c>
      <c r="B23613" s="4" t="s">
        <v>29715</v>
      </c>
      <c r="C23613" s="5" t="str">
        <f>IFERROR(__xludf.DUMMYFUNCTION("GOOGLETRANSLATE(B23613,""en"",""es-ES"")"),"Una mujer se cepilla el cabello con la mano.")</f>
        <v>Una mujer se cepilla el cabello con la mano.</v>
      </c>
    </row>
    <row r="23614">
      <c r="A23614" s="4" t="s">
        <v>29714</v>
      </c>
      <c r="B23614" s="4" t="s">
        <v>29716</v>
      </c>
      <c r="C23614" s="5" t="str">
        <f>IFERROR(__xludf.DUMMYFUNCTION("GOOGLETRANSLATE(B23614,""en"",""es-ES"")"),"La mujer se peina con un peine.")</f>
        <v>La mujer se peina con un peine.</v>
      </c>
    </row>
    <row r="23615">
      <c r="A23615" s="4" t="s">
        <v>29714</v>
      </c>
      <c r="B23615" s="4" t="s">
        <v>29717</v>
      </c>
      <c r="C23615" s="5" t="str">
        <f>IFERROR(__xludf.DUMMYFUNCTION("GOOGLETRANSLATE(B23615,""en"",""es-ES"")"),"El peine se muestra en cámara lenta.")</f>
        <v>El peine se muestra en cámara lenta.</v>
      </c>
    </row>
    <row r="23616">
      <c r="A23616" s="4" t="s">
        <v>29718</v>
      </c>
      <c r="B23616" s="4" t="s">
        <v>29719</v>
      </c>
      <c r="C23616" s="5" t="str">
        <f>IFERROR(__xludf.DUMMYFUNCTION("GOOGLETRANSLATE(B23616,""en"",""es-ES"")"),"Los niños y las niñas están en el escenario haciendo una coreografía de porristas en una competencia mientras las personas en los grados los están mirando.")</f>
        <v>Los niños y las niñas están en el escenario haciendo una coreografía de porristas en una competencia mientras las personas en los grados los están mirando.</v>
      </c>
    </row>
    <row r="23617">
      <c r="A23617" s="4" t="s">
        <v>29718</v>
      </c>
      <c r="B23617" s="4" t="s">
        <v>29720</v>
      </c>
      <c r="C23617" s="5" t="str">
        <f>IFERROR(__xludf.DUMMYFUNCTION("GOOGLETRANSLATE(B23617,""en"",""es-ES"")"),"Los hombres con uniformes negros están parados detrás del equipo de alegría.")</f>
        <v>Los hombres con uniformes negros están parados detrás del equipo de alegría.</v>
      </c>
    </row>
    <row r="23618">
      <c r="A23618" s="4" t="s">
        <v>29721</v>
      </c>
      <c r="B23618" s="4" t="s">
        <v>29722</v>
      </c>
      <c r="C23618" s="5" t="str">
        <f>IFERROR(__xludf.DUMMYFUNCTION("GOOGLETRANSLATE(B23618,""en"",""es-ES"")"),"Un hombre habla frente a un edificio de oficinas.")</f>
        <v>Un hombre habla frente a un edificio de oficinas.</v>
      </c>
    </row>
    <row r="23619">
      <c r="A23619" s="4" t="s">
        <v>29721</v>
      </c>
      <c r="B23619" s="4" t="s">
        <v>29723</v>
      </c>
      <c r="C23619" s="5" t="str">
        <f>IFERROR(__xludf.DUMMYFUNCTION("GOOGLETRANSLATE(B23619,""en"",""es-ES"")"),"El hombre entra en el edificio y sube por la escalera.")</f>
        <v>El hombre entra en el edificio y sube por la escalera.</v>
      </c>
    </row>
    <row r="23620">
      <c r="A23620" s="4" t="s">
        <v>29721</v>
      </c>
      <c r="B23620" s="4" t="s">
        <v>29724</v>
      </c>
      <c r="C23620" s="5" t="str">
        <f>IFERROR(__xludf.DUMMYFUNCTION("GOOGLETRANSLATE(B23620,""en"",""es-ES"")"),"El hombre entra en la sala de gimnasia.")</f>
        <v>El hombre entra en la sala de gimnasia.</v>
      </c>
    </row>
    <row r="23621">
      <c r="A23621" s="4" t="s">
        <v>29721</v>
      </c>
      <c r="B23621" s="4" t="s">
        <v>29725</v>
      </c>
      <c r="C23621" s="5" t="str">
        <f>IFERROR(__xludf.DUMMYFUNCTION("GOOGLETRANSLATE(B23621,""en"",""es-ES"")"),"La gente viaja en bicicletas estacionarias y mira un televisor en el gimnasio.")</f>
        <v>La gente viaja en bicicletas estacionarias y mira un televisor en el gimnasio.</v>
      </c>
    </row>
    <row r="23622">
      <c r="A23622" s="4" t="s">
        <v>29726</v>
      </c>
      <c r="B23622" s="4" t="s">
        <v>29727</v>
      </c>
      <c r="C23622" s="5" t="str">
        <f>IFERROR(__xludf.DUMMYFUNCTION("GOOGLETRANSLATE(B23622,""en"",""es-ES"")"),"Suministros para zapatos en una tienda, luego las personas en un aula reciben instrucciones sobre el salón de zapatos.")</f>
        <v>Suministros para zapatos en una tienda, luego las personas en un aula reciben instrucciones sobre el salón de zapatos.</v>
      </c>
    </row>
    <row r="23623">
      <c r="A23623" s="4" t="s">
        <v>29726</v>
      </c>
      <c r="B23623" s="4" t="s">
        <v>29728</v>
      </c>
      <c r="C23623" s="5" t="str">
        <f>IFERROR(__xludf.DUMMYFUNCTION("GOOGLETRANSLATE(B23623,""en"",""es-ES"")"),"El maestro demuestra pulir una bota con un tejido.")</f>
        <v>El maestro demuestra pulir una bota con un tejido.</v>
      </c>
    </row>
    <row r="23624">
      <c r="A23624" s="4" t="s">
        <v>29726</v>
      </c>
      <c r="B23624" s="4" t="s">
        <v>29729</v>
      </c>
      <c r="C23624" s="5" t="str">
        <f>IFERROR(__xludf.DUMMYFUNCTION("GOOGLETRANSLATE(B23624,""en"",""es-ES"")"),"Luego, una niña pule el zapato de una mujer que usa una tela.")</f>
        <v>Luego, una niña pule el zapato de una mujer que usa una tela.</v>
      </c>
    </row>
    <row r="23625">
      <c r="A23625" s="4" t="s">
        <v>29726</v>
      </c>
      <c r="B23625" s="4" t="s">
        <v>29730</v>
      </c>
      <c r="C23625" s="5" t="str">
        <f>IFERROR(__xludf.DUMMYFUNCTION("GOOGLETRANSLATE(B23625,""en"",""es-ES"")"),"Una persona toma fotos y una película de camarógrafo.")</f>
        <v>Una persona toma fotos y una película de camarógrafo.</v>
      </c>
    </row>
    <row r="23626">
      <c r="A23626" s="4" t="s">
        <v>29726</v>
      </c>
      <c r="B23626" s="4" t="s">
        <v>29731</v>
      </c>
      <c r="C23626" s="5" t="str">
        <f>IFERROR(__xludf.DUMMYFUNCTION("GOOGLETRANSLATE(B23626,""en"",""es-ES"")"),"Después, las personas practican los zapatos en grupo.")</f>
        <v>Después, las personas practican los zapatos en grupo.</v>
      </c>
    </row>
    <row r="23627">
      <c r="A23627" s="4" t="s">
        <v>29732</v>
      </c>
      <c r="B23627" s="4" t="s">
        <v>29733</v>
      </c>
      <c r="C23627" s="5" t="str">
        <f>IFERROR(__xludf.DUMMYFUNCTION("GOOGLETRANSLATE(B23627,""en"",""es-ES"")"),"Vemos la pantalla de apertura en naranja.")</f>
        <v>Vemos la pantalla de apertura en naranja.</v>
      </c>
    </row>
    <row r="23628">
      <c r="A23628" s="4" t="s">
        <v>29732</v>
      </c>
      <c r="B23628" s="4" t="s">
        <v>29734</v>
      </c>
      <c r="C23628" s="5" t="str">
        <f>IFERROR(__xludf.DUMMYFUNCTION("GOOGLETRANSLATE(B23628,""en"",""es-ES"")"),"Una dama está cocinando en una cocina.")</f>
        <v>Una dama está cocinando en una cocina.</v>
      </c>
    </row>
    <row r="23629">
      <c r="A23629" s="4" t="s">
        <v>29732</v>
      </c>
      <c r="B23629" s="4" t="s">
        <v>29735</v>
      </c>
      <c r="C23629" s="5" t="str">
        <f>IFERROR(__xludf.DUMMYFUNCTION("GOOGLETRANSLATE(B23629,""en"",""es-ES"")"),"La señora vierte ingredientes en un tazón y revuelve.")</f>
        <v>La señora vierte ingredientes en un tazón y revuelve.</v>
      </c>
    </row>
    <row r="23630">
      <c r="A23630" s="4" t="s">
        <v>29732</v>
      </c>
      <c r="B23630" s="4" t="s">
        <v>29736</v>
      </c>
      <c r="C23630" s="5" t="str">
        <f>IFERROR(__xludf.DUMMYFUNCTION("GOOGLETRANSLATE(B23630,""en"",""es-ES"")"),"La señora agita una mezcla de huevo y la mezcla con su arco original.")</f>
        <v>La señora agita una mezcla de huevo y la mezcla con su arco original.</v>
      </c>
    </row>
    <row r="23631">
      <c r="A23631" s="4" t="s">
        <v>29732</v>
      </c>
      <c r="B23631" s="4" t="s">
        <v>29737</v>
      </c>
      <c r="C23631" s="5" t="str">
        <f>IFERROR(__xludf.DUMMYFUNCTION("GOOGLETRANSLATE(B23631,""en"",""es-ES"")"),"Ella lo pone en una sartén de vidrio y coloca la sartén en el horno.")</f>
        <v>Ella lo pone en una sartén de vidrio y coloca la sartén en el horno.</v>
      </c>
    </row>
    <row r="23632">
      <c r="A23632" s="4" t="s">
        <v>29732</v>
      </c>
      <c r="B23632" s="4" t="s">
        <v>14638</v>
      </c>
      <c r="C23632" s="5" t="str">
        <f>IFERROR(__xludf.DUMMYFUNCTION("GOOGLETRANSLATE(B23632,""en"",""es-ES"")"),"Luego vemos el producto terminado.")</f>
        <v>Luego vemos el producto terminado.</v>
      </c>
    </row>
    <row r="23633">
      <c r="A23633" s="4" t="s">
        <v>29738</v>
      </c>
      <c r="B23633" s="4" t="s">
        <v>5833</v>
      </c>
      <c r="C23633" s="5" t="str">
        <f>IFERROR(__xludf.DUMMYFUNCTION("GOOGLETRANSLATE(B23633,""en"",""es-ES"")"),"Una mujer está de pie en una cocina.")</f>
        <v>Una mujer está de pie en una cocina.</v>
      </c>
    </row>
    <row r="23634">
      <c r="A23634" s="4" t="s">
        <v>29738</v>
      </c>
      <c r="B23634" s="4" t="s">
        <v>29739</v>
      </c>
      <c r="C23634" s="5" t="str">
        <f>IFERROR(__xludf.DUMMYFUNCTION("GOOGLETRANSLATE(B23634,""en"",""es-ES"")"),"Ella comienza a bailar en la cocina.")</f>
        <v>Ella comienza a bailar en la cocina.</v>
      </c>
    </row>
    <row r="23635">
      <c r="A23635" s="4" t="s">
        <v>29738</v>
      </c>
      <c r="B23635" s="4" t="s">
        <v>29740</v>
      </c>
      <c r="C23635" s="5" t="str">
        <f>IFERROR(__xludf.DUMMYFUNCTION("GOOGLETRANSLATE(B23635,""en"",""es-ES"")"),"Ella comienza a limpiar el piso mientras baila.")</f>
        <v>Ella comienza a limpiar el piso mientras baila.</v>
      </c>
    </row>
    <row r="23636">
      <c r="A23636" s="4" t="s">
        <v>29741</v>
      </c>
      <c r="B23636" s="4" t="s">
        <v>29742</v>
      </c>
      <c r="C23636" s="5" t="str">
        <f>IFERROR(__xludf.DUMMYFUNCTION("GOOGLETRANSLATE(B23636,""en"",""es-ES"")"),"La gente está haciendo ejercicio en un gimnasio.")</f>
        <v>La gente está haciendo ejercicio en un gimnasio.</v>
      </c>
    </row>
    <row r="23637">
      <c r="A23637" s="4" t="s">
        <v>29741</v>
      </c>
      <c r="B23637" s="4" t="s">
        <v>29743</v>
      </c>
      <c r="C23637" s="5" t="str">
        <f>IFERROR(__xludf.DUMMYFUNCTION("GOOGLETRANSLATE(B23637,""en"",""es-ES"")"),"Están bajando y bajando de las taburetes negros.")</f>
        <v>Están bajando y bajando de las taburetes negros.</v>
      </c>
    </row>
    <row r="23638">
      <c r="A23638" s="4" t="s">
        <v>29741</v>
      </c>
      <c r="B23638" s="4" t="s">
        <v>29744</v>
      </c>
      <c r="C23638" s="5" t="str">
        <f>IFERROR(__xludf.DUMMYFUNCTION("GOOGLETRANSLATE(B23638,""en"",""es-ES"")"),"Levantan sus manos y dejan de bailar.")</f>
        <v>Levantan sus manos y dejan de bailar.</v>
      </c>
    </row>
    <row r="23639">
      <c r="A23639" s="4" t="s">
        <v>29745</v>
      </c>
      <c r="B23639" s="4" t="s">
        <v>29746</v>
      </c>
      <c r="C23639" s="5" t="str">
        <f>IFERROR(__xludf.DUMMYFUNCTION("GOOGLETRANSLATE(B23639,""en"",""es-ES"")"),"Se muestra un primer plano de hojas seguido por una mujer rastrillándolas y hablando con la cámara.")</f>
        <v>Se muestra un primer plano de hojas seguido por una mujer rastrillándolas y hablando con la cámara.</v>
      </c>
    </row>
    <row r="23640">
      <c r="A23640" s="4" t="s">
        <v>29745</v>
      </c>
      <c r="B23640" s="4" t="s">
        <v>29747</v>
      </c>
      <c r="C23640" s="5" t="str">
        <f>IFERROR(__xludf.DUMMYFUNCTION("GOOGLETRANSLATE(B23640,""en"",""es-ES"")"),"La mujer continúa rastrillando mientras habla con la cámara de regreso y cuarto.")</f>
        <v>La mujer continúa rastrillando mientras habla con la cámara de regreso y cuarto.</v>
      </c>
    </row>
    <row r="23641">
      <c r="A23641" s="4" t="s">
        <v>29745</v>
      </c>
      <c r="B23641" s="4" t="s">
        <v>29748</v>
      </c>
      <c r="C23641" s="5" t="str">
        <f>IFERROR(__xludf.DUMMYFUNCTION("GOOGLETRANSLATE(B23641,""en"",""es-ES"")"),"Ella muestra sus pilas y el césped limpio mientras todavía habla con la cámara.")</f>
        <v>Ella muestra sus pilas y el césped limpio mientras todavía habla con la cámara.</v>
      </c>
    </row>
    <row r="23642">
      <c r="A23642" s="4" t="s">
        <v>29749</v>
      </c>
      <c r="B23642" s="4" t="s">
        <v>29750</v>
      </c>
      <c r="C23642" s="5" t="str">
        <f>IFERROR(__xludf.DUMMYFUNCTION("GOOGLETRANSLATE(B23642,""en"",""es-ES"")"),"Una mujer de mediana edad que lleva un tocado habla con la cámara mientras agita con una cuchara.")</f>
        <v>Una mujer de mediana edad que lleva un tocado habla con la cámara mientras agita con una cuchara.</v>
      </c>
    </row>
    <row r="23643">
      <c r="A23643" s="4" t="s">
        <v>29749</v>
      </c>
      <c r="B23643" s="4" t="s">
        <v>29751</v>
      </c>
      <c r="C23643" s="5" t="str">
        <f>IFERROR(__xludf.DUMMYFUNCTION("GOOGLETRANSLATE(B23643,""en"",""es-ES"")"),"Ella toma un par de sorbos de una taza mientras sigue hablando con la cámara.")</f>
        <v>Ella toma un par de sorbos de una taza mientras sigue hablando con la cámara.</v>
      </c>
    </row>
    <row r="23644">
      <c r="A23644" s="4" t="s">
        <v>29749</v>
      </c>
      <c r="B23644" s="4" t="s">
        <v>29752</v>
      </c>
      <c r="C23644" s="5" t="str">
        <f>IFERROR(__xludf.DUMMYFUNCTION("GOOGLETRANSLATE(B23644,""en"",""es-ES"")"),"Ella hace esta vez más antes de apagar la cámara.")</f>
        <v>Ella hace esta vez más antes de apagar la cámara.</v>
      </c>
    </row>
    <row r="23645">
      <c r="A23645" s="4" t="s">
        <v>29753</v>
      </c>
      <c r="B23645" s="4" t="s">
        <v>29754</v>
      </c>
      <c r="C23645" s="5" t="str">
        <f>IFERROR(__xludf.DUMMYFUNCTION("GOOGLETRANSLATE(B23645,""en"",""es-ES"")"),"La gente practica el ballet solo en un estudio y en parejas.")</f>
        <v>La gente practica el ballet solo en un estudio y en parejas.</v>
      </c>
    </row>
    <row r="23646">
      <c r="A23646" s="4" t="s">
        <v>29753</v>
      </c>
      <c r="B23646" s="4" t="s">
        <v>29755</v>
      </c>
      <c r="C23646" s="5" t="str">
        <f>IFERROR(__xludf.DUMMYFUNCTION("GOOGLETRANSLATE(B23646,""en"",""es-ES"")"),"Entonces, un niño y una niña baile ballet, luego un hombre entran y baila con la niña.")</f>
        <v>Entonces, un niño y una niña baile ballet, luego un hombre entran y baila con la niña.</v>
      </c>
    </row>
    <row r="23647">
      <c r="A23647" s="4" t="s">
        <v>29753</v>
      </c>
      <c r="B23647" s="4" t="s">
        <v>29756</v>
      </c>
      <c r="C23647" s="5" t="str">
        <f>IFERROR(__xludf.DUMMYFUNCTION("GOOGLETRANSLATE(B23647,""en"",""es-ES"")"),"Después, varias parejas bailan ballet mientras otras observan.")</f>
        <v>Después, varias parejas bailan ballet mientras otras observan.</v>
      </c>
    </row>
    <row r="23648">
      <c r="A23648" s="4" t="s">
        <v>29757</v>
      </c>
      <c r="B23648" s="4" t="s">
        <v>29758</v>
      </c>
      <c r="C23648" s="5" t="str">
        <f>IFERROR(__xludf.DUMMYFUNCTION("GOOGLETRANSLATE(B23648,""en"",""es-ES"")"),"Un niño se sienta en el agua, sus esquís frente a él, mientras sostiene el mango de la cuerda entre sus piernas.")</f>
        <v>Un niño se sienta en el agua, sus esquís frente a él, mientras sostiene el mango de la cuerda entre sus piernas.</v>
      </c>
    </row>
    <row r="23649">
      <c r="A23649" s="4" t="s">
        <v>29757</v>
      </c>
      <c r="B23649" s="4" t="s">
        <v>29759</v>
      </c>
      <c r="C23649" s="5" t="str">
        <f>IFERROR(__xludf.DUMMYFUNCTION("GOOGLETRANSLATE(B23649,""en"",""es-ES"")"),"Vemos un breve flashback cuando lo vemos en el bote en el agua que se le ayuda con sus esquís.")</f>
        <v>Vemos un breve flashback cuando lo vemos en el bote en el agua que se le ayuda con sus esquís.</v>
      </c>
    </row>
    <row r="23650">
      <c r="A23650" s="4" t="s">
        <v>29757</v>
      </c>
      <c r="B23650" s="4" t="s">
        <v>29760</v>
      </c>
      <c r="C23650" s="5" t="str">
        <f>IFERROR(__xludf.DUMMYFUNCTION("GOOGLETRANSLATE(B23650,""en"",""es-ES"")"),"Una vez más, está en el agua, y el bote se acelera lentamente, tirando al joven en posición vertical hasta que está esquiando a toda velocidad detrás del bote.")</f>
        <v>Una vez más, está en el agua, y el bote se acelera lentamente, tirando al joven en posición vertical hasta que está esquiando a toda velocidad detrás del bote.</v>
      </c>
    </row>
    <row r="23651">
      <c r="A23651" s="4" t="s">
        <v>29757</v>
      </c>
      <c r="B23651" s="4" t="s">
        <v>29761</v>
      </c>
      <c r="C23651" s="5" t="str">
        <f>IFERROR(__xludf.DUMMYFUNCTION("GOOGLETRANSLATE(B23651,""en"",""es-ES"")"),"Un hombre aparece a su lado, con los brazos extendidos mientras sostiene una cámara, y luego un espectáculo de él con varios otros hombres en el bote.")</f>
        <v>Un hombre aparece a su lado, con los brazos extendidos mientras sostiene una cámara, y luego un espectáculo de él con varios otros hombres en el bote.</v>
      </c>
    </row>
    <row r="23652">
      <c r="A23652" s="4" t="s">
        <v>29757</v>
      </c>
      <c r="B23652" s="4" t="s">
        <v>29762</v>
      </c>
      <c r="C23652" s="5" t="str">
        <f>IFERROR(__xludf.DUMMYFUNCTION("GOOGLETRANSLATE(B23652,""en"",""es-ES"")"),"Pronto vemos al hombre nuevamente en el agua con el brazo alrededor de los hombros del niño, el niño triunfante después de su exitoso viaje.")</f>
        <v>Pronto vemos al hombre nuevamente en el agua con el brazo alrededor de los hombros del niño, el niño triunfante después de su exitoso viaje.</v>
      </c>
    </row>
    <row r="23653">
      <c r="A23653" s="4" t="s">
        <v>29757</v>
      </c>
      <c r="B23653" s="4" t="s">
        <v>29763</v>
      </c>
      <c r="C23653" s="5" t="str">
        <f>IFERROR(__xludf.DUMMYFUNCTION("GOOGLETRANSLATE(B23653,""en"",""es-ES"")"),"En general, todos parecían disfrutar de un gran día al aire libre, ya sea en el bote o esquí o ambos.")</f>
        <v>En general, todos parecían disfrutar de un gran día al aire libre, ya sea en el bote o esquí o ambos.</v>
      </c>
    </row>
    <row r="23654">
      <c r="A23654" s="4" t="s">
        <v>29764</v>
      </c>
      <c r="B23654" s="4" t="s">
        <v>29765</v>
      </c>
      <c r="C23654" s="5" t="str">
        <f>IFERROR(__xludf.DUMMYFUNCTION("GOOGLETRANSLATE(B23654,""en"",""es-ES"")"),"Se ve a un gran grupo de personas de pie alrededor de una plaza con personas jugando voleibol.")</f>
        <v>Se ve a un gran grupo de personas de pie alrededor de una plaza con personas jugando voleibol.</v>
      </c>
    </row>
    <row r="23655">
      <c r="A23655" s="4" t="s">
        <v>29764</v>
      </c>
      <c r="B23655" s="4" t="s">
        <v>29766</v>
      </c>
      <c r="C23655" s="5" t="str">
        <f>IFERROR(__xludf.DUMMYFUNCTION("GOOGLETRANSLATE(B23655,""en"",""es-ES"")"),"La gente golpeó continuamente la pelota alrededor del campo arenoso mientras la cámara se acelera a su alrededor.")</f>
        <v>La gente golpeó continuamente la pelota alrededor del campo arenoso mientras la cámara se acelera a su alrededor.</v>
      </c>
    </row>
    <row r="23656">
      <c r="A23656" s="4" t="s">
        <v>29764</v>
      </c>
      <c r="B23656" s="4" t="s">
        <v>29767</v>
      </c>
      <c r="C23656" s="5" t="str">
        <f>IFERROR(__xludf.DUMMYFUNCTION("GOOGLETRANSLATE(B23656,""en"",""es-ES"")"),"La cámara se mueve alrededor del grupo mientras siguen jugando.")</f>
        <v>La cámara se mueve alrededor del grupo mientras siguen jugando.</v>
      </c>
    </row>
    <row r="23657">
      <c r="A23657" s="4" t="s">
        <v>29768</v>
      </c>
      <c r="B23657" s="4" t="s">
        <v>29769</v>
      </c>
      <c r="C23657" s="5" t="str">
        <f>IFERROR(__xludf.DUMMYFUNCTION("GOOGLETRANSLATE(B23657,""en"",""es-ES"")"),"Una cámara se mueve alrededor del exterior de un edificio y áreas circundantes y conduce a varias tomas de personas que montan bicicletas en una pista.")</f>
        <v>Una cámara se mueve alrededor del exterior de un edificio y áreas circundantes y conduce a varias tomas de personas que montan bicicletas en una pista.</v>
      </c>
    </row>
    <row r="23658">
      <c r="A23658" s="4" t="s">
        <v>29768</v>
      </c>
      <c r="B23658" s="4" t="s">
        <v>29770</v>
      </c>
      <c r="C23658" s="5" t="str">
        <f>IFERROR(__xludf.DUMMYFUNCTION("GOOGLETRANSLATE(B23658,""en"",""es-ES"")"),"Muchas personas miran la carrera al margen mientras las personas continúan dando vueltas y otras registran su tiempo.")</f>
        <v>Muchas personas miran la carrera al margen mientras las personas continúan dando vueltas y otras registran su tiempo.</v>
      </c>
    </row>
    <row r="23659">
      <c r="A23659" s="4" t="s">
        <v>29768</v>
      </c>
      <c r="B23659" s="4" t="s">
        <v>29771</v>
      </c>
      <c r="C23659" s="5" t="str">
        <f>IFERROR(__xludf.DUMMYFUNCTION("GOOGLETRANSLATE(B23659,""en"",""es-ES"")"),"Muchas personas se sientan hablando con un hombre hablando con un grupo grande.")</f>
        <v>Muchas personas se sientan hablando con un hombre hablando con un grupo grande.</v>
      </c>
    </row>
    <row r="23660">
      <c r="A23660" s="4" t="s">
        <v>29768</v>
      </c>
      <c r="B23660" s="4" t="s">
        <v>29772</v>
      </c>
      <c r="C23660" s="5" t="str">
        <f>IFERROR(__xludf.DUMMYFUNCTION("GOOGLETRANSLATE(B23660,""en"",""es-ES"")"),"Se muestran más tomas de personas que hablan y conducen y la audiencia los anima en las gradas.")</f>
        <v>Se muestran más tomas de personas que hablan y conducen y la audiencia los anima en las gradas.</v>
      </c>
    </row>
    <row r="23661">
      <c r="A23661" s="4" t="s">
        <v>29773</v>
      </c>
      <c r="B23661" s="4" t="s">
        <v>29774</v>
      </c>
      <c r="C23661" s="5" t="str">
        <f>IFERROR(__xludf.DUMMYFUNCTION("GOOGLETRANSLATE(B23661,""en"",""es-ES"")"),"Un hombre mayor con una camiseta amarilla se encuentra junto a un garaje abierto y un automóvil blanco estacionado afuera.")</f>
        <v>Un hombre mayor con una camiseta amarilla se encuentra junto a un garaje abierto y un automóvil blanco estacionado afuera.</v>
      </c>
    </row>
    <row r="23662">
      <c r="A23662" s="4" t="s">
        <v>29773</v>
      </c>
      <c r="B23662" s="4" t="s">
        <v>29775</v>
      </c>
      <c r="C23662" s="5" t="str">
        <f>IFERROR(__xludf.DUMMYFUNCTION("GOOGLETRANSLATE(B23662,""en"",""es-ES"")"),"El hombre vierte agua y solución en un tanque de rociador de cubo y varita.")</f>
        <v>El hombre vierte agua y solución en un tanque de rociador de cubo y varita.</v>
      </c>
    </row>
    <row r="23663">
      <c r="A23663" s="4" t="s">
        <v>29773</v>
      </c>
      <c r="B23663" s="4" t="s">
        <v>29776</v>
      </c>
      <c r="C23663" s="5" t="str">
        <f>IFERROR(__xludf.DUMMYFUNCTION("GOOGLETRANSLATE(B23663,""en"",""es-ES"")"),"El hombre comienza a lavar el auto de la hoja de Nissan con el rociador y lo limpia con un paño.")</f>
        <v>El hombre comienza a lavar el auto de la hoja de Nissan con el rociador y lo limpia con un paño.</v>
      </c>
    </row>
    <row r="23664">
      <c r="A23664" s="4" t="s">
        <v>29777</v>
      </c>
      <c r="B23664" s="4" t="s">
        <v>29778</v>
      </c>
      <c r="C23664" s="5" t="str">
        <f>IFERROR(__xludf.DUMMYFUNCTION("GOOGLETRANSLATE(B23664,""en"",""es-ES"")"),"Una fiesta de bodas está parada en la parte delantera de un pasillo.")</f>
        <v>Una fiesta de bodas está parada en la parte delantera de un pasillo.</v>
      </c>
    </row>
    <row r="23665">
      <c r="A23665" s="4" t="s">
        <v>29777</v>
      </c>
      <c r="B23665" s="4" t="s">
        <v>29779</v>
      </c>
      <c r="C23665" s="5" t="str">
        <f>IFERROR(__xludf.DUMMYFUNCTION("GOOGLETRANSLATE(B23665,""en"",""es-ES"")"),"Un par de hombres que juegan gaita entran en la habitación antes de que la novia haga su entrada con su padre.")</f>
        <v>Un par de hombres que juegan gaita entran en la habitación antes de que la novia haga su entrada con su padre.</v>
      </c>
    </row>
    <row r="23666">
      <c r="A23666" s="4" t="s">
        <v>29777</v>
      </c>
      <c r="B23666" s="4" t="s">
        <v>29780</v>
      </c>
      <c r="C23666" s="5" t="str">
        <f>IFERROR(__xludf.DUMMYFUNCTION("GOOGLETRANSLATE(B23666,""en"",""es-ES"")"),"Todos están para ver la procesión.")</f>
        <v>Todos están para ver la procesión.</v>
      </c>
    </row>
    <row r="23667">
      <c r="A23667" s="4" t="s">
        <v>29777</v>
      </c>
      <c r="B23667" s="4" t="s">
        <v>29781</v>
      </c>
      <c r="C23667" s="5" t="str">
        <f>IFERROR(__xludf.DUMMYFUNCTION("GOOGLETRANSLATE(B23667,""en"",""es-ES"")"),"El hombre se da la mano con el novio, y vemos a la pareja parada en el altar, frente a la otra.")</f>
        <v>El hombre se da la mano con el novio, y vemos a la pareja parada en el altar, frente a la otra.</v>
      </c>
    </row>
    <row r="23668">
      <c r="A23668" s="4" t="s">
        <v>29782</v>
      </c>
      <c r="B23668" s="4" t="s">
        <v>29783</v>
      </c>
      <c r="C23668" s="5" t="str">
        <f>IFERROR(__xludf.DUMMYFUNCTION("GOOGLETRANSLATE(B23668,""en"",""es-ES"")"),"Un joven es esquí acuático y cae.")</f>
        <v>Un joven es esquí acuático y cae.</v>
      </c>
    </row>
    <row r="23669">
      <c r="A23669" s="4" t="s">
        <v>29782</v>
      </c>
      <c r="B23669" s="4" t="s">
        <v>29784</v>
      </c>
      <c r="C23669" s="5" t="str">
        <f>IFERROR(__xludf.DUMMYFUNCTION("GOOGLETRANSLATE(B23669,""en"",""es-ES"")"),"Ver video del lago y conducir.")</f>
        <v>Ver video del lago y conducir.</v>
      </c>
    </row>
    <row r="23670">
      <c r="A23670" s="4" t="s">
        <v>29782</v>
      </c>
      <c r="B23670" s="4" t="s">
        <v>29785</v>
      </c>
      <c r="C23670" s="5" t="str">
        <f>IFERROR(__xludf.DUMMYFUNCTION("GOOGLETRANSLATE(B23670,""en"",""es-ES"")"),"Puedes ver a un hombre esquiando desde varios ángulos diferentes.")</f>
        <v>Puedes ver a un hombre esquiando desde varios ángulos diferentes.</v>
      </c>
    </row>
    <row r="23671">
      <c r="A23671" s="4" t="s">
        <v>29782</v>
      </c>
      <c r="B23671" s="4" t="s">
        <v>29786</v>
      </c>
      <c r="C23671" s="5" t="str">
        <f>IFERROR(__xludf.DUMMYFUNCTION("GOOGLETRANSLATE(B23671,""en"",""es-ES"")"),"Invierno de esquí acuático en Stoney Park.")</f>
        <v>Invierno de esquí acuático en Stoney Park.</v>
      </c>
    </row>
    <row r="23672">
      <c r="A23672" s="4" t="s">
        <v>29787</v>
      </c>
      <c r="B23672" s="4" t="s">
        <v>29788</v>
      </c>
      <c r="C23672" s="5" t="str">
        <f>IFERROR(__xludf.DUMMYFUNCTION("GOOGLETRANSLATE(B23672,""en"",""es-ES"")"),"La mujer intenta rastrillar las hojas, pero luego se cae y vuelve a subir sosteniendo el rastrillo y un hombre se lo quita.")</f>
        <v>La mujer intenta rastrillar las hojas, pero luego se cae y vuelve a subir sosteniendo el rastrillo y un hombre se lo quita.</v>
      </c>
    </row>
    <row r="23673">
      <c r="A23673" s="4" t="s">
        <v>29787</v>
      </c>
      <c r="B23673" s="4" t="s">
        <v>29789</v>
      </c>
      <c r="C23673" s="5" t="str">
        <f>IFERROR(__xludf.DUMMYFUNCTION("GOOGLETRANSLATE(B23673,""en"",""es-ES"")"),"Luego se aleja y regresa de nuevo y él rasca las hojas encima de ella.")</f>
        <v>Luego se aleja y regresa de nuevo y él rasca las hojas encima de ella.</v>
      </c>
    </row>
    <row r="23674">
      <c r="A23674" s="4" t="s">
        <v>29790</v>
      </c>
      <c r="B23674" s="4" t="s">
        <v>29791</v>
      </c>
      <c r="C23674" s="5" t="str">
        <f>IFERROR(__xludf.DUMMYFUNCTION("GOOGLETRANSLATE(B23674,""en"",""es-ES"")"),"Se ven dos personas haciendo varios movimientos de artes marciales entre sí, mientras que una multitud de personas animan y aplauden.")</f>
        <v>Se ven dos personas haciendo varios movimientos de artes marciales entre sí, mientras que una multitud de personas animan y aplauden.</v>
      </c>
    </row>
    <row r="23675">
      <c r="A23675" s="4" t="s">
        <v>29790</v>
      </c>
      <c r="B23675" s="4" t="s">
        <v>29792</v>
      </c>
      <c r="C23675" s="5" t="str">
        <f>IFERROR(__xludf.DUMMYFUNCTION("GOOGLETRANSLATE(B23675,""en"",""es-ES"")"),"Los hombres continúan pateando unos a otros y terminan con ellos agarrando las manos y sonriendo.")</f>
        <v>Los hombres continúan pateando unos a otros y terminan con ellos agarrando las manos y sonriendo.</v>
      </c>
    </row>
    <row r="23676">
      <c r="A23676" s="4" t="s">
        <v>29793</v>
      </c>
      <c r="B23676" s="4" t="s">
        <v>29794</v>
      </c>
      <c r="C23676" s="5" t="str">
        <f>IFERROR(__xludf.DUMMYFUNCTION("GOOGLETRANSLATE(B23676,""en"",""es-ES"")"),"Una niña está fumando un cigarrillo.")</f>
        <v>Una niña está fumando un cigarrillo.</v>
      </c>
    </row>
    <row r="23677">
      <c r="A23677" s="4" t="s">
        <v>29793</v>
      </c>
      <c r="B23677" s="4" t="s">
        <v>29795</v>
      </c>
      <c r="C23677" s="5" t="str">
        <f>IFERROR(__xludf.DUMMYFUNCTION("GOOGLETRANSLATE(B23677,""en"",""es-ES"")"),"Una chica explota el humo.")</f>
        <v>Una chica explota el humo.</v>
      </c>
    </row>
    <row r="23678">
      <c r="A23678" s="4" t="s">
        <v>29793</v>
      </c>
      <c r="B23678" s="4" t="s">
        <v>29796</v>
      </c>
      <c r="C23678" s="5" t="str">
        <f>IFERROR(__xludf.DUMMYFUNCTION("GOOGLETRANSLATE(B23678,""en"",""es-ES"")"),"Un chico se sienta, gestos y discute.")</f>
        <v>Un chico se sienta, gestos y discute.</v>
      </c>
    </row>
    <row r="23679">
      <c r="A23679" s="4" t="s">
        <v>29793</v>
      </c>
      <c r="B23679" s="4" t="s">
        <v>29797</v>
      </c>
      <c r="C23679" s="5" t="str">
        <f>IFERROR(__xludf.DUMMYFUNCTION("GOOGLETRANSLATE(B23679,""en"",""es-ES"")"),"El chico hace un gesto fumando un cigarrillo.")</f>
        <v>El chico hace un gesto fumando un cigarrillo.</v>
      </c>
    </row>
    <row r="23680">
      <c r="A23680" s="4" t="s">
        <v>29793</v>
      </c>
      <c r="B23680" s="4" t="s">
        <v>1251</v>
      </c>
      <c r="C23680" s="5" t="str">
        <f>IFERROR(__xludf.DUMMYFUNCTION("GOOGLETRANSLATE(B23680,""en"",""es-ES"")"),"Se muestran los créditos del clip.")</f>
        <v>Se muestran los créditos del clip.</v>
      </c>
    </row>
    <row r="23681">
      <c r="A23681" s="4" t="s">
        <v>29798</v>
      </c>
      <c r="B23681" s="4" t="s">
        <v>29799</v>
      </c>
      <c r="C23681" s="5" t="str">
        <f>IFERROR(__xludf.DUMMYFUNCTION("GOOGLETRANSLATE(B23681,""en"",""es-ES"")"),"Una niña hace una introducción para un video de sí misma tocando el violín.")</f>
        <v>Una niña hace una introducción para un video de sí misma tocando el violín.</v>
      </c>
    </row>
    <row r="23682">
      <c r="A23682" s="4" t="s">
        <v>29798</v>
      </c>
      <c r="B23682" s="4" t="s">
        <v>29800</v>
      </c>
      <c r="C23682" s="5" t="str">
        <f>IFERROR(__xludf.DUMMYFUNCTION("GOOGLETRANSLATE(B23682,""en"",""es-ES"")"),"Ella comienza a jugar el violín de una manera alegre y profesional.")</f>
        <v>Ella comienza a jugar el violín de una manera alegre y profesional.</v>
      </c>
    </row>
    <row r="23683">
      <c r="A23683" s="4" t="s">
        <v>29798</v>
      </c>
      <c r="B23683" s="4" t="s">
        <v>29801</v>
      </c>
      <c r="C23683" s="5" t="str">
        <f>IFERROR(__xludf.DUMMYFUNCTION("GOOGLETRANSLATE(B23683,""en"",""es-ES"")"),"Ella comienza a recoger la velocidad de la canción.")</f>
        <v>Ella comienza a recoger la velocidad de la canción.</v>
      </c>
    </row>
    <row r="23684">
      <c r="A23684" s="4" t="s">
        <v>29798</v>
      </c>
      <c r="B23684" s="4" t="s">
        <v>29802</v>
      </c>
      <c r="C23684" s="5" t="str">
        <f>IFERROR(__xludf.DUMMYFUNCTION("GOOGLETRANSLATE(B23684,""en"",""es-ES"")"),"Cuando termina de tocar, explica que la pieza que acaba de tocar.")</f>
        <v>Cuando termina de tocar, explica que la pieza que acaba de tocar.</v>
      </c>
    </row>
    <row r="23685">
      <c r="A23685" s="4" t="s">
        <v>29803</v>
      </c>
      <c r="B23685" s="4" t="s">
        <v>29804</v>
      </c>
      <c r="C23685" s="5" t="str">
        <f>IFERROR(__xludf.DUMMYFUNCTION("GOOGLETRANSLATE(B23685,""en"",""es-ES"")"),"Se muestran instrucciones sobre cómo jugar acordes en el violín.")</f>
        <v>Se muestran instrucciones sobre cómo jugar acordes en el violín.</v>
      </c>
    </row>
    <row r="23686">
      <c r="A23686" s="4" t="s">
        <v>29803</v>
      </c>
      <c r="B23686" s="4" t="s">
        <v>29805</v>
      </c>
      <c r="C23686" s="5" t="str">
        <f>IFERROR(__xludf.DUMMYFUNCTION("GOOGLETRANSLATE(B23686,""en"",""es-ES"")"),"La mujer está en una habitación tocando el violín.")</f>
        <v>La mujer está en una habitación tocando el violín.</v>
      </c>
    </row>
    <row r="23687">
      <c r="A23687" s="4" t="s">
        <v>29803</v>
      </c>
      <c r="B23687" s="4" t="s">
        <v>29806</v>
      </c>
      <c r="C23687" s="5" t="str">
        <f>IFERROR(__xludf.DUMMYFUNCTION("GOOGLETRANSLATE(B23687,""en"",""es-ES"")"),"La mujer muestra cómo jugar acordes en el violín de madera.")</f>
        <v>La mujer muestra cómo jugar acordes en el violín de madera.</v>
      </c>
    </row>
    <row r="23688">
      <c r="A23688" s="4" t="s">
        <v>29807</v>
      </c>
      <c r="B23688" s="4" t="s">
        <v>29808</v>
      </c>
      <c r="C23688" s="5" t="str">
        <f>IFERROR(__xludf.DUMMYFUNCTION("GOOGLETRANSLATE(B23688,""en"",""es-ES"")"),"Los niños conducen en autos de parachoques.")</f>
        <v>Los niños conducen en autos de parachoques.</v>
      </c>
    </row>
    <row r="23689">
      <c r="A23689" s="4" t="s">
        <v>29807</v>
      </c>
      <c r="B23689" s="4" t="s">
        <v>29809</v>
      </c>
      <c r="C23689" s="5" t="str">
        <f>IFERROR(__xludf.DUMMYFUNCTION("GOOGLETRANSLATE(B23689,""en"",""es-ES"")"),"Los autos chocan entre sí.")</f>
        <v>Los autos chocan entre sí.</v>
      </c>
    </row>
    <row r="23690">
      <c r="A23690" s="4" t="s">
        <v>29807</v>
      </c>
      <c r="B23690" s="4" t="s">
        <v>29810</v>
      </c>
      <c r="C23690" s="5" t="str">
        <f>IFERROR(__xludf.DUMMYFUNCTION("GOOGLETRANSLATE(B23690,""en"",""es-ES"")"),"El niño en el automóvil verde se estrella contra la pared.")</f>
        <v>El niño en el automóvil verde se estrella contra la pared.</v>
      </c>
    </row>
    <row r="23691">
      <c r="A23691" s="4" t="s">
        <v>29811</v>
      </c>
      <c r="B23691" s="4" t="s">
        <v>29812</v>
      </c>
      <c r="C23691" s="5" t="str">
        <f>IFERROR(__xludf.DUMMYFUNCTION("GOOGLETRANSLATE(B23691,""en"",""es-ES"")"),"Una mujer usa rizos muestra cómo envolver piezas de tela en un rodillo.")</f>
        <v>Una mujer usa rizos muestra cómo envolver piezas de tela en un rodillo.</v>
      </c>
    </row>
    <row r="23692">
      <c r="A23692" s="4" t="s">
        <v>29811</v>
      </c>
      <c r="B23692" s="4" t="s">
        <v>29813</v>
      </c>
      <c r="C23692" s="5" t="str">
        <f>IFERROR(__xludf.DUMMYFUNCTION("GOOGLETRANSLATE(B23692,""en"",""es-ES"")"),"La mujer desactiva los rizos de su cabello.")</f>
        <v>La mujer desactiva los rizos de su cabello.</v>
      </c>
    </row>
    <row r="23693">
      <c r="A23693" s="4" t="s">
        <v>29811</v>
      </c>
      <c r="B23693" s="4" t="s">
        <v>29814</v>
      </c>
      <c r="C23693" s="5" t="str">
        <f>IFERROR(__xludf.DUMMYFUNCTION("GOOGLETRANSLATE(B23693,""en"",""es-ES"")"),"La mujer se saca el pelo usando sus manos.")</f>
        <v>La mujer se saca el pelo usando sus manos.</v>
      </c>
    </row>
    <row r="23694">
      <c r="A23694" s="4" t="s">
        <v>29815</v>
      </c>
      <c r="B23694" s="4" t="s">
        <v>29816</v>
      </c>
      <c r="C23694" s="5" t="str">
        <f>IFERROR(__xludf.DUMMYFUNCTION("GOOGLETRANSLATE(B23694,""en"",""es-ES"")"),"La gente monta a caballo alrededor de una arena.")</f>
        <v>La gente monta a caballo alrededor de una arena.</v>
      </c>
    </row>
    <row r="23695">
      <c r="A23695" s="4" t="s">
        <v>29815</v>
      </c>
      <c r="B23695" s="4" t="s">
        <v>29817</v>
      </c>
      <c r="C23695" s="5" t="str">
        <f>IFERROR(__xludf.DUMMYFUNCTION("GOOGLETRANSLATE(B23695,""en"",""es-ES"")"),"La gente está parada afuera de la arena mirándolos.")</f>
        <v>La gente está parada afuera de la arena mirándolos.</v>
      </c>
    </row>
    <row r="23696">
      <c r="A23696" s="4" t="s">
        <v>29815</v>
      </c>
      <c r="B23696" s="4" t="s">
        <v>29818</v>
      </c>
      <c r="C23696" s="5" t="str">
        <f>IFERROR(__xludf.DUMMYFUNCTION("GOOGLETRANSLATE(B23696,""en"",""es-ES"")"),"La gente que mira se da vuelta y mira detrás de ellos.")</f>
        <v>La gente que mira se da vuelta y mira detrás de ellos.</v>
      </c>
    </row>
    <row r="23697">
      <c r="A23697" s="4" t="s">
        <v>29819</v>
      </c>
      <c r="B23697" s="4" t="s">
        <v>29820</v>
      </c>
      <c r="C23697" s="5" t="str">
        <f>IFERROR(__xludf.DUMMYFUNCTION("GOOGLETRANSLATE(B23697,""en"",""es-ES"")"),"Un hombre está haciendo gimnasia en una sala de estar.")</f>
        <v>Un hombre está haciendo gimnasia en una sala de estar.</v>
      </c>
    </row>
    <row r="23698">
      <c r="A23698" s="4" t="s">
        <v>29819</v>
      </c>
      <c r="B23698" s="4" t="s">
        <v>29821</v>
      </c>
      <c r="C23698" s="5" t="str">
        <f>IFERROR(__xludf.DUMMYFUNCTION("GOOGLETRANSLATE(B23698,""en"",""es-ES"")"),"Está haciendo soportes para un par de barras en el suelo.")</f>
        <v>Está haciendo soportes para un par de barras en el suelo.</v>
      </c>
    </row>
    <row r="23699">
      <c r="A23699" s="4" t="s">
        <v>29819</v>
      </c>
      <c r="B23699" s="4" t="s">
        <v>29822</v>
      </c>
      <c r="C23699" s="5" t="str">
        <f>IFERROR(__xludf.DUMMYFUNCTION("GOOGLETRANSLATE(B23699,""en"",""es-ES"")"),"Las barras están hechas de tuberías de PVC.")</f>
        <v>Las barras están hechas de tuberías de PVC.</v>
      </c>
    </row>
    <row r="23700">
      <c r="A23700" s="4" t="s">
        <v>29823</v>
      </c>
      <c r="B23700" s="4" t="s">
        <v>29824</v>
      </c>
      <c r="C23700" s="5" t="str">
        <f>IFERROR(__xludf.DUMMYFUNCTION("GOOGLETRANSLATE(B23700,""en"",""es-ES"")"),"Una olla de cocción habla en una cocina y muestra el interior de un cuchillo de afilador que tiene discos dentro.")</f>
        <v>Una olla de cocción habla en una cocina y muestra el interior de un cuchillo de afilador que tiene discos dentro.</v>
      </c>
    </row>
    <row r="23701">
      <c r="A23701" s="4" t="s">
        <v>29823</v>
      </c>
      <c r="B23701" s="4" t="s">
        <v>29825</v>
      </c>
      <c r="C23701" s="5" t="str">
        <f>IFERROR(__xludf.DUMMYFUNCTION("GOOGLETRANSLATE(B23701,""en"",""es-ES"")"),"Luego, el hombre pone un cuchillo en el cuchillo de afilador para afilar.")</f>
        <v>Luego, el hombre pone un cuchillo en el cuchillo de afilador para afilar.</v>
      </c>
    </row>
    <row r="23702">
      <c r="A23702" s="4" t="s">
        <v>29823</v>
      </c>
      <c r="B23702" s="4" t="s">
        <v>29826</v>
      </c>
      <c r="C23702" s="5" t="str">
        <f>IFERROR(__xludf.DUMMYFUNCTION("GOOGLETRANSLATE(B23702,""en"",""es-ES"")"),"Después, el hombre lave y seca el cuchillo.")</f>
        <v>Después, el hombre lave y seca el cuchillo.</v>
      </c>
    </row>
    <row r="23703">
      <c r="A23703" s="4" t="s">
        <v>29827</v>
      </c>
      <c r="B23703" s="4" t="s">
        <v>29828</v>
      </c>
      <c r="C23703" s="5" t="str">
        <f>IFERROR(__xludf.DUMMYFUNCTION("GOOGLETRANSLATE(B23703,""en"",""es-ES"")"),"Un niño que toca un gran juego de batería se concentra mientras la cámara lo ve tocar.")</f>
        <v>Un niño que toca un gran juego de batería se concentra mientras la cámara lo ve tocar.</v>
      </c>
    </row>
    <row r="23704">
      <c r="A23704" s="4" t="s">
        <v>29827</v>
      </c>
      <c r="B23704" s="4" t="s">
        <v>29829</v>
      </c>
      <c r="C23704" s="5" t="str">
        <f>IFERROR(__xludf.DUMMYFUNCTION("GOOGLETRANSLATE(B23704,""en"",""es-ES"")"),"Otras personas entran y salen del marco del niño mientras él continuamente toca el juego en el tambor.")</f>
        <v>Otras personas entran y salen del marco del niño mientras él continuamente toca el juego en el tambor.</v>
      </c>
    </row>
    <row r="23705">
      <c r="A23705" s="4" t="s">
        <v>29827</v>
      </c>
      <c r="B23705" s="4" t="s">
        <v>29830</v>
      </c>
      <c r="C23705" s="5" t="str">
        <f>IFERROR(__xludf.DUMMYFUNCTION("GOOGLETRANSLATE(B23705,""en"",""es-ES"")"),"Otro niño que sostiene una bebida entra al marco y ve al niño jugar el juego.")</f>
        <v>Otro niño que sostiene una bebida entra al marco y ve al niño jugar el juego.</v>
      </c>
    </row>
    <row r="23706">
      <c r="A23706" s="4" t="s">
        <v>29831</v>
      </c>
      <c r="B23706" s="4" t="s">
        <v>29832</v>
      </c>
      <c r="C23706" s="5" t="str">
        <f>IFERROR(__xludf.DUMMYFUNCTION("GOOGLETRANSLATE(B23706,""en"",""es-ES"")"),"Un gran grupo de personas camina hacia la cámara y parece que están en un pequeño pueblo.")</f>
        <v>Un gran grupo de personas camina hacia la cámara y parece que están en un pequeño pueblo.</v>
      </c>
    </row>
    <row r="23707">
      <c r="A23707" s="4" t="s">
        <v>29831</v>
      </c>
      <c r="B23707" s="4" t="s">
        <v>29833</v>
      </c>
      <c r="C23707" s="5" t="str">
        <f>IFERROR(__xludf.DUMMYFUNCTION("GOOGLETRANSLATE(B23707,""en"",""es-ES"")"),"A medida que la gente se acerca, vemos a un hombre y un niño se aferran a una silla de montar unida a un camello y conduce sobre él mientras otro hombre sostiene la correa y guía el camello.")</f>
        <v>A medida que la gente se acerca, vemos a un hombre y un niño se aferran a una silla de montar unida a un camello y conduce sobre él mientras otro hombre sostiene la correa y guía el camello.</v>
      </c>
    </row>
    <row r="23708">
      <c r="A23708" s="4" t="s">
        <v>29831</v>
      </c>
      <c r="B23708" s="4" t="s">
        <v>29834</v>
      </c>
      <c r="C23708" s="5" t="str">
        <f>IFERROR(__xludf.DUMMYFUNCTION("GOOGLETRANSLATE(B23708,""en"",""es-ES"")"),"El camello pasa a la persona de la cámara y tenemos una vista del camello que se aleja y una vista de un lado diferente del área que parece un pueblo.")</f>
        <v>El camello pasa a la persona de la cámara y tenemos una vista del camello que se aleja y una vista de un lado diferente del área que parece un pueblo.</v>
      </c>
    </row>
    <row r="23709">
      <c r="A23709" s="4" t="s">
        <v>29835</v>
      </c>
      <c r="B23709" s="4" t="s">
        <v>29836</v>
      </c>
      <c r="C23709" s="5" t="str">
        <f>IFERROR(__xludf.DUMMYFUNCTION("GOOGLETRANSLATE(B23709,""en"",""es-ES"")"),"Se muestra una foto de un área nevada, seguida por dos personas que esperan a lo largo del área y hablando con la cámara.")</f>
        <v>Se muestra una foto de un área nevada, seguida por dos personas que esperan a lo largo del área y hablando con la cámara.</v>
      </c>
    </row>
    <row r="23710">
      <c r="A23710" s="4" t="s">
        <v>29835</v>
      </c>
      <c r="B23710" s="4" t="s">
        <v>29837</v>
      </c>
      <c r="C23710" s="5" t="str">
        <f>IFERROR(__xludf.DUMMYFUNCTION("GOOGLETRANSLATE(B23710,""en"",""es-ES"")"),"Se muestran más tomas de los hombres saltando en las snowboard en varios lugares, así como a la cámara y mostrando fotos de las personas, así como imágenes de ellos paseando.")</f>
        <v>Se muestran más tomas de los hombres saltando en las snowboard en varios lugares, así como a la cámara y mostrando fotos de las personas, así como imágenes de ellos paseando.</v>
      </c>
    </row>
    <row r="23711">
      <c r="A23711" s="4" t="s">
        <v>29838</v>
      </c>
      <c r="B23711" s="4" t="s">
        <v>29839</v>
      </c>
      <c r="C23711" s="5" t="str">
        <f>IFERROR(__xludf.DUMMYFUNCTION("GOOGLETRANSLATE(B23711,""en"",""es-ES"")"),"Muchos hombres están en un edificio que juega con un grupo de hockey sobre hielo uno contra el otro.")</f>
        <v>Muchos hombres están en un edificio que juega con un grupo de hockey sobre hielo uno contra el otro.</v>
      </c>
    </row>
    <row r="23712">
      <c r="A23712" s="4" t="s">
        <v>29838</v>
      </c>
      <c r="B23712" s="4" t="s">
        <v>29840</v>
      </c>
      <c r="C23712" s="5" t="str">
        <f>IFERROR(__xludf.DUMMYFUNCTION("GOOGLETRANSLATE(B23712,""en"",""es-ES"")"),"A medida que continúan jugando, el árbitro comienza a patinar de un lado a otro en los círculos.")</f>
        <v>A medida que continúan jugando, el árbitro comienza a patinar de un lado a otro en los círculos.</v>
      </c>
    </row>
    <row r="23713">
      <c r="A23713" s="4" t="s">
        <v>29838</v>
      </c>
      <c r="B23713" s="4" t="s">
        <v>29841</v>
      </c>
      <c r="C23713" s="5" t="str">
        <f>IFERROR(__xludf.DUMMYFUNCTION("GOOGLETRANSLATE(B23713,""en"",""es-ES"")"),"Después de varias aperturas y terminados, los juegos continúan y el portero tiene éxito en bloquear el disco cada vez.")</f>
        <v>Después de varias aperturas y terminados, los juegos continúan y el portero tiene éxito en bloquear el disco cada vez.</v>
      </c>
    </row>
    <row r="23714">
      <c r="A23714" s="4" t="s">
        <v>29842</v>
      </c>
      <c r="B23714" s="4" t="s">
        <v>29843</v>
      </c>
      <c r="C23714" s="5" t="str">
        <f>IFERROR(__xludf.DUMMYFUNCTION("GOOGLETRANSLATE(B23714,""en"",""es-ES"")"),"Vemos a un bebé espinando en una habitación con adultos mirando.")</f>
        <v>Vemos a un bebé espinando en una habitación con adultos mirando.</v>
      </c>
    </row>
    <row r="23715">
      <c r="A23715" s="4" t="s">
        <v>29842</v>
      </c>
      <c r="B23715" s="4" t="s">
        <v>29844</v>
      </c>
      <c r="C23715" s="5" t="str">
        <f>IFERROR(__xludf.DUMMYFUNCTION("GOOGLETRANSLATE(B23715,""en"",""es-ES"")"),"Un adulto baila con el bebé.")</f>
        <v>Un adulto baila con el bebé.</v>
      </c>
    </row>
    <row r="23716">
      <c r="A23716" s="4" t="s">
        <v>29842</v>
      </c>
      <c r="B23716" s="4" t="s">
        <v>29845</v>
      </c>
      <c r="C23716" s="5" t="str">
        <f>IFERROR(__xludf.DUMMYFUNCTION("GOOGLETRANSLATE(B23716,""en"",""es-ES"")"),"Dos adultos tienen las manos de los bebés y bailan.")</f>
        <v>Dos adultos tienen las manos de los bebés y bailan.</v>
      </c>
    </row>
    <row r="23717">
      <c r="A23717" s="4" t="s">
        <v>29842</v>
      </c>
      <c r="B23717" s="4" t="s">
        <v>29846</v>
      </c>
      <c r="C23717" s="5" t="str">
        <f>IFERROR(__xludf.DUMMYFUNCTION("GOOGLETRANSLATE(B23717,""en"",""es-ES"")"),"El bebé está girado en un círculo.")</f>
        <v>El bebé está girado en un círculo.</v>
      </c>
    </row>
    <row r="23718">
      <c r="A23718" s="4" t="s">
        <v>29842</v>
      </c>
      <c r="B23718" s="4" t="s">
        <v>29847</v>
      </c>
      <c r="C23718" s="5" t="str">
        <f>IFERROR(__xludf.DUMMYFUNCTION("GOOGLETRANSLATE(B23718,""en"",""es-ES"")"),"El bebé está girado de nuevo.")</f>
        <v>El bebé está girado de nuevo.</v>
      </c>
    </row>
    <row r="23719">
      <c r="A23719" s="4" t="s">
        <v>29842</v>
      </c>
      <c r="B23719" s="4" t="s">
        <v>29848</v>
      </c>
      <c r="C23719" s="5" t="str">
        <f>IFERROR(__xludf.DUMMYFUNCTION("GOOGLETRANSLATE(B23719,""en"",""es-ES"")"),"El bebé baila solo de nuevo.")</f>
        <v>El bebé baila solo de nuevo.</v>
      </c>
    </row>
    <row r="23720">
      <c r="A23720" s="4" t="s">
        <v>29842</v>
      </c>
      <c r="B23720" s="4" t="s">
        <v>29849</v>
      </c>
      <c r="C23720" s="5" t="str">
        <f>IFERROR(__xludf.DUMMYFUNCTION("GOOGLETRANSLATE(B23720,""en"",""es-ES"")"),"El bebé recoge un perro de juguete y baila con él.")</f>
        <v>El bebé recoge un perro de juguete y baila con él.</v>
      </c>
    </row>
    <row r="23721">
      <c r="A23721" s="4" t="s">
        <v>29850</v>
      </c>
      <c r="B23721" s="4" t="s">
        <v>29851</v>
      </c>
      <c r="C23721" s="5" t="str">
        <f>IFERROR(__xludf.DUMMYFUNCTION("GOOGLETRANSLATE(B23721,""en"",""es-ES"")"),"Los niños montan pequeñas bicicletas de tierra alrededor de una pista.")</f>
        <v>Los niños montan pequeñas bicicletas de tierra alrededor de una pista.</v>
      </c>
    </row>
    <row r="23722">
      <c r="A23722" s="4" t="s">
        <v>29850</v>
      </c>
      <c r="B23722" s="4" t="s">
        <v>29852</v>
      </c>
      <c r="C23722" s="5" t="str">
        <f>IFERROR(__xludf.DUMMYFUNCTION("GOOGLETRANSLATE(B23722,""en"",""es-ES"")"),"Un niño se cae y la gente los ayuda.")</f>
        <v>Un niño se cae y la gente los ayuda.</v>
      </c>
    </row>
    <row r="23723">
      <c r="A23723" s="4" t="s">
        <v>29853</v>
      </c>
      <c r="B23723" s="4" t="s">
        <v>29854</v>
      </c>
      <c r="C23723" s="5" t="str">
        <f>IFERROR(__xludf.DUMMYFUNCTION("GOOGLETRANSLATE(B23723,""en"",""es-ES"")"),"Un grupo de personas se reúnen en una tienda de balsas.")</f>
        <v>Un grupo de personas se reúnen en una tienda de balsas.</v>
      </c>
    </row>
    <row r="23724">
      <c r="A23724" s="4" t="s">
        <v>29853</v>
      </c>
      <c r="B23724" s="4" t="s">
        <v>29855</v>
      </c>
      <c r="C23724" s="5" t="str">
        <f>IFERROR(__xludf.DUMMYFUNCTION("GOOGLETRANSLATE(B23724,""en"",""es-ES"")"),"Todos se encuentran en una habitación para ponerse cascos y reunir su equipo.")</f>
        <v>Todos se encuentran en una habitación para ponerse cascos y reunir su equipo.</v>
      </c>
    </row>
    <row r="23725">
      <c r="A23725" s="4" t="s">
        <v>29853</v>
      </c>
      <c r="B23725" s="4" t="s">
        <v>29856</v>
      </c>
      <c r="C23725" s="5" t="str">
        <f>IFERROR(__xludf.DUMMYFUNCTION("GOOGLETRANSLATE(B23725,""en"",""es-ES"")"),"Todos salen a caminar juntos, incluyendo un gran tramo de escaleras.")</f>
        <v>Todos salen a caminar juntos, incluyendo un gran tramo de escaleras.</v>
      </c>
    </row>
    <row r="23726">
      <c r="A23726" s="4" t="s">
        <v>29853</v>
      </c>
      <c r="B23726" s="4" t="s">
        <v>29857</v>
      </c>
      <c r="C23726" s="5" t="str">
        <f>IFERROR(__xludf.DUMMYFUNCTION("GOOGLETRANSLATE(B23726,""en"",""es-ES"")"),"Llegan a una larga línea de balsas junto al agua, donde entran y comienzan a rafting.")</f>
        <v>Llegan a una larga línea de balsas junto al agua, donde entran y comienzan a rafting.</v>
      </c>
    </row>
    <row r="23727">
      <c r="A23727" s="4" t="s">
        <v>29853</v>
      </c>
      <c r="B23727" s="4" t="s">
        <v>29858</v>
      </c>
      <c r="C23727" s="5" t="str">
        <f>IFERROR(__xludf.DUMMYFUNCTION("GOOGLETRANSLATE(B23727,""en"",""es-ES"")"),"La gente es rafting rafting por un río turbulento, usando sus paletas al unísono, bajando pequeñas cascadas juntas.")</f>
        <v>La gente es rafting rafting por un río turbulento, usando sus paletas al unísono, bajando pequeñas cascadas juntas.</v>
      </c>
    </row>
    <row r="23728">
      <c r="A23728" s="4" t="s">
        <v>29853</v>
      </c>
      <c r="B23728" s="4" t="s">
        <v>29859</v>
      </c>
      <c r="C23728" s="5" t="str">
        <f>IFERROR(__xludf.DUMMYFUNCTION("GOOGLETRANSLATE(B23728,""en"",""es-ES"")"),"Todos se detienen a almorzar debajo de un pabellón al aire libre al final de su aventura.")</f>
        <v>Todos se detienen a almorzar debajo de un pabellón al aire libre al final de su aventura.</v>
      </c>
    </row>
    <row r="23729">
      <c r="A23729" s="4" t="s">
        <v>29860</v>
      </c>
      <c r="B23729" s="4" t="s">
        <v>29861</v>
      </c>
      <c r="C23729" s="5" t="str">
        <f>IFERROR(__xludf.DUMMYFUNCTION("GOOGLETRANSLATE(B23729,""en"",""es-ES"")"),"Un adolescente realiza un caballo de pomo girando, luego salta al piso y va a obtener energía de un recipiente.")</f>
        <v>Un adolescente realiza un caballo de pomo girando, luego salta al piso y va a obtener energía de un recipiente.</v>
      </c>
    </row>
    <row r="23730">
      <c r="A23730" s="4" t="s">
        <v>29860</v>
      </c>
      <c r="B23730" s="4" t="s">
        <v>29862</v>
      </c>
      <c r="C23730" s="5" t="str">
        <f>IFERROR(__xludf.DUMMYFUNCTION("GOOGLETRANSLATE(B23730,""en"",""es-ES"")"),"Después, el adolescente vuelve al caballo de pomo y gira muchas veces, mientras el jurado observa.")</f>
        <v>Después, el adolescente vuelve al caballo de pomo y gira muchas veces, mientras el jurado observa.</v>
      </c>
    </row>
    <row r="23731">
      <c r="A23731" s="4" t="s">
        <v>29860</v>
      </c>
      <c r="B23731" s="4" t="s">
        <v>29863</v>
      </c>
      <c r="C23731" s="5" t="str">
        <f>IFERROR(__xludf.DUMMYFUNCTION("GOOGLETRANSLATE(B23731,""en"",""es-ES"")"),"La gente camina detrás del jurado.")</f>
        <v>La gente camina detrás del jurado.</v>
      </c>
    </row>
    <row r="23732">
      <c r="A23732" s="4" t="s">
        <v>29860</v>
      </c>
      <c r="B23732" s="4" t="s">
        <v>29864</v>
      </c>
      <c r="C23732" s="5" t="str">
        <f>IFERROR(__xludf.DUMMYFUNCTION("GOOGLETRANSLATE(B23732,""en"",""es-ES"")"),"Luego, el adolescente se para en sus manos y salta a la colchoneta.")</f>
        <v>Luego, el adolescente se para en sus manos y salta a la colchoneta.</v>
      </c>
    </row>
    <row r="23733">
      <c r="A23733" s="4" t="s">
        <v>29865</v>
      </c>
      <c r="B23733" s="4" t="s">
        <v>29866</v>
      </c>
      <c r="C23733" s="5" t="str">
        <f>IFERROR(__xludf.DUMMYFUNCTION("GOOGLETRANSLATE(B23733,""en"",""es-ES"")"),"Una mujer que lleva una peluca se ve con los ojos vendados a otra chica mientras otras miran a los lados.")</f>
        <v>Una mujer que lleva una peluca se ve con los ojos vendados a otra chica mientras otras miran a los lados.</v>
      </c>
    </row>
    <row r="23734">
      <c r="A23734" s="4" t="s">
        <v>29865</v>
      </c>
      <c r="B23734" s="4" t="s">
        <v>29867</v>
      </c>
      <c r="C23734" s="5" t="str">
        <f>IFERROR(__xludf.DUMMYFUNCTION("GOOGLETRANSLATE(B23734,""en"",""es-ES"")"),"Los niños juegan en el Bouncouse y una mujer gira alrededor de la chica con los ojos vendados.")</f>
        <v>Los niños juegan en el Bouncouse y una mujer gira alrededor de la chica con los ojos vendados.</v>
      </c>
    </row>
    <row r="23735">
      <c r="A23735" s="4" t="s">
        <v>29865</v>
      </c>
      <c r="B23735" s="4" t="s">
        <v>29868</v>
      </c>
      <c r="C23735" s="5" t="str">
        <f>IFERROR(__xludf.DUMMYFUNCTION("GOOGLETRANSLATE(B23735,""en"",""es-ES"")"),"La niña se balancea en una piñata y golpea y luego se aleja.")</f>
        <v>La niña se balancea en una piñata y golpea y luego se aleja.</v>
      </c>
    </row>
    <row r="23736">
      <c r="A23736" s="4" t="s">
        <v>29869</v>
      </c>
      <c r="B23736" s="4" t="s">
        <v>29870</v>
      </c>
      <c r="C23736" s="5" t="str">
        <f>IFERROR(__xludf.DUMMYFUNCTION("GOOGLETRANSLATE(B23736,""en"",""es-ES"")"),"Un hombre se sienta en una máquina de ejercicios.")</f>
        <v>Un hombre se sienta en una máquina de ejercicios.</v>
      </c>
    </row>
    <row r="23737">
      <c r="A23737" s="4" t="s">
        <v>29869</v>
      </c>
      <c r="B23737" s="4" t="s">
        <v>29871</v>
      </c>
      <c r="C23737" s="5" t="str">
        <f>IFERROR(__xludf.DUMMYFUNCTION("GOOGLETRANSLATE(B23737,""en"",""es-ES"")"),"Comienza a hacer ejercicio en la máquina.")</f>
        <v>Comienza a hacer ejercicio en la máquina.</v>
      </c>
    </row>
    <row r="23738">
      <c r="A23738" s="4" t="s">
        <v>29869</v>
      </c>
      <c r="B23738" s="4" t="s">
        <v>29872</v>
      </c>
      <c r="C23738" s="5" t="str">
        <f>IFERROR(__xludf.DUMMYFUNCTION("GOOGLETRANSLATE(B23738,""en"",""es-ES"")"),"Un hombre con una camisa bronceada está detrás de él.")</f>
        <v>Un hombre con una camisa bronceada está detrás de él.</v>
      </c>
    </row>
    <row r="23739">
      <c r="A23739" s="4" t="s">
        <v>29873</v>
      </c>
      <c r="B23739" s="4" t="s">
        <v>29874</v>
      </c>
      <c r="C23739" s="5" t="str">
        <f>IFERROR(__xludf.DUMMYFUNCTION("GOOGLETRANSLATE(B23739,""en"",""es-ES"")"),"Tres personas van a tubos de forma rápida.")</f>
        <v>Tres personas van a tubos de forma rápida.</v>
      </c>
    </row>
    <row r="23740">
      <c r="A23740" s="4" t="s">
        <v>29873</v>
      </c>
      <c r="B23740" s="4" t="s">
        <v>29875</v>
      </c>
      <c r="C23740" s="5" t="str">
        <f>IFERROR(__xludf.DUMMYFUNCTION("GOOGLETRANSLATE(B23740,""en"",""es-ES"")"),"Se atascan en las rocas, luego empujan y continúan flotando.")</f>
        <v>Se atascan en las rocas, luego empujan y continúan flotando.</v>
      </c>
    </row>
    <row r="23741">
      <c r="A23741" s="4" t="s">
        <v>29876</v>
      </c>
      <c r="B23741" s="4" t="s">
        <v>29877</v>
      </c>
      <c r="C23741" s="5" t="str">
        <f>IFERROR(__xludf.DUMMYFUNCTION("GOOGLETRANSLATE(B23741,""en"",""es-ES"")"),"Hay un joven con una sudadera con capucha negra y un sombrero en el desierto.")</f>
        <v>Hay un joven con una sudadera con capucha negra y un sombrero en el desierto.</v>
      </c>
    </row>
    <row r="23742">
      <c r="A23742" s="4" t="s">
        <v>29876</v>
      </c>
      <c r="B23742" s="4" t="s">
        <v>29878</v>
      </c>
      <c r="C23742" s="5" t="str">
        <f>IFERROR(__xludf.DUMMYFUNCTION("GOOGLETRANSLATE(B23742,""en"",""es-ES"")"),"Se toma un paraguas en la mano y luego lo arroja detrás de él.")</f>
        <v>Se toma un paraguas en la mano y luego lo arroja detrás de él.</v>
      </c>
    </row>
    <row r="23743">
      <c r="A23743" s="4" t="s">
        <v>29876</v>
      </c>
      <c r="B23743" s="4" t="s">
        <v>29879</v>
      </c>
      <c r="C23743" s="5" t="str">
        <f>IFERROR(__xludf.DUMMYFUNCTION("GOOGLETRANSLATE(B23743,""en"",""es-ES"")"),"Luego camina sobre una cuerda apretada e intenta equilibrarse.")</f>
        <v>Luego camina sobre una cuerda apretada e intenta equilibrarse.</v>
      </c>
    </row>
    <row r="23744">
      <c r="A23744" s="4" t="s">
        <v>29876</v>
      </c>
      <c r="B23744" s="4" t="s">
        <v>29880</v>
      </c>
      <c r="C23744" s="5" t="str">
        <f>IFERROR(__xludf.DUMMYFUNCTION("GOOGLETRANSLATE(B23744,""en"",""es-ES"")"),"Hay otros hombres haciendo lo mismo en el desierto, tratando de equilibrarse y caminar sobre cuerdas apretadas.")</f>
        <v>Hay otros hombres haciendo lo mismo en el desierto, tratando de equilibrarse y caminar sobre cuerdas apretadas.</v>
      </c>
    </row>
    <row r="23745">
      <c r="A23745" s="4" t="s">
        <v>29881</v>
      </c>
      <c r="B23745" s="4" t="s">
        <v>29882</v>
      </c>
      <c r="C23745" s="5" t="str">
        <f>IFERROR(__xludf.DUMMYFUNCTION("GOOGLETRANSLATE(B23745,""en"",""es-ES"")"),"Una pareja de ancianos bailan sola en un piso de gimnasio mientras una línea de personas en un reloj de mesa.")</f>
        <v>Una pareja de ancianos bailan sola en un piso de gimnasio mientras una línea de personas en un reloj de mesa.</v>
      </c>
    </row>
    <row r="23746">
      <c r="A23746" s="4" t="s">
        <v>29881</v>
      </c>
      <c r="B23746" s="4" t="s">
        <v>29883</v>
      </c>
      <c r="C23746" s="5" t="str">
        <f>IFERROR(__xludf.DUMMYFUNCTION("GOOGLETRANSLATE(B23746,""en"",""es-ES"")"),"Giran y bailan felices, y la multitud aplaude mientras terminan y se alejan.")</f>
        <v>Giran y bailan felices, y la multitud aplaude mientras terminan y se alejan.</v>
      </c>
    </row>
    <row r="23747">
      <c r="A23747" s="4" t="s">
        <v>29884</v>
      </c>
      <c r="B23747" s="4" t="s">
        <v>29885</v>
      </c>
      <c r="C23747" s="5" t="str">
        <f>IFERROR(__xludf.DUMMYFUNCTION("GOOGLETRANSLATE(B23747,""en"",""es-ES"")"),"Tres hombres que juegan un juego de racquetball están en una cancha rodeada de paredes blancas.")</f>
        <v>Tres hombres que juegan un juego de racquetball están en una cancha rodeada de paredes blancas.</v>
      </c>
    </row>
    <row r="23748">
      <c r="A23748" s="4" t="s">
        <v>29884</v>
      </c>
      <c r="B23748" s="4" t="s">
        <v>29886</v>
      </c>
      <c r="C23748" s="5" t="str">
        <f>IFERROR(__xludf.DUMMYFUNCTION("GOOGLETRANSLATE(B23748,""en"",""es-ES"")"),"El hombre de White sirve, seguido por el hombre en el sombrero anotando en su servicio.")</f>
        <v>El hombre de White sirve, seguido por el hombre en el sombrero anotando en su servicio.</v>
      </c>
    </row>
    <row r="23749">
      <c r="A23749" s="4" t="s">
        <v>29884</v>
      </c>
      <c r="B23749" s="4" t="s">
        <v>29887</v>
      </c>
      <c r="C23749" s="5" t="str">
        <f>IFERROR(__xludf.DUMMYFUNCTION("GOOGLETRANSLATE(B23749,""en"",""es-ES"")"),"El hombre en los pantalones cortos amarillos es el siguiente y logra tomar el juego, sirviendo varias veces para cerrar el video.")</f>
        <v>El hombre en los pantalones cortos amarillos es el siguiente y logra tomar el juego, sirviendo varias veces para cerrar el video.</v>
      </c>
    </row>
    <row r="23750">
      <c r="A23750" s="4" t="s">
        <v>29888</v>
      </c>
      <c r="B23750" s="4" t="s">
        <v>29889</v>
      </c>
      <c r="C23750" s="5" t="str">
        <f>IFERROR(__xludf.DUMMYFUNCTION("GOOGLETRANSLATE(B23750,""en"",""es-ES"")"),"Un grupo de cuatro hombres habla frente a una cámara.")</f>
        <v>Un grupo de cuatro hombres habla frente a una cámara.</v>
      </c>
    </row>
    <row r="23751">
      <c r="A23751" s="4" t="s">
        <v>29888</v>
      </c>
      <c r="B23751" s="4" t="s">
        <v>29890</v>
      </c>
      <c r="C23751" s="5" t="str">
        <f>IFERROR(__xludf.DUMMYFUNCTION("GOOGLETRANSLATE(B23751,""en"",""es-ES"")"),"Hay una secuencia animada.")</f>
        <v>Hay una secuencia animada.</v>
      </c>
    </row>
    <row r="23752">
      <c r="A23752" s="4" t="s">
        <v>29888</v>
      </c>
      <c r="B23752" s="4" t="s">
        <v>29891</v>
      </c>
      <c r="C23752" s="5" t="str">
        <f>IFERROR(__xludf.DUMMYFUNCTION("GOOGLETRANSLATE(B23752,""en"",""es-ES"")"),"Continúan hablando frente a la cámara.")</f>
        <v>Continúan hablando frente a la cámara.</v>
      </c>
    </row>
    <row r="23753">
      <c r="A23753" s="4" t="s">
        <v>29888</v>
      </c>
      <c r="B23753" s="4" t="s">
        <v>29892</v>
      </c>
      <c r="C23753" s="5" t="str">
        <f>IFERROR(__xludf.DUMMYFUNCTION("GOOGLETRANSLATE(B23753,""en"",""es-ES"")"),"Dos de ellos se paran sosteniendo un rastrillo y tocan unas tijeras de papel de rock.")</f>
        <v>Dos de ellos se paran sosteniendo un rastrillo y tocan unas tijeras de papel de rock.</v>
      </c>
    </row>
    <row r="23754">
      <c r="A23754" s="4" t="s">
        <v>29888</v>
      </c>
      <c r="B23754" s="4" t="s">
        <v>29893</v>
      </c>
      <c r="C23754" s="5" t="str">
        <f>IFERROR(__xludf.DUMMYFUNCTION("GOOGLETRANSLATE(B23754,""en"",""es-ES"")"),"Uno pierde el juego y salta sobre el rastrillo.")</f>
        <v>Uno pierde el juego y salta sobre el rastrillo.</v>
      </c>
    </row>
    <row r="23755">
      <c r="A23755" s="4" t="s">
        <v>29888</v>
      </c>
      <c r="B23755" s="4" t="s">
        <v>29894</v>
      </c>
      <c r="C23755" s="5" t="str">
        <f>IFERROR(__xludf.DUMMYFUNCTION("GOOGLETRANSLATE(B23755,""en"",""es-ES"")"),"Repeticiones de él saltando sobre el rastrillo.")</f>
        <v>Repeticiones de él saltando sobre el rastrillo.</v>
      </c>
    </row>
    <row r="23756">
      <c r="A23756" s="4" t="s">
        <v>29888</v>
      </c>
      <c r="B23756" s="4" t="s">
        <v>29895</v>
      </c>
      <c r="C23756" s="5" t="str">
        <f>IFERROR(__xludf.DUMMYFUNCTION("GOOGLETRANSLATE(B23756,""en"",""es-ES"")"),"Los otros dos sostienen el rastrillo y tocan las tijeras de papel rock.")</f>
        <v>Los otros dos sostienen el rastrillo y tocan las tijeras de papel rock.</v>
      </c>
    </row>
    <row r="23757">
      <c r="A23757" s="4" t="s">
        <v>29888</v>
      </c>
      <c r="B23757" s="4" t="s">
        <v>29896</v>
      </c>
      <c r="C23757" s="5" t="str">
        <f>IFERROR(__xludf.DUMMYFUNCTION("GOOGLETRANSLATE(B23757,""en"",""es-ES"")"),"Una persona diferente pierde y salta sobre el rastrillo.")</f>
        <v>Una persona diferente pierde y salta sobre el rastrillo.</v>
      </c>
    </row>
    <row r="23758">
      <c r="A23758" s="4" t="s">
        <v>29888</v>
      </c>
      <c r="B23758" s="4" t="s">
        <v>29897</v>
      </c>
      <c r="C23758" s="5" t="str">
        <f>IFERROR(__xludf.DUMMYFUNCTION("GOOGLETRANSLATE(B23758,""en"",""es-ES"")"),"Muestran repeticiones nuevamente de él saltando sobre él.")</f>
        <v>Muestran repeticiones nuevamente de él saltando sobre él.</v>
      </c>
    </row>
    <row r="23759">
      <c r="A23759" s="4" t="s">
        <v>29888</v>
      </c>
      <c r="B23759" s="4" t="s">
        <v>29898</v>
      </c>
      <c r="C23759" s="5" t="str">
        <f>IFERROR(__xludf.DUMMYFUNCTION("GOOGLETRANSLATE(B23759,""en"",""es-ES"")"),"Un conjunto diferente de muchachos sostiene el rastrillo y vuelve a jugar un papel de rock.")</f>
        <v>Un conjunto diferente de muchachos sostiene el rastrillo y vuelve a jugar un papel de rock.</v>
      </c>
    </row>
    <row r="23760">
      <c r="A23760" s="4" t="s">
        <v>29888</v>
      </c>
      <c r="B23760" s="4" t="s">
        <v>29899</v>
      </c>
      <c r="C23760" s="5" t="str">
        <f>IFERROR(__xludf.DUMMYFUNCTION("GOOGLETRANSLATE(B23760,""en"",""es-ES"")"),"Uno pierde y salta sobre el rastrillo de nuevo.")</f>
        <v>Uno pierde y salta sobre el rastrillo de nuevo.</v>
      </c>
    </row>
    <row r="23761">
      <c r="A23761" s="4" t="s">
        <v>29888</v>
      </c>
      <c r="B23761" s="4" t="s">
        <v>29900</v>
      </c>
      <c r="C23761" s="5" t="str">
        <f>IFERROR(__xludf.DUMMYFUNCTION("GOOGLETRANSLATE(B23761,""en"",""es-ES"")"),"Muestran repeticiones de él saltando sobre el rastrillo.")</f>
        <v>Muestran repeticiones de él saltando sobre el rastrillo.</v>
      </c>
    </row>
    <row r="23762">
      <c r="A23762" s="4" t="s">
        <v>29888</v>
      </c>
      <c r="B23762" s="4" t="s">
        <v>29901</v>
      </c>
      <c r="C23762" s="5" t="str">
        <f>IFERROR(__xludf.DUMMYFUNCTION("GOOGLETRANSLATE(B23762,""en"",""es-ES"")"),"El otro tipo salta sobre el rastrillo.")</f>
        <v>El otro tipo salta sobre el rastrillo.</v>
      </c>
    </row>
    <row r="23763">
      <c r="A23763" s="4" t="s">
        <v>29888</v>
      </c>
      <c r="B23763" s="4" t="s">
        <v>29902</v>
      </c>
      <c r="C23763" s="5" t="str">
        <f>IFERROR(__xludf.DUMMYFUNCTION("GOOGLETRANSLATE(B23763,""en"",""es-ES"")"),"Una vez más muestran repeticiones.")</f>
        <v>Una vez más muestran repeticiones.</v>
      </c>
    </row>
    <row r="23764">
      <c r="A23764" s="4" t="s">
        <v>29888</v>
      </c>
      <c r="B23764" s="4" t="s">
        <v>29903</v>
      </c>
      <c r="C23764" s="5" t="str">
        <f>IFERROR(__xludf.DUMMYFUNCTION("GOOGLETRANSLATE(B23764,""en"",""es-ES"")"),"Los cuatro están hablando una vez más frente a la cámara.")</f>
        <v>Los cuatro están hablando una vez más frente a la cámara.</v>
      </c>
    </row>
    <row r="23765">
      <c r="A23765" s="4" t="s">
        <v>29888</v>
      </c>
      <c r="B23765" s="4" t="s">
        <v>29904</v>
      </c>
      <c r="C23765" s="5" t="str">
        <f>IFERROR(__xludf.DUMMYFUNCTION("GOOGLETRANSLATE(B23765,""en"",""es-ES"")"),"Termina con otros videos de su canal You Tube.")</f>
        <v>Termina con otros videos de su canal You Tube.</v>
      </c>
    </row>
    <row r="23766">
      <c r="A23766" s="4" t="s">
        <v>29905</v>
      </c>
      <c r="B23766" s="4" t="s">
        <v>29906</v>
      </c>
      <c r="C23766" s="5" t="str">
        <f>IFERROR(__xludf.DUMMYFUNCTION("GOOGLETRANSLATE(B23766,""en"",""es-ES"")"),"Una persona está abajo y está balanceando una tela y golpeándola en algo.")</f>
        <v>Una persona está abajo y está balanceando una tela y golpeándola en algo.</v>
      </c>
    </row>
    <row r="23767">
      <c r="A23767" s="4" t="s">
        <v>29905</v>
      </c>
      <c r="B23767" s="4" t="s">
        <v>29907</v>
      </c>
      <c r="C23767" s="5" t="str">
        <f>IFERROR(__xludf.DUMMYFUNCTION("GOOGLETRANSLATE(B23767,""en"",""es-ES"")"),"Un disparo amplio de una ciudad se muestra desde el anterior.")</f>
        <v>Un disparo amplio de una ciudad se muestra desde el anterior.</v>
      </c>
    </row>
    <row r="23768">
      <c r="A23768" s="4" t="s">
        <v>29905</v>
      </c>
      <c r="B23768" s="4" t="s">
        <v>29908</v>
      </c>
      <c r="C23768" s="5" t="str">
        <f>IFERROR(__xludf.DUMMYFUNCTION("GOOGLETRANSLATE(B23768,""en"",""es-ES"")"),"La vista se dirige a otras partes de la ciudad y luego se acerca a otras personas que golpean tela en un objeto también.")</f>
        <v>La vista se dirige a otras partes de la ciudad y luego se acerca a otras personas que golpean tela en un objeto también.</v>
      </c>
    </row>
    <row r="23769">
      <c r="A23769" s="4" t="s">
        <v>29909</v>
      </c>
      <c r="B23769" s="4" t="s">
        <v>29910</v>
      </c>
      <c r="C23769" s="5" t="str">
        <f>IFERROR(__xludf.DUMMYFUNCTION("GOOGLETRANSLATE(B23769,""en"",""es-ES"")"),"Una persona está arrojando un disco por una franja de tierra.")</f>
        <v>Una persona está arrojando un disco por una franja de tierra.</v>
      </c>
    </row>
    <row r="23770">
      <c r="A23770" s="4" t="s">
        <v>29909</v>
      </c>
      <c r="B23770" s="4" t="s">
        <v>29911</v>
      </c>
      <c r="C23770" s="5" t="str">
        <f>IFERROR(__xludf.DUMMYFUNCTION("GOOGLETRANSLATE(B23770,""en"",""es-ES"")"),"Una mujer con una camisa marrón sostiene una taza roja.")</f>
        <v>Una mujer con una camisa marrón sostiene una taza roja.</v>
      </c>
    </row>
    <row r="23771">
      <c r="A23771" s="4" t="s">
        <v>29909</v>
      </c>
      <c r="B23771" s="4" t="s">
        <v>29912</v>
      </c>
      <c r="C23771" s="5" t="str">
        <f>IFERROR(__xludf.DUMMYFUNCTION("GOOGLETRANSLATE(B23771,""en"",""es-ES"")"),"Un niño empuja una pelota con un palo.")</f>
        <v>Un niño empuja una pelota con un palo.</v>
      </c>
    </row>
    <row r="23772">
      <c r="A23772" s="4" t="s">
        <v>29909</v>
      </c>
      <c r="B23772" s="4" t="s">
        <v>29913</v>
      </c>
      <c r="C23772" s="5" t="str">
        <f>IFERROR(__xludf.DUMMYFUNCTION("GOOGLETRANSLATE(B23772,""en"",""es-ES"")"),"Un hombre con una camisa negra está sosteniendo un palo.")</f>
        <v>Un hombre con una camisa negra está sosteniendo un palo.</v>
      </c>
    </row>
    <row r="23773">
      <c r="A23773" s="4" t="s">
        <v>29909</v>
      </c>
      <c r="B23773" s="4" t="s">
        <v>29914</v>
      </c>
      <c r="C23773" s="5" t="str">
        <f>IFERROR(__xludf.DUMMYFUNCTION("GOOGLETRANSLATE(B23773,""en"",""es-ES"")"),"Un niño con una camisa blanca sonríe a la cámara.")</f>
        <v>Un niño con una camisa blanca sonríe a la cámara.</v>
      </c>
    </row>
    <row r="23774">
      <c r="A23774" s="4" t="s">
        <v>29915</v>
      </c>
      <c r="B23774" s="4" t="s">
        <v>29916</v>
      </c>
      <c r="C23774" s="5" t="str">
        <f>IFERROR(__xludf.DUMMYFUNCTION("GOOGLETRANSLATE(B23774,""en"",""es-ES"")"),"Se ve a un hombre hablando con la cámara mientras sostiene una herramienta.")</f>
        <v>Se ve a un hombre hablando con la cámara mientras sostiene una herramienta.</v>
      </c>
    </row>
    <row r="23775">
      <c r="A23775" s="4" t="s">
        <v>29915</v>
      </c>
      <c r="B23775" s="4" t="s">
        <v>29917</v>
      </c>
      <c r="C23775" s="5" t="str">
        <f>IFERROR(__xludf.DUMMYFUNCTION("GOOGLETRANSLATE(B23775,""en"",""es-ES"")"),"Luego se ve a una persona despegando un techo usando el techo y hablando en voz alta.")</f>
        <v>Luego se ve a una persona despegando un techo usando el techo y hablando en voz alta.</v>
      </c>
    </row>
    <row r="23776">
      <c r="A23776" s="4" t="s">
        <v>29915</v>
      </c>
      <c r="B23776" s="4" t="s">
        <v>29918</v>
      </c>
      <c r="C23776" s="5" t="str">
        <f>IFERROR(__xludf.DUMMYFUNCTION("GOOGLETRANSLATE(B23776,""en"",""es-ES"")"),"El hombre continúa destrozando el techo.")</f>
        <v>El hombre continúa destrozando el techo.</v>
      </c>
    </row>
    <row r="23777">
      <c r="A23777" s="4" t="s">
        <v>29919</v>
      </c>
      <c r="B23777" s="4" t="s">
        <v>29920</v>
      </c>
      <c r="C23777" s="5" t="str">
        <f>IFERROR(__xludf.DUMMYFUNCTION("GOOGLETRANSLATE(B23777,""en"",""es-ES"")"),"Un grupo de personas está jugando en kayaks de aguas blancas.")</f>
        <v>Un grupo de personas está jugando en kayaks de aguas blancas.</v>
      </c>
    </row>
    <row r="23778">
      <c r="A23778" s="4" t="s">
        <v>29919</v>
      </c>
      <c r="B23778" s="4" t="s">
        <v>29921</v>
      </c>
      <c r="C23778" s="5" t="str">
        <f>IFERROR(__xludf.DUMMYFUNCTION("GOOGLETRANSLATE(B23778,""en"",""es-ES"")"),"La persona en el rojo intenta voltear.")</f>
        <v>La persona en el rojo intenta voltear.</v>
      </c>
    </row>
    <row r="23779">
      <c r="A23779" s="4" t="s">
        <v>29919</v>
      </c>
      <c r="B23779" s="4" t="s">
        <v>29922</v>
      </c>
      <c r="C23779" s="5" t="str">
        <f>IFERROR(__xludf.DUMMYFUNCTION("GOOGLETRANSLATE(B23779,""en"",""es-ES"")"),"Una persona en verde intenta lo mismo.")</f>
        <v>Una persona en verde intenta lo mismo.</v>
      </c>
    </row>
    <row r="23780">
      <c r="A23780" s="4" t="s">
        <v>29919</v>
      </c>
      <c r="B23780" s="4" t="s">
        <v>29923</v>
      </c>
      <c r="C23780" s="5" t="str">
        <f>IFERROR(__xludf.DUMMYFUNCTION("GOOGLETRANSLATE(B23780,""en"",""es-ES"")"),"La persona en rojo tiene su frente en el aire durante mucho tiempo.")</f>
        <v>La persona en rojo tiene su frente en el aire durante mucho tiempo.</v>
      </c>
    </row>
    <row r="23781">
      <c r="A23781" s="4" t="s">
        <v>29924</v>
      </c>
      <c r="B23781" s="4" t="s">
        <v>29925</v>
      </c>
      <c r="C23781" s="5" t="str">
        <f>IFERROR(__xludf.DUMMYFUNCTION("GOOGLETRANSLATE(B23781,""en"",""es-ES"")"),"Se ve a un gran grupo de personas caminando hacia un campo con una multitud animando detrás de ellos.")</f>
        <v>Se ve a un gran grupo de personas caminando hacia un campo con una multitud animando detrás de ellos.</v>
      </c>
    </row>
    <row r="23782">
      <c r="A23782" s="4" t="s">
        <v>29924</v>
      </c>
      <c r="B23782" s="4" t="s">
        <v>29926</v>
      </c>
      <c r="C23782" s="5" t="str">
        <f>IFERROR(__xludf.DUMMYFUNCTION("GOOGLETRANSLATE(B23782,""en"",""es-ES"")"),"Luego, los hombres comienzan a jugar un juego de fútbol y pateando la pelota por el campo.")</f>
        <v>Luego, los hombres comienzan a jugar un juego de fútbol y pateando la pelota por el campo.</v>
      </c>
    </row>
    <row r="23783">
      <c r="A23783" s="4" t="s">
        <v>29924</v>
      </c>
      <c r="B23783" s="4" t="s">
        <v>29927</v>
      </c>
      <c r="C23783" s="5" t="str">
        <f>IFERROR(__xludf.DUMMYFUNCTION("GOOGLETRANSLATE(B23783,""en"",""es-ES"")"),"Se muestran varios disparos de personas que anotan goles, así como otros que se celebran y se sostienen mutuamente.")</f>
        <v>Se muestran varios disparos de personas que anotan goles, así como otros que se celebran y se sostienen mutuamente.</v>
      </c>
    </row>
    <row r="23784">
      <c r="A23784" s="4" t="s">
        <v>29928</v>
      </c>
      <c r="B23784" s="4" t="s">
        <v>29929</v>
      </c>
      <c r="C23784" s="5" t="str">
        <f>IFERROR(__xludf.DUMMYFUNCTION("GOOGLETRANSLATE(B23784,""en"",""es-ES"")"),"Varios espectadores miran mientras un hombre hace un seguimiento y en el campo.")</f>
        <v>Varios espectadores miran mientras un hombre hace un seguimiento y en el campo.</v>
      </c>
    </row>
    <row r="23785">
      <c r="A23785" s="4" t="s">
        <v>29928</v>
      </c>
      <c r="B23785" s="4" t="s">
        <v>29930</v>
      </c>
      <c r="C23785" s="5" t="str">
        <f>IFERROR(__xludf.DUMMYFUNCTION("GOOGLETRANSLATE(B23785,""en"",""es-ES"")"),"El video con un hombre que comienza a correr por la pista.")</f>
        <v>El video con un hombre que comienza a correr por la pista.</v>
      </c>
    </row>
    <row r="23786">
      <c r="A23786" s="4" t="s">
        <v>29928</v>
      </c>
      <c r="B23786" s="4" t="s">
        <v>29931</v>
      </c>
      <c r="C23786" s="5" t="str">
        <f>IFERROR(__xludf.DUMMYFUNCTION("GOOGLETRANSLATE(B23786,""en"",""es-ES"")"),"Cuando llega a la sección de tierra, él hace tres saltos.")</f>
        <v>Cuando llega a la sección de tierra, él hace tres saltos.</v>
      </c>
    </row>
    <row r="23787">
      <c r="A23787" s="4" t="s">
        <v>29928</v>
      </c>
      <c r="B23787" s="4" t="s">
        <v>29932</v>
      </c>
      <c r="C23787" s="5" t="str">
        <f>IFERROR(__xludf.DUMMYFUNCTION("GOOGLETRANSLATE(B23787,""en"",""es-ES"")"),"En su salto final, extiende sus piernas para tratar de saltar lo más lejos posible.")</f>
        <v>En su salto final, extiende sus piernas para tratar de saltar lo más lejos posible.</v>
      </c>
    </row>
    <row r="23788">
      <c r="A23788" s="4" t="s">
        <v>29928</v>
      </c>
      <c r="B23788" s="4" t="s">
        <v>29933</v>
      </c>
      <c r="C23788" s="5" t="str">
        <f>IFERROR(__xludf.DUMMYFUNCTION("GOOGLETRANSLATE(B23788,""en"",""es-ES"")"),"El video termina después de que aterriza y se le muestra golpeando el suelo.")</f>
        <v>El video termina después de que aterriza y se le muestra golpeando el suelo.</v>
      </c>
    </row>
    <row r="23789">
      <c r="A23789" s="4" t="s">
        <v>29934</v>
      </c>
      <c r="B23789" s="4" t="s">
        <v>29935</v>
      </c>
      <c r="C23789" s="5" t="str">
        <f>IFERROR(__xludf.DUMMYFUNCTION("GOOGLETRANSLATE(B23789,""en"",""es-ES"")"),"La cámara se mueve alrededor de un hombre parado frente a una mesa de ping pong y comienza a jugar un partido con otro hombre.")</f>
        <v>La cámara se mueve alrededor de un hombre parado frente a una mesa de ping pong y comienza a jugar un partido con otro hombre.</v>
      </c>
    </row>
    <row r="23790">
      <c r="A23790" s="4" t="s">
        <v>29934</v>
      </c>
      <c r="B23790" s="4" t="s">
        <v>29936</v>
      </c>
      <c r="C23790" s="5" t="str">
        <f>IFERROR(__xludf.DUMMYFUNCTION("GOOGLETRANSLATE(B23790,""en"",""es-ES"")"),"Los hombres continúan golpeando la pelota y cuarto mientras varias personas lo miran a un lado.")</f>
        <v>Los hombres continúan golpeando la pelota y cuarto mientras varias personas lo miran a un lado.</v>
      </c>
    </row>
    <row r="23791">
      <c r="A23791" s="4" t="s">
        <v>29937</v>
      </c>
      <c r="B23791" s="4" t="s">
        <v>29938</v>
      </c>
      <c r="C23791" s="5" t="str">
        <f>IFERROR(__xludf.DUMMYFUNCTION("GOOGLETRANSLATE(B23791,""en"",""es-ES"")"),"Se ve a una gimnasta mirando hacia la distancia y de pie ante un juego de barras desiguales.")</f>
        <v>Se ve a una gimnasta mirando hacia la distancia y de pie ante un juego de barras desiguales.</v>
      </c>
    </row>
    <row r="23792">
      <c r="A23792" s="4" t="s">
        <v>29937</v>
      </c>
      <c r="B23792" s="4" t="s">
        <v>29939</v>
      </c>
      <c r="C23792" s="5" t="str">
        <f>IFERROR(__xludf.DUMMYFUNCTION("GOOGLETRANSLATE(B23792,""en"",""es-ES"")"),"El hombre luego salta a las barras y comienza a balancearse hacia atrás y cuarto.")</f>
        <v>El hombre luego salta a las barras y comienza a balancearse hacia atrás y cuarto.</v>
      </c>
    </row>
    <row r="23793">
      <c r="A23793" s="4" t="s">
        <v>29937</v>
      </c>
      <c r="B23793" s="4" t="s">
        <v>29940</v>
      </c>
      <c r="C23793" s="5" t="str">
        <f>IFERROR(__xludf.DUMMYFUNCTION("GOOGLETRANSLATE(B23793,""en"",""es-ES"")"),"El hombre continúa girando y termina saltando hacia abajo.")</f>
        <v>El hombre continúa girando y termina saltando hacia abajo.</v>
      </c>
    </row>
    <row r="23794">
      <c r="A23794" s="4" t="s">
        <v>29941</v>
      </c>
      <c r="B23794" s="4" t="s">
        <v>29942</v>
      </c>
      <c r="C23794" s="5" t="str">
        <f>IFERROR(__xludf.DUMMYFUNCTION("GOOGLETRANSLATE(B23794,""en"",""es-ES"")"),"Una mujer se lava las manos en un fregadero.")</f>
        <v>Una mujer se lava las manos en un fregadero.</v>
      </c>
    </row>
    <row r="23795">
      <c r="A23795" s="4" t="s">
        <v>29941</v>
      </c>
      <c r="B23795" s="4" t="s">
        <v>29943</v>
      </c>
      <c r="C23795" s="5" t="str">
        <f>IFERROR(__xludf.DUMMYFUNCTION("GOOGLETRANSLATE(B23795,""en"",""es-ES"")"),"La mujer se seca las manos.")</f>
        <v>La mujer se seca las manos.</v>
      </c>
    </row>
    <row r="23796">
      <c r="A23796" s="4" t="s">
        <v>29941</v>
      </c>
      <c r="B23796" s="4" t="s">
        <v>29944</v>
      </c>
      <c r="C23796" s="5" t="str">
        <f>IFERROR(__xludf.DUMMYFUNCTION("GOOGLETRANSLATE(B23796,""en"",""es-ES"")"),"La cámara muestra un primer plano de su líquido de caída en una lente de contacto.")</f>
        <v>La cámara muestra un primer plano de su líquido de caída en una lente de contacto.</v>
      </c>
    </row>
    <row r="23797">
      <c r="A23797" s="4" t="s">
        <v>29941</v>
      </c>
      <c r="B23797" s="4" t="s">
        <v>29945</v>
      </c>
      <c r="C23797" s="5" t="str">
        <f>IFERROR(__xludf.DUMMYFUNCTION("GOOGLETRANSLATE(B23797,""en"",""es-ES"")"),"La lente de contacto se mantiene para la inspección.")</f>
        <v>La lente de contacto se mantiene para la inspección.</v>
      </c>
    </row>
    <row r="23798">
      <c r="A23798" s="4" t="s">
        <v>29941</v>
      </c>
      <c r="B23798" s="4" t="s">
        <v>29946</v>
      </c>
      <c r="C23798" s="5" t="str">
        <f>IFERROR(__xludf.DUMMYFUNCTION("GOOGLETRANSLATE(B23798,""en"",""es-ES"")"),"La mujer frota la lente de contacto con el fluido.")</f>
        <v>La mujer frota la lente de contacto con el fluido.</v>
      </c>
    </row>
    <row r="23799">
      <c r="A23799" s="4" t="s">
        <v>29941</v>
      </c>
      <c r="B23799" s="4" t="s">
        <v>29947</v>
      </c>
      <c r="C23799" s="5" t="str">
        <f>IFERROR(__xludf.DUMMYFUNCTION("GOOGLETRANSLATE(B23799,""en"",""es-ES"")"),"La mujer se pone la lente.")</f>
        <v>La mujer se pone la lente.</v>
      </c>
    </row>
    <row r="23800">
      <c r="A23800" s="4" t="s">
        <v>29941</v>
      </c>
      <c r="B23800" s="4" t="s">
        <v>29948</v>
      </c>
      <c r="C23800" s="5" t="str">
        <f>IFERROR(__xludf.DUMMYFUNCTION("GOOGLETRANSLATE(B23800,""en"",""es-ES"")"),"La mujer quita la lente.")</f>
        <v>La mujer quita la lente.</v>
      </c>
    </row>
    <row r="23801">
      <c r="A23801" s="4" t="s">
        <v>29941</v>
      </c>
      <c r="B23801" s="4" t="s">
        <v>29949</v>
      </c>
      <c r="C23801" s="5" t="str">
        <f>IFERROR(__xludf.DUMMYFUNCTION("GOOGLETRANSLATE(B23801,""en"",""es-ES"")"),"La lente se mantiene para inspección.")</f>
        <v>La lente se mantiene para inspección.</v>
      </c>
    </row>
    <row r="23802">
      <c r="A23802" s="4" t="s">
        <v>29941</v>
      </c>
      <c r="B23802" s="4" t="s">
        <v>29950</v>
      </c>
      <c r="C23802" s="5" t="str">
        <f>IFERROR(__xludf.DUMMYFUNCTION("GOOGLETRANSLATE(B23802,""en"",""es-ES"")"),"La mujer se quita la lente de su ojo nuevamente.")</f>
        <v>La mujer se quita la lente de su ojo nuevamente.</v>
      </c>
    </row>
    <row r="23803">
      <c r="A23803" s="4" t="s">
        <v>29941</v>
      </c>
      <c r="B23803" s="4" t="s">
        <v>29951</v>
      </c>
      <c r="C23803" s="5" t="str">
        <f>IFERROR(__xludf.DUMMYFUNCTION("GOOGLETRANSLATE(B23803,""en"",""es-ES"")"),"La mujer limpia la lente con solución.")</f>
        <v>La mujer limpia la lente con solución.</v>
      </c>
    </row>
    <row r="23804">
      <c r="A23804" s="4" t="s">
        <v>29941</v>
      </c>
      <c r="B23804" s="4" t="s">
        <v>29952</v>
      </c>
      <c r="C23804" s="5" t="str">
        <f>IFERROR(__xludf.DUMMYFUNCTION("GOOGLETRANSLATE(B23804,""en"",""es-ES"")"),"La mujer coloca la lente en un contenedor.")</f>
        <v>La mujer coloca la lente en un contenedor.</v>
      </c>
    </row>
    <row r="23805">
      <c r="A23805" s="4" t="s">
        <v>29953</v>
      </c>
      <c r="B23805" s="4" t="s">
        <v>29954</v>
      </c>
      <c r="C23805" s="5" t="str">
        <f>IFERROR(__xludf.DUMMYFUNCTION("GOOGLETRANSLATE(B23805,""en"",""es-ES"")"),"Se ve a una mujer joven mirando a la cámara fumando un cigarrillo y riendo a la cámara.")</f>
        <v>Se ve a una mujer joven mirando a la cámara fumando un cigarrillo y riendo a la cámara.</v>
      </c>
    </row>
    <row r="23806">
      <c r="A23806" s="4" t="s">
        <v>29953</v>
      </c>
      <c r="B23806" s="4" t="s">
        <v>29955</v>
      </c>
      <c r="C23806" s="5" t="str">
        <f>IFERROR(__xludf.DUMMYFUNCTION("GOOGLETRANSLATE(B23806,""en"",""es-ES"")"),"Ella continúa quitando el cigarrillo mientras mira la cámara y sopla humo.")</f>
        <v>Ella continúa quitando el cigarrillo mientras mira la cámara y sopla humo.</v>
      </c>
    </row>
    <row r="23807">
      <c r="A23807" s="4" t="s">
        <v>29956</v>
      </c>
      <c r="B23807" s="4" t="s">
        <v>29957</v>
      </c>
      <c r="C23807" s="5" t="str">
        <f>IFERROR(__xludf.DUMMYFUNCTION("GOOGLETRANSLATE(B23807,""en"",""es-ES"")"),"En el hogar, los peluqueros de mascotas demuestran cómo preparar una mascota.")</f>
        <v>En el hogar, los peluqueros de mascotas demuestran cómo preparar una mascota.</v>
      </c>
    </row>
    <row r="23808">
      <c r="A23808" s="4" t="s">
        <v>29956</v>
      </c>
      <c r="B23808" s="4" t="s">
        <v>29958</v>
      </c>
      <c r="C23808" s="5" t="str">
        <f>IFERROR(__xludf.DUMMYFUNCTION("GOOGLETRANSLATE(B23808,""en"",""es-ES"")"),"La persona está demostrando cómo el cabello del perro se recorta con tijeras eléctricas en su salón de aseo.")</f>
        <v>La persona está demostrando cómo el cabello del perro se recorta con tijeras eléctricas en su salón de aseo.</v>
      </c>
    </row>
    <row r="23809">
      <c r="A23809" s="4" t="s">
        <v>29959</v>
      </c>
      <c r="B23809" s="4" t="s">
        <v>29960</v>
      </c>
      <c r="C23809" s="5" t="str">
        <f>IFERROR(__xludf.DUMMYFUNCTION("GOOGLETRANSLATE(B23809,""en"",""es-ES"")"),"Dos hombres se paran en el extremo izquierdo de una mesa de cerveza pong.")</f>
        <v>Dos hombres se paran en el extremo izquierdo de una mesa de cerveza pong.</v>
      </c>
    </row>
    <row r="23810">
      <c r="A23810" s="4" t="s">
        <v>29959</v>
      </c>
      <c r="B23810" s="4" t="s">
        <v>29961</v>
      </c>
      <c r="C23810" s="5" t="str">
        <f>IFERROR(__xludf.DUMMYFUNCTION("GOOGLETRANSLATE(B23810,""en"",""es-ES"")"),"Uno de los hombres arroja una pelota de cerveza por encima de la mesa, en una taza.")</f>
        <v>Uno de los hombres arroja una pelota de cerveza por encima de la mesa, en una taza.</v>
      </c>
    </row>
    <row r="23811">
      <c r="A23811" s="4" t="s">
        <v>29959</v>
      </c>
      <c r="B23811" s="4" t="s">
        <v>29962</v>
      </c>
      <c r="C23811" s="5" t="str">
        <f>IFERROR(__xludf.DUMMYFUNCTION("GOOGLETRANSLATE(B23811,""en"",""es-ES"")"),"El otro hombre con él también arroja una pelota sobre la mesa.")</f>
        <v>El otro hombre con él también arroja una pelota sobre la mesa.</v>
      </c>
    </row>
    <row r="23812">
      <c r="A23812" s="4" t="s">
        <v>29959</v>
      </c>
      <c r="B23812" s="4" t="s">
        <v>29963</v>
      </c>
      <c r="C23812" s="5" t="str">
        <f>IFERROR(__xludf.DUMMYFUNCTION("GOOGLETRANSLATE(B23812,""en"",""es-ES"")"),"Otros dos hombres se paran en el extremo derecho de la mesa de cerveza pong, y uno de los hombres se extiende para agarrar la copa donde cayó la pelota, y el otro hombre se dobla para atrapar una pelota que ha caído en el piso.")</f>
        <v>Otros dos hombres se paran en el extremo derecho de la mesa de cerveza pong, y uno de los hombres se extiende para agarrar la copa donde cayó la pelota, y el otro hombre se dobla para atrapar una pelota que ha caído en el piso.</v>
      </c>
    </row>
    <row r="23813">
      <c r="A23813" s="4" t="s">
        <v>29964</v>
      </c>
      <c r="B23813" s="4" t="s">
        <v>29965</v>
      </c>
      <c r="C23813" s="5" t="str">
        <f>IFERROR(__xludf.DUMMYFUNCTION("GOOGLETRANSLATE(B23813,""en"",""es-ES"")"),"Una niña se inclina sobre un fregadero y un niño se acerca para hablar con ella.")</f>
        <v>Una niña se inclina sobre un fregadero y un niño se acerca para hablar con ella.</v>
      </c>
    </row>
    <row r="23814">
      <c r="A23814" s="4" t="s">
        <v>29964</v>
      </c>
      <c r="B23814" s="4" t="s">
        <v>29966</v>
      </c>
      <c r="C23814" s="5" t="str">
        <f>IFERROR(__xludf.DUMMYFUNCTION("GOOGLETRANSLATE(B23814,""en"",""es-ES"")"),"Ella comienza a reír y saltando arriba y abajo.")</f>
        <v>Ella comienza a reír y saltando arriba y abajo.</v>
      </c>
    </row>
    <row r="23815">
      <c r="A23815" s="4" t="s">
        <v>29964</v>
      </c>
      <c r="B23815" s="4" t="s">
        <v>29967</v>
      </c>
      <c r="C23815" s="5" t="str">
        <f>IFERROR(__xludf.DUMMYFUNCTION("GOOGLETRANSLATE(B23815,""en"",""es-ES"")"),"El niño parece igualmente emocionado y ella sonríe a la cámara.")</f>
        <v>El niño parece igualmente emocionado y ella sonríe a la cámara.</v>
      </c>
    </row>
    <row r="23816">
      <c r="A23816" s="4" t="s">
        <v>29968</v>
      </c>
      <c r="B23816" s="4" t="s">
        <v>29969</v>
      </c>
      <c r="C23816" s="5" t="str">
        <f>IFERROR(__xludf.DUMMYFUNCTION("GOOGLETRANSLATE(B23816,""en"",""es-ES"")"),"Una niña con una cola de caballo toca una batería, se parece a un músico entrenado.")</f>
        <v>Una niña con una cola de caballo toca una batería, se parece a un músico entrenado.</v>
      </c>
    </row>
    <row r="23817">
      <c r="A23817" s="4" t="s">
        <v>29968</v>
      </c>
      <c r="B23817" s="4" t="s">
        <v>29970</v>
      </c>
      <c r="C23817" s="5" t="str">
        <f>IFERROR(__xludf.DUMMYFUNCTION("GOOGLETRANSLATE(B23817,""en"",""es-ES"")"),"La niña se enfoca en un tambor en particular.")</f>
        <v>La niña se enfoca en un tambor en particular.</v>
      </c>
    </row>
    <row r="23818">
      <c r="A23818" s="4" t="s">
        <v>29968</v>
      </c>
      <c r="B23818" s="4" t="s">
        <v>29971</v>
      </c>
      <c r="C23818" s="5" t="str">
        <f>IFERROR(__xludf.DUMMYFUNCTION("GOOGLETRANSLATE(B23818,""en"",""es-ES"")"),"La niña continúa tocando diferentes partes de la batería.")</f>
        <v>La niña continúa tocando diferentes partes de la batería.</v>
      </c>
    </row>
    <row r="23819">
      <c r="A23819" s="4" t="s">
        <v>29972</v>
      </c>
      <c r="B23819" s="4" t="s">
        <v>29973</v>
      </c>
      <c r="C23819" s="5" t="str">
        <f>IFERROR(__xludf.DUMMYFUNCTION("GOOGLETRANSLATE(B23819,""en"",""es-ES"")"),"Se ve un camión retrocediendo y soplando hojas mientras la cámara captura el área alrededor del camión.")</f>
        <v>Se ve un camión retrocediendo y soplando hojas mientras la cámara captura el área alrededor del camión.</v>
      </c>
    </row>
    <row r="23820">
      <c r="A23820" s="4" t="s">
        <v>29972</v>
      </c>
      <c r="B23820" s="4" t="s">
        <v>29974</v>
      </c>
      <c r="C23820" s="5" t="str">
        <f>IFERROR(__xludf.DUMMYFUNCTION("GOOGLETRANSLATE(B23820,""en"",""es-ES"")"),"El camión se ve nuevamente en varios lugares retrocediendo y empujando las hojas lejos del camión.")</f>
        <v>El camión se ve nuevamente en varios lugares retrocediendo y empujando las hojas lejos del camión.</v>
      </c>
    </row>
    <row r="23821">
      <c r="A23821" s="4" t="s">
        <v>29975</v>
      </c>
      <c r="B23821" s="4" t="s">
        <v>29976</v>
      </c>
      <c r="C23821" s="5" t="str">
        <f>IFERROR(__xludf.DUMMYFUNCTION("GOOGLETRANSLATE(B23821,""en"",""es-ES"")"),"Dos personas están jugando un partido de tenis en una cancha azul.")</f>
        <v>Dos personas están jugando un partido de tenis en una cancha azul.</v>
      </c>
    </row>
    <row r="23822">
      <c r="A23822" s="4" t="s">
        <v>29975</v>
      </c>
      <c r="B23822" s="4" t="s">
        <v>29977</v>
      </c>
      <c r="C23822" s="5" t="str">
        <f>IFERROR(__xludf.DUMMYFUNCTION("GOOGLETRANSLATE(B23822,""en"",""es-ES"")"),"El hombre de la camisa azul se pierde la pelota y se aleja para hablar con alguien.")</f>
        <v>El hombre de la camisa azul se pierde la pelota y se aleja para hablar con alguien.</v>
      </c>
    </row>
    <row r="23823">
      <c r="A23823" s="4" t="s">
        <v>29975</v>
      </c>
      <c r="B23823" s="4" t="s">
        <v>29978</v>
      </c>
      <c r="C23823" s="5" t="str">
        <f>IFERROR(__xludf.DUMMYFUNCTION("GOOGLETRANSLATE(B23823,""en"",""es-ES"")"),"Replazan el video de él perdiendo el balón.")</f>
        <v>Replazan el video de él perdiendo el balón.</v>
      </c>
    </row>
    <row r="23824">
      <c r="A23824" s="4" t="s">
        <v>29975</v>
      </c>
      <c r="B23824" s="4" t="s">
        <v>29979</v>
      </c>
      <c r="C23824" s="5" t="str">
        <f>IFERROR(__xludf.DUMMYFUNCTION("GOOGLETRANSLATE(B23824,""en"",""es-ES"")"),"Un hombre con una camisa blanca se sienta en una silla con un micrófono.")</f>
        <v>Un hombre con una camisa blanca se sienta en una silla con un micrófono.</v>
      </c>
    </row>
    <row r="23825">
      <c r="A23825" s="4" t="s">
        <v>29975</v>
      </c>
      <c r="B23825" s="4" t="s">
        <v>29980</v>
      </c>
      <c r="C23825" s="5" t="str">
        <f>IFERROR(__xludf.DUMMYFUNCTION("GOOGLETRANSLATE(B23825,""en"",""es-ES"")"),"Reinician otro partido de tenis.")</f>
        <v>Reinician otro partido de tenis.</v>
      </c>
    </row>
    <row r="23826">
      <c r="A23826" s="4" t="s">
        <v>29981</v>
      </c>
      <c r="B23826" s="4" t="s">
        <v>29982</v>
      </c>
      <c r="C23826" s="5" t="str">
        <f>IFERROR(__xludf.DUMMYFUNCTION("GOOGLETRANSLATE(B23826,""en"",""es-ES"")"),"Se ve a un hombre hablando con la cámara mientras sostiene un esquí y apuntando a su alrededor en varios lugares.")</f>
        <v>Se ve a un hombre hablando con la cámara mientras sostiene un esquí y apuntando a su alrededor en varios lugares.</v>
      </c>
    </row>
    <row r="23827">
      <c r="A23827" s="4" t="s">
        <v>29981</v>
      </c>
      <c r="B23827" s="4" t="s">
        <v>29983</v>
      </c>
      <c r="C23827" s="5" t="str">
        <f>IFERROR(__xludf.DUMMYFUNCTION("GOOGLETRANSLATE(B23827,""en"",""es-ES"")"),"El hombre continúa hablando mientras se frota el esquí con loción y termina presentándolo a la pantalla.")</f>
        <v>El hombre continúa hablando mientras se frota el esquí con loción y termina presentándolo a la pantalla.</v>
      </c>
    </row>
    <row r="23828">
      <c r="A23828" s="4" t="s">
        <v>29984</v>
      </c>
      <c r="B23828" s="4" t="s">
        <v>29985</v>
      </c>
      <c r="C23828" s="5" t="str">
        <f>IFERROR(__xludf.DUMMYFUNCTION("GOOGLETRANSLATE(B23828,""en"",""es-ES"")"),"Dos autobuses están estacionados en un estacionamiento.")</f>
        <v>Dos autobuses están estacionados en un estacionamiento.</v>
      </c>
    </row>
    <row r="23829">
      <c r="A23829" s="4" t="s">
        <v>29984</v>
      </c>
      <c r="B23829" s="4" t="s">
        <v>29986</v>
      </c>
      <c r="C23829" s="5" t="str">
        <f>IFERROR(__xludf.DUMMYFUNCTION("GOOGLETRANSLATE(B23829,""en"",""es-ES"")"),"La gente camina frente a ella en la nieve.")</f>
        <v>La gente camina frente a ella en la nieve.</v>
      </c>
    </row>
    <row r="23830">
      <c r="A23830" s="4" t="s">
        <v>29984</v>
      </c>
      <c r="B23830" s="4" t="s">
        <v>29987</v>
      </c>
      <c r="C23830" s="5" t="str">
        <f>IFERROR(__xludf.DUMMYFUNCTION("GOOGLETRANSLATE(B23830,""en"",""es-ES"")"),"Una persona está palpitando la nieve frente a ellos.")</f>
        <v>Una persona está palpitando la nieve frente a ellos.</v>
      </c>
    </row>
    <row r="23831">
      <c r="A23831" s="4" t="s">
        <v>29988</v>
      </c>
      <c r="B23831" s="4" t="s">
        <v>29989</v>
      </c>
      <c r="C23831" s="5" t="str">
        <f>IFERROR(__xludf.DUMMYFUNCTION("GOOGLETRANSLATE(B23831,""en"",""es-ES"")"),"Se ve a una mujer mayor sentada en una silla con una aguja en las manos.")</f>
        <v>Se ve a una mujer mayor sentada en una silla con una aguja en las manos.</v>
      </c>
    </row>
    <row r="23832">
      <c r="A23832" s="4" t="s">
        <v>29988</v>
      </c>
      <c r="B23832" s="4" t="s">
        <v>29990</v>
      </c>
      <c r="C23832" s="5" t="str">
        <f>IFERROR(__xludf.DUMMYFUNCTION("GOOGLETRANSLATE(B23832,""en"",""es-ES"")"),"La mujer luego comienza a sembrar mientras la cámara captura sus movimientos.")</f>
        <v>La mujer luego comienza a sembrar mientras la cámara captura sus movimientos.</v>
      </c>
    </row>
    <row r="23833">
      <c r="A23833" s="4" t="s">
        <v>29988</v>
      </c>
      <c r="B23833" s="4" t="s">
        <v>29991</v>
      </c>
      <c r="C23833" s="5" t="str">
        <f>IFERROR(__xludf.DUMMYFUNCTION("GOOGLETRANSLATE(B23833,""en"",""es-ES"")"),"La mujer continúa sembrando y la cámara observa desde un lado.")</f>
        <v>La mujer continúa sembrando y la cámara observa desde un lado.</v>
      </c>
    </row>
    <row r="23834">
      <c r="A23834" s="4" t="s">
        <v>29992</v>
      </c>
      <c r="B23834" s="4" t="s">
        <v>29993</v>
      </c>
      <c r="C23834" s="5" t="str">
        <f>IFERROR(__xludf.DUMMYFUNCTION("GOOGLETRANSLATE(B23834,""en"",""es-ES"")"),"Una mujer se encuentra en la nieve con las palabras ""Snowboard de chica gorda"" superpuesta.")</f>
        <v>Una mujer se encuentra en la nieve con las palabras "Snowboard de chica gorda" superpuesta.</v>
      </c>
    </row>
    <row r="23835">
      <c r="A23835" s="4" t="s">
        <v>29992</v>
      </c>
      <c r="B23835" s="4" t="s">
        <v>29994</v>
      </c>
      <c r="C23835" s="5" t="str">
        <f>IFERROR(__xludf.DUMMYFUNCTION("GOOGLETRANSLATE(B23835,""en"",""es-ES"")"),"Un largo mensaje escrito sobre su razón para querer snowboard.")</f>
        <v>Un largo mensaje escrito sobre su razón para querer snowboard.</v>
      </c>
    </row>
    <row r="23836">
      <c r="A23836" s="4" t="s">
        <v>29992</v>
      </c>
      <c r="B23836" s="4" t="s">
        <v>29995</v>
      </c>
      <c r="C23836" s="5" t="str">
        <f>IFERROR(__xludf.DUMMYFUNCTION("GOOGLETRANSLATE(B23836,""en"",""es-ES"")"),"Ella hace varios intentos en la colina nevada y cae muchas veces.")</f>
        <v>Ella hace varios intentos en la colina nevada y cae muchas veces.</v>
      </c>
    </row>
    <row r="23837">
      <c r="A23837" s="4" t="s">
        <v>29996</v>
      </c>
      <c r="B23837" s="4" t="s">
        <v>29997</v>
      </c>
      <c r="C23837" s="5" t="str">
        <f>IFERROR(__xludf.DUMMYFUNCTION("GOOGLETRANSLATE(B23837,""en"",""es-ES"")"),"Un torero que sostiene una tela roja está en el campo.")</f>
        <v>Un torero que sostiene una tela roja está en el campo.</v>
      </c>
    </row>
    <row r="23838">
      <c r="A23838" s="4" t="s">
        <v>29996</v>
      </c>
      <c r="B23838" s="4" t="s">
        <v>29998</v>
      </c>
      <c r="C23838" s="5" t="str">
        <f>IFERROR(__xludf.DUMMYFUNCTION("GOOGLETRANSLATE(B23838,""en"",""es-ES"")"),"Un toro corre hacia la tela roja del torero.")</f>
        <v>Un toro corre hacia la tela roja del torero.</v>
      </c>
    </row>
    <row r="23839">
      <c r="A23839" s="4" t="s">
        <v>29996</v>
      </c>
      <c r="B23839" s="4" t="s">
        <v>29999</v>
      </c>
      <c r="C23839" s="5" t="str">
        <f>IFERROR(__xludf.DUMMYFUNCTION("GOOGLETRANSLATE(B23839,""en"",""es-ES"")"),"Mucha gente está sentada en puestos mirando al torero.")</f>
        <v>Mucha gente está sentada en puestos mirando al torero.</v>
      </c>
    </row>
    <row r="23840">
      <c r="A23840" s="4" t="s">
        <v>30000</v>
      </c>
      <c r="B23840" s="4" t="s">
        <v>30001</v>
      </c>
      <c r="C23840" s="5" t="str">
        <f>IFERROR(__xludf.DUMMYFUNCTION("GOOGLETRANSLATE(B23840,""en"",""es-ES"")"),"Se ve a un niño vertiendo jabón en sus manos y frotando sus manos sobre un fregadero.")</f>
        <v>Se ve a un niño vertiendo jabón en sus manos y frotando sus manos sobre un fregadero.</v>
      </c>
    </row>
    <row r="23841">
      <c r="A23841" s="4" t="s">
        <v>30000</v>
      </c>
      <c r="B23841" s="4" t="s">
        <v>30002</v>
      </c>
      <c r="C23841" s="5" t="str">
        <f>IFERROR(__xludf.DUMMYFUNCTION("GOOGLETRANSLATE(B23841,""en"",""es-ES"")"),"Luego agarra una toalla de papel y se seca las manos.")</f>
        <v>Luego agarra una toalla de papel y se seca las manos.</v>
      </c>
    </row>
    <row r="23842">
      <c r="A23842" s="4" t="s">
        <v>30003</v>
      </c>
      <c r="B23842" s="4" t="s">
        <v>30004</v>
      </c>
      <c r="C23842" s="5" t="str">
        <f>IFERROR(__xludf.DUMMYFUNCTION("GOOGLETRANSLATE(B23842,""en"",""es-ES"")"),"Las parejas bailan en una pista de baile durante una fiesta frente a un escenario.")</f>
        <v>Las parejas bailan en una pista de baile durante una fiesta frente a un escenario.</v>
      </c>
    </row>
    <row r="23843">
      <c r="A23843" s="4" t="s">
        <v>30003</v>
      </c>
      <c r="B23843" s="4" t="s">
        <v>30005</v>
      </c>
      <c r="C23843" s="5" t="str">
        <f>IFERROR(__xludf.DUMMYFUNCTION("GOOGLETRANSLATE(B23843,""en"",""es-ES"")"),"El hombre gira a su compañero mientras baila.")</f>
        <v>El hombre gira a su compañero mientras baila.</v>
      </c>
    </row>
    <row r="23844">
      <c r="A23844" s="4" t="s">
        <v>30003</v>
      </c>
      <c r="B23844" s="4" t="s">
        <v>30006</v>
      </c>
      <c r="C23844" s="5" t="str">
        <f>IFERROR(__xludf.DUMMYFUNCTION("GOOGLETRANSLATE(B23844,""en"",""es-ES"")"),"Un hombre en los bailes correctos balanceando sus brazos hacia atrás y cuarto.")</f>
        <v>Un hombre en los bailes correctos balanceando sus brazos hacia atrás y cuarto.</v>
      </c>
    </row>
    <row r="23845">
      <c r="A23845" s="4" t="s">
        <v>30007</v>
      </c>
      <c r="B23845" s="4" t="s">
        <v>30008</v>
      </c>
      <c r="C23845" s="5" t="str">
        <f>IFERROR(__xludf.DUMMYFUNCTION("GOOGLETRANSLATE(B23845,""en"",""es-ES"")"),"Un hombre está parado en el bosque, hablando.")</f>
        <v>Un hombre está parado en el bosque, hablando.</v>
      </c>
    </row>
    <row r="23846">
      <c r="A23846" s="4" t="s">
        <v>30007</v>
      </c>
      <c r="B23846" s="4" t="s">
        <v>30009</v>
      </c>
      <c r="C23846" s="5" t="str">
        <f>IFERROR(__xludf.DUMMYFUNCTION("GOOGLETRANSLATE(B23846,""en"",""es-ES"")"),"Utiliza un hacha para golpear una gran pieza de madera.")</f>
        <v>Utiliza un hacha para golpear una gran pieza de madera.</v>
      </c>
    </row>
    <row r="23847">
      <c r="A23847" s="4" t="s">
        <v>30007</v>
      </c>
      <c r="B23847" s="4" t="s">
        <v>30010</v>
      </c>
      <c r="C23847" s="5" t="str">
        <f>IFERROR(__xludf.DUMMYFUNCTION("GOOGLETRANSLATE(B23847,""en"",""es-ES"")"),"Divida la madera en troncos con el hacha.")</f>
        <v>Divida la madera en troncos con el hacha.</v>
      </c>
    </row>
    <row r="23848">
      <c r="A23848" s="4" t="s">
        <v>30011</v>
      </c>
      <c r="B23848" s="4" t="s">
        <v>30012</v>
      </c>
      <c r="C23848" s="5" t="str">
        <f>IFERROR(__xludf.DUMMYFUNCTION("GOOGLETRANSLATE(B23848,""en"",""es-ES"")"),"Vemos hombres trabajando en un techo en una casa de estilo rancho.")</f>
        <v>Vemos hombres trabajando en un techo en una casa de estilo rancho.</v>
      </c>
    </row>
    <row r="23849">
      <c r="A23849" s="4" t="s">
        <v>30011</v>
      </c>
      <c r="B23849" s="4" t="s">
        <v>30013</v>
      </c>
      <c r="C23849" s="5" t="str">
        <f>IFERROR(__xludf.DUMMYFUNCTION("GOOGLETRANSLATE(B23849,""en"",""es-ES"")"),"Vemos los suministros en el suelo.")</f>
        <v>Vemos los suministros en el suelo.</v>
      </c>
    </row>
    <row r="23850">
      <c r="A23850" s="4" t="s">
        <v>30011</v>
      </c>
      <c r="B23850" s="4" t="s">
        <v>30014</v>
      </c>
      <c r="C23850" s="5" t="str">
        <f>IFERROR(__xludf.DUMMYFUNCTION("GOOGLETRANSLATE(B23850,""en"",""es-ES"")"),"Vemos a los hombres en la parte delantera del techo.")</f>
        <v>Vemos a los hombres en la parte delantera del techo.</v>
      </c>
    </row>
    <row r="23851">
      <c r="A23851" s="4" t="s">
        <v>30011</v>
      </c>
      <c r="B23851" s="4" t="s">
        <v>30015</v>
      </c>
      <c r="C23851" s="5" t="str">
        <f>IFERROR(__xludf.DUMMYFUNCTION("GOOGLETRANSLATE(B23851,""en"",""es-ES"")"),"Vemos a un hombre arrojando tejas en un remolque en el suelo.")</f>
        <v>Vemos a un hombre arrojando tejas en un remolque en el suelo.</v>
      </c>
    </row>
    <row r="23852">
      <c r="A23852" s="4" t="s">
        <v>30011</v>
      </c>
      <c r="B23852" s="4" t="s">
        <v>30016</v>
      </c>
      <c r="C23852" s="5" t="str">
        <f>IFERROR(__xludf.DUMMYFUNCTION("GOOGLETRANSLATE(B23852,""en"",""es-ES"")"),"Vemos los rollos de materiales para techos.")</f>
        <v>Vemos los rollos de materiales para techos.</v>
      </c>
    </row>
    <row r="23853">
      <c r="A23853" s="4" t="s">
        <v>30011</v>
      </c>
      <c r="B23853" s="4" t="s">
        <v>30017</v>
      </c>
      <c r="C23853" s="5" t="str">
        <f>IFERROR(__xludf.DUMMYFUNCTION("GOOGLETRANSLATE(B23853,""en"",""es-ES"")"),"Vemos a un hombre arrojando tejas en un trailer.")</f>
        <v>Vemos a un hombre arrojando tejas en un trailer.</v>
      </c>
    </row>
    <row r="23854">
      <c r="A23854" s="4" t="s">
        <v>30011</v>
      </c>
      <c r="B23854" s="4" t="s">
        <v>30018</v>
      </c>
      <c r="C23854" s="5" t="str">
        <f>IFERROR(__xludf.DUMMYFUNCTION("GOOGLETRANSLATE(B23854,""en"",""es-ES"")"),"Tres hombres arrojan tejas del techo.")</f>
        <v>Tres hombres arrojan tejas del techo.</v>
      </c>
    </row>
    <row r="23855">
      <c r="A23855" s="4" t="s">
        <v>30019</v>
      </c>
      <c r="B23855" s="4" t="s">
        <v>30020</v>
      </c>
      <c r="C23855" s="5" t="str">
        <f>IFERROR(__xludf.DUMMYFUNCTION("GOOGLETRANSLATE(B23855,""en"",""es-ES"")"),"Una configuración de vasos con agua de limón se coloca en una alfombra con un limón entero.")</f>
        <v>Una configuración de vasos con agua de limón se coloca en una alfombra con un limón entero.</v>
      </c>
    </row>
    <row r="23856">
      <c r="A23856" s="4" t="s">
        <v>30019</v>
      </c>
      <c r="B23856" s="4" t="s">
        <v>30021</v>
      </c>
      <c r="C23856" s="5" t="str">
        <f>IFERROR(__xludf.DUMMYFUNCTION("GOOGLETRANSLATE(B23856,""en"",""es-ES"")"),"Las rodajas de limón se recogen de un frasco y se colocan en vasos bebidas en una encimera de acero.")</f>
        <v>Las rodajas de limón se recogen de un frasco y se colocan en vasos bebidas en una encimera de acero.</v>
      </c>
    </row>
    <row r="23857">
      <c r="A23857" s="4" t="s">
        <v>30019</v>
      </c>
      <c r="B23857" s="4" t="s">
        <v>30022</v>
      </c>
      <c r="C23857" s="5" t="str">
        <f>IFERROR(__xludf.DUMMYFUNCTION("GOOGLETRANSLATE(B23857,""en"",""es-ES"")"),"El agua caliente al vapor se vierte sobre los limones en los vasos.")</f>
        <v>El agua caliente al vapor se vierte sobre los limones en los vasos.</v>
      </c>
    </row>
    <row r="23858">
      <c r="A23858" s="4" t="s">
        <v>30019</v>
      </c>
      <c r="B23858" s="4" t="s">
        <v>30023</v>
      </c>
      <c r="C23858" s="5" t="str">
        <f>IFERROR(__xludf.DUMMYFUNCTION("GOOGLETRANSLATE(B23858,""en"",""es-ES"")"),"Las gafas se agitan con una varilla de agitación.")</f>
        <v>Las gafas se agitan con una varilla de agitación.</v>
      </c>
    </row>
    <row r="23859">
      <c r="A23859" s="4" t="s">
        <v>30019</v>
      </c>
      <c r="B23859" s="4" t="s">
        <v>30024</v>
      </c>
      <c r="C23859" s="5" t="str">
        <f>IFERROR(__xludf.DUMMYFUNCTION("GOOGLETRANSLATE(B23859,""en"",""es-ES"")"),"Las gafas se ven colocadas en la mesa y se critican lentamente de derecha a izquierda.")</f>
        <v>Las gafas se ven colocadas en la mesa y se critican lentamente de derecha a izquierda.</v>
      </c>
    </row>
    <row r="23860">
      <c r="A23860" s="4" t="s">
        <v>30025</v>
      </c>
      <c r="B23860" s="4" t="s">
        <v>30026</v>
      </c>
      <c r="C23860" s="5" t="str">
        <f>IFERROR(__xludf.DUMMYFUNCTION("GOOGLETRANSLATE(B23860,""en"",""es-ES"")"),"Se ve a una pareja con una multitud, subiendo por una colina cubierta de nieve.")</f>
        <v>Se ve a una pareja con una multitud, subiendo por una colina cubierta de nieve.</v>
      </c>
    </row>
    <row r="23861">
      <c r="A23861" s="4" t="s">
        <v>30025</v>
      </c>
      <c r="B23861" s="4" t="s">
        <v>30027</v>
      </c>
      <c r="C23861" s="5" t="str">
        <f>IFERROR(__xludf.DUMMYFUNCTION("GOOGLETRANSLATE(B23861,""en"",""es-ES"")"),"Tallan por las colinas nevadas.")</f>
        <v>Tallan por las colinas nevadas.</v>
      </c>
    </row>
    <row r="23862">
      <c r="A23862" s="4" t="s">
        <v>30025</v>
      </c>
      <c r="B23862" s="4" t="s">
        <v>30028</v>
      </c>
      <c r="C23862" s="5" t="str">
        <f>IFERROR(__xludf.DUMMYFUNCTION("GOOGLETRANSLATE(B23862,""en"",""es-ES"")"),"La gente se desliza por las curvas pronunciadas en los intertubes.")</f>
        <v>La gente se desliza por las curvas pronunciadas en los intertubes.</v>
      </c>
    </row>
    <row r="23863">
      <c r="A23863" s="4" t="s">
        <v>30029</v>
      </c>
      <c r="B23863" s="4" t="s">
        <v>30030</v>
      </c>
      <c r="C23863" s="5" t="str">
        <f>IFERROR(__xludf.DUMMYFUNCTION("GOOGLETRANSLATE(B23863,""en"",""es-ES"")"),"Se observa un cartel con el logotipo de una empresa e información de contacto.")</f>
        <v>Se observa un cartel con el logotipo de una empresa e información de contacto.</v>
      </c>
    </row>
    <row r="23864">
      <c r="A23864" s="4" t="s">
        <v>30029</v>
      </c>
      <c r="B23864" s="4" t="s">
        <v>30031</v>
      </c>
      <c r="C23864" s="5" t="str">
        <f>IFERROR(__xludf.DUMMYFUNCTION("GOOGLETRANSLATE(B23864,""en"",""es-ES"")"),"Un trabajador de la construcción atornilla los zócalos del piso.")</f>
        <v>Un trabajador de la construcción atornilla los zócalos del piso.</v>
      </c>
    </row>
    <row r="23865">
      <c r="A23865" s="4" t="s">
        <v>30029</v>
      </c>
      <c r="B23865" s="4" t="s">
        <v>30032</v>
      </c>
      <c r="C23865" s="5" t="str">
        <f>IFERROR(__xludf.DUMMYFUNCTION("GOOGLETRANSLATE(B23865,""en"",""es-ES"")"),"Un trabajador de la construcción usa un raspador de mano para aplicar yeso al piso desnudo.")</f>
        <v>Un trabajador de la construcción usa un raspador de mano para aplicar yeso al piso desnudo.</v>
      </c>
    </row>
    <row r="23866">
      <c r="A23866" s="4" t="s">
        <v>30029</v>
      </c>
      <c r="B23866" s="4" t="s">
        <v>30033</v>
      </c>
      <c r="C23866" s="5" t="str">
        <f>IFERROR(__xludf.DUMMYFUNCTION("GOOGLETRANSLATE(B23866,""en"",""es-ES"")"),"Un trabajador coloca azulejos en el piso y usa espaciadores de plástico en los bosques.")</f>
        <v>Un trabajador coloca azulejos en el piso y usa espaciadores de plástico en los bosques.</v>
      </c>
    </row>
    <row r="23867">
      <c r="A23867" s="4" t="s">
        <v>30029</v>
      </c>
      <c r="B23867" s="4" t="s">
        <v>30034</v>
      </c>
      <c r="C23867" s="5" t="str">
        <f>IFERROR(__xludf.DUMMYFUNCTION("GOOGLETRANSLATE(B23867,""en"",""es-ES"")"),"Un rodillo de peso pesado se enrolla sobre las baldosas recién colocadas.")</f>
        <v>Un rodillo de peso pesado se enrolla sobre las baldosas recién colocadas.</v>
      </c>
    </row>
    <row r="23868">
      <c r="A23868" s="4" t="s">
        <v>30029</v>
      </c>
      <c r="B23868" s="4" t="s">
        <v>30035</v>
      </c>
      <c r="C23868" s="5" t="str">
        <f>IFERROR(__xludf.DUMMYFUNCTION("GOOGLETRANSLATE(B23868,""en"",""es-ES"")"),"El piso terminado se ve después del trabajo.")</f>
        <v>El piso terminado se ve después del trabajo.</v>
      </c>
    </row>
    <row r="23869">
      <c r="A23869" s="4" t="s">
        <v>30036</v>
      </c>
      <c r="B23869" s="4" t="s">
        <v>30037</v>
      </c>
      <c r="C23869" s="5" t="str">
        <f>IFERROR(__xludf.DUMMYFUNCTION("GOOGLETRANSLATE(B23869,""en"",""es-ES"")"),"Algunos chicos están sentados cerca de un acantilado.")</f>
        <v>Algunos chicos están sentados cerca de un acantilado.</v>
      </c>
    </row>
    <row r="23870">
      <c r="A23870" s="4" t="s">
        <v>30036</v>
      </c>
      <c r="B23870" s="4" t="s">
        <v>30038</v>
      </c>
      <c r="C23870" s="5" t="str">
        <f>IFERROR(__xludf.DUMMYFUNCTION("GOOGLETRANSLATE(B23870,""en"",""es-ES"")"),"Un hombre está subiendo un acantilado con todas las extremidades.")</f>
        <v>Un hombre está subiendo un acantilado con todas las extremidades.</v>
      </c>
    </row>
    <row r="23871">
      <c r="A23871" s="4" t="s">
        <v>30036</v>
      </c>
      <c r="B23871" s="4" t="s">
        <v>30039</v>
      </c>
      <c r="C23871" s="5" t="str">
        <f>IFERROR(__xludf.DUMMYFUNCTION("GOOGLETRANSLATE(B23871,""en"",""es-ES"")"),"El hombre que está escalando cae y comienza a reír.")</f>
        <v>El hombre que está escalando cae y comienza a reír.</v>
      </c>
    </row>
    <row r="23872">
      <c r="A23872" s="4" t="s">
        <v>30040</v>
      </c>
      <c r="B23872" s="4" t="s">
        <v>30041</v>
      </c>
      <c r="C23872" s="5" t="str">
        <f>IFERROR(__xludf.DUMMYFUNCTION("GOOGLETRANSLATE(B23872,""en"",""es-ES"")"),"Hay varias personas reunidas para ver un juego competitivo de waterpolo en un día soleado.")</f>
        <v>Hay varias personas reunidas para ver un juego competitivo de waterpolo en un día soleado.</v>
      </c>
    </row>
    <row r="23873">
      <c r="A23873" s="4" t="s">
        <v>30040</v>
      </c>
      <c r="B23873" s="4" t="s">
        <v>30042</v>
      </c>
      <c r="C23873" s="5" t="str">
        <f>IFERROR(__xludf.DUMMYFUNCTION("GOOGLETRANSLATE(B23873,""en"",""es-ES"")"),"Hay dos equipos en una piscina al aire libre que juegan entre sí.")</f>
        <v>Hay dos equipos en una piscina al aire libre que juegan entre sí.</v>
      </c>
    </row>
    <row r="23874">
      <c r="A23874" s="4" t="s">
        <v>30040</v>
      </c>
      <c r="B23874" s="4" t="s">
        <v>30043</v>
      </c>
      <c r="C23874" s="5" t="str">
        <f>IFERROR(__xludf.DUMMYFUNCTION("GOOGLETRANSLATE(B23874,""en"",""es-ES"")"),"Los espectadores están mirando y animando a los jugadores.")</f>
        <v>Los espectadores están mirando y animando a los jugadores.</v>
      </c>
    </row>
    <row r="23875">
      <c r="A23875" s="4" t="s">
        <v>30040</v>
      </c>
      <c r="B23875" s="4" t="s">
        <v>30044</v>
      </c>
      <c r="C23875" s="5" t="str">
        <f>IFERROR(__xludf.DUMMYFUNCTION("GOOGLETRANSLATE(B23875,""en"",""es-ES"")"),"Los jugadores están jugando con una pelota de color amarillo.")</f>
        <v>Los jugadores están jugando con una pelota de color amarillo.</v>
      </c>
    </row>
    <row r="23876">
      <c r="A23876" s="4" t="s">
        <v>30040</v>
      </c>
      <c r="B23876" s="4" t="s">
        <v>30045</v>
      </c>
      <c r="C23876" s="5" t="str">
        <f>IFERROR(__xludf.DUMMYFUNCTION("GOOGLETRANSLATE(B23876,""en"",""es-ES"")"),"Después de que uno de los equipos anota un punto, los compañeros de equipo los animan.")</f>
        <v>Después de que uno de los equipos anota un punto, los compañeros de equipo los animan.</v>
      </c>
    </row>
    <row r="23877">
      <c r="A23877" s="4" t="s">
        <v>30040</v>
      </c>
      <c r="B23877" s="4" t="s">
        <v>30046</v>
      </c>
      <c r="C23877" s="5" t="str">
        <f>IFERROR(__xludf.DUMMYFUNCTION("GOOGLETRANSLATE(B23877,""en"",""es-ES"")"),"El equipo ganador anota más puntos y recibe aplausos de la multitud.")</f>
        <v>El equipo ganador anota más puntos y recibe aplausos de la multitud.</v>
      </c>
    </row>
    <row r="23878">
      <c r="A23878" s="4" t="s">
        <v>30047</v>
      </c>
      <c r="B23878" s="4" t="s">
        <v>30048</v>
      </c>
      <c r="C23878" s="5" t="str">
        <f>IFERROR(__xludf.DUMMYFUNCTION("GOOGLETRANSLATE(B23878,""en"",""es-ES"")"),"Varios concursantes están en un escenario de pie detrás de un podio hecho para parecer un cubo de Rubik.")</f>
        <v>Varios concursantes están en un escenario de pie detrás de un podio hecho para parecer un cubo de Rubik.</v>
      </c>
    </row>
    <row r="23879">
      <c r="A23879" s="4" t="s">
        <v>30047</v>
      </c>
      <c r="B23879" s="4" t="s">
        <v>30049</v>
      </c>
      <c r="C23879" s="5" t="str">
        <f>IFERROR(__xludf.DUMMYFUNCTION("GOOGLETRANSLATE(B23879,""en"",""es-ES"")"),"Luego, un niño coloca un pliegue ciego en su frente mientras un hombre de pie a su izquierda examina cada uno de sus movimientos.")</f>
        <v>Luego, un niño coloca un pliegue ciego en su frente mientras un hombre de pie a su izquierda examina cada uno de sus movimientos.</v>
      </c>
    </row>
    <row r="23880">
      <c r="A23880" s="4" t="s">
        <v>30047</v>
      </c>
      <c r="B23880" s="4" t="s">
        <v>30050</v>
      </c>
      <c r="C23880" s="5" t="str">
        <f>IFERROR(__xludf.DUMMYFUNCTION("GOOGLETRANSLATE(B23880,""en"",""es-ES"")"),"El cubo se retira del mostrador y el temporizador comienza cuando intenta resolver el rompecabezas.")</f>
        <v>El cubo se retira del mostrador y el temporizador comienza cuando intenta resolver el rompecabezas.</v>
      </c>
    </row>
    <row r="23881">
      <c r="A23881" s="4" t="s">
        <v>30047</v>
      </c>
      <c r="B23881" s="4" t="s">
        <v>30051</v>
      </c>
      <c r="C23881" s="5" t="str">
        <f>IFERROR(__xludf.DUMMYFUNCTION("GOOGLETRANSLATE(B23881,""en"",""es-ES"")"),"Después de treinta y cinco segundos, le quita el plegado ciego sobre sus ojos y continúa tratando de resolver el cubo.")</f>
        <v>Después de treinta y cinco segundos, le quita el plegado ciego sobre sus ojos y continúa tratando de resolver el cubo.</v>
      </c>
    </row>
    <row r="23882">
      <c r="A23882" s="4" t="s">
        <v>30047</v>
      </c>
      <c r="B23882" s="4" t="s">
        <v>30052</v>
      </c>
      <c r="C23882" s="5" t="str">
        <f>IFERROR(__xludf.DUMMYFUNCTION("GOOGLETRANSLATE(B23882,""en"",""es-ES"")"),"Ha pasado un minuto y quince segundos y el niño baja el cubo y el temporizador se detiene.")</f>
        <v>Ha pasado un minuto y quince segundos y el niño baja el cubo y el temporizador se detiene.</v>
      </c>
    </row>
    <row r="23883">
      <c r="A23883" s="4" t="s">
        <v>30047</v>
      </c>
      <c r="B23883" s="4" t="s">
        <v>30053</v>
      </c>
      <c r="C23883" s="5" t="str">
        <f>IFERROR(__xludf.DUMMYFUNCTION("GOOGLETRANSLATE(B23883,""en"",""es-ES"")"),"Todos están extremadamente felices por él y comienzan y lo felicitan mientras los otros oponentes todavía intentan resolver el suyo.")</f>
        <v>Todos están extremadamente felices por él y comienzan y lo felicitan mientras los otros oponentes todavía intentan resolver el suyo.</v>
      </c>
    </row>
    <row r="23884">
      <c r="A23884" s="4" t="s">
        <v>30054</v>
      </c>
      <c r="B23884" s="4" t="s">
        <v>30055</v>
      </c>
      <c r="C23884" s="5" t="str">
        <f>IFERROR(__xludf.DUMMYFUNCTION("GOOGLETRANSLATE(B23884,""en"",""es-ES"")"),"Se ve a un niño caminando hasta el final de un tablero de buceo y saltando del costado.")</f>
        <v>Se ve a un niño caminando hasta el final de un tablero de buceo y saltando del costado.</v>
      </c>
    </row>
    <row r="23885">
      <c r="A23885" s="4" t="s">
        <v>30054</v>
      </c>
      <c r="B23885" s="4" t="s">
        <v>30056</v>
      </c>
      <c r="C23885" s="5" t="str">
        <f>IFERROR(__xludf.DUMMYFUNCTION("GOOGLETRANSLATE(B23885,""en"",""es-ES"")"),"El niño sale de la superficie y se ve a otro niño caminando hasta el final del tablero.")</f>
        <v>El niño sale de la superficie y se ve a otro niño caminando hasta el final del tablero.</v>
      </c>
    </row>
    <row r="23886">
      <c r="A23886" s="4" t="s">
        <v>30057</v>
      </c>
      <c r="B23886" s="4" t="s">
        <v>30058</v>
      </c>
      <c r="C23886" s="5" t="str">
        <f>IFERROR(__xludf.DUMMYFUNCTION("GOOGLETRANSLATE(B23886,""en"",""es-ES"")"),"Una mujer morena está sonriendo y hablando mientras está de pie en un baño con solo el pecho visible y un banner rápido en la parte inferior de la pantalla, su nombre es ""Aubrey Morgan"".")</f>
        <v>Una mujer morena está sonriendo y hablando mientras está de pie en un baño con solo el pecho visible y un banner rápido en la parte inferior de la pantalla, su nombre es "Aubrey Morgan".</v>
      </c>
    </row>
    <row r="23887">
      <c r="A23887" s="4" t="s">
        <v>30057</v>
      </c>
      <c r="B23887" s="4" t="s">
        <v>30059</v>
      </c>
      <c r="C23887" s="5" t="str">
        <f>IFERROR(__xludf.DUMMYFUNCTION("GOOGLETRANSLATE(B23887,""en"",""es-ES"")"),"La mujer ahora está de pie y con solo sus piernas visibles y con pantalones cortos, está sosteniendo una navaja de afeitar y mostrándola en diferentes ángulos, y los primeros planos, el texto en la pantalla lee ""navaja de afeitar de buena calidad"".")</f>
        <v>La mujer ahora está de pie y con solo sus piernas visibles y con pantalones cortos, está sosteniendo una navaja de afeitar y mostrándola en diferentes ángulos, y los primeros planos, el texto en la pantalla lee "navaja de afeitar de buena calidad".</v>
      </c>
    </row>
    <row r="23888">
      <c r="A23888" s="4" t="s">
        <v>30057</v>
      </c>
      <c r="B23888" s="4" t="s">
        <v>30060</v>
      </c>
      <c r="C23888" s="5" t="str">
        <f>IFERROR(__xludf.DUMMYFUNCTION("GOOGLETRANSLATE(B23888,""en"",""es-ES"")"),"La mujer comienza a lavarse las piernas mientras todavía está de pie, exfolia, y luego aplica una gruesa capa de crema de afeitar por toda la pierna, la abarroga la pierna, y luego comienza a afeitarse las piernas del tobillo y la rodilla y luego enjuague"&amp;" su navaja de afeitar.")</f>
        <v>La mujer comienza a lavarse las piernas mientras todavía está de pie, exfolia, y luego aplica una gruesa capa de crema de afeitar por toda la pierna, la abarroga la pierna, y luego comienza a afeitarse las piernas del tobillo y la rodilla y luego enjuague su navaja de afeitar.</v>
      </c>
    </row>
    <row r="23889">
      <c r="A23889" s="4" t="s">
        <v>30057</v>
      </c>
      <c r="B23889" s="4" t="s">
        <v>30061</v>
      </c>
      <c r="C23889" s="5" t="str">
        <f>IFERROR(__xludf.DUMMYFUNCTION("GOOGLETRANSLATE(B23889,""en"",""es-ES"")"),"La mujer levanta una navaja de afeitar desechable, luego levanta una navaja de afeitar reutilizable y muestra que la maquinilla de afeitar puede aparecer.")</f>
        <v>La mujer levanta una navaja de afeitar desechable, luego levanta una navaja de afeitar reutilizable y muestra que la maquinilla de afeitar puede aparecer.</v>
      </c>
    </row>
    <row r="23890">
      <c r="A23890" s="4" t="s">
        <v>30057</v>
      </c>
      <c r="B23890" s="4" t="s">
        <v>30062</v>
      </c>
      <c r="C23890" s="5" t="str">
        <f>IFERROR(__xludf.DUMMYFUNCTION("GOOGLETRANSLATE(B23890,""en"",""es-ES"")"),"La mujer está de nuevo y ahora aplica loción a su pierna.")</f>
        <v>La mujer está de nuevo y ahora aplica loción a su pierna.</v>
      </c>
    </row>
    <row r="23891">
      <c r="A23891" s="4" t="s">
        <v>30057</v>
      </c>
      <c r="B23891" s="4" t="s">
        <v>30063</v>
      </c>
      <c r="C23891" s="5" t="str">
        <f>IFERROR(__xludf.DUMMYFUNCTION("GOOGLETRANSLATE(B23891,""en"",""es-ES"")"),"La mujer ahora está parada con solo la parte superior de su cuerpo y está sonriendo y hablando.")</f>
        <v>La mujer ahora está parada con solo la parte superior de su cuerpo y está sonriendo y hablando.</v>
      </c>
    </row>
    <row r="23892">
      <c r="A23892" s="4" t="s">
        <v>30064</v>
      </c>
      <c r="B23892" s="4" t="s">
        <v>30065</v>
      </c>
      <c r="C23892" s="5" t="str">
        <f>IFERROR(__xludf.DUMMYFUNCTION("GOOGLETRANSLATE(B23892,""en"",""es-ES"")"),"Las montañas se ven en el fondo y un niño monta en un automóvil.")</f>
        <v>Las montañas se ven en el fondo y un niño monta en un automóvil.</v>
      </c>
    </row>
    <row r="23893">
      <c r="A23893" s="4" t="s">
        <v>30064</v>
      </c>
      <c r="B23893" s="4" t="s">
        <v>30066</v>
      </c>
      <c r="C23893" s="5" t="str">
        <f>IFERROR(__xludf.DUMMYFUNCTION("GOOGLETRANSLATE(B23893,""en"",""es-ES"")"),"Los skaters viajan juntos a través de un estacionamiento.")</f>
        <v>Los skaters viajan juntos a través de un estacionamiento.</v>
      </c>
    </row>
    <row r="23894">
      <c r="A23894" s="4" t="s">
        <v>30064</v>
      </c>
      <c r="B23894" s="4" t="s">
        <v>30067</v>
      </c>
      <c r="C23894" s="5" t="str">
        <f>IFERROR(__xludf.DUMMYFUNCTION("GOOGLETRANSLATE(B23894,""en"",""es-ES"")"),"Las patinetas conducen por una colina el patín en la parte inferior.")</f>
        <v>Las patinetas conducen por una colina el patín en la parte inferior.</v>
      </c>
    </row>
    <row r="23895">
      <c r="A23895" s="4" t="s">
        <v>30064</v>
      </c>
      <c r="B23895" s="4" t="s">
        <v>30068</v>
      </c>
      <c r="C23895" s="5" t="str">
        <f>IFERROR(__xludf.DUMMYFUNCTION("GOOGLETRANSLATE(B23895,""en"",""es-ES"")"),"El niño pone su tablero de pie.")</f>
        <v>El niño pone su tablero de pie.</v>
      </c>
    </row>
    <row r="23896">
      <c r="A23896" s="4" t="s">
        <v>30064</v>
      </c>
      <c r="B23896" s="4" t="s">
        <v>30069</v>
      </c>
      <c r="C23896" s="5" t="str">
        <f>IFERROR(__xludf.DUMMYFUNCTION("GOOGLETRANSLATE(B23896,""en"",""es-ES"")"),"Un niño patina a través de las gradas de un estadio.")</f>
        <v>Un niño patina a través de las gradas de un estadio.</v>
      </c>
    </row>
    <row r="23897">
      <c r="A23897" s="4" t="s">
        <v>30070</v>
      </c>
      <c r="B23897" s="4" t="s">
        <v>30071</v>
      </c>
      <c r="C23897" s="5" t="str">
        <f>IFERROR(__xludf.DUMMYFUNCTION("GOOGLETRANSLATE(B23897,""en"",""es-ES"")"),"La gente está sentada en bicicletas de ejercicio y haciendo ejercicio.")</f>
        <v>La gente está sentada en bicicletas de ejercicio y haciendo ejercicio.</v>
      </c>
    </row>
    <row r="23898">
      <c r="A23898" s="4" t="s">
        <v>30070</v>
      </c>
      <c r="B23898" s="4" t="s">
        <v>30072</v>
      </c>
      <c r="C23898" s="5" t="str">
        <f>IFERROR(__xludf.DUMMYFUNCTION("GOOGLETRANSLATE(B23898,""en"",""es-ES"")"),"Una mujer pone algo en el costado de la pierna de un hombre haciendo ejercicio.")</f>
        <v>Una mujer pone algo en el costado de la pierna de un hombre haciendo ejercicio.</v>
      </c>
    </row>
    <row r="23899">
      <c r="A23899" s="4" t="s">
        <v>30070</v>
      </c>
      <c r="B23899" s="4" t="s">
        <v>30073</v>
      </c>
      <c r="C23899" s="5" t="str">
        <f>IFERROR(__xludf.DUMMYFUNCTION("GOOGLETRANSLATE(B23899,""en"",""es-ES"")"),"Un hombre con traje negro habla frente a un televisor.")</f>
        <v>Un hombre con traje negro habla frente a un televisor.</v>
      </c>
    </row>
    <row r="23900">
      <c r="A23900" s="4" t="s">
        <v>30074</v>
      </c>
      <c r="B23900" s="4" t="s">
        <v>30075</v>
      </c>
      <c r="C23900" s="5" t="str">
        <f>IFERROR(__xludf.DUMMYFUNCTION("GOOGLETRANSLATE(B23900,""en"",""es-ES"")"),"Se ve a una persona fregando la melena del pelaje de un caballo y lo lleva a lavarlo y rociarlo.")</f>
        <v>Se ve a una persona fregando la melena del pelaje de un caballo y lo lleva a lavarlo y rociarlo.</v>
      </c>
    </row>
    <row r="23901">
      <c r="A23901" s="4" t="s">
        <v>30074</v>
      </c>
      <c r="B23901" s="4" t="s">
        <v>30076</v>
      </c>
      <c r="C23901" s="5" t="str">
        <f>IFERROR(__xludf.DUMMYFUNCTION("GOOGLETRANSLATE(B23901,""en"",""es-ES"")"),"La cámara muestra tomas del líquido y luego muestra a la mujer frotando y lavando el caballo.")</f>
        <v>La cámara muestra tomas del líquido y luego muestra a la mujer frotando y lavando el caballo.</v>
      </c>
    </row>
    <row r="23902">
      <c r="A23902" s="4" t="s">
        <v>30074</v>
      </c>
      <c r="B23902" s="4" t="s">
        <v>30077</v>
      </c>
      <c r="C23902" s="5" t="str">
        <f>IFERROR(__xludf.DUMMYFUNCTION("GOOGLETRANSLATE(B23902,""en"",""es-ES"")"),"Ella camina al caballo y sacude la botella, mostrando más tomas de ella limpiando el caballo con la botella que se muestra intermitente.")</f>
        <v>Ella camina al caballo y sacude la botella, mostrando más tomas de ella limpiando el caballo con la botella que se muestra intermitente.</v>
      </c>
    </row>
    <row r="23903">
      <c r="A23903" s="4" t="s">
        <v>30078</v>
      </c>
      <c r="B23903" s="4" t="s">
        <v>30079</v>
      </c>
      <c r="C23903" s="5" t="str">
        <f>IFERROR(__xludf.DUMMYFUNCTION("GOOGLETRANSLATE(B23903,""en"",""es-ES"")"),"Un hombre que sostiene un bastón y vistiendo medias brillantes está parada en una cancha de baloncesto y está haciendo una rutina de batones girando, volteos y bailes dramáticos.")</f>
        <v>Un hombre que sostiene un bastón y vistiendo medias brillantes está parada en una cancha de baloncesto y está haciendo una rutina de batones girando, volteos y bailes dramáticos.</v>
      </c>
    </row>
    <row r="23904">
      <c r="A23904" s="4" t="s">
        <v>30078</v>
      </c>
      <c r="B23904" s="4" t="s">
        <v>30080</v>
      </c>
      <c r="C23904" s="5" t="str">
        <f>IFERROR(__xludf.DUMMYFUNCTION("GOOGLETRANSLATE(B23904,""en"",""es-ES"")"),"El hombre gira el bastón muy rápido e inesperadamente lo deja caer.")</f>
        <v>El hombre gira el bastón muy rápido e inesperadamente lo deja caer.</v>
      </c>
    </row>
    <row r="23905">
      <c r="A23905" s="4" t="s">
        <v>30078</v>
      </c>
      <c r="B23905" s="4" t="s">
        <v>30081</v>
      </c>
      <c r="C23905" s="5" t="str">
        <f>IFERROR(__xludf.DUMMYFUNCTION("GOOGLETRANSLATE(B23905,""en"",""es-ES"")"),"El hombre se recupera rápidamente y recoge el bastón y continúa su rutina como si nunca la haya dejado caer en primer lugar y arroja el bastón en el aire y hace numerosos giros y rápidamente atrapan el bastón antes de que golpee el suelo.")</f>
        <v>El hombre se recupera rápidamente y recoge el bastón y continúa su rutina como si nunca la haya dejado caer en primer lugar y arroja el bastón en el aire y hace numerosos giros y rápidamente atrapan el bastón antes de que golpee el suelo.</v>
      </c>
    </row>
    <row r="23906">
      <c r="A23906" s="4" t="s">
        <v>30078</v>
      </c>
      <c r="B23906" s="4" t="s">
        <v>30082</v>
      </c>
      <c r="C23906" s="5" t="str">
        <f>IFERROR(__xludf.DUMMYFUNCTION("GOOGLETRANSLATE(B23906,""en"",""es-ES"")"),"El hombre termina su rutina en una posición sentada con las piernas separadas, la cabeza retrocedió y el bastón descansando sobre su derecha y entre sus piernas.")</f>
        <v>El hombre termina su rutina en una posición sentada con las piernas separadas, la cabeza retrocedió y el bastón descansando sobre su derecha y entre sus piernas.</v>
      </c>
    </row>
    <row r="23907">
      <c r="A23907" s="4" t="s">
        <v>30083</v>
      </c>
      <c r="B23907" s="4" t="s">
        <v>30084</v>
      </c>
      <c r="C23907" s="5" t="str">
        <f>IFERROR(__xludf.DUMMYFUNCTION("GOOGLETRANSLATE(B23907,""en"",""es-ES"")"),"El edificio se muestra y luego la torre del reloj.")</f>
        <v>El edificio se muestra y luego la torre del reloj.</v>
      </c>
    </row>
    <row r="23908">
      <c r="A23908" s="4" t="s">
        <v>30083</v>
      </c>
      <c r="B23908" s="4" t="s">
        <v>30085</v>
      </c>
      <c r="C23908" s="5" t="str">
        <f>IFERROR(__xludf.DUMMYFUNCTION("GOOGLETRANSLATE(B23908,""en"",""es-ES"")"),"Los jóvenes caminan por la pasarela frente al edificio.")</f>
        <v>Los jóvenes caminan por la pasarela frente al edificio.</v>
      </c>
    </row>
    <row r="23909">
      <c r="A23909" s="4" t="s">
        <v>30083</v>
      </c>
      <c r="B23909" s="4" t="s">
        <v>30086</v>
      </c>
      <c r="C23909" s="5" t="str">
        <f>IFERROR(__xludf.DUMMYFUNCTION("GOOGLETRANSLATE(B23909,""en"",""es-ES"")"),"Un joven está patinando en el camino, yendo de lado a lado moviendo los pies sobre el tablero.")</f>
        <v>Un joven está patinando en el camino, yendo de lado a lado moviendo los pies sobre el tablero.</v>
      </c>
    </row>
    <row r="23910">
      <c r="A23910" s="4" t="s">
        <v>30087</v>
      </c>
      <c r="B23910" s="4" t="s">
        <v>30088</v>
      </c>
      <c r="C23910" s="5" t="str">
        <f>IFERROR(__xludf.DUMMYFUNCTION("GOOGLETRANSLATE(B23910,""en"",""es-ES"")"),"Un grupo de varios adolescentes está jugando un juego de tira y afloja.")</f>
        <v>Un grupo de varios adolescentes está jugando un juego de tira y afloja.</v>
      </c>
    </row>
    <row r="23911">
      <c r="A23911" s="4" t="s">
        <v>30087</v>
      </c>
      <c r="B23911" s="4" t="s">
        <v>30089</v>
      </c>
      <c r="C23911" s="5" t="str">
        <f>IFERROR(__xludf.DUMMYFUNCTION("GOOGLETRANSLATE(B23911,""en"",""es-ES"")"),"Tiran con fuerza hasta que la cuerda da, y ganan el juego.")</f>
        <v>Tiran con fuerza hasta que la cuerda da, y ganan el juego.</v>
      </c>
    </row>
    <row r="23912">
      <c r="A23912" s="4" t="s">
        <v>30090</v>
      </c>
      <c r="B23912" s="4" t="s">
        <v>30091</v>
      </c>
      <c r="C23912" s="5" t="str">
        <f>IFERROR(__xludf.DUMMYFUNCTION("GOOGLETRANSLATE(B23912,""en"",""es-ES"")"),"La escena es de un vecindario rodeado de árboles altos y una pila de hojas muertas al lado de un receptor de hoja.")</f>
        <v>La escena es de un vecindario rodeado de árboles altos y una pila de hojas muertas al lado de un receptor de hoja.</v>
      </c>
    </row>
    <row r="23913">
      <c r="A23913" s="4" t="s">
        <v>30090</v>
      </c>
      <c r="B23913" s="4" t="s">
        <v>30092</v>
      </c>
      <c r="C23913" s="5" t="str">
        <f>IFERROR(__xludf.DUMMYFUNCTION("GOOGLETRANSLATE(B23913,""en"",""es-ES"")"),"Un hombre que sostiene un sonajero coloca hojas en bolsas unidas a un receptor de hoja.")</f>
        <v>Un hombre que sostiene un sonajero coloca hojas en bolsas unidas a un receptor de hoja.</v>
      </c>
    </row>
    <row r="23914">
      <c r="A23914" s="4" t="s">
        <v>30090</v>
      </c>
      <c r="B23914" s="4" t="s">
        <v>30093</v>
      </c>
      <c r="C23914" s="5" t="str">
        <f>IFERROR(__xludf.DUMMYFUNCTION("GOOGLETRANSLATE(B23914,""en"",""es-ES"")"),"Además, el hombre usa el receptor de hoja para recolectar basura en una bolsa.")</f>
        <v>Además, el hombre usa el receptor de hoja para recolectar basura en una bolsa.</v>
      </c>
    </row>
    <row r="23915">
      <c r="A23915" s="4" t="s">
        <v>30094</v>
      </c>
      <c r="B23915" s="4" t="s">
        <v>30095</v>
      </c>
      <c r="C23915" s="5" t="str">
        <f>IFERROR(__xludf.DUMMYFUNCTION("GOOGLETRANSLATE(B23915,""en"",""es-ES"")"),"Un hombre con una camisa blanca sostiene una raqueta de tenis.")</f>
        <v>Un hombre con una camisa blanca sostiene una raqueta de tenis.</v>
      </c>
    </row>
    <row r="23916">
      <c r="A23916" s="4" t="s">
        <v>30094</v>
      </c>
      <c r="B23916" s="4" t="s">
        <v>30096</v>
      </c>
      <c r="C23916" s="5" t="str">
        <f>IFERROR(__xludf.DUMMYFUNCTION("GOOGLETRANSLATE(B23916,""en"",""es-ES"")"),"Comienza a golpear pelotas de tenis con su raqueta de tenis.")</f>
        <v>Comienza a golpear pelotas de tenis con su raqueta de tenis.</v>
      </c>
    </row>
    <row r="23917">
      <c r="A23917" s="4" t="s">
        <v>30094</v>
      </c>
      <c r="B23917" s="4" t="s">
        <v>5880</v>
      </c>
      <c r="C23917" s="5" t="str">
        <f>IFERROR(__xludf.DUMMYFUNCTION("GOOGLETRANSLATE(B23917,""en"",""es-ES"")"),"Se detiene y habla con la cámara.")</f>
        <v>Se detiene y habla con la cámara.</v>
      </c>
    </row>
    <row r="23918">
      <c r="A23918" s="4" t="s">
        <v>30097</v>
      </c>
      <c r="B23918" s="4" t="s">
        <v>30098</v>
      </c>
      <c r="C23918" s="5" t="str">
        <f>IFERROR(__xludf.DUMMYFUNCTION("GOOGLETRANSLATE(B23918,""en"",""es-ES"")"),"Se ve a un gran grupo de mujeres de pie en una habitación y comienza a bailar el vientre.")</f>
        <v>Se ve a un gran grupo de mujeres de pie en una habitación y comienza a bailar el vientre.</v>
      </c>
    </row>
    <row r="23919">
      <c r="A23919" s="4" t="s">
        <v>30097</v>
      </c>
      <c r="B23919" s="4" t="s">
        <v>30099</v>
      </c>
      <c r="C23919" s="5" t="str">
        <f>IFERROR(__xludf.DUMMYFUNCTION("GOOGLETRANSLATE(B23919,""en"",""es-ES"")"),"La mujer baila entre sí realizando la misma rutina y una mujer bailando al frente.")</f>
        <v>La mujer baila entre sí realizando la misma rutina y una mujer bailando al frente.</v>
      </c>
    </row>
    <row r="23920">
      <c r="A23920" s="4" t="s">
        <v>30097</v>
      </c>
      <c r="B23920" s="4" t="s">
        <v>30100</v>
      </c>
      <c r="C23920" s="5" t="str">
        <f>IFERROR(__xludf.DUMMYFUNCTION("GOOGLETRANSLATE(B23920,""en"",""es-ES"")"),"Las mujeres continúan bailando entre ellas y terminan caminando.")</f>
        <v>Las mujeres continúan bailando entre ellas y terminan caminando.</v>
      </c>
    </row>
    <row r="23921">
      <c r="A23921" s="4" t="s">
        <v>30101</v>
      </c>
      <c r="B23921" s="4" t="s">
        <v>30102</v>
      </c>
      <c r="C23921" s="5" t="str">
        <f>IFERROR(__xludf.DUMMYFUNCTION("GOOGLETRANSLATE(B23921,""en"",""es-ES"")"),"La persona está caminando dentro de una casa hasta un campo abierto con un bate de béisbol.")</f>
        <v>La persona está caminando dentro de una casa hasta un campo abierto con un bate de béisbol.</v>
      </c>
    </row>
    <row r="23922">
      <c r="A23922" s="4" t="s">
        <v>30101</v>
      </c>
      <c r="B23922" s="4" t="s">
        <v>30103</v>
      </c>
      <c r="C23922" s="5" t="str">
        <f>IFERROR(__xludf.DUMMYFUNCTION("GOOGLETRANSLATE(B23922,""en"",""es-ES"")"),"Perso camina con un mango detrás de algunos hombres corriendo por el campo.")</f>
        <v>Perso camina con un mango detrás de algunos hombres corriendo por el campo.</v>
      </c>
    </row>
    <row r="23923">
      <c r="A23923" s="4" t="s">
        <v>30101</v>
      </c>
      <c r="B23923" s="4" t="s">
        <v>30104</v>
      </c>
      <c r="C23923" s="5" t="str">
        <f>IFERROR(__xludf.DUMMYFUNCTION("GOOGLETRANSLATE(B23923,""en"",""es-ES"")"),"Se muestran algunos documentos y las mujeres que venden camisetas de lacrosse, en un juego, la gente se reúne alrededor del campo.")</f>
        <v>Se muestran algunos documentos y las mujeres que venden camisetas de lacrosse, en un juego, la gente se reúne alrededor del campo.</v>
      </c>
    </row>
    <row r="23924">
      <c r="A23924" s="4" t="s">
        <v>30101</v>
      </c>
      <c r="B23924" s="4" t="s">
        <v>30105</v>
      </c>
      <c r="C23924" s="5" t="str">
        <f>IFERROR(__xludf.DUMMYFUNCTION("GOOGLETRANSLATE(B23924,""en"",""es-ES"")"),"Los jugadores caminan desde los vestuarios y están en el campo Playig.")</f>
        <v>Los jugadores caminan desde los vestuarios y están en el campo Playig.</v>
      </c>
    </row>
    <row r="23925">
      <c r="A23925" s="4" t="s">
        <v>30101</v>
      </c>
      <c r="B23925" s="4" t="s">
        <v>30106</v>
      </c>
      <c r="C23925" s="5" t="str">
        <f>IFERROR(__xludf.DUMMYFUNCTION("GOOGLETRANSLATE(B23925,""en"",""es-ES"")"),"Los jugadores están estancando en la línea aplaudiendo al final del juego, los resultados se muestran al final.")</f>
        <v>Los jugadores están estancando en la línea aplaudiendo al final del juego, los resultados se muestran al final.</v>
      </c>
    </row>
    <row r="23926">
      <c r="A23926" s="4" t="s">
        <v>30107</v>
      </c>
      <c r="B23926" s="4" t="s">
        <v>30108</v>
      </c>
      <c r="C23926" s="5" t="str">
        <f>IFERROR(__xludf.DUMMYFUNCTION("GOOGLETRANSLATE(B23926,""en"",""es-ES"")"),"Dos jugadores están jugando un juego de racket ball.")</f>
        <v>Dos jugadores están jugando un juego de racket ball.</v>
      </c>
    </row>
    <row r="23927">
      <c r="A23927" s="4" t="s">
        <v>30107</v>
      </c>
      <c r="B23927" s="4" t="s">
        <v>30109</v>
      </c>
      <c r="C23927" s="5" t="str">
        <f>IFERROR(__xludf.DUMMYFUNCTION("GOOGLETRANSLATE(B23927,""en"",""es-ES"")"),"Una mujer da un columpio en la pelota y la golpea.")</f>
        <v>Una mujer da un columpio en la pelota y la golpea.</v>
      </c>
    </row>
    <row r="23928">
      <c r="A23928" s="4" t="s">
        <v>30107</v>
      </c>
      <c r="B23928" s="4" t="s">
        <v>30110</v>
      </c>
      <c r="C23928" s="5" t="str">
        <f>IFERROR(__xludf.DUMMYFUNCTION("GOOGLETRANSLATE(B23928,""en"",""es-ES"")"),"La otra mujer da un columpio en la pelota y falla y se golpea en su lugar.")</f>
        <v>La otra mujer da un columpio en la pelota y falla y se golpea en su lugar.</v>
      </c>
    </row>
    <row r="23929">
      <c r="A23929" s="4" t="s">
        <v>30107</v>
      </c>
      <c r="B23929" s="4" t="s">
        <v>30111</v>
      </c>
      <c r="C23929" s="5" t="str">
        <f>IFERROR(__xludf.DUMMYFUNCTION("GOOGLETRANSLATE(B23929,""en"",""es-ES"")"),"Luego se sienta en el piso mientras la otra persona viene a apagar la cámara.")</f>
        <v>Luego se sienta en el piso mientras la otra persona viene a apagar la cámara.</v>
      </c>
    </row>
    <row r="23930">
      <c r="A23930" s="4" t="s">
        <v>30112</v>
      </c>
      <c r="B23930" s="4" t="s">
        <v>30113</v>
      </c>
      <c r="C23930" s="5" t="str">
        <f>IFERROR(__xludf.DUMMYFUNCTION("GOOGLETRANSLATE(B23930,""en"",""es-ES"")"),"Se ve a un joven parado en medio de una habitación y sosteniendo una raqueta de tenis en el aire.")</f>
        <v>Se ve a un joven parado en medio de una habitación y sosteniendo una raqueta de tenis en el aire.</v>
      </c>
    </row>
    <row r="23931">
      <c r="A23931" s="4" t="s">
        <v>30112</v>
      </c>
      <c r="B23931" s="4" t="s">
        <v>30114</v>
      </c>
      <c r="C23931" s="5" t="str">
        <f>IFERROR(__xludf.DUMMYFUNCTION("GOOGLETRANSLATE(B23931,""en"",""es-ES"")"),"Luego, a un hombre, se ve a un hombre golpeando la pelota de tenis mientras corría por la habitación.")</f>
        <v>Luego, a un hombre, se ve a un hombre golpeando la pelota de tenis mientras corría por la habitación.</v>
      </c>
    </row>
    <row r="23932">
      <c r="A23932" s="4" t="s">
        <v>30112</v>
      </c>
      <c r="B23932" s="4" t="s">
        <v>30115</v>
      </c>
      <c r="C23932" s="5" t="str">
        <f>IFERROR(__xludf.DUMMYFUNCTION("GOOGLETRANSLATE(B23932,""en"",""es-ES"")"),"El niño se escapa del hombre y hacia la cámara al final.")</f>
        <v>El niño se escapa del hombre y hacia la cámara al final.</v>
      </c>
    </row>
    <row r="23933">
      <c r="A23933" s="4" t="s">
        <v>30116</v>
      </c>
      <c r="B23933" s="4" t="s">
        <v>30117</v>
      </c>
      <c r="C23933" s="5" t="str">
        <f>IFERROR(__xludf.DUMMYFUNCTION("GOOGLETRANSLATE(B23933,""en"",""es-ES"")"),"Un gran grupo de personas están de pie juntos mientras una mujer con un hermoso vestido habla.")</f>
        <v>Un gran grupo de personas están de pie juntos mientras una mujer con un hermoso vestido habla.</v>
      </c>
    </row>
    <row r="23934">
      <c r="A23934" s="4" t="s">
        <v>30116</v>
      </c>
      <c r="B23934" s="4" t="s">
        <v>30118</v>
      </c>
      <c r="C23934" s="5" t="str">
        <f>IFERROR(__xludf.DUMMYFUNCTION("GOOGLETRANSLATE(B23934,""en"",""es-ES"")"),"Se muestran varias personas de disfraz y una niña corre jugando con una cometa.")</f>
        <v>Se muestran varias personas de disfraz y una niña corre jugando con una cometa.</v>
      </c>
    </row>
    <row r="23935">
      <c r="A23935" s="4" t="s">
        <v>30116</v>
      </c>
      <c r="B23935" s="4" t="s">
        <v>30119</v>
      </c>
      <c r="C23935" s="5" t="str">
        <f>IFERROR(__xludf.DUMMYFUNCTION("GOOGLETRANSLATE(B23935,""en"",""es-ES"")"),"Varias cometas se muestran en el aire mientras otros niños juegan con ellos.")</f>
        <v>Varias cometas se muestran en el aire mientras otros niños juegan con ellos.</v>
      </c>
    </row>
    <row r="23936">
      <c r="A23936" s="4" t="s">
        <v>30116</v>
      </c>
      <c r="B23936" s="4" t="s">
        <v>30120</v>
      </c>
      <c r="C23936" s="5" t="str">
        <f>IFERROR(__xludf.DUMMYFUNCTION("GOOGLETRANSLATE(B23936,""en"",""es-ES"")"),"Cientos de cometas se muestran en el aire para un festival y un hombre entrevista a su experiencia con las cometas.")</f>
        <v>Cientos de cometas se muestran en el aire para un festival y un hombre entrevista a su experiencia con las cometas.</v>
      </c>
    </row>
    <row r="23937">
      <c r="A23937" s="4" t="s">
        <v>30116</v>
      </c>
      <c r="B23937" s="4" t="s">
        <v>30121</v>
      </c>
      <c r="C23937" s="5" t="str">
        <f>IFERROR(__xludf.DUMMYFUNCTION("GOOGLETRANSLATE(B23937,""en"",""es-ES"")"),"Varias personas se detienen y miran a su alrededor y la ciudad se desplaza durante la noche.")</f>
        <v>Varias personas se detienen y miran a su alrededor y la ciudad se desplaza durante la noche.</v>
      </c>
    </row>
    <row r="23938">
      <c r="A23938" s="4" t="s">
        <v>30122</v>
      </c>
      <c r="B23938" s="4" t="s">
        <v>30123</v>
      </c>
      <c r="C23938" s="5" t="str">
        <f>IFERROR(__xludf.DUMMYFUNCTION("GOOGLETRANSLATE(B23938,""en"",""es-ES"")"),"Se ve a un hombre arrodillado junto a un automóvil rociando una manguera en el automóvil.")</f>
        <v>Se ve a un hombre arrodillado junto a un automóvil rociando una manguera en el automóvil.</v>
      </c>
    </row>
    <row r="23939">
      <c r="A23939" s="4" t="s">
        <v>30122</v>
      </c>
      <c r="B23939" s="4" t="s">
        <v>30124</v>
      </c>
      <c r="C23939" s="5" t="str">
        <f>IFERROR(__xludf.DUMMYFUNCTION("GOOGLETRANSLATE(B23939,""en"",""es-ES"")"),"Utiliza una esponja para limpiar alrededor del automóvil, mientras que otros limpian por los lados.")</f>
        <v>Utiliza una esponja para limpiar alrededor del automóvil, mientras que otros limpian por los lados.</v>
      </c>
    </row>
    <row r="23940">
      <c r="A23940" s="4" t="s">
        <v>30122</v>
      </c>
      <c r="B23940" s="4" t="s">
        <v>30125</v>
      </c>
      <c r="C23940" s="5" t="str">
        <f>IFERROR(__xludf.DUMMYFUNCTION("GOOGLETRANSLATE(B23940,""en"",""es-ES"")"),"Se muestran más tomas de ellos limpiando el interior y debajo del capó mientras la cámara se acelera.")</f>
        <v>Se muestran más tomas de ellos limpiando el interior y debajo del capó mientras la cámara se acelera.</v>
      </c>
    </row>
    <row r="23941">
      <c r="A23941" s="4" t="s">
        <v>30126</v>
      </c>
      <c r="B23941" s="4" t="s">
        <v>30127</v>
      </c>
      <c r="C23941" s="5" t="str">
        <f>IFERROR(__xludf.DUMMYFUNCTION("GOOGLETRANSLATE(B23941,""en"",""es-ES"")"),"Las mujeres juegan voleyball en una cancha de madera.")</f>
        <v>Las mujeres juegan voleyball en una cancha de madera.</v>
      </c>
    </row>
    <row r="23942">
      <c r="A23942" s="4" t="s">
        <v>30126</v>
      </c>
      <c r="B23942" s="4" t="s">
        <v>30128</v>
      </c>
      <c r="C23942" s="5" t="str">
        <f>IFERROR(__xludf.DUMMYFUNCTION("GOOGLETRANSLATE(B23942,""en"",""es-ES"")"),"Peolpe se encuentra en sillas de la cancha mirando a las chicas.")</f>
        <v>Peolpe se encuentra en sillas de la cancha mirando a las chicas.</v>
      </c>
    </row>
    <row r="23943">
      <c r="A23943" s="4" t="s">
        <v>30126</v>
      </c>
      <c r="B23943" s="4" t="s">
        <v>30129</v>
      </c>
      <c r="C23943" s="5" t="str">
        <f>IFERROR(__xludf.DUMMYFUNCTION("GOOGLETRANSLATE(B23943,""en"",""es-ES"")"),"Los árbitros están parados en los lados de la cancha sosteniendo banderas y observando el juego sin escaleras.")</f>
        <v>Los árbitros están parados en los lados de la cancha sosteniendo banderas y observando el juego sin escaleras.</v>
      </c>
    </row>
    <row r="23944">
      <c r="A23944" s="4" t="s">
        <v>30130</v>
      </c>
      <c r="B23944" s="4" t="s">
        <v>30131</v>
      </c>
      <c r="C23944" s="5" t="str">
        <f>IFERROR(__xludf.DUMMYFUNCTION("GOOGLETRANSLATE(B23944,""en"",""es-ES"")"),"""Fitness for Life 365"" aparece en la pantalla.")</f>
        <v>"Fitness for Life 365" aparece en la pantalla.</v>
      </c>
    </row>
    <row r="23945">
      <c r="A23945" s="4" t="s">
        <v>30130</v>
      </c>
      <c r="B23945" s="4" t="s">
        <v>30132</v>
      </c>
      <c r="C23945" s="5" t="str">
        <f>IFERROR(__xludf.DUMMYFUNCTION("GOOGLETRANSLATE(B23945,""en"",""es-ES"")"),"Se muestra una panorámica del interior de un gimnasio, ya que hay un hombre que sube bares de mono que va hacia atrás.")</f>
        <v>Se muestra una panorámica del interior de un gimnasio, ya que hay un hombre que sube bares de mono que va hacia atrás.</v>
      </c>
    </row>
    <row r="23946">
      <c r="A23946" s="4" t="s">
        <v>30130</v>
      </c>
      <c r="B23946" s="4" t="s">
        <v>30133</v>
      </c>
      <c r="C23946" s="5" t="str">
        <f>IFERROR(__xludf.DUMMYFUNCTION("GOOGLETRANSLATE(B23946,""en"",""es-ES"")"),"Luego va y viene para continuar su entrenamiento.")</f>
        <v>Luego va y viene para continuar su entrenamiento.</v>
      </c>
    </row>
    <row r="23947">
      <c r="A23947" s="4" t="s">
        <v>30130</v>
      </c>
      <c r="B23947" s="4" t="s">
        <v>30134</v>
      </c>
      <c r="C23947" s="5" t="str">
        <f>IFERROR(__xludf.DUMMYFUNCTION("GOOGLETRANSLATE(B23947,""en"",""es-ES"")"),"El video luego se desvanece en una pantalla negra y le pide que se suscriba a su canal de YouTube.")</f>
        <v>El video luego se desvanece en una pantalla negra y le pide que se suscriba a su canal de YouTube.</v>
      </c>
    </row>
    <row r="23948">
      <c r="A23948" s="4" t="s">
        <v>30135</v>
      </c>
      <c r="B23948" s="4" t="s">
        <v>30136</v>
      </c>
      <c r="C23948" s="5" t="str">
        <f>IFERROR(__xludf.DUMMYFUNCTION("GOOGLETRANSLATE(B23948,""en"",""es-ES"")"),"El video muestra un tutorial sobre cómo instalar mosaicos de cerámica usando concreto.")</f>
        <v>El video muestra un tutorial sobre cómo instalar mosaicos de cerámica usando concreto.</v>
      </c>
    </row>
    <row r="23949">
      <c r="A23949" s="4" t="s">
        <v>30135</v>
      </c>
      <c r="B23949" s="4" t="s">
        <v>30137</v>
      </c>
      <c r="C23949" s="5" t="str">
        <f>IFERROR(__xludf.DUMMYFUNCTION("GOOGLETRANSLATE(B23949,""en"",""es-ES"")"),"Una persona que usa un chaleco naranja y pantalones negros está trabajando en el mosaico de una habitación en una casa.")</f>
        <v>Una persona que usa un chaleco naranja y pantalones negros está trabajando en el mosaico de una habitación en una casa.</v>
      </c>
    </row>
    <row r="23950">
      <c r="A23950" s="4" t="s">
        <v>30135</v>
      </c>
      <c r="B23950" s="4" t="s">
        <v>30138</v>
      </c>
      <c r="C23950" s="5" t="str">
        <f>IFERROR(__xludf.DUMMYFUNCTION("GOOGLETRANSLATE(B23950,""en"",""es-ES"")"),"Está arrodillado junto a una pila de baldosas de cerámica cuadrada blanca y un cubo lleno de lechada y cemento.")</f>
        <v>Está arrodillado junto a una pila de baldosas de cerámica cuadrada blanca y un cubo lleno de lechada y cemento.</v>
      </c>
    </row>
    <row r="23951">
      <c r="A23951" s="4" t="s">
        <v>30135</v>
      </c>
      <c r="B23951" s="4" t="s">
        <v>30139</v>
      </c>
      <c r="C23951" s="5" t="str">
        <f>IFERROR(__xludf.DUMMYFUNCTION("GOOGLETRANSLATE(B23951,""en"",""es-ES"")"),"Está manchando el piso con cemento con una llana.")</f>
        <v>Está manchando el piso con cemento con una llana.</v>
      </c>
    </row>
    <row r="23952">
      <c r="A23952" s="4" t="s">
        <v>30135</v>
      </c>
      <c r="B23952" s="4" t="s">
        <v>30140</v>
      </c>
      <c r="C23952" s="5" t="str">
        <f>IFERROR(__xludf.DUMMYFUNCTION("GOOGLETRANSLATE(B23952,""en"",""es-ES"")"),"Luego coloca las baldosas cuadradas una al lado de la otra en línea recta, asegurándose de que estén bien unidas.")</f>
        <v>Luego coloca las baldosas cuadradas una al lado de la otra en línea recta, asegurándose de que estén bien unidas.</v>
      </c>
    </row>
    <row r="23953">
      <c r="A23953" s="4" t="s">
        <v>30135</v>
      </c>
      <c r="B23953" s="4" t="s">
        <v>30141</v>
      </c>
      <c r="C23953" s="5" t="str">
        <f>IFERROR(__xludf.DUMMYFUNCTION("GOOGLETRANSLATE(B23953,""en"",""es-ES"")"),"Elimina más mosaicos de la caja para colocarlos en el cemento húmedo, asegurándose de que estén correctamente alineados entre sí.")</f>
        <v>Elimina más mosaicos de la caja para colocarlos en el cemento húmedo, asegurándose de que estén correctamente alineados entre sí.</v>
      </c>
    </row>
    <row r="23954">
      <c r="A23954" s="4" t="s">
        <v>30135</v>
      </c>
      <c r="B23954" s="4" t="s">
        <v>30142</v>
      </c>
      <c r="C23954" s="5" t="str">
        <f>IFERROR(__xludf.DUMMYFUNCTION("GOOGLETRANSLATE(B23954,""en"",""es-ES"")"),"Continúa colocando los azulejos para llenar todos los huecos hasta que toda la habitación esté completamente cubierta con las baldosas blancas.")</f>
        <v>Continúa colocando los azulejos para llenar todos los huecos hasta que toda la habitación esté completamente cubierta con las baldosas blancas.</v>
      </c>
    </row>
    <row r="23955">
      <c r="A23955" s="4" t="s">
        <v>30143</v>
      </c>
      <c r="B23955" s="4" t="s">
        <v>30144</v>
      </c>
      <c r="C23955" s="5" t="str">
        <f>IFERROR(__xludf.DUMMYFUNCTION("GOOGLETRANSLATE(B23955,""en"",""es-ES"")"),"Se ve a un hombre tocando un juego de tuberías de bolsas a la cámara mientras se mueve hacia arriba y hacia abajo.")</f>
        <v>Se ve a un hombre tocando un juego de tuberías de bolsas a la cámara mientras se mueve hacia arriba y hacia abajo.</v>
      </c>
    </row>
    <row r="23956">
      <c r="A23956" s="4" t="s">
        <v>30143</v>
      </c>
      <c r="B23956" s="4" t="s">
        <v>30145</v>
      </c>
      <c r="C23956" s="5" t="str">
        <f>IFERROR(__xludf.DUMMYFUNCTION("GOOGLETRANSLATE(B23956,""en"",""es-ES"")"),"El hombre continúa tocando el instrumento en la habitación y termina moviendo las manos hacia abajo.")</f>
        <v>El hombre continúa tocando el instrumento en la habitación y termina moviendo las manos hacia abajo.</v>
      </c>
    </row>
    <row r="23957">
      <c r="A23957" s="4" t="s">
        <v>30146</v>
      </c>
      <c r="B23957" s="4" t="s">
        <v>30147</v>
      </c>
      <c r="C23957" s="5" t="str">
        <f>IFERROR(__xludf.DUMMYFUNCTION("GOOGLETRANSLATE(B23957,""en"",""es-ES"")"),"Un hombre está sentado con un micrófono unido a sus oídos y comienza a hablar sobre los Congas frente a él.")</f>
        <v>Un hombre está sentado con un micrófono unido a sus oídos y comienza a hablar sobre los Congas frente a él.</v>
      </c>
    </row>
    <row r="23958">
      <c r="A23958" s="4" t="s">
        <v>30146</v>
      </c>
      <c r="B23958" s="4" t="s">
        <v>30148</v>
      </c>
      <c r="C23958" s="5" t="str">
        <f>IFERROR(__xludf.DUMMYFUNCTION("GOOGLETRANSLATE(B23958,""en"",""es-ES"")"),"Una vez que termina de hablar, el hombre comienza a jugar y golpea a los Congas de un lado a otro.")</f>
        <v>Una vez que termina de hablar, el hombre comienza a jugar y golpea a los Congas de un lado a otro.</v>
      </c>
    </row>
    <row r="23959">
      <c r="A23959" s="4" t="s">
        <v>30146</v>
      </c>
      <c r="B23959" s="4" t="s">
        <v>30149</v>
      </c>
      <c r="C23959" s="5" t="str">
        <f>IFERROR(__xludf.DUMMYFUNCTION("GOOGLETRANSLATE(B23959,""en"",""es-ES"")"),"Entre su actuación, toma descansos y conversaciones antes de continuar jugando.")</f>
        <v>Entre su actuación, toma descansos y conversaciones antes de continuar jugando.</v>
      </c>
    </row>
    <row r="23960">
      <c r="A23960" s="4" t="s">
        <v>30146</v>
      </c>
      <c r="B23960" s="4" t="s">
        <v>30150</v>
      </c>
      <c r="C23960" s="5" t="str">
        <f>IFERROR(__xludf.DUMMYFUNCTION("GOOGLETRANSLATE(B23960,""en"",""es-ES"")"),"Ahora, tiene teléfonos en la cabeza y comienza a tocar los Congas directamente sin interrupciones.")</f>
        <v>Ahora, tiene teléfonos en la cabeza y comienza a tocar los Congas directamente sin interrupciones.</v>
      </c>
    </row>
    <row r="23961">
      <c r="A23961" s="4" t="s">
        <v>30151</v>
      </c>
      <c r="B23961" s="4" t="s">
        <v>30152</v>
      </c>
      <c r="C23961" s="5" t="str">
        <f>IFERROR(__xludf.DUMMYFUNCTION("GOOGLETRANSLATE(B23961,""en"",""es-ES"")"),"La mujer habla con la cámara mientras sostiene una pelota de ping pong y de pie junto a una mesa de ping pong, intercalada con primeros planos de breves demostraciones de técnica.")</f>
        <v>La mujer habla con la cámara mientras sostiene una pelota de ping pong y de pie junto a una mesa de ping pong, intercalada con primeros planos de breves demostraciones de técnica.</v>
      </c>
    </row>
    <row r="23962">
      <c r="A23962" s="4" t="s">
        <v>30151</v>
      </c>
      <c r="B23962" s="4" t="s">
        <v>30153</v>
      </c>
      <c r="C23962" s="5" t="str">
        <f>IFERROR(__xludf.DUMMYFUNCTION("GOOGLETRANSLATE(B23962,""en"",""es-ES"")"),"La mujer recupera una pelota nueva.")</f>
        <v>La mujer recupera una pelota nueva.</v>
      </c>
    </row>
    <row r="23963">
      <c r="A23963" s="4" t="s">
        <v>30151</v>
      </c>
      <c r="B23963" s="4" t="s">
        <v>30154</v>
      </c>
      <c r="C23963" s="5" t="str">
        <f>IFERROR(__xludf.DUMMYFUNCTION("GOOGLETRANSLATE(B23963,""en"",""es-ES"")"),"La mujer recupera dos bolas, luego se deshace de una.")</f>
        <v>La mujer recupera dos bolas, luego se deshace de una.</v>
      </c>
    </row>
    <row r="23964">
      <c r="A23964" s="4" t="s">
        <v>30151</v>
      </c>
      <c r="B23964" s="4" t="s">
        <v>30155</v>
      </c>
      <c r="C23964" s="5" t="str">
        <f>IFERROR(__xludf.DUMMYFUNCTION("GOOGLETRANSLATE(B23964,""en"",""es-ES"")"),"La mujer recupera otra pelota.")</f>
        <v>La mujer recupera otra pelota.</v>
      </c>
    </row>
    <row r="23965">
      <c r="A23965" s="4" t="s">
        <v>30156</v>
      </c>
      <c r="B23965" s="4" t="s">
        <v>30157</v>
      </c>
      <c r="C23965" s="5" t="str">
        <f>IFERROR(__xludf.DUMMYFUNCTION("GOOGLETRANSLATE(B23965,""en"",""es-ES"")"),"El café se derrama en la alfombra.")</f>
        <v>El café se derrama en la alfombra.</v>
      </c>
    </row>
    <row r="23966">
      <c r="A23966" s="4" t="s">
        <v>30156</v>
      </c>
      <c r="B23966" s="4" t="s">
        <v>30158</v>
      </c>
      <c r="C23966" s="5" t="str">
        <f>IFERROR(__xludf.DUMMYFUNCTION("GOOGLETRANSLATE(B23966,""en"",""es-ES"")"),"Una alfombra de persona limpia la alfombra.")</f>
        <v>Una alfombra de persona limpia la alfombra.</v>
      </c>
    </row>
    <row r="23967">
      <c r="A23967" s="4" t="s">
        <v>30156</v>
      </c>
      <c r="B23967" s="4" t="s">
        <v>30159</v>
      </c>
      <c r="C23967" s="5" t="str">
        <f>IFERROR(__xludf.DUMMYFUNCTION("GOOGLETRANSLATE(B23967,""en"",""es-ES"")"),"Luego limpian los asientos de un automóvil.")</f>
        <v>Luego limpian los asientos de un automóvil.</v>
      </c>
    </row>
    <row r="23968">
      <c r="A23968" s="4" t="s">
        <v>30156</v>
      </c>
      <c r="B23968" s="4" t="s">
        <v>30160</v>
      </c>
      <c r="C23968" s="5" t="str">
        <f>IFERROR(__xludf.DUMMYFUNCTION("GOOGLETRANSLATE(B23968,""en"",""es-ES"")"),"Se vacían el agua en el fregadero.")</f>
        <v>Se vacían el agua en el fregadero.</v>
      </c>
    </row>
    <row r="23969">
      <c r="A23969" s="4" t="s">
        <v>30156</v>
      </c>
      <c r="B23969" s="4" t="s">
        <v>30161</v>
      </c>
      <c r="C23969" s="5" t="str">
        <f>IFERROR(__xludf.DUMMYFUNCTION("GOOGLETRANSLATE(B23969,""en"",""es-ES"")"),"Se vacían el cubo en otro cubo.")</f>
        <v>Se vacían el cubo en otro cubo.</v>
      </c>
    </row>
    <row r="23970">
      <c r="A23970" s="4" t="s">
        <v>30156</v>
      </c>
      <c r="B23970" s="4" t="s">
        <v>30162</v>
      </c>
      <c r="C23970" s="5" t="str">
        <f>IFERROR(__xludf.DUMMYFUNCTION("GOOGLETRANSLATE(B23970,""en"",""es-ES"")"),"Se aspiran hacia arriba de la alfombra.")</f>
        <v>Se aspiran hacia arriba de la alfombra.</v>
      </c>
    </row>
    <row r="23971">
      <c r="A23971" s="4" t="s">
        <v>30163</v>
      </c>
      <c r="B23971" s="4" t="s">
        <v>30164</v>
      </c>
      <c r="C23971" s="5" t="str">
        <f>IFERROR(__xludf.DUMMYFUNCTION("GOOGLETRANSLATE(B23971,""en"",""es-ES"")"),"Un hombre toma una maleta de un automóvil.")</f>
        <v>Un hombre toma una maleta de un automóvil.</v>
      </c>
    </row>
    <row r="23972">
      <c r="A23972" s="4" t="s">
        <v>30163</v>
      </c>
      <c r="B23972" s="4" t="s">
        <v>30165</v>
      </c>
      <c r="C23972" s="5" t="str">
        <f>IFERROR(__xludf.DUMMYFUNCTION("GOOGLETRANSLATE(B23972,""en"",""es-ES"")"),"Se acuesta en una silla de barbero.")</f>
        <v>Se acuesta en una silla de barbero.</v>
      </c>
    </row>
    <row r="23973">
      <c r="A23973" s="4" t="s">
        <v>30163</v>
      </c>
      <c r="B23973" s="4" t="s">
        <v>30166</v>
      </c>
      <c r="C23973" s="5" t="str">
        <f>IFERROR(__xludf.DUMMYFUNCTION("GOOGLETRANSLATE(B23973,""en"",""es-ES"")"),"Un hombre comienza a afeitarse la barba con una maquinilla de afeitar.")</f>
        <v>Un hombre comienza a afeitarse la barba con una maquinilla de afeitar.</v>
      </c>
    </row>
    <row r="23974">
      <c r="A23974" s="4" t="s">
        <v>30163</v>
      </c>
      <c r="B23974" s="4" t="s">
        <v>30167</v>
      </c>
      <c r="C23974" s="5" t="str">
        <f>IFERROR(__xludf.DUMMYFUNCTION("GOOGLETRANSLATE(B23974,""en"",""es-ES"")"),"Él envuelve una toalla alrededor de su rostro.")</f>
        <v>Él envuelve una toalla alrededor de su rostro.</v>
      </c>
    </row>
    <row r="23975">
      <c r="A23975" s="4" t="s">
        <v>30168</v>
      </c>
      <c r="B23975" s="4" t="s">
        <v>30169</v>
      </c>
      <c r="C23975" s="5" t="str">
        <f>IFERROR(__xludf.DUMMYFUNCTION("GOOGLETRANSLATE(B23975,""en"",""es-ES"")"),"Un joven está ayudando a una mujer joven a balancearse en una piñata de fútbol.")</f>
        <v>Un joven está ayudando a una mujer joven a balancearse en una piñata de fútbol.</v>
      </c>
    </row>
    <row r="23976">
      <c r="A23976" s="4" t="s">
        <v>30168</v>
      </c>
      <c r="B23976" s="4" t="s">
        <v>30170</v>
      </c>
      <c r="C23976" s="5" t="str">
        <f>IFERROR(__xludf.DUMMYFUNCTION("GOOGLETRANSLATE(B23976,""en"",""es-ES"")"),"Están en un campo verde al aire libre en una escuela o centro comunitario.")</f>
        <v>Están en un campo verde al aire libre en una escuela o centro comunitario.</v>
      </c>
    </row>
    <row r="23977">
      <c r="A23977" s="4" t="s">
        <v>30168</v>
      </c>
      <c r="B23977" s="4" t="s">
        <v>30171</v>
      </c>
      <c r="C23977" s="5" t="str">
        <f>IFERROR(__xludf.DUMMYFUNCTION("GOOGLETRANSLATE(B23977,""en"",""es-ES"")"),"Ella sigue perdiendo la piñata mientras sus amigos intentan ayudarla.")</f>
        <v>Ella sigue perdiendo la piñata mientras sus amigos intentan ayudarla.</v>
      </c>
    </row>
    <row r="23978">
      <c r="A23978" s="4" t="s">
        <v>30168</v>
      </c>
      <c r="B23978" s="4" t="s">
        <v>30172</v>
      </c>
      <c r="C23978" s="5" t="str">
        <f>IFERROR(__xludf.DUMMYFUNCTION("GOOGLETRANSLATE(B23978,""en"",""es-ES"")"),"Un adulto está controlando la piñata tratando de evitar que lo golpee.")</f>
        <v>Un adulto está controlando la piñata tratando de evitar que lo golpee.</v>
      </c>
    </row>
    <row r="23979">
      <c r="A23979" s="4" t="s">
        <v>30168</v>
      </c>
      <c r="B23979" s="4" t="s">
        <v>30173</v>
      </c>
      <c r="C23979" s="5" t="str">
        <f>IFERROR(__xludf.DUMMYFUNCTION("GOOGLETRANSLATE(B23979,""en"",""es-ES"")"),"Finalmente termina buscando dónde está generalmente mientras sus amigos se ríen de ella y continúan tratando de ayudar.")</f>
        <v>Finalmente termina buscando dónde está generalmente mientras sus amigos se ríen de ella y continúan tratando de ayudar.</v>
      </c>
    </row>
    <row r="23980">
      <c r="A23980" s="4" t="s">
        <v>30168</v>
      </c>
      <c r="B23980" s="4" t="s">
        <v>30174</v>
      </c>
      <c r="C23980" s="5" t="str">
        <f>IFERROR(__xludf.DUMMYFUNCTION("GOOGLETRANSLATE(B23980,""en"",""es-ES"")"),"La piñata la golpeó y termina sin éxito.")</f>
        <v>La piñata la golpeó y termina sin éxito.</v>
      </c>
    </row>
    <row r="23981">
      <c r="A23981" s="4" t="s">
        <v>30175</v>
      </c>
      <c r="B23981" s="4" t="s">
        <v>30176</v>
      </c>
      <c r="C23981" s="5" t="str">
        <f>IFERROR(__xludf.DUMMYFUNCTION("GOOGLETRANSLATE(B23981,""en"",""es-ES"")"),"Algunos hombres están en el bosque corriendo jugando paintball.")</f>
        <v>Algunos hombres están en el bosque corriendo jugando paintball.</v>
      </c>
    </row>
    <row r="23982">
      <c r="A23982" s="4" t="s">
        <v>30175</v>
      </c>
      <c r="B23982" s="4" t="s">
        <v>30177</v>
      </c>
      <c r="C23982" s="5" t="str">
        <f>IFERROR(__xludf.DUMMYFUNCTION("GOOGLETRANSLATE(B23982,""en"",""es-ES"")"),"Están buscando al otro para tratar de dispararlos, mientras se mantienen cerca de sus compañeros de equipo.")</f>
        <v>Están buscando al otro para tratar de dispararlos, mientras se mantienen cerca de sus compañeros de equipo.</v>
      </c>
    </row>
    <row r="23983">
      <c r="A23983" s="4" t="s">
        <v>30175</v>
      </c>
      <c r="B23983" s="4" t="s">
        <v>30178</v>
      </c>
      <c r="C23983" s="5" t="str">
        <f>IFERROR(__xludf.DUMMYFUNCTION("GOOGLETRANSLATE(B23983,""en"",""es-ES"")"),"Uno de los hombres revisa su arma y lo reajusta y luego sigue avanzando.")</f>
        <v>Uno de los hombres revisa su arma y lo reajusta y luego sigue avanzando.</v>
      </c>
    </row>
    <row r="23984">
      <c r="A23984" s="4" t="s">
        <v>30175</v>
      </c>
      <c r="B23984" s="4" t="s">
        <v>30179</v>
      </c>
      <c r="C23984" s="5" t="str">
        <f>IFERROR(__xludf.DUMMYFUNCTION("GOOGLETRANSLATE(B23984,""en"",""es-ES"")"),"Se mueve para continuar jugando.")</f>
        <v>Se mueve para continuar jugando.</v>
      </c>
    </row>
    <row r="23985">
      <c r="A23985" s="4" t="s">
        <v>30180</v>
      </c>
      <c r="B23985" s="4" t="s">
        <v>30181</v>
      </c>
      <c r="C23985" s="5" t="str">
        <f>IFERROR(__xludf.DUMMYFUNCTION("GOOGLETRANSLATE(B23985,""en"",""es-ES"")"),"Un hombre está parado en una cancha interior con su raqueta en la mano derecha, la bola de raqueta en la mano izquierda y está hablando y haciendo un gesto.")</f>
        <v>Un hombre está parado en una cancha interior con su raqueta en la mano derecha, la bola de raqueta en la mano izquierda y está hablando y haciendo un gesto.</v>
      </c>
    </row>
    <row r="23986">
      <c r="A23986" s="4" t="s">
        <v>30180</v>
      </c>
      <c r="B23986" s="4" t="s">
        <v>30182</v>
      </c>
      <c r="C23986" s="5" t="str">
        <f>IFERROR(__xludf.DUMMYFUNCTION("GOOGLETRANSLATE(B23986,""en"",""es-ES"")"),"El hombre luego deja caer la pelota en la cancha, la golpea, luego la atrapa cuando regresa a él.")</f>
        <v>El hombre luego deja caer la pelota en la cancha, la golpea, luego la atrapa cuando regresa a él.</v>
      </c>
    </row>
    <row r="23987">
      <c r="A23987" s="4" t="s">
        <v>30180</v>
      </c>
      <c r="B23987" s="4" t="s">
        <v>30183</v>
      </c>
      <c r="C23987" s="5" t="str">
        <f>IFERROR(__xludf.DUMMYFUNCTION("GOOGLETRANSLATE(B23987,""en"",""es-ES"")"),"El hombre continúa hablando mientras sostiene la pelota y la raqueta en sus manos y la pantalla se desvanece en negro.")</f>
        <v>El hombre continúa hablando mientras sostiene la pelota y la raqueta en sus manos y la pantalla se desvanece en negro.</v>
      </c>
    </row>
    <row r="23988">
      <c r="A23988" s="4" t="s">
        <v>30184</v>
      </c>
      <c r="B23988" s="4" t="s">
        <v>30185</v>
      </c>
      <c r="C23988" s="5" t="str">
        <f>IFERROR(__xludf.DUMMYFUNCTION("GOOGLETRANSLATE(B23988,""en"",""es-ES"")"),"Un hombre está mirando hacia abajo y hablando con la cámara.")</f>
        <v>Un hombre está mirando hacia abajo y hablando con la cámara.</v>
      </c>
    </row>
    <row r="23989">
      <c r="A23989" s="4" t="s">
        <v>30184</v>
      </c>
      <c r="B23989" s="4" t="s">
        <v>30186</v>
      </c>
      <c r="C23989" s="5" t="str">
        <f>IFERROR(__xludf.DUMMYFUNCTION("GOOGLETRANSLATE(B23989,""en"",""es-ES"")"),"El hombre se quita las gafas y nos muestra cómo insertar lentes de contacto.")</f>
        <v>El hombre se quita las gafas y nos muestra cómo insertar lentes de contacto.</v>
      </c>
    </row>
    <row r="23990">
      <c r="A23990" s="4" t="s">
        <v>30184</v>
      </c>
      <c r="B23990" s="4" t="s">
        <v>30187</v>
      </c>
      <c r="C23990" s="5" t="str">
        <f>IFERROR(__xludf.DUMMYFUNCTION("GOOGLETRANSLATE(B23990,""en"",""es-ES"")"),"El hombre muestra la lente de contacto a la cámara.")</f>
        <v>El hombre muestra la lente de contacto a la cámara.</v>
      </c>
    </row>
    <row r="23991">
      <c r="A23991" s="4" t="s">
        <v>30184</v>
      </c>
      <c r="B23991" s="4" t="s">
        <v>30188</v>
      </c>
      <c r="C23991" s="5" t="str">
        <f>IFERROR(__xludf.DUMMYFUNCTION("GOOGLETRANSLATE(B23991,""en"",""es-ES"")"),"El hombre inserta el contacto y mueve su ojo.")</f>
        <v>El hombre inserta el contacto y mueve su ojo.</v>
      </c>
    </row>
    <row r="23992">
      <c r="A23992" s="4" t="s">
        <v>30184</v>
      </c>
      <c r="B23992" s="4" t="s">
        <v>30189</v>
      </c>
      <c r="C23992" s="5" t="str">
        <f>IFERROR(__xludf.DUMMYFUNCTION("GOOGLETRANSLATE(B23992,""en"",""es-ES"")"),"El hombre muestra su otro contacto.")</f>
        <v>El hombre muestra su otro contacto.</v>
      </c>
    </row>
    <row r="23993">
      <c r="A23993" s="4" t="s">
        <v>30184</v>
      </c>
      <c r="B23993" s="4" t="s">
        <v>30190</v>
      </c>
      <c r="C23993" s="5" t="str">
        <f>IFERROR(__xludf.DUMMYFUNCTION("GOOGLETRANSLATE(B23993,""en"",""es-ES"")"),"El hombre inserta el contacto a la derecha y mueve su ojo.")</f>
        <v>El hombre inserta el contacto a la derecha y mueve su ojo.</v>
      </c>
    </row>
    <row r="23994">
      <c r="A23994" s="4" t="s">
        <v>30191</v>
      </c>
      <c r="B23994" s="4" t="s">
        <v>30192</v>
      </c>
      <c r="C23994" s="5" t="str">
        <f>IFERROR(__xludf.DUMMYFUNCTION("GOOGLETRANSLATE(B23994,""en"",""es-ES"")"),"Un hombre palea nieve en invierno.")</f>
        <v>Un hombre palea nieve en invierno.</v>
      </c>
    </row>
    <row r="23995">
      <c r="A23995" s="4" t="s">
        <v>30191</v>
      </c>
      <c r="B23995" s="4" t="s">
        <v>30193</v>
      </c>
      <c r="C23995" s="5" t="str">
        <f>IFERROR(__xludf.DUMMYFUNCTION("GOOGLETRANSLATE(B23995,""en"",""es-ES"")"),"Se hace una foto de lapso de tiempo y se borra una ruta para que un automóvil pueda salir.")</f>
        <v>Se hace una foto de lapso de tiempo y se borra una ruta para que un automóvil pueda salir.</v>
      </c>
    </row>
    <row r="23996">
      <c r="A23996" s="4" t="s">
        <v>30194</v>
      </c>
      <c r="B23996" s="4" t="s">
        <v>30195</v>
      </c>
      <c r="C23996" s="5" t="str">
        <f>IFERROR(__xludf.DUMMYFUNCTION("GOOGLETRANSLATE(B23996,""en"",""es-ES"")"),"Dos hombres están en la parte superior una escalera en un anillo de lucha libre, un hombre se dobla en la escalera.")</f>
        <v>Dos hombres están en la parte superior una escalera en un anillo de lucha libre, un hombre se dobla en la escalera.</v>
      </c>
    </row>
    <row r="23997">
      <c r="A23997" s="4" t="s">
        <v>30194</v>
      </c>
      <c r="B23997" s="4" t="s">
        <v>30196</v>
      </c>
      <c r="C23997" s="5" t="str">
        <f>IFERROR(__xludf.DUMMYFUNCTION("GOOGLETRANSLATE(B23997,""en"",""es-ES"")"),"Luego, el luchador salta sobre el hombre, y el hombre y el luchador caen al ring.")</f>
        <v>Luego, el luchador salta sobre el hombre, y el hombre y el luchador caen al ring.</v>
      </c>
    </row>
    <row r="23998">
      <c r="A23998" s="4" t="s">
        <v>30194</v>
      </c>
      <c r="B23998" s="4" t="s">
        <v>30197</v>
      </c>
      <c r="C23998" s="5" t="str">
        <f>IFERROR(__xludf.DUMMYFUNCTION("GOOGLETRANSLATE(B23998,""en"",""es-ES"")"),"El juez mira a los hombres.")</f>
        <v>El juez mira a los hombres.</v>
      </c>
    </row>
    <row r="23999">
      <c r="A23999" s="4" t="s">
        <v>30198</v>
      </c>
      <c r="B23999" s="4" t="s">
        <v>30199</v>
      </c>
      <c r="C23999" s="5" t="str">
        <f>IFERROR(__xludf.DUMMYFUNCTION("GOOGLETRANSLATE(B23999,""en"",""es-ES"")"),"Un niño toma una copa y se lo agita en la boca.")</f>
        <v>Un niño toma una copa y se lo agita en la boca.</v>
      </c>
    </row>
    <row r="24000">
      <c r="A24000" s="4" t="s">
        <v>30198</v>
      </c>
      <c r="B24000" s="4" t="s">
        <v>30200</v>
      </c>
      <c r="C24000" s="5" t="str">
        <f>IFERROR(__xludf.DUMMYFUNCTION("GOOGLETRANSLATE(B24000,""en"",""es-ES"")"),"Lo escupen en un fregadero.")</f>
        <v>Lo escupen en un fregadero.</v>
      </c>
    </row>
    <row r="24001">
      <c r="A24001" s="4" t="s">
        <v>30198</v>
      </c>
      <c r="B24001" s="4" t="s">
        <v>30201</v>
      </c>
      <c r="C24001" s="5" t="str">
        <f>IFERROR(__xludf.DUMMYFUNCTION("GOOGLETRANSLATE(B24001,""en"",""es-ES"")"),"Sacan otra bebida de una taza.")</f>
        <v>Sacan otra bebida de una taza.</v>
      </c>
    </row>
    <row r="24002">
      <c r="A24002" s="4" t="s">
        <v>30198</v>
      </c>
      <c r="B24002" s="4" t="s">
        <v>30202</v>
      </c>
      <c r="C24002" s="5" t="str">
        <f>IFERROR(__xludf.DUMMYFUNCTION("GOOGLETRANSLATE(B24002,""en"",""es-ES"")"),"Pusieron su boca en una toalla.")</f>
        <v>Pusieron su boca en una toalla.</v>
      </c>
    </row>
    <row r="24003">
      <c r="A24003" s="4" t="s">
        <v>30198</v>
      </c>
      <c r="B24003" s="4" t="s">
        <v>30203</v>
      </c>
      <c r="C24003" s="5" t="str">
        <f>IFERROR(__xludf.DUMMYFUNCTION("GOOGLETRANSLATE(B24003,""en"",""es-ES"")"),"Toman otra bebida y la tiran en el fregadero.")</f>
        <v>Toman otra bebida y la tiran en el fregadero.</v>
      </c>
    </row>
    <row r="24004">
      <c r="A24004" s="4" t="s">
        <v>30198</v>
      </c>
      <c r="B24004" s="4" t="s">
        <v>30204</v>
      </c>
      <c r="C24004" s="5" t="str">
        <f>IFERROR(__xludf.DUMMYFUNCTION("GOOGLETRANSLATE(B24004,""en"",""es-ES"")"),"Se levantan la toalla y se limpian la cara.")</f>
        <v>Se levantan la toalla y se limpian la cara.</v>
      </c>
    </row>
    <row r="24005">
      <c r="A24005" s="4" t="s">
        <v>30198</v>
      </c>
      <c r="B24005" s="4" t="s">
        <v>30205</v>
      </c>
      <c r="C24005" s="5" t="str">
        <f>IFERROR(__xludf.DUMMYFUNCTION("GOOGLETRANSLATE(B24005,""en"",""es-ES"")"),"Toman una taza y encienden el fregadero.")</f>
        <v>Toman una taza y encienden el fregadero.</v>
      </c>
    </row>
    <row r="24006">
      <c r="A24006" s="4" t="s">
        <v>30206</v>
      </c>
      <c r="B24006" s="4" t="s">
        <v>30207</v>
      </c>
      <c r="C24006" s="5" t="str">
        <f>IFERROR(__xludf.DUMMYFUNCTION("GOOGLETRANSLATE(B24006,""en"",""es-ES"")"),"Un equipo de lacrosse va a jugar un juego.")</f>
        <v>Un equipo de lacrosse va a jugar un juego.</v>
      </c>
    </row>
    <row r="24007">
      <c r="A24007" s="4" t="s">
        <v>30206</v>
      </c>
      <c r="B24007" s="4" t="s">
        <v>30208</v>
      </c>
      <c r="C24007" s="5" t="str">
        <f>IFERROR(__xludf.DUMMYFUNCTION("GOOGLETRANSLATE(B24007,""en"",""es-ES"")"),"Se muestran otros aspectos destacados.")</f>
        <v>Se muestran otros aspectos destacados.</v>
      </c>
    </row>
    <row r="24008">
      <c r="A24008" s="4" t="s">
        <v>30209</v>
      </c>
      <c r="B24008" s="4" t="s">
        <v>30210</v>
      </c>
      <c r="C24008" s="5" t="str">
        <f>IFERROR(__xludf.DUMMYFUNCTION("GOOGLETRANSLATE(B24008,""en"",""es-ES"")"),"Un niño está de pie en una cocina con dos piezas de pan.")</f>
        <v>Un niño está de pie en una cocina con dos piezas de pan.</v>
      </c>
    </row>
    <row r="24009">
      <c r="A24009" s="4" t="s">
        <v>30209</v>
      </c>
      <c r="B24009" s="4" t="s">
        <v>30211</v>
      </c>
      <c r="C24009" s="5" t="str">
        <f>IFERROR(__xludf.DUMMYFUNCTION("GOOGLETRANSLATE(B24009,""en"",""es-ES"")"),"Abre el refrigerador y saca ingredientes de sándwich.")</f>
        <v>Abre el refrigerador y saca ingredientes de sándwich.</v>
      </c>
    </row>
    <row r="24010">
      <c r="A24010" s="4" t="s">
        <v>30209</v>
      </c>
      <c r="B24010" s="4" t="s">
        <v>30212</v>
      </c>
      <c r="C24010" s="5" t="str">
        <f>IFERROR(__xludf.DUMMYFUNCTION("GOOGLETRANSLATE(B24010,""en"",""es-ES"")"),"Lleva mostaza y mayonesa en el sándwich.")</f>
        <v>Lleva mostaza y mayonesa en el sándwich.</v>
      </c>
    </row>
    <row r="24011">
      <c r="A24011" s="4" t="s">
        <v>30209</v>
      </c>
      <c r="B24011" s="4" t="s">
        <v>30213</v>
      </c>
      <c r="C24011" s="5" t="str">
        <f>IFERROR(__xludf.DUMMYFUNCTION("GOOGLETRANSLATE(B24011,""en"",""es-ES"")"),"Luego agrega carne y queso.")</f>
        <v>Luego agrega carne y queso.</v>
      </c>
    </row>
    <row r="24012">
      <c r="A24012" s="4" t="s">
        <v>30209</v>
      </c>
      <c r="B24012" s="4" t="s">
        <v>30214</v>
      </c>
      <c r="C24012" s="5" t="str">
        <f>IFERROR(__xludf.DUMMYFUNCTION("GOOGLETRANSLATE(B24012,""en"",""es-ES"")"),"Luego, vuelve a colocar los ingredientes en el refrigerador, concentrándose en el sándwich en el mostrador.")</f>
        <v>Luego, vuelve a colocar los ingredientes en el refrigerador, concentrándose en el sándwich en el mostrador.</v>
      </c>
    </row>
    <row r="24013">
      <c r="A24013" s="4" t="s">
        <v>30215</v>
      </c>
      <c r="B24013" s="4" t="s">
        <v>30216</v>
      </c>
      <c r="C24013" s="5" t="str">
        <f>IFERROR(__xludf.DUMMYFUNCTION("GOOGLETRANSLATE(B24013,""en"",""es-ES"")"),"Vemos a un hombre con un mazo de croquet hablando.")</f>
        <v>Vemos a un hombre con un mazo de croquet hablando.</v>
      </c>
    </row>
    <row r="24014">
      <c r="A24014" s="4" t="s">
        <v>30215</v>
      </c>
      <c r="B24014" s="4" t="s">
        <v>30217</v>
      </c>
      <c r="C24014" s="5" t="str">
        <f>IFERROR(__xludf.DUMMYFUNCTION("GOOGLETRANSLATE(B24014,""en"",""es-ES"")"),"El hombre alinea su disparo de la bola roja.")</f>
        <v>El hombre alinea su disparo de la bola roja.</v>
      </c>
    </row>
    <row r="24015">
      <c r="A24015" s="4" t="s">
        <v>30215</v>
      </c>
      <c r="B24015" s="4" t="s">
        <v>30218</v>
      </c>
      <c r="C24015" s="5" t="str">
        <f>IFERROR(__xludf.DUMMYFUNCTION("GOOGLETRANSLATE(B24015,""en"",""es-ES"")"),"El hombre golpea la bola roja.")</f>
        <v>El hombre golpea la bola roja.</v>
      </c>
    </row>
    <row r="24016">
      <c r="A24016" s="4" t="s">
        <v>30215</v>
      </c>
      <c r="B24016" s="4" t="s">
        <v>30219</v>
      </c>
      <c r="C24016" s="5" t="str">
        <f>IFERROR(__xludf.DUMMYFUNCTION("GOOGLETRANSLATE(B24016,""en"",""es-ES"")"),"El hombre apunta a la bola azul que se arrodilla en la hierba.")</f>
        <v>El hombre apunta a la bola azul que se arrodilla en la hierba.</v>
      </c>
    </row>
    <row r="24017">
      <c r="A24017" s="4" t="s">
        <v>30220</v>
      </c>
      <c r="B24017" s="4" t="s">
        <v>30221</v>
      </c>
      <c r="C24017" s="5" t="str">
        <f>IFERROR(__xludf.DUMMYFUNCTION("GOOGLETRANSLATE(B24017,""en"",""es-ES"")"),"Un grupo de amigos juega con un tablero en una cancha interior.")</f>
        <v>Un grupo de amigos juega con un tablero en una cancha interior.</v>
      </c>
    </row>
    <row r="24018">
      <c r="A24018" s="4" t="s">
        <v>30220</v>
      </c>
      <c r="B24018" s="4" t="s">
        <v>30222</v>
      </c>
      <c r="C24018" s="5" t="str">
        <f>IFERROR(__xludf.DUMMYFUNCTION("GOOGLETRANSLATE(B24018,""en"",""es-ES"")"),"El grupo se turna para disparar discos en la cancha de shuffleboard.")</f>
        <v>El grupo se turna para disparar discos en la cancha de shuffleboard.</v>
      </c>
    </row>
    <row r="24019">
      <c r="A24019" s="4" t="s">
        <v>30223</v>
      </c>
      <c r="B24019" s="4" t="s">
        <v>30224</v>
      </c>
      <c r="C24019" s="5" t="str">
        <f>IFERROR(__xludf.DUMMYFUNCTION("GOOGLETRANSLATE(B24019,""en"",""es-ES"")"),"La gente está hablando en una habitación.")</f>
        <v>La gente está hablando en una habitación.</v>
      </c>
    </row>
    <row r="24020">
      <c r="A24020" s="4" t="s">
        <v>30223</v>
      </c>
      <c r="B24020" s="4" t="s">
        <v>30225</v>
      </c>
      <c r="C24020" s="5" t="str">
        <f>IFERROR(__xludf.DUMMYFUNCTION("GOOGLETRANSLATE(B24020,""en"",""es-ES"")"),"La gente juega con blackjack en un casino lleno de gente.")</f>
        <v>La gente juega con blackjack en un casino lleno de gente.</v>
      </c>
    </row>
    <row r="24021">
      <c r="A24021" s="4" t="s">
        <v>30223</v>
      </c>
      <c r="B24021" s="4" t="s">
        <v>30226</v>
      </c>
      <c r="C24021" s="5" t="str">
        <f>IFERROR(__xludf.DUMMYFUNCTION("GOOGLETRANSLATE(B24021,""en"",""es-ES"")"),"Un hombre aplaude las manos y firma un papel.")</f>
        <v>Un hombre aplaude las manos y firma un papel.</v>
      </c>
    </row>
    <row r="24022">
      <c r="A24022" s="4" t="s">
        <v>30223</v>
      </c>
      <c r="B24022" s="4" t="s">
        <v>30227</v>
      </c>
      <c r="C24022" s="5" t="str">
        <f>IFERROR(__xludf.DUMMYFUNCTION("GOOGLETRANSLATE(B24022,""en"",""es-ES"")"),"La gente continúa jugando Blackjack.")</f>
        <v>La gente continúa jugando Blackjack.</v>
      </c>
    </row>
    <row r="24023">
      <c r="A24023" s="4" t="s">
        <v>30228</v>
      </c>
      <c r="B24023" s="4" t="s">
        <v>30229</v>
      </c>
      <c r="C24023" s="5" t="str">
        <f>IFERROR(__xludf.DUMMYFUNCTION("GOOGLETRANSLATE(B24023,""en"",""es-ES"")"),"Una mujer entra en un área parcialmente anotada.")</f>
        <v>Una mujer entra en un área parcialmente anotada.</v>
      </c>
    </row>
    <row r="24024">
      <c r="A24024" s="4" t="s">
        <v>30228</v>
      </c>
      <c r="B24024" s="4" t="s">
        <v>30230</v>
      </c>
      <c r="C24024" s="5" t="str">
        <f>IFERROR(__xludf.DUMMYFUNCTION("GOOGLETRANSLATE(B24024,""en"",""es-ES"")"),"La mujer se para prepararse para el lanzamiento de martillo.")</f>
        <v>La mujer se para prepararse para el lanzamiento de martillo.</v>
      </c>
    </row>
    <row r="24025">
      <c r="A24025" s="4" t="s">
        <v>30228</v>
      </c>
      <c r="B24025" s="4" t="s">
        <v>30231</v>
      </c>
      <c r="C24025" s="5" t="str">
        <f>IFERROR(__xludf.DUMMYFUNCTION("GOOGLETRANSLATE(B24025,""en"",""es-ES"")"),"La mujer realiza el lanzamiento de martillo.")</f>
        <v>La mujer realiza el lanzamiento de martillo.</v>
      </c>
    </row>
    <row r="24026">
      <c r="A24026" s="4" t="s">
        <v>30228</v>
      </c>
      <c r="B24026" s="4" t="s">
        <v>30232</v>
      </c>
      <c r="C24026" s="5" t="str">
        <f>IFERROR(__xludf.DUMMYFUNCTION("GOOGLETRANSLATE(B24026,""en"",""es-ES"")"),"Se ve al martillo aterrizando con jueces caminando hacia él.")</f>
        <v>Se ve al martillo aterrizando con jueces caminando hacia él.</v>
      </c>
    </row>
    <row r="24027">
      <c r="A24027" s="4" t="s">
        <v>30228</v>
      </c>
      <c r="B24027" s="4" t="s">
        <v>30233</v>
      </c>
      <c r="C24027" s="5" t="str">
        <f>IFERROR(__xludf.DUMMYFUNCTION("GOOGLETRANSLATE(B24027,""en"",""es-ES"")"),"La mujer levanta su brazo.")</f>
        <v>La mujer levanta su brazo.</v>
      </c>
    </row>
    <row r="24028">
      <c r="A24028" s="4" t="s">
        <v>30228</v>
      </c>
      <c r="B24028" s="4" t="s">
        <v>30234</v>
      </c>
      <c r="C24028" s="5" t="str">
        <f>IFERROR(__xludf.DUMMYFUNCTION("GOOGLETRANSLATE(B24028,""en"",""es-ES"")"),"La mujer sale de la zona anotada.")</f>
        <v>La mujer sale de la zona anotada.</v>
      </c>
    </row>
    <row r="24029">
      <c r="A24029" s="4" t="s">
        <v>30228</v>
      </c>
      <c r="B24029" s="4" t="s">
        <v>30235</v>
      </c>
      <c r="C24029" s="5" t="str">
        <f>IFERROR(__xludf.DUMMYFUNCTION("GOOGLETRANSLATE(B24029,""en"",""es-ES"")"),"La mujer vuelve a levantar el brazo.")</f>
        <v>La mujer vuelve a levantar el brazo.</v>
      </c>
    </row>
    <row r="24030">
      <c r="A24030" s="4" t="s">
        <v>30236</v>
      </c>
      <c r="B24030" s="4" t="s">
        <v>30237</v>
      </c>
      <c r="C24030" s="5" t="str">
        <f>IFERROR(__xludf.DUMMYFUNCTION("GOOGLETRANSLATE(B24030,""en"",""es-ES"")"),"Dos personas juegan con Foosball con una mujer detrás.")</f>
        <v>Dos personas juegan con Foosball con una mujer detrás.</v>
      </c>
    </row>
    <row r="24031">
      <c r="A24031" s="4" t="s">
        <v>30236</v>
      </c>
      <c r="B24031" s="4" t="s">
        <v>30238</v>
      </c>
      <c r="C24031" s="5" t="str">
        <f>IFERROR(__xludf.DUMMYFUNCTION("GOOGLETRANSLATE(B24031,""en"",""es-ES"")"),"Una persona anota y aplaude.")</f>
        <v>Una persona anota y aplaude.</v>
      </c>
    </row>
    <row r="24032">
      <c r="A24032" s="4" t="s">
        <v>30239</v>
      </c>
      <c r="B24032" s="4" t="s">
        <v>30240</v>
      </c>
      <c r="C24032" s="5" t="str">
        <f>IFERROR(__xludf.DUMMYFUNCTION("GOOGLETRANSLATE(B24032,""en"",""es-ES"")"),"Un niño se balancea en un columpio al aire libre.")</f>
        <v>Un niño se balancea en un columpio al aire libre.</v>
      </c>
    </row>
    <row r="24033">
      <c r="A24033" s="4" t="s">
        <v>30239</v>
      </c>
      <c r="B24033" s="4" t="s">
        <v>30241</v>
      </c>
      <c r="C24033" s="5" t="str">
        <f>IFERROR(__xludf.DUMMYFUNCTION("GOOGLETRANSLATE(B24033,""en"",""es-ES"")"),"Él balancea lo más alto que puede con las piernas.")</f>
        <v>Él balancea lo más alto que puede con las piernas.</v>
      </c>
    </row>
    <row r="24034">
      <c r="A24034" s="4" t="s">
        <v>30242</v>
      </c>
      <c r="B24034" s="4" t="s">
        <v>30243</v>
      </c>
      <c r="C24034" s="5" t="str">
        <f>IFERROR(__xludf.DUMMYFUNCTION("GOOGLETRANSLATE(B24034,""en"",""es-ES"")"),"Se ve a una mujer sentada en un sofá sosteniendo un sombrero y la lleva a cortar las garras del gato.")</f>
        <v>Se ve a una mujer sentada en un sofá sosteniendo un sombrero y la lleva a cortar las garras del gato.</v>
      </c>
    </row>
    <row r="24035">
      <c r="A24035" s="4" t="s">
        <v>30242</v>
      </c>
      <c r="B24035" s="4" t="s">
        <v>30244</v>
      </c>
      <c r="C24035" s="5" t="str">
        <f>IFERROR(__xludf.DUMMYFUNCTION("GOOGLETRANSLATE(B24035,""en"",""es-ES"")"),"Luego levanta un trozo de papel mientras el gato se escapa y señala el papel.")</f>
        <v>Luego levanta un trozo de papel mientras el gato se escapa y señala el papel.</v>
      </c>
    </row>
    <row r="24036">
      <c r="A24036" s="4" t="s">
        <v>30245</v>
      </c>
      <c r="B24036" s="4" t="s">
        <v>30246</v>
      </c>
      <c r="C24036" s="5" t="str">
        <f>IFERROR(__xludf.DUMMYFUNCTION("GOOGLETRANSLATE(B24036,""en"",""es-ES"")"),"Una persona está sentada en un tubo con otras personas de pie y empujando a la persona por un sendero nevado.")</f>
        <v>Una persona está sentada en un tubo con otras personas de pie y empujando a la persona por un sendero nevado.</v>
      </c>
    </row>
    <row r="24037">
      <c r="A24037" s="4" t="s">
        <v>30245</v>
      </c>
      <c r="B24037" s="4" t="s">
        <v>30247</v>
      </c>
      <c r="C24037" s="5" t="str">
        <f>IFERROR(__xludf.DUMMYFUNCTION("GOOGLETRANSLATE(B24037,""en"",""es-ES"")"),"La persona vuela por el sendero en el tubo con otra persona después de abajo.")</f>
        <v>La persona vuela por el sendero en el tubo con otra persona después de abajo.</v>
      </c>
    </row>
    <row r="24038">
      <c r="A24038" s="4" t="s">
        <v>30248</v>
      </c>
      <c r="B24038" s="4" t="s">
        <v>30249</v>
      </c>
      <c r="C24038" s="5" t="str">
        <f>IFERROR(__xludf.DUMMYFUNCTION("GOOGLETRANSLATE(B24038,""en"",""es-ES"")"),"Un periodista está entrevistando a un jugador de baloncesto en una cancha.")</f>
        <v>Un periodista está entrevistando a un jugador de baloncesto en una cancha.</v>
      </c>
    </row>
    <row r="24039">
      <c r="A24039" s="4" t="s">
        <v>30248</v>
      </c>
      <c r="B24039" s="4" t="s">
        <v>30250</v>
      </c>
      <c r="C24039" s="5" t="str">
        <f>IFERROR(__xludf.DUMMYFUNCTION("GOOGLETRANSLATE(B24039,""en"",""es-ES"")"),"El hombre está puliendo el piso de madera.")</f>
        <v>El hombre está puliendo el piso de madera.</v>
      </c>
    </row>
    <row r="24040">
      <c r="A24040" s="4" t="s">
        <v>30251</v>
      </c>
      <c r="B24040" s="4" t="s">
        <v>30252</v>
      </c>
      <c r="C24040" s="5" t="str">
        <f>IFERROR(__xludf.DUMMYFUNCTION("GOOGLETRANSLATE(B24040,""en"",""es-ES"")"),"Una niña está sentada en la arena donde ha estado tratando de hacer un castillo de arena.")</f>
        <v>Una niña está sentada en la arena donde ha estado tratando de hacer un castillo de arena.</v>
      </c>
    </row>
    <row r="24041">
      <c r="A24041" s="4" t="s">
        <v>30251</v>
      </c>
      <c r="B24041" s="4" t="s">
        <v>30253</v>
      </c>
      <c r="C24041" s="5" t="str">
        <f>IFERROR(__xludf.DUMMYFUNCTION("GOOGLETRANSLATE(B24041,""en"",""es-ES"")"),"Los adultos y otra chica se ríen mientras intentan construir algo en la arena.")</f>
        <v>Los adultos y otra chica se ríen mientras intentan construir algo en la arena.</v>
      </c>
    </row>
    <row r="24042">
      <c r="A24042" s="4" t="s">
        <v>30254</v>
      </c>
      <c r="B24042" s="4" t="s">
        <v>30255</v>
      </c>
      <c r="C24042" s="5" t="str">
        <f>IFERROR(__xludf.DUMMYFUNCTION("GOOGLETRANSLATE(B24042,""en"",""es-ES"")"),"Un joven adulto golpea y patea un saco de boxeo suspendido.")</f>
        <v>Un joven adulto golpea y patea un saco de boxeo suspendido.</v>
      </c>
    </row>
    <row r="24043">
      <c r="A24043" s="4" t="s">
        <v>30254</v>
      </c>
      <c r="B24043" s="4" t="s">
        <v>30256</v>
      </c>
      <c r="C24043" s="5" t="str">
        <f>IFERROR(__xludf.DUMMYFUNCTION("GOOGLETRANSLATE(B24043,""en"",""es-ES"")"),"El hombre joven luego comienza a moverse alrededor del saco de boxeo mientras todavía lo golpea y lo patea.")</f>
        <v>El hombre joven luego comienza a moverse alrededor del saco de boxeo mientras todavía lo golpea y lo patea.</v>
      </c>
    </row>
    <row r="24044">
      <c r="A24044" s="4" t="s">
        <v>30254</v>
      </c>
      <c r="B24044" s="4" t="s">
        <v>30257</v>
      </c>
      <c r="C24044" s="5" t="str">
        <f>IFERROR(__xludf.DUMMYFUNCTION("GOOGLETRANSLATE(B24044,""en"",""es-ES"")"),"El joven hombre se aleja mientras se quita los guantes.")</f>
        <v>El joven hombre se aleja mientras se quita los guantes.</v>
      </c>
    </row>
    <row r="24045">
      <c r="A24045" s="4" t="s">
        <v>30258</v>
      </c>
      <c r="B24045" s="4" t="s">
        <v>30259</v>
      </c>
      <c r="C24045" s="5" t="str">
        <f>IFERROR(__xludf.DUMMYFUNCTION("GOOGLETRANSLATE(B24045,""en"",""es-ES"")"),"Un hombre que habla con la cámara mientras sostiene un póster.")</f>
        <v>Un hombre que habla con la cámara mientras sostiene un póster.</v>
      </c>
    </row>
    <row r="24046">
      <c r="A24046" s="4" t="s">
        <v>30258</v>
      </c>
      <c r="B24046" s="4" t="s">
        <v>30260</v>
      </c>
      <c r="C24046" s="5" t="str">
        <f>IFERROR(__xludf.DUMMYFUNCTION("GOOGLETRANSLATE(B24046,""en"",""es-ES"")"),"Él toma varios objetos de la mesa y explica sus instrucciones.")</f>
        <v>Él toma varios objetos de la mesa y explica sus instrucciones.</v>
      </c>
    </row>
    <row r="24047">
      <c r="A24047" s="4" t="s">
        <v>30258</v>
      </c>
      <c r="B24047" s="4" t="s">
        <v>30261</v>
      </c>
      <c r="C24047" s="5" t="str">
        <f>IFERROR(__xludf.DUMMYFUNCTION("GOOGLETRANSLATE(B24047,""en"",""es-ES"")"),"Envuelve una caja con papel de aluminio y luego escribe en la caja con un marcador.")</f>
        <v>Envuelve una caja con papel de aluminio y luego escribe en la caja con un marcador.</v>
      </c>
    </row>
    <row r="24048">
      <c r="A24048" s="4" t="s">
        <v>30258</v>
      </c>
      <c r="B24048" s="4" t="s">
        <v>30262</v>
      </c>
      <c r="C24048" s="5" t="str">
        <f>IFERROR(__xludf.DUMMYFUNCTION("GOOGLETRANSLATE(B24048,""en"",""es-ES"")"),"Él presenta más papel de aluminio y envuelve otro objeto con él.")</f>
        <v>Él presenta más papel de aluminio y envuelve otro objeto con él.</v>
      </c>
    </row>
    <row r="24049">
      <c r="A24049" s="4" t="s">
        <v>30258</v>
      </c>
      <c r="B24049" s="4" t="s">
        <v>30263</v>
      </c>
      <c r="C24049" s="5" t="str">
        <f>IFERROR(__xludf.DUMMYFUNCTION("GOOGLETRANSLATE(B24049,""en"",""es-ES"")"),"Termina envolviendo todos los objetos con papel de aluminio y mostrando cómo.")</f>
        <v>Termina envolviendo todos los objetos con papel de aluminio y mostrando cómo.</v>
      </c>
    </row>
    <row r="24050">
      <c r="A24050" s="4" t="s">
        <v>30264</v>
      </c>
      <c r="B24050" s="4" t="s">
        <v>30265</v>
      </c>
      <c r="C24050" s="5" t="str">
        <f>IFERROR(__xludf.DUMMYFUNCTION("GOOGLETRANSLATE(B24050,""en"",""es-ES"")"),"Un hombre está sentado en un banco de entrenamiento.")</f>
        <v>Un hombre está sentado en un banco de entrenamiento.</v>
      </c>
    </row>
    <row r="24051">
      <c r="A24051" s="4" t="s">
        <v>30264</v>
      </c>
      <c r="B24051" s="4" t="s">
        <v>30266</v>
      </c>
      <c r="C24051" s="5" t="str">
        <f>IFERROR(__xludf.DUMMYFUNCTION("GOOGLETRANSLATE(B24051,""en"",""es-ES"")"),"Se recuesta y comienza a hacer abdominales.")</f>
        <v>Se recuesta y comienza a hacer abdominales.</v>
      </c>
    </row>
    <row r="24052">
      <c r="A24052" s="4" t="s">
        <v>30264</v>
      </c>
      <c r="B24052" s="4" t="s">
        <v>30267</v>
      </c>
      <c r="C24052" s="5" t="str">
        <f>IFERROR(__xludf.DUMMYFUNCTION("GOOGLETRANSLATE(B24052,""en"",""es-ES"")"),"Se sienta de nuevo en la máquina y continúa hablando.")</f>
        <v>Se sienta de nuevo en la máquina y continúa hablando.</v>
      </c>
    </row>
    <row r="24053">
      <c r="A24053" s="4" t="s">
        <v>30268</v>
      </c>
      <c r="B24053" s="4" t="s">
        <v>3486</v>
      </c>
      <c r="C24053" s="5" t="str">
        <f>IFERROR(__xludf.DUMMYFUNCTION("GOOGLETRANSLATE(B24053,""en"",""es-ES"")"),"Una gimnasta monta una viga baja en un gimnasio.")</f>
        <v>Una gimnasta monta una viga baja en un gimnasio.</v>
      </c>
    </row>
    <row r="24054">
      <c r="A24054" s="4" t="s">
        <v>30268</v>
      </c>
      <c r="B24054" s="4" t="s">
        <v>30269</v>
      </c>
      <c r="C24054" s="5" t="str">
        <f>IFERROR(__xludf.DUMMYFUNCTION("GOOGLETRANSLATE(B24054,""en"",""es-ES"")"),"Ella se para en la viga, luego hace varios manantiales y voltea.")</f>
        <v>Ella se para en la viga, luego hace varios manantiales y voltea.</v>
      </c>
    </row>
    <row r="24055">
      <c r="A24055" s="4" t="s">
        <v>30268</v>
      </c>
      <c r="B24055" s="4" t="s">
        <v>8353</v>
      </c>
      <c r="C24055" s="5" t="str">
        <f>IFERROR(__xludf.DUMMYFUNCTION("GOOGLETRANSLATE(B24055,""en"",""es-ES"")"),"Ella desmonta, levantando los brazos en el aire.")</f>
        <v>Ella desmonta, levantando los brazos en el aire.</v>
      </c>
    </row>
    <row r="24056">
      <c r="A24056" s="4" t="s">
        <v>30270</v>
      </c>
      <c r="B24056" s="4" t="s">
        <v>30271</v>
      </c>
      <c r="C24056" s="5" t="str">
        <f>IFERROR(__xludf.DUMMYFUNCTION("GOOGLETRANSLATE(B24056,""en"",""es-ES"")"),"Una gran ola se rompe en el océano mientras los surfistas y los surfistas reman sobre ella.")</f>
        <v>Una gran ola se rompe en el océano mientras los surfistas y los surfistas reman sobre ella.</v>
      </c>
    </row>
    <row r="24057">
      <c r="A24057" s="4" t="s">
        <v>30270</v>
      </c>
      <c r="B24057" s="4" t="s">
        <v>30272</v>
      </c>
      <c r="C24057" s="5" t="str">
        <f>IFERROR(__xludf.DUMMYFUNCTION("GOOGLETRANSLATE(B24057,""en"",""es-ES"")"),"Una gran ola se estrella en el océano y un hombre monta por la cara en el tablero.")</f>
        <v>Una gran ola se estrella en el océano y un hombre monta por la cara en el tablero.</v>
      </c>
    </row>
    <row r="24058">
      <c r="A24058" s="4" t="s">
        <v>30270</v>
      </c>
      <c r="B24058" s="4" t="s">
        <v>30273</v>
      </c>
      <c r="C24058" s="5" t="str">
        <f>IFERROR(__xludf.DUMMYFUNCTION("GOOGLETRANSLATE(B24058,""en"",""es-ES"")"),"Los surfistas montan olas en el océano.")</f>
        <v>Los surfistas montan olas en el océano.</v>
      </c>
    </row>
    <row r="24059">
      <c r="A24059" s="4" t="s">
        <v>30270</v>
      </c>
      <c r="B24059" s="4" t="s">
        <v>30274</v>
      </c>
      <c r="C24059" s="5" t="str">
        <f>IFERROR(__xludf.DUMMYFUNCTION("GOOGLETRANSLATE(B24059,""en"",""es-ES"")"),"Una gran ola se rompe en la costa y los espectadores corren.")</f>
        <v>Una gran ola se rompe en la costa y los espectadores corren.</v>
      </c>
    </row>
    <row r="24060">
      <c r="A24060" s="4" t="s">
        <v>30275</v>
      </c>
      <c r="B24060" s="4" t="s">
        <v>30276</v>
      </c>
      <c r="C24060" s="5" t="str">
        <f>IFERROR(__xludf.DUMMYFUNCTION("GOOGLETRANSLATE(B24060,""en"",""es-ES"")"),"Varias personas se dividen en grupos en balaya en kayak a través de agua turbia.")</f>
        <v>Varias personas se dividen en grupos en balaya en kayak a través de agua turbia.</v>
      </c>
    </row>
    <row r="24061">
      <c r="A24061" s="4" t="s">
        <v>30275</v>
      </c>
      <c r="B24061" s="4" t="s">
        <v>30277</v>
      </c>
      <c r="C24061" s="5" t="str">
        <f>IFERROR(__xludf.DUMMYFUNCTION("GOOGLETRANSLATE(B24061,""en"",""es-ES"")"),"El primer grupo de ocho personas se reman cerca de un acantilado y bajan por la colina y los demás se sienten detrás de ellas con las mismas acciones.")</f>
        <v>El primer grupo de ocho personas se reman cerca de un acantilado y bajan por la colina y los demás se sienten detrás de ellas con las mismas acciones.</v>
      </c>
    </row>
    <row r="24062">
      <c r="A24062" s="4" t="s">
        <v>30275</v>
      </c>
      <c r="B24062" s="4" t="s">
        <v>30278</v>
      </c>
      <c r="C24062" s="5" t="str">
        <f>IFERROR(__xludf.DUMMYFUNCTION("GOOGLETRANSLATE(B24062,""en"",""es-ES"")"),"Para el quinto grupo, se proporciona una vista aérea y la otra forma de que vengan.")</f>
        <v>Para el quinto grupo, se proporciona una vista aérea y la otra forma de que vengan.</v>
      </c>
    </row>
    <row r="24063">
      <c r="A24063" s="4" t="s">
        <v>30275</v>
      </c>
      <c r="B24063" s="4" t="s">
        <v>30279</v>
      </c>
      <c r="C24063" s="5" t="str">
        <f>IFERROR(__xludf.DUMMYFUNCTION("GOOGLETRANSLATE(B24063,""en"",""es-ES"")"),"Después, cada grupo hace lo mismo que maniobran en varias partes del agua y golpean rocas.")</f>
        <v>Después, cada grupo hace lo mismo que maniobran en varias partes del agua y golpean rocas.</v>
      </c>
    </row>
    <row r="24064">
      <c r="A24064" s="4" t="s">
        <v>30280</v>
      </c>
      <c r="B24064" s="4" t="s">
        <v>30281</v>
      </c>
      <c r="C24064" s="5" t="str">
        <f>IFERROR(__xludf.DUMMYFUNCTION("GOOGLETRANSLATE(B24064,""en"",""es-ES"")"),"Una mujer que lleva una chaqueta de estampado de leopardo está sentada con un hombre en una barra de narguile.")</f>
        <v>Una mujer que lleva una chaqueta de estampado de leopardo está sentada con un hombre en una barra de narguile.</v>
      </c>
    </row>
    <row r="24065">
      <c r="A24065" s="4" t="s">
        <v>30280</v>
      </c>
      <c r="B24065" s="4" t="s">
        <v>30282</v>
      </c>
      <c r="C24065" s="5" t="str">
        <f>IFERROR(__xludf.DUMMYFUNCTION("GOOGLETRANSLATE(B24065,""en"",""es-ES"")"),"El hombre la besa mientras se inclina hacia adelante.")</f>
        <v>El hombre la besa mientras se inclina hacia adelante.</v>
      </c>
    </row>
    <row r="24066">
      <c r="A24066" s="4" t="s">
        <v>30280</v>
      </c>
      <c r="B24066" s="4" t="s">
        <v>30283</v>
      </c>
      <c r="C24066" s="5" t="str">
        <f>IFERROR(__xludf.DUMMYFUNCTION("GOOGLETRANSLATE(B24066,""en"",""es-ES"")"),"Ella está sosteniendo la cachimba en su mano lista para tomar su primer bocanado.")</f>
        <v>Ella está sosteniendo la cachimba en su mano lista para tomar su primer bocanado.</v>
      </c>
    </row>
    <row r="24067">
      <c r="A24067" s="4" t="s">
        <v>30280</v>
      </c>
      <c r="B24067" s="4" t="s">
        <v>30284</v>
      </c>
      <c r="C24067" s="5" t="str">
        <f>IFERROR(__xludf.DUMMYFUNCTION("GOOGLETRANSLATE(B24067,""en"",""es-ES"")"),"Después de inhalar la cachimba, ella huele un poco de humo y tos en incomodidad.")</f>
        <v>Después de inhalar la cachimba, ella huele un poco de humo y tos en incomodidad.</v>
      </c>
    </row>
    <row r="24068">
      <c r="A24068" s="4" t="s">
        <v>30285</v>
      </c>
      <c r="B24068" s="4" t="s">
        <v>30286</v>
      </c>
      <c r="C24068" s="5" t="str">
        <f>IFERROR(__xludf.DUMMYFUNCTION("GOOGLETRANSLATE(B24068,""en"",""es-ES"")"),"Una mujer con un vestido sube escaleras.")</f>
        <v>Una mujer con un vestido sube escaleras.</v>
      </c>
    </row>
    <row r="24069">
      <c r="A24069" s="4" t="s">
        <v>30285</v>
      </c>
      <c r="B24069" s="4" t="s">
        <v>30287</v>
      </c>
      <c r="C24069" s="5" t="str">
        <f>IFERROR(__xludf.DUMMYFUNCTION("GOOGLETRANSLATE(B24069,""en"",""es-ES"")"),"Ella quita su vestido y comienza a bailar.")</f>
        <v>Ella quita su vestido y comienza a bailar.</v>
      </c>
    </row>
    <row r="24070">
      <c r="A24070" s="4" t="s">
        <v>30285</v>
      </c>
      <c r="B24070" s="4" t="s">
        <v>30288</v>
      </c>
      <c r="C24070" s="5" t="str">
        <f>IFERROR(__xludf.DUMMYFUNCTION("GOOGLETRANSLATE(B24070,""en"",""es-ES"")"),"Ella está trabajando con otras personas en un taburete.")</f>
        <v>Ella está trabajando con otras personas en un taburete.</v>
      </c>
    </row>
    <row r="24071">
      <c r="A24071" s="4" t="s">
        <v>30289</v>
      </c>
      <c r="B24071" s="4" t="s">
        <v>30290</v>
      </c>
      <c r="C24071" s="5" t="str">
        <f>IFERROR(__xludf.DUMMYFUNCTION("GOOGLETRANSLATE(B24071,""en"",""es-ES"")"),"Se ve a un hombre caminando por un campo con un perro a su lado.")</f>
        <v>Se ve a un hombre caminando por un campo con un perro a su lado.</v>
      </c>
    </row>
    <row r="24072">
      <c r="A24072" s="4" t="s">
        <v>30289</v>
      </c>
      <c r="B24072" s="4" t="s">
        <v>30291</v>
      </c>
      <c r="C24072" s="5" t="str">
        <f>IFERROR(__xludf.DUMMYFUNCTION("GOOGLETRANSLATE(B24072,""en"",""es-ES"")"),"El hombre luego toma un frisbee y comienza a realizar trucos con el perro.")</f>
        <v>El hombre luego toma un frisbee y comienza a realizar trucos con el perro.</v>
      </c>
    </row>
    <row r="24073">
      <c r="A24073" s="4" t="s">
        <v>30289</v>
      </c>
      <c r="B24073" s="4" t="s">
        <v>30292</v>
      </c>
      <c r="C24073" s="5" t="str">
        <f>IFERROR(__xludf.DUMMYFUNCTION("GOOGLETRANSLATE(B24073,""en"",""es-ES"")"),"El hombre continúa tirando un frisbee con el perro mientras otros miran a un lado.")</f>
        <v>El hombre continúa tirando un frisbee con el perro mientras otros miran a un lado.</v>
      </c>
    </row>
    <row r="24074">
      <c r="A24074" s="4" t="s">
        <v>30293</v>
      </c>
      <c r="B24074" s="4" t="s">
        <v>30294</v>
      </c>
      <c r="C24074" s="5" t="str">
        <f>IFERROR(__xludf.DUMMYFUNCTION("GOOGLETRANSLATE(B24074,""en"",""es-ES"")"),"Una persona camina hacia tres personas que pintan una cerca de negro.")</f>
        <v>Una persona camina hacia tres personas que pintan una cerca de negro.</v>
      </c>
    </row>
    <row r="24075">
      <c r="A24075" s="4" t="s">
        <v>30293</v>
      </c>
      <c r="B24075" s="4" t="s">
        <v>30295</v>
      </c>
      <c r="C24075" s="5" t="str">
        <f>IFERROR(__xludf.DUMMYFUNCTION("GOOGLETRANSLATE(B24075,""en"",""es-ES"")"),"El hombre le pide al niño que vea su trabajo y le acuerde la cámara con su esposa.")</f>
        <v>El hombre le pide al niño que vea su trabajo y le acuerde la cámara con su esposa.</v>
      </c>
    </row>
    <row r="24076">
      <c r="A24076" s="4" t="s">
        <v>30293</v>
      </c>
      <c r="B24076" s="4" t="s">
        <v>30296</v>
      </c>
      <c r="C24076" s="5" t="str">
        <f>IFERROR(__xludf.DUMMYFUNCTION("GOOGLETRANSLATE(B24076,""en"",""es-ES"")"),"El hombre hace una broma a su esposa y se ríe de la cámara.")</f>
        <v>El hombre hace una broma a su esposa y se ríe de la cámara.</v>
      </c>
    </row>
    <row r="24077">
      <c r="A24077" s="4" t="s">
        <v>30297</v>
      </c>
      <c r="B24077" s="4" t="s">
        <v>30298</v>
      </c>
      <c r="C24077" s="5" t="str">
        <f>IFERROR(__xludf.DUMMYFUNCTION("GOOGLETRANSLATE(B24077,""en"",""es-ES"")"),"Una mujer habla en un gimnasio, luego conduce una bicicleta estática.")</f>
        <v>Una mujer habla en un gimnasio, luego conduce una bicicleta estática.</v>
      </c>
    </row>
    <row r="24078">
      <c r="A24078" s="4" t="s">
        <v>30297</v>
      </c>
      <c r="B24078" s="4" t="s">
        <v>30299</v>
      </c>
      <c r="C24078" s="5" t="str">
        <f>IFERROR(__xludf.DUMMYFUNCTION("GOOGLETRANSLATE(B24078,""en"",""es-ES"")"),"Entonces, la mujer y otras personas levantan peso.")</f>
        <v>Entonces, la mujer y otras personas levantan peso.</v>
      </c>
    </row>
    <row r="24079">
      <c r="A24079" s="4" t="s">
        <v>30297</v>
      </c>
      <c r="B24079" s="4" t="s">
        <v>30300</v>
      </c>
      <c r="C24079" s="5" t="str">
        <f>IFERROR(__xludf.DUMMYFUNCTION("GOOGLETRANSLATE(B24079,""en"",""es-ES"")"),"Luego, la mujer continúa montando la bicicleta y luego levanta el peso.")</f>
        <v>Luego, la mujer continúa montando la bicicleta y luego levanta el peso.</v>
      </c>
    </row>
    <row r="24080">
      <c r="A24080" s="4" t="s">
        <v>30301</v>
      </c>
      <c r="B24080" s="4" t="s">
        <v>30302</v>
      </c>
      <c r="C24080" s="5" t="str">
        <f>IFERROR(__xludf.DUMMYFUNCTION("GOOGLETRANSLATE(B24080,""en"",""es-ES"")"),"Afuera en el patio trasero, dos niños pequeños en trajes de baño a juego están jugando con Nets tratando de atrapar una pelota.")</f>
        <v>Afuera en el patio trasero, dos niños pequeños en trajes de baño a juego están jugando con Nets tratando de atrapar una pelota.</v>
      </c>
    </row>
    <row r="24081">
      <c r="A24081" s="4" t="s">
        <v>30301</v>
      </c>
      <c r="B24081" s="4" t="s">
        <v>30303</v>
      </c>
      <c r="C24081" s="5" t="str">
        <f>IFERROR(__xludf.DUMMYFUNCTION("GOOGLETRANSLATE(B24081,""en"",""es-ES"")"),"Ambos están tratando de obtener la pelota en su propia red básicamente luchando juguetonamente por quién lo obtendrá.")</f>
        <v>Ambos están tratando de obtener la pelota en su propia red básicamente luchando juguetonamente por quién lo obtendrá.</v>
      </c>
    </row>
    <row r="24082">
      <c r="A24082" s="4" t="s">
        <v>30301</v>
      </c>
      <c r="B24082" s="4" t="s">
        <v>30304</v>
      </c>
      <c r="C24082" s="5" t="str">
        <f>IFERROR(__xludf.DUMMYFUNCTION("GOOGLETRANSLATE(B24082,""en"",""es-ES"")"),"El papá viene y arroja la pelota y los chicos corren tras ella.")</f>
        <v>El papá viene y arroja la pelota y los chicos corren tras ella.</v>
      </c>
    </row>
    <row r="24083">
      <c r="A24083" s="4" t="s">
        <v>30301</v>
      </c>
      <c r="B24083" s="4" t="s">
        <v>30305</v>
      </c>
      <c r="C24083" s="5" t="str">
        <f>IFERROR(__xludf.DUMMYFUNCTION("GOOGLETRANSLATE(B24083,""en"",""es-ES"")"),"Continúan jugando y uno de los niños pequeños lo consigue en su red y la transporta y cuando aterriza, ambos van tras ella nuevamente.")</f>
        <v>Continúan jugando y uno de los niños pequeños lo consigue en su red y la transporta y cuando aterriza, ambos van tras ella nuevamente.</v>
      </c>
    </row>
    <row r="24084">
      <c r="A24084" s="4" t="s">
        <v>30306</v>
      </c>
      <c r="B24084" s="4" t="s">
        <v>30307</v>
      </c>
      <c r="C24084" s="5" t="str">
        <f>IFERROR(__xludf.DUMMYFUNCTION("GOOGLETRANSLATE(B24084,""en"",""es-ES"")"),"Varios jugadores de hockey dejan un grupo, patinando a través del hielo.")</f>
        <v>Varios jugadores de hockey dejan un grupo, patinando a través del hielo.</v>
      </c>
    </row>
    <row r="24085">
      <c r="A24085" s="4" t="s">
        <v>30306</v>
      </c>
      <c r="B24085" s="4" t="s">
        <v>30308</v>
      </c>
      <c r="C24085" s="5" t="str">
        <f>IFERROR(__xludf.DUMMYFUNCTION("GOOGLETRANSLATE(B24085,""en"",""es-ES"")"),"Comienzan a jugar, disparando el disco de un lado a otro, tratando de hacer que entrara en la meta del enemigo.")</f>
        <v>Comienzan a jugar, disparando el disco de un lado a otro, tratando de hacer que entrara en la meta del enemigo.</v>
      </c>
    </row>
    <row r="24086">
      <c r="A24086" s="4" t="s">
        <v>30306</v>
      </c>
      <c r="B24086" s="4" t="s">
        <v>30309</v>
      </c>
      <c r="C24086" s="5" t="str">
        <f>IFERROR(__xludf.DUMMYFUNCTION("GOOGLETRANSLATE(B24086,""en"",""es-ES"")"),"Un portero está solo a su objetivo.")</f>
        <v>Un portero está solo a su objetivo.</v>
      </c>
    </row>
    <row r="24087">
      <c r="A24087" s="4" t="s">
        <v>30306</v>
      </c>
      <c r="B24087" s="4" t="s">
        <v>30310</v>
      </c>
      <c r="C24087" s="5" t="str">
        <f>IFERROR(__xludf.DUMMYFUNCTION("GOOGLETRANSLATE(B24087,""en"",""es-ES"")"),"Todos se reúnen nuevamente mientras el árbitro les indica que jueguen.")</f>
        <v>Todos se reúnen nuevamente mientras el árbitro les indica que jueguen.</v>
      </c>
    </row>
    <row r="24088">
      <c r="A24088" s="4" t="s">
        <v>30311</v>
      </c>
      <c r="B24088" s="4" t="s">
        <v>30312</v>
      </c>
      <c r="C24088" s="5" t="str">
        <f>IFERROR(__xludf.DUMMYFUNCTION("GOOGLETRANSLATE(B24088,""en"",""es-ES"")"),"Se ve a una persona de pie antes de un fregadero con guantes.")</f>
        <v>Se ve a una persona de pie antes de un fregadero con guantes.</v>
      </c>
    </row>
    <row r="24089">
      <c r="A24089" s="4" t="s">
        <v>30311</v>
      </c>
      <c r="B24089" s="4" t="s">
        <v>30313</v>
      </c>
      <c r="C24089" s="5" t="str">
        <f>IFERROR(__xludf.DUMMYFUNCTION("GOOGLETRANSLATE(B24089,""en"",""es-ES"")"),"La mujer mira hacia atrás a la cámara y sonríe mientras sostiene un cepillo de dientes.")</f>
        <v>La mujer mira hacia atrás a la cámara y sonríe mientras sostiene un cepillo de dientes.</v>
      </c>
    </row>
    <row r="24090">
      <c r="A24090" s="4" t="s">
        <v>30311</v>
      </c>
      <c r="B24090" s="4" t="s">
        <v>30314</v>
      </c>
      <c r="C24090" s="5" t="str">
        <f>IFERROR(__xludf.DUMMYFUNCTION("GOOGLETRANSLATE(B24090,""en"",""es-ES"")"),"Luego vuelve al fregadero lleno de platos sucios.")</f>
        <v>Luego vuelve al fregadero lleno de platos sucios.</v>
      </c>
    </row>
    <row r="24091">
      <c r="A24091" s="4" t="s">
        <v>30315</v>
      </c>
      <c r="B24091" s="4" t="s">
        <v>30316</v>
      </c>
      <c r="C24091" s="5" t="str">
        <f>IFERROR(__xludf.DUMMYFUNCTION("GOOGLETRANSLATE(B24091,""en"",""es-ES"")"),"Una persona abre una caja redonda y quita una botella de esmalte de uñas y pone soporte.")</f>
        <v>Una persona abre una caja redonda y quita una botella de esmalte de uñas y pone soporte.</v>
      </c>
    </row>
    <row r="24092">
      <c r="A24092" s="4" t="s">
        <v>30315</v>
      </c>
      <c r="B24092" s="4" t="s">
        <v>30317</v>
      </c>
      <c r="C24092" s="5" t="str">
        <f>IFERROR(__xludf.DUMMYFUNCTION("GOOGLETRANSLATE(B24092,""en"",""es-ES"")"),"Luego, la persona pone un clavo en un soporte redondo en la caja, luego se pinta las uñas.")</f>
        <v>Luego, la persona pone un clavo en un soporte redondo en la caja, luego se pinta las uñas.</v>
      </c>
    </row>
    <row r="24093">
      <c r="A24093" s="4" t="s">
        <v>30315</v>
      </c>
      <c r="B24093" s="4" t="s">
        <v>30318</v>
      </c>
      <c r="C24093" s="5" t="str">
        <f>IFERROR(__xludf.DUMMYFUNCTION("GOOGLETRANSLATE(B24093,""en"",""es-ES"")"),"Después, la mujer cierra la botella de esmalte de uñas.")</f>
        <v>Después, la mujer cierra la botella de esmalte de uñas.</v>
      </c>
    </row>
    <row r="24094">
      <c r="A24094" s="4" t="s">
        <v>30319</v>
      </c>
      <c r="B24094" s="4" t="s">
        <v>30320</v>
      </c>
      <c r="C24094" s="5" t="str">
        <f>IFERROR(__xludf.DUMMYFUNCTION("GOOGLETRANSLATE(B24094,""en"",""es-ES"")"),"Un hombre y una mujer se preparan para jugar a los dardos.")</f>
        <v>Un hombre y una mujer se preparan para jugar a los dardos.</v>
      </c>
    </row>
    <row r="24095">
      <c r="A24095" s="4" t="s">
        <v>30319</v>
      </c>
      <c r="B24095" s="4" t="s">
        <v>30321</v>
      </c>
      <c r="C24095" s="5" t="str">
        <f>IFERROR(__xludf.DUMMYFUNCTION("GOOGLETRANSLATE(B24095,""en"",""es-ES"")"),"Se muestran instrucciones sobre los materiales necesarios para jugar dardos.")</f>
        <v>Se muestran instrucciones sobre los materiales necesarios para jugar dardos.</v>
      </c>
    </row>
    <row r="24096">
      <c r="A24096" s="4" t="s">
        <v>30319</v>
      </c>
      <c r="B24096" s="4" t="s">
        <v>30322</v>
      </c>
      <c r="C24096" s="5" t="str">
        <f>IFERROR(__xludf.DUMMYFUNCTION("GOOGLETRANSLATE(B24096,""en"",""es-ES"")"),"El hombre y la mujer caminan hacia el tablero de dardos.")</f>
        <v>El hombre y la mujer caminan hacia el tablero de dardos.</v>
      </c>
    </row>
    <row r="24097">
      <c r="A24097" s="4" t="s">
        <v>30319</v>
      </c>
      <c r="B24097" s="4" t="s">
        <v>30323</v>
      </c>
      <c r="C24097" s="5" t="str">
        <f>IFERROR(__xludf.DUMMYFUNCTION("GOOGLETRANSLATE(B24097,""en"",""es-ES"")"),"Bromean preparándose para jugar a los dardos.")</f>
        <v>Bromean preparándose para jugar a los dardos.</v>
      </c>
    </row>
    <row r="24098">
      <c r="A24098" s="4" t="s">
        <v>30319</v>
      </c>
      <c r="B24098" s="4" t="s">
        <v>30324</v>
      </c>
      <c r="C24098" s="5" t="str">
        <f>IFERROR(__xludf.DUMMYFUNCTION("GOOGLETRANSLATE(B24098,""en"",""es-ES"")"),"El hombre lanza un dardo.")</f>
        <v>El hombre lanza un dardo.</v>
      </c>
    </row>
    <row r="24099">
      <c r="A24099" s="4" t="s">
        <v>30319</v>
      </c>
      <c r="B24099" s="4" t="s">
        <v>30325</v>
      </c>
      <c r="C24099" s="5" t="str">
        <f>IFERROR(__xludf.DUMMYFUNCTION("GOOGLETRANSLATE(B24099,""en"",""es-ES"")"),"La mujer lo sigue.")</f>
        <v>La mujer lo sigue.</v>
      </c>
    </row>
    <row r="24100">
      <c r="A24100" s="4" t="s">
        <v>30319</v>
      </c>
      <c r="B24100" s="4" t="s">
        <v>30326</v>
      </c>
      <c r="C24100" s="5" t="str">
        <f>IFERROR(__xludf.DUMMYFUNCTION("GOOGLETRANSLATE(B24100,""en"",""es-ES"")"),"La mujer lanza tres dardos más.")</f>
        <v>La mujer lanza tres dardos más.</v>
      </c>
    </row>
    <row r="24101">
      <c r="A24101" s="4" t="s">
        <v>30319</v>
      </c>
      <c r="B24101" s="4" t="s">
        <v>30327</v>
      </c>
      <c r="C24101" s="5" t="str">
        <f>IFERROR(__xludf.DUMMYFUNCTION("GOOGLETRANSLATE(B24101,""en"",""es-ES"")"),"El hombre muestra su dardo y demuestra cómo pisar.")</f>
        <v>El hombre muestra su dardo y demuestra cómo pisar.</v>
      </c>
    </row>
    <row r="24102">
      <c r="A24102" s="4" t="s">
        <v>30319</v>
      </c>
      <c r="B24102" s="4" t="s">
        <v>30328</v>
      </c>
      <c r="C24102" s="5" t="str">
        <f>IFERROR(__xludf.DUMMYFUNCTION("GOOGLETRANSLATE(B24102,""en"",""es-ES"")"),"Lanza el dardo desde lejos.")</f>
        <v>Lanza el dardo desde lejos.</v>
      </c>
    </row>
    <row r="24103">
      <c r="A24103" s="4" t="s">
        <v>30319</v>
      </c>
      <c r="B24103" s="4" t="s">
        <v>30329</v>
      </c>
      <c r="C24103" s="5" t="str">
        <f>IFERROR(__xludf.DUMMYFUNCTION("GOOGLETRANSLATE(B24103,""en"",""es-ES"")"),"Se muestra la posición de los dardos en los jabalíes.")</f>
        <v>Se muestra la posición de los dardos en los jabalíes.</v>
      </c>
    </row>
    <row r="24104">
      <c r="A24104" s="4" t="s">
        <v>30319</v>
      </c>
      <c r="B24104" s="4" t="s">
        <v>30330</v>
      </c>
      <c r="C24104" s="5" t="str">
        <f>IFERROR(__xludf.DUMMYFUNCTION("GOOGLETRANSLATE(B24104,""en"",""es-ES"")"),"El hombre agarra los dardos del tablero.")</f>
        <v>El hombre agarra los dardos del tablero.</v>
      </c>
    </row>
    <row r="24105">
      <c r="A24105" s="4" t="s">
        <v>30319</v>
      </c>
      <c r="B24105" s="4" t="s">
        <v>30331</v>
      </c>
      <c r="C24105" s="5" t="str">
        <f>IFERROR(__xludf.DUMMYFUNCTION("GOOGLETRANSLATE(B24105,""en"",""es-ES"")"),"La mujer arroja algunos dardos.")</f>
        <v>La mujer arroja algunos dardos.</v>
      </c>
    </row>
    <row r="24106">
      <c r="A24106" s="4" t="s">
        <v>30319</v>
      </c>
      <c r="B24106" s="4" t="s">
        <v>30332</v>
      </c>
      <c r="C24106" s="5" t="str">
        <f>IFERROR(__xludf.DUMMYFUNCTION("GOOGLETRANSLATE(B24106,""en"",""es-ES"")"),"El hombre sigue después de la mujer.")</f>
        <v>El hombre sigue después de la mujer.</v>
      </c>
    </row>
    <row r="24107">
      <c r="A24107" s="4" t="s">
        <v>30319</v>
      </c>
      <c r="B24107" s="4" t="s">
        <v>30333</v>
      </c>
      <c r="C24107" s="5" t="str">
        <f>IFERROR(__xludf.DUMMYFUNCTION("GOOGLETRANSLATE(B24107,""en"",""es-ES"")"),"La mujer lo hace de nuevo.")</f>
        <v>La mujer lo hace de nuevo.</v>
      </c>
    </row>
    <row r="24108">
      <c r="A24108" s="4" t="s">
        <v>30319</v>
      </c>
      <c r="B24108" s="4" t="s">
        <v>30334</v>
      </c>
      <c r="C24108" s="5" t="str">
        <f>IFERROR(__xludf.DUMMYFUNCTION("GOOGLETRANSLATE(B24108,""en"",""es-ES"")"),"El hombre regresa para hacer lo mismo.")</f>
        <v>El hombre regresa para hacer lo mismo.</v>
      </c>
    </row>
    <row r="24109">
      <c r="A24109" s="4" t="s">
        <v>30319</v>
      </c>
      <c r="B24109" s="4" t="s">
        <v>30335</v>
      </c>
      <c r="C24109" s="5" t="str">
        <f>IFERROR(__xludf.DUMMYFUNCTION("GOOGLETRANSLATE(B24109,""en"",""es-ES"")"),"La mujer los vuelve a lanzar.")</f>
        <v>La mujer los vuelve a lanzar.</v>
      </c>
    </row>
    <row r="24110">
      <c r="A24110" s="4" t="s">
        <v>30319</v>
      </c>
      <c r="B24110" s="4" t="s">
        <v>30336</v>
      </c>
      <c r="C24110" s="5" t="str">
        <f>IFERROR(__xludf.DUMMYFUNCTION("GOOGLETRANSLATE(B24110,""en"",""es-ES"")"),"El hombre la persigue de nuevo.")</f>
        <v>El hombre la persigue de nuevo.</v>
      </c>
    </row>
    <row r="24111">
      <c r="A24111" s="4" t="s">
        <v>30319</v>
      </c>
      <c r="B24111" s="4" t="s">
        <v>30337</v>
      </c>
      <c r="C24111" s="5" t="str">
        <f>IFERROR(__xludf.DUMMYFUNCTION("GOOGLETRANSLATE(B24111,""en"",""es-ES"")"),"La mujer va una vez más y gana triunfante.")</f>
        <v>La mujer va una vez más y gana triunfante.</v>
      </c>
    </row>
    <row r="24112">
      <c r="A24112" s="4" t="s">
        <v>30338</v>
      </c>
      <c r="B24112" s="4" t="s">
        <v>30339</v>
      </c>
      <c r="C24112" s="5" t="str">
        <f>IFERROR(__xludf.DUMMYFUNCTION("GOOGLETRANSLATE(B24112,""en"",""es-ES"")"),"Se ve a una mujer organizando un segmento de noticias y eso conduce a personas que viajan en caballos.")</f>
        <v>Se ve a una mujer organizando un segmento de noticias y eso conduce a personas que viajan en caballos.</v>
      </c>
    </row>
    <row r="24113">
      <c r="A24113" s="4" t="s">
        <v>30338</v>
      </c>
      <c r="B24113" s="4" t="s">
        <v>30340</v>
      </c>
      <c r="C24113" s="5" t="str">
        <f>IFERROR(__xludf.DUMMYFUNCTION("GOOGLETRANSLATE(B24113,""en"",""es-ES"")"),"Se ve a las personas caminando por un área con perros pisoteando los pies y otro hombre que habla con la cámara.")</f>
        <v>Se ve a las personas caminando por un área con perros pisoteando los pies y otro hombre que habla con la cámara.</v>
      </c>
    </row>
    <row r="24114">
      <c r="A24114" s="4" t="s">
        <v>30338</v>
      </c>
      <c r="B24114" s="4" t="s">
        <v>30341</v>
      </c>
      <c r="C24114" s="5" t="str">
        <f>IFERROR(__xludf.DUMMYFUNCTION("GOOGLETRANSLATE(B24114,""en"",""es-ES"")"),"Se muestran más disparos de las personas que juegan en un caballo, así como en otras que hablan con la cámara y obtienen un trofeo.")</f>
        <v>Se muestran más disparos de las personas que juegan en un caballo, así como en otras que hablan con la cámara y obtienen un trofeo.</v>
      </c>
    </row>
    <row r="24115">
      <c r="A24115" s="4" t="s">
        <v>30342</v>
      </c>
      <c r="B24115" s="4" t="s">
        <v>30343</v>
      </c>
      <c r="C24115" s="5" t="str">
        <f>IFERROR(__xludf.DUMMYFUNCTION("GOOGLETRANSLATE(B24115,""en"",""es-ES"")"),"Un hombre se para frente a un podio que habla.")</f>
        <v>Un hombre se para frente a un podio que habla.</v>
      </c>
    </row>
    <row r="24116">
      <c r="A24116" s="4" t="s">
        <v>30342</v>
      </c>
      <c r="B24116" s="4" t="s">
        <v>30344</v>
      </c>
      <c r="C24116" s="5" t="str">
        <f>IFERROR(__xludf.DUMMYFUNCTION("GOOGLETRANSLATE(B24116,""en"",""es-ES"")"),"Otros dos hombres se paran junto a él.")</f>
        <v>Otros dos hombres se paran junto a él.</v>
      </c>
    </row>
    <row r="24117">
      <c r="A24117" s="4" t="s">
        <v>30342</v>
      </c>
      <c r="B24117" s="4" t="s">
        <v>30345</v>
      </c>
      <c r="C24117" s="5" t="str">
        <f>IFERROR(__xludf.DUMMYFUNCTION("GOOGLETRANSLATE(B24117,""en"",""es-ES"")"),"Uno de los dos hombres cava en un pozo de fuego donde había un fuego y luego vierte agua sobre él.")</f>
        <v>Uno de los dos hombres cava en un pozo de fuego donde había un fuego y luego vierte agua sobre él.</v>
      </c>
    </row>
    <row r="24118">
      <c r="A24118" s="4" t="s">
        <v>30342</v>
      </c>
      <c r="B24118" s="4" t="s">
        <v>30346</v>
      </c>
      <c r="C24118" s="5" t="str">
        <f>IFERROR(__xludf.DUMMYFUNCTION("GOOGLETRANSLATE(B24118,""en"",""es-ES"")"),"El mismo hombre cava en el pozo con la mano buscando brasas ardientes.")</f>
        <v>El mismo hombre cava en el pozo con la mano buscando brasas ardientes.</v>
      </c>
    </row>
    <row r="24119">
      <c r="A24119" s="4" t="s">
        <v>30347</v>
      </c>
      <c r="B24119" s="4" t="s">
        <v>30348</v>
      </c>
      <c r="C24119" s="5" t="str">
        <f>IFERROR(__xludf.DUMMYFUNCTION("GOOGLETRANSLATE(B24119,""en"",""es-ES"")"),"Se muestra un cuerpo de agua debajo de los árboles.")</f>
        <v>Se muestra un cuerpo de agua debajo de los árboles.</v>
      </c>
    </row>
    <row r="24120">
      <c r="A24120" s="4" t="s">
        <v>30347</v>
      </c>
      <c r="B24120" s="4" t="s">
        <v>30349</v>
      </c>
      <c r="C24120" s="5" t="str">
        <f>IFERROR(__xludf.DUMMYFUNCTION("GOOGLETRANSLATE(B24120,""en"",""es-ES"")"),"Una persona camina sobre una línea de holgura sobre el agua.")</f>
        <v>Una persona camina sobre una línea de holgura sobre el agua.</v>
      </c>
    </row>
    <row r="24121">
      <c r="A24121" s="4" t="s">
        <v>30347</v>
      </c>
      <c r="B24121" s="4" t="s">
        <v>30350</v>
      </c>
      <c r="C24121" s="5" t="str">
        <f>IFERROR(__xludf.DUMMYFUNCTION("GOOGLETRANSLATE(B24121,""en"",""es-ES"")"),"Llegan al final de la línea Slack.")</f>
        <v>Llegan al final de la línea Slack.</v>
      </c>
    </row>
    <row r="24122">
      <c r="A24122" s="4" t="s">
        <v>30351</v>
      </c>
      <c r="B24122" s="4" t="s">
        <v>30352</v>
      </c>
      <c r="C24122" s="5" t="str">
        <f>IFERROR(__xludf.DUMMYFUNCTION("GOOGLETRANSLATE(B24122,""en"",""es-ES"")"),"Una chica patinadora con una camiseta blanca y pantalones cortos intenta saltar con su patineta y cae hacia atrás golpeando la cabeza.")</f>
        <v>Una chica patinadora con una camiseta blanca y pantalones cortos intenta saltar con su patineta y cae hacia atrás golpeando la cabeza.</v>
      </c>
    </row>
    <row r="24123">
      <c r="A24123" s="4" t="s">
        <v>30351</v>
      </c>
      <c r="B24123" s="4" t="s">
        <v>30353</v>
      </c>
      <c r="C24123" s="5" t="str">
        <f>IFERROR(__xludf.DUMMYFUNCTION("GOOGLETRANSLATE(B24123,""en"",""es-ES"")"),"Dos patinadores más se dirigen a una curva, pero uno se estrecha directamente en una pila de heno, aunque afortunadamente el casco primero.")</f>
        <v>Dos patinadores más se dirigen a una curva, pero uno se estrecha directamente en una pila de heno, aunque afortunadamente el casco primero.</v>
      </c>
    </row>
    <row r="24124">
      <c r="A24124" s="4" t="s">
        <v>30351</v>
      </c>
      <c r="B24124" s="4" t="s">
        <v>30354</v>
      </c>
      <c r="C24124" s="5" t="str">
        <f>IFERROR(__xludf.DUMMYFUNCTION("GOOGLETRANSLATE(B24124,""en"",""es-ES"")"),"Otro patinador casco intenta una parada de mano y se detiene, aunque desafortunadamente su patineta no.")</f>
        <v>Otro patinador casco intenta una parada de mano y se detiene, aunque desafortunadamente su patineta no.</v>
      </c>
    </row>
    <row r="24125">
      <c r="A24125" s="4" t="s">
        <v>30351</v>
      </c>
      <c r="B24125" s="4" t="s">
        <v>30355</v>
      </c>
      <c r="C24125" s="5" t="str">
        <f>IFERROR(__xludf.DUMMYFUNCTION("GOOGLETRANSLATE(B24125,""en"",""es-ES"")"),"Después de algunos percances más de patinaje, la última actuación es por un patinador que no siente la necesidad de equipos de seguridad y, mientras se dirige directamente hacia una colina, se sale de su patineta y pasa varios minutos revisando sus divers"&amp;"as rascapias.")</f>
        <v>Después de algunos percances más de patinaje, la última actuación es por un patinador que no siente la necesidad de equipos de seguridad y, mientras se dirige directamente hacia una colina, se sale de su patineta y pasa varios minutos revisando sus diversas rascapias.</v>
      </c>
    </row>
    <row r="24126">
      <c r="A24126" s="4" t="s">
        <v>30356</v>
      </c>
      <c r="B24126" s="4" t="s">
        <v>30357</v>
      </c>
      <c r="C24126" s="5" t="str">
        <f>IFERROR(__xludf.DUMMYFUNCTION("GOOGLETRANSLATE(B24126,""en"",""es-ES"")"),"Tres niños en un patio trasero cubierto de hierba se turnan para jugar un juego de cricket en el césped.")</f>
        <v>Tres niños en un patio trasero cubierto de hierba se turnan para jugar un juego de cricket en el césped.</v>
      </c>
    </row>
    <row r="24127">
      <c r="A24127" s="4" t="s">
        <v>30356</v>
      </c>
      <c r="B24127" s="4" t="s">
        <v>30358</v>
      </c>
      <c r="C24127" s="5" t="str">
        <f>IFERROR(__xludf.DUMMYFUNCTION("GOOGLETRANSLATE(B24127,""en"",""es-ES"")"),"Los muchachos se turnan para lanzar y golpear la pelota de cricket, ayudándose mutuamente redistribuyendo la pelota de regreso al juego cuando aterrizan en el campo.")</f>
        <v>Los muchachos se turnan para lanzar y golpear la pelota de cricket, ayudándose mutuamente redistribuyendo la pelota de regreso al juego cuando aterrizan en el campo.</v>
      </c>
    </row>
    <row r="24128">
      <c r="A24128" s="4" t="s">
        <v>30356</v>
      </c>
      <c r="B24128" s="4" t="s">
        <v>30359</v>
      </c>
      <c r="C24128" s="5" t="str">
        <f>IFERROR(__xludf.DUMMYFUNCTION("GOOGLETRANSLATE(B24128,""en"",""es-ES"")"),"Uno de los muchachos se pone un casco de fútbol y se para en las líneas laterales que atrapan la pelota.")</f>
        <v>Uno de los muchachos se pone un casco de fútbol y se para en las líneas laterales que atrapan la pelota.</v>
      </c>
    </row>
    <row r="24129">
      <c r="A24129" s="4" t="s">
        <v>30360</v>
      </c>
      <c r="B24129" s="4" t="s">
        <v>30361</v>
      </c>
      <c r="C24129" s="5" t="str">
        <f>IFERROR(__xludf.DUMMYFUNCTION("GOOGLETRANSLATE(B24129,""en"",""es-ES"")"),"Un hombre intenta levantar una barra.")</f>
        <v>Un hombre intenta levantar una barra.</v>
      </c>
    </row>
    <row r="24130">
      <c r="A24130" s="4" t="s">
        <v>30360</v>
      </c>
      <c r="B24130" s="4" t="s">
        <v>30362</v>
      </c>
      <c r="C24130" s="5" t="str">
        <f>IFERROR(__xludf.DUMMYFUNCTION("GOOGLETRANSLATE(B24130,""en"",""es-ES"")"),"Se dobla las rodillas, levantándolo en su pecho.")</f>
        <v>Se dobla las rodillas, levantándolo en su pecho.</v>
      </c>
    </row>
    <row r="24131">
      <c r="A24131" s="4" t="s">
        <v>30360</v>
      </c>
      <c r="B24131" s="4" t="s">
        <v>30363</v>
      </c>
      <c r="C24131" s="5" t="str">
        <f>IFERROR(__xludf.DUMMYFUNCTION("GOOGLETRANSLATE(B24131,""en"",""es-ES"")"),"Se golpea en la garganta, cayendo hacia atrás.")</f>
        <v>Se golpea en la garganta, cayendo hacia atrás.</v>
      </c>
    </row>
    <row r="24132">
      <c r="A24132" s="4" t="s">
        <v>30364</v>
      </c>
      <c r="B24132" s="4" t="s">
        <v>30365</v>
      </c>
      <c r="C24132" s="5" t="str">
        <f>IFERROR(__xludf.DUMMYFUNCTION("GOOGLETRANSLATE(B24132,""en"",""es-ES"")"),"Aparece una pantalla de introducción texturizada y se muestra un logotipo de un zapato junto con palabras verdes que dicen ""Vickermann und Stoya"".")</f>
        <v>Aparece una pantalla de introducción texturizada y se muestra un logotipo de un zapato junto con palabras verdes que dicen "Vickermann und Stoya".</v>
      </c>
    </row>
    <row r="24133">
      <c r="A24133" s="4" t="s">
        <v>30364</v>
      </c>
      <c r="B24133" s="4" t="s">
        <v>30366</v>
      </c>
      <c r="C24133" s="5" t="str">
        <f>IFERROR(__xludf.DUMMYFUNCTION("GOOGLETRANSLATE(B24133,""en"",""es-ES"")"),"Se muestran dos grupos de suministros e incluyen productos del nombre de la compañía en la pantalla de introducción que incluyen pinceles, un paño, zapatería, cordones de zapatos y un par de pequeños recipientes de lata.")</f>
        <v>Se muestran dos grupos de suministros e incluyen productos del nombre de la compañía en la pantalla de introducción que incluyen pinceles, un paño, zapatería, cordones de zapatos y un par de pequeños recipientes de lata.</v>
      </c>
    </row>
    <row r="24134">
      <c r="A24134" s="4" t="s">
        <v>30364</v>
      </c>
      <c r="B24134" s="4" t="s">
        <v>30367</v>
      </c>
      <c r="C24134" s="5" t="str">
        <f>IFERROR(__xludf.DUMMYFUNCTION("GOOGLETRANSLATE(B24134,""en"",""es-ES"")"),"Un hombre que usa un delantal verde está desagradable en los zapatos de cordón de un zapato alto marrón, luego lo cepilla con un cepillo grande, luego toma un cepillo más pequeño, lo sumerge en un recipiente pequeño, luego lo cepilla en el zapato y el zap"&amp;"ato se ve muy pulido. Cualquier superficie que cepille.")</f>
        <v>Un hombre que usa un delantal verde está desagradable en los zapatos de cordón de un zapato alto marrón, luego lo cepilla con un cepillo grande, luego toma un cepillo más pequeño, lo sumerge en un recipiente pequeño, luego lo cepilla en el zapato y el zapato se ve muy pulido. Cualquier superficie que cepille.</v>
      </c>
    </row>
    <row r="24135">
      <c r="A24135" s="4" t="s">
        <v>30364</v>
      </c>
      <c r="B24135" s="4" t="s">
        <v>30368</v>
      </c>
      <c r="C24135" s="5" t="str">
        <f>IFERROR(__xludf.DUMMYFUNCTION("GOOGLETRANSLATE(B24135,""en"",""es-ES"")"),"El hombre luego recoge una tela blanca y la frota por todo el zapato.")</f>
        <v>El hombre luego recoge una tela blanca y la frota por todo el zapato.</v>
      </c>
    </row>
    <row r="24136">
      <c r="A24136" s="4" t="s">
        <v>30364</v>
      </c>
      <c r="B24136" s="4" t="s">
        <v>30369</v>
      </c>
      <c r="C24136" s="5" t="str">
        <f>IFERROR(__xludf.DUMMYFUNCTION("GOOGLETRANSLATE(B24136,""en"",""es-ES"")"),"El hombre baja la tela blanca, levanta un cepillo grueso y cepilla el zapato por todas partes.")</f>
        <v>El hombre baja la tela blanca, levanta un cepillo grueso y cepilla el zapato por todas partes.</v>
      </c>
    </row>
    <row r="24137">
      <c r="A24137" s="4" t="s">
        <v>30364</v>
      </c>
      <c r="B24137" s="4" t="s">
        <v>30370</v>
      </c>
      <c r="C24137" s="5" t="str">
        <f>IFERROR(__xludf.DUMMYFUNCTION("GOOGLETRANSLATE(B24137,""en"",""es-ES"")"),"Luego pone el zapato y el cepillo, levanta el cordón y ataca el zapato.")</f>
        <v>Luego pone el zapato y el cepillo, levanta el cordón y ataca el zapato.</v>
      </c>
    </row>
    <row r="24138">
      <c r="A24138" s="4" t="s">
        <v>30364</v>
      </c>
      <c r="B24138" s="4" t="s">
        <v>30371</v>
      </c>
      <c r="C24138" s="5" t="str">
        <f>IFERROR(__xludf.DUMMYFUNCTION("GOOGLETRANSLATE(B24138,""en"",""es-ES"")"),"Luego, el hombre recoge el zapato pulido y el zapato sin pulir y los acerca a la cámara para una comparación y luego la misma pantalla texturizada de la introducción aparece con el registro del zapato y el nombre de la compañía de ""Vickermann und Stoya"""&amp;".")</f>
        <v>Luego, el hombre recoge el zapato pulido y el zapato sin pulir y los acerca a la cámara para una comparación y luego la misma pantalla texturizada de la introducción aparece con el registro del zapato y el nombre de la compañía de "Vickermann und Stoya".</v>
      </c>
    </row>
    <row r="24139">
      <c r="A24139" s="4" t="s">
        <v>30372</v>
      </c>
      <c r="B24139" s="4" t="s">
        <v>30373</v>
      </c>
      <c r="C24139" s="5" t="str">
        <f>IFERROR(__xludf.DUMMYFUNCTION("GOOGLETRANSLATE(B24139,""en"",""es-ES"")"),"Se ve a un hombre hablando con la cámara y lo lleva a limpiar la espalda de otro hombre.")</f>
        <v>Se ve a un hombre hablando con la cámara y lo lleva a limpiar la espalda de otro hombre.</v>
      </c>
    </row>
    <row r="24140">
      <c r="A24140" s="4" t="s">
        <v>30372</v>
      </c>
      <c r="B24140" s="4" t="s">
        <v>30374</v>
      </c>
      <c r="C24140" s="5" t="str">
        <f>IFERROR(__xludf.DUMMYFUNCTION("GOOGLETRANSLATE(B24140,""en"",""es-ES"")"),"Se frota en la loción y luego se pone de pie con el hombre.")</f>
        <v>Se frota en la loción y luego se pone de pie con el hombre.</v>
      </c>
    </row>
    <row r="24141">
      <c r="A24141" s="4" t="s">
        <v>30372</v>
      </c>
      <c r="B24141" s="4" t="s">
        <v>30375</v>
      </c>
      <c r="C24141" s="5" t="str">
        <f>IFERROR(__xludf.DUMMYFUNCTION("GOOGLETRANSLATE(B24141,""en"",""es-ES"")"),"El hombre sostiene un espejo en la espalda y regresa al artista.")</f>
        <v>El hombre sostiene un espejo en la espalda y regresa al artista.</v>
      </c>
    </row>
    <row r="24142">
      <c r="A24142" s="4" t="s">
        <v>30376</v>
      </c>
      <c r="B24142" s="4" t="s">
        <v>30377</v>
      </c>
      <c r="C24142" s="5" t="str">
        <f>IFERROR(__xludf.DUMMYFUNCTION("GOOGLETRANSLATE(B24142,""en"",""es-ES"")"),"Hay algunos niños que usan una bomba de agua para lavarse las manos en el zoológico de Plumpton Park.")</f>
        <v>Hay algunos niños que usan una bomba de agua para lavarse las manos en el zoológico de Plumpton Park.</v>
      </c>
    </row>
    <row r="24143">
      <c r="A24143" s="4" t="s">
        <v>30376</v>
      </c>
      <c r="B24143" s="4" t="s">
        <v>30378</v>
      </c>
      <c r="C24143" s="5" t="str">
        <f>IFERROR(__xludf.DUMMYFUNCTION("GOOGLETRANSLATE(B24143,""en"",""es-ES"")"),"Hay un niño en una sudadera con capucha en blanco y negro que ayuda a bombear agua para que otro niño se lave las manos.")</f>
        <v>Hay un niño en una sudadera con capucha en blanco y negro que ayuda a bombear agua para que otro niño se lave las manos.</v>
      </c>
    </row>
    <row r="24144">
      <c r="A24144" s="4" t="s">
        <v>30376</v>
      </c>
      <c r="B24144" s="4" t="s">
        <v>30379</v>
      </c>
      <c r="C24144" s="5" t="str">
        <f>IFERROR(__xludf.DUMMYFUNCTION("GOOGLETRANSLATE(B24144,""en"",""es-ES"")"),"Luego continúa ayudando a otro niño con una sudadera con capucha negra para lavarse las manos.")</f>
        <v>Luego continúa ayudando a otro niño con una sudadera con capucha negra para lavarse las manos.</v>
      </c>
    </row>
    <row r="24145">
      <c r="A24145" s="4" t="s">
        <v>30376</v>
      </c>
      <c r="B24145" s="4" t="s">
        <v>30380</v>
      </c>
      <c r="C24145" s="5" t="str">
        <f>IFERROR(__xludf.DUMMYFUNCTION("GOOGLETRANSLATE(B24145,""en"",""es-ES"")"),"Los tres niños se divierten en el agua mientras se lavan las manos limpias.")</f>
        <v>Los tres niños se divierten en el agua mientras se lavan las manos limpias.</v>
      </c>
    </row>
    <row r="24146">
      <c r="A24146" s="4" t="s">
        <v>30381</v>
      </c>
      <c r="B24146" s="4" t="s">
        <v>30382</v>
      </c>
      <c r="C24146" s="5" t="str">
        <f>IFERROR(__xludf.DUMMYFUNCTION("GOOGLETRANSLATE(B24146,""en"",""es-ES"")"),"Una señora se para en un patio que sostiene un soplador de hojas antes de pasar por encima del cordón.")</f>
        <v>Una señora se para en un patio que sostiene un soplador de hojas antes de pasar por encima del cordón.</v>
      </c>
    </row>
    <row r="24147">
      <c r="A24147" s="4" t="s">
        <v>30381</v>
      </c>
      <c r="B24147" s="4" t="s">
        <v>30383</v>
      </c>
      <c r="C24147" s="5" t="str">
        <f>IFERROR(__xludf.DUMMYFUNCTION("GOOGLETRANSLATE(B24147,""en"",""es-ES"")"),"La señora sopla a los Leafs mientras camina por el patio.")</f>
        <v>La señora sopla a los Leafs mientras camina por el patio.</v>
      </c>
    </row>
    <row r="24148">
      <c r="A24148" s="4" t="s">
        <v>30381</v>
      </c>
      <c r="B24148" s="4" t="s">
        <v>30384</v>
      </c>
      <c r="C24148" s="5" t="str">
        <f>IFERROR(__xludf.DUMMYFUNCTION("GOOGLETRANSLATE(B24148,""en"",""es-ES"")"),"La dama señala la herramienta en la cámara y se ríe.")</f>
        <v>La dama señala la herramienta en la cámara y se ríe.</v>
      </c>
    </row>
    <row r="24149">
      <c r="A24149" s="4" t="s">
        <v>30381</v>
      </c>
      <c r="B24149" s="4" t="s">
        <v>30385</v>
      </c>
      <c r="C24149" s="5" t="str">
        <f>IFERROR(__xludf.DUMMYFUNCTION("GOOGLETRANSLATE(B24149,""en"",""es-ES"")"),"La señora continúa soplando las hojas.")</f>
        <v>La señora continúa soplando las hojas.</v>
      </c>
    </row>
    <row r="24150">
      <c r="A24150" s="4" t="s">
        <v>30386</v>
      </c>
      <c r="B24150" s="4" t="s">
        <v>30387</v>
      </c>
      <c r="C24150" s="5" t="str">
        <f>IFERROR(__xludf.DUMMYFUNCTION("GOOGLETRANSLATE(B24150,""en"",""es-ES"")"),"Una niña entra en una habitación, viendo partituras en un piano.")</f>
        <v>Una niña entra en una habitación, viendo partituras en un piano.</v>
      </c>
    </row>
    <row r="24151">
      <c r="A24151" s="4" t="s">
        <v>30386</v>
      </c>
      <c r="B24151" s="4" t="s">
        <v>30388</v>
      </c>
      <c r="C24151" s="5" t="str">
        <f>IFERROR(__xludf.DUMMYFUNCTION("GOOGLETRANSLATE(B24151,""en"",""es-ES"")"),"Ella abre el piano y comienza a jugar.")</f>
        <v>Ella abre el piano y comienza a jugar.</v>
      </c>
    </row>
    <row r="24152">
      <c r="A24152" s="4" t="s">
        <v>30386</v>
      </c>
      <c r="B24152" s="4" t="s">
        <v>30389</v>
      </c>
      <c r="C24152" s="5" t="str">
        <f>IFERROR(__xludf.DUMMYFUNCTION("GOOGLETRANSLATE(B24152,""en"",""es-ES"")"),"Ella piensa en una pareja mientras juega.")</f>
        <v>Ella piensa en una pareja mientras juega.</v>
      </c>
    </row>
    <row r="24153">
      <c r="A24153" s="4" t="s">
        <v>30390</v>
      </c>
      <c r="B24153" s="4" t="s">
        <v>30391</v>
      </c>
      <c r="C24153" s="5" t="str">
        <f>IFERROR(__xludf.DUMMYFUNCTION("GOOGLETRANSLATE(B24153,""en"",""es-ES"")"),"Una mujer tiene miedo de ir al agua y dice que no puede hacer esto.")</f>
        <v>Una mujer tiene miedo de ir al agua y dice que no puede hacer esto.</v>
      </c>
    </row>
    <row r="24154">
      <c r="A24154" s="4" t="s">
        <v>30390</v>
      </c>
      <c r="B24154" s="4" t="s">
        <v>30392</v>
      </c>
      <c r="C24154" s="5" t="str">
        <f>IFERROR(__xludf.DUMMYFUNCTION("GOOGLETRANSLATE(B24154,""en"",""es-ES"")"),"Un grupo de personas está sentada en una piscina de agua que está precariamente cerca del borde de una cascada.")</f>
        <v>Un grupo de personas está sentada en una piscina de agua que está precariamente cerca del borde de una cascada.</v>
      </c>
    </row>
    <row r="24155">
      <c r="A24155" s="4" t="s">
        <v>30390</v>
      </c>
      <c r="B24155" s="4" t="s">
        <v>30393</v>
      </c>
      <c r="C24155" s="5" t="str">
        <f>IFERROR(__xludf.DUMMYFUNCTION("GOOGLETRANSLATE(B24155,""en"",""es-ES"")"),"La mujer salta al agua y todos aplauden.")</f>
        <v>La mujer salta al agua y todos aplauden.</v>
      </c>
    </row>
    <row r="24156">
      <c r="A24156" s="4" t="s">
        <v>30390</v>
      </c>
      <c r="B24156" s="4" t="s">
        <v>30394</v>
      </c>
      <c r="C24156" s="5" t="str">
        <f>IFERROR(__xludf.DUMMYFUNCTION("GOOGLETRANSLATE(B24156,""en"",""es-ES"")"),"El grupo de personas se ríe y habla mientras más personas saltan al agua.")</f>
        <v>El grupo de personas se ríe y habla mientras más personas saltan al agua.</v>
      </c>
    </row>
    <row r="24157">
      <c r="A24157" s="4" t="s">
        <v>30390</v>
      </c>
      <c r="B24157" s="4" t="s">
        <v>30395</v>
      </c>
      <c r="C24157" s="5" t="str">
        <f>IFERROR(__xludf.DUMMYFUNCTION("GOOGLETRANSLATE(B24157,""en"",""es-ES"")"),"Se ven escenas de la cascada.")</f>
        <v>Se ven escenas de la cascada.</v>
      </c>
    </row>
    <row r="24158">
      <c r="A24158" s="4" t="s">
        <v>30396</v>
      </c>
      <c r="B24158" s="4" t="s">
        <v>30397</v>
      </c>
      <c r="C24158" s="5" t="str">
        <f>IFERROR(__xludf.DUMMYFUNCTION("GOOGLETRANSLATE(B24158,""en"",""es-ES"")"),"Un hombre se prepara para una rutina de gimnasia en los bares paralelos.")</f>
        <v>Un hombre se prepara para una rutina de gimnasia en los bares paralelos.</v>
      </c>
    </row>
    <row r="24159">
      <c r="A24159" s="4" t="s">
        <v>30396</v>
      </c>
      <c r="B24159" s="4" t="s">
        <v>30398</v>
      </c>
      <c r="C24159" s="5" t="str">
        <f>IFERROR(__xludf.DUMMYFUNCTION("GOOGLETRANSLATE(B24159,""en"",""es-ES"")"),"La multitud parece aprobar cuando se voltea y se atrapa antes de luego desmontar.")</f>
        <v>La multitud parece aprobar cuando se voltea y se atrapa antes de luego desmontar.</v>
      </c>
    </row>
    <row r="24160">
      <c r="A24160" s="4" t="s">
        <v>30399</v>
      </c>
      <c r="B24160" s="4" t="s">
        <v>30400</v>
      </c>
      <c r="C24160" s="5" t="str">
        <f>IFERROR(__xludf.DUMMYFUNCTION("GOOGLETRANSLATE(B24160,""en"",""es-ES"")"),"Una cámara se mueve alrededor de una zona boscosa y conduce a dos personas que viajan en esquís.")</f>
        <v>Una cámara se mueve alrededor de una zona boscosa y conduce a dos personas que viajan en esquís.</v>
      </c>
    </row>
    <row r="24161">
      <c r="A24161" s="4" t="s">
        <v>30399</v>
      </c>
      <c r="B24161" s="4" t="s">
        <v>30401</v>
      </c>
      <c r="C24161" s="5" t="str">
        <f>IFERROR(__xludf.DUMMYFUNCTION("GOOGLETRANSLATE(B24161,""en"",""es-ES"")"),"Se muestran varias tomas de varias personas que viajan detrás de un bote en esquís y realizando trucos.")</f>
        <v>Se muestran varias tomas de varias personas que viajan detrás de un bote en esquís y realizando trucos.</v>
      </c>
    </row>
    <row r="24162">
      <c r="A24162" s="4" t="s">
        <v>30399</v>
      </c>
      <c r="B24162" s="4" t="s">
        <v>30402</v>
      </c>
      <c r="C24162" s="5" t="str">
        <f>IFERROR(__xludf.DUMMYFUNCTION("GOOGLETRANSLATE(B24162,""en"",""es-ES"")"),"La gente continúa montando y colgando a un lado en un gran poste.")</f>
        <v>La gente continúa montando y colgando a un lado en un gran poste.</v>
      </c>
    </row>
    <row r="24163">
      <c r="A24163" s="4" t="s">
        <v>30403</v>
      </c>
      <c r="B24163" s="4" t="s">
        <v>30404</v>
      </c>
      <c r="C24163" s="5" t="str">
        <f>IFERROR(__xludf.DUMMYFUNCTION("GOOGLETRANSLATE(B24163,""en"",""es-ES"")"),"Se ve a un hombre hablando con la cámara mientras presenta varios objetos frente a él.")</f>
        <v>Se ve a un hombre hablando con la cámara mientras presenta varios objetos frente a él.</v>
      </c>
    </row>
    <row r="24164">
      <c r="A24164" s="4" t="s">
        <v>30403</v>
      </c>
      <c r="B24164" s="4" t="s">
        <v>30405</v>
      </c>
      <c r="C24164" s="5" t="str">
        <f>IFERROR(__xludf.DUMMYFUNCTION("GOOGLETRANSLATE(B24164,""en"",""es-ES"")"),"Luego, el hombre usa un marcador para desenterrar el costado de una mesa y llenarlo.")</f>
        <v>Luego, el hombre usa un marcador para desenterrar el costado de una mesa y llenarlo.</v>
      </c>
    </row>
    <row r="24165">
      <c r="A24165" s="4" t="s">
        <v>30403</v>
      </c>
      <c r="B24165" s="4" t="s">
        <v>30406</v>
      </c>
      <c r="C24165" s="5" t="str">
        <f>IFERROR(__xludf.DUMMYFUNCTION("GOOGLETRANSLATE(B24165,""en"",""es-ES"")"),"Muestra cómo usar la pluma en varios objetos mientras lo llena y lijándolo después.")</f>
        <v>Muestra cómo usar la pluma en varios objetos mientras lo llena y lijándolo después.</v>
      </c>
    </row>
    <row r="24166">
      <c r="A24166" s="4" t="s">
        <v>30407</v>
      </c>
      <c r="B24166" s="4" t="s">
        <v>30408</v>
      </c>
      <c r="C24166" s="5" t="str">
        <f>IFERROR(__xludf.DUMMYFUNCTION("GOOGLETRANSLATE(B24166,""en"",""es-ES"")"),"Un niño viaja en una larga mesa de varias formas de carretera.")</f>
        <v>Un niño viaja en una larga mesa de varias formas de carretera.</v>
      </c>
    </row>
    <row r="24167">
      <c r="A24167" s="4" t="s">
        <v>30407</v>
      </c>
      <c r="B24167" s="4" t="s">
        <v>30409</v>
      </c>
      <c r="C24167" s="5" t="str">
        <f>IFERROR(__xludf.DUMMYFUNCTION("GOOGLETRANSLATE(B24167,""en"",""es-ES"")"),"Hace un truco de flip en una de las formas de la carretera.")</f>
        <v>Hace un truco de flip en una de las formas de la carretera.</v>
      </c>
    </row>
    <row r="24168">
      <c r="A24168" s="4" t="s">
        <v>30407</v>
      </c>
      <c r="B24168" s="4" t="s">
        <v>30410</v>
      </c>
      <c r="C24168" s="5" t="str">
        <f>IFERROR(__xludf.DUMMYFUNCTION("GOOGLETRANSLATE(B24168,""en"",""es-ES"")"),"Él regresa y cuarto por el camino nevado.")</f>
        <v>Él regresa y cuarto por el camino nevado.</v>
      </c>
    </row>
    <row r="24169">
      <c r="A24169" s="4" t="s">
        <v>30407</v>
      </c>
      <c r="B24169" s="4" t="s">
        <v>30411</v>
      </c>
      <c r="C24169" s="5" t="str">
        <f>IFERROR(__xludf.DUMMYFUNCTION("GOOGLETRANSLATE(B24169,""en"",""es-ES"")"),"Él patina por la noche y se muestra el logotipo.")</f>
        <v>Él patina por la noche y se muestra el logotipo.</v>
      </c>
    </row>
    <row r="24170">
      <c r="A24170" s="4" t="s">
        <v>30412</v>
      </c>
      <c r="B24170" s="4" t="s">
        <v>30413</v>
      </c>
      <c r="C24170" s="5" t="str">
        <f>IFERROR(__xludf.DUMMYFUNCTION("GOOGLETRANSLATE(B24170,""en"",""es-ES"")"),"Dos chicas en la clase Karate se inclinan hacia adelante y luego antes de la práctica.")</f>
        <v>Dos chicas en la clase Karate se inclinan hacia adelante y luego antes de la práctica.</v>
      </c>
    </row>
    <row r="24171">
      <c r="A24171" s="4" t="s">
        <v>30412</v>
      </c>
      <c r="B24171" s="4" t="s">
        <v>30414</v>
      </c>
      <c r="C24171" s="5" t="str">
        <f>IFERROR(__xludf.DUMMYFUNCTION("GOOGLETRANSLATE(B24171,""en"",""es-ES"")"),"La niña esquiva un ataque al rodear mientras bloquea un golpe.")</f>
        <v>La niña esquiva un ataque al rodear mientras bloquea un golpe.</v>
      </c>
    </row>
    <row r="24172">
      <c r="A24172" s="4" t="s">
        <v>30412</v>
      </c>
      <c r="B24172" s="4" t="s">
        <v>30415</v>
      </c>
      <c r="C24172" s="5" t="str">
        <f>IFERROR(__xludf.DUMMYFUNCTION("GOOGLETRANSLATE(B24172,""en"",""es-ES"")"),"Los estudiantes de karate golpean y bloquean las muñecas.")</f>
        <v>Los estudiantes de karate golpean y bloquean las muñecas.</v>
      </c>
    </row>
    <row r="24173">
      <c r="A24173" s="4" t="s">
        <v>30412</v>
      </c>
      <c r="B24173" s="4" t="s">
        <v>30416</v>
      </c>
      <c r="C24173" s="5" t="str">
        <f>IFERROR(__xludf.DUMMYFUNCTION("GOOGLETRANSLATE(B24173,""en"",""es-ES"")"),"La niña hace una patada giratoria de pie.")</f>
        <v>La niña hace una patada giratoria de pie.</v>
      </c>
    </row>
    <row r="24174">
      <c r="A24174" s="4" t="s">
        <v>30417</v>
      </c>
      <c r="B24174" s="4" t="s">
        <v>30418</v>
      </c>
      <c r="C24174" s="5" t="str">
        <f>IFERROR(__xludf.DUMMYFUNCTION("GOOGLETRANSLATE(B24174,""en"",""es-ES"")"),"Una mujer habla y arregla su cabello mojado, también muestra un cepillo y un cabello seco.")</f>
        <v>Una mujer habla y arregla su cabello mojado, también muestra un cepillo y un cabello seco.</v>
      </c>
    </row>
    <row r="24175">
      <c r="A24175" s="4" t="s">
        <v>30417</v>
      </c>
      <c r="B24175" s="4" t="s">
        <v>30419</v>
      </c>
      <c r="C24175" s="5" t="str">
        <f>IFERROR(__xludf.DUMMYFUNCTION("GOOGLETRANSLATE(B24175,""en"",""es-ES"")"),"La mujer se cepilla el cabello en diferentes direcciones con un secador de pelo.")</f>
        <v>La mujer se cepilla el cabello en diferentes direcciones con un secador de pelo.</v>
      </c>
    </row>
    <row r="24176">
      <c r="A24176" s="4" t="s">
        <v>30417</v>
      </c>
      <c r="B24176" s="4" t="s">
        <v>30420</v>
      </c>
      <c r="C24176" s="5" t="str">
        <f>IFERROR(__xludf.DUMMYFUNCTION("GOOGLETRANSLATE(B24176,""en"",""es-ES"")"),"Luego, la mujer se detiene y muestra su peinado mientras habla.")</f>
        <v>Luego, la mujer se detiene y muestra su peinado mientras habla.</v>
      </c>
    </row>
    <row r="24177">
      <c r="A24177" s="4" t="s">
        <v>30417</v>
      </c>
      <c r="B24177" s="4" t="s">
        <v>30421</v>
      </c>
      <c r="C24177" s="5" t="str">
        <f>IFERROR(__xludf.DUMMYFUNCTION("GOOGLETRANSLATE(B24177,""en"",""es-ES"")"),"Después, la mujer muestra la dirección para peinar el cabello, luego usa un hierro para el cabello para el cabello.")</f>
        <v>Después, la mujer muestra la dirección para peinar el cabello, luego usa un hierro para el cabello para el cabello.</v>
      </c>
    </row>
    <row r="24178">
      <c r="A24178" s="4" t="s">
        <v>30422</v>
      </c>
      <c r="B24178" s="4" t="s">
        <v>30423</v>
      </c>
      <c r="C24178" s="5" t="str">
        <f>IFERROR(__xludf.DUMMYFUNCTION("GOOGLETRANSLATE(B24178,""en"",""es-ES"")"),"Un hombre saluda las ruedas en una canoa.")</f>
        <v>Un hombre saluda las ruedas en una canoa.</v>
      </c>
    </row>
    <row r="24179">
      <c r="A24179" s="4" t="s">
        <v>30422</v>
      </c>
      <c r="B24179" s="4" t="s">
        <v>30424</v>
      </c>
      <c r="C24179" s="5" t="str">
        <f>IFERROR(__xludf.DUMMYFUNCTION("GOOGLETRANSLATE(B24179,""en"",""es-ES"")"),"Se le muestra haciendo un impulso aguas abajo, dando vueltas en su canoa.")</f>
        <v>Se le muestra haciendo un impulso aguas abajo, dando vueltas en su canoa.</v>
      </c>
    </row>
    <row r="24180">
      <c r="A24180" s="4" t="s">
        <v>30422</v>
      </c>
      <c r="B24180" s="4" t="s">
        <v>30425</v>
      </c>
      <c r="C24180" s="5" t="str">
        <f>IFERROR(__xludf.DUMMYFUNCTION("GOOGLETRANSLATE(B24180,""en"",""es-ES"")"),"Ahora vemos el borde y la espada de la planta mientras se mueve aguas arriba.")</f>
        <v>Ahora vemos el borde y la espada de la planta mientras se mueve aguas arriba.</v>
      </c>
    </row>
    <row r="24181">
      <c r="A24181" s="4" t="s">
        <v>30426</v>
      </c>
      <c r="B24181" s="4" t="s">
        <v>30427</v>
      </c>
      <c r="C24181" s="5" t="str">
        <f>IFERROR(__xludf.DUMMYFUNCTION("GOOGLETRANSLATE(B24181,""en"",""es-ES"")"),"Una persona se para en una cuerda, y luego salta sobre una cuerda.")</f>
        <v>Una persona se para en una cuerda, y luego salta sobre una cuerda.</v>
      </c>
    </row>
    <row r="24182">
      <c r="A24182" s="4" t="s">
        <v>30426</v>
      </c>
      <c r="B24182" s="4" t="s">
        <v>30428</v>
      </c>
      <c r="C24182" s="5" t="str">
        <f>IFERROR(__xludf.DUMMYFUNCTION("GOOGLETRANSLATE(B24182,""en"",""es-ES"")"),"La persona salta de pie, así como en este trasero y cuerpo.")</f>
        <v>La persona salta de pie, así como en este trasero y cuerpo.</v>
      </c>
    </row>
    <row r="24183">
      <c r="A24183" s="4" t="s">
        <v>30429</v>
      </c>
      <c r="B24183" s="4" t="s">
        <v>30430</v>
      </c>
      <c r="C24183" s="5" t="str">
        <f>IFERROR(__xludf.DUMMYFUNCTION("GOOGLETRANSLATE(B24183,""en"",""es-ES"")"),"Se ve a una familia sentada en la playa haciendo castillos de arena con un objeto.")</f>
        <v>Se ve a una familia sentada en la playa haciendo castillos de arena con un objeto.</v>
      </c>
    </row>
    <row r="24184">
      <c r="A24184" s="4" t="s">
        <v>30429</v>
      </c>
      <c r="B24184" s="4" t="s">
        <v>30431</v>
      </c>
      <c r="C24184" s="5" t="str">
        <f>IFERROR(__xludf.DUMMYFUNCTION("GOOGLETRANSLATE(B24184,""en"",""es-ES"")"),"Las personas se paran para verlos trabajar y las cámaras de la cámara alrededor de los niños que juegan en la arena.")</f>
        <v>Las personas se paran para verlos trabajar y las cámaras de la cámara alrededor de los niños que juegan en la arena.</v>
      </c>
    </row>
    <row r="24185">
      <c r="A24185" s="4" t="s">
        <v>30432</v>
      </c>
      <c r="B24185" s="4" t="s">
        <v>30433</v>
      </c>
      <c r="C24185" s="5" t="str">
        <f>IFERROR(__xludf.DUMMYFUNCTION("GOOGLETRANSLATE(B24185,""en"",""es-ES"")"),"La mujer está pintando la cerca con pintura blanca.")</f>
        <v>La mujer está pintando la cerca con pintura blanca.</v>
      </c>
    </row>
    <row r="24186">
      <c r="A24186" s="4" t="s">
        <v>30432</v>
      </c>
      <c r="B24186" s="4" t="s">
        <v>30434</v>
      </c>
      <c r="C24186" s="5" t="str">
        <f>IFERROR(__xludf.DUMMYFUNCTION("GOOGLETRANSLATE(B24186,""en"",""es-ES"")"),"El hombre está pintando un banco verde en el parque.")</f>
        <v>El hombre está pintando un banco verde en el parque.</v>
      </c>
    </row>
    <row r="24187">
      <c r="A24187" s="4" t="s">
        <v>30435</v>
      </c>
      <c r="B24187" s="4" t="s">
        <v>30436</v>
      </c>
      <c r="C24187" s="5" t="str">
        <f>IFERROR(__xludf.DUMMYFUNCTION("GOOGLETRANSLATE(B24187,""en"",""es-ES"")"),"Se ve a un grupo de personas nadando alrededor de una piscina con un hombre sentado en su cabeza.")</f>
        <v>Se ve a un grupo de personas nadando alrededor de una piscina con un hombre sentado en su cabeza.</v>
      </c>
    </row>
    <row r="24188">
      <c r="A24188" s="4" t="s">
        <v>30435</v>
      </c>
      <c r="B24188" s="4" t="s">
        <v>30437</v>
      </c>
      <c r="C24188" s="5" t="str">
        <f>IFERROR(__xludf.DUMMYFUNCTION("GOOGLETRANSLATE(B24188,""en"",""es-ES"")"),"Se muestran más disparos de personas de cerca nadando por el agua y arrodillados.")</f>
        <v>Se muestran más disparos de personas de cerca nadando por el agua y arrodillados.</v>
      </c>
    </row>
    <row r="24189">
      <c r="A24189" s="4" t="s">
        <v>30435</v>
      </c>
      <c r="B24189" s="4" t="s">
        <v>30438</v>
      </c>
      <c r="C24189" s="5" t="str">
        <f>IFERROR(__xludf.DUMMYFUNCTION("GOOGLETRANSLATE(B24189,""en"",""es-ES"")"),"Una mujer se quita el tanque y lo pone de vuelta y los lleva a nadar más.")</f>
        <v>Una mujer se quita el tanque y lo pone de vuelta y los lleva a nadar más.</v>
      </c>
    </row>
    <row r="24190">
      <c r="A24190" s="4" t="s">
        <v>30439</v>
      </c>
      <c r="B24190" s="4" t="s">
        <v>30440</v>
      </c>
      <c r="C24190" s="5" t="str">
        <f>IFERROR(__xludf.DUMMYFUNCTION("GOOGLETRANSLATE(B24190,""en"",""es-ES"")"),"Los niños están trapando el piso de los mosaicos.")</f>
        <v>Los niños están trapando el piso de los mosaicos.</v>
      </c>
    </row>
    <row r="24191">
      <c r="A24191" s="4" t="s">
        <v>30439</v>
      </c>
      <c r="B24191" s="4" t="s">
        <v>30441</v>
      </c>
      <c r="C24191" s="5" t="str">
        <f>IFERROR(__xludf.DUMMYFUNCTION("GOOGLETRANSLATE(B24191,""en"",""es-ES"")"),"Un niño en el corto coloca su trapeador en un cubo amarillo.")</f>
        <v>Un niño en el corto coloca su trapeador en un cubo amarillo.</v>
      </c>
    </row>
    <row r="24192">
      <c r="A24192" s="4" t="s">
        <v>30439</v>
      </c>
      <c r="B24192" s="4" t="s">
        <v>30442</v>
      </c>
      <c r="C24192" s="5" t="str">
        <f>IFERROR(__xludf.DUMMYFUNCTION("GOOGLETRANSLATE(B24192,""en"",""es-ES"")"),"Una señora se aleja con un objeto largo y claro en la mano.")</f>
        <v>Una señora se aleja con un objeto largo y claro en la mano.</v>
      </c>
    </row>
    <row r="24193">
      <c r="A24193" s="4" t="s">
        <v>30443</v>
      </c>
      <c r="B24193" s="4" t="s">
        <v>30444</v>
      </c>
      <c r="C24193" s="5" t="str">
        <f>IFERROR(__xludf.DUMMYFUNCTION("GOOGLETRANSLATE(B24193,""en"",""es-ES"")"),"Los niños viajan en autos de parachoques en un viaje de diversión.")</f>
        <v>Los niños viajan en autos de parachoques en un viaje de diversión.</v>
      </c>
    </row>
    <row r="24194">
      <c r="A24194" s="4" t="s">
        <v>30443</v>
      </c>
      <c r="B24194" s="4" t="s">
        <v>30445</v>
      </c>
      <c r="C24194" s="5" t="str">
        <f>IFERROR(__xludf.DUMMYFUNCTION("GOOGLETRANSLATE(B24194,""en"",""es-ES"")"),"Una persona sigue cerca de un automóvil frente a él montando su parachoques.")</f>
        <v>Una persona sigue cerca de un automóvil frente a él montando su parachoques.</v>
      </c>
    </row>
    <row r="24195">
      <c r="A24195" s="4" t="s">
        <v>30443</v>
      </c>
      <c r="B24195" s="4" t="s">
        <v>30446</v>
      </c>
      <c r="C24195" s="5" t="str">
        <f>IFERROR(__xludf.DUMMYFUNCTION("GOOGLETRANSLATE(B24195,""en"",""es-ES"")"),"El grupo se atasca en un gran atasco después de golpearse.")</f>
        <v>El grupo se atasca en un gran atasco después de golpearse.</v>
      </c>
    </row>
    <row r="24196">
      <c r="A24196" s="4" t="s">
        <v>30443</v>
      </c>
      <c r="B24196" s="4" t="s">
        <v>30447</v>
      </c>
      <c r="C24196" s="5" t="str">
        <f>IFERROR(__xludf.DUMMYFUNCTION("GOOGLETRANSLATE(B24196,""en"",""es-ES"")"),"Los autos se dan la vuelta y salen del embotellamiento.")</f>
        <v>Los autos se dan la vuelta y salen del embotellamiento.</v>
      </c>
    </row>
    <row r="24197">
      <c r="A24197" s="4" t="s">
        <v>30443</v>
      </c>
      <c r="B24197" s="4" t="s">
        <v>30448</v>
      </c>
      <c r="C24197" s="5" t="str">
        <f>IFERROR(__xludf.DUMMYFUNCTION("GOOGLETRANSLATE(B24197,""en"",""es-ES"")"),"Un niño se estrella contra la parte trasera de un auto detenido.")</f>
        <v>Un niño se estrella contra la parte trasera de un auto detenido.</v>
      </c>
    </row>
    <row r="24198">
      <c r="A24198" s="4" t="s">
        <v>30449</v>
      </c>
      <c r="B24198" s="4" t="s">
        <v>30450</v>
      </c>
      <c r="C24198" s="5" t="str">
        <f>IFERROR(__xludf.DUMMYFUNCTION("GOOGLETRANSLATE(B24198,""en"",""es-ES"")"),"Muchos niños están de pie ni una cancha de canasta haciendo movimientos de boxeo.")</f>
        <v>Muchos niños están de pie ni una cancha de canasta haciendo movimientos de boxeo.</v>
      </c>
    </row>
    <row r="24199">
      <c r="A24199" s="4" t="s">
        <v>30449</v>
      </c>
      <c r="B24199" s="4" t="s">
        <v>30451</v>
      </c>
      <c r="C24199" s="5" t="str">
        <f>IFERROR(__xludf.DUMMYFUNCTION("GOOGLETRANSLATE(B24199,""en"",""es-ES"")"),"Las niñas se paran en medio de una corte que practica el boxeo.")</f>
        <v>Las niñas se paran en medio de una corte que practica el boxeo.</v>
      </c>
    </row>
    <row r="24200">
      <c r="A24200" s="4" t="s">
        <v>30449</v>
      </c>
      <c r="B24200" s="4" t="s">
        <v>30452</v>
      </c>
      <c r="C24200" s="5" t="str">
        <f>IFERROR(__xludf.DUMMYFUNCTION("GOOGLETRANSLATE(B24200,""en"",""es-ES"")"),"La gente está sentada en sillas en una cancha de madera.")</f>
        <v>La gente está sentada en sillas en una cancha de madera.</v>
      </c>
    </row>
    <row r="24201">
      <c r="A24201" s="4" t="s">
        <v>30453</v>
      </c>
      <c r="B24201" s="4" t="s">
        <v>30454</v>
      </c>
      <c r="C24201" s="5" t="str">
        <f>IFERROR(__xludf.DUMMYFUNCTION("GOOGLETRANSLATE(B24201,""en"",""es-ES"")"),"Una persona está montando un toro en una arena.")</f>
        <v>Una persona está montando un toro en una arena.</v>
      </c>
    </row>
    <row r="24202">
      <c r="A24202" s="4" t="s">
        <v>30453</v>
      </c>
      <c r="B24202" s="4" t="s">
        <v>30455</v>
      </c>
      <c r="C24202" s="5" t="str">
        <f>IFERROR(__xludf.DUMMYFUNCTION("GOOGLETRANSLATE(B24202,""en"",""es-ES"")"),"La gente está parada en una arena alrededor de un toro.")</f>
        <v>La gente está parada en una arena alrededor de un toro.</v>
      </c>
    </row>
    <row r="24203">
      <c r="A24203" s="4" t="s">
        <v>30453</v>
      </c>
      <c r="B24203" s="4" t="s">
        <v>30456</v>
      </c>
      <c r="C24203" s="5" t="str">
        <f>IFERROR(__xludf.DUMMYFUNCTION("GOOGLETRANSLATE(B24203,""en"",""es-ES"")"),"Un toro los cobra y los golpea al suelo.")</f>
        <v>Un toro los cobra y los golpea al suelo.</v>
      </c>
    </row>
    <row r="24204">
      <c r="A24204" s="4" t="s">
        <v>30457</v>
      </c>
      <c r="B24204" s="4" t="s">
        <v>30458</v>
      </c>
      <c r="C24204" s="5" t="str">
        <f>IFERROR(__xludf.DUMMYFUNCTION("GOOGLETRANSLATE(B24204,""en"",""es-ES"")"),"Se ve a un hombre raspando un automóvil que está cubierto de nieve y hablando con la cámara.")</f>
        <v>Se ve a un hombre raspando un automóvil que está cubierto de nieve y hablando con la cámara.</v>
      </c>
    </row>
    <row r="24205">
      <c r="A24205" s="4" t="s">
        <v>30457</v>
      </c>
      <c r="B24205" s="4" t="s">
        <v>30459</v>
      </c>
      <c r="C24205" s="5" t="str">
        <f>IFERROR(__xludf.DUMMYFUNCTION("GOOGLETRANSLATE(B24205,""en"",""es-ES"")"),"La cámara sigue al hombre mientras continúa desechando el auto y hablando con la cámara.")</f>
        <v>La cámara sigue al hombre mientras continúa desechando el auto y hablando con la cámara.</v>
      </c>
    </row>
    <row r="24206">
      <c r="A24206" s="4" t="s">
        <v>30460</v>
      </c>
      <c r="B24206" s="4" t="s">
        <v>30461</v>
      </c>
      <c r="C24206" s="5" t="str">
        <f>IFERROR(__xludf.DUMMYFUNCTION("GOOGLETRANSLATE(B24206,""en"",""es-ES"")"),"Un adolescente baila en el fondo, mientras que otro adolescente usa un salto de altura en una cafetería escolar.")</f>
        <v>Un adolescente baila en el fondo, mientras que otro adolescente usa un salto de altura en una cafetería escolar.</v>
      </c>
    </row>
    <row r="24207">
      <c r="A24207" s="4" t="s">
        <v>30460</v>
      </c>
      <c r="B24207" s="4" t="s">
        <v>30462</v>
      </c>
      <c r="C24207" s="5" t="str">
        <f>IFERROR(__xludf.DUMMYFUNCTION("GOOGLETRANSLATE(B24207,""en"",""es-ES"")"),"Un adolescente completa un aterrizaje de altura sobre su espalda en la colchoneta.")</f>
        <v>Un adolescente completa un aterrizaje de altura sobre su espalda en la colchoneta.</v>
      </c>
    </row>
    <row r="24208">
      <c r="A24208" s="4" t="s">
        <v>30460</v>
      </c>
      <c r="B24208" s="4" t="s">
        <v>30463</v>
      </c>
      <c r="C24208" s="5" t="str">
        <f>IFERROR(__xludf.DUMMYFUNCTION("GOOGLETRANSLATE(B24208,""en"",""es-ES"")"),"Varios adultos y adolescentes están de pie y sentados alrededor de la alfombra de salto de altura mientras un niño de negro hace el salto de altura.")</f>
        <v>Varios adultos y adolescentes están de pie y sentados alrededor de la alfombra de salto de altura mientras un niño de negro hace el salto de altura.</v>
      </c>
    </row>
    <row r="24209">
      <c r="A24209" s="4" t="s">
        <v>30460</v>
      </c>
      <c r="B24209" s="4" t="s">
        <v>30464</v>
      </c>
      <c r="C24209" s="5" t="str">
        <f>IFERROR(__xludf.DUMMYFUNCTION("GOOGLETRANSLATE(B24209,""en"",""es-ES"")"),"El niño de negro hace otro salto de altura mientras otro adolescente mira en el fondo.")</f>
        <v>El niño de negro hace otro salto de altura mientras otro adolescente mira en el fondo.</v>
      </c>
    </row>
    <row r="24210">
      <c r="A24210" s="4" t="s">
        <v>30460</v>
      </c>
      <c r="B24210" s="4" t="s">
        <v>30465</v>
      </c>
      <c r="C24210" s="5" t="str">
        <f>IFERROR(__xludf.DUMMYFUNCTION("GOOGLETRANSLATE(B24210,""en"",""es-ES"")"),"El mismo chico de negro hace un salto de altura mientras un niño más alto en blanco pasa.")</f>
        <v>El mismo chico de negro hace un salto de altura mientras un niño más alto en blanco pasa.</v>
      </c>
    </row>
    <row r="24211">
      <c r="A24211" s="4" t="s">
        <v>30460</v>
      </c>
      <c r="B24211" s="4" t="s">
        <v>30466</v>
      </c>
      <c r="C24211" s="5" t="str">
        <f>IFERROR(__xludf.DUMMYFUNCTION("GOOGLETRANSLATE(B24211,""en"",""es-ES"")"),"El mismo salto de altura se muestra lentamente para señalar errores que está cometiendo el niño.")</f>
        <v>El mismo salto de altura se muestra lentamente para señalar errores que está cometiendo el niño.</v>
      </c>
    </row>
    <row r="24212">
      <c r="A24212" s="4" t="s">
        <v>30460</v>
      </c>
      <c r="B24212" s="4" t="s">
        <v>30467</v>
      </c>
      <c r="C24212" s="5" t="str">
        <f>IFERROR(__xludf.DUMMYFUNCTION("GOOGLETRANSLATE(B24212,""en"",""es-ES"")"),"Un niño diferente que usa blanco hace el salto de altura mientras otras personas se paran y se sientan cerca.")</f>
        <v>Un niño diferente que usa blanco hace el salto de altura mientras otras personas se paran y se sientan cerca.</v>
      </c>
    </row>
    <row r="24213">
      <c r="A24213" s="4" t="s">
        <v>30460</v>
      </c>
      <c r="B24213" s="4" t="s">
        <v>30468</v>
      </c>
      <c r="C24213" s="5" t="str">
        <f>IFERROR(__xludf.DUMMYFUNCTION("GOOGLETRANSLATE(B24213,""en"",""es-ES"")"),"El salto de altura del niño con blanco se reproduce para señalar errores.")</f>
        <v>El salto de altura del niño con blanco se reproduce para señalar errores.</v>
      </c>
    </row>
    <row r="24214">
      <c r="A24214" s="4" t="s">
        <v>30460</v>
      </c>
      <c r="B24214" s="4" t="s">
        <v>30469</v>
      </c>
      <c r="C24214" s="5" t="str">
        <f>IFERROR(__xludf.DUMMYFUNCTION("GOOGLETRANSLATE(B24214,""en"",""es-ES"")"),"Un tercer niño con azul que lleva el salto de altura tres veces seguidas con otros en el fondo.")</f>
        <v>Un tercer niño con azul que lleva el salto de altura tres veces seguidas con otros en el fondo.</v>
      </c>
    </row>
    <row r="24215">
      <c r="A24215" s="4" t="s">
        <v>30460</v>
      </c>
      <c r="B24215" s="4" t="s">
        <v>30470</v>
      </c>
      <c r="C24215" s="5" t="str">
        <f>IFERROR(__xludf.DUMMYFUNCTION("GOOGLETRANSLATE(B24215,""en"",""es-ES"")"),"Se juega una repetición del niño en azul para señalar errores que está cometiendo.")</f>
        <v>Se juega una repetición del niño en azul para señalar errores que está cometiendo.</v>
      </c>
    </row>
    <row r="24216">
      <c r="A24216" s="4" t="s">
        <v>30471</v>
      </c>
      <c r="B24216" s="4" t="s">
        <v>30472</v>
      </c>
      <c r="C24216" s="5" t="str">
        <f>IFERROR(__xludf.DUMMYFUNCTION("GOOGLETRANSLATE(B24216,""en"",""es-ES"")"),"Dos chicas están de pie haciendo karate.")</f>
        <v>Dos chicas están de pie haciendo karate.</v>
      </c>
    </row>
    <row r="24217">
      <c r="A24217" s="4" t="s">
        <v>30471</v>
      </c>
      <c r="B24217" s="4" t="s">
        <v>30473</v>
      </c>
      <c r="C24217" s="5" t="str">
        <f>IFERROR(__xludf.DUMMYFUNCTION("GOOGLETRANSLATE(B24217,""en"",""es-ES"")"),"La gente está sentada mirándolos.")</f>
        <v>La gente está sentada mirándolos.</v>
      </c>
    </row>
    <row r="24218">
      <c r="A24218" s="4" t="s">
        <v>30471</v>
      </c>
      <c r="B24218" s="4" t="s">
        <v>30474</v>
      </c>
      <c r="C24218" s="5" t="str">
        <f>IFERROR(__xludf.DUMMYFUNCTION("GOOGLETRANSLATE(B24218,""en"",""es-ES"")"),"Una mujer con una bata negra está de pie junto a ellos.")</f>
        <v>Una mujer con una bata negra está de pie junto a ellos.</v>
      </c>
    </row>
    <row r="24219">
      <c r="A24219" s="4" t="s">
        <v>30475</v>
      </c>
      <c r="B24219" s="4" t="s">
        <v>1487</v>
      </c>
      <c r="C24219" s="5" t="str">
        <f>IFERROR(__xludf.DUMMYFUNCTION("GOOGLETRANSLATE(B24219,""en"",""es-ES"")"),"Vemos una pantalla de título de apertura.")</f>
        <v>Vemos una pantalla de título de apertura.</v>
      </c>
    </row>
    <row r="24220">
      <c r="A24220" s="4" t="s">
        <v>30475</v>
      </c>
      <c r="B24220" s="4" t="s">
        <v>30476</v>
      </c>
      <c r="C24220" s="5" t="str">
        <f>IFERROR(__xludf.DUMMYFUNCTION("GOOGLETRANSLATE(B24220,""en"",""es-ES"")"),"Una señora habla frente a una plaza.")</f>
        <v>Una señora habla frente a una plaza.</v>
      </c>
    </row>
    <row r="24221">
      <c r="A24221" s="4" t="s">
        <v>30475</v>
      </c>
      <c r="B24221" s="4" t="s">
        <v>30477</v>
      </c>
      <c r="C24221" s="5" t="str">
        <f>IFERROR(__xludf.DUMMYFUNCTION("GOOGLETRANSLATE(B24221,""en"",""es-ES"")"),"La Lady Hula Hoops en pantalones cortos y una camisa ajustada en una plaza y vemos un temporizador en la esquina superior derecha periódicamente.")</f>
        <v>La Lady Hula Hoops en pantalones cortos y una camisa ajustada en una plaza y vemos un temporizador en la esquina superior derecha periódicamente.</v>
      </c>
    </row>
    <row r="24222">
      <c r="A24222" s="4" t="s">
        <v>30475</v>
      </c>
      <c r="B24222" s="4" t="s">
        <v>30478</v>
      </c>
      <c r="C24222" s="5" t="str">
        <f>IFERROR(__xludf.DUMMYFUNCTION("GOOGLETRANSLATE(B24222,""en"",""es-ES"")"),"El temporizador lee a Lady Hula Hoops durante 2 minutos y diecisiete segundos.")</f>
        <v>El temporizador lee a Lady Hula Hoops durante 2 minutos y diecisiete segundos.</v>
      </c>
    </row>
    <row r="24223">
      <c r="A24223" s="4" t="s">
        <v>30475</v>
      </c>
      <c r="B24223" s="4" t="s">
        <v>30479</v>
      </c>
      <c r="C24223" s="5" t="str">
        <f>IFERROR(__xludf.DUMMYFUNCTION("GOOGLETRANSLATE(B24223,""en"",""es-ES"")"),"La señora vuelve a hablar con la cámara.")</f>
        <v>La señora vuelve a hablar con la cámara.</v>
      </c>
    </row>
    <row r="24224">
      <c r="A24224" s="4" t="s">
        <v>30475</v>
      </c>
      <c r="B24224" s="4" t="s">
        <v>30480</v>
      </c>
      <c r="C24224" s="5" t="str">
        <f>IFERROR(__xludf.DUMMYFUNCTION("GOOGLETRANSLATE(B24224,""en"",""es-ES"")"),"Vemos la pantalla final de YouTube.")</f>
        <v>Vemos la pantalla final de YouTube.</v>
      </c>
    </row>
    <row r="24225">
      <c r="A24225" s="4" t="s">
        <v>30481</v>
      </c>
      <c r="B24225" s="4" t="s">
        <v>30482</v>
      </c>
      <c r="C24225" s="5" t="str">
        <f>IFERROR(__xludf.DUMMYFUNCTION("GOOGLETRANSLATE(B24225,""en"",""es-ES"")"),"Se muestra un sobre con una llave.")</f>
        <v>Se muestra un sobre con una llave.</v>
      </c>
    </row>
    <row r="24226">
      <c r="A24226" s="4" t="s">
        <v>30481</v>
      </c>
      <c r="B24226" s="4" t="s">
        <v>30483</v>
      </c>
      <c r="C24226" s="5" t="str">
        <f>IFERROR(__xludf.DUMMYFUNCTION("GOOGLETRANSLATE(B24226,""en"",""es-ES"")"),"Una mujer envuelve un libro en papel marrón.")</f>
        <v>Una mujer envuelve un libro en papel marrón.</v>
      </c>
    </row>
    <row r="24227">
      <c r="A24227" s="4" t="s">
        <v>30481</v>
      </c>
      <c r="B24227" s="4" t="s">
        <v>30484</v>
      </c>
      <c r="C24227" s="5" t="str">
        <f>IFERROR(__xludf.DUMMYFUNCTION("GOOGLETRANSLATE(B24227,""en"",""es-ES"")"),"Una mujer con un suéter gris está hablando.")</f>
        <v>Una mujer con un suéter gris está hablando.</v>
      </c>
    </row>
    <row r="24228">
      <c r="A24228" s="4" t="s">
        <v>30481</v>
      </c>
      <c r="B24228" s="4" t="s">
        <v>30485</v>
      </c>
      <c r="C24228" s="5" t="str">
        <f>IFERROR(__xludf.DUMMYFUNCTION("GOOGLETRANSLATE(B24228,""en"",""es-ES"")"),"Una mujer saluda a la cámara.")</f>
        <v>Una mujer saluda a la cámara.</v>
      </c>
    </row>
    <row r="24229">
      <c r="A24229" s="4" t="s">
        <v>30481</v>
      </c>
      <c r="B24229" s="4" t="s">
        <v>30486</v>
      </c>
      <c r="C24229" s="5" t="str">
        <f>IFERROR(__xludf.DUMMYFUNCTION("GOOGLETRANSLATE(B24229,""en"",""es-ES"")"),"Terminan envolviendo el libro y ponen el sobre en la parte delantera del paquete.")</f>
        <v>Terminan envolviendo el libro y ponen el sobre en la parte delantera del paquete.</v>
      </c>
    </row>
    <row r="24230">
      <c r="A24230" s="4" t="s">
        <v>30481</v>
      </c>
      <c r="B24230" s="4" t="s">
        <v>30487</v>
      </c>
      <c r="C24230" s="5" t="str">
        <f>IFERROR(__xludf.DUMMYFUNCTION("GOOGLETRANSLATE(B24230,""en"",""es-ES"")"),"Las palabras gracias están estampadas dentro de un libro.")</f>
        <v>Las palabras gracias están estampadas dentro de un libro.</v>
      </c>
    </row>
    <row r="24231">
      <c r="A24231" s="4" t="s">
        <v>30488</v>
      </c>
      <c r="B24231" s="4" t="s">
        <v>30489</v>
      </c>
      <c r="C24231" s="5" t="str">
        <f>IFERROR(__xludf.DUMMYFUNCTION("GOOGLETRANSLATE(B24231,""en"",""es-ES"")"),"Se ve a una mujer hablando y riendo a la cámara y la lleva a sostener una revista y presentar páginas a la cámara.")</f>
        <v>Se ve a una mujer hablando y riendo a la cámara y la lleva a sostener una revista y presentar páginas a la cámara.</v>
      </c>
    </row>
    <row r="24232">
      <c r="A24232" s="4" t="s">
        <v>30488</v>
      </c>
      <c r="B24232" s="4" t="s">
        <v>30490</v>
      </c>
      <c r="C24232" s="5" t="str">
        <f>IFERROR(__xludf.DUMMYFUNCTION("GOOGLETRANSLATE(B24232,""en"",""es-ES"")"),"La mujer presenta más objetos a la cámara y luego usa uno para cepillarse los dientes mientras todavía habla con la cámara.")</f>
        <v>La mujer presenta más objetos a la cámara y luego usa uno para cepillarse los dientes mientras todavía habla con la cámara.</v>
      </c>
    </row>
    <row r="24233">
      <c r="A24233" s="4" t="s">
        <v>30491</v>
      </c>
      <c r="B24233" s="4" t="s">
        <v>30492</v>
      </c>
      <c r="C24233" s="5" t="str">
        <f>IFERROR(__xludf.DUMMYFUNCTION("GOOGLETRANSLATE(B24233,""en"",""es-ES"")"),"Dos luchadores de suma caminan hacia un anillo.")</f>
        <v>Dos luchadores de suma caminan hacia un anillo.</v>
      </c>
    </row>
    <row r="24234">
      <c r="A24234" s="4" t="s">
        <v>30491</v>
      </c>
      <c r="B24234" s="4" t="s">
        <v>30493</v>
      </c>
      <c r="C24234" s="5" t="str">
        <f>IFERROR(__xludf.DUMMYFUNCTION("GOOGLETRANSLATE(B24234,""en"",""es-ES"")"),"Una multitud mira la pelea.")</f>
        <v>Una multitud mira la pelea.</v>
      </c>
    </row>
    <row r="24235">
      <c r="A24235" s="4" t="s">
        <v>30491</v>
      </c>
      <c r="B24235" s="4" t="s">
        <v>30494</v>
      </c>
      <c r="C24235" s="5" t="str">
        <f>IFERROR(__xludf.DUMMYFUNCTION("GOOGLETRANSLATE(B24235,""en"",""es-ES"")"),"Los luchadores de suma se preparan.")</f>
        <v>Los luchadores de suma se preparan.</v>
      </c>
    </row>
    <row r="24236">
      <c r="A24236" s="4" t="s">
        <v>30491</v>
      </c>
      <c r="B24236" s="4" t="s">
        <v>30495</v>
      </c>
      <c r="C24236" s="5" t="str">
        <f>IFERROR(__xludf.DUMMYFUNCTION("GOOGLETRANSLATE(B24236,""en"",""es-ES"")"),"Un árbitro los llama a su posición.")</f>
        <v>Un árbitro los llama a su posición.</v>
      </c>
    </row>
    <row r="24237">
      <c r="A24237" s="4" t="s">
        <v>30491</v>
      </c>
      <c r="B24237" s="4" t="s">
        <v>30496</v>
      </c>
      <c r="C24237" s="5" t="str">
        <f>IFERROR(__xludf.DUMMYFUNCTION("GOOGLETRANSLATE(B24237,""en"",""es-ES"")"),"Los luchadores de suma comienzan a pelear, con uno de ellos inmediatamente arrojando al otro al suelo.")</f>
        <v>Los luchadores de suma comienzan a pelear, con uno de ellos inmediatamente arrojando al otro al suelo.</v>
      </c>
    </row>
    <row r="24238">
      <c r="A24238" s="4" t="s">
        <v>30491</v>
      </c>
      <c r="B24238" s="4" t="s">
        <v>30497</v>
      </c>
      <c r="C24238" s="5" t="str">
        <f>IFERROR(__xludf.DUMMYFUNCTION("GOOGLETRANSLATE(B24238,""en"",""es-ES"")"),"El luchador de suma ganador es aplaudido y aplaudido por la multitud mientras sale del escenario.")</f>
        <v>El luchador de suma ganador es aplaudido y aplaudido por la multitud mientras sale del escenario.</v>
      </c>
    </row>
    <row r="24239">
      <c r="A24239" s="4" t="s">
        <v>30498</v>
      </c>
      <c r="B24239" s="4" t="s">
        <v>30499</v>
      </c>
      <c r="C24239" s="5" t="str">
        <f>IFERROR(__xludf.DUMMYFUNCTION("GOOGLETRANSLATE(B24239,""en"",""es-ES"")"),"Para envolver un regalo circular, necesitará tijeras de cinta, tijeras de papel, cintas, cinta, japonesa con papel porque es suave y fuerte y el color no se desprende.")</f>
        <v>Para envolver un regalo circular, necesitará tijeras de cinta, tijeras de papel, cintas, cinta, japonesa con papel porque es suave y fuerte y el color no se desprende.</v>
      </c>
    </row>
    <row r="24240">
      <c r="A24240" s="4" t="s">
        <v>30498</v>
      </c>
      <c r="B24240" s="4" t="s">
        <v>30500</v>
      </c>
      <c r="C24240" s="5" t="str">
        <f>IFERROR(__xludf.DUMMYFUNCTION("GOOGLETRANSLATE(B24240,""en"",""es-ES"")"),"Primero mida el papel correctamente midiendo a los lados y luego dobla el papel en el medio sosteniendo el papel de la misma manera en el otro lado, luego cierre el papel en el medio de la articulación para hacer un pliegue y luego repita hasta que el pli"&amp;"egue esté por completo y luego ponte cinta adhesiva Cubra y luego ata la cinta.")</f>
        <v>Primero mida el papel correctamente midiendo a los lados y luego dobla el papel en el medio sosteniendo el papel de la misma manera en el otro lado, luego cierre el papel en el medio de la articulación para hacer un pliegue y luego repita hasta que el pliegue esté por completo y luego ponte cinta adhesiva Cubra y luego ata la cinta.</v>
      </c>
    </row>
    <row r="24241">
      <c r="A24241" s="4" t="s">
        <v>30501</v>
      </c>
      <c r="B24241" s="4" t="s">
        <v>30502</v>
      </c>
      <c r="C24241" s="5" t="str">
        <f>IFERROR(__xludf.DUMMYFUNCTION("GOOGLETRANSLATE(B24241,""en"",""es-ES"")"),"Una gimnasta dama vestida con leotardos negros está realizando gimnasia en bares.")</f>
        <v>Una gimnasta dama vestida con leotardos negros está realizando gimnasia en bares.</v>
      </c>
    </row>
    <row r="24242">
      <c r="A24242" s="4" t="s">
        <v>30501</v>
      </c>
      <c r="B24242" s="4" t="s">
        <v>30503</v>
      </c>
      <c r="C24242" s="5" t="str">
        <f>IFERROR(__xludf.DUMMYFUNCTION("GOOGLETRANSLATE(B24242,""en"",""es-ES"")"),"Ella salta sin problemas sobre la barra y se balancea de un lado a otro de un bar a otro sin caerse.")</f>
        <v>Ella salta sin problemas sobre la barra y se balancea de un lado a otro de un bar a otro sin caerse.</v>
      </c>
    </row>
    <row r="24243">
      <c r="A24243" s="4" t="s">
        <v>30501</v>
      </c>
      <c r="B24243" s="4" t="s">
        <v>30504</v>
      </c>
      <c r="C24243" s="5" t="str">
        <f>IFERROR(__xludf.DUMMYFUNCTION("GOOGLETRANSLATE(B24243,""en"",""es-ES"")"),"Ella completa con éxito su ronda y salta de los bares.")</f>
        <v>Ella completa con éxito su ronda y salta de los bares.</v>
      </c>
    </row>
    <row r="24244">
      <c r="A24244" s="4" t="s">
        <v>30501</v>
      </c>
      <c r="B24244" s="4" t="s">
        <v>30505</v>
      </c>
      <c r="C24244" s="5" t="str">
        <f>IFERROR(__xludf.DUMMYFUNCTION("GOOGLETRANSLATE(B24244,""en"",""es-ES"")"),"La multitud anima en voz alta mientras aplauden por la gimnasta.")</f>
        <v>La multitud anima en voz alta mientras aplauden por la gimnasta.</v>
      </c>
    </row>
    <row r="24245">
      <c r="A24245" s="4" t="s">
        <v>30506</v>
      </c>
      <c r="B24245" s="4" t="s">
        <v>30507</v>
      </c>
      <c r="C24245" s="5" t="str">
        <f>IFERROR(__xludf.DUMMYFUNCTION("GOOGLETRANSLATE(B24245,""en"",""es-ES"")"),"Una serie de personas que se caen violentamente de los esquís acuáticos mientras exhibe el esquí acuático.")</f>
        <v>Una serie de personas que se caen violentamente de los esquís acuáticos mientras exhibe el esquí acuático.</v>
      </c>
    </row>
    <row r="24246">
      <c r="A24246" s="4" t="s">
        <v>30506</v>
      </c>
      <c r="B24246" s="4" t="s">
        <v>30508</v>
      </c>
      <c r="C24246" s="5" t="str">
        <f>IFERROR(__xludf.DUMMYFUNCTION("GOOGLETRANSLATE(B24246,""en"",""es-ES"")"),"Se produce una persona que se estrella contra una familia en la playa a toda velocidad en un esquí acuático.")</f>
        <v>Se produce una persona que se estrella contra una familia en la playa a toda velocidad en un esquí acuático.</v>
      </c>
    </row>
    <row r="24247">
      <c r="A24247" s="4" t="s">
        <v>30506</v>
      </c>
      <c r="B24247" s="4" t="s">
        <v>30509</v>
      </c>
      <c r="C24247" s="5" t="str">
        <f>IFERROR(__xludf.DUMMYFUNCTION("GOOGLETRANSLATE(B24247,""en"",""es-ES"")"),"Se muestra a varias personas más chocando mientras está en esquís acuáticos con un hombre que se estrella y el agua se pone rojo en el punto de impacto y se estrellan.")</f>
        <v>Se muestra a varias personas más chocando mientras está en esquís acuáticos con un hombre que se estrella y el agua se pone rojo en el punto de impacto y se estrellan.</v>
      </c>
    </row>
    <row r="24248">
      <c r="A24248" s="4" t="s">
        <v>30506</v>
      </c>
      <c r="B24248" s="4" t="s">
        <v>30510</v>
      </c>
      <c r="C24248" s="5" t="str">
        <f>IFERROR(__xludf.DUMMYFUNCTION("GOOGLETRANSLATE(B24248,""en"",""es-ES"")"),"Un último clip muestra a alguien que sube una rampa en esquís acuáticos y luego se estrella contra el agua.")</f>
        <v>Un último clip muestra a alguien que sube una rampa en esquís acuáticos y luego se estrella contra el agua.</v>
      </c>
    </row>
    <row r="24249">
      <c r="A24249" s="4" t="s">
        <v>30511</v>
      </c>
      <c r="B24249" s="4" t="s">
        <v>30512</v>
      </c>
      <c r="C24249" s="5" t="str">
        <f>IFERROR(__xludf.DUMMYFUNCTION("GOOGLETRANSLATE(B24249,""en"",""es-ES"")"),"Se muestra una cerca blanca afuera de una casa.")</f>
        <v>Se muestra una cerca blanca afuera de una casa.</v>
      </c>
    </row>
    <row r="24250">
      <c r="A24250" s="4" t="s">
        <v>30511</v>
      </c>
      <c r="B24250" s="4" t="s">
        <v>30513</v>
      </c>
      <c r="C24250" s="5" t="str">
        <f>IFERROR(__xludf.DUMMYFUNCTION("GOOGLETRANSLATE(B24250,""en"",""es-ES"")"),"Un hombre sostiene un raspador y un cepillo.")</f>
        <v>Un hombre sostiene un raspador y un cepillo.</v>
      </c>
    </row>
    <row r="24251">
      <c r="A24251" s="4" t="s">
        <v>30511</v>
      </c>
      <c r="B24251" s="4" t="s">
        <v>30514</v>
      </c>
      <c r="C24251" s="5" t="str">
        <f>IFERROR(__xludf.DUMMYFUNCTION("GOOGLETRANSLATE(B24251,""en"",""es-ES"")"),"Él raspa la pintura de la cerca, luego la vuelve a pintar con pintura fresca.")</f>
        <v>Él raspa la pintura de la cerca, luego la vuelve a pintar con pintura fresca.</v>
      </c>
    </row>
    <row r="24252">
      <c r="A24252" s="4" t="s">
        <v>30515</v>
      </c>
      <c r="B24252" s="4" t="s">
        <v>30516</v>
      </c>
      <c r="C24252" s="5" t="str">
        <f>IFERROR(__xludf.DUMMYFUNCTION("GOOGLETRANSLATE(B24252,""en"",""es-ES"")"),"La persona está esquiando por las altas montañas cubiertas de nieve.")</f>
        <v>La persona está esquiando por las altas montañas cubiertas de nieve.</v>
      </c>
    </row>
    <row r="24253">
      <c r="A24253" s="4" t="s">
        <v>30515</v>
      </c>
      <c r="B24253" s="4" t="s">
        <v>30517</v>
      </c>
      <c r="C24253" s="5" t="str">
        <f>IFERROR(__xludf.DUMMYFUNCTION("GOOGLETRANSLATE(B24253,""en"",""es-ES"")"),"Un helicóptero rojo está volando mientras los esquiadores suben la montaña superior.")</f>
        <v>Un helicóptero rojo está volando mientras los esquiadores suben la montaña superior.</v>
      </c>
    </row>
    <row r="24254">
      <c r="A24254" s="4" t="s">
        <v>30515</v>
      </c>
      <c r="B24254" s="4" t="s">
        <v>30518</v>
      </c>
      <c r="C24254" s="5" t="str">
        <f>IFERROR(__xludf.DUMMYFUNCTION("GOOGLETRANSLATE(B24254,""en"",""es-ES"")"),"Los esquiadores esquían por la pendiente, montan sus motocicletas, fueron a pescar y esquiar.")</f>
        <v>Los esquiadores esquían por la pendiente, montan sus motocicletas, fueron a pescar y esquiar.</v>
      </c>
    </row>
    <row r="24255">
      <c r="A24255" s="4" t="s">
        <v>30519</v>
      </c>
      <c r="B24255" s="4" t="s">
        <v>30520</v>
      </c>
      <c r="C24255" s="5" t="str">
        <f>IFERROR(__xludf.DUMMYFUNCTION("GOOGLETRANSLATE(B24255,""en"",""es-ES"")"),"Un niño pequeño está dentro de una sala de estar.")</f>
        <v>Un niño pequeño está dentro de una sala de estar.</v>
      </c>
    </row>
    <row r="24256">
      <c r="A24256" s="4" t="s">
        <v>30519</v>
      </c>
      <c r="B24256" s="4" t="s">
        <v>30521</v>
      </c>
      <c r="C24256" s="5" t="str">
        <f>IFERROR(__xludf.DUMMYFUNCTION("GOOGLETRANSLATE(B24256,""en"",""es-ES"")"),"Está empujando y tirando de una aspiradora grande.")</f>
        <v>Está empujando y tirando de una aspiradora grande.</v>
      </c>
    </row>
    <row r="24257">
      <c r="A24257" s="4" t="s">
        <v>30519</v>
      </c>
      <c r="B24257" s="4" t="s">
        <v>30522</v>
      </c>
      <c r="C24257" s="5" t="str">
        <f>IFERROR(__xludf.DUMMYFUNCTION("GOOGLETRANSLATE(B24257,""en"",""es-ES"")"),"Está aspirando la gran alfombra de la sala de estar.")</f>
        <v>Está aspirando la gran alfombra de la sala de estar.</v>
      </c>
    </row>
    <row r="24258">
      <c r="A24258" s="4" t="s">
        <v>30523</v>
      </c>
      <c r="B24258" s="4" t="s">
        <v>30524</v>
      </c>
      <c r="C24258" s="5" t="str">
        <f>IFERROR(__xludf.DUMMYFUNCTION("GOOGLETRANSLATE(B24258,""en"",""es-ES"")"),"Se muestra un primer plano de una herramienta seguido por una persona que corta una alfombra.")</f>
        <v>Se muestra un primer plano de una herramienta seguido por una persona que corta una alfombra.</v>
      </c>
    </row>
    <row r="24259">
      <c r="A24259" s="4" t="s">
        <v>30523</v>
      </c>
      <c r="B24259" s="4" t="s">
        <v>30525</v>
      </c>
      <c r="C24259" s="5" t="str">
        <f>IFERROR(__xludf.DUMMYFUNCTION("GOOGLETRANSLATE(B24259,""en"",""es-ES"")"),"La persona continúa usando la herramienta a lo largo de los lados y la cámara se desvanece a las negras poco después.")</f>
        <v>La persona continúa usando la herramienta a lo largo de los lados y la cámara se desvanece a las negras poco después.</v>
      </c>
    </row>
    <row r="24260">
      <c r="A24260" s="4" t="s">
        <v>30526</v>
      </c>
      <c r="B24260" s="4" t="s">
        <v>30527</v>
      </c>
      <c r="C24260" s="5" t="str">
        <f>IFERROR(__xludf.DUMMYFUNCTION("GOOGLETRANSLATE(B24260,""en"",""es-ES"")"),"Un hombre está parado en su patio.")</f>
        <v>Un hombre está parado en su patio.</v>
      </c>
    </row>
    <row r="24261">
      <c r="A24261" s="4" t="s">
        <v>30526</v>
      </c>
      <c r="B24261" s="4" t="s">
        <v>30528</v>
      </c>
      <c r="C24261" s="5" t="str">
        <f>IFERROR(__xludf.DUMMYFUNCTION("GOOGLETRANSLATE(B24261,""en"",""es-ES"")"),"Él usa un cepillo para cepillar su cabello muy largo.")</f>
        <v>Él usa un cepillo para cepillar su cabello muy largo.</v>
      </c>
    </row>
    <row r="24262">
      <c r="A24262" s="4" t="s">
        <v>30526</v>
      </c>
      <c r="B24262" s="4" t="s">
        <v>30529</v>
      </c>
      <c r="C24262" s="5" t="str">
        <f>IFERROR(__xludf.DUMMYFUNCTION("GOOGLETRANSLATE(B24262,""en"",""es-ES"")"),"Lo cepilla desde varios ángulos diferentes.")</f>
        <v>Lo cepilla desde varios ángulos diferentes.</v>
      </c>
    </row>
    <row r="24263">
      <c r="A24263" s="4" t="s">
        <v>30530</v>
      </c>
      <c r="B24263" s="4" t="s">
        <v>30531</v>
      </c>
      <c r="C24263" s="5" t="str">
        <f>IFERROR(__xludf.DUMMYFUNCTION("GOOGLETRANSLATE(B24263,""en"",""es-ES"")"),"Un hombre con una sudadera con capucha negra habla con la cámara.")</f>
        <v>Un hombre con una sudadera con capucha negra habla con la cámara.</v>
      </c>
    </row>
    <row r="24264">
      <c r="A24264" s="4" t="s">
        <v>30530</v>
      </c>
      <c r="B24264" s="4" t="s">
        <v>30532</v>
      </c>
      <c r="C24264" s="5" t="str">
        <f>IFERROR(__xludf.DUMMYFUNCTION("GOOGLETRANSLATE(B24264,""en"",""es-ES"")"),"Un segundo hombre en una sudadera con capucha azul entra y habla con la cámara.")</f>
        <v>Un segundo hombre en una sudadera con capucha azul entra y habla con la cámara.</v>
      </c>
    </row>
    <row r="24265">
      <c r="A24265" s="4" t="s">
        <v>30530</v>
      </c>
      <c r="B24265" s="4" t="s">
        <v>30533</v>
      </c>
      <c r="C24265" s="5" t="str">
        <f>IFERROR(__xludf.DUMMYFUNCTION("GOOGLETRANSLATE(B24265,""en"",""es-ES"")"),"El hombre de la sudadera con capucha negra muestra una botella de bucal.")</f>
        <v>El hombre de la sudadera con capucha negra muestra una botella de bucal.</v>
      </c>
    </row>
    <row r="24266">
      <c r="A24266" s="4" t="s">
        <v>30530</v>
      </c>
      <c r="B24266" s="4" t="s">
        <v>30534</v>
      </c>
      <c r="C24266" s="5" t="str">
        <f>IFERROR(__xludf.DUMMYFUNCTION("GOOGLETRANSLATE(B24266,""en"",""es-ES"")"),"Los dos hombres hablan entre ellos.")</f>
        <v>Los dos hombres hablan entre ellos.</v>
      </c>
    </row>
    <row r="24267">
      <c r="A24267" s="4" t="s">
        <v>30530</v>
      </c>
      <c r="B24267" s="4" t="s">
        <v>30535</v>
      </c>
      <c r="C24267" s="5" t="str">
        <f>IFERROR(__xludf.DUMMYFUNCTION("GOOGLETRANSLATE(B24267,""en"",""es-ES"")"),"El hombre en la sudadera con capucha azul vierte el enjuague bucal en dos vasos.")</f>
        <v>El hombre en la sudadera con capucha azul vierte el enjuague bucal en dos vasos.</v>
      </c>
    </row>
    <row r="24268">
      <c r="A24268" s="4" t="s">
        <v>30530</v>
      </c>
      <c r="B24268" s="4" t="s">
        <v>30536</v>
      </c>
      <c r="C24268" s="5" t="str">
        <f>IFERROR(__xludf.DUMMYFUNCTION("GOOGLETRANSLATE(B24268,""en"",""es-ES"")"),"Los dos hombres toman clases y se ""aplauden"".")</f>
        <v>Los dos hombres toman clases y se "aplauden".</v>
      </c>
    </row>
    <row r="24269">
      <c r="A24269" s="4" t="s">
        <v>30530</v>
      </c>
      <c r="B24269" s="4" t="s">
        <v>30537</v>
      </c>
      <c r="C24269" s="5" t="str">
        <f>IFERROR(__xludf.DUMMYFUNCTION("GOOGLETRANSLATE(B24269,""en"",""es-ES"")"),"Los dos hombres mantienen el enjuague bucal en la boca.")</f>
        <v>Los dos hombres mantienen el enjuague bucal en la boca.</v>
      </c>
    </row>
    <row r="24270">
      <c r="A24270" s="4" t="s">
        <v>30530</v>
      </c>
      <c r="B24270" s="4" t="s">
        <v>30538</v>
      </c>
      <c r="C24270" s="5" t="str">
        <f>IFERROR(__xludf.DUMMYFUNCTION("GOOGLETRANSLATE(B24270,""en"",""es-ES"")"),"El hombre de la sudadera con capucha negra muestra su camiseta.")</f>
        <v>El hombre de la sudadera con capucha negra muestra su camiseta.</v>
      </c>
    </row>
    <row r="24271">
      <c r="A24271" s="4" t="s">
        <v>30530</v>
      </c>
      <c r="B24271" s="4" t="s">
        <v>30539</v>
      </c>
      <c r="C24271" s="5" t="str">
        <f>IFERROR(__xludf.DUMMYFUNCTION("GOOGLETRANSLATE(B24271,""en"",""es-ES"")"),"Los dos hombres muestran señales que se insultan entre sí y tratan de hacerse reír.")</f>
        <v>Los dos hombres muestran señales que se insultan entre sí y tratan de hacerse reír.</v>
      </c>
    </row>
    <row r="24272">
      <c r="A24272" s="4" t="s">
        <v>30530</v>
      </c>
      <c r="B24272" s="4" t="s">
        <v>30540</v>
      </c>
      <c r="C24272" s="5" t="str">
        <f>IFERROR(__xludf.DUMMYFUNCTION("GOOGLETRANSLATE(B24272,""en"",""es-ES"")"),"El hombre en la sudadera azul se ríe primero.")</f>
        <v>El hombre en la sudadera azul se ríe primero.</v>
      </c>
    </row>
    <row r="24273">
      <c r="A24273" s="4" t="s">
        <v>30530</v>
      </c>
      <c r="B24273" s="4" t="s">
        <v>30541</v>
      </c>
      <c r="C24273" s="5" t="str">
        <f>IFERROR(__xludf.DUMMYFUNCTION("GOOGLETRANSLATE(B24273,""en"",""es-ES"")"),"Los hombres escupen el enjuague bucal en el fregadero.")</f>
        <v>Los hombres escupen el enjuague bucal en el fregadero.</v>
      </c>
    </row>
    <row r="24274">
      <c r="A24274" s="4" t="s">
        <v>30542</v>
      </c>
      <c r="B24274" s="4" t="s">
        <v>30543</v>
      </c>
      <c r="C24274" s="5" t="str">
        <f>IFERROR(__xludf.DUMMYFUNCTION("GOOGLETRANSLATE(B24274,""en"",""es-ES"")"),"Se ve a un hombre y una mujer caminando hacia un gran escenario uno del otro.")</f>
        <v>Se ve a un hombre y una mujer caminando hacia un gran escenario uno del otro.</v>
      </c>
    </row>
    <row r="24275">
      <c r="A24275" s="4" t="s">
        <v>30542</v>
      </c>
      <c r="B24275" s="4" t="s">
        <v>30544</v>
      </c>
      <c r="C24275" s="5" t="str">
        <f>IFERROR(__xludf.DUMMYFUNCTION("GOOGLETRANSLATE(B24275,""en"",""es-ES"")"),"Los dos luego comienzan a realizar una rutina de tango entre sí.")</f>
        <v>Los dos luego comienzan a realizar una rutina de tango entre sí.</v>
      </c>
    </row>
    <row r="24276">
      <c r="A24276" s="4" t="s">
        <v>30542</v>
      </c>
      <c r="B24276" s="4" t="s">
        <v>30545</v>
      </c>
      <c r="C24276" s="5" t="str">
        <f>IFERROR(__xludf.DUMMYFUNCTION("GOOGLETRANSLATE(B24276,""en"",""es-ES"")"),"El hombre levanta a la mujer por todas partes mientras continúan bailando y terminan haciendo una pose.")</f>
        <v>El hombre levanta a la mujer por todas partes mientras continúan bailando y terminan haciendo una pose.</v>
      </c>
    </row>
    <row r="24277">
      <c r="A24277" s="4" t="s">
        <v>30546</v>
      </c>
      <c r="B24277" s="4" t="s">
        <v>30547</v>
      </c>
      <c r="C24277" s="5" t="str">
        <f>IFERROR(__xludf.DUMMYFUNCTION("GOOGLETRANSLATE(B24277,""en"",""es-ES"")"),"Un adolescente y una niña están sentados en el auto fumando de una manguera.")</f>
        <v>Un adolescente y una niña están sentados en el auto fumando de una manguera.</v>
      </c>
    </row>
    <row r="24278">
      <c r="A24278" s="4" t="s">
        <v>30546</v>
      </c>
      <c r="B24278" s="4" t="s">
        <v>30548</v>
      </c>
      <c r="C24278" s="5" t="str">
        <f>IFERROR(__xludf.DUMMYFUNCTION("GOOGLETRANSLATE(B24278,""en"",""es-ES"")"),"La niña y el niño se turnan para soplar anillos de humo.")</f>
        <v>La niña y el niño se turnan para soplar anillos de humo.</v>
      </c>
    </row>
    <row r="24279">
      <c r="A24279" s="4" t="s">
        <v>30549</v>
      </c>
      <c r="B24279" s="4" t="s">
        <v>30550</v>
      </c>
      <c r="C24279" s="5" t="str">
        <f>IFERROR(__xludf.DUMMYFUNCTION("GOOGLETRANSLATE(B24279,""en"",""es-ES"")"),"Un hombre está lanzando dardos a un tablero de dardos.")</f>
        <v>Un hombre está lanzando dardos a un tablero de dardos.</v>
      </c>
    </row>
    <row r="24280">
      <c r="A24280" s="4" t="s">
        <v>30549</v>
      </c>
      <c r="B24280" s="4" t="s">
        <v>30551</v>
      </c>
      <c r="C24280" s="5" t="str">
        <f>IFERROR(__xludf.DUMMYFUNCTION("GOOGLETRANSLATE(B24280,""en"",""es-ES"")"),"Señala las palabras en su camisa.")</f>
        <v>Señala las palabras en su camisa.</v>
      </c>
    </row>
    <row r="24281">
      <c r="A24281" s="4" t="s">
        <v>30549</v>
      </c>
      <c r="B24281" s="4" t="s">
        <v>30552</v>
      </c>
      <c r="C24281" s="5" t="str">
        <f>IFERROR(__xludf.DUMMYFUNCTION("GOOGLETRANSLATE(B24281,""en"",""es-ES"")"),"Muestra a los dardos en el tablero de dardos.")</f>
        <v>Muestra a los dardos en el tablero de dardos.</v>
      </c>
    </row>
    <row r="24282">
      <c r="A24282" s="4" t="s">
        <v>30549</v>
      </c>
      <c r="B24282" s="4" t="s">
        <v>30553</v>
      </c>
      <c r="C24282" s="5" t="str">
        <f>IFERROR(__xludf.DUMMYFUNCTION("GOOGLETRANSLATE(B24282,""en"",""es-ES"")"),"Muestra su mano mientras tira el dardo.")</f>
        <v>Muestra su mano mientras tira el dardo.</v>
      </c>
    </row>
    <row r="24283">
      <c r="A24283" s="4" t="s">
        <v>30554</v>
      </c>
      <c r="B24283" s="4" t="s">
        <v>30555</v>
      </c>
      <c r="C24283" s="5" t="str">
        <f>IFERROR(__xludf.DUMMYFUNCTION("GOOGLETRANSLATE(B24283,""en"",""es-ES"")"),"Se ve a una persona arrodillada en un gran agujero frotando yeso a lo largo de una pared.")</f>
        <v>Se ve a una persona arrodillada en un gran agujero frotando yeso a lo largo de una pared.</v>
      </c>
    </row>
    <row r="24284">
      <c r="A24284" s="4" t="s">
        <v>30554</v>
      </c>
      <c r="B24284" s="4" t="s">
        <v>30556</v>
      </c>
      <c r="C24284" s="5" t="str">
        <f>IFERROR(__xludf.DUMMYFUNCTION("GOOGLETRANSLATE(B24284,""en"",""es-ES"")"),"El hombre frota el yeso con una herramienta y se levanta para agarrar papel.")</f>
        <v>El hombre frota el yeso con una herramienta y se levanta para agarrar papel.</v>
      </c>
    </row>
    <row r="24285">
      <c r="A24285" s="4" t="s">
        <v>30554</v>
      </c>
      <c r="B24285" s="4" t="s">
        <v>30557</v>
      </c>
      <c r="C24285" s="5" t="str">
        <f>IFERROR(__xludf.DUMMYFUNCTION("GOOGLETRANSLATE(B24285,""en"",""es-ES"")"),"Frota el papel a lo largo de la pared y termina mirando hacia la cámara.")</f>
        <v>Frota el papel a lo largo de la pared y termina mirando hacia la cámara.</v>
      </c>
    </row>
    <row r="24286">
      <c r="A24286" s="4" t="s">
        <v>30558</v>
      </c>
      <c r="B24286" s="4" t="s">
        <v>30559</v>
      </c>
      <c r="C24286" s="5" t="str">
        <f>IFERROR(__xludf.DUMMYFUNCTION("GOOGLETRANSLATE(B24286,""en"",""es-ES"")"),"Un hombre con barba está tocando en un tambor verde.")</f>
        <v>Un hombre con barba está tocando en un tambor verde.</v>
      </c>
    </row>
    <row r="24287">
      <c r="A24287" s="4" t="s">
        <v>30558</v>
      </c>
      <c r="B24287" s="4" t="s">
        <v>30560</v>
      </c>
      <c r="C24287" s="5" t="str">
        <f>IFERROR(__xludf.DUMMYFUNCTION("GOOGLETRANSLATE(B24287,""en"",""es-ES"")"),"El hombre comienza a agregar un segundo tambor a la mezcla.")</f>
        <v>El hombre comienza a agregar un segundo tambor a la mezcla.</v>
      </c>
    </row>
    <row r="24288">
      <c r="A24288" s="4" t="s">
        <v>30558</v>
      </c>
      <c r="B24288" s="4" t="s">
        <v>30561</v>
      </c>
      <c r="C24288" s="5" t="str">
        <f>IFERROR(__xludf.DUMMYFUNCTION("GOOGLETRANSLATE(B24288,""en"",""es-ES"")"),"Se agrega un tercer tambor a la mezcla de batería.")</f>
        <v>Se agrega un tercer tambor a la mezcla de batería.</v>
      </c>
    </row>
    <row r="24289">
      <c r="A24289" s="4" t="s">
        <v>30562</v>
      </c>
      <c r="B24289" s="4" t="s">
        <v>30563</v>
      </c>
      <c r="C24289" s="5" t="str">
        <f>IFERROR(__xludf.DUMMYFUNCTION("GOOGLETRANSLATE(B24289,""en"",""es-ES"")"),"Vemos personas que sostienen sus teléfonos al registro.")</f>
        <v>Vemos personas que sostienen sus teléfonos al registro.</v>
      </c>
    </row>
    <row r="24290">
      <c r="A24290" s="4" t="s">
        <v>30562</v>
      </c>
      <c r="B24290" s="4" t="s">
        <v>30564</v>
      </c>
      <c r="C24290" s="5" t="str">
        <f>IFERROR(__xludf.DUMMYFUNCTION("GOOGLETRANSLATE(B24290,""en"",""es-ES"")"),"Luego vemos a un hombre tocando un piano.")</f>
        <v>Luego vemos a un hombre tocando un piano.</v>
      </c>
    </row>
    <row r="24291">
      <c r="A24291" s="4" t="s">
        <v>30562</v>
      </c>
      <c r="B24291" s="4" t="s">
        <v>30565</v>
      </c>
      <c r="C24291" s="5" t="str">
        <f>IFERROR(__xludf.DUMMYFUNCTION("GOOGLETRANSLATE(B24291,""en"",""es-ES"")"),"La cámara se mueve alrededor de la espalda del hombre.")</f>
        <v>La cámara se mueve alrededor de la espalda del hombre.</v>
      </c>
    </row>
    <row r="24292">
      <c r="A24292" s="4" t="s">
        <v>30562</v>
      </c>
      <c r="B24292" s="4" t="s">
        <v>30566</v>
      </c>
      <c r="C24292" s="5" t="str">
        <f>IFERROR(__xludf.DUMMYFUNCTION("GOOGLETRANSLATE(B24292,""en"",""es-ES"")"),"La multitud aplaude para el hombre.")</f>
        <v>La multitud aplaude para el hombre.</v>
      </c>
    </row>
    <row r="24293">
      <c r="A24293" s="4" t="s">
        <v>30562</v>
      </c>
      <c r="B24293" s="4" t="s">
        <v>30567</v>
      </c>
      <c r="C24293" s="5" t="str">
        <f>IFERROR(__xludf.DUMMYFUNCTION("GOOGLETRANSLATE(B24293,""en"",""es-ES"")"),"El hombre luego levanta la vista y habla.")</f>
        <v>El hombre luego levanta la vista y habla.</v>
      </c>
    </row>
    <row r="24294">
      <c r="A24294" s="4" t="s">
        <v>30568</v>
      </c>
      <c r="B24294" s="4" t="s">
        <v>30569</v>
      </c>
      <c r="C24294" s="5" t="str">
        <f>IFERROR(__xludf.DUMMYFUNCTION("GOOGLETRANSLATE(B24294,""en"",""es-ES"")"),"Las personas están en interiores y el enfoque se centra en varios clips de varias personas diferentes que se encuentran entre sí.")</f>
        <v>Las personas están en interiores y el enfoque se centra en varios clips de varias personas diferentes que se encuentran entre sí.</v>
      </c>
    </row>
    <row r="24295">
      <c r="A24295" s="4" t="s">
        <v>30568</v>
      </c>
      <c r="B24295" s="4" t="s">
        <v>30570</v>
      </c>
      <c r="C24295" s="5" t="str">
        <f>IFERROR(__xludf.DUMMYFUNCTION("GOOGLETRANSLATE(B24295,""en"",""es-ES"")"),"Un partido de esgrima entre dos mujeres comienza y la redacción en la pantalla dice que sus nombres son Michelle Li y Cindy Gao, y se muestran luchando desde varios ángulos diferentes haciendo muchos movimientos de cercas.")</f>
        <v>Un partido de esgrima entre dos mujeres comienza y la redacción en la pantalla dice que sus nombres son Michelle Li y Cindy Gao, y se muestran luchando desde varios ángulos diferentes haciendo muchos movimientos de cercas.</v>
      </c>
    </row>
    <row r="24296">
      <c r="A24296" s="4" t="s">
        <v>30568</v>
      </c>
      <c r="B24296" s="4" t="s">
        <v>30571</v>
      </c>
      <c r="C24296" s="5" t="str">
        <f>IFERROR(__xludf.DUMMYFUNCTION("GOOGLETRANSLATE(B24296,""en"",""es-ES"")"),"Cuando terminan de pelear, las mujeres se muestran de pie juntas, sonriendo, y la mujer de la izquierda tiene su brazo descansando sobre el hombro de la mujer a la derecha.")</f>
        <v>Cuando terminan de pelear, las mujeres se muestran de pie juntas, sonriendo, y la mujer de la izquierda tiene su brazo descansando sobre el hombro de la mujer a la derecha.</v>
      </c>
    </row>
    <row r="24297">
      <c r="A24297" s="4" t="s">
        <v>30568</v>
      </c>
      <c r="B24297" s="4" t="s">
        <v>30572</v>
      </c>
      <c r="C24297" s="5" t="str">
        <f>IFERROR(__xludf.DUMMYFUNCTION("GOOGLETRANSLATE(B24297,""en"",""es-ES"")"),"El outro es una pantalla blanca con múltiples colores que incluyen logotipos, sitio web y el nombre del evento.")</f>
        <v>El outro es una pantalla blanca con múltiples colores que incluyen logotipos, sitio web y el nombre del evento.</v>
      </c>
    </row>
    <row r="24298">
      <c r="A24298" s="4" t="s">
        <v>30573</v>
      </c>
      <c r="B24298" s="4" t="s">
        <v>30574</v>
      </c>
      <c r="C24298" s="5" t="str">
        <f>IFERROR(__xludf.DUMMYFUNCTION("GOOGLETRANSLATE(B24298,""en"",""es-ES"")"),"Una mujer está sonriendo sentada en un tatuaje sentado en la silla esperando pacientemente, sonriendo y más amigable.")</f>
        <v>Una mujer está sonriendo sentada en un tatuaje sentado en la silla esperando pacientemente, sonriendo y más amigable.</v>
      </c>
    </row>
    <row r="24299">
      <c r="A24299" s="4" t="s">
        <v>30573</v>
      </c>
      <c r="B24299" s="4" t="s">
        <v>30575</v>
      </c>
      <c r="C24299" s="5" t="str">
        <f>IFERROR(__xludf.DUMMYFUNCTION("GOOGLETRANSLATE(B24299,""en"",""es-ES"")"),"Él lleva guantes y agarra una abrazadera, luego HR se la pone en la boca y le cuestiona el labio.")</f>
        <v>Él lleva guantes y agarra una abrazadera, luego HR se la pone en la boca y le cuestiona el labio.</v>
      </c>
    </row>
    <row r="24300">
      <c r="A24300" s="4" t="s">
        <v>30573</v>
      </c>
      <c r="B24300" s="4" t="s">
        <v>30576</v>
      </c>
      <c r="C24300" s="5" t="str">
        <f>IFERROR(__xludf.DUMMYFUNCTION("GOOGLETRANSLATE(B24300,""en"",""es-ES"")"),"Luego agarra una aguja y se la pega a través del labio, él se pone un perforador y se la pone para ella.")</f>
        <v>Luego agarra una aguja y se la pega a través del labio, él se pone un perforador y se la pone para ella.</v>
      </c>
    </row>
    <row r="24301">
      <c r="A24301" s="4" t="s">
        <v>30573</v>
      </c>
      <c r="B24301" s="4" t="s">
        <v>30577</v>
      </c>
      <c r="C24301" s="5" t="str">
        <f>IFERROR(__xludf.DUMMYFUNCTION("GOOGLETRANSLATE(B24301,""en"",""es-ES"")"),"Después de eso, se levanta de la silla y camina hacia el espejo para verlo por sí misma.")</f>
        <v>Después de eso, se levanta de la silla y camina hacia el espejo para verlo por sí misma.</v>
      </c>
    </row>
    <row r="24302">
      <c r="A24302" s="4" t="s">
        <v>30578</v>
      </c>
      <c r="B24302" s="4" t="s">
        <v>30579</v>
      </c>
      <c r="C24302" s="5" t="str">
        <f>IFERROR(__xludf.DUMMYFUNCTION("GOOGLETRANSLATE(B24302,""en"",""es-ES"")"),"Se ve a una niña pequeña hula hooping una y otra vez con las manos en las caderas.")</f>
        <v>Se ve a una niña pequeña hula hooping una y otra vez con las manos en las caderas.</v>
      </c>
    </row>
    <row r="24303">
      <c r="A24303" s="4" t="s">
        <v>30578</v>
      </c>
      <c r="B24303" s="4" t="s">
        <v>30580</v>
      </c>
      <c r="C24303" s="5" t="str">
        <f>IFERROR(__xludf.DUMMYFUNCTION("GOOGLETRANSLATE(B24303,""en"",""es-ES"")"),"La niña gira con el hula hoop moviéndose de sus pies a las rodillas, así como al resto de su cuerpo.")</f>
        <v>La niña gira con el hula hoop moviéndose de sus pies a las rodillas, así como al resto de su cuerpo.</v>
      </c>
    </row>
    <row r="24304">
      <c r="A24304" s="4" t="s">
        <v>30578</v>
      </c>
      <c r="B24304" s="4" t="s">
        <v>30581</v>
      </c>
      <c r="C24304" s="5" t="str">
        <f>IFERROR(__xludf.DUMMYFUNCTION("GOOGLETRANSLATE(B24304,""en"",""es-ES"")"),"En un momento, ella arroja el hula hoop accidentalmente, pero lo recoge y continúa girando con él.")</f>
        <v>En un momento, ella arroja el hula hoop accidentalmente, pero lo recoge y continúa girando con él.</v>
      </c>
    </row>
    <row r="24305">
      <c r="A24305" s="4" t="s">
        <v>30578</v>
      </c>
      <c r="B24305" s="4" t="s">
        <v>30582</v>
      </c>
      <c r="C24305" s="5" t="str">
        <f>IFERROR(__xludf.DUMMYFUNCTION("GOOGLETRANSLATE(B24305,""en"",""es-ES"")"),"Al final ella cae al suelo con el aro todavía en sus manos.")</f>
        <v>Al final ella cae al suelo con el aro todavía en sus manos.</v>
      </c>
    </row>
    <row r="24306">
      <c r="A24306" s="4" t="s">
        <v>30583</v>
      </c>
      <c r="B24306" s="4" t="s">
        <v>30584</v>
      </c>
      <c r="C24306" s="5" t="str">
        <f>IFERROR(__xludf.DUMMYFUNCTION("GOOGLETRANSLATE(B24306,""en"",""es-ES"")"),"Hay surfistas en una ola muy grande.")</f>
        <v>Hay surfistas en una ola muy grande.</v>
      </c>
    </row>
    <row r="24307">
      <c r="A24307" s="4" t="s">
        <v>30583</v>
      </c>
      <c r="B24307" s="4" t="s">
        <v>30585</v>
      </c>
      <c r="C24307" s="5" t="str">
        <f>IFERROR(__xludf.DUMMYFUNCTION("GOOGLETRANSLATE(B24307,""en"",""es-ES"")"),"Una ola blanca se estrella y el surfista debajo de ella desaparece a medida que la gran espuma blanca de la onda se extiende a un área muy grande en el agua.")</f>
        <v>Una ola blanca se estrella y el surfista debajo de ella desaparece a medida que la gran espuma blanca de la onda se extiende a un área muy grande en el agua.</v>
      </c>
    </row>
    <row r="24308">
      <c r="A24308" s="4" t="s">
        <v>30583</v>
      </c>
      <c r="B24308" s="4" t="s">
        <v>30586</v>
      </c>
      <c r="C24308" s="5" t="str">
        <f>IFERROR(__xludf.DUMMYFUNCTION("GOOGLETRANSLATE(B24308,""en"",""es-ES"")"),"Los hombres en chorros de agua rápidamente van al área donde podrían estar los surfistas y los recuperan del agua y se alejan rápidamente de la ola mientras pasan a otros surfistas y conductores de chorro de agua mientras todos continúan montando en las o"&amp;"las.")</f>
        <v>Los hombres en chorros de agua rápidamente van al área donde podrían estar los surfistas y los recuperan del agua y se alejan rápidamente de la ola mientras pasan a otros surfistas y conductores de chorro de agua mientras todos continúan montando en las olas.</v>
      </c>
    </row>
    <row r="24309">
      <c r="A24309" s="4" t="s">
        <v>30583</v>
      </c>
      <c r="B24309" s="4" t="s">
        <v>30587</v>
      </c>
      <c r="C24309" s="5" t="str">
        <f>IFERROR(__xludf.DUMMYFUNCTION("GOOGLETRANSLATE(B24309,""en"",""es-ES"")"),"Ahora la vista cambia a la vista desde un helicóptero anterior y muestra a las personas en el agua que conducen sus chorros de agua.")</f>
        <v>Ahora la vista cambia a la vista desde un helicóptero anterior y muestra a las personas en el agua que conducen sus chorros de agua.</v>
      </c>
    </row>
    <row r="24310">
      <c r="A24310" s="4" t="s">
        <v>30583</v>
      </c>
      <c r="B24310" s="4" t="s">
        <v>30588</v>
      </c>
      <c r="C24310" s="5" t="str">
        <f>IFERROR(__xludf.DUMMYFUNCTION("GOOGLETRANSLATE(B24310,""en"",""es-ES"")"),"Aparece una pantalla negra e incluye letras blancas que dicen ""SHIT ON RED ONE de Mike Waltze"" e incluye un sitio web y luego la palabra ""Cortesía de Nanogreenshawaii Dot Com Instant Organic Nutrition"".")</f>
        <v>Aparece una pantalla negra e incluye letras blancas que dicen "SHIT ON RED ONE de Mike Waltze" e incluye un sitio web y luego la palabra "Cortesía de Nanogreenshawaii Dot Com Instant Organic Nutrition".</v>
      </c>
    </row>
    <row r="24311">
      <c r="A24311" s="4" t="s">
        <v>30589</v>
      </c>
      <c r="B24311" s="4" t="s">
        <v>30590</v>
      </c>
      <c r="C24311" s="5" t="str">
        <f>IFERROR(__xludf.DUMMYFUNCTION("GOOGLETRANSLATE(B24311,""en"",""es-ES"")"),"Un hombre vestido como árbitro se muestra en una pista de hockey.")</f>
        <v>Un hombre vestido como árbitro se muestra en una pista de hockey.</v>
      </c>
    </row>
    <row r="24312">
      <c r="A24312" s="4" t="s">
        <v>30589</v>
      </c>
      <c r="B24312" s="4" t="s">
        <v>30591</v>
      </c>
      <c r="C24312" s="5" t="str">
        <f>IFERROR(__xludf.DUMMYFUNCTION("GOOGLETRANSLATE(B24312,""en"",""es-ES"")"),"Se muestran varios hombres que juegan jugando hockey.")</f>
        <v>Se muestran varios hombres que juegan jugando hockey.</v>
      </c>
    </row>
    <row r="24313">
      <c r="A24313" s="4" t="s">
        <v>30589</v>
      </c>
      <c r="B24313" s="4" t="s">
        <v>30592</v>
      </c>
      <c r="C24313" s="5" t="str">
        <f>IFERROR(__xludf.DUMMYFUNCTION("GOOGLETRANSLATE(B24313,""en"",""es-ES"")"),"Varios de los jugadores de hockey comienzan una pelea.")</f>
        <v>Varios de los jugadores de hockey comienzan una pelea.</v>
      </c>
    </row>
    <row r="24314">
      <c r="A24314" s="4" t="s">
        <v>30593</v>
      </c>
      <c r="B24314" s="4" t="s">
        <v>30594</v>
      </c>
      <c r="C24314" s="5" t="str">
        <f>IFERROR(__xludf.DUMMYFUNCTION("GOOGLETRANSLATE(B24314,""en"",""es-ES"")"),"La gente camina en la calle con una banda de música.")</f>
        <v>La gente camina en la calle con una banda de música.</v>
      </c>
    </row>
    <row r="24315">
      <c r="A24315" s="4" t="s">
        <v>30593</v>
      </c>
      <c r="B24315" s="4" t="s">
        <v>30595</v>
      </c>
      <c r="C24315" s="5" t="str">
        <f>IFERROR(__xludf.DUMMYFUNCTION("GOOGLETRANSLATE(B24315,""en"",""es-ES"")"),"Los hombres en chaleco verde caminan por ambos lados del desfile.")</f>
        <v>Los hombres en chaleco verde caminan por ambos lados del desfile.</v>
      </c>
    </row>
    <row r="24316">
      <c r="A24316" s="4" t="s">
        <v>30593</v>
      </c>
      <c r="B24316" s="4" t="s">
        <v>30596</v>
      </c>
      <c r="C24316" s="5" t="str">
        <f>IFERROR(__xludf.DUMMYFUNCTION("GOOGLETRANSLATE(B24316,""en"",""es-ES"")"),"El hombre de Neon Green Jacket está tomando una foto del desfile.")</f>
        <v>El hombre de Neon Green Jacket está tomando una foto del desfile.</v>
      </c>
    </row>
    <row r="24317">
      <c r="A24317" s="4" t="s">
        <v>30597</v>
      </c>
      <c r="B24317" s="4" t="s">
        <v>30598</v>
      </c>
      <c r="C24317" s="5" t="str">
        <f>IFERROR(__xludf.DUMMYFUNCTION("GOOGLETRANSLATE(B24317,""en"",""es-ES"")"),"Hay un joven que patina a través de una carretera vacía de dos carriles que tiene árboles en ambos lados.")</f>
        <v>Hay un joven que patina a través de una carretera vacía de dos carriles que tiene árboles en ambos lados.</v>
      </c>
    </row>
    <row r="24318">
      <c r="A24318" s="4" t="s">
        <v>30597</v>
      </c>
      <c r="B24318" s="4" t="s">
        <v>30599</v>
      </c>
      <c r="C24318" s="5" t="str">
        <f>IFERROR(__xludf.DUMMYFUNCTION("GOOGLETRANSLATE(B24318,""en"",""es-ES"")"),"Sube constantemente por el camino largo y sinuoso sin detenerse.")</f>
        <v>Sube constantemente por el camino largo y sinuoso sin detenerse.</v>
      </c>
    </row>
    <row r="24319">
      <c r="A24319" s="4" t="s">
        <v>30597</v>
      </c>
      <c r="B24319" s="4" t="s">
        <v>30600</v>
      </c>
      <c r="C24319" s="5" t="str">
        <f>IFERROR(__xludf.DUMMYFUNCTION("GOOGLETRANSLATE(B24319,""en"",""es-ES"")"),"Pasa a través de las curvas y se da vuelta para ajustar su velocidad.")</f>
        <v>Pasa a través de las curvas y se da vuelta para ajustar su velocidad.</v>
      </c>
    </row>
    <row r="24320">
      <c r="A24320" s="4" t="s">
        <v>30597</v>
      </c>
      <c r="B24320" s="4" t="s">
        <v>30601</v>
      </c>
      <c r="C24320" s="5" t="str">
        <f>IFERROR(__xludf.DUMMYFUNCTION("GOOGLETRANSLATE(B24320,""en"",""es-ES"")"),"Luego, cuando se acerca a una curva empinada, intenta girar pero termina cayendo y hurzándose.")</f>
        <v>Luego, cuando se acerca a una curva empinada, intenta girar pero termina cayendo y hurzándose.</v>
      </c>
    </row>
    <row r="24321">
      <c r="A24321" s="4" t="s">
        <v>30597</v>
      </c>
      <c r="B24321" s="4" t="s">
        <v>30602</v>
      </c>
      <c r="C24321" s="5" t="str">
        <f>IFERROR(__xludf.DUMMYFUNCTION("GOOGLETRANSLATE(B24321,""en"",""es-ES"")"),"Se levanta de inmediato y le muestra a sus amigos su codo raspado y herido.")</f>
        <v>Se levanta de inmediato y le muestra a sus amigos su codo raspado y herido.</v>
      </c>
    </row>
    <row r="24322">
      <c r="A24322" s="4" t="s">
        <v>30597</v>
      </c>
      <c r="B24322" s="4" t="s">
        <v>30603</v>
      </c>
      <c r="C24322" s="5" t="str">
        <f>IFERROR(__xludf.DUMMYFUNCTION("GOOGLETRANSLATE(B24322,""en"",""es-ES"")"),"Otro amigo suyo también muestra sus heridas que ha tenido por el skate.")</f>
        <v>Otro amigo suyo también muestra sus heridas que ha tenido por el skate.</v>
      </c>
    </row>
    <row r="24323">
      <c r="A24323" s="4" t="s">
        <v>30604</v>
      </c>
      <c r="B24323" s="4" t="s">
        <v>30605</v>
      </c>
      <c r="C24323" s="5" t="str">
        <f>IFERROR(__xludf.DUMMYFUNCTION("GOOGLETRANSLATE(B24323,""en"",""es-ES"")"),"Se muestra un montaje de sprint en canoa.")</f>
        <v>Se muestra un montaje de sprint en canoa.</v>
      </c>
    </row>
    <row r="24324">
      <c r="A24324" s="4" t="s">
        <v>30604</v>
      </c>
      <c r="B24324" s="4" t="s">
        <v>30606</v>
      </c>
      <c r="C24324" s="5" t="str">
        <f>IFERROR(__xludf.DUMMYFUNCTION("GOOGLETRANSLATE(B24324,""en"",""es-ES"")"),"Los ganadores celebran y se muestran tanto a los hombres como a las mujeres.")</f>
        <v>Los ganadores celebran y se muestran tanto a los hombres como a las mujeres.</v>
      </c>
    </row>
    <row r="24325">
      <c r="A24325" s="4" t="s">
        <v>30607</v>
      </c>
      <c r="B24325" s="4" t="s">
        <v>30608</v>
      </c>
      <c r="C24325" s="5" t="str">
        <f>IFERROR(__xludf.DUMMYFUNCTION("GOOGLETRANSLATE(B24325,""en"",""es-ES"")"),"Una introducción entra en la pantalla sobre un video que muestra cómo saltar triple.")</f>
        <v>Una introducción entra en la pantalla sobre un video que muestra cómo saltar triple.</v>
      </c>
    </row>
    <row r="24326">
      <c r="A24326" s="4" t="s">
        <v>30607</v>
      </c>
      <c r="B24326" s="4" t="s">
        <v>30609</v>
      </c>
      <c r="C24326" s="5" t="str">
        <f>IFERROR(__xludf.DUMMYFUNCTION("GOOGLETRANSLATE(B24326,""en"",""es-ES"")"),"Se muestra a un chico corriendo por una pista haciendo un salto.")</f>
        <v>Se muestra a un chico corriendo por una pista haciendo un salto.</v>
      </c>
    </row>
    <row r="24327">
      <c r="A24327" s="4" t="s">
        <v>30607</v>
      </c>
      <c r="B24327" s="4" t="s">
        <v>30610</v>
      </c>
      <c r="C24327" s="5" t="str">
        <f>IFERROR(__xludf.DUMMYFUNCTION("GOOGLETRANSLATE(B24327,""en"",""es-ES"")"),"El salto se muestra nuevamente en cámara lenta para una mejor comprensión.")</f>
        <v>El salto se muestra nuevamente en cámara lenta para una mejor comprensión.</v>
      </c>
    </row>
    <row r="24328">
      <c r="A24328" s="4" t="s">
        <v>30607</v>
      </c>
      <c r="B24328" s="4" t="s">
        <v>30611</v>
      </c>
      <c r="C24328" s="5" t="str">
        <f>IFERROR(__xludf.DUMMYFUNCTION("GOOGLETRANSLATE(B24328,""en"",""es-ES"")"),"Luego se muestra al tipo saliendo de la pista.")</f>
        <v>Luego se muestra al tipo saliendo de la pista.</v>
      </c>
    </row>
    <row r="24329">
      <c r="A24329" s="4" t="s">
        <v>30612</v>
      </c>
      <c r="B24329" s="4" t="s">
        <v>30613</v>
      </c>
      <c r="C24329" s="5" t="str">
        <f>IFERROR(__xludf.DUMMYFUNCTION("GOOGLETRANSLATE(B24329,""en"",""es-ES"")"),"Una persona está lavando un coche.")</f>
        <v>Una persona está lavando un coche.</v>
      </c>
    </row>
    <row r="24330">
      <c r="A24330" s="4" t="s">
        <v>30612</v>
      </c>
      <c r="B24330" s="4" t="s">
        <v>30614</v>
      </c>
      <c r="C24330" s="5" t="str">
        <f>IFERROR(__xludf.DUMMYFUNCTION("GOOGLETRANSLATE(B24330,""en"",""es-ES"")"),"La persona cambia de manos y se lava con la otra mano.")</f>
        <v>La persona cambia de manos y se lava con la otra mano.</v>
      </c>
    </row>
    <row r="24331">
      <c r="A24331" s="4" t="s">
        <v>30612</v>
      </c>
      <c r="B24331" s="4" t="s">
        <v>30615</v>
      </c>
      <c r="C24331" s="5" t="str">
        <f>IFERROR(__xludf.DUMMYFUNCTION("GOOGLETRANSLATE(B24331,""en"",""es-ES"")"),"Luego usan ambas manos.")</f>
        <v>Luego usan ambas manos.</v>
      </c>
    </row>
    <row r="24332">
      <c r="A24332" s="4" t="s">
        <v>30616</v>
      </c>
      <c r="B24332" s="4" t="s">
        <v>30617</v>
      </c>
      <c r="C24332" s="5" t="str">
        <f>IFERROR(__xludf.DUMMYFUNCTION("GOOGLETRANSLATE(B24332,""en"",""es-ES"")"),"Un hombre se inclina sobre una gran mesa de billar.")</f>
        <v>Un hombre se inclina sobre una gran mesa de billar.</v>
      </c>
    </row>
    <row r="24333">
      <c r="A24333" s="4" t="s">
        <v>30616</v>
      </c>
      <c r="B24333" s="4" t="s">
        <v>30618</v>
      </c>
      <c r="C24333" s="5" t="str">
        <f>IFERROR(__xludf.DUMMYFUNCTION("GOOGLETRANSLATE(B24333,""en"",""es-ES"")"),"Utiliza una señal para disparar la pelota hacia el bolsillo.")</f>
        <v>Utiliza una señal para disparar la pelota hacia el bolsillo.</v>
      </c>
    </row>
    <row r="24334">
      <c r="A24334" s="4" t="s">
        <v>30616</v>
      </c>
      <c r="B24334" s="4" t="s">
        <v>30619</v>
      </c>
      <c r="C24334" s="5" t="str">
        <f>IFERROR(__xludf.DUMMYFUNCTION("GOOGLETRANSLATE(B24334,""en"",""es-ES"")"),"Intenta una y otra vez hasta que entran en los bolsillos.")</f>
        <v>Intenta una y otra vez hasta que entran en los bolsillos.</v>
      </c>
    </row>
    <row r="24335">
      <c r="A24335" s="4" t="s">
        <v>30620</v>
      </c>
      <c r="B24335" s="4" t="s">
        <v>30621</v>
      </c>
      <c r="C24335" s="5" t="str">
        <f>IFERROR(__xludf.DUMMYFUNCTION("GOOGLETRANSLATE(B24335,""en"",""es-ES"")"),"Una sala de clase está llena de estudiantes sentados o de pie.")</f>
        <v>Una sala de clase está llena de estudiantes sentados o de pie.</v>
      </c>
    </row>
    <row r="24336">
      <c r="A24336" s="4" t="s">
        <v>30620</v>
      </c>
      <c r="B24336" s="4" t="s">
        <v>30622</v>
      </c>
      <c r="C24336" s="5" t="str">
        <f>IFERROR(__xludf.DUMMYFUNCTION("GOOGLETRANSLATE(B24336,""en"",""es-ES"")"),"De repente, un grupo de niños comienza a correr por el aula sonriendo, marchando en su lugar y bailando y ejercicios mientras el resto de la clase de sentado observa.")</f>
        <v>De repente, un grupo de niños comienza a correr por el aula sonriendo, marchando en su lugar y bailando y ejercicios mientras el resto de la clase de sentado observa.</v>
      </c>
    </row>
    <row r="24337">
      <c r="A24337" s="4" t="s">
        <v>30620</v>
      </c>
      <c r="B24337" s="4" t="s">
        <v>30623</v>
      </c>
      <c r="C24337" s="5" t="str">
        <f>IFERROR(__xludf.DUMMYFUNCTION("GOOGLETRANSLATE(B24337,""en"",""es-ES"")"),"Los muchachos se separaron y terminan su rutina, luego caminan el uno hacia el otro mientras sonreen.")</f>
        <v>Los muchachos se separaron y terminan su rutina, luego caminan el uno hacia el otro mientras sonreen.</v>
      </c>
    </row>
    <row r="24338">
      <c r="A24338" s="4" t="s">
        <v>30624</v>
      </c>
      <c r="B24338" s="4" t="s">
        <v>30625</v>
      </c>
      <c r="C24338" s="5" t="str">
        <f>IFERROR(__xludf.DUMMYFUNCTION("GOOGLETRANSLATE(B24338,""en"",""es-ES"")"),"Un hombre está haciendo las divisiones dentro de un gimnasio.")</f>
        <v>Un hombre está haciendo las divisiones dentro de un gimnasio.</v>
      </c>
    </row>
    <row r="24339">
      <c r="A24339" s="4" t="s">
        <v>30624</v>
      </c>
      <c r="B24339" s="4" t="s">
        <v>30626</v>
      </c>
      <c r="C24339" s="5" t="str">
        <f>IFERROR(__xludf.DUMMYFUNCTION("GOOGLETRANSLATE(B24339,""en"",""es-ES"")"),"Habla con la cámara sobre el procedimiento.")</f>
        <v>Habla con la cámara sobre el procedimiento.</v>
      </c>
    </row>
    <row r="24340">
      <c r="A24340" s="4" t="s">
        <v>30624</v>
      </c>
      <c r="B24340" s="4" t="s">
        <v>30627</v>
      </c>
      <c r="C24340" s="5" t="str">
        <f>IFERROR(__xludf.DUMMYFUNCTION("GOOGLETRANSLATE(B24340,""en"",""es-ES"")"),"Se inclina hacia adelante, estirando las piernas.")</f>
        <v>Se inclina hacia adelante, estirando las piernas.</v>
      </c>
    </row>
    <row r="24341">
      <c r="A24341" s="4" t="s">
        <v>30628</v>
      </c>
      <c r="B24341" s="4" t="s">
        <v>30629</v>
      </c>
      <c r="C24341" s="5" t="str">
        <f>IFERROR(__xludf.DUMMYFUNCTION("GOOGLETRANSLATE(B24341,""en"",""es-ES"")"),"Una mujer se para en la parte delantera de una pintura que sostiene una botella, y luego las pinturas en lienzo se muestran en una presentación de diapositivas.")</f>
        <v>Una mujer se para en la parte delantera de una pintura que sostiene una botella, y luego las pinturas en lienzo se muestran en una presentación de diapositivas.</v>
      </c>
    </row>
    <row r="24342">
      <c r="A24342" s="4" t="s">
        <v>30628</v>
      </c>
      <c r="B24342" s="4" t="s">
        <v>30630</v>
      </c>
      <c r="C24342" s="5" t="str">
        <f>IFERROR(__xludf.DUMMYFUNCTION("GOOGLETRANSLATE(B24342,""en"",""es-ES"")"),"Luego, la mujer pinta dos lienzos con una botella, cuando es necesario, la mujer gira el lienzo.")</f>
        <v>Luego, la mujer pinta dos lienzos con una botella, cuando es necesario, la mujer gira el lienzo.</v>
      </c>
    </row>
    <row r="24343">
      <c r="A24343" s="4" t="s">
        <v>30628</v>
      </c>
      <c r="B24343" s="4" t="s">
        <v>30631</v>
      </c>
      <c r="C24343" s="5" t="str">
        <f>IFERROR(__xludf.DUMMYFUNCTION("GOOGLETRANSLATE(B24343,""en"",""es-ES"")"),"Luego, la mujer pone el lienzo en el piso y continúa pintando con la botella.")</f>
        <v>Luego, la mujer pone el lienzo en el piso y continúa pintando con la botella.</v>
      </c>
    </row>
    <row r="24344">
      <c r="A24344" s="4" t="s">
        <v>30628</v>
      </c>
      <c r="B24344" s="4" t="s">
        <v>30632</v>
      </c>
      <c r="C24344" s="5" t="str">
        <f>IFERROR(__xludf.DUMMYFUNCTION("GOOGLETRANSLATE(B24344,""en"",""es-ES"")"),"Después, la mujer cuelga las pinturas en el, luego pone las pinturas en el piso y luego cuelga en la pared para continuar pintando.")</f>
        <v>Después, la mujer cuelga las pinturas en el, luego pone las pinturas en el piso y luego cuelga en la pared para continuar pintando.</v>
      </c>
    </row>
    <row r="24345">
      <c r="A24345" s="4" t="s">
        <v>30633</v>
      </c>
      <c r="B24345" s="4" t="s">
        <v>30634</v>
      </c>
      <c r="C24345" s="5" t="str">
        <f>IFERROR(__xludf.DUMMYFUNCTION("GOOGLETRANSLATE(B24345,""en"",""es-ES"")"),"Una persona está extendiendo algo verde sobre pan.")</f>
        <v>Una persona está extendiendo algo verde sobre pan.</v>
      </c>
    </row>
    <row r="24346">
      <c r="A24346" s="4" t="s">
        <v>30633</v>
      </c>
      <c r="B24346" s="4" t="s">
        <v>30635</v>
      </c>
      <c r="C24346" s="5" t="str">
        <f>IFERROR(__xludf.DUMMYFUNCTION("GOOGLETRANSLATE(B24346,""en"",""es-ES"")"),"Pusieron el sándwich en una parrilla.")</f>
        <v>Pusieron el sándwich en una parrilla.</v>
      </c>
    </row>
    <row r="24347">
      <c r="A24347" s="4" t="s">
        <v>30633</v>
      </c>
      <c r="B24347" s="4" t="s">
        <v>30636</v>
      </c>
      <c r="C24347" s="5" t="str">
        <f>IFERROR(__xludf.DUMMYFUNCTION("GOOGLETRANSLATE(B24347,""en"",""es-ES"")"),"Quitan el sándwich de la parrilla y lo ponen en un plato.")</f>
        <v>Quitan el sándwich de la parrilla y lo ponen en un plato.</v>
      </c>
    </row>
    <row r="24348">
      <c r="A24348" s="4" t="s">
        <v>30637</v>
      </c>
      <c r="B24348" s="4" t="s">
        <v>1251</v>
      </c>
      <c r="C24348" s="5" t="str">
        <f>IFERROR(__xludf.DUMMYFUNCTION("GOOGLETRANSLATE(B24348,""en"",""es-ES"")"),"Se muestran los créditos del clip.")</f>
        <v>Se muestran los créditos del clip.</v>
      </c>
    </row>
    <row r="24349">
      <c r="A24349" s="4" t="s">
        <v>30637</v>
      </c>
      <c r="B24349" s="4" t="s">
        <v>30638</v>
      </c>
      <c r="C24349" s="5" t="str">
        <f>IFERROR(__xludf.DUMMYFUNCTION("GOOGLETRANSLATE(B24349,""en"",""es-ES"")"),"La gente está interactuando en un tribunal interno.")</f>
        <v>La gente está interactuando en un tribunal interno.</v>
      </c>
    </row>
    <row r="24350">
      <c r="A24350" s="4" t="s">
        <v>30637</v>
      </c>
      <c r="B24350" s="4" t="s">
        <v>30639</v>
      </c>
      <c r="C24350" s="5" t="str">
        <f>IFERROR(__xludf.DUMMYFUNCTION("GOOGLETRANSLATE(B24350,""en"",""es-ES"")"),"La gente corre para recoger pelotas desde el centro de la cancha.")</f>
        <v>La gente corre para recoger pelotas desde el centro de la cancha.</v>
      </c>
    </row>
    <row r="24351">
      <c r="A24351" s="4" t="s">
        <v>30637</v>
      </c>
      <c r="B24351" s="4" t="s">
        <v>30640</v>
      </c>
      <c r="C24351" s="5" t="str">
        <f>IFERROR(__xludf.DUMMYFUNCTION("GOOGLETRANSLATE(B24351,""en"",""es-ES"")"),"Dos equipos están jugando Dodge-Ball.")</f>
        <v>Dos equipos están jugando Dodge-Ball.</v>
      </c>
    </row>
    <row r="24352">
      <c r="A24352" s="4" t="s">
        <v>30637</v>
      </c>
      <c r="B24352" s="4" t="s">
        <v>30641</v>
      </c>
      <c r="C24352" s="5" t="str">
        <f>IFERROR(__xludf.DUMMYFUNCTION("GOOGLETRANSLATE(B24352,""en"",""es-ES"")"),"Un miembro del equipo rojo corre y lanza una pelota directamente a un oponente.")</f>
        <v>Un miembro del equipo rojo corre y lanza una pelota directamente a un oponente.</v>
      </c>
    </row>
    <row r="24353">
      <c r="A24353" s="4" t="s">
        <v>30642</v>
      </c>
      <c r="B24353" s="4" t="s">
        <v>30643</v>
      </c>
      <c r="C24353" s="5" t="str">
        <f>IFERROR(__xludf.DUMMYFUNCTION("GOOGLETRANSLATE(B24353,""en"",""es-ES"")"),"Una mujer demuestra cómo secar una encimera y fregadero de agua salpicada de un grifo del fregadero con una toalla de papel.")</f>
        <v>Una mujer demuestra cómo secar una encimera y fregadero de agua salpicada de un grifo del fregadero con una toalla de papel.</v>
      </c>
    </row>
    <row r="24354">
      <c r="A24354" s="4" t="s">
        <v>30642</v>
      </c>
      <c r="B24354" s="4" t="s">
        <v>30644</v>
      </c>
      <c r="C24354" s="5" t="str">
        <f>IFERROR(__xludf.DUMMYFUNCTION("GOOGLETRANSLATE(B24354,""en"",""es-ES"")"),"Una mujer se para en una cocina al lado de un fregadero y habla con la cámara.")</f>
        <v>Una mujer se para en una cocina al lado de un fregadero y habla con la cámara.</v>
      </c>
    </row>
    <row r="24355">
      <c r="A24355" s="4" t="s">
        <v>30642</v>
      </c>
      <c r="B24355" s="4" t="s">
        <v>30645</v>
      </c>
      <c r="C24355" s="5" t="str">
        <f>IFERROR(__xludf.DUMMYFUNCTION("GOOGLETRANSLATE(B24355,""en"",""es-ES"")"),"La mujer apunta a una salpicadura de agua en el mostrador al lado del fregadero después de encender el agua en el fregadero.")</f>
        <v>La mujer apunta a una salpicadura de agua en el mostrador al lado del fregadero después de encender el agua en el fregadero.</v>
      </c>
    </row>
    <row r="24356">
      <c r="A24356" s="4" t="s">
        <v>30642</v>
      </c>
      <c r="B24356" s="4" t="s">
        <v>30646</v>
      </c>
      <c r="C24356" s="5" t="str">
        <f>IFERROR(__xludf.DUMMYFUNCTION("GOOGLETRANSLATE(B24356,""en"",""es-ES"")"),"Luego, la mujer toma una toalla de papel y limpia el mostrador del fregadero, el interior del fregadero y la pala del grifo.")</f>
        <v>Luego, la mujer toma una toalla de papel y limpia el mostrador del fregadero, el interior del fregadero y la pala del grifo.</v>
      </c>
    </row>
    <row r="24357">
      <c r="A24357" s="4" t="s">
        <v>30642</v>
      </c>
      <c r="B24357" s="4" t="s">
        <v>30647</v>
      </c>
      <c r="C24357" s="5" t="str">
        <f>IFERROR(__xludf.DUMMYFUNCTION("GOOGLETRANSLATE(B24357,""en"",""es-ES"")"),"La mujer luego vuelve a hablar con la cámara.")</f>
        <v>La mujer luego vuelve a hablar con la cámara.</v>
      </c>
    </row>
    <row r="24358">
      <c r="A24358" s="4" t="s">
        <v>30648</v>
      </c>
      <c r="B24358" s="4" t="s">
        <v>30649</v>
      </c>
      <c r="C24358" s="5" t="str">
        <f>IFERROR(__xludf.DUMMYFUNCTION("GOOGLETRANSLATE(B24358,""en"",""es-ES"")"),"Una introducción conduce a una mujer que habla con una clase sentada en bicicletas y comienza a montar.")</f>
        <v>Una introducción conduce a una mujer que habla con una clase sentada en bicicletas y comienza a montar.</v>
      </c>
    </row>
    <row r="24359">
      <c r="A24359" s="4" t="s">
        <v>30648</v>
      </c>
      <c r="B24359" s="4" t="s">
        <v>30650</v>
      </c>
      <c r="C24359" s="5" t="str">
        <f>IFERROR(__xludf.DUMMYFUNCTION("GOOGLETRANSLATE(B24359,""en"",""es-ES"")"),"Ella dirige la clase en una clase de equitación e inspira a sus alumnos a vender con fuerza así.")</f>
        <v>Ella dirige la clase en una clase de equitación e inspira a sus alumnos a vender con fuerza así.</v>
      </c>
    </row>
    <row r="24360">
      <c r="A24360" s="4" t="s">
        <v>30648</v>
      </c>
      <c r="B24360" s="4" t="s">
        <v>30651</v>
      </c>
      <c r="C24360" s="5" t="str">
        <f>IFERROR(__xludf.DUMMYFUNCTION("GOOGLETRANSLATE(B24360,""en"",""es-ES"")"),"La gente sonríe junto con ella mientras la cámara se dirige a varias tomas de la gente.")</f>
        <v>La gente sonríe junto con ella mientras la cámara se dirige a varias tomas de la gente.</v>
      </c>
    </row>
    <row r="24361">
      <c r="A24361" s="4" t="s">
        <v>30652</v>
      </c>
      <c r="B24361" s="4" t="s">
        <v>30653</v>
      </c>
      <c r="C24361" s="5" t="str">
        <f>IFERROR(__xludf.DUMMYFUNCTION("GOOGLETRANSLATE(B24361,""en"",""es-ES"")"),"Un hombre sostiene un plato con comida mientras habla, entonces, dos chicas corren en el campo donde otras personas caminan.")</f>
        <v>Un hombre sostiene un plato con comida mientras habla, entonces, dos chicas corren en el campo donde otras personas caminan.</v>
      </c>
    </row>
    <row r="24362">
      <c r="A24362" s="4" t="s">
        <v>30652</v>
      </c>
      <c r="B24362" s="4" t="s">
        <v>30654</v>
      </c>
      <c r="C24362" s="5" t="str">
        <f>IFERROR(__xludf.DUMMYFUNCTION("GOOGLETRANSLATE(B24362,""en"",""es-ES"")"),"La gente juega lanzando bolas en el suelo.")</f>
        <v>La gente juega lanzando bolas en el suelo.</v>
      </c>
    </row>
    <row r="24363">
      <c r="A24363" s="4" t="s">
        <v>30652</v>
      </c>
      <c r="B24363" s="4" t="s">
        <v>30655</v>
      </c>
      <c r="C24363" s="5" t="str">
        <f>IFERROR(__xludf.DUMMYFUNCTION("GOOGLETRANSLATE(B24363,""en"",""es-ES"")"),"Después, una banda toca y la gente baila, incluida una novia.")</f>
        <v>Después, una banda toca y la gente baila, incluida una novia.</v>
      </c>
    </row>
    <row r="24364">
      <c r="A24364" s="4" t="s">
        <v>30652</v>
      </c>
      <c r="B24364" s="4" t="s">
        <v>30656</v>
      </c>
      <c r="C24364" s="5" t="str">
        <f>IFERROR(__xludf.DUMMYFUNCTION("GOOGLETRANSLATE(B24364,""en"",""es-ES"")"),"La gente se mete en botes y navega en el río mientras otras personas descansan.")</f>
        <v>La gente se mete en botes y navega en el río mientras otras personas descansan.</v>
      </c>
    </row>
    <row r="24365">
      <c r="A24365" s="4" t="s">
        <v>30652</v>
      </c>
      <c r="B24365" s="4" t="s">
        <v>30657</v>
      </c>
      <c r="C24365" s="5" t="str">
        <f>IFERROR(__xludf.DUMMYFUNCTION("GOOGLETRANSLATE(B24365,""en"",""es-ES"")"),"La gente pasa una pequeña cascada con agua entrecortada, y luego van por el río.")</f>
        <v>La gente pasa una pequeña cascada con agua entrecortada, y luego van por el río.</v>
      </c>
    </row>
    <row r="24366">
      <c r="A24366" s="4" t="s">
        <v>30652</v>
      </c>
      <c r="B24366" s="4" t="s">
        <v>30658</v>
      </c>
      <c r="C24366" s="5" t="str">
        <f>IFERROR(__xludf.DUMMYFUNCTION("GOOGLETRANSLATE(B24366,""en"",""es-ES"")"),"La gente se bucea en el río y luego descansa mientras bebe, luego navegan al río.")</f>
        <v>La gente se bucea en el río y luego descansa mientras bebe, luego navegan al río.</v>
      </c>
    </row>
    <row r="24367">
      <c r="A24367" s="4" t="s">
        <v>30659</v>
      </c>
      <c r="B24367" s="4" t="s">
        <v>30660</v>
      </c>
      <c r="C24367" s="5" t="str">
        <f>IFERROR(__xludf.DUMMYFUNCTION("GOOGLETRANSLATE(B24367,""en"",""es-ES"")"),"Un grupo de personas mayores se reúne en un tribunal.")</f>
        <v>Un grupo de personas mayores se reúne en un tribunal.</v>
      </c>
    </row>
    <row r="24368">
      <c r="A24368" s="4" t="s">
        <v>30659</v>
      </c>
      <c r="B24368" s="4" t="s">
        <v>30661</v>
      </c>
      <c r="C24368" s="5" t="str">
        <f>IFERROR(__xludf.DUMMYFUNCTION("GOOGLETRANSLATE(B24368,""en"",""es-ES"")"),"Están comprometidos en un juego de curling.")</f>
        <v>Están comprometidos en un juego de curling.</v>
      </c>
    </row>
    <row r="24369">
      <c r="A24369" s="4" t="s">
        <v>30659</v>
      </c>
      <c r="B24369" s="4" t="s">
        <v>30662</v>
      </c>
      <c r="C24369" s="5" t="str">
        <f>IFERROR(__xludf.DUMMYFUNCTION("GOOGLETRANSLATE(B24369,""en"",""es-ES"")"),"Golpearon el disco, empujándolo hacia adelante.")</f>
        <v>Golpearon el disco, empujándolo hacia adelante.</v>
      </c>
    </row>
    <row r="24370">
      <c r="A24370" s="4" t="s">
        <v>30663</v>
      </c>
      <c r="B24370" s="4" t="s">
        <v>30664</v>
      </c>
      <c r="C24370" s="5" t="str">
        <f>IFERROR(__xludf.DUMMYFUNCTION("GOOGLETRANSLATE(B24370,""en"",""es-ES"")"),"Se ve a un hombre de cerca de pie en un campo.")</f>
        <v>Se ve a un hombre de cerca de pie en un campo.</v>
      </c>
    </row>
    <row r="24371">
      <c r="A24371" s="4" t="s">
        <v>30663</v>
      </c>
      <c r="B24371" s="4" t="s">
        <v>30665</v>
      </c>
      <c r="C24371" s="5" t="str">
        <f>IFERROR(__xludf.DUMMYFUNCTION("GOOGLETRANSLATE(B24371,""en"",""es-ES"")"),"Una persona luego pasa al hombre una pelota para moverse por el campo.")</f>
        <v>Una persona luego pasa al hombre una pelota para moverse por el campo.</v>
      </c>
    </row>
    <row r="24372">
      <c r="A24372" s="4" t="s">
        <v>30663</v>
      </c>
      <c r="B24372" s="4" t="s">
        <v>30666</v>
      </c>
      <c r="C24372" s="5" t="str">
        <f>IFERROR(__xludf.DUMMYFUNCTION("GOOGLETRANSLATE(B24372,""en"",""es-ES"")"),"La gente luego comienza a patear la pelota.")</f>
        <v>La gente luego comienza a patear la pelota.</v>
      </c>
    </row>
    <row r="24373">
      <c r="A24373" s="4" t="s">
        <v>30667</v>
      </c>
      <c r="B24373" s="4" t="s">
        <v>30668</v>
      </c>
      <c r="C24373" s="5" t="str">
        <f>IFERROR(__xludf.DUMMYFUNCTION("GOOGLETRANSLATE(B24373,""en"",""es-ES"")"),"Un primer plano de un piso es visto por un niño pequeño arrodillado antes que otro.")</f>
        <v>Un primer plano de un piso es visto por un niño pequeño arrodillado antes que otro.</v>
      </c>
    </row>
    <row r="24374">
      <c r="A24374" s="4" t="s">
        <v>30667</v>
      </c>
      <c r="B24374" s="4" t="s">
        <v>30669</v>
      </c>
      <c r="C24374" s="5" t="str">
        <f>IFERROR(__xludf.DUMMYFUNCTION("GOOGLETRANSLATE(B24374,""en"",""es-ES"")"),"Se ve a una persona sentada en una cama con el niño pequeño brilla los zapatos de otra.")</f>
        <v>Se ve a una persona sentada en una cama con el niño pequeño brilla los zapatos de otra.</v>
      </c>
    </row>
    <row r="24375">
      <c r="A24375" s="4" t="s">
        <v>30667</v>
      </c>
      <c r="B24375" s="4" t="s">
        <v>30670</v>
      </c>
      <c r="C24375" s="5" t="str">
        <f>IFERROR(__xludf.DUMMYFUNCTION("GOOGLETRANSLATE(B24375,""en"",""es-ES"")"),"Los niños continúan brillando los zapatos de otro.")</f>
        <v>Los niños continúan brillando los zapatos de otro.</v>
      </c>
    </row>
    <row r="24376">
      <c r="A24376" s="4" t="s">
        <v>30671</v>
      </c>
      <c r="B24376" s="4" t="s">
        <v>30672</v>
      </c>
      <c r="C24376" s="5" t="str">
        <f>IFERROR(__xludf.DUMMYFUNCTION("GOOGLETRANSLATE(B24376,""en"",""es-ES"")"),"Se ve a un hombre usando un martillo y una herramienta para eliminar las piezas de un techo.")</f>
        <v>Se ve a un hombre usando un martillo y una herramienta para eliminar las piezas de un techo.</v>
      </c>
    </row>
    <row r="24377">
      <c r="A24377" s="4" t="s">
        <v>30671</v>
      </c>
      <c r="B24377" s="4" t="s">
        <v>30673</v>
      </c>
      <c r="C24377" s="5" t="str">
        <f>IFERROR(__xludf.DUMMYFUNCTION("GOOGLETRANSLATE(B24377,""en"",""es-ES"")"),"El hombre luego coloca una barra y continúa colocando tejas del techo mientras la cámara se acelera.")</f>
        <v>El hombre luego coloca una barra y continúa colocando tejas del techo mientras la cámara se acelera.</v>
      </c>
    </row>
    <row r="24378">
      <c r="A24378" s="4" t="s">
        <v>30674</v>
      </c>
      <c r="B24378" s="4" t="s">
        <v>30675</v>
      </c>
      <c r="C24378" s="5" t="str">
        <f>IFERROR(__xludf.DUMMYFUNCTION("GOOGLETRANSLATE(B24378,""en"",""es-ES"")"),"Se muestra una imagen animada de un pincel rizado.")</f>
        <v>Se muestra una imagen animada de un pincel rizado.</v>
      </c>
    </row>
    <row r="24379">
      <c r="A24379" s="4" t="s">
        <v>30674</v>
      </c>
      <c r="B24379" s="4" t="s">
        <v>30676</v>
      </c>
      <c r="C24379" s="5" t="str">
        <f>IFERROR(__xludf.DUMMYFUNCTION("GOOGLETRANSLATE(B24379,""en"",""es-ES"")"),"Una mujer se dobla y pone algo en una escala.")</f>
        <v>Una mujer se dobla y pone algo en una escala.</v>
      </c>
    </row>
    <row r="24380">
      <c r="A24380" s="4" t="s">
        <v>30674</v>
      </c>
      <c r="B24380" s="4" t="s">
        <v>30677</v>
      </c>
      <c r="C24380" s="5" t="str">
        <f>IFERROR(__xludf.DUMMYFUNCTION("GOOGLETRANSLATE(B24380,""en"",""es-ES"")"),"Luego se desliza a través del hielo.")</f>
        <v>Luego se desliza a través del hielo.</v>
      </c>
    </row>
    <row r="24381">
      <c r="A24381" s="4" t="s">
        <v>30678</v>
      </c>
      <c r="B24381" s="4" t="s">
        <v>30679</v>
      </c>
      <c r="C24381" s="5" t="str">
        <f>IFERROR(__xludf.DUMMYFUNCTION("GOOGLETRANSLATE(B24381,""en"",""es-ES"")"),"Se ve a una mujer más grande sentada en una silla mientras un hombre se limpia el labio y le pone una marca.")</f>
        <v>Se ve a una mujer más grande sentada en una silla mientras un hombre se limpia el labio y le pone una marca.</v>
      </c>
    </row>
    <row r="24382">
      <c r="A24382" s="4" t="s">
        <v>30678</v>
      </c>
      <c r="B24382" s="4" t="s">
        <v>30680</v>
      </c>
      <c r="C24382" s="5" t="str">
        <f>IFERROR(__xludf.DUMMYFUNCTION("GOOGLETRANSLATE(B24382,""en"",""es-ES"")"),"La mujer se acuesta y el hombre se pone una aguja en el labio creando un perforador.")</f>
        <v>La mujer se acuesta y el hombre se pone una aguja en el labio creando un perforador.</v>
      </c>
    </row>
    <row r="24383">
      <c r="A24383" s="4" t="s">
        <v>30678</v>
      </c>
      <c r="B24383" s="4" t="s">
        <v>30681</v>
      </c>
      <c r="C24383" s="5" t="str">
        <f>IFERROR(__xludf.DUMMYFUNCTION("GOOGLETRANSLATE(B24383,""en"",""es-ES"")"),"La mujer se sienta y sonríe mientras el hombre se limpia el labio y continúa hablando.")</f>
        <v>La mujer se sienta y sonríe mientras el hombre se limpia el labio y continúa hablando.</v>
      </c>
    </row>
    <row r="24384">
      <c r="A24384" s="4" t="s">
        <v>30682</v>
      </c>
      <c r="B24384" s="4" t="s">
        <v>30683</v>
      </c>
      <c r="C24384" s="5" t="str">
        <f>IFERROR(__xludf.DUMMYFUNCTION("GOOGLETRANSLATE(B24384,""en"",""es-ES"")"),"Se ve a una mujer limpiando un espejo que la lleva a estar de pie detrás de un mostrador.")</f>
        <v>Se ve a una mujer limpiando un espejo que la lleva a estar de pie detrás de un mostrador.</v>
      </c>
    </row>
    <row r="24385">
      <c r="A24385" s="4" t="s">
        <v>30682</v>
      </c>
      <c r="B24385" s="4" t="s">
        <v>30684</v>
      </c>
      <c r="C24385" s="5" t="str">
        <f>IFERROR(__xludf.DUMMYFUNCTION("GOOGLETRANSLATE(B24385,""en"",""es-ES"")"),"Vierte ingredientes en un cubo, empapa la esponja en el cubo, luego limpia un espejo con un limpiaparabrisas.")</f>
        <v>Vierte ingredientes en un cubo, empapa la esponja en el cubo, luego limpia un espejo con un limpiaparabrisas.</v>
      </c>
    </row>
    <row r="24386">
      <c r="A24386" s="4" t="s">
        <v>30685</v>
      </c>
      <c r="B24386" s="4" t="s">
        <v>30686</v>
      </c>
      <c r="C24386" s="5" t="str">
        <f>IFERROR(__xludf.DUMMYFUNCTION("GOOGLETRANSLATE(B24386,""en"",""es-ES"")"),"Se ve a una persona montar a lo largo del agua en un kayak mientras otro hombre lo mira a un lado.")</f>
        <v>Se ve a una persona montar a lo largo del agua en un kayak mientras otro hombre lo mira a un lado.</v>
      </c>
    </row>
    <row r="24387">
      <c r="A24387" s="4" t="s">
        <v>30685</v>
      </c>
      <c r="B24387" s="4" t="s">
        <v>30687</v>
      </c>
      <c r="C24387" s="5" t="str">
        <f>IFERROR(__xludf.DUMMYFUNCTION("GOOGLETRANSLATE(B24387,""en"",""es-ES"")"),"Continúa viajando a lo largo del agua en el kayak y haciendo volteos en el agua.")</f>
        <v>Continúa viajando a lo largo del agua en el kayak y haciendo volteos en el agua.</v>
      </c>
    </row>
    <row r="24388">
      <c r="A24388" s="4" t="s">
        <v>30688</v>
      </c>
      <c r="B24388" s="4" t="s">
        <v>30689</v>
      </c>
      <c r="C24388" s="5" t="str">
        <f>IFERROR(__xludf.DUMMYFUNCTION("GOOGLETRANSLATE(B24388,""en"",""es-ES"")"),"La gente está jugando voleibol en la arena.")</f>
        <v>La gente está jugando voleibol en la arena.</v>
      </c>
    </row>
    <row r="24389">
      <c r="A24389" s="4" t="s">
        <v>30688</v>
      </c>
      <c r="B24389" s="4" t="s">
        <v>30690</v>
      </c>
      <c r="C24389" s="5" t="str">
        <f>IFERROR(__xludf.DUMMYFUNCTION("GOOGLETRANSLATE(B24389,""en"",""es-ES"")"),"Una persona cae en la arena.")</f>
        <v>Una persona cae en la arena.</v>
      </c>
    </row>
    <row r="24390">
      <c r="A24390" s="4" t="s">
        <v>30688</v>
      </c>
      <c r="B24390" s="4" t="s">
        <v>30691</v>
      </c>
      <c r="C24390" s="5" t="str">
        <f>IFERROR(__xludf.DUMMYFUNCTION("GOOGLETRANSLATE(B24390,""en"",""es-ES"")"),"Una mujer con una camisa azul está hablando con la cámara.")</f>
        <v>Una mujer con una camisa azul está hablando con la cámara.</v>
      </c>
    </row>
    <row r="24391">
      <c r="A24391" s="4" t="s">
        <v>30688</v>
      </c>
      <c r="B24391" s="4" t="s">
        <v>21372</v>
      </c>
      <c r="C24391" s="5" t="str">
        <f>IFERROR(__xludf.DUMMYFUNCTION("GOOGLETRANSLATE(B24391,""en"",""es-ES"")"),"Una mujer con una camisa negra está hablando con la cámara.")</f>
        <v>Una mujer con una camisa negra está hablando con la cámara.</v>
      </c>
    </row>
    <row r="24392">
      <c r="A24392" s="4" t="s">
        <v>30692</v>
      </c>
      <c r="B24392" s="4" t="s">
        <v>30693</v>
      </c>
      <c r="C24392" s="5" t="str">
        <f>IFERROR(__xludf.DUMMYFUNCTION("GOOGLETRANSLATE(B24392,""en"",""es-ES"")"),"Hombres y mujeres posando y sonriendo a la cámara.")</f>
        <v>Hombres y mujeres posando y sonriendo a la cámara.</v>
      </c>
    </row>
    <row r="24393">
      <c r="A24393" s="4" t="s">
        <v>30692</v>
      </c>
      <c r="B24393" s="4" t="s">
        <v>30694</v>
      </c>
      <c r="C24393" s="5" t="str">
        <f>IFERROR(__xludf.DUMMYFUNCTION("GOOGLETRANSLATE(B24393,""en"",""es-ES"")"),"Un grupo de hombres y mujeres vestidos con equipo de buceo de agua fría llegan a una camioneta.")</f>
        <v>Un grupo de hombres y mujeres vestidos con equipo de buceo de agua fría llegan a una camioneta.</v>
      </c>
    </row>
    <row r="24394">
      <c r="A24394" s="4" t="s">
        <v>30692</v>
      </c>
      <c r="B24394" s="4" t="s">
        <v>30695</v>
      </c>
      <c r="C24394" s="5" t="str">
        <f>IFERROR(__xludf.DUMMYFUNCTION("GOOGLETRANSLATE(B24394,""en"",""es-ES"")"),"Los buzos marchan en un solo archivo en un muelle al agua y posan con su equipo de buceo.")</f>
        <v>Los buzos marchan en un solo archivo en un muelle al agua y posan con su equipo de buceo.</v>
      </c>
    </row>
    <row r="24395">
      <c r="A24395" s="4" t="s">
        <v>30692</v>
      </c>
      <c r="B24395" s="4" t="s">
        <v>30696</v>
      </c>
      <c r="C24395" s="5" t="str">
        <f>IFERROR(__xludf.DUMMYFUNCTION("GOOGLETRANSLATE(B24395,""en"",""es-ES"")"),"Los buzos están bajo el agua realizando diferentes vehículos hundidos y jugando y posando.")</f>
        <v>Los buzos están bajo el agua realizando diferentes vehículos hundidos y jugando y posando.</v>
      </c>
    </row>
    <row r="24396">
      <c r="A24396" s="4" t="s">
        <v>30692</v>
      </c>
      <c r="B24396" s="4" t="s">
        <v>30697</v>
      </c>
      <c r="C24396" s="5" t="str">
        <f>IFERROR(__xludf.DUMMYFUNCTION("GOOGLETRANSLATE(B24396,""en"",""es-ES"")"),"Los buzos aparecen en algunas fotografías de trucos.")</f>
        <v>Los buzos aparecen en algunas fotografías de trucos.</v>
      </c>
    </row>
    <row r="24397">
      <c r="A24397" s="4" t="s">
        <v>30692</v>
      </c>
      <c r="B24397" s="4" t="s">
        <v>30698</v>
      </c>
      <c r="C24397" s="5" t="str">
        <f>IFERROR(__xludf.DUMMYFUNCTION("GOOGLETRANSLATE(B24397,""en"",""es-ES"")"),"Los buzos se relajan en un restaurante con su cierre regular en una mesa redonda de picnic.")</f>
        <v>Los buzos se relajan en un restaurante con su cierre regular en una mesa redonda de picnic.</v>
      </c>
    </row>
    <row r="24398">
      <c r="A24398" s="4" t="s">
        <v>30699</v>
      </c>
      <c r="B24398" s="4" t="s">
        <v>30700</v>
      </c>
      <c r="C24398" s="5" t="str">
        <f>IFERROR(__xludf.DUMMYFUNCTION("GOOGLETRANSLATE(B24398,""en"",""es-ES"")"),"Una persona hace un tutorial sobre cómo usar una elíptica de manera más eficiente.")</f>
        <v>Una persona hace un tutorial sobre cómo usar una elíptica de manera más eficiente.</v>
      </c>
    </row>
    <row r="24399">
      <c r="A24399" s="4" t="s">
        <v>30699</v>
      </c>
      <c r="B24399" s="4" t="s">
        <v>30701</v>
      </c>
      <c r="C24399" s="5" t="str">
        <f>IFERROR(__xludf.DUMMYFUNCTION("GOOGLETRANSLATE(B24399,""en"",""es-ES"")"),"Una mujer hace la elíptica hacia atrás mientras sonríe a veces.")</f>
        <v>Una mujer hace la elíptica hacia atrás mientras sonríe a veces.</v>
      </c>
    </row>
    <row r="24400">
      <c r="A24400" s="4" t="s">
        <v>30702</v>
      </c>
      <c r="B24400" s="4" t="s">
        <v>30703</v>
      </c>
      <c r="C24400" s="5" t="str">
        <f>IFERROR(__xludf.DUMMYFUNCTION("GOOGLETRANSLATE(B24400,""en"",""es-ES"")"),"El video conduce a varias tomas de personas Kite Surfing a lo largo del océano.")</f>
        <v>El video conduce a varias tomas de personas Kite Surfing a lo largo del océano.</v>
      </c>
    </row>
    <row r="24401">
      <c r="A24401" s="4" t="s">
        <v>30702</v>
      </c>
      <c r="B24401" s="4" t="s">
        <v>30704</v>
      </c>
      <c r="C24401" s="5" t="str">
        <f>IFERROR(__xludf.DUMMYFUNCTION("GOOGLETRANSLATE(B24401,""en"",""es-ES"")"),"La persona continúa viajando a lo largo del agua mientras la cámara lo sigue desde la vista de un pájaro.")</f>
        <v>La persona continúa viajando a lo largo del agua mientras la cámara lo sigue desde la vista de un pájaro.</v>
      </c>
    </row>
    <row r="24402">
      <c r="A24402" s="4" t="s">
        <v>30705</v>
      </c>
      <c r="B24402" s="4" t="s">
        <v>30706</v>
      </c>
      <c r="C24402" s="5" t="str">
        <f>IFERROR(__xludf.DUMMYFUNCTION("GOOGLETRANSLATE(B24402,""en"",""es-ES"")"),"Un video recapitular de un juego de fútbol de playa comienza con un gol argentino con un pase profundo.")</f>
        <v>Un video recapitular de un juego de fútbol de playa comienza con un gol argentino con un pase profundo.</v>
      </c>
    </row>
    <row r="24403">
      <c r="A24403" s="4" t="s">
        <v>30705</v>
      </c>
      <c r="B24403" s="4" t="s">
        <v>30707</v>
      </c>
      <c r="C24403" s="5" t="str">
        <f>IFERROR(__xludf.DUMMYFUNCTION("GOOGLETRANSLATE(B24403,""en"",""es-ES"")"),"Los brasileños hacen un seguimiento con un gol en un tiro penal, tomado por un arquero exuberante.")</f>
        <v>Los brasileños hacen un seguimiento con un gol en un tiro penal, tomado por un arquero exuberante.</v>
      </c>
    </row>
    <row r="24404">
      <c r="A24404" s="4" t="s">
        <v>30705</v>
      </c>
      <c r="B24404" s="4" t="s">
        <v>30708</v>
      </c>
      <c r="C24404" s="5" t="str">
        <f>IFERROR(__xludf.DUMMYFUNCTION("GOOGLETRANSLATE(B24404,""en"",""es-ES"")"),"Los argentinos roban un pase a la mitad del campo de arena y lo llevan para un gol en la esquina cerrada.")</f>
        <v>Los argentinos roban un pase a la mitad del campo de arena y lo llevan para un gol en la esquina cerrada.</v>
      </c>
    </row>
    <row r="24405">
      <c r="A24405" s="4" t="s">
        <v>30705</v>
      </c>
      <c r="B24405" s="4" t="s">
        <v>30709</v>
      </c>
      <c r="C24405" s="5" t="str">
        <f>IFERROR(__xludf.DUMMYFUNCTION("GOOGLETRANSLATE(B24405,""en"",""es-ES"")"),"Esto es seguido inmediatamente por otro gol de Argentina en un tiro penal.")</f>
        <v>Esto es seguido inmediatamente por otro gol de Argentina en un tiro penal.</v>
      </c>
    </row>
    <row r="24406">
      <c r="A24406" s="4" t="s">
        <v>30705</v>
      </c>
      <c r="B24406" s="4" t="s">
        <v>30710</v>
      </c>
      <c r="C24406" s="5" t="str">
        <f>IFERROR(__xludf.DUMMYFUNCTION("GOOGLETRANSLATE(B24406,""en"",""es-ES"")"),"Brasil se encuentra aún más en otro gol argentino en un hermoso pase y disparó en el campo.")</f>
        <v>Brasil se encuentra aún más en otro gol argentino en un hermoso pase y disparó en el campo.</v>
      </c>
    </row>
    <row r="24407">
      <c r="A24407" s="4" t="s">
        <v>30705</v>
      </c>
      <c r="B24407" s="4" t="s">
        <v>30711</v>
      </c>
      <c r="C24407" s="5" t="str">
        <f>IFERROR(__xludf.DUMMYFUNCTION("GOOGLETRANSLATE(B24407,""en"",""es-ES"")"),"Para empeorar las cosas, Argentina anota en un tiro profundo sin oposición después de eso.")</f>
        <v>Para empeorar las cosas, Argentina anota en un tiro profundo sin oposición después de eso.</v>
      </c>
    </row>
    <row r="24408">
      <c r="A24408" s="4" t="s">
        <v>30705</v>
      </c>
      <c r="B24408" s="4" t="s">
        <v>30712</v>
      </c>
      <c r="C24408" s="5" t="str">
        <f>IFERROR(__xludf.DUMMYFUNCTION("GOOGLETRANSLATE(B24408,""en"",""es-ES"")"),"Este juego es demasiado fácil para ellos, y ganan por una gran puntuación.")</f>
        <v>Este juego es demasiado fácil para ellos, y ganan por una gran puntuación.</v>
      </c>
    </row>
    <row r="24409">
      <c r="A24409" s="4" t="s">
        <v>30713</v>
      </c>
      <c r="B24409" s="4" t="s">
        <v>30714</v>
      </c>
      <c r="C24409" s="5" t="str">
        <f>IFERROR(__xludf.DUMMYFUNCTION("GOOGLETRANSLATE(B24409,""en"",""es-ES"")"),"Un hombre está jugando ShuffleBoard en un barco.")</f>
        <v>Un hombre está jugando ShuffleBoard en un barco.</v>
      </c>
    </row>
    <row r="24410">
      <c r="A24410" s="4" t="s">
        <v>30713</v>
      </c>
      <c r="B24410" s="4" t="s">
        <v>30715</v>
      </c>
      <c r="C24410" s="5" t="str">
        <f>IFERROR(__xludf.DUMMYFUNCTION("GOOGLETRANSLATE(B24410,""en"",""es-ES"")"),"Se vuelve hacia la cámara y dice algo.")</f>
        <v>Se vuelve hacia la cámara y dice algo.</v>
      </c>
    </row>
    <row r="24411">
      <c r="A24411" s="4" t="s">
        <v>30716</v>
      </c>
      <c r="B24411" s="4" t="s">
        <v>30717</v>
      </c>
      <c r="C24411" s="5" t="str">
        <f>IFERROR(__xludf.DUMMYFUNCTION("GOOGLETRANSLATE(B24411,""en"",""es-ES"")"),"Un hombre sumerge un trapo en un recipiente negro.")</f>
        <v>Un hombre sumerge un trapo en un recipiente negro.</v>
      </c>
    </row>
    <row r="24412">
      <c r="A24412" s="4" t="s">
        <v>30716</v>
      </c>
      <c r="B24412" s="4" t="s">
        <v>30718</v>
      </c>
      <c r="C24412" s="5" t="str">
        <f>IFERROR(__xludf.DUMMYFUNCTION("GOOGLETRANSLATE(B24412,""en"",""es-ES"")"),"Comienza a limpiar un zapato con el trapo.")</f>
        <v>Comienza a limpiar un zapato con el trapo.</v>
      </c>
    </row>
    <row r="24413">
      <c r="A24413" s="4" t="s">
        <v>30716</v>
      </c>
      <c r="B24413" s="4" t="s">
        <v>30719</v>
      </c>
      <c r="C24413" s="5" t="str">
        <f>IFERROR(__xludf.DUMMYFUNCTION("GOOGLETRANSLATE(B24413,""en"",""es-ES"")"),"Él toma un cepillo y comienza a usarlo para cepillar el zapato.")</f>
        <v>Él toma un cepillo y comienza a usarlo para cepillar el zapato.</v>
      </c>
    </row>
    <row r="24414">
      <c r="A24414" s="4" t="s">
        <v>30720</v>
      </c>
      <c r="B24414" s="4" t="s">
        <v>30721</v>
      </c>
      <c r="C24414" s="5" t="str">
        <f>IFERROR(__xludf.DUMMYFUNCTION("GOOGLETRANSLATE(B24414,""en"",""es-ES"")"),"Vemos a tres hombres en un bote en un lago.")</f>
        <v>Vemos a tres hombres en un bote en un lago.</v>
      </c>
    </row>
    <row r="24415">
      <c r="A24415" s="4" t="s">
        <v>30720</v>
      </c>
      <c r="B24415" s="4" t="s">
        <v>30722</v>
      </c>
      <c r="C24415" s="5" t="str">
        <f>IFERROR(__xludf.DUMMYFUNCTION("GOOGLETRANSLATE(B24415,""en"",""es-ES"")"),"El hombre izquierdo sostiene sus cerca cerca de su pecho.")</f>
        <v>El hombre izquierdo sostiene sus cerca cerca de su pecho.</v>
      </c>
    </row>
    <row r="24416">
      <c r="A24416" s="4" t="s">
        <v>30720</v>
      </c>
      <c r="B24416" s="4" t="s">
        <v>30723</v>
      </c>
      <c r="C24416" s="5" t="str">
        <f>IFERROR(__xludf.DUMMYFUNCTION("GOOGLETRANSLATE(B24416,""en"",""es-ES"")"),"Un hombre actúa raro y se rocía.")</f>
        <v>Un hombre actúa raro y se rocía.</v>
      </c>
    </row>
    <row r="24417">
      <c r="A24417" s="4" t="s">
        <v>30724</v>
      </c>
      <c r="B24417" s="4" t="s">
        <v>30725</v>
      </c>
      <c r="C24417" s="5" t="str">
        <f>IFERROR(__xludf.DUMMYFUNCTION("GOOGLETRANSLATE(B24417,""en"",""es-ES"")"),"Se ve a un gran grupo de animadoras corriendo a través de un agujero hacia un escenario.")</f>
        <v>Se ve a un gran grupo de animadoras corriendo a través de un agujero hacia un escenario.</v>
      </c>
    </row>
    <row r="24418">
      <c r="A24418" s="4" t="s">
        <v>30724</v>
      </c>
      <c r="B24418" s="4" t="s">
        <v>30726</v>
      </c>
      <c r="C24418" s="5" t="str">
        <f>IFERROR(__xludf.DUMMYFUNCTION("GOOGLETRANSLATE(B24418,""en"",""es-ES"")"),"Luego, el grupo comienza a actuar entre sí mientras se levantan unos a otros en el aire.")</f>
        <v>Luego, el grupo comienza a actuar entre sí mientras se levantan unos a otros en el aire.</v>
      </c>
    </row>
    <row r="24419">
      <c r="A24419" s="4" t="s">
        <v>30724</v>
      </c>
      <c r="B24419" s="4" t="s">
        <v>30727</v>
      </c>
      <c r="C24419" s="5" t="str">
        <f>IFERROR(__xludf.DUMMYFUNCTION("GOOGLETRANSLATE(B24419,""en"",""es-ES"")"),"El grupo continúa levantándose y saltando el uno al otro y terminando saliendo del escenario.")</f>
        <v>El grupo continúa levantándose y saltando el uno al otro y terminando saliendo del escenario.</v>
      </c>
    </row>
    <row r="24420">
      <c r="A24420" s="4" t="s">
        <v>30728</v>
      </c>
      <c r="B24420" s="4" t="s">
        <v>30729</v>
      </c>
      <c r="C24420" s="5" t="str">
        <f>IFERROR(__xludf.DUMMYFUNCTION("GOOGLETRANSLATE(B24420,""en"",""es-ES"")"),"Una persona habla y arroja una pelota de boliche en el carril de bolos.")</f>
        <v>Una persona habla y arroja una pelota de boliche en el carril de bolos.</v>
      </c>
    </row>
    <row r="24421">
      <c r="A24421" s="4" t="s">
        <v>30728</v>
      </c>
      <c r="B24421" s="4" t="s">
        <v>30730</v>
      </c>
      <c r="C24421" s="5" t="str">
        <f>IFERROR(__xludf.DUMMYFUNCTION("GOOGLETRANSLATE(B24421,""en"",""es-ES"")"),"El hombre sostiene una pelota y muestra la pierna izquierda hacia adelante, luego arroja la pelota de bolos sobre el carril mientras habla.")</f>
        <v>El hombre sostiene una pelota y muestra la pierna izquierda hacia adelante, luego arroja la pelota de bolos sobre el carril mientras habla.</v>
      </c>
    </row>
    <row r="24422">
      <c r="A24422" s="4" t="s">
        <v>30731</v>
      </c>
      <c r="B24422" s="4" t="s">
        <v>30732</v>
      </c>
      <c r="C24422" s="5" t="str">
        <f>IFERROR(__xludf.DUMMYFUNCTION("GOOGLETRANSLATE(B24422,""en"",""es-ES"")"),"Un hombre está afuera con un utensilio de césped y comienza a cortar el patio.")</f>
        <v>Un hombre está afuera con un utensilio de césped y comienza a cortar el patio.</v>
      </c>
    </row>
    <row r="24423">
      <c r="A24423" s="4" t="s">
        <v>30731</v>
      </c>
      <c r="B24423" s="4" t="s">
        <v>30733</v>
      </c>
      <c r="C24423" s="5" t="str">
        <f>IFERROR(__xludf.DUMMYFUNCTION("GOOGLETRANSLATE(B24423,""en"",""es-ES"")"),"Se mueve una perilla y luego continúa cortando la hierba y se muestra a otra mujer cortando el patio.")</f>
        <v>Se mueve una perilla y luego continúa cortando la hierba y se muestra a otra mujer cortando el patio.</v>
      </c>
    </row>
    <row r="24424">
      <c r="A24424" s="4" t="s">
        <v>30731</v>
      </c>
      <c r="B24424" s="4" t="s">
        <v>30734</v>
      </c>
      <c r="C24424" s="5" t="str">
        <f>IFERROR(__xludf.DUMMYFUNCTION("GOOGLETRANSLATE(B24424,""en"",""es-ES"")"),"Finalmente, el hombre regresa y muestra cómo funciona el objeto para cortar la hierba.")</f>
        <v>Finalmente, el hombre regresa y muestra cómo funciona el objeto para cortar la hierba.</v>
      </c>
    </row>
    <row r="24425">
      <c r="A24425" s="4" t="s">
        <v>30735</v>
      </c>
      <c r="B24425" s="4" t="s">
        <v>30736</v>
      </c>
      <c r="C24425" s="5" t="str">
        <f>IFERROR(__xludf.DUMMYFUNCTION("GOOGLETRANSLATE(B24425,""en"",""es-ES"")"),"Un pequeño grupo de personas se ve de pie en una playa de arena y conduce a un juego de voleibol.")</f>
        <v>Un pequeño grupo de personas se ve de pie en una playa de arena y conduce a un juego de voleibol.</v>
      </c>
    </row>
    <row r="24426">
      <c r="A24426" s="4" t="s">
        <v>30735</v>
      </c>
      <c r="B24426" s="4" t="s">
        <v>30737</v>
      </c>
      <c r="C24426" s="5" t="str">
        <f>IFERROR(__xludf.DUMMYFUNCTION("GOOGLETRANSLATE(B24426,""en"",""es-ES"")"),"La gente juega atrás y cuarta con uno de ellos aumentando la pelota y la cámara que se dedica a la gente mirando y celebrando.")</f>
        <v>La gente juega atrás y cuarta con uno de ellos aumentando la pelota y la cámara que se dedica a la gente mirando y celebrando.</v>
      </c>
    </row>
    <row r="24427">
      <c r="A24427" s="4" t="s">
        <v>30738</v>
      </c>
      <c r="B24427" s="4" t="s">
        <v>30739</v>
      </c>
      <c r="C24427" s="5" t="str">
        <f>IFERROR(__xludf.DUMMYFUNCTION("GOOGLETRANSLATE(B24427,""en"",""es-ES"")"),"Se ve a un niño pequeño parado en un escenario con otros y uno comienza a bailar en el medio.")</f>
        <v>Se ve a un niño pequeño parado en un escenario con otros y uno comienza a bailar en el medio.</v>
      </c>
    </row>
    <row r="24428">
      <c r="A24428" s="4" t="s">
        <v>30738</v>
      </c>
      <c r="B24428" s="4" t="s">
        <v>30740</v>
      </c>
      <c r="C24428" s="5" t="str">
        <f>IFERROR(__xludf.DUMMYFUNCTION("GOOGLETRANSLATE(B24428,""en"",""es-ES"")"),"El joven luego se mueve en el medio tomando turnos con otros bailando.")</f>
        <v>El joven luego se mueve en el medio tomando turnos con otros bailando.</v>
      </c>
    </row>
    <row r="24429">
      <c r="A24429" s="4" t="s">
        <v>30738</v>
      </c>
      <c r="B24429" s="4" t="s">
        <v>30741</v>
      </c>
      <c r="C24429" s="5" t="str">
        <f>IFERROR(__xludf.DUMMYFUNCTION("GOOGLETRANSLATE(B24429,""en"",""es-ES"")"),"Otro hombre se mueve al medio para bailar mientras otros miran a un lado.")</f>
        <v>Otro hombre se mueve al medio para bailar mientras otros miran a un lado.</v>
      </c>
    </row>
    <row r="24430">
      <c r="A24430" s="4" t="s">
        <v>30742</v>
      </c>
      <c r="B24430" s="4" t="s">
        <v>30743</v>
      </c>
      <c r="C24430" s="5" t="str">
        <f>IFERROR(__xludf.DUMMYFUNCTION("GOOGLETRANSLATE(B24430,""en"",""es-ES"")"),"Se ve a una persona parada en medio de un gimnasio con una raqueta de tenis.")</f>
        <v>Se ve a una persona parada en medio de un gimnasio con una raqueta de tenis.</v>
      </c>
    </row>
    <row r="24431">
      <c r="A24431" s="4" t="s">
        <v>30742</v>
      </c>
      <c r="B24431" s="4" t="s">
        <v>30744</v>
      </c>
      <c r="C24431" s="5" t="str">
        <f>IFERROR(__xludf.DUMMYFUNCTION("GOOGLETRANSLATE(B24431,""en"",""es-ES"")"),"La persona luego comienza a golpear a un birdie al otro lado del gimnasio.")</f>
        <v>La persona luego comienza a golpear a un birdie al otro lado del gimnasio.</v>
      </c>
    </row>
    <row r="24432">
      <c r="A24432" s="4" t="s">
        <v>30742</v>
      </c>
      <c r="B24432" s="4" t="s">
        <v>30745</v>
      </c>
      <c r="C24432" s="5" t="str">
        <f>IFERROR(__xludf.DUMMYFUNCTION("GOOGLETRANSLATE(B24432,""en"",""es-ES"")"),"La persona retrocede continuamente el objeto y cuarto mientras mira a la cámara.")</f>
        <v>La persona retrocede continuamente el objeto y cuarto mientras mira a la cámara.</v>
      </c>
    </row>
    <row r="24433">
      <c r="A24433" s="4" t="s">
        <v>30746</v>
      </c>
      <c r="B24433" s="4" t="s">
        <v>30747</v>
      </c>
      <c r="C24433" s="5" t="str">
        <f>IFERROR(__xludf.DUMMYFUNCTION("GOOGLETRANSLATE(B24433,""en"",""es-ES"")"),"Se ve a un hombre parado sobre un techo empujando piezas de escombros con un palo.")</f>
        <v>Se ve a un hombre parado sobre un techo empujando piezas de escombros con un palo.</v>
      </c>
    </row>
    <row r="24434">
      <c r="A24434" s="4" t="s">
        <v>30746</v>
      </c>
      <c r="B24434" s="4" t="s">
        <v>30748</v>
      </c>
      <c r="C24434" s="5" t="str">
        <f>IFERROR(__xludf.DUMMYFUNCTION("GOOGLETRANSLATE(B24434,""en"",""es-ES"")"),"El hombre continúa empujando los escombros del techo mientras profundiza más y más en el desastre.")</f>
        <v>El hombre continúa empujando los escombros del techo mientras profundiza más y más en el desastre.</v>
      </c>
    </row>
    <row r="24435">
      <c r="A24435" s="4" t="s">
        <v>30749</v>
      </c>
      <c r="B24435" s="4" t="s">
        <v>30750</v>
      </c>
      <c r="C24435" s="5" t="str">
        <f>IFERROR(__xludf.DUMMYFUNCTION("GOOGLETRANSLATE(B24435,""en"",""es-ES"")"),"Una persona cepilla los dientes de un perro mientras sostiene el cuello de la espalda.")</f>
        <v>Una persona cepilla los dientes de un perro mientras sostiene el cuello de la espalda.</v>
      </c>
    </row>
    <row r="24436">
      <c r="A24436" s="4" t="s">
        <v>30749</v>
      </c>
      <c r="B24436" s="4" t="s">
        <v>30751</v>
      </c>
      <c r="C24436" s="5" t="str">
        <f>IFERROR(__xludf.DUMMYFUNCTION("GOOGLETRANSLATE(B24436,""en"",""es-ES"")"),"Después, ella golpea el cofre del perro y pone la pasta de dientes en el cepillo y continúa cepillando los dientes del perro.")</f>
        <v>Después, ella golpea el cofre del perro y pone la pasta de dientes en el cepillo y continúa cepillando los dientes del perro.</v>
      </c>
    </row>
    <row r="24437">
      <c r="A24437" s="4" t="s">
        <v>30749</v>
      </c>
      <c r="B24437" s="4" t="s">
        <v>30752</v>
      </c>
      <c r="C24437" s="5" t="str">
        <f>IFERROR(__xludf.DUMMYFUNCTION("GOOGLETRANSLATE(B24437,""en"",""es-ES"")"),"Después, la persona golpee nuevamente el cofre, coloque la pasta de dientes en el cepillo y cepille los dientes del perro.")</f>
        <v>Después, la persona golpee nuevamente el cofre, coloque la pasta de dientes en el cepillo y cepille los dientes del perro.</v>
      </c>
    </row>
    <row r="24438">
      <c r="A24438" s="4" t="s">
        <v>30749</v>
      </c>
      <c r="B24438" s="4" t="s">
        <v>30753</v>
      </c>
      <c r="C24438" s="5" t="str">
        <f>IFERROR(__xludf.DUMMYFUNCTION("GOOGLETRANSLATE(B24438,""en"",""es-ES"")"),"Cuando la persona termina para cepillarse, besa al perro.")</f>
        <v>Cuando la persona termina para cepillarse, besa al perro.</v>
      </c>
    </row>
    <row r="24439">
      <c r="A24439" s="4" t="s">
        <v>30754</v>
      </c>
      <c r="B24439" s="4" t="s">
        <v>30755</v>
      </c>
      <c r="C24439" s="5" t="str">
        <f>IFERROR(__xludf.DUMMYFUNCTION("GOOGLETRANSLATE(B24439,""en"",""es-ES"")"),"Una mujer está hablando con la cámara rodeada de botellas de alcohol.")</f>
        <v>Una mujer está hablando con la cámara rodeada de botellas de alcohol.</v>
      </c>
    </row>
    <row r="24440">
      <c r="A24440" s="4" t="s">
        <v>30754</v>
      </c>
      <c r="B24440" s="4" t="s">
        <v>30756</v>
      </c>
      <c r="C24440" s="5" t="str">
        <f>IFERROR(__xludf.DUMMYFUNCTION("GOOGLETRANSLATE(B24440,""en"",""es-ES"")"),"La mujer comienza a verter diferentes alcoholes y jugo de limón en un vaso de hielo.")</f>
        <v>La mujer comienza a verter diferentes alcoholes y jugo de limón en un vaso de hielo.</v>
      </c>
    </row>
    <row r="24441">
      <c r="A24441" s="4" t="s">
        <v>30754</v>
      </c>
      <c r="B24441" s="4" t="s">
        <v>30757</v>
      </c>
      <c r="C24441" s="5" t="str">
        <f>IFERROR(__xludf.DUMMYFUNCTION("GOOGLETRANSLATE(B24441,""en"",""es-ES"")"),"La mujer sacude la mezcla de bebidas y la defiende en otro vaso.")</f>
        <v>La mujer sacude la mezcla de bebidas y la defiende en otro vaso.</v>
      </c>
    </row>
    <row r="24442">
      <c r="A24442" s="4" t="s">
        <v>30754</v>
      </c>
      <c r="B24442" s="4" t="s">
        <v>30758</v>
      </c>
      <c r="C24442" s="5" t="str">
        <f>IFERROR(__xludf.DUMMYFUNCTION("GOOGLETRANSLATE(B24442,""en"",""es-ES"")"),"La mujer pone una pequeña pajita en la bebida y la sostiene y sonríe.")</f>
        <v>La mujer pone una pequeña pajita en la bebida y la sostiene y sonríe.</v>
      </c>
    </row>
    <row r="24443">
      <c r="A24443" s="4" t="s">
        <v>30759</v>
      </c>
      <c r="B24443" s="4" t="s">
        <v>30760</v>
      </c>
      <c r="C24443" s="5" t="str">
        <f>IFERROR(__xludf.DUMMYFUNCTION("GOOGLETRANSLATE(B24443,""en"",""es-ES"")"),"Un hombre que lleva un sombrero negro toca una guitarra para que la cámara lo vea.")</f>
        <v>Un hombre que lleva un sombrero negro toca una guitarra para que la cámara lo vea.</v>
      </c>
    </row>
    <row r="24444">
      <c r="A24444" s="4" t="s">
        <v>30759</v>
      </c>
      <c r="B24444" s="4" t="s">
        <v>30761</v>
      </c>
      <c r="C24444" s="5" t="str">
        <f>IFERROR(__xludf.DUMMYFUNCTION("GOOGLETRANSLATE(B24444,""en"",""es-ES"")"),"Continúa rasgando sus dedos y moviendo sus manos alrededor del instrumento hasta que la canción termina, así como el video.")</f>
        <v>Continúa rasgando sus dedos y moviendo sus manos alrededor del instrumento hasta que la canción termina, así como el video.</v>
      </c>
    </row>
    <row r="24445">
      <c r="A24445" s="4" t="s">
        <v>30762</v>
      </c>
      <c r="B24445" s="4" t="s">
        <v>30763</v>
      </c>
      <c r="C24445" s="5" t="str">
        <f>IFERROR(__xludf.DUMMYFUNCTION("GOOGLETRANSLATE(B24445,""en"",""es-ES"")"),"Una mujer está grabando un video de un niño pequeño que está pintando una cerca.")</f>
        <v>Una mujer está grabando un video de un niño pequeño que está pintando una cerca.</v>
      </c>
    </row>
    <row r="24446">
      <c r="A24446" s="4" t="s">
        <v>30762</v>
      </c>
      <c r="B24446" s="4" t="s">
        <v>30764</v>
      </c>
      <c r="C24446" s="5" t="str">
        <f>IFERROR(__xludf.DUMMYFUNCTION("GOOGLETRANSLATE(B24446,""en"",""es-ES"")"),"La cámara se dirige al resto del patio trasero y la cerca.")</f>
        <v>La cámara se dirige al resto del patio trasero y la cerca.</v>
      </c>
    </row>
    <row r="24447">
      <c r="A24447" s="4" t="s">
        <v>30762</v>
      </c>
      <c r="B24447" s="4" t="s">
        <v>30765</v>
      </c>
      <c r="C24447" s="5" t="str">
        <f>IFERROR(__xludf.DUMMYFUNCTION("GOOGLETRANSLATE(B24447,""en"",""es-ES"")"),"Otro niño pequeño está pintando el otro extremo de la cerca, y la cámara se acerca a él.")</f>
        <v>Otro niño pequeño está pintando el otro extremo de la cerca, y la cámara se acerca a él.</v>
      </c>
    </row>
    <row r="24448">
      <c r="A24448" s="4" t="s">
        <v>30762</v>
      </c>
      <c r="B24448" s="4" t="s">
        <v>30766</v>
      </c>
      <c r="C24448" s="5" t="str">
        <f>IFERROR(__xludf.DUMMYFUNCTION("GOOGLETRANSLATE(B24448,""en"",""es-ES"")"),"El video luego corta para mostrar que la cerca se completa principalmente.")</f>
        <v>El video luego corta para mostrar que la cerca se completa principalmente.</v>
      </c>
    </row>
    <row r="24449">
      <c r="A24449" s="4" t="s">
        <v>30762</v>
      </c>
      <c r="B24449" s="4" t="s">
        <v>30767</v>
      </c>
      <c r="C24449" s="5" t="str">
        <f>IFERROR(__xludf.DUMMYFUNCTION("GOOGLETRANSLATE(B24449,""en"",""es-ES"")"),"Luego, el video muestra a los dos muchachos trabajando juntos para completar el panel final de la esgrima.")</f>
        <v>Luego, el video muestra a los dos muchachos trabajando juntos para completar el panel final de la esgrima.</v>
      </c>
    </row>
    <row r="24450">
      <c r="A24450" s="4" t="s">
        <v>30762</v>
      </c>
      <c r="B24450" s="4" t="s">
        <v>30768</v>
      </c>
      <c r="C24450" s="5" t="str">
        <f>IFERROR(__xludf.DUMMYFUNCTION("GOOGLETRANSLATE(B24450,""en"",""es-ES"")"),"El video termina cuando la cámara se desplaza para mostrar la casa y la cerca recién pintada.")</f>
        <v>El video termina cuando la cámara se desplaza para mostrar la casa y la cerca recién pintada.</v>
      </c>
    </row>
    <row r="24451">
      <c r="A24451" s="4" t="s">
        <v>30769</v>
      </c>
      <c r="B24451" s="4" t="s">
        <v>30770</v>
      </c>
      <c r="C24451" s="5" t="str">
        <f>IFERROR(__xludf.DUMMYFUNCTION("GOOGLETRANSLATE(B24451,""en"",""es-ES"")"),"Se ve a una mujer realizando un salto de una alta inmersión y aterrizar en una piscina.")</f>
        <v>Se ve a una mujer realizando un salto de una alta inmersión y aterrizar en una piscina.</v>
      </c>
    </row>
    <row r="24452">
      <c r="A24452" s="4" t="s">
        <v>30769</v>
      </c>
      <c r="B24452" s="4" t="s">
        <v>30771</v>
      </c>
      <c r="C24452" s="5" t="str">
        <f>IFERROR(__xludf.DUMMYFUNCTION("GOOGLETRANSLATE(B24452,""en"",""es-ES"")"),"Más tomas de su buceo se muestran nuevamente poco después en cámara lenta.")</f>
        <v>Más tomas de su buceo se muestran nuevamente poco después en cámara lenta.</v>
      </c>
    </row>
    <row r="24453">
      <c r="A24453" s="4" t="s">
        <v>30772</v>
      </c>
      <c r="B24453" s="4" t="s">
        <v>30773</v>
      </c>
      <c r="C24453" s="5" t="str">
        <f>IFERROR(__xludf.DUMMYFUNCTION("GOOGLETRANSLATE(B24453,""en"",""es-ES"")"),"Se ve un pez grande nadando bajo agua congelada.")</f>
        <v>Se ve un pez grande nadando bajo agua congelada.</v>
      </c>
    </row>
    <row r="24454">
      <c r="A24454" s="4" t="s">
        <v>30772</v>
      </c>
      <c r="B24454" s="4" t="s">
        <v>30774</v>
      </c>
      <c r="C24454" s="5" t="str">
        <f>IFERROR(__xludf.DUMMYFUNCTION("GOOGLETRANSLATE(B24454,""en"",""es-ES"")"),"Un hombre crea un agujero en el hielo para atrapar el pez.")</f>
        <v>Un hombre crea un agujero en el hielo para atrapar el pez.</v>
      </c>
    </row>
    <row r="24455">
      <c r="A24455" s="4" t="s">
        <v>30772</v>
      </c>
      <c r="B24455" s="4" t="s">
        <v>30775</v>
      </c>
      <c r="C24455" s="5" t="str">
        <f>IFERROR(__xludf.DUMMYFUNCTION("GOOGLETRANSLATE(B24455,""en"",""es-ES"")"),"Lo atrapa en una línea y tira hasta que puede superar el agujero.")</f>
        <v>Lo atrapa en una línea y tira hasta que puede superar el agujero.</v>
      </c>
    </row>
    <row r="24456">
      <c r="A24456" s="4" t="s">
        <v>30776</v>
      </c>
      <c r="B24456" s="4" t="s">
        <v>30777</v>
      </c>
      <c r="C24456" s="5" t="str">
        <f>IFERROR(__xludf.DUMMYFUNCTION("GOOGLETRANSLATE(B24456,""en"",""es-ES"")"),"Vemos las escenas de introducción y introducción.")</f>
        <v>Vemos las escenas de introducción y introducción.</v>
      </c>
    </row>
    <row r="24457">
      <c r="A24457" s="4" t="s">
        <v>30776</v>
      </c>
      <c r="B24457" s="4" t="s">
        <v>30778</v>
      </c>
      <c r="C24457" s="5" t="str">
        <f>IFERROR(__xludf.DUMMYFUNCTION("GOOGLETRANSLATE(B24457,""en"",""es-ES"")"),"Un hombre se encuentra en un garaje con dos palas.")</f>
        <v>Un hombre se encuentra en un garaje con dos palas.</v>
      </c>
    </row>
    <row r="24458">
      <c r="A24458" s="4" t="s">
        <v>30776</v>
      </c>
      <c r="B24458" s="4" t="s">
        <v>30779</v>
      </c>
      <c r="C24458" s="5" t="str">
        <f>IFERROR(__xludf.DUMMYFUNCTION("GOOGLETRANSLATE(B24458,""en"",""es-ES"")"),"Luego vemos sus suministros de pala.")</f>
        <v>Luego vemos sus suministros de pala.</v>
      </c>
    </row>
    <row r="24459">
      <c r="A24459" s="4" t="s">
        <v>30776</v>
      </c>
      <c r="B24459" s="4" t="s">
        <v>30780</v>
      </c>
      <c r="C24459" s="5" t="str">
        <f>IFERROR(__xludf.DUMMYFUNCTION("GOOGLETRANSLATE(B24459,""en"",""es-ES"")"),"El hombre se estira y se pone su ropa de invierno.")</f>
        <v>El hombre se estira y se pone su ropa de invierno.</v>
      </c>
    </row>
    <row r="24460">
      <c r="A24460" s="4" t="s">
        <v>30776</v>
      </c>
      <c r="B24460" s="4" t="s">
        <v>30781</v>
      </c>
      <c r="C24460" s="5" t="str">
        <f>IFERROR(__xludf.DUMMYFUNCTION("GOOGLETRANSLATE(B24460,""en"",""es-ES"")"),"Rocía su pala con spray antiadherente y pala su camino de entrada.")</f>
        <v>Rocía su pala con spray antiadherente y pala su camino de entrada.</v>
      </c>
    </row>
    <row r="24461">
      <c r="A24461" s="4" t="s">
        <v>30776</v>
      </c>
      <c r="B24461" s="4" t="s">
        <v>30782</v>
      </c>
      <c r="C24461" s="5" t="str">
        <f>IFERROR(__xludf.DUMMYFUNCTION("GOOGLETRANSLATE(B24461,""en"",""es-ES"")"),"El hombre se acuesta y le cuesta respirar.")</f>
        <v>El hombre se acuesta y le cuesta respirar.</v>
      </c>
    </row>
    <row r="24462">
      <c r="A24462" s="4" t="s">
        <v>30776</v>
      </c>
      <c r="B24462" s="4" t="s">
        <v>30783</v>
      </c>
      <c r="C24462" s="5" t="str">
        <f>IFERROR(__xludf.DUMMYFUNCTION("GOOGLETRANSLATE(B24462,""en"",""es-ES"")"),"Después de poner arena, bebe una bebida cálida.")</f>
        <v>Después de poner arena, bebe una bebida cálida.</v>
      </c>
    </row>
    <row r="24463">
      <c r="A24463" s="4" t="s">
        <v>30776</v>
      </c>
      <c r="B24463" s="4" t="s">
        <v>30784</v>
      </c>
      <c r="C24463" s="5" t="str">
        <f>IFERROR(__xludf.DUMMYFUNCTION("GOOGLETRANSLATE(B24463,""en"",""es-ES"")"),"Vemos la pantalla de créditos finales.")</f>
        <v>Vemos la pantalla de créditos finales.</v>
      </c>
    </row>
    <row r="24464">
      <c r="A24464" s="4" t="s">
        <v>30785</v>
      </c>
      <c r="B24464" s="4" t="s">
        <v>30786</v>
      </c>
      <c r="C24464" s="5" t="str">
        <f>IFERROR(__xludf.DUMMYFUNCTION("GOOGLETRANSLATE(B24464,""en"",""es-ES"")"),"Varias chicas están afuera en un gran campo verde jugando un juego.")</f>
        <v>Varias chicas están afuera en un gran campo verde jugando un juego.</v>
      </c>
    </row>
    <row r="24465">
      <c r="A24465" s="4" t="s">
        <v>30785</v>
      </c>
      <c r="B24465" s="4" t="s">
        <v>30787</v>
      </c>
      <c r="C24465" s="5" t="str">
        <f>IFERROR(__xludf.DUMMYFUNCTION("GOOGLETRANSLATE(B24465,""en"",""es-ES"")"),"La niña frente a la cámara está vestida con una camisa amarilla y los pantalones cortos negros golpean la pelota con el palo y comienza a saltar en el aire.")</f>
        <v>La niña frente a la cámara está vestida con una camisa amarilla y los pantalones cortos negros golpean la pelota con el palo y comienza a saltar en el aire.</v>
      </c>
    </row>
    <row r="24466">
      <c r="A24466" s="4" t="s">
        <v>30788</v>
      </c>
      <c r="B24466" s="4" t="s">
        <v>30789</v>
      </c>
      <c r="C24466" s="5" t="str">
        <f>IFERROR(__xludf.DUMMYFUNCTION("GOOGLETRANSLATE(B24466,""en"",""es-ES"")"),"Se muestra una foto de un árbol de Navidad seguido por un hombre que camina hacia el marco.")</f>
        <v>Se muestra una foto de un árbol de Navidad seguido por un hombre que camina hacia el marco.</v>
      </c>
    </row>
    <row r="24467">
      <c r="A24467" s="4" t="s">
        <v>30788</v>
      </c>
      <c r="B24467" s="4" t="s">
        <v>30790</v>
      </c>
      <c r="C24467" s="5" t="str">
        <f>IFERROR(__xludf.DUMMYFUNCTION("GOOGLETRANSLATE(B24467,""en"",""es-ES"")"),"El hombre luego comienza a decorar el árbol y otros.")</f>
        <v>El hombre luego comienza a decorar el árbol y otros.</v>
      </c>
    </row>
    <row r="24468">
      <c r="A24468" s="4" t="s">
        <v>30788</v>
      </c>
      <c r="B24468" s="4" t="s">
        <v>30791</v>
      </c>
      <c r="C24468" s="5" t="str">
        <f>IFERROR(__xludf.DUMMYFUNCTION("GOOGLETRANSLATE(B24468,""en"",""es-ES"")"),"Las personas decoran continuamente el árbol que se mueve rápidamente entre sí y terminan presentándolo a la cámara.")</f>
        <v>Las personas decoran continuamente el árbol que se mueve rápidamente entre sí y terminan presentándolo a la cámara.</v>
      </c>
    </row>
    <row r="24469">
      <c r="A24469" s="4" t="s">
        <v>30792</v>
      </c>
      <c r="B24469" s="4" t="s">
        <v>30793</v>
      </c>
      <c r="C24469" s="5" t="str">
        <f>IFERROR(__xludf.DUMMYFUNCTION("GOOGLETRANSLATE(B24469,""en"",""es-ES"")"),"Se ve a una mujer hablando con la cámara mientras sostiene una bolsa de galletas y un plato.")</f>
        <v>Se ve a una mujer hablando con la cámara mientras sostiene una bolsa de galletas y un plato.</v>
      </c>
    </row>
    <row r="24470">
      <c r="A24470" s="4" t="s">
        <v>30792</v>
      </c>
      <c r="B24470" s="4" t="s">
        <v>30794</v>
      </c>
      <c r="C24470" s="5" t="str">
        <f>IFERROR(__xludf.DUMMYFUNCTION("GOOGLETRANSLATE(B24470,""en"",""es-ES"")"),"Luego se ven varios ingredientes en tazones.")</f>
        <v>Luego se ven varios ingredientes en tazones.</v>
      </c>
    </row>
    <row r="24471">
      <c r="A24471" s="4" t="s">
        <v>30792</v>
      </c>
      <c r="B24471" s="4" t="s">
        <v>30795</v>
      </c>
      <c r="C24471" s="5" t="str">
        <f>IFERROR(__xludf.DUMMYFUNCTION("GOOGLETRANSLATE(B24471,""en"",""es-ES"")"),"La mujer mezcla todos los ingredientes y los aplica en pequeñas bolas para plantar al final.")</f>
        <v>La mujer mezcla todos los ingredientes y los aplica en pequeñas bolas para plantar al final.</v>
      </c>
    </row>
    <row r="24472">
      <c r="A24472" s="4" t="s">
        <v>30796</v>
      </c>
      <c r="B24472" s="4" t="s">
        <v>30797</v>
      </c>
      <c r="C24472" s="5" t="str">
        <f>IFERROR(__xludf.DUMMYFUNCTION("GOOGLETRANSLATE(B24472,""en"",""es-ES"")"),"Se ve a una mujer con un anillo de nariz hablando con la cámara y conduce a alguien que se le corta el cabello.")</f>
        <v>Se ve a una mujer con un anillo de nariz hablando con la cámara y conduce a alguien que se le corta el cabello.</v>
      </c>
    </row>
    <row r="24473">
      <c r="A24473" s="4" t="s">
        <v>30796</v>
      </c>
      <c r="B24473" s="4" t="s">
        <v>30798</v>
      </c>
      <c r="C24473" s="5" t="str">
        <f>IFERROR(__xludf.DUMMYFUNCTION("GOOGLETRANSLATE(B24473,""en"",""es-ES"")"),"La persona corta los costados y la mujer es vista vistiendo anteojos y posando con su nuevo estilo.")</f>
        <v>La persona corta los costados y la mujer es vista vistiendo anteojos y posando con su nuevo estilo.</v>
      </c>
    </row>
    <row r="24474">
      <c r="A24474" s="4" t="s">
        <v>30796</v>
      </c>
      <c r="B24474" s="4" t="s">
        <v>30799</v>
      </c>
      <c r="C24474" s="5" t="str">
        <f>IFERROR(__xludf.DUMMYFUNCTION("GOOGLETRANSLATE(B24474,""en"",""es-ES"")"),"Se muestran más tomas de corte de una persona mientras la mujer habla con la cámara.")</f>
        <v>Se muestran más tomas de corte de una persona mientras la mujer habla con la cámara.</v>
      </c>
    </row>
    <row r="24475">
      <c r="A24475" s="4" t="s">
        <v>30800</v>
      </c>
      <c r="B24475" s="4" t="s">
        <v>30801</v>
      </c>
      <c r="C24475" s="5" t="str">
        <f>IFERROR(__xludf.DUMMYFUNCTION("GOOGLETRANSLATE(B24475,""en"",""es-ES"")"),"Una niña está dentro de un baño con su papá.")</f>
        <v>Una niña está dentro de un baño con su papá.</v>
      </c>
    </row>
    <row r="24476">
      <c r="A24476" s="4" t="s">
        <v>30800</v>
      </c>
      <c r="B24476" s="4" t="s">
        <v>30802</v>
      </c>
      <c r="C24476" s="5" t="str">
        <f>IFERROR(__xludf.DUMMYFUNCTION("GOOGLETRANSLATE(B24476,""en"",""es-ES"")"),"Él frota agua arriba y abajo de su rostro.")</f>
        <v>Él frota agua arriba y abajo de su rostro.</v>
      </c>
    </row>
    <row r="24477">
      <c r="A24477" s="4" t="s">
        <v>30800</v>
      </c>
      <c r="B24477" s="4" t="s">
        <v>30803</v>
      </c>
      <c r="C24477" s="5" t="str">
        <f>IFERROR(__xludf.DUMMYFUNCTION("GOOGLETRANSLATE(B24477,""en"",""es-ES"")"),"Ella se ríe y sonríe mientras lo hace.")</f>
        <v>Ella se ríe y sonríe mientras lo hace.</v>
      </c>
    </row>
    <row r="24478">
      <c r="A24478" s="4" t="s">
        <v>30804</v>
      </c>
      <c r="B24478" s="4" t="s">
        <v>30805</v>
      </c>
      <c r="C24478" s="5" t="str">
        <f>IFERROR(__xludf.DUMMYFUNCTION("GOOGLETRANSLATE(B24478,""en"",""es-ES"")"),"Una niña está estirando su cuerpo en una barra de ballet.")</f>
        <v>Una niña está estirando su cuerpo en una barra de ballet.</v>
      </c>
    </row>
    <row r="24479">
      <c r="A24479" s="4" t="s">
        <v>30804</v>
      </c>
      <c r="B24479" s="4" t="s">
        <v>30806</v>
      </c>
      <c r="C24479" s="5" t="str">
        <f>IFERROR(__xludf.DUMMYFUNCTION("GOOGLETRANSLATE(B24479,""en"",""es-ES"")"),"Un instructor se encuentra con una mujer y habla de ballet.")</f>
        <v>Un instructor se encuentra con una mujer y habla de ballet.</v>
      </c>
    </row>
    <row r="24480">
      <c r="A24480" s="4" t="s">
        <v>30804</v>
      </c>
      <c r="B24480" s="4" t="s">
        <v>30807</v>
      </c>
      <c r="C24480" s="5" t="str">
        <f>IFERROR(__xludf.DUMMYFUNCTION("GOOGLETRANSLATE(B24480,""en"",""es-ES"")"),"La niña baila y se dirige al instructor.")</f>
        <v>La niña baila y se dirige al instructor.</v>
      </c>
    </row>
    <row r="24481">
      <c r="A24481" s="4" t="s">
        <v>30804</v>
      </c>
      <c r="B24481" s="4" t="s">
        <v>30808</v>
      </c>
      <c r="C24481" s="5" t="str">
        <f>IFERROR(__xludf.DUMMYFUNCTION("GOOGLETRANSLATE(B24481,""en"",""es-ES"")"),"El instructor habla sobre las herramientas que necesitará para ballet.")</f>
        <v>El instructor habla sobre las herramientas que necesitará para ballet.</v>
      </c>
    </row>
    <row r="24482">
      <c r="A24482" s="4" t="s">
        <v>30804</v>
      </c>
      <c r="B24482" s="4" t="s">
        <v>30809</v>
      </c>
      <c r="C24482" s="5" t="str">
        <f>IFERROR(__xludf.DUMMYFUNCTION("GOOGLETRANSLATE(B24482,""en"",""es-ES"")"),"Ella habla sobre varios movimientos de ballet en la barra mientras el bailarín lo demuestra.")</f>
        <v>Ella habla sobre varios movimientos de ballet en la barra mientras el bailarín lo demuestra.</v>
      </c>
    </row>
    <row r="24483">
      <c r="A24483" s="4" t="s">
        <v>30810</v>
      </c>
      <c r="B24483" s="4" t="s">
        <v>30811</v>
      </c>
      <c r="C24483" s="5" t="str">
        <f>IFERROR(__xludf.DUMMYFUNCTION("GOOGLETRANSLATE(B24483,""en"",""es-ES"")"),"Se muestra un tiro de primer plano de un juego de Fooseball cuando las personas de plástico empujan una pelota.")</f>
        <v>Se muestra un tiro de primer plano de un juego de Fooseball cuando las personas de plástico empujan una pelota.</v>
      </c>
    </row>
    <row r="24484">
      <c r="A24484" s="4" t="s">
        <v>30810</v>
      </c>
      <c r="B24484" s="4" t="s">
        <v>30812</v>
      </c>
      <c r="C24484" s="5" t="str">
        <f>IFERROR(__xludf.DUMMYFUNCTION("GOOGLETRANSLATE(B24484,""en"",""es-ES"")"),"Se ven las manos moviendo la pelota y agarrar los postes para jugar.")</f>
        <v>Se ven las manos moviendo la pelota y agarrar los postes para jugar.</v>
      </c>
    </row>
    <row r="24485">
      <c r="A24485" s="4" t="s">
        <v>30813</v>
      </c>
      <c r="B24485" s="4" t="s">
        <v>30814</v>
      </c>
      <c r="C24485" s="5" t="str">
        <f>IFERROR(__xludf.DUMMYFUNCTION("GOOGLETRANSLATE(B24485,""en"",""es-ES"")"),"Algunas personas se muestran mientras se preparan para obtener una larga pendiente de nieve.")</f>
        <v>Algunas personas se muestran mientras se preparan para obtener una larga pendiente de nieve.</v>
      </c>
    </row>
    <row r="24486">
      <c r="A24486" s="4" t="s">
        <v>30813</v>
      </c>
      <c r="B24486" s="4" t="s">
        <v>30815</v>
      </c>
      <c r="C24486" s="5" t="str">
        <f>IFERROR(__xludf.DUMMYFUNCTION("GOOGLETRANSLATE(B24486,""en"",""es-ES"")"),"Comienzan a dirigirse por la pendiente hasta llegar al final y pueden detenerse.")</f>
        <v>Comienzan a dirigirse por la pendiente hasta llegar al final y pueden detenerse.</v>
      </c>
    </row>
    <row r="24487">
      <c r="A24487" s="4" t="s">
        <v>30813</v>
      </c>
      <c r="B24487" s="4" t="s">
        <v>30816</v>
      </c>
      <c r="C24487" s="5" t="str">
        <f>IFERROR(__xludf.DUMMYFUNCTION("GOOGLETRANSLATE(B24487,""en"",""es-ES"")"),"Después de eso, salen de sus tubos y comienzan a salir.")</f>
        <v>Después de eso, salen de sus tubos y comienzan a salir.</v>
      </c>
    </row>
    <row r="24488">
      <c r="A24488" s="4" t="s">
        <v>30817</v>
      </c>
      <c r="B24488" s="4" t="s">
        <v>30818</v>
      </c>
      <c r="C24488" s="5" t="str">
        <f>IFERROR(__xludf.DUMMYFUNCTION("GOOGLETRANSLATE(B24488,""en"",""es-ES"")"),"La gente está practicando un deporte en la arena.")</f>
        <v>La gente está practicando un deporte en la arena.</v>
      </c>
    </row>
    <row r="24489">
      <c r="A24489" s="4" t="s">
        <v>30817</v>
      </c>
      <c r="B24489" s="4" t="s">
        <v>30819</v>
      </c>
      <c r="C24489" s="5" t="str">
        <f>IFERROR(__xludf.DUMMYFUNCTION("GOOGLETRANSLATE(B24489,""en"",""es-ES"")"),"Un hombre con uniforme verde le da un máximo a alguien a alguien al margen.")</f>
        <v>Un hombre con uniforme verde le da un máximo a alguien a alguien al margen.</v>
      </c>
    </row>
    <row r="24490">
      <c r="A24490" s="4" t="s">
        <v>30817</v>
      </c>
      <c r="B24490" s="4" t="s">
        <v>30820</v>
      </c>
      <c r="C24490" s="5" t="str">
        <f>IFERROR(__xludf.DUMMYFUNCTION("GOOGLETRANSLATE(B24490,""en"",""es-ES"")"),"Un hombre cae en la arena.")</f>
        <v>Un hombre cae en la arena.</v>
      </c>
    </row>
    <row r="24491">
      <c r="A24491" s="4" t="s">
        <v>30821</v>
      </c>
      <c r="B24491" s="4" t="s">
        <v>30822</v>
      </c>
      <c r="C24491" s="5" t="str">
        <f>IFERROR(__xludf.DUMMYFUNCTION("GOOGLETRANSLATE(B24491,""en"",""es-ES"")"),"Se ve a una mujer joven sosteniendo a un gato y sonriendo hacia la cámara.")</f>
        <v>Se ve a una mujer joven sosteniendo a un gato y sonriendo hacia la cámara.</v>
      </c>
    </row>
    <row r="24492">
      <c r="A24492" s="4" t="s">
        <v>30821</v>
      </c>
      <c r="B24492" s="4" t="s">
        <v>30823</v>
      </c>
      <c r="C24492" s="5" t="str">
        <f>IFERROR(__xludf.DUMMYFUNCTION("GOOGLETRANSLATE(B24492,""en"",""es-ES"")"),"El gato comienza a preocuparse y la mujer continúa sonriendo.")</f>
        <v>El gato comienza a preocuparse y la mujer continúa sonriendo.</v>
      </c>
    </row>
    <row r="24493">
      <c r="A24493" s="4" t="s">
        <v>30821</v>
      </c>
      <c r="B24493" s="4" t="s">
        <v>30824</v>
      </c>
      <c r="C24493" s="5" t="str">
        <f>IFERROR(__xludf.DUMMYFUNCTION("GOOGLETRANSLATE(B24493,""en"",""es-ES"")"),"Luego, la mujer corta las garras de los gatos mientras el gato todavía se mueve y sostiene el gato.")</f>
        <v>Luego, la mujer corta las garras de los gatos mientras el gato todavía se mueve y sostiene el gato.</v>
      </c>
    </row>
    <row r="24494">
      <c r="A24494" s="4" t="s">
        <v>30825</v>
      </c>
      <c r="B24494" s="4" t="s">
        <v>30826</v>
      </c>
      <c r="C24494" s="5" t="str">
        <f>IFERROR(__xludf.DUMMYFUNCTION("GOOGLETRANSLATE(B24494,""en"",""es-ES"")"),"Dos personas navegan en tablas en un lago.")</f>
        <v>Dos personas navegan en tablas en un lago.</v>
      </c>
    </row>
    <row r="24495">
      <c r="A24495" s="4" t="s">
        <v>30825</v>
      </c>
      <c r="B24495" s="4" t="s">
        <v>30827</v>
      </c>
      <c r="C24495" s="5" t="str">
        <f>IFERROR(__xludf.DUMMYFUNCTION("GOOGLETRANSLATE(B24495,""en"",""es-ES"")"),"Se ve a una persona navegar en su tablero hasta que se caen del tablero y se meten en el agua.")</f>
        <v>Se ve a una persona navegar en su tablero hasta que se caen del tablero y se meten en el agua.</v>
      </c>
    </row>
    <row r="24496">
      <c r="A24496" s="4" t="s">
        <v>30828</v>
      </c>
      <c r="B24496" s="4" t="s">
        <v>30829</v>
      </c>
      <c r="C24496" s="5" t="str">
        <f>IFERROR(__xludf.DUMMYFUNCTION("GOOGLETRANSLATE(B24496,""en"",""es-ES"")"),"Un grupo de hombres está envolviendo cajas en una mesa.")</f>
        <v>Un grupo de hombres está envolviendo cajas en una mesa.</v>
      </c>
    </row>
    <row r="24497">
      <c r="A24497" s="4" t="s">
        <v>30828</v>
      </c>
      <c r="B24497" s="4" t="s">
        <v>30830</v>
      </c>
      <c r="C24497" s="5" t="str">
        <f>IFERROR(__xludf.DUMMYFUNCTION("GOOGLETRANSLATE(B24497,""en"",""es-ES"")"),"Varias personas caminan por el área.")</f>
        <v>Varias personas caminan por el área.</v>
      </c>
    </row>
    <row r="24498">
      <c r="A24498" s="4" t="s">
        <v>30828</v>
      </c>
      <c r="B24498" s="4" t="s">
        <v>30831</v>
      </c>
      <c r="C24498" s="5" t="str">
        <f>IFERROR(__xludf.DUMMYFUNCTION("GOOGLETRANSLATE(B24498,""en"",""es-ES"")"),"Un hombre se está profundizando mucho en su envoltura y envuelve la caja con fuerza.")</f>
        <v>Un hombre se está profundizando mucho en su envoltura y envuelve la caja con fuerza.</v>
      </c>
    </row>
    <row r="24499">
      <c r="A24499" s="4" t="s">
        <v>30828</v>
      </c>
      <c r="B24499" s="4" t="s">
        <v>30832</v>
      </c>
      <c r="C24499" s="5" t="str">
        <f>IFERROR(__xludf.DUMMYFUNCTION("GOOGLETRANSLATE(B24499,""en"",""es-ES"")"),"Otro hombre aparece y agarra el papel y luego se aleja.")</f>
        <v>Otro hombre aparece y agarra el papel y luego se aleja.</v>
      </c>
    </row>
    <row r="24500">
      <c r="A24500" s="4" t="s">
        <v>30828</v>
      </c>
      <c r="B24500" s="4" t="s">
        <v>30833</v>
      </c>
      <c r="C24500" s="5" t="str">
        <f>IFERROR(__xludf.DUMMYFUNCTION("GOOGLETRANSLATE(B24500,""en"",""es-ES"")"),"El hombre que envuelve termina su caja.")</f>
        <v>El hombre que envuelve termina su caja.</v>
      </c>
    </row>
    <row r="24501">
      <c r="A24501" s="4" t="s">
        <v>30834</v>
      </c>
      <c r="B24501" s="4" t="s">
        <v>30835</v>
      </c>
      <c r="C24501" s="5" t="str">
        <f>IFERROR(__xludf.DUMMYFUNCTION("GOOGLETRANSLATE(B24501,""en"",""es-ES"")"),"Un hombre y una mujer están sentados en un porche.")</f>
        <v>Un hombre y una mujer están sentados en un porche.</v>
      </c>
    </row>
    <row r="24502">
      <c r="A24502" s="4" t="s">
        <v>30834</v>
      </c>
      <c r="B24502" s="4" t="s">
        <v>30836</v>
      </c>
      <c r="C24502" s="5" t="str">
        <f>IFERROR(__xludf.DUMMYFUNCTION("GOOGLETRANSLATE(B24502,""en"",""es-ES"")"),"El hombre toca los tambores de bongo mientras la mujer ayuda ocasionalmente.")</f>
        <v>El hombre toca los tambores de bongo mientras la mujer ayuda ocasionalmente.</v>
      </c>
    </row>
    <row r="24503">
      <c r="A24503" s="4" t="s">
        <v>30834</v>
      </c>
      <c r="B24503" s="4" t="s">
        <v>30837</v>
      </c>
      <c r="C24503" s="5" t="str">
        <f>IFERROR(__xludf.DUMMYFUNCTION("GOOGLETRANSLATE(B24503,""en"",""es-ES"")"),"Se ve otra mano golpeando un tambor en primer plano.")</f>
        <v>Se ve otra mano golpeando un tambor en primer plano.</v>
      </c>
    </row>
    <row r="24504">
      <c r="A24504" s="4" t="s">
        <v>30838</v>
      </c>
      <c r="B24504" s="4" t="s">
        <v>30839</v>
      </c>
      <c r="C24504" s="5" t="str">
        <f>IFERROR(__xludf.DUMMYFUNCTION("GOOGLETRANSLATE(B24504,""en"",""es-ES"")"),"Una persona sube al apoyo de una muleta, luego se sienta en el último paso mientras un hombre lo sigue.")</f>
        <v>Una persona sube al apoyo de una muleta, luego se sienta en el último paso mientras un hombre lo sigue.</v>
      </c>
    </row>
    <row r="24505">
      <c r="A24505" s="4" t="s">
        <v>30838</v>
      </c>
      <c r="B24505" s="4" t="s">
        <v>30840</v>
      </c>
      <c r="C24505" s="5" t="str">
        <f>IFERROR(__xludf.DUMMYFUNCTION("GOOGLETRANSLATE(B24505,""en"",""es-ES"")"),"El hombre levanta la alfombra, luego la persona le da al hombre un corredor de alfombra con uñas mientras habla a ambos hombres.")</f>
        <v>El hombre levanta la alfombra, luego la persona le da al hombre un corredor de alfombra con uñas mientras habla a ambos hombres.</v>
      </c>
    </row>
    <row r="24506">
      <c r="A24506" s="4" t="s">
        <v>30838</v>
      </c>
      <c r="B24506" s="4" t="s">
        <v>30841</v>
      </c>
      <c r="C24506" s="5" t="str">
        <f>IFERROR(__xludf.DUMMYFUNCTION("GOOGLETRANSLATE(B24506,""en"",""es-ES"")"),"Después, el hombre pone el corredor de la alfombra en el escalón de madera y humilla las uñas solimadas.")</f>
        <v>Después, el hombre pone el corredor de la alfombra en el escalón de madera y humilla las uñas solimadas.</v>
      </c>
    </row>
    <row r="24507">
      <c r="A24507" s="4" t="s">
        <v>30838</v>
      </c>
      <c r="B24507" s="4" t="s">
        <v>30842</v>
      </c>
      <c r="C24507" s="5" t="str">
        <f>IFERROR(__xludf.DUMMYFUNCTION("GOOGLETRANSLATE(B24507,""en"",""es-ES"")"),"Luego, el hombre se puso la alfombra y usa una máquina y un martillo para arreglar la alfombra soltó.")</f>
        <v>Luego, el hombre se puso la alfombra y usa una máquina y un martillo para arreglar la alfombra soltó.</v>
      </c>
    </row>
    <row r="24508">
      <c r="A24508" s="4" t="s">
        <v>30843</v>
      </c>
      <c r="B24508" s="4" t="s">
        <v>30844</v>
      </c>
      <c r="C24508" s="5" t="str">
        <f>IFERROR(__xludf.DUMMYFUNCTION("GOOGLETRANSLATE(B24508,""en"",""es-ES"")"),"Se ve a un hombre hablando con la cámara mientras señala un marco de bicicleta y girando alrededor del neumático.")</f>
        <v>Se ve a un hombre hablando con la cámara mientras señala un marco de bicicleta y girando alrededor del neumático.</v>
      </c>
    </row>
    <row r="24509">
      <c r="A24509" s="4" t="s">
        <v>30843</v>
      </c>
      <c r="B24509" s="4" t="s">
        <v>30845</v>
      </c>
      <c r="C24509" s="5" t="str">
        <f>IFERROR(__xludf.DUMMYFUNCTION("GOOGLETRANSLATE(B24509,""en"",""es-ES"")"),"Luego, el hombre usa herramientas para ajustar la rueda de los neumáticos y continúa girando.")</f>
        <v>Luego, el hombre usa herramientas para ajustar la rueda de los neumáticos y continúa girando.</v>
      </c>
    </row>
    <row r="24510">
      <c r="A24510" s="4" t="s">
        <v>30843</v>
      </c>
      <c r="B24510" s="4" t="s">
        <v>30846</v>
      </c>
      <c r="C24510" s="5" t="str">
        <f>IFERROR(__xludf.DUMMYFUNCTION("GOOGLETRANSLATE(B24510,""en"",""es-ES"")"),"Todavía se lo ve trabajando en la parte posterior de la bicicleta mientras la cámara se acerca.")</f>
        <v>Todavía se lo ve trabajando en la parte posterior de la bicicleta mientras la cámara se acerca.</v>
      </c>
    </row>
    <row r="24511">
      <c r="A24511" s="4" t="s">
        <v>30847</v>
      </c>
      <c r="B24511" s="4" t="s">
        <v>30848</v>
      </c>
      <c r="C24511" s="5" t="str">
        <f>IFERROR(__xludf.DUMMYFUNCTION("GOOGLETRANSLATE(B24511,""en"",""es-ES"")"),"Un hombre está hablando, tenía un gabinete de porcelana detrás de él lleno de productos de vidrio.")</f>
        <v>Un hombre está hablando, tenía un gabinete de porcelana detrás de él lleno de productos de vidrio.</v>
      </c>
    </row>
    <row r="24512">
      <c r="A24512" s="4" t="s">
        <v>30847</v>
      </c>
      <c r="B24512" s="4" t="s">
        <v>30849</v>
      </c>
      <c r="C24512" s="5" t="str">
        <f>IFERROR(__xludf.DUMMYFUNCTION("GOOGLETRANSLATE(B24512,""en"",""es-ES"")"),"Comienza a comenzar a mostrar instrucciones paso a paso sobre cómo hacer una salsa.")</f>
        <v>Comienza a comenzar a mostrar instrucciones paso a paso sobre cómo hacer una salsa.</v>
      </c>
    </row>
    <row r="24513">
      <c r="A24513" s="4" t="s">
        <v>30847</v>
      </c>
      <c r="B24513" s="4" t="s">
        <v>30850</v>
      </c>
      <c r="C24513" s="5" t="str">
        <f>IFERROR(__xludf.DUMMYFUNCTION("GOOGLETRANSLATE(B24513,""en"",""es-ES"")"),"Luego, en otra sartén, agrega un poco de carne y queso mientras su pan está tostado.")</f>
        <v>Luego, en otra sartén, agrega un poco de carne y queso mientras su pan está tostado.</v>
      </c>
    </row>
    <row r="24514">
      <c r="A24514" s="4" t="s">
        <v>30847</v>
      </c>
      <c r="B24514" s="4" t="s">
        <v>30851</v>
      </c>
      <c r="C24514" s="5" t="str">
        <f>IFERROR(__xludf.DUMMYFUNCTION("GOOGLETRANSLATE(B24514,""en"",""es-ES"")"),"Luego agrega todos los ingredientes del pan y lo corta en las mitades y comienza a comer.")</f>
        <v>Luego agrega todos los ingredientes del pan y lo corta en las mitades y comienza a comer.</v>
      </c>
    </row>
    <row r="24515">
      <c r="A24515" s="4" t="s">
        <v>30852</v>
      </c>
      <c r="B24515" s="4" t="s">
        <v>30853</v>
      </c>
      <c r="C24515" s="5" t="str">
        <f>IFERROR(__xludf.DUMMYFUNCTION("GOOGLETRANSLATE(B24515,""en"",""es-ES"")"),"Se muestra una gran Navidad seguida de una mujer de pie junto a ella.")</f>
        <v>Se muestra una gran Navidad seguida de una mujer de pie junto a ella.</v>
      </c>
    </row>
    <row r="24516">
      <c r="A24516" s="4" t="s">
        <v>30852</v>
      </c>
      <c r="B24516" s="4" t="s">
        <v>30854</v>
      </c>
      <c r="C24516" s="5" t="str">
        <f>IFERROR(__xludf.DUMMYFUNCTION("GOOGLETRANSLATE(B24516,""en"",""es-ES"")"),"La niña comienza a decorar el árbol mientras salta hacia arriba y hacia abajo en su lugar.")</f>
        <v>La niña comienza a decorar el árbol mientras salta hacia arriba y hacia abajo en su lugar.</v>
      </c>
    </row>
    <row r="24517">
      <c r="A24517" s="4" t="s">
        <v>30852</v>
      </c>
      <c r="B24517" s="4" t="s">
        <v>30855</v>
      </c>
      <c r="C24517" s="5" t="str">
        <f>IFERROR(__xludf.DUMMYFUNCTION("GOOGLETRANSLATE(B24517,""en"",""es-ES"")"),"Ella continúa rebotando mientras decora el árbol y mira a lo lejos.")</f>
        <v>Ella continúa rebotando mientras decora el árbol y mira a lo lejos.</v>
      </c>
    </row>
    <row r="24518">
      <c r="A24518" s="4" t="s">
        <v>30856</v>
      </c>
      <c r="B24518" s="4" t="s">
        <v>30857</v>
      </c>
      <c r="C24518" s="5" t="str">
        <f>IFERROR(__xludf.DUMMYFUNCTION("GOOGLETRANSLATE(B24518,""en"",""es-ES"")"),"Un hombre y un perro son vistos parados afuera en un campo con un hombre jugando a buscar con un perro.")</f>
        <v>Un hombre y un perro son vistos parados afuera en un campo con un hombre jugando a buscar con un perro.</v>
      </c>
    </row>
    <row r="24519">
      <c r="A24519" s="4" t="s">
        <v>30856</v>
      </c>
      <c r="B24519" s="4" t="s">
        <v>30858</v>
      </c>
      <c r="C24519" s="5" t="str">
        <f>IFERROR(__xludf.DUMMYFUNCTION("GOOGLETRANSLATE(B24519,""en"",""es-ES"")"),"El hombre arroja el frisbee con el perro mientras el animal lo trae de vuelta.")</f>
        <v>El hombre arroja el frisbee con el perro mientras el animal lo trae de vuelta.</v>
      </c>
    </row>
    <row r="24520">
      <c r="A24520" s="4" t="s">
        <v>30856</v>
      </c>
      <c r="B24520" s="4" t="s">
        <v>30859</v>
      </c>
      <c r="C24520" s="5" t="str">
        <f>IFERROR(__xludf.DUMMYFUNCTION("GOOGLETRANSLATE(B24520,""en"",""es-ES"")"),"El hombre realiza varios trucos más con el perro usando varios frisbees.")</f>
        <v>El hombre realiza varios trucos más con el perro usando varios frisbees.</v>
      </c>
    </row>
    <row r="24521">
      <c r="A24521" s="4" t="s">
        <v>30860</v>
      </c>
      <c r="B24521" s="4" t="s">
        <v>30861</v>
      </c>
      <c r="C24521" s="5" t="str">
        <f>IFERROR(__xludf.DUMMYFUNCTION("GOOGLETRANSLATE(B24521,""en"",""es-ES"")"),"Se muestra a un joven en una carretera con zancos.")</f>
        <v>Se muestra a un joven en una carretera con zancos.</v>
      </c>
    </row>
    <row r="24522">
      <c r="A24522" s="4" t="s">
        <v>30860</v>
      </c>
      <c r="B24522" s="4" t="s">
        <v>30862</v>
      </c>
      <c r="C24522" s="5" t="str">
        <f>IFERROR(__xludf.DUMMYFUNCTION("GOOGLETRANSLATE(B24522,""en"",""es-ES"")"),"Se acerca al costado del camino.")</f>
        <v>Se acerca al costado del camino.</v>
      </c>
    </row>
    <row r="24523">
      <c r="A24523" s="4" t="s">
        <v>30860</v>
      </c>
      <c r="B24523" s="4" t="s">
        <v>30863</v>
      </c>
      <c r="C24523" s="5" t="str">
        <f>IFERROR(__xludf.DUMMYFUNCTION("GOOGLETRANSLATE(B24523,""en"",""es-ES"")"),"Luego levanta los pies hacia arriba y hacia abajo como en preparación de correr.")</f>
        <v>Luego levanta los pies hacia arriba y hacia abajo como en preparación de correr.</v>
      </c>
    </row>
    <row r="24524">
      <c r="A24524" s="4" t="s">
        <v>30860</v>
      </c>
      <c r="B24524" s="4" t="s">
        <v>30864</v>
      </c>
      <c r="C24524" s="5" t="str">
        <f>IFERROR(__xludf.DUMMYFUNCTION("GOOGLETRANSLATE(B24524,""en"",""es-ES"")"),"El video termina cuando la persona que graba inclina la cámara y cubre la lente.")</f>
        <v>El video termina cuando la persona que graba inclina la cámara y cubre la lente.</v>
      </c>
    </row>
    <row r="24525">
      <c r="A24525" s="4" t="s">
        <v>30865</v>
      </c>
      <c r="B24525" s="4" t="s">
        <v>30866</v>
      </c>
      <c r="C24525" s="5" t="str">
        <f>IFERROR(__xludf.DUMMYFUNCTION("GOOGLETRANSLATE(B24525,""en"",""es-ES"")"),"Un hombre se sienta en un baño con la pierna.")</f>
        <v>Un hombre se sienta en un baño con la pierna.</v>
      </c>
    </row>
    <row r="24526">
      <c r="A24526" s="4" t="s">
        <v>30865</v>
      </c>
      <c r="B24526" s="4" t="s">
        <v>30867</v>
      </c>
      <c r="C24526" s="5" t="str">
        <f>IFERROR(__xludf.DUMMYFUNCTION("GOOGLETRANSLATE(B24526,""en"",""es-ES"")"),"Una persona que sostiene una cámara entra al baño.")</f>
        <v>Una persona que sostiene una cámara entra al baño.</v>
      </c>
    </row>
    <row r="24527">
      <c r="A24527" s="4" t="s">
        <v>30865</v>
      </c>
      <c r="B24527" s="4" t="s">
        <v>30868</v>
      </c>
      <c r="C24527" s="5" t="str">
        <f>IFERROR(__xludf.DUMMYFUNCTION("GOOGLETRANSLATE(B24527,""en"",""es-ES"")"),"El hombre frota la crema de afeitar en sus piernas.")</f>
        <v>El hombre frota la crema de afeitar en sus piernas.</v>
      </c>
    </row>
    <row r="24528">
      <c r="A24528" s="4" t="s">
        <v>30865</v>
      </c>
      <c r="B24528" s="4" t="s">
        <v>30869</v>
      </c>
      <c r="C24528" s="5" t="str">
        <f>IFERROR(__xludf.DUMMYFUNCTION("GOOGLETRANSLATE(B24528,""en"",""es-ES"")"),"Comienza a afeitarse la pierna en el fregadero.")</f>
        <v>Comienza a afeitarse la pierna en el fregadero.</v>
      </c>
    </row>
    <row r="24529">
      <c r="A24529" s="4" t="s">
        <v>30870</v>
      </c>
      <c r="B24529" s="4" t="s">
        <v>30871</v>
      </c>
      <c r="C24529" s="5" t="str">
        <f>IFERROR(__xludf.DUMMYFUNCTION("GOOGLETRANSLATE(B24529,""en"",""es-ES"")"),"Una gimnasta corre rápido, luego salta mucho en un estadio lleno de gente.")</f>
        <v>Una gimnasta corre rápido, luego salta mucho en un estadio lleno de gente.</v>
      </c>
    </row>
    <row r="24530">
      <c r="A24530" s="4" t="s">
        <v>30870</v>
      </c>
      <c r="B24530" s="4" t="s">
        <v>30872</v>
      </c>
      <c r="C24530" s="5" t="str">
        <f>IFERROR(__xludf.DUMMYFUNCTION("GOOGLETRANSLATE(B24530,""en"",""es-ES"")"),"Dos hombres caminan sosteniendo jabalinas.")</f>
        <v>Dos hombres caminan sosteniendo jabalinas.</v>
      </c>
    </row>
    <row r="24531">
      <c r="A24531" s="4" t="s">
        <v>30870</v>
      </c>
      <c r="B24531" s="4" t="s">
        <v>30873</v>
      </c>
      <c r="C24531" s="5" t="str">
        <f>IFERROR(__xludf.DUMMYFUNCTION("GOOGLETRANSLATE(B24531,""en"",""es-ES"")"),"Después, la gimnasta salta felizmente.")</f>
        <v>Después, la gimnasta salta felizmente.</v>
      </c>
    </row>
    <row r="24532">
      <c r="A24532" s="4" t="s">
        <v>30870</v>
      </c>
      <c r="B24532" s="4" t="s">
        <v>30874</v>
      </c>
      <c r="C24532" s="5" t="str">
        <f>IFERROR(__xludf.DUMMYFUNCTION("GOOGLETRANSLATE(B24532,""en"",""es-ES"")"),"La gente toma fotos de la gimnasta.")</f>
        <v>La gente toma fotos de la gimnasta.</v>
      </c>
    </row>
    <row r="24533">
      <c r="A24533" s="4" t="s">
        <v>30875</v>
      </c>
      <c r="B24533" s="4" t="s">
        <v>30876</v>
      </c>
      <c r="C24533" s="5" t="str">
        <f>IFERROR(__xludf.DUMMYFUNCTION("GOOGLETRANSLATE(B24533,""en"",""es-ES"")"),"Se ve a un hombre parado en una habitación grande sosteniendo una raqueta de tenis.")</f>
        <v>Se ve a un hombre parado en una habitación grande sosteniendo una raqueta de tenis.</v>
      </c>
    </row>
    <row r="24534">
      <c r="A24534" s="4" t="s">
        <v>30875</v>
      </c>
      <c r="B24534" s="4" t="s">
        <v>30877</v>
      </c>
      <c r="C24534" s="5" t="str">
        <f>IFERROR(__xludf.DUMMYFUNCTION("GOOGLETRANSLATE(B24534,""en"",""es-ES"")"),"Dos personas más caminan hacia el marco y comienzan a golpear la pelota alrededor del área.")</f>
        <v>Dos personas más caminan hacia el marco y comienzan a golpear la pelota alrededor del área.</v>
      </c>
    </row>
    <row r="24535">
      <c r="A24535" s="4" t="s">
        <v>30875</v>
      </c>
      <c r="B24535" s="4" t="s">
        <v>30878</v>
      </c>
      <c r="C24535" s="5" t="str">
        <f>IFERROR(__xludf.DUMMYFUNCTION("GOOGLETRANSLATE(B24535,""en"",""es-ES"")"),"Los hombres continúan golpeando la pelota con raquetas de tenis y la persiguen por la habitación.")</f>
        <v>Los hombres continúan golpeando la pelota con raquetas de tenis y la persiguen por la habitación.</v>
      </c>
    </row>
    <row r="24536">
      <c r="A24536" s="4" t="s">
        <v>30879</v>
      </c>
      <c r="B24536" s="4" t="s">
        <v>30880</v>
      </c>
      <c r="C24536" s="5" t="str">
        <f>IFERROR(__xludf.DUMMYFUNCTION("GOOGLETRANSLATE(B24536,""en"",""es-ES"")"),"Se ven dos personas de pie en un gimnasio con guantes de boxeo.")</f>
        <v>Se ven dos personas de pie en un gimnasio con guantes de boxeo.</v>
      </c>
    </row>
    <row r="24537">
      <c r="A24537" s="4" t="s">
        <v>30879</v>
      </c>
      <c r="B24537" s="4" t="s">
        <v>30881</v>
      </c>
      <c r="C24537" s="5" t="str">
        <f>IFERROR(__xludf.DUMMYFUNCTION("GOOGLETRANSLATE(B24537,""en"",""es-ES"")"),"Luego, los hombres regresan y cuarto entre ellos pateando y golpeando.")</f>
        <v>Luego, los hombres regresan y cuarto entre ellos pateando y golpeando.</v>
      </c>
    </row>
    <row r="24538">
      <c r="A24538" s="4" t="s">
        <v>30879</v>
      </c>
      <c r="B24538" s="4" t="s">
        <v>30882</v>
      </c>
      <c r="C24538" s="5" t="str">
        <f>IFERROR(__xludf.DUMMYFUNCTION("GOOGLETRANSLATE(B24538,""en"",""es-ES"")"),"Los dos continúan luchando mientras la cámara captura sus movimientos.")</f>
        <v>Los dos continúan luchando mientras la cámara captura sus movimientos.</v>
      </c>
    </row>
    <row r="24539">
      <c r="A24539" s="4" t="s">
        <v>30883</v>
      </c>
      <c r="B24539" s="4" t="s">
        <v>30884</v>
      </c>
      <c r="C24539" s="5" t="str">
        <f>IFERROR(__xludf.DUMMYFUNCTION("GOOGLETRANSLATE(B24539,""en"",""es-ES"")"),"Un hombre se pone en cuclillas y sostiene un bar sobre su cabeza varias veces.")</f>
        <v>Un hombre se pone en cuclillas y sostiene un bar sobre su cabeza varias veces.</v>
      </c>
    </row>
    <row r="24540">
      <c r="A24540" s="4" t="s">
        <v>30883</v>
      </c>
      <c r="B24540" s="4" t="s">
        <v>30885</v>
      </c>
      <c r="C24540" s="5" t="str">
        <f>IFERROR(__xludf.DUMMYFUNCTION("GOOGLETRANSLATE(B24540,""en"",""es-ES"")"),"Un hombre con una camisa roja lo mira.")</f>
        <v>Un hombre con una camisa roja lo mira.</v>
      </c>
    </row>
    <row r="24541">
      <c r="A24541" s="4" t="s">
        <v>30883</v>
      </c>
      <c r="B24541" s="4" t="s">
        <v>30886</v>
      </c>
      <c r="C24541" s="5" t="str">
        <f>IFERROR(__xludf.DUMMYFUNCTION("GOOGLETRANSLATE(B24541,""en"",""es-ES"")"),"Deja caer la barra en el suelo frente a él.")</f>
        <v>Deja caer la barra en el suelo frente a él.</v>
      </c>
    </row>
    <row r="24542">
      <c r="A24542" s="4" t="s">
        <v>30887</v>
      </c>
      <c r="B24542" s="4" t="s">
        <v>30888</v>
      </c>
      <c r="C24542" s="5" t="str">
        <f>IFERROR(__xludf.DUMMYFUNCTION("GOOGLETRANSLATE(B24542,""en"",""es-ES"")"),"Se ve a una mujer mayor hablando con la cámara y lo lleva hacia atrás y cuarto con otro hijo.")</f>
        <v>Se ve a una mujer mayor hablando con la cámara y lo lleva hacia atrás y cuarto con otro hijo.</v>
      </c>
    </row>
    <row r="24543">
      <c r="A24543" s="4" t="s">
        <v>30887</v>
      </c>
      <c r="B24543" s="4" t="s">
        <v>30889</v>
      </c>
      <c r="C24543" s="5" t="str">
        <f>IFERROR(__xludf.DUMMYFUNCTION("GOOGLETRANSLATE(B24543,""en"",""es-ES"")"),"La niña empuja a la mujer en un columpio y continúa jugando con ella en el set de swing.")</f>
        <v>La niña empuja a la mujer en un columpio y continúa jugando con ella en el set de swing.</v>
      </c>
    </row>
    <row r="24544">
      <c r="A24544" s="4" t="s">
        <v>30890</v>
      </c>
      <c r="B24544" s="4" t="s">
        <v>30891</v>
      </c>
      <c r="C24544" s="5" t="str">
        <f>IFERROR(__xludf.DUMMYFUNCTION("GOOGLETRANSLATE(B24544,""en"",""es-ES"")"),"Se ven dos personas realizando un partido de esgrima y cuarto mientras otras personas practican en el fondo.")</f>
        <v>Se ven dos personas realizando un partido de esgrima y cuarto mientras otras personas practican en el fondo.</v>
      </c>
    </row>
    <row r="24545">
      <c r="A24545" s="4" t="s">
        <v>30890</v>
      </c>
      <c r="B24545" s="4" t="s">
        <v>30892</v>
      </c>
      <c r="C24545" s="5" t="str">
        <f>IFERROR(__xludf.DUMMYFUNCTION("GOOGLETRANSLATE(B24545,""en"",""es-ES"")"),"Se muestran varias tomas de cercas de personas, así como un esgrimista que se entrevista a la cámara.")</f>
        <v>Se muestran varias tomas de cercas de personas, así como un esgrimista que se entrevista a la cámara.</v>
      </c>
    </row>
    <row r="24546">
      <c r="A24546" s="4" t="s">
        <v>30890</v>
      </c>
      <c r="B24546" s="4" t="s">
        <v>30893</v>
      </c>
      <c r="C24546" s="5" t="str">
        <f>IFERROR(__xludf.DUMMYFUNCTION("GOOGLETRANSLATE(B24546,""en"",""es-ES"")"),"Se muestran y termina con muchos más disparos de personas con muchos de pie y dos manos temblorosas.")</f>
        <v>Se muestran y termina con muchos más disparos de personas con muchos de pie y dos manos temblorosas.</v>
      </c>
    </row>
    <row r="24547">
      <c r="A24547" s="4" t="s">
        <v>30894</v>
      </c>
      <c r="B24547" s="4" t="s">
        <v>30895</v>
      </c>
      <c r="C24547" s="5" t="str">
        <f>IFERROR(__xludf.DUMMYFUNCTION("GOOGLETRANSLATE(B24547,""en"",""es-ES"")"),"Se muestra una pila de ropa en un banco en una casa.")</f>
        <v>Se muestra una pila de ropa en un banco en una casa.</v>
      </c>
    </row>
    <row r="24548">
      <c r="A24548" s="4" t="s">
        <v>30894</v>
      </c>
      <c r="B24548" s="4" t="s">
        <v>30896</v>
      </c>
      <c r="C24548" s="5" t="str">
        <f>IFERROR(__xludf.DUMMYFUNCTION("GOOGLETRANSLATE(B24548,""en"",""es-ES"")"),"Un suéter cuelga de un estante.")</f>
        <v>Un suéter cuelga de un estante.</v>
      </c>
    </row>
    <row r="24549">
      <c r="A24549" s="4" t="s">
        <v>30894</v>
      </c>
      <c r="B24549" s="4" t="s">
        <v>30897</v>
      </c>
      <c r="C24549" s="5" t="str">
        <f>IFERROR(__xludf.DUMMYFUNCTION("GOOGLETRANSLATE(B24549,""en"",""es-ES"")"),"El suéter se muestra desde varios ángulos, ya que se usa un vacío para recoger el cabello y la pelusa.")</f>
        <v>El suéter se muestra desde varios ángulos, ya que se usa un vacío para recoger el cabello y la pelusa.</v>
      </c>
    </row>
    <row r="24550">
      <c r="A24550" s="4" t="s">
        <v>30898</v>
      </c>
      <c r="B24550" s="4" t="s">
        <v>30899</v>
      </c>
      <c r="C24550" s="5" t="str">
        <f>IFERROR(__xludf.DUMMYFUNCTION("GOOGLETRANSLATE(B24550,""en"",""es-ES"")"),"Se ve un gran edificio con automóviles que conducen y personas que caminan por una arena.")</f>
        <v>Se ve un gran edificio con automóviles que conducen y personas que caminan por una arena.</v>
      </c>
    </row>
    <row r="24551">
      <c r="A24551" s="4" t="s">
        <v>30898</v>
      </c>
      <c r="B24551" s="4" t="s">
        <v>30900</v>
      </c>
      <c r="C24551" s="5" t="str">
        <f>IFERROR(__xludf.DUMMYFUNCTION("GOOGLETRANSLATE(B24551,""en"",""es-ES"")"),"Luego se ve a varias personas disparando arco y flechas a un objetivo y agitando las manos en el aire.")</f>
        <v>Luego se ve a varias personas disparando arco y flechas a un objetivo y agitando las manos en el aire.</v>
      </c>
    </row>
    <row r="24552">
      <c r="A24552" s="4" t="s">
        <v>30898</v>
      </c>
      <c r="B24552" s="4" t="s">
        <v>30901</v>
      </c>
      <c r="C24552" s="5" t="str">
        <f>IFERROR(__xludf.DUMMYFUNCTION("GOOGLETRANSLATE(B24552,""en"",""es-ES"")"),"La gente continúa disparando el arco y la flecha al objetivo mientras otros miran a un lado.")</f>
        <v>La gente continúa disparando el arco y la flecha al objetivo mientras otros miran a un lado.</v>
      </c>
    </row>
    <row r="24553">
      <c r="A24553" s="4" t="s">
        <v>30902</v>
      </c>
      <c r="B24553" s="4" t="s">
        <v>30903</v>
      </c>
      <c r="C24553" s="5" t="str">
        <f>IFERROR(__xludf.DUMMYFUNCTION("GOOGLETRANSLATE(B24553,""en"",""es-ES"")"),"Un chico sin camisa gira una pelota unida a un poste.")</f>
        <v>Un chico sin camisa gira una pelota unida a un poste.</v>
      </c>
    </row>
    <row r="24554">
      <c r="A24554" s="4" t="s">
        <v>30902</v>
      </c>
      <c r="B24554" s="4" t="s">
        <v>30904</v>
      </c>
      <c r="C24554" s="5" t="str">
        <f>IFERROR(__xludf.DUMMYFUNCTION("GOOGLETRANSLATE(B24554,""en"",""es-ES"")"),"El chico levanta este artículo de la hierba en el extremo del poste.")</f>
        <v>El chico levanta este artículo de la hierba en el extremo del poste.</v>
      </c>
    </row>
    <row r="24555">
      <c r="A24555" s="4" t="s">
        <v>30902</v>
      </c>
      <c r="B24555" s="4" t="s">
        <v>30905</v>
      </c>
      <c r="C24555" s="5" t="str">
        <f>IFERROR(__xludf.DUMMYFUNCTION("GOOGLETRANSLATE(B24555,""en"",""es-ES"")"),"El chico libera el artículo.")</f>
        <v>El chico libera el artículo.</v>
      </c>
    </row>
    <row r="24556">
      <c r="A24556" s="4" t="s">
        <v>30902</v>
      </c>
      <c r="B24556" s="4" t="s">
        <v>30906</v>
      </c>
      <c r="C24556" s="5" t="str">
        <f>IFERROR(__xludf.DUMMYFUNCTION("GOOGLETRANSLATE(B24556,""en"",""es-ES"")"),"Un chico se aleja del objeto descendente.")</f>
        <v>Un chico se aleja del objeto descendente.</v>
      </c>
    </row>
    <row r="24557">
      <c r="A24557" s="4" t="s">
        <v>30902</v>
      </c>
      <c r="B24557" s="4" t="s">
        <v>30907</v>
      </c>
      <c r="C24557" s="5" t="str">
        <f>IFERROR(__xludf.DUMMYFUNCTION("GOOGLETRANSLATE(B24557,""en"",""es-ES"")"),"Se muestra la dirección del sitio web del grupo.")</f>
        <v>Se muestra la dirección del sitio web del grupo.</v>
      </c>
    </row>
    <row r="24558">
      <c r="A24558" s="4" t="s">
        <v>30908</v>
      </c>
      <c r="B24558" s="4" t="s">
        <v>30909</v>
      </c>
      <c r="C24558" s="5" t="str">
        <f>IFERROR(__xludf.DUMMYFUNCTION("GOOGLETRANSLATE(B24558,""en"",""es-ES"")"),"Vemos a una dama que comienza una cortadora de césped.")</f>
        <v>Vemos a una dama que comienza una cortadora de césped.</v>
      </c>
    </row>
    <row r="24559">
      <c r="A24559" s="4" t="s">
        <v>30908</v>
      </c>
      <c r="B24559" s="4" t="s">
        <v>30910</v>
      </c>
      <c r="C24559" s="5" t="str">
        <f>IFERROR(__xludf.DUMMYFUNCTION("GOOGLETRANSLATE(B24559,""en"",""es-ES"")"),"La señora se detiene y mira la cámara.")</f>
        <v>La señora se detiene y mira la cámara.</v>
      </c>
    </row>
    <row r="24560">
      <c r="A24560" s="4" t="s">
        <v>30908</v>
      </c>
      <c r="B24560" s="4" t="s">
        <v>30911</v>
      </c>
      <c r="C24560" s="5" t="str">
        <f>IFERROR(__xludf.DUMMYFUNCTION("GOOGLETRANSLATE(B24560,""en"",""es-ES"")"),"La señora comienza y deja de cortar.")</f>
        <v>La señora comienza y deja de cortar.</v>
      </c>
    </row>
    <row r="24561">
      <c r="A24561" s="4" t="s">
        <v>30908</v>
      </c>
      <c r="B24561" s="4" t="s">
        <v>30912</v>
      </c>
      <c r="C24561" s="5" t="str">
        <f>IFERROR(__xludf.DUMMYFUNCTION("GOOGLETRANSLATE(B24561,""en"",""es-ES"")"),"La señora intenta comenzar el cortacésped nuevamente.")</f>
        <v>La señora intenta comenzar el cortacésped nuevamente.</v>
      </c>
    </row>
    <row r="24562">
      <c r="A24562" s="4" t="s">
        <v>30908</v>
      </c>
      <c r="B24562" s="4" t="s">
        <v>30913</v>
      </c>
      <c r="C24562" s="5" t="str">
        <f>IFERROR(__xludf.DUMMYFUNCTION("GOOGLETRANSLATE(B24562,""en"",""es-ES"")"),"Otra señora viene a ayudar y se cae.")</f>
        <v>Otra señora viene a ayudar y se cae.</v>
      </c>
    </row>
    <row r="24563">
      <c r="A24563" s="4" t="s">
        <v>30908</v>
      </c>
      <c r="B24563" s="4" t="s">
        <v>30914</v>
      </c>
      <c r="C24563" s="5" t="str">
        <f>IFERROR(__xludf.DUMMYFUNCTION("GOOGLETRANSLATE(B24563,""en"",""es-ES"")"),"La primera dama finalmente comienza los cortacéspedes.")</f>
        <v>La primera dama finalmente comienza los cortacéspedes.</v>
      </c>
    </row>
    <row r="24564">
      <c r="A24564" s="4" t="s">
        <v>30908</v>
      </c>
      <c r="B24564" s="4" t="s">
        <v>30915</v>
      </c>
      <c r="C24564" s="5" t="str">
        <f>IFERROR(__xludf.DUMMYFUNCTION("GOOGLETRANSLATE(B24564,""en"",""es-ES"")"),"La señora arroja su brazo al aire y corta el césped.")</f>
        <v>La señora arroja su brazo al aire y corta el césped.</v>
      </c>
    </row>
    <row r="24565">
      <c r="A24565" s="4" t="s">
        <v>30916</v>
      </c>
      <c r="B24565" s="4" t="s">
        <v>30917</v>
      </c>
      <c r="C24565" s="5" t="str">
        <f>IFERROR(__xludf.DUMMYFUNCTION("GOOGLETRANSLATE(B24565,""en"",""es-ES"")"),"Una mujer habla con la cámara mientras un hombre se para a su lado.")</f>
        <v>Una mujer habla con la cámara mientras un hombre se para a su lado.</v>
      </c>
    </row>
    <row r="24566">
      <c r="A24566" s="4" t="s">
        <v>30916</v>
      </c>
      <c r="B24566" s="4" t="s">
        <v>30918</v>
      </c>
      <c r="C24566" s="5" t="str">
        <f>IFERROR(__xludf.DUMMYFUNCTION("GOOGLETRANSLATE(B24566,""en"",""es-ES"")"),"El hombre se da vuelta y se aleja mientras la mujer demuestra la perspectiva femenina de la secuencia de baile sola.")</f>
        <v>El hombre se da vuelta y se aleja mientras la mujer demuestra la perspectiva femenina de la secuencia de baile sola.</v>
      </c>
    </row>
    <row r="24567">
      <c r="A24567" s="4" t="s">
        <v>30916</v>
      </c>
      <c r="B24567" s="4" t="s">
        <v>30919</v>
      </c>
      <c r="C24567" s="5" t="str">
        <f>IFERROR(__xludf.DUMMYFUNCTION("GOOGLETRANSLATE(B24567,""en"",""es-ES"")"),"El hombre se une a la mujer y habla con la cámara mientras demuestra la secuencia de pasos desde la perspectiva masculina.")</f>
        <v>El hombre se une a la mujer y habla con la cámara mientras demuestra la secuencia de pasos desde la perspectiva masculina.</v>
      </c>
    </row>
    <row r="24568">
      <c r="A24568" s="4" t="s">
        <v>30916</v>
      </c>
      <c r="B24568" s="4" t="s">
        <v>30920</v>
      </c>
      <c r="C24568" s="5" t="str">
        <f>IFERROR(__xludf.DUMMYFUNCTION("GOOGLETRANSLATE(B24568,""en"",""es-ES"")"),"Los dos demuestran el baile juntos sin comentarios.")</f>
        <v>Los dos demuestran el baile juntos sin comentarios.</v>
      </c>
    </row>
    <row r="24569">
      <c r="A24569" s="4" t="s">
        <v>30921</v>
      </c>
      <c r="B24569" s="4" t="s">
        <v>30922</v>
      </c>
      <c r="C24569" s="5" t="str">
        <f>IFERROR(__xludf.DUMMYFUNCTION("GOOGLETRANSLATE(B24569,""en"",""es-ES"")"),"Un hombre corta un césped con un cortacésped rojo.")</f>
        <v>Un hombre corta un césped con un cortacésped rojo.</v>
      </c>
    </row>
    <row r="24570">
      <c r="A24570" s="4" t="s">
        <v>30921</v>
      </c>
      <c r="B24570" s="4" t="s">
        <v>30923</v>
      </c>
      <c r="C24570" s="5" t="str">
        <f>IFERROR(__xludf.DUMMYFUNCTION("GOOGLETRANSLATE(B24570,""en"",""es-ES"")"),"Un hombre azota la hierba de su pie.")</f>
        <v>Un hombre azota la hierba de su pie.</v>
      </c>
    </row>
    <row r="24571">
      <c r="A24571" s="4" t="s">
        <v>30921</v>
      </c>
      <c r="B24571" s="4" t="s">
        <v>30924</v>
      </c>
      <c r="C24571" s="5" t="str">
        <f>IFERROR(__xludf.DUMMYFUNCTION("GOOGLETRANSLATE(B24571,""en"",""es-ES"")"),"Un perro grande y negro corre por el césped.")</f>
        <v>Un perro grande y negro corre por el césped.</v>
      </c>
    </row>
    <row r="24572">
      <c r="A24572" s="4" t="s">
        <v>30921</v>
      </c>
      <c r="B24572" s="4" t="s">
        <v>30925</v>
      </c>
      <c r="C24572" s="5" t="str">
        <f>IFERROR(__xludf.DUMMYFUNCTION("GOOGLETRANSLATE(B24572,""en"",""es-ES"")"),"El hombre se detiene e invierte el cortacésped.")</f>
        <v>El hombre se detiene e invierte el cortacésped.</v>
      </c>
    </row>
    <row r="24573">
      <c r="A24573" s="4" t="s">
        <v>30921</v>
      </c>
      <c r="B24573" s="4" t="s">
        <v>30926</v>
      </c>
      <c r="C24573" s="5" t="str">
        <f>IFERROR(__xludf.DUMMYFUNCTION("GOOGLETRANSLATE(B24573,""en"",""es-ES"")"),"El hombre se frota la oreja.")</f>
        <v>El hombre se frota la oreja.</v>
      </c>
    </row>
    <row r="24574">
      <c r="A24574" s="4" t="s">
        <v>30927</v>
      </c>
      <c r="B24574" s="4" t="s">
        <v>30928</v>
      </c>
      <c r="C24574" s="5" t="str">
        <f>IFERROR(__xludf.DUMMYFUNCTION("GOOGLETRANSLATE(B24574,""en"",""es-ES"")"),"Se ve a un hombre que comienza a subir una pared de roca mientras mira hacia atrás y habla con la cámara.")</f>
        <v>Se ve a un hombre que comienza a subir una pared de roca mientras mira hacia atrás y habla con la cámara.</v>
      </c>
    </row>
    <row r="24575">
      <c r="A24575" s="4" t="s">
        <v>30927</v>
      </c>
      <c r="B24575" s="4" t="s">
        <v>30929</v>
      </c>
      <c r="C24575" s="5" t="str">
        <f>IFERROR(__xludf.DUMMYFUNCTION("GOOGLETRANSLATE(B24575,""en"",""es-ES"")"),"Él continúa subiendo y bajando mientras se presenta a la escalada adecuada con los pies.")</f>
        <v>Él continúa subiendo y bajando mientras se presenta a la escalada adecuada con los pies.</v>
      </c>
    </row>
    <row r="24576">
      <c r="A24576" s="4" t="s">
        <v>30927</v>
      </c>
      <c r="B24576" s="4" t="s">
        <v>30930</v>
      </c>
      <c r="C24576" s="5" t="str">
        <f>IFERROR(__xludf.DUMMYFUNCTION("GOOGLETRANSLATE(B24576,""en"",""es-ES"")"),"Hace esto unas pocas veces más mientras la cámara muestra instrucciones de texto.")</f>
        <v>Hace esto unas pocas veces más mientras la cámara muestra instrucciones de texto.</v>
      </c>
    </row>
    <row r="24577">
      <c r="A24577" s="4" t="s">
        <v>30931</v>
      </c>
      <c r="B24577" s="4" t="s">
        <v>30932</v>
      </c>
      <c r="C24577" s="5" t="str">
        <f>IFERROR(__xludf.DUMMYFUNCTION("GOOGLETRANSLATE(B24577,""en"",""es-ES"")"),"Dentro de un gimnasio, dos hombres sostienen dos cuerdas de salto.")</f>
        <v>Dentro de un gimnasio, dos hombres sostienen dos cuerdas de salto.</v>
      </c>
    </row>
    <row r="24578">
      <c r="A24578" s="4" t="s">
        <v>30931</v>
      </c>
      <c r="B24578" s="4" t="s">
        <v>30933</v>
      </c>
      <c r="C24578" s="5" t="str">
        <f>IFERROR(__xludf.DUMMYFUNCTION("GOOGLETRANSLATE(B24578,""en"",""es-ES"")"),"Un chico en una cola de caballo salta las cuerdas de salto con soportes de mano.")</f>
        <v>Un chico en una cola de caballo salta las cuerdas de salto con soportes de mano.</v>
      </c>
    </row>
    <row r="24579">
      <c r="A24579" s="4" t="s">
        <v>30931</v>
      </c>
      <c r="B24579" s="4" t="s">
        <v>30934</v>
      </c>
      <c r="C24579" s="5" t="str">
        <f>IFERROR(__xludf.DUMMYFUNCTION("GOOGLETRANSLATE(B24579,""en"",""es-ES"")"),"Un hombre con una camisa negra mira.")</f>
        <v>Un hombre con una camisa negra mira.</v>
      </c>
    </row>
    <row r="24580">
      <c r="A24580" s="4" t="s">
        <v>30935</v>
      </c>
      <c r="B24580" s="4" t="s">
        <v>30936</v>
      </c>
      <c r="C24580" s="5" t="str">
        <f>IFERROR(__xludf.DUMMYFUNCTION("GOOGLETRANSLATE(B24580,""en"",""es-ES"")"),"El video tiene lugar en la piscina de un patio trasero.")</f>
        <v>El video tiene lugar en la piscina de un patio trasero.</v>
      </c>
    </row>
    <row r="24581">
      <c r="A24581" s="4" t="s">
        <v>30935</v>
      </c>
      <c r="B24581" s="4" t="s">
        <v>30937</v>
      </c>
      <c r="C24581" s="5" t="str">
        <f>IFERROR(__xludf.DUMMYFUNCTION("GOOGLETRANSLATE(B24581,""en"",""es-ES"")"),"Una cuerda apretada se coloca a lo largo de la piscina y una mujer intenta cruzar, se cae varias veces.")</f>
        <v>Una cuerda apretada se coloca a lo largo de la piscina y una mujer intenta cruzar, se cae varias veces.</v>
      </c>
    </row>
    <row r="24582">
      <c r="A24582" s="4" t="s">
        <v>30935</v>
      </c>
      <c r="B24582" s="4" t="s">
        <v>30938</v>
      </c>
      <c r="C24582" s="5" t="str">
        <f>IFERROR(__xludf.DUMMYFUNCTION("GOOGLETRANSLATE(B24582,""en"",""es-ES"")"),"La última vez que se cae, la cámara rebobina y muestra que se cae hacia atrás.")</f>
        <v>La última vez que se cae, la cámara rebobina y muestra que se cae hacia atrás.</v>
      </c>
    </row>
    <row r="24583">
      <c r="A24583" s="4" t="s">
        <v>30935</v>
      </c>
      <c r="B24583" s="4" t="s">
        <v>30939</v>
      </c>
      <c r="C24583" s="5" t="str">
        <f>IFERROR(__xludf.DUMMYFUNCTION("GOOGLETRANSLATE(B24583,""en"",""es-ES"")"),"El video luego corta a un hombre que también está usando una cuerda apretada para cruzar una piscina.")</f>
        <v>El video luego corta a un hombre que también está usando una cuerda apretada para cruzar una piscina.</v>
      </c>
    </row>
    <row r="24584">
      <c r="A24584" s="4" t="s">
        <v>30935</v>
      </c>
      <c r="B24584" s="4" t="s">
        <v>30940</v>
      </c>
      <c r="C24584" s="5" t="str">
        <f>IFERROR(__xludf.DUMMYFUNCTION("GOOGLETRANSLATE(B24584,""en"",""es-ES"")"),"El video muestra varios clips del hombre cayendo.")</f>
        <v>El video muestra varios clips del hombre cayendo.</v>
      </c>
    </row>
    <row r="24585">
      <c r="A24585" s="4" t="s">
        <v>30935</v>
      </c>
      <c r="B24585" s="4" t="s">
        <v>30941</v>
      </c>
      <c r="C24585" s="5" t="str">
        <f>IFERROR(__xludf.DUMMYFUNCTION("GOOGLETRANSLATE(B24585,""en"",""es-ES"")"),"En un momento, sostiene una cámara mientras cae.")</f>
        <v>En un momento, sostiene una cámara mientras cae.</v>
      </c>
    </row>
    <row r="24586">
      <c r="A24586" s="4" t="s">
        <v>30935</v>
      </c>
      <c r="B24586" s="4" t="s">
        <v>30942</v>
      </c>
      <c r="C24586" s="5" t="str">
        <f>IFERROR(__xludf.DUMMYFUNCTION("GOOGLETRANSLATE(B24586,""en"",""es-ES"")"),"También intenta pararse con una pierna en la cuerda, así como equilibrarse.")</f>
        <v>También intenta pararse con una pierna en la cuerda, así como equilibrarse.</v>
      </c>
    </row>
    <row r="24587">
      <c r="A24587" s="4" t="s">
        <v>30935</v>
      </c>
      <c r="B24587" s="4" t="s">
        <v>30943</v>
      </c>
      <c r="C24587" s="5" t="str">
        <f>IFERROR(__xludf.DUMMYFUNCTION("GOOGLETRANSLATE(B24587,""en"",""es-ES"")"),"El video termina mostrándolo en una caída final en un tubo.")</f>
        <v>El video termina mostrándolo en una caída final en un tubo.</v>
      </c>
    </row>
    <row r="24588">
      <c r="A24588" s="4" t="s">
        <v>30944</v>
      </c>
      <c r="B24588" s="4" t="s">
        <v>30945</v>
      </c>
      <c r="C24588" s="5" t="str">
        <f>IFERROR(__xludf.DUMMYFUNCTION("GOOGLETRANSLATE(B24588,""en"",""es-ES"")"),"Un niño brilla los zapatos de una persona que usa un picor negro y hace brillar con un cepillo y un paño.")</f>
        <v>Un niño brilla los zapatos de una persona que usa un picor negro y hace brillar con un cepillo y un paño.</v>
      </c>
    </row>
    <row r="24589">
      <c r="A24589" s="4" t="s">
        <v>30944</v>
      </c>
      <c r="B24589" s="4" t="s">
        <v>30946</v>
      </c>
      <c r="C24589" s="5" t="str">
        <f>IFERROR(__xludf.DUMMYFUNCTION("GOOGLETRANSLATE(B24589,""en"",""es-ES"")"),"Entonces, el hombre paga al niño.")</f>
        <v>Entonces, el hombre paga al niño.</v>
      </c>
    </row>
    <row r="24590">
      <c r="A24590" s="4" t="s">
        <v>30944</v>
      </c>
      <c r="B24590" s="4" t="s">
        <v>30947</v>
      </c>
      <c r="C24590" s="5" t="str">
        <f>IFERROR(__xludf.DUMMYFUNCTION("GOOGLETRANSLATE(B24590,""en"",""es-ES"")"),"Un niño limpia los espectáculos de tenis de una persona que pone pintura blanca.")</f>
        <v>Un niño limpia los espectáculos de tenis de una persona que pone pintura blanca.</v>
      </c>
    </row>
    <row r="24591">
      <c r="A24591" s="4" t="s">
        <v>30948</v>
      </c>
      <c r="B24591" s="4" t="s">
        <v>30949</v>
      </c>
      <c r="C24591" s="5" t="str">
        <f>IFERROR(__xludf.DUMMYFUNCTION("GOOGLETRANSLATE(B24591,""en"",""es-ES"")"),"Un hombre está tocando una flauta frente a un micrófono.")</f>
        <v>Un hombre está tocando una flauta frente a un micrófono.</v>
      </c>
    </row>
    <row r="24592">
      <c r="A24592" s="4" t="s">
        <v>30948</v>
      </c>
      <c r="B24592" s="4" t="s">
        <v>30950</v>
      </c>
      <c r="C24592" s="5" t="str">
        <f>IFERROR(__xludf.DUMMYFUNCTION("GOOGLETRANSLATE(B24592,""en"",""es-ES"")"),"Se muestra a algunos otros hombres tocando guitarras mientras se sientan.")</f>
        <v>Se muestra a algunos otros hombres tocando guitarras mientras se sientan.</v>
      </c>
    </row>
    <row r="24593">
      <c r="A24593" s="4" t="s">
        <v>30948</v>
      </c>
      <c r="B24593" s="4" t="s">
        <v>30951</v>
      </c>
      <c r="C24593" s="5" t="str">
        <f>IFERROR(__xludf.DUMMYFUNCTION("GOOGLETRANSLATE(B24593,""en"",""es-ES"")"),"El grupo juega para la audiencia, ocasionalmente se acerca a las personas.")</f>
        <v>El grupo juega para la audiencia, ocasionalmente se acerca a las personas.</v>
      </c>
    </row>
    <row r="24594">
      <c r="A24594" s="4" t="s">
        <v>30948</v>
      </c>
      <c r="B24594" s="4" t="s">
        <v>30952</v>
      </c>
      <c r="C24594" s="5" t="str">
        <f>IFERROR(__xludf.DUMMYFUNCTION("GOOGLETRANSLATE(B24594,""en"",""es-ES"")"),"Un hombre está tocando la batería mientras los otros están en flauta y guitarra.")</f>
        <v>Un hombre está tocando la batería mientras los otros están en flauta y guitarra.</v>
      </c>
    </row>
    <row r="24595">
      <c r="A24595" s="4" t="s">
        <v>30948</v>
      </c>
      <c r="B24595" s="4" t="s">
        <v>30953</v>
      </c>
      <c r="C24595" s="5" t="str">
        <f>IFERROR(__xludf.DUMMYFUNCTION("GOOGLETRANSLATE(B24595,""en"",""es-ES"")"),"Las luces se mueven fluidamente mientras se crescendo, y la pantalla se vuelve negra.")</f>
        <v>Las luces se mueven fluidamente mientras se crescendo, y la pantalla se vuelve negra.</v>
      </c>
    </row>
    <row r="24596">
      <c r="A24596" s="4" t="s">
        <v>30954</v>
      </c>
      <c r="B24596" s="4" t="s">
        <v>30955</v>
      </c>
      <c r="C24596" s="5" t="str">
        <f>IFERROR(__xludf.DUMMYFUNCTION("GOOGLETRANSLATE(B24596,""en"",""es-ES"")"),"Un animal amarillo y marrón está unido a la pared que se balancea de izquierda a derecha.")</f>
        <v>Un animal amarillo y marrón está unido a la pared que se balancea de izquierda a derecha.</v>
      </c>
    </row>
    <row r="24597">
      <c r="A24597" s="4" t="s">
        <v>30954</v>
      </c>
      <c r="B24597" s="4" t="s">
        <v>30956</v>
      </c>
      <c r="C24597" s="5" t="str">
        <f>IFERROR(__xludf.DUMMYFUNCTION("GOOGLETRANSLATE(B24597,""en"",""es-ES"")"),"Mientras está allí, un niño está envuelto en un pañuelo y sostiene el palo en el lado izquierdo de la piñata.")</f>
        <v>Mientras está allí, un niño está envuelto en un pañuelo y sostiene el palo en el lado izquierdo de la piñata.</v>
      </c>
    </row>
    <row r="24598">
      <c r="A24598" s="4" t="s">
        <v>30954</v>
      </c>
      <c r="B24598" s="4" t="s">
        <v>30957</v>
      </c>
      <c r="C24598" s="5" t="str">
        <f>IFERROR(__xludf.DUMMYFUNCTION("GOOGLETRANSLATE(B24598,""en"",""es-ES"")"),"Luego lo mueve hacia el lado derecho y comienza a golpear la piñata ferozmente.")</f>
        <v>Luego lo mueve hacia el lado derecho y comienza a golpear la piñata ferozmente.</v>
      </c>
    </row>
    <row r="24599">
      <c r="A24599" s="4" t="s">
        <v>30958</v>
      </c>
      <c r="B24599" s="4" t="s">
        <v>4184</v>
      </c>
      <c r="C24599" s="5" t="str">
        <f>IFERROR(__xludf.DUMMYFUNCTION("GOOGLETRANSLATE(B24599,""en"",""es-ES"")"),"La gente juega lacrosse en un campo.")</f>
        <v>La gente juega lacrosse en un campo.</v>
      </c>
    </row>
    <row r="24600">
      <c r="A24600" s="4" t="s">
        <v>30958</v>
      </c>
      <c r="B24600" s="4" t="s">
        <v>30959</v>
      </c>
      <c r="C24600" s="5" t="str">
        <f>IFERROR(__xludf.DUMMYFUNCTION("GOOGLETRANSLATE(B24600,""en"",""es-ES"")"),"Una mujer con una camisa azul sostiene un palo de lacrosse.")</f>
        <v>Una mujer con una camisa azul sostiene un palo de lacrosse.</v>
      </c>
    </row>
    <row r="24601">
      <c r="A24601" s="4" t="s">
        <v>30958</v>
      </c>
      <c r="B24601" s="4" t="s">
        <v>30960</v>
      </c>
      <c r="C24601" s="5" t="str">
        <f>IFERROR(__xludf.DUMMYFUNCTION("GOOGLETRANSLATE(B24601,""en"",""es-ES"")"),"Continúan jugando lacrosse.")</f>
        <v>Continúan jugando lacrosse.</v>
      </c>
    </row>
    <row r="24602">
      <c r="A24602" s="4" t="s">
        <v>30961</v>
      </c>
      <c r="B24602" s="4" t="s">
        <v>30962</v>
      </c>
      <c r="C24602" s="5" t="str">
        <f>IFERROR(__xludf.DUMMYFUNCTION("GOOGLETRANSLATE(B24602,""en"",""es-ES"")"),"Un hombre con una camisa negra está de pie en un salón.")</f>
        <v>Un hombre con una camisa negra está de pie en un salón.</v>
      </c>
    </row>
    <row r="24603">
      <c r="A24603" s="4" t="s">
        <v>30961</v>
      </c>
      <c r="B24603" s="4" t="s">
        <v>30963</v>
      </c>
      <c r="C24603" s="5" t="str">
        <f>IFERROR(__xludf.DUMMYFUNCTION("GOOGLETRANSLATE(B24603,""en"",""es-ES"")"),"Comienza a afeitarse la barba de un hombre que se está tumbando.")</f>
        <v>Comienza a afeitarse la barba de un hombre que se está tumbando.</v>
      </c>
    </row>
    <row r="24604">
      <c r="A24604" s="4" t="s">
        <v>30961</v>
      </c>
      <c r="B24604" s="4" t="s">
        <v>30964</v>
      </c>
      <c r="C24604" s="5" t="str">
        <f>IFERROR(__xludf.DUMMYFUNCTION("GOOGLETRANSLATE(B24604,""en"",""es-ES"")"),"Él toallas de la cara del hombre.")</f>
        <v>Él toallas de la cara del hombre.</v>
      </c>
    </row>
    <row r="24605">
      <c r="A24605" s="4" t="s">
        <v>30965</v>
      </c>
      <c r="B24605" s="4" t="s">
        <v>30966</v>
      </c>
      <c r="C24605" s="5" t="str">
        <f>IFERROR(__xludf.DUMMYFUNCTION("GOOGLETRANSLATE(B24605,""en"",""es-ES"")"),"Un hombre se muestra tocando la guitarra con una pantalla de título que se muestra a la izquierda.")</f>
        <v>Un hombre se muestra tocando la guitarra con una pantalla de título que se muestra a la izquierda.</v>
      </c>
    </row>
    <row r="24606">
      <c r="A24606" s="4" t="s">
        <v>30965</v>
      </c>
      <c r="B24606" s="4" t="s">
        <v>30967</v>
      </c>
      <c r="C24606" s="5" t="str">
        <f>IFERROR(__xludf.DUMMYFUNCTION("GOOGLETRANSLATE(B24606,""en"",""es-ES"")"),"El hombre se toca una y otra vez mientras se golpeaba gradualmente la cabeza al ritmo.")</f>
        <v>El hombre se toca una y otra vez mientras se golpeaba gradualmente la cabeza al ritmo.</v>
      </c>
    </row>
    <row r="24607">
      <c r="A24607" s="4" t="s">
        <v>30968</v>
      </c>
      <c r="B24607" s="4" t="s">
        <v>30969</v>
      </c>
      <c r="C24607" s="5" t="str">
        <f>IFERROR(__xludf.DUMMYFUNCTION("GOOGLETRANSLATE(B24607,""en"",""es-ES"")"),"Se muestra un primer plano de una llama, seguido por miembros de la audiencia de pie y atletas de pie.")</f>
        <v>Se muestra un primer plano de una llama, seguido por miembros de la audiencia de pie y atletas de pie.</v>
      </c>
    </row>
    <row r="24608">
      <c r="A24608" s="4" t="s">
        <v>30968</v>
      </c>
      <c r="B24608" s="4" t="s">
        <v>30970</v>
      </c>
      <c r="C24608" s="5" t="str">
        <f>IFERROR(__xludf.DUMMYFUNCTION("GOOGLETRANSLATE(B24608,""en"",""es-ES"")"),"Hitler luego mira a un hombre saltar a un pozo y a varios otros corredores después de él.")</f>
        <v>Hitler luego mira a un hombre saltar a un pozo y a varios otros corredores después de él.</v>
      </c>
    </row>
    <row r="24609">
      <c r="A24609" s="4" t="s">
        <v>30968</v>
      </c>
      <c r="B24609" s="4" t="s">
        <v>30971</v>
      </c>
      <c r="C24609" s="5" t="str">
        <f>IFERROR(__xludf.DUMMYFUNCTION("GOOGLETRANSLATE(B24609,""en"",""es-ES"")"),"Más atletas continúan saltando mientras la audiencia se enoja y termina con soldados que levantan banderas hacia el cielo.")</f>
        <v>Más atletas continúan saltando mientras la audiencia se enoja y termina con soldados que levantan banderas hacia el cielo.</v>
      </c>
    </row>
    <row r="24610">
      <c r="A24610" s="4" t="s">
        <v>30972</v>
      </c>
      <c r="B24610" s="4" t="s">
        <v>30973</v>
      </c>
      <c r="C24610" s="5" t="str">
        <f>IFERROR(__xludf.DUMMYFUNCTION("GOOGLETRANSLATE(B24610,""en"",""es-ES"")"),"Hay dos niños jugando squash en una cancha de squash cubierta.")</f>
        <v>Hay dos niños jugando squash en una cancha de squash cubierta.</v>
      </c>
    </row>
    <row r="24611">
      <c r="A24611" s="4" t="s">
        <v>30972</v>
      </c>
      <c r="B24611" s="4" t="s">
        <v>30974</v>
      </c>
      <c r="C24611" s="5" t="str">
        <f>IFERROR(__xludf.DUMMYFUNCTION("GOOGLETRANSLATE(B24611,""en"",""es-ES"")"),"Están jugando al azar en un juego no estructurado donde a menudo pierden la pelota.")</f>
        <v>Están jugando al azar en un juego no estructurado donde a menudo pierden la pelota.</v>
      </c>
    </row>
    <row r="24612">
      <c r="A24612" s="4" t="s">
        <v>30975</v>
      </c>
      <c r="B24612" s="4" t="s">
        <v>30976</v>
      </c>
      <c r="C24612" s="5" t="str">
        <f>IFERROR(__xludf.DUMMYFUNCTION("GOOGLETRANSLATE(B24612,""en"",""es-ES"")"),"Se ve a un hombre parado en el fondo de un agujero mientras un hombre lo registra.")</f>
        <v>Se ve a un hombre parado en el fondo de un agujero mientras un hombre lo registra.</v>
      </c>
    </row>
    <row r="24613">
      <c r="A24613" s="4" t="s">
        <v>30975</v>
      </c>
      <c r="B24613" s="4" t="s">
        <v>30977</v>
      </c>
      <c r="C24613" s="5" t="str">
        <f>IFERROR(__xludf.DUMMYFUNCTION("GOOGLETRANSLATE(B24613,""en"",""es-ES"")"),"Se ve a dos hombres trepando por la colina y mirando hacia la cámara.")</f>
        <v>Se ve a dos hombres trepando por la colina y mirando hacia la cámara.</v>
      </c>
    </row>
    <row r="24614">
      <c r="A24614" s="4" t="s">
        <v>30975</v>
      </c>
      <c r="B24614" s="4" t="s">
        <v>30978</v>
      </c>
      <c r="C24614" s="5" t="str">
        <f>IFERROR(__xludf.DUMMYFUNCTION("GOOGLETRANSLATE(B24614,""en"",""es-ES"")"),"Un hombre saca al otro y baja mientras ellos y otros hablan con la cámara.")</f>
        <v>Un hombre saca al otro y baja mientras ellos y otros hablan con la cámara.</v>
      </c>
    </row>
    <row r="24615">
      <c r="A24615" s="4" t="s">
        <v>30979</v>
      </c>
      <c r="B24615" s="4" t="s">
        <v>30980</v>
      </c>
      <c r="C24615" s="5" t="str">
        <f>IFERROR(__xludf.DUMMYFUNCTION("GOOGLETRANSLATE(B24615,""en"",""es-ES"")"),"Dos hombres se están poniendo loción sunita en la playa.")</f>
        <v>Dos hombres se están poniendo loción sunita en la playa.</v>
      </c>
    </row>
    <row r="24616">
      <c r="A24616" s="4" t="s">
        <v>30979</v>
      </c>
      <c r="B24616" s="4" t="s">
        <v>30981</v>
      </c>
      <c r="C24616" s="5" t="str">
        <f>IFERROR(__xludf.DUMMYFUNCTION("GOOGLETRANSLATE(B24616,""en"",""es-ES"")"),"Lo frotan sobre la espalda del otro antes de darse la vuelta.")</f>
        <v>Lo frotan sobre la espalda del otro antes de darse la vuelta.</v>
      </c>
    </row>
    <row r="24617">
      <c r="A24617" s="4" t="s">
        <v>30982</v>
      </c>
      <c r="B24617" s="4" t="s">
        <v>30983</v>
      </c>
      <c r="C24617" s="5" t="str">
        <f>IFERROR(__xludf.DUMMYFUNCTION("GOOGLETRANSLATE(B24617,""en"",""es-ES"")"),"El hombre está parado en un gran campo y practicando un lanzamiento de bala.")</f>
        <v>El hombre está parado en un gran campo y practicando un lanzamiento de bala.</v>
      </c>
    </row>
    <row r="24618">
      <c r="A24618" s="4" t="s">
        <v>30982</v>
      </c>
      <c r="B24618" s="4" t="s">
        <v>30984</v>
      </c>
      <c r="C24618" s="5" t="str">
        <f>IFERROR(__xludf.DUMMYFUNCTION("GOOGLETRANSLATE(B24618,""en"",""es-ES"")"),"El hombre con camisa roja está de pie en un lado.")</f>
        <v>El hombre con camisa roja está de pie en un lado.</v>
      </c>
    </row>
    <row r="24619">
      <c r="A24619" s="4" t="s">
        <v>30982</v>
      </c>
      <c r="B24619" s="4" t="s">
        <v>30985</v>
      </c>
      <c r="C24619" s="5" t="str">
        <f>IFERROR(__xludf.DUMMYFUNCTION("GOOGLETRANSLATE(B24619,""en"",""es-ES"")"),"Los hombres están pactizando en un gran campo verde cubierto de hierba.")</f>
        <v>Los hombres están pactizando en un gran campo verde cubierto de hierba.</v>
      </c>
    </row>
    <row r="24620">
      <c r="A24620" s="4" t="s">
        <v>30986</v>
      </c>
      <c r="B24620" s="4" t="s">
        <v>30987</v>
      </c>
      <c r="C24620" s="5" t="str">
        <f>IFERROR(__xludf.DUMMYFUNCTION("GOOGLETRANSLATE(B24620,""en"",""es-ES"")"),"Un hombre está puliendo sus esquís en un garaje.")</f>
        <v>Un hombre está puliendo sus esquís en un garaje.</v>
      </c>
    </row>
    <row r="24621">
      <c r="A24621" s="4" t="s">
        <v>30986</v>
      </c>
      <c r="B24621" s="4" t="s">
        <v>30988</v>
      </c>
      <c r="C24621" s="5" t="str">
        <f>IFERROR(__xludf.DUMMYFUNCTION("GOOGLETRANSLATE(B24621,""en"",""es-ES"")"),"Cambia de posición para darse más influencia mientras se aferra.")</f>
        <v>Cambia de posición para darse más influencia mientras se aferra.</v>
      </c>
    </row>
    <row r="24622">
      <c r="A24622" s="4" t="s">
        <v>30986</v>
      </c>
      <c r="B24622" s="4" t="s">
        <v>30989</v>
      </c>
      <c r="C24622" s="5" t="str">
        <f>IFERROR(__xludf.DUMMYFUNCTION("GOOGLETRANSLATE(B24622,""en"",""es-ES"")"),"Mueve a los shis a otro lugar cuando termine.")</f>
        <v>Mueve a los shis a otro lugar cuando termine.</v>
      </c>
    </row>
    <row r="24623">
      <c r="A24623" s="4" t="s">
        <v>30990</v>
      </c>
      <c r="B24623" s="4" t="s">
        <v>30991</v>
      </c>
      <c r="C24623" s="5" t="str">
        <f>IFERROR(__xludf.DUMMYFUNCTION("GOOGLETRANSLATE(B24623,""en"",""es-ES"")"),"Un perro está siendo bañado por una mujer.")</f>
        <v>Un perro está siendo bañado por una mujer.</v>
      </c>
    </row>
    <row r="24624">
      <c r="A24624" s="4" t="s">
        <v>30990</v>
      </c>
      <c r="B24624" s="4" t="s">
        <v>30992</v>
      </c>
      <c r="C24624" s="5" t="str">
        <f>IFERROR(__xludf.DUMMYFUNCTION("GOOGLETRANSLATE(B24624,""en"",""es-ES"")"),"La mujer está rociando agua sobre el perro pequeño con una manguera.")</f>
        <v>La mujer está rociando agua sobre el perro pequeño con una manguera.</v>
      </c>
    </row>
    <row r="24625">
      <c r="A24625" s="4" t="s">
        <v>30990</v>
      </c>
      <c r="B24625" s="4" t="s">
        <v>30993</v>
      </c>
      <c r="C24625" s="5" t="str">
        <f>IFERROR(__xludf.DUMMYFUNCTION("GOOGLETRANSLATE(B24625,""en"",""es-ES"")"),"Ella ahora está secando al perro.")</f>
        <v>Ella ahora está secando al perro.</v>
      </c>
    </row>
    <row r="24626">
      <c r="A24626" s="4" t="s">
        <v>30990</v>
      </c>
      <c r="B24626" s="4" t="s">
        <v>30994</v>
      </c>
      <c r="C24626" s="5" t="str">
        <f>IFERROR(__xludf.DUMMYFUNCTION("GOOGLETRANSLATE(B24626,""en"",""es-ES"")"),"El perro se coloca en la perrera al lado de los pies de una mujer.")</f>
        <v>El perro se coloca en la perrera al lado de los pies de una mujer.</v>
      </c>
    </row>
    <row r="24627">
      <c r="A24627" s="4" t="s">
        <v>30990</v>
      </c>
      <c r="B24627" s="4" t="s">
        <v>30995</v>
      </c>
      <c r="C24627" s="5" t="str">
        <f>IFERROR(__xludf.DUMMYFUNCTION("GOOGLETRANSLATE(B24627,""en"",""es-ES"")"),"Un perro juega atrás y con el perro arreglado.")</f>
        <v>Un perro juega atrás y con el perro arreglado.</v>
      </c>
    </row>
    <row r="24628">
      <c r="A24628" s="4" t="s">
        <v>30990</v>
      </c>
      <c r="B24628" s="4" t="s">
        <v>30996</v>
      </c>
      <c r="C24628" s="5" t="str">
        <f>IFERROR(__xludf.DUMMYFUNCTION("GOOGLETRANSLATE(B24628,""en"",""es-ES"")"),"El perro ahora se está cortando el pelo.")</f>
        <v>El perro ahora se está cortando el pelo.</v>
      </c>
    </row>
    <row r="24629">
      <c r="A24629" s="4" t="s">
        <v>30997</v>
      </c>
      <c r="B24629" s="4" t="s">
        <v>30998</v>
      </c>
      <c r="C24629" s="5" t="str">
        <f>IFERROR(__xludf.DUMMYFUNCTION("GOOGLETRANSLATE(B24629,""en"",""es-ES"")"),"La pantalla de introducción aparece e incluye una ilustración de un hombre que limpia el piso con un trapeador en un baño, una marca y otras palabras.")</f>
        <v>La pantalla de introducción aparece e incluye una ilustración de un hombre que limpia el piso con un trapeador en un baño, una marca y otras palabras.</v>
      </c>
    </row>
    <row r="24630">
      <c r="A24630" s="4" t="s">
        <v>30997</v>
      </c>
      <c r="B24630" s="4" t="s">
        <v>30999</v>
      </c>
      <c r="C24630" s="5" t="str">
        <f>IFERROR(__xludf.DUMMYFUNCTION("GOOGLETRANSLATE(B24630,""en"",""es-ES"")"),"Una mujer ahora está en el baño usando un cubo avanzado que es alto e incluye un mango para apretar el trapeador plano y un compartimento de almacenamiento, y traza el piso con el trapeador, luego demuestra cómo apretarlo en el cubo y regresa a Formando e"&amp;"l resto del baño.")</f>
        <v>Una mujer ahora está en el baño usando un cubo avanzado que es alto e incluye un mango para apretar el trapeador plano y un compartimento de almacenamiento, y traza el piso con el trapeador, luego demuestra cómo apretarlo en el cubo y regresa a Formando el resto del baño.</v>
      </c>
    </row>
    <row r="24631">
      <c r="A24631" s="4" t="s">
        <v>30997</v>
      </c>
      <c r="B24631" s="4" t="s">
        <v>31000</v>
      </c>
      <c r="C24631" s="5" t="str">
        <f>IFERROR(__xludf.DUMMYFUNCTION("GOOGLETRANSLATE(B24631,""en"",""es-ES"")"),"Se muestra una vista superior del cubo y muestra que el cubo tiene dos compartimentos de agua y el agua limpia está en la parte delantera y el agua sucia se mantiene en la parte posterior.")</f>
        <v>Se muestra una vista superior del cubo y muestra que el cubo tiene dos compartimentos de agua y el agua limpia está en la parte delantera y el agua sucia se mantiene en la parte posterior.</v>
      </c>
    </row>
    <row r="24632">
      <c r="A24632" s="4" t="s">
        <v>30997</v>
      </c>
      <c r="B24632" s="4" t="s">
        <v>31001</v>
      </c>
      <c r="C24632" s="5" t="str">
        <f>IFERROR(__xludf.DUMMYFUNCTION("GOOGLETRANSLATE(B24632,""en"",""es-ES"")"),"Aparece una pantalla blanca y muestra la marca del logotipo, diferentes imágenes de las mangas y números de moplínea al lado.")</f>
        <v>Aparece una pantalla blanca y muestra la marca del logotipo, diferentes imágenes de las mangas y números de moplínea al lado.</v>
      </c>
    </row>
    <row r="24633">
      <c r="A24633" s="4" t="s">
        <v>30997</v>
      </c>
      <c r="B24633" s="4" t="s">
        <v>31002</v>
      </c>
      <c r="C24633" s="5" t="str">
        <f>IFERROR(__xludf.DUMMYFUNCTION("GOOGLETRANSLATE(B24633,""en"",""es-ES"")"),"La mujer camina hacia la entrada del baño, quita el letrero del piso húmedo, lo pone en su carro, comienza a empujar el carro y el enfoque se remonta al baño limpio que acaba de limpiar.")</f>
        <v>La mujer camina hacia la entrada del baño, quita el letrero del piso húmedo, lo pone en su carro, comienza a empujar el carro y el enfoque se remonta al baño limpio que acaba de limpiar.</v>
      </c>
    </row>
    <row r="24634">
      <c r="A24634" s="4" t="s">
        <v>31003</v>
      </c>
      <c r="B24634" s="4" t="s">
        <v>31004</v>
      </c>
      <c r="C24634" s="5" t="str">
        <f>IFERROR(__xludf.DUMMYFUNCTION("GOOGLETRANSLATE(B24634,""en"",""es-ES"")"),"Un hombre está actuando como DJ con auriculares puestos.")</f>
        <v>Un hombre está actuando como DJ con auriculares puestos.</v>
      </c>
    </row>
    <row r="24635">
      <c r="A24635" s="4" t="s">
        <v>31003</v>
      </c>
      <c r="B24635" s="4" t="s">
        <v>31005</v>
      </c>
      <c r="C24635" s="5" t="str">
        <f>IFERROR(__xludf.DUMMYFUNCTION("GOOGLETRANSLATE(B24635,""en"",""es-ES"")"),"Otro hombre despega con un par de esquís acuáticos.")</f>
        <v>Otro hombre despega con un par de esquís acuáticos.</v>
      </c>
    </row>
    <row r="24636">
      <c r="A24636" s="4" t="s">
        <v>31003</v>
      </c>
      <c r="B24636" s="4" t="s">
        <v>31006</v>
      </c>
      <c r="C24636" s="5" t="str">
        <f>IFERROR(__xludf.DUMMYFUNCTION("GOOGLETRANSLATE(B24636,""en"",""es-ES"")"),"Él esquía cuando la gente se reúne y se va en un muelle.")</f>
        <v>Él esquía cuando la gente se reúne y se va en un muelle.</v>
      </c>
    </row>
    <row r="24637">
      <c r="A24637" s="4" t="s">
        <v>31003</v>
      </c>
      <c r="B24637" s="4" t="s">
        <v>31007</v>
      </c>
      <c r="C24637" s="5" t="str">
        <f>IFERROR(__xludf.DUMMYFUNCTION("GOOGLETRANSLATE(B24637,""en"",""es-ES"")"),"Varias personas se unen a un evento de curling, sosteniendo señales y sonriendo.")</f>
        <v>Varias personas se unen a un evento de curling, sosteniendo señales y sonriendo.</v>
      </c>
    </row>
    <row r="24638">
      <c r="A24638" s="4" t="s">
        <v>31008</v>
      </c>
      <c r="B24638" s="4" t="s">
        <v>31009</v>
      </c>
      <c r="C24638" s="5" t="str">
        <f>IFERROR(__xludf.DUMMYFUNCTION("GOOGLETRANSLATE(B24638,""en"",""es-ES"")"),"Se ve a dos personas paradas en un gran gimnasio hablando entre sí y los lleva a realizar una rutina de cuerda de salto.")</f>
        <v>Se ve a dos personas paradas en un gran gimnasio hablando entre sí y los lleva a realizar una rutina de cuerda de salto.</v>
      </c>
    </row>
    <row r="24639">
      <c r="A24639" s="4" t="s">
        <v>31008</v>
      </c>
      <c r="B24639" s="4" t="s">
        <v>31010</v>
      </c>
      <c r="C24639" s="5" t="str">
        <f>IFERROR(__xludf.DUMMYFUNCTION("GOOGLETRANSLATE(B24639,""en"",""es-ES"")"),"La mujer continúa saltando a lo largo del gimnasio y termina sosteniendo las cuerdas contra sus pies.")</f>
        <v>La mujer continúa saltando a lo largo del gimnasio y termina sosteniendo las cuerdas contra sus pies.</v>
      </c>
    </row>
    <row r="24640">
      <c r="A24640" s="4" t="s">
        <v>31011</v>
      </c>
      <c r="B24640" s="4" t="s">
        <v>31012</v>
      </c>
      <c r="C24640" s="5" t="str">
        <f>IFERROR(__xludf.DUMMYFUNCTION("GOOGLETRANSLATE(B24640,""en"",""es-ES"")"),"Un niño pequeño está sentado en el suelo, tocando una aspiradora y hablando.")</f>
        <v>Un niño pequeño está sentado en el suelo, tocando una aspiradora y hablando.</v>
      </c>
    </row>
    <row r="24641">
      <c r="A24641" s="4" t="s">
        <v>31011</v>
      </c>
      <c r="B24641" s="4" t="s">
        <v>31013</v>
      </c>
      <c r="C24641" s="5" t="str">
        <f>IFERROR(__xludf.DUMMYFUNCTION("GOOGLETRANSLATE(B24641,""en"",""es-ES"")"),"También recoge otro vacío y comienza a rodarlo por la habitación, de ida y vuelta.")</f>
        <v>También recoge otro vacío y comienza a rodarlo por la habitación, de ida y vuelta.</v>
      </c>
    </row>
    <row r="24642">
      <c r="A24642" s="4" t="s">
        <v>31014</v>
      </c>
      <c r="B24642" s="4" t="s">
        <v>31015</v>
      </c>
      <c r="C24642" s="5" t="str">
        <f>IFERROR(__xludf.DUMMYFUNCTION("GOOGLETRANSLATE(B24642,""en"",""es-ES"")"),"Un hombre con una camisa verde y un sombrero verde sostiene un cuchillo grande.")</f>
        <v>Un hombre con una camisa verde y un sombrero verde sostiene un cuchillo grande.</v>
      </c>
    </row>
    <row r="24643">
      <c r="A24643" s="4" t="s">
        <v>31014</v>
      </c>
      <c r="B24643" s="4" t="s">
        <v>31016</v>
      </c>
      <c r="C24643" s="5" t="str">
        <f>IFERROR(__xludf.DUMMYFUNCTION("GOOGLETRANSLATE(B24643,""en"",""es-ES"")"),"Comienza a cortar un trozo de madera con el cuchillo.")</f>
        <v>Comienza a cortar un trozo de madera con el cuchillo.</v>
      </c>
    </row>
    <row r="24644">
      <c r="A24644" s="4" t="s">
        <v>31014</v>
      </c>
      <c r="B24644" s="4" t="s">
        <v>31017</v>
      </c>
      <c r="C24644" s="5" t="str">
        <f>IFERROR(__xludf.DUMMYFUNCTION("GOOGLETRANSLATE(B24644,""en"",""es-ES"")"),"Corta el trozo de madera por la mitad.")</f>
        <v>Corta el trozo de madera por la mitad.</v>
      </c>
    </row>
    <row r="24645">
      <c r="A24645" s="4" t="s">
        <v>31018</v>
      </c>
      <c r="B24645" s="4" t="s">
        <v>2480</v>
      </c>
      <c r="C24645" s="5" t="str">
        <f>IFERROR(__xludf.DUMMYFUNCTION("GOOGLETRANSLATE(B24645,""en"",""es-ES"")"),"Vemos dos pantallas de título de apertura.")</f>
        <v>Vemos dos pantallas de título de apertura.</v>
      </c>
    </row>
    <row r="24646">
      <c r="A24646" s="4" t="s">
        <v>31018</v>
      </c>
      <c r="B24646" s="4" t="s">
        <v>31019</v>
      </c>
      <c r="C24646" s="5" t="str">
        <f>IFERROR(__xludf.DUMMYFUNCTION("GOOGLETRANSLATE(B24646,""en"",""es-ES"")"),"Vemos a un hombre en una habitación tocando un juego de batería.")</f>
        <v>Vemos a un hombre en una habitación tocando un juego de batería.</v>
      </c>
    </row>
    <row r="24647">
      <c r="A24647" s="4" t="s">
        <v>31018</v>
      </c>
      <c r="B24647" s="4" t="s">
        <v>31020</v>
      </c>
      <c r="C24647" s="5" t="str">
        <f>IFERROR(__xludf.DUMMYFUNCTION("GOOGLETRANSLATE(B24647,""en"",""es-ES"")"),"El hombre toca la batería en el lado izquierdo principalmente.")</f>
        <v>El hombre toca la batería en el lado izquierdo principalmente.</v>
      </c>
    </row>
    <row r="24648">
      <c r="A24648" s="4" t="s">
        <v>31018</v>
      </c>
      <c r="B24648" s="4" t="s">
        <v>31021</v>
      </c>
      <c r="C24648" s="5" t="str">
        <f>IFERROR(__xludf.DUMMYFUNCTION("GOOGLETRANSLATE(B24648,""en"",""es-ES"")"),"El hombre hace una pausa mientras juega.")</f>
        <v>El hombre hace una pausa mientras juega.</v>
      </c>
    </row>
    <row r="24649">
      <c r="A24649" s="4" t="s">
        <v>31018</v>
      </c>
      <c r="B24649" s="4" t="s">
        <v>31022</v>
      </c>
      <c r="C24649" s="5" t="str">
        <f>IFERROR(__xludf.DUMMYFUNCTION("GOOGLETRANSLATE(B24649,""en"",""es-ES"")"),"El hombre golpea algunos tambores y luego se detiene.")</f>
        <v>El hombre golpea algunos tambores y luego se detiene.</v>
      </c>
    </row>
    <row r="24650">
      <c r="A24650" s="4" t="s">
        <v>31023</v>
      </c>
      <c r="B24650" s="4" t="s">
        <v>31024</v>
      </c>
      <c r="C24650" s="5" t="str">
        <f>IFERROR(__xludf.DUMMYFUNCTION("GOOGLETRANSLATE(B24650,""en"",""es-ES"")"),"Un hombre sostiene dos zapatos de mujer de tacón alto extremadamente sucio.")</f>
        <v>Un hombre sostiene dos zapatos de mujer de tacón alto extremadamente sucio.</v>
      </c>
    </row>
    <row r="24651">
      <c r="A24651" s="4" t="s">
        <v>31023</v>
      </c>
      <c r="B24651" s="4" t="s">
        <v>31025</v>
      </c>
      <c r="C24651" s="5" t="str">
        <f>IFERROR(__xludf.DUMMYFUNCTION("GOOGLETRANSLATE(B24651,""en"",""es-ES"")"),"Utiliza una regla para raspar la tierra seca.")</f>
        <v>Utiliza una regla para raspar la tierra seca.</v>
      </c>
    </row>
    <row r="24652">
      <c r="A24652" s="4" t="s">
        <v>31023</v>
      </c>
      <c r="B24652" s="4" t="s">
        <v>31026</v>
      </c>
      <c r="C24652" s="5" t="str">
        <f>IFERROR(__xludf.DUMMYFUNCTION("GOOGLETRANSLATE(B24652,""en"",""es-ES"")"),"Luego usa un cepillo para pulir el material de gamuza antes de rociar una sustancia blanca en el zapato.")</f>
        <v>Luego usa un cepillo para pulir el material de gamuza antes de rociar una sustancia blanca en el zapato.</v>
      </c>
    </row>
    <row r="24653">
      <c r="A24653" s="4" t="s">
        <v>31023</v>
      </c>
      <c r="B24653" s="4" t="s">
        <v>31027</v>
      </c>
      <c r="C24653" s="5" t="str">
        <f>IFERROR(__xludf.DUMMYFUNCTION("GOOGLETRANSLATE(B24653,""en"",""es-ES"")"),"Lo raspa, luego aplica una nueva suela y una punta al talón.")</f>
        <v>Lo raspa, luego aplica una nueva suela y una punta al talón.</v>
      </c>
    </row>
    <row r="24654">
      <c r="A24654" s="4" t="s">
        <v>31023</v>
      </c>
      <c r="B24654" s="4" t="s">
        <v>31028</v>
      </c>
      <c r="C24654" s="5" t="str">
        <f>IFERROR(__xludf.DUMMYFUNCTION("GOOGLETRANSLATE(B24654,""en"",""es-ES"")"),"Muestra la lata del renovador.")</f>
        <v>Muestra la lata del renovador.</v>
      </c>
    </row>
    <row r="24655">
      <c r="A24655" s="4" t="s">
        <v>31029</v>
      </c>
      <c r="B24655" s="4" t="s">
        <v>31030</v>
      </c>
      <c r="C24655" s="5" t="str">
        <f>IFERROR(__xludf.DUMMYFUNCTION("GOOGLETRANSLATE(B24655,""en"",""es-ES"")"),"Un hombre y una mujer están hablando frente a la cámara.")</f>
        <v>Un hombre y una mujer están hablando frente a la cámara.</v>
      </c>
    </row>
    <row r="24656">
      <c r="A24656" s="4" t="s">
        <v>31029</v>
      </c>
      <c r="B24656" s="4" t="s">
        <v>31031</v>
      </c>
      <c r="C24656" s="5" t="str">
        <f>IFERROR(__xludf.DUMMYFUNCTION("GOOGLETRANSLATE(B24656,""en"",""es-ES"")"),"Los jugadores están en una cancha jugando hockey.")</f>
        <v>Los jugadores están en una cancha jugando hockey.</v>
      </c>
    </row>
    <row r="24657">
      <c r="A24657" s="4" t="s">
        <v>31029</v>
      </c>
      <c r="B24657" s="4" t="s">
        <v>31032</v>
      </c>
      <c r="C24657" s="5" t="str">
        <f>IFERROR(__xludf.DUMMYFUNCTION("GOOGLETRANSLATE(B24657,""en"",""es-ES"")"),"Un hombre y una mujer están siendo entrevistados.")</f>
        <v>Un hombre y una mujer están siendo entrevistados.</v>
      </c>
    </row>
    <row r="24658">
      <c r="A24658" s="4" t="s">
        <v>31033</v>
      </c>
      <c r="B24658" s="4" t="s">
        <v>31034</v>
      </c>
      <c r="C24658" s="5" t="str">
        <f>IFERROR(__xludf.DUMMYFUNCTION("GOOGLETRANSLATE(B24658,""en"",""es-ES"")"),"Los barcos atraviesan el agua.")</f>
        <v>Los barcos atraviesan el agua.</v>
      </c>
    </row>
    <row r="24659">
      <c r="A24659" s="4" t="s">
        <v>31033</v>
      </c>
      <c r="B24659" s="4" t="s">
        <v>31035</v>
      </c>
      <c r="C24659" s="5" t="str">
        <f>IFERROR(__xludf.DUMMYFUNCTION("GOOGLETRANSLATE(B24659,""en"",""es-ES"")"),"Una tormenta golpea y un hombre está llorando.")</f>
        <v>Una tormenta golpea y un hombre está llorando.</v>
      </c>
    </row>
    <row r="24660">
      <c r="A24660" s="4" t="s">
        <v>31033</v>
      </c>
      <c r="B24660" s="4" t="s">
        <v>31036</v>
      </c>
      <c r="C24660" s="5" t="str">
        <f>IFERROR(__xludf.DUMMYFUNCTION("GOOGLETRANSLATE(B24660,""en"",""es-ES"")"),"Los barcos continúan atravesando el agua.")</f>
        <v>Los barcos continúan atravesando el agua.</v>
      </c>
    </row>
    <row r="24661">
      <c r="A24661" s="4" t="s">
        <v>31037</v>
      </c>
      <c r="B24661" s="4" t="s">
        <v>31038</v>
      </c>
      <c r="C24661" s="5" t="str">
        <f>IFERROR(__xludf.DUMMYFUNCTION("GOOGLETRANSLATE(B24661,""en"",""es-ES"")"),"Un hombre con traje está leyendo un periódico.")</f>
        <v>Un hombre con traje está leyendo un periódico.</v>
      </c>
    </row>
    <row r="24662">
      <c r="A24662" s="4" t="s">
        <v>31037</v>
      </c>
      <c r="B24662" s="4" t="s">
        <v>31039</v>
      </c>
      <c r="C24662" s="5" t="str">
        <f>IFERROR(__xludf.DUMMYFUNCTION("GOOGLETRANSLATE(B24662,""en"",""es-ES"")"),"Pone una tableta disolvente en un vaso de agua.")</f>
        <v>Pone una tableta disolvente en un vaso de agua.</v>
      </c>
    </row>
    <row r="24663">
      <c r="A24663" s="4" t="s">
        <v>31037</v>
      </c>
      <c r="B24663" s="4" t="s">
        <v>31040</v>
      </c>
      <c r="C24663" s="5" t="str">
        <f>IFERROR(__xludf.DUMMYFUNCTION("GOOGLETRANSLATE(B24663,""en"",""es-ES"")"),"Alguien corre frente a un automóvil en zancos.")</f>
        <v>Alguien corre frente a un automóvil en zancos.</v>
      </c>
    </row>
    <row r="24664">
      <c r="A24664" s="4" t="s">
        <v>31041</v>
      </c>
      <c r="B24664" s="4" t="s">
        <v>31042</v>
      </c>
      <c r="C24664" s="5" t="str">
        <f>IFERROR(__xludf.DUMMYFUNCTION("GOOGLETRANSLATE(B24664,""en"",""es-ES"")"),"Un gran grupo de niños reman en un lago con canoas rojas.")</f>
        <v>Un gran grupo de niños reman en un lago con canoas rojas.</v>
      </c>
    </row>
    <row r="24665">
      <c r="A24665" s="4" t="s">
        <v>31041</v>
      </c>
      <c r="B24665" s="4" t="s">
        <v>31043</v>
      </c>
      <c r="C24665" s="5" t="str">
        <f>IFERROR(__xludf.DUMMYFUNCTION("GOOGLETRANSLATE(B24665,""en"",""es-ES"")"),"Otros grupos de niños en un muelle preparan botes para su uso.")</f>
        <v>Otros grupos de niños en un muelle preparan botes para su uso.</v>
      </c>
    </row>
    <row r="24666">
      <c r="A24666" s="4" t="s">
        <v>31041</v>
      </c>
      <c r="B24666" s="4" t="s">
        <v>31044</v>
      </c>
      <c r="C24666" s="5" t="str">
        <f>IFERROR(__xludf.DUMMYFUNCTION("GOOGLETRANSLATE(B24666,""en"",""es-ES"")"),"Dos niños en una canoa reman para alejarse de las cañas en el borde del lago.")</f>
        <v>Dos niños en una canoa reman para alejarse de las cañas en el borde del lago.</v>
      </c>
    </row>
    <row r="24667">
      <c r="A24667" s="4" t="s">
        <v>31045</v>
      </c>
      <c r="B24667" s="4" t="s">
        <v>31046</v>
      </c>
      <c r="C24667" s="5" t="str">
        <f>IFERROR(__xludf.DUMMYFUNCTION("GOOGLETRANSLATE(B24667,""en"",""es-ES"")"),"Se ve a una persona arrodillada en el piso colocando yeso y sobre un azulejo.")</f>
        <v>Se ve a una persona arrodillada en el piso colocando yeso y sobre un azulejo.</v>
      </c>
    </row>
    <row r="24668">
      <c r="A24668" s="4" t="s">
        <v>31045</v>
      </c>
      <c r="B24668" s="4" t="s">
        <v>31047</v>
      </c>
      <c r="C24668" s="5" t="str">
        <f>IFERROR(__xludf.DUMMYFUNCTION("GOOGLETRANSLATE(B24668,""en"",""es-ES"")"),"La persona luego voltea las baldosas y las coloca en el piso.")</f>
        <v>La persona luego voltea las baldosas y las coloca en el piso.</v>
      </c>
    </row>
    <row r="24669">
      <c r="A24669" s="4" t="s">
        <v>31048</v>
      </c>
      <c r="B24669" s="4" t="s">
        <v>31049</v>
      </c>
      <c r="C24669" s="5" t="str">
        <f>IFERROR(__xludf.DUMMYFUNCTION("GOOGLETRANSLATE(B24669,""en"",""es-ES"")"),"Se ve a un joven parado ante una cortadora de césped y mirando la cámara.")</f>
        <v>Se ve a un joven parado ante una cortadora de césped y mirando la cámara.</v>
      </c>
    </row>
    <row r="24670">
      <c r="A24670" s="4" t="s">
        <v>31048</v>
      </c>
      <c r="B24670" s="4" t="s">
        <v>31050</v>
      </c>
      <c r="C24670" s="5" t="str">
        <f>IFERROR(__xludf.DUMMYFUNCTION("GOOGLETRANSLATE(B24670,""en"",""es-ES"")"),"El niño luego tira de una cuerda sobre el cortacésped.")</f>
        <v>El niño luego tira de una cuerda sobre el cortacésped.</v>
      </c>
    </row>
    <row r="24671">
      <c r="A24671" s="4" t="s">
        <v>31048</v>
      </c>
      <c r="B24671" s="4" t="s">
        <v>31051</v>
      </c>
      <c r="C24671" s="5" t="str">
        <f>IFERROR(__xludf.DUMMYFUNCTION("GOOGLETRANSLATE(B24671,""en"",""es-ES"")"),"Finalmente empuja hacia adelante en el cortacésped.")</f>
        <v>Finalmente empuja hacia adelante en el cortacésped.</v>
      </c>
    </row>
    <row r="24672">
      <c r="A24672" s="4" t="s">
        <v>31052</v>
      </c>
      <c r="B24672" s="4" t="s">
        <v>31053</v>
      </c>
      <c r="C24672" s="5" t="str">
        <f>IFERROR(__xludf.DUMMYFUNCTION("GOOGLETRANSLATE(B24672,""en"",""es-ES"")"),"Vemos a un hombre poniendo artículos en su auto.")</f>
        <v>Vemos a un hombre poniendo artículos en su auto.</v>
      </c>
    </row>
    <row r="24673">
      <c r="A24673" s="4" t="s">
        <v>31052</v>
      </c>
      <c r="B24673" s="4" t="s">
        <v>31054</v>
      </c>
      <c r="C24673" s="5" t="str">
        <f>IFERROR(__xludf.DUMMYFUNCTION("GOOGLETRANSLATE(B24673,""en"",""es-ES"")"),"El hombre se sube al auto y conduce por la calle.")</f>
        <v>El hombre se sube al auto y conduce por la calle.</v>
      </c>
    </row>
    <row r="24674">
      <c r="A24674" s="4" t="s">
        <v>31052</v>
      </c>
      <c r="B24674" s="4" t="s">
        <v>31055</v>
      </c>
      <c r="C24674" s="5" t="str">
        <f>IFERROR(__xludf.DUMMYFUNCTION("GOOGLETRANSLATE(B24674,""en"",""es-ES"")"),"Vemos hombres trepando en el interior en una pared de escalada y al aire libre en el bosque.")</f>
        <v>Vemos hombres trepando en el interior en una pared de escalada y al aire libre en el bosque.</v>
      </c>
    </row>
    <row r="24675">
      <c r="A24675" s="4" t="s">
        <v>31052</v>
      </c>
      <c r="B24675" s="4" t="s">
        <v>31056</v>
      </c>
      <c r="C24675" s="5" t="str">
        <f>IFERROR(__xludf.DUMMYFUNCTION("GOOGLETRANSLATE(B24675,""en"",""es-ES"")"),"Vemos a dos hombres al aire libre por la noche y luego el día.")</f>
        <v>Vemos a dos hombres al aire libre por la noche y luego el día.</v>
      </c>
    </row>
    <row r="24676">
      <c r="A24676" s="4" t="s">
        <v>31052</v>
      </c>
      <c r="B24676" s="4" t="s">
        <v>31057</v>
      </c>
      <c r="C24676" s="5" t="str">
        <f>IFERROR(__xludf.DUMMYFUNCTION("GOOGLETRANSLATE(B24676,""en"",""es-ES"")"),"Vemos hombres trepar un acantilado.")</f>
        <v>Vemos hombres trepar un acantilado.</v>
      </c>
    </row>
    <row r="24677">
      <c r="A24677" s="4" t="s">
        <v>31052</v>
      </c>
      <c r="B24677" s="4" t="s">
        <v>31058</v>
      </c>
      <c r="C24677" s="5" t="str">
        <f>IFERROR(__xludf.DUMMYFUNCTION("GOOGLETRANSLATE(B24677,""en"",""es-ES"")"),"Un hombre saluda desde arriba.")</f>
        <v>Un hombre saluda desde arriba.</v>
      </c>
    </row>
    <row r="24678">
      <c r="A24678" s="4" t="s">
        <v>31052</v>
      </c>
      <c r="B24678" s="4" t="s">
        <v>31059</v>
      </c>
      <c r="C24678" s="5" t="str">
        <f>IFERROR(__xludf.DUMMYFUNCTION("GOOGLETRANSLATE(B24678,""en"",""es-ES"")"),"Vemos a los hombres en la parte superior del acantilado.")</f>
        <v>Vemos a los hombres en la parte superior del acantilado.</v>
      </c>
    </row>
    <row r="24679">
      <c r="A24679" s="4" t="s">
        <v>31052</v>
      </c>
      <c r="B24679" s="4" t="s">
        <v>31060</v>
      </c>
      <c r="C24679" s="5" t="str">
        <f>IFERROR(__xludf.DUMMYFUNCTION("GOOGLETRANSLATE(B24679,""en"",""es-ES"")"),"Un hombre perfora los agujeros en una pared.")</f>
        <v>Un hombre perfora los agujeros en una pared.</v>
      </c>
    </row>
    <row r="24680">
      <c r="A24680" s="4" t="s">
        <v>31052</v>
      </c>
      <c r="B24680" s="4" t="s">
        <v>31061</v>
      </c>
      <c r="C24680" s="5" t="str">
        <f>IFERROR(__xludf.DUMMYFUNCTION("GOOGLETRANSLATE(B24680,""en"",""es-ES"")"),"Vemos a un hombre caer repetidamente.")</f>
        <v>Vemos a un hombre caer repetidamente.</v>
      </c>
    </row>
    <row r="24681">
      <c r="A24681" s="4" t="s">
        <v>31052</v>
      </c>
      <c r="B24681" s="4" t="s">
        <v>31062</v>
      </c>
      <c r="C24681" s="5" t="str">
        <f>IFERROR(__xludf.DUMMYFUNCTION("GOOGLETRANSLATE(B24681,""en"",""es-ES"")"),"Vemos a tres hombres en un bote en un río.")</f>
        <v>Vemos a tres hombres en un bote en un río.</v>
      </c>
    </row>
    <row r="24682">
      <c r="A24682" s="4" t="s">
        <v>31063</v>
      </c>
      <c r="B24682" s="4" t="s">
        <v>31064</v>
      </c>
      <c r="C24682" s="5" t="str">
        <f>IFERROR(__xludf.DUMMYFUNCTION("GOOGLETRANSLATE(B24682,""en"",""es-ES"")"),"Peolpe corre en la calle debajo de un puente.")</f>
        <v>Peolpe corre en la calle debajo de un puente.</v>
      </c>
    </row>
    <row r="24683">
      <c r="A24683" s="4" t="s">
        <v>31063</v>
      </c>
      <c r="B24683" s="4" t="s">
        <v>31065</v>
      </c>
      <c r="C24683" s="5" t="str">
        <f>IFERROR(__xludf.DUMMYFUNCTION("GOOGLETRANSLATE(B24683,""en"",""es-ES"")"),"La gente está de pie y corriendo por el puente y la calle.")</f>
        <v>La gente está de pie y corriendo por el puente y la calle.</v>
      </c>
    </row>
    <row r="24684">
      <c r="A24684" s="4" t="s">
        <v>31066</v>
      </c>
      <c r="B24684" s="4" t="s">
        <v>31067</v>
      </c>
      <c r="C24684" s="5" t="str">
        <f>IFERROR(__xludf.DUMMYFUNCTION("GOOGLETRANSLATE(B24684,""en"",""es-ES"")"),"Un niño se encuentra desde el fondo de un tobogán y se aleja.")</f>
        <v>Un niño se encuentra desde el fondo de un tobogán y se aleja.</v>
      </c>
    </row>
    <row r="24685">
      <c r="A24685" s="4" t="s">
        <v>31066</v>
      </c>
      <c r="B24685" s="4" t="s">
        <v>31068</v>
      </c>
      <c r="C24685" s="5" t="str">
        <f>IFERROR(__xludf.DUMMYFUNCTION("GOOGLETRANSLATE(B24685,""en"",""es-ES"")"),"Otros niños se deslizan sobre otra diapositiva en el patio de recreo.")</f>
        <v>Otros niños se deslizan sobre otra diapositiva en el patio de recreo.</v>
      </c>
    </row>
    <row r="24686">
      <c r="A24686" s="4" t="s">
        <v>31066</v>
      </c>
      <c r="B24686" s="4" t="s">
        <v>31069</v>
      </c>
      <c r="C24686" s="5" t="str">
        <f>IFERROR(__xludf.DUMMYFUNCTION("GOOGLETRANSLATE(B24686,""en"",""es-ES"")"),"Un niño pequeño sube a un gimnasio de la jungla y luego baja por el tobogán.")</f>
        <v>Un niño pequeño sube a un gimnasio de la jungla y luego baja por el tobogán.</v>
      </c>
    </row>
    <row r="24687">
      <c r="A24687" s="4" t="s">
        <v>31070</v>
      </c>
      <c r="B24687" s="4" t="s">
        <v>31071</v>
      </c>
      <c r="C24687" s="5" t="str">
        <f>IFERROR(__xludf.DUMMYFUNCTION("GOOGLETRANSLATE(B24687,""en"",""es-ES"")"),"Un perro Shih Tzu está parado sobre una mesa preparado por una anciana asiática.")</f>
        <v>Un perro Shih Tzu está parado sobre una mesa preparado por una anciana asiática.</v>
      </c>
    </row>
    <row r="24688">
      <c r="A24688" s="4" t="s">
        <v>31070</v>
      </c>
      <c r="B24688" s="4" t="s">
        <v>31072</v>
      </c>
      <c r="C24688" s="5" t="str">
        <f>IFERROR(__xludf.DUMMYFUNCTION("GOOGLETRANSLATE(B24688,""en"",""es-ES"")"),"Una vez que termina con la parte superior, la señora la pata delantera izquierda de los perros y toma un par de tijeras y comienza a recortar debajo de su cuerpo.")</f>
        <v>Una vez que termina con la parte superior, la señora la pata delantera izquierda de los perros y toma un par de tijeras y comienza a recortar debajo de su cuerpo.</v>
      </c>
    </row>
    <row r="24689">
      <c r="A24689" s="4" t="s">
        <v>31070</v>
      </c>
      <c r="B24689" s="4" t="s">
        <v>31073</v>
      </c>
      <c r="C24689" s="5" t="str">
        <f>IFERROR(__xludf.DUMMYFUNCTION("GOOGLETRANSLATE(B24689,""en"",""es-ES"")"),"Una vez que el vientre está listo, va a la parte superior de la cabeza de los perros y se corta el cabello alrededor de la cara y recorta el resto del cabello detrás de él.")</f>
        <v>Una vez que el vientre está listo, va a la parte superior de la cabeza de los perros y se corta el cabello alrededor de la cara y recorta el resto del cabello detrás de él.</v>
      </c>
    </row>
    <row r="24690">
      <c r="A24690" s="4" t="s">
        <v>31070</v>
      </c>
      <c r="B24690" s="4" t="s">
        <v>31074</v>
      </c>
      <c r="C24690" s="5" t="str">
        <f>IFERROR(__xludf.DUMMYFUNCTION("GOOGLETRANSLATE(B24690,""en"",""es-ES"")"),"El siguiente paso consiste en recortar el cabello debajo de la boca del perro.")</f>
        <v>El siguiente paso consiste en recortar el cabello debajo de la boca del perro.</v>
      </c>
    </row>
    <row r="24691">
      <c r="A24691" s="4" t="s">
        <v>31075</v>
      </c>
      <c r="B24691" s="4" t="s">
        <v>31076</v>
      </c>
      <c r="C24691" s="5" t="str">
        <f>IFERROR(__xludf.DUMMYFUNCTION("GOOGLETRANSLATE(B24691,""en"",""es-ES"")"),"Un hombre está jugando fútbol con otro en un campo.")</f>
        <v>Un hombre está jugando fútbol con otro en un campo.</v>
      </c>
    </row>
    <row r="24692">
      <c r="A24692" s="4" t="s">
        <v>31075</v>
      </c>
      <c r="B24692" s="4" t="s">
        <v>31077</v>
      </c>
      <c r="C24692" s="5" t="str">
        <f>IFERROR(__xludf.DUMMYFUNCTION("GOOGLETRANSLATE(B24692,""en"",""es-ES"")"),"Realiza un movimiento rápido de giro con el otro siguiendo cerca.")</f>
        <v>Realiza un movimiento rápido de giro con el otro siguiendo cerca.</v>
      </c>
    </row>
    <row r="24693">
      <c r="A24693" s="4" t="s">
        <v>31075</v>
      </c>
      <c r="B24693" s="4" t="s">
        <v>31078</v>
      </c>
      <c r="C24693" s="5" t="str">
        <f>IFERROR(__xludf.DUMMYFUNCTION("GOOGLETRANSLATE(B24693,""en"",""es-ES"")"),"El mismo clip se reproduce una y otra vez a velocidades más lentas para comprender mejor el truco.")</f>
        <v>El mismo clip se reproduce una y otra vez a velocidades más lentas para comprender mejor el truco.</v>
      </c>
    </row>
    <row r="24694">
      <c r="A24694" s="4" t="s">
        <v>31075</v>
      </c>
      <c r="B24694" s="4" t="s">
        <v>31079</v>
      </c>
      <c r="C24694" s="5" t="str">
        <f>IFERROR(__xludf.DUMMYFUNCTION("GOOGLETRANSLATE(B24694,""en"",""es-ES"")"),"Se realiza otro truco y luego se muestra en cámara lenta.")</f>
        <v>Se realiza otro truco y luego se muestra en cámara lenta.</v>
      </c>
    </row>
    <row r="24695">
      <c r="A24695" s="4" t="s">
        <v>31075</v>
      </c>
      <c r="B24695" s="4" t="s">
        <v>31080</v>
      </c>
      <c r="C24695" s="5" t="str">
        <f>IFERROR(__xludf.DUMMYFUNCTION("GOOGLETRANSLATE(B24695,""en"",""es-ES"")"),"El dúo demostró dos trucos más y finalmente se muestran a un ritmo lento.")</f>
        <v>El dúo demostró dos trucos más y finalmente se muestran a un ritmo lento.</v>
      </c>
    </row>
    <row r="24696">
      <c r="A24696" s="4" t="s">
        <v>31081</v>
      </c>
      <c r="B24696" s="4" t="s">
        <v>31082</v>
      </c>
      <c r="C24696" s="5" t="str">
        <f>IFERROR(__xludf.DUMMYFUNCTION("GOOGLETRANSLATE(B24696,""en"",""es-ES"")"),"Una introducción comienza con el reproductor de música y la letra extranjera se presentan en la pantalla.")</f>
        <v>Una introducción comienza con el reproductor de música y la letra extranjera se presentan en la pantalla.</v>
      </c>
    </row>
    <row r="24697">
      <c r="A24697" s="4" t="s">
        <v>31081</v>
      </c>
      <c r="B24697" s="4" t="s">
        <v>31083</v>
      </c>
      <c r="C24697" s="5" t="str">
        <f>IFERROR(__xludf.DUMMYFUNCTION("GOOGLETRANSLATE(B24697,""en"",""es-ES"")"),"Un hombre se sienta frente a una cachimba y comienza a hablar con la cámara.")</f>
        <v>Un hombre se sienta frente a una cachimba y comienza a hablar con la cámara.</v>
      </c>
    </row>
    <row r="24698">
      <c r="A24698" s="4" t="s">
        <v>31081</v>
      </c>
      <c r="B24698" s="4" t="s">
        <v>31084</v>
      </c>
      <c r="C24698" s="5" t="str">
        <f>IFERROR(__xludf.DUMMYFUNCTION("GOOGLETRANSLATE(B24698,""en"",""es-ES"")"),"El hombre recibe un golpe de la cachimba y tose un poco.")</f>
        <v>El hombre recibe un golpe de la cachimba y tose un poco.</v>
      </c>
    </row>
    <row r="24699">
      <c r="A24699" s="4" t="s">
        <v>31081</v>
      </c>
      <c r="B24699" s="4" t="s">
        <v>31085</v>
      </c>
      <c r="C24699" s="5" t="str">
        <f>IFERROR(__xludf.DUMMYFUNCTION("GOOGLETRANSLATE(B24699,""en"",""es-ES"")"),"El hombre muestra cómo evitar toser con una cachimba moviendo el tabaco en el tazón.")</f>
        <v>El hombre muestra cómo evitar toser con una cachimba moviendo el tabaco en el tazón.</v>
      </c>
    </row>
    <row r="24700">
      <c r="A24700" s="4" t="s">
        <v>31081</v>
      </c>
      <c r="B24700" s="4" t="s">
        <v>31086</v>
      </c>
      <c r="C24700" s="5" t="str">
        <f>IFERROR(__xludf.DUMMYFUNCTION("GOOGLETRANSLATE(B24700,""en"",""es-ES"")"),"Se sienta y quita otra bocanada de la narguile.")</f>
        <v>Se sienta y quita otra bocanada de la narguile.</v>
      </c>
    </row>
    <row r="24701">
      <c r="A24701" s="4" t="s">
        <v>31081</v>
      </c>
      <c r="B24701" s="4" t="s">
        <v>31087</v>
      </c>
      <c r="C24701" s="5" t="str">
        <f>IFERROR(__xludf.DUMMYFUNCTION("GOOGLETRANSLATE(B24701,""en"",""es-ES"")"),"Luego continúa sacando bocanadas del dispositivo y hablando sobre cómo obtener éxitos claros.")</f>
        <v>Luego continúa sacando bocanadas del dispositivo y hablando sobre cómo obtener éxitos claros.</v>
      </c>
    </row>
    <row r="24702">
      <c r="A24702" s="4" t="s">
        <v>31088</v>
      </c>
      <c r="B24702" s="4" t="s">
        <v>31089</v>
      </c>
      <c r="C24702" s="5" t="str">
        <f>IFERROR(__xludf.DUMMYFUNCTION("GOOGLETRANSLATE(B24702,""en"",""es-ES"")"),"El Departamento de Transporte demuestra puntas de seguridad de hielo y nieve con un automóvil blanco cubierto de nieve.")</f>
        <v>El Departamento de Transporte demuestra puntas de seguridad de hielo y nieve con un automóvil blanco cubierto de nieve.</v>
      </c>
    </row>
    <row r="24703">
      <c r="A24703" s="4" t="s">
        <v>31088</v>
      </c>
      <c r="B24703" s="4" t="s">
        <v>31090</v>
      </c>
      <c r="C24703" s="5" t="str">
        <f>IFERROR(__xludf.DUMMYFUNCTION("GOOGLETRANSLATE(B24703,""en"",""es-ES"")"),"Una dama con una chaqueta de invierno roja coloca las llaves en el encendido y comienza el auto.")</f>
        <v>Una dama con una chaqueta de invierno roja coloca las llaves en el encendido y comienza el auto.</v>
      </c>
    </row>
    <row r="24704">
      <c r="A24704" s="4" t="s">
        <v>31088</v>
      </c>
      <c r="B24704" s="4" t="s">
        <v>31091</v>
      </c>
      <c r="C24704" s="5" t="str">
        <f>IFERROR(__xludf.DUMMYFUNCTION("GOOGLETRANSLATE(B24704,""en"",""es-ES"")"),"La señora de la chaqueta roja abre la cajuela del automóvil y quita un cepillo de nieve y cepilla la nieve del cuerpo del automóvil, parabrisas, luces de cabeza, parrilla delantera y etiqueta de licencia.")</f>
        <v>La señora de la chaqueta roja abre la cajuela del automóvil y quita un cepillo de nieve y cepilla la nieve del cuerpo del automóvil, parabrisas, luces de cabeza, parrilla delantera y etiqueta de licencia.</v>
      </c>
    </row>
    <row r="24705">
      <c r="A24705" s="4" t="s">
        <v>31092</v>
      </c>
      <c r="B24705" s="4" t="s">
        <v>31093</v>
      </c>
      <c r="C24705" s="5" t="str">
        <f>IFERROR(__xludf.DUMMYFUNCTION("GOOGLETRANSLATE(B24705,""en"",""es-ES"")"),"Un hombre está en el piso con algunos dispositivos mirándolo y jugando con él.")</f>
        <v>Un hombre está en el piso con algunos dispositivos mirándolo y jugando con él.</v>
      </c>
    </row>
    <row r="24706">
      <c r="A24706" s="4" t="s">
        <v>31092</v>
      </c>
      <c r="B24706" s="4" t="s">
        <v>31094</v>
      </c>
      <c r="C24706" s="5" t="str">
        <f>IFERROR(__xludf.DUMMYFUNCTION("GOOGLETRANSLATE(B24706,""en"",""es-ES"")"),"Él pone una manguera en un SDE y comienza a jugar con ella un poco más.")</f>
        <v>Él pone una manguera en un SDE y comienza a jugar con ella un poco más.</v>
      </c>
    </row>
    <row r="24707">
      <c r="A24707" s="4" t="s">
        <v>31092</v>
      </c>
      <c r="B24707" s="4" t="s">
        <v>31095</v>
      </c>
      <c r="C24707" s="5" t="str">
        <f>IFERROR(__xludf.DUMMYFUNCTION("GOOGLETRANSLATE(B24707,""en"",""es-ES"")"),"Luego lo mueve al Corer de la alfombra y comienza a trabajar en ella.")</f>
        <v>Luego lo mueve al Corer de la alfombra y comienza a trabajar en ella.</v>
      </c>
    </row>
    <row r="24708">
      <c r="A24708" s="4" t="s">
        <v>31092</v>
      </c>
      <c r="B24708" s="4" t="s">
        <v>31096</v>
      </c>
      <c r="C24708" s="5" t="str">
        <f>IFERROR(__xludf.DUMMYFUNCTION("GOOGLETRANSLATE(B24708,""en"",""es-ES"")"),"Lo mueve más y empujando la alfombra hacia abajo, hace esto para básicamente toda la habitación.")</f>
        <v>Lo mueve más y empujando la alfombra hacia abajo, hace esto para básicamente toda la habitación.</v>
      </c>
    </row>
    <row r="24709">
      <c r="A24709" s="4" t="s">
        <v>31097</v>
      </c>
      <c r="B24709" s="4" t="s">
        <v>31098</v>
      </c>
      <c r="C24709" s="5" t="str">
        <f>IFERROR(__xludf.DUMMYFUNCTION("GOOGLETRANSLATE(B24709,""en"",""es-ES"")"),"Una dama patea una pelota en un campo.")</f>
        <v>Una dama patea una pelota en un campo.</v>
      </c>
    </row>
    <row r="24710">
      <c r="A24710" s="4" t="s">
        <v>31097</v>
      </c>
      <c r="B24710" s="4" t="s">
        <v>31099</v>
      </c>
      <c r="C24710" s="5" t="str">
        <f>IFERROR(__xludf.DUMMYFUNCTION("GOOGLETRANSLATE(B24710,""en"",""es-ES"")"),"La señora recoge al bebé.")</f>
        <v>La señora recoge al bebé.</v>
      </c>
    </row>
    <row r="24711">
      <c r="A24711" s="4" t="s">
        <v>31097</v>
      </c>
      <c r="B24711" s="4" t="s">
        <v>31100</v>
      </c>
      <c r="C24711" s="5" t="str">
        <f>IFERROR(__xludf.DUMMYFUNCTION("GOOGLETRANSLATE(B24711,""en"",""es-ES"")"),"La señora corre por la pantalla.")</f>
        <v>La señora corre por la pantalla.</v>
      </c>
    </row>
    <row r="24712">
      <c r="A24712" s="4" t="s">
        <v>31097</v>
      </c>
      <c r="B24712" s="4" t="s">
        <v>31101</v>
      </c>
      <c r="C24712" s="5" t="str">
        <f>IFERROR(__xludf.DUMMYFUNCTION("GOOGLETRANSLATE(B24712,""en"",""es-ES"")"),"La cámara se mueve hacia la izquierda y la derecha para mostrar a la multitud de pie.")</f>
        <v>La cámara se mueve hacia la izquierda y la derecha para mostrar a la multitud de pie.</v>
      </c>
    </row>
    <row r="24713">
      <c r="A24713" s="4" t="s">
        <v>31102</v>
      </c>
      <c r="B24713" s="4" t="s">
        <v>31103</v>
      </c>
      <c r="C24713" s="5" t="str">
        <f>IFERROR(__xludf.DUMMYFUNCTION("GOOGLETRANSLATE(B24713,""en"",""es-ES"")"),"Una pared está pintada por dos hombres.")</f>
        <v>Una pared está pintada por dos hombres.</v>
      </c>
    </row>
    <row r="24714">
      <c r="A24714" s="4" t="s">
        <v>31102</v>
      </c>
      <c r="B24714" s="4" t="s">
        <v>31104</v>
      </c>
      <c r="C24714" s="5" t="str">
        <f>IFERROR(__xludf.DUMMYFUNCTION("GOOGLETRANSLATE(B24714,""en"",""es-ES"")"),"Luego cuelgan decoraciones de pared que tienen un fondo de pantalla en apariencia.")</f>
        <v>Luego cuelgan decoraciones de pared que tienen un fondo de pantalla en apariencia.</v>
      </c>
    </row>
    <row r="24715">
      <c r="A24715" s="4" t="s">
        <v>31105</v>
      </c>
      <c r="B24715" s="4" t="s">
        <v>31106</v>
      </c>
      <c r="C24715" s="5" t="str">
        <f>IFERROR(__xludf.DUMMYFUNCTION("GOOGLETRANSLATE(B24715,""en"",""es-ES"")"),"Aparece una pareja en la pantalla, hablando de bailar el tango.")</f>
        <v>Aparece una pareja en la pantalla, hablando de bailar el tango.</v>
      </c>
    </row>
    <row r="24716">
      <c r="A24716" s="4" t="s">
        <v>31105</v>
      </c>
      <c r="B24716" s="4" t="s">
        <v>31107</v>
      </c>
      <c r="C24716" s="5" t="str">
        <f>IFERROR(__xludf.DUMMYFUNCTION("GOOGLETRANSLATE(B24716,""en"",""es-ES"")"),"Comienzan a mostrar diferentes pasos del baile mientras hablan.")</f>
        <v>Comienzan a mostrar diferentes pasos del baile mientras hablan.</v>
      </c>
    </row>
    <row r="24717">
      <c r="A24717" s="4" t="s">
        <v>31105</v>
      </c>
      <c r="B24717" s="4" t="s">
        <v>31108</v>
      </c>
      <c r="C24717" s="5" t="str">
        <f>IFERROR(__xludf.DUMMYFUNCTION("GOOGLETRANSLATE(B24717,""en"",""es-ES"")"),"Avanzan hacia adelante y hacia adelante y hacia atrás, demostrando el tango.")</f>
        <v>Avanzan hacia adelante y hacia adelante y hacia atrás, demostrando el tango.</v>
      </c>
    </row>
    <row r="24718">
      <c r="A24718" s="4" t="s">
        <v>31105</v>
      </c>
      <c r="B24718" s="4" t="s">
        <v>31109</v>
      </c>
      <c r="C24718" s="5" t="str">
        <f>IFERROR(__xludf.DUMMYFUNCTION("GOOGLETRANSLATE(B24718,""en"",""es-ES"")"),"Luego bailan juntos para la cámara.")</f>
        <v>Luego bailan juntos para la cámara.</v>
      </c>
    </row>
    <row r="24719">
      <c r="A24719" s="4" t="s">
        <v>31110</v>
      </c>
      <c r="B24719" s="4" t="s">
        <v>31111</v>
      </c>
      <c r="C24719" s="5" t="str">
        <f>IFERROR(__xludf.DUMMYFUNCTION("GOOGLETRANSLATE(B24719,""en"",""es-ES"")"),"Los jugadores se paran al margen antes de un partido de voleibol en la playa.")</f>
        <v>Los jugadores se paran al margen antes de un partido de voleibol en la playa.</v>
      </c>
    </row>
    <row r="24720">
      <c r="A24720" s="4" t="s">
        <v>31110</v>
      </c>
      <c r="B24720" s="4" t="s">
        <v>31112</v>
      </c>
      <c r="C24720" s="5" t="str">
        <f>IFERROR(__xludf.DUMMYFUNCTION("GOOGLETRANSLATE(B24720,""en"",""es-ES"")"),"Los jugadores caminan hacia la cancha y toman posiciones para el partido.")</f>
        <v>Los jugadores caminan hacia la cancha y toman posiciones para el partido.</v>
      </c>
    </row>
    <row r="24721">
      <c r="A24721" s="4" t="s">
        <v>31110</v>
      </c>
      <c r="B24721" s="4" t="s">
        <v>31113</v>
      </c>
      <c r="C24721" s="5" t="str">
        <f>IFERROR(__xludf.DUMMYFUNCTION("GOOGLETRANSLATE(B24721,""en"",""es-ES"")"),"Los equipos juegan un juego de voleibol de playa.")</f>
        <v>Los equipos juegan un juego de voleibol de playa.</v>
      </c>
    </row>
    <row r="24722">
      <c r="A24722" s="4" t="s">
        <v>31110</v>
      </c>
      <c r="B24722" s="4" t="s">
        <v>31114</v>
      </c>
      <c r="C24722" s="5" t="str">
        <f>IFERROR(__xludf.DUMMYFUNCTION("GOOGLETRANSLATE(B24722,""en"",""es-ES"")"),"Los jugadores se dan la mano y se felicitan.")</f>
        <v>Los jugadores se dan la mano y se felicitan.</v>
      </c>
    </row>
    <row r="24723">
      <c r="A24723" s="4" t="s">
        <v>31115</v>
      </c>
      <c r="B24723" s="4" t="s">
        <v>31116</v>
      </c>
      <c r="C24723" s="5" t="str">
        <f>IFERROR(__xludf.DUMMYFUNCTION("GOOGLETRANSLATE(B24723,""en"",""es-ES"")"),"Un joven habla mientras muestra un saxofón.")</f>
        <v>Un joven habla mientras muestra un saxofón.</v>
      </c>
    </row>
    <row r="24724">
      <c r="A24724" s="4" t="s">
        <v>31115</v>
      </c>
      <c r="B24724" s="4" t="s">
        <v>31117</v>
      </c>
      <c r="C24724" s="5" t="str">
        <f>IFERROR(__xludf.DUMMYFUNCTION("GOOGLETRANSLATE(B24724,""en"",""es-ES"")"),"El joven señala las llaves del saxofón mientras habla.")</f>
        <v>El joven señala las llaves del saxofón mientras habla.</v>
      </c>
    </row>
    <row r="24725">
      <c r="A24725" s="4" t="s">
        <v>31115</v>
      </c>
      <c r="B24725" s="4" t="s">
        <v>31118</v>
      </c>
      <c r="C24725" s="5" t="str">
        <f>IFERROR(__xludf.DUMMYFUNCTION("GOOGLETRANSLATE(B24725,""en"",""es-ES"")"),"Luego, el joven abrochó el saxofón con una cinta azul en el cuello.")</f>
        <v>Luego, el joven abrochó el saxofón con una cinta azul en el cuello.</v>
      </c>
    </row>
    <row r="24726">
      <c r="A24726" s="4" t="s">
        <v>31115</v>
      </c>
      <c r="B24726" s="4" t="s">
        <v>31119</v>
      </c>
      <c r="C24726" s="5" t="str">
        <f>IFERROR(__xludf.DUMMYFUNCTION("GOOGLETRANSLATE(B24726,""en"",""es-ES"")"),"Después, el joven pone su boca en la boquilla del saxofón, luego continúa explicando.")</f>
        <v>Después, el joven pone su boca en la boquilla del saxofón, luego continúa explicando.</v>
      </c>
    </row>
    <row r="24727">
      <c r="A24727" s="4" t="s">
        <v>31120</v>
      </c>
      <c r="B24727" s="4" t="s">
        <v>31121</v>
      </c>
      <c r="C24727" s="5" t="str">
        <f>IFERROR(__xludf.DUMMYFUNCTION("GOOGLETRANSLATE(B24727,""en"",""es-ES"")"),"Un estilista explica cómo cortar el corte de pelo de un hombre.")</f>
        <v>Un estilista explica cómo cortar el corte de pelo de un hombre.</v>
      </c>
    </row>
    <row r="24728">
      <c r="A24728" s="4" t="s">
        <v>31120</v>
      </c>
      <c r="B24728" s="4" t="s">
        <v>31122</v>
      </c>
      <c r="C24728" s="5" t="str">
        <f>IFERROR(__xludf.DUMMYFUNCTION("GOOGLETRANSLATE(B24728,""en"",""es-ES"")"),"La silista del cabello prepara el cabello en secciones con algunos clips y comienza a cortar el cabello con una navaja de afeitar y coloca un clip en el cabello en la parte superior de la cabeza y procede a cortar el cabello con tijeras que fabrican capas"&amp;".")</f>
        <v>La silista del cabello prepara el cabello en secciones con algunos clips y comienza a cortar el cabello con una navaja de afeitar y coloca un clip en el cabello en la parte superior de la cabeza y procede a cortar el cabello con tijeras que fabrican capas.</v>
      </c>
    </row>
    <row r="24729">
      <c r="A24729" s="4" t="s">
        <v>31120</v>
      </c>
      <c r="B24729" s="4" t="s">
        <v>31123</v>
      </c>
      <c r="C24729" s="5" t="str">
        <f>IFERROR(__xludf.DUMMYFUNCTION("GOOGLETRANSLATE(B24729,""en"",""es-ES"")"),"El estilista luego usa una secadora para soplador de cabello para esponjar el cabello con sus dedos.")</f>
        <v>El estilista luego usa una secadora para soplador de cabello para esponjar el cabello con sus dedos.</v>
      </c>
    </row>
    <row r="24730">
      <c r="A24730" s="4" t="s">
        <v>31120</v>
      </c>
      <c r="B24730" s="4" t="s">
        <v>31124</v>
      </c>
      <c r="C24730" s="5" t="str">
        <f>IFERROR(__xludf.DUMMYFUNCTION("GOOGLETRANSLATE(B24730,""en"",""es-ES"")"),"El estilista usa solo sus dedos para esponjar el cabello.")</f>
        <v>El estilista usa solo sus dedos para esponjar el cabello.</v>
      </c>
    </row>
    <row r="24731">
      <c r="A24731" s="4" t="s">
        <v>31120</v>
      </c>
      <c r="B24731" s="4" t="s">
        <v>31125</v>
      </c>
      <c r="C24731" s="5" t="str">
        <f>IFERROR(__xludf.DUMMYFUNCTION("GOOGLETRANSLATE(B24731,""en"",""es-ES"")"),"Un primer plano de Theman y el corte final y un primer plano del estilista.")</f>
        <v>Un primer plano de Theman y el corte final y un primer plano del estilista.</v>
      </c>
    </row>
    <row r="24732">
      <c r="A24732" s="4" t="s">
        <v>31126</v>
      </c>
      <c r="B24732" s="4" t="s">
        <v>31127</v>
      </c>
      <c r="C24732" s="5" t="str">
        <f>IFERROR(__xludf.DUMMYFUNCTION("GOOGLETRANSLATE(B24732,""en"",""es-ES"")"),"Una mano dirige el área suelta del fondo de pantalla.")</f>
        <v>Una mano dirige el área suelta del fondo de pantalla.</v>
      </c>
    </row>
    <row r="24733">
      <c r="A24733" s="4" t="s">
        <v>31126</v>
      </c>
      <c r="B24733" s="4" t="s">
        <v>31128</v>
      </c>
      <c r="C24733" s="5" t="str">
        <f>IFERROR(__xludf.DUMMYFUNCTION("GOOGLETRANSLATE(B24733,""en"",""es-ES"")"),"La mano pone la pasta de un tazón en la parte posterior del fondo de pantalla suelto.")</f>
        <v>La mano pone la pasta de un tazón en la parte posterior del fondo de pantalla suelto.</v>
      </c>
    </row>
    <row r="24734">
      <c r="A24734" s="4" t="s">
        <v>31126</v>
      </c>
      <c r="B24734" s="4" t="s">
        <v>31129</v>
      </c>
      <c r="C24734" s="5" t="str">
        <f>IFERROR(__xludf.DUMMYFUNCTION("GOOGLETRANSLATE(B24734,""en"",""es-ES"")"),"La mano corre un matorral en el fondo de pantalla suelto.")</f>
        <v>La mano corre un matorral en el fondo de pantalla suelto.</v>
      </c>
    </row>
    <row r="24735">
      <c r="A24735" s="4" t="s">
        <v>31126</v>
      </c>
      <c r="B24735" s="4" t="s">
        <v>31130</v>
      </c>
      <c r="C24735" s="5" t="str">
        <f>IFERROR(__xludf.DUMMYFUNCTION("GOOGLETRANSLATE(B24735,""en"",""es-ES"")"),"La mano sostiene un secador y la otra mano rueda un dispositivo para reparar el fondo de pantalla suelto.")</f>
        <v>La mano sostiene un secador y la otra mano rueda un dispositivo para reparar el fondo de pantalla suelto.</v>
      </c>
    </row>
    <row r="24736">
      <c r="A24736" s="4" t="s">
        <v>31126</v>
      </c>
      <c r="B24736" s="4" t="s">
        <v>31131</v>
      </c>
      <c r="C24736" s="5" t="str">
        <f>IFERROR(__xludf.DUMMYFUNCTION("GOOGLETRANSLATE(B24736,""en"",""es-ES"")"),"La mano ejecuta un exfoliante rápidamente a través del fondo de pantalla reparado.")</f>
        <v>La mano ejecuta un exfoliante rápidamente a través del fondo de pantalla reparado.</v>
      </c>
    </row>
    <row r="24737">
      <c r="A24737" s="4" t="s">
        <v>31132</v>
      </c>
      <c r="B24737" s="4" t="s">
        <v>31133</v>
      </c>
      <c r="C24737" s="5" t="str">
        <f>IFERROR(__xludf.DUMMYFUNCTION("GOOGLETRANSLATE(B24737,""en"",""es-ES"")"),"Una mujer presenta el video de decoración de su hogar, de pie junto a una silla.")</f>
        <v>Una mujer presenta el video de decoración de su hogar, de pie junto a una silla.</v>
      </c>
    </row>
    <row r="24738">
      <c r="A24738" s="4" t="s">
        <v>31132</v>
      </c>
      <c r="B24738" s="4" t="s">
        <v>31134</v>
      </c>
      <c r="C24738" s="5" t="str">
        <f>IFERROR(__xludf.DUMMYFUNCTION("GOOGLETRANSLATE(B24738,""en"",""es-ES"")"),"Primero frota la tierra de la silla con una esponja.")</f>
        <v>Primero frota la tierra de la silla con una esponja.</v>
      </c>
    </row>
    <row r="24739">
      <c r="A24739" s="4" t="s">
        <v>31132</v>
      </c>
      <c r="B24739" s="4" t="s">
        <v>31135</v>
      </c>
      <c r="C24739" s="5" t="str">
        <f>IFERROR(__xludf.DUMMYFUNCTION("GOOGLETRANSLATE(B24739,""en"",""es-ES"")"),"A continuación, aplica una pintura plateada a la silla.")</f>
        <v>A continuación, aplica una pintura plateada a la silla.</v>
      </c>
    </row>
    <row r="24740">
      <c r="A24740" s="4" t="s">
        <v>31132</v>
      </c>
      <c r="B24740" s="4" t="s">
        <v>31136</v>
      </c>
      <c r="C24740" s="5" t="str">
        <f>IFERROR(__xludf.DUMMYFUNCTION("GOOGLETRANSLATE(B24740,""en"",""es-ES"")"),"Luego sumerge su cepillo en una pintura azul para cubrir el asiento de la silla, la espalda y luego los brazos/piernas.")</f>
        <v>Luego sumerge su cepillo en una pintura azul para cubrir el asiento de la silla, la espalda y luego los brazos/piernas.</v>
      </c>
    </row>
    <row r="24741">
      <c r="A24741" s="4" t="s">
        <v>31132</v>
      </c>
      <c r="B24741" s="4" t="s">
        <v>31137</v>
      </c>
      <c r="C24741" s="5" t="str">
        <f>IFERROR(__xludf.DUMMYFUNCTION("GOOGLETRANSLATE(B24741,""en"",""es-ES"")"),"Por último, coloca plantillas en la silla y pinta el interior de blanco para decorar.")</f>
        <v>Por último, coloca plantillas en la silla y pinta el interior de blanco para decorar.</v>
      </c>
    </row>
    <row r="24742">
      <c r="A24742" s="4" t="s">
        <v>31138</v>
      </c>
      <c r="B24742" s="4" t="s">
        <v>31139</v>
      </c>
      <c r="C24742" s="5" t="str">
        <f>IFERROR(__xludf.DUMMYFUNCTION("GOOGLETRANSLATE(B24742,""en"",""es-ES"")"),"Los hombres están sentados en una mesa de Jack Black en un casino y el concesionario está extendiendo las cartas a los jugadores.")</f>
        <v>Los hombres están sentados en una mesa de Jack Black en un casino y el concesionario está extendiendo las cartas a los jugadores.</v>
      </c>
    </row>
    <row r="24743">
      <c r="A24743" s="4" t="s">
        <v>31138</v>
      </c>
      <c r="B24743" s="4" t="s">
        <v>31140</v>
      </c>
      <c r="C24743" s="5" t="str">
        <f>IFERROR(__xludf.DUMMYFUNCTION("GOOGLETRANSLATE(B24743,""en"",""es-ES"")"),"El hombre está hablando con la cámara.")</f>
        <v>El hombre está hablando con la cámara.</v>
      </c>
    </row>
    <row r="24744">
      <c r="A24744" s="4" t="s">
        <v>31138</v>
      </c>
      <c r="B24744" s="4" t="s">
        <v>31141</v>
      </c>
      <c r="C24744" s="5" t="str">
        <f>IFERROR(__xludf.DUMMYFUNCTION("GOOGLETRANSLATE(B24744,""en"",""es-ES"")"),"La mujer del concesionario está de pie hablando frente a la cámara.")</f>
        <v>La mujer del concesionario está de pie hablando frente a la cámara.</v>
      </c>
    </row>
    <row r="24745">
      <c r="A24745" s="4" t="s">
        <v>31138</v>
      </c>
      <c r="B24745" s="4" t="s">
        <v>31142</v>
      </c>
      <c r="C24745" s="5" t="str">
        <f>IFERROR(__xludf.DUMMYFUNCTION("GOOGLETRANSLATE(B24745,""en"",""es-ES"")"),"El hombre está parado frente a la máquina tragamonedas hablando con la cámara.")</f>
        <v>El hombre está parado frente a la máquina tragamonedas hablando con la cámara.</v>
      </c>
    </row>
    <row r="24746">
      <c r="A24746" s="4" t="s">
        <v>31143</v>
      </c>
      <c r="B24746" s="4" t="s">
        <v>31144</v>
      </c>
      <c r="C24746" s="5" t="str">
        <f>IFERROR(__xludf.DUMMYFUNCTION("GOOGLETRANSLATE(B24746,""en"",""es-ES"")"),"Varias herramientas y productos se colocan sobre una mesa y se transmiten a un hombre que camina frente a un espejo y le pone loción en la cara.")</f>
        <v>Varias herramientas y productos se colocan sobre una mesa y se transmiten a un hombre que camina frente a un espejo y le pone loción en la cara.</v>
      </c>
    </row>
    <row r="24747">
      <c r="A24747" s="4" t="s">
        <v>31143</v>
      </c>
      <c r="B24747" s="4" t="s">
        <v>31145</v>
      </c>
      <c r="C24747" s="5" t="str">
        <f>IFERROR(__xludf.DUMMYFUNCTION("GOOGLETRANSLATE(B24747,""en"",""es-ES"")"),"Luego le pone crema en la cara y se afeita por todo el rostro.")</f>
        <v>Luego le pone crema en la cara y se afeita por todo el rostro.</v>
      </c>
    </row>
    <row r="24748">
      <c r="A24748" s="4" t="s">
        <v>31143</v>
      </c>
      <c r="B24748" s="4" t="s">
        <v>31146</v>
      </c>
      <c r="C24748" s="5" t="str">
        <f>IFERROR(__xludf.DUMMYFUNCTION("GOOGLETRANSLATE(B24748,""en"",""es-ES"")"),"Luego se limpia la cara con un trapo y se aleja del espejo.")</f>
        <v>Luego se limpia la cara con un trapo y se aleja del espejo.</v>
      </c>
    </row>
    <row r="24749">
      <c r="A24749" s="4" t="s">
        <v>31147</v>
      </c>
      <c r="B24749" s="4" t="s">
        <v>31148</v>
      </c>
      <c r="C24749" s="5" t="str">
        <f>IFERROR(__xludf.DUMMYFUNCTION("GOOGLETRANSLATE(B24749,""en"",""es-ES"")"),"Un hombre habla con la cámara frente a las bicicletas.")</f>
        <v>Un hombre habla con la cámara frente a las bicicletas.</v>
      </c>
    </row>
    <row r="24750">
      <c r="A24750" s="4" t="s">
        <v>31147</v>
      </c>
      <c r="B24750" s="4" t="s">
        <v>31149</v>
      </c>
      <c r="C24750" s="5" t="str">
        <f>IFERROR(__xludf.DUMMYFUNCTION("GOOGLETRANSLATE(B24750,""en"",""es-ES"")"),"El hombre coloca una parte en una bicicleta en la que se está trabajando.")</f>
        <v>El hombre coloca una parte en una bicicleta en la que se está trabajando.</v>
      </c>
    </row>
    <row r="24751">
      <c r="A24751" s="4" t="s">
        <v>31147</v>
      </c>
      <c r="B24751" s="4" t="s">
        <v>31150</v>
      </c>
      <c r="C24751" s="5" t="str">
        <f>IFERROR(__xludf.DUMMYFUNCTION("GOOGLETRANSLATE(B24751,""en"",""es-ES"")"),"El hombre aprieta la parte en la bicicleta.")</f>
        <v>El hombre aprieta la parte en la bicicleta.</v>
      </c>
    </row>
    <row r="24752">
      <c r="A24752" s="4" t="s">
        <v>31151</v>
      </c>
      <c r="B24752" s="4" t="s">
        <v>31152</v>
      </c>
      <c r="C24752" s="5" t="str">
        <f>IFERROR(__xludf.DUMMYFUNCTION("GOOGLETRANSLATE(B24752,""en"",""es-ES"")"),"La multitud está sentada en la silla, los niños y los jóvenes están sentados a la mesa con el temporizador que resuelve los cubos de Rubik, mientras que un hombre con gran barba está hablando frente a la cámara.")</f>
        <v>La multitud está sentada en la silla, los niños y los jóvenes están sentados a la mesa con el temporizador que resuelve los cubos de Rubik, mientras que un hombre con gran barba está hablando frente a la cámara.</v>
      </c>
    </row>
    <row r="24753">
      <c r="A24753" s="4" t="s">
        <v>31151</v>
      </c>
      <c r="B24753" s="4" t="s">
        <v>31153</v>
      </c>
      <c r="C24753" s="5" t="str">
        <f>IFERROR(__xludf.DUMMYFUNCTION("GOOGLETRANSLATE(B24753,""en"",""es-ES"")"),"Los muchachos están resolviendo el cubo de Rubik, uno es ciego, uno lo está resolviendo con una mano, otros se están resolviendo con ambas manos.")</f>
        <v>Los muchachos están resolviendo el cubo de Rubik, uno es ciego, uno lo está resolviendo con una mano, otros se están resolviendo con ambas manos.</v>
      </c>
    </row>
    <row r="24754">
      <c r="A24754" s="4" t="s">
        <v>31154</v>
      </c>
      <c r="B24754" s="4" t="s">
        <v>31155</v>
      </c>
      <c r="C24754" s="5" t="str">
        <f>IFERROR(__xludf.DUMMYFUNCTION("GOOGLETRANSLATE(B24754,""en"",""es-ES"")"),"Las fichas negras y amarillas se deslizan en el piso, mientras que las personas que sostienen palos arreglan las fichas en un triángulo pintado.")</f>
        <v>Las fichas negras y amarillas se deslizan en el piso, mientras que las personas que sostienen palos arreglan las fichas en un triángulo pintado.</v>
      </c>
    </row>
    <row r="24755">
      <c r="A24755" s="4" t="s">
        <v>31154</v>
      </c>
      <c r="B24755" s="4" t="s">
        <v>31156</v>
      </c>
      <c r="C24755" s="5" t="str">
        <f>IFERROR(__xludf.DUMMYFUNCTION("GOOGLETRANSLATE(B24755,""en"",""es-ES"")"),"Los niños pequeños caminan por la acera y cruzan la carretera pisando las fichas.")</f>
        <v>Los niños pequeños caminan por la acera y cruzan la carretera pisando las fichas.</v>
      </c>
    </row>
    <row r="24756">
      <c r="A24756" s="4" t="s">
        <v>31157</v>
      </c>
      <c r="B24756" s="4" t="s">
        <v>31158</v>
      </c>
      <c r="C24756" s="5" t="str">
        <f>IFERROR(__xludf.DUMMYFUNCTION("GOOGLETRANSLATE(B24756,""en"",""es-ES"")"),"Una persona esquís rápidamente por una colina cubierta de nieve.")</f>
        <v>Una persona esquís rápidamente por una colina cubierta de nieve.</v>
      </c>
    </row>
    <row r="24757">
      <c r="A24757" s="4" t="s">
        <v>31157</v>
      </c>
      <c r="B24757" s="4" t="s">
        <v>31159</v>
      </c>
      <c r="C24757" s="5" t="str">
        <f>IFERROR(__xludf.DUMMYFUNCTION("GOOGLETRANSLATE(B24757,""en"",""es-ES"")"),"La gente está en intertubes, en trineo a lo largo de la nieve.")</f>
        <v>La gente está en intertubes, en trineo a lo largo de la nieve.</v>
      </c>
    </row>
    <row r="24758">
      <c r="A24758" s="4" t="s">
        <v>31160</v>
      </c>
      <c r="B24758" s="4" t="s">
        <v>31161</v>
      </c>
      <c r="C24758" s="5" t="str">
        <f>IFERROR(__xludf.DUMMYFUNCTION("GOOGLETRANSLATE(B24758,""en"",""es-ES"")"),"Dos equipos juegan lanzando bolas para golpear a un oponente.")</f>
        <v>Dos equipos juegan lanzando bolas para golpear a un oponente.</v>
      </c>
    </row>
    <row r="24759">
      <c r="A24759" s="4" t="s">
        <v>31160</v>
      </c>
      <c r="B24759" s="4" t="s">
        <v>31162</v>
      </c>
      <c r="C24759" s="5" t="str">
        <f>IFERROR(__xludf.DUMMYFUNCTION("GOOGLETRANSLATE(B24759,""en"",""es-ES"")"),"Dos niños avanzan al centro y lanzan las bolas, luego regresan a su lugar.")</f>
        <v>Dos niños avanzan al centro y lanzan las bolas, luego regresan a su lugar.</v>
      </c>
    </row>
    <row r="24760">
      <c r="A24760" s="4" t="s">
        <v>31160</v>
      </c>
      <c r="B24760" s="4" t="s">
        <v>31163</v>
      </c>
      <c r="C24760" s="5" t="str">
        <f>IFERROR(__xludf.DUMMYFUNCTION("GOOGLETRANSLATE(B24760,""en"",""es-ES"")"),"Después, el otro equipo avanza lanzando bolas y golpeó a un jugador con una camiseta púrpura.")</f>
        <v>Después, el otro equipo avanza lanzando bolas y golpeó a un jugador con una camiseta púrpura.</v>
      </c>
    </row>
    <row r="24761">
      <c r="A24761" s="4" t="s">
        <v>31160</v>
      </c>
      <c r="B24761" s="4" t="s">
        <v>31164</v>
      </c>
      <c r="C24761" s="5" t="str">
        <f>IFERROR(__xludf.DUMMYFUNCTION("GOOGLETRANSLATE(B24761,""en"",""es-ES"")"),"Continúan jugando turnados para golpear las bolas.")</f>
        <v>Continúan jugando turnados para golpear las bolas.</v>
      </c>
    </row>
    <row r="24762">
      <c r="A24762" s="4" t="s">
        <v>31160</v>
      </c>
      <c r="B24762" s="4" t="s">
        <v>31165</v>
      </c>
      <c r="C24762" s="5" t="str">
        <f>IFERROR(__xludf.DUMMYFUNCTION("GOOGLETRANSLATE(B24762,""en"",""es-ES"")"),"Las personas manejan bolas para los jugadores, luego van al centro para golpear a otro equipo con las pelotas.")</f>
        <v>Las personas manejan bolas para los jugadores, luego van al centro para golpear a otro equipo con las pelotas.</v>
      </c>
    </row>
    <row r="24763">
      <c r="A24763" s="4" t="s">
        <v>31166</v>
      </c>
      <c r="B24763" s="4" t="s">
        <v>31167</v>
      </c>
      <c r="C24763" s="5" t="str">
        <f>IFERROR(__xludf.DUMMYFUNCTION("GOOGLETRANSLATE(B24763,""en"",""es-ES"")"),"Una mujer y un hombre practican la caja de patada en un gimnasio donde también se entrenan otras personas, luego la mujer habla.")</f>
        <v>Una mujer y un hombre practican la caja de patada en un gimnasio donde también se entrenan otras personas, luego la mujer habla.</v>
      </c>
    </row>
    <row r="24764">
      <c r="A24764" s="4" t="s">
        <v>31166</v>
      </c>
      <c r="B24764" s="4" t="s">
        <v>31168</v>
      </c>
      <c r="C24764" s="5" t="str">
        <f>IFERROR(__xludf.DUMMYFUNCTION("GOOGLETRANSLATE(B24764,""en"",""es-ES"")"),"Un autos corren en una ciudad con un soldado que sostiene un arma, una familia en la calle, la gente que camina y el automóvil se sienta en la curva.")</f>
        <v>Un autos corren en una ciudad con un soldado que sostiene un arma, una familia en la calle, la gente que camina y el automóvil se sienta en la curva.</v>
      </c>
    </row>
    <row r="24765">
      <c r="A24765" s="4" t="s">
        <v>31166</v>
      </c>
      <c r="B24765" s="4" t="s">
        <v>31169</v>
      </c>
      <c r="C24765" s="5" t="str">
        <f>IFERROR(__xludf.DUMMYFUNCTION("GOOGLETRANSLATE(B24765,""en"",""es-ES"")"),"La mujer habla desde una habitación, luego entrena con otros en un gimnasio, luego una dama en el gimnasio habla.")</f>
        <v>La mujer habla desde una habitación, luego entrena con otros en un gimnasio, luego una dama en el gimnasio habla.</v>
      </c>
    </row>
    <row r="24766">
      <c r="A24766" s="4" t="s">
        <v>31166</v>
      </c>
      <c r="B24766" s="4" t="s">
        <v>31170</v>
      </c>
      <c r="C24766" s="5" t="str">
        <f>IFERROR(__xludf.DUMMYFUNCTION("GOOGLETRANSLATE(B24766,""en"",""es-ES"")"),"Al final se muestran los trofeos.")</f>
        <v>Al final se muestran los trofeos.</v>
      </c>
    </row>
    <row r="24767">
      <c r="A24767" s="4" t="s">
        <v>31171</v>
      </c>
      <c r="B24767" s="4" t="s">
        <v>31172</v>
      </c>
      <c r="C24767" s="5" t="str">
        <f>IFERROR(__xludf.DUMMYFUNCTION("GOOGLETRANSLATE(B24767,""en"",""es-ES"")"),"Un hombre realiza artes marciales luchando con personas en una película, luego una gran puerta cerca y una mujer ayuda al hombre a pelear.")</f>
        <v>Un hombre realiza artes marciales luchando con personas en una película, luego una gran puerta cerca y una mujer ayuda al hombre a pelear.</v>
      </c>
    </row>
    <row r="24768">
      <c r="A24768" s="4" t="s">
        <v>31171</v>
      </c>
      <c r="B24768" s="4" t="s">
        <v>31173</v>
      </c>
      <c r="C24768" s="5" t="str">
        <f>IFERROR(__xludf.DUMMYFUNCTION("GOOGLETRANSLATE(B24768,""en"",""es-ES"")"),"El hombre y la mujer están luchando en un río, y luego colgaron las piernas de un árbol.")</f>
        <v>El hombre y la mujer están luchando en un río, y luego colgaron las piernas de un árbol.</v>
      </c>
    </row>
    <row r="24769">
      <c r="A24769" s="4" t="s">
        <v>31171</v>
      </c>
      <c r="B24769" s="4" t="s">
        <v>31174</v>
      </c>
      <c r="C24769" s="5" t="str">
        <f>IFERROR(__xludf.DUMMYFUNCTION("GOOGLETRANSLATE(B24769,""en"",""es-ES"")"),"Los cañones disparan una casa y una aldea, después de una pelea del ejército en un campo y los cañones destruyen casas en un pueblo.")</f>
        <v>Los cañones disparan una casa y una aldea, después de una pelea del ejército en un campo y los cañones destruyen casas en un pueblo.</v>
      </c>
    </row>
    <row r="24770">
      <c r="A24770" s="4" t="s">
        <v>31171</v>
      </c>
      <c r="B24770" s="4" t="s">
        <v>31175</v>
      </c>
      <c r="C24770" s="5" t="str">
        <f>IFERROR(__xludf.DUMMYFUNCTION("GOOGLETRANSLATE(B24770,""en"",""es-ES"")"),"Un hombre le da al hombre una gran moneda de oro, después de que el hombre pelea con la gente.")</f>
        <v>Un hombre le da al hombre una gran moneda de oro, después de que el hombre pelea con la gente.</v>
      </c>
    </row>
    <row r="24771">
      <c r="A24771" s="4" t="s">
        <v>31176</v>
      </c>
      <c r="B24771" s="4" t="s">
        <v>27419</v>
      </c>
      <c r="C24771" s="5" t="str">
        <f>IFERROR(__xludf.DUMMYFUNCTION("GOOGLETRANSLATE(B24771,""en"",""es-ES"")"),"Una niña está cruzando los bares de mono.")</f>
        <v>Una niña está cruzando los bares de mono.</v>
      </c>
    </row>
    <row r="24772">
      <c r="A24772" s="4" t="s">
        <v>31176</v>
      </c>
      <c r="B24772" s="4" t="s">
        <v>31177</v>
      </c>
      <c r="C24772" s="5" t="str">
        <f>IFERROR(__xludf.DUMMYFUNCTION("GOOGLETRANSLATE(B24772,""en"",""es-ES"")"),"Ella balancea su pierna.")</f>
        <v>Ella balancea su pierna.</v>
      </c>
    </row>
    <row r="24773">
      <c r="A24773" s="4" t="s">
        <v>31176</v>
      </c>
      <c r="B24773" s="4" t="s">
        <v>31178</v>
      </c>
      <c r="C24773" s="5" t="str">
        <f>IFERROR(__xludf.DUMMYFUNCTION("GOOGLETRANSLATE(B24773,""en"",""es-ES"")"),"Ella cae al suelo.")</f>
        <v>Ella cae al suelo.</v>
      </c>
    </row>
    <row r="24774">
      <c r="A24774" s="4" t="s">
        <v>31179</v>
      </c>
      <c r="B24774" s="4" t="s">
        <v>31180</v>
      </c>
      <c r="C24774" s="5" t="str">
        <f>IFERROR(__xludf.DUMMYFUNCTION("GOOGLETRANSLATE(B24774,""en"",""es-ES"")"),"El hombre hace mueves acrobáticos por una estera.")</f>
        <v>El hombre hace mueves acrobáticos por una estera.</v>
      </c>
    </row>
    <row r="24775">
      <c r="A24775" s="4" t="s">
        <v>31179</v>
      </c>
      <c r="B24775" s="4" t="s">
        <v>31181</v>
      </c>
      <c r="C24775" s="5" t="str">
        <f>IFERROR(__xludf.DUMMYFUNCTION("GOOGLETRANSLATE(B24775,""en"",""es-ES"")"),"Otro hombre está corriendo por una estera en el fondo.")</f>
        <v>Otro hombre está corriendo por una estera en el fondo.</v>
      </c>
    </row>
    <row r="24776">
      <c r="A24776" s="4" t="s">
        <v>31179</v>
      </c>
      <c r="B24776" s="4" t="s">
        <v>31182</v>
      </c>
      <c r="C24776" s="5" t="str">
        <f>IFERROR(__xludf.DUMMYFUNCTION("GOOGLETRANSLATE(B24776,""en"",""es-ES"")"),"Se producen varias repeticiones de movimientos acrobáticos.")</f>
        <v>Se producen varias repeticiones de movimientos acrobáticos.</v>
      </c>
    </row>
    <row r="24777">
      <c r="A24777" s="4" t="s">
        <v>31179</v>
      </c>
      <c r="B24777" s="4" t="s">
        <v>31183</v>
      </c>
      <c r="C24777" s="5" t="str">
        <f>IFERROR(__xludf.DUMMYFUNCTION("GOOGLETRANSLATE(B24777,""en"",""es-ES"")"),"El joven corre y abraza lo que parece ser su entrenador.")</f>
        <v>El joven corre y abraza lo que parece ser su entrenador.</v>
      </c>
    </row>
    <row r="24778">
      <c r="A24778" s="4" t="s">
        <v>31179</v>
      </c>
      <c r="B24778" s="4" t="s">
        <v>31184</v>
      </c>
      <c r="C24778" s="5" t="str">
        <f>IFERROR(__xludf.DUMMYFUNCTION("GOOGLETRANSLATE(B24778,""en"",""es-ES"")"),"Otro conjunto de repeticiones ocurren.")</f>
        <v>Otro conjunto de repeticiones ocurren.</v>
      </c>
    </row>
    <row r="24779">
      <c r="A24779" s="4" t="s">
        <v>31179</v>
      </c>
      <c r="B24779" s="4" t="s">
        <v>31185</v>
      </c>
      <c r="C24779" s="5" t="str">
        <f>IFERROR(__xludf.DUMMYFUNCTION("GOOGLETRANSLATE(B24779,""en"",""es-ES"")"),"Las palabras atraviesan la pantalla que dirige a las personas a las redes sociales y los sitios web.")</f>
        <v>Las palabras atraviesan la pantalla que dirige a las personas a las redes sociales y los sitios web.</v>
      </c>
    </row>
    <row r="24780">
      <c r="A24780" s="4" t="s">
        <v>31186</v>
      </c>
      <c r="B24780" s="4" t="s">
        <v>31187</v>
      </c>
      <c r="C24780" s="5" t="str">
        <f>IFERROR(__xludf.DUMMYFUNCTION("GOOGLETRANSLATE(B24780,""en"",""es-ES"")"),"Un primer plano de comida se coloca sobre la mesa y conduce a un hombre que saca bocanadas de una tubería de narguile.")</f>
        <v>Un primer plano de comida se coloca sobre la mesa y conduce a un hombre que saca bocanadas de una tubería de narguile.</v>
      </c>
    </row>
    <row r="24781">
      <c r="A24781" s="4" t="s">
        <v>31186</v>
      </c>
      <c r="B24781" s="4" t="s">
        <v>31188</v>
      </c>
      <c r="C24781" s="5" t="str">
        <f>IFERROR(__xludf.DUMMYFUNCTION("GOOGLETRANSLATE(B24781,""en"",""es-ES"")"),"El hombre sopla anillos de humo, así como varias otras bebidas mientras habla con la cámara y se mueve a varios puntos de la casa.")</f>
        <v>El hombre sopla anillos de humo, así como varias otras bebidas mientras habla con la cámara y se mueve a varios puntos de la casa.</v>
      </c>
    </row>
    <row r="24782">
      <c r="A24782" s="4" t="s">
        <v>31189</v>
      </c>
      <c r="B24782" s="4" t="s">
        <v>31190</v>
      </c>
      <c r="C24782" s="5" t="str">
        <f>IFERROR(__xludf.DUMMYFUNCTION("GOOGLETRANSLATE(B24782,""en"",""es-ES"")"),"Un niño pequeño está montando patines en línea por un camino de entrada.")</f>
        <v>Un niño pequeño está montando patines en línea por un camino de entrada.</v>
      </c>
    </row>
    <row r="24783">
      <c r="A24783" s="4" t="s">
        <v>31189</v>
      </c>
      <c r="B24783" s="4" t="s">
        <v>31191</v>
      </c>
      <c r="C24783" s="5" t="str">
        <f>IFERROR(__xludf.DUMMYFUNCTION("GOOGLETRANSLATE(B24783,""en"",""es-ES"")"),"Él agita los brazos, tratando de mantener el equilibrio.")</f>
        <v>Él agita los brazos, tratando de mantener el equilibrio.</v>
      </c>
    </row>
    <row r="24784">
      <c r="A24784" s="4" t="s">
        <v>31189</v>
      </c>
      <c r="B24784" s="4" t="s">
        <v>31192</v>
      </c>
      <c r="C24784" s="5" t="str">
        <f>IFERROR(__xludf.DUMMYFUNCTION("GOOGLETRANSLATE(B24784,""en"",""es-ES"")"),"Él corre, luego cae sobre los patines.")</f>
        <v>Él corre, luego cae sobre los patines.</v>
      </c>
    </row>
    <row r="24785">
      <c r="A24785" s="4" t="s">
        <v>31193</v>
      </c>
      <c r="B24785" s="4" t="s">
        <v>31194</v>
      </c>
      <c r="C24785" s="5" t="str">
        <f>IFERROR(__xludf.DUMMYFUNCTION("GOOGLETRANSLATE(B24785,""en"",""es-ES"")"),"Dos sumos están en los lados de un anillo y el refee está en el medio, mientras que la gente está en las arenas sentadas a ellos mirándolos.")</f>
        <v>Dos sumos están en los lados de un anillo y el refee está en el medio, mientras que la gente está en las arenas sentadas a ellos mirándolos.</v>
      </c>
    </row>
    <row r="24786">
      <c r="A24786" s="4" t="s">
        <v>31193</v>
      </c>
      <c r="B24786" s="4" t="s">
        <v>31195</v>
      </c>
      <c r="C24786" s="5" t="str">
        <f>IFERROR(__xludf.DUMMYFUNCTION("GOOGLETRANSLATE(B24786,""en"",""es-ES"")"),"Sumo comienza a luchar y se cayó el ring.")</f>
        <v>Sumo comienza a luchar y se cayó el ring.</v>
      </c>
    </row>
    <row r="24787">
      <c r="A24787" s="4" t="s">
        <v>31196</v>
      </c>
      <c r="B24787" s="4" t="s">
        <v>31197</v>
      </c>
      <c r="C24787" s="5" t="str">
        <f>IFERROR(__xludf.DUMMYFUNCTION("GOOGLETRANSLATE(B24787,""en"",""es-ES"")"),"Un niño está ayudando a su padre a empujar a un cortacésped.")</f>
        <v>Un niño está ayudando a su padre a empujar a un cortacésped.</v>
      </c>
    </row>
    <row r="24788">
      <c r="A24788" s="4" t="s">
        <v>31196</v>
      </c>
      <c r="B24788" s="4" t="s">
        <v>31198</v>
      </c>
      <c r="C24788" s="5" t="str">
        <f>IFERROR(__xludf.DUMMYFUNCTION("GOOGLETRANSLATE(B24788,""en"",""es-ES"")"),"Regresan a la cámara.")</f>
        <v>Regresan a la cámara.</v>
      </c>
    </row>
    <row r="24789">
      <c r="A24789" s="4" t="s">
        <v>31196</v>
      </c>
      <c r="B24789" s="4" t="s">
        <v>31199</v>
      </c>
      <c r="C24789" s="5" t="str">
        <f>IFERROR(__xludf.DUMMYFUNCTION("GOOGLETRANSLATE(B24789,""en"",""es-ES"")"),"Una persona se deja de pie cerca de la cerca.")</f>
        <v>Una persona se deja de pie cerca de la cerca.</v>
      </c>
    </row>
    <row r="24790">
      <c r="A24790" s="4" t="s">
        <v>31200</v>
      </c>
      <c r="B24790" s="4" t="s">
        <v>31201</v>
      </c>
      <c r="C24790" s="5" t="str">
        <f>IFERROR(__xludf.DUMMYFUNCTION("GOOGLETRANSLATE(B24790,""en"",""es-ES"")"),"Se ve a una persona cortando un trozo de techo y golpear el mosaico para un techo.")</f>
        <v>Se ve a una persona cortando un trozo de techo y golpear el mosaico para un techo.</v>
      </c>
    </row>
    <row r="24791">
      <c r="A24791" s="4" t="s">
        <v>31200</v>
      </c>
      <c r="B24791" s="4" t="s">
        <v>31202</v>
      </c>
      <c r="C24791" s="5" t="str">
        <f>IFERROR(__xludf.DUMMYFUNCTION("GOOGLETRANSLATE(B24791,""en"",""es-ES"")"),"Camina a través de Hamming por la tela y clavando un tablero largo.")</f>
        <v>Camina a través de Hamming por la tela y clavando un tablero largo.</v>
      </c>
    </row>
    <row r="24792">
      <c r="A24792" s="4" t="s">
        <v>31203</v>
      </c>
      <c r="B24792" s="4" t="s">
        <v>31204</v>
      </c>
      <c r="C24792" s="5" t="str">
        <f>IFERROR(__xludf.DUMMYFUNCTION("GOOGLETRANSLATE(B24792,""en"",""es-ES"")"),"Se ve un gráfico con el título del logotipo.")</f>
        <v>Se ve un gráfico con el título del logotipo.</v>
      </c>
    </row>
    <row r="24793">
      <c r="A24793" s="4" t="s">
        <v>31203</v>
      </c>
      <c r="B24793" s="4" t="s">
        <v>31205</v>
      </c>
      <c r="C24793" s="5" t="str">
        <f>IFERROR(__xludf.DUMMYFUNCTION("GOOGLETRANSLATE(B24793,""en"",""es-ES"")"),"Un mapa de Google muestra diferentes ubicaciones de la ciudad.")</f>
        <v>Un mapa de Google muestra diferentes ubicaciones de la ciudad.</v>
      </c>
    </row>
    <row r="24794">
      <c r="A24794" s="4" t="s">
        <v>31203</v>
      </c>
      <c r="B24794" s="4" t="s">
        <v>31206</v>
      </c>
      <c r="C24794" s="5" t="str">
        <f>IFERROR(__xludf.DUMMYFUNCTION("GOOGLETRANSLATE(B24794,""en"",""es-ES"")"),"Los compañeros de equipo en los monos corridos navegan a través de un curso de obstáculos de caja de madera que apuntan a pistolas de paintball.")</f>
        <v>Los compañeros de equipo en los monos corridos navegan a través de un curso de obstáculos de caja de madera que apuntan a pistolas de paintball.</v>
      </c>
    </row>
    <row r="24795">
      <c r="A24795" s="4" t="s">
        <v>31203</v>
      </c>
      <c r="B24795" s="4" t="s">
        <v>31207</v>
      </c>
      <c r="C24795" s="5" t="str">
        <f>IFERROR(__xludf.DUMMYFUNCTION("GOOGLETRANSLATE(B24795,""en"",""es-ES"")"),"Los hombres reciben equipo de una tienda de alquiler que incluye ropa y armas.")</f>
        <v>Los hombres reciben equipo de una tienda de alquiler que incluye ropa y armas.</v>
      </c>
    </row>
    <row r="24796">
      <c r="A24796" s="4" t="s">
        <v>31203</v>
      </c>
      <c r="B24796" s="4" t="s">
        <v>31208</v>
      </c>
      <c r="C24796" s="5" t="str">
        <f>IFERROR(__xludf.DUMMYFUNCTION("GOOGLETRANSLATE(B24796,""en"",""es-ES"")"),"Los dos equipos caminan en una línea juntos entrando en el curso para jugar.")</f>
        <v>Los dos equipos caminan en una línea juntos entrando en el curso para jugar.</v>
      </c>
    </row>
    <row r="24797">
      <c r="A24797" s="4" t="s">
        <v>31203</v>
      </c>
      <c r="B24797" s="4" t="s">
        <v>31209</v>
      </c>
      <c r="C24797" s="5" t="str">
        <f>IFERROR(__xludf.DUMMYFUNCTION("GOOGLETRANSLATE(B24797,""en"",""es-ES"")"),"Los hombres llenan sus tolvas con munición.")</f>
        <v>Los hombres llenan sus tolvas con munición.</v>
      </c>
    </row>
    <row r="24798">
      <c r="A24798" s="4" t="s">
        <v>31203</v>
      </c>
      <c r="B24798" s="4" t="s">
        <v>31210</v>
      </c>
      <c r="C24798" s="5" t="str">
        <f>IFERROR(__xludf.DUMMYFUNCTION("GOOGLETRANSLATE(B24798,""en"",""es-ES"")"),"Los compañeros de equipo navegan a través de un curso con obstáculos inflables que apuntan a los oponentes.")</f>
        <v>Los compañeros de equipo navegan a través de un curso con obstáculos inflables que apuntan a los oponentes.</v>
      </c>
    </row>
    <row r="24799">
      <c r="A24799" s="4" t="s">
        <v>31203</v>
      </c>
      <c r="B24799" s="4" t="s">
        <v>31211</v>
      </c>
      <c r="C24799" s="5" t="str">
        <f>IFERROR(__xludf.DUMMYFUNCTION("GOOGLETRANSLATE(B24799,""en"",""es-ES"")"),"Un hombre es golpeado en la mascarilla para terminar el juego.")</f>
        <v>Un hombre es golpeado en la mascarilla para terminar el juego.</v>
      </c>
    </row>
    <row r="24800">
      <c r="A24800" s="4" t="s">
        <v>31212</v>
      </c>
      <c r="B24800" s="4" t="s">
        <v>31213</v>
      </c>
      <c r="C24800" s="5" t="str">
        <f>IFERROR(__xludf.DUMMYFUNCTION("GOOGLETRANSLATE(B24800,""en"",""es-ES"")"),"Un hombre está sentado mientras toca la batería, con una mujer que le indica estar de pie junto a él.")</f>
        <v>Un hombre está sentado mientras toca la batería, con una mujer que le indica estar de pie junto a él.</v>
      </c>
    </row>
    <row r="24801">
      <c r="A24801" s="4" t="s">
        <v>31212</v>
      </c>
      <c r="B24801" s="4" t="s">
        <v>31214</v>
      </c>
      <c r="C24801" s="5" t="str">
        <f>IFERROR(__xludf.DUMMYFUNCTION("GOOGLETRANSLATE(B24801,""en"",""es-ES"")"),"Golpea los tambores de un lado a otro mientras hablan.")</f>
        <v>Golpea los tambores de un lado a otro mientras hablan.</v>
      </c>
    </row>
    <row r="24802">
      <c r="A24802" s="4" t="s">
        <v>31212</v>
      </c>
      <c r="B24802" s="4" t="s">
        <v>31215</v>
      </c>
      <c r="C24802" s="5" t="str">
        <f>IFERROR(__xludf.DUMMYFUNCTION("GOOGLETRANSLATE(B24802,""en"",""es-ES"")"),"Luego habla ampliamente sobre cómo jugar a los Congas.")</f>
        <v>Luego habla ampliamente sobre cómo jugar a los Congas.</v>
      </c>
    </row>
    <row r="24803">
      <c r="A24803" s="4" t="s">
        <v>31212</v>
      </c>
      <c r="B24803" s="4" t="s">
        <v>31216</v>
      </c>
      <c r="C24803" s="5" t="str">
        <f>IFERROR(__xludf.DUMMYFUNCTION("GOOGLETRANSLATE(B24803,""en"",""es-ES"")"),"Se demuestra jugando más mientras habla.")</f>
        <v>Se demuestra jugando más mientras habla.</v>
      </c>
    </row>
    <row r="24804">
      <c r="A24804" s="4" t="s">
        <v>31217</v>
      </c>
      <c r="B24804" s="4" t="s">
        <v>31218</v>
      </c>
      <c r="C24804" s="5" t="str">
        <f>IFERROR(__xludf.DUMMYFUNCTION("GOOGLETRANSLATE(B24804,""en"",""es-ES"")"),"Se muestra una mano en una mesa con diferentes suministros.")</f>
        <v>Se muestra una mano en una mesa con diferentes suministros.</v>
      </c>
    </row>
    <row r="24805">
      <c r="A24805" s="4" t="s">
        <v>31217</v>
      </c>
      <c r="B24805" s="4" t="s">
        <v>31219</v>
      </c>
      <c r="C24805" s="5" t="str">
        <f>IFERROR(__xludf.DUMMYFUNCTION("GOOGLETRANSLATE(B24805,""en"",""es-ES"")"),"Se ve a un hombre tomando todas las partes de una bicicleta de una caja.")</f>
        <v>Se ve a un hombre tomando todas las partes de una bicicleta de una caja.</v>
      </c>
    </row>
    <row r="24806">
      <c r="A24806" s="4" t="s">
        <v>31217</v>
      </c>
      <c r="B24806" s="4" t="s">
        <v>31220</v>
      </c>
      <c r="C24806" s="5" t="str">
        <f>IFERROR(__xludf.DUMMYFUNCTION("GOOGLETRANSLATE(B24806,""en"",""es-ES"")"),"Él ensambla la bicicleta en el patio.")</f>
        <v>Él ensambla la bicicleta en el patio.</v>
      </c>
    </row>
    <row r="24807">
      <c r="A24807" s="4" t="s">
        <v>31221</v>
      </c>
      <c r="B24807" s="4" t="s">
        <v>31222</v>
      </c>
      <c r="C24807" s="5" t="str">
        <f>IFERROR(__xludf.DUMMYFUNCTION("GOOGLETRANSLATE(B24807,""en"",""es-ES"")"),"Se ve un árbol al lado de un camino.")</f>
        <v>Se ve un árbol al lado de un camino.</v>
      </c>
    </row>
    <row r="24808">
      <c r="A24808" s="4" t="s">
        <v>31221</v>
      </c>
      <c r="B24808" s="4" t="s">
        <v>31223</v>
      </c>
      <c r="C24808" s="5" t="str">
        <f>IFERROR(__xludf.DUMMYFUNCTION("GOOGLETRANSLATE(B24808,""en"",""es-ES"")"),"Un hombre muestra cómo acolchar alrededor del fondo del árbol.")</f>
        <v>Un hombre muestra cómo acolchar alrededor del fondo del árbol.</v>
      </c>
    </row>
    <row r="24809">
      <c r="A24809" s="4" t="s">
        <v>31221</v>
      </c>
      <c r="B24809" s="4" t="s">
        <v>31224</v>
      </c>
      <c r="C24809" s="5" t="str">
        <f>IFERROR(__xludf.DUMMYFUNCTION("GOOGLETRANSLATE(B24809,""en"",""es-ES"")"),"Extiende el mantillo de manera uniforme mientras da instrucciones.")</f>
        <v>Extiende el mantillo de manera uniforme mientras da instrucciones.</v>
      </c>
    </row>
    <row r="24810">
      <c r="A24810" s="4" t="s">
        <v>31225</v>
      </c>
      <c r="B24810" s="4" t="s">
        <v>31226</v>
      </c>
      <c r="C24810" s="5" t="str">
        <f>IFERROR(__xludf.DUMMYFUNCTION("GOOGLETRANSLATE(B24810,""en"",""es-ES"")"),"Una niña juega con su cola de caballo trenzada.")</f>
        <v>Una niña juega con su cola de caballo trenzada.</v>
      </c>
    </row>
    <row r="24811">
      <c r="A24811" s="4" t="s">
        <v>31225</v>
      </c>
      <c r="B24811" s="4" t="s">
        <v>31227</v>
      </c>
      <c r="C24811" s="5" t="str">
        <f>IFERROR(__xludf.DUMMYFUNCTION("GOOGLETRANSLATE(B24811,""en"",""es-ES"")"),"La niña tuerce su cabello en dos secciones.")</f>
        <v>La niña tuerce su cabello en dos secciones.</v>
      </c>
    </row>
    <row r="24812">
      <c r="A24812" s="4" t="s">
        <v>31225</v>
      </c>
      <c r="B24812" s="4" t="s">
        <v>31228</v>
      </c>
      <c r="C24812" s="5" t="str">
        <f>IFERROR(__xludf.DUMMYFUNCTION("GOOGLETRANSLATE(B24812,""en"",""es-ES"")"),"La niña trenza el extremo del cabello retorcido.")</f>
        <v>La niña trenza el extremo del cabello retorcido.</v>
      </c>
    </row>
    <row r="24813">
      <c r="A24813" s="4" t="s">
        <v>31225</v>
      </c>
      <c r="B24813" s="4" t="s">
        <v>31229</v>
      </c>
      <c r="C24813" s="5" t="str">
        <f>IFERROR(__xludf.DUMMYFUNCTION("GOOGLETRANSLATE(B24813,""en"",""es-ES"")"),"La niña separa las trenzas y las afloja.")</f>
        <v>La niña separa las trenzas y las afloja.</v>
      </c>
    </row>
    <row r="24814">
      <c r="A24814" s="4" t="s">
        <v>31225</v>
      </c>
      <c r="B24814" s="4" t="s">
        <v>31230</v>
      </c>
      <c r="C24814" s="5" t="str">
        <f>IFERROR(__xludf.DUMMYFUNCTION("GOOGLETRANSLATE(B24814,""en"",""es-ES"")"),"La niña levanta las trenzas por su cabello para hacerlas más esponjosas.")</f>
        <v>La niña levanta las trenzas por su cabello para hacerlas más esponjosas.</v>
      </c>
    </row>
    <row r="24815">
      <c r="A24815" s="4" t="s">
        <v>31225</v>
      </c>
      <c r="B24815" s="4" t="s">
        <v>31231</v>
      </c>
      <c r="C24815" s="5" t="str">
        <f>IFERROR(__xludf.DUMMYFUNCTION("GOOGLETRANSLATE(B24815,""en"",""es-ES"")"),"La niña usa una plancha en su cabello.")</f>
        <v>La niña usa una plancha en su cabello.</v>
      </c>
    </row>
    <row r="24816">
      <c r="A24816" s="4" t="s">
        <v>31225</v>
      </c>
      <c r="B24816" s="4" t="s">
        <v>31232</v>
      </c>
      <c r="C24816" s="5" t="str">
        <f>IFERROR(__xludf.DUMMYFUNCTION("GOOGLETRANSLATE(B24816,""en"",""es-ES"")"),"La niña tiene dos perros y bailes.")</f>
        <v>La niña tiene dos perros y bailes.</v>
      </c>
    </row>
    <row r="24817">
      <c r="A24817" s="4" t="s">
        <v>31233</v>
      </c>
      <c r="B24817" s="4" t="s">
        <v>31234</v>
      </c>
      <c r="C24817" s="5" t="str">
        <f>IFERROR(__xludf.DUMMYFUNCTION("GOOGLETRANSLATE(B24817,""en"",""es-ES"")"),"Se ve un gráfico de texto con un título y una descripción.")</f>
        <v>Se ve un gráfico de texto con un título y una descripción.</v>
      </c>
    </row>
    <row r="24818">
      <c r="A24818" s="4" t="s">
        <v>31233</v>
      </c>
      <c r="B24818" s="4" t="s">
        <v>31235</v>
      </c>
      <c r="C24818" s="5" t="str">
        <f>IFERROR(__xludf.DUMMYFUNCTION("GOOGLETRANSLATE(B24818,""en"",""es-ES"")"),"Un hombre se para en un techo y perfora piezas de madera.")</f>
        <v>Un hombre se para en un techo y perfora piezas de madera.</v>
      </c>
    </row>
    <row r="24819">
      <c r="A24819" s="4" t="s">
        <v>31233</v>
      </c>
      <c r="B24819" s="4" t="s">
        <v>31236</v>
      </c>
      <c r="C24819" s="5" t="str">
        <f>IFERROR(__xludf.DUMMYFUNCTION("GOOGLETRANSLATE(B24819,""en"",""es-ES"")"),"Se ven créditos para el video con un sitio web.")</f>
        <v>Se ven créditos para el video con un sitio web.</v>
      </c>
    </row>
    <row r="24820">
      <c r="A24820" s="4" t="s">
        <v>31237</v>
      </c>
      <c r="B24820" s="4" t="s">
        <v>31238</v>
      </c>
      <c r="C24820" s="5" t="str">
        <f>IFERROR(__xludf.DUMMYFUNCTION("GOOGLETRANSLATE(B24820,""en"",""es-ES"")"),"Se muestra un gran glaciar de hielo en el agua.")</f>
        <v>Se muestra un gran glaciar de hielo en el agua.</v>
      </c>
    </row>
    <row r="24821">
      <c r="A24821" s="4" t="s">
        <v>31237</v>
      </c>
      <c r="B24821" s="4" t="s">
        <v>31239</v>
      </c>
      <c r="C24821" s="5" t="str">
        <f>IFERROR(__xludf.DUMMYFUNCTION("GOOGLETRANSLATE(B24821,""en"",""es-ES"")"),"Un bote está tirando de una persona en esquís detrás del bote.")</f>
        <v>Un bote está tirando de una persona en esquís detrás del bote.</v>
      </c>
    </row>
    <row r="24822">
      <c r="A24822" s="4" t="s">
        <v>31237</v>
      </c>
      <c r="B24822" s="4" t="s">
        <v>31240</v>
      </c>
      <c r="C24822" s="5" t="str">
        <f>IFERROR(__xludf.DUMMYFUNCTION("GOOGLETRANSLATE(B24822,""en"",""es-ES"")"),"La persona está flotando en el agua.")</f>
        <v>La persona está flotando en el agua.</v>
      </c>
    </row>
    <row r="24823">
      <c r="A24823" s="4" t="s">
        <v>31241</v>
      </c>
      <c r="B24823" s="4" t="s">
        <v>31242</v>
      </c>
      <c r="C24823" s="5" t="str">
        <f>IFERROR(__xludf.DUMMYFUNCTION("GOOGLETRANSLATE(B24823,""en"",""es-ES"")"),"Un atleta gira y lanza un lanzamiento de peso en un gran campo de juego de un estadio.")</f>
        <v>Un atleta gira y lanza un lanzamiento de peso en un gran campo de juego de un estadio.</v>
      </c>
    </row>
    <row r="24824">
      <c r="A24824" s="4" t="s">
        <v>31241</v>
      </c>
      <c r="B24824" s="4" t="s">
        <v>31243</v>
      </c>
      <c r="C24824" s="5" t="str">
        <f>IFERROR(__xludf.DUMMYFUNCTION("GOOGLETRANSLATE(B24824,""en"",""es-ES"")"),"El hombre celebra y da un pulgar hacia arriba.")</f>
        <v>El hombre celebra y da un pulgar hacia arriba.</v>
      </c>
    </row>
    <row r="24825">
      <c r="A24825" s="4" t="s">
        <v>31241</v>
      </c>
      <c r="B24825" s="4" t="s">
        <v>31244</v>
      </c>
      <c r="C24825" s="5" t="str">
        <f>IFERROR(__xludf.DUMMYFUNCTION("GOOGLETRANSLATE(B24825,""en"",""es-ES"")"),"Un segundo atleta con camisa gris arroja un disparo.")</f>
        <v>Un segundo atleta con camisa gris arroja un disparo.</v>
      </c>
    </row>
    <row r="24826">
      <c r="A24826" s="4" t="s">
        <v>31241</v>
      </c>
      <c r="B24826" s="4" t="s">
        <v>31245</v>
      </c>
      <c r="C24826" s="5" t="str">
        <f>IFERROR(__xludf.DUMMYFUNCTION("GOOGLETRANSLATE(B24826,""en"",""es-ES"")"),"La pelota aterriza en la hierba y el hombre está decepcionado con el lanzamiento y se aleja.")</f>
        <v>La pelota aterriza en la hierba y el hombre está decepcionado con el lanzamiento y se aleja.</v>
      </c>
    </row>
    <row r="24827">
      <c r="A24827" s="4" t="s">
        <v>31241</v>
      </c>
      <c r="B24827" s="4" t="s">
        <v>31246</v>
      </c>
      <c r="C24827" s="5" t="str">
        <f>IFERROR(__xludf.DUMMYFUNCTION("GOOGLETRANSLATE(B24827,""en"",""es-ES"")"),"Un hombre grande con camisa amarilla y la diadema gira y tira un cierre que se desvía a la izquierda del campo.")</f>
        <v>Un hombre grande con camisa amarilla y la diadema gira y tira un cierre que se desvía a la izquierda del campo.</v>
      </c>
    </row>
    <row r="24828">
      <c r="A24828" s="4" t="s">
        <v>31241</v>
      </c>
      <c r="B24828" s="4" t="s">
        <v>31247</v>
      </c>
      <c r="C24828" s="5" t="str">
        <f>IFERROR(__xludf.DUMMYFUNCTION("GOOGLETRANSLATE(B24828,""en"",""es-ES"")"),"El hombre está satisfecho con su disparo y le bombea el puño.")</f>
        <v>El hombre está satisfecho con su disparo y le bombea el puño.</v>
      </c>
    </row>
    <row r="24829">
      <c r="A24829" s="4" t="s">
        <v>31241</v>
      </c>
      <c r="B24829" s="4" t="s">
        <v>31248</v>
      </c>
      <c r="C24829" s="5" t="str">
        <f>IFERROR(__xludf.DUMMYFUNCTION("GOOGLETRANSLATE(B24829,""en"",""es-ES"")"),"El hombre da sus altos cinco a sus compañeros de equipo.")</f>
        <v>El hombre da sus altos cinco a sus compañeros de equipo.</v>
      </c>
    </row>
    <row r="24830">
      <c r="A24830" s="4" t="s">
        <v>31241</v>
      </c>
      <c r="B24830" s="4" t="s">
        <v>31249</v>
      </c>
      <c r="C24830" s="5" t="str">
        <f>IFERROR(__xludf.DUMMYFUNCTION("GOOGLETRANSLATE(B24830,""en"",""es-ES"")"),"Se ve un estante de bolas en la hierba detrás de los puntajes para el juego.")</f>
        <v>Se ve un estante de bolas en la hierba detrás de los puntajes para el juego.</v>
      </c>
    </row>
    <row r="24831">
      <c r="A24831" s="4" t="s">
        <v>31241</v>
      </c>
      <c r="B24831" s="4" t="s">
        <v>31250</v>
      </c>
      <c r="C24831" s="5" t="str">
        <f>IFERROR(__xludf.DUMMYFUNCTION("GOOGLETRANSLATE(B24831,""en"",""es-ES"")"),"El hombre espera su puntaje en la pista, entre otros atletas en el fondo.")</f>
        <v>El hombre espera su puntaje en la pista, entre otros atletas en el fondo.</v>
      </c>
    </row>
    <row r="24832">
      <c r="A24832" s="4" t="s">
        <v>31251</v>
      </c>
      <c r="B24832" s="4" t="s">
        <v>31252</v>
      </c>
      <c r="C24832" s="5" t="str">
        <f>IFERROR(__xludf.DUMMYFUNCTION("GOOGLETRANSLATE(B24832,""en"",""es-ES"")"),"La gente está preparando y cepillando perros en una instalación pública.")</f>
        <v>La gente está preparando y cepillando perros en una instalación pública.</v>
      </c>
    </row>
    <row r="24833">
      <c r="A24833" s="4" t="s">
        <v>31251</v>
      </c>
      <c r="B24833" s="4" t="s">
        <v>31253</v>
      </c>
      <c r="C24833" s="5" t="str">
        <f>IFERROR(__xludf.DUMMYFUNCTION("GOOGLETRANSLATE(B24833,""en"",""es-ES"")"),"Las mujeres se preocupan por los perros que tienen el pelo largo.")</f>
        <v>Las mujeres se preocupan por los perros que tienen el pelo largo.</v>
      </c>
    </row>
    <row r="24834">
      <c r="A24834" s="4" t="s">
        <v>31251</v>
      </c>
      <c r="B24834" s="4" t="s">
        <v>31254</v>
      </c>
      <c r="C24834" s="5" t="str">
        <f>IFERROR(__xludf.DUMMYFUNCTION("GOOGLETRANSLATE(B24834,""en"",""es-ES"")"),"Una mujer se preocupa de un caniche, mientras que otra mujer machaca a un perro grande.")</f>
        <v>Una mujer se preocupa de un caniche, mientras que otra mujer machaca a un perro grande.</v>
      </c>
    </row>
    <row r="24835">
      <c r="A24835" s="4" t="s">
        <v>31251</v>
      </c>
      <c r="B24835" s="4" t="s">
        <v>31255</v>
      </c>
      <c r="C24835" s="5" t="str">
        <f>IFERROR(__xludf.DUMMYFUNCTION("GOOGLETRANSLATE(B24835,""en"",""es-ES"")"),"Una mujer habla en el frente de un perro mientras acaricia.")</f>
        <v>Una mujer habla en el frente de un perro mientras acaricia.</v>
      </c>
    </row>
    <row r="24836">
      <c r="A24836" s="4" t="s">
        <v>31256</v>
      </c>
      <c r="B24836" s="4" t="s">
        <v>31257</v>
      </c>
      <c r="C24836" s="5" t="str">
        <f>IFERROR(__xludf.DUMMYFUNCTION("GOOGLETRANSLATE(B24836,""en"",""es-ES"")"),"Se muestra a un hombre interpretando una canción en las oficinas de Google en Londres.")</f>
        <v>Se muestra a un hombre interpretando una canción en las oficinas de Google en Londres.</v>
      </c>
    </row>
    <row r="24837">
      <c r="A24837" s="4" t="s">
        <v>31256</v>
      </c>
      <c r="B24837" s="4" t="s">
        <v>31258</v>
      </c>
      <c r="C24837" s="5" t="str">
        <f>IFERROR(__xludf.DUMMYFUNCTION("GOOGLETRANSLATE(B24837,""en"",""es-ES"")"),"Están de pie dentro de un espacio de oficina y tocando la flauta.")</f>
        <v>Están de pie dentro de un espacio de oficina y tocando la flauta.</v>
      </c>
    </row>
    <row r="24838">
      <c r="A24838" s="4" t="s">
        <v>31256</v>
      </c>
      <c r="B24838" s="4" t="s">
        <v>31259</v>
      </c>
      <c r="C24838" s="5" t="str">
        <f>IFERROR(__xludf.DUMMYFUNCTION("GOOGLETRANSLATE(B24838,""en"",""es-ES"")"),"El hombre comienza a meterse realmente en él y animar muy apasionadamente a la gente.")</f>
        <v>El hombre comienza a meterse realmente en él y animar muy apasionadamente a la gente.</v>
      </c>
    </row>
    <row r="24839">
      <c r="A24839" s="4" t="s">
        <v>31256</v>
      </c>
      <c r="B24839" s="4" t="s">
        <v>31260</v>
      </c>
      <c r="C24839" s="5" t="str">
        <f>IFERROR(__xludf.DUMMYFUNCTION("GOOGLETRANSLATE(B24839,""en"",""es-ES"")"),"Se muestra un primer plano de él jugando una y otra vez.")</f>
        <v>Se muestra un primer plano de él jugando una y otra vez.</v>
      </c>
    </row>
    <row r="24840">
      <c r="A24840" s="4" t="s">
        <v>31256</v>
      </c>
      <c r="B24840" s="4" t="s">
        <v>31261</v>
      </c>
      <c r="C24840" s="5" t="str">
        <f>IFERROR(__xludf.DUMMYFUNCTION("GOOGLETRANSLATE(B24840,""en"",""es-ES"")"),"Luego termina la canción con una ronda de aplausos y sale del marco.")</f>
        <v>Luego termina la canción con una ronda de aplausos y sale del marco.</v>
      </c>
    </row>
    <row r="24841">
      <c r="A24841" s="4" t="s">
        <v>31262</v>
      </c>
      <c r="B24841" s="4" t="s">
        <v>31263</v>
      </c>
      <c r="C24841" s="5" t="str">
        <f>IFERROR(__xludf.DUMMYFUNCTION("GOOGLETRANSLATE(B24841,""en"",""es-ES"")"),"Se ve a un hombre arrodillado en el suelo mientras sostiene una plancha en sus manos.")</f>
        <v>Se ve a un hombre arrodillado en el suelo mientras sostiene una plancha en sus manos.</v>
      </c>
    </row>
    <row r="24842">
      <c r="A24842" s="4" t="s">
        <v>31262</v>
      </c>
      <c r="B24842" s="4" t="s">
        <v>31264</v>
      </c>
      <c r="C24842" s="5" t="str">
        <f>IFERROR(__xludf.DUMMYFUNCTION("GOOGLETRANSLATE(B24842,""en"",""es-ES"")"),"Se dobla con la plancha para planchar la camisa y la baja.")</f>
        <v>Se dobla con la plancha para planchar la camisa y la baja.</v>
      </c>
    </row>
    <row r="24843">
      <c r="A24843" s="4" t="s">
        <v>31262</v>
      </c>
      <c r="B24843" s="4" t="s">
        <v>31265</v>
      </c>
      <c r="C24843" s="5" t="str">
        <f>IFERROR(__xludf.DUMMYFUNCTION("GOOGLETRANSLATE(B24843,""en"",""es-ES"")"),"Luego se cubre las orejas y mira hacia otro lado.")</f>
        <v>Luego se cubre las orejas y mira hacia otro lado.</v>
      </c>
    </row>
    <row r="24844">
      <c r="A24844" s="4" t="s">
        <v>31266</v>
      </c>
      <c r="B24844" s="4" t="s">
        <v>31267</v>
      </c>
      <c r="C24844" s="5" t="str">
        <f>IFERROR(__xludf.DUMMYFUNCTION("GOOGLETRANSLATE(B24844,""en"",""es-ES"")"),"Un hombre con una camisa y un sombrero blanco está sentado.")</f>
        <v>Un hombre con una camisa y un sombrero blanco está sentado.</v>
      </c>
    </row>
    <row r="24845">
      <c r="A24845" s="4" t="s">
        <v>31266</v>
      </c>
      <c r="B24845" s="4" t="s">
        <v>31268</v>
      </c>
      <c r="C24845" s="5" t="str">
        <f>IFERROR(__xludf.DUMMYFUNCTION("GOOGLETRANSLATE(B24845,""en"",""es-ES"")"),"Está tocando dos tambores frente a él.")</f>
        <v>Está tocando dos tambores frente a él.</v>
      </c>
    </row>
    <row r="24846">
      <c r="A24846" s="4" t="s">
        <v>31266</v>
      </c>
      <c r="B24846" s="4" t="s">
        <v>31269</v>
      </c>
      <c r="C24846" s="5" t="str">
        <f>IFERROR(__xludf.DUMMYFUNCTION("GOOGLETRANSLATE(B24846,""en"",""es-ES"")"),"Deja de jugarlos y se sienta directamente.")</f>
        <v>Deja de jugarlos y se sienta directamente.</v>
      </c>
    </row>
    <row r="24847">
      <c r="A24847" s="4" t="s">
        <v>31270</v>
      </c>
      <c r="B24847" s="4" t="s">
        <v>31271</v>
      </c>
      <c r="C24847" s="5" t="str">
        <f>IFERROR(__xludf.DUMMYFUNCTION("GOOGLETRANSLATE(B24847,""en"",""es-ES"")"),"Un niño sirve una pelota de tenis.")</f>
        <v>Un niño sirve una pelota de tenis.</v>
      </c>
    </row>
    <row r="24848">
      <c r="A24848" s="4" t="s">
        <v>31270</v>
      </c>
      <c r="B24848" s="4" t="s">
        <v>31272</v>
      </c>
      <c r="C24848" s="5" t="str">
        <f>IFERROR(__xludf.DUMMYFUNCTION("GOOGLETRANSLATE(B24848,""en"",""es-ES"")"),"Luego cumple dos más.")</f>
        <v>Luego cumple dos más.</v>
      </c>
    </row>
    <row r="24849">
      <c r="A24849" s="4" t="s">
        <v>31270</v>
      </c>
      <c r="B24849" s="4" t="s">
        <v>31273</v>
      </c>
      <c r="C24849" s="5" t="str">
        <f>IFERROR(__xludf.DUMMYFUNCTION("GOOGLETRANSLATE(B24849,""en"",""es-ES"")"),"El niño se da vuelta y se aleja.")</f>
        <v>El niño se da vuelta y se aleja.</v>
      </c>
    </row>
    <row r="24850">
      <c r="A24850" s="4" t="s">
        <v>31274</v>
      </c>
      <c r="B24850" s="4" t="s">
        <v>31275</v>
      </c>
      <c r="C24850" s="5" t="str">
        <f>IFERROR(__xludf.DUMMYFUNCTION("GOOGLETRANSLATE(B24850,""en"",""es-ES"")"),"Un adolescente habla y sostiene una correa de perro mientras un joven machaca a un perro en un sofá.")</f>
        <v>Un adolescente habla y sostiene una correa de perro mientras un joven machaca a un perro en un sofá.</v>
      </c>
    </row>
    <row r="24851">
      <c r="A24851" s="4" t="s">
        <v>31274</v>
      </c>
      <c r="B24851" s="4" t="s">
        <v>31276</v>
      </c>
      <c r="C24851" s="5" t="str">
        <f>IFERROR(__xludf.DUMMYFUNCTION("GOOGLETRANSLATE(B24851,""en"",""es-ES"")"),"Luego, el adolescente corre con el perro fue otro juego juvenil Frisbee, después de que el adolescente habla.")</f>
        <v>Luego, el adolescente corre con el perro fue otro juego juvenil Frisbee, después de que el adolescente habla.</v>
      </c>
    </row>
    <row r="24852">
      <c r="A24852" s="4" t="s">
        <v>31274</v>
      </c>
      <c r="B24852" s="4" t="s">
        <v>31277</v>
      </c>
      <c r="C24852" s="5" t="str">
        <f>IFERROR(__xludf.DUMMYFUNCTION("GOOGLETRANSLATE(B24852,""en"",""es-ES"")"),"Una mujer lee un libro Lean en una máquina de refrescos de dispensadores.")</f>
        <v>Una mujer lee un libro Lean en una máquina de refrescos de dispensadores.</v>
      </c>
    </row>
    <row r="24853">
      <c r="A24853" s="4" t="s">
        <v>31274</v>
      </c>
      <c r="B24853" s="4" t="s">
        <v>31278</v>
      </c>
      <c r="C24853" s="5" t="str">
        <f>IFERROR(__xludf.DUMMYFUNCTION("GOOGLETRANSLATE(B24853,""en"",""es-ES"")"),"Un hombre camina a un perro en un estacionamiento y la calle.")</f>
        <v>Un hombre camina a un perro en un estacionamiento y la calle.</v>
      </c>
    </row>
    <row r="24854">
      <c r="A24854" s="4" t="s">
        <v>31274</v>
      </c>
      <c r="B24854" s="4" t="s">
        <v>31279</v>
      </c>
      <c r="C24854" s="5" t="str">
        <f>IFERROR(__xludf.DUMMYFUNCTION("GOOGLETRANSLATE(B24854,""en"",""es-ES"")"),"Después, el adolescente y el joven están en interiores.")</f>
        <v>Después, el adolescente y el joven están en interiores.</v>
      </c>
    </row>
    <row r="24855">
      <c r="A24855" s="4" t="s">
        <v>31280</v>
      </c>
      <c r="B24855" s="4" t="s">
        <v>31281</v>
      </c>
      <c r="C24855" s="5" t="str">
        <f>IFERROR(__xludf.DUMMYFUNCTION("GOOGLETRANSLATE(B24855,""en"",""es-ES"")"),"El video comienza con un juego de curling que se muestra desde arriba.")</f>
        <v>El video comienza con un juego de curling que se muestra desde arriba.</v>
      </c>
    </row>
    <row r="24856">
      <c r="A24856" s="4" t="s">
        <v>31280</v>
      </c>
      <c r="B24856" s="4" t="s">
        <v>31282</v>
      </c>
      <c r="C24856" s="5" t="str">
        <f>IFERROR(__xludf.DUMMYFUNCTION("GOOGLETRANSLATE(B24856,""en"",""es-ES"")"),"La cámara luego muestra a una dama patinando sobre el hielo.")</f>
        <v>La cámara luego muestra a una dama patinando sobre el hielo.</v>
      </c>
    </row>
    <row r="24857">
      <c r="A24857" s="4" t="s">
        <v>31280</v>
      </c>
      <c r="B24857" s="4" t="s">
        <v>31283</v>
      </c>
      <c r="C24857" s="5" t="str">
        <f>IFERROR(__xludf.DUMMYFUNCTION("GOOGLETRANSLATE(B24857,""en"",""es-ES"")"),"Luego, la cámara se centra en el juego de curling que muestra a una dama a punto de disparar.")</f>
        <v>Luego, la cámara se centra en el juego de curling que muestra a una dama a punto de disparar.</v>
      </c>
    </row>
    <row r="24858">
      <c r="A24858" s="4" t="s">
        <v>31280</v>
      </c>
      <c r="B24858" s="4" t="s">
        <v>31284</v>
      </c>
      <c r="C24858" s="5" t="str">
        <f>IFERROR(__xludf.DUMMYFUNCTION("GOOGLETRANSLATE(B24858,""en"",""es-ES"")"),"Regresan al ángulo superior del juego mientras la señora se prepara para disparar.")</f>
        <v>Regresan al ángulo superior del juego mientras la señora se prepara para disparar.</v>
      </c>
    </row>
    <row r="24859">
      <c r="A24859" s="4" t="s">
        <v>31280</v>
      </c>
      <c r="B24859" s="4" t="s">
        <v>31285</v>
      </c>
      <c r="C24859" s="5" t="str">
        <f>IFERROR(__xludf.DUMMYFUNCTION("GOOGLETRANSLATE(B24859,""en"",""es-ES"")"),"Otros jugadores se muestran observando con anticipación.")</f>
        <v>Otros jugadores se muestran observando con anticipación.</v>
      </c>
    </row>
    <row r="24860">
      <c r="A24860" s="4" t="s">
        <v>31280</v>
      </c>
      <c r="B24860" s="4" t="s">
        <v>31286</v>
      </c>
      <c r="C24860" s="5" t="str">
        <f>IFERROR(__xludf.DUMMYFUNCTION("GOOGLETRANSLATE(B24860,""en"",""es-ES"")"),"El jugador hace la toma y la cámara sigue.")</f>
        <v>El jugador hace la toma y la cámara sigue.</v>
      </c>
    </row>
    <row r="24861">
      <c r="A24861" s="4" t="s">
        <v>31280</v>
      </c>
      <c r="B24861" s="4" t="s">
        <v>31287</v>
      </c>
      <c r="C24861" s="5" t="str">
        <f>IFERROR(__xludf.DUMMYFUNCTION("GOOGLETRANSLATE(B24861,""en"",""es-ES"")"),"La multitud aplaude y se muestra una repetición de la toma.")</f>
        <v>La multitud aplaude y se muestra una repetición de la toma.</v>
      </c>
    </row>
    <row r="24862">
      <c r="A24862" s="4" t="s">
        <v>31288</v>
      </c>
      <c r="B24862" s="4" t="s">
        <v>31289</v>
      </c>
      <c r="C24862" s="5" t="str">
        <f>IFERROR(__xludf.DUMMYFUNCTION("GOOGLETRANSLATE(B24862,""en"",""es-ES"")"),"Una persona está haciendo snowboard en interiores solo.")</f>
        <v>Una persona está haciendo snowboard en interiores solo.</v>
      </c>
    </row>
    <row r="24863">
      <c r="A24863" s="4" t="s">
        <v>31288</v>
      </c>
      <c r="B24863" s="4" t="s">
        <v>31290</v>
      </c>
      <c r="C24863" s="5" t="str">
        <f>IFERROR(__xludf.DUMMYFUNCTION("GOOGLETRANSLATE(B24863,""en"",""es-ES"")"),"La persona está zigzaguea con su tabla por una pendiente.")</f>
        <v>La persona está zigzaguea con su tabla por una pendiente.</v>
      </c>
    </row>
    <row r="24864">
      <c r="A24864" s="4" t="s">
        <v>31288</v>
      </c>
      <c r="B24864" s="4" t="s">
        <v>31291</v>
      </c>
      <c r="C24864" s="5" t="str">
        <f>IFERROR(__xludf.DUMMYFUNCTION("GOOGLETRANSLATE(B24864,""en"",""es-ES"")"),"La persona se da vuelta al final de la pendiente con los brazos extendidos.")</f>
        <v>La persona se da vuelta al final de la pendiente con los brazos extendidos.</v>
      </c>
    </row>
    <row r="24865">
      <c r="A24865" s="4" t="s">
        <v>31292</v>
      </c>
      <c r="B24865" s="4" t="s">
        <v>31293</v>
      </c>
      <c r="C24865" s="5" t="str">
        <f>IFERROR(__xludf.DUMMYFUNCTION("GOOGLETRANSLATE(B24865,""en"",""es-ES"")"),"Se ve a un joven sentado detrás de una batería con palos.")</f>
        <v>Se ve a un joven sentado detrás de una batería con palos.</v>
      </c>
    </row>
    <row r="24866">
      <c r="A24866" s="4" t="s">
        <v>31292</v>
      </c>
      <c r="B24866" s="4" t="s">
        <v>31294</v>
      </c>
      <c r="C24866" s="5" t="str">
        <f>IFERROR(__xludf.DUMMYFUNCTION("GOOGLETRANSLATE(B24866,""en"",""es-ES"")"),"El hombre comienza a tocar la batería continuamente mientras la cámara captura sus movimientos.")</f>
        <v>El hombre comienza a tocar la batería continuamente mientras la cámara captura sus movimientos.</v>
      </c>
    </row>
    <row r="24867">
      <c r="A24867" s="4" t="s">
        <v>31292</v>
      </c>
      <c r="B24867" s="4" t="s">
        <v>31295</v>
      </c>
      <c r="C24867" s="5" t="str">
        <f>IFERROR(__xludf.DUMMYFUNCTION("GOOGLETRANSLATE(B24867,""en"",""es-ES"")"),"Todavía se lo ve tocando la batería y termina con las manos en alto.")</f>
        <v>Todavía se lo ve tocando la batería y termina con las manos en alto.</v>
      </c>
    </row>
    <row r="24868">
      <c r="A24868" s="4" t="s">
        <v>31296</v>
      </c>
      <c r="B24868" s="4" t="s">
        <v>31297</v>
      </c>
      <c r="C24868" s="5" t="str">
        <f>IFERROR(__xludf.DUMMYFUNCTION("GOOGLETRANSLATE(B24868,""en"",""es-ES"")"),"Un niño pequeño golpea una piñata con un bate mientras gira.")</f>
        <v>Un niño pequeño golpea una piñata con un bate mientras gira.</v>
      </c>
    </row>
    <row r="24869">
      <c r="A24869" s="4" t="s">
        <v>31296</v>
      </c>
      <c r="B24869" s="4" t="s">
        <v>31298</v>
      </c>
      <c r="C24869" s="5" t="str">
        <f>IFERROR(__xludf.DUMMYFUNCTION("GOOGLETRANSLATE(B24869,""en"",""es-ES"")"),"Una persona está cerca del niño que muestra un brazo.")</f>
        <v>Una persona está cerca del niño que muestra un brazo.</v>
      </c>
    </row>
    <row r="24870">
      <c r="A24870" s="4" t="s">
        <v>31299</v>
      </c>
      <c r="B24870" s="4" t="s">
        <v>31300</v>
      </c>
      <c r="C24870" s="5" t="str">
        <f>IFERROR(__xludf.DUMMYFUNCTION("GOOGLETRANSLATE(B24870,""en"",""es-ES"")"),"La escena dice River Scum con fondo negro.")</f>
        <v>La escena dice River Scum con fondo negro.</v>
      </c>
    </row>
    <row r="24871">
      <c r="A24871" s="4" t="s">
        <v>31299</v>
      </c>
      <c r="B24871" s="4" t="s">
        <v>31301</v>
      </c>
      <c r="C24871" s="5" t="str">
        <f>IFERROR(__xludf.DUMMYFUNCTION("GOOGLETRANSLATE(B24871,""en"",""es-ES"")"),"Un kayak está bajando por un río mientras una persona está remando.")</f>
        <v>Un kayak está bajando por un río mientras una persona está remando.</v>
      </c>
    </row>
    <row r="24872">
      <c r="A24872" s="4" t="s">
        <v>31299</v>
      </c>
      <c r="B24872" s="4" t="s">
        <v>31302</v>
      </c>
      <c r="C24872" s="5" t="str">
        <f>IFERROR(__xludf.DUMMYFUNCTION("GOOGLETRANSLATE(B24872,""en"",""es-ES"")"),"Una pantalla viene con palabras.")</f>
        <v>Una pantalla viene con palabras.</v>
      </c>
    </row>
    <row r="24873">
      <c r="A24873" s="4" t="s">
        <v>31303</v>
      </c>
      <c r="B24873" s="4" t="s">
        <v>31304</v>
      </c>
      <c r="C24873" s="5" t="str">
        <f>IFERROR(__xludf.DUMMYFUNCTION("GOOGLETRANSLATE(B24873,""en"",""es-ES"")"),"Se ve a un pequeño grupo de personas sentado en una balsa con primeros planos de sus pies y paletas.")</f>
        <v>Se ve a un pequeño grupo de personas sentado en una balsa con primeros planos de sus pies y paletas.</v>
      </c>
    </row>
    <row r="24874">
      <c r="A24874" s="4" t="s">
        <v>31303</v>
      </c>
      <c r="B24874" s="4" t="s">
        <v>31305</v>
      </c>
      <c r="C24874" s="5" t="str">
        <f>IFERROR(__xludf.DUMMYFUNCTION("GOOGLETRANSLATE(B24874,""en"",""es-ES"")"),"Un hombre habla con el grupo y los lleva a remar por un río.")</f>
        <v>Un hombre habla con el grupo y los lleva a remar por un río.</v>
      </c>
    </row>
    <row r="24875">
      <c r="A24875" s="4" t="s">
        <v>31303</v>
      </c>
      <c r="B24875" s="4" t="s">
        <v>31306</v>
      </c>
      <c r="C24875" s="5" t="str">
        <f>IFERROR(__xludf.DUMMYFUNCTION("GOOGLETRANSLATE(B24875,""en"",""es-ES"")"),"El grupo continúa cabalgando por el río mostrando cerca de ellos trabajando y terminando con un logotipo en la pantalla.")</f>
        <v>El grupo continúa cabalgando por el río mostrando cerca de ellos trabajando y terminando con un logotipo en la pantalla.</v>
      </c>
    </row>
    <row r="24876">
      <c r="A24876" s="4" t="s">
        <v>31307</v>
      </c>
      <c r="B24876" s="4" t="s">
        <v>31308</v>
      </c>
      <c r="C24876" s="5" t="str">
        <f>IFERROR(__xludf.DUMMYFUNCTION("GOOGLETRANSLATE(B24876,""en"",""es-ES"")"),"Un toro negro se burla con un muñeco colgando de una cuerda mientras el toro se lanza al muñeco.")</f>
        <v>Un toro negro se burla con un muñeco colgando de una cuerda mientras el toro se lanza al muñeco.</v>
      </c>
    </row>
    <row r="24877">
      <c r="A24877" s="4" t="s">
        <v>31307</v>
      </c>
      <c r="B24877" s="4" t="s">
        <v>31309</v>
      </c>
      <c r="C24877" s="5" t="str">
        <f>IFERROR(__xludf.DUMMYFUNCTION("GOOGLETRANSLATE(B24877,""en"",""es-ES"")"),"Un hombre con un paraguas verde y blanco se burla de un toro negro en una cuerda, mientras que los espectadores también se burlan del toro desde el costado en una pared.")</f>
        <v>Un hombre con un paraguas verde y blanco se burla de un toro negro en una cuerda, mientras que los espectadores también se burlan del toro desde el costado en una pared.</v>
      </c>
    </row>
    <row r="24878">
      <c r="A24878" s="4" t="s">
        <v>31307</v>
      </c>
      <c r="B24878" s="4" t="s">
        <v>31310</v>
      </c>
      <c r="C24878" s="5" t="str">
        <f>IFERROR(__xludf.DUMMYFUNCTION("GOOGLETRANSLATE(B24878,""en"",""es-ES"")"),"El toro negro se lanza a otro muñeco y el muñeco queda atrapado en la bocina de los toros mientras el toro sale corriendo después de otros objetivos burlones.")</f>
        <v>El toro negro se lanza a otro muñeco y el muñeco queda atrapado en la bocina de los toros mientras el toro sale corriendo después de otros objetivos burlones.</v>
      </c>
    </row>
    <row r="24879">
      <c r="A24879" s="4" t="s">
        <v>31311</v>
      </c>
      <c r="B24879" s="4" t="s">
        <v>31312</v>
      </c>
      <c r="C24879" s="5" t="str">
        <f>IFERROR(__xludf.DUMMYFUNCTION("GOOGLETRANSLATE(B24879,""en"",""es-ES"")"),"Un hombre sostiene un hacha en el bosque.")</f>
        <v>Un hombre sostiene un hacha en el bosque.</v>
      </c>
    </row>
    <row r="24880">
      <c r="A24880" s="4" t="s">
        <v>31311</v>
      </c>
      <c r="B24880" s="4" t="s">
        <v>31313</v>
      </c>
      <c r="C24880" s="5" t="str">
        <f>IFERROR(__xludf.DUMMYFUNCTION("GOOGLETRANSLATE(B24880,""en"",""es-ES"")"),"Está hablando y ajustando un gran tocón.")</f>
        <v>Está hablando y ajustando un gran tocón.</v>
      </c>
    </row>
    <row r="24881">
      <c r="A24881" s="4" t="s">
        <v>31311</v>
      </c>
      <c r="B24881" s="4" t="s">
        <v>31314</v>
      </c>
      <c r="C24881" s="5" t="str">
        <f>IFERROR(__xludf.DUMMYFUNCTION("GOOGLETRANSLATE(B24881,""en"",""es-ES"")"),"Él usa el hacha para dividir la madera.")</f>
        <v>Él usa el hacha para dividir la madera.</v>
      </c>
    </row>
    <row r="24882">
      <c r="A24882" s="4" t="s">
        <v>31315</v>
      </c>
      <c r="B24882" s="4" t="s">
        <v>31316</v>
      </c>
      <c r="C24882" s="5" t="str">
        <f>IFERROR(__xludf.DUMMYFUNCTION("GOOGLETRANSLATE(B24882,""en"",""es-ES"")"),"Vemos a una dama rebotando en una línea floja.")</f>
        <v>Vemos a una dama rebotando en una línea floja.</v>
      </c>
    </row>
    <row r="24883">
      <c r="A24883" s="4" t="s">
        <v>31315</v>
      </c>
      <c r="B24883" s="4" t="s">
        <v>31317</v>
      </c>
      <c r="C24883" s="5" t="str">
        <f>IFERROR(__xludf.DUMMYFUNCTION("GOOGLETRANSLATE(B24883,""en"",""es-ES"")"),"La señora se sienta de rodillas.")</f>
        <v>La señora se sienta de rodillas.</v>
      </c>
    </row>
    <row r="24884">
      <c r="A24884" s="4" t="s">
        <v>31315</v>
      </c>
      <c r="B24884" s="4" t="s">
        <v>31318</v>
      </c>
      <c r="C24884" s="5" t="str">
        <f>IFERROR(__xludf.DUMMYFUNCTION("GOOGLETRANSLATE(B24884,""en"",""es-ES"")"),"El hombre en el fondo recoge la nieve.")</f>
        <v>El hombre en el fondo recoge la nieve.</v>
      </c>
    </row>
    <row r="24885">
      <c r="A24885" s="4" t="s">
        <v>31315</v>
      </c>
      <c r="B24885" s="4" t="s">
        <v>31319</v>
      </c>
      <c r="C24885" s="5" t="str">
        <f>IFERROR(__xludf.DUMMYFUNCTION("GOOGLETRANSLATE(B24885,""en"",""es-ES"")"),"La dama cae de la línea de holgura.")</f>
        <v>La dama cae de la línea de holgura.</v>
      </c>
    </row>
    <row r="24886">
      <c r="A24886" s="4" t="s">
        <v>31315</v>
      </c>
      <c r="B24886" s="4" t="s">
        <v>31320</v>
      </c>
      <c r="C24886" s="5" t="str">
        <f>IFERROR(__xludf.DUMMYFUNCTION("GOOGLETRANSLATE(B24886,""en"",""es-ES"")"),"Vemos a un hombre rebotando en la línea Slack.")</f>
        <v>Vemos a un hombre rebotando en la línea Slack.</v>
      </c>
    </row>
    <row r="24887">
      <c r="A24887" s="4" t="s">
        <v>31315</v>
      </c>
      <c r="B24887" s="4" t="s">
        <v>31321</v>
      </c>
      <c r="C24887" s="5" t="str">
        <f>IFERROR(__xludf.DUMMYFUNCTION("GOOGLETRANSLATE(B24887,""en"",""es-ES"")"),"Volvemos a la primera dama rebotando.")</f>
        <v>Volvemos a la primera dama rebotando.</v>
      </c>
    </row>
    <row r="24888">
      <c r="A24888" s="4" t="s">
        <v>31315</v>
      </c>
      <c r="B24888" s="4" t="s">
        <v>31322</v>
      </c>
      <c r="C24888" s="5" t="str">
        <f>IFERROR(__xludf.DUMMYFUNCTION("GOOGLETRANSLATE(B24888,""en"",""es-ES"")"),"La señora salta de la línea floja y vuelve a subir.")</f>
        <v>La señora salta de la línea floja y vuelve a subir.</v>
      </c>
    </row>
    <row r="24889">
      <c r="A24889" s="4" t="s">
        <v>31315</v>
      </c>
      <c r="B24889" s="4" t="s">
        <v>31323</v>
      </c>
      <c r="C24889" s="5" t="str">
        <f>IFERROR(__xludf.DUMMYFUNCTION("GOOGLETRANSLATE(B24889,""en"",""es-ES"")"),"La señora gira mientras rebota.")</f>
        <v>La señora gira mientras rebota.</v>
      </c>
    </row>
    <row r="24890">
      <c r="A24890" s="4" t="s">
        <v>31315</v>
      </c>
      <c r="B24890" s="4" t="s">
        <v>31324</v>
      </c>
      <c r="C24890" s="5" t="str">
        <f>IFERROR(__xludf.DUMMYFUNCTION("GOOGLETRANSLATE(B24890,""en"",""es-ES"")"),"La dama salta y luego vuelve a encender.")</f>
        <v>La dama salta y luego vuelve a encender.</v>
      </c>
    </row>
    <row r="24891">
      <c r="A24891" s="4" t="s">
        <v>31325</v>
      </c>
      <c r="B24891" s="4" t="s">
        <v>31326</v>
      </c>
      <c r="C24891" s="5" t="str">
        <f>IFERROR(__xludf.DUMMYFUNCTION("GOOGLETRANSLATE(B24891,""en"",""es-ES"")"),"Un grupo de hombres está sentado afuera tocando instrumentos juntos.")</f>
        <v>Un grupo de hombres está sentado afuera tocando instrumentos juntos.</v>
      </c>
    </row>
    <row r="24892">
      <c r="A24892" s="4" t="s">
        <v>31325</v>
      </c>
      <c r="B24892" s="4" t="s">
        <v>31327</v>
      </c>
      <c r="C24892" s="5" t="str">
        <f>IFERROR(__xludf.DUMMYFUNCTION("GOOGLETRANSLATE(B24892,""en"",""es-ES"")"),"Uno de los hombres entrega otro un palo convertido en una flauta y se sienta terminado y comienza a jugar en él.")</f>
        <v>Uno de los hombres entrega otro un palo convertido en una flauta y se sienta terminado y comienza a jugar en él.</v>
      </c>
    </row>
    <row r="24893">
      <c r="A24893" s="4" t="s">
        <v>31325</v>
      </c>
      <c r="B24893" s="4" t="s">
        <v>31328</v>
      </c>
      <c r="C24893" s="5" t="str">
        <f>IFERROR(__xludf.DUMMYFUNCTION("GOOGLETRANSLATE(B24893,""en"",""es-ES"")"),"El hombre comienza a jugar al saxofón junto con él.")</f>
        <v>El hombre comienza a jugar al saxofón junto con él.</v>
      </c>
    </row>
    <row r="24894">
      <c r="A24894" s="4" t="s">
        <v>31325</v>
      </c>
      <c r="B24894" s="4" t="s">
        <v>31329</v>
      </c>
      <c r="C24894" s="5" t="str">
        <f>IFERROR(__xludf.DUMMYFUNCTION("GOOGLETRANSLATE(B24894,""en"",""es-ES"")"),"Todos los otros hombres se unen y todos hacen música juntos, pasando un buen rato.")</f>
        <v>Todos los otros hombres se unen y todos hacen música juntos, pasando un buen rato.</v>
      </c>
    </row>
    <row r="24895">
      <c r="A24895" s="4" t="s">
        <v>31330</v>
      </c>
      <c r="B24895" s="4" t="s">
        <v>31331</v>
      </c>
      <c r="C24895" s="5" t="str">
        <f>IFERROR(__xludf.DUMMYFUNCTION("GOOGLETRANSLATE(B24895,""en"",""es-ES"")"),"Una persona monta un caballo en un campo pateando una pelota con un palo curvo.")</f>
        <v>Una persona monta un caballo en un campo pateando una pelota con un palo curvo.</v>
      </c>
    </row>
    <row r="24896">
      <c r="A24896" s="4" t="s">
        <v>31330</v>
      </c>
      <c r="B24896" s="4" t="s">
        <v>31332</v>
      </c>
      <c r="C24896" s="5" t="str">
        <f>IFERROR(__xludf.DUMMYFUNCTION("GOOGLETRANSLATE(B24896,""en"",""es-ES"")"),"La gente juega a polo en el campo montado en caballos.")</f>
        <v>La gente juega a polo en el campo montado en caballos.</v>
      </c>
    </row>
    <row r="24897">
      <c r="A24897" s="4" t="s">
        <v>31330</v>
      </c>
      <c r="B24897" s="4" t="s">
        <v>31333</v>
      </c>
      <c r="C24897" s="5" t="str">
        <f>IFERROR(__xludf.DUMMYFUNCTION("GOOGLETRANSLATE(B24897,""en"",""es-ES"")"),"El hombre con el palo curvo corre detrás de los otros jugadores y disputa la pelota y anota.")</f>
        <v>El hombre con el palo curvo corre detrás de los otros jugadores y disputa la pelota y anota.</v>
      </c>
    </row>
    <row r="24898">
      <c r="A24898" s="4" t="s">
        <v>31330</v>
      </c>
      <c r="B24898" s="4" t="s">
        <v>31334</v>
      </c>
      <c r="C24898" s="5" t="str">
        <f>IFERROR(__xludf.DUMMYFUNCTION("GOOGLETRANSLATE(B24898,""en"",""es-ES"")"),"Después, la persona corre detrás de un jugador con una camiseta azul para golpear la pelota y anotar.")</f>
        <v>Después, la persona corre detrás de un jugador con una camiseta azul para golpear la pelota y anotar.</v>
      </c>
    </row>
    <row r="24899">
      <c r="A24899" s="4" t="s">
        <v>31335</v>
      </c>
      <c r="B24899" s="4" t="s">
        <v>31336</v>
      </c>
      <c r="C24899" s="5" t="str">
        <f>IFERROR(__xludf.DUMMYFUNCTION("GOOGLETRANSLATE(B24899,""en"",""es-ES"")"),"Se ve a un hombre acostado en el suelo sosteniendo su estómago.")</f>
        <v>Se ve a un hombre acostado en el suelo sosteniendo su estómago.</v>
      </c>
    </row>
    <row r="24900">
      <c r="A24900" s="4" t="s">
        <v>31335</v>
      </c>
      <c r="B24900" s="4" t="s">
        <v>31337</v>
      </c>
      <c r="C24900" s="5" t="str">
        <f>IFERROR(__xludf.DUMMYFUNCTION("GOOGLETRANSLATE(B24900,""en"",""es-ES"")"),"Comienza a moverse hacia arriba y hacia abajo en el suelo mientras se aferran a su cintura.")</f>
        <v>Comienza a moverse hacia arriba y hacia abajo en el suelo mientras se aferran a su cintura.</v>
      </c>
    </row>
    <row r="24901">
      <c r="A24901" s="4" t="s">
        <v>31335</v>
      </c>
      <c r="B24901" s="4" t="s">
        <v>31338</v>
      </c>
      <c r="C24901" s="5" t="str">
        <f>IFERROR(__xludf.DUMMYFUNCTION("GOOGLETRANSLATE(B24901,""en"",""es-ES"")"),"Continúa moviéndose hacia arriba y hacia abajo mientras la cámara captura sus movimientos.")</f>
        <v>Continúa moviéndose hacia arriba y hacia abajo mientras la cámara captura sus movimientos.</v>
      </c>
    </row>
    <row r="24902">
      <c r="A24902" s="4" t="s">
        <v>31339</v>
      </c>
      <c r="B24902" s="4" t="s">
        <v>31340</v>
      </c>
      <c r="C24902" s="5" t="str">
        <f>IFERROR(__xludf.DUMMYFUNCTION("GOOGLETRANSLATE(B24902,""en"",""es-ES"")"),"Se muestra un primer plano de una persona que sostiene una bolsa y sigue con la persona que saca los artículos.")</f>
        <v>Se muestra un primer plano de una persona que sostiene una bolsa y sigue con la persona que saca los artículos.</v>
      </c>
    </row>
    <row r="24903">
      <c r="A24903" s="4" t="s">
        <v>31339</v>
      </c>
      <c r="B24903" s="4" t="s">
        <v>31341</v>
      </c>
      <c r="C24903" s="5" t="str">
        <f>IFERROR(__xludf.DUMMYFUNCTION("GOOGLETRANSLATE(B24903,""en"",""es-ES"")"),"Él pone los artículos y ejecuta un tablero a través de un esquí.")</f>
        <v>Él pone los artículos y ejecuta un tablero a través de un esquí.</v>
      </c>
    </row>
    <row r="24904">
      <c r="A24904" s="4" t="s">
        <v>31339</v>
      </c>
      <c r="B24904" s="4" t="s">
        <v>31342</v>
      </c>
      <c r="C24904" s="5" t="str">
        <f>IFERROR(__xludf.DUMMYFUNCTION("GOOGLETRANSLATE(B24904,""en"",""es-ES"")"),"Finalmente frota el esquí nuevamente y coloca la gorra en el bar.")</f>
        <v>Finalmente frota el esquí nuevamente y coloca la gorra en el bar.</v>
      </c>
    </row>
    <row r="24905">
      <c r="A24905" s="4" t="s">
        <v>31343</v>
      </c>
      <c r="B24905" s="4" t="s">
        <v>31344</v>
      </c>
      <c r="C24905" s="5" t="str">
        <f>IFERROR(__xludf.DUMMYFUNCTION("GOOGLETRANSLATE(B24905,""en"",""es-ES"")"),"Un hombre corta una muesca grande en un LOX con un hacha.")</f>
        <v>Un hombre corta una muesca grande en un LOX con un hacha.</v>
      </c>
    </row>
    <row r="24906">
      <c r="A24906" s="4" t="s">
        <v>31343</v>
      </c>
      <c r="B24906" s="4" t="s">
        <v>31345</v>
      </c>
      <c r="C24906" s="5" t="str">
        <f>IFERROR(__xludf.DUMMYFUNCTION("GOOGLETRANSLATE(B24906,""en"",""es-ES"")"),"El hombre usa su mano enguantada para eliminar la madera astillada del tronco.")</f>
        <v>El hombre usa su mano enguantada para eliminar la madera astillada del tronco.</v>
      </c>
    </row>
    <row r="24907">
      <c r="A24907" s="4" t="s">
        <v>31346</v>
      </c>
      <c r="B24907" s="4" t="s">
        <v>31347</v>
      </c>
      <c r="C24907" s="5" t="str">
        <f>IFERROR(__xludf.DUMMYFUNCTION("GOOGLETRANSLATE(B24907,""en"",""es-ES"")"),"Una introducción conduce a una mujer que realiza varios trucos diferentes con un perro y muestra texto sobre cómo realizar el truco.")</f>
        <v>Una introducción conduce a una mujer que realiza varios trucos diferentes con un perro y muestra texto sobre cómo realizar el truco.</v>
      </c>
    </row>
    <row r="24908">
      <c r="A24908" s="4" t="s">
        <v>31346</v>
      </c>
      <c r="B24908" s="4" t="s">
        <v>31348</v>
      </c>
      <c r="C24908" s="5" t="str">
        <f>IFERROR(__xludf.DUMMYFUNCTION("GOOGLETRANSLATE(B24908,""en"",""es-ES"")"),"La mujer continúa realizando trucos con el perro y termina caminando hacia la cámara.")</f>
        <v>La mujer continúa realizando trucos con el perro y termina caminando hacia la cámara.</v>
      </c>
    </row>
    <row r="24909">
      <c r="A24909" s="4" t="s">
        <v>31349</v>
      </c>
      <c r="B24909" s="4" t="s">
        <v>31350</v>
      </c>
      <c r="C24909" s="5" t="str">
        <f>IFERROR(__xludf.DUMMYFUNCTION("GOOGLETRANSLATE(B24909,""en"",""es-ES"")"),"Se muestran un grupo de jugadores y tiros de billar.")</f>
        <v>Se muestran un grupo de jugadores y tiros de billar.</v>
      </c>
    </row>
    <row r="24910">
      <c r="A24910" s="4" t="s">
        <v>31349</v>
      </c>
      <c r="B24910" s="4" t="s">
        <v>31351</v>
      </c>
      <c r="C24910" s="5" t="str">
        <f>IFERROR(__xludf.DUMMYFUNCTION("GOOGLETRANSLATE(B24910,""en"",""es-ES"")"),"Las tomas son tomas de trucos en la segunda mitad del video.")</f>
        <v>Las tomas son tomas de trucos en la segunda mitad del video.</v>
      </c>
    </row>
    <row r="24911">
      <c r="A24911" s="4" t="s">
        <v>31352</v>
      </c>
      <c r="B24911" s="4" t="s">
        <v>31353</v>
      </c>
      <c r="C24911" s="5" t="str">
        <f>IFERROR(__xludf.DUMMYFUNCTION("GOOGLETRANSLATE(B24911,""en"",""es-ES"")"),"Aparecen las palabras ""mi montar a caballo"".")</f>
        <v>Aparecen las palabras "mi montar a caballo".</v>
      </c>
    </row>
    <row r="24912">
      <c r="A24912" s="4" t="s">
        <v>31352</v>
      </c>
      <c r="B24912" s="4" t="s">
        <v>31354</v>
      </c>
      <c r="C24912" s="5" t="str">
        <f>IFERROR(__xludf.DUMMYFUNCTION("GOOGLETRANSLATE(B24912,""en"",""es-ES"")"),"Una niña que monta un caballo blanco no hace que su caballo salta alrededor de una pista.")</f>
        <v>Una niña que monta un caballo blanco no hace que su caballo salta alrededor de una pista.</v>
      </c>
    </row>
    <row r="24913">
      <c r="A24913" s="4" t="s">
        <v>31352</v>
      </c>
      <c r="B24913" s="4" t="s">
        <v>31355</v>
      </c>
      <c r="C24913" s="5" t="str">
        <f>IFERROR(__xludf.DUMMYFUNCTION("GOOGLETRANSLATE(B24913,""en"",""es-ES"")"),"Una canción se reproduce sobre el video.")</f>
        <v>Una canción se reproduce sobre el video.</v>
      </c>
    </row>
    <row r="24914">
      <c r="A24914" s="4" t="s">
        <v>31356</v>
      </c>
      <c r="B24914" s="4" t="s">
        <v>31357</v>
      </c>
      <c r="C24914" s="5" t="str">
        <f>IFERROR(__xludf.DUMMYFUNCTION("GOOGLETRANSLATE(B24914,""en"",""es-ES"")"),"Se muestra una pantalla negra con tres filas de escritura árabe.")</f>
        <v>Se muestra una pantalla negra con tres filas de escritura árabe.</v>
      </c>
    </row>
    <row r="24915">
      <c r="A24915" s="4" t="s">
        <v>31356</v>
      </c>
      <c r="B24915" s="4" t="s">
        <v>31358</v>
      </c>
      <c r="C24915" s="5" t="str">
        <f>IFERROR(__xludf.DUMMYFUNCTION("GOOGLETRANSLATE(B24915,""en"",""es-ES"")"),"Una niña luego entra en el baño y comienza a lavarse las manos.")</f>
        <v>Una niña luego entra en el baño y comienza a lavarse las manos.</v>
      </c>
    </row>
    <row r="24916">
      <c r="A24916" s="4" t="s">
        <v>31356</v>
      </c>
      <c r="B24916" s="4" t="s">
        <v>31359</v>
      </c>
      <c r="C24916" s="5" t="str">
        <f>IFERROR(__xludf.DUMMYFUNCTION("GOOGLETRANSLATE(B24916,""en"",""es-ES"")"),"Mientras continúa, ella comienza a hablar y describir el proceso y luego aparece más escritura.")</f>
        <v>Mientras continúa, ella comienza a hablar y describir el proceso y luego aparece más escritura.</v>
      </c>
    </row>
    <row r="24917">
      <c r="A24917" s="4" t="s">
        <v>31360</v>
      </c>
      <c r="B24917" s="4" t="s">
        <v>31361</v>
      </c>
      <c r="C24917" s="5" t="str">
        <f>IFERROR(__xludf.DUMMYFUNCTION("GOOGLETRANSLATE(B24917,""en"",""es-ES"")"),"La cámara regresa para mostrar un hotel con linternas rojas en el aire y cuervos de personas paradas y mirando por la playa.")</f>
        <v>La cámara regresa para mostrar un hotel con linternas rojas en el aire y cuervos de personas paradas y mirando por la playa.</v>
      </c>
    </row>
    <row r="24918">
      <c r="A24918" s="4" t="s">
        <v>31360</v>
      </c>
      <c r="B24918" s="4" t="s">
        <v>31362</v>
      </c>
      <c r="C24918" s="5" t="str">
        <f>IFERROR(__xludf.DUMMYFUNCTION("GOOGLETRANSLATE(B24918,""en"",""es-ES"")"),"Un hombre monta un jetski frente a una gran ola de agua sucia.")</f>
        <v>Un hombre monta un jetski frente a una gran ola de agua sucia.</v>
      </c>
    </row>
    <row r="24919">
      <c r="A24919" s="4" t="s">
        <v>31360</v>
      </c>
      <c r="B24919" s="4" t="s">
        <v>31363</v>
      </c>
      <c r="C24919" s="5" t="str">
        <f>IFERROR(__xludf.DUMMYFUNCTION("GOOGLETRANSLATE(B24919,""en"",""es-ES"")"),"Un velero está siendo influenciado por una gran ola.")</f>
        <v>Un velero está siendo influenciado por una gran ola.</v>
      </c>
    </row>
    <row r="24920">
      <c r="A24920" s="4" t="s">
        <v>31360</v>
      </c>
      <c r="B24920" s="4" t="s">
        <v>31364</v>
      </c>
      <c r="C24920" s="5" t="str">
        <f>IFERROR(__xludf.DUMMYFUNCTION("GOOGLETRANSLATE(B24920,""en"",""es-ES"")"),"Una señora está surfeando en una gran ola mientras un barco viaja junto a ella filmándolo.")</f>
        <v>Una señora está surfeando en una gran ola mientras un barco viaja junto a ella filmándolo.</v>
      </c>
    </row>
    <row r="24921">
      <c r="A24921" s="4" t="s">
        <v>31360</v>
      </c>
      <c r="B24921" s="4" t="s">
        <v>31365</v>
      </c>
      <c r="C24921" s="5" t="str">
        <f>IFERROR(__xludf.DUMMYFUNCTION("GOOGLETRANSLATE(B24921,""en"",""es-ES"")"),"Vemos el bote en el agua que se balancea nuevamente.")</f>
        <v>Vemos el bote en el agua que se balancea nuevamente.</v>
      </c>
    </row>
    <row r="24922">
      <c r="A24922" s="4" t="s">
        <v>31360</v>
      </c>
      <c r="B24922" s="4" t="s">
        <v>31366</v>
      </c>
      <c r="C24922" s="5" t="str">
        <f>IFERROR(__xludf.DUMMYFUNCTION("GOOGLETRANSLATE(B24922,""en"",""es-ES"")"),"Vemos gente surfeando las grandes olas del río.")</f>
        <v>Vemos gente surfeando las grandes olas del río.</v>
      </c>
    </row>
    <row r="24923">
      <c r="A24923" s="4" t="s">
        <v>31360</v>
      </c>
      <c r="B24923" s="4" t="s">
        <v>31367</v>
      </c>
      <c r="C24923" s="5" t="str">
        <f>IFERROR(__xludf.DUMMYFUNCTION("GOOGLETRANSLATE(B24923,""en"",""es-ES"")"),"Un hombre hace una parada de manos en una tabla de surf mientras navega.")</f>
        <v>Un hombre hace una parada de manos en una tabla de surf mientras navega.</v>
      </c>
    </row>
    <row r="24924">
      <c r="A24924" s="4" t="s">
        <v>31368</v>
      </c>
      <c r="B24924" s="4" t="s">
        <v>31369</v>
      </c>
      <c r="C24924" s="5" t="str">
        <f>IFERROR(__xludf.DUMMYFUNCTION("GOOGLETRANSLATE(B24924,""en"",""es-ES"")"),"Un grupo de árboles altos está rodeado de agua.")</f>
        <v>Un grupo de árboles altos está rodeado de agua.</v>
      </c>
    </row>
    <row r="24925">
      <c r="A24925" s="4" t="s">
        <v>31368</v>
      </c>
      <c r="B24925" s="4" t="s">
        <v>31370</v>
      </c>
      <c r="C24925" s="5" t="str">
        <f>IFERROR(__xludf.DUMMYFUNCTION("GOOGLETRANSLATE(B24925,""en"",""es-ES"")"),"Vemos el vasto agua del océano a nuestro alrededor.")</f>
        <v>Vemos el vasto agua del océano a nuestro alrededor.</v>
      </c>
    </row>
    <row r="24926">
      <c r="A24926" s="4" t="s">
        <v>31368</v>
      </c>
      <c r="B24926" s="4" t="s">
        <v>31371</v>
      </c>
      <c r="C24926" s="5" t="str">
        <f>IFERROR(__xludf.DUMMYFUNCTION("GOOGLETRANSLATE(B24926,""en"",""es-ES"")"),"Luego vemos a varias personas mientras se relajan en un bote.")</f>
        <v>Luego vemos a varias personas mientras se relajan en un bote.</v>
      </c>
    </row>
    <row r="24927">
      <c r="A24927" s="4" t="s">
        <v>31372</v>
      </c>
      <c r="B24927" s="4" t="s">
        <v>31373</v>
      </c>
      <c r="C24927" s="5" t="str">
        <f>IFERROR(__xludf.DUMMYFUNCTION("GOOGLETRANSLATE(B24927,""en"",""es-ES"")"),"Un hombre habla y luego camina por la calle hasta llegar a una heladería.")</f>
        <v>Un hombre habla y luego camina por la calle hasta llegar a una heladería.</v>
      </c>
    </row>
    <row r="24928">
      <c r="A24928" s="4" t="s">
        <v>31372</v>
      </c>
      <c r="B24928" s="4" t="s">
        <v>31374</v>
      </c>
      <c r="C24928" s="5" t="str">
        <f>IFERROR(__xludf.DUMMYFUNCTION("GOOGLETRANSLATE(B24928,""en"",""es-ES"")"),"Una mujer muestra un conos de helado de chocolate y vainilla, y a una niña le gusta un helado.")</f>
        <v>Una mujer muestra un conos de helado de chocolate y vainilla, y a una niña le gusta un helado.</v>
      </c>
    </row>
    <row r="24929">
      <c r="A24929" s="4" t="s">
        <v>31372</v>
      </c>
      <c r="B24929" s="4" t="s">
        <v>31375</v>
      </c>
      <c r="C24929" s="5" t="str">
        <f>IFERROR(__xludf.DUMMYFUNCTION("GOOGLETRANSLATE(B24929,""en"",""es-ES"")"),"La gente compra helado y un niño criado para ver helado.")</f>
        <v>La gente compra helado y un niño criado para ver helado.</v>
      </c>
    </row>
    <row r="24930">
      <c r="A24930" s="4" t="s">
        <v>31372</v>
      </c>
      <c r="B24930" s="4" t="s">
        <v>31376</v>
      </c>
      <c r="C24930" s="5" t="str">
        <f>IFERROR(__xludf.DUMMYFUNCTION("GOOGLETRANSLATE(B24930,""en"",""es-ES"")"),"El hombre lame un hielo en la tienda, luego finge lamer un helado en una foto.")</f>
        <v>El hombre lame un hielo en la tienda, luego finge lamer un helado en una foto.</v>
      </c>
    </row>
    <row r="24931">
      <c r="A24931" s="4" t="s">
        <v>31377</v>
      </c>
      <c r="B24931" s="4" t="s">
        <v>31378</v>
      </c>
      <c r="C24931" s="5" t="str">
        <f>IFERROR(__xludf.DUMMYFUNCTION("GOOGLETRANSLATE(B24931,""en"",""es-ES"")"),"Una mujer está lanzando dardos a un tablero de dardos.")</f>
        <v>Una mujer está lanzando dardos a un tablero de dardos.</v>
      </c>
    </row>
    <row r="24932">
      <c r="A24932" s="4" t="s">
        <v>31377</v>
      </c>
      <c r="B24932" s="4" t="s">
        <v>31379</v>
      </c>
      <c r="C24932" s="5" t="str">
        <f>IFERROR(__xludf.DUMMYFUNCTION("GOOGLETRANSLATE(B24932,""en"",""es-ES"")"),"El tablero de dardos se muestra en la pared.")</f>
        <v>El tablero de dardos se muestra en la pared.</v>
      </c>
    </row>
    <row r="24933">
      <c r="A24933" s="4" t="s">
        <v>31377</v>
      </c>
      <c r="B24933" s="4" t="s">
        <v>31380</v>
      </c>
      <c r="C24933" s="5" t="str">
        <f>IFERROR(__xludf.DUMMYFUNCTION("GOOGLETRANSLATE(B24933,""en"",""es-ES"")"),"Ella continúa lanzando dardos en el tablero de dardos.")</f>
        <v>Ella continúa lanzando dardos en el tablero de dardos.</v>
      </c>
    </row>
    <row r="24934">
      <c r="A24934" s="4" t="s">
        <v>31377</v>
      </c>
      <c r="B24934" s="4" t="s">
        <v>31381</v>
      </c>
      <c r="C24934" s="5" t="str">
        <f>IFERROR(__xludf.DUMMYFUNCTION("GOOGLETRANSLATE(B24934,""en"",""es-ES"")"),"Ella saca los dardos del tablero de dardos.")</f>
        <v>Ella saca los dardos del tablero de dardos.</v>
      </c>
    </row>
    <row r="24935">
      <c r="A24935" s="4" t="s">
        <v>31382</v>
      </c>
      <c r="B24935" s="4" t="s">
        <v>31383</v>
      </c>
      <c r="C24935" s="5" t="str">
        <f>IFERROR(__xludf.DUMMYFUNCTION("GOOGLETRANSLATE(B24935,""en"",""es-ES"")"),"Un hombre corta el centro de un tronco con un hacha mientras está de pie en el registro.")</f>
        <v>Un hombre corta el centro de un tronco con un hacha mientras está de pie en el registro.</v>
      </c>
    </row>
    <row r="24936">
      <c r="A24936" s="4" t="s">
        <v>31382</v>
      </c>
      <c r="B24936" s="4" t="s">
        <v>31384</v>
      </c>
      <c r="C24936" s="5" t="str">
        <f>IFERROR(__xludf.DUMMYFUNCTION("GOOGLETRANSLATE(B24936,""en"",""es-ES"")"),"El hombre se para en el registro que sostiene el hacha con la mano derecha.")</f>
        <v>El hombre se para en el registro que sostiene el hacha con la mano derecha.</v>
      </c>
    </row>
    <row r="24937">
      <c r="A24937" s="4" t="s">
        <v>31382</v>
      </c>
      <c r="B24937" s="4" t="s">
        <v>31385</v>
      </c>
      <c r="C24937" s="5" t="str">
        <f>IFERROR(__xludf.DUMMYFUNCTION("GOOGLETRANSLATE(B24937,""en"",""es-ES"")"),"Luego, el hombre continúa cortando el registro.")</f>
        <v>Luego, el hombre continúa cortando el registro.</v>
      </c>
    </row>
    <row r="24938">
      <c r="A24938" s="4" t="s">
        <v>31382</v>
      </c>
      <c r="B24938" s="4" t="s">
        <v>31386</v>
      </c>
      <c r="C24938" s="5" t="str">
        <f>IFERROR(__xludf.DUMMYFUNCTION("GOOGLETRANSLATE(B24938,""en"",""es-ES"")"),"Después, dos personas caminan al frente del hombre, y una toma madera solimada del tronco.")</f>
        <v>Después, dos personas caminan al frente del hombre, y una toma madera solimada del tronco.</v>
      </c>
    </row>
    <row r="24939">
      <c r="A24939" s="4" t="s">
        <v>31387</v>
      </c>
      <c r="B24939" s="4" t="s">
        <v>31388</v>
      </c>
      <c r="C24939" s="5" t="str">
        <f>IFERROR(__xludf.DUMMYFUNCTION("GOOGLETRANSLATE(B24939,""en"",""es-ES"")"),"Un peluquero de perros cepilla la capa de un perro con un cepillo que está sentado en una mesa.")</f>
        <v>Un peluquero de perros cepilla la capa de un perro con un cepillo que está sentado en una mesa.</v>
      </c>
    </row>
    <row r="24940">
      <c r="A24940" s="4" t="s">
        <v>31387</v>
      </c>
      <c r="B24940" s="4" t="s">
        <v>31389</v>
      </c>
      <c r="C24940" s="5" t="str">
        <f>IFERROR(__xludf.DUMMYFUNCTION("GOOGLETRANSLATE(B24940,""en"",""es-ES"")"),"Los pinceles se ven por sí mismos de cerca.")</f>
        <v>Los pinceles se ven por sí mismos de cerca.</v>
      </c>
    </row>
    <row r="24941">
      <c r="A24941" s="4" t="s">
        <v>31387</v>
      </c>
      <c r="B24941" s="4" t="s">
        <v>31390</v>
      </c>
      <c r="C24941" s="5" t="str">
        <f>IFERROR(__xludf.DUMMYFUNCTION("GOOGLETRANSLATE(B24941,""en"",""es-ES"")"),"El peluquero sostiene el cepillo para verlo de cerca.")</f>
        <v>El peluquero sostiene el cepillo para verlo de cerca.</v>
      </c>
    </row>
    <row r="24942">
      <c r="A24942" s="4" t="s">
        <v>31387</v>
      </c>
      <c r="B24942" s="4" t="s">
        <v>31391</v>
      </c>
      <c r="C24942" s="5" t="str">
        <f>IFERROR(__xludf.DUMMYFUNCTION("GOOGLETRANSLATE(B24942,""en"",""es-ES"")"),"El peluquero elimina el cabello del cepillo y lo pone en una pila.")</f>
        <v>El peluquero elimina el cabello del cepillo y lo pone en una pila.</v>
      </c>
    </row>
    <row r="24943">
      <c r="A24943" s="4" t="s">
        <v>31392</v>
      </c>
      <c r="B24943" s="4" t="s">
        <v>31393</v>
      </c>
      <c r="C24943" s="5" t="str">
        <f>IFERROR(__xludf.DUMMYFUNCTION("GOOGLETRANSLATE(B24943,""en"",""es-ES"")"),"Un hombre se para al lado de un pequeño techo.")</f>
        <v>Un hombre se para al lado de un pequeño techo.</v>
      </c>
    </row>
    <row r="24944">
      <c r="A24944" s="4" t="s">
        <v>31392</v>
      </c>
      <c r="B24944" s="4" t="s">
        <v>31394</v>
      </c>
      <c r="C24944" s="5" t="str">
        <f>IFERROR(__xludf.DUMMYFUNCTION("GOOGLETRANSLATE(B24944,""en"",""es-ES"")"),"Él extiende un trozo de metal.")</f>
        <v>Él extiende un trozo de metal.</v>
      </c>
    </row>
    <row r="24945">
      <c r="A24945" s="4" t="s">
        <v>31392</v>
      </c>
      <c r="B24945" s="4" t="s">
        <v>31395</v>
      </c>
      <c r="C24945" s="5" t="str">
        <f>IFERROR(__xludf.DUMMYFUNCTION("GOOGLETRANSLATE(B24945,""en"",""es-ES"")"),"Coloque metal junto al techo.")</f>
        <v>Coloque metal junto al techo.</v>
      </c>
    </row>
    <row r="24946">
      <c r="A24946" s="4" t="s">
        <v>31392</v>
      </c>
      <c r="B24946" s="4" t="s">
        <v>31396</v>
      </c>
      <c r="C24946" s="5" t="str">
        <f>IFERROR(__xludf.DUMMYFUNCTION("GOOGLETRANSLATE(B24946,""en"",""es-ES"")"),"Él adjunta las piezas de forma segura.")</f>
        <v>Él adjunta las piezas de forma segura.</v>
      </c>
    </row>
    <row r="24947">
      <c r="A24947" s="4" t="s">
        <v>31397</v>
      </c>
      <c r="B24947" s="4" t="s">
        <v>31398</v>
      </c>
      <c r="C24947" s="5" t="str">
        <f>IFERROR(__xludf.DUMMYFUNCTION("GOOGLETRANSLATE(B24947,""en"",""es-ES"")"),"Se muestra un primer plano de la cara de una persona, además de conducir y diseñar un juguete de tablero de surf.")</f>
        <v>Se muestra un primer plano de la cara de una persona, además de conducir y diseñar un juguete de tablero de surf.</v>
      </c>
    </row>
    <row r="24948">
      <c r="A24948" s="4" t="s">
        <v>31397</v>
      </c>
      <c r="B24948" s="4" t="s">
        <v>31399</v>
      </c>
      <c r="C24948" s="5" t="str">
        <f>IFERROR(__xludf.DUMMYFUNCTION("GOOGLETRANSLATE(B24948,""en"",""es-ES"")"),"El hombre controla la máquina a lo largo del agua haciendo saltos y trucos y hablando con la cámara.")</f>
        <v>El hombre controla la máquina a lo largo del agua haciendo saltos y trucos y hablando con la cámara.</v>
      </c>
    </row>
    <row r="24949">
      <c r="A24949" s="4" t="s">
        <v>31400</v>
      </c>
      <c r="B24949" s="4" t="s">
        <v>31401</v>
      </c>
      <c r="C24949" s="5" t="str">
        <f>IFERROR(__xludf.DUMMYFUNCTION("GOOGLETRANSLATE(B24949,""en"",""es-ES"")"),"Se muestra un lugar de fuego en una habitación.")</f>
        <v>Se muestra un lugar de fuego en una habitación.</v>
      </c>
    </row>
    <row r="24950">
      <c r="A24950" s="4" t="s">
        <v>31400</v>
      </c>
      <c r="B24950" s="4" t="s">
        <v>31402</v>
      </c>
      <c r="C24950" s="5" t="str">
        <f>IFERROR(__xludf.DUMMYFUNCTION("GOOGLETRANSLATE(B24950,""en"",""es-ES"")"),"Se muestran ventanas en una casa.")</f>
        <v>Se muestran ventanas en una casa.</v>
      </c>
    </row>
    <row r="24951">
      <c r="A24951" s="4" t="s">
        <v>31400</v>
      </c>
      <c r="B24951" s="4" t="s">
        <v>31403</v>
      </c>
      <c r="C24951" s="5" t="str">
        <f>IFERROR(__xludf.DUMMYFUNCTION("GOOGLETRANSLATE(B24951,""en"",""es-ES"")"),"Se muestra un piso de madera en una casa.")</f>
        <v>Se muestra un piso de madera en una casa.</v>
      </c>
    </row>
    <row r="24952">
      <c r="A24952" s="4" t="s">
        <v>31400</v>
      </c>
      <c r="B24952" s="4" t="s">
        <v>31404</v>
      </c>
      <c r="C24952" s="5" t="str">
        <f>IFERROR(__xludf.DUMMYFUNCTION("GOOGLETRANSLATE(B24952,""en"",""es-ES"")"),"Hay latas de pintura sentadas en el piso.")</f>
        <v>Hay latas de pintura sentadas en el piso.</v>
      </c>
    </row>
    <row r="24953">
      <c r="A24953" s="4" t="s">
        <v>31405</v>
      </c>
      <c r="B24953" s="4" t="s">
        <v>31406</v>
      </c>
      <c r="C24953" s="5" t="str">
        <f>IFERROR(__xludf.DUMMYFUNCTION("GOOGLETRANSLATE(B24953,""en"",""es-ES"")"),"Una mujer pone sus manos sobre una mesa con algunos paños de lavado para obtener una manicura.")</f>
        <v>Una mujer pone sus manos sobre una mesa con algunos paños de lavado para obtener una manicura.</v>
      </c>
    </row>
    <row r="24954">
      <c r="A24954" s="4" t="s">
        <v>31405</v>
      </c>
      <c r="B24954" s="4" t="s">
        <v>31407</v>
      </c>
      <c r="C24954" s="5" t="str">
        <f>IFERROR(__xludf.DUMMYFUNCTION("GOOGLETRANSLATE(B24954,""en"",""es-ES"")"),"El manicurista pone un poco de esmalte de uñas transparente de vidrio en sus uñas y luego recoge una pequeña bolsa de brillo rojo.")</f>
        <v>El manicurista pone un poco de esmalte de uñas transparente de vidrio en sus uñas y luego recoge una pequeña bolsa de brillo rojo.</v>
      </c>
    </row>
    <row r="24955">
      <c r="A24955" s="4" t="s">
        <v>31405</v>
      </c>
      <c r="B24955" s="4" t="s">
        <v>31408</v>
      </c>
      <c r="C24955" s="5" t="str">
        <f>IFERROR(__xludf.DUMMYFUNCTION("GOOGLETRANSLATE(B24955,""en"",""es-ES"")"),"El manicurista comienza a poner pequeñas decoraciones divertidas para que las uñas se vean bonitas.")</f>
        <v>El manicurista comienza a poner pequeñas decoraciones divertidas para que las uñas se vean bonitas.</v>
      </c>
    </row>
    <row r="24956">
      <c r="A24956" s="4" t="s">
        <v>31405</v>
      </c>
      <c r="B24956" s="4" t="s">
        <v>31409</v>
      </c>
      <c r="C24956" s="5" t="str">
        <f>IFERROR(__xludf.DUMMYFUNCTION("GOOGLETRANSLATE(B24956,""en"",""es-ES"")"),"Luego consigue las cosas pegajosas y se sobrepasa las uñas para evitar que salgan.")</f>
        <v>Luego consigue las cosas pegajosas y se sobrepasa las uñas para evitar que salgan.</v>
      </c>
    </row>
    <row r="24957">
      <c r="A24957" s="4" t="s">
        <v>31410</v>
      </c>
      <c r="B24957" s="4" t="s">
        <v>31411</v>
      </c>
      <c r="C24957" s="5" t="str">
        <f>IFERROR(__xludf.DUMMYFUNCTION("GOOGLETRANSLATE(B24957,""en"",""es-ES"")"),"Una gran multitud de chicas caminan hacia el marco sosteniendo barras y luego colocó las barras en el suelo.")</f>
        <v>Una gran multitud de chicas caminan hacia el marco sosteniendo barras y luego colocó las barras en el suelo.</v>
      </c>
    </row>
    <row r="24958">
      <c r="A24958" s="4" t="s">
        <v>31410</v>
      </c>
      <c r="B24958" s="4" t="s">
        <v>31412</v>
      </c>
      <c r="C24958" s="5" t="str">
        <f>IFERROR(__xludf.DUMMYFUNCTION("GOOGLETRANSLATE(B24958,""en"",""es-ES"")"),"Luego, las chicas realizan una rutina de baile moviendo los bares y terminan con ellas sosteniendo una pose y saliendo del escenario.")</f>
        <v>Luego, las chicas realizan una rutina de baile moviendo los bares y terminan con ellas sosteniendo una pose y saliendo del escenario.</v>
      </c>
    </row>
    <row r="24959">
      <c r="A24959" s="4" t="s">
        <v>31413</v>
      </c>
      <c r="B24959" s="4" t="s">
        <v>31414</v>
      </c>
      <c r="C24959" s="5" t="str">
        <f>IFERROR(__xludf.DUMMYFUNCTION("GOOGLETRANSLATE(B24959,""en"",""es-ES"")"),"Hay un hombre con un sombrero y una camisa de color beige de pie a orillas de un río tocando su armónica.")</f>
        <v>Hay un hombre con un sombrero y una camisa de color beige de pie a orillas de un río tocando su armónica.</v>
      </c>
    </row>
    <row r="24960">
      <c r="A24960" s="4" t="s">
        <v>31413</v>
      </c>
      <c r="B24960" s="4" t="s">
        <v>31415</v>
      </c>
      <c r="C24960" s="5" t="str">
        <f>IFERROR(__xludf.DUMMYFUNCTION("GOOGLETRANSLATE(B24960,""en"",""es-ES"")"),"Hay un río fijo detrás de él.")</f>
        <v>Hay un río fijo detrás de él.</v>
      </c>
    </row>
    <row r="24961">
      <c r="A24961" s="4" t="s">
        <v>31413</v>
      </c>
      <c r="B24961" s="4" t="s">
        <v>31416</v>
      </c>
      <c r="C24961" s="5" t="str">
        <f>IFERROR(__xludf.DUMMYFUNCTION("GOOGLETRANSLATE(B24961,""en"",""es-ES"")"),"Continúa tocando su armónica con una melodía relajante.")</f>
        <v>Continúa tocando su armónica con una melodía relajante.</v>
      </c>
    </row>
    <row r="24962">
      <c r="A24962" s="4" t="s">
        <v>31413</v>
      </c>
      <c r="B24962" s="4" t="s">
        <v>31417</v>
      </c>
      <c r="C24962" s="5" t="str">
        <f>IFERROR(__xludf.DUMMYFUNCTION("GOOGLETRANSLATE(B24962,""en"",""es-ES"")"),"Después de que deja de jugar, baja las manos.")</f>
        <v>Después de que deja de jugar, baja las manos.</v>
      </c>
    </row>
    <row r="24963">
      <c r="A24963" s="4" t="s">
        <v>31418</v>
      </c>
      <c r="B24963" s="4" t="s">
        <v>31419</v>
      </c>
      <c r="C24963" s="5" t="str">
        <f>IFERROR(__xludf.DUMMYFUNCTION("GOOGLETRANSLATE(B24963,""en"",""es-ES"")"),"Una mujer desataba un par de zapatos hasta la mitad y levanta la lengua.")</f>
        <v>Una mujer desataba un par de zapatos hasta la mitad y levanta la lengua.</v>
      </c>
    </row>
    <row r="24964">
      <c r="A24964" s="4" t="s">
        <v>31418</v>
      </c>
      <c r="B24964" s="4" t="s">
        <v>31420</v>
      </c>
      <c r="C24964" s="5" t="str">
        <f>IFERROR(__xludf.DUMMYFUNCTION("GOOGLETRANSLATE(B24964,""en"",""es-ES"")"),"Luego, la mujer se puso un pie y ató el zapato detrás de la lengua.")</f>
        <v>Luego, la mujer se puso un pie y ató el zapato detrás de la lengua.</v>
      </c>
    </row>
    <row r="24965">
      <c r="A24965" s="4" t="s">
        <v>31418</v>
      </c>
      <c r="B24965" s="4" t="s">
        <v>31421</v>
      </c>
      <c r="C24965" s="5" t="str">
        <f>IFERROR(__xludf.DUMMYFUNCTION("GOOGLETRANSLATE(B24965,""en"",""es-ES"")"),"Luego, la persona puso los otros pies y ate el zapato, luego levanta la lengua.")</f>
        <v>Luego, la persona puso los otros pies y ate el zapato, luego levanta la lengua.</v>
      </c>
    </row>
    <row r="24966">
      <c r="A24966" s="4" t="s">
        <v>31418</v>
      </c>
      <c r="B24966" s="4" t="s">
        <v>31422</v>
      </c>
      <c r="C24966" s="5" t="str">
        <f>IFERROR(__xludf.DUMMYFUNCTION("GOOGLETRANSLATE(B24966,""en"",""es-ES"")"),"La mujer habla y muestra sus zapatos y pantalones flacos.")</f>
        <v>La mujer habla y muestra sus zapatos y pantalones flacos.</v>
      </c>
    </row>
    <row r="24967">
      <c r="A24967" s="4" t="s">
        <v>31423</v>
      </c>
      <c r="B24967" s="4" t="s">
        <v>31424</v>
      </c>
      <c r="C24967" s="5" t="str">
        <f>IFERROR(__xludf.DUMMYFUNCTION("GOOGLETRANSLATE(B24967,""en"",""es-ES"")"),"Se ve a una mujer entrar en un pozo con un hombre grande y luego comienza a correr el uno por el otro.")</f>
        <v>Se ve a una mujer entrar en un pozo con un hombre grande y luego comienza a correr el uno por el otro.</v>
      </c>
    </row>
    <row r="24968">
      <c r="A24968" s="4" t="s">
        <v>31423</v>
      </c>
      <c r="B24968" s="4" t="s">
        <v>31425</v>
      </c>
      <c r="C24968" s="5" t="str">
        <f>IFERROR(__xludf.DUMMYFUNCTION("GOOGLETRANSLATE(B24968,""en"",""es-ES"")"),"La mujer luego se sube sobre el hombre mientras él la gira y ella lo lleva a la cabeza.")</f>
        <v>La mujer luego se sube sobre el hombre mientras él la gira y ella lo lleva a la cabeza.</v>
      </c>
    </row>
    <row r="24969">
      <c r="A24969" s="4" t="s">
        <v>31423</v>
      </c>
      <c r="B24969" s="4" t="s">
        <v>31426</v>
      </c>
      <c r="C24969" s="5" t="str">
        <f>IFERROR(__xludf.DUMMYFUNCTION("GOOGLETRANSLATE(B24969,""en"",""es-ES"")"),"Los dos se inclinan el uno al otro y la mujer se para al lado del anfitrión estrechando las manos.")</f>
        <v>Los dos se inclinan el uno al otro y la mujer se para al lado del anfitrión estrechando las manos.</v>
      </c>
    </row>
    <row r="24970">
      <c r="A24970" s="4" t="s">
        <v>31427</v>
      </c>
      <c r="B24970" s="4" t="s">
        <v>31428</v>
      </c>
      <c r="C24970" s="5" t="str">
        <f>IFERROR(__xludf.DUMMYFUNCTION("GOOGLETRANSLATE(B24970,""en"",""es-ES"")"),"Hay varias personas reunidas en un gimnasio al aire libre.")</f>
        <v>Hay varias personas reunidas en un gimnasio al aire libre.</v>
      </c>
    </row>
    <row r="24971">
      <c r="A24971" s="4" t="s">
        <v>31427</v>
      </c>
      <c r="B24971" s="4" t="s">
        <v>31429</v>
      </c>
      <c r="C24971" s="5" t="str">
        <f>IFERROR(__xludf.DUMMYFUNCTION("GOOGLETRANSLATE(B24971,""en"",""es-ES"")"),"Hay personas paradas y sentadas en las gradas que miran a unos doce estudiantes de bandas actuando.")</f>
        <v>Hay personas paradas y sentadas en las gradas que miran a unos doce estudiantes de bandas actuando.</v>
      </c>
    </row>
    <row r="24972">
      <c r="A24972" s="4" t="s">
        <v>31427</v>
      </c>
      <c r="B24972" s="4" t="s">
        <v>31430</v>
      </c>
      <c r="C24972" s="5" t="str">
        <f>IFERROR(__xludf.DUMMYFUNCTION("GOOGLETRANSLATE(B24972,""en"",""es-ES"")"),"La mayoría de los jugadores están tocando los instrumentos de percusión en una melodía rítmica.")</f>
        <v>La mayoría de los jugadores están tocando los instrumentos de percusión en una melodía rítmica.</v>
      </c>
    </row>
    <row r="24973">
      <c r="A24973" s="4" t="s">
        <v>31427</v>
      </c>
      <c r="B24973" s="4" t="s">
        <v>31431</v>
      </c>
      <c r="C24973" s="5" t="str">
        <f>IFERROR(__xludf.DUMMYFUNCTION("GOOGLETRANSLATE(B24973,""en"",""es-ES"")"),"Los jugadores de percusión comienzan a dar un círculo mientras tocan los instrumentos.")</f>
        <v>Los jugadores de percusión comienzan a dar un círculo mientras tocan los instrumentos.</v>
      </c>
    </row>
    <row r="24974">
      <c r="A24974" s="4" t="s">
        <v>31432</v>
      </c>
      <c r="B24974" s="4" t="s">
        <v>31433</v>
      </c>
      <c r="C24974" s="5" t="str">
        <f>IFERROR(__xludf.DUMMYFUNCTION("GOOGLETRANSLATE(B24974,""en"",""es-ES"")"),"Se ve un primer plano de una guitarra con una mano arrancando las cuerdas.")</f>
        <v>Se ve un primer plano de una guitarra con una mano arrancando las cuerdas.</v>
      </c>
    </row>
    <row r="24975">
      <c r="A24975" s="4" t="s">
        <v>31432</v>
      </c>
      <c r="B24975" s="4" t="s">
        <v>31434</v>
      </c>
      <c r="C24975" s="5" t="str">
        <f>IFERROR(__xludf.DUMMYFUNCTION("GOOGLETRANSLATE(B24975,""en"",""es-ES"")"),"Luego se ve a un hombre cantando en un micrófono mientras toca la guitarra.")</f>
        <v>Luego se ve a un hombre cantando en un micrófono mientras toca la guitarra.</v>
      </c>
    </row>
    <row r="24976">
      <c r="A24976" s="4" t="s">
        <v>31432</v>
      </c>
      <c r="B24976" s="4" t="s">
        <v>31435</v>
      </c>
      <c r="C24976" s="5" t="str">
        <f>IFERROR(__xludf.DUMMYFUNCTION("GOOGLETRANSLATE(B24976,""en"",""es-ES"")"),"El hombre mueve los dedos por la guitarra mientras canta en el micrófono.")</f>
        <v>El hombre mueve los dedos por la guitarra mientras canta en el micrófono.</v>
      </c>
    </row>
    <row r="24977">
      <c r="A24977" s="4" t="s">
        <v>31436</v>
      </c>
      <c r="B24977" s="4" t="s">
        <v>31437</v>
      </c>
      <c r="C24977" s="5" t="str">
        <f>IFERROR(__xludf.DUMMYFUNCTION("GOOGLETRANSLATE(B24977,""en"",""es-ES"")"),"Los hombres están parados en Big Field tirando de una cuerda gruesa.")</f>
        <v>Los hombres están parados en Big Field tirando de una cuerda gruesa.</v>
      </c>
    </row>
    <row r="24978">
      <c r="A24978" s="4" t="s">
        <v>31436</v>
      </c>
      <c r="B24978" s="4" t="s">
        <v>31438</v>
      </c>
      <c r="C24978" s="5" t="str">
        <f>IFERROR(__xludf.DUMMYFUNCTION("GOOGLETRANSLATE(B24978,""en"",""es-ES"")"),"Los hombres caminan en los lados de la cuerda y se preparan para tirar de la cuerda.")</f>
        <v>Los hombres caminan en los lados de la cuerda y se preparan para tirar de la cuerda.</v>
      </c>
    </row>
    <row r="24979">
      <c r="A24979" s="4" t="s">
        <v>31436</v>
      </c>
      <c r="B24979" s="4" t="s">
        <v>31439</v>
      </c>
      <c r="C24979" s="5" t="str">
        <f>IFERROR(__xludf.DUMMYFUNCTION("GOOGLETRANSLATE(B24979,""en"",""es-ES"")"),"Los hombres comienzan a Pullnig la cuerda en ambos lados.")</f>
        <v>Los hombres comienzan a Pullnig la cuerda en ambos lados.</v>
      </c>
    </row>
    <row r="24980">
      <c r="A24980" s="4" t="s">
        <v>31440</v>
      </c>
      <c r="B24980" s="4" t="s">
        <v>31441</v>
      </c>
      <c r="C24980" s="5" t="str">
        <f>IFERROR(__xludf.DUMMYFUNCTION("GOOGLETRANSLATE(B24980,""en"",""es-ES"")"),"Una persona está mostrando un cepillo de fregado y un limpiador y vertiendo el claro en un fregadero.")</f>
        <v>Una persona está mostrando un cepillo de fregado y un limpiador y vertiendo el claro en un fregadero.</v>
      </c>
    </row>
    <row r="24981">
      <c r="A24981" s="4" t="s">
        <v>31440</v>
      </c>
      <c r="B24981" s="4" t="s">
        <v>31442</v>
      </c>
      <c r="C24981" s="5" t="str">
        <f>IFERROR(__xludf.DUMMYFUNCTION("GOOGLETRANSLATE(B24981,""en"",""es-ES"")"),"Frota el fregadero con el cepillo creando espuma en el agua mientras la faceta corre.")</f>
        <v>Frota el fregadero con el cepillo creando espuma en el agua mientras la faceta corre.</v>
      </c>
    </row>
    <row r="24982">
      <c r="A24982" s="4" t="s">
        <v>31440</v>
      </c>
      <c r="B24982" s="4" t="s">
        <v>31443</v>
      </c>
      <c r="C24982" s="5" t="str">
        <f>IFERROR(__xludf.DUMMYFUNCTION("GOOGLETRANSLATE(B24982,""en"",""es-ES"")"),"Continúa fregando el fregadero con el cepillo hasta que el fregadero esté limpio.")</f>
        <v>Continúa fregando el fregadero con el cepillo hasta que el fregadero esté limpio.</v>
      </c>
    </row>
    <row r="24983">
      <c r="A24983" s="4" t="s">
        <v>31440</v>
      </c>
      <c r="B24983" s="4" t="s">
        <v>31444</v>
      </c>
      <c r="C24983" s="5" t="str">
        <f>IFERROR(__xludf.DUMMYFUNCTION("GOOGLETRANSLATE(B24983,""en"",""es-ES"")"),"Limpia una toalla de papel alrededor del fregadero con el agua continúa corriendo.")</f>
        <v>Limpia una toalla de papel alrededor del fregadero con el agua continúa corriendo.</v>
      </c>
    </row>
    <row r="24984">
      <c r="A24984" s="4" t="s">
        <v>31445</v>
      </c>
      <c r="B24984" s="4" t="s">
        <v>31446</v>
      </c>
      <c r="C24984" s="5" t="str">
        <f>IFERROR(__xludf.DUMMYFUNCTION("GOOGLETRANSLATE(B24984,""en"",""es-ES"")"),"Un chico está afuera tocando una guitarra.")</f>
        <v>Un chico está afuera tocando una guitarra.</v>
      </c>
    </row>
    <row r="24985">
      <c r="A24985" s="4" t="s">
        <v>31445</v>
      </c>
      <c r="B24985" s="4" t="s">
        <v>31447</v>
      </c>
      <c r="C24985" s="5" t="str">
        <f>IFERROR(__xludf.DUMMYFUNCTION("GOOGLETRANSLATE(B24985,""en"",""es-ES"")"),"Un niño monta un scooter.")</f>
        <v>Un niño monta un scooter.</v>
      </c>
    </row>
    <row r="24986">
      <c r="A24986" s="4" t="s">
        <v>31445</v>
      </c>
      <c r="B24986" s="4" t="s">
        <v>31448</v>
      </c>
      <c r="C24986" s="5" t="str">
        <f>IFERROR(__xludf.DUMMYFUNCTION("GOOGLETRANSLATE(B24986,""en"",""es-ES"")"),"Un niño se desliza por una diapositiva.")</f>
        <v>Un niño se desliza por una diapositiva.</v>
      </c>
    </row>
    <row r="24987">
      <c r="A24987" s="4" t="s">
        <v>31445</v>
      </c>
      <c r="B24987" s="4" t="s">
        <v>31449</v>
      </c>
      <c r="C24987" s="5" t="str">
        <f>IFERROR(__xludf.DUMMYFUNCTION("GOOGLETRANSLATE(B24987,""en"",""es-ES"")"),"Los niños y un adulto hacen cola.")</f>
        <v>Los niños y un adulto hacen cola.</v>
      </c>
    </row>
    <row r="24988">
      <c r="A24988" s="4" t="s">
        <v>31445</v>
      </c>
      <c r="B24988" s="4" t="s">
        <v>31450</v>
      </c>
      <c r="C24988" s="5" t="str">
        <f>IFERROR(__xludf.DUMMYFUNCTION("GOOGLETRANSLATE(B24988,""en"",""es-ES"")"),"El niño camina hacia la línea.")</f>
        <v>El niño camina hacia la línea.</v>
      </c>
    </row>
    <row r="24989">
      <c r="A24989" s="4" t="s">
        <v>31451</v>
      </c>
      <c r="B24989" s="4" t="s">
        <v>31452</v>
      </c>
      <c r="C24989" s="5" t="str">
        <f>IFERROR(__xludf.DUMMYFUNCTION("GOOGLETRANSLATE(B24989,""en"",""es-ES"")"),"Una dama que lleva una camiseta de UCA está dando un tutorial sobre los diferentes movimientos de alegría.")</f>
        <v>Una dama que lleva una camiseta de UCA está dando un tutorial sobre los diferentes movimientos de alegría.</v>
      </c>
    </row>
    <row r="24990">
      <c r="A24990" s="4" t="s">
        <v>31451</v>
      </c>
      <c r="B24990" s="4" t="s">
        <v>31453</v>
      </c>
      <c r="C24990" s="5" t="str">
        <f>IFERROR(__xludf.DUMMYFUNCTION("GOOGLETRANSLATE(B24990,""en"",""es-ES"")"),"Mientras habla, varias animadoras muestran las diferentes poses y estiramientos que a menudo hacen las animadoras para mejorar la flexibilidad.")</f>
        <v>Mientras habla, varias animadoras muestran las diferentes poses y estiramientos que a menudo hacen las animadoras para mejorar la flexibilidad.</v>
      </c>
    </row>
    <row r="24991">
      <c r="A24991" s="4" t="s">
        <v>31451</v>
      </c>
      <c r="B24991" s="4" t="s">
        <v>31454</v>
      </c>
      <c r="C24991" s="5" t="str">
        <f>IFERROR(__xludf.DUMMYFUNCTION("GOOGLETRANSLATE(B24991,""en"",""es-ES"")"),"La señora continúa explicando cómo ciertas poses ayudan a mejorar la flexibilidad general en las animadoras.")</f>
        <v>La señora continúa explicando cómo ciertas poses ayudan a mejorar la flexibilidad general en las animadoras.</v>
      </c>
    </row>
    <row r="24992">
      <c r="A24992" s="4" t="s">
        <v>31455</v>
      </c>
      <c r="B24992" s="4" t="s">
        <v>31456</v>
      </c>
      <c r="C24992" s="5" t="str">
        <f>IFERROR(__xludf.DUMMYFUNCTION("GOOGLETRANSLATE(B24992,""en"",""es-ES"")"),"Un grupo de ciclistas se encuentra en la línea de salida.")</f>
        <v>Un grupo de ciclistas se encuentra en la línea de salida.</v>
      </c>
    </row>
    <row r="24993">
      <c r="A24993" s="4" t="s">
        <v>31455</v>
      </c>
      <c r="B24993" s="4" t="s">
        <v>31457</v>
      </c>
      <c r="C24993" s="5" t="str">
        <f>IFERROR(__xludf.DUMMYFUNCTION("GOOGLETRANSLATE(B24993,""en"",""es-ES"")"),"De repente, todas las bicicletas caen de un escenario.")</f>
        <v>De repente, todas las bicicletas caen de un escenario.</v>
      </c>
    </row>
    <row r="24994">
      <c r="A24994" s="4" t="s">
        <v>31455</v>
      </c>
      <c r="B24994" s="4" t="s">
        <v>31458</v>
      </c>
      <c r="C24994" s="5" t="str">
        <f>IFERROR(__xludf.DUMMYFUNCTION("GOOGLETRANSLATE(B24994,""en"",""es-ES"")"),"La escena de la caída de los ciclistas se repite varias veces.")</f>
        <v>La escena de la caída de los ciclistas se repite varias veces.</v>
      </c>
    </row>
    <row r="24995">
      <c r="A24995" s="4" t="s">
        <v>31459</v>
      </c>
      <c r="B24995" s="4" t="s">
        <v>31460</v>
      </c>
      <c r="C24995" s="5" t="str">
        <f>IFERROR(__xludf.DUMMYFUNCTION("GOOGLETRANSLATE(B24995,""en"",""es-ES"")"),"El video se roda en primera persona a lo largo de una pendiente nevada.")</f>
        <v>El video se roda en primera persona a lo largo de una pendiente nevada.</v>
      </c>
    </row>
    <row r="24996">
      <c r="A24996" s="4" t="s">
        <v>31459</v>
      </c>
      <c r="B24996" s="4" t="s">
        <v>31461</v>
      </c>
      <c r="C24996" s="5" t="str">
        <f>IFERROR(__xludf.DUMMYFUNCTION("GOOGLETRANSLATE(B24996,""en"",""es-ES"")"),"La persona comienza en la parte superior de la pendiente, montando un tubo.")</f>
        <v>La persona comienza en la parte superior de la pendiente, montando un tubo.</v>
      </c>
    </row>
    <row r="24997">
      <c r="A24997" s="4" t="s">
        <v>31459</v>
      </c>
      <c r="B24997" s="4" t="s">
        <v>31462</v>
      </c>
      <c r="C24997" s="5" t="str">
        <f>IFERROR(__xludf.DUMMYFUNCTION("GOOGLETRANSLATE(B24997,""en"",""es-ES"")"),"Rápidamente se deslizan hacia abajo y viajan por el camino nevado.")</f>
        <v>Rápidamente se deslizan hacia abajo y viajan por el camino nevado.</v>
      </c>
    </row>
    <row r="24998">
      <c r="A24998" s="4" t="s">
        <v>31459</v>
      </c>
      <c r="B24998" s="4" t="s">
        <v>31463</v>
      </c>
      <c r="C24998" s="5" t="str">
        <f>IFERROR(__xludf.DUMMYFUNCTION("GOOGLETRANSLATE(B24998,""en"",""es-ES"")"),"En la parte inferior, una gran pila de tubos evita que la persona se deslice aún más.")</f>
        <v>En la parte inferior, una gran pila de tubos evita que la persona se deslice aún más.</v>
      </c>
    </row>
    <row r="24999">
      <c r="A24999" s="4" t="s">
        <v>31459</v>
      </c>
      <c r="B24999" s="4" t="s">
        <v>31464</v>
      </c>
      <c r="C24999" s="5" t="str">
        <f>IFERROR(__xludf.DUMMYFUNCTION("GOOGLETRANSLATE(B24999,""en"",""es-ES"")"),"La cámara se dirige a otro grupo de personas que también han terminado de deslizarse por la pendiente.")</f>
        <v>La cámara se dirige a otro grupo de personas que también han terminado de deslizarse por la pendiente.</v>
      </c>
    </row>
    <row r="25000">
      <c r="A25000" s="4" t="s">
        <v>31465</v>
      </c>
      <c r="B25000" s="4" t="s">
        <v>31466</v>
      </c>
      <c r="C25000" s="5" t="str">
        <f>IFERROR(__xludf.DUMMYFUNCTION("GOOGLETRANSLATE(B25000,""en"",""es-ES"")"),"Un hombre con una camisa negra gira y arroja una pelota al campo.")</f>
        <v>Un hombre con una camisa negra gira y arroja una pelota al campo.</v>
      </c>
    </row>
    <row r="25001">
      <c r="A25001" s="4" t="s">
        <v>31465</v>
      </c>
      <c r="B25001" s="4" t="s">
        <v>31467</v>
      </c>
      <c r="C25001" s="5" t="str">
        <f>IFERROR(__xludf.DUMMYFUNCTION("GOOGLETRANSLATE(B25001,""en"",""es-ES"")"),"Un hombre en las gradas aplaude para él.")</f>
        <v>Un hombre en las gradas aplaude para él.</v>
      </c>
    </row>
    <row r="25002">
      <c r="A25002" s="4" t="s">
        <v>31465</v>
      </c>
      <c r="B25002" s="4" t="s">
        <v>31468</v>
      </c>
      <c r="C25002" s="5" t="str">
        <f>IFERROR(__xludf.DUMMYFUNCTION("GOOGLETRANSLATE(B25002,""en"",""es-ES"")"),"Otro hombre gira y arroja una pelota al campo.")</f>
        <v>Otro hombre gira y arroja una pelota al campo.</v>
      </c>
    </row>
    <row r="25003">
      <c r="A25003" s="4" t="s">
        <v>31469</v>
      </c>
      <c r="B25003" s="4" t="s">
        <v>31470</v>
      </c>
      <c r="C25003" s="5" t="str">
        <f>IFERROR(__xludf.DUMMYFUNCTION("GOOGLETRANSLATE(B25003,""en"",""es-ES"")"),"Una mujer toca la guitarra en el escenario.")</f>
        <v>Una mujer toca la guitarra en el escenario.</v>
      </c>
    </row>
    <row r="25004">
      <c r="A25004" s="4" t="s">
        <v>31469</v>
      </c>
      <c r="B25004" s="4" t="s">
        <v>31471</v>
      </c>
      <c r="C25004" s="5" t="str">
        <f>IFERROR(__xludf.DUMMYFUNCTION("GOOGLETRANSLATE(B25004,""en"",""es-ES"")"),"La señora canta en el micrófono.")</f>
        <v>La señora canta en el micrófono.</v>
      </c>
    </row>
    <row r="25005">
      <c r="A25005" s="4" t="s">
        <v>31469</v>
      </c>
      <c r="B25005" s="4" t="s">
        <v>31472</v>
      </c>
      <c r="C25005" s="5" t="str">
        <f>IFERROR(__xludf.DUMMYFUNCTION("GOOGLETRANSLATE(B25005,""en"",""es-ES"")"),"La señora se toma un descanso de cantar.")</f>
        <v>La señora se toma un descanso de cantar.</v>
      </c>
    </row>
    <row r="25006">
      <c r="A25006" s="4" t="s">
        <v>31469</v>
      </c>
      <c r="B25006" s="4" t="s">
        <v>31473</v>
      </c>
      <c r="C25006" s="5" t="str">
        <f>IFERROR(__xludf.DUMMYFUNCTION("GOOGLETRANSLATE(B25006,""en"",""es-ES"")"),"La señora comienza a cantar de nuevo.")</f>
        <v>La señora comienza a cantar de nuevo.</v>
      </c>
    </row>
    <row r="25007">
      <c r="A25007" s="4" t="s">
        <v>31469</v>
      </c>
      <c r="B25007" s="4" t="s">
        <v>31474</v>
      </c>
      <c r="C25007" s="5" t="str">
        <f>IFERROR(__xludf.DUMMYFUNCTION("GOOGLETRANSLATE(B25007,""en"",""es-ES"")"),"La señora deja de cantar y luego regresa al micrófono.")</f>
        <v>La señora deja de cantar y luego regresa al micrófono.</v>
      </c>
    </row>
    <row r="25008">
      <c r="A25008" s="4" t="s">
        <v>31475</v>
      </c>
      <c r="B25008" s="4" t="s">
        <v>31476</v>
      </c>
      <c r="C25008" s="5" t="str">
        <f>IFERROR(__xludf.DUMMYFUNCTION("GOOGLETRANSLATE(B25008,""en"",""es-ES"")"),"Una joven vestida con un leotardo rosa y Tuto comienza a brillar en un gran escenario.")</f>
        <v>Una joven vestida con un leotardo rosa y Tuto comienza a brillar en un gran escenario.</v>
      </c>
    </row>
    <row r="25009">
      <c r="A25009" s="4" t="s">
        <v>31475</v>
      </c>
      <c r="B25009" s="4" t="s">
        <v>31477</v>
      </c>
      <c r="C25009" s="5" t="str">
        <f>IFERROR(__xludf.DUMMYFUNCTION("GOOGLETRANSLATE(B25009,""en"",""es-ES"")"),"Mientras continúa su rutina, continúa haciendo saltos de ballet y balanceando los brazos y girando como una bailarina.")</f>
        <v>Mientras continúa su rutina, continúa haciendo saltos de ballet y balanceando los brazos y girando como una bailarina.</v>
      </c>
    </row>
    <row r="25010">
      <c r="A25010" s="4" t="s">
        <v>31475</v>
      </c>
      <c r="B25010" s="4" t="s">
        <v>31478</v>
      </c>
      <c r="C25010" s="5" t="str">
        <f>IFERROR(__xludf.DUMMYFUNCTION("GOOGLETRANSLATE(B25010,""en"",""es-ES"")"),"Detrás, ella aparece un castillo lanzado en la pared mientras la niña sonríe y mira a la multitud.")</f>
        <v>Detrás, ella aparece un castillo lanzado en la pared mientras la niña sonríe y mira a la multitud.</v>
      </c>
    </row>
    <row r="25011">
      <c r="A25011" s="4" t="s">
        <v>31479</v>
      </c>
      <c r="B25011" s="4" t="s">
        <v>31480</v>
      </c>
      <c r="C25011" s="5" t="str">
        <f>IFERROR(__xludf.DUMMYFUNCTION("GOOGLETRANSLATE(B25011,""en"",""es-ES"")"),"Se ve a un atleta caminando hasta un conjunto de bares desiguales y comienza a realizar una rutina de gimnasia en los bares.")</f>
        <v>Se ve a un atleta caminando hasta un conjunto de bares desiguales y comienza a realizar una rutina de gimnasia en los bares.</v>
      </c>
    </row>
    <row r="25012">
      <c r="A25012" s="4" t="s">
        <v>31479</v>
      </c>
      <c r="B25012" s="4" t="s">
        <v>31481</v>
      </c>
      <c r="C25012" s="5" t="str">
        <f>IFERROR(__xludf.DUMMYFUNCTION("GOOGLETRANSLATE(B25012,""en"",""es-ES"")"),"Continúa moviéndose sobre las barras y termina saltando hacia un lado con los brazos afuera.")</f>
        <v>Continúa moviéndose sobre las barras y termina saltando hacia un lado con los brazos afuera.</v>
      </c>
    </row>
    <row r="25013">
      <c r="A25013" s="4" t="s">
        <v>31482</v>
      </c>
      <c r="B25013" s="4" t="s">
        <v>31483</v>
      </c>
      <c r="C25013" s="5" t="str">
        <f>IFERROR(__xludf.DUMMYFUNCTION("GOOGLETRANSLATE(B25013,""en"",""es-ES"")"),"Hay muchas personas que viajan en pequeños autos de parachoques que pueden adaptarse a 1 o 2 personas.")</f>
        <v>Hay muchas personas que viajan en pequeños autos de parachoques que pueden adaptarse a 1 o 2 personas.</v>
      </c>
    </row>
    <row r="25014">
      <c r="A25014" s="4" t="s">
        <v>31482</v>
      </c>
      <c r="B25014" s="4" t="s">
        <v>31484</v>
      </c>
      <c r="C25014" s="5" t="str">
        <f>IFERROR(__xludf.DUMMYFUNCTION("GOOGLETRANSLATE(B25014,""en"",""es-ES"")"),"Una mujer con un coche de parachoques azul se toca en la parte del metal medio y parece atascada y no puede moverse, pero de repente comienza a moverse nuevamente.")</f>
        <v>Una mujer con un coche de parachoques azul se toca en la parte del metal medio y parece atascada y no puede moverse, pero de repente comienza a moverse nuevamente.</v>
      </c>
    </row>
    <row r="25015">
      <c r="A25015" s="4" t="s">
        <v>31482</v>
      </c>
      <c r="B25015" s="4" t="s">
        <v>31485</v>
      </c>
      <c r="C25015" s="5" t="str">
        <f>IFERROR(__xludf.DUMMYFUNCTION("GOOGLETRANSLATE(B25015,""en"",""es-ES"")"),"Todos siguen montando sus autos de parachoques después de que la mujer vuelve a salir y, finalmente, todos se detienen.")</f>
        <v>Todos siguen montando sus autos de parachoques después de que la mujer vuelve a salir y, finalmente, todos se detienen.</v>
      </c>
    </row>
    <row r="25016">
      <c r="A25016" s="4" t="s">
        <v>31486</v>
      </c>
      <c r="B25016" s="4" t="s">
        <v>31487</v>
      </c>
      <c r="C25016" s="5" t="str">
        <f>IFERROR(__xludf.DUMMYFUNCTION("GOOGLETRANSLATE(B25016,""en"",""es-ES"")"),"Un hombre monta un caballo negro en cámara lenta.")</f>
        <v>Un hombre monta un caballo negro en cámara lenta.</v>
      </c>
    </row>
    <row r="25017">
      <c r="A25017" s="4" t="s">
        <v>31486</v>
      </c>
      <c r="B25017" s="4" t="s">
        <v>31488</v>
      </c>
      <c r="C25017" s="5" t="str">
        <f>IFERROR(__xludf.DUMMYFUNCTION("GOOGLETRANSLATE(B25017,""en"",""es-ES"")"),"A las personas se les muestra tratando de saltar las cercas en varias escenas, caerse o romperlas a velocidades del cuello.")</f>
        <v>A las personas se les muestra tratando de saltar las cercas en varias escenas, caerse o romperlas a velocidades del cuello.</v>
      </c>
    </row>
    <row r="25018">
      <c r="A25018" s="4" t="s">
        <v>31486</v>
      </c>
      <c r="B25018" s="4" t="s">
        <v>31489</v>
      </c>
      <c r="C25018" s="5" t="str">
        <f>IFERROR(__xludf.DUMMYFUNCTION("GOOGLETRANSLATE(B25018,""en"",""es-ES"")"),"A medida que el jinete se aleja, las palabras crees que es fácil? Aparecer en la pantalla.")</f>
        <v>A medida que el jinete se aleja, las palabras crees que es fácil? Aparecer en la pantalla.</v>
      </c>
    </row>
    <row r="25019">
      <c r="A25019" s="4" t="s">
        <v>31490</v>
      </c>
      <c r="B25019" s="4" t="s">
        <v>31491</v>
      </c>
      <c r="C25019" s="5" t="str">
        <f>IFERROR(__xludf.DUMMYFUNCTION("GOOGLETRANSLATE(B25019,""en"",""es-ES"")"),"Una cámara se dirige entre una persona y el camarógrafo y conduce a un hombre sentado frente a una batería.")</f>
        <v>Una cámara se dirige entre una persona y el camarógrafo y conduce a un hombre sentado frente a una batería.</v>
      </c>
    </row>
    <row r="25020">
      <c r="A25020" s="4" t="s">
        <v>31490</v>
      </c>
      <c r="B25020" s="4" t="s">
        <v>31492</v>
      </c>
      <c r="C25020" s="5" t="str">
        <f>IFERROR(__xludf.DUMMYFUNCTION("GOOGLETRANSLATE(B25020,""en"",""es-ES"")"),"El hombre toca la batería continuamente y otro hombre entra y canta y baila.")</f>
        <v>El hombre toca la batería continuamente y otro hombre entra y canta y baila.</v>
      </c>
    </row>
    <row r="25021">
      <c r="A25021" s="4" t="s">
        <v>31490</v>
      </c>
      <c r="B25021" s="4" t="s">
        <v>31493</v>
      </c>
      <c r="C25021" s="5" t="str">
        <f>IFERROR(__xludf.DUMMYFUNCTION("GOOGLETRANSLATE(B25021,""en"",""es-ES"")"),"Otro hombre se muestra de cerca y vuelve al baterista que el techo.")</f>
        <v>Otro hombre se muestra de cerca y vuelve al baterista que el techo.</v>
      </c>
    </row>
    <row r="25022">
      <c r="A25022" s="4" t="s">
        <v>31494</v>
      </c>
      <c r="B25022" s="4" t="s">
        <v>31495</v>
      </c>
      <c r="C25022" s="5" t="str">
        <f>IFERROR(__xludf.DUMMYFUNCTION("GOOGLETRANSLATE(B25022,""en"",""es-ES"")"),"Varias personas están en una sala de baile y un instructor llega cuando comienzan a bailar.")</f>
        <v>Varias personas están en una sala de baile y un instructor llega cuando comienzan a bailar.</v>
      </c>
    </row>
    <row r="25023">
      <c r="A25023" s="4" t="s">
        <v>31494</v>
      </c>
      <c r="B25023" s="4" t="s">
        <v>31496</v>
      </c>
      <c r="C25023" s="5" t="str">
        <f>IFERROR(__xludf.DUMMYFUNCTION("GOOGLETRANSLATE(B25023,""en"",""es-ES"")"),"Las seis personas continúan bailando de lado a lado haciendo flechas como un baile jamaicano.")</f>
        <v>Las seis personas continúan bailando de lado a lado haciendo flechas como un baile jamaicano.</v>
      </c>
    </row>
    <row r="25024">
      <c r="A25024" s="4" t="s">
        <v>31494</v>
      </c>
      <c r="B25024" s="4" t="s">
        <v>31497</v>
      </c>
      <c r="C25024" s="5" t="str">
        <f>IFERROR(__xludf.DUMMYFUNCTION("GOOGLETRANSLATE(B25024,""en"",""es-ES"")"),"A medida que continúa, los pasos se repiten y arroja patas de puño en el aire.")</f>
        <v>A medida que continúa, los pasos se repiten y arroja patas de puño en el aire.</v>
      </c>
    </row>
    <row r="25025">
      <c r="A25025" s="4" t="s">
        <v>31498</v>
      </c>
      <c r="B25025" s="4" t="s">
        <v>31499</v>
      </c>
      <c r="C25025" s="5" t="str">
        <f>IFERROR(__xludf.DUMMYFUNCTION("GOOGLETRANSLATE(B25025,""en"",""es-ES"")"),"Una persona está hablando mientras mira su auto helado.")</f>
        <v>Una persona está hablando mientras mira su auto helado.</v>
      </c>
    </row>
    <row r="25026">
      <c r="A25026" s="4" t="s">
        <v>31498</v>
      </c>
      <c r="B25026" s="4" t="s">
        <v>31500</v>
      </c>
      <c r="C25026" s="5" t="str">
        <f>IFERROR(__xludf.DUMMYFUNCTION("GOOGLETRANSLATE(B25026,""en"",""es-ES"")"),"Utiliza una herramienta para raspar el hielo del parabrisas.")</f>
        <v>Utiliza una herramienta para raspar el hielo del parabrisas.</v>
      </c>
    </row>
    <row r="25027">
      <c r="A25027" s="4" t="s">
        <v>31498</v>
      </c>
      <c r="B25027" s="4" t="s">
        <v>31501</v>
      </c>
      <c r="C25027" s="5" t="str">
        <f>IFERROR(__xludf.DUMMYFUNCTION("GOOGLETRANSLATE(B25027,""en"",""es-ES"")"),"Continúa raspando hasta que puede ver para conducir.")</f>
        <v>Continúa raspando hasta que puede ver para conducir.</v>
      </c>
    </row>
    <row r="25028">
      <c r="A25028" s="4" t="s">
        <v>31502</v>
      </c>
      <c r="B25028" s="4" t="s">
        <v>31503</v>
      </c>
      <c r="C25028" s="5" t="str">
        <f>IFERROR(__xludf.DUMMYFUNCTION("GOOGLETRANSLATE(B25028,""en"",""es-ES"")"),"Hay humo y luces y palabras en la pantalla.")</f>
        <v>Hay humo y luces y palabras en la pantalla.</v>
      </c>
    </row>
    <row r="25029">
      <c r="A25029" s="4" t="s">
        <v>31502</v>
      </c>
      <c r="B25029" s="4" t="s">
        <v>31504</v>
      </c>
      <c r="C25029" s="5" t="str">
        <f>IFERROR(__xludf.DUMMYFUNCTION("GOOGLETRANSLATE(B25029,""en"",""es-ES"")"),"El humo está rodando alrededor de un sombrero.")</f>
        <v>El humo está rodando alrededor de un sombrero.</v>
      </c>
    </row>
    <row r="25030">
      <c r="A25030" s="4" t="s">
        <v>31502</v>
      </c>
      <c r="B25030" s="4" t="s">
        <v>31505</v>
      </c>
      <c r="C25030" s="5" t="str">
        <f>IFERROR(__xludf.DUMMYFUNCTION("GOOGLETRANSLATE(B25030,""en"",""es-ES"")"),"Una persona se está soplando humo de la nariz y los anillos de humo.")</f>
        <v>Una persona se está soplando humo de la nariz y los anillos de humo.</v>
      </c>
    </row>
    <row r="25031">
      <c r="A25031" s="4" t="s">
        <v>31502</v>
      </c>
      <c r="B25031" s="4" t="s">
        <v>31506</v>
      </c>
      <c r="C25031" s="5" t="str">
        <f>IFERROR(__xludf.DUMMYFUNCTION("GOOGLETRANSLATE(B25031,""en"",""es-ES"")"),"La cámara se invierte y continúa soplando humo.")</f>
        <v>La cámara se invierte y continúa soplando humo.</v>
      </c>
    </row>
    <row r="25032">
      <c r="A25032" s="4" t="s">
        <v>31502</v>
      </c>
      <c r="B25032" s="4" t="s">
        <v>31507</v>
      </c>
      <c r="C25032" s="5" t="str">
        <f>IFERROR(__xludf.DUMMYFUNCTION("GOOGLETRANSLATE(B25032,""en"",""es-ES"")"),"Las palabras todo es morado.")</f>
        <v>Las palabras todo es morado.</v>
      </c>
    </row>
    <row r="25033">
      <c r="A25033" s="4" t="s">
        <v>31502</v>
      </c>
      <c r="B25033" s="4" t="s">
        <v>31508</v>
      </c>
      <c r="C25033" s="5" t="str">
        <f>IFERROR(__xludf.DUMMYFUNCTION("GOOGLETRANSLATE(B25033,""en"",""es-ES"")"),"El humo continúa soplando y las palabras edits de Jarron Jones aparecen.")</f>
        <v>El humo continúa soplando y las palabras edits de Jarron Jones aparecen.</v>
      </c>
    </row>
    <row r="25034">
      <c r="A25034" s="4" t="s">
        <v>31502</v>
      </c>
      <c r="B25034" s="4" t="s">
        <v>31509</v>
      </c>
      <c r="C25034" s="5" t="str">
        <f>IFERROR(__xludf.DUMMYFUNCTION("GOOGLETRANSLATE(B25034,""en"",""es-ES"")"),"El hombre sigue soplando humo en el aire.")</f>
        <v>El hombre sigue soplando humo en el aire.</v>
      </c>
    </row>
    <row r="25035">
      <c r="A25035" s="4" t="s">
        <v>31510</v>
      </c>
      <c r="B25035" s="4" t="s">
        <v>31511</v>
      </c>
      <c r="C25035" s="5" t="str">
        <f>IFERROR(__xludf.DUMMYFUNCTION("GOOGLETRANSLATE(B25035,""en"",""es-ES"")"),"Hay 5 personas diferentes sentadas en sillas que juegan acordeones que tienen pianos unidos a ellos.")</f>
        <v>Hay 5 personas diferentes sentadas en sillas que juegan acordeones que tienen pianos unidos a ellos.</v>
      </c>
    </row>
    <row r="25036">
      <c r="A25036" s="4" t="s">
        <v>31510</v>
      </c>
      <c r="B25036" s="4" t="s">
        <v>31512</v>
      </c>
      <c r="C25036" s="5" t="str">
        <f>IFERROR(__xludf.DUMMYFUNCTION("GOOGLETRANSLATE(B25036,""en"",""es-ES"")"),"Hay 2 mujeres, y 3 hombres y todos ellos, se ven muy en serio sobre lo que están haciendo.")</f>
        <v>Hay 2 mujeres, y 3 hombres y todos ellos, se ven muy en serio sobre lo que están haciendo.</v>
      </c>
    </row>
    <row r="25037">
      <c r="A25037" s="4" t="s">
        <v>31510</v>
      </c>
      <c r="B25037" s="4" t="s">
        <v>31513</v>
      </c>
      <c r="C25037" s="5" t="str">
        <f>IFERROR(__xludf.DUMMYFUNCTION("GOOGLETRANSLATE(B25037,""en"",""es-ES"")"),"Todos presionan diferentes teclas para hacer sonidos de mezcla y no todos usan mucho el acordeón.")</f>
        <v>Todos presionan diferentes teclas para hacer sonidos de mezcla y no todos usan mucho el acordeón.</v>
      </c>
    </row>
    <row r="25038">
      <c r="A25038" s="4" t="s">
        <v>31514</v>
      </c>
      <c r="B25038" s="4" t="s">
        <v>31515</v>
      </c>
      <c r="C25038" s="5" t="str">
        <f>IFERROR(__xludf.DUMMYFUNCTION("GOOGLETRANSLATE(B25038,""en"",""es-ES"")"),"Men explica el juego Beer Pong, mientras que las personas compiten en el torneo.")</f>
        <v>Men explica el juego Beer Pong, mientras que las personas compiten en el torneo.</v>
      </c>
    </row>
    <row r="25039">
      <c r="A25039" s="4" t="s">
        <v>31514</v>
      </c>
      <c r="B25039" s="4" t="s">
        <v>31516</v>
      </c>
      <c r="C25039" s="5" t="str">
        <f>IFERROR(__xludf.DUMMYFUNCTION("GOOGLETRANSLATE(B25039,""en"",""es-ES"")"),"Dos personas usa ropa divertida y pelucas blancas.")</f>
        <v>Dos personas usa ropa divertida y pelucas blancas.</v>
      </c>
    </row>
    <row r="25040">
      <c r="A25040" s="4" t="s">
        <v>31514</v>
      </c>
      <c r="B25040" s="4" t="s">
        <v>31517</v>
      </c>
      <c r="C25040" s="5" t="str">
        <f>IFERROR(__xludf.DUMMYFUNCTION("GOOGLETRANSLATE(B25040,""en"",""es-ES"")"),"Varias personas compiten a Beer Pong en una mesa llena de tazas con cerveza, luego una persona gana y la gente felicita al ganador.")</f>
        <v>Varias personas compiten a Beer Pong en una mesa llena de tazas con cerveza, luego una persona gana y la gente felicita al ganador.</v>
      </c>
    </row>
    <row r="25041">
      <c r="A25041" s="4" t="s">
        <v>31514</v>
      </c>
      <c r="B25041" s="4" t="s">
        <v>31518</v>
      </c>
      <c r="C25041" s="5" t="str">
        <f>IFERROR(__xludf.DUMMYFUNCTION("GOOGLETRANSLATE(B25041,""en"",""es-ES"")"),"Luego, la gente juega a Beer Pong sin éxito, y luego un hombre lanza la pelota en la taza lejana, luego la gente abraza al ganador que recibe un precio.")</f>
        <v>Luego, la gente juega a Beer Pong sin éxito, y luego un hombre lanza la pelota en la taza lejana, luego la gente abraza al ganador que recibe un precio.</v>
      </c>
    </row>
    <row r="25042">
      <c r="A25042" s="4" t="s">
        <v>31514</v>
      </c>
      <c r="B25042" s="4" t="s">
        <v>31519</v>
      </c>
      <c r="C25042" s="5" t="str">
        <f>IFERROR(__xludf.DUMMYFUNCTION("GOOGLETRANSLATE(B25042,""en"",""es-ES"")"),"Una persona toma fotos al ganador.")</f>
        <v>Una persona toma fotos al ganador.</v>
      </c>
    </row>
    <row r="25043">
      <c r="A25043" s="4" t="s">
        <v>31520</v>
      </c>
      <c r="B25043" s="4" t="s">
        <v>31521</v>
      </c>
      <c r="C25043" s="5" t="str">
        <f>IFERROR(__xludf.DUMMYFUNCTION("GOOGLETRANSLATE(B25043,""en"",""es-ES"")"),"Vemos una ilustración de guitarra en la escena de apertura.")</f>
        <v>Vemos una ilustración de guitarra en la escena de apertura.</v>
      </c>
    </row>
    <row r="25044">
      <c r="A25044" s="4" t="s">
        <v>31520</v>
      </c>
      <c r="B25044" s="4" t="s">
        <v>31522</v>
      </c>
      <c r="C25044" s="5" t="str">
        <f>IFERROR(__xludf.DUMMYFUNCTION("GOOGLETRANSLATE(B25044,""en"",""es-ES"")"),"Vemos a un hombre golpeando la guitarra como el tambor.")</f>
        <v>Vemos a un hombre golpeando la guitarra como el tambor.</v>
      </c>
    </row>
    <row r="25045">
      <c r="A25045" s="4" t="s">
        <v>31520</v>
      </c>
      <c r="B25045" s="4" t="s">
        <v>31523</v>
      </c>
      <c r="C25045" s="5" t="str">
        <f>IFERROR(__xludf.DUMMYFUNCTION("GOOGLETRANSLATE(B25045,""en"",""es-ES"")"),"El hombre toca una canción en la guitarra y vemos brevemente la canción y el nombre del artista en la pantalla.")</f>
        <v>El hombre toca una canción en la guitarra y vemos brevemente la canción y el nombre del artista en la pantalla.</v>
      </c>
    </row>
    <row r="25046">
      <c r="A25046" s="4" t="s">
        <v>31520</v>
      </c>
      <c r="B25046" s="4" t="s">
        <v>31524</v>
      </c>
      <c r="C25046" s="5" t="str">
        <f>IFERROR(__xludf.DUMMYFUNCTION("GOOGLETRANSLATE(B25046,""en"",""es-ES"")"),"Nos centramos en la mano izquierda del hombre en el cuello de la guitarra.")</f>
        <v>Nos centramos en la mano izquierda del hombre en el cuello de la guitarra.</v>
      </c>
    </row>
    <row r="25047">
      <c r="A25047" s="4" t="s">
        <v>31520</v>
      </c>
      <c r="B25047" s="4" t="s">
        <v>31525</v>
      </c>
      <c r="C25047" s="5" t="str">
        <f>IFERROR(__xludf.DUMMYFUNCTION("GOOGLETRANSLATE(B25047,""en"",""es-ES"")"),"El hombre termina y deja de jugar.")</f>
        <v>El hombre termina y deja de jugar.</v>
      </c>
    </row>
    <row r="25048">
      <c r="A25048" s="4" t="s">
        <v>31520</v>
      </c>
      <c r="B25048" s="4" t="s">
        <v>31526</v>
      </c>
      <c r="C25048" s="5" t="str">
        <f>IFERROR(__xludf.DUMMYFUNCTION("GOOGLETRANSLATE(B25048,""en"",""es-ES"")"),"Vemos la ilustración de nuevo.")</f>
        <v>Vemos la ilustración de nuevo.</v>
      </c>
    </row>
    <row r="25049">
      <c r="A25049" s="4" t="s">
        <v>31527</v>
      </c>
      <c r="B25049" s="4" t="s">
        <v>31528</v>
      </c>
      <c r="C25049" s="5" t="str">
        <f>IFERROR(__xludf.DUMMYFUNCTION("GOOGLETRANSLATE(B25049,""en"",""es-ES"")"),"Una persona corre y arroja una jabalina.")</f>
        <v>Una persona corre y arroja una jabalina.</v>
      </c>
    </row>
    <row r="25050">
      <c r="A25050" s="4" t="s">
        <v>31527</v>
      </c>
      <c r="B25050" s="4" t="s">
        <v>31529</v>
      </c>
      <c r="C25050" s="5" t="str">
        <f>IFERROR(__xludf.DUMMYFUNCTION("GOOGLETRANSLATE(B25050,""en"",""es-ES"")"),"Hay gente que los mira detrás de una cerca.")</f>
        <v>Hay gente que los mira detrás de una cerca.</v>
      </c>
    </row>
    <row r="25051">
      <c r="A25051" s="4" t="s">
        <v>31527</v>
      </c>
      <c r="B25051" s="4" t="s">
        <v>31530</v>
      </c>
      <c r="C25051" s="5" t="str">
        <f>IFERROR(__xludf.DUMMYFUNCTION("GOOGLETRANSLATE(B25051,""en"",""es-ES"")"),"Un paraguas verde se sienta al lado de la pista.")</f>
        <v>Un paraguas verde se sienta al lado de la pista.</v>
      </c>
    </row>
    <row r="25052">
      <c r="A25052" s="4" t="s">
        <v>31531</v>
      </c>
      <c r="B25052" s="4" t="s">
        <v>31532</v>
      </c>
      <c r="C25052" s="5" t="str">
        <f>IFERROR(__xludf.DUMMYFUNCTION("GOOGLETRANSLATE(B25052,""en"",""es-ES"")"),"Dos personas dan un informe de noticias sobre la importancia de usar protector solar y hablar entre ellas.")</f>
        <v>Dos personas dan un informe de noticias sobre la importancia de usar protector solar y hablar entre ellas.</v>
      </c>
    </row>
    <row r="25053">
      <c r="A25053" s="4" t="s">
        <v>31531</v>
      </c>
      <c r="B25053" s="4" t="s">
        <v>31533</v>
      </c>
      <c r="C25053" s="5" t="str">
        <f>IFERROR(__xludf.DUMMYFUNCTION("GOOGLETRANSLATE(B25053,""en"",""es-ES"")"),"La gente se muestra afuera poniendo protector solar.")</f>
        <v>La gente se muestra afuera poniendo protector solar.</v>
      </c>
    </row>
    <row r="25054">
      <c r="A25054" s="4" t="s">
        <v>31531</v>
      </c>
      <c r="B25054" s="4" t="s">
        <v>31534</v>
      </c>
      <c r="C25054" s="5" t="str">
        <f>IFERROR(__xludf.DUMMYFUNCTION("GOOGLETRANSLATE(B25054,""en"",""es-ES"")"),"Los informadores de noticias luego hablan al final.")</f>
        <v>Los informadores de noticias luego hablan al final.</v>
      </c>
    </row>
    <row r="25055">
      <c r="A25055" s="4" t="s">
        <v>31535</v>
      </c>
      <c r="B25055" s="4" t="s">
        <v>31536</v>
      </c>
      <c r="C25055" s="5" t="str">
        <f>IFERROR(__xludf.DUMMYFUNCTION("GOOGLETRANSLATE(B25055,""en"",""es-ES"")"),"Un hombre con una camisa blanca está colocando un azulejo en el piso.")</f>
        <v>Un hombre con una camisa blanca está colocando un azulejo en el piso.</v>
      </c>
    </row>
    <row r="25056">
      <c r="A25056" s="4" t="s">
        <v>31535</v>
      </c>
      <c r="B25056" s="4" t="s">
        <v>31537</v>
      </c>
      <c r="C25056" s="5" t="str">
        <f>IFERROR(__xludf.DUMMYFUNCTION("GOOGLETRANSLATE(B25056,""en"",""es-ES"")"),"El hombre señala al lado del mosaico y luego se encuentra.")</f>
        <v>El hombre señala al lado del mosaico y luego se encuentra.</v>
      </c>
    </row>
    <row r="25057">
      <c r="A25057" s="4" t="s">
        <v>31535</v>
      </c>
      <c r="B25057" s="4" t="s">
        <v>31538</v>
      </c>
      <c r="C25057" s="5" t="str">
        <f>IFERROR(__xludf.DUMMYFUNCTION("GOOGLETRANSLATE(B25057,""en"",""es-ES"")"),"La cámara se acerca al mosaico.")</f>
        <v>La cámara se acerca al mosaico.</v>
      </c>
    </row>
    <row r="25058">
      <c r="A25058" s="4" t="s">
        <v>31539</v>
      </c>
      <c r="B25058" s="4" t="s">
        <v>31540</v>
      </c>
      <c r="C25058" s="5" t="str">
        <f>IFERROR(__xludf.DUMMYFUNCTION("GOOGLETRANSLATE(B25058,""en"",""es-ES"")"),"El video comienza con un primer plano de dos niños pequeños.")</f>
        <v>El video comienza con un primer plano de dos niños pequeños.</v>
      </c>
    </row>
    <row r="25059">
      <c r="A25059" s="4" t="s">
        <v>31539</v>
      </c>
      <c r="B25059" s="4" t="s">
        <v>31541</v>
      </c>
      <c r="C25059" s="5" t="str">
        <f>IFERROR(__xludf.DUMMYFUNCTION("GOOGLETRANSLATE(B25059,""en"",""es-ES"")"),"Luego se muestra una diapositiva de título y luego muestra varios ingredientes utilizados en una receta para galletas.")</f>
        <v>Luego se muestra una diapositiva de título y luego muestra varios ingredientes utilizados en una receta para galletas.</v>
      </c>
    </row>
    <row r="25060">
      <c r="A25060" s="4" t="s">
        <v>31539</v>
      </c>
      <c r="B25060" s="4" t="s">
        <v>31542</v>
      </c>
      <c r="C25060" s="5" t="str">
        <f>IFERROR(__xludf.DUMMYFUNCTION("GOOGLETRANSLATE(B25060,""en"",""es-ES"")"),"El video muestra a los dos chicos mezclando ingredientes.")</f>
        <v>El video muestra a los dos chicos mezclando ingredientes.</v>
      </c>
    </row>
    <row r="25061">
      <c r="A25061" s="4" t="s">
        <v>31539</v>
      </c>
      <c r="B25061" s="4" t="s">
        <v>31543</v>
      </c>
      <c r="C25061" s="5" t="str">
        <f>IFERROR(__xludf.DUMMYFUNCTION("GOOGLETRANSLATE(B25061,""en"",""es-ES"")"),"Enrollan la masa en bolas y las colocan en un horno.")</f>
        <v>Enrollan la masa en bolas y las colocan en un horno.</v>
      </c>
    </row>
    <row r="25062">
      <c r="A25062" s="4" t="s">
        <v>31539</v>
      </c>
      <c r="B25062" s="4" t="s">
        <v>31544</v>
      </c>
      <c r="C25062" s="5" t="str">
        <f>IFERROR(__xludf.DUMMYFUNCTION("GOOGLETRANSLATE(B25062,""en"",""es-ES"")"),"Los niños sacan las galletas del horno y comienzan a comerlas.")</f>
        <v>Los niños sacan las galletas del horno y comienzan a comerlas.</v>
      </c>
    </row>
    <row r="25063">
      <c r="A25063" s="4" t="s">
        <v>31545</v>
      </c>
      <c r="B25063" s="4" t="s">
        <v>31546</v>
      </c>
      <c r="C25063" s="5" t="str">
        <f>IFERROR(__xludf.DUMMYFUNCTION("GOOGLETRANSLATE(B25063,""en"",""es-ES"")"),"Una introducción conduce a una mujer que se prepara para saltar y voltea y vuelve en barras.")</f>
        <v>Una introducción conduce a una mujer que se prepara para saltar y voltea y vuelve en barras.</v>
      </c>
    </row>
    <row r="25064">
      <c r="A25064" s="4" t="s">
        <v>31545</v>
      </c>
      <c r="B25064" s="4" t="s">
        <v>31547</v>
      </c>
      <c r="C25064" s="5" t="str">
        <f>IFERROR(__xludf.DUMMYFUNCTION("GOOGLETRANSLATE(B25064,""en"",""es-ES"")"),"Ella continúa su rutina gimnástica que voltea las barras con una barra que la ve y termina levantando los brazos.")</f>
        <v>Ella continúa su rutina gimnástica que voltea las barras con una barra que la ve y termina levantando los brazos.</v>
      </c>
    </row>
    <row r="25065">
      <c r="A25065" s="4" t="s">
        <v>31548</v>
      </c>
      <c r="B25065" s="4" t="s">
        <v>31549</v>
      </c>
      <c r="C25065" s="5" t="str">
        <f>IFERROR(__xludf.DUMMYFUNCTION("GOOGLETRANSLATE(B25065,""en"",""es-ES"")"),"Se ve a un hombre con un delantal frotando varios platos mientras los arroja a un fregadero.")</f>
        <v>Se ve a un hombre con un delantal frotando varios platos mientras los arroja a un fregadero.</v>
      </c>
    </row>
    <row r="25066">
      <c r="A25066" s="4" t="s">
        <v>31548</v>
      </c>
      <c r="B25066" s="4" t="s">
        <v>31550</v>
      </c>
      <c r="C25066" s="5" t="str">
        <f>IFERROR(__xludf.DUMMYFUNCTION("GOOGLETRANSLATE(B25066,""en"",""es-ES"")"),"El hombre continúa frotando platos mientras los arroja inmediatamente a un fregadero de agua.")</f>
        <v>El hombre continúa frotando platos mientras los arroja inmediatamente a un fregadero de agua.</v>
      </c>
    </row>
    <row r="25067">
      <c r="A25067" s="4" t="s">
        <v>31551</v>
      </c>
      <c r="B25067" s="4" t="s">
        <v>31552</v>
      </c>
      <c r="C25067" s="5" t="str">
        <f>IFERROR(__xludf.DUMMYFUNCTION("GOOGLETRANSLATE(B25067,""en"",""es-ES"")"),"Vemos una secuencia de apertura con flashes.")</f>
        <v>Vemos una secuencia de apertura con flashes.</v>
      </c>
    </row>
    <row r="25068">
      <c r="A25068" s="4" t="s">
        <v>31551</v>
      </c>
      <c r="B25068" s="4" t="s">
        <v>31553</v>
      </c>
      <c r="C25068" s="5" t="str">
        <f>IFERROR(__xludf.DUMMYFUNCTION("GOOGLETRANSLATE(B25068,""en"",""es-ES"")"),"Vemos a dos hombres en un patio empujando un artículo en la hierba.")</f>
        <v>Vemos a dos hombres en un patio empujando un artículo en la hierba.</v>
      </c>
    </row>
    <row r="25069">
      <c r="A25069" s="4" t="s">
        <v>31551</v>
      </c>
      <c r="B25069" s="4" t="s">
        <v>31554</v>
      </c>
      <c r="C25069" s="5" t="str">
        <f>IFERROR(__xludf.DUMMYFUNCTION("GOOGLETRANSLATE(B25069,""en"",""es-ES"")"),"Vemos un parche de tierra en la hierba.")</f>
        <v>Vemos un parche de tierra en la hierba.</v>
      </c>
    </row>
    <row r="25070">
      <c r="A25070" s="4" t="s">
        <v>31551</v>
      </c>
      <c r="B25070" s="4" t="s">
        <v>31555</v>
      </c>
      <c r="C25070" s="5" t="str">
        <f>IFERROR(__xludf.DUMMYFUNCTION("GOOGLETRANSLATE(B25070,""en"",""es-ES"")"),"Vemos el monitor en el dispositivo.")</f>
        <v>Vemos el monitor en el dispositivo.</v>
      </c>
    </row>
    <row r="25071">
      <c r="A25071" s="4" t="s">
        <v>31551</v>
      </c>
      <c r="B25071" s="4" t="s">
        <v>31556</v>
      </c>
      <c r="C25071" s="5" t="str">
        <f>IFERROR(__xludf.DUMMYFUNCTION("GOOGLETRANSLATE(B25071,""en"",""es-ES"")"),"Vemos un árbol en una ronda de tierra.")</f>
        <v>Vemos un árbol en una ronda de tierra.</v>
      </c>
    </row>
    <row r="25072">
      <c r="A25072" s="4" t="s">
        <v>31551</v>
      </c>
      <c r="B25072" s="4" t="s">
        <v>31557</v>
      </c>
      <c r="C25072" s="5" t="str">
        <f>IFERROR(__xludf.DUMMYFUNCTION("GOOGLETRANSLATE(B25072,""en"",""es-ES"")"),"Vemos una raíz en el patio.")</f>
        <v>Vemos una raíz en el patio.</v>
      </c>
    </row>
    <row r="25073">
      <c r="A25073" s="4" t="s">
        <v>31551</v>
      </c>
      <c r="B25073" s="4" t="s">
        <v>31558</v>
      </c>
      <c r="C25073" s="5" t="str">
        <f>IFERROR(__xludf.DUMMYFUNCTION("GOOGLETRANSLATE(B25073,""en"",""es-ES"")"),"Vemos los créditos finales y la pantalla se desvanece.")</f>
        <v>Vemos los créditos finales y la pantalla se desvanece.</v>
      </c>
    </row>
    <row r="25074">
      <c r="A25074" s="4" t="s">
        <v>31559</v>
      </c>
      <c r="B25074" s="4" t="s">
        <v>31560</v>
      </c>
      <c r="C25074" s="5" t="str">
        <f>IFERROR(__xludf.DUMMYFUNCTION("GOOGLETRANSLATE(B25074,""en"",""es-ES"")"),"Una niña con una camisa negra y pantalones cortos rosados ​​está pintando una cerca de madera.")</f>
        <v>Una niña con una camisa negra y pantalones cortos rosados ​​está pintando una cerca de madera.</v>
      </c>
    </row>
    <row r="25075">
      <c r="A25075" s="4" t="s">
        <v>31559</v>
      </c>
      <c r="B25075" s="4" t="s">
        <v>13650</v>
      </c>
      <c r="C25075" s="5" t="str">
        <f>IFERROR(__xludf.DUMMYFUNCTION("GOOGLETRANSLATE(B25075,""en"",""es-ES"")"),"Las palabras entran en la pantalla.")</f>
        <v>Las palabras entran en la pantalla.</v>
      </c>
    </row>
    <row r="25076">
      <c r="A25076" s="4" t="s">
        <v>31561</v>
      </c>
      <c r="B25076" s="4" t="s">
        <v>31562</v>
      </c>
      <c r="C25076" s="5" t="str">
        <f>IFERROR(__xludf.DUMMYFUNCTION("GOOGLETRANSLATE(B25076,""en"",""es-ES"")"),"Dos personas están de pie en una habitación.")</f>
        <v>Dos personas están de pie en una habitación.</v>
      </c>
    </row>
    <row r="25077">
      <c r="A25077" s="4" t="s">
        <v>31561</v>
      </c>
      <c r="B25077" s="4" t="s">
        <v>31563</v>
      </c>
      <c r="C25077" s="5" t="str">
        <f>IFERROR(__xludf.DUMMYFUNCTION("GOOGLETRANSLATE(B25077,""en"",""es-ES"")"),"Comienzan a jugar un juego de Ball Wall.")</f>
        <v>Comienzan a jugar un juego de Ball Wall.</v>
      </c>
    </row>
    <row r="25078">
      <c r="A25078" s="4" t="s">
        <v>31561</v>
      </c>
      <c r="B25078" s="4" t="s">
        <v>31564</v>
      </c>
      <c r="C25078" s="5" t="str">
        <f>IFERROR(__xludf.DUMMYFUNCTION("GOOGLETRANSLATE(B25078,""en"",""es-ES"")"),"Están balanceando sus raquetas golpeando la pelota.")</f>
        <v>Están balanceando sus raquetas golpeando la pelota.</v>
      </c>
    </row>
    <row r="25079">
      <c r="A25079" s="4" t="s">
        <v>31565</v>
      </c>
      <c r="B25079" s="4" t="s">
        <v>31566</v>
      </c>
      <c r="C25079" s="5" t="str">
        <f>IFERROR(__xludf.DUMMYFUNCTION("GOOGLETRANSLATE(B25079,""en"",""es-ES"")"),"La gente está corriendo en el campo jugando lacrosse.")</f>
        <v>La gente está corriendo en el campo jugando lacrosse.</v>
      </c>
    </row>
    <row r="25080">
      <c r="A25080" s="4" t="s">
        <v>31565</v>
      </c>
      <c r="B25080" s="4" t="s">
        <v>31567</v>
      </c>
      <c r="C25080" s="5" t="str">
        <f>IFERROR(__xludf.DUMMYFUNCTION("GOOGLETRANSLATE(B25080,""en"",""es-ES"")"),"La multitud los está viendo jugar.")</f>
        <v>La multitud los está viendo jugar.</v>
      </c>
    </row>
    <row r="25081">
      <c r="A25081" s="4" t="s">
        <v>31565</v>
      </c>
      <c r="B25081" s="4" t="s">
        <v>31568</v>
      </c>
      <c r="C25081" s="5" t="str">
        <f>IFERROR(__xludf.DUMMYFUNCTION("GOOGLETRANSLATE(B25081,""en"",""es-ES"")"),"Se muestra un logotipo en blanco y negro en la pantalla.")</f>
        <v>Se muestra un logotipo en blanco y negro en la pantalla.</v>
      </c>
    </row>
    <row r="25082">
      <c r="A25082" s="4" t="s">
        <v>31569</v>
      </c>
      <c r="B25082" s="4" t="s">
        <v>31570</v>
      </c>
      <c r="C25082" s="5" t="str">
        <f>IFERROR(__xludf.DUMMYFUNCTION("GOOGLETRANSLATE(B25082,""en"",""es-ES"")"),"Un gran árbol de Navidad está sentado en una habitación.")</f>
        <v>Un gran árbol de Navidad está sentado en una habitación.</v>
      </c>
    </row>
    <row r="25083">
      <c r="A25083" s="4" t="s">
        <v>31569</v>
      </c>
      <c r="B25083" s="4" t="s">
        <v>31571</v>
      </c>
      <c r="C25083" s="5" t="str">
        <f>IFERROR(__xludf.DUMMYFUNCTION("GOOGLETRANSLATE(B25083,""en"",""es-ES"")"),"Un hombre y una mujer están poniendo luces en el árbol de Navidad.")</f>
        <v>Un hombre y una mujer están poniendo luces en el árbol de Navidad.</v>
      </c>
    </row>
    <row r="25084">
      <c r="A25084" s="4" t="s">
        <v>31569</v>
      </c>
      <c r="B25084" s="4" t="s">
        <v>31572</v>
      </c>
      <c r="C25084" s="5" t="str">
        <f>IFERROR(__xludf.DUMMYFUNCTION("GOOGLETRANSLATE(B25084,""en"",""es-ES"")"),"Un perro camina por el árbol de Navidad.")</f>
        <v>Un perro camina por el árbol de Navidad.</v>
      </c>
    </row>
    <row r="25085">
      <c r="A25085" s="4" t="s">
        <v>31573</v>
      </c>
      <c r="B25085" s="4" t="s">
        <v>31574</v>
      </c>
      <c r="C25085" s="5" t="str">
        <f>IFERROR(__xludf.DUMMYFUNCTION("GOOGLETRANSLATE(B25085,""en"",""es-ES"")"),"Un conjunto de niños pequeños se enfrenta a la pared hablando y jugando con cepillos de dientes.")</f>
        <v>Un conjunto de niños pequeños se enfrenta a la pared hablando y jugando con cepillos de dientes.</v>
      </c>
    </row>
    <row r="25086">
      <c r="A25086" s="4" t="s">
        <v>31573</v>
      </c>
      <c r="B25086" s="4" t="s">
        <v>31575</v>
      </c>
      <c r="C25086" s="5" t="str">
        <f>IFERROR(__xludf.DUMMYFUNCTION("GOOGLETRANSLATE(B25086,""en"",""es-ES"")"),"Ambos comienzan a cepillarse los dientes ferozmente sin pasta de dientes ni agua.")</f>
        <v>Ambos comienzan a cepillarse los dientes ferozmente sin pasta de dientes ni agua.</v>
      </c>
    </row>
    <row r="25087">
      <c r="A25087" s="4" t="s">
        <v>31576</v>
      </c>
      <c r="B25087" s="4" t="s">
        <v>31577</v>
      </c>
      <c r="C25087" s="5" t="str">
        <f>IFERROR(__xludf.DUMMYFUNCTION("GOOGLETRANSLATE(B25087,""en"",""es-ES"")"),"Una introducción entra en la pantalla que muestra un edificio de gran altura.")</f>
        <v>Una introducción entra en la pantalla que muestra un edificio de gran altura.</v>
      </c>
    </row>
    <row r="25088">
      <c r="A25088" s="4" t="s">
        <v>31576</v>
      </c>
      <c r="B25088" s="4" t="s">
        <v>31578</v>
      </c>
      <c r="C25088" s="5" t="str">
        <f>IFERROR(__xludf.DUMMYFUNCTION("GOOGLETRANSLATE(B25088,""en"",""es-ES"")"),"Luego, se muestra a un hombre preparándose y poniendo varios artilugios que puede conectarse a un cinturón.")</f>
        <v>Luego, se muestra a un hombre preparándose y poniendo varios artilugios que puede conectarse a un cinturón.</v>
      </c>
    </row>
    <row r="25089">
      <c r="A25089" s="4" t="s">
        <v>31576</v>
      </c>
      <c r="B25089" s="4" t="s">
        <v>31579</v>
      </c>
      <c r="C25089" s="5" t="str">
        <f>IFERROR(__xludf.DUMMYFUNCTION("GOOGLETRANSLATE(B25089,""en"",""es-ES"")"),"Luego se le muestra lavando las ventanas del edificio muy alto.")</f>
        <v>Luego se le muestra lavando las ventanas del edificio muy alto.</v>
      </c>
    </row>
    <row r="25090">
      <c r="A25090" s="4" t="s">
        <v>31576</v>
      </c>
      <c r="B25090" s="4" t="s">
        <v>31580</v>
      </c>
      <c r="C25090" s="5" t="str">
        <f>IFERROR(__xludf.DUMMYFUNCTION("GOOGLETRANSLATE(B25090,""en"",""es-ES"")"),"Utiliza un raspador el raspado de una pegatina de una de las ventanas.")</f>
        <v>Utiliza un raspador el raspado de una pegatina de una de las ventanas.</v>
      </c>
    </row>
    <row r="25091">
      <c r="A25091" s="4" t="s">
        <v>31576</v>
      </c>
      <c r="B25091" s="4" t="s">
        <v>31581</v>
      </c>
      <c r="C25091" s="5" t="str">
        <f>IFERROR(__xludf.DUMMYFUNCTION("GOOGLETRANSLATE(B25091,""en"",""es-ES"")"),"Él muestra una lavadora en un cubo y lavando las ventanas de la planta baja.")</f>
        <v>Él muestra una lavadora en un cubo y lavando las ventanas de la planta baja.</v>
      </c>
    </row>
    <row r="25092">
      <c r="A25092" s="4" t="s">
        <v>31576</v>
      </c>
      <c r="B25092" s="4" t="s">
        <v>31582</v>
      </c>
      <c r="C25092" s="5" t="str">
        <f>IFERROR(__xludf.DUMMYFUNCTION("GOOGLETRANSLATE(B25092,""en"",""es-ES"")"),"Varios de los suministros de lavado de ventanas se muestran nuevamente antes de que finalice el video.")</f>
        <v>Varios de los suministros de lavado de ventanas se muestran nuevamente antes de que finalice el video.</v>
      </c>
    </row>
    <row r="25093">
      <c r="A25093" s="4" t="s">
        <v>31583</v>
      </c>
      <c r="B25093" s="4" t="s">
        <v>31584</v>
      </c>
      <c r="C25093" s="5" t="str">
        <f>IFERROR(__xludf.DUMMYFUNCTION("GOOGLETRANSLATE(B25093,""en"",""es-ES"")"),"Una mujer muestra escalones de tango moviéndose y girando mientras habla.")</f>
        <v>Una mujer muestra escalones de tango moviéndose y girando mientras habla.</v>
      </c>
    </row>
    <row r="25094">
      <c r="A25094" s="4" t="s">
        <v>31583</v>
      </c>
      <c r="B25094" s="4" t="s">
        <v>31585</v>
      </c>
      <c r="C25094" s="5" t="str">
        <f>IFERROR(__xludf.DUMMYFUNCTION("GOOGLETRANSLATE(B25094,""en"",""es-ES"")"),"Luego, el hombre se mueve mostrando escalones de tango.")</f>
        <v>Luego, el hombre se mueve mostrando escalones de tango.</v>
      </c>
    </row>
    <row r="25095">
      <c r="A25095" s="4" t="s">
        <v>31583</v>
      </c>
      <c r="B25095" s="4" t="s">
        <v>31586</v>
      </c>
      <c r="C25095" s="5" t="str">
        <f>IFERROR(__xludf.DUMMYFUNCTION("GOOGLETRANSLATE(B25095,""en"",""es-ES"")"),"Después, la mujer y el hombre bailan tango juntos mientras el hombre habla.")</f>
        <v>Después, la mujer y el hombre bailan tango juntos mientras el hombre habla.</v>
      </c>
    </row>
    <row r="25096">
      <c r="A25096" s="4" t="s">
        <v>31587</v>
      </c>
      <c r="B25096" s="4" t="s">
        <v>31588</v>
      </c>
      <c r="C25096" s="5" t="str">
        <f>IFERROR(__xludf.DUMMYFUNCTION("GOOGLETRANSLATE(B25096,""en"",""es-ES"")"),"Se muestra una imagen de una costa de la isla con olas azules tranquilas que se lavan contra las rocas.")</f>
        <v>Se muestra una imagen de una costa de la isla con olas azules tranquilas que se lavan contra las rocas.</v>
      </c>
    </row>
    <row r="25097">
      <c r="A25097" s="4" t="s">
        <v>31587</v>
      </c>
      <c r="B25097" s="4" t="s">
        <v>31589</v>
      </c>
      <c r="C25097" s="5" t="str">
        <f>IFERROR(__xludf.DUMMYFUNCTION("GOOGLETRANSLATE(B25097,""en"",""es-ES"")"),"Un hombre aparece de repente y comienza a correr hacia el agua con una tabla de surf.")</f>
        <v>Un hombre aparece de repente y comienza a correr hacia el agua con una tabla de surf.</v>
      </c>
    </row>
    <row r="25098">
      <c r="A25098" s="4" t="s">
        <v>31587</v>
      </c>
      <c r="B25098" s="4" t="s">
        <v>31590</v>
      </c>
      <c r="C25098" s="5" t="str">
        <f>IFERROR(__xludf.DUMMYFUNCTION("GOOGLETRANSLATE(B25098,""en"",""es-ES"")"),"El hombre comienza a surfear en las olas mientras varias personas se sientan en la playa mirándolo.")</f>
        <v>El hombre comienza a surfear en las olas mientras varias personas se sientan en la playa mirándolo.</v>
      </c>
    </row>
    <row r="25099">
      <c r="A25099" s="4" t="s">
        <v>31587</v>
      </c>
      <c r="B25099" s="4" t="s">
        <v>31591</v>
      </c>
      <c r="C25099" s="5" t="str">
        <f>IFERROR(__xludf.DUMMYFUNCTION("GOOGLETRANSLATE(B25099,""en"",""es-ES"")"),"Después de un tiempo, el macho deja el agua y se sienta en la colina con la tabla de surf y luego se aleja.")</f>
        <v>Después de un tiempo, el macho deja el agua y se sienta en la colina con la tabla de surf y luego se aleja.</v>
      </c>
    </row>
    <row r="25100">
      <c r="A25100" s="4" t="s">
        <v>31592</v>
      </c>
      <c r="B25100" s="4" t="s">
        <v>31593</v>
      </c>
      <c r="C25100" s="5" t="str">
        <f>IFERROR(__xludf.DUMMYFUNCTION("GOOGLETRANSLATE(B25100,""en"",""es-ES"")"),"Una mujer le entrega a un niño un palo con una niña que agarró su atención.")</f>
        <v>Una mujer le entrega a un niño un palo con una niña que agarró su atención.</v>
      </c>
    </row>
    <row r="25101">
      <c r="A25101" s="4" t="s">
        <v>31592</v>
      </c>
      <c r="B25101" s="4" t="s">
        <v>31594</v>
      </c>
      <c r="C25101" s="5" t="str">
        <f>IFERROR(__xludf.DUMMYFUNCTION("GOOGLETRANSLATE(B25101,""en"",""es-ES"")"),"La piñata se levanta y el niño comienza a balancearse hacia el objeto.")</f>
        <v>La piñata se levanta y el niño comienza a balancearse hacia el objeto.</v>
      </c>
    </row>
    <row r="25102">
      <c r="A25102" s="4" t="s">
        <v>31592</v>
      </c>
      <c r="B25102" s="4" t="s">
        <v>31595</v>
      </c>
      <c r="C25102" s="5" t="str">
        <f>IFERROR(__xludf.DUMMYFUNCTION("GOOGLETRANSLATE(B25102,""en"",""es-ES"")"),"La cámara se mueve alrededor de la gente que mira mientras golpea la piñata y se ve a un niño aplaudiendo detrás de él.")</f>
        <v>La cámara se mueve alrededor de la gente que mira mientras golpea la piñata y se ve a un niño aplaudiendo detrás de él.</v>
      </c>
    </row>
    <row r="25103">
      <c r="A25103" s="4" t="s">
        <v>31596</v>
      </c>
      <c r="B25103" s="4" t="s">
        <v>31597</v>
      </c>
      <c r="C25103" s="5" t="str">
        <f>IFERROR(__xludf.DUMMYFUNCTION("GOOGLETRANSLATE(B25103,""en"",""es-ES"")"),"Un hombre con una camisa morada está hablando con la cámara.")</f>
        <v>Un hombre con una camisa morada está hablando con la cámara.</v>
      </c>
    </row>
    <row r="25104">
      <c r="A25104" s="4" t="s">
        <v>31596</v>
      </c>
      <c r="B25104" s="4" t="s">
        <v>31598</v>
      </c>
      <c r="C25104" s="5" t="str">
        <f>IFERROR(__xludf.DUMMYFUNCTION("GOOGLETRANSLATE(B25104,""en"",""es-ES"")"),"Comienza a subir tablones de madera por una pared.")</f>
        <v>Comienza a subir tablones de madera por una pared.</v>
      </c>
    </row>
    <row r="25105">
      <c r="A25105" s="4" t="s">
        <v>31596</v>
      </c>
      <c r="B25105" s="4" t="s">
        <v>31599</v>
      </c>
      <c r="C25105" s="5" t="str">
        <f>IFERROR(__xludf.DUMMYFUNCTION("GOOGLETRANSLATE(B25105,""en"",""es-ES"")"),"Se baja de la pared y continúa hablando.")</f>
        <v>Se baja de la pared y continúa hablando.</v>
      </c>
    </row>
    <row r="25106">
      <c r="A25106" s="4" t="s">
        <v>31600</v>
      </c>
      <c r="B25106" s="4" t="s">
        <v>31601</v>
      </c>
      <c r="C25106" s="5" t="str">
        <f>IFERROR(__xludf.DUMMYFUNCTION("GOOGLETRANSLATE(B25106,""en"",""es-ES"")"),"Se muestran varias imágenes de alimentos seguidas por una persona cortando vegetales y mezcla varios ingredientes en una olla.")</f>
        <v>Se muestran varias imágenes de alimentos seguidas por una persona cortando vegetales y mezcla varios ingredientes en una olla.</v>
      </c>
    </row>
    <row r="25107">
      <c r="A25107" s="4" t="s">
        <v>31600</v>
      </c>
      <c r="B25107" s="4" t="s">
        <v>31602</v>
      </c>
      <c r="C25107" s="5" t="str">
        <f>IFERROR(__xludf.DUMMYFUNCTION("GOOGLETRANSLATE(B25107,""en"",""es-ES"")"),"Luego corta un trozo de pan, saca el interior y papas frita un poco de carne.")</f>
        <v>Luego corta un trozo de pan, saca el interior y papas frita un poco de carne.</v>
      </c>
    </row>
    <row r="25108">
      <c r="A25108" s="4" t="s">
        <v>31600</v>
      </c>
      <c r="B25108" s="4" t="s">
        <v>31603</v>
      </c>
      <c r="C25108" s="5" t="str">
        <f>IFERROR(__xludf.DUMMYFUNCTION("GOOGLETRANSLATE(B25108,""en"",""es-ES"")"),"Finalmente, vierte todos los ingredientes en el tazón de descanso, lo envuelve en papel de aluminio y muestra más fotos del sándwich.")</f>
        <v>Finalmente, vierte todos los ingredientes en el tazón de descanso, lo envuelve en papel de aluminio y muestra más fotos del sándwich.</v>
      </c>
    </row>
    <row r="25109">
      <c r="A25109" s="4" t="s">
        <v>31604</v>
      </c>
      <c r="B25109" s="4" t="s">
        <v>31605</v>
      </c>
      <c r="C25109" s="5" t="str">
        <f>IFERROR(__xludf.DUMMYFUNCTION("GOOGLETRANSLATE(B25109,""en"",""es-ES"")"),"Un hombre está parado frente a una cámara.")</f>
        <v>Un hombre está parado frente a una cámara.</v>
      </c>
    </row>
    <row r="25110">
      <c r="A25110" s="4" t="s">
        <v>31604</v>
      </c>
      <c r="B25110" s="4" t="s">
        <v>31606</v>
      </c>
      <c r="C25110" s="5" t="str">
        <f>IFERROR(__xludf.DUMMYFUNCTION("GOOGLETRANSLATE(B25110,""en"",""es-ES"")"),"Comienza a tocar una armónica para la cámara.")</f>
        <v>Comienza a tocar una armónica para la cámara.</v>
      </c>
    </row>
    <row r="25111">
      <c r="A25111" s="4" t="s">
        <v>31604</v>
      </c>
      <c r="B25111" s="4" t="s">
        <v>31607</v>
      </c>
      <c r="C25111" s="5" t="str">
        <f>IFERROR(__xludf.DUMMYFUNCTION("GOOGLETRANSLATE(B25111,""en"",""es-ES"")"),"Se mueve de un lado a otro a la música a medida que avanza.")</f>
        <v>Se mueve de un lado a otro a la música a medida que avanza.</v>
      </c>
    </row>
    <row r="25112">
      <c r="A25112" s="4" t="s">
        <v>31608</v>
      </c>
      <c r="B25112" s="4" t="s">
        <v>31609</v>
      </c>
      <c r="C25112" s="5" t="str">
        <f>IFERROR(__xludf.DUMMYFUNCTION("GOOGLETRANSLATE(B25112,""en"",""es-ES"")"),"Un hombre está cerrando los ojos mientras le cortan la barba y se peinan.")</f>
        <v>Un hombre está cerrando los ojos mientras le cortan la barba y se peinan.</v>
      </c>
    </row>
    <row r="25113">
      <c r="A25113" s="4" t="s">
        <v>31608</v>
      </c>
      <c r="B25113" s="4" t="s">
        <v>31610</v>
      </c>
      <c r="C25113" s="5" t="str">
        <f>IFERROR(__xludf.DUMMYFUNCTION("GOOGLETRANSLATE(B25113,""en"",""es-ES"")"),"El hombre ahora tiene una barba casi afeitada y se afeita el cuello.")</f>
        <v>El hombre ahora tiene una barba casi afeitada y se afeita el cuello.</v>
      </c>
    </row>
    <row r="25114">
      <c r="A25114" s="4" t="s">
        <v>31608</v>
      </c>
      <c r="B25114" s="4" t="s">
        <v>31611</v>
      </c>
      <c r="C25114" s="5" t="str">
        <f>IFERROR(__xludf.DUMMYFUNCTION("GOOGLETRANSLATE(B25114,""en"",""es-ES"")"),"El hombre tiene crema de afeitar en el cuello y el costado y se está afeitando la barba con una navaja de afeitar en un movimiento hacia abajo.")</f>
        <v>El hombre tiene crema de afeitar en el cuello y el costado y se está afeitando la barba con una navaja de afeitar en un movimiento hacia abajo.</v>
      </c>
    </row>
    <row r="25115">
      <c r="A25115" s="4" t="s">
        <v>31608</v>
      </c>
      <c r="B25115" s="4" t="s">
        <v>31612</v>
      </c>
      <c r="C25115" s="5" t="str">
        <f>IFERROR(__xludf.DUMMYFUNCTION("GOOGLETRANSLATE(B25115,""en"",""es-ES"")"),"Su rostro se está alejando después de ser afeitado.")</f>
        <v>Su rostro se está alejando después de ser afeitado.</v>
      </c>
    </row>
    <row r="25116">
      <c r="A25116" s="4" t="s">
        <v>31608</v>
      </c>
      <c r="B25116" s="4" t="s">
        <v>31613</v>
      </c>
      <c r="C25116" s="5" t="str">
        <f>IFERROR(__xludf.DUMMYFUNCTION("GOOGLETRANSLATE(B25116,""en"",""es-ES"")"),"Un hombre se frota algo en sus manos y lo da palmaditas en la cara del otro hombre.")</f>
        <v>Un hombre se frota algo en sus manos y lo da palmaditas en la cara del otro hombre.</v>
      </c>
    </row>
    <row r="25117">
      <c r="A25117" s="4" t="s">
        <v>31608</v>
      </c>
      <c r="B25117" s="4" t="s">
        <v>31614</v>
      </c>
      <c r="C25117" s="5" t="str">
        <f>IFERROR(__xludf.DUMMYFUNCTION("GOOGLETRANSLATE(B25117,""en"",""es-ES"")"),"Su rostro se da vuelta con la toalla al final.")</f>
        <v>Su rostro se da vuelta con la toalla al final.</v>
      </c>
    </row>
    <row r="25118">
      <c r="A25118" s="4" t="s">
        <v>31615</v>
      </c>
      <c r="B25118" s="4" t="s">
        <v>31616</v>
      </c>
      <c r="C25118" s="5" t="str">
        <f>IFERROR(__xludf.DUMMYFUNCTION("GOOGLETRANSLATE(B25118,""en"",""es-ES"")"),"Dentro de la casa en el sofá están sentados dos hombres, uno de ellos está hablando casualmente un tiempo que el otro está sosteniendo su brazo en una almohada.")</f>
        <v>Dentro de la casa en el sofá están sentados dos hombres, uno de ellos está hablando casualmente un tiempo que el otro está sosteniendo su brazo en una almohada.</v>
      </c>
    </row>
    <row r="25119">
      <c r="A25119" s="4" t="s">
        <v>31615</v>
      </c>
      <c r="B25119" s="4" t="s">
        <v>31617</v>
      </c>
      <c r="C25119" s="5" t="str">
        <f>IFERROR(__xludf.DUMMYFUNCTION("GOOGLETRANSLATE(B25119,""en"",""es-ES"")"),"El hombre está pintando las uñas de sus amigos, parece haber hecho las uñas de otra persona también e hizo un pequeño corazón rojo.")</f>
        <v>El hombre está pintando las uñas de sus amigos, parece haber hecho las uñas de otra persona también e hizo un pequeño corazón rojo.</v>
      </c>
    </row>
    <row r="25120">
      <c r="A25120" s="4" t="s">
        <v>31615</v>
      </c>
      <c r="B25120" s="4" t="s">
        <v>31618</v>
      </c>
      <c r="C25120" s="5" t="str">
        <f>IFERROR(__xludf.DUMMYFUNCTION("GOOGLETRANSLATE(B25120,""en"",""es-ES"")"),"El hombre está hablando y está muy emocionado de que pueda hacer esto, sigue volviendo a poner la parte superior del esmalte para obtener más pintura.")</f>
        <v>El hombre está hablando y está muy emocionado de que pueda hacer esto, sigue volviendo a poner la parte superior del esmalte para obtener más pintura.</v>
      </c>
    </row>
    <row r="25121">
      <c r="A25121" s="4" t="s">
        <v>31615</v>
      </c>
      <c r="B25121" s="4" t="s">
        <v>31619</v>
      </c>
      <c r="C25121" s="5" t="str">
        <f>IFERROR(__xludf.DUMMYFUNCTION("GOOGLETRANSLATE(B25121,""en"",""es-ES"")"),"En broma, frota la cara del otro hombre y continúa tomándose su tiempo pintando sus uñas.")</f>
        <v>En broma, frota la cara del otro hombre y continúa tomándose su tiempo pintando sus uñas.</v>
      </c>
    </row>
    <row r="25122">
      <c r="A25122" s="4" t="s">
        <v>31620</v>
      </c>
      <c r="B25122" s="4" t="s">
        <v>31621</v>
      </c>
      <c r="C25122" s="5" t="str">
        <f>IFERROR(__xludf.DUMMYFUNCTION("GOOGLETRANSLATE(B25122,""en"",""es-ES"")"),"Hay dos niños parados en un fregadero de acero de doble acero inoxidable en una casa residencial.")</f>
        <v>Hay dos niños parados en un fregadero de acero de doble acero inoxidable en una casa residencial.</v>
      </c>
    </row>
    <row r="25123">
      <c r="A25123" s="4" t="s">
        <v>31620</v>
      </c>
      <c r="B25123" s="4" t="s">
        <v>31622</v>
      </c>
      <c r="C25123" s="5" t="str">
        <f>IFERROR(__xludf.DUMMYFUNCTION("GOOGLETRANSLATE(B25123,""en"",""es-ES"")"),"El niño más alto mueve los platos del lado derecho del fregadero al lado izquierdo del fregadero uno por uno mientras el niño más pequeño se sostiene en un cepillo de botella naranja y no mueve ningún plato.")</f>
        <v>El niño más alto mueve los platos del lado derecho del fregadero al lado izquierdo del fregadero uno por uno mientras el niño más pequeño se sostiene en un cepillo de botella naranja y no mueve ningún plato.</v>
      </c>
    </row>
    <row r="25124">
      <c r="A25124" s="4" t="s">
        <v>31620</v>
      </c>
      <c r="B25124" s="4" t="s">
        <v>31623</v>
      </c>
      <c r="C25124" s="5" t="str">
        <f>IFERROR(__xludf.DUMMYFUNCTION("GOOGLETRANSLATE(B25124,""en"",""es-ES"")"),"Los dos niños se dirigen a la cámara detrás de ellos y el mayor da una gran sonrisa, mientras que el pequeño da una sonrisa muy pequeña.")</f>
        <v>Los dos niños se dirigen a la cámara detrás de ellos y el mayor da una gran sonrisa, mientras que el pequeño da una sonrisa muy pequeña.</v>
      </c>
    </row>
    <row r="25125">
      <c r="A25125" s="4" t="s">
        <v>31624</v>
      </c>
      <c r="B25125" s="4" t="s">
        <v>31625</v>
      </c>
      <c r="C25125" s="5" t="str">
        <f>IFERROR(__xludf.DUMMYFUNCTION("GOOGLETRANSLATE(B25125,""en"",""es-ES"")"),"Una gimnasta levanta un peso hasta los hombros, luego lo levanta por encima de su cabeza.")</f>
        <v>Una gimnasta levanta un peso hasta los hombros, luego lo levanta por encima de su cabeza.</v>
      </c>
    </row>
    <row r="25126">
      <c r="A25126" s="4" t="s">
        <v>31624</v>
      </c>
      <c r="B25126" s="4" t="s">
        <v>31626</v>
      </c>
      <c r="C25126" s="5" t="str">
        <f>IFERROR(__xludf.DUMMYFUNCTION("GOOGLETRANSLATE(B25126,""en"",""es-ES"")"),"El hombre dejó el peso en el piso.")</f>
        <v>El hombre dejó el peso en el piso.</v>
      </c>
    </row>
    <row r="25127">
      <c r="A25127" s="4" t="s">
        <v>31627</v>
      </c>
      <c r="B25127" s="4" t="s">
        <v>31628</v>
      </c>
      <c r="C25127" s="5" t="str">
        <f>IFERROR(__xludf.DUMMYFUNCTION("GOOGLETRANSLATE(B25127,""en"",""es-ES"")"),"Se ve a un hombre hablando con la cámara detrás de un escritorio y conduce a espectáculos de personas que viajan en patinetas.")</f>
        <v>Se ve a un hombre hablando con la cámara detrás de un escritorio y conduce a espectáculos de personas que viajan en patinetas.</v>
      </c>
    </row>
    <row r="25128">
      <c r="A25128" s="4" t="s">
        <v>31627</v>
      </c>
      <c r="B25128" s="4" t="s">
        <v>31629</v>
      </c>
      <c r="C25128" s="5" t="str">
        <f>IFERROR(__xludf.DUMMYFUNCTION("GOOGLETRANSLATE(B25128,""en"",""es-ES"")"),"Se muestran más tomas de él hablando y las personas hacen trucos en las patinetas.")</f>
        <v>Se muestran más tomas de él hablando y las personas hacen trucos en las patinetas.</v>
      </c>
    </row>
    <row r="25129">
      <c r="A25129" s="4" t="s">
        <v>31630</v>
      </c>
      <c r="B25129" s="4" t="s">
        <v>31631</v>
      </c>
      <c r="C25129" s="5" t="str">
        <f>IFERROR(__xludf.DUMMYFUNCTION("GOOGLETRANSLATE(B25129,""en"",""es-ES"")"),"Un gran grupo de personas está de pie y camina por varias pilas de tubos internos y un autobús.")</f>
        <v>Un gran grupo de personas está de pie y camina por varias pilas de tubos internos y un autobús.</v>
      </c>
    </row>
    <row r="25130">
      <c r="A25130" s="4" t="s">
        <v>31630</v>
      </c>
      <c r="B25130" s="4" t="s">
        <v>31632</v>
      </c>
      <c r="C25130" s="5" t="str">
        <f>IFERROR(__xludf.DUMMYFUNCTION("GOOGLETRANSLATE(B25130,""en"",""es-ES"")"),"Dos niños pequeños están sentados en uno de los asientos del autobús.")</f>
        <v>Dos niños pequeños están sentados en uno de los asientos del autobús.</v>
      </c>
    </row>
    <row r="25131">
      <c r="A25131" s="4" t="s">
        <v>31630</v>
      </c>
      <c r="B25131" s="4" t="s">
        <v>31633</v>
      </c>
      <c r="C25131" s="5" t="str">
        <f>IFERROR(__xludf.DUMMYFUNCTION("GOOGLETRANSLATE(B25131,""en"",""es-ES"")"),"Un grupo de adultos viaja en el autobús hablando.")</f>
        <v>Un grupo de adultos viaja en el autobús hablando.</v>
      </c>
    </row>
    <row r="25132">
      <c r="A25132" s="4" t="s">
        <v>31630</v>
      </c>
      <c r="B25132" s="4" t="s">
        <v>31634</v>
      </c>
      <c r="C25132" s="5" t="str">
        <f>IFERROR(__xludf.DUMMYFUNCTION("GOOGLETRANSLATE(B25132,""en"",""es-ES"")"),"Varios niños están en sus tubos internos en el agua, entre otras personas, flotando en tubos internos en el agua.")</f>
        <v>Varios niños están en sus tubos internos en el agua, entre otras personas, flotando en tubos internos en el agua.</v>
      </c>
    </row>
    <row r="25133">
      <c r="A25133" s="4" t="s">
        <v>31630</v>
      </c>
      <c r="B25133" s="4" t="s">
        <v>31635</v>
      </c>
      <c r="C25133" s="5" t="str">
        <f>IFERROR(__xludf.DUMMYFUNCTION("GOOGLETRANSLATE(B25133,""en"",""es-ES"")"),"Varias personas se muestran en canoas con personas en tubos internos en el fondo.")</f>
        <v>Varias personas se muestran en canoas con personas en tubos internos en el fondo.</v>
      </c>
    </row>
    <row r="25134">
      <c r="A25134" s="4" t="s">
        <v>31630</v>
      </c>
      <c r="B25134" s="4" t="s">
        <v>31636</v>
      </c>
      <c r="C25134" s="5" t="str">
        <f>IFERROR(__xludf.DUMMYFUNCTION("GOOGLETRANSLATE(B25134,""en"",""es-ES"")"),"Una niña se hunde en el medio de su tubo interior y salta de nuevo con la cabeza empapada.")</f>
        <v>Una niña se hunde en el medio de su tubo interior y salta de nuevo con la cabeza empapada.</v>
      </c>
    </row>
    <row r="25135">
      <c r="A25135" s="4" t="s">
        <v>31630</v>
      </c>
      <c r="B25135" s="4" t="s">
        <v>31637</v>
      </c>
      <c r="C25135" s="5" t="str">
        <f>IFERROR(__xludf.DUMMYFUNCTION("GOOGLETRANSLATE(B25135,""en"",""es-ES"")"),"Alguien muestra una vista en primera persona flotando río abajo.")</f>
        <v>Alguien muestra una vista en primera persona flotando río abajo.</v>
      </c>
    </row>
    <row r="25136">
      <c r="A25136" s="4" t="s">
        <v>31630</v>
      </c>
      <c r="B25136" s="4" t="s">
        <v>31638</v>
      </c>
      <c r="C25136" s="5" t="str">
        <f>IFERROR(__xludf.DUMMYFUNCTION("GOOGLETRANSLATE(B25136,""en"",""es-ES"")"),"Varias otras personas se muestran en tubos internos y canoas en el agua.")</f>
        <v>Varias otras personas se muestran en tubos internos y canoas en el agua.</v>
      </c>
    </row>
    <row r="25137">
      <c r="A25137" s="4" t="s">
        <v>31630</v>
      </c>
      <c r="B25137" s="4" t="s">
        <v>31639</v>
      </c>
      <c r="C25137" s="5" t="str">
        <f>IFERROR(__xludf.DUMMYFUNCTION("GOOGLETRANSLATE(B25137,""en"",""es-ES"")"),"Se ven algunas personas comprando comida de dos mujeres en un puesto de concesión.")</f>
        <v>Se ven algunas personas comprando comida de dos mujeres en un puesto de concesión.</v>
      </c>
    </row>
    <row r="25138">
      <c r="A25138" s="4" t="s">
        <v>31630</v>
      </c>
      <c r="B25138" s="4" t="s">
        <v>31640</v>
      </c>
      <c r="C25138" s="5" t="str">
        <f>IFERROR(__xludf.DUMMYFUNCTION("GOOGLETRANSLATE(B25138,""en"",""es-ES"")"),"Un hombre sostiene a un niño en un chaleco salvavidas que parece que está durmiendo.")</f>
        <v>Un hombre sostiene a un niño en un chaleco salvavidas que parece que está durmiendo.</v>
      </c>
    </row>
    <row r="25139">
      <c r="A25139" s="4" t="s">
        <v>31641</v>
      </c>
      <c r="B25139" s="4" t="s">
        <v>31642</v>
      </c>
      <c r="C25139" s="5" t="str">
        <f>IFERROR(__xludf.DUMMYFUNCTION("GOOGLETRANSLATE(B25139,""en"",""es-ES"")"),"Una niña está trepando por los bares de mono fuera de un edificio.")</f>
        <v>Una niña está trepando por los bares de mono fuera de un edificio.</v>
      </c>
    </row>
    <row r="25140">
      <c r="A25140" s="4" t="s">
        <v>31641</v>
      </c>
      <c r="B25140" s="4" t="s">
        <v>31643</v>
      </c>
      <c r="C25140" s="5" t="str">
        <f>IFERROR(__xludf.DUMMYFUNCTION("GOOGLETRANSLATE(B25140,""en"",""es-ES"")"),"Ella está balanceándose de cada peldaño, moviendo su cuerpo hacia adelante uno a la vez.")</f>
        <v>Ella está balanceándose de cada peldaño, moviendo su cuerpo hacia adelante uno a la vez.</v>
      </c>
    </row>
    <row r="25141">
      <c r="A25141" s="4" t="s">
        <v>31641</v>
      </c>
      <c r="B25141" s="4" t="s">
        <v>31644</v>
      </c>
      <c r="C25141" s="5" t="str">
        <f>IFERROR(__xludf.DUMMYFUNCTION("GOOGLETRANSLATE(B25141,""en"",""es-ES"")"),"Cuando llega al otro extremo, se da vuelta y comienza a regresar al principio.")</f>
        <v>Cuando llega al otro extremo, se da vuelta y comienza a regresar al principio.</v>
      </c>
    </row>
    <row r="25142">
      <c r="A25142" s="4" t="s">
        <v>31645</v>
      </c>
      <c r="B25142" s="4" t="s">
        <v>31646</v>
      </c>
      <c r="C25142" s="5" t="str">
        <f>IFERROR(__xludf.DUMMYFUNCTION("GOOGLETRANSLATE(B25142,""en"",""es-ES"")"),"Un hombre en un gimnasio se acerca a una barra.")</f>
        <v>Un hombre en un gimnasio se acerca a una barra.</v>
      </c>
    </row>
    <row r="25143">
      <c r="A25143" s="4" t="s">
        <v>31645</v>
      </c>
      <c r="B25143" s="4" t="s">
        <v>31647</v>
      </c>
      <c r="C25143" s="5" t="str">
        <f>IFERROR(__xludf.DUMMYFUNCTION("GOOGLETRANSLATE(B25143,""en"",""es-ES"")"),"El hombre levanta la barra en su pecho, luego sobre su cabeza.")</f>
        <v>El hombre levanta la barra en su pecho, luego sobre su cabeza.</v>
      </c>
    </row>
    <row r="25144">
      <c r="A25144" s="4" t="s">
        <v>31645</v>
      </c>
      <c r="B25144" s="4" t="s">
        <v>31648</v>
      </c>
      <c r="C25144" s="5" t="str">
        <f>IFERROR(__xludf.DUMMYFUNCTION("GOOGLETRANSLATE(B25144,""en"",""es-ES"")"),"El hombre deja caer el peso.")</f>
        <v>El hombre deja caer el peso.</v>
      </c>
    </row>
    <row r="25145">
      <c r="A25145" s="4" t="s">
        <v>31645</v>
      </c>
      <c r="B25145" s="4" t="s">
        <v>31649</v>
      </c>
      <c r="C25145" s="5" t="str">
        <f>IFERROR(__xludf.DUMMYFUNCTION("GOOGLETRANSLATE(B25145,""en"",""es-ES"")"),"El hombre abraza a los hombres detrás de él.")</f>
        <v>El hombre abraza a los hombres detrás de él.</v>
      </c>
    </row>
    <row r="25146">
      <c r="A25146" s="4" t="s">
        <v>31645</v>
      </c>
      <c r="B25146" s="4" t="s">
        <v>31650</v>
      </c>
      <c r="C25146" s="5" t="str">
        <f>IFERROR(__xludf.DUMMYFUNCTION("GOOGLETRANSLATE(B25146,""en"",""es-ES"")"),"Un hombre de rojo corre y salta al hombre levantando pesas.")</f>
        <v>Un hombre de rojo corre y salta al hombre levantando pesas.</v>
      </c>
    </row>
    <row r="25147">
      <c r="A25147" s="4" t="s">
        <v>31645</v>
      </c>
      <c r="B25147" s="4" t="s">
        <v>31651</v>
      </c>
      <c r="C25147" s="5" t="str">
        <f>IFERROR(__xludf.DUMMYFUNCTION("GOOGLETRANSLATE(B25147,""en"",""es-ES"")"),"El hombre de rojo se aleja riendo.")</f>
        <v>El hombre de rojo se aleja riendo.</v>
      </c>
    </row>
    <row r="25148">
      <c r="A25148" s="4" t="s">
        <v>31652</v>
      </c>
      <c r="B25148" s="4" t="s">
        <v>31653</v>
      </c>
      <c r="C25148" s="5" t="str">
        <f>IFERROR(__xludf.DUMMYFUNCTION("GOOGLETRANSLATE(B25148,""en"",""es-ES"")"),"Una persona con una camisa negra es golpeada por una pelota.")</f>
        <v>Una persona con una camisa negra es golpeada por una pelota.</v>
      </c>
    </row>
    <row r="25149">
      <c r="A25149" s="4" t="s">
        <v>31652</v>
      </c>
      <c r="B25149" s="4" t="s">
        <v>31654</v>
      </c>
      <c r="C25149" s="5" t="str">
        <f>IFERROR(__xludf.DUMMYFUNCTION("GOOGLETRANSLATE(B25149,""en"",""es-ES"")"),"La gente parada en la playa está lanzando una bola naranja.")</f>
        <v>La gente parada en la playa está lanzando una bola naranja.</v>
      </c>
    </row>
    <row r="25150">
      <c r="A25150" s="4" t="s">
        <v>31652</v>
      </c>
      <c r="B25150" s="4" t="s">
        <v>31655</v>
      </c>
      <c r="C25150" s="5" t="str">
        <f>IFERROR(__xludf.DUMMYFUNCTION("GOOGLETRANSLATE(B25150,""en"",""es-ES"")"),"Hay personas nadando en el agua detrás de ellos.")</f>
        <v>Hay personas nadando en el agua detrás de ellos.</v>
      </c>
    </row>
    <row r="25151">
      <c r="A25151" s="4" t="s">
        <v>31656</v>
      </c>
      <c r="B25151" s="4" t="s">
        <v>31657</v>
      </c>
      <c r="C25151" s="5" t="str">
        <f>IFERROR(__xludf.DUMMYFUNCTION("GOOGLETRANSLATE(B25151,""en"",""es-ES"")"),"Un paquete claro de rizadores de cabello suaves y flexibles se muestra en una mesa negra mientras una mano recoge un rizador púrpura sin envolver y inquietos con él.")</f>
        <v>Un paquete claro de rizadores de cabello suaves y flexibles se muestra en una mesa negra mientras una mano recoge un rizador púrpura sin envolver y inquietos con él.</v>
      </c>
    </row>
    <row r="25152">
      <c r="A25152" s="4" t="s">
        <v>31656</v>
      </c>
      <c r="B25152" s="4" t="s">
        <v>31658</v>
      </c>
      <c r="C25152" s="5" t="str">
        <f>IFERROR(__xludf.DUMMYFUNCTION("GOOGLETRANSLATE(B25152,""en"",""es-ES"")"),"La mano gira la bolsa para que el contenido se muestre a través de la boca de la bolsa antes de manejar los rizadores de púrpura y rosa sueltos.")</f>
        <v>La mano gira la bolsa para que el contenido se muestre a través de la boca de la bolsa antes de manejar los rizadores de púrpura y rosa sueltos.</v>
      </c>
    </row>
    <row r="25153">
      <c r="A25153" s="4" t="s">
        <v>31656</v>
      </c>
      <c r="B25153" s="4" t="s">
        <v>31659</v>
      </c>
      <c r="C25153" s="5" t="str">
        <f>IFERROR(__xludf.DUMMYFUNCTION("GOOGLETRANSLATE(B25153,""en"",""es-ES"")"),"La mano continúa yendo y viniendo entre el manejo de los dos rizadores sueltos y la parte posterior completa de los rizadores antes de que termine el video.")</f>
        <v>La mano continúa yendo y viniendo entre el manejo de los dos rizadores sueltos y la parte posterior completa de los rizadores antes de que termine el video.</v>
      </c>
    </row>
    <row r="25154">
      <c r="A25154" s="4" t="s">
        <v>31660</v>
      </c>
      <c r="B25154" s="4" t="s">
        <v>31661</v>
      </c>
      <c r="C25154" s="5" t="str">
        <f>IFERROR(__xludf.DUMMYFUNCTION("GOOGLETRANSLATE(B25154,""en"",""es-ES"")"),"Aparece una introducción de video en blanco y negro con efectos especiales de letras asiáticas que aparecen mientras se muestran diferentes imágenes de personas.")</f>
        <v>Aparece una introducción de video en blanco y negro con efectos especiales de letras asiáticas que aparecen mientras se muestran diferentes imágenes de personas.</v>
      </c>
    </row>
    <row r="25155">
      <c r="A25155" s="4" t="s">
        <v>31660</v>
      </c>
      <c r="B25155" s="4" t="s">
        <v>31662</v>
      </c>
      <c r="C25155" s="5" t="str">
        <f>IFERROR(__xludf.DUMMYFUNCTION("GOOGLETRANSLATE(B25155,""en"",""es-ES"")"),"Un hombre asiático ahora está sonriendo y hablando con la cámara mientras se sienta frente a un micrófono en un estudio, y luego canta mientras toca un piano negro mientras lee música de sábanas de música en el piano.")</f>
        <v>Un hombre asiático ahora está sonriendo y hablando con la cámara mientras se sienta frente a un micrófono en un estudio, y luego canta mientras toca un piano negro mientras lee música de sábanas de música en el piano.</v>
      </c>
    </row>
    <row r="25156">
      <c r="A25156" s="4" t="s">
        <v>31660</v>
      </c>
      <c r="B25156" s="4" t="s">
        <v>31663</v>
      </c>
      <c r="C25156" s="5" t="str">
        <f>IFERROR(__xludf.DUMMYFUNCTION("GOOGLETRANSLATE(B25156,""en"",""es-ES"")"),"Cuando el hombre termina de cantar y tocar, se vuelve hacia la cámara y da una gran sonrisa.")</f>
        <v>Cuando el hombre termina de cantar y tocar, se vuelve hacia la cámara y da una gran sonrisa.</v>
      </c>
    </row>
    <row r="25157">
      <c r="A25157" s="4" t="s">
        <v>31660</v>
      </c>
      <c r="B25157" s="4" t="s">
        <v>31664</v>
      </c>
      <c r="C25157" s="5" t="str">
        <f>IFERROR(__xludf.DUMMYFUNCTION("GOOGLETRANSLATE(B25157,""en"",""es-ES"")"),"Aparece una pantalla negra y aparece letras blancas en la parte inferior derecha.")</f>
        <v>Aparece una pantalla negra y aparece letras blancas en la parte inferior derecha.</v>
      </c>
    </row>
    <row r="25158">
      <c r="A25158" s="4" t="s">
        <v>31665</v>
      </c>
      <c r="B25158" s="4" t="s">
        <v>31666</v>
      </c>
      <c r="C25158" s="5" t="str">
        <f>IFERROR(__xludf.DUMMYFUNCTION("GOOGLETRANSLATE(B25158,""en"",""es-ES"")"),"Doco está hablando en una sala de consultoría y mezclando líquidos en un tubo de ensayo que prepara café y habla con la cámara sobre los beneficios del café.")</f>
        <v>Doco está hablando en una sala de consultoría y mezclando líquidos en un tubo de ensayo que prepara café y habla con la cámara sobre los beneficios del café.</v>
      </c>
    </row>
    <row r="25159">
      <c r="A25159" s="4" t="s">
        <v>31665</v>
      </c>
      <c r="B25159" s="4" t="s">
        <v>31667</v>
      </c>
      <c r="C25159" s="5" t="str">
        <f>IFERROR(__xludf.DUMMYFUNCTION("GOOGLETRANSLATE(B25159,""en"",""es-ES"")"),"Coffe se sirve en una taza y se muestra los beneficios del café en el cuerpo.")</f>
        <v>Coffe se sirve en una taza y se muestra los beneficios del café en el cuerpo.</v>
      </c>
    </row>
    <row r="25160">
      <c r="A25160" s="4" t="s">
        <v>31668</v>
      </c>
      <c r="B25160" s="4" t="s">
        <v>31669</v>
      </c>
      <c r="C25160" s="5" t="str">
        <f>IFERROR(__xludf.DUMMYFUNCTION("GOOGLETRANSLATE(B25160,""en"",""es-ES"")"),"Un hombre se arrodilla en su equipo de esgrima.")</f>
        <v>Un hombre se arrodilla en su equipo de esgrima.</v>
      </c>
    </row>
    <row r="25161">
      <c r="A25161" s="4" t="s">
        <v>31668</v>
      </c>
      <c r="B25161" s="4" t="s">
        <v>31670</v>
      </c>
      <c r="C25161" s="5" t="str">
        <f>IFERROR(__xludf.DUMMYFUNCTION("GOOGLETRANSLATE(B25161,""en"",""es-ES"")"),"Un hombre se acerca a él con la espalda cuando habla.")</f>
        <v>Un hombre se acerca a él con la espalda cuando habla.</v>
      </c>
    </row>
    <row r="25162">
      <c r="A25162" s="4" t="s">
        <v>31668</v>
      </c>
      <c r="B25162" s="4" t="s">
        <v>31671</v>
      </c>
      <c r="C25162" s="5" t="str">
        <f>IFERROR(__xludf.DUMMYFUNCTION("GOOGLETRANSLATE(B25162,""en"",""es-ES"")"),"El hombre se para y se involucra en esgrima con un oponente, ambos unidos a los cables detrás de ellos.")</f>
        <v>El hombre se para y se involucra en esgrima con un oponente, ambos unidos a los cables detrás de ellos.</v>
      </c>
    </row>
    <row r="25163">
      <c r="A25163" s="4" t="s">
        <v>31672</v>
      </c>
      <c r="B25163" s="4" t="s">
        <v>31673</v>
      </c>
      <c r="C25163" s="5" t="str">
        <f>IFERROR(__xludf.DUMMYFUNCTION("GOOGLETRANSLATE(B25163,""en"",""es-ES"")"),"Un hombre que lleva una camisa azul y un hombre que lleva una camisa de dardos ingresa a un escenario rodeado de una multitud.")</f>
        <v>Un hombre que lleva una camisa azul y un hombre que lleva una camisa de dardos ingresa a un escenario rodeado de una multitud.</v>
      </c>
    </row>
    <row r="25164">
      <c r="A25164" s="4" t="s">
        <v>31672</v>
      </c>
      <c r="B25164" s="4" t="s">
        <v>31674</v>
      </c>
      <c r="C25164" s="5" t="str">
        <f>IFERROR(__xludf.DUMMYFUNCTION("GOOGLETRANSLATE(B25164,""en"",""es-ES"")"),"Los dos hombres compiten en papel, tijeras y rockearon en el frente de un juez.")</f>
        <v>Los dos hombres compiten en papel, tijeras y rockearon en el frente de un juez.</v>
      </c>
    </row>
    <row r="25165">
      <c r="A25165" s="4" t="s">
        <v>31672</v>
      </c>
      <c r="B25165" s="4" t="s">
        <v>31675</v>
      </c>
      <c r="C25165" s="5" t="str">
        <f>IFERROR(__xludf.DUMMYFUNCTION("GOOGLETRANSLATE(B25165,""en"",""es-ES"")"),"Los dos hombres continúan compitiendo mientras el juez da el comienzo.")</f>
        <v>Los dos hombres continúan compitiendo mientras el juez da el comienzo.</v>
      </c>
    </row>
    <row r="25166">
      <c r="A25166" s="4" t="s">
        <v>31672</v>
      </c>
      <c r="B25166" s="4" t="s">
        <v>31676</v>
      </c>
      <c r="C25166" s="5" t="str">
        <f>IFERROR(__xludf.DUMMYFUNCTION("GOOGLETRANSLATE(B25166,""en"",""es-ES"")"),"Luego, los dos hombres continúan compitiendo, después de que el hombre con camisa oscura gana la competencia y la gente aplaude.")</f>
        <v>Luego, los dos hombres continúan compitiendo, después de que el hombre con camisa oscura gana la competencia y la gente aplaude.</v>
      </c>
    </row>
    <row r="25167">
      <c r="A25167" s="4" t="s">
        <v>31677</v>
      </c>
      <c r="B25167" s="4" t="s">
        <v>31678</v>
      </c>
      <c r="C25167" s="5" t="str">
        <f>IFERROR(__xludf.DUMMYFUNCTION("GOOGLETRANSLATE(B25167,""en"",""es-ES"")"),"Un chico que lleva una camisa a cuadros rojo muestra un tutorial sobre cómo recortar y podar árboles en un jardín.")</f>
        <v>Un chico que lleva una camisa a cuadros rojo muestra un tutorial sobre cómo recortar y podar árboles en un jardín.</v>
      </c>
    </row>
    <row r="25168">
      <c r="A25168" s="4" t="s">
        <v>31677</v>
      </c>
      <c r="B25168" s="4" t="s">
        <v>31679</v>
      </c>
      <c r="C25168" s="5" t="str">
        <f>IFERROR(__xludf.DUMMYFUNCTION("GOOGLETRANSLATE(B25168,""en"",""es-ES"")"),"Está usando un par de tijeras de jardín para cortar las hojas excesivas cultivadas en los árboles.")</f>
        <v>Está usando un par de tijeras de jardín para cortar las hojas excesivas cultivadas en los árboles.</v>
      </c>
    </row>
    <row r="25169">
      <c r="A25169" s="4" t="s">
        <v>31677</v>
      </c>
      <c r="B25169" s="4" t="s">
        <v>31680</v>
      </c>
      <c r="C25169" s="5" t="str">
        <f>IFERROR(__xludf.DUMMYFUNCTION("GOOGLETRANSLATE(B25169,""en"",""es-ES"")"),"Luego demuestra cómo fertile los árboles y arbustos usando algunas bolas de fertilizantes.")</f>
        <v>Luego demuestra cómo fertile los árboles y arbustos usando algunas bolas de fertilizantes.</v>
      </c>
    </row>
    <row r="25170">
      <c r="A25170" s="4" t="s">
        <v>31677</v>
      </c>
      <c r="B25170" s="4" t="s">
        <v>31681</v>
      </c>
      <c r="C25170" s="5" t="str">
        <f>IFERROR(__xludf.DUMMYFUNCTION("GOOGLETRANSLATE(B25170,""en"",""es-ES"")"),"Luego usó un fertilizante líquido en los árboles y plantas para fortalecerlos.")</f>
        <v>Luego usó un fertilizante líquido en los árboles y plantas para fortalecerlos.</v>
      </c>
    </row>
    <row r="25171">
      <c r="A25171" s="4" t="s">
        <v>31677</v>
      </c>
      <c r="B25171" s="4" t="s">
        <v>31682</v>
      </c>
      <c r="C25171" s="5" t="str">
        <f>IFERROR(__xludf.DUMMYFUNCTION("GOOGLETRANSLATE(B25171,""en"",""es-ES"")"),"Finalmente, acaba de regar los árboles y las plantas con una manguera para completar el proceso.")</f>
        <v>Finalmente, acaba de regar los árboles y las plantas con una manguera para completar el proceso.</v>
      </c>
    </row>
    <row r="25172">
      <c r="A25172" s="4" t="s">
        <v>31683</v>
      </c>
      <c r="B25172" s="4" t="s">
        <v>31684</v>
      </c>
      <c r="C25172" s="5" t="str">
        <f>IFERROR(__xludf.DUMMYFUNCTION("GOOGLETRANSLATE(B25172,""en"",""es-ES"")"),"Vemos una luz roja que el título.")</f>
        <v>Vemos una luz roja que el título.</v>
      </c>
    </row>
    <row r="25173">
      <c r="A25173" s="4" t="s">
        <v>31683</v>
      </c>
      <c r="B25173" s="4" t="s">
        <v>31685</v>
      </c>
      <c r="C25173" s="5" t="str">
        <f>IFERROR(__xludf.DUMMYFUNCTION("GOOGLETRANSLATE(B25173,""en"",""es-ES"")"),"Se muestra el equipo de motociclista de un hombre.")</f>
        <v>Se muestra el equipo de motociclista de un hombre.</v>
      </c>
    </row>
    <row r="25174">
      <c r="A25174" s="4" t="s">
        <v>31683</v>
      </c>
      <c r="B25174" s="4" t="s">
        <v>31686</v>
      </c>
      <c r="C25174" s="5" t="str">
        <f>IFERROR(__xludf.DUMMYFUNCTION("GOOGLETRANSLATE(B25174,""en"",""es-ES"")"),"Se nos muestra el terreno.")</f>
        <v>Se nos muestra el terreno.</v>
      </c>
    </row>
    <row r="25175">
      <c r="A25175" s="4" t="s">
        <v>31683</v>
      </c>
      <c r="B25175" s="4" t="s">
        <v>31687</v>
      </c>
      <c r="C25175" s="5" t="str">
        <f>IFERROR(__xludf.DUMMYFUNCTION("GOOGLETRANSLATE(B25175,""en"",""es-ES"")"),"Los jinetes despegan en sus bicicletas.")</f>
        <v>Los jinetes despegan en sus bicicletas.</v>
      </c>
    </row>
    <row r="25176">
      <c r="A25176" s="4" t="s">
        <v>31683</v>
      </c>
      <c r="B25176" s="4" t="s">
        <v>31688</v>
      </c>
      <c r="C25176" s="5" t="str">
        <f>IFERROR(__xludf.DUMMYFUNCTION("GOOGLETRANSLATE(B25176,""en"",""es-ES"")"),"Los vemos viajar sobre todo tipo de terreno.")</f>
        <v>Los vemos viajar sobre todo tipo de terreno.</v>
      </c>
    </row>
    <row r="25177">
      <c r="A25177" s="4" t="s">
        <v>31683</v>
      </c>
      <c r="B25177" s="4" t="s">
        <v>31689</v>
      </c>
      <c r="C25177" s="5" t="str">
        <f>IFERROR(__xludf.DUMMYFUNCTION("GOOGLETRANSLATE(B25177,""en"",""es-ES"")"),"Vemos una foto aérea de los ciclistas.")</f>
        <v>Vemos una foto aérea de los ciclistas.</v>
      </c>
    </row>
    <row r="25178">
      <c r="A25178" s="4" t="s">
        <v>31683</v>
      </c>
      <c r="B25178" s="4" t="s">
        <v>31690</v>
      </c>
      <c r="C25178" s="5" t="str">
        <f>IFERROR(__xludf.DUMMYFUNCTION("GOOGLETRANSLATE(B25178,""en"",""es-ES"")"),"Vemos un lago y un perro seguido de una bicicleta en una calle.")</f>
        <v>Vemos un lago y un perro seguido de una bicicleta en una calle.</v>
      </c>
    </row>
    <row r="25179">
      <c r="A25179" s="4" t="s">
        <v>31683</v>
      </c>
      <c r="B25179" s="4" t="s">
        <v>31691</v>
      </c>
      <c r="C25179" s="5" t="str">
        <f>IFERROR(__xludf.DUMMYFUNCTION("GOOGLETRANSLATE(B25179,""en"",""es-ES"")"),"Un hombre usa un cuchillo para abrir un coco.")</f>
        <v>Un hombre usa un cuchillo para abrir un coco.</v>
      </c>
    </row>
    <row r="25180">
      <c r="A25180" s="4" t="s">
        <v>31683</v>
      </c>
      <c r="B25180" s="4" t="s">
        <v>31692</v>
      </c>
      <c r="C25180" s="5" t="str">
        <f>IFERROR(__xludf.DUMMYFUNCTION("GOOGLETRANSLATE(B25180,""en"",""es-ES"")"),"Regresamos a los ciclistas de tierra que realizan acrobacias.")</f>
        <v>Regresamos a los ciclistas de tierra que realizan acrobacias.</v>
      </c>
    </row>
    <row r="25181">
      <c r="A25181" s="4" t="s">
        <v>31683</v>
      </c>
      <c r="B25181" s="4" t="s">
        <v>31693</v>
      </c>
      <c r="C25181" s="5" t="str">
        <f>IFERROR(__xludf.DUMMYFUNCTION("GOOGLETRANSLATE(B25181,""en"",""es-ES"")"),"Vemos a dos ciclistas volando por el cielo.")</f>
        <v>Vemos a dos ciclistas volando por el cielo.</v>
      </c>
    </row>
    <row r="25182">
      <c r="A25182" s="4" t="s">
        <v>31683</v>
      </c>
      <c r="B25182" s="4" t="s">
        <v>31694</v>
      </c>
      <c r="C25182" s="5" t="str">
        <f>IFERROR(__xludf.DUMMYFUNCTION("GOOGLETRANSLATE(B25182,""en"",""es-ES"")"),"Luego vemos a tres ciclistas sentados en sus bicicletas.")</f>
        <v>Luego vemos a tres ciclistas sentados en sus bicicletas.</v>
      </c>
    </row>
    <row r="25183">
      <c r="A25183" s="4" t="s">
        <v>31683</v>
      </c>
      <c r="B25183" s="4" t="s">
        <v>31695</v>
      </c>
      <c r="C25183" s="5" t="str">
        <f>IFERROR(__xludf.DUMMYFUNCTION("GOOGLETRANSLATE(B25183,""en"",""es-ES"")"),"Vemos la tarjeta de título final.")</f>
        <v>Vemos la tarjeta de título final.</v>
      </c>
    </row>
    <row r="25184">
      <c r="A25184" s="4" t="s">
        <v>31696</v>
      </c>
      <c r="B25184" s="4" t="s">
        <v>31697</v>
      </c>
      <c r="C25184" s="5" t="str">
        <f>IFERROR(__xludf.DUMMYFUNCTION("GOOGLETRANSLATE(B25184,""en"",""es-ES"")"),"Un joven gimnástico se sube a un bar y comienza a hacer flips y otras cosas.")</f>
        <v>Un joven gimnástico se sube a un bar y comienza a hacer flips y otras cosas.</v>
      </c>
    </row>
    <row r="25185">
      <c r="A25185" s="4" t="s">
        <v>31696</v>
      </c>
      <c r="B25185" s="4" t="s">
        <v>31698</v>
      </c>
      <c r="C25185" s="5" t="str">
        <f>IFERROR(__xludf.DUMMYFUNCTION("GOOGLETRANSLATE(B25185,""en"",""es-ES"")"),"Parece que está siendo juzgado por un torneo.")</f>
        <v>Parece que está siendo juzgado por un torneo.</v>
      </c>
    </row>
    <row r="25186">
      <c r="A25186" s="4" t="s">
        <v>31696</v>
      </c>
      <c r="B25186" s="4" t="s">
        <v>31699</v>
      </c>
      <c r="C25186" s="5" t="str">
        <f>IFERROR(__xludf.DUMMYFUNCTION("GOOGLETRANSLATE(B25186,""en"",""es-ES"")"),"Está en los bares haciendo excelente, luciendo increíble y divirtiéndose mientras lo hace.")</f>
        <v>Está en los bares haciendo excelente, luciendo increíble y divirtiéndose mientras lo hace.</v>
      </c>
    </row>
    <row r="25187">
      <c r="A25187" s="4" t="s">
        <v>31696</v>
      </c>
      <c r="B25187" s="4" t="s">
        <v>31700</v>
      </c>
      <c r="C25187" s="5" t="str">
        <f>IFERROR(__xludf.DUMMYFUNCTION("GOOGLETRANSLATE(B25187,""en"",""es-ES"")"),"Luego, aterriza y posa y se muestra la audiencia.")</f>
        <v>Luego, aterriza y posa y se muestra la audiencia.</v>
      </c>
    </row>
    <row r="25188">
      <c r="A25188" s="4" t="s">
        <v>31701</v>
      </c>
      <c r="B25188" s="4" t="s">
        <v>31702</v>
      </c>
      <c r="C25188" s="5" t="str">
        <f>IFERROR(__xludf.DUMMYFUNCTION("GOOGLETRANSLATE(B25188,""en"",""es-ES"")"),"Un hombre se encuentra sosteniendo un violín y el arco discutiendo sus características.")</f>
        <v>Un hombre se encuentra sosteniendo un violín y el arco discutiendo sus características.</v>
      </c>
    </row>
    <row r="25189">
      <c r="A25189" s="4" t="s">
        <v>31701</v>
      </c>
      <c r="B25189" s="4" t="s">
        <v>31703</v>
      </c>
      <c r="C25189" s="5" t="str">
        <f>IFERROR(__xludf.DUMMYFUNCTION("GOOGLETRANSLATE(B25189,""en"",""es-ES"")"),"El hombre coloca el instrumento debajo de la barbilla y tensa el arco.")</f>
        <v>El hombre coloca el instrumento debajo de la barbilla y tensa el arco.</v>
      </c>
    </row>
    <row r="25190">
      <c r="A25190" s="4" t="s">
        <v>31701</v>
      </c>
      <c r="B25190" s="4" t="s">
        <v>31704</v>
      </c>
      <c r="C25190" s="5" t="str">
        <f>IFERROR(__xludf.DUMMYFUNCTION("GOOGLETRANSLATE(B25190,""en"",""es-ES"")"),"El hombre deshace las cuerdas de la proa y las golpea alrededor del violín.")</f>
        <v>El hombre deshace las cuerdas de la proa y las golpea alrededor del violín.</v>
      </c>
    </row>
    <row r="25191">
      <c r="A25191" s="4" t="s">
        <v>31701</v>
      </c>
      <c r="B25191" s="4" t="s">
        <v>31705</v>
      </c>
      <c r="C25191" s="5" t="str">
        <f>IFERROR(__xludf.DUMMYFUNCTION("GOOGLETRANSLATE(B25191,""en"",""es-ES"")"),"El hombre toca una canción en el violín.")</f>
        <v>El hombre toca una canción en el violín.</v>
      </c>
    </row>
    <row r="25192">
      <c r="A25192" s="4" t="s">
        <v>31706</v>
      </c>
      <c r="B25192" s="4" t="s">
        <v>31707</v>
      </c>
      <c r="C25192" s="5" t="str">
        <f>IFERROR(__xludf.DUMMYFUNCTION("GOOGLETRANSLATE(B25192,""en"",""es-ES"")"),"Aparece un chapoteo verde contra un ahogado blanco.")</f>
        <v>Aparece un chapoteo verde contra un ahogado blanco.</v>
      </c>
    </row>
    <row r="25193">
      <c r="A25193" s="4" t="s">
        <v>31706</v>
      </c>
      <c r="B25193" s="4" t="s">
        <v>31708</v>
      </c>
      <c r="C25193" s="5" t="str">
        <f>IFERROR(__xludf.DUMMYFUNCTION("GOOGLETRANSLATE(B25193,""en"",""es-ES"")"),"Luego aparecen una serie de palabras en la pantalla y que muestran varias imágenes que describen los términos.")</f>
        <v>Luego aparecen una serie de palabras en la pantalla y que muestran varias imágenes que describen los términos.</v>
      </c>
    </row>
    <row r="25194">
      <c r="A25194" s="4" t="s">
        <v>31706</v>
      </c>
      <c r="B25194" s="4" t="s">
        <v>31709</v>
      </c>
      <c r="C25194" s="5" t="str">
        <f>IFERROR(__xludf.DUMMYFUNCTION("GOOGLETRANSLATE(B25194,""en"",""es-ES"")"),"Luego se muestra a un hombre parado sobre una escalera que coloca papel de pared.")</f>
        <v>Luego se muestra a un hombre parado sobre una escalera que coloca papel de pared.</v>
      </c>
    </row>
    <row r="25195">
      <c r="A25195" s="4" t="s">
        <v>31706</v>
      </c>
      <c r="B25195" s="4" t="s">
        <v>31710</v>
      </c>
      <c r="C25195" s="5" t="str">
        <f>IFERROR(__xludf.DUMMYFUNCTION("GOOGLETRANSLATE(B25195,""en"",""es-ES"")"),"Después, el hombre corta el papel de la pared y gana ayuda mientras pone el papel en el techo.")</f>
        <v>Después, el hombre corta el papel de la pared y gana ayuda mientras pone el papel en el techo.</v>
      </c>
    </row>
    <row r="25196">
      <c r="A25196" s="4" t="s">
        <v>31706</v>
      </c>
      <c r="B25196" s="4" t="s">
        <v>31711</v>
      </c>
      <c r="C25196" s="5" t="str">
        <f>IFERROR(__xludf.DUMMYFUNCTION("GOOGLETRANSLATE(B25196,""en"",""es-ES"")"),"Los dos terminan y le dan a cada uno un máximo.")</f>
        <v>Los dos terminan y le dan a cada uno un máximo.</v>
      </c>
    </row>
    <row r="25197">
      <c r="A25197" s="4" t="s">
        <v>31706</v>
      </c>
      <c r="B25197" s="4" t="s">
        <v>31712</v>
      </c>
      <c r="C25197" s="5" t="str">
        <f>IFERROR(__xludf.DUMMYFUNCTION("GOOGLETRANSLATE(B25197,""en"",""es-ES"")"),"Finalmente, se muestran varias habitaciones que muestran el trabajo que han realizado.")</f>
        <v>Finalmente, se muestran varias habitaciones que muestran el trabajo que han realizado.</v>
      </c>
    </row>
    <row r="25198">
      <c r="A25198" s="4" t="s">
        <v>31713</v>
      </c>
      <c r="B25198" s="4" t="s">
        <v>31714</v>
      </c>
      <c r="C25198" s="5" t="str">
        <f>IFERROR(__xludf.DUMMYFUNCTION("GOOGLETRANSLATE(B25198,""en"",""es-ES"")"),"Se ve a una niña hablando con la cámara mientras juega con su cabello.")</f>
        <v>Se ve a una niña hablando con la cámara mientras juega con su cabello.</v>
      </c>
    </row>
    <row r="25199">
      <c r="A25199" s="4" t="s">
        <v>31713</v>
      </c>
      <c r="B25199" s="4" t="s">
        <v>31715</v>
      </c>
      <c r="C25199" s="5" t="str">
        <f>IFERROR(__xludf.DUMMYFUNCTION("GOOGLETRANSLATE(B25199,""en"",""es-ES"")"),"Ella señala su camisa y la lleva a cepillarse el cabello mientras habla con la cámara.")</f>
        <v>Ella señala su camisa y la lleva a cepillarse el cabello mientras habla con la cámara.</v>
      </c>
    </row>
    <row r="25200">
      <c r="A25200" s="4" t="s">
        <v>31716</v>
      </c>
      <c r="B25200" s="4" t="s">
        <v>31717</v>
      </c>
      <c r="C25200" s="5" t="str">
        <f>IFERROR(__xludf.DUMMYFUNCTION("GOOGLETRANSLATE(B25200,""en"",""es-ES"")"),"Se ve a una persona nadando bajo el agua con equipo de buceo y tirando de una cuerda a su lado.")</f>
        <v>Se ve a una persona nadando bajo el agua con equipo de buceo y tirando de una cuerda a su lado.</v>
      </c>
    </row>
    <row r="25201">
      <c r="A25201" s="4" t="s">
        <v>31716</v>
      </c>
      <c r="B25201" s="4" t="s">
        <v>31718</v>
      </c>
      <c r="C25201" s="5" t="str">
        <f>IFERROR(__xludf.DUMMYFUNCTION("GOOGLETRANSLATE(B25201,""en"",""es-ES"")"),"Luego atrapa un pez y es vista nuevamente en un bikini nadando alrededor de una ballena.")</f>
        <v>Luego atrapa un pez y es vista nuevamente en un bikini nadando alrededor de una ballena.</v>
      </c>
    </row>
    <row r="25202">
      <c r="A25202" s="4" t="s">
        <v>31716</v>
      </c>
      <c r="B25202" s="4" t="s">
        <v>31719</v>
      </c>
      <c r="C25202" s="5" t="str">
        <f>IFERROR(__xludf.DUMMYFUNCTION("GOOGLETRANSLATE(B25202,""en"",""es-ES"")"),"Se muestran más tomas de un delfín saltando a través del agua y termina con texto a través de la pantalla.")</f>
        <v>Se muestran más tomas de un delfín saltando a través del agua y termina con texto a través de la pantalla.</v>
      </c>
    </row>
    <row r="25203">
      <c r="A25203" s="4" t="s">
        <v>31720</v>
      </c>
      <c r="B25203" s="4" t="s">
        <v>31721</v>
      </c>
      <c r="C25203" s="5" t="str">
        <f>IFERROR(__xludf.DUMMYFUNCTION("GOOGLETRANSLATE(B25203,""en"",""es-ES"")"),"Un joven aficionado está sentado en una máquina con un asiento deslizante que demuestra técnicas de levantamiento de pesas.")</f>
        <v>Un joven aficionado está sentado en una máquina con un asiento deslizante que demuestra técnicas de levantamiento de pesas.</v>
      </c>
    </row>
    <row r="25204">
      <c r="A25204" s="4" t="s">
        <v>31720</v>
      </c>
      <c r="B25204" s="4" t="s">
        <v>31722</v>
      </c>
      <c r="C25204" s="5" t="str">
        <f>IFERROR(__xludf.DUMMYFUNCTION("GOOGLETRANSLATE(B25204,""en"",""es-ES"")"),"Luego se desliza hacia atrás, pone los pies en las cuerdas y comienza a atarse los zapatos.")</f>
        <v>Luego se desliza hacia atrás, pone los pies en las cuerdas y comienza a atarse los zapatos.</v>
      </c>
    </row>
    <row r="25205">
      <c r="A25205" s="4" t="s">
        <v>31720</v>
      </c>
      <c r="B25205" s="4" t="s">
        <v>31723</v>
      </c>
      <c r="C25205" s="5" t="str">
        <f>IFERROR(__xludf.DUMMYFUNCTION("GOOGLETRANSLATE(B25205,""en"",""es-ES"")"),"Una vez completo, el hombre agarra la cuerda y se mueve de un lado a otro mientras saca la cuerda para hacer ejercicio.")</f>
        <v>Una vez completo, el hombre agarra la cuerda y se mueve de un lado a otro mientras saca la cuerda para hacer ejercicio.</v>
      </c>
    </row>
    <row r="25206">
      <c r="A25206" s="4" t="s">
        <v>31720</v>
      </c>
      <c r="B25206" s="4" t="s">
        <v>31724</v>
      </c>
      <c r="C25206" s="5" t="str">
        <f>IFERROR(__xludf.DUMMYFUNCTION("GOOGLETRANSLATE(B25206,""en"",""es-ES"")"),"Ahora ha terminado, deja caer las cuerdas y comienza a hablar de nuevo.")</f>
        <v>Ahora ha terminado, deja caer las cuerdas y comienza a hablar de nuevo.</v>
      </c>
    </row>
    <row r="25207">
      <c r="A25207" s="4" t="s">
        <v>31725</v>
      </c>
      <c r="B25207" s="4" t="s">
        <v>31726</v>
      </c>
      <c r="C25207" s="5" t="str">
        <f>IFERROR(__xludf.DUMMYFUNCTION("GOOGLETRANSLATE(B25207,""en"",""es-ES"")"),"Una familia está reorganizando muebles en una sala de estar.")</f>
        <v>Una familia está reorganizando muebles en una sala de estar.</v>
      </c>
    </row>
    <row r="25208">
      <c r="A25208" s="4" t="s">
        <v>31725</v>
      </c>
      <c r="B25208" s="4" t="s">
        <v>31727</v>
      </c>
      <c r="C25208" s="5" t="str">
        <f>IFERROR(__xludf.DUMMYFUNCTION("GOOGLETRANSLATE(B25208,""en"",""es-ES"")"),"Condujeron un árbol de Navidad en la esquina de la habitación.")</f>
        <v>Condujeron un árbol de Navidad en la esquina de la habitación.</v>
      </c>
    </row>
    <row r="25209">
      <c r="A25209" s="4" t="s">
        <v>31725</v>
      </c>
      <c r="B25209" s="4" t="s">
        <v>31728</v>
      </c>
      <c r="C25209" s="5" t="str">
        <f>IFERROR(__xludf.DUMMYFUNCTION("GOOGLETRANSLATE(B25209,""en"",""es-ES"")"),"Pusieron luces en el árbol.")</f>
        <v>Pusieron luces en el árbol.</v>
      </c>
    </row>
    <row r="25210">
      <c r="A25210" s="4" t="s">
        <v>31725</v>
      </c>
      <c r="B25210" s="4" t="s">
        <v>31729</v>
      </c>
      <c r="C25210" s="5" t="str">
        <f>IFERROR(__xludf.DUMMYFUNCTION("GOOGLETRANSLATE(B25210,""en"",""es-ES"")"),"Pusieron bombillas en el árbol.")</f>
        <v>Pusieron bombillas en el árbol.</v>
      </c>
    </row>
    <row r="25211">
      <c r="A25211" s="4" t="s">
        <v>31725</v>
      </c>
      <c r="B25211" s="4" t="s">
        <v>31730</v>
      </c>
      <c r="C25211" s="5" t="str">
        <f>IFERROR(__xludf.DUMMYFUNCTION("GOOGLETRANSLATE(B25211,""en"",""es-ES"")"),"Una niña hace un giro frente al árbol.")</f>
        <v>Una niña hace un giro frente al árbol.</v>
      </c>
    </row>
    <row r="25212">
      <c r="A25212" s="4" t="s">
        <v>31731</v>
      </c>
      <c r="B25212" s="4" t="s">
        <v>31732</v>
      </c>
      <c r="C25212" s="5" t="str">
        <f>IFERROR(__xludf.DUMMYFUNCTION("GOOGLETRANSLATE(B25212,""en"",""es-ES"")"),"Un hombre está dentro de un gimnasio con una pelota.")</f>
        <v>Un hombre está dentro de un gimnasio con una pelota.</v>
      </c>
    </row>
    <row r="25213">
      <c r="A25213" s="4" t="s">
        <v>31731</v>
      </c>
      <c r="B25213" s="4" t="s">
        <v>31733</v>
      </c>
      <c r="C25213" s="5" t="str">
        <f>IFERROR(__xludf.DUMMYFUNCTION("GOOGLETRANSLATE(B25213,""en"",""es-ES"")"),"Se une a un equipo, jugando un juego de fútbol.")</f>
        <v>Se une a un equipo, jugando un juego de fútbol.</v>
      </c>
    </row>
    <row r="25214">
      <c r="A25214" s="4" t="s">
        <v>31731</v>
      </c>
      <c r="B25214" s="4" t="s">
        <v>31734</v>
      </c>
      <c r="C25214" s="5" t="str">
        <f>IFERROR(__xludf.DUMMYFUNCTION("GOOGLETRANSLATE(B25214,""en"",""es-ES"")"),"Patan la pelota de un lado a otro en la cancha.")</f>
        <v>Patan la pelota de un lado a otro en la cancha.</v>
      </c>
    </row>
    <row r="25215">
      <c r="A25215" s="4" t="s">
        <v>31735</v>
      </c>
      <c r="B25215" s="4" t="s">
        <v>31736</v>
      </c>
      <c r="C25215" s="5" t="str">
        <f>IFERROR(__xludf.DUMMYFUNCTION("GOOGLETRANSLATE(B25215,""en"",""es-ES"")"),"Los hombres están parados en un campo de Geen Grssy jugando croquet.")</f>
        <v>Los hombres están parados en un campo de Geen Grssy jugando croquet.</v>
      </c>
    </row>
    <row r="25216">
      <c r="A25216" s="4" t="s">
        <v>31735</v>
      </c>
      <c r="B25216" s="4" t="s">
        <v>31737</v>
      </c>
      <c r="C25216" s="5" t="str">
        <f>IFERROR(__xludf.DUMMYFUNCTION("GOOGLETRANSLATE(B25216,""en"",""es-ES"")"),"La gente está sentada en el campo alrededor del juego de croquet.")</f>
        <v>La gente está sentada en el campo alrededor del juego de croquet.</v>
      </c>
    </row>
    <row r="25217">
      <c r="A25217" s="4" t="s">
        <v>31735</v>
      </c>
      <c r="B25217" s="4" t="s">
        <v>31738</v>
      </c>
      <c r="C25217" s="5" t="str">
        <f>IFERROR(__xludf.DUMMYFUNCTION("GOOGLETRANSLATE(B25217,""en"",""es-ES"")"),"El hombre con uniforme blanco está hablando con la cámara en el campo.")</f>
        <v>El hombre con uniforme blanco está hablando con la cámara en el campo.</v>
      </c>
    </row>
    <row r="25218">
      <c r="A25218" s="4" t="s">
        <v>31735</v>
      </c>
      <c r="B25218" s="4" t="s">
        <v>31739</v>
      </c>
      <c r="C25218" s="5" t="str">
        <f>IFERROR(__xludf.DUMMYFUNCTION("GOOGLETRANSLATE(B25218,""en"",""es-ES"")"),"Un hombre y una mujer están hablando con la cámara.")</f>
        <v>Un hombre y una mujer están hablando con la cámara.</v>
      </c>
    </row>
    <row r="25219">
      <c r="A25219" s="4" t="s">
        <v>31740</v>
      </c>
      <c r="B25219" s="4" t="s">
        <v>31741</v>
      </c>
      <c r="C25219" s="5" t="str">
        <f>IFERROR(__xludf.DUMMYFUNCTION("GOOGLETRANSLATE(B25219,""en"",""es-ES"")"),"Vemos a una persona parada en una escalera.")</f>
        <v>Vemos a una persona parada en una escalera.</v>
      </c>
    </row>
    <row r="25220">
      <c r="A25220" s="4" t="s">
        <v>31740</v>
      </c>
      <c r="B25220" s="4" t="s">
        <v>31742</v>
      </c>
      <c r="C25220" s="5" t="str">
        <f>IFERROR(__xludf.DUMMYFUNCTION("GOOGLETRANSLATE(B25220,""en"",""es-ES"")"),"La persona mueve un cordón fuera del camino.")</f>
        <v>La persona mueve un cordón fuera del camino.</v>
      </c>
    </row>
    <row r="25221">
      <c r="A25221" s="4" t="s">
        <v>31740</v>
      </c>
      <c r="B25221" s="4" t="s">
        <v>31743</v>
      </c>
      <c r="C25221" s="5" t="str">
        <f>IFERROR(__xludf.DUMMYFUNCTION("GOOGLETRANSLATE(B25221,""en"",""es-ES"")"),"El hombre comienza a caminar sobre el stepper.")</f>
        <v>El hombre comienza a caminar sobre el stepper.</v>
      </c>
    </row>
    <row r="25222">
      <c r="A25222" s="4" t="s">
        <v>31740</v>
      </c>
      <c r="B25222" s="4" t="s">
        <v>31744</v>
      </c>
      <c r="C25222" s="5" t="str">
        <f>IFERROR(__xludf.DUMMYFUNCTION("GOOGLETRANSLATE(B25222,""en"",""es-ES"")"),"La persona levanta la mano derecha.")</f>
        <v>La persona levanta la mano derecha.</v>
      </c>
    </row>
    <row r="25223">
      <c r="A25223" s="4" t="s">
        <v>31745</v>
      </c>
      <c r="B25223" s="4" t="s">
        <v>31746</v>
      </c>
      <c r="C25223" s="5" t="str">
        <f>IFERROR(__xludf.DUMMYFUNCTION("GOOGLETRANSLATE(B25223,""en"",""es-ES"")"),"Se ve a un hombre hablando con la cámara y lo lleva a ayudar a un hombre a disparar varias canastas.")</f>
        <v>Se ve a un hombre hablando con la cámara y lo lleva a ayudar a un hombre a disparar varias canastas.</v>
      </c>
    </row>
    <row r="25224">
      <c r="A25224" s="4" t="s">
        <v>31745</v>
      </c>
      <c r="B25224" s="4" t="s">
        <v>31747</v>
      </c>
      <c r="C25224" s="5" t="str">
        <f>IFERROR(__xludf.DUMMYFUNCTION("GOOGLETRANSLATE(B25224,""en"",""es-ES"")"),"Luego se ve al entrenador instruyendo a un gran grupo de niños mientras disparan canastas una y otra vez.")</f>
        <v>Luego se ve al entrenador instruyendo a un gran grupo de niños mientras disparan canastas una y otra vez.</v>
      </c>
    </row>
    <row r="25225">
      <c r="A25225" s="4" t="s">
        <v>31748</v>
      </c>
      <c r="B25225" s="4" t="s">
        <v>31749</v>
      </c>
      <c r="C25225" s="5" t="str">
        <f>IFERROR(__xludf.DUMMYFUNCTION("GOOGLETRANSLATE(B25225,""en"",""es-ES"")"),"El humo llena una habitación oscura vacía.")</f>
        <v>El humo llena una habitación oscura vacía.</v>
      </c>
    </row>
    <row r="25226">
      <c r="A25226" s="4" t="s">
        <v>31748</v>
      </c>
      <c r="B25226" s="4" t="s">
        <v>31750</v>
      </c>
      <c r="C25226" s="5" t="str">
        <f>IFERROR(__xludf.DUMMYFUNCTION("GOOGLETRANSLATE(B25226,""en"",""es-ES"")"),"Las palabras aparecen en la pantalla, seguidas de la aparición de hombres que están kickboxing.")</f>
        <v>Las palabras aparecen en la pantalla, seguidas de la aparición de hombres que están kickboxing.</v>
      </c>
    </row>
    <row r="25227">
      <c r="A25227" s="4" t="s">
        <v>31748</v>
      </c>
      <c r="B25227" s="4" t="s">
        <v>31751</v>
      </c>
      <c r="C25227" s="5" t="str">
        <f>IFERROR(__xludf.DUMMYFUNCTION("GOOGLETRANSLATE(B25227,""en"",""es-ES"")"),"Un grupo toca instrumentos detrás de ellos mientras luchan.")</f>
        <v>Un grupo toca instrumentos detrás de ellos mientras luchan.</v>
      </c>
    </row>
    <row r="25228">
      <c r="A25228" s="4" t="s">
        <v>31748</v>
      </c>
      <c r="B25228" s="4" t="s">
        <v>31752</v>
      </c>
      <c r="C25228" s="5" t="str">
        <f>IFERROR(__xludf.DUMMYFUNCTION("GOOGLETRANSLATE(B25228,""en"",""es-ES"")"),"Los dos hombres terminan la pelea con un abrazo.")</f>
        <v>Los dos hombres terminan la pelea con un abrazo.</v>
      </c>
    </row>
    <row r="25229">
      <c r="A25229" s="4" t="s">
        <v>31753</v>
      </c>
      <c r="B25229" s="4" t="s">
        <v>31754</v>
      </c>
      <c r="C25229" s="5" t="str">
        <f>IFERROR(__xludf.DUMMYFUNCTION("GOOGLETRANSLATE(B25229,""en"",""es-ES"")"),"Dos hombres están en una habitación jugando a la fila de la fila de la fila en tu bote.")</f>
        <v>Dos hombres están en una habitación jugando a la fila de la fila de la fila en tu bote.</v>
      </c>
    </row>
    <row r="25230">
      <c r="A25230" s="4" t="s">
        <v>31753</v>
      </c>
      <c r="B25230" s="4" t="s">
        <v>31755</v>
      </c>
      <c r="C25230" s="5" t="str">
        <f>IFERROR(__xludf.DUMMYFUNCTION("GOOGLETRANSLATE(B25230,""en"",""es-ES"")"),"Dos hombres están jugando tomando una selfie en una sala de estar.")</f>
        <v>Dos hombres están jugando tomando una selfie en una sala de estar.</v>
      </c>
    </row>
    <row r="25231">
      <c r="A25231" s="4" t="s">
        <v>31753</v>
      </c>
      <c r="B25231" s="4" t="s">
        <v>31756</v>
      </c>
      <c r="C25231" s="5" t="str">
        <f>IFERROR(__xludf.DUMMYFUNCTION("GOOGLETRANSLATE(B25231,""en"",""es-ES"")"),"El hombre está de pie en la sala de estar jugando cerveza pong y sacando su camisa.")</f>
        <v>El hombre está de pie en la sala de estar jugando cerveza pong y sacando su camisa.</v>
      </c>
    </row>
    <row r="25232">
      <c r="A25232" s="4" t="s">
        <v>31753</v>
      </c>
      <c r="B25232" s="4" t="s">
        <v>31757</v>
      </c>
      <c r="C25232" s="5" t="str">
        <f>IFERROR(__xludf.DUMMYFUNCTION("GOOGLETRANSLATE(B25232,""en"",""es-ES"")"),"El hombre está de pie en la sala de estar sosteniendo una raqueta de tenis y golpea una pelota.")</f>
        <v>El hombre está de pie en la sala de estar sosteniendo una raqueta de tenis y golpea una pelota.</v>
      </c>
    </row>
    <row r="25233">
      <c r="A25233" s="4" t="s">
        <v>31753</v>
      </c>
      <c r="B25233" s="4" t="s">
        <v>31758</v>
      </c>
      <c r="C25233" s="5" t="str">
        <f>IFERROR(__xludf.DUMMYFUNCTION("GOOGLETRANSLATE(B25233,""en"",""es-ES"")"),"Dos hombres están parados en el Viver Oom jugando a Beer Pong y haciendo otros juegos de tiro con una botella de whisky.")</f>
        <v>Dos hombres están parados en el Viver Oom jugando a Beer Pong y haciendo otros juegos de tiro con una botella de whisky.</v>
      </c>
    </row>
    <row r="25234">
      <c r="A25234" s="4" t="s">
        <v>31759</v>
      </c>
      <c r="B25234" s="4" t="s">
        <v>31760</v>
      </c>
      <c r="C25234" s="5" t="str">
        <f>IFERROR(__xludf.DUMMYFUNCTION("GOOGLETRANSLATE(B25234,""en"",""es-ES"")"),"Se ve a una mujer hablando con la cámara mientras sostiene varios objetos y comienza a cepillarse el cabello.")</f>
        <v>Se ve a una mujer hablando con la cámara mientras sostiene varios objetos y comienza a cepillarse el cabello.</v>
      </c>
    </row>
    <row r="25235">
      <c r="A25235" s="4" t="s">
        <v>31759</v>
      </c>
      <c r="B25235" s="4" t="s">
        <v>31761</v>
      </c>
      <c r="C25235" s="5" t="str">
        <f>IFERROR(__xludf.DUMMYFUNCTION("GOOGLETRANSLATE(B25235,""en"",""es-ES"")"),"Ella ata el cabello mientras sigue hablando y sosteniendo varios pinceles a la hora de la letrero.")</f>
        <v>Ella ata el cabello mientras sigue hablando y sosteniendo varios pinceles a la hora de la letrero.</v>
      </c>
    </row>
    <row r="25236">
      <c r="A25236" s="4" t="s">
        <v>31762</v>
      </c>
      <c r="B25236" s="4" t="s">
        <v>31763</v>
      </c>
      <c r="C25236" s="5" t="str">
        <f>IFERROR(__xludf.DUMMYFUNCTION("GOOGLETRANSLATE(B25236,""en"",""es-ES"")"),"Se ve a un artista perforador de cuerpo perforando el ombligo de una mujer.")</f>
        <v>Se ve a un artista perforador de cuerpo perforando el ombligo de una mujer.</v>
      </c>
    </row>
    <row r="25237">
      <c r="A25237" s="4" t="s">
        <v>31762</v>
      </c>
      <c r="B25237" s="4" t="s">
        <v>31764</v>
      </c>
      <c r="C25237" s="5" t="str">
        <f>IFERROR(__xludf.DUMMYFUNCTION("GOOGLETRANSLATE(B25237,""en"",""es-ES"")"),"Inicialmente, usa una herramienta de perforación para hacer la incisión en el ombligo.")</f>
        <v>Inicialmente, usa una herramienta de perforación para hacer la incisión en el ombligo.</v>
      </c>
    </row>
    <row r="25238">
      <c r="A25238" s="4" t="s">
        <v>31762</v>
      </c>
      <c r="B25238" s="4" t="s">
        <v>31765</v>
      </c>
      <c r="C25238" s="5" t="str">
        <f>IFERROR(__xludf.DUMMYFUNCTION("GOOGLETRANSLATE(B25238,""en"",""es-ES"")"),"Luego inserta la perforación y se asegura de que sea seguro.")</f>
        <v>Luego inserta la perforación y se asegura de que sea seguro.</v>
      </c>
    </row>
    <row r="25239">
      <c r="A25239" s="4" t="s">
        <v>31762</v>
      </c>
      <c r="B25239" s="4" t="s">
        <v>31766</v>
      </c>
      <c r="C25239" s="5" t="str">
        <f>IFERROR(__xludf.DUMMYFUNCTION("GOOGLETRANSLATE(B25239,""en"",""es-ES"")"),"Entonces él usa una toallita y limpia el área.")</f>
        <v>Entonces él usa una toallita y limpia el área.</v>
      </c>
    </row>
    <row r="25240">
      <c r="A25240" s="4" t="s">
        <v>31762</v>
      </c>
      <c r="B25240" s="4" t="s">
        <v>31767</v>
      </c>
      <c r="C25240" s="5" t="str">
        <f>IFERROR(__xludf.DUMMYFUNCTION("GOOGLETRANSLATE(B25240,""en"",""es-ES"")"),"Luego, la niña se pone de pie con las conversaciones con el amigo y se ve en el espejo.")</f>
        <v>Luego, la niña se pone de pie con las conversaciones con el amigo y se ve en el espejo.</v>
      </c>
    </row>
    <row r="25241">
      <c r="A25241" s="4" t="s">
        <v>31762</v>
      </c>
      <c r="B25241" s="4" t="s">
        <v>31768</v>
      </c>
      <c r="C25241" s="5" t="str">
        <f>IFERROR(__xludf.DUMMYFUNCTION("GOOGLETRANSLATE(B25241,""en"",""es-ES"")"),"Al final, el camarógrafo se da vuelta y habla con la cámara con autoridad.")</f>
        <v>Al final, el camarógrafo se da vuelta y habla con la cámara con autoridad.</v>
      </c>
    </row>
    <row r="25242">
      <c r="A25242" s="4" t="s">
        <v>31769</v>
      </c>
      <c r="B25242" s="4" t="s">
        <v>31770</v>
      </c>
      <c r="C25242" s="5" t="str">
        <f>IFERROR(__xludf.DUMMYFUNCTION("GOOGLETRANSLATE(B25242,""en"",""es-ES"")"),"Un hombre se para en una habitación grande.")</f>
        <v>Un hombre se para en una habitación grande.</v>
      </c>
    </row>
    <row r="25243">
      <c r="A25243" s="4" t="s">
        <v>31769</v>
      </c>
      <c r="B25243" s="4" t="s">
        <v>31771</v>
      </c>
      <c r="C25243" s="5" t="str">
        <f>IFERROR(__xludf.DUMMYFUNCTION("GOOGLETRANSLATE(B25243,""en"",""es-ES"")"),"Luego salta sobre vigas.")</f>
        <v>Luego salta sobre vigas.</v>
      </c>
    </row>
    <row r="25244">
      <c r="A25244" s="4" t="s">
        <v>31769</v>
      </c>
      <c r="B25244" s="4" t="s">
        <v>31772</v>
      </c>
      <c r="C25244" s="5" t="str">
        <f>IFERROR(__xludf.DUMMYFUNCTION("GOOGLETRANSLATE(B25244,""en"",""es-ES"")"),"Luego se equilibra en la viga.")</f>
        <v>Luego se equilibra en la viga.</v>
      </c>
    </row>
    <row r="25245">
      <c r="A25245" s="4" t="s">
        <v>31769</v>
      </c>
      <c r="B25245" s="4" t="s">
        <v>31773</v>
      </c>
      <c r="C25245" s="5" t="str">
        <f>IFERROR(__xludf.DUMMYFUNCTION("GOOGLETRANSLATE(B25245,""en"",""es-ES"")"),"Hace varios volteos y trucos.")</f>
        <v>Hace varios volteos y trucos.</v>
      </c>
    </row>
    <row r="25246">
      <c r="A25246" s="4" t="s">
        <v>31774</v>
      </c>
      <c r="B25246" s="4" t="s">
        <v>31775</v>
      </c>
      <c r="C25246" s="5" t="str">
        <f>IFERROR(__xludf.DUMMYFUNCTION("GOOGLETRANSLATE(B25246,""en"",""es-ES"")"),"Un hombre está montando una patineta por una carretera suburbana.")</f>
        <v>Un hombre está montando una patineta por una carretera suburbana.</v>
      </c>
    </row>
    <row r="25247">
      <c r="A25247" s="4" t="s">
        <v>31774</v>
      </c>
      <c r="B25247" s="4" t="s">
        <v>31776</v>
      </c>
      <c r="C25247" s="5" t="str">
        <f>IFERROR(__xludf.DUMMYFUNCTION("GOOGLETRANSLATE(B25247,""en"",""es-ES"")"),"Se muestran dos más cuando el camarógrafo los ve desde atrás.")</f>
        <v>Se muestran dos más cuando el camarógrafo los ve desde atrás.</v>
      </c>
    </row>
    <row r="25248">
      <c r="A25248" s="4" t="s">
        <v>31774</v>
      </c>
      <c r="B25248" s="4" t="s">
        <v>31777</v>
      </c>
      <c r="C25248" s="5" t="str">
        <f>IFERROR(__xludf.DUMMYFUNCTION("GOOGLETRANSLATE(B25248,""en"",""es-ES"")"),"Los empuja, manteniéndolos a un ritmo rápido.")</f>
        <v>Los empuja, manteniéndolos a un ritmo rápido.</v>
      </c>
    </row>
    <row r="25249">
      <c r="A25249" s="4" t="s">
        <v>31778</v>
      </c>
      <c r="B25249" s="4" t="s">
        <v>31779</v>
      </c>
      <c r="C25249" s="5" t="str">
        <f>IFERROR(__xludf.DUMMYFUNCTION("GOOGLETRANSLATE(B25249,""en"",""es-ES"")"),"Un atleta salta con un poste para pasar la barra horizontal, luego cae sobre la espuma.")</f>
        <v>Un atleta salta con un poste para pasar la barra horizontal, luego cae sobre la espuma.</v>
      </c>
    </row>
    <row r="25250">
      <c r="A25250" s="4" t="s">
        <v>31778</v>
      </c>
      <c r="B25250" s="4" t="s">
        <v>31780</v>
      </c>
      <c r="C25250" s="5" t="str">
        <f>IFERROR(__xludf.DUMMYFUNCTION("GOOGLETRANSLATE(B25250,""en"",""es-ES"")"),"Luego, hay un destello del salto de la pole de la bóveda.")</f>
        <v>Luego, hay un destello del salto de la pole de la bóveda.</v>
      </c>
    </row>
    <row r="25251">
      <c r="A25251" s="4" t="s">
        <v>31781</v>
      </c>
      <c r="B25251" s="4" t="s">
        <v>31782</v>
      </c>
      <c r="C25251" s="5" t="str">
        <f>IFERROR(__xludf.DUMMYFUNCTION("GOOGLETRANSLATE(B25251,""en"",""es-ES"")"),"Se ve a una mujer sentada detrás de una mesa de póker y tarjetas de distribuidor, mientras que otras hacen lo mismo en la parte de atrás.")</f>
        <v>Se ve a una mujer sentada detrás de una mesa de póker y tarjetas de distribuidor, mientras que otras hacen lo mismo en la parte de atrás.</v>
      </c>
    </row>
    <row r="25252">
      <c r="A25252" s="4" t="s">
        <v>31781</v>
      </c>
      <c r="B25252" s="4" t="s">
        <v>31783</v>
      </c>
      <c r="C25252" s="5" t="str">
        <f>IFERROR(__xludf.DUMMYFUNCTION("GOOGLETRANSLATE(B25252,""en"",""es-ES"")"),"La mujer continúa tratando tarjetas sobre la mesa mientras mira y sonríe a la cámara.")</f>
        <v>La mujer continúa tratando tarjetas sobre la mesa mientras mira y sonríe a la cámara.</v>
      </c>
    </row>
    <row r="25253">
      <c r="A25253" s="4" t="s">
        <v>31784</v>
      </c>
      <c r="B25253" s="4" t="s">
        <v>31785</v>
      </c>
      <c r="C25253" s="5" t="str">
        <f>IFERROR(__xludf.DUMMYFUNCTION("GOOGLETRANSLATE(B25253,""en"",""es-ES"")"),"Se muestran varios clips de personas que sostienen raquetas de tenis y golpean una pelota en la distancia.")</f>
        <v>Se muestran varios clips de personas que sostienen raquetas de tenis y golpean una pelota en la distancia.</v>
      </c>
    </row>
    <row r="25254">
      <c r="A25254" s="4" t="s">
        <v>31784</v>
      </c>
      <c r="B25254" s="4" t="s">
        <v>31786</v>
      </c>
      <c r="C25254" s="5" t="str">
        <f>IFERROR(__xludf.DUMMYFUNCTION("GOOGLETRANSLATE(B25254,""en"",""es-ES"")"),"El texto se muestra en la pantalla y se muestran más tomas de personas que se demuestran.")</f>
        <v>El texto se muestra en la pantalla y se muestran más tomas de personas que se demuestran.</v>
      </c>
    </row>
    <row r="25255">
      <c r="A25255" s="4" t="s">
        <v>31784</v>
      </c>
      <c r="B25255" s="4" t="s">
        <v>31787</v>
      </c>
      <c r="C25255" s="5" t="str">
        <f>IFERROR(__xludf.DUMMYFUNCTION("GOOGLETRANSLATE(B25255,""en"",""es-ES"")"),"La gente continúa golpeando las bolas por la cancha mientras la cámara captura sus movimientos.")</f>
        <v>La gente continúa golpeando las bolas por la cancha mientras la cámara captura sus movimientos.</v>
      </c>
    </row>
    <row r="25256">
      <c r="A25256" s="4" t="s">
        <v>31788</v>
      </c>
      <c r="B25256" s="4" t="s">
        <v>31789</v>
      </c>
      <c r="C25256" s="5" t="str">
        <f>IFERROR(__xludf.DUMMYFUNCTION("GOOGLETRANSLATE(B25256,""en"",""es-ES"")"),"Las dos chicas se abrazan y la chica que lleva el vestido azul empuja ligeramente a la otra niña.")</f>
        <v>Las dos chicas se abrazan y la chica que lleva el vestido azul empuja ligeramente a la otra niña.</v>
      </c>
    </row>
    <row r="25257">
      <c r="A25257" s="4" t="s">
        <v>31788</v>
      </c>
      <c r="B25257" s="4" t="s">
        <v>31790</v>
      </c>
      <c r="C25257" s="5" t="str">
        <f>IFERROR(__xludf.DUMMYFUNCTION("GOOGLETRANSLATE(B25257,""en"",""es-ES"")"),"Luego corre de regreso a ella y la abraza y vuelve a escapar de ella.")</f>
        <v>Luego corre de regreso a ella y la abraza y vuelve a escapar de ella.</v>
      </c>
    </row>
    <row r="25258">
      <c r="A25258" s="4" t="s">
        <v>31791</v>
      </c>
      <c r="B25258" s="4" t="s">
        <v>31792</v>
      </c>
      <c r="C25258" s="5" t="str">
        <f>IFERROR(__xludf.DUMMYFUNCTION("GOOGLETRANSLATE(B25258,""en"",""es-ES"")"),"Vemos a un hombre hablando con la cámara mientras sostiene un acordeón.")</f>
        <v>Vemos a un hombre hablando con la cámara mientras sostiene un acordeón.</v>
      </c>
    </row>
    <row r="25259">
      <c r="A25259" s="4" t="s">
        <v>31791</v>
      </c>
      <c r="B25259" s="4" t="s">
        <v>31793</v>
      </c>
      <c r="C25259" s="5" t="str">
        <f>IFERROR(__xludf.DUMMYFUNCTION("GOOGLETRANSLATE(B25259,""en"",""es-ES"")"),"El hombre luego juega el acordeón y lo vemos de cerca.")</f>
        <v>El hombre luego juega el acordeón y lo vemos de cerca.</v>
      </c>
    </row>
    <row r="25260">
      <c r="A25260" s="4" t="s">
        <v>31791</v>
      </c>
      <c r="B25260" s="4" t="s">
        <v>31794</v>
      </c>
      <c r="C25260" s="5" t="str">
        <f>IFERROR(__xludf.DUMMYFUNCTION("GOOGLETRANSLATE(B25260,""en"",""es-ES"")"),"El hombre sostiene una nota y sus manos se sacuden.")</f>
        <v>El hombre sostiene una nota y sus manos se sacuden.</v>
      </c>
    </row>
    <row r="25261">
      <c r="A25261" s="4" t="s">
        <v>31791</v>
      </c>
      <c r="B25261" s="4" t="s">
        <v>31795</v>
      </c>
      <c r="C25261" s="5" t="str">
        <f>IFERROR(__xludf.DUMMYFUNCTION("GOOGLETRANSLATE(B25261,""en"",""es-ES"")"),"Nos alejamos y el hombre deja de jugar.")</f>
        <v>Nos alejamos y el hombre deja de jugar.</v>
      </c>
    </row>
    <row r="25262">
      <c r="A25262" s="4" t="s">
        <v>31796</v>
      </c>
      <c r="B25262" s="4" t="s">
        <v>31797</v>
      </c>
      <c r="C25262" s="5" t="str">
        <f>IFERROR(__xludf.DUMMYFUNCTION("GOOGLETRANSLATE(B25262,""en"",""es-ES"")"),"Se ve a un gran grupo de personas corriendo por una pista y hace transiciones a varias personas más corriendo.")</f>
        <v>Se ve a un gran grupo de personas corriendo por una pista y hace transiciones a varias personas más corriendo.</v>
      </c>
    </row>
    <row r="25263">
      <c r="A25263" s="4" t="s">
        <v>31796</v>
      </c>
      <c r="B25263" s="4" t="s">
        <v>31798</v>
      </c>
      <c r="C25263" s="5" t="str">
        <f>IFERROR(__xludf.DUMMYFUNCTION("GOOGLETRANSLATE(B25263,""en"",""es-ES"")"),"Dos chicas revisan sus muñecas mientras se habla con la cámara y se muestran varias tomas de una pulsera.")</f>
        <v>Dos chicas revisan sus muñecas mientras se habla con la cámara y se muestran varias tomas de una pulsera.</v>
      </c>
    </row>
    <row r="25264">
      <c r="A25264" s="4" t="s">
        <v>31796</v>
      </c>
      <c r="B25264" s="4" t="s">
        <v>31799</v>
      </c>
      <c r="C25264" s="5" t="str">
        <f>IFERROR(__xludf.DUMMYFUNCTION("GOOGLETRANSLATE(B25264,""en"",""es-ES"")"),"Se entrevistan a más personas mientras usan las muñequeras y muestran cómo funcionan mientras muchos corren.")</f>
        <v>Se entrevistan a más personas mientras usan las muñequeras y muestran cómo funcionan mientras muchos corren.</v>
      </c>
    </row>
    <row r="25265">
      <c r="A25265" s="4" t="s">
        <v>31800</v>
      </c>
      <c r="B25265" s="4" t="s">
        <v>31801</v>
      </c>
      <c r="C25265" s="5" t="str">
        <f>IFERROR(__xludf.DUMMYFUNCTION("GOOGLETRANSLATE(B25265,""en"",""es-ES"")"),"Vemos hombres en un bote, aparece una sierra que un hombre en una hamaca.")</f>
        <v>Vemos hombres en un bote, aparece una sierra que un hombre en una hamaca.</v>
      </c>
    </row>
    <row r="25266">
      <c r="A25266" s="4" t="s">
        <v>31800</v>
      </c>
      <c r="B25266" s="4" t="s">
        <v>31802</v>
      </c>
      <c r="C25266" s="5" t="str">
        <f>IFERROR(__xludf.DUMMYFUNCTION("GOOGLETRANSLATE(B25266,""en"",""es-ES"")"),"El hombre se levanta y va a su cortacésped y crea algo en una rueda bien y lo ata con el cortacésped y la puerta del cobertizo.")</f>
        <v>El hombre se levanta y va a su cortacésped y crea algo en una rueda bien y lo ata con el cortacésped y la puerta del cobertizo.</v>
      </c>
    </row>
    <row r="25267">
      <c r="A25267" s="4" t="s">
        <v>31800</v>
      </c>
      <c r="B25267" s="4" t="s">
        <v>31803</v>
      </c>
      <c r="C25267" s="5" t="str">
        <f>IFERROR(__xludf.DUMMYFUNCTION("GOOGLETRANSLATE(B25267,""en"",""es-ES"")"),"El hombre permite que el cortacésped gire alrededor del objeto y corte la hierba.")</f>
        <v>El hombre permite que el cortacésped gire alrededor del objeto y corte la hierba.</v>
      </c>
    </row>
    <row r="25268">
      <c r="A25268" s="4" t="s">
        <v>31800</v>
      </c>
      <c r="B25268" s="4" t="s">
        <v>31804</v>
      </c>
      <c r="C25268" s="5" t="str">
        <f>IFERROR(__xludf.DUMMYFUNCTION("GOOGLETRANSLATE(B25268,""en"",""es-ES"")"),"Luego tira del objeto en el cobertizo de la línea y la puerta se cerró.")</f>
        <v>Luego tira del objeto en el cobertizo de la línea y la puerta se cerró.</v>
      </c>
    </row>
    <row r="25269">
      <c r="A25269" s="4" t="s">
        <v>31805</v>
      </c>
      <c r="B25269" s="4" t="s">
        <v>31806</v>
      </c>
      <c r="C25269" s="5" t="str">
        <f>IFERROR(__xludf.DUMMYFUNCTION("GOOGLETRANSLATE(B25269,""en"",""es-ES"")"),"Un ADD muestra un sitio web sobre un negocio llamado HappyDogz.")</f>
        <v>Un ADD muestra un sitio web sobre un negocio llamado HappyDogz.</v>
      </c>
    </row>
    <row r="25270">
      <c r="A25270" s="4" t="s">
        <v>31805</v>
      </c>
      <c r="B25270" s="4" t="s">
        <v>31807</v>
      </c>
      <c r="C25270" s="5" t="str">
        <f>IFERROR(__xludf.DUMMYFUNCTION("GOOGLETRANSLATE(B25270,""en"",""es-ES"")"),"Luego, un hombre aparece tirado por un perro, luego agrega información de visualización sobre una correa para perros retráctil.")</f>
        <v>Luego, un hombre aparece tirado por un perro, luego agrega información de visualización sobre una correa para perros retráctil.</v>
      </c>
    </row>
    <row r="25271">
      <c r="A25271" s="4" t="s">
        <v>31805</v>
      </c>
      <c r="B25271" s="4" t="s">
        <v>31808</v>
      </c>
      <c r="C25271" s="5" t="str">
        <f>IFERROR(__xludf.DUMMYFUNCTION("GOOGLETRANSLATE(B25271,""en"",""es-ES"")"),"Después, un par saca a dos perros de las correas.")</f>
        <v>Después, un par saca a dos perros de las correas.</v>
      </c>
    </row>
    <row r="25272">
      <c r="A25272" s="4" t="s">
        <v>31805</v>
      </c>
      <c r="B25272" s="4" t="s">
        <v>31809</v>
      </c>
      <c r="C25272" s="5" t="str">
        <f>IFERROR(__xludf.DUMMYFUNCTION("GOOGLETRANSLATE(B25272,""en"",""es-ES"")"),"Después, agrega información de visualización sobre la correa.")</f>
        <v>Después, agrega información de visualización sobre la correa.</v>
      </c>
    </row>
    <row r="25273">
      <c r="A25273" s="4" t="s">
        <v>31810</v>
      </c>
      <c r="B25273" s="4" t="s">
        <v>31811</v>
      </c>
      <c r="C25273" s="5" t="str">
        <f>IFERROR(__xludf.DUMMYFUNCTION("GOOGLETRANSLATE(B25273,""en"",""es-ES"")"),"Un bombeo tallado con una luz brilla sobre un mostrador.")</f>
        <v>Un bombeo tallado con una luz brilla sobre un mostrador.</v>
      </c>
    </row>
    <row r="25274">
      <c r="A25274" s="4" t="s">
        <v>31810</v>
      </c>
      <c r="B25274" s="4" t="s">
        <v>31812</v>
      </c>
      <c r="C25274" s="5" t="str">
        <f>IFERROR(__xludf.DUMMYFUNCTION("GOOGLETRANSLATE(B25274,""en"",""es-ES"")"),"Luego se muestran los suministros para la talla.")</f>
        <v>Luego se muestran los suministros para la talla.</v>
      </c>
    </row>
    <row r="25275">
      <c r="A25275" s="4" t="s">
        <v>31810</v>
      </c>
      <c r="B25275" s="4" t="s">
        <v>31813</v>
      </c>
      <c r="C25275" s="5" t="str">
        <f>IFERROR(__xludf.DUMMYFUNCTION("GOOGLETRANSLATE(B25275,""en"",""es-ES"")"),"Una mujer corta la parte superior de la calabaza, vaciando las semillas.")</f>
        <v>Una mujer corta la parte superior de la calabaza, vaciando las semillas.</v>
      </c>
    </row>
    <row r="25276">
      <c r="A25276" s="4" t="s">
        <v>31810</v>
      </c>
      <c r="B25276" s="4" t="s">
        <v>31814</v>
      </c>
      <c r="C25276" s="5" t="str">
        <f>IFERROR(__xludf.DUMMYFUNCTION("GOOGLETRANSLATE(B25276,""en"",""es-ES"")"),"Luego talla las líneas trazadas para cortar el diseño.")</f>
        <v>Luego talla las líneas trazadas para cortar el diseño.</v>
      </c>
    </row>
    <row r="25277">
      <c r="A25277" s="4" t="s">
        <v>31810</v>
      </c>
      <c r="B25277" s="4" t="s">
        <v>31815</v>
      </c>
      <c r="C25277" s="5" t="str">
        <f>IFERROR(__xludf.DUMMYFUNCTION("GOOGLETRANSLATE(B25277,""en"",""es-ES"")"),"Cuando termina, se coloca una luz de té dentro de la calabaza y se enciende.")</f>
        <v>Cuando termina, se coloca una luz de té dentro de la calabaza y se enciende.</v>
      </c>
    </row>
    <row r="25278">
      <c r="A25278" s="4" t="s">
        <v>31816</v>
      </c>
      <c r="B25278" s="4" t="s">
        <v>16436</v>
      </c>
      <c r="C25278" s="5" t="str">
        <f>IFERROR(__xludf.DUMMYFUNCTION("GOOGLETRANSLATE(B25278,""en"",""es-ES"")"),"Una mujer está arrodillada sobre una alfombra azul.")</f>
        <v>Una mujer está arrodillada sobre una alfombra azul.</v>
      </c>
    </row>
    <row r="25279">
      <c r="A25279" s="4" t="s">
        <v>31816</v>
      </c>
      <c r="B25279" s="4" t="s">
        <v>31817</v>
      </c>
      <c r="C25279" s="5" t="str">
        <f>IFERROR(__xludf.DUMMYFUNCTION("GOOGLETRANSLATE(B25279,""en"",""es-ES"")"),"Ella tiene una barra de peso de metal en los hombros.")</f>
        <v>Ella tiene una barra de peso de metal en los hombros.</v>
      </c>
    </row>
    <row r="25280">
      <c r="A25280" s="4" t="s">
        <v>31816</v>
      </c>
      <c r="B25280" s="4" t="s">
        <v>31818</v>
      </c>
      <c r="C25280" s="5" t="str">
        <f>IFERROR(__xludf.DUMMYFUNCTION("GOOGLETRANSLATE(B25280,""en"",""es-ES"")"),"Ella se mueve hacia arriba y hacia abajo levantando el peso.")</f>
        <v>Ella se mueve hacia arriba y hacia abajo levantando el peso.</v>
      </c>
    </row>
    <row r="25281">
      <c r="A25281" s="4" t="s">
        <v>31819</v>
      </c>
      <c r="B25281" s="4" t="s">
        <v>31820</v>
      </c>
      <c r="C25281" s="5" t="str">
        <f>IFERROR(__xludf.DUMMYFUNCTION("GOOGLETRANSLATE(B25281,""en"",""es-ES"")"),"Se ve a una mujer hablando con la cámara mientras sostiene una botella de protector solar.")</f>
        <v>Se ve a una mujer hablando con la cámara mientras sostiene una botella de protector solar.</v>
      </c>
    </row>
    <row r="25282">
      <c r="A25282" s="4" t="s">
        <v>31819</v>
      </c>
      <c r="B25282" s="4" t="s">
        <v>31821</v>
      </c>
      <c r="C25282" s="5" t="str">
        <f>IFERROR(__xludf.DUMMYFUNCTION("GOOGLETRANSLATE(B25282,""en"",""es-ES"")"),"Luego abre la botella y usa un soporte a un lado.")</f>
        <v>Luego abre la botella y usa un soporte a un lado.</v>
      </c>
    </row>
    <row r="25283">
      <c r="A25283" s="4" t="s">
        <v>31819</v>
      </c>
      <c r="B25283" s="4" t="s">
        <v>31822</v>
      </c>
      <c r="C25283" s="5" t="str">
        <f>IFERROR(__xludf.DUMMYFUNCTION("GOOGLETRANSLATE(B25283,""en"",""es-ES"")"),"Ella muestra al soporte mientras sigue hablando con la cámara.")</f>
        <v>Ella muestra al soporte mientras sigue hablando con la cámara.</v>
      </c>
    </row>
    <row r="25284">
      <c r="A25284" s="4" t="s">
        <v>31823</v>
      </c>
      <c r="B25284" s="4" t="s">
        <v>31824</v>
      </c>
      <c r="C25284" s="5" t="str">
        <f>IFERROR(__xludf.DUMMYFUNCTION("GOOGLETRANSLATE(B25284,""en"",""es-ES"")"),"Varias personas son vistas paradas entre sí sosteniendo palos y mirando a su alrededor.")</f>
        <v>Varias personas son vistas paradas entre sí sosteniendo palos y mirando a su alrededor.</v>
      </c>
    </row>
    <row r="25285">
      <c r="A25285" s="4" t="s">
        <v>31823</v>
      </c>
      <c r="B25285" s="4" t="s">
        <v>31825</v>
      </c>
      <c r="C25285" s="5" t="str">
        <f>IFERROR(__xludf.DUMMYFUNCTION("GOOGLETRANSLATE(B25285,""en"",""es-ES"")"),"La gente golpeó una pelota en un césped a la vez y se los ve riendo y sonriéndose el uno al otro.")</f>
        <v>La gente golpeó una pelota en un césped a la vez y se los ve riendo y sonriéndose el uno al otro.</v>
      </c>
    </row>
    <row r="25286">
      <c r="A25286" s="4" t="s">
        <v>31826</v>
      </c>
      <c r="B25286" s="4" t="s">
        <v>31827</v>
      </c>
      <c r="C25286" s="5" t="str">
        <f>IFERROR(__xludf.DUMMYFUNCTION("GOOGLETRANSLATE(B25286,""en"",""es-ES"")"),"Un hombre se está balanceando en un rayo de equilibrio.")</f>
        <v>Un hombre se está balanceando en un rayo de equilibrio.</v>
      </c>
    </row>
    <row r="25287">
      <c r="A25287" s="4" t="s">
        <v>31826</v>
      </c>
      <c r="B25287" s="4" t="s">
        <v>31828</v>
      </c>
      <c r="C25287" s="5" t="str">
        <f>IFERROR(__xludf.DUMMYFUNCTION("GOOGLETRANSLATE(B25287,""en"",""es-ES"")"),"Salta y pone sus manos en el aire.")</f>
        <v>Salta y pone sus manos en el aire.</v>
      </c>
    </row>
    <row r="25288">
      <c r="A25288" s="4" t="s">
        <v>31826</v>
      </c>
      <c r="B25288" s="4" t="s">
        <v>31829</v>
      </c>
      <c r="C25288" s="5" t="str">
        <f>IFERROR(__xludf.DUMMYFUNCTION("GOOGLETRANSLATE(B25288,""en"",""es-ES"")"),"Vuelve al rayo de equilibrio.")</f>
        <v>Vuelve al rayo de equilibrio.</v>
      </c>
    </row>
    <row r="25289">
      <c r="A25289" s="4" t="s">
        <v>31830</v>
      </c>
      <c r="B25289" s="4" t="s">
        <v>31831</v>
      </c>
      <c r="C25289" s="5" t="str">
        <f>IFERROR(__xludf.DUMMYFUNCTION("GOOGLETRANSLATE(B25289,""en"",""es-ES"")"),"Un hombre está en una bolera vestida con ropa de boliche, zapatos y guantes mientras se vuelve turno rodando la pelota por el carril y golpeando alfileres.")</f>
        <v>Un hombre está en una bolera vestida con ropa de boliche, zapatos y guantes mientras se vuelve turno rodando la pelota por el carril y golpeando alfileres.</v>
      </c>
    </row>
    <row r="25290">
      <c r="A25290" s="4" t="s">
        <v>31830</v>
      </c>
      <c r="B25290" s="4" t="s">
        <v>31832</v>
      </c>
      <c r="C25290" s="5" t="str">
        <f>IFERROR(__xludf.DUMMYFUNCTION("GOOGLETRANSLATE(B25290,""en"",""es-ES"")"),"El hombre agarra la pelota desde el regreso y sostiene la pelota y se queda allí por un rato mirando por el carril, y cuando finalmente lo roda, hace un golpe.")</f>
        <v>El hombre agarra la pelota desde el regreso y sostiene la pelota y se queda allí por un rato mirando por el carril, y cuando finalmente lo roda, hace un golpe.</v>
      </c>
    </row>
    <row r="25291">
      <c r="A25291" s="4" t="s">
        <v>31830</v>
      </c>
      <c r="B25291" s="4" t="s">
        <v>31833</v>
      </c>
      <c r="C25291" s="5" t="str">
        <f>IFERROR(__xludf.DUMMYFUNCTION("GOOGLETRANSLATE(B25291,""en"",""es-ES"")"),"Cuando termina la huelga, se repite en cámara lenta.")</f>
        <v>Cuando termina la huelga, se repite en cámara lenta.</v>
      </c>
    </row>
    <row r="25292">
      <c r="A25292" s="4" t="s">
        <v>31834</v>
      </c>
      <c r="B25292" s="4" t="s">
        <v>31835</v>
      </c>
      <c r="C25292" s="5" t="str">
        <f>IFERROR(__xludf.DUMMYFUNCTION("GOOGLETRANSLATE(B25292,""en"",""es-ES"")"),"Aparece una vista de una parte superior de un techo con pajitas de pino esparcidas por todas partes y una pancarta en la parte inferior dice ""Si tienes paja de pino en tu techo, llámenos 678-887-9479.")</f>
        <v>Aparece una vista de una parte superior de un techo con pajitas de pino esparcidas por todas partes y una pancarta en la parte inferior dice "Si tienes paja de pino en tu techo, llámenos 678-887-9479.</v>
      </c>
    </row>
    <row r="25293">
      <c r="A25293" s="4" t="s">
        <v>31834</v>
      </c>
      <c r="B25293" s="4" t="s">
        <v>31836</v>
      </c>
      <c r="C25293" s="5" t="str">
        <f>IFERROR(__xludf.DUMMYFUNCTION("GOOGLETRANSLATE(B25293,""en"",""es-ES"")"),"Un hombre ahora está en la parte superior del techo y tiene un soplador en su mano derecha, palo de metal en su mano izquierda para equilibrar, y camina por el techo que sopla todas las pajitas de pino.")</f>
        <v>Un hombre ahora está en la parte superior del techo y tiene un soplador en su mano derecha, palo de metal en su mano izquierda para equilibrar, y camina por el techo que sopla todas las pajitas de pino.</v>
      </c>
    </row>
    <row r="25294">
      <c r="A25294" s="4" t="s">
        <v>31834</v>
      </c>
      <c r="B25294" s="4" t="s">
        <v>31837</v>
      </c>
      <c r="C25294" s="5" t="str">
        <f>IFERROR(__xludf.DUMMYFUNCTION("GOOGLETRANSLATE(B25294,""en"",""es-ES"")"),"La última vista es del techo limpio y el sitio web se muestra en la parte inferior de la pantalla.")</f>
        <v>La última vista es del techo limpio y el sitio web se muestra en la parte inferior de la pantalla.</v>
      </c>
    </row>
    <row r="25295">
      <c r="A25295" s="4" t="s">
        <v>31838</v>
      </c>
      <c r="B25295" s="4" t="s">
        <v>31839</v>
      </c>
      <c r="C25295" s="5" t="str">
        <f>IFERROR(__xludf.DUMMYFUNCTION("GOOGLETRANSLATE(B25295,""en"",""es-ES"")"),"Un hombre está colocando alfombra en una habitación.")</f>
        <v>Un hombre está colocando alfombra en una habitación.</v>
      </c>
    </row>
    <row r="25296">
      <c r="A25296" s="4" t="s">
        <v>31838</v>
      </c>
      <c r="B25296" s="4" t="s">
        <v>31840</v>
      </c>
      <c r="C25296" s="5" t="str">
        <f>IFERROR(__xludf.DUMMYFUNCTION("GOOGLETRANSLATE(B25296,""en"",""es-ES"")"),"Una mujer está mirando muestras de alfombras en una tienda.")</f>
        <v>Una mujer está mirando muestras de alfombras en una tienda.</v>
      </c>
    </row>
    <row r="25297">
      <c r="A25297" s="4" t="s">
        <v>31838</v>
      </c>
      <c r="B25297" s="4" t="s">
        <v>31841</v>
      </c>
      <c r="C25297" s="5" t="str">
        <f>IFERROR(__xludf.DUMMYFUNCTION("GOOGLETRANSLATE(B25297,""en"",""es-ES"")"),"Los hombres están de rodillas instalando pisos de madera.")</f>
        <v>Los hombres están de rodillas instalando pisos de madera.</v>
      </c>
    </row>
    <row r="25298">
      <c r="A25298" s="4" t="s">
        <v>31842</v>
      </c>
      <c r="B25298" s="4" t="s">
        <v>31843</v>
      </c>
      <c r="C25298" s="5" t="str">
        <f>IFERROR(__xludf.DUMMYFUNCTION("GOOGLETRANSLATE(B25298,""en"",""es-ES"")"),"Se ve a un hombre atlético de pie al comienzo de una larga pista con varias personas paradas al margen.")</f>
        <v>Se ve a un hombre atlético de pie al comienzo de una larga pista con varias personas paradas al margen.</v>
      </c>
    </row>
    <row r="25299">
      <c r="A25299" s="4" t="s">
        <v>31842</v>
      </c>
      <c r="B25299" s="4" t="s">
        <v>31844</v>
      </c>
      <c r="C25299" s="5" t="str">
        <f>IFERROR(__xludf.DUMMYFUNCTION("GOOGLETRANSLATE(B25299,""en"",""es-ES"")"),"Comienza a correr por la pista y saltando con algunos otros caminar a su alrededor en la distancia.")</f>
        <v>Comienza a correr por la pista y saltando con algunos otros caminar a su alrededor en la distancia.</v>
      </c>
    </row>
    <row r="25300">
      <c r="A25300" s="4" t="s">
        <v>31845</v>
      </c>
      <c r="B25300" s="4" t="s">
        <v>31846</v>
      </c>
      <c r="C25300" s="5" t="str">
        <f>IFERROR(__xludf.DUMMYFUNCTION("GOOGLETRANSLATE(B25300,""en"",""es-ES"")"),"Una audiencia se reúne en un gimnasio para ver a la gimnasta en el caballo de pomo.")</f>
        <v>Una audiencia se reúne en un gimnasio para ver a la gimnasta en el caballo de pomo.</v>
      </c>
    </row>
    <row r="25301">
      <c r="A25301" s="4" t="s">
        <v>31845</v>
      </c>
      <c r="B25301" s="4" t="s">
        <v>31847</v>
      </c>
      <c r="C25301" s="5" t="str">
        <f>IFERROR(__xludf.DUMMYFUNCTION("GOOGLETRANSLATE(B25301,""en"",""es-ES"")"),"Se concentra, y luego se monta para comenzar su rutina.")</f>
        <v>Se concentra, y luego se monta para comenzar su rutina.</v>
      </c>
    </row>
    <row r="25302">
      <c r="A25302" s="4" t="s">
        <v>31845</v>
      </c>
      <c r="B25302" s="4" t="s">
        <v>31848</v>
      </c>
      <c r="C25302" s="5" t="str">
        <f>IFERROR(__xludf.DUMMYFUNCTION("GOOGLETRANSLATE(B25302,""en"",""es-ES"")"),"Realiza el primero, y luego una segunda parada de manos impresionante mientras agarra un mango con ambas manos.")</f>
        <v>Realiza el primero, y luego una segunda parada de manos impresionante mientras agarra un mango con ambas manos.</v>
      </c>
    </row>
    <row r="25303">
      <c r="A25303" s="4" t="s">
        <v>31845</v>
      </c>
      <c r="B25303" s="4" t="s">
        <v>31849</v>
      </c>
      <c r="C25303" s="5" t="str">
        <f>IFERROR(__xludf.DUMMYFUNCTION("GOOGLETRANSLATE(B25303,""en"",""es-ES"")"),"Completa su rutina y luego termina con un desmontaje impecable de vítores.")</f>
        <v>Completa su rutina y luego termina con un desmontaje impecable de vítores.</v>
      </c>
    </row>
    <row r="25304">
      <c r="A25304" s="4" t="s">
        <v>31850</v>
      </c>
      <c r="B25304" s="4" t="s">
        <v>31851</v>
      </c>
      <c r="C25304" s="5" t="str">
        <f>IFERROR(__xludf.DUMMYFUNCTION("GOOGLETRANSLATE(B25304,""en"",""es-ES"")"),"Se ve a un hombre arrojando un dardo sobre la cámara mientras mira a la distancia.")</f>
        <v>Se ve a un hombre arrojando un dardo sobre la cámara mientras mira a la distancia.</v>
      </c>
    </row>
    <row r="25305">
      <c r="A25305" s="4" t="s">
        <v>31850</v>
      </c>
      <c r="B25305" s="4" t="s">
        <v>31852</v>
      </c>
      <c r="C25305" s="5" t="str">
        <f>IFERROR(__xludf.DUMMYFUNCTION("GOOGLETRANSLATE(B25305,""en"",""es-ES"")"),"Se muestran varias tomas de él lanzando, así como texto que atraviesa la pantalla.")</f>
        <v>Se muestran varias tomas de él lanzando, así como texto que atraviesa la pantalla.</v>
      </c>
    </row>
    <row r="25306">
      <c r="A25306" s="4" t="s">
        <v>31850</v>
      </c>
      <c r="B25306" s="4" t="s">
        <v>31853</v>
      </c>
      <c r="C25306" s="5" t="str">
        <f>IFERROR(__xludf.DUMMYFUNCTION("GOOGLETRANSLATE(B25306,""en"",""es-ES"")"),"El hombre continúa lanzando una y otra vez.")</f>
        <v>El hombre continúa lanzando una y otra vez.</v>
      </c>
    </row>
    <row r="25307">
      <c r="A25307" s="4" t="s">
        <v>31854</v>
      </c>
      <c r="B25307" s="4" t="s">
        <v>31855</v>
      </c>
      <c r="C25307" s="5" t="str">
        <f>IFERROR(__xludf.DUMMYFUNCTION("GOOGLETRANSLATE(B25307,""en"",""es-ES"")"),"Una mujer muestra cómo cubrir un pastel con glaseado con una espátula.")</f>
        <v>Una mujer muestra cómo cubrir un pastel con glaseado con una espátula.</v>
      </c>
    </row>
    <row r="25308">
      <c r="A25308" s="4" t="s">
        <v>31854</v>
      </c>
      <c r="B25308" s="4" t="s">
        <v>31856</v>
      </c>
      <c r="C25308" s="5" t="str">
        <f>IFERROR(__xludf.DUMMYFUNCTION("GOOGLETRANSLATE(B25308,""en"",""es-ES"")"),"Luego, explica cómo limpiar el borde del pastel con un paño.")</f>
        <v>Luego, explica cómo limpiar el borde del pastel con un paño.</v>
      </c>
    </row>
    <row r="25309">
      <c r="A25309" s="4" t="s">
        <v>31857</v>
      </c>
      <c r="B25309" s="4" t="s">
        <v>31858</v>
      </c>
      <c r="C25309" s="5" t="str">
        <f>IFERROR(__xludf.DUMMYFUNCTION("GOOGLETRANSLATE(B25309,""en"",""es-ES"")"),"Se muestra un primer plano de un teléfono, así como a una persona que se despierta, se cepilla los dientes y sale por la puerta.")</f>
        <v>Se muestra un primer plano de un teléfono, así como a una persona que se despierta, se cepilla los dientes y sale por la puerta.</v>
      </c>
    </row>
    <row r="25310">
      <c r="A25310" s="4" t="s">
        <v>31857</v>
      </c>
      <c r="B25310" s="4" t="s">
        <v>31859</v>
      </c>
      <c r="C25310" s="5" t="str">
        <f>IFERROR(__xludf.DUMMYFUNCTION("GOOGLETRANSLATE(B25310,""en"",""es-ES"")"),"Se muestran los primeros planos de personas que viajan por un ascensor de esquí, así como por una montaña.")</f>
        <v>Se muestran los primeros planos de personas que viajan por un ascensor de esquí, así como por una montaña.</v>
      </c>
    </row>
    <row r="25311">
      <c r="A25311" s="4" t="s">
        <v>31857</v>
      </c>
      <c r="B25311" s="4" t="s">
        <v>31860</v>
      </c>
      <c r="C25311" s="5" t="str">
        <f>IFERROR(__xludf.DUMMYFUNCTION("GOOGLETRANSLATE(B25311,""en"",""es-ES"")"),"La gente se acerca a la cámara mirando de cerca y saludando entre sí.")</f>
        <v>La gente se acerca a la cámara mirando de cerca y saludando entre sí.</v>
      </c>
    </row>
    <row r="25312">
      <c r="A25312" s="4" t="s">
        <v>31861</v>
      </c>
      <c r="B25312" s="4" t="s">
        <v>31862</v>
      </c>
      <c r="C25312" s="5" t="str">
        <f>IFERROR(__xludf.DUMMYFUNCTION("GOOGLETRANSLATE(B25312,""en"",""es-ES"")"),"Se ve a una persona parada en una habitación cerrada sosteniendo una raqueta de tenis.")</f>
        <v>Se ve a una persona parada en una habitación cerrada sosteniendo una raqueta de tenis.</v>
      </c>
    </row>
    <row r="25313">
      <c r="A25313" s="4" t="s">
        <v>31861</v>
      </c>
      <c r="B25313" s="4" t="s">
        <v>31863</v>
      </c>
      <c r="C25313" s="5" t="str">
        <f>IFERROR(__xludf.DUMMYFUNCTION("GOOGLETRANSLATE(B25313,""en"",""es-ES"")"),"La persona luego comienza a golpear la pelota con la raqueta y caminar.")</f>
        <v>La persona luego comienza a golpear la pelota con la raqueta y caminar.</v>
      </c>
    </row>
    <row r="25314">
      <c r="A25314" s="4" t="s">
        <v>31861</v>
      </c>
      <c r="B25314" s="4" t="s">
        <v>31864</v>
      </c>
      <c r="C25314" s="5" t="str">
        <f>IFERROR(__xludf.DUMMYFUNCTION("GOOGLETRANSLATE(B25314,""en"",""es-ES"")"),"Se ve a otra persona caminando en el marco y fuera.")</f>
        <v>Se ve a otra persona caminando en el marco y fuera.</v>
      </c>
    </row>
    <row r="25315">
      <c r="A25315" s="4" t="s">
        <v>31865</v>
      </c>
      <c r="B25315" s="4" t="s">
        <v>31866</v>
      </c>
      <c r="C25315" s="5" t="str">
        <f>IFERROR(__xludf.DUMMYFUNCTION("GOOGLETRANSLATE(B25315,""en"",""es-ES"")"),"Dos niños saltan cuerdas afuera.")</f>
        <v>Dos niños saltan cuerdas afuera.</v>
      </c>
    </row>
    <row r="25316">
      <c r="A25316" s="4" t="s">
        <v>31865</v>
      </c>
      <c r="B25316" s="4" t="s">
        <v>31867</v>
      </c>
      <c r="C25316" s="5" t="str">
        <f>IFERROR(__xludf.DUMMYFUNCTION("GOOGLETRANSLATE(B25316,""en"",""es-ES"")"),"Dos adultos están arrodillados en el suelo sosteniendo una cuerda de salto para un niño.")</f>
        <v>Dos adultos están arrodillados en el suelo sosteniendo una cuerda de salto para un niño.</v>
      </c>
    </row>
    <row r="25317">
      <c r="A25317" s="4" t="s">
        <v>31865</v>
      </c>
      <c r="B25317" s="4" t="s">
        <v>31868</v>
      </c>
      <c r="C25317" s="5" t="str">
        <f>IFERROR(__xludf.DUMMYFUNCTION("GOOGLETRANSLATE(B25317,""en"",""es-ES"")"),"La mujer está hablando con la cámara.")</f>
        <v>La mujer está hablando con la cámara.</v>
      </c>
    </row>
    <row r="25318">
      <c r="A25318" s="4" t="s">
        <v>31865</v>
      </c>
      <c r="B25318" s="4" t="s">
        <v>31869</v>
      </c>
      <c r="C25318" s="5" t="str">
        <f>IFERROR(__xludf.DUMMYFUNCTION("GOOGLETRANSLATE(B25318,""en"",""es-ES"")"),"Un niño derrama un vaso en su rostro mientras salta cuerda.")</f>
        <v>Un niño derrama un vaso en su rostro mientras salta cuerda.</v>
      </c>
    </row>
    <row r="25319">
      <c r="A25319" s="4" t="s">
        <v>31870</v>
      </c>
      <c r="B25319" s="4" t="s">
        <v>31871</v>
      </c>
      <c r="C25319" s="5" t="str">
        <f>IFERROR(__xludf.DUMMYFUNCTION("GOOGLETRANSLATE(B25319,""en"",""es-ES"")"),"La mujer usa arnés y se pone en un helicóptero arriba y está volando por encima de un volcán.")</f>
        <v>La mujer usa arnés y se pone en un helicóptero arriba y está volando por encima de un volcán.</v>
      </c>
    </row>
    <row r="25320">
      <c r="A25320" s="4" t="s">
        <v>31870</v>
      </c>
      <c r="B25320" s="4" t="s">
        <v>31872</v>
      </c>
      <c r="C25320" s="5" t="str">
        <f>IFERROR(__xludf.DUMMYFUNCTION("GOOGLETRANSLATE(B25320,""en"",""es-ES"")"),"Un hombre y una mujer colgan de la puerta del helicóptero se sujetan a una cuerda y saltan.")</f>
        <v>Un hombre y una mujer colgan de la puerta del helicóptero se sujetan a una cuerda y saltan.</v>
      </c>
    </row>
    <row r="25321">
      <c r="A25321" s="4" t="s">
        <v>31870</v>
      </c>
      <c r="B25321" s="4" t="s">
        <v>31873</v>
      </c>
      <c r="C25321" s="5" t="str">
        <f>IFERROR(__xludf.DUMMYFUNCTION("GOOGLETRANSLATE(B25321,""en"",""es-ES"")"),"El hombre y la mujer están en la tierra hablando con una pareja.")</f>
        <v>El hombre y la mujer están en la tierra hablando con una pareja.</v>
      </c>
    </row>
    <row r="25322">
      <c r="A25322" s="4" t="s">
        <v>31874</v>
      </c>
      <c r="B25322" s="4" t="s">
        <v>31875</v>
      </c>
      <c r="C25322" s="5" t="str">
        <f>IFERROR(__xludf.DUMMYFUNCTION("GOOGLETRANSLATE(B25322,""en"",""es-ES"")"),"Hombre en frente de un automóvil con el capó abierto.")</f>
        <v>Hombre en frente de un automóvil con el capó abierto.</v>
      </c>
    </row>
    <row r="25323">
      <c r="A25323" s="4" t="s">
        <v>31874</v>
      </c>
      <c r="B25323" s="4" t="s">
        <v>31876</v>
      </c>
      <c r="C25323" s="5" t="str">
        <f>IFERROR(__xludf.DUMMYFUNCTION("GOOGLETRANSLATE(B25323,""en"",""es-ES"")"),"El hombre camina por el bosque y ty para encender un fuego de leña.")</f>
        <v>El hombre camina por el bosque y ty para encender un fuego de leña.</v>
      </c>
    </row>
    <row r="25324">
      <c r="A25324" s="4" t="s">
        <v>31877</v>
      </c>
      <c r="B25324" s="4" t="s">
        <v>31878</v>
      </c>
      <c r="C25324" s="5" t="str">
        <f>IFERROR(__xludf.DUMMYFUNCTION("GOOGLETRANSLATE(B25324,""en"",""es-ES"")"),"Alguien está acariciando pintura azul hacia arriba y hacia abajo en una cerca.")</f>
        <v>Alguien está acariciando pintura azul hacia arriba y hacia abajo en una cerca.</v>
      </c>
    </row>
    <row r="25325">
      <c r="A25325" s="4" t="s">
        <v>31877</v>
      </c>
      <c r="B25325" s="4" t="s">
        <v>31879</v>
      </c>
      <c r="C25325" s="5" t="str">
        <f>IFERROR(__xludf.DUMMYFUNCTION("GOOGLETRANSLATE(B25325,""en"",""es-ES"")"),"Pusieron el pincel de pintura nuevamente para recoger más pintura.")</f>
        <v>Pusieron el pincel de pintura nuevamente para recoger más pintura.</v>
      </c>
    </row>
    <row r="25326">
      <c r="A25326" s="4" t="s">
        <v>31877</v>
      </c>
      <c r="B25326" s="4" t="s">
        <v>31880</v>
      </c>
      <c r="C25326" s="5" t="str">
        <f>IFERROR(__xludf.DUMMYFUNCTION("GOOGLETRANSLATE(B25326,""en"",""es-ES"")"),"Luego continúe con la pintura de la cerca.")</f>
        <v>Luego continúe con la pintura de la cerca.</v>
      </c>
    </row>
    <row r="25327">
      <c r="A25327" s="4" t="s">
        <v>31877</v>
      </c>
      <c r="B25327" s="4" t="s">
        <v>31881</v>
      </c>
      <c r="C25327" s="5" t="str">
        <f>IFERROR(__xludf.DUMMYFUNCTION("GOOGLETRANSLATE(B25327,""en"",""es-ES"")"),"Lo hacen varias veces tratando de cubrir todo el marrón.")</f>
        <v>Lo hacen varias veces tratando de cubrir todo el marrón.</v>
      </c>
    </row>
    <row r="25328">
      <c r="A25328" s="4" t="s">
        <v>31882</v>
      </c>
      <c r="B25328" s="4" t="s">
        <v>31883</v>
      </c>
      <c r="C25328" s="5" t="str">
        <f>IFERROR(__xludf.DUMMYFUNCTION("GOOGLETRANSLATE(B25328,""en"",""es-ES"")"),"Se ve a un hombre de pie ante un niño de Hold sosteniendo una piñata mientras otros se paran y miran.")</f>
        <v>Se ve a un hombre de pie ante un niño de Hold sosteniendo una piñata mientras otros se paran y miran.</v>
      </c>
    </row>
    <row r="25329">
      <c r="A25329" s="4" t="s">
        <v>31882</v>
      </c>
      <c r="B25329" s="4" t="s">
        <v>31884</v>
      </c>
      <c r="C25329" s="5" t="str">
        <f>IFERROR(__xludf.DUMMYFUNCTION("GOOGLETRANSLATE(B25329,""en"",""es-ES"")"),"El niño plegado ciego luego toma múltiples columpios en la piñata mientras los niños se sientan y miran.")</f>
        <v>El niño plegado ciego luego toma múltiples columpios en la piñata mientras los niños se sientan y miran.</v>
      </c>
    </row>
    <row r="25330">
      <c r="A25330" s="4" t="s">
        <v>31885</v>
      </c>
      <c r="B25330" s="4" t="s">
        <v>31886</v>
      </c>
      <c r="C25330" s="5" t="str">
        <f>IFERROR(__xludf.DUMMYFUNCTION("GOOGLETRANSLATE(B25330,""en"",""es-ES"")"),"Hay una mujer con una camiseta sin mangas amarilla y medias negras que saltan la cuerda en un gimnasio.")</f>
        <v>Hay una mujer con una camiseta sin mangas amarilla y medias negras que saltan la cuerda en un gimnasio.</v>
      </c>
    </row>
    <row r="25331">
      <c r="A25331" s="4" t="s">
        <v>31885</v>
      </c>
      <c r="B25331" s="4" t="s">
        <v>31887</v>
      </c>
      <c r="C25331" s="5" t="str">
        <f>IFERROR(__xludf.DUMMYFUNCTION("GOOGLETRANSLATE(B25331,""en"",""es-ES"")"),"Ella salta de manera rítmica sin detenerse en la superficie del piso de madera dura.")</f>
        <v>Ella salta de manera rítmica sin detenerse en la superficie del piso de madera dura.</v>
      </c>
    </row>
    <row r="25332">
      <c r="A25332" s="4" t="s">
        <v>31885</v>
      </c>
      <c r="B25332" s="4" t="s">
        <v>31888</v>
      </c>
      <c r="C25332" s="5" t="str">
        <f>IFERROR(__xludf.DUMMYFUNCTION("GOOGLETRANSLATE(B25332,""en"",""es-ES"")"),"Después de haber terminado, una persona parada frente a ella le da un pulgar hacia arriba y aplaude por ella.")</f>
        <v>Después de haber terminado, una persona parada frente a ella le da un pulgar hacia arriba y aplaude por ella.</v>
      </c>
    </row>
    <row r="25333">
      <c r="A25333" s="4" t="s">
        <v>31889</v>
      </c>
      <c r="B25333" s="4" t="s">
        <v>31890</v>
      </c>
      <c r="C25333" s="5" t="str">
        <f>IFERROR(__xludf.DUMMYFUNCTION("GOOGLETRANSLATE(B25333,""en"",""es-ES"")"),"Una mujer está sentada en una habitación hablando.")</f>
        <v>Una mujer está sentada en una habitación hablando.</v>
      </c>
    </row>
    <row r="25334">
      <c r="A25334" s="4" t="s">
        <v>31889</v>
      </c>
      <c r="B25334" s="4" t="s">
        <v>31891</v>
      </c>
      <c r="C25334" s="5" t="str">
        <f>IFERROR(__xludf.DUMMYFUNCTION("GOOGLETRANSLATE(B25334,""en"",""es-ES"")"),"Hay un gato blanco en la cama detrás de ella.")</f>
        <v>Hay un gato blanco en la cama detrás de ella.</v>
      </c>
    </row>
    <row r="25335">
      <c r="A25335" s="4" t="s">
        <v>31889</v>
      </c>
      <c r="B25335" s="4" t="s">
        <v>31892</v>
      </c>
      <c r="C25335" s="5" t="str">
        <f>IFERROR(__xludf.DUMMYFUNCTION("GOOGLETRANSLATE(B25335,""en"",""es-ES"")"),"Ella comienza a trenzar su cabello a un lado.")</f>
        <v>Ella comienza a trenzar su cabello a un lado.</v>
      </c>
    </row>
    <row r="25336">
      <c r="A25336" s="4" t="s">
        <v>31889</v>
      </c>
      <c r="B25336" s="4" t="s">
        <v>31893</v>
      </c>
      <c r="C25336" s="5" t="str">
        <f>IFERROR(__xludf.DUMMYFUNCTION("GOOGLETRANSLATE(B25336,""en"",""es-ES"")"),"Ella continúa hablando y le da un beso a la cámara.")</f>
        <v>Ella continúa hablando y le da un beso a la cámara.</v>
      </c>
    </row>
    <row r="25337">
      <c r="A25337" s="4" t="s">
        <v>31894</v>
      </c>
      <c r="B25337" s="4" t="s">
        <v>31895</v>
      </c>
      <c r="C25337" s="5" t="str">
        <f>IFERROR(__xludf.DUMMYFUNCTION("GOOGLETRANSLATE(B25337,""en"",""es-ES"")"),"Se ve a una mujer hablando con la cámara mientras sostiene un pincel y un cubo.")</f>
        <v>Se ve a una mujer hablando con la cámara mientras sostiene un pincel y un cubo.</v>
      </c>
    </row>
    <row r="25338">
      <c r="A25338" s="4" t="s">
        <v>31894</v>
      </c>
      <c r="B25338" s="4" t="s">
        <v>31896</v>
      </c>
      <c r="C25338" s="5" t="str">
        <f>IFERROR(__xludf.DUMMYFUNCTION("GOOGLETRANSLATE(B25338,""en"",""es-ES"")"),"Ella pinta un mueble a su lado mientras sostiene un cepillo.")</f>
        <v>Ella pinta un mueble a su lado mientras sostiene un cepillo.</v>
      </c>
    </row>
    <row r="25339">
      <c r="A25339" s="4" t="s">
        <v>31894</v>
      </c>
      <c r="B25339" s="4" t="s">
        <v>31897</v>
      </c>
      <c r="C25339" s="5" t="str">
        <f>IFERROR(__xludf.DUMMYFUNCTION("GOOGLETRANSLATE(B25339,""en"",""es-ES"")"),"Ella levanta más objetos mientras se sumerge los pinceles y los usa en los muebles.")</f>
        <v>Ella levanta más objetos mientras se sumerge los pinceles y los usa en los muebles.</v>
      </c>
    </row>
    <row r="25340">
      <c r="A25340" s="4" t="s">
        <v>31898</v>
      </c>
      <c r="B25340" s="4" t="s">
        <v>31899</v>
      </c>
      <c r="C25340" s="5" t="str">
        <f>IFERROR(__xludf.DUMMYFUNCTION("GOOGLETRANSLATE(B25340,""en"",""es-ES"")"),"Una mujer que informa está hablando con una cámara con un comportamiento serio.")</f>
        <v>Una mujer que informa está hablando con una cámara con un comportamiento serio.</v>
      </c>
    </row>
    <row r="25341">
      <c r="A25341" s="4" t="s">
        <v>31898</v>
      </c>
      <c r="B25341" s="4" t="s">
        <v>31900</v>
      </c>
      <c r="C25341" s="5" t="str">
        <f>IFERROR(__xludf.DUMMYFUNCTION("GOOGLETRANSLATE(B25341,""en"",""es-ES"")"),"Un hombre desactiva su violín de la bolsa y juega un poco para la cámara mientras el periodista comenta.")</f>
        <v>Un hombre desactiva su violín de la bolsa y juega un poco para la cámara mientras el periodista comenta.</v>
      </c>
    </row>
    <row r="25342">
      <c r="A25342" s="4" t="s">
        <v>31898</v>
      </c>
      <c r="B25342" s="4" t="s">
        <v>31901</v>
      </c>
      <c r="C25342" s="5" t="str">
        <f>IFERROR(__xludf.DUMMYFUNCTION("GOOGLETRANSLATE(B25342,""en"",""es-ES"")"),"Comienza a luchar jugando con su condición y muestra cirugía sobre cómo arreglarlo.")</f>
        <v>Comienza a luchar jugando con su condición y muestra cirugía sobre cómo arreglarlo.</v>
      </c>
    </row>
    <row r="25343">
      <c r="A25343" s="4" t="s">
        <v>31898</v>
      </c>
      <c r="B25343" s="4" t="s">
        <v>31902</v>
      </c>
      <c r="C25343" s="5" t="str">
        <f>IFERROR(__xludf.DUMMYFUNCTION("GOOGLETRANSLATE(B25343,""en"",""es-ES"")"),"El periodista afirma que el hombre es mejor que nunca y muestra su progreso tocando un violín en un programa.")</f>
        <v>El periodista afirma que el hombre es mejor que nunca y muestra su progreso tocando un violín en un programa.</v>
      </c>
    </row>
    <row r="25344">
      <c r="A25344" s="4" t="s">
        <v>31903</v>
      </c>
      <c r="B25344" s="4" t="s">
        <v>31904</v>
      </c>
      <c r="C25344" s="5" t="str">
        <f>IFERROR(__xludf.DUMMYFUNCTION("GOOGLETRANSLATE(B25344,""en"",""es-ES"")"),"Un hombre está de pie en la línea de salida aplaudiendo, la gente mira.")</f>
        <v>Un hombre está de pie en la línea de salida aplaudiendo, la gente mira.</v>
      </c>
    </row>
    <row r="25345">
      <c r="A25345" s="4" t="s">
        <v>31903</v>
      </c>
      <c r="B25345" s="4" t="s">
        <v>31905</v>
      </c>
      <c r="C25345" s="5" t="str">
        <f>IFERROR(__xludf.DUMMYFUNCTION("GOOGLETRANSLATE(B25345,""en"",""es-ES"")"),"Se quita corriendo y hace un salto de longitud.")</f>
        <v>Se quita corriendo y hace un salto de longitud.</v>
      </c>
    </row>
    <row r="25346">
      <c r="A25346" s="4" t="s">
        <v>31903</v>
      </c>
      <c r="B25346" s="4" t="s">
        <v>31906</v>
      </c>
      <c r="C25346" s="5" t="str">
        <f>IFERROR(__xludf.DUMMYFUNCTION("GOOGLETRANSLATE(B25346,""en"",""es-ES"")"),"Saluda a la gran audiencia aplaudiendo.")</f>
        <v>Saluda a la gran audiencia aplaudiendo.</v>
      </c>
    </row>
    <row r="25347">
      <c r="A25347" s="4" t="s">
        <v>31903</v>
      </c>
      <c r="B25347" s="4" t="s">
        <v>31907</v>
      </c>
      <c r="C25347" s="5" t="str">
        <f>IFERROR(__xludf.DUMMYFUNCTION("GOOGLETRANSLATE(B25347,""en"",""es-ES"")"),"Otro hombre espera en la línea de inicio antes de acelerar el salto de longitud.")</f>
        <v>Otro hombre espera en la línea de inicio antes de acelerar el salto de longitud.</v>
      </c>
    </row>
    <row r="25348">
      <c r="A25348" s="4" t="s">
        <v>31903</v>
      </c>
      <c r="B25348" s="4" t="s">
        <v>31908</v>
      </c>
      <c r="C25348" s="5" t="str">
        <f>IFERROR(__xludf.DUMMYFUNCTION("GOOGLETRANSLATE(B25348,""en"",""es-ES"")"),"Él mira a la multitud que está sometido.")</f>
        <v>Él mira a la multitud que está sometido.</v>
      </c>
    </row>
    <row r="25349">
      <c r="A25349" s="4" t="s">
        <v>31903</v>
      </c>
      <c r="B25349" s="4" t="s">
        <v>31909</v>
      </c>
      <c r="C25349" s="5" t="str">
        <f>IFERROR(__xludf.DUMMYFUNCTION("GOOGLETRANSLATE(B25349,""en"",""es-ES"")"),"Se aleja mirando al suelo.")</f>
        <v>Se aleja mirando al suelo.</v>
      </c>
    </row>
    <row r="25350">
      <c r="A25350" s="4" t="s">
        <v>31903</v>
      </c>
      <c r="B25350" s="4" t="s">
        <v>31910</v>
      </c>
      <c r="C25350" s="5" t="str">
        <f>IFERROR(__xludf.DUMMYFUNCTION("GOOGLETRANSLATE(B25350,""en"",""es-ES"")"),"Otro hombre espera en la línea de inicio antes de encontrarse con un Longjump.")</f>
        <v>Otro hombre espera en la línea de inicio antes de encontrarse con un Longjump.</v>
      </c>
    </row>
    <row r="25351">
      <c r="A25351" s="4" t="s">
        <v>31903</v>
      </c>
      <c r="B25351" s="4" t="s">
        <v>31911</v>
      </c>
      <c r="C25351" s="5" t="str">
        <f>IFERROR(__xludf.DUMMYFUNCTION("GOOGLETRANSLATE(B25351,""en"",""es-ES"")"),"Él saluda a la apreciación de la multitud y huye sonriendo y celebrando.")</f>
        <v>Él saluda a la apreciación de la multitud y huye sonriendo y celebrando.</v>
      </c>
    </row>
    <row r="25352">
      <c r="A25352" s="4" t="s">
        <v>31912</v>
      </c>
      <c r="B25352" s="4" t="s">
        <v>31913</v>
      </c>
      <c r="C25352" s="5" t="str">
        <f>IFERROR(__xludf.DUMMYFUNCTION("GOOGLETRANSLATE(B25352,""en"",""es-ES"")"),"Se ve a una persona acostada en el suelo con otra persona corriendo por detrás.")</f>
        <v>Se ve a una persona acostada en el suelo con otra persona corriendo por detrás.</v>
      </c>
    </row>
    <row r="25353">
      <c r="A25353" s="4" t="s">
        <v>31912</v>
      </c>
      <c r="B25353" s="4" t="s">
        <v>31914</v>
      </c>
      <c r="C25353" s="5" t="str">
        <f>IFERROR(__xludf.DUMMYFUNCTION("GOOGLETRANSLATE(B25353,""en"",""es-ES"")"),"La persona que corre luego cae y otros a su alrededor ayudan y beben agua.")</f>
        <v>La persona que corre luego cae y otros a su alrededor ayudan y beben agua.</v>
      </c>
    </row>
    <row r="25354">
      <c r="A25354" s="4" t="s">
        <v>31915</v>
      </c>
      <c r="B25354" s="4" t="s">
        <v>31916</v>
      </c>
      <c r="C25354" s="5" t="str">
        <f>IFERROR(__xludf.DUMMYFUNCTION("GOOGLETRANSLATE(B25354,""en"",""es-ES"")"),"Los jugadores están jugando lacrosse en una arena de hockey.")</f>
        <v>Los jugadores están jugando lacrosse en una arena de hockey.</v>
      </c>
    </row>
    <row r="25355">
      <c r="A25355" s="4" t="s">
        <v>31915</v>
      </c>
      <c r="B25355" s="4" t="s">
        <v>31917</v>
      </c>
      <c r="C25355" s="5" t="str">
        <f>IFERROR(__xludf.DUMMYFUNCTION("GOOGLETRANSLATE(B25355,""en"",""es-ES"")"),"Los jugadores abandonan la arena.")</f>
        <v>Los jugadores abandonan la arena.</v>
      </c>
    </row>
    <row r="25356">
      <c r="A25356" s="4" t="s">
        <v>31915</v>
      </c>
      <c r="B25356" s="4" t="s">
        <v>31918</v>
      </c>
      <c r="C25356" s="5" t="str">
        <f>IFERROR(__xludf.DUMMYFUNCTION("GOOGLETRANSLATE(B25356,""en"",""es-ES"")"),"Un jugador de equipo verde corre hacia la ventana transparente.")</f>
        <v>Un jugador de equipo verde corre hacia la ventana transparente.</v>
      </c>
    </row>
    <row r="25357">
      <c r="A25357" s="4" t="s">
        <v>31919</v>
      </c>
      <c r="B25357" s="4" t="s">
        <v>31920</v>
      </c>
      <c r="C25357" s="5" t="str">
        <f>IFERROR(__xludf.DUMMYFUNCTION("GOOGLETRANSLATE(B25357,""en"",""es-ES"")"),"Una cámara se mueve alrededor de un McDonalds y conduce a un hombre que habla con un cajero.")</f>
        <v>Una cámara se mueve alrededor de un McDonalds y conduce a un hombre que habla con un cajero.</v>
      </c>
    </row>
    <row r="25358">
      <c r="A25358" s="4" t="s">
        <v>31919</v>
      </c>
      <c r="B25358" s="4" t="s">
        <v>31921</v>
      </c>
      <c r="C25358" s="5" t="str">
        <f>IFERROR(__xludf.DUMMYFUNCTION("GOOGLETRANSLATE(B25358,""en"",""es-ES"")"),"Luego se muestran varias tomas de personas que juegan un papel de rock con los empleados.")</f>
        <v>Luego se muestran varias tomas de personas que juegan un papel de rock con los empleados.</v>
      </c>
    </row>
    <row r="25359">
      <c r="A25359" s="4" t="s">
        <v>31919</v>
      </c>
      <c r="B25359" s="4" t="s">
        <v>31922</v>
      </c>
      <c r="C25359" s="5" t="str">
        <f>IFERROR(__xludf.DUMMYFUNCTION("GOOGLETRANSLATE(B25359,""en"",""es-ES"")"),"Cuando las personas ganan el juego, obtienen un helado gratis.")</f>
        <v>Cuando las personas ganan el juego, obtienen un helado gratis.</v>
      </c>
    </row>
    <row r="25360">
      <c r="A25360" s="4" t="s">
        <v>31923</v>
      </c>
      <c r="B25360" s="4" t="s">
        <v>31924</v>
      </c>
      <c r="C25360" s="5" t="str">
        <f>IFERROR(__xludf.DUMMYFUNCTION("GOOGLETRANSLATE(B25360,""en"",""es-ES"")"),"Se ve una nevera abriéndose con dos personas agarrando un trozo de queso.")</f>
        <v>Se ve una nevera abriéndose con dos personas agarrando un trozo de queso.</v>
      </c>
    </row>
    <row r="25361">
      <c r="A25361" s="4" t="s">
        <v>31923</v>
      </c>
      <c r="B25361" s="4" t="s">
        <v>31925</v>
      </c>
      <c r="C25361" s="5" t="str">
        <f>IFERROR(__xludf.DUMMYFUNCTION("GOOGLETRANSLATE(B25361,""en"",""es-ES"")"),"Los dos hombres pelean y luego comienzan a jugar un juego de tijeras de papel rock.")</f>
        <v>Los dos hombres pelean y luego comienzan a jugar un juego de tijeras de papel rock.</v>
      </c>
    </row>
    <row r="25362">
      <c r="A25362" s="4" t="s">
        <v>31923</v>
      </c>
      <c r="B25362" s="4" t="s">
        <v>31926</v>
      </c>
      <c r="C25362" s="5" t="str">
        <f>IFERROR(__xludf.DUMMYFUNCTION("GOOGLETRANSLATE(B25362,""en"",""es-ES"")"),"Utilizan varias herramientas y objetos para jugar, así como versiones más pequeñas de sí mismas que siguen en la cano.")</f>
        <v>Utilizan varias herramientas y objetos para jugar, así como versiones más pequeñas de sí mismas que siguen en la cano.</v>
      </c>
    </row>
    <row r="25363">
      <c r="A25363" s="4" t="s">
        <v>31927</v>
      </c>
      <c r="B25363" s="4" t="s">
        <v>31928</v>
      </c>
      <c r="C25363" s="5" t="str">
        <f>IFERROR(__xludf.DUMMYFUNCTION("GOOGLETRANSLATE(B25363,""en"",""es-ES"")"),"Vemos una pantalla de apertura y luego una dama sentada.")</f>
        <v>Vemos una pantalla de apertura y luego una dama sentada.</v>
      </c>
    </row>
    <row r="25364">
      <c r="A25364" s="4" t="s">
        <v>31927</v>
      </c>
      <c r="B25364" s="4" t="s">
        <v>31929</v>
      </c>
      <c r="C25364" s="5" t="str">
        <f>IFERROR(__xludf.DUMMYFUNCTION("GOOGLETRANSLATE(B25364,""en"",""es-ES"")"),"Vemos a una persona cortando el cabello largo de las damas con un nivel.")</f>
        <v>Vemos a una persona cortando el cabello largo de las damas con un nivel.</v>
      </c>
    </row>
    <row r="25365">
      <c r="A25365" s="4" t="s">
        <v>31927</v>
      </c>
      <c r="B25365" s="4" t="s">
        <v>31930</v>
      </c>
      <c r="C25365" s="5" t="str">
        <f>IFERROR(__xludf.DUMMYFUNCTION("GOOGLETRANSLATE(B25365,""en"",""es-ES"")"),"La persona luego cepilla su cabello contundente.")</f>
        <v>La persona luego cepilla su cabello contundente.</v>
      </c>
    </row>
    <row r="25366">
      <c r="A25366" s="4" t="s">
        <v>31927</v>
      </c>
      <c r="B25366" s="4" t="s">
        <v>31931</v>
      </c>
      <c r="C25366" s="5" t="str">
        <f>IFERROR(__xludf.DUMMYFUNCTION("GOOGLETRANSLATE(B25366,""en"",""es-ES"")"),"La señora se da vuelta y sonríe.")</f>
        <v>La señora se da vuelta y sonríe.</v>
      </c>
    </row>
    <row r="25367">
      <c r="A25367" s="4" t="s">
        <v>31927</v>
      </c>
      <c r="B25367" s="4" t="s">
        <v>31932</v>
      </c>
      <c r="C25367" s="5" t="str">
        <f>IFERROR(__xludf.DUMMYFUNCTION("GOOGLETRANSLATE(B25367,""en"",""es-ES"")"),"Vemos un antes y después.")</f>
        <v>Vemos un antes y después.</v>
      </c>
    </row>
    <row r="25368">
      <c r="A25368" s="4" t="s">
        <v>31927</v>
      </c>
      <c r="B25368" s="4" t="s">
        <v>31933</v>
      </c>
      <c r="C25368" s="5" t="str">
        <f>IFERROR(__xludf.DUMMYFUNCTION("GOOGLETRANSLATE(B25368,""en"",""es-ES"")"),"Luego vemos escenas de personas que usan la herramienta.")</f>
        <v>Luego vemos escenas de personas que usan la herramienta.</v>
      </c>
    </row>
    <row r="25369">
      <c r="A25369" s="4" t="s">
        <v>31927</v>
      </c>
      <c r="B25369" s="4" t="s">
        <v>31934</v>
      </c>
      <c r="C25369" s="5" t="str">
        <f>IFERROR(__xludf.DUMMYFUNCTION("GOOGLETRANSLATE(B25369,""en"",""es-ES"")"),"Vemos la herramienta en blanco y azul.")</f>
        <v>Vemos la herramienta en blanco y azul.</v>
      </c>
    </row>
    <row r="25370">
      <c r="A25370" s="4" t="s">
        <v>31927</v>
      </c>
      <c r="B25370" s="4" t="s">
        <v>31935</v>
      </c>
      <c r="C25370" s="5" t="str">
        <f>IFERROR(__xludf.DUMMYFUNCTION("GOOGLETRANSLATE(B25370,""en"",""es-ES"")"),"Se ve la pantalla de cierre.")</f>
        <v>Se ve la pantalla de cierre.</v>
      </c>
    </row>
    <row r="25371">
      <c r="A25371" s="4" t="s">
        <v>31936</v>
      </c>
      <c r="B25371" s="4" t="s">
        <v>31937</v>
      </c>
      <c r="C25371" s="5" t="str">
        <f>IFERROR(__xludf.DUMMYFUNCTION("GOOGLETRANSLATE(B25371,""en"",""es-ES"")"),"Un grupo de nadadores está en una tabla de buceo.")</f>
        <v>Un grupo de nadadores está en una tabla de buceo.</v>
      </c>
    </row>
    <row r="25372">
      <c r="A25372" s="4" t="s">
        <v>31936</v>
      </c>
      <c r="B25372" s="4" t="s">
        <v>31938</v>
      </c>
      <c r="C25372" s="5" t="str">
        <f>IFERROR(__xludf.DUMMYFUNCTION("GOOGLETRANSLATE(B25372,""en"",""es-ES"")"),"Un hombre se cae del tablero de repente.")</f>
        <v>Un hombre se cae del tablero de repente.</v>
      </c>
    </row>
    <row r="25373">
      <c r="A25373" s="4" t="s">
        <v>31936</v>
      </c>
      <c r="B25373" s="4" t="s">
        <v>31939</v>
      </c>
      <c r="C25373" s="5" t="str">
        <f>IFERROR(__xludf.DUMMYFUNCTION("GOOGLETRANSLATE(B25373,""en"",""es-ES"")"),"Golpea otros niveles en su camino hacia el agua.")</f>
        <v>Golpea otros niveles en su camino hacia el agua.</v>
      </c>
    </row>
    <row r="25374">
      <c r="A25374" s="4" t="s">
        <v>31940</v>
      </c>
      <c r="B25374" s="4" t="s">
        <v>31941</v>
      </c>
      <c r="C25374" s="5" t="str">
        <f>IFERROR(__xludf.DUMMYFUNCTION("GOOGLETRANSLATE(B25374,""en"",""es-ES"")"),"Una mujer está haciendo algo de ejercicio en una máquina.")</f>
        <v>Una mujer está haciendo algo de ejercicio en una máquina.</v>
      </c>
    </row>
    <row r="25375">
      <c r="A25375" s="4" t="s">
        <v>31940</v>
      </c>
      <c r="B25375" s="4" t="s">
        <v>31942</v>
      </c>
      <c r="C25375" s="5" t="str">
        <f>IFERROR(__xludf.DUMMYFUNCTION("GOOGLETRANSLATE(B25375,""en"",""es-ES"")"),"Ella va a una velocidad bastante rápida, puedes verla bajar y luego volver a encender.")</f>
        <v>Ella va a una velocidad bastante rápida, puedes verla bajar y luego volver a encender.</v>
      </c>
    </row>
    <row r="25376">
      <c r="A25376" s="4" t="s">
        <v>31940</v>
      </c>
      <c r="B25376" s="4" t="s">
        <v>31943</v>
      </c>
      <c r="C25376" s="5" t="str">
        <f>IFERROR(__xludf.DUMMYFUNCTION("GOOGLETRANSLATE(B25376,""en"",""es-ES"")"),"Ella coloca sus manos alrededor de una pieza y le permite a ella su paso y velocidad, así como sus latidos y cosas.")</f>
        <v>Ella coloca sus manos alrededor de una pieza y le permite a ella su paso y velocidad, así como sus latidos y cosas.</v>
      </c>
    </row>
    <row r="25377">
      <c r="A25377" s="4" t="s">
        <v>31940</v>
      </c>
      <c r="B25377" s="4" t="s">
        <v>31944</v>
      </c>
      <c r="C25377" s="5" t="str">
        <f>IFERROR(__xludf.DUMMYFUNCTION("GOOGLETRANSLATE(B25377,""en"",""es-ES"")"),"Ella cambia su velocidad y bebe un poco de agua y sigue adelante.")</f>
        <v>Ella cambia su velocidad y bebe un poco de agua y sigue adelante.</v>
      </c>
    </row>
    <row r="25378">
      <c r="A25378" s="4" t="s">
        <v>31945</v>
      </c>
      <c r="B25378" s="4" t="s">
        <v>31946</v>
      </c>
      <c r="C25378" s="5" t="str">
        <f>IFERROR(__xludf.DUMMYFUNCTION("GOOGLETRANSLATE(B25378,""en"",""es-ES"")"),"Se muestra una bola oxidada rodando por algún tipo de rampa hecha por el hombre.")</f>
        <v>Se muestra una bola oxidada rodando por algún tipo de rampa hecha por el hombre.</v>
      </c>
    </row>
    <row r="25379">
      <c r="A25379" s="4" t="s">
        <v>31945</v>
      </c>
      <c r="B25379" s="4" t="s">
        <v>31947</v>
      </c>
      <c r="C25379" s="5" t="str">
        <f>IFERROR(__xludf.DUMMYFUNCTION("GOOGLETRANSLATE(B25379,""en"",""es-ES"")"),"Luego se muestran varios atletas olímpicos poniendo el disparo por el cuello y arrojándolo y medir su distancia.")</f>
        <v>Luego se muestran varios atletas olímpicos poniendo el disparo por el cuello y arrojándolo y medir su distancia.</v>
      </c>
    </row>
    <row r="25380">
      <c r="A25380" s="4" t="s">
        <v>31945</v>
      </c>
      <c r="B25380" s="4" t="s">
        <v>31948</v>
      </c>
      <c r="C25380" s="5" t="str">
        <f>IFERROR(__xludf.DUMMYFUNCTION("GOOGLETRANSLATE(B25380,""en"",""es-ES"")"),"Finalmente se muestra un marcador negro y comienzan a darle al ganador la medalla y mostrar la bandera del país que representa la persona.")</f>
        <v>Finalmente se muestra un marcador negro y comienzan a darle al ganador la medalla y mostrar la bandera del país que representa la persona.</v>
      </c>
    </row>
    <row r="25381">
      <c r="A25381" s="4" t="s">
        <v>31949</v>
      </c>
      <c r="B25381" s="4" t="s">
        <v>31950</v>
      </c>
      <c r="C25381" s="5" t="str">
        <f>IFERROR(__xludf.DUMMYFUNCTION("GOOGLETRANSLATE(B25381,""en"",""es-ES"")"),"Una mujer con una bata de laboratorio está en una sala de recuperación del hospital.")</f>
        <v>Una mujer con una bata de laboratorio está en una sala de recuperación del hospital.</v>
      </c>
    </row>
    <row r="25382">
      <c r="A25382" s="4" t="s">
        <v>31949</v>
      </c>
      <c r="B25382" s="4" t="s">
        <v>31951</v>
      </c>
      <c r="C25382" s="5" t="str">
        <f>IFERROR(__xludf.DUMMYFUNCTION("GOOGLETRANSLATE(B25382,""en"",""es-ES"")"),"Ella jueve sus manos bien con jabón.")</f>
        <v>Ella jueve sus manos bien con jabón.</v>
      </c>
    </row>
    <row r="25383">
      <c r="A25383" s="4" t="s">
        <v>31949</v>
      </c>
      <c r="B25383" s="4" t="s">
        <v>31952</v>
      </c>
      <c r="C25383" s="5" t="str">
        <f>IFERROR(__xludf.DUMMYFUNCTION("GOOGLETRANSLATE(B25383,""en"",""es-ES"")"),"Luego enjuague y los seca a fondo.")</f>
        <v>Luego enjuague y los seca a fondo.</v>
      </c>
    </row>
    <row r="25384">
      <c r="A25384" s="4" t="s">
        <v>31953</v>
      </c>
      <c r="B25384" s="4" t="s">
        <v>31954</v>
      </c>
      <c r="C25384" s="5" t="str">
        <f>IFERROR(__xludf.DUMMYFUNCTION("GOOGLETRANSLATE(B25384,""en"",""es-ES"")"),"Un hombre tira de una bota sobre su pie sentado en una silla dentro.")</f>
        <v>Un hombre tira de una bota sobre su pie sentado en una silla dentro.</v>
      </c>
    </row>
    <row r="25385">
      <c r="A25385" s="4" t="s">
        <v>31953</v>
      </c>
      <c r="B25385" s="4" t="s">
        <v>31955</v>
      </c>
      <c r="C25385" s="5" t="str">
        <f>IFERROR(__xludf.DUMMYFUNCTION("GOOGLETRANSLATE(B25385,""en"",""es-ES"")"),"El hombre sujeta las correas en el bote.")</f>
        <v>El hombre sujeta las correas en el bote.</v>
      </c>
    </row>
    <row r="25386">
      <c r="A25386" s="4" t="s">
        <v>31953</v>
      </c>
      <c r="B25386" s="4" t="s">
        <v>31956</v>
      </c>
      <c r="C25386" s="5" t="str">
        <f>IFERROR(__xludf.DUMMYFUNCTION("GOOGLETRANSLATE(B25386,""en"",""es-ES"")"),"Una persona le muestra al hombre cómo sujetar las correas en el arranque.")</f>
        <v>Una persona le muestra al hombre cómo sujetar las correas en el arranque.</v>
      </c>
    </row>
    <row r="25387">
      <c r="A25387" s="4" t="s">
        <v>31953</v>
      </c>
      <c r="B25387" s="4" t="s">
        <v>31957</v>
      </c>
      <c r="C25387" s="5" t="str">
        <f>IFERROR(__xludf.DUMMYFUNCTION("GOOGLETRANSLATE(B25387,""en"",""es-ES"")"),"El hombre sacude mientras intenta terminar de ponerse los zapatos.")</f>
        <v>El hombre sacude mientras intenta terminar de ponerse los zapatos.</v>
      </c>
    </row>
    <row r="25388">
      <c r="A25388" s="4" t="s">
        <v>31958</v>
      </c>
      <c r="B25388" s="4" t="s">
        <v>31959</v>
      </c>
      <c r="C25388" s="5" t="str">
        <f>IFERROR(__xludf.DUMMYFUNCTION("GOOGLETRANSLATE(B25388,""en"",""es-ES"")"),"Se ve a un hombre mayor hablando con la cámara mientras sostiene una pelota de tenis y una raqueta en la mano.")</f>
        <v>Se ve a un hombre mayor hablando con la cámara mientras sostiene una pelota de tenis y una raqueta en la mano.</v>
      </c>
    </row>
    <row r="25389">
      <c r="A25389" s="4" t="s">
        <v>31958</v>
      </c>
      <c r="B25389" s="4" t="s">
        <v>31960</v>
      </c>
      <c r="C25389" s="5" t="str">
        <f>IFERROR(__xludf.DUMMYFUNCTION("GOOGLETRANSLATE(B25389,""en"",""es-ES"")"),"Él mueve la raqueta y la pelota para demostrar cómo servir adecuadamente la pelota, seguido de él realmente sirviendo la pelota en cámara lenta.")</f>
        <v>Él mueve la raqueta y la pelota para demostrar cómo servir adecuadamente la pelota, seguido de él realmente sirviendo la pelota en cámara lenta.</v>
      </c>
    </row>
    <row r="25390">
      <c r="A25390" s="4" t="s">
        <v>31958</v>
      </c>
      <c r="B25390" s="4" t="s">
        <v>31961</v>
      </c>
      <c r="C25390" s="5" t="str">
        <f>IFERROR(__xludf.DUMMYFUNCTION("GOOGLETRANSLATE(B25390,""en"",""es-ES"")"),"La misma toma se muestra varias veces más para demostrar cómo realizar correctamente este servicio.")</f>
        <v>La misma toma se muestra varias veces más para demostrar cómo realizar correctamente este servicio.</v>
      </c>
    </row>
    <row r="25391">
      <c r="A25391" s="4" t="s">
        <v>31962</v>
      </c>
      <c r="B25391" s="4" t="s">
        <v>31963</v>
      </c>
      <c r="C25391" s="5" t="str">
        <f>IFERROR(__xludf.DUMMYFUNCTION("GOOGLETRANSLATE(B25391,""en"",""es-ES"")"),"Se produce una carrera de bicicletas BMX interior.")</f>
        <v>Se produce una carrera de bicicletas BMX interior.</v>
      </c>
    </row>
    <row r="25392">
      <c r="A25392" s="4" t="s">
        <v>31962</v>
      </c>
      <c r="B25392" s="4" t="s">
        <v>31964</v>
      </c>
      <c r="C25392" s="5" t="str">
        <f>IFERROR(__xludf.DUMMYFUNCTION("GOOGLETRANSLATE(B25392,""en"",""es-ES"")"),"Después del inicio, todos dan la vuelta a la pista lo más rápido posible.")</f>
        <v>Después del inicio, todos dan la vuelta a la pista lo más rápido posible.</v>
      </c>
    </row>
    <row r="25393">
      <c r="A25393" s="4" t="s">
        <v>31965</v>
      </c>
      <c r="B25393" s="4" t="s">
        <v>31966</v>
      </c>
      <c r="C25393" s="5" t="str">
        <f>IFERROR(__xludf.DUMMYFUNCTION("GOOGLETRANSLATE(B25393,""en"",""es-ES"")"),"El hombre en púrpura habla con la cámara.")</f>
        <v>El hombre en púrpura habla con la cámara.</v>
      </c>
    </row>
    <row r="25394">
      <c r="A25394" s="4" t="s">
        <v>31965</v>
      </c>
      <c r="B25394" s="4" t="s">
        <v>31967</v>
      </c>
      <c r="C25394" s="5" t="str">
        <f>IFERROR(__xludf.DUMMYFUNCTION("GOOGLETRANSLATE(B25394,""en"",""es-ES"")"),"El hombre en púrpura camina hacia adelante en pasos lentos.")</f>
        <v>El hombre en púrpura camina hacia adelante en pasos lentos.</v>
      </c>
    </row>
    <row r="25395">
      <c r="A25395" s="4" t="s">
        <v>31965</v>
      </c>
      <c r="B25395" s="4" t="s">
        <v>31968</v>
      </c>
      <c r="C25395" s="5" t="str">
        <f>IFERROR(__xludf.DUMMYFUNCTION("GOOGLETRANSLATE(B25395,""en"",""es-ES"")"),"Man in Gray demuestra cómo caminar.")</f>
        <v>Man in Gray demuestra cómo caminar.</v>
      </c>
    </row>
    <row r="25396">
      <c r="A25396" s="4" t="s">
        <v>31965</v>
      </c>
      <c r="B25396" s="4" t="s">
        <v>31969</v>
      </c>
      <c r="C25396" s="5" t="str">
        <f>IFERROR(__xludf.DUMMYFUNCTION("GOOGLETRANSLATE(B25396,""en"",""es-ES"")"),"Man in Grey demuestra diferentes saltos.")</f>
        <v>Man in Grey demuestra diferentes saltos.</v>
      </c>
    </row>
    <row r="25397">
      <c r="A25397" s="4" t="s">
        <v>31970</v>
      </c>
      <c r="B25397" s="4" t="s">
        <v>31971</v>
      </c>
      <c r="C25397" s="5" t="str">
        <f>IFERROR(__xludf.DUMMYFUNCTION("GOOGLETRANSLATE(B25397,""en"",""es-ES"")"),"Se muestra un primer plano de una fresa.")</f>
        <v>Se muestra un primer plano de una fresa.</v>
      </c>
    </row>
    <row r="25398">
      <c r="A25398" s="4" t="s">
        <v>31970</v>
      </c>
      <c r="B25398" s="4" t="s">
        <v>31972</v>
      </c>
      <c r="C25398" s="5" t="str">
        <f>IFERROR(__xludf.DUMMYFUNCTION("GOOGLETRANSLATE(B25398,""en"",""es-ES"")"),"Una mujer está hablando con una variedad de acuarelas.")</f>
        <v>Una mujer está hablando con una variedad de acuarelas.</v>
      </c>
    </row>
    <row r="25399">
      <c r="A25399" s="4" t="s">
        <v>31970</v>
      </c>
      <c r="B25399" s="4" t="s">
        <v>31973</v>
      </c>
      <c r="C25399" s="5" t="str">
        <f>IFERROR(__xludf.DUMMYFUNCTION("GOOGLETRANSLATE(B25399,""en"",""es-ES"")"),"Ella demuestra cómo usar las acuarelas para crear arte en un lienzo.")</f>
        <v>Ella demuestra cómo usar las acuarelas para crear arte en un lienzo.</v>
      </c>
    </row>
    <row r="25400">
      <c r="A25400" s="4" t="s">
        <v>31974</v>
      </c>
      <c r="B25400" s="4" t="s">
        <v>31975</v>
      </c>
      <c r="C25400" s="5" t="str">
        <f>IFERROR(__xludf.DUMMYFUNCTION("GOOGLETRANSLATE(B25400,""en"",""es-ES"")"),"Hay una mujer con una camisa rosa y pantalones cortos negros que entrenan a un perro en un gran césped abierto.")</f>
        <v>Hay una mujer con una camisa rosa y pantalones cortos negros que entrenan a un perro en un gran césped abierto.</v>
      </c>
    </row>
    <row r="25401">
      <c r="A25401" s="4" t="s">
        <v>31974</v>
      </c>
      <c r="B25401" s="4" t="s">
        <v>31976</v>
      </c>
      <c r="C25401" s="5" t="str">
        <f>IFERROR(__xludf.DUMMYFUNCTION("GOOGLETRANSLATE(B25401,""en"",""es-ES"")"),"Ella está lanzando discos de frisbee de color rosa para que el perro corra y busque.")</f>
        <v>Ella está lanzando discos de frisbee de color rosa para que el perro corra y busque.</v>
      </c>
    </row>
    <row r="25402">
      <c r="A25402" s="4" t="s">
        <v>31974</v>
      </c>
      <c r="B25402" s="4" t="s">
        <v>31977</v>
      </c>
      <c r="C25402" s="5" t="str">
        <f>IFERROR(__xludf.DUMMYFUNCTION("GOOGLETRANSLATE(B25402,""en"",""es-ES"")"),"Cada vez que tira el disco, el perro se emociona, corre y busca el disco para ella.")</f>
        <v>Cada vez que tira el disco, el perro se emociona, corre y busca el disco para ella.</v>
      </c>
    </row>
    <row r="25403">
      <c r="A25403" s="4" t="s">
        <v>31974</v>
      </c>
      <c r="B25403" s="4" t="s">
        <v>31978</v>
      </c>
      <c r="C25403" s="5" t="str">
        <f>IFERROR(__xludf.DUMMYFUNCTION("GOOGLETRANSLATE(B25403,""en"",""es-ES"")"),"El perro está bien entrenado para atrapar el disco en su boca casi cada vez sin perderlo.")</f>
        <v>El perro está bien entrenado para atrapar el disco en su boca casi cada vez sin perderlo.</v>
      </c>
    </row>
    <row r="25404">
      <c r="A25404" s="4" t="s">
        <v>31974</v>
      </c>
      <c r="B25404" s="4" t="s">
        <v>31979</v>
      </c>
      <c r="C25404" s="5" t="str">
        <f>IFERROR(__xludf.DUMMYFUNCTION("GOOGLETRANSLATE(B25404,""en"",""es-ES"")"),"Hay pocas personas paradas y observando al entrenador y al perro.")</f>
        <v>Hay pocas personas paradas y observando al entrenador y al perro.</v>
      </c>
    </row>
    <row r="25405">
      <c r="A25405" s="4" t="s">
        <v>31980</v>
      </c>
      <c r="B25405" s="4" t="s">
        <v>31981</v>
      </c>
      <c r="C25405" s="5" t="str">
        <f>IFERROR(__xludf.DUMMYFUNCTION("GOOGLETRANSLATE(B25405,""en"",""es-ES"")"),"Aparece un emblema en la pantalla.")</f>
        <v>Aparece un emblema en la pantalla.</v>
      </c>
    </row>
    <row r="25406">
      <c r="A25406" s="4" t="s">
        <v>31980</v>
      </c>
      <c r="B25406" s="4" t="s">
        <v>31982</v>
      </c>
      <c r="C25406" s="5" t="str">
        <f>IFERROR(__xludf.DUMMYFUNCTION("GOOGLETRANSLATE(B25406,""en"",""es-ES"")"),"Se ve una vista del sol entre las nubes.")</f>
        <v>Se ve una vista del sol entre las nubes.</v>
      </c>
    </row>
    <row r="25407">
      <c r="A25407" s="4" t="s">
        <v>31980</v>
      </c>
      <c r="B25407" s="4" t="s">
        <v>31983</v>
      </c>
      <c r="C25407" s="5" t="str">
        <f>IFERROR(__xludf.DUMMYFUNCTION("GOOGLETRANSLATE(B25407,""en"",""es-ES"")"),"Una mujer se acerca a un niño que tiene los pantalones bajos, agachándose frente a un cubo.")</f>
        <v>Una mujer se acerca a un niño que tiene los pantalones bajos, agachándose frente a un cubo.</v>
      </c>
    </row>
    <row r="25408">
      <c r="A25408" s="4" t="s">
        <v>31980</v>
      </c>
      <c r="B25408" s="4" t="s">
        <v>31984</v>
      </c>
      <c r="C25408" s="5" t="str">
        <f>IFERROR(__xludf.DUMMYFUNCTION("GOOGLETRANSLATE(B25408,""en"",""es-ES"")"),"Ella le grita y lo arrastra.")</f>
        <v>Ella le grita y lo arrastra.</v>
      </c>
    </row>
    <row r="25409">
      <c r="A25409" s="4" t="s">
        <v>31980</v>
      </c>
      <c r="B25409" s="4" t="s">
        <v>31985</v>
      </c>
      <c r="C25409" s="5" t="str">
        <f>IFERROR(__xludf.DUMMYFUNCTION("GOOGLETRANSLATE(B25409,""en"",""es-ES"")"),"Ella le muestra cómo enjabardar sus manos con jabón.")</f>
        <v>Ella le muestra cómo enjabardar sus manos con jabón.</v>
      </c>
    </row>
    <row r="25410">
      <c r="A25410" s="4" t="s">
        <v>31980</v>
      </c>
      <c r="B25410" s="4" t="s">
        <v>31986</v>
      </c>
      <c r="C25410" s="5" t="str">
        <f>IFERROR(__xludf.DUMMYFUNCTION("GOOGLETRANSLATE(B25410,""en"",""es-ES"")"),"Luego, el grupo de mujeres reunidas habla mientras el niño observa y escucha.")</f>
        <v>Luego, el grupo de mujeres reunidas habla mientras el niño observa y escucha.</v>
      </c>
    </row>
    <row r="25411">
      <c r="A25411" s="4" t="s">
        <v>31980</v>
      </c>
      <c r="B25411" s="4" t="s">
        <v>31987</v>
      </c>
      <c r="C25411" s="5" t="str">
        <f>IFERROR(__xludf.DUMMYFUNCTION("GOOGLETRANSLATE(B25411,""en"",""es-ES"")"),"Las mujeres se ven tristes mientras se aleja.")</f>
        <v>Las mujeres se ven tristes mientras se aleja.</v>
      </c>
    </row>
    <row r="25412">
      <c r="A25412" s="4" t="s">
        <v>31980</v>
      </c>
      <c r="B25412" s="4" t="s">
        <v>31988</v>
      </c>
      <c r="C25412" s="5" t="str">
        <f>IFERROR(__xludf.DUMMYFUNCTION("GOOGLETRANSLATE(B25412,""en"",""es-ES"")"),"Un niño y una mujer caminan para hablar con otra mujer, y ella se ve molesta.")</f>
        <v>Un niño y una mujer caminan para hablar con otra mujer, y ella se ve molesta.</v>
      </c>
    </row>
    <row r="25413">
      <c r="A25413" s="4" t="s">
        <v>31980</v>
      </c>
      <c r="B25413" s="4" t="s">
        <v>31989</v>
      </c>
      <c r="C25413" s="5" t="str">
        <f>IFERROR(__xludf.DUMMYFUNCTION("GOOGLETRANSLATE(B25413,""en"",""es-ES"")"),"Se muestra a un médico hablando de manos sucias a las mujeres.")</f>
        <v>Se muestra a un médico hablando de manos sucias a las mujeres.</v>
      </c>
    </row>
    <row r="25414">
      <c r="A25414" s="4" t="s">
        <v>31980</v>
      </c>
      <c r="B25414" s="4" t="s">
        <v>31990</v>
      </c>
      <c r="C25414" s="5" t="str">
        <f>IFERROR(__xludf.DUMMYFUNCTION("GOOGLETRANSLATE(B25414,""en"",""es-ES"")"),"Luego se muestran afuera, lavándose las manos y médico al niño mientras muestran cómo no estar sucios.")</f>
        <v>Luego se muestran afuera, lavándose las manos y médico al niño mientras muestran cómo no estar sucios.</v>
      </c>
    </row>
    <row r="25415">
      <c r="A25415" s="4" t="s">
        <v>31980</v>
      </c>
      <c r="B25415" s="4" t="s">
        <v>31991</v>
      </c>
      <c r="C25415" s="5" t="str">
        <f>IFERROR(__xludf.DUMMYFUNCTION("GOOGLETRANSLATE(B25415,""en"",""es-ES"")"),"El grupo salta al aire en celebración.")</f>
        <v>El grupo salta al aire en celebración.</v>
      </c>
    </row>
    <row r="25416">
      <c r="A25416" s="4" t="s">
        <v>31992</v>
      </c>
      <c r="B25416" s="4" t="s">
        <v>31993</v>
      </c>
      <c r="C25416" s="5" t="str">
        <f>IFERROR(__xludf.DUMMYFUNCTION("GOOGLETRANSLATE(B25416,""en"",""es-ES"")"),"Se ve a dos chicas saludando a la cámara mientras uno sostiene una bebida y la otra juega con su cabello.")</f>
        <v>Se ve a dos chicas saludando a la cámara mientras uno sostiene una bebida y la otra juega con su cabello.</v>
      </c>
    </row>
    <row r="25417">
      <c r="A25417" s="4" t="s">
        <v>31992</v>
      </c>
      <c r="B25417" s="4" t="s">
        <v>31994</v>
      </c>
      <c r="C25417" s="5" t="str">
        <f>IFERROR(__xludf.DUMMYFUNCTION("GOOGLETRANSLATE(B25417,""en"",""es-ES"")"),"Las chicas caminan un poco seguidas de beber de un vaso y hacer caras divertidas en la cámara.")</f>
        <v>Las chicas caminan un poco seguidas de beber de un vaso y hacer caras divertidas en la cámara.</v>
      </c>
    </row>
    <row r="25418">
      <c r="A25418" s="4" t="s">
        <v>31995</v>
      </c>
      <c r="B25418" s="4" t="s">
        <v>31996</v>
      </c>
      <c r="C25418" s="5" t="str">
        <f>IFERROR(__xludf.DUMMYFUNCTION("GOOGLETRANSLATE(B25418,""en"",""es-ES"")"),"Se muestra a una mujer caminando por una cocina encendiendo un grifo y dejando que el fregadero se llene de agua.")</f>
        <v>Se muestra a una mujer caminando por una cocina encendiendo un grifo y dejando que el fregadero se llene de agua.</v>
      </c>
    </row>
    <row r="25419">
      <c r="A25419" s="4" t="s">
        <v>31995</v>
      </c>
      <c r="B25419" s="4" t="s">
        <v>31997</v>
      </c>
      <c r="C25419" s="5" t="str">
        <f>IFERROR(__xludf.DUMMYFUNCTION("GOOGLETRANSLATE(B25419,""en"",""es-ES"")"),"Se le muestra con guantes, rociando limpiador alrededor del fregadero y frotando con un cepillo.")</f>
        <v>Se le muestra con guantes, rociando limpiador alrededor del fregadero y frotando con un cepillo.</v>
      </c>
    </row>
    <row r="25420">
      <c r="A25420" s="4" t="s">
        <v>31995</v>
      </c>
      <c r="B25420" s="4" t="s">
        <v>31998</v>
      </c>
      <c r="C25420" s="5" t="str">
        <f>IFERROR(__xludf.DUMMYFUNCTION("GOOGLETRANSLATE(B25420,""en"",""es-ES"")"),"Ella sonríe al producto de limpieza y se desplaza a la etiqueta que se muestra.")</f>
        <v>Ella sonríe al producto de limpieza y se desplaza a la etiqueta que se muestra.</v>
      </c>
    </row>
    <row r="25421">
      <c r="A25421" s="4" t="s">
        <v>31999</v>
      </c>
      <c r="B25421" s="4" t="s">
        <v>32000</v>
      </c>
      <c r="C25421" s="5" t="str">
        <f>IFERROR(__xludf.DUMMYFUNCTION("GOOGLETRANSLATE(B25421,""en"",""es-ES"")"),"Un hombre en troncos de natación está al aire libre, sujetando a un equipo.")</f>
        <v>Un hombre en troncos de natación está al aire libre, sujetando a un equipo.</v>
      </c>
    </row>
    <row r="25422">
      <c r="A25422" s="4" t="s">
        <v>31999</v>
      </c>
      <c r="B25422" s="4" t="s">
        <v>32001</v>
      </c>
      <c r="C25422" s="5" t="str">
        <f>IFERROR(__xludf.DUMMYFUNCTION("GOOGLETRANSLATE(B25422,""en"",""es-ES"")"),"Se sube a un parasailer y se mete al agua.")</f>
        <v>Se sube a un parasailer y se mete al agua.</v>
      </c>
    </row>
    <row r="25423">
      <c r="A25423" s="4" t="s">
        <v>31999</v>
      </c>
      <c r="B25423" s="4" t="s">
        <v>32002</v>
      </c>
      <c r="C25423" s="5" t="str">
        <f>IFERROR(__xludf.DUMMYFUNCTION("GOOGLETRANSLATE(B25423,""en"",""es-ES"")"),"Comienza a navegar en una tabla de surf, sosteniendo firmemente a medida que acelera.")</f>
        <v>Comienza a navegar en una tabla de surf, sosteniendo firmemente a medida que acelera.</v>
      </c>
    </row>
    <row r="25424">
      <c r="A25424" s="4" t="s">
        <v>31999</v>
      </c>
      <c r="B25424" s="4" t="s">
        <v>32003</v>
      </c>
      <c r="C25424" s="5" t="str">
        <f>IFERROR(__xludf.DUMMYFUNCTION("GOOGLETRANSLATE(B25424,""en"",""es-ES"")"),"Luego se detiene en el agua, inclinándose sobre su costado.")</f>
        <v>Luego se detiene en el agua, inclinándose sobre su costado.</v>
      </c>
    </row>
    <row r="25425">
      <c r="A25425" s="4" t="s">
        <v>32004</v>
      </c>
      <c r="B25425" s="4" t="s">
        <v>32005</v>
      </c>
      <c r="C25425" s="5" t="str">
        <f>IFERROR(__xludf.DUMMYFUNCTION("GOOGLETRANSLATE(B25425,""en"",""es-ES"")"),"Un niño está jugando a la raya en el suelo.")</f>
        <v>Un niño está jugando a la raya en el suelo.</v>
      </c>
    </row>
    <row r="25426">
      <c r="A25426" s="4" t="s">
        <v>32004</v>
      </c>
      <c r="B25426" s="4" t="s">
        <v>32006</v>
      </c>
      <c r="C25426" s="5" t="str">
        <f>IFERROR(__xludf.DUMMYFUNCTION("GOOGLETRANSLATE(B25426,""en"",""es-ES"")"),"Van de un lado a otro en el tablero de rayos hop.")</f>
        <v>Van de un lado a otro en el tablero de rayos hop.</v>
      </c>
    </row>
    <row r="25427">
      <c r="A25427" s="4" t="s">
        <v>32004</v>
      </c>
      <c r="B25427" s="4" t="s">
        <v>32007</v>
      </c>
      <c r="C25427" s="5" t="str">
        <f>IFERROR(__xludf.DUMMYFUNCTION("GOOGLETRANSLATE(B25427,""en"",""es-ES"")"),"Se doblan para recoger algo.")</f>
        <v>Se doblan para recoger algo.</v>
      </c>
    </row>
    <row r="25428">
      <c r="A25428" s="4" t="s">
        <v>32008</v>
      </c>
      <c r="B25428" s="4" t="s">
        <v>32009</v>
      </c>
      <c r="C25428" s="5" t="str">
        <f>IFERROR(__xludf.DUMMYFUNCTION("GOOGLETRANSLATE(B25428,""en"",""es-ES"")"),"Se muestra a un perro corriendo pasos hacia un edificio.")</f>
        <v>Se muestra a un perro corriendo pasos hacia un edificio.</v>
      </c>
    </row>
    <row r="25429">
      <c r="A25429" s="4" t="s">
        <v>32008</v>
      </c>
      <c r="B25429" s="4" t="s">
        <v>32010</v>
      </c>
      <c r="C25429" s="5" t="str">
        <f>IFERROR(__xludf.DUMMYFUNCTION("GOOGLETRANSLATE(B25429,""en"",""es-ES"")"),"Entran, y es un salón de aseo de perros.")</f>
        <v>Entran, y es un salón de aseo de perros.</v>
      </c>
    </row>
    <row r="25430">
      <c r="A25430" s="4" t="s">
        <v>32008</v>
      </c>
      <c r="B25430" s="4" t="s">
        <v>32011</v>
      </c>
      <c r="C25430" s="5" t="str">
        <f>IFERROR(__xludf.DUMMYFUNCTION("GOOGLETRANSLATE(B25430,""en"",""es-ES"")"),"Se muestran varias señales en otro idioma antes de encender el equipo.")</f>
        <v>Se muestran varias señales en otro idioma antes de encender el equipo.</v>
      </c>
    </row>
    <row r="25431">
      <c r="A25431" s="4" t="s">
        <v>32008</v>
      </c>
      <c r="B25431" s="4" t="s">
        <v>32012</v>
      </c>
      <c r="C25431" s="5" t="str">
        <f>IFERROR(__xludf.DUMMYFUNCTION("GOOGLETRANSLATE(B25431,""en"",""es-ES"")"),"El perro está enjuagado, enjabonado, bañado y recortado en la máquina.")</f>
        <v>El perro está enjuagado, enjabonado, bañado y recortado en la máquina.</v>
      </c>
    </row>
    <row r="25432">
      <c r="A25432" s="4" t="s">
        <v>32013</v>
      </c>
      <c r="B25432" s="4" t="s">
        <v>32014</v>
      </c>
      <c r="C25432" s="5" t="str">
        <f>IFERROR(__xludf.DUMMYFUNCTION("GOOGLETRANSLATE(B25432,""en"",""es-ES"")"),"Se ve un frente de tienda desde el exterior.")</f>
        <v>Se ve un frente de tienda desde el exterior.</v>
      </c>
    </row>
    <row r="25433">
      <c r="A25433" s="4" t="s">
        <v>32013</v>
      </c>
      <c r="B25433" s="4" t="s">
        <v>32015</v>
      </c>
      <c r="C25433" s="5" t="str">
        <f>IFERROR(__xludf.DUMMYFUNCTION("GOOGLETRANSLATE(B25433,""en"",""es-ES"")"),"El propietario de una tienda está detrás de una pared de exhibición y discute.")</f>
        <v>El propietario de una tienda está detrás de una pared de exhibición y discute.</v>
      </c>
    </row>
    <row r="25434">
      <c r="A25434" s="4" t="s">
        <v>32013</v>
      </c>
      <c r="B25434" s="4" t="s">
        <v>32016</v>
      </c>
      <c r="C25434" s="5" t="str">
        <f>IFERROR(__xludf.DUMMYFUNCTION("GOOGLETRANSLATE(B25434,""en"",""es-ES"")"),"Los jugadores de paintball corren por una cancha cubierta de hierba con obstáculos y apuntan sus armas.")</f>
        <v>Los jugadores de paintball corren por una cancha cubierta de hierba con obstáculos y apuntan sus armas.</v>
      </c>
    </row>
    <row r="25435">
      <c r="A25435" s="4" t="s">
        <v>32013</v>
      </c>
      <c r="B25435" s="4" t="s">
        <v>32017</v>
      </c>
      <c r="C25435" s="5" t="str">
        <f>IFERROR(__xludf.DUMMYFUNCTION("GOOGLETRANSLATE(B25435,""en"",""es-ES"")"),"El propietario de la tienda muestra diferentes máscaras faciales para el deporte.")</f>
        <v>El propietario de la tienda muestra diferentes máscaras faciales para el deporte.</v>
      </c>
    </row>
    <row r="25436">
      <c r="A25436" s="4" t="s">
        <v>32018</v>
      </c>
      <c r="B25436" s="4" t="s">
        <v>32019</v>
      </c>
      <c r="C25436" s="5" t="str">
        <f>IFERROR(__xludf.DUMMYFUNCTION("GOOGLETRANSLATE(B25436,""en"",""es-ES"")"),"Se ve a un grupo de personas de pie alrededor de una mesa de futbolín jugando un juego entre sí usando los postes para jugar.")</f>
        <v>Se ve a un grupo de personas de pie alrededor de una mesa de futbolín jugando un juego entre sí usando los postes para jugar.</v>
      </c>
    </row>
    <row r="25437">
      <c r="A25437" s="4" t="s">
        <v>32018</v>
      </c>
      <c r="B25437" s="4" t="s">
        <v>32020</v>
      </c>
      <c r="C25437" s="5" t="str">
        <f>IFERROR(__xludf.DUMMYFUNCTION("GOOGLETRANSLATE(B25437,""en"",""es-ES"")"),"Los hombres continúan jugando y cuarto mientras la cámara los captura desde arriba y dos caminan al final.")</f>
        <v>Los hombres continúan jugando y cuarto mientras la cámara los captura desde arriba y dos caminan al final.</v>
      </c>
    </row>
    <row r="25438">
      <c r="A25438" s="4" t="s">
        <v>32021</v>
      </c>
      <c r="B25438" s="4" t="s">
        <v>32022</v>
      </c>
      <c r="C25438" s="5" t="str">
        <f>IFERROR(__xludf.DUMMYFUNCTION("GOOGLETRANSLATE(B25438,""en"",""es-ES"")"),"Un hombre con camisa azul bebe un gran vaso de cerveza.")</f>
        <v>Un hombre con camisa azul bebe un gran vaso de cerveza.</v>
      </c>
    </row>
    <row r="25439">
      <c r="A25439" s="4" t="s">
        <v>32021</v>
      </c>
      <c r="B25439" s="4" t="s">
        <v>32023</v>
      </c>
      <c r="C25439" s="5" t="str">
        <f>IFERROR(__xludf.DUMMYFUNCTION("GOOGLETRANSLATE(B25439,""en"",""es-ES"")"),"El hombre rubio a su lado está animando.")</f>
        <v>El hombre rubio a su lado está animando.</v>
      </c>
    </row>
    <row r="25440">
      <c r="A25440" s="4" t="s">
        <v>32021</v>
      </c>
      <c r="B25440" s="4" t="s">
        <v>32024</v>
      </c>
      <c r="C25440" s="5" t="str">
        <f>IFERROR(__xludf.DUMMYFUNCTION("GOOGLETRANSLATE(B25440,""en"",""es-ES"")"),"El hombre de camisa azul terminó su bebida y la dejó, y el hombre rubio vitoreó.")</f>
        <v>El hombre de camisa azul terminó su bebida y la dejó, y el hombre rubio vitoreó.</v>
      </c>
    </row>
    <row r="25441">
      <c r="A25441" s="4" t="s">
        <v>32025</v>
      </c>
      <c r="B25441" s="4" t="s">
        <v>32026</v>
      </c>
      <c r="C25441" s="5" t="str">
        <f>IFERROR(__xludf.DUMMYFUNCTION("GOOGLETRANSLATE(B25441,""en"",""es-ES"")"),"El hombre está de pie en paralelos haciendo gimnasia en un gimnasio techo.")</f>
        <v>El hombre está de pie en paralelos haciendo gimnasia en un gimnasio techo.</v>
      </c>
    </row>
    <row r="25442">
      <c r="A25442" s="4" t="s">
        <v>32025</v>
      </c>
      <c r="B25442" s="4" t="s">
        <v>32027</v>
      </c>
      <c r="C25442" s="5" t="str">
        <f>IFERROR(__xludf.DUMMYFUNCTION("GOOGLETRANSLATE(B25442,""en"",""es-ES"")"),"La gente está en tareas mirando al hombre.")</f>
        <v>La gente está en tareas mirando al hombre.</v>
      </c>
    </row>
    <row r="25443">
      <c r="A25443" s="4" t="s">
        <v>32028</v>
      </c>
      <c r="B25443" s="4" t="s">
        <v>32029</v>
      </c>
      <c r="C25443" s="5" t="str">
        <f>IFERROR(__xludf.DUMMYFUNCTION("GOOGLETRANSLATE(B25443,""en"",""es-ES"")"),"Una niña que lleva una bata blanca con capucha está al lado del hombre y una mujer al lado de una mesa de billar.")</f>
        <v>Una niña que lleva una bata blanca con capucha está al lado del hombre y una mujer al lado de una mesa de billar.</v>
      </c>
    </row>
    <row r="25444">
      <c r="A25444" s="4" t="s">
        <v>32028</v>
      </c>
      <c r="B25444" s="4" t="s">
        <v>32030</v>
      </c>
      <c r="C25444" s="5" t="str">
        <f>IFERROR(__xludf.DUMMYFUNCTION("GOOGLETRANSLATE(B25444,""en"",""es-ES"")"),"Luego, la niña camina y se quita el abrigo, luego toma una señal y dobla en los dos hombres delanteros.")</f>
        <v>Luego, la niña camina y se quita el abrigo, luego toma una señal y dobla en los dos hombres delanteros.</v>
      </c>
    </row>
    <row r="25445">
      <c r="A25445" s="4" t="s">
        <v>32028</v>
      </c>
      <c r="B25445" s="4" t="s">
        <v>32031</v>
      </c>
      <c r="C25445" s="5" t="str">
        <f>IFERROR(__xludf.DUMMYFUNCTION("GOOGLETRANSLATE(B25445,""en"",""es-ES"")"),"Después, la niña se da vuelta y agarra la camisa del niño mientras hace un gesto sexy, luego se vuelve para jugar de nuevo.")</f>
        <v>Después, la niña se da vuelta y agarra la camisa del niño mientras hace un gesto sexy, luego se vuelve para jugar de nuevo.</v>
      </c>
    </row>
    <row r="25446">
      <c r="A25446" s="4" t="s">
        <v>32028</v>
      </c>
      <c r="B25446" s="4" t="s">
        <v>32032</v>
      </c>
      <c r="C25446" s="5" t="str">
        <f>IFERROR(__xludf.DUMMYFUNCTION("GOOGLETRANSLATE(B25446,""en"",""es-ES"")"),"Un hombre quiere tocar el trasero de una niña.")</f>
        <v>Un hombre quiere tocar el trasero de una niña.</v>
      </c>
    </row>
    <row r="25447">
      <c r="A25447" s="4" t="s">
        <v>32033</v>
      </c>
      <c r="B25447" s="4" t="s">
        <v>32034</v>
      </c>
      <c r="C25447" s="5" t="str">
        <f>IFERROR(__xludf.DUMMYFUNCTION("GOOGLETRANSLATE(B25447,""en"",""es-ES"")"),"Una chica con atuendo morado se pone en una viga de equilibrio.")</f>
        <v>Una chica con atuendo morado se pone en una viga de equilibrio.</v>
      </c>
    </row>
    <row r="25448">
      <c r="A25448" s="4" t="s">
        <v>32033</v>
      </c>
      <c r="B25448" s="4" t="s">
        <v>32035</v>
      </c>
      <c r="C25448" s="5" t="str">
        <f>IFERROR(__xludf.DUMMYFUNCTION("GOOGLETRANSLATE(B25448,""en"",""es-ES"")"),"Ella hace una rutina de gimnasia en la viga de equilibrio.")</f>
        <v>Ella hace una rutina de gimnasia en la viga de equilibrio.</v>
      </c>
    </row>
    <row r="25449">
      <c r="A25449" s="4" t="s">
        <v>32033</v>
      </c>
      <c r="B25449" s="4" t="s">
        <v>20674</v>
      </c>
      <c r="C25449" s="5" t="str">
        <f>IFERROR(__xludf.DUMMYFUNCTION("GOOGLETRANSLATE(B25449,""en"",""es-ES"")"),"Ella desmonta y aterriza en la colchoneta con las manos en el aire.")</f>
        <v>Ella desmonta y aterriza en la colchoneta con las manos en el aire.</v>
      </c>
    </row>
    <row r="25450">
      <c r="A25450" s="4" t="s">
        <v>32036</v>
      </c>
      <c r="B25450" s="4" t="s">
        <v>32037</v>
      </c>
      <c r="C25450" s="5" t="str">
        <f>IFERROR(__xludf.DUMMYFUNCTION("GOOGLETRANSLATE(B25450,""en"",""es-ES"")"),"Un atleta camina hacia un campo afuera.")</f>
        <v>Un atleta camina hacia un campo afuera.</v>
      </c>
    </row>
    <row r="25451">
      <c r="A25451" s="4" t="s">
        <v>32036</v>
      </c>
      <c r="B25451" s="4" t="s">
        <v>32038</v>
      </c>
      <c r="C25451" s="5" t="str">
        <f>IFERROR(__xludf.DUMMYFUNCTION("GOOGLETRANSLATE(B25451,""en"",""es-ES"")"),"Corre con una jabalina en el aire.")</f>
        <v>Corre con una jabalina en el aire.</v>
      </c>
    </row>
    <row r="25452">
      <c r="A25452" s="4" t="s">
        <v>32036</v>
      </c>
      <c r="B25452" s="4" t="s">
        <v>32039</v>
      </c>
      <c r="C25452" s="5" t="str">
        <f>IFERROR(__xludf.DUMMYFUNCTION("GOOGLETRANSLATE(B25452,""en"",""es-ES"")"),"Lanza la jabalina lo más lejos que puede, repitiendo varias veces.")</f>
        <v>Lanza la jabalina lo más lejos que puede, repitiendo varias veces.</v>
      </c>
    </row>
    <row r="25453">
      <c r="A25453" s="4" t="s">
        <v>32040</v>
      </c>
      <c r="B25453" s="4" t="s">
        <v>32041</v>
      </c>
      <c r="C25453" s="5" t="str">
        <f>IFERROR(__xludf.DUMMYFUNCTION("GOOGLETRANSLATE(B25453,""en"",""es-ES"")"),"Una mujer está frente a una mesa, sosteniendo un gato.")</f>
        <v>Una mujer está frente a una mesa, sosteniendo un gato.</v>
      </c>
    </row>
    <row r="25454">
      <c r="A25454" s="4" t="s">
        <v>32040</v>
      </c>
      <c r="B25454" s="4" t="s">
        <v>32042</v>
      </c>
      <c r="C25454" s="5" t="str">
        <f>IFERROR(__xludf.DUMMYFUNCTION("GOOGLETRANSLATE(B25454,""en"",""es-ES"")"),"Ella recorre al gato para calmarlo.")</f>
        <v>Ella recorre al gato para calmarlo.</v>
      </c>
    </row>
    <row r="25455">
      <c r="A25455" s="4" t="s">
        <v>32040</v>
      </c>
      <c r="B25455" s="4" t="s">
        <v>32043</v>
      </c>
      <c r="C25455" s="5" t="str">
        <f>IFERROR(__xludf.DUMMYFUNCTION("GOOGLETRANSLATE(B25455,""en"",""es-ES"")"),"Luego le corta suavemente las uñas de los pies.")</f>
        <v>Luego le corta suavemente las uñas de los pies.</v>
      </c>
    </row>
    <row r="25456">
      <c r="A25456" s="4" t="s">
        <v>32044</v>
      </c>
      <c r="B25456" s="4" t="s">
        <v>32045</v>
      </c>
      <c r="C25456" s="5" t="str">
        <f>IFERROR(__xludf.DUMMYFUNCTION("GOOGLETRANSLATE(B25456,""en"",""es-ES"")"),"Parece que están viendo en la televisión un juego de fútbol.")</f>
        <v>Parece que están viendo en la televisión un juego de fútbol.</v>
      </c>
    </row>
    <row r="25457">
      <c r="A25457" s="4" t="s">
        <v>32044</v>
      </c>
      <c r="B25457" s="4" t="s">
        <v>32046</v>
      </c>
      <c r="C25457" s="5" t="str">
        <f>IFERROR(__xludf.DUMMYFUNCTION("GOOGLETRANSLATE(B25457,""en"",""es-ES"")"),"La estación muestra para qué canal se está observando.")</f>
        <v>La estación muestra para qué canal se está observando.</v>
      </c>
    </row>
    <row r="25458">
      <c r="A25458" s="4" t="s">
        <v>32044</v>
      </c>
      <c r="B25458" s="4" t="s">
        <v>32047</v>
      </c>
      <c r="C25458" s="5" t="str">
        <f>IFERROR(__xludf.DUMMYFUNCTION("GOOGLETRANSLATE(B25458,""en"",""es-ES"")"),"Las mujeres en la cancha corren tratando de obtener la pelota.")</f>
        <v>Las mujeres en la cancha corren tratando de obtener la pelota.</v>
      </c>
    </row>
    <row r="25459">
      <c r="A25459" s="4" t="s">
        <v>32044</v>
      </c>
      <c r="B25459" s="4" t="s">
        <v>32048</v>
      </c>
      <c r="C25459" s="5" t="str">
        <f>IFERROR(__xludf.DUMMYFUNCTION("GOOGLETRANSLATE(B25459,""en"",""es-ES"")"),"Una de las mujeres corre hasta la meta.")</f>
        <v>Una de las mujeres corre hasta la meta.</v>
      </c>
    </row>
    <row r="25460">
      <c r="A25460" s="4" t="s">
        <v>32049</v>
      </c>
      <c r="B25460" s="4" t="s">
        <v>32050</v>
      </c>
      <c r="C25460" s="5" t="str">
        <f>IFERROR(__xludf.DUMMYFUNCTION("GOOGLETRANSLATE(B25460,""en"",""es-ES"")"),"Un hombre está de pie y arroja una roca.")</f>
        <v>Un hombre está de pie y arroja una roca.</v>
      </c>
    </row>
    <row r="25461">
      <c r="A25461" s="4" t="s">
        <v>32049</v>
      </c>
      <c r="B25461" s="4" t="s">
        <v>32051</v>
      </c>
      <c r="C25461" s="5" t="str">
        <f>IFERROR(__xludf.DUMMYFUNCTION("GOOGLETRANSLATE(B25461,""en"",""es-ES"")"),"La gente está de pie y lo mira.")</f>
        <v>La gente está de pie y lo mira.</v>
      </c>
    </row>
    <row r="25462">
      <c r="A25462" s="4" t="s">
        <v>32049</v>
      </c>
      <c r="B25462" s="4" t="s">
        <v>32052</v>
      </c>
      <c r="C25462" s="5" t="str">
        <f>IFERROR(__xludf.DUMMYFUNCTION("GOOGLETRANSLATE(B25462,""en"",""es-ES"")"),"Un hombre se mete en un carruaje de caballo y se aleja.")</f>
        <v>Un hombre se mete en un carruaje de caballo y se aleja.</v>
      </c>
    </row>
    <row r="25463">
      <c r="A25463" s="4" t="s">
        <v>32053</v>
      </c>
      <c r="B25463" s="4" t="s">
        <v>32054</v>
      </c>
      <c r="C25463" s="5" t="str">
        <f>IFERROR(__xludf.DUMMYFUNCTION("GOOGLETRANSLATE(B25463,""en"",""es-ES"")"),"Vemos a un niño cepillándose los dientes y bailando en el baño.")</f>
        <v>Vemos a un niño cepillándose los dientes y bailando en el baño.</v>
      </c>
    </row>
    <row r="25464">
      <c r="A25464" s="4" t="s">
        <v>32053</v>
      </c>
      <c r="B25464" s="4" t="s">
        <v>32055</v>
      </c>
      <c r="C25464" s="5" t="str">
        <f>IFERROR(__xludf.DUMMYFUNCTION("GOOGLETRANSLATE(B25464,""en"",""es-ES"")"),"El niño hace una pausa y mira el pincel.")</f>
        <v>El niño hace una pausa y mira el pincel.</v>
      </c>
    </row>
    <row r="25465">
      <c r="A25465" s="4" t="s">
        <v>32053</v>
      </c>
      <c r="B25465" s="4" t="s">
        <v>32056</v>
      </c>
      <c r="C25465" s="5" t="str">
        <f>IFERROR(__xludf.DUMMYFUNCTION("GOOGLETRANSLATE(B25465,""en"",""es-ES"")"),"El niño vuelve a cepillarse y bailar.")</f>
        <v>El niño vuelve a cepillarse y bailar.</v>
      </c>
    </row>
    <row r="25466">
      <c r="A25466" s="4" t="s">
        <v>32053</v>
      </c>
      <c r="B25466" s="4" t="s">
        <v>32057</v>
      </c>
      <c r="C25466" s="5" t="str">
        <f>IFERROR(__xludf.DUMMYFUNCTION("GOOGLETRANSLATE(B25466,""en"",""es-ES"")"),"El niño aguanta el fregadero por un momento.")</f>
        <v>El niño aguanta el fregadero por un momento.</v>
      </c>
    </row>
    <row r="25467">
      <c r="A25467" s="4" t="s">
        <v>32053</v>
      </c>
      <c r="B25467" s="4" t="s">
        <v>32058</v>
      </c>
      <c r="C25467" s="5" t="str">
        <f>IFERROR(__xludf.DUMMYFUNCTION("GOOGLETRANSLATE(B25467,""en"",""es-ES"")"),"El niño se sostiene nuevamente en el fregadero.")</f>
        <v>El niño se sostiene nuevamente en el fregadero.</v>
      </c>
    </row>
    <row r="25468">
      <c r="A25468" s="4" t="s">
        <v>32059</v>
      </c>
      <c r="B25468" s="4" t="s">
        <v>32060</v>
      </c>
      <c r="C25468" s="5" t="str">
        <f>IFERROR(__xludf.DUMMYFUNCTION("GOOGLETRANSLATE(B25468,""en"",""es-ES"")"),"Se muestra un primer plano de una pared con agua rociando los lados que conduce a varias imágenes, así como a las personas que rocían el suelo.")</f>
        <v>Se muestra un primer plano de una pared con agua rociando los lados que conduce a varias imágenes, así como a las personas que rocían el suelo.</v>
      </c>
    </row>
    <row r="25469">
      <c r="A25469" s="4" t="s">
        <v>32059</v>
      </c>
      <c r="B25469" s="4" t="s">
        <v>32061</v>
      </c>
      <c r="C25469" s="5" t="str">
        <f>IFERROR(__xludf.DUMMYFUNCTION("GOOGLETRANSLATE(B25469,""en"",""es-ES"")"),"Se ve a más personas rociando un camión y los autos que se levantan en una máquina mientras se muestran más imágenes.")</f>
        <v>Se ve a más personas rociando un camión y los autos que se levantan en una máquina mientras se muestran más imágenes.</v>
      </c>
    </row>
    <row r="25470">
      <c r="A25470" s="4" t="s">
        <v>32062</v>
      </c>
      <c r="B25470" s="4" t="s">
        <v>32063</v>
      </c>
      <c r="C25470" s="5" t="str">
        <f>IFERROR(__xludf.DUMMYFUNCTION("GOOGLETRANSLATE(B25470,""en"",""es-ES"")"),"Este hombre se muestra de pie en el techo diciendo algunas palabras.")</f>
        <v>Este hombre se muestra de pie en el techo diciendo algunas palabras.</v>
      </c>
    </row>
    <row r="25471">
      <c r="A25471" s="4" t="s">
        <v>32062</v>
      </c>
      <c r="B25471" s="4" t="s">
        <v>32064</v>
      </c>
      <c r="C25471" s="5" t="str">
        <f>IFERROR(__xludf.DUMMYFUNCTION("GOOGLETRANSLATE(B25471,""en"",""es-ES"")"),"Luego comienza a eliminar algunas partes de madera del techo y acumula todas las baldosas.")</f>
        <v>Luego comienza a eliminar algunas partes de madera del techo y acumula todas las baldosas.</v>
      </c>
    </row>
    <row r="25472">
      <c r="A25472" s="4" t="s">
        <v>32062</v>
      </c>
      <c r="B25472" s="4" t="s">
        <v>32065</v>
      </c>
      <c r="C25472" s="5" t="str">
        <f>IFERROR(__xludf.DUMMYFUNCTION("GOOGLETRANSLATE(B25472,""en"",""es-ES"")"),"Luego los pone a donde deberían ir para hacer una parte completa en el techo.")</f>
        <v>Luego los pone a donde deberían ir para hacer una parte completa en el techo.</v>
      </c>
    </row>
    <row r="25473">
      <c r="A25473" s="4" t="s">
        <v>32066</v>
      </c>
      <c r="B25473" s="4" t="s">
        <v>32067</v>
      </c>
      <c r="C25473" s="5" t="str">
        <f>IFERROR(__xludf.DUMMYFUNCTION("GOOGLETRANSLATE(B25473,""en"",""es-ES"")"),"Un hombre hace una barbacoa en un patio mientras canta con gente que muestra bebidas en latas y tazas.")</f>
        <v>Un hombre hace una barbacoa en un patio mientras canta con gente que muestra bebidas en latas y tazas.</v>
      </c>
    </row>
    <row r="25474">
      <c r="A25474" s="4" t="s">
        <v>32066</v>
      </c>
      <c r="B25474" s="4" t="s">
        <v>32068</v>
      </c>
      <c r="C25474" s="5" t="str">
        <f>IFERROR(__xludf.DUMMYFUNCTION("GOOGLETRANSLATE(B25474,""en"",""es-ES"")"),"Luego la gente camina hacia un bar y canta dentro de beber cerveza.")</f>
        <v>Luego la gente camina hacia un bar y canta dentro de beber cerveza.</v>
      </c>
    </row>
    <row r="25475">
      <c r="A25475" s="4" t="s">
        <v>32066</v>
      </c>
      <c r="B25475" s="4" t="s">
        <v>32069</v>
      </c>
      <c r="C25475" s="5" t="str">
        <f>IFERROR(__xludf.DUMMYFUNCTION("GOOGLETRANSLATE(B25475,""en"",""es-ES"")"),"Las mujeres sirven bebidas de una fuente.")</f>
        <v>Las mujeres sirven bebidas de una fuente.</v>
      </c>
    </row>
    <row r="25476">
      <c r="A25476" s="4" t="s">
        <v>32066</v>
      </c>
      <c r="B25476" s="4" t="s">
        <v>32070</v>
      </c>
      <c r="C25476" s="5" t="str">
        <f>IFERROR(__xludf.DUMMYFUNCTION("GOOGLETRANSLATE(B25476,""en"",""es-ES"")"),"Un hombre habla en el frente de un micrófono y la gente continúa cantando y mostrando cerveza.")</f>
        <v>Un hombre habla en el frente de un micrófono y la gente continúa cantando y mostrando cerveza.</v>
      </c>
    </row>
    <row r="25477">
      <c r="A25477" s="4" t="s">
        <v>32066</v>
      </c>
      <c r="B25477" s="4" t="s">
        <v>32071</v>
      </c>
      <c r="C25477" s="5" t="str">
        <f>IFERROR(__xludf.DUMMYFUNCTION("GOOGLETRANSLATE(B25477,""en"",""es-ES"")"),"Entonces, la gente vuelve a cantar, beber y bailar al aire libre.")</f>
        <v>Entonces, la gente vuelve a cantar, beber y bailar al aire libre.</v>
      </c>
    </row>
    <row r="25478">
      <c r="A25478" s="4" t="s">
        <v>32072</v>
      </c>
      <c r="B25478" s="4" t="s">
        <v>32073</v>
      </c>
      <c r="C25478" s="5" t="str">
        <f>IFERROR(__xludf.DUMMYFUNCTION("GOOGLETRANSLATE(B25478,""en"",""es-ES"")"),"Se ve a una mujer hablando con la cámara y conduce a clips de sus ejercicios de AB que hablan con la cámara.")</f>
        <v>Se ve a una mujer hablando con la cámara y conduce a clips de sus ejercicios de AB que hablan con la cámara.</v>
      </c>
    </row>
    <row r="25479">
      <c r="A25479" s="4" t="s">
        <v>32072</v>
      </c>
      <c r="B25479" s="4" t="s">
        <v>32074</v>
      </c>
      <c r="C25479" s="5" t="str">
        <f>IFERROR(__xludf.DUMMYFUNCTION("GOOGLETRANSLATE(B25479,""en"",""es-ES"")"),"La mujer demuestra cómo hacer una sentada adecuada moviendo los brazos en diferentes lugares y hablando con la cámara.")</f>
        <v>La mujer demuestra cómo hacer una sentada adecuada moviendo los brazos en diferentes lugares y hablando con la cámara.</v>
      </c>
    </row>
    <row r="25480">
      <c r="A25480" s="4" t="s">
        <v>32075</v>
      </c>
      <c r="B25480" s="4" t="s">
        <v>32076</v>
      </c>
      <c r="C25480" s="5" t="str">
        <f>IFERROR(__xludf.DUMMYFUNCTION("GOOGLETRANSLATE(B25480,""en"",""es-ES"")"),"Una persona muestra un tazón de helado en Disneyland.")</f>
        <v>Una persona muestra un tazón de helado en Disneyland.</v>
      </c>
    </row>
    <row r="25481">
      <c r="A25481" s="4" t="s">
        <v>32075</v>
      </c>
      <c r="B25481" s="4" t="s">
        <v>32077</v>
      </c>
      <c r="C25481" s="5" t="str">
        <f>IFERROR(__xludf.DUMMYFUNCTION("GOOGLETRANSLATE(B25481,""en"",""es-ES"")"),"La persona disfruta del tazón de helado.")</f>
        <v>La persona disfruta del tazón de helado.</v>
      </c>
    </row>
    <row r="25482">
      <c r="A25482" s="4" t="s">
        <v>32075</v>
      </c>
      <c r="B25482" s="4" t="s">
        <v>32078</v>
      </c>
      <c r="C25482" s="5" t="str">
        <f>IFERROR(__xludf.DUMMYFUNCTION("GOOGLETRANSLATE(B25482,""en"",""es-ES"")"),"Un carro rueda a lo largo de una calle con un director colgando por la ventana.")</f>
        <v>Un carro rueda a lo largo de una calle con un director colgando por la ventana.</v>
      </c>
    </row>
    <row r="25483">
      <c r="A25483" s="4" t="s">
        <v>32075</v>
      </c>
      <c r="B25483" s="4" t="s">
        <v>32079</v>
      </c>
      <c r="C25483" s="5" t="str">
        <f>IFERROR(__xludf.DUMMYFUNCTION("GOOGLETRANSLATE(B25483,""en"",""es-ES"")"),"Se ve una calle concurrida con mucha gente caminando y mirando un carro estacionado.")</f>
        <v>Se ve una calle concurrida con mucha gente caminando y mirando un carro estacionado.</v>
      </c>
    </row>
    <row r="25484">
      <c r="A25484" s="4" t="s">
        <v>32080</v>
      </c>
      <c r="B25484" s="4" t="s">
        <v>32081</v>
      </c>
      <c r="C25484" s="5" t="str">
        <f>IFERROR(__xludf.DUMMYFUNCTION("GOOGLETRANSLATE(B25484,""en"",""es-ES"")"),"Se estaciona una moto de agua y un hombre monta uno.")</f>
        <v>Se estaciona una moto de agua y un hombre monta uno.</v>
      </c>
    </row>
    <row r="25485">
      <c r="A25485" s="4" t="s">
        <v>32080</v>
      </c>
      <c r="B25485" s="4" t="s">
        <v>32082</v>
      </c>
      <c r="C25485" s="5" t="str">
        <f>IFERROR(__xludf.DUMMYFUNCTION("GOOGLETRANSLATE(B25485,""en"",""es-ES"")"),"Vemos el nombre de un hombre en la pantalla y un hombre detrás de un bote y un hombre de jet y girando.")</f>
        <v>Vemos el nombre de un hombre en la pantalla y un hombre detrás de un bote y un hombre de jet y girando.</v>
      </c>
    </row>
    <row r="25486">
      <c r="A25486" s="4" t="s">
        <v>32080</v>
      </c>
      <c r="B25486" s="4" t="s">
        <v>32083</v>
      </c>
      <c r="C25486" s="5" t="str">
        <f>IFERROR(__xludf.DUMMYFUNCTION("GOOGLETRANSLATE(B25486,""en"",""es-ES"")"),"Dos hombres en una moto de agua se sacuden el pelo.")</f>
        <v>Dos hombres en una moto de agua se sacuden el pelo.</v>
      </c>
    </row>
    <row r="25487">
      <c r="A25487" s="4" t="s">
        <v>32080</v>
      </c>
      <c r="B25487" s="4" t="s">
        <v>32084</v>
      </c>
      <c r="C25487" s="5" t="str">
        <f>IFERROR(__xludf.DUMMYFUNCTION("GOOGLETRANSLATE(B25487,""en"",""es-ES"")"),"El nombre de una persona está en la pantalla y vemos a un hombre jet ski.")</f>
        <v>El nombre de una persona está en la pantalla y vemos a un hombre jet ski.</v>
      </c>
    </row>
    <row r="25488">
      <c r="A25488" s="4" t="s">
        <v>32080</v>
      </c>
      <c r="B25488" s="4" t="s">
        <v>32085</v>
      </c>
      <c r="C25488" s="5" t="str">
        <f>IFERROR(__xludf.DUMMYFUNCTION("GOOGLETRANSLATE(B25488,""en"",""es-ES"")"),"Otro nombre y otro hombre en la moto de agua.")</f>
        <v>Otro nombre y otro hombre en la moto de agua.</v>
      </c>
    </row>
    <row r="25489">
      <c r="A25489" s="4" t="s">
        <v>32080</v>
      </c>
      <c r="B25489" s="4" t="s">
        <v>32086</v>
      </c>
      <c r="C25489" s="5" t="str">
        <f>IFERROR(__xludf.DUMMYFUNCTION("GOOGLETRANSLATE(B25489,""en"",""es-ES"")"),"Vemos al hombre mientras se prepara para esquiar en el bote.")</f>
        <v>Vemos al hombre mientras se prepara para esquiar en el bote.</v>
      </c>
    </row>
    <row r="25490">
      <c r="A25490" s="4" t="s">
        <v>32080</v>
      </c>
      <c r="B25490" s="4" t="s">
        <v>32087</v>
      </c>
      <c r="C25490" s="5" t="str">
        <f>IFERROR(__xludf.DUMMYFUNCTION("GOOGLETRANSLATE(B25490,""en"",""es-ES"")"),"Vemos el lago y luego los créditos de cierre.")</f>
        <v>Vemos el lago y luego los créditos de cierre.</v>
      </c>
    </row>
    <row r="25491">
      <c r="A25491" s="4" t="s">
        <v>32088</v>
      </c>
      <c r="B25491" s="4" t="s">
        <v>32089</v>
      </c>
      <c r="C25491" s="5" t="str">
        <f>IFERROR(__xludf.DUMMYFUNCTION("GOOGLETRANSLATE(B25491,""en"",""es-ES"")"),"Vemos una pantalla negra y los créditos.")</f>
        <v>Vemos una pantalla negra y los créditos.</v>
      </c>
    </row>
    <row r="25492">
      <c r="A25492" s="4" t="s">
        <v>32088</v>
      </c>
      <c r="B25492" s="4" t="s">
        <v>32090</v>
      </c>
      <c r="C25492" s="5" t="str">
        <f>IFERROR(__xludf.DUMMYFUNCTION("GOOGLETRANSLATE(B25492,""en"",""es-ES"")"),"Una persona está cortando el cabello de un hombre.")</f>
        <v>Una persona está cortando el cabello de un hombre.</v>
      </c>
    </row>
    <row r="25493">
      <c r="A25493" s="4" t="s">
        <v>32088</v>
      </c>
      <c r="B25493" s="4" t="s">
        <v>32091</v>
      </c>
      <c r="C25493" s="5" t="str">
        <f>IFERROR(__xludf.DUMMYFUNCTION("GOOGLETRANSLATE(B25493,""en"",""es-ES"")"),"Cambian a una afeitadora eléctrica en la parte posterior.")</f>
        <v>Cambian a una afeitadora eléctrica en la parte posterior.</v>
      </c>
    </row>
    <row r="25494">
      <c r="A25494" s="4" t="s">
        <v>32088</v>
      </c>
      <c r="B25494" s="4" t="s">
        <v>32092</v>
      </c>
      <c r="C25494" s="5" t="str">
        <f>IFERROR(__xludf.DUMMYFUNCTION("GOOGLETRANSLATE(B25494,""en"",""es-ES"")"),"La persona usa la rasuradora en su mano.")</f>
        <v>La persona usa la rasuradora en su mano.</v>
      </c>
    </row>
    <row r="25495">
      <c r="A25495" s="4" t="s">
        <v>32088</v>
      </c>
      <c r="B25495" s="4" t="s">
        <v>32093</v>
      </c>
      <c r="C25495" s="5" t="str">
        <f>IFERROR(__xludf.DUMMYFUNCTION("GOOGLETRANSLATE(B25495,""en"",""es-ES"")"),"La pantalla cambia a negro por un momento.")</f>
        <v>La pantalla cambia a negro por un momento.</v>
      </c>
    </row>
    <row r="25496">
      <c r="A25496" s="4" t="s">
        <v>32088</v>
      </c>
      <c r="B25496" s="4" t="s">
        <v>32094</v>
      </c>
      <c r="C25496" s="5" t="str">
        <f>IFERROR(__xludf.DUMMYFUNCTION("GOOGLETRANSLATE(B25496,""en"",""es-ES"")"),"Vemos que la pantalla cambia de nuevo y la persona alinea la parte posterior de la cabeza del hombre.")</f>
        <v>Vemos que la pantalla cambia de nuevo y la persona alinea la parte posterior de la cabeza del hombre.</v>
      </c>
    </row>
    <row r="25497">
      <c r="A25497" s="4" t="s">
        <v>32088</v>
      </c>
      <c r="B25497" s="4" t="s">
        <v>32095</v>
      </c>
      <c r="C25497" s="5" t="str">
        <f>IFERROR(__xludf.DUMMYFUNCTION("GOOGLETRANSLATE(B25497,""en"",""es-ES"")"),"El barbero toca el borde de la rasuradora.")</f>
        <v>El barbero toca el borde de la rasuradora.</v>
      </c>
    </row>
    <row r="25498">
      <c r="A25498" s="4" t="s">
        <v>32088</v>
      </c>
      <c r="B25498" s="4" t="s">
        <v>32096</v>
      </c>
      <c r="C25498" s="5" t="str">
        <f>IFERROR(__xludf.DUMMYFUNCTION("GOOGLETRANSLATE(B25498,""en"",""es-ES"")"),"La pantalla se desvanece hasta el negro y se tiran los créditos finales.")</f>
        <v>La pantalla se desvanece hasta el negro y se tiran los créditos finales.</v>
      </c>
    </row>
    <row r="25499">
      <c r="A25499" s="4" t="s">
        <v>32097</v>
      </c>
      <c r="B25499" s="4" t="s">
        <v>32098</v>
      </c>
      <c r="C25499" s="5" t="str">
        <f>IFERROR(__xludf.DUMMYFUNCTION("GOOGLETRANSLATE(B25499,""en"",""es-ES"")"),"Un grupo de personas viajan en varias canoas por un río.")</f>
        <v>Un grupo de personas viajan en varias canoas por un río.</v>
      </c>
    </row>
    <row r="25500">
      <c r="A25500" s="4" t="s">
        <v>32097</v>
      </c>
      <c r="B25500" s="4" t="s">
        <v>32099</v>
      </c>
      <c r="C25500" s="5" t="str">
        <f>IFERROR(__xludf.DUMMYFUNCTION("GOOGLETRANSLATE(B25500,""en"",""es-ES"")"),"Un hombre dispara una llama en el aire seguido de varios otros también.")</f>
        <v>Un hombre dispara una llama en el aire seguido de varios otros también.</v>
      </c>
    </row>
    <row r="25501">
      <c r="A25501" s="4" t="s">
        <v>32097</v>
      </c>
      <c r="B25501" s="4" t="s">
        <v>32100</v>
      </c>
      <c r="C25501" s="5" t="str">
        <f>IFERROR(__xludf.DUMMYFUNCTION("GOOGLETRANSLATE(B25501,""en"",""es-ES"")"),"La cámara se dirige alrededor del grupo de personas vestidas como piratas y en otros disfraces.")</f>
        <v>La cámara se dirige alrededor del grupo de personas vestidas como piratas y en otros disfraces.</v>
      </c>
    </row>
    <row r="25502">
      <c r="A25502" s="4" t="s">
        <v>32101</v>
      </c>
      <c r="B25502" s="4" t="s">
        <v>32102</v>
      </c>
      <c r="C25502" s="5" t="str">
        <f>IFERROR(__xludf.DUMMYFUNCTION("GOOGLETRANSLATE(B25502,""en"",""es-ES"")"),"Se ve a varias personas agarrando esquís y autos alineados y personas que hablan entre sí.")</f>
        <v>Se ve a varias personas agarrando esquís y autos alineados y personas que hablan entre sí.</v>
      </c>
    </row>
    <row r="25503">
      <c r="A25503" s="4" t="s">
        <v>32101</v>
      </c>
      <c r="B25503" s="4" t="s">
        <v>32103</v>
      </c>
      <c r="C25503" s="5" t="str">
        <f>IFERROR(__xludf.DUMMYFUNCTION("GOOGLETRANSLATE(B25503,""en"",""es-ES"")"),"Esto conduce a varios clips de esquiadores que montan en montañas una tras otra.")</f>
        <v>Esto conduce a varios clips de esquiadores que montan en montañas una tras otra.</v>
      </c>
    </row>
    <row r="25504">
      <c r="A25504" s="4" t="s">
        <v>32101</v>
      </c>
      <c r="B25504" s="4" t="s">
        <v>32104</v>
      </c>
      <c r="C25504" s="5" t="str">
        <f>IFERROR(__xludf.DUMMYFUNCTION("GOOGLETRANSLATE(B25504,""en"",""es-ES"")"),"Se muestra a las personas montando juntas, así como un solo y termina con un hombre pateando la cámara.")</f>
        <v>Se muestra a las personas montando juntas, así como un solo y termina con un hombre pateando la cámara.</v>
      </c>
    </row>
    <row r="25505">
      <c r="A25505" s="4" t="s">
        <v>32105</v>
      </c>
      <c r="B25505" s="4" t="s">
        <v>32106</v>
      </c>
      <c r="C25505" s="5" t="str">
        <f>IFERROR(__xludf.DUMMYFUNCTION("GOOGLETRANSLATE(B25505,""en"",""es-ES"")"),"El atleta se está poniendo las zapatillas rojas, luego habló con la cámara y luego corrió en el campo de seguimiento interior.")</f>
        <v>El atleta se está poniendo las zapatillas rojas, luego habló con la cámara y luego corrió en el campo de seguimiento interior.</v>
      </c>
    </row>
    <row r="25506">
      <c r="A25506" s="4" t="s">
        <v>32105</v>
      </c>
      <c r="B25506" s="4" t="s">
        <v>32107</v>
      </c>
      <c r="C25506" s="5" t="str">
        <f>IFERROR(__xludf.DUMMYFUNCTION("GOOGLETRANSLATE(B25506,""en"",""es-ES"")"),"Descansó un poco, luego su entrenador está teniendo una entrevista, luego el cambio de escena donde el atleta comenzó a practicar, corriendo y luego saltó un poste.")</f>
        <v>Descansó un poco, luego su entrenador está teniendo una entrevista, luego el cambio de escena donde el atleta comenzó a practicar, corriendo y luego saltó un poste.</v>
      </c>
    </row>
    <row r="25507">
      <c r="A25507" s="4" t="s">
        <v>32105</v>
      </c>
      <c r="B25507" s="4" t="s">
        <v>32108</v>
      </c>
      <c r="C25507" s="5" t="str">
        <f>IFERROR(__xludf.DUMMYFUNCTION("GOOGLETRANSLATE(B25507,""en"",""es-ES"")"),"Hizo algunos ejercicios y estiramientos.")</f>
        <v>Hizo algunos ejercicios y estiramientos.</v>
      </c>
    </row>
    <row r="25508">
      <c r="A25508" s="4" t="s">
        <v>32109</v>
      </c>
      <c r="B25508" s="4" t="s">
        <v>32110</v>
      </c>
      <c r="C25508" s="5" t="str">
        <f>IFERROR(__xludf.DUMMYFUNCTION("GOOGLETRANSLATE(B25508,""en"",""es-ES"")"),"Un niño con una camisa naranja está jugando un videojuego.")</f>
        <v>Un niño con una camisa naranja está jugando un videojuego.</v>
      </c>
    </row>
    <row r="25509">
      <c r="A25509" s="4" t="s">
        <v>32109</v>
      </c>
      <c r="B25509" s="4" t="s">
        <v>32111</v>
      </c>
      <c r="C25509" s="5" t="str">
        <f>IFERROR(__xludf.DUMMYFUNCTION("GOOGLETRANSLATE(B25509,""en"",""es-ES"")"),"La escena cambia al juego en sí.")</f>
        <v>La escena cambia al juego en sí.</v>
      </c>
    </row>
    <row r="25510">
      <c r="A25510" s="4" t="s">
        <v>32109</v>
      </c>
      <c r="B25510" s="4" t="s">
        <v>32112</v>
      </c>
      <c r="C25510" s="5" t="str">
        <f>IFERROR(__xludf.DUMMYFUNCTION("GOOGLETRANSLATE(B25510,""en"",""es-ES"")"),"La escena vuelve al niño.")</f>
        <v>La escena vuelve al niño.</v>
      </c>
    </row>
    <row r="25511">
      <c r="A25511" s="4" t="s">
        <v>32109</v>
      </c>
      <c r="B25511" s="4" t="s">
        <v>32113</v>
      </c>
      <c r="C25511" s="5" t="str">
        <f>IFERROR(__xludf.DUMMYFUNCTION("GOOGLETRANSLATE(B25511,""en"",""es-ES"")"),"La cámara se acerca al controlador.")</f>
        <v>La cámara se acerca al controlador.</v>
      </c>
    </row>
    <row r="25512">
      <c r="A25512" s="4" t="s">
        <v>32109</v>
      </c>
      <c r="B25512" s="4" t="s">
        <v>32114</v>
      </c>
      <c r="C25512" s="5" t="str">
        <f>IFERROR(__xludf.DUMMYFUNCTION("GOOGLETRANSLATE(B25512,""en"",""es-ES"")"),"La escena se remonta al juego.")</f>
        <v>La escena se remonta al juego.</v>
      </c>
    </row>
    <row r="25513">
      <c r="A25513" s="4" t="s">
        <v>32109</v>
      </c>
      <c r="B25513" s="4" t="s">
        <v>32115</v>
      </c>
      <c r="C25513" s="5" t="str">
        <f>IFERROR(__xludf.DUMMYFUNCTION("GOOGLETRANSLATE(B25513,""en"",""es-ES"")"),"Hay un primer plano de la cara del niño.")</f>
        <v>Hay un primer plano de la cara del niño.</v>
      </c>
    </row>
    <row r="25514">
      <c r="A25514" s="4" t="s">
        <v>32109</v>
      </c>
      <c r="B25514" s="4" t="s">
        <v>32116</v>
      </c>
      <c r="C25514" s="5" t="str">
        <f>IFERROR(__xludf.DUMMYFUNCTION("GOOGLETRANSLATE(B25514,""en"",""es-ES"")"),"La cámara muestra el televisor con la parte posterior de la cabeza del niño.")</f>
        <v>La cámara muestra el televisor con la parte posterior de la cabeza del niño.</v>
      </c>
    </row>
    <row r="25515">
      <c r="A25515" s="4" t="s">
        <v>32109</v>
      </c>
      <c r="B25515" s="4" t="s">
        <v>32117</v>
      </c>
      <c r="C25515" s="5" t="str">
        <f>IFERROR(__xludf.DUMMYFUNCTION("GOOGLETRANSLATE(B25515,""en"",""es-ES"")"),"El juego está jugando hasta el final.")</f>
        <v>El juego está jugando hasta el final.</v>
      </c>
    </row>
    <row r="25516">
      <c r="A25516" s="4" t="s">
        <v>32109</v>
      </c>
      <c r="B25516" s="4" t="s">
        <v>32118</v>
      </c>
      <c r="C25516" s="5" t="str">
        <f>IFERROR(__xludf.DUMMYFUNCTION("GOOGLETRANSLATE(B25516,""en"",""es-ES"")"),"El niño dice algo y la televisión tiene números.")</f>
        <v>El niño dice algo y la televisión tiene números.</v>
      </c>
    </row>
    <row r="25517">
      <c r="A25517" s="4" t="s">
        <v>32109</v>
      </c>
      <c r="B25517" s="4" t="s">
        <v>32119</v>
      </c>
      <c r="C25517" s="5" t="str">
        <f>IFERROR(__xludf.DUMMYFUNCTION("GOOGLETRANSLATE(B25517,""en"",""es-ES"")"),"El niño está hablando de nuevo.")</f>
        <v>El niño está hablando de nuevo.</v>
      </c>
    </row>
    <row r="25518">
      <c r="A25518" s="4" t="s">
        <v>32109</v>
      </c>
      <c r="B25518" s="4" t="s">
        <v>32120</v>
      </c>
      <c r="C25518" s="5" t="str">
        <f>IFERROR(__xludf.DUMMYFUNCTION("GOOGLETRANSLATE(B25518,""en"",""es-ES"")"),"El niño se levanta y sale de la habitación.")</f>
        <v>El niño se levanta y sale de la habitación.</v>
      </c>
    </row>
    <row r="25519">
      <c r="A25519" s="4" t="s">
        <v>32109</v>
      </c>
      <c r="B25519" s="4" t="s">
        <v>32121</v>
      </c>
      <c r="C25519" s="5" t="str">
        <f>IFERROR(__xludf.DUMMYFUNCTION("GOOGLETRANSLATE(B25519,""en"",""es-ES"")"),"Él va al baño y se frota los ojos.")</f>
        <v>Él va al baño y se frota los ojos.</v>
      </c>
    </row>
    <row r="25520">
      <c r="A25520" s="4" t="s">
        <v>32109</v>
      </c>
      <c r="B25520" s="4" t="s">
        <v>32122</v>
      </c>
      <c r="C25520" s="5" t="str">
        <f>IFERROR(__xludf.DUMMYFUNCTION("GOOGLETRANSLATE(B25520,""en"",""es-ES"")"),"Se mira en el espejo y luego alcanza el lavado de la cara y le pone un poco en la mano.")</f>
        <v>Se mira en el espejo y luego alcanza el lavado de la cara y le pone un poco en la mano.</v>
      </c>
    </row>
    <row r="25521">
      <c r="A25521" s="4" t="s">
        <v>32109</v>
      </c>
      <c r="B25521" s="4" t="s">
        <v>32123</v>
      </c>
      <c r="C25521" s="5" t="str">
        <f>IFERROR(__xludf.DUMMYFUNCTION("GOOGLETRANSLATE(B25521,""en"",""es-ES"")"),"Lanza el lavado de la cara sobre la lavadora.")</f>
        <v>Lanza el lavado de la cara sobre la lavadora.</v>
      </c>
    </row>
    <row r="25522">
      <c r="A25522" s="4" t="s">
        <v>32109</v>
      </c>
      <c r="B25522" s="4" t="s">
        <v>32124</v>
      </c>
      <c r="C25522" s="5" t="str">
        <f>IFERROR(__xludf.DUMMYFUNCTION("GOOGLETRANSLATE(B25522,""en"",""es-ES"")"),"Él pone la cabeza en el fregadero y se lava la cara con enojo.")</f>
        <v>Él pone la cabeza en el fregadero y se lava la cara con enojo.</v>
      </c>
    </row>
    <row r="25523">
      <c r="A25523" s="4" t="s">
        <v>32109</v>
      </c>
      <c r="B25523" s="4" t="s">
        <v>32125</v>
      </c>
      <c r="C25523" s="5" t="str">
        <f>IFERROR(__xludf.DUMMYFUNCTION("GOOGLETRANSLATE(B25523,""en"",""es-ES"")"),"Cuando se ve en el espejo nuevamente, es un anciano.")</f>
        <v>Cuando se ve en el espejo nuevamente, es un anciano.</v>
      </c>
    </row>
    <row r="25524">
      <c r="A25524" s="4" t="s">
        <v>32109</v>
      </c>
      <c r="B25524" s="4" t="s">
        <v>32126</v>
      </c>
      <c r="C25524" s="5" t="str">
        <f>IFERROR(__xludf.DUMMYFUNCTION("GOOGLETRANSLATE(B25524,""en"",""es-ES"")"),"Cae al suelo.")</f>
        <v>Cae al suelo.</v>
      </c>
    </row>
    <row r="25525">
      <c r="A25525" s="4" t="s">
        <v>32109</v>
      </c>
      <c r="B25525" s="4" t="s">
        <v>32127</v>
      </c>
      <c r="C25525" s="5" t="str">
        <f>IFERROR(__xludf.DUMMYFUNCTION("GOOGLETRANSLATE(B25525,""en"",""es-ES"")"),"Se lava la cara nuevamente y esta vez se convierte en un cráneo.")</f>
        <v>Se lava la cara nuevamente y esta vez se convierte en un cráneo.</v>
      </c>
    </row>
    <row r="25526">
      <c r="A25526" s="4" t="s">
        <v>32109</v>
      </c>
      <c r="B25526" s="4" t="s">
        <v>32128</v>
      </c>
      <c r="C25526" s="5" t="str">
        <f>IFERROR(__xludf.DUMMYFUNCTION("GOOGLETRANSLATE(B25526,""en"",""es-ES"")"),"Se frota la cara y el cráneo cae en el fregadero.")</f>
        <v>Se frota la cara y el cráneo cae en el fregadero.</v>
      </c>
    </row>
    <row r="25527">
      <c r="A25527" s="4" t="s">
        <v>32129</v>
      </c>
      <c r="B25527" s="4" t="s">
        <v>32130</v>
      </c>
      <c r="C25527" s="5" t="str">
        <f>IFERROR(__xludf.DUMMYFUNCTION("GOOGLETRANSLATE(B25527,""en"",""es-ES"")"),"Una persona da la mano sobre la lente.")</f>
        <v>Una persona da la mano sobre la lente.</v>
      </c>
    </row>
    <row r="25528">
      <c r="A25528" s="4" t="s">
        <v>32129</v>
      </c>
      <c r="B25528" s="4" t="s">
        <v>32131</v>
      </c>
      <c r="C25528" s="5" t="str">
        <f>IFERROR(__xludf.DUMMYFUNCTION("GOOGLETRANSLATE(B25528,""en"",""es-ES"")"),"Luego vemos a un niño con esquí gris frente al operador de la cámara.")</f>
        <v>Luego vemos a un niño con esquí gris frente al operador de la cámara.</v>
      </c>
    </row>
    <row r="25529">
      <c r="A25529" s="4" t="s">
        <v>32129</v>
      </c>
      <c r="B25529" s="4" t="s">
        <v>32132</v>
      </c>
      <c r="C25529" s="5" t="str">
        <f>IFERROR(__xludf.DUMMYFUNCTION("GOOGLETRANSLATE(B25529,""en"",""es-ES"")"),"El niño se cae de sus esquís y se acuesta en la nieve.")</f>
        <v>El niño se cae de sus esquís y se acuesta en la nieve.</v>
      </c>
    </row>
    <row r="25530">
      <c r="A25530" s="4" t="s">
        <v>32129</v>
      </c>
      <c r="B25530" s="4" t="s">
        <v>32133</v>
      </c>
      <c r="C25530" s="5" t="str">
        <f>IFERROR(__xludf.DUMMYFUNCTION("GOOGLETRANSLATE(B25530,""en"",""es-ES"")"),"La persona de la cámara se detiene y limpia la nieve de las gafas de los niños y apaga la cámara.")</f>
        <v>La persona de la cámara se detiene y limpia la nieve de las gafas de los niños y apaga la cámara.</v>
      </c>
    </row>
    <row r="25531">
      <c r="A25531" s="4" t="s">
        <v>32134</v>
      </c>
      <c r="B25531" s="4" t="s">
        <v>32135</v>
      </c>
      <c r="C25531" s="5" t="str">
        <f>IFERROR(__xludf.DUMMYFUNCTION("GOOGLETRANSLATE(B25531,""en"",""es-ES"")"),"Un caballo está detrás de una puerta amarilla cuando un hombre se sienta en la parte superior sosteniendo una cuerda.")</f>
        <v>Un caballo está detrás de una puerta amarilla cuando un hombre se sienta en la parte superior sosteniendo una cuerda.</v>
      </c>
    </row>
    <row r="25532">
      <c r="A25532" s="4" t="s">
        <v>32134</v>
      </c>
      <c r="B25532" s="4" t="s">
        <v>32136</v>
      </c>
      <c r="C25532" s="5" t="str">
        <f>IFERROR(__xludf.DUMMYFUNCTION("GOOGLETRANSLATE(B25532,""en"",""es-ES"")"),"La puerta se abre y un ternero negro se agota en el campo de la tierra.")</f>
        <v>La puerta se abre y un ternero negro se agota en el campo de la tierra.</v>
      </c>
    </row>
    <row r="25533">
      <c r="A25533" s="4" t="s">
        <v>32134</v>
      </c>
      <c r="B25533" s="4" t="s">
        <v>32137</v>
      </c>
      <c r="C25533" s="5" t="str">
        <f>IFERROR(__xludf.DUMMYFUNCTION("GOOGLETRANSLATE(B25533,""en"",""es-ES"")"),"Casi al instante, el hombre arroja su lazo y salta para asegurar la vaca.")</f>
        <v>Casi al instante, el hombre arroja su lazo y salta para asegurar la vaca.</v>
      </c>
    </row>
    <row r="25534">
      <c r="A25534" s="4" t="s">
        <v>32134</v>
      </c>
      <c r="B25534" s="4" t="s">
        <v>32138</v>
      </c>
      <c r="C25534" s="5" t="str">
        <f>IFERROR(__xludf.DUMMYFUNCTION("GOOGLETRANSLATE(B25534,""en"",""es-ES"")"),"Una vez que termina, el hombre vuelve al caballo y otras personas salen a sacar la pantorrilla.")</f>
        <v>Una vez que termina, el hombre vuelve al caballo y otras personas salen a sacar la pantorrilla.</v>
      </c>
    </row>
    <row r="25535">
      <c r="A25535" s="4" t="s">
        <v>32139</v>
      </c>
      <c r="B25535" s="4" t="s">
        <v>32140</v>
      </c>
      <c r="C25535" s="5" t="str">
        <f>IFERROR(__xludf.DUMMYFUNCTION("GOOGLETRANSLATE(B25535,""en"",""es-ES"")"),"Una cámara se acerca a una niña que señala su ojo en el espejo.")</f>
        <v>Una cámara se acerca a una niña que señala su ojo en el espejo.</v>
      </c>
    </row>
    <row r="25536">
      <c r="A25536" s="4" t="s">
        <v>32139</v>
      </c>
      <c r="B25536" s="4" t="s">
        <v>32141</v>
      </c>
      <c r="C25536" s="5" t="str">
        <f>IFERROR(__xludf.DUMMYFUNCTION("GOOGLETRANSLATE(B25536,""en"",""es-ES"")"),"Luego se inclina hacia adelante y le pega la cara debajo del agua frotándolo a lo largo de su cara.")</f>
        <v>Luego se inclina hacia adelante y le pega la cara debajo del agua frotándolo a lo largo de su cara.</v>
      </c>
    </row>
    <row r="25537">
      <c r="A25537" s="4" t="s">
        <v>32142</v>
      </c>
      <c r="B25537" s="4" t="s">
        <v>32143</v>
      </c>
      <c r="C25537" s="5" t="str">
        <f>IFERROR(__xludf.DUMMYFUNCTION("GOOGLETRANSLATE(B25537,""en"",""es-ES"")"),"Se ve a una mujer sosteniendo un acordeón mientras sacude los puños en el aire.")</f>
        <v>Se ve a una mujer sosteniendo un acordeón mientras sacude los puños en el aire.</v>
      </c>
    </row>
    <row r="25538">
      <c r="A25538" s="4" t="s">
        <v>32142</v>
      </c>
      <c r="B25538" s="4" t="s">
        <v>32144</v>
      </c>
      <c r="C25538" s="5" t="str">
        <f>IFERROR(__xludf.DUMMYFUNCTION("GOOGLETRANSLATE(B25538,""en"",""es-ES"")"),"Se ve a una banda caminando detrás de ella y comienza a tocar mientras lo hace.")</f>
        <v>Se ve a una banda caminando detrás de ella y comienza a tocar mientras lo hace.</v>
      </c>
    </row>
    <row r="25539">
      <c r="A25539" s="4" t="s">
        <v>32142</v>
      </c>
      <c r="B25539" s="4" t="s">
        <v>32145</v>
      </c>
      <c r="C25539" s="5" t="str">
        <f>IFERROR(__xludf.DUMMYFUNCTION("GOOGLETRANSLATE(B25539,""en"",""es-ES"")"),"La niña continúa tocando con la banda y termina mirando a la cámara.")</f>
        <v>La niña continúa tocando con la banda y termina mirando a la cámara.</v>
      </c>
    </row>
    <row r="25540">
      <c r="A25540" s="4" t="s">
        <v>32146</v>
      </c>
      <c r="B25540" s="4" t="s">
        <v>32147</v>
      </c>
      <c r="C25540" s="5" t="str">
        <f>IFERROR(__xludf.DUMMYFUNCTION("GOOGLETRANSLATE(B25540,""en"",""es-ES"")"),"Se ve a un hombre parado en un campo con el ojo cerrado y parado quieto.")</f>
        <v>Se ve a un hombre parado en un campo con el ojo cerrado y parado quieto.</v>
      </c>
    </row>
    <row r="25541">
      <c r="A25541" s="4" t="s">
        <v>32146</v>
      </c>
      <c r="B25541" s="4" t="s">
        <v>32148</v>
      </c>
      <c r="C25541" s="5" t="str">
        <f>IFERROR(__xludf.DUMMYFUNCTION("GOOGLETRANSLATE(B25541,""en"",""es-ES"")"),"El hombre luego comienza a mover los brazos y las piernas alrededor de su cuerpo.")</f>
        <v>El hombre luego comienza a mover los brazos y las piernas alrededor de su cuerpo.</v>
      </c>
    </row>
    <row r="25542">
      <c r="A25542" s="4" t="s">
        <v>32146</v>
      </c>
      <c r="B25542" s="4" t="s">
        <v>32149</v>
      </c>
      <c r="C25542" s="5" t="str">
        <f>IFERROR(__xludf.DUMMYFUNCTION("GOOGLETRANSLATE(B25542,""en"",""es-ES"")"),"Continúa moviendo su cuerpo con los ojos cerrados.")</f>
        <v>Continúa moviendo su cuerpo con los ojos cerrados.</v>
      </c>
    </row>
    <row r="25543">
      <c r="A25543" s="4" t="s">
        <v>32150</v>
      </c>
      <c r="B25543" s="4" t="s">
        <v>32151</v>
      </c>
      <c r="C25543" s="5" t="str">
        <f>IFERROR(__xludf.DUMMYFUNCTION("GOOGLETRANSLATE(B25543,""en"",""es-ES"")"),"Una mujer se acuesta en una mesa preparada para perforar la oreja.")</f>
        <v>Una mujer se acuesta en una mesa preparada para perforar la oreja.</v>
      </c>
    </row>
    <row r="25544">
      <c r="A25544" s="4" t="s">
        <v>32150</v>
      </c>
      <c r="B25544" s="4" t="s">
        <v>32152</v>
      </c>
      <c r="C25544" s="5" t="str">
        <f>IFERROR(__xludf.DUMMYFUNCTION("GOOGLETRANSLATE(B25544,""en"",""es-ES"")"),"La persona a cargo de la operación le perfora la oreja en dos lugares con una pequeña barra.")</f>
        <v>La persona a cargo de la operación le perfora la oreja en dos lugares con una pequeña barra.</v>
      </c>
    </row>
    <row r="25545">
      <c r="A25545" s="4" t="s">
        <v>32150</v>
      </c>
      <c r="B25545" s="4" t="s">
        <v>32153</v>
      </c>
      <c r="C25545" s="5" t="str">
        <f>IFERROR(__xludf.DUMMYFUNCTION("GOOGLETRANSLATE(B25545,""en"",""es-ES"")"),"La persona aplica un corcho a un extremo de la barra.")</f>
        <v>La persona aplica un corcho a un extremo de la barra.</v>
      </c>
    </row>
    <row r="25546">
      <c r="A25546" s="4" t="s">
        <v>32150</v>
      </c>
      <c r="B25546" s="4" t="s">
        <v>32154</v>
      </c>
      <c r="C25546" s="5" t="str">
        <f>IFERROR(__xludf.DUMMYFUNCTION("GOOGLETRANSLATE(B25546,""en"",""es-ES"")"),"La persona empuja una barra diferente a través de los agujeros creados por la perforación inicial.")</f>
        <v>La persona empuja una barra diferente a través de los agujeros creados por la perforación inicial.</v>
      </c>
    </row>
    <row r="25547">
      <c r="A25547" s="4" t="s">
        <v>32150</v>
      </c>
      <c r="B25547" s="4" t="s">
        <v>32155</v>
      </c>
      <c r="C25547" s="5" t="str">
        <f>IFERROR(__xludf.DUMMYFUNCTION("GOOGLETRANSLATE(B25547,""en"",""es-ES"")"),"La persona limita la nueva barra en ambos extremos.")</f>
        <v>La persona limita la nueva barra en ambos extremos.</v>
      </c>
    </row>
    <row r="25548">
      <c r="A25548" s="4" t="s">
        <v>32150</v>
      </c>
      <c r="B25548" s="4" t="s">
        <v>32156</v>
      </c>
      <c r="C25548" s="5" t="str">
        <f>IFERROR(__xludf.DUMMYFUNCTION("GOOGLETRANSLATE(B25548,""en"",""es-ES"")"),"La mujer muestra su nueva perforación y sonrisas.")</f>
        <v>La mujer muestra su nueva perforación y sonrisas.</v>
      </c>
    </row>
    <row r="25549">
      <c r="A25549" s="4" t="s">
        <v>32157</v>
      </c>
      <c r="B25549" s="4" t="s">
        <v>32158</v>
      </c>
      <c r="C25549" s="5" t="str">
        <f>IFERROR(__xludf.DUMMYFUNCTION("GOOGLETRANSLATE(B25549,""en"",""es-ES"")"),"Se ve a un niño pequeño sonriendo a la cámara y que comienza a subir a través de bares de mono.")</f>
        <v>Se ve a un niño pequeño sonriendo a la cámara y que comienza a subir a través de bares de mono.</v>
      </c>
    </row>
    <row r="25550">
      <c r="A25550" s="4" t="s">
        <v>32157</v>
      </c>
      <c r="B25550" s="4" t="s">
        <v>32159</v>
      </c>
      <c r="C25550" s="5" t="str">
        <f>IFERROR(__xludf.DUMMYFUNCTION("GOOGLETRANSLATE(B25550,""en"",""es-ES"")"),"Ella llega al otro lado y luego saluda a la cámara.")</f>
        <v>Ella llega al otro lado y luego saluda a la cámara.</v>
      </c>
    </row>
    <row r="25551">
      <c r="A25551" s="4" t="s">
        <v>32160</v>
      </c>
      <c r="B25551" s="4" t="s">
        <v>32161</v>
      </c>
      <c r="C25551" s="5" t="str">
        <f>IFERROR(__xludf.DUMMYFUNCTION("GOOGLETRANSLATE(B25551,""en"",""es-ES"")"),"Una persona sostiene objetos pequeños en sus manos.")</f>
        <v>Una persona sostiene objetos pequeños en sus manos.</v>
      </c>
    </row>
    <row r="25552">
      <c r="A25552" s="4" t="s">
        <v>32160</v>
      </c>
      <c r="B25552" s="4" t="s">
        <v>32162</v>
      </c>
      <c r="C25552" s="5" t="str">
        <f>IFERROR(__xludf.DUMMYFUNCTION("GOOGLETRANSLATE(B25552,""en"",""es-ES"")"),"La persona aplica objetos continuamente a una superficie de madera.")</f>
        <v>La persona aplica objetos continuamente a una superficie de madera.</v>
      </c>
    </row>
    <row r="25553">
      <c r="A25553" s="4" t="s">
        <v>32160</v>
      </c>
      <c r="B25553" s="4" t="s">
        <v>32163</v>
      </c>
      <c r="C25553" s="5" t="str">
        <f>IFERROR(__xludf.DUMMYFUNCTION("GOOGLETRANSLATE(B25553,""en"",""es-ES"")"),"Cuando la persona se frota el objeto más pequeño, pone un residuo blanco en la superficie.")</f>
        <v>Cuando la persona se frota el objeto más pequeño, pone un residuo blanco en la superficie.</v>
      </c>
    </row>
    <row r="25554">
      <c r="A25554" s="4" t="s">
        <v>32160</v>
      </c>
      <c r="B25554" s="4" t="s">
        <v>32164</v>
      </c>
      <c r="C25554" s="5" t="str">
        <f>IFERROR(__xludf.DUMMYFUNCTION("GOOGLETRANSLATE(B25554,""en"",""es-ES"")"),"Cuando la persona se frota el objeto marrón, elimina el residuo.")</f>
        <v>Cuando la persona se frota el objeto marrón, elimina el residuo.</v>
      </c>
    </row>
    <row r="25555">
      <c r="A25555" s="4" t="s">
        <v>32165</v>
      </c>
      <c r="B25555" s="4" t="s">
        <v>32166</v>
      </c>
      <c r="C25555" s="5" t="str">
        <f>IFERROR(__xludf.DUMMYFUNCTION("GOOGLETRANSLATE(B25555,""en"",""es-ES"")"),"Se muestra a un hombre sentado frente a varios tambores y golpeando un ritmo.")</f>
        <v>Se muestra a un hombre sentado frente a varios tambores y golpeando un ritmo.</v>
      </c>
    </row>
    <row r="25556">
      <c r="A25556" s="4" t="s">
        <v>32165</v>
      </c>
      <c r="B25556" s="4" t="s">
        <v>32167</v>
      </c>
      <c r="C25556" s="5" t="str">
        <f>IFERROR(__xludf.DUMMYFUNCTION("GOOGLETRANSLATE(B25556,""en"",""es-ES"")"),"Habla con la cámara sobre su canción y lo que planea tocar.")</f>
        <v>Habla con la cámara sobre su canción y lo que planea tocar.</v>
      </c>
    </row>
    <row r="25557">
      <c r="A25557" s="4" t="s">
        <v>32165</v>
      </c>
      <c r="B25557" s="4" t="s">
        <v>32168</v>
      </c>
      <c r="C25557" s="5" t="str">
        <f>IFERROR(__xludf.DUMMYFUNCTION("GOOGLETRANSLATE(B25557,""en"",""es-ES"")"),"El hombre continúa tocando mientras la cámara entran y sale sobre él tocando la batería.")</f>
        <v>El hombre continúa tocando mientras la cámara entran y sale sobre él tocando la batería.</v>
      </c>
    </row>
    <row r="25558">
      <c r="A25558" s="4" t="s">
        <v>32169</v>
      </c>
      <c r="B25558" s="4" t="s">
        <v>32170</v>
      </c>
      <c r="C25558" s="5" t="str">
        <f>IFERROR(__xludf.DUMMYFUNCTION("GOOGLETRANSLATE(B25558,""en"",""es-ES"")"),"Un gimnasta de hombre negro se prepara para actuar en una exposición de bares paralelos.")</f>
        <v>Un gimnasta de hombre negro se prepara para actuar en una exposición de bares paralelos.</v>
      </c>
    </row>
    <row r="25559">
      <c r="A25559" s="4" t="s">
        <v>32169</v>
      </c>
      <c r="B25559" s="4" t="s">
        <v>32171</v>
      </c>
      <c r="C25559" s="5" t="str">
        <f>IFERROR(__xludf.DUMMYFUNCTION("GOOGLETRANSLATE(B25559,""en"",""es-ES"")"),"El hombre monta la barra paralela y entra en una parada de manos y realiza una serie de giros y movimientos.")</f>
        <v>El hombre monta la barra paralela y entra en una parada de manos y realiza una serie de giros y movimientos.</v>
      </c>
    </row>
    <row r="25560">
      <c r="A25560" s="4" t="s">
        <v>32169</v>
      </c>
      <c r="B25560" s="4" t="s">
        <v>32172</v>
      </c>
      <c r="C25560" s="5" t="str">
        <f>IFERROR(__xludf.DUMMYFUNCTION("GOOGLETRANSLATE(B25560,""en"",""es-ES"")"),"La gimnasta entra en su desmontaje y aterriza un aterrizaje perfecto en la colchoneta.")</f>
        <v>La gimnasta entra en su desmontaje y aterriza un aterrizaje perfecto en la colchoneta.</v>
      </c>
    </row>
    <row r="25561">
      <c r="A25561" s="4" t="s">
        <v>32173</v>
      </c>
      <c r="B25561" s="4" t="s">
        <v>32174</v>
      </c>
      <c r="C25561" s="5" t="str">
        <f>IFERROR(__xludf.DUMMYFUNCTION("GOOGLETRANSLATE(B25561,""en"",""es-ES"")"),"Un hombre está colgando de papel tapiz.")</f>
        <v>Un hombre está colgando de papel tapiz.</v>
      </c>
    </row>
    <row r="25562">
      <c r="A25562" s="4" t="s">
        <v>32173</v>
      </c>
      <c r="B25562" s="4" t="s">
        <v>32175</v>
      </c>
      <c r="C25562" s="5" t="str">
        <f>IFERROR(__xludf.DUMMYFUNCTION("GOOGLETRANSLATE(B25562,""en"",""es-ES"")"),"Él mira hacia atrás a la cámara.")</f>
        <v>Él mira hacia atrás a la cámara.</v>
      </c>
    </row>
    <row r="25563">
      <c r="A25563" s="4" t="s">
        <v>32173</v>
      </c>
      <c r="B25563" s="4" t="s">
        <v>32176</v>
      </c>
      <c r="C25563" s="5" t="str">
        <f>IFERROR(__xludf.DUMMYFUNCTION("GOOGLETRANSLATE(B25563,""en"",""es-ES"")"),"Él baja desde la escalera.")</f>
        <v>Él baja desde la escalera.</v>
      </c>
    </row>
    <row r="25564">
      <c r="A25564" s="4" t="s">
        <v>32173</v>
      </c>
      <c r="B25564" s="4" t="s">
        <v>32177</v>
      </c>
      <c r="C25564" s="5" t="str">
        <f>IFERROR(__xludf.DUMMYFUNCTION("GOOGLETRANSLATE(B25564,""en"",""es-ES"")"),"Aparece una silla con el fondo de pantalla.")</f>
        <v>Aparece una silla con el fondo de pantalla.</v>
      </c>
    </row>
    <row r="25565">
      <c r="A25565" s="4" t="s">
        <v>32173</v>
      </c>
      <c r="B25565" s="4" t="s">
        <v>32178</v>
      </c>
      <c r="C25565" s="5" t="str">
        <f>IFERROR(__xludf.DUMMYFUNCTION("GOOGLETRANSLATE(B25565,""en"",""es-ES"")"),"El hombre está derribando el papel.")</f>
        <v>El hombre está derribando el papel.</v>
      </c>
    </row>
    <row r="25566">
      <c r="A25566" s="4" t="s">
        <v>32179</v>
      </c>
      <c r="B25566" s="4" t="s">
        <v>32180</v>
      </c>
      <c r="C25566" s="5" t="str">
        <f>IFERROR(__xludf.DUMMYFUNCTION("GOOGLETRANSLATE(B25566,""en"",""es-ES"")"),"Hay una mesa de billar con bolas de billar.")</f>
        <v>Hay una mesa de billar con bolas de billar.</v>
      </c>
    </row>
    <row r="25567">
      <c r="A25567" s="4" t="s">
        <v>32179</v>
      </c>
      <c r="B25567" s="4" t="s">
        <v>32181</v>
      </c>
      <c r="C25567" s="5" t="str">
        <f>IFERROR(__xludf.DUMMYFUNCTION("GOOGLETRANSLATE(B25567,""en"",""es-ES"")"),"Una persona tiene una señal de piscina en la mano.")</f>
        <v>Una persona tiene una señal de piscina en la mano.</v>
      </c>
    </row>
    <row r="25568">
      <c r="A25568" s="4" t="s">
        <v>32179</v>
      </c>
      <c r="B25568" s="4" t="s">
        <v>32182</v>
      </c>
      <c r="C25568" s="5" t="str">
        <f>IFERROR(__xludf.DUMMYFUNCTION("GOOGLETRANSLATE(B25568,""en"",""es-ES"")"),"Golpearon la pelota de referencia en las otras bolas.")</f>
        <v>Golpearon la pelota de referencia en las otras bolas.</v>
      </c>
    </row>
    <row r="25569">
      <c r="A25569" s="4" t="s">
        <v>32183</v>
      </c>
      <c r="B25569" s="4" t="s">
        <v>32184</v>
      </c>
      <c r="C25569" s="5" t="str">
        <f>IFERROR(__xludf.DUMMYFUNCTION("GOOGLETRANSLATE(B25569,""en"",""es-ES"")"),"Un gimnasia se para sostener es el brazo y salta sobre una viga.")</f>
        <v>Un gimnasia se para sostener es el brazo y salta sobre una viga.</v>
      </c>
    </row>
    <row r="25570">
      <c r="A25570" s="4" t="s">
        <v>32183</v>
      </c>
      <c r="B25570" s="4" t="s">
        <v>32185</v>
      </c>
      <c r="C25570" s="5" t="str">
        <f>IFERROR(__xludf.DUMMYFUNCTION("GOOGLETRANSLATE(B25570,""en"",""es-ES"")"),"Se mueve los brazos y se gira y se vuelve alrededor de un juego de barras.")</f>
        <v>Se mueve los brazos y se gira y se vuelve alrededor de un juego de barras.</v>
      </c>
    </row>
    <row r="25571">
      <c r="A25571" s="4" t="s">
        <v>32183</v>
      </c>
      <c r="B25571" s="4" t="s">
        <v>32186</v>
      </c>
      <c r="C25571" s="5" t="str">
        <f>IFERROR(__xludf.DUMMYFUNCTION("GOOGLETRANSLATE(B25571,""en"",""es-ES"")"),"Él hace paradas de manos y voltea y salta para terminar su rutina.")</f>
        <v>Él hace paradas de manos y voltea y salta para terminar su rutina.</v>
      </c>
    </row>
    <row r="25572">
      <c r="A25572" s="4" t="s">
        <v>32187</v>
      </c>
      <c r="B25572" s="4" t="s">
        <v>32188</v>
      </c>
      <c r="C25572" s="5" t="str">
        <f>IFERROR(__xludf.DUMMYFUNCTION("GOOGLETRANSLATE(B25572,""en"",""es-ES"")"),"Un hombre pone un arnés y pisa un puente.")</f>
        <v>Un hombre pone un arnés y pisa un puente.</v>
      </c>
    </row>
    <row r="25573">
      <c r="A25573" s="4" t="s">
        <v>32187</v>
      </c>
      <c r="B25573" s="4" t="s">
        <v>32189</v>
      </c>
      <c r="C25573" s="5" t="str">
        <f>IFERROR(__xludf.DUMMYFUNCTION("GOOGLETRANSLATE(B25573,""en"",""es-ES"")"),"Salta del puente y el bungee salta sobre un cuerpo de agua.")</f>
        <v>Salta del puente y el bungee salta sobre un cuerpo de agua.</v>
      </c>
    </row>
    <row r="25574">
      <c r="A25574" s="4" t="s">
        <v>32187</v>
      </c>
      <c r="B25574" s="4" t="s">
        <v>32190</v>
      </c>
      <c r="C25574" s="5" t="str">
        <f>IFERROR(__xludf.DUMMYFUNCTION("GOOGLETRANSLATE(B25574,""en"",""es-ES"")"),"Un bote se eleva y lo pone en el bote.")</f>
        <v>Un bote se eleva y lo pone en el bote.</v>
      </c>
    </row>
    <row r="25575">
      <c r="A25575" s="4" t="s">
        <v>32191</v>
      </c>
      <c r="B25575" s="4" t="s">
        <v>32192</v>
      </c>
      <c r="C25575" s="5" t="str">
        <f>IFERROR(__xludf.DUMMYFUNCTION("GOOGLETRANSLATE(B25575,""en"",""es-ES"")"),"Una niña vestida de marimacho y un niño vestido con una camisa roja están de pie en una habitación frente a una habitación desordenada.")</f>
        <v>Una niña vestida de marimacho y un niño vestido con una camisa roja están de pie en una habitación frente a una habitación desordenada.</v>
      </c>
    </row>
    <row r="25576">
      <c r="A25576" s="4" t="s">
        <v>32191</v>
      </c>
      <c r="B25576" s="4" t="s">
        <v>32193</v>
      </c>
      <c r="C25576" s="5" t="str">
        <f>IFERROR(__xludf.DUMMYFUNCTION("GOOGLETRANSLATE(B25576,""en"",""es-ES"")"),"Los dos comienzan a agarrarse y comienzan a bailar la salsa.")</f>
        <v>Los dos comienzan a agarrarse y comienzan a bailar la salsa.</v>
      </c>
    </row>
    <row r="25577">
      <c r="A25577" s="4" t="s">
        <v>32191</v>
      </c>
      <c r="B25577" s="4" t="s">
        <v>32194</v>
      </c>
      <c r="C25577" s="5" t="str">
        <f>IFERROR(__xludf.DUMMYFUNCTION("GOOGLETRANSLATE(B25577,""en"",""es-ES"")"),"Continúan bailando y girando entre sí y haciendo un tipo de salsa bailando.")</f>
        <v>Continúan bailando y girando entre sí y haciendo un tipo de salsa bailando.</v>
      </c>
    </row>
    <row r="25578">
      <c r="A25578" s="4" t="s">
        <v>32195</v>
      </c>
      <c r="B25578" s="4" t="s">
        <v>32196</v>
      </c>
      <c r="C25578" s="5" t="str">
        <f>IFERROR(__xludf.DUMMYFUNCTION("GOOGLETRANSLATE(B25578,""en"",""es-ES"")"),"Esta mujer se muestra de pie en un lugar por un tiempo.")</f>
        <v>Esta mujer se muestra de pie en un lugar por un tiempo.</v>
      </c>
    </row>
    <row r="25579">
      <c r="A25579" s="4" t="s">
        <v>32195</v>
      </c>
      <c r="B25579" s="4" t="s">
        <v>32197</v>
      </c>
      <c r="C25579" s="5" t="str">
        <f>IFERROR(__xludf.DUMMYFUNCTION("GOOGLETRANSLATE(B25579,""en"",""es-ES"")"),"Luego se mueve para lanzar la pelota al aire y vuelve a la posición en la que estaba.")</f>
        <v>Luego se mueve para lanzar la pelota al aire y vuelve a la posición en la que estaba.</v>
      </c>
    </row>
    <row r="25580">
      <c r="A25580" s="4" t="s">
        <v>32195</v>
      </c>
      <c r="B25580" s="4" t="s">
        <v>32198</v>
      </c>
      <c r="C25580" s="5" t="str">
        <f>IFERROR(__xludf.DUMMYFUNCTION("GOOGLETRANSLATE(B25580,""en"",""es-ES"")"),"Luego salta hacia atrás y se da vuelta para lanzar la pelota a una pequeña distancia, excepto que no está posicionada muy bien esta vez.")</f>
        <v>Luego salta hacia atrás y se da vuelta para lanzar la pelota a una pequeña distancia, excepto que no está posicionada muy bien esta vez.</v>
      </c>
    </row>
    <row r="25581">
      <c r="A25581" s="4" t="s">
        <v>32199</v>
      </c>
      <c r="B25581" s="4" t="s">
        <v>32200</v>
      </c>
      <c r="C25581" s="5" t="str">
        <f>IFERROR(__xludf.DUMMYFUNCTION("GOOGLETRANSLATE(B25581,""en"",""es-ES"")"),"Aparece un letrero en un patio y una camioneta roja llega a viajar por el camino.")</f>
        <v>Aparece un letrero en un patio y una camioneta roja llega a viajar por el camino.</v>
      </c>
    </row>
    <row r="25582">
      <c r="A25582" s="4" t="s">
        <v>32199</v>
      </c>
      <c r="B25582" s="4" t="s">
        <v>32201</v>
      </c>
      <c r="C25582" s="5" t="str">
        <f>IFERROR(__xludf.DUMMYFUNCTION("GOOGLETRANSLATE(B25582,""en"",""es-ES"")"),"Después, un hombre aparece tubing en un rastro de agua debajo del puente.")</f>
        <v>Después, un hombre aparece tubing en un rastro de agua debajo del puente.</v>
      </c>
    </row>
    <row r="25583">
      <c r="A25583" s="4" t="s">
        <v>32199</v>
      </c>
      <c r="B25583" s="4" t="s">
        <v>32202</v>
      </c>
      <c r="C25583" s="5" t="str">
        <f>IFERROR(__xludf.DUMMYFUNCTION("GOOGLETRANSLATE(B25583,""en"",""es-ES"")"),"Mientras continúa río abajo, golpea algunas rocas en el camino y comienza a balancearse hacia arriba y hacia abajo antes de regresar frente a la camioneta roja.")</f>
        <v>Mientras continúa río abajo, golpea algunas rocas en el camino y comienza a balancearse hacia arriba y hacia abajo antes de regresar frente a la camioneta roja.</v>
      </c>
    </row>
    <row r="25584">
      <c r="A25584" s="4" t="s">
        <v>32203</v>
      </c>
      <c r="B25584" s="4" t="s">
        <v>32204</v>
      </c>
      <c r="C25584" s="5" t="str">
        <f>IFERROR(__xludf.DUMMYFUNCTION("GOOGLETRANSLATE(B25584,""en"",""es-ES"")"),"Una mujer se ve reír con un grupo de personas y un hombre que golpea al otro.")</f>
        <v>Una mujer se ve reír con un grupo de personas y un hombre que golpea al otro.</v>
      </c>
    </row>
    <row r="25585">
      <c r="A25585" s="4" t="s">
        <v>32203</v>
      </c>
      <c r="B25585" s="4" t="s">
        <v>32205</v>
      </c>
      <c r="C25585" s="5" t="str">
        <f>IFERROR(__xludf.DUMMYFUNCTION("GOOGLETRANSLATE(B25585,""en"",""es-ES"")"),"Una persona le da a un hombre un juego de dardos que luego los arroja a la distancia.")</f>
        <v>Una persona le da a un hombre un juego de dardos que luego los arroja a la distancia.</v>
      </c>
    </row>
    <row r="25586">
      <c r="A25586" s="4" t="s">
        <v>32203</v>
      </c>
      <c r="B25586" s="4" t="s">
        <v>32206</v>
      </c>
      <c r="C25586" s="5" t="str">
        <f>IFERROR(__xludf.DUMMYFUNCTION("GOOGLETRANSLATE(B25586,""en"",""es-ES"")"),"La gente continúa hablando mientras la cámara se prepara a su alrededor.")</f>
        <v>La gente continúa hablando mientras la cámara se prepara a su alrededor.</v>
      </c>
    </row>
    <row r="25587">
      <c r="A25587" s="4" t="s">
        <v>32207</v>
      </c>
      <c r="B25587" s="4" t="s">
        <v>32208</v>
      </c>
      <c r="C25587" s="5" t="str">
        <f>IFERROR(__xludf.DUMMYFUNCTION("GOOGLETRANSLATE(B25587,""en"",""es-ES"")"),"Hay dos tipos parados en una gran estera azul en un gimnasio y ambos usan pantalones cortos y un par de guantes de boxeo.")</f>
        <v>Hay dos tipos parados en una gran estera azul en un gimnasio y ambos usan pantalones cortos y un par de guantes de boxeo.</v>
      </c>
    </row>
    <row r="25588">
      <c r="A25588" s="4" t="s">
        <v>32207</v>
      </c>
      <c r="B25588" s="4" t="s">
        <v>32209</v>
      </c>
      <c r="C25588" s="5" t="str">
        <f>IFERROR(__xludf.DUMMYFUNCTION("GOOGLETRANSLATE(B25588,""en"",""es-ES"")"),"Los hombres se enfrentan y comienzan a golpear y patear el uno al otro con breves momentos de detenerse entre sus golpes y sus patadas.")</f>
        <v>Los hombres se enfrentan y comienzan a golpear y patear el uno al otro con breves momentos de detenerse entre sus golpes y sus patadas.</v>
      </c>
    </row>
    <row r="25589">
      <c r="A25589" s="4" t="s">
        <v>32207</v>
      </c>
      <c r="B25589" s="4" t="s">
        <v>32210</v>
      </c>
      <c r="C25589" s="5" t="str">
        <f>IFERROR(__xludf.DUMMYFUNCTION("GOOGLETRANSLATE(B25589,""en"",""es-ES"")"),"Uno de los muchachos patea al otro demasiado fuerte y el que fue pateado se enoja, se arranca los guantes de las manos, se aleja y se lanza con enojo los guantes.")</f>
        <v>Uno de los muchachos patea al otro demasiado fuerte y el que fue pateado se enoja, se arranca los guantes de las manos, se aleja y se lanza con enojo los guantes.</v>
      </c>
    </row>
    <row r="25590">
      <c r="A25590" s="4" t="s">
        <v>32211</v>
      </c>
      <c r="B25590" s="4" t="s">
        <v>32212</v>
      </c>
      <c r="C25590" s="5" t="str">
        <f>IFERROR(__xludf.DUMMYFUNCTION("GOOGLETRANSLATE(B25590,""en"",""es-ES"")"),"Un chico se inclina mientras está parado afuera.")</f>
        <v>Un chico se inclina mientras está parado afuera.</v>
      </c>
    </row>
    <row r="25591">
      <c r="A25591" s="4" t="s">
        <v>32211</v>
      </c>
      <c r="B25591" s="4" t="s">
        <v>32213</v>
      </c>
      <c r="C25591" s="5" t="str">
        <f>IFERROR(__xludf.DUMMYFUNCTION("GOOGLETRANSLATE(B25591,""en"",""es-ES"")"),"El chico comienza a hacer karate afuera.")</f>
        <v>El chico comienza a hacer karate afuera.</v>
      </c>
    </row>
    <row r="25592">
      <c r="A25592" s="4" t="s">
        <v>32211</v>
      </c>
      <c r="B25592" s="4" t="s">
        <v>32214</v>
      </c>
      <c r="C25592" s="5" t="str">
        <f>IFERROR(__xludf.DUMMYFUNCTION("GOOGLETRANSLATE(B25592,""en"",""es-ES"")"),"El tipo hace karate en interiores y luego se va.")</f>
        <v>El tipo hace karate en interiores y luego se va.</v>
      </c>
    </row>
    <row r="25593">
      <c r="A25593" s="4" t="s">
        <v>32211</v>
      </c>
      <c r="B25593" s="4" t="s">
        <v>32215</v>
      </c>
      <c r="C25593" s="5" t="str">
        <f>IFERROR(__xludf.DUMMYFUNCTION("GOOGLETRANSLATE(B25593,""en"",""es-ES"")"),"Un perro se para con un suéter.")</f>
        <v>Un perro se para con un suéter.</v>
      </c>
    </row>
    <row r="25594">
      <c r="A25594" s="4" t="s">
        <v>32216</v>
      </c>
      <c r="B25594" s="4" t="s">
        <v>32217</v>
      </c>
      <c r="C25594" s="5" t="str">
        <f>IFERROR(__xludf.DUMMYFUNCTION("GOOGLETRANSLATE(B25594,""en"",""es-ES"")"),"Se ve a dos personas hablando con la cámara con una sosteniendo una olla y la otra entregándole ingredientes.")</f>
        <v>Se ve a dos personas hablando con la cámara con una sosteniendo una olla y la otra entregándole ingredientes.</v>
      </c>
    </row>
    <row r="25595">
      <c r="A25595" s="4" t="s">
        <v>32216</v>
      </c>
      <c r="B25595" s="4" t="s">
        <v>32218</v>
      </c>
      <c r="C25595" s="5" t="str">
        <f>IFERROR(__xludf.DUMMYFUNCTION("GOOGLETRANSLATE(B25595,""en"",""es-ES"")"),"El otro luego mezcla los ingredientes en un tazón y lo pone en una sartén.")</f>
        <v>El otro luego mezcla los ingredientes en un tazón y lo pone en una sartén.</v>
      </c>
    </row>
    <row r="25596">
      <c r="A25596" s="4" t="s">
        <v>32216</v>
      </c>
      <c r="B25596" s="4" t="s">
        <v>32219</v>
      </c>
      <c r="C25596" s="5" t="str">
        <f>IFERROR(__xludf.DUMMYFUNCTION("GOOGLETRANSLATE(B25596,""en"",""es-ES"")"),"Más personas vienen a tomar un bocado y a un niño que ayuda y el hombre que continúa cocinando.")</f>
        <v>Más personas vienen a tomar un bocado y a un niño que ayuda y el hombre que continúa cocinando.</v>
      </c>
    </row>
    <row r="25597">
      <c r="A25597" s="4" t="s">
        <v>32220</v>
      </c>
      <c r="B25597" s="4" t="s">
        <v>32221</v>
      </c>
      <c r="C25597" s="5" t="str">
        <f>IFERROR(__xludf.DUMMYFUNCTION("GOOGLETRANSLATE(B25597,""en"",""es-ES"")"),"Se ve a un hombre con gafas entrando en el marco y tocando un acordeón.")</f>
        <v>Se ve a un hombre con gafas entrando en el marco y tocando un acordeón.</v>
      </c>
    </row>
    <row r="25598">
      <c r="A25598" s="4" t="s">
        <v>32220</v>
      </c>
      <c r="B25598" s="4" t="s">
        <v>32222</v>
      </c>
      <c r="C25598" s="5" t="str">
        <f>IFERROR(__xludf.DUMMYFUNCTION("GOOGLETRANSLATE(B25598,""en"",""es-ES"")"),"El hombre continúa jugando mientras mira hacia la distancia y se detiene sonriendo a la cámara.")</f>
        <v>El hombre continúa jugando mientras mira hacia la distancia y se detiene sonriendo a la cámara.</v>
      </c>
    </row>
    <row r="25599">
      <c r="A25599" s="4" t="s">
        <v>32223</v>
      </c>
      <c r="B25599" s="4" t="s">
        <v>32224</v>
      </c>
      <c r="C25599" s="5" t="str">
        <f>IFERROR(__xludf.DUMMYFUNCTION("GOOGLETRANSLATE(B25599,""en"",""es-ES"")"),"Dos chicas jóvenes están en un gimnasio y hacen una forma en que se precipita sobre un bar en el medio del gimnasio.")</f>
        <v>Dos chicas jóvenes están en un gimnasio y hacen una forma en que se precipita sobre un bar en el medio del gimnasio.</v>
      </c>
    </row>
    <row r="25600">
      <c r="A25600" s="4" t="s">
        <v>32223</v>
      </c>
      <c r="B25600" s="4" t="s">
        <v>32225</v>
      </c>
      <c r="C25600" s="5" t="str">
        <f>IFERROR(__xludf.DUMMYFUNCTION("GOOGLETRANSLATE(B25600,""en"",""es-ES"")"),"El video se reproduce en cámara lenta y una vez más a una velocidad más rápida.")</f>
        <v>El video se reproduce en cámara lenta y una vez más a una velocidad más rápida.</v>
      </c>
    </row>
    <row r="25601">
      <c r="A25601" s="4" t="s">
        <v>32226</v>
      </c>
      <c r="B25601" s="4" t="s">
        <v>32227</v>
      </c>
      <c r="C25601" s="5" t="str">
        <f>IFERROR(__xludf.DUMMYFUNCTION("GOOGLETRANSLATE(B25601,""en"",""es-ES"")"),"4 hombres están en una plaza que bailan break mientras la gente se reúne a su alrededor viéndolos bailar y hacer trucos frente a muchas tiendas.")</f>
        <v>4 hombres están en una plaza que bailan break mientras la gente se reúne a su alrededor viéndolos bailar y hacer trucos frente a muchas tiendas.</v>
      </c>
    </row>
    <row r="25602">
      <c r="A25602" s="4" t="s">
        <v>32226</v>
      </c>
      <c r="B25602" s="4" t="s">
        <v>32228</v>
      </c>
      <c r="C25602" s="5" t="str">
        <f>IFERROR(__xludf.DUMMYFUNCTION("GOOGLETRANSLATE(B25602,""en"",""es-ES"")"),"Los nombres de los bailarines de break se muestran en la pantalla.")</f>
        <v>Los nombres de los bailarines de break se muestran en la pantalla.</v>
      </c>
    </row>
    <row r="25603">
      <c r="A25603" s="4" t="s">
        <v>32229</v>
      </c>
      <c r="B25603" s="4" t="s">
        <v>32230</v>
      </c>
      <c r="C25603" s="5" t="str">
        <f>IFERROR(__xludf.DUMMYFUNCTION("GOOGLETRANSLATE(B25603,""en"",""es-ES"")"),"Vemos a una niña encender un cigarrillo.")</f>
        <v>Vemos a una niña encender un cigarrillo.</v>
      </c>
    </row>
    <row r="25604">
      <c r="A25604" s="4" t="s">
        <v>32229</v>
      </c>
      <c r="B25604" s="4" t="s">
        <v>32231</v>
      </c>
      <c r="C25604" s="5" t="str">
        <f>IFERROR(__xludf.DUMMYFUNCTION("GOOGLETRANSLATE(B25604,""en"",""es-ES"")"),"Luego saca el cigarrillo de su boca y habla.")</f>
        <v>Luego saca el cigarrillo de su boca y habla.</v>
      </c>
    </row>
    <row r="25605">
      <c r="A25605" s="4" t="s">
        <v>32229</v>
      </c>
      <c r="B25605" s="4" t="s">
        <v>32232</v>
      </c>
      <c r="C25605" s="5" t="str">
        <f>IFERROR(__xludf.DUMMYFUNCTION("GOOGLETRANSLATE(B25605,""en"",""es-ES"")"),"Ella entrega el encendedor a otra persona y pone su mano en su cadera.")</f>
        <v>Ella entrega el encendedor a otra persona y pone su mano en su cadera.</v>
      </c>
    </row>
    <row r="25606">
      <c r="A25606" s="4" t="s">
        <v>32233</v>
      </c>
      <c r="B25606" s="4" t="s">
        <v>32234</v>
      </c>
      <c r="C25606" s="5" t="str">
        <f>IFERROR(__xludf.DUMMYFUNCTION("GOOGLETRANSLATE(B25606,""en"",""es-ES"")"),"Un hombre está parado afuera de una casa hablando con un gran poste de plata en la mano que tiene una cuerda amarilla unida.")</f>
        <v>Un hombre está parado afuera de una casa hablando con un gran poste de plata en la mano que tiene una cuerda amarilla unida.</v>
      </c>
    </row>
    <row r="25607">
      <c r="A25607" s="4" t="s">
        <v>32233</v>
      </c>
      <c r="B25607" s="4" t="s">
        <v>32235</v>
      </c>
      <c r="C25607" s="5" t="str">
        <f>IFERROR(__xludf.DUMMYFUNCTION("GOOGLETRANSLATE(B25607,""en"",""es-ES"")"),"El hombre comienza a limpiar el interior de una puerta de vidrio deslizante con su poste y cepillo y se lava alrededor de la base y el interior de la ventana.")</f>
        <v>El hombre comienza a limpiar el interior de una puerta de vidrio deslizante con su poste y cepillo y se lava alrededor de la base y el interior de la ventana.</v>
      </c>
    </row>
    <row r="25608">
      <c r="A25608" s="4" t="s">
        <v>32233</v>
      </c>
      <c r="B25608" s="4" t="s">
        <v>32236</v>
      </c>
      <c r="C25608" s="5" t="str">
        <f>IFERROR(__xludf.DUMMYFUNCTION("GOOGLETRANSLATE(B25608,""en"",""es-ES"")"),"El hombre luego se detiene y comienza a hablar con la cámara y apuntando a la ventana antes de que se adhiera.")</f>
        <v>El hombre luego se detiene y comienza a hablar con la cámara y apuntando a la ventana antes de que se adhiera.</v>
      </c>
    </row>
    <row r="25609">
      <c r="A25609" s="4" t="s">
        <v>32237</v>
      </c>
      <c r="B25609" s="4" t="s">
        <v>32238</v>
      </c>
      <c r="C25609" s="5" t="str">
        <f>IFERROR(__xludf.DUMMYFUNCTION("GOOGLETRANSLATE(B25609,""en"",""es-ES"")"),"Se ve a un niño pequeño esperando a lo largo del piso cuando una mujer conduce a más bailarines jóvenes.")</f>
        <v>Se ve a un niño pequeño esperando a lo largo del piso cuando una mujer conduce a más bailarines jóvenes.</v>
      </c>
    </row>
    <row r="25610">
      <c r="A25610" s="4" t="s">
        <v>32237</v>
      </c>
      <c r="B25610" s="4" t="s">
        <v>32239</v>
      </c>
      <c r="C25610" s="5" t="str">
        <f>IFERROR(__xludf.DUMMYFUNCTION("GOOGLETRANSLATE(B25610,""en"",""es-ES"")"),"Ella alinea a las chicas frente a una gran multitud y los niños comienzan a bailar en el escenario.")</f>
        <v>Ella alinea a las chicas frente a una gran multitud y los niños comienzan a bailar en el escenario.</v>
      </c>
    </row>
    <row r="25611">
      <c r="A25611" s="4" t="s">
        <v>32237</v>
      </c>
      <c r="B25611" s="4" t="s">
        <v>32240</v>
      </c>
      <c r="C25611" s="5" t="str">
        <f>IFERROR(__xludf.DUMMYFUNCTION("GOOGLETRANSLATE(B25611,""en"",""es-ES"")"),"Los pequeños continúan bailando y girando en el escenario y saliendo del escenario.")</f>
        <v>Los pequeños continúan bailando y girando en el escenario y saliendo del escenario.</v>
      </c>
    </row>
    <row r="25612">
      <c r="A25612" s="4" t="s">
        <v>32241</v>
      </c>
      <c r="B25612" s="4" t="s">
        <v>32242</v>
      </c>
      <c r="C25612" s="5" t="str">
        <f>IFERROR(__xludf.DUMMYFUNCTION("GOOGLETRANSLATE(B25612,""en"",""es-ES"")"),"Las mujeres de diferentes nacionalidades compiten en saltos largos es un estadio.")</f>
        <v>Las mujeres de diferentes nacionalidades compiten en saltos largos es un estadio.</v>
      </c>
    </row>
    <row r="25613">
      <c r="A25613" s="4" t="s">
        <v>32241</v>
      </c>
      <c r="B25613" s="4" t="s">
        <v>32243</v>
      </c>
      <c r="C25613" s="5" t="str">
        <f>IFERROR(__xludf.DUMMYFUNCTION("GOOGLETRANSLATE(B25613,""en"",""es-ES"")"),"Las mujeres continúan compitiendo de salto de longitud.")</f>
        <v>Las mujeres continúan compitiendo de salto de longitud.</v>
      </c>
    </row>
    <row r="25614">
      <c r="A25614" s="4" t="s">
        <v>32241</v>
      </c>
      <c r="B25614" s="4" t="s">
        <v>32244</v>
      </c>
      <c r="C25614" s="5" t="str">
        <f>IFERROR(__xludf.DUMMYFUNCTION("GOOGLETRANSLATE(B25614,""en"",""es-ES"")"),"Un atleta corre, luego se salta y salta hacia adelante para realizar saltos de longitud mientras los jueces sostienen palos para medir.")</f>
        <v>Un atleta corre, luego se salta y salta hacia adelante para realizar saltos de longitud mientras los jueces sostienen palos para medir.</v>
      </c>
    </row>
    <row r="25615">
      <c r="A25615" s="4" t="s">
        <v>32245</v>
      </c>
      <c r="B25615" s="4" t="s">
        <v>32246</v>
      </c>
      <c r="C25615" s="5" t="str">
        <f>IFERROR(__xludf.DUMMYFUNCTION("GOOGLETRANSLATE(B25615,""en"",""es-ES"")"),"El hombre está de pie en un campo verde preparándose para hacer un tiro de cricket, otro hombre lo está mirando y quitarse el sombrero y las gafas de sol y el hombre está realmente sudoroso y preparado para hacer el tiro y anotar lo que hizo, disfrutan y "&amp;"abrazarse y el hombre lanza la pelota.")</f>
        <v>El hombre está de pie en un campo verde preparándose para hacer un tiro de cricket, otro hombre lo está mirando y quitarse el sombrero y las gafas de sol y el hombre está realmente sudoroso y preparado para hacer el tiro y anotar lo que hizo, disfrutan y abrazarse y el hombre lanza la pelota.</v>
      </c>
    </row>
    <row r="25616">
      <c r="A25616" s="4" t="s">
        <v>32245</v>
      </c>
      <c r="B25616" s="4" t="s">
        <v>32247</v>
      </c>
      <c r="C25616" s="5" t="str">
        <f>IFERROR(__xludf.DUMMYFUNCTION("GOOGLETRANSLATE(B25616,""en"",""es-ES"")"),"Los hombres se sientan en un sofá en una sala de estar y están hablando entre ellos y con la cámara.")</f>
        <v>Los hombres se sientan en un sofá en una sala de estar y están hablando entre ellos y con la cámara.</v>
      </c>
    </row>
    <row r="25617">
      <c r="A25617" s="4" t="s">
        <v>32245</v>
      </c>
      <c r="B25617" s="4" t="s">
        <v>32248</v>
      </c>
      <c r="C25617" s="5" t="str">
        <f>IFERROR(__xludf.DUMMYFUNCTION("GOOGLETRANSLATE(B25617,""en"",""es-ES"")"),"Se muestra el ganador y la información del video.")</f>
        <v>Se muestra el ganador y la información del video.</v>
      </c>
    </row>
    <row r="25618">
      <c r="A25618" s="4" t="s">
        <v>32249</v>
      </c>
      <c r="B25618" s="4" t="s">
        <v>32250</v>
      </c>
      <c r="C25618" s="5" t="str">
        <f>IFERROR(__xludf.DUMMYFUNCTION("GOOGLETRANSLATE(B25618,""en"",""es-ES"")"),"Una pantalla de título aparece en letras rojas y luego se desvanece en un aula de artes marciales.")</f>
        <v>Una pantalla de título aparece en letras rojas y luego se desvanece en un aula de artes marciales.</v>
      </c>
    </row>
    <row r="25619">
      <c r="A25619" s="4" t="s">
        <v>32249</v>
      </c>
      <c r="B25619" s="4" t="s">
        <v>32251</v>
      </c>
      <c r="C25619" s="5" t="str">
        <f>IFERROR(__xludf.DUMMYFUNCTION("GOOGLETRANSLATE(B25619,""en"",""es-ES"")"),"En un pequeño aula de artes marciales, los estudiantes se reúnen, cantan, aplauden y tocan instrumentos alrededor de un pequeño círculo para 5 partidos de capoeira donde los combatientes bailan y balancean sus piernas y brazos y al final de cada partido l"&amp;"os luchadores se dan la mano, abrazan y se abrazan y se abrazan y se abrazan y se abrazan. Toca a los músicos.")</f>
        <v>En un pequeño aula de artes marciales, los estudiantes se reúnen, cantan, aplauden y tocan instrumentos alrededor de un pequeño círculo para 5 partidos de capoeira donde los combatientes bailan y balancean sus piernas y brazos y al final de cada partido los luchadores se dan la mano, abrazan y se abrazan y se abrazan y se abrazan y se abrazan. Toca a los músicos.</v>
      </c>
    </row>
    <row r="25620">
      <c r="A25620" s="4" t="s">
        <v>32249</v>
      </c>
      <c r="B25620" s="4" t="s">
        <v>32252</v>
      </c>
      <c r="C25620" s="5" t="str">
        <f>IFERROR(__xludf.DUMMYFUNCTION("GOOGLETRANSLATE(B25620,""en"",""es-ES"")"),"Luego, una pantalla de cierre con un logotipo para la escuela Capoeira.")</f>
        <v>Luego, una pantalla de cierre con un logotipo para la escuela Capoeira.</v>
      </c>
    </row>
    <row r="25621">
      <c r="A25621" s="4" t="s">
        <v>32253</v>
      </c>
      <c r="B25621" s="4" t="s">
        <v>32254</v>
      </c>
      <c r="C25621" s="5" t="str">
        <f>IFERROR(__xludf.DUMMYFUNCTION("GOOGLETRANSLATE(B25621,""en"",""es-ES"")"),"Una cámara dispara varias tomas en toda una ciudad y una tienda de zapatos.")</f>
        <v>Una cámara dispara varias tomas en toda una ciudad y una tienda de zapatos.</v>
      </c>
    </row>
    <row r="25622">
      <c r="A25622" s="4" t="s">
        <v>32253</v>
      </c>
      <c r="B25622" s="4" t="s">
        <v>32255</v>
      </c>
      <c r="C25622" s="5" t="str">
        <f>IFERROR(__xludf.DUMMYFUNCTION("GOOGLETRANSLATE(B25622,""en"",""es-ES"")"),"Cientos de personas caminan por un área y revisan los zapatos.")</f>
        <v>Cientos de personas caminan por un área y revisan los zapatos.</v>
      </c>
    </row>
    <row r="25623">
      <c r="A25623" s="4" t="s">
        <v>32253</v>
      </c>
      <c r="B25623" s="4" t="s">
        <v>32256</v>
      </c>
      <c r="C25623" s="5" t="str">
        <f>IFERROR(__xludf.DUMMYFUNCTION("GOOGLETRANSLATE(B25623,""en"",""es-ES"")"),"Un hombre habla con una mujer sobre los zapatos que le gusta usar.")</f>
        <v>Un hombre habla con una mujer sobre los zapatos que le gusta usar.</v>
      </c>
    </row>
    <row r="25624">
      <c r="A25624" s="4" t="s">
        <v>32253</v>
      </c>
      <c r="B25624" s="4" t="s">
        <v>32257</v>
      </c>
      <c r="C25624" s="5" t="str">
        <f>IFERROR(__xludf.DUMMYFUNCTION("GOOGLETRANSLATE(B25624,""en"",""es-ES"")"),"La gente está bailando y disfrutando del evento juntos.")</f>
        <v>La gente está bailando y disfrutando del evento juntos.</v>
      </c>
    </row>
    <row r="25625">
      <c r="A25625" s="4" t="s">
        <v>32253</v>
      </c>
      <c r="B25625" s="4" t="s">
        <v>32258</v>
      </c>
      <c r="C25625" s="5" t="str">
        <f>IFERROR(__xludf.DUMMYFUNCTION("GOOGLETRANSLATE(B25625,""en"",""es-ES"")"),"Muchos comen comida en el evento.")</f>
        <v>Muchos comen comida en el evento.</v>
      </c>
    </row>
    <row r="25626">
      <c r="A25626" s="4" t="s">
        <v>32253</v>
      </c>
      <c r="B25626" s="4" t="s">
        <v>32259</v>
      </c>
      <c r="C25626" s="5" t="str">
        <f>IFERROR(__xludf.DUMMYFUNCTION("GOOGLETRANSLATE(B25626,""en"",""es-ES"")"),"Varios corredores se están preparando para comenzar una carrera.")</f>
        <v>Varios corredores se están preparando para comenzar una carrera.</v>
      </c>
    </row>
    <row r="25627">
      <c r="A25627" s="4" t="s">
        <v>32253</v>
      </c>
      <c r="B25627" s="4" t="s">
        <v>32260</v>
      </c>
      <c r="C25627" s="5" t="str">
        <f>IFERROR(__xludf.DUMMYFUNCTION("GOOGLETRANSLATE(B25627,""en"",""es-ES"")"),"La carrera comienza y la gente corre muy rápido.")</f>
        <v>La carrera comienza y la gente corre muy rápido.</v>
      </c>
    </row>
    <row r="25628">
      <c r="A25628" s="4" t="s">
        <v>32253</v>
      </c>
      <c r="B25628" s="4" t="s">
        <v>32261</v>
      </c>
      <c r="C25628" s="5" t="str">
        <f>IFERROR(__xludf.DUMMYFUNCTION("GOOGLETRANSLATE(B25628,""en"",""es-ES"")"),"Varias personas son entrevistadas durante la carrera.")</f>
        <v>Varias personas son entrevistadas durante la carrera.</v>
      </c>
    </row>
    <row r="25629">
      <c r="A25629" s="4" t="s">
        <v>32253</v>
      </c>
      <c r="B25629" s="4" t="s">
        <v>32262</v>
      </c>
      <c r="C25629" s="5" t="str">
        <f>IFERROR(__xludf.DUMMYFUNCTION("GOOGLETRANSLATE(B25629,""en"",""es-ES"")"),"El hombre que gana la carrera se encuentra con la línea de meta.")</f>
        <v>El hombre que gana la carrera se encuentra con la línea de meta.</v>
      </c>
    </row>
    <row r="25630">
      <c r="A25630" s="4" t="s">
        <v>32253</v>
      </c>
      <c r="B25630" s="4" t="s">
        <v>32263</v>
      </c>
      <c r="C25630" s="5" t="str">
        <f>IFERROR(__xludf.DUMMYFUNCTION("GOOGLETRANSLATE(B25630,""en"",""es-ES"")"),"Varias personas más se muestran terminando.")</f>
        <v>Varias personas más se muestran terminando.</v>
      </c>
    </row>
    <row r="25631">
      <c r="A25631" s="4" t="s">
        <v>32264</v>
      </c>
      <c r="B25631" s="4" t="s">
        <v>32265</v>
      </c>
      <c r="C25631" s="5" t="str">
        <f>IFERROR(__xludf.DUMMYFUNCTION("GOOGLETRANSLATE(B25631,""en"",""es-ES"")"),"Se muestra una lista de ingredientes y los elementos están en una mesa blanca.")</f>
        <v>Se muestra una lista de ingredientes y los elementos están en una mesa blanca.</v>
      </c>
    </row>
    <row r="25632">
      <c r="A25632" s="4" t="s">
        <v>32264</v>
      </c>
      <c r="B25632" s="4" t="s">
        <v>32266</v>
      </c>
      <c r="C25632" s="5" t="str">
        <f>IFERROR(__xludf.DUMMYFUNCTION("GOOGLETRANSLATE(B25632,""en"",""es-ES"")"),"Puño Una bolsa de té es sumerge en agua hervida y agregó un poco de jarabe a una taza de Starbucks.")</f>
        <v>Puño Una bolsa de té es sumerge en agua hervida y agregó un poco de jarabe a una taza de Starbucks.</v>
      </c>
    </row>
    <row r="25633">
      <c r="A25633" s="4" t="s">
        <v>32267</v>
      </c>
      <c r="B25633" s="4" t="s">
        <v>32268</v>
      </c>
      <c r="C25633" s="5" t="str">
        <f>IFERROR(__xludf.DUMMYFUNCTION("GOOGLETRANSLATE(B25633,""en"",""es-ES"")"),"Aparece un anuncio de la estación de noticias en la pantalla.")</f>
        <v>Aparece un anuncio de la estación de noticias en la pantalla.</v>
      </c>
    </row>
    <row r="25634">
      <c r="A25634" s="4" t="s">
        <v>32267</v>
      </c>
      <c r="B25634" s="4" t="s">
        <v>32269</v>
      </c>
      <c r="C25634" s="5" t="str">
        <f>IFERROR(__xludf.DUMMYFUNCTION("GOOGLETRANSLATE(B25634,""en"",""es-ES"")"),"Vemos a dos reporteros al aire libre, hablando con miembros de un equipo de carrera.")</f>
        <v>Vemos a dos reporteros al aire libre, hablando con miembros de un equipo de carrera.</v>
      </c>
    </row>
    <row r="25635">
      <c r="A25635" s="4" t="s">
        <v>32267</v>
      </c>
      <c r="B25635" s="4" t="s">
        <v>32270</v>
      </c>
      <c r="C25635" s="5" t="str">
        <f>IFERROR(__xludf.DUMMYFUNCTION("GOOGLETRANSLATE(B25635,""en"",""es-ES"")"),"Se están preparando para una carrera, uno de los cuales está embarazada.")</f>
        <v>Se están preparando para una carrera, uno de los cuales está embarazada.</v>
      </c>
    </row>
    <row r="25636">
      <c r="A25636" s="4" t="s">
        <v>32267</v>
      </c>
      <c r="B25636" s="4" t="s">
        <v>32271</v>
      </c>
      <c r="C25636" s="5" t="str">
        <f>IFERROR(__xludf.DUMMYFUNCTION("GOOGLETRANSLATE(B25636,""en"",""es-ES"")"),"Se muestra a la multitud caminando hacia donde comenzará la carrera.")</f>
        <v>Se muestra a la multitud caminando hacia donde comenzará la carrera.</v>
      </c>
    </row>
    <row r="25637">
      <c r="A25637" s="4" t="s">
        <v>32272</v>
      </c>
      <c r="B25637" s="4" t="s">
        <v>32273</v>
      </c>
      <c r="C25637" s="5" t="str">
        <f>IFERROR(__xludf.DUMMYFUNCTION("GOOGLETRANSLATE(B25637,""en"",""es-ES"")"),"Una mujer está en una cocina, hablando frente a una variedad de fijaciones de sándwich.")</f>
        <v>Una mujer está en una cocina, hablando frente a una variedad de fijaciones de sándwich.</v>
      </c>
    </row>
    <row r="25638">
      <c r="A25638" s="4" t="s">
        <v>32272</v>
      </c>
      <c r="B25638" s="4" t="s">
        <v>32274</v>
      </c>
      <c r="C25638" s="5" t="str">
        <f>IFERROR(__xludf.DUMMYFUNCTION("GOOGLETRANSLATE(B25638,""en"",""es-ES"")"),"Ella abre el pan y aplica carne, queso, encurtidos y mostaza.")</f>
        <v>Ella abre el pan y aplica carne, queso, encurtidos y mostaza.</v>
      </c>
    </row>
    <row r="25639">
      <c r="A25639" s="4" t="s">
        <v>32272</v>
      </c>
      <c r="B25639" s="4" t="s">
        <v>32275</v>
      </c>
      <c r="C25639" s="5" t="str">
        <f>IFERROR(__xludf.DUMMYFUNCTION("GOOGLETRANSLATE(B25639,""en"",""es-ES"")"),"Ella cierra los sándwiches y los pone en una prensa de Panini calentada.")</f>
        <v>Ella cierra los sándwiches y los pone en una prensa de Panini calentada.</v>
      </c>
    </row>
    <row r="25640">
      <c r="A25640" s="4" t="s">
        <v>32272</v>
      </c>
      <c r="B25640" s="4" t="s">
        <v>32276</v>
      </c>
      <c r="C25640" s="5" t="str">
        <f>IFERROR(__xludf.DUMMYFUNCTION("GOOGLETRANSLATE(B25640,""en"",""es-ES"")"),"Ella quita los sándwiches mientras se tostan y los planta.")</f>
        <v>Ella quita los sándwiches mientras se tostan y los planta.</v>
      </c>
    </row>
    <row r="25641">
      <c r="A25641" s="4" t="s">
        <v>32277</v>
      </c>
      <c r="B25641" s="4" t="s">
        <v>32278</v>
      </c>
      <c r="C25641" s="5" t="str">
        <f>IFERROR(__xludf.DUMMYFUNCTION("GOOGLETRANSLATE(B25641,""en"",""es-ES"")"),"Hay dos hombres en el agua con trajes de neopreno y acostados en sus tablas de surf mientras montan una ola.")</f>
        <v>Hay dos hombres en el agua con trajes de neopreno y acostados en sus tablas de surf mientras montan una ola.</v>
      </c>
    </row>
    <row r="25642">
      <c r="A25642" s="4" t="s">
        <v>32277</v>
      </c>
      <c r="B25642" s="4" t="s">
        <v>32279</v>
      </c>
      <c r="C25642" s="5" t="str">
        <f>IFERROR(__xludf.DUMMYFUNCTION("GOOGLETRANSLATE(B25642,""en"",""es-ES"")"),"El camarógrafo está en un bote en movimiento rápido y continúa en video a los surfistas que todavía están montando la ola, pero ahora están de pie.")</f>
        <v>El camarógrafo está en un bote en movimiento rápido y continúa en video a los surfistas que todavía están montando la ola, pero ahora están de pie.</v>
      </c>
    </row>
    <row r="25643">
      <c r="A25643" s="4" t="s">
        <v>32277</v>
      </c>
      <c r="B25643" s="4" t="s">
        <v>32280</v>
      </c>
      <c r="C25643" s="5" t="str">
        <f>IFERROR(__xludf.DUMMYFUNCTION("GOOGLETRANSLATE(B25643,""en"",""es-ES"")"),"El surfista que está al frente está feliz de montar la ola durante tanto tiempo que levanta sus dos brazos en el aire y luego lo baja hacia abajo.")</f>
        <v>El surfista que está al frente está feliz de montar la ola durante tanto tiempo que levanta sus dos brazos en el aire y luego lo baja hacia abajo.</v>
      </c>
    </row>
    <row r="25644">
      <c r="A25644" s="4" t="s">
        <v>32277</v>
      </c>
      <c r="B25644" s="4" t="s">
        <v>32281</v>
      </c>
      <c r="C25644" s="5" t="str">
        <f>IFERROR(__xludf.DUMMYFUNCTION("GOOGLETRANSLATE(B25644,""en"",""es-ES"")"),"El surfista en la parte posterior comienza a perder el equilibrio y cae de su tabla mientras el hombre en el frente todavía está de pie.")</f>
        <v>El surfista en la parte posterior comienza a perder el equilibrio y cae de su tabla mientras el hombre en el frente todavía está de pie.</v>
      </c>
    </row>
    <row r="25645">
      <c r="A25645" s="4" t="s">
        <v>32282</v>
      </c>
      <c r="B25645" s="4" t="s">
        <v>32283</v>
      </c>
      <c r="C25645" s="5" t="str">
        <f>IFERROR(__xludf.DUMMYFUNCTION("GOOGLETRANSLATE(B25645,""en"",""es-ES"")"),"Una mujer corta las uñas de las patas traseras de un gato con un recortador de uñas, mientras que una persona restringe al gato.")</f>
        <v>Una mujer corta las uñas de las patas traseras de un gato con un recortador de uñas, mientras que una persona restringe al gato.</v>
      </c>
    </row>
    <row r="25646">
      <c r="A25646" s="4" t="s">
        <v>32282</v>
      </c>
      <c r="B25646" s="4" t="s">
        <v>32284</v>
      </c>
      <c r="C25646" s="5" t="str">
        <f>IFERROR(__xludf.DUMMYFUNCTION("GOOGLETRANSLATE(B25646,""en"",""es-ES"")"),"Luego, la mujer se para al frente del gato, y la persona sostiene al gato de un cuello.")</f>
        <v>Luego, la mujer se para al frente del gato, y la persona sostiene al gato de un cuello.</v>
      </c>
    </row>
    <row r="25647">
      <c r="A25647" s="4" t="s">
        <v>32282</v>
      </c>
      <c r="B25647" s="4" t="s">
        <v>32285</v>
      </c>
      <c r="C25647" s="5" t="str">
        <f>IFERROR(__xludf.DUMMYFUNCTION("GOOGLETRANSLATE(B25647,""en"",""es-ES"")"),"Después, la mujer corta las uñas de las patas delanteras, pero el gato patea.")</f>
        <v>Después, la mujer corta las uñas de las patas delanteras, pero el gato patea.</v>
      </c>
    </row>
    <row r="25648">
      <c r="A25648" s="4" t="s">
        <v>32282</v>
      </c>
      <c r="B25648" s="4" t="s">
        <v>32286</v>
      </c>
      <c r="C25648" s="5" t="str">
        <f>IFERROR(__xludf.DUMMYFUNCTION("GOOGLETRANSLATE(B25648,""en"",""es-ES"")"),"Una persona que lleva ropa negra entra en la habitación.")</f>
        <v>Una persona que lleva ropa negra entra en la habitación.</v>
      </c>
    </row>
    <row r="25649">
      <c r="A25649" s="4" t="s">
        <v>32287</v>
      </c>
      <c r="B25649" s="4" t="s">
        <v>356</v>
      </c>
      <c r="C25649" s="5" t="str">
        <f>IFERROR(__xludf.DUMMYFUNCTION("GOOGLETRANSLATE(B25649,""en"",""es-ES"")"),"El video comienza con una secuencia de título.")</f>
        <v>El video comienza con una secuencia de título.</v>
      </c>
    </row>
    <row r="25650">
      <c r="A25650" s="4" t="s">
        <v>32287</v>
      </c>
      <c r="B25650" s="4" t="s">
        <v>32288</v>
      </c>
      <c r="C25650" s="5" t="str">
        <f>IFERROR(__xludf.DUMMYFUNCTION("GOOGLETRANSLATE(B25650,""en"",""es-ES"")"),"Se muestran varios clips de jugadores de béisbol jugando el juego.")</f>
        <v>Se muestran varios clips de jugadores de béisbol jugando el juego.</v>
      </c>
    </row>
    <row r="25651">
      <c r="A25651" s="4" t="s">
        <v>32287</v>
      </c>
      <c r="B25651" s="4" t="s">
        <v>32289</v>
      </c>
      <c r="C25651" s="5" t="str">
        <f>IFERROR(__xludf.DUMMYFUNCTION("GOOGLETRANSLATE(B25651,""en"",""es-ES"")"),"En un momento muestra a un jugador discutiendo con un árbitro.")</f>
        <v>En un momento muestra a un jugador discutiendo con un árbitro.</v>
      </c>
    </row>
    <row r="25652">
      <c r="A25652" s="4" t="s">
        <v>32287</v>
      </c>
      <c r="B25652" s="4" t="s">
        <v>32290</v>
      </c>
      <c r="C25652" s="5" t="str">
        <f>IFERROR(__xludf.DUMMYFUNCTION("GOOGLETRANSLATE(B25652,""en"",""es-ES"")"),"El video termina con otra secuencia de título.")</f>
        <v>El video termina con otra secuencia de título.</v>
      </c>
    </row>
    <row r="25653">
      <c r="A25653" s="4" t="s">
        <v>32291</v>
      </c>
      <c r="B25653" s="4" t="s">
        <v>32292</v>
      </c>
      <c r="C25653" s="5" t="str">
        <f>IFERROR(__xludf.DUMMYFUNCTION("GOOGLETRANSLATE(B25653,""en"",""es-ES"")"),"Se ve a un hombre con auriculares hablando en un micrófono y comienza a tocar una armónica en el micrófono.")</f>
        <v>Se ve a un hombre con auriculares hablando en un micrófono y comienza a tocar una armónica en el micrófono.</v>
      </c>
    </row>
    <row r="25654">
      <c r="A25654" s="4" t="s">
        <v>32291</v>
      </c>
      <c r="B25654" s="4" t="s">
        <v>32293</v>
      </c>
      <c r="C25654" s="5" t="str">
        <f>IFERROR(__xludf.DUMMYFUNCTION("GOOGLETRANSLATE(B25654,""en"",""es-ES"")"),"El hombre continúa tocando y la cámara termina con un primer plano del instrumento.")</f>
        <v>El hombre continúa tocando y la cámara termina con un primer plano del instrumento.</v>
      </c>
    </row>
    <row r="25655">
      <c r="A25655" s="4" t="s">
        <v>32294</v>
      </c>
      <c r="B25655" s="4" t="s">
        <v>32295</v>
      </c>
      <c r="C25655" s="5" t="str">
        <f>IFERROR(__xludf.DUMMYFUNCTION("GOOGLETRANSLATE(B25655,""en"",""es-ES"")"),"Se ve a un pequeño grupo de personas de pie en una habitación con una mujer parada al frente.")</f>
        <v>Se ve a un pequeño grupo de personas de pie en una habitación con una mujer parada al frente.</v>
      </c>
    </row>
    <row r="25656">
      <c r="A25656" s="4" t="s">
        <v>32294</v>
      </c>
      <c r="B25656" s="4" t="s">
        <v>32296</v>
      </c>
      <c r="C25656" s="5" t="str">
        <f>IFERROR(__xludf.DUMMYFUNCTION("GOOGLETRANSLATE(B25656,""en"",""es-ES"")"),"La mujer luego comienza a bailar con las mujeres mientras la sigue.")</f>
        <v>La mujer luego comienza a bailar con las mujeres mientras la sigue.</v>
      </c>
    </row>
    <row r="25657">
      <c r="A25657" s="4" t="s">
        <v>32294</v>
      </c>
      <c r="B25657" s="4" t="s">
        <v>32297</v>
      </c>
      <c r="C25657" s="5" t="str">
        <f>IFERROR(__xludf.DUMMYFUNCTION("GOOGLETRANSLATE(B25657,""en"",""es-ES"")"),"Las mujeres cambian de lugar con hombres y luego comienzan a seguir a la mujer bailando.")</f>
        <v>Las mujeres cambian de lugar con hombres y luego comienzan a seguir a la mujer bailando.</v>
      </c>
    </row>
    <row r="25658">
      <c r="A25658" s="4" t="s">
        <v>32298</v>
      </c>
      <c r="B25658" s="4" t="s">
        <v>32299</v>
      </c>
      <c r="C25658" s="5" t="str">
        <f>IFERROR(__xludf.DUMMYFUNCTION("GOOGLETRANSLATE(B25658,""en"",""es-ES"")"),"Una mujer con una camisa azul camina a lo largo de una línea floja.")</f>
        <v>Una mujer con una camisa azul camina a lo largo de una línea floja.</v>
      </c>
    </row>
    <row r="25659">
      <c r="A25659" s="4" t="s">
        <v>32298</v>
      </c>
      <c r="B25659" s="4" t="s">
        <v>32300</v>
      </c>
      <c r="C25659" s="5" t="str">
        <f>IFERROR(__xludf.DUMMYFUNCTION("GOOGLETRANSLATE(B25659,""en"",""es-ES"")"),"Ella se cae y agarra la cuerda.")</f>
        <v>Ella se cae y agarra la cuerda.</v>
      </c>
    </row>
    <row r="25660">
      <c r="A25660" s="4" t="s">
        <v>32301</v>
      </c>
      <c r="B25660" s="4" t="s">
        <v>32302</v>
      </c>
      <c r="C25660" s="5" t="str">
        <f>IFERROR(__xludf.DUMMYFUNCTION("GOOGLETRANSLATE(B25660,""en"",""es-ES"")"),"Varias personas se reúnen en un lago.")</f>
        <v>Varias personas se reúnen en un lago.</v>
      </c>
    </row>
    <row r="25661">
      <c r="A25661" s="4" t="s">
        <v>32301</v>
      </c>
      <c r="B25661" s="4" t="s">
        <v>32303</v>
      </c>
      <c r="C25661" s="5" t="str">
        <f>IFERROR(__xludf.DUMMYFUNCTION("GOOGLETRANSLATE(B25661,""en"",""es-ES"")"),"Las imágenes se muestran de las personas que posan y las cometas voladoras.")</f>
        <v>Las imágenes se muestran de las personas que posan y las cometas voladoras.</v>
      </c>
    </row>
    <row r="25662">
      <c r="A25662" s="4" t="s">
        <v>32301</v>
      </c>
      <c r="B25662" s="4" t="s">
        <v>32304</v>
      </c>
      <c r="C25662" s="5" t="str">
        <f>IFERROR(__xludf.DUMMYFUNCTION("GOOGLETRANSLATE(B25662,""en"",""es-ES"")"),"Luego se los ve volando las cometas en una playa.")</f>
        <v>Luego se los ve volando las cometas en una playa.</v>
      </c>
    </row>
    <row r="25663">
      <c r="A25663" s="4" t="s">
        <v>32305</v>
      </c>
      <c r="B25663" s="4" t="s">
        <v>32306</v>
      </c>
      <c r="C25663" s="5" t="str">
        <f>IFERROR(__xludf.DUMMYFUNCTION("GOOGLETRANSLATE(B25663,""en"",""es-ES"")"),"Se muestra una variedad de líneas de batería practicando en varios lugares.")</f>
        <v>Se muestra una variedad de líneas de batería practicando en varios lugares.</v>
      </c>
    </row>
    <row r="25664">
      <c r="A25664" s="4" t="s">
        <v>32305</v>
      </c>
      <c r="B25664" s="4" t="s">
        <v>32307</v>
      </c>
      <c r="C25664" s="5" t="str">
        <f>IFERROR(__xludf.DUMMYFUNCTION("GOOGLETRANSLATE(B25664,""en"",""es-ES"")"),"Se muestran varias escuelas y el SB4TS está en la esquina inferior derecha a medida que un grupo con camisas azules y los pantalones negros comienzan a funcionar y hacen varias formaciones.")</f>
        <v>Se muestran varias escuelas y el SB4TS está en la esquina inferior derecha a medida que un grupo con camisas azules y los pantalones negros comienzan a funcionar y hacen varias formaciones.</v>
      </c>
    </row>
    <row r="25665">
      <c r="A25665" s="4" t="s">
        <v>32308</v>
      </c>
      <c r="B25665" s="4" t="s">
        <v>32309</v>
      </c>
      <c r="C25665" s="5" t="str">
        <f>IFERROR(__xludf.DUMMYFUNCTION("GOOGLETRANSLATE(B25665,""en"",""es-ES"")"),"Un restaurante Gyros se muestra desde el exterior.")</f>
        <v>Un restaurante Gyros se muestra desde el exterior.</v>
      </c>
    </row>
    <row r="25666">
      <c r="A25666" s="4" t="s">
        <v>32308</v>
      </c>
      <c r="B25666" s="4" t="s">
        <v>32310</v>
      </c>
      <c r="C25666" s="5" t="str">
        <f>IFERROR(__xludf.DUMMYFUNCTION("GOOGLETRANSLATE(B25666,""en"",""es-ES"")"),"Entramos y el chef comienza a hablar con la cámara.")</f>
        <v>Entramos y el chef comienza a hablar con la cámara.</v>
      </c>
    </row>
    <row r="25667">
      <c r="A25667" s="4" t="s">
        <v>32308</v>
      </c>
      <c r="B25667" s="4" t="s">
        <v>32311</v>
      </c>
      <c r="C25667" s="5" t="str">
        <f>IFERROR(__xludf.DUMMYFUNCTION("GOOGLETRANSLATE(B25667,""en"",""es-ES"")"),"Demuestra cómo hacer un sándwich de giroscopio.")</f>
        <v>Demuestra cómo hacer un sándwich de giroscopio.</v>
      </c>
    </row>
    <row r="25668">
      <c r="A25668" s="4" t="s">
        <v>32308</v>
      </c>
      <c r="B25668" s="4" t="s">
        <v>32312</v>
      </c>
      <c r="C25668" s="5" t="str">
        <f>IFERROR(__xludf.DUMMYFUNCTION("GOOGLETRANSLATE(B25668,""en"",""es-ES"")"),"Coloca todos los ingredientes en el mostrador, afeita la carne y comienza a apilarlos dentro de la pita.")</f>
        <v>Coloca todos los ingredientes en el mostrador, afeita la carne y comienza a apilarlos dentro de la pita.</v>
      </c>
    </row>
    <row r="25669">
      <c r="A25669" s="4" t="s">
        <v>32308</v>
      </c>
      <c r="B25669" s="4" t="s">
        <v>32313</v>
      </c>
      <c r="C25669" s="5" t="str">
        <f>IFERROR(__xludf.DUMMYFUNCTION("GOOGLETRANSLATE(B25669,""en"",""es-ES"")"),"Continúa hablando por la cámara, luego sirve al cicatero un giroscopio.")</f>
        <v>Continúa hablando por la cámara, luego sirve al cicatero un giroscopio.</v>
      </c>
    </row>
    <row r="25670">
      <c r="A25670" s="4" t="s">
        <v>32308</v>
      </c>
      <c r="B25670" s="4" t="s">
        <v>32314</v>
      </c>
      <c r="C25670" s="5" t="str">
        <f>IFERROR(__xludf.DUMMYFUNCTION("GOOGLETRANSLATE(B25670,""en"",""es-ES"")"),"El hombre lo come, asintiendo con la aprobación.")</f>
        <v>El hombre lo come, asintiendo con la aprobación.</v>
      </c>
    </row>
    <row r="25671">
      <c r="A25671" s="4" t="s">
        <v>32315</v>
      </c>
      <c r="B25671" s="4" t="s">
        <v>32316</v>
      </c>
      <c r="C25671" s="5" t="str">
        <f>IFERROR(__xludf.DUMMYFUNCTION("GOOGLETRANSLATE(B25671,""en"",""es-ES"")"),"Se ve a un hombre creando chispas en un poste de metal mientras lo mueve a lo largo del costado.")</f>
        <v>Se ve a un hombre creando chispas en un poste de metal mientras lo mueve a lo largo del costado.</v>
      </c>
    </row>
    <row r="25672">
      <c r="A25672" s="4" t="s">
        <v>32315</v>
      </c>
      <c r="B25672" s="4" t="s">
        <v>32317</v>
      </c>
      <c r="C25672" s="5" t="str">
        <f>IFERROR(__xludf.DUMMYFUNCTION("GOOGLETRANSLATE(B25672,""en"",""es-ES"")"),"Luego baja la antorcha y se acerca a la barra.")</f>
        <v>Luego baja la antorcha y se acerca a la barra.</v>
      </c>
    </row>
    <row r="25673">
      <c r="A25673" s="4" t="s">
        <v>32318</v>
      </c>
      <c r="B25673" s="4" t="s">
        <v>32319</v>
      </c>
      <c r="C25673" s="5" t="str">
        <f>IFERROR(__xludf.DUMMYFUNCTION("GOOGLETRANSLATE(B25673,""en"",""es-ES"")"),"Una persona está caminando con un caballo en una arena.")</f>
        <v>Una persona está caminando con un caballo en una arena.</v>
      </c>
    </row>
    <row r="25674">
      <c r="A25674" s="4" t="s">
        <v>32318</v>
      </c>
      <c r="B25674" s="4" t="s">
        <v>32320</v>
      </c>
      <c r="C25674" s="5" t="str">
        <f>IFERROR(__xludf.DUMMYFUNCTION("GOOGLETRANSLATE(B25674,""en"",""es-ES"")"),"Comienzan a cepillar el pelaje del caballo.")</f>
        <v>Comienzan a cepillar el pelaje del caballo.</v>
      </c>
    </row>
    <row r="25675">
      <c r="A25675" s="4" t="s">
        <v>32318</v>
      </c>
      <c r="B25675" s="4" t="s">
        <v>32321</v>
      </c>
      <c r="C25675" s="5" t="str">
        <f>IFERROR(__xludf.DUMMYFUNCTION("GOOGLETRANSLATE(B25675,""en"",""es-ES"")"),"Cepillan la oreja del caballo.")</f>
        <v>Cepillan la oreja del caballo.</v>
      </c>
    </row>
    <row r="25676">
      <c r="A25676" s="4" t="s">
        <v>32318</v>
      </c>
      <c r="B25676" s="4" t="s">
        <v>32322</v>
      </c>
      <c r="C25676" s="5" t="str">
        <f>IFERROR(__xludf.DUMMYFUNCTION("GOOGLETRANSLATE(B25676,""en"",""es-ES"")"),"Cepilan la cara del caballo.")</f>
        <v>Cepilan la cara del caballo.</v>
      </c>
    </row>
    <row r="25677">
      <c r="A25677" s="4" t="s">
        <v>32323</v>
      </c>
      <c r="B25677" s="4" t="s">
        <v>32324</v>
      </c>
      <c r="C25677" s="5" t="str">
        <f>IFERROR(__xludf.DUMMYFUNCTION("GOOGLETRANSLATE(B25677,""en"",""es-ES"")"),"Se ve a un hombre con dos hijos hablando con la cámara con uno levantando las manos y conduciendo a ellos moviéndose rápidamente.")</f>
        <v>Se ve a un hombre con dos hijos hablando con la cámara con uno levantando las manos y conduciendo a ellos moviéndose rápidamente.</v>
      </c>
    </row>
    <row r="25678">
      <c r="A25678" s="4" t="s">
        <v>32323</v>
      </c>
      <c r="B25678" s="4" t="s">
        <v>32325</v>
      </c>
      <c r="C25678" s="5" t="str">
        <f>IFERROR(__xludf.DUMMYFUNCTION("GOOGLETRANSLATE(B25678,""en"",""es-ES"")"),"Los niños se paran en una silla sacando adornos de un árbol mientras se mueven hacia atrás y cuarto a la mesa para colocar los objetos.")</f>
        <v>Los niños se paran en una silla sacando adornos de un árbol mientras se mueven hacia atrás y cuarto a la mesa para colocar los objetos.</v>
      </c>
    </row>
    <row r="25679">
      <c r="A25679" s="4" t="s">
        <v>32323</v>
      </c>
      <c r="B25679" s="4" t="s">
        <v>32326</v>
      </c>
      <c r="C25679" s="5" t="str">
        <f>IFERROR(__xludf.DUMMYFUNCTION("GOOGLETRANSLATE(B25679,""en"",""es-ES"")"),"Luego, los niños barren el piso mientras bailan y se divierten y terminan agitando a la cámara.")</f>
        <v>Luego, los niños barren el piso mientras bailan y se divierten y terminan agitando a la cámara.</v>
      </c>
    </row>
    <row r="25680">
      <c r="A25680" s="4" t="s">
        <v>32327</v>
      </c>
      <c r="B25680" s="4" t="s">
        <v>32328</v>
      </c>
      <c r="C25680" s="5" t="str">
        <f>IFERROR(__xludf.DUMMYFUNCTION("GOOGLETRANSLATE(B25680,""en"",""es-ES"")"),"Se ve a un hombre sentado en un equipo de ejercicio y comienza a moverse hacia atrás y cuarto en la máquina.")</f>
        <v>Se ve a un hombre sentado en un equipo de ejercicio y comienza a moverse hacia atrás y cuarto en la máquina.</v>
      </c>
    </row>
    <row r="25681">
      <c r="A25681" s="4" t="s">
        <v>32327</v>
      </c>
      <c r="B25681" s="4" t="s">
        <v>32329</v>
      </c>
      <c r="C25681" s="5" t="str">
        <f>IFERROR(__xludf.DUMMYFUNCTION("GOOGLETRANSLATE(B25681,""en"",""es-ES"")"),"El hombre continúa retrocediendo un cuarto mientras retira su cuerpo y termina descartando y moviéndose los pies.")</f>
        <v>El hombre continúa retrocediendo un cuarto mientras retira su cuerpo y termina descartando y moviéndose los pies.</v>
      </c>
    </row>
    <row r="25682">
      <c r="A25682" s="4" t="s">
        <v>32330</v>
      </c>
      <c r="B25682" s="4" t="s">
        <v>32331</v>
      </c>
      <c r="C25682" s="5" t="str">
        <f>IFERROR(__xludf.DUMMYFUNCTION("GOOGLETRANSLATE(B25682,""en"",""es-ES"")"),"Un concesionario está tratando tarjetas en una mesa de blackjack.")</f>
        <v>Un concesionario está tratando tarjetas en una mesa de blackjack.</v>
      </c>
    </row>
    <row r="25683">
      <c r="A25683" s="4" t="s">
        <v>32330</v>
      </c>
      <c r="B25683" s="4" t="s">
        <v>32332</v>
      </c>
      <c r="C25683" s="5" t="str">
        <f>IFERROR(__xludf.DUMMYFUNCTION("GOOGLETRANSLATE(B25683,""en"",""es-ES"")"),"La gente está sentada alrededor de la mesa jugando.")</f>
        <v>La gente está sentada alrededor de la mesa jugando.</v>
      </c>
    </row>
    <row r="25684">
      <c r="A25684" s="4" t="s">
        <v>32330</v>
      </c>
      <c r="B25684" s="4" t="s">
        <v>32333</v>
      </c>
      <c r="C25684" s="5" t="str">
        <f>IFERROR(__xludf.DUMMYFUNCTION("GOOGLETRANSLATE(B25684,""en"",""es-ES"")"),"Un hombre con una camisa blanca está de pie al lado de la mesa.")</f>
        <v>Un hombre con una camisa blanca está de pie al lado de la mesa.</v>
      </c>
    </row>
    <row r="25685">
      <c r="A25685" s="4" t="s">
        <v>32334</v>
      </c>
      <c r="B25685" s="4" t="s">
        <v>32335</v>
      </c>
      <c r="C25685" s="5" t="str">
        <f>IFERROR(__xludf.DUMMYFUNCTION("GOOGLETRANSLATE(B25685,""en"",""es-ES"")"),"Una niña está demostrando cómo hacer una trenza en el cabello en capas.")</f>
        <v>Una niña está demostrando cómo hacer una trenza en el cabello en capas.</v>
      </c>
    </row>
    <row r="25686">
      <c r="A25686" s="4" t="s">
        <v>32334</v>
      </c>
      <c r="B25686" s="4" t="s">
        <v>32336</v>
      </c>
      <c r="C25686" s="5" t="str">
        <f>IFERROR(__xludf.DUMMYFUNCTION("GOOGLETRANSLATE(B25686,""en"",""es-ES"")"),"Ella comienza cepillándose el cabello.")</f>
        <v>Ella comienza cepillándose el cabello.</v>
      </c>
    </row>
    <row r="25687">
      <c r="A25687" s="4" t="s">
        <v>32334</v>
      </c>
      <c r="B25687" s="4" t="s">
        <v>32337</v>
      </c>
      <c r="C25687" s="5" t="str">
        <f>IFERROR(__xludf.DUMMYFUNCTION("GOOGLETRANSLATE(B25687,""en"",""es-ES"")"),"Luego trae todo su cabello al lado derecho y comienza a trenzar el cabello en una sola trenza.")</f>
        <v>Luego trae todo su cabello al lado derecho y comienza a trenzar el cabello en una sola trenza.</v>
      </c>
    </row>
    <row r="25688">
      <c r="A25688" s="4" t="s">
        <v>32334</v>
      </c>
      <c r="B25688" s="4" t="s">
        <v>32338</v>
      </c>
      <c r="C25688" s="5" t="str">
        <f>IFERROR(__xludf.DUMMYFUNCTION("GOOGLETRANSLATE(B25688,""en"",""es-ES"")"),"Luego toma una corbata de cabello y la ata alrededor del fondo de su trenza.")</f>
        <v>Luego toma una corbata de cabello y la ata alrededor del fondo de su trenza.</v>
      </c>
    </row>
    <row r="25689">
      <c r="A25689" s="4" t="s">
        <v>32334</v>
      </c>
      <c r="B25689" s="4" t="s">
        <v>32339</v>
      </c>
      <c r="C25689" s="5" t="str">
        <f>IFERROR(__xludf.DUMMYFUNCTION("GOOGLETRANSLATE(B25689,""en"",""es-ES"")"),"Saca un poco de gel de cabello de un recipiente naranja y lo usa en las puntas de su trenza para suavizar el cabello.")</f>
        <v>Saca un poco de gel de cabello de un recipiente naranja y lo usa en las puntas de su trenza para suavizar el cabello.</v>
      </c>
    </row>
    <row r="25690">
      <c r="A25690" s="4" t="s">
        <v>32334</v>
      </c>
      <c r="B25690" s="4" t="s">
        <v>32340</v>
      </c>
      <c r="C25690" s="5" t="str">
        <f>IFERROR(__xludf.DUMMYFUNCTION("GOOGLETRANSLATE(B25690,""en"",""es-ES"")"),"Trenza aún más la parte inferior de su trenza hasta el final y ata otra atadura de cabello a su alrededor.")</f>
        <v>Trenza aún más la parte inferior de su trenza hasta el final y ata otra atadura de cabello a su alrededor.</v>
      </c>
    </row>
    <row r="25691">
      <c r="A25691" s="4" t="s">
        <v>32334</v>
      </c>
      <c r="B25691" s="4" t="s">
        <v>32341</v>
      </c>
      <c r="C25691" s="5" t="str">
        <f>IFERROR(__xludf.DUMMYFUNCTION("GOOGLETRANSLATE(B25691,""en"",""es-ES"")"),"Luego toma un alfiler de bobby y se mueve el cabello corto en la parte delantera a la parte posterior de su cabeza.")</f>
        <v>Luego toma un alfiler de bobby y se mueve el cabello corto en la parte delantera a la parte posterior de su cabeza.</v>
      </c>
    </row>
    <row r="25692">
      <c r="A25692" s="4" t="s">
        <v>32334</v>
      </c>
      <c r="B25692" s="4" t="s">
        <v>32342</v>
      </c>
      <c r="C25692" s="5" t="str">
        <f>IFERROR(__xludf.DUMMYFUNCTION("GOOGLETRANSLATE(B25692,""en"",""es-ES"")"),"Ella asegura el alfiler en su cabello y saluda adiós.")</f>
        <v>Ella asegura el alfiler en su cabello y saluda adiós.</v>
      </c>
    </row>
    <row r="25693">
      <c r="A25693" s="4" t="s">
        <v>32343</v>
      </c>
      <c r="B25693" s="4" t="s">
        <v>32344</v>
      </c>
      <c r="C25693" s="5" t="str">
        <f>IFERROR(__xludf.DUMMYFUNCTION("GOOGLETRANSLATE(B25693,""en"",""es-ES"")"),"Se ve a dos personas de pie listas con una corriendo por una pista y en un pozo de arena.")</f>
        <v>Se ve a dos personas de pie listas con una corriendo por una pista y en un pozo de arena.</v>
      </c>
    </row>
    <row r="25694">
      <c r="A25694" s="4" t="s">
        <v>32343</v>
      </c>
      <c r="B25694" s="4" t="s">
        <v>32345</v>
      </c>
      <c r="C25694" s="5" t="str">
        <f>IFERROR(__xludf.DUMMYFUNCTION("GOOGLETRANSLATE(B25694,""en"",""es-ES"")"),"El hombre se acuesta mientras otro levanta una bandera y se aleja de la pista.")</f>
        <v>El hombre se acuesta mientras otro levanta una bandera y se aleja de la pista.</v>
      </c>
    </row>
    <row r="25695">
      <c r="A25695" s="4" t="s">
        <v>32346</v>
      </c>
      <c r="B25695" s="4" t="s">
        <v>32347</v>
      </c>
      <c r="C25695" s="5" t="str">
        <f>IFERROR(__xludf.DUMMYFUNCTION("GOOGLETRANSLATE(B25695,""en"",""es-ES"")"),"Se ve a una chica sentada en una mesa sosteniendo varios objetos en sus manos y empujándolos todos.")</f>
        <v>Se ve a una chica sentada en una mesa sosteniendo varios objetos en sus manos y empujándolos todos.</v>
      </c>
    </row>
    <row r="25696">
      <c r="A25696" s="4" t="s">
        <v>32346</v>
      </c>
      <c r="B25696" s="4" t="s">
        <v>32348</v>
      </c>
      <c r="C25696" s="5" t="str">
        <f>IFERROR(__xludf.DUMMYFUNCTION("GOOGLETRANSLATE(B25696,""en"",""es-ES"")"),"Luego frota una aguja en una bola de algodón y luego empujándola sobre un lápiz y envolviendo el hilo a su alrededor.")</f>
        <v>Luego frota una aguja en una bola de algodón y luego empujándola sobre un lápiz y envolviendo el hilo a su alrededor.</v>
      </c>
    </row>
    <row r="25697">
      <c r="A25697" s="4" t="s">
        <v>32346</v>
      </c>
      <c r="B25697" s="4" t="s">
        <v>32349</v>
      </c>
      <c r="C25697" s="5" t="str">
        <f>IFERROR(__xludf.DUMMYFUNCTION("GOOGLETRANSLATE(B25697,""en"",""es-ES"")"),"Luego levanta una caja de un producto y luego vertiendo varios líquidos en un tazón.")</f>
        <v>Luego levanta una caja de un producto y luego vertiendo varios líquidos en un tazón.</v>
      </c>
    </row>
    <row r="25698">
      <c r="A25698" s="4" t="s">
        <v>32346</v>
      </c>
      <c r="B25698" s="4" t="s">
        <v>32350</v>
      </c>
      <c r="C25698" s="5" t="str">
        <f>IFERROR(__xludf.DUMMYFUNCTION("GOOGLETRANSLATE(B25698,""en"",""es-ES"")"),"Luego sumerge la aguja en tinta y usa el lápiz para dibujar un diseño en su pierna, frotándola con un trapo al final.")</f>
        <v>Luego sumerge la aguja en tinta y usa el lápiz para dibujar un diseño en su pierna, frotándola con un trapo al final.</v>
      </c>
    </row>
    <row r="25699">
      <c r="A25699" s="4" t="s">
        <v>32351</v>
      </c>
      <c r="B25699" s="4" t="s">
        <v>32352</v>
      </c>
      <c r="C25699" s="5" t="str">
        <f>IFERROR(__xludf.DUMMYFUNCTION("GOOGLETRANSLATE(B25699,""en"",""es-ES"")"),"Un tablero de dardos predominantemente oscuro está vacío.")</f>
        <v>Un tablero de dardos predominantemente oscuro está vacío.</v>
      </c>
    </row>
    <row r="25700">
      <c r="A25700" s="4" t="s">
        <v>32351</v>
      </c>
      <c r="B25700" s="4" t="s">
        <v>32353</v>
      </c>
      <c r="C25700" s="5" t="str">
        <f>IFERROR(__xludf.DUMMYFUNCTION("GOOGLETRANSLATE(B25700,""en"",""es-ES"")"),"Un chico arroja un dardo al tablero de dardos.")</f>
        <v>Un chico arroja un dardo al tablero de dardos.</v>
      </c>
    </row>
    <row r="25701">
      <c r="A25701" s="4" t="s">
        <v>32351</v>
      </c>
      <c r="B25701" s="4" t="s">
        <v>32354</v>
      </c>
      <c r="C25701" s="5" t="str">
        <f>IFERROR(__xludf.DUMMYFUNCTION("GOOGLETRANSLATE(B25701,""en"",""es-ES"")"),"El dardo golpea la bullseye.")</f>
        <v>El dardo golpea la bullseye.</v>
      </c>
    </row>
    <row r="25702">
      <c r="A25702" s="4" t="s">
        <v>32355</v>
      </c>
      <c r="B25702" s="4" t="s">
        <v>32356</v>
      </c>
      <c r="C25702" s="5" t="str">
        <f>IFERROR(__xludf.DUMMYFUNCTION("GOOGLETRANSLATE(B25702,""en"",""es-ES"")"),"Se ve a un pequeño grupo de personas caminando por la alfombra roja y hablando entre sí.")</f>
        <v>Se ve a un pequeño grupo de personas caminando por la alfombra roja y hablando entre sí.</v>
      </c>
    </row>
    <row r="25703">
      <c r="A25703" s="4" t="s">
        <v>32355</v>
      </c>
      <c r="B25703" s="4" t="s">
        <v>32357</v>
      </c>
      <c r="C25703" s="5" t="str">
        <f>IFERROR(__xludf.DUMMYFUNCTION("GOOGLETRANSLATE(B25703,""en"",""es-ES"")"),"Luego se ve a un atleta hablando con un nuevo anfitrión y se muestran varias tomas de él jugando y montando un caballo.")</f>
        <v>Luego se ve a un atleta hablando con un nuevo anfitrión y se muestran varias tomas de él jugando y montando un caballo.</v>
      </c>
    </row>
    <row r="25704">
      <c r="A25704" s="4" t="s">
        <v>32355</v>
      </c>
      <c r="B25704" s="4" t="s">
        <v>32358</v>
      </c>
      <c r="C25704" s="5" t="str">
        <f>IFERROR(__xludf.DUMMYFUNCTION("GOOGLETRANSLATE(B25704,""en"",""es-ES"")"),"Se muestran más clips de él practicando un deporte y hablando con el anfitrión y estrechando su mano.")</f>
        <v>Se muestran más clips de él practicando un deporte y hablando con el anfitrión y estrechando su mano.</v>
      </c>
    </row>
    <row r="25705">
      <c r="A25705" s="4" t="s">
        <v>32359</v>
      </c>
      <c r="B25705" s="4" t="s">
        <v>32360</v>
      </c>
      <c r="C25705" s="5" t="str">
        <f>IFERROR(__xludf.DUMMYFUNCTION("GOOGLETRANSLATE(B25705,""en"",""es-ES"")"),"Una mujer se hace un tatuaje en el brazo de una niña mientras limpia con un pañuelo.")</f>
        <v>Una mujer se hace un tatuaje en el brazo de una niña mientras limpia con un pañuelo.</v>
      </c>
    </row>
    <row r="25706">
      <c r="A25706" s="4" t="s">
        <v>32359</v>
      </c>
      <c r="B25706" s="4" t="s">
        <v>32361</v>
      </c>
      <c r="C25706" s="5" t="str">
        <f>IFERROR(__xludf.DUMMYFUNCTION("GOOGLETRANSLATE(B25706,""en"",""es-ES"")"),"La niña hace gestos de dolor en la cara.")</f>
        <v>La niña hace gestos de dolor en la cara.</v>
      </c>
    </row>
    <row r="25707">
      <c r="A25707" s="4" t="s">
        <v>32362</v>
      </c>
      <c r="B25707" s="4" t="s">
        <v>32363</v>
      </c>
      <c r="C25707" s="5" t="str">
        <f>IFERROR(__xludf.DUMMYFUNCTION("GOOGLETRANSLATE(B25707,""en"",""es-ES"")"),"Se muestra una foto de la película Forest Gump con el hombre jugando a Ping Pong en varios disparos y él riendo al final.")</f>
        <v>Se muestra una foto de la película Forest Gump con el hombre jugando a Ping Pong en varios disparos y él riendo al final.</v>
      </c>
    </row>
    <row r="25708">
      <c r="A25708" s="4" t="s">
        <v>32362</v>
      </c>
      <c r="B25708" s="4" t="s">
        <v>32364</v>
      </c>
      <c r="C25708" s="5" t="str">
        <f>IFERROR(__xludf.DUMMYFUNCTION("GOOGLETRANSLATE(B25708,""en"",""es-ES"")"),"Se muestran más clips de los actores que juegan entre ellos y un hombre que muestra el metraje en una computadora mientras habla con la cámara.")</f>
        <v>Se muestran más clips de los actores que juegan entre ellos y un hombre que muestra el metraje en una computadora mientras habla con la cámara.</v>
      </c>
    </row>
    <row r="25709">
      <c r="A25709" s="4" t="s">
        <v>32362</v>
      </c>
      <c r="B25709" s="4" t="s">
        <v>32365</v>
      </c>
      <c r="C25709" s="5" t="str">
        <f>IFERROR(__xludf.DUMMYFUNCTION("GOOGLETRANSLATE(B25709,""en"",""es-ES"")"),"Tom Hanks es entrevistado varias veces sobre el evento y luego se sienta al final mientras juega.")</f>
        <v>Tom Hanks es entrevistado varias veces sobre el evento y luego se sienta al final mientras juega.</v>
      </c>
    </row>
    <row r="25710">
      <c r="A25710" s="4" t="s">
        <v>32366</v>
      </c>
      <c r="B25710" s="4" t="s">
        <v>32367</v>
      </c>
      <c r="C25710" s="5" t="str">
        <f>IFERROR(__xludf.DUMMYFUNCTION("GOOGLETRANSLATE(B25710,""en"",""es-ES"")"),"Una mujer vestida de negro con una visera y gafas de sol está hablando sosteniendo una paleta.")</f>
        <v>Una mujer vestida de negro con una visera y gafas de sol está hablando sosteniendo una paleta.</v>
      </c>
    </row>
    <row r="25711">
      <c r="A25711" s="4" t="s">
        <v>32366</v>
      </c>
      <c r="B25711" s="4" t="s">
        <v>32368</v>
      </c>
      <c r="C25711" s="5" t="str">
        <f>IFERROR(__xludf.DUMMYFUNCTION("GOOGLETRANSLATE(B25711,""en"",""es-ES"")"),"Una vez que termina de hablar, comienza a kayak con su perro blanco entre sus piernas.")</f>
        <v>Una vez que termina de hablar, comienza a kayak con su perro blanco entre sus piernas.</v>
      </c>
    </row>
    <row r="25712">
      <c r="A25712" s="4" t="s">
        <v>32366</v>
      </c>
      <c r="B25712" s="4" t="s">
        <v>32369</v>
      </c>
      <c r="C25712" s="5" t="str">
        <f>IFERROR(__xludf.DUMMYFUNCTION("GOOGLETRANSLATE(B25712,""en"",""es-ES"")"),"Ahora la mujer está fuera del agua y comienza a hacer ejercicios de brazo con la paleta detrás de su cabeza levantándola hacia arriba y hacia abajo.")</f>
        <v>Ahora la mujer está fuera del agua y comienza a hacer ejercicios de brazo con la paleta detrás de su cabeza levantándola hacia arriba y hacia abajo.</v>
      </c>
    </row>
    <row r="25713">
      <c r="A25713" s="4" t="s">
        <v>32366</v>
      </c>
      <c r="B25713" s="4" t="s">
        <v>32370</v>
      </c>
      <c r="C25713" s="5" t="str">
        <f>IFERROR(__xludf.DUMMYFUNCTION("GOOGLETRANSLATE(B25713,""en"",""es-ES"")"),"Luego agrega las piernas y comienza a hacer estocadas en la hierba antes de continuar haciendo rizos con las manos.")</f>
        <v>Luego agrega las piernas y comienza a hacer estocadas en la hierba antes de continuar haciendo rizos con las manos.</v>
      </c>
    </row>
    <row r="25714">
      <c r="A25714" s="4" t="s">
        <v>32366</v>
      </c>
      <c r="B25714" s="4" t="s">
        <v>32371</v>
      </c>
      <c r="C25714" s="5" t="str">
        <f>IFERROR(__xludf.DUMMYFUNCTION("GOOGLETRANSLATE(B25714,""en"",""es-ES"")"),"La señora ahora se mudó a un patio y se está acostando sobre su espalda haciendo ejercicios de piernas.")</f>
        <v>La señora ahora se mudó a un patio y se está acostando sobre su espalda haciendo ejercicios de piernas.</v>
      </c>
    </row>
    <row r="25715">
      <c r="A25715" s="4" t="s">
        <v>32372</v>
      </c>
      <c r="B25715" s="4" t="s">
        <v>32373</v>
      </c>
      <c r="C25715" s="5" t="str">
        <f>IFERROR(__xludf.DUMMYFUNCTION("GOOGLETRANSLATE(B25715,""en"",""es-ES"")"),"Una niña está parada afuera en un campo hablando y hula hooping.")</f>
        <v>Una niña está parada afuera en un campo hablando y hula hooping.</v>
      </c>
    </row>
    <row r="25716">
      <c r="A25716" s="4" t="s">
        <v>32372</v>
      </c>
      <c r="B25716" s="4" t="s">
        <v>32374</v>
      </c>
      <c r="C25716" s="5" t="str">
        <f>IFERROR(__xludf.DUMMYFUNCTION("GOOGLETRANSLATE(B25716,""en"",""es-ES"")"),"Otra chica luego trata de hacer lo mismo, pero no tiene éxito.")</f>
        <v>Otra chica luego trata de hacer lo mismo, pero no tiene éxito.</v>
      </c>
    </row>
    <row r="25717">
      <c r="A25717" s="4" t="s">
        <v>32372</v>
      </c>
      <c r="B25717" s="4" t="s">
        <v>32375</v>
      </c>
      <c r="C25717" s="5" t="str">
        <f>IFERROR(__xludf.DUMMYFUNCTION("GOOGLETRANSLATE(B25717,""en"",""es-ES"")"),"La primera chica regresa y lo hace sin esfuerzo cuando la segunda chica todavía lucha.")</f>
        <v>La primera chica regresa y lo hace sin esfuerzo cuando la segunda chica todavía lucha.</v>
      </c>
    </row>
    <row r="25718">
      <c r="A25718" s="4" t="s">
        <v>32372</v>
      </c>
      <c r="B25718" s="4" t="s">
        <v>32376</v>
      </c>
      <c r="C25718" s="5" t="str">
        <f>IFERROR(__xludf.DUMMYFUNCTION("GOOGLETRANSLATE(B25718,""en"",""es-ES"")"),"Durante la última ronda, la niña comienza a hula hoop y bebe refrescos y corre por la hierba.")</f>
        <v>Durante la última ronda, la niña comienza a hula hoop y bebe refrescos y corre por la hierba.</v>
      </c>
    </row>
    <row r="25719">
      <c r="A25719" s="4" t="s">
        <v>32377</v>
      </c>
      <c r="B25719" s="4" t="s">
        <v>32378</v>
      </c>
      <c r="C25719" s="5" t="str">
        <f>IFERROR(__xludf.DUMMYFUNCTION("GOOGLETRANSLATE(B25719,""en"",""es-ES"")"),"Un negro y marrón se puso de pie contra la pared mientras una persona mueve un vacío como una máquina de ida y vuelta sobre su pelaje.")</f>
        <v>Un negro y marrón se puso de pie contra la pared mientras una persona mueve un vacío como una máquina de ida y vuelta sobre su pelaje.</v>
      </c>
    </row>
    <row r="25720">
      <c r="A25720" s="4" t="s">
        <v>32377</v>
      </c>
      <c r="B25720" s="4" t="s">
        <v>32379</v>
      </c>
      <c r="C25720" s="5" t="str">
        <f>IFERROR(__xludf.DUMMYFUNCTION("GOOGLETRANSLATE(B25720,""en"",""es-ES"")"),"Después de que su espalda termina, la persona hace las piernas y luego levanta la cola y hace el agujero, pero el perro comienza a alejarse.")</f>
        <v>Después de que su espalda termina, la persona hace las piernas y luego levanta la cola y hace el agujero, pero el perro comienza a alejarse.</v>
      </c>
    </row>
    <row r="25721">
      <c r="A25721" s="4" t="s">
        <v>32377</v>
      </c>
      <c r="B25721" s="4" t="s">
        <v>32380</v>
      </c>
      <c r="C25721" s="5" t="str">
        <f>IFERROR(__xludf.DUMMYFUNCTION("GOOGLETRANSLATE(B25721,""en"",""es-ES"")"),"Luego, las mujeres tienen que agarrar al perro y sostenerlo para terminar su tarea.")</f>
        <v>Luego, las mujeres tienen que agarrar al perro y sostenerlo para terminar su tarea.</v>
      </c>
    </row>
    <row r="25722">
      <c r="A25722" s="4" t="s">
        <v>32377</v>
      </c>
      <c r="B25722" s="4" t="s">
        <v>32381</v>
      </c>
      <c r="C25722" s="5" t="str">
        <f>IFERROR(__xludf.DUMMYFUNCTION("GOOGLETRANSLATE(B25722,""en"",""es-ES"")"),"Una vez completo, saca el cabello del vacío y lo arroja a una gran bolsa de basura negra.")</f>
        <v>Una vez completo, saca el cabello del vacío y lo arroja a una gran bolsa de basura negra.</v>
      </c>
    </row>
    <row r="25723">
      <c r="A25723" s="4" t="s">
        <v>32382</v>
      </c>
      <c r="B25723" s="4" t="s">
        <v>32383</v>
      </c>
      <c r="C25723" s="5" t="str">
        <f>IFERROR(__xludf.DUMMYFUNCTION("GOOGLETRANSLATE(B25723,""en"",""es-ES"")"),"Una mujer rubia corre y gira una tierra en el relleno.")</f>
        <v>Una mujer rubia corre y gira una tierra en el relleno.</v>
      </c>
    </row>
    <row r="25724">
      <c r="A25724" s="4" t="s">
        <v>32382</v>
      </c>
      <c r="B25724" s="4" t="s">
        <v>32384</v>
      </c>
      <c r="C25724" s="5" t="str">
        <f>IFERROR(__xludf.DUMMYFUNCTION("GOOGLETRANSLATE(B25724,""en"",""es-ES"")"),"Otra mujer corre y salta y no lo hace caer sobre la hierba.")</f>
        <v>Otra mujer corre y salta y no lo hace caer sobre la hierba.</v>
      </c>
    </row>
    <row r="25725">
      <c r="A25725" s="4" t="s">
        <v>32382</v>
      </c>
      <c r="B25725" s="4" t="s">
        <v>32385</v>
      </c>
      <c r="C25725" s="5" t="str">
        <f>IFERROR(__xludf.DUMMYFUNCTION("GOOGLETRANSLATE(B25725,""en"",""es-ES"")"),"Se perdió por completo el salto por completo y golpea el poste hacia abajo cuando cae.")</f>
        <v>Se perdió por completo el salto por completo y golpea el poste hacia abajo cuando cae.</v>
      </c>
    </row>
    <row r="25726">
      <c r="A25726" s="4" t="s">
        <v>32382</v>
      </c>
      <c r="B25726" s="4" t="s">
        <v>32386</v>
      </c>
      <c r="C25726" s="5" t="str">
        <f>IFERROR(__xludf.DUMMYFUNCTION("GOOGLETRANSLATE(B25726,""en"",""es-ES"")"),"Ella se ríe en el suelo y un hombre se acerca para ayudarla.")</f>
        <v>Ella se ríe en el suelo y un hombre se acerca para ayudarla.</v>
      </c>
    </row>
    <row r="25727">
      <c r="A25727" s="4" t="s">
        <v>32387</v>
      </c>
      <c r="B25727" s="4" t="s">
        <v>32388</v>
      </c>
      <c r="C25727" s="5" t="str">
        <f>IFERROR(__xludf.DUMMYFUNCTION("GOOGLETRANSLATE(B25727,""en"",""es-ES"")"),"Un grupo de personas está sentada en una sauna completamente vestida.")</f>
        <v>Un grupo de personas está sentada en una sauna completamente vestida.</v>
      </c>
    </row>
    <row r="25728">
      <c r="A25728" s="4" t="s">
        <v>32387</v>
      </c>
      <c r="B25728" s="4" t="s">
        <v>32389</v>
      </c>
      <c r="C25728" s="5" t="str">
        <f>IFERROR(__xludf.DUMMYFUNCTION("GOOGLETRANSLATE(B25728,""en"",""es-ES"")"),"Un tipo se pone de pie con un violín.")</f>
        <v>Un tipo se pone de pie con un violín.</v>
      </c>
    </row>
    <row r="25729">
      <c r="A25729" s="4" t="s">
        <v>32387</v>
      </c>
      <c r="B25729" s="4" t="s">
        <v>32390</v>
      </c>
      <c r="C25729" s="5" t="str">
        <f>IFERROR(__xludf.DUMMYFUNCTION("GOOGLETRANSLATE(B25729,""en"",""es-ES"")"),"El tipo comienza a tocar el violín y bailar.")</f>
        <v>El tipo comienza a tocar el violín y bailar.</v>
      </c>
    </row>
    <row r="25730">
      <c r="A25730" s="4" t="s">
        <v>32387</v>
      </c>
      <c r="B25730" s="4" t="s">
        <v>32391</v>
      </c>
      <c r="C25730" s="5" t="str">
        <f>IFERROR(__xludf.DUMMYFUNCTION("GOOGLETRANSLATE(B25730,""en"",""es-ES"")"),"El chico patea su zapato mientras baila.")</f>
        <v>El chico patea su zapato mientras baila.</v>
      </c>
    </row>
    <row r="25731">
      <c r="A25731" s="4" t="s">
        <v>32387</v>
      </c>
      <c r="B25731" s="4" t="s">
        <v>32392</v>
      </c>
      <c r="C25731" s="5" t="str">
        <f>IFERROR(__xludf.DUMMYFUNCTION("GOOGLETRANSLATE(B25731,""en"",""es-ES"")"),"El tipo se sienta y toca el violín.")</f>
        <v>El tipo se sienta y toca el violín.</v>
      </c>
    </row>
    <row r="25732">
      <c r="A25732" s="4" t="s">
        <v>32393</v>
      </c>
      <c r="B25732" s="4" t="s">
        <v>32394</v>
      </c>
      <c r="C25732" s="5" t="str">
        <f>IFERROR(__xludf.DUMMYFUNCTION("GOOGLETRANSLATE(B25732,""en"",""es-ES"")"),"Se ve a una persona montando una tabla con una cometa a lo largo del océano que se mueve a un ritmo rápido.")</f>
        <v>Se ve a una persona montando una tabla con una cometa a lo largo del océano que se mueve a un ritmo rápido.</v>
      </c>
    </row>
    <row r="25733">
      <c r="A25733" s="4" t="s">
        <v>32393</v>
      </c>
      <c r="B25733" s="4" t="s">
        <v>32395</v>
      </c>
      <c r="C25733" s="5" t="str">
        <f>IFERROR(__xludf.DUMMYFUNCTION("GOOGLETRANSLATE(B25733,""en"",""es-ES"")"),"La persona continúa viajando y finalmente se bloquea mientras la cámara se acerca al jinete.")</f>
        <v>La persona continúa viajando y finalmente se bloquea mientras la cámara se acerca al jinete.</v>
      </c>
    </row>
    <row r="25734">
      <c r="A25734" s="4" t="s">
        <v>32396</v>
      </c>
      <c r="B25734" s="4" t="s">
        <v>32397</v>
      </c>
      <c r="C25734" s="5" t="str">
        <f>IFERROR(__xludf.DUMMYFUNCTION("GOOGLETRANSLATE(B25734,""en"",""es-ES"")"),"Un grupo de niños está parado en una habitación con muchas tazas transparentes de cerveza en una mesa, todos están parados.")</f>
        <v>Un grupo de niños está parado en una habitación con muchas tazas transparentes de cerveza en una mesa, todos están parados.</v>
      </c>
    </row>
    <row r="25735">
      <c r="A25735" s="4" t="s">
        <v>32396</v>
      </c>
      <c r="B25735" s="4" t="s">
        <v>32398</v>
      </c>
      <c r="C25735" s="5" t="str">
        <f>IFERROR(__xludf.DUMMYFUNCTION("GOOGLETRANSLATE(B25735,""en"",""es-ES"")"),"Los chicos hablan, se ríen y se burlan del otro antes de comenzar un juego de cerveza pong en una larga mesa usando una variedad de copas transparentes en forma de triángulo.")</f>
        <v>Los chicos hablan, se ríen y se burlan del otro antes de comenzar un juego de cerveza pong en una larga mesa usando una variedad de copas transparentes en forma de triángulo.</v>
      </c>
    </row>
    <row r="25736">
      <c r="A25736" s="4" t="s">
        <v>32396</v>
      </c>
      <c r="B25736" s="4" t="s">
        <v>32399</v>
      </c>
      <c r="C25736" s="5" t="str">
        <f>IFERROR(__xludf.DUMMYFUNCTION("GOOGLETRANSLATE(B25736,""en"",""es-ES"")"),"Uno de los Ping Pongs aterriza en la taza y uno de los niños comienza a beber la cerveza.")</f>
        <v>Uno de los Ping Pongs aterriza en la taza y uno de los niños comienza a beber la cerveza.</v>
      </c>
    </row>
    <row r="25737">
      <c r="A25737" s="4" t="s">
        <v>32396</v>
      </c>
      <c r="B25737" s="4" t="s">
        <v>32400</v>
      </c>
      <c r="C25737" s="5" t="str">
        <f>IFERROR(__xludf.DUMMYFUNCTION("GOOGLETRANSLATE(B25737,""en"",""es-ES"")"),"El grupo continúa jugando a Beer Pong cuando un jugador final puede lanzar y aterrizar una pelota de ping pong mientras está de pie de espaldas a las copas, momento en el que los niños celebran y se ríen.")</f>
        <v>El grupo continúa jugando a Beer Pong cuando un jugador final puede lanzar y aterrizar una pelota de ping pong mientras está de pie de espaldas a las copas, momento en el que los niños celebran y se ríen.</v>
      </c>
    </row>
    <row r="25738">
      <c r="A25738" s="4" t="s">
        <v>32401</v>
      </c>
      <c r="B25738" s="4" t="s">
        <v>32402</v>
      </c>
      <c r="C25738" s="5" t="str">
        <f>IFERROR(__xludf.DUMMYFUNCTION("GOOGLETRANSLATE(B25738,""en"",""es-ES"")"),"Se ve a un pequeño grupo de personas temblando y de pie juntos seguido de un hombre que sopla un silbato y personas corriendo.")</f>
        <v>Se ve a un pequeño grupo de personas temblando y de pie juntos seguido de un hombre que sopla un silbato y personas corriendo.</v>
      </c>
    </row>
    <row r="25739">
      <c r="A25739" s="4" t="s">
        <v>32401</v>
      </c>
      <c r="B25739" s="4" t="s">
        <v>32403</v>
      </c>
      <c r="C25739" s="5" t="str">
        <f>IFERROR(__xludf.DUMMYFUNCTION("GOOGLETRANSLATE(B25739,""en"",""es-ES"")"),"Luego, la gente juega un juego de fútbol entre sí, corriendo por el campo arenoso mientras los entrenadores gritan a un lado y se bloquea un gol.")</f>
        <v>Luego, la gente juega un juego de fútbol entre sí, corriendo por el campo arenoso mientras los entrenadores gritan a un lado y se bloquea un gol.</v>
      </c>
    </row>
    <row r="25740">
      <c r="A25740" s="4" t="s">
        <v>32404</v>
      </c>
      <c r="B25740" s="4" t="s">
        <v>32405</v>
      </c>
      <c r="C25740" s="5" t="str">
        <f>IFERROR(__xludf.DUMMYFUNCTION("GOOGLETRANSLATE(B25740,""en"",""es-ES"")"),"Se muestran dos hombres sentados en una mesa con los brazos cruzados.")</f>
        <v>Se muestran dos hombres sentados en una mesa con los brazos cruzados.</v>
      </c>
    </row>
    <row r="25741">
      <c r="A25741" s="4" t="s">
        <v>32404</v>
      </c>
      <c r="B25741" s="4" t="s">
        <v>32406</v>
      </c>
      <c r="C25741" s="5" t="str">
        <f>IFERROR(__xludf.DUMMYFUNCTION("GOOGLETRANSLATE(B25741,""en"",""es-ES"")"),"Se agarran de la mano y comienzan un combate de lucha de brazo con uno gritando al otro.")</f>
        <v>Se agarran de la mano y comienzan un combate de lucha de brazo con uno gritando al otro.</v>
      </c>
    </row>
    <row r="25742">
      <c r="A25742" s="4" t="s">
        <v>32404</v>
      </c>
      <c r="B25742" s="4" t="s">
        <v>32407</v>
      </c>
      <c r="C25742" s="5" t="str">
        <f>IFERROR(__xludf.DUMMYFUNCTION("GOOGLETRANSLATE(B25742,""en"",""es-ES"")"),"Uno casi gana, pero el otro retrocede rápidamente y gana mientras grita y empuja.")</f>
        <v>Uno casi gana, pero el otro retrocede rápidamente y gana mientras grita y empuja.</v>
      </c>
    </row>
    <row r="25743">
      <c r="A25743" s="4" t="s">
        <v>32408</v>
      </c>
      <c r="B25743" s="4" t="s">
        <v>32409</v>
      </c>
      <c r="C25743" s="5" t="str">
        <f>IFERROR(__xludf.DUMMYFUNCTION("GOOGLETRANSLATE(B25743,""en"",""es-ES"")"),"Una mujer mayor sentada a la mesa leyendo su papeleo.")</f>
        <v>Una mujer mayor sentada a la mesa leyendo su papeleo.</v>
      </c>
    </row>
    <row r="25744">
      <c r="A25744" s="4" t="s">
        <v>32408</v>
      </c>
      <c r="B25744" s="4" t="s">
        <v>32410</v>
      </c>
      <c r="C25744" s="5" t="str">
        <f>IFERROR(__xludf.DUMMYFUNCTION("GOOGLETRANSLATE(B25744,""en"",""es-ES"")"),"Su esposo aparece detrás de ella y lo lee con ella.")</f>
        <v>Su esposo aparece detrás de ella y lo lee con ella.</v>
      </c>
    </row>
    <row r="25745">
      <c r="A25745" s="4" t="s">
        <v>32408</v>
      </c>
      <c r="B25745" s="4" t="s">
        <v>32411</v>
      </c>
      <c r="C25745" s="5" t="str">
        <f>IFERROR(__xludf.DUMMYFUNCTION("GOOGLETRANSLATE(B25745,""en"",""es-ES"")"),"Los techadores están en el techo solucionando algunos problemas, poniendo algunas tejas nuevas.")</f>
        <v>Los techadores están en el techo solucionando algunos problemas, poniendo algunas tejas nuevas.</v>
      </c>
    </row>
    <row r="25746">
      <c r="A25746" s="4" t="s">
        <v>32408</v>
      </c>
      <c r="B25746" s="4" t="s">
        <v>32412</v>
      </c>
      <c r="C25746" s="5" t="str">
        <f>IFERROR(__xludf.DUMMYFUNCTION("GOOGLETRANSLATE(B25746,""en"",""es-ES"")"),"Una mujer por teléfono con la compañía sube y le entrega el teléfono a su esposo.")</f>
        <v>Una mujer por teléfono con la compañía sube y le entrega el teléfono a su esposo.</v>
      </c>
    </row>
    <row r="25747">
      <c r="A25747" s="4" t="s">
        <v>32413</v>
      </c>
      <c r="B25747" s="4" t="s">
        <v>32414</v>
      </c>
      <c r="C25747" s="5" t="str">
        <f>IFERROR(__xludf.DUMMYFUNCTION("GOOGLETRANSLATE(B25747,""en"",""es-ES"")"),"Un hombre entra en un gimnasio y se inclina frente a un peso.")</f>
        <v>Un hombre entra en un gimnasio y se inclina frente a un peso.</v>
      </c>
    </row>
    <row r="25748">
      <c r="A25748" s="4" t="s">
        <v>32413</v>
      </c>
      <c r="B25748" s="4" t="s">
        <v>32415</v>
      </c>
      <c r="C25748" s="5" t="str">
        <f>IFERROR(__xludf.DUMMYFUNCTION("GOOGLETRANSLATE(B25748,""en"",""es-ES"")"),"El hombre intenta levantar el peso dos veces y lo deja caer.")</f>
        <v>El hombre intenta levantar el peso dos veces y lo deja caer.</v>
      </c>
    </row>
    <row r="25749">
      <c r="A25749" s="4" t="s">
        <v>32413</v>
      </c>
      <c r="B25749" s="4" t="s">
        <v>32416</v>
      </c>
      <c r="C25749" s="5" t="str">
        <f>IFERROR(__xludf.DUMMYFUNCTION("GOOGLETRANSLATE(B25749,""en"",""es-ES"")"),"El hombre levanta el peso tres veces y se aleja.")</f>
        <v>El hombre levanta el peso tres veces y se aleja.</v>
      </c>
    </row>
    <row r="25750">
      <c r="A25750" s="4" t="s">
        <v>32413</v>
      </c>
      <c r="B25750" s="4" t="s">
        <v>32417</v>
      </c>
      <c r="C25750" s="5" t="str">
        <f>IFERROR(__xludf.DUMMYFUNCTION("GOOGLETRANSLATE(B25750,""en"",""es-ES"")"),"El hombre levanta el peso dos veces.")</f>
        <v>El hombre levanta el peso dos veces.</v>
      </c>
    </row>
    <row r="25751">
      <c r="A25751" s="4" t="s">
        <v>32413</v>
      </c>
      <c r="B25751" s="4" t="s">
        <v>32418</v>
      </c>
      <c r="C25751" s="5" t="str">
        <f>IFERROR(__xludf.DUMMYFUNCTION("GOOGLETRANSLATE(B25751,""en"",""es-ES"")"),"El hombre levanta el peso tres veces y se aleja.")</f>
        <v>El hombre levanta el peso tres veces y se aleja.</v>
      </c>
    </row>
    <row r="25752">
      <c r="A25752" s="4" t="s">
        <v>32413</v>
      </c>
      <c r="B25752" s="4" t="s">
        <v>32419</v>
      </c>
      <c r="C25752" s="5" t="str">
        <f>IFERROR(__xludf.DUMMYFUNCTION("GOOGLETRANSLATE(B25752,""en"",""es-ES"")"),"El hombre levanta el peso de dos dientes y se quita el cinturón de levantamiento de pesas.")</f>
        <v>El hombre levanta el peso de dos dientes y se quita el cinturón de levantamiento de pesas.</v>
      </c>
    </row>
    <row r="25753">
      <c r="A25753" s="4" t="s">
        <v>32420</v>
      </c>
      <c r="B25753" s="4" t="s">
        <v>32421</v>
      </c>
      <c r="C25753" s="5" t="str">
        <f>IFERROR(__xludf.DUMMYFUNCTION("GOOGLETRANSLATE(B25753,""en"",""es-ES"")"),"La niña salió de la habitación.")</f>
        <v>La niña salió de la habitación.</v>
      </c>
    </row>
    <row r="25754">
      <c r="A25754" s="4" t="s">
        <v>32420</v>
      </c>
      <c r="B25754" s="4" t="s">
        <v>32422</v>
      </c>
      <c r="C25754" s="5" t="str">
        <f>IFERROR(__xludf.DUMMYFUNCTION("GOOGLETRANSLATE(B25754,""en"",""es-ES"")"),"El niño consigue la botella debajo de la cama y la sostiene y luego la bebe.")</f>
        <v>El niño consigue la botella debajo de la cama y la sostiene y luego la bebe.</v>
      </c>
    </row>
    <row r="25755">
      <c r="A25755" s="4" t="s">
        <v>32420</v>
      </c>
      <c r="B25755" s="4" t="s">
        <v>32423</v>
      </c>
      <c r="C25755" s="5" t="str">
        <f>IFERROR(__xludf.DUMMYFUNCTION("GOOGLETRANSLATE(B25755,""en"",""es-ES"")"),"El niño volvió a la cama y fingió dormir mientras la niña volvía a la habitación.")</f>
        <v>El niño volvió a la cama y fingió dormir mientras la niña volvía a la habitación.</v>
      </c>
    </row>
    <row r="25756">
      <c r="A25756" s="4" t="s">
        <v>32424</v>
      </c>
      <c r="B25756" s="4" t="s">
        <v>32425</v>
      </c>
      <c r="C25756" s="5" t="str">
        <f>IFERROR(__xludf.DUMMYFUNCTION("GOOGLETRANSLATE(B25756,""en"",""es-ES"")"),"Se ve a un gran grupo de personas deambulando por un área con una mujer corriendo más allá de ellas.")</f>
        <v>Se ve a un gran grupo de personas deambulando por un área con una mujer corriendo más allá de ellas.</v>
      </c>
    </row>
    <row r="25757">
      <c r="A25757" s="4" t="s">
        <v>32424</v>
      </c>
      <c r="B25757" s="4" t="s">
        <v>32426</v>
      </c>
      <c r="C25757" s="5" t="str">
        <f>IFERROR(__xludf.DUMMYFUNCTION("GOOGLETRANSLATE(B25757,""en"",""es-ES"")"),"Se ve a la mujer hablando con la cámara y continúa corriendo por el área de la playa.")</f>
        <v>Se ve a la mujer hablando con la cámara y continúa corriendo por el área de la playa.</v>
      </c>
    </row>
    <row r="25758">
      <c r="A25758" s="4" t="s">
        <v>32424</v>
      </c>
      <c r="B25758" s="4" t="s">
        <v>32427</v>
      </c>
      <c r="C25758" s="5" t="str">
        <f>IFERROR(__xludf.DUMMYFUNCTION("GOOGLETRANSLATE(B25758,""en"",""es-ES"")"),"Ella corre a lo largo del paseo marítimo, así como las personas pasadas y termina con ella correr una carrera y ser entrevistada.")</f>
        <v>Ella corre a lo largo del paseo marítimo, así como las personas pasadas y termina con ella correr una carrera y ser entrevistada.</v>
      </c>
    </row>
    <row r="25759">
      <c r="A25759" s="4" t="s">
        <v>32428</v>
      </c>
      <c r="B25759" s="4" t="s">
        <v>32429</v>
      </c>
      <c r="C25759" s="5" t="str">
        <f>IFERROR(__xludf.DUMMYFUNCTION("GOOGLETRANSLATE(B25759,""en"",""es-ES"")"),"Las manos de una persona se ven tocando un piano que se aleja de la persona que juega.")</f>
        <v>Las manos de una persona se ven tocando un piano que se aleja de la persona que juega.</v>
      </c>
    </row>
    <row r="25760">
      <c r="A25760" s="4" t="s">
        <v>32428</v>
      </c>
      <c r="B25760" s="4" t="s">
        <v>32430</v>
      </c>
      <c r="C25760" s="5" t="str">
        <f>IFERROR(__xludf.DUMMYFUNCTION("GOOGLETRANSLATE(B25760,""en"",""es-ES"")"),"Se ve a la gente sonriendo y saludando a la cámara mientras el hombre continúa jugando el piano.")</f>
        <v>Se ve a la gente sonriendo y saludando a la cámara mientras el hombre continúa jugando el piano.</v>
      </c>
    </row>
    <row r="25761">
      <c r="A25761" s="4" t="s">
        <v>32428</v>
      </c>
      <c r="B25761" s="4" t="s">
        <v>32431</v>
      </c>
      <c r="C25761" s="5" t="str">
        <f>IFERROR(__xludf.DUMMYFUNCTION("GOOGLETRANSLATE(B25761,""en"",""es-ES"")"),"La cámara lo captura de todas partes tocando el piano y cantando a la cámara.")</f>
        <v>La cámara lo captura de todas partes tocando el piano y cantando a la cámara.</v>
      </c>
    </row>
    <row r="25762">
      <c r="A25762" s="4" t="s">
        <v>32432</v>
      </c>
      <c r="B25762" s="4" t="s">
        <v>32433</v>
      </c>
      <c r="C25762" s="5" t="str">
        <f>IFERROR(__xludf.DUMMYFUNCTION("GOOGLETRANSLATE(B25762,""en"",""es-ES"")"),"Una gimnasta con un leotardo magenta está actuando en la barra de caballos.")</f>
        <v>Una gimnasta con un leotardo magenta está actuando en la barra de caballos.</v>
      </c>
    </row>
    <row r="25763">
      <c r="A25763" s="4" t="s">
        <v>32432</v>
      </c>
      <c r="B25763" s="4" t="s">
        <v>32434</v>
      </c>
      <c r="C25763" s="5" t="str">
        <f>IFERROR(__xludf.DUMMYFUNCTION("GOOGLETRANSLATE(B25763,""en"",""es-ES"")"),"Hay un panel de jueces sentados frente a ella y evaluándola.")</f>
        <v>Hay un panel de jueces sentados frente a ella y evaluándola.</v>
      </c>
    </row>
    <row r="25764">
      <c r="A25764" s="4" t="s">
        <v>32432</v>
      </c>
      <c r="B25764" s="4" t="s">
        <v>32435</v>
      </c>
      <c r="C25764" s="5" t="str">
        <f>IFERROR(__xludf.DUMMYFUNCTION("GOOGLETRANSLATE(B25764,""en"",""es-ES"")"),"Ella se levanta directamente en la barra y hace un giro y golpea.")</f>
        <v>Ella se levanta directamente en la barra y hace un giro y golpea.</v>
      </c>
    </row>
    <row r="25765">
      <c r="A25765" s="4" t="s">
        <v>32432</v>
      </c>
      <c r="B25765" s="4" t="s">
        <v>32436</v>
      </c>
      <c r="C25765" s="5" t="str">
        <f>IFERROR(__xludf.DUMMYFUNCTION("GOOGLETRANSLATE(B25765,""en"",""es-ES"")"),"Ella continúa haciendo con éxito las volteretas delanteras en la barra de caballos.")</f>
        <v>Ella continúa haciendo con éxito las volteretas delanteras en la barra de caballos.</v>
      </c>
    </row>
    <row r="25766">
      <c r="A25766" s="4" t="s">
        <v>32432</v>
      </c>
      <c r="B25766" s="4" t="s">
        <v>32437</v>
      </c>
      <c r="C25766" s="5" t="str">
        <f>IFERROR(__xludf.DUMMYFUNCTION("GOOGLETRANSLATE(B25766,""en"",""es-ES"")"),"Ella completa su ronda después de saltar de la barra de caballos haciendo una vuelta en la espalda.")</f>
        <v>Ella completa su ronda después de saltar de la barra de caballos haciendo una vuelta en la espalda.</v>
      </c>
    </row>
    <row r="25767">
      <c r="A25767" s="4" t="s">
        <v>32432</v>
      </c>
      <c r="B25767" s="4" t="s">
        <v>32438</v>
      </c>
      <c r="C25767" s="5" t="str">
        <f>IFERROR(__xludf.DUMMYFUNCTION("GOOGLETRANSLATE(B25767,""en"",""es-ES"")"),"Luego, la gimnasta se aleja del área de rendimiento.")</f>
        <v>Luego, la gimnasta se aleja del área de rendimiento.</v>
      </c>
    </row>
    <row r="25768">
      <c r="A25768" s="4" t="s">
        <v>32439</v>
      </c>
      <c r="B25768" s="4" t="s">
        <v>32440</v>
      </c>
      <c r="C25768" s="5" t="str">
        <f>IFERROR(__xludf.DUMMYFUNCTION("GOOGLETRANSLATE(B25768,""en"",""es-ES"")"),"Se muestran varias tomas de un puente, así como una señal y personas paradas en la repisa.")</f>
        <v>Se muestran varias tomas de un puente, así como una señal y personas paradas en la repisa.</v>
      </c>
    </row>
    <row r="25769">
      <c r="A25769" s="4" t="s">
        <v>32439</v>
      </c>
      <c r="B25769" s="4" t="s">
        <v>32441</v>
      </c>
      <c r="C25769" s="5" t="str">
        <f>IFERROR(__xludf.DUMMYFUNCTION("GOOGLETRANSLATE(B25769,""en"",""es-ES"")"),"Luego, dos hombres saltan del costado del puente y se muestran balanceándose con sus piernas.")</f>
        <v>Luego, dos hombres saltan del costado del puente y se muestran balanceándose con sus piernas.</v>
      </c>
    </row>
    <row r="25770">
      <c r="A25770" s="4" t="s">
        <v>32442</v>
      </c>
      <c r="B25770" s="4" t="s">
        <v>32443</v>
      </c>
      <c r="C25770" s="5" t="str">
        <f>IFERROR(__xludf.DUMMYFUNCTION("GOOGLETRANSLATE(B25770,""en"",""es-ES"")"),"Se ve a un hombre hablando con la cámara y conduce a tomas de agua hirviendo en una olla.")</f>
        <v>Se ve a un hombre hablando con la cámara y conduce a tomas de agua hirviendo en una olla.</v>
      </c>
    </row>
    <row r="25771">
      <c r="A25771" s="4" t="s">
        <v>32442</v>
      </c>
      <c r="B25771" s="4" t="s">
        <v>32444</v>
      </c>
      <c r="C25771" s="5" t="str">
        <f>IFERROR(__xludf.DUMMYFUNCTION("GOOGLETRANSLATE(B25771,""en"",""es-ES"")"),"Da un bocado de la pasta y termina con él todavía sonriendo a la cámara.")</f>
        <v>Da un bocado de la pasta y termina con él todavía sonriendo a la cámara.</v>
      </c>
    </row>
    <row r="25772">
      <c r="A25772" s="4" t="s">
        <v>32445</v>
      </c>
      <c r="B25772" s="4" t="s">
        <v>32446</v>
      </c>
      <c r="C25772" s="5" t="str">
        <f>IFERROR(__xludf.DUMMYFUNCTION("GOOGLETRANSLATE(B25772,""en"",""es-ES"")"),"Se ve un primer plano de un sofá seguido por una persona que entra y sale fuera del marco.")</f>
        <v>Se ve un primer plano de un sofá seguido por una persona que entra y sale fuera del marco.</v>
      </c>
    </row>
    <row r="25773">
      <c r="A25773" s="4" t="s">
        <v>32445</v>
      </c>
      <c r="B25773" s="4" t="s">
        <v>32447</v>
      </c>
      <c r="C25773" s="5" t="str">
        <f>IFERROR(__xludf.DUMMYFUNCTION("GOOGLETRANSLATE(B25773,""en"",""es-ES"")"),"La persona luego se sienta y aguanta los pies.")</f>
        <v>La persona luego se sienta y aguanta los pies.</v>
      </c>
    </row>
    <row r="25774">
      <c r="A25774" s="4" t="s">
        <v>32445</v>
      </c>
      <c r="B25774" s="4" t="s">
        <v>32448</v>
      </c>
      <c r="C25774" s="5" t="str">
        <f>IFERROR(__xludf.DUMMYFUNCTION("GOOGLETRANSLATE(B25774,""en"",""es-ES"")"),"La persona luego se pone un par de zapatos y sale del marco.")</f>
        <v>La persona luego se pone un par de zapatos y sale del marco.</v>
      </c>
    </row>
    <row r="25775">
      <c r="A25775" s="4" t="s">
        <v>32449</v>
      </c>
      <c r="B25775" s="4" t="s">
        <v>32450</v>
      </c>
      <c r="C25775" s="5" t="str">
        <f>IFERROR(__xludf.DUMMYFUNCTION("GOOGLETRANSLATE(B25775,""en"",""es-ES"")"),"Un hombre con una camisa negra está sentada y tocando la guitarra frente a un telón de fondo negro.")</f>
        <v>Un hombre con una camisa negra está sentada y tocando la guitarra frente a un telón de fondo negro.</v>
      </c>
    </row>
    <row r="25776">
      <c r="A25776" s="4" t="s">
        <v>32449</v>
      </c>
      <c r="B25776" s="4" t="s">
        <v>32451</v>
      </c>
      <c r="C25776" s="5" t="str">
        <f>IFERROR(__xludf.DUMMYFUNCTION("GOOGLETRANSLATE(B25776,""en"",""es-ES"")"),"Inicialmente, comienza a tocar la guitarra lentamente para encontrar el ritmo adecuado.")</f>
        <v>Inicialmente, comienza a tocar la guitarra lentamente para encontrar el ritmo adecuado.</v>
      </c>
    </row>
    <row r="25777">
      <c r="A25777" s="4" t="s">
        <v>32449</v>
      </c>
      <c r="B25777" s="4" t="s">
        <v>32452</v>
      </c>
      <c r="C25777" s="5" t="str">
        <f>IFERROR(__xludf.DUMMYFUNCTION("GOOGLETRANSLATE(B25777,""en"",""es-ES"")"),"De lo que comienza a tocar las notas cada vez más rápido.")</f>
        <v>De lo que comienza a tocar las notas cada vez más rápido.</v>
      </c>
    </row>
    <row r="25778">
      <c r="A25778" s="4" t="s">
        <v>32449</v>
      </c>
      <c r="B25778" s="4" t="s">
        <v>32453</v>
      </c>
      <c r="C25778" s="5" t="str">
        <f>IFERROR(__xludf.DUMMYFUNCTION("GOOGLETRANSLATE(B25778,""en"",""es-ES"")"),"Al final mira la guitarra y ajusta sus dedos cuando termina tocando la canción.")</f>
        <v>Al final mira la guitarra y ajusta sus dedos cuando termina tocando la canción.</v>
      </c>
    </row>
    <row r="25779">
      <c r="A25779" s="4" t="s">
        <v>32454</v>
      </c>
      <c r="B25779" s="4" t="s">
        <v>32455</v>
      </c>
      <c r="C25779" s="5" t="str">
        <f>IFERROR(__xludf.DUMMYFUNCTION("GOOGLETRANSLATE(B25779,""en"",""es-ES"")"),"Vemos personas que ponen electrónica en una mesa de futbolín.")</f>
        <v>Vemos personas que ponen electrónica en una mesa de futbolín.</v>
      </c>
    </row>
    <row r="25780">
      <c r="A25780" s="4" t="s">
        <v>32454</v>
      </c>
      <c r="B25780" s="4" t="s">
        <v>32456</v>
      </c>
      <c r="C25780" s="5" t="str">
        <f>IFERROR(__xludf.DUMMYFUNCTION("GOOGLETRANSLATE(B25780,""en"",""es-ES"")"),"Vemos los bares en movimiento y luego vemos a dos hombres sentados en la mesa.")</f>
        <v>Vemos los bares en movimiento y luego vemos a dos hombres sentados en la mesa.</v>
      </c>
    </row>
    <row r="25781">
      <c r="A25781" s="4" t="s">
        <v>32454</v>
      </c>
      <c r="B25781" s="4" t="s">
        <v>32457</v>
      </c>
      <c r="C25781" s="5" t="str">
        <f>IFERROR(__xludf.DUMMYFUNCTION("GOOGLETRANSLATE(B25781,""en"",""es-ES"")"),"Vemos a un grupo de personas jugando al foosball en una habitación estrecha.")</f>
        <v>Vemos a un grupo de personas jugando al foosball en una habitación estrecha.</v>
      </c>
    </row>
    <row r="25782">
      <c r="A25782" s="4" t="s">
        <v>32458</v>
      </c>
      <c r="B25782" s="4" t="s">
        <v>32459</v>
      </c>
      <c r="C25782" s="5" t="str">
        <f>IFERROR(__xludf.DUMMYFUNCTION("GOOGLETRANSLATE(B25782,""en"",""es-ES"")"),"Un gran grupo de personas está parado en un puente.")</f>
        <v>Un gran grupo de personas está parado en un puente.</v>
      </c>
    </row>
    <row r="25783">
      <c r="A25783" s="4" t="s">
        <v>32458</v>
      </c>
      <c r="B25783" s="4" t="s">
        <v>32460</v>
      </c>
      <c r="C25783" s="5" t="str">
        <f>IFERROR(__xludf.DUMMYFUNCTION("GOOGLETRANSLATE(B25783,""en"",""es-ES"")"),"Están mirando las aguas rápidas de abajo.")</f>
        <v>Están mirando las aguas rápidas de abajo.</v>
      </c>
    </row>
    <row r="25784">
      <c r="A25784" s="4" t="s">
        <v>32458</v>
      </c>
      <c r="B25784" s="4" t="s">
        <v>32461</v>
      </c>
      <c r="C25784" s="5" t="str">
        <f>IFERROR(__xludf.DUMMYFUNCTION("GOOGLETRANSLATE(B25784,""en"",""es-ES"")"),"Varias personas en canoas vienen a través del puente, que es la línea de meta.")</f>
        <v>Varias personas en canoas vienen a través del puente, que es la línea de meta.</v>
      </c>
    </row>
    <row r="25785">
      <c r="A25785" s="4" t="s">
        <v>32462</v>
      </c>
      <c r="B25785" s="4" t="s">
        <v>32463</v>
      </c>
      <c r="C25785" s="5" t="str">
        <f>IFERROR(__xludf.DUMMYFUNCTION("GOOGLETRANSLATE(B25785,""en"",""es-ES"")"),"Una modelo que lleva un bikini abre la escena y habla detrás de una pantalla I-Pad.")</f>
        <v>Una modelo que lleva un bikini abre la escena y habla detrás de una pantalla I-Pad.</v>
      </c>
    </row>
    <row r="25786">
      <c r="A25786" s="4" t="s">
        <v>32462</v>
      </c>
      <c r="B25786" s="4" t="s">
        <v>32464</v>
      </c>
      <c r="C25786" s="5" t="str">
        <f>IFERROR(__xludf.DUMMYFUNCTION("GOOGLETRANSLATE(B25786,""en"",""es-ES"")"),"Una comida se cocina en una sartén.")</f>
        <v>Una comida se cocina en una sartén.</v>
      </c>
    </row>
    <row r="25787">
      <c r="A25787" s="4" t="s">
        <v>32462</v>
      </c>
      <c r="B25787" s="4" t="s">
        <v>32465</v>
      </c>
      <c r="C25787" s="5" t="str">
        <f>IFERROR(__xludf.DUMMYFUNCTION("GOOGLETRANSLATE(B25787,""en"",""es-ES"")"),"La gente monta en un bote y pesca.")</f>
        <v>La gente monta en un bote y pesca.</v>
      </c>
    </row>
    <row r="25788">
      <c r="A25788" s="4" t="s">
        <v>32462</v>
      </c>
      <c r="B25788" s="4" t="s">
        <v>32466</v>
      </c>
      <c r="C25788" s="5" t="str">
        <f>IFERROR(__xludf.DUMMYFUNCTION("GOOGLETRANSLATE(B25788,""en"",""es-ES"")"),"Los surfistas montan grandes olas en el océano.")</f>
        <v>Los surfistas montan grandes olas en el océano.</v>
      </c>
    </row>
    <row r="25789">
      <c r="A25789" s="4" t="s">
        <v>32462</v>
      </c>
      <c r="B25789" s="4" t="s">
        <v>32467</v>
      </c>
      <c r="C25789" s="5" t="str">
        <f>IFERROR(__xludf.DUMMYFUNCTION("GOOGLETRANSLATE(B25789,""en"",""es-ES"")"),"Las motos de agua tiran de los surfistas hacia las olas en el océano.")</f>
        <v>Las motos de agua tiran de los surfistas hacia las olas en el océano.</v>
      </c>
    </row>
    <row r="25790">
      <c r="A25790" s="4" t="s">
        <v>32468</v>
      </c>
      <c r="B25790" s="4" t="s">
        <v>32469</v>
      </c>
      <c r="C25790" s="5" t="str">
        <f>IFERROR(__xludf.DUMMYFUNCTION("GOOGLETRANSLATE(B25790,""en"",""es-ES"")"),"Vemos un equipo de navegantes en una competencia en el mar.")</f>
        <v>Vemos un equipo de navegantes en una competencia en el mar.</v>
      </c>
    </row>
    <row r="25791">
      <c r="A25791" s="4" t="s">
        <v>32468</v>
      </c>
      <c r="B25791" s="4" t="s">
        <v>32470</v>
      </c>
      <c r="C25791" s="5" t="str">
        <f>IFERROR(__xludf.DUMMYFUNCTION("GOOGLETRANSLATE(B25791,""en"",""es-ES"")"),"Vemos que la carrera comienza y los navegantes despegan.")</f>
        <v>Vemos que la carrera comienza y los navegantes despegan.</v>
      </c>
    </row>
    <row r="25792">
      <c r="A25792" s="4" t="s">
        <v>32468</v>
      </c>
      <c r="B25792" s="4" t="s">
        <v>32471</v>
      </c>
      <c r="C25792" s="5" t="str">
        <f>IFERROR(__xludf.DUMMYFUNCTION("GOOGLETRANSLATE(B25792,""en"",""es-ES"")"),"Pasan un pequeño bote en el agua.")</f>
        <v>Pasan un pequeño bote en el agua.</v>
      </c>
    </row>
    <row r="25793">
      <c r="A25793" s="4" t="s">
        <v>32468</v>
      </c>
      <c r="B25793" s="4" t="s">
        <v>32472</v>
      </c>
      <c r="C25793" s="5" t="str">
        <f>IFERROR(__xludf.DUMMYFUNCTION("GOOGLETRANSLATE(B25793,""en"",""es-ES"")"),"Vemos de cerca un equipo.")</f>
        <v>Vemos de cerca un equipo.</v>
      </c>
    </row>
    <row r="25794">
      <c r="A25794" s="4" t="s">
        <v>32468</v>
      </c>
      <c r="B25794" s="4" t="s">
        <v>32473</v>
      </c>
      <c r="C25794" s="5" t="str">
        <f>IFERROR(__xludf.DUMMYFUNCTION("GOOGLETRANSLATE(B25794,""en"",""es-ES"")"),"Vemos un tablero de puntaje en la pantalla.")</f>
        <v>Vemos un tablero de puntaje en la pantalla.</v>
      </c>
    </row>
    <row r="25795">
      <c r="A25795" s="4" t="s">
        <v>32468</v>
      </c>
      <c r="B25795" s="4" t="s">
        <v>32474</v>
      </c>
      <c r="C25795" s="5" t="str">
        <f>IFERROR(__xludf.DUMMYFUNCTION("GOOGLETRANSLATE(B25795,""en"",""es-ES"")"),"Los corredores pasan una pancarta y vemos nuevamente al equipo verde.")</f>
        <v>Los corredores pasan una pancarta y vemos nuevamente al equipo verde.</v>
      </c>
    </row>
    <row r="25796">
      <c r="A25796" s="4" t="s">
        <v>32468</v>
      </c>
      <c r="B25796" s="4" t="s">
        <v>32475</v>
      </c>
      <c r="C25796" s="5" t="str">
        <f>IFERROR(__xludf.DUMMYFUNCTION("GOOGLETRANSLATE(B25796,""en"",""es-ES"")"),"La carrera está terminada y vemos a la multitud aplaudiendo.")</f>
        <v>La carrera está terminada y vemos a la multitud aplaudiendo.</v>
      </c>
    </row>
    <row r="25797">
      <c r="A25797" s="4" t="s">
        <v>32468</v>
      </c>
      <c r="B25797" s="4" t="s">
        <v>32476</v>
      </c>
      <c r="C25797" s="5" t="str">
        <f>IFERROR(__xludf.DUMMYFUNCTION("GOOGLETRANSLATE(B25797,""en"",""es-ES"")"),"Vemos los puntajes finales y la escena termina.")</f>
        <v>Vemos los puntajes finales y la escena termina.</v>
      </c>
    </row>
    <row r="25798">
      <c r="A25798" s="4" t="s">
        <v>32477</v>
      </c>
      <c r="B25798" s="4" t="s">
        <v>32478</v>
      </c>
      <c r="C25798" s="5" t="str">
        <f>IFERROR(__xludf.DUMMYFUNCTION("GOOGLETRANSLATE(B25798,""en"",""es-ES"")"),"Se ve a una mujer organizando un segmento de noticias con un hombre y lleva a una persona sacar a un perro y acariciar al perro.")</f>
        <v>Se ve a una mujer organizando un segmento de noticias con un hombre y lleva a una persona sacar a un perro y acariciar al perro.</v>
      </c>
    </row>
    <row r="25799">
      <c r="A25799" s="4" t="s">
        <v>32477</v>
      </c>
      <c r="B25799" s="4" t="s">
        <v>32479</v>
      </c>
      <c r="C25799" s="5" t="str">
        <f>IFERROR(__xludf.DUMMYFUNCTION("GOOGLETRANSLATE(B25799,""en"",""es-ES"")"),"Luego, el hombre demuestra cómo preparar adecuadamente al perro mientras el anfitrión continúa hablando y acaricia al perro.")</f>
        <v>Luego, el hombre demuestra cómo preparar adecuadamente al perro mientras el anfitrión continúa hablando y acaricia al perro.</v>
      </c>
    </row>
    <row r="25800">
      <c r="A25800" s="4" t="s">
        <v>32480</v>
      </c>
      <c r="B25800" s="4" t="s">
        <v>32481</v>
      </c>
      <c r="C25800" s="5" t="str">
        <f>IFERROR(__xludf.DUMMYFUNCTION("GOOGLETRANSLATE(B25800,""en"",""es-ES"")"),"Se ve a un hombre cabalgando sobre la estela de agua detrás de un bote.")</f>
        <v>Se ve a un hombre cabalgando sobre la estela de agua detrás de un bote.</v>
      </c>
    </row>
    <row r="25801">
      <c r="A25801" s="4" t="s">
        <v>32480</v>
      </c>
      <c r="B25801" s="4" t="s">
        <v>32482</v>
      </c>
      <c r="C25801" s="5" t="str">
        <f>IFERROR(__xludf.DUMMYFUNCTION("GOOGLETRANSLATE(B25801,""en"",""es-ES"")"),"El hombre se muestra en varios clips realizando un truco con los afectos de la cámara en el punto de sus movimientos.")</f>
        <v>El hombre se muestra en varios clips realizando un truco con los afectos de la cámara en el punto de sus movimientos.</v>
      </c>
    </row>
    <row r="25802">
      <c r="A25802" s="4" t="s">
        <v>32480</v>
      </c>
      <c r="B25802" s="4" t="s">
        <v>32483</v>
      </c>
      <c r="C25802" s="5" t="str">
        <f>IFERROR(__xludf.DUMMYFUNCTION("GOOGLETRANSLATE(B25802,""en"",""es-ES"")"),"El hombre continúa viajando en el tablero mientras el texto parece dar instrucciones.")</f>
        <v>El hombre continúa viajando en el tablero mientras el texto parece dar instrucciones.</v>
      </c>
    </row>
    <row r="25803">
      <c r="A25803" s="4" t="s">
        <v>32484</v>
      </c>
      <c r="B25803" s="4" t="s">
        <v>32485</v>
      </c>
      <c r="C25803" s="5" t="str">
        <f>IFERROR(__xludf.DUMMYFUNCTION("GOOGLETRANSLATE(B25803,""en"",""es-ES"")"),"Hay un gran gimnasio donde tres gimnastas realizan gimnasia.")</f>
        <v>Hay un gran gimnasio donde tres gimnastas realizan gimnasia.</v>
      </c>
    </row>
    <row r="25804">
      <c r="A25804" s="4" t="s">
        <v>32484</v>
      </c>
      <c r="B25804" s="4" t="s">
        <v>32486</v>
      </c>
      <c r="C25804" s="5" t="str">
        <f>IFERROR(__xludf.DUMMYFUNCTION("GOOGLETRANSLATE(B25804,""en"",""es-ES"")"),"Hay una gimnasta en leotardos naranjas que se balancean en la barra y otra gimnasta junto a él también balanceándose en las barras.")</f>
        <v>Hay una gimnasta en leotardos naranjas que se balancean en la barra y otra gimnasta junto a él también balanceándose en las barras.</v>
      </c>
    </row>
    <row r="25805">
      <c r="A25805" s="4" t="s">
        <v>32484</v>
      </c>
      <c r="B25805" s="4" t="s">
        <v>32487</v>
      </c>
      <c r="C25805" s="5" t="str">
        <f>IFERROR(__xludf.DUMMYFUNCTION("GOOGLETRANSLATE(B25805,""en"",""es-ES"")"),"Ambos se balancean boca abajo y se paran sobre sus manos durante unos segundos antes de balancearse hacia abajo.")</f>
        <v>Ambos se balancean boca abajo y se paran sobre sus manos durante unos segundos antes de balancearse hacia abajo.</v>
      </c>
    </row>
    <row r="25806">
      <c r="A25806" s="4" t="s">
        <v>32484</v>
      </c>
      <c r="B25806" s="4" t="s">
        <v>32488</v>
      </c>
      <c r="C25806" s="5" t="str">
        <f>IFERROR(__xludf.DUMMYFUNCTION("GOOGLETRANSLATE(B25806,""en"",""es-ES"")"),"La tercera gimnasta está actuando detrás de ellos, haciendo flips delanteros y traseros.")</f>
        <v>La tercera gimnasta está actuando detrás de ellos, haciendo flips delanteros y traseros.</v>
      </c>
    </row>
    <row r="25807">
      <c r="A25807" s="4" t="s">
        <v>32484</v>
      </c>
      <c r="B25807" s="4" t="s">
        <v>32489</v>
      </c>
      <c r="C25807" s="5" t="str">
        <f>IFERROR(__xludf.DUMMYFUNCTION("GOOGLETRANSLATE(B25807,""en"",""es-ES"")"),"La gimnasta en los leotardos de Orange hace otro columpio delantero y luego se sale de las barras y se aleja.")</f>
        <v>La gimnasta en los leotardos de Orange hace otro columpio delantero y luego se sale de las barras y se aleja.</v>
      </c>
    </row>
    <row r="25808">
      <c r="A25808" s="4" t="s">
        <v>32490</v>
      </c>
      <c r="B25808" s="4" t="s">
        <v>32491</v>
      </c>
      <c r="C25808" s="5" t="str">
        <f>IFERROR(__xludf.DUMMYFUNCTION("GOOGLETRANSLATE(B25808,""en"",""es-ES"")"),"Una mujer negra se muestra en una habitación con una bufanda negra alrededor de su cabeza.")</f>
        <v>Una mujer negra se muestra en una habitación con una bufanda negra alrededor de su cabeza.</v>
      </c>
    </row>
    <row r="25809">
      <c r="A25809" s="4" t="s">
        <v>32490</v>
      </c>
      <c r="B25809" s="4" t="s">
        <v>32492</v>
      </c>
      <c r="C25809" s="5" t="str">
        <f>IFERROR(__xludf.DUMMYFUNCTION("GOOGLETRANSLATE(B25809,""en"",""es-ES"")"),"Las manchas negras en su cara se acercan y ella comienza a aplicar algo en él.")</f>
        <v>Las manchas negras en su cara se acercan y ella comienza a aplicar algo en él.</v>
      </c>
    </row>
    <row r="25810">
      <c r="A25810" s="4" t="s">
        <v>32490</v>
      </c>
      <c r="B25810" s="4" t="s">
        <v>32493</v>
      </c>
      <c r="C25810" s="5" t="str">
        <f>IFERROR(__xludf.DUMMYFUNCTION("GOOGLETRANSLATE(B25810,""en"",""es-ES"")"),"Luego, toma un poco de spray y hace que su piel sea extremadamente grasosa y continúa hablando hasta que termine el video.")</f>
        <v>Luego, toma un poco de spray y hace que su piel sea extremadamente grasosa y continúa hablando hasta que termine el video.</v>
      </c>
    </row>
    <row r="25811">
      <c r="A25811" s="4" t="s">
        <v>32494</v>
      </c>
      <c r="B25811" s="4" t="s">
        <v>32495</v>
      </c>
      <c r="C25811" s="5" t="str">
        <f>IFERROR(__xludf.DUMMYFUNCTION("GOOGLETRANSLATE(B25811,""en"",""es-ES"")"),"Vemos un árbol con hojas que soplan en el viento.")</f>
        <v>Vemos un árbol con hojas que soplan en el viento.</v>
      </c>
    </row>
    <row r="25812">
      <c r="A25812" s="4" t="s">
        <v>32494</v>
      </c>
      <c r="B25812" s="4" t="s">
        <v>32496</v>
      </c>
      <c r="C25812" s="5" t="str">
        <f>IFERROR(__xludf.DUMMYFUNCTION("GOOGLETRANSLATE(B25812,""en"",""es-ES"")"),"Un hombre rasca su patio y habla con la cámara.")</f>
        <v>Un hombre rasca su patio y habla con la cámara.</v>
      </c>
    </row>
    <row r="25813">
      <c r="A25813" s="4" t="s">
        <v>32494</v>
      </c>
      <c r="B25813" s="4" t="s">
        <v>32497</v>
      </c>
      <c r="C25813" s="5" t="str">
        <f>IFERROR(__xludf.DUMMYFUNCTION("GOOGLETRANSLATE(B25813,""en"",""es-ES"")"),"El hombre elige un rastrillo de cuatro.")</f>
        <v>El hombre elige un rastrillo de cuatro.</v>
      </c>
    </row>
    <row r="25814">
      <c r="A25814" s="4" t="s">
        <v>32494</v>
      </c>
      <c r="B25814" s="4" t="s">
        <v>32498</v>
      </c>
      <c r="C25814" s="5" t="str">
        <f>IFERROR(__xludf.DUMMYFUNCTION("GOOGLETRANSLATE(B25814,""en"",""es-ES"")"),"El hombre arroja un poco de hierba en la basura.")</f>
        <v>El hombre arroja un poco de hierba en la basura.</v>
      </c>
    </row>
    <row r="25815">
      <c r="A25815" s="4" t="s">
        <v>32494</v>
      </c>
      <c r="B25815" s="4" t="s">
        <v>32499</v>
      </c>
      <c r="C25815" s="5" t="str">
        <f>IFERROR(__xludf.DUMMYFUNCTION("GOOGLETRANSLATE(B25815,""en"",""es-ES"")"),"El hombre recoge y huele una ramita con hojas.")</f>
        <v>El hombre recoge y huele una ramita con hojas.</v>
      </c>
    </row>
    <row r="25816">
      <c r="A25816" s="4" t="s">
        <v>32494</v>
      </c>
      <c r="B25816" s="4" t="s">
        <v>32500</v>
      </c>
      <c r="C25816" s="5" t="str">
        <f>IFERROR(__xludf.DUMMYFUNCTION("GOOGLETRANSLATE(B25816,""en"",""es-ES"")"),"El hombre arroja su rastrillo al patio.")</f>
        <v>El hombre arroja su rastrillo al patio.</v>
      </c>
    </row>
    <row r="25817">
      <c r="A25817" s="4" t="s">
        <v>32494</v>
      </c>
      <c r="B25817" s="4" t="s">
        <v>32501</v>
      </c>
      <c r="C25817" s="5" t="str">
        <f>IFERROR(__xludf.DUMMYFUNCTION("GOOGLETRANSLATE(B25817,""en"",""es-ES"")"),"El hombre rocía deja en el patio y los rasca.")</f>
        <v>El hombre rocía deja en el patio y los rasca.</v>
      </c>
    </row>
    <row r="25818">
      <c r="A25818" s="4" t="s">
        <v>32494</v>
      </c>
      <c r="B25818" s="4" t="s">
        <v>32502</v>
      </c>
      <c r="C25818" s="5" t="str">
        <f>IFERROR(__xludf.DUMMYFUNCTION("GOOGLETRANSLATE(B25818,""en"",""es-ES"")"),"Luego vemos las ramitas y las hojas nuevamente.")</f>
        <v>Luego vemos las ramitas y las hojas nuevamente.</v>
      </c>
    </row>
    <row r="25819">
      <c r="A25819" s="4" t="s">
        <v>32503</v>
      </c>
      <c r="B25819" s="4" t="s">
        <v>32504</v>
      </c>
      <c r="C25819" s="5" t="str">
        <f>IFERROR(__xludf.DUMMYFUNCTION("GOOGLETRANSLATE(B25819,""en"",""es-ES"")"),"Un trabajador masculino se acerca a un elefante.")</f>
        <v>Un trabajador masculino se acerca a un elefante.</v>
      </c>
    </row>
    <row r="25820">
      <c r="A25820" s="4" t="s">
        <v>32503</v>
      </c>
      <c r="B25820" s="4" t="s">
        <v>32505</v>
      </c>
      <c r="C25820" s="5" t="str">
        <f>IFERROR(__xludf.DUMMYFUNCTION("GOOGLETRANSLATE(B25820,""en"",""es-ES"")"),"Él le da al elefante un dardo.")</f>
        <v>Él le da al elefante un dardo.</v>
      </c>
    </row>
    <row r="25821">
      <c r="A25821" s="4" t="s">
        <v>32503</v>
      </c>
      <c r="B25821" s="4" t="s">
        <v>32506</v>
      </c>
      <c r="C25821" s="5" t="str">
        <f>IFERROR(__xludf.DUMMYFUNCTION("GOOGLETRANSLATE(B25821,""en"",""es-ES"")"),"El elefante y una mujer se turnan para lanzar dardos a sus objetivos.")</f>
        <v>El elefante y una mujer se turnan para lanzar dardos a sus objetivos.</v>
      </c>
    </row>
    <row r="25822">
      <c r="A25822" s="4" t="s">
        <v>32507</v>
      </c>
      <c r="B25822" s="4" t="s">
        <v>32508</v>
      </c>
      <c r="C25822" s="5" t="str">
        <f>IFERROR(__xludf.DUMMYFUNCTION("GOOGLETRANSLATE(B25822,""en"",""es-ES"")"),"Se ve a un joven sentado en el fondo de una piscina.")</f>
        <v>Se ve a un joven sentado en el fondo de una piscina.</v>
      </c>
    </row>
    <row r="25823">
      <c r="A25823" s="4" t="s">
        <v>32507</v>
      </c>
      <c r="B25823" s="4" t="s">
        <v>32509</v>
      </c>
      <c r="C25823" s="5" t="str">
        <f>IFERROR(__xludf.DUMMYFUNCTION("GOOGLETRANSLATE(B25823,""en"",""es-ES"")"),"Comienza a acercarse a la cámara mientras sonríe.")</f>
        <v>Comienza a acercarse a la cámara mientras sonríe.</v>
      </c>
    </row>
    <row r="25824">
      <c r="A25824" s="4" t="s">
        <v>32507</v>
      </c>
      <c r="B25824" s="4" t="s">
        <v>32510</v>
      </c>
      <c r="C25824" s="5" t="str">
        <f>IFERROR(__xludf.DUMMYFUNCTION("GOOGLETRANSLATE(B25824,""en"",""es-ES"")"),"Luego se topa con la pared y se mueve hacia arriba.")</f>
        <v>Luego se topa con la pared y se mueve hacia arriba.</v>
      </c>
    </row>
    <row r="25825">
      <c r="A25825" s="4" t="s">
        <v>32511</v>
      </c>
      <c r="B25825" s="4" t="s">
        <v>32512</v>
      </c>
      <c r="C25825" s="5" t="str">
        <f>IFERROR(__xludf.DUMMYFUNCTION("GOOGLETRANSLATE(B25825,""en"",""es-ES"")"),"Se muestran varios disparos del océano, así como en botes que viajan a lo largo del agua.")</f>
        <v>Se muestran varios disparos del océano, así como en botes que viajan a lo largo del agua.</v>
      </c>
    </row>
    <row r="25826">
      <c r="A25826" s="4" t="s">
        <v>32511</v>
      </c>
      <c r="B25826" s="4" t="s">
        <v>32513</v>
      </c>
      <c r="C25826" s="5" t="str">
        <f>IFERROR(__xludf.DUMMYFUNCTION("GOOGLETRANSLATE(B25826,""en"",""es-ES"")"),"Se ve a la gente acostada en playas y hablando entre sí y cabalgando detrás de los botes.")</f>
        <v>Se ve a la gente acostada en playas y hablando entre sí y cabalgando detrás de los botes.</v>
      </c>
    </row>
    <row r="25827">
      <c r="A25827" s="4" t="s">
        <v>32511</v>
      </c>
      <c r="B25827" s="4" t="s">
        <v>32514</v>
      </c>
      <c r="C25827" s="5" t="str">
        <f>IFERROR(__xludf.DUMMYFUNCTION("GOOGLETRANSLATE(B25827,""en"",""es-ES"")"),"Se ven los primeros planos de pescado, así como a las personas que viajan y surfean el agua.")</f>
        <v>Se ven los primeros planos de pescado, así como a las personas que viajan y surfean el agua.</v>
      </c>
    </row>
    <row r="25828">
      <c r="A25828" s="4" t="s">
        <v>32515</v>
      </c>
      <c r="B25828" s="4" t="s">
        <v>32516</v>
      </c>
      <c r="C25828" s="5" t="str">
        <f>IFERROR(__xludf.DUMMYFUNCTION("GOOGLETRANSLATE(B25828,""en"",""es-ES"")"),"Los atletas realizan un salto de altura con éxito en un estadio lleno de personas.")</f>
        <v>Los atletas realizan un salto de altura con éxito en un estadio lleno de personas.</v>
      </c>
    </row>
    <row r="25829">
      <c r="A25829" s="4" t="s">
        <v>32515</v>
      </c>
      <c r="B25829" s="4" t="s">
        <v>32517</v>
      </c>
      <c r="C25829" s="5" t="str">
        <f>IFERROR(__xludf.DUMMYFUNCTION("GOOGLETRANSLATE(B25829,""en"",""es-ES"")"),"Un atleta salta, pero toca la barra horizontal.")</f>
        <v>Un atleta salta, pero toca la barra horizontal.</v>
      </c>
    </row>
    <row r="25830">
      <c r="A25830" s="4" t="s">
        <v>32515</v>
      </c>
      <c r="B25830" s="4" t="s">
        <v>32518</v>
      </c>
      <c r="C25830" s="5" t="str">
        <f>IFERROR(__xludf.DUMMYFUNCTION("GOOGLETRANSLATE(B25830,""en"",""es-ES"")"),"Otros atletas realizan un salto de altura en una competencia en el frente de un cuervo.")</f>
        <v>Otros atletas realizan un salto de altura en una competencia en el frente de un cuervo.</v>
      </c>
    </row>
    <row r="25831">
      <c r="A25831" s="4" t="s">
        <v>32519</v>
      </c>
      <c r="B25831" s="4" t="s">
        <v>32520</v>
      </c>
      <c r="C25831" s="5" t="str">
        <f>IFERROR(__xludf.DUMMYFUNCTION("GOOGLETRANSLATE(B25831,""en"",""es-ES"")"),"Una mujer está paseando a su caballo a un campo para montar.")</f>
        <v>Una mujer está paseando a su caballo a un campo para montar.</v>
      </c>
    </row>
    <row r="25832">
      <c r="A25832" s="4" t="s">
        <v>32519</v>
      </c>
      <c r="B25832" s="4" t="s">
        <v>32521</v>
      </c>
      <c r="C25832" s="5" t="str">
        <f>IFERROR(__xludf.DUMMYFUNCTION("GOOGLETRANSLATE(B25832,""en"",""es-ES"")"),"La cola de los caballos está trenzada y lleva rosa.")</f>
        <v>La cola de los caballos está trenzada y lleva rosa.</v>
      </c>
    </row>
    <row r="25833">
      <c r="A25833" s="4" t="s">
        <v>32519</v>
      </c>
      <c r="B25833" s="4" t="s">
        <v>32522</v>
      </c>
      <c r="C25833" s="5" t="str">
        <f>IFERROR(__xludf.DUMMYFUNCTION("GOOGLETRANSLATE(B25833,""en"",""es-ES"")"),"La señora se sube al caballo y la monta golpeando una pelota.")</f>
        <v>La señora se sube al caballo y la monta golpeando una pelota.</v>
      </c>
    </row>
    <row r="25834">
      <c r="A25834" s="4" t="s">
        <v>32519</v>
      </c>
      <c r="B25834" s="4" t="s">
        <v>32523</v>
      </c>
      <c r="C25834" s="5" t="str">
        <f>IFERROR(__xludf.DUMMYFUNCTION("GOOGLETRANSLATE(B25834,""en"",""es-ES"")"),"La cola de los caballos ya no se trenza mientras viajan en la arena.")</f>
        <v>La cola de los caballos ya no se trenza mientras viajan en la arena.</v>
      </c>
    </row>
    <row r="25835">
      <c r="A25835" s="4" t="s">
        <v>32524</v>
      </c>
      <c r="B25835" s="4" t="s">
        <v>32525</v>
      </c>
      <c r="C25835" s="5" t="str">
        <f>IFERROR(__xludf.DUMMYFUNCTION("GOOGLETRANSLATE(B25835,""en"",""es-ES"")"),"Tres mujeres están sentadas en una habitación detrás de la mesa tejer bufandas y sombreros antes de que aparezca un logotipo.")</f>
        <v>Tres mujeres están sentadas en una habitación detrás de la mesa tejer bufandas y sombreros antes de que aparezca un logotipo.</v>
      </c>
    </row>
    <row r="25836">
      <c r="A25836" s="4" t="s">
        <v>32524</v>
      </c>
      <c r="B25836" s="4" t="s">
        <v>32526</v>
      </c>
      <c r="C25836" s="5" t="str">
        <f>IFERROR(__xludf.DUMMYFUNCTION("GOOGLETRANSLATE(B25836,""en"",""es-ES"")"),"Todos reaparecen y comienzan a tejer una bufanda púrpura mientras hablan.")</f>
        <v>Todos reaparecen y comienzan a tejer una bufanda púrpura mientras hablan.</v>
      </c>
    </row>
    <row r="25837">
      <c r="A25837" s="4" t="s">
        <v>32524</v>
      </c>
      <c r="B25837" s="4" t="s">
        <v>32527</v>
      </c>
      <c r="C25837" s="5" t="str">
        <f>IFERROR(__xludf.DUMMYFUNCTION("GOOGLETRANSLATE(B25837,""en"",""es-ES"")"),"Luego, cada señora comienza a hablar y mostrar fotos de para quién están haciendo la prenda especial.")</f>
        <v>Luego, cada señora comienza a hablar y mostrar fotos de para quién están haciendo la prenda especial.</v>
      </c>
    </row>
    <row r="25838">
      <c r="A25838" s="4" t="s">
        <v>32528</v>
      </c>
      <c r="B25838" s="4" t="s">
        <v>32529</v>
      </c>
      <c r="C25838" s="5" t="str">
        <f>IFERROR(__xludf.DUMMYFUNCTION("GOOGLETRANSLATE(B25838,""en"",""es-ES"")"),"El hombre sin camisa está haciendo abdominales.")</f>
        <v>El hombre sin camisa está haciendo abdominales.</v>
      </c>
    </row>
    <row r="25839">
      <c r="A25839" s="4" t="s">
        <v>32528</v>
      </c>
      <c r="B25839" s="4" t="s">
        <v>32530</v>
      </c>
      <c r="C25839" s="5" t="str">
        <f>IFERROR(__xludf.DUMMYFUNCTION("GOOGLETRANSLATE(B25839,""en"",""es-ES"")"),"La mujer está haciendo abdominales mientras sus piernas están en una máquina.")</f>
        <v>La mujer está haciendo abdominales mientras sus piernas están en una máquina.</v>
      </c>
    </row>
    <row r="25840">
      <c r="A25840" s="4" t="s">
        <v>32528</v>
      </c>
      <c r="B25840" s="4" t="s">
        <v>32531</v>
      </c>
      <c r="C25840" s="5" t="str">
        <f>IFERROR(__xludf.DUMMYFUNCTION("GOOGLETRANSLATE(B25840,""en"",""es-ES"")"),"La mujer sostiene los pies del hombre mientras se abarca.")</f>
        <v>La mujer sostiene los pies del hombre mientras se abarca.</v>
      </c>
    </row>
    <row r="25841">
      <c r="A25841" s="4" t="s">
        <v>32528</v>
      </c>
      <c r="B25841" s="4" t="s">
        <v>32532</v>
      </c>
      <c r="C25841" s="5" t="str">
        <f>IFERROR(__xludf.DUMMYFUNCTION("GOOGLETRANSLATE(B25841,""en"",""es-ES"")"),"El hombre está moviendo las piernas mientras tiene una gran pelota de yoga debajo de las piernas.")</f>
        <v>El hombre está moviendo las piernas mientras tiene una gran pelota de yoga debajo de las piernas.</v>
      </c>
    </row>
    <row r="25842">
      <c r="A25842" s="4" t="s">
        <v>32533</v>
      </c>
      <c r="B25842" s="4" t="s">
        <v>32534</v>
      </c>
      <c r="C25842" s="5" t="str">
        <f>IFERROR(__xludf.DUMMYFUNCTION("GOOGLETRANSLATE(B25842,""en"",""es-ES"")"),"Dos ciclistas están montando sus bicicletas de motor a través del terreno áspero.")</f>
        <v>Dos ciclistas están montando sus bicicletas de motor a través del terreno áspero.</v>
      </c>
    </row>
    <row r="25843">
      <c r="A25843" s="4" t="s">
        <v>32533</v>
      </c>
      <c r="B25843" s="4" t="s">
        <v>32535</v>
      </c>
      <c r="C25843" s="5" t="str">
        <f>IFERROR(__xludf.DUMMYFUNCTION("GOOGLETRANSLATE(B25843,""en"",""es-ES"")"),"Están vestidos con equipo de bicicleta con cascos protectores y ropa.")</f>
        <v>Están vestidos con equipo de bicicleta con cascos protectores y ropa.</v>
      </c>
    </row>
    <row r="25844">
      <c r="A25844" s="4" t="s">
        <v>32533</v>
      </c>
      <c r="B25844" s="4" t="s">
        <v>32536</v>
      </c>
      <c r="C25844" s="5" t="str">
        <f>IFERROR(__xludf.DUMMYFUNCTION("GOOGLETRANSLATE(B25844,""en"",""es-ES"")"),"Van por laderas montañosas y terreno desigual en sus motos.")</f>
        <v>Van por laderas montañosas y terreno desigual en sus motos.</v>
      </c>
    </row>
    <row r="25845">
      <c r="A25845" s="4" t="s">
        <v>32533</v>
      </c>
      <c r="B25845" s="4" t="s">
        <v>32537</v>
      </c>
      <c r="C25845" s="5" t="str">
        <f>IFERROR(__xludf.DUMMYFUNCTION("GOOGLETRANSLATE(B25845,""en"",""es-ES"")"),"Pasan por caminos de tierra extremadamente empinados y peligrosos a alta velocidad.")</f>
        <v>Pasan por caminos de tierra extremadamente empinados y peligrosos a alta velocidad.</v>
      </c>
    </row>
    <row r="25846">
      <c r="A25846" s="4" t="s">
        <v>32533</v>
      </c>
      <c r="B25846" s="4" t="s">
        <v>32538</v>
      </c>
      <c r="C25846" s="5" t="str">
        <f>IFERROR(__xludf.DUMMYFUNCTION("GOOGLETRANSLATE(B25846,""en"",""es-ES"")"),"También pasan por rampas creadas en el camino de tierra.")</f>
        <v>También pasan por rampas creadas en el camino de tierra.</v>
      </c>
    </row>
    <row r="25847">
      <c r="A25847" s="4" t="s">
        <v>32533</v>
      </c>
      <c r="B25847" s="4" t="s">
        <v>32539</v>
      </c>
      <c r="C25847" s="5" t="str">
        <f>IFERROR(__xludf.DUMMYFUNCTION("GOOGLETRANSLATE(B25847,""en"",""es-ES"")"),"Continúan en bicicleta a través de la tierra a alta velocidad mientras crean una nube de polvo detrás de ellos.")</f>
        <v>Continúan en bicicleta a través de la tierra a alta velocidad mientras crean una nube de polvo detrás de ellos.</v>
      </c>
    </row>
    <row r="25848">
      <c r="A25848" s="4" t="s">
        <v>32540</v>
      </c>
      <c r="B25848" s="4" t="s">
        <v>32541</v>
      </c>
      <c r="C25848" s="5" t="str">
        <f>IFERROR(__xludf.DUMMYFUNCTION("GOOGLETRANSLATE(B25848,""en"",""es-ES"")"),"Aparece una pantalla negra y un triángulo negro con luces azules y verdes que se iluminan de ella aparecen en el medio y las letras elegantes de la elegancia aparecen en el medio y leen ""Lovey's Nails"".")</f>
        <v>Aparece una pantalla negra y un triángulo negro con luces azules y verdes que se iluminan de ella aparecen en el medio y las letras elegantes de la elegancia aparecen en el medio y leen "Lovey's Nails".</v>
      </c>
    </row>
    <row r="25849">
      <c r="A25849" s="4" t="s">
        <v>32540</v>
      </c>
      <c r="B25849" s="4" t="s">
        <v>32542</v>
      </c>
      <c r="C25849" s="5" t="str">
        <f>IFERROR(__xludf.DUMMYFUNCTION("GOOGLETRANSLATE(B25849,""en"",""es-ES"")"),"Aparecen más letras en diferentes pantallas negras y juntos leen ""uñas maléficas"" y ""para usar más fácilmente las puntas de las uñas rojas si tienes USA Puntas Rojas si Tienes"".")</f>
        <v>Aparecen más letras en diferentes pantallas negras y juntos leen "uñas maléficas" y "para usar más fácilmente las puntas de las uñas rojas si tienes USA Puntas Rojas si Tienes".</v>
      </c>
    </row>
    <row r="25850">
      <c r="A25850" s="4" t="s">
        <v>32540</v>
      </c>
      <c r="B25850" s="4" t="s">
        <v>32543</v>
      </c>
      <c r="C25850" s="5" t="str">
        <f>IFERROR(__xludf.DUMMYFUNCTION("GOOGLETRANSLATE(B25850,""en"",""es-ES"")"),"La mujer ahora le quita el esmalte de uñas de las uñas en la mano izquierda, aplica aceite, luego superó las uñas falsas sobre su mano izquierda y corta las uñas falsas en una forma puntiaguda.")</f>
        <v>La mujer ahora le quita el esmalte de uñas de las uñas en la mano izquierda, aplica aceite, luego superó las uñas falsas sobre su mano izquierda y corta las uñas falsas en una forma puntiaguda.</v>
      </c>
    </row>
    <row r="25851">
      <c r="A25851" s="4" t="s">
        <v>32540</v>
      </c>
      <c r="B25851" s="4" t="s">
        <v>32544</v>
      </c>
      <c r="C25851" s="5" t="str">
        <f>IFERROR(__xludf.DUMMYFUNCTION("GOOGLETRANSLATE(B25851,""en"",""es-ES"")"),"Luego, la mujer abre un pequeño recipiente de líquido rojo y grueso, toma un pincel de pintura y lo aplica a sus uñas con punta puntiaguda falsa y aplica algunas capas en cada uña con punta falsa, luego, una vez que el rojo se seca, aplica líquido espeso "&amp;"de color carne de color carne. En toda la uña, incluya las puntas rojas, las forma, los archivos, los arena hacia abajo, luego cepilla el polvo con un cepillo.")</f>
        <v>Luego, la mujer abre un pequeño recipiente de líquido rojo y grueso, toma un pincel de pintura y lo aplica a sus uñas con punta puntiaguda falsa y aplica algunas capas en cada uña con punta falsa, luego, una vez que el rojo se seca, aplica líquido espeso de color carne de color carne. En toda la uña, incluya las puntas rojas, las forma, los archivos, los arena hacia abajo, luego cepilla el polvo con un cepillo.</v>
      </c>
    </row>
    <row r="25852">
      <c r="A25852" s="4" t="s">
        <v>32540</v>
      </c>
      <c r="B25852" s="4" t="s">
        <v>32545</v>
      </c>
      <c r="C25852" s="5" t="str">
        <f>IFERROR(__xludf.DUMMYFUNCTION("GOOGLETRANSLATE(B25852,""en"",""es-ES"")"),"Luego, la mujer pinta la parte superior de las uñas con un abrigo transparente, luego gira las uñas y pinta la parte inferior también y junta sus dos manos para mostrar cómo se ve en la parte inferior y en la parte superior.")</f>
        <v>Luego, la mujer pinta la parte superior de las uñas con un abrigo transparente, luego gira las uñas y pinta la parte inferior también y junta sus dos manos para mostrar cómo se ve en la parte inferior y en la parte superior.</v>
      </c>
    </row>
    <row r="25853">
      <c r="A25853" s="4" t="s">
        <v>32540</v>
      </c>
      <c r="B25853" s="4" t="s">
        <v>32546</v>
      </c>
      <c r="C25853" s="5" t="str">
        <f>IFERROR(__xludf.DUMMYFUNCTION("GOOGLETRANSLATE(B25853,""en"",""es-ES"")"),"La mujer ahora está mostrando un primer plano de su rostro mientras muestra la cara cerca de su rostro, luego levanta un lápiz labial Mac que se llama ""ruso ruso"" y lo aplica a sus labios y luego sonríe y muestra sus uñas y labios recién hechos por Most"&amp;"rándolo en algunos ángulos, y luego terminando con fotos de fotos fijas y la palabra shio en la última toma fija.")</f>
        <v>La mujer ahora está mostrando un primer plano de su rostro mientras muestra la cara cerca de su rostro, luego levanta un lápiz labial Mac que se llama "ruso ruso" y lo aplica a sus labios y luego sonríe y muestra sus uñas y labios recién hechos por Mostrándolo en algunos ángulos, y luego terminando con fotos de fotos fijas y la palabra shio en la última toma fija.</v>
      </c>
    </row>
    <row r="25854">
      <c r="A25854" s="4" t="s">
        <v>32547</v>
      </c>
      <c r="B25854" s="4" t="s">
        <v>32548</v>
      </c>
      <c r="C25854" s="5" t="str">
        <f>IFERROR(__xludf.DUMMYFUNCTION("GOOGLETRANSLATE(B25854,""en"",""es-ES"")"),"Dos equipos juegan al hockey sobre hielo El equipo blanco anota, y las personas en los blanqueadores aplauden, luego los equipos rojos anotan para su equipo, luego continúan jugando.")</f>
        <v>Dos equipos juegan al hockey sobre hielo El equipo blanco anota, y las personas en los blanqueadores aplauden, luego los equipos rojos anotan para su equipo, luego continúan jugando.</v>
      </c>
    </row>
    <row r="25855">
      <c r="A25855" s="4" t="s">
        <v>32547</v>
      </c>
      <c r="B25855" s="4" t="s">
        <v>32549</v>
      </c>
      <c r="C25855" s="5" t="str">
        <f>IFERROR(__xludf.DUMMYFUNCTION("GOOGLETRANSLATE(B25855,""en"",""es-ES"")"),"El equipo blanco anota y los jugadores se abrazan, la multitud aplaude.")</f>
        <v>El equipo blanco anota y los jugadores se abrazan, la multitud aplaude.</v>
      </c>
    </row>
    <row r="25856">
      <c r="A25856" s="4" t="s">
        <v>32547</v>
      </c>
      <c r="B25856" s="4" t="s">
        <v>32550</v>
      </c>
      <c r="C25856" s="5" t="str">
        <f>IFERROR(__xludf.DUMMYFUNCTION("GOOGLETRANSLATE(B25856,""en"",""es-ES"")"),"Después del puntaje del equipo rojo.")</f>
        <v>Después del puntaje del equipo rojo.</v>
      </c>
    </row>
    <row r="25857">
      <c r="A25857" s="4" t="s">
        <v>32547</v>
      </c>
      <c r="B25857" s="4" t="s">
        <v>32551</v>
      </c>
      <c r="C25857" s="5" t="str">
        <f>IFERROR(__xludf.DUMMYFUNCTION("GOOGLETRANSLATE(B25857,""en"",""es-ES"")"),"Los jugadores van a vestuarios en el medio tiempo.")</f>
        <v>Los jugadores van a vestuarios en el medio tiempo.</v>
      </c>
    </row>
    <row r="25858">
      <c r="A25858" s="4" t="s">
        <v>32547</v>
      </c>
      <c r="B25858" s="4" t="s">
        <v>32552</v>
      </c>
      <c r="C25858" s="5" t="str">
        <f>IFERROR(__xludf.DUMMYFUNCTION("GOOGLETRANSLATE(B25858,""en"",""es-ES"")"),"Luego, los jugadores continúan jugando y el equipo rojo anota y gana la competencia.")</f>
        <v>Luego, los jugadores continúan jugando y el equipo rojo anota y gana la competencia.</v>
      </c>
    </row>
    <row r="25859">
      <c r="A25859" s="4" t="s">
        <v>32553</v>
      </c>
      <c r="B25859" s="4" t="s">
        <v>32554</v>
      </c>
      <c r="C25859" s="5" t="str">
        <f>IFERROR(__xludf.DUMMYFUNCTION("GOOGLETRANSLATE(B25859,""en"",""es-ES"")"),"La gente toca la batería en una habitación.")</f>
        <v>La gente toca la batería en una habitación.</v>
      </c>
    </row>
    <row r="25860">
      <c r="A25860" s="4" t="s">
        <v>32553</v>
      </c>
      <c r="B25860" s="4" t="s">
        <v>32555</v>
      </c>
      <c r="C25860" s="5" t="str">
        <f>IFERROR(__xludf.DUMMYFUNCTION("GOOGLETRANSLATE(B25860,""en"",""es-ES"")"),"Comienzan a marchar de un lado a otro en la habitación.")</f>
        <v>Comienzan a marchar de un lado a otro en la habitación.</v>
      </c>
    </row>
    <row r="25861">
      <c r="A25861" s="4" t="s">
        <v>32553</v>
      </c>
      <c r="B25861" s="4" t="s">
        <v>32556</v>
      </c>
      <c r="C25861" s="5" t="str">
        <f>IFERROR(__xludf.DUMMYFUNCTION("GOOGLETRANSLATE(B25861,""en"",""es-ES"")"),"Una persona en la parte de atrás está jugando los símbolos.")</f>
        <v>Una persona en la parte de atrás está jugando los símbolos.</v>
      </c>
    </row>
    <row r="25862">
      <c r="A25862" s="4" t="s">
        <v>32557</v>
      </c>
      <c r="B25862" s="4" t="s">
        <v>32558</v>
      </c>
      <c r="C25862" s="5" t="str">
        <f>IFERROR(__xludf.DUMMYFUNCTION("GOOGLETRANSLATE(B25862,""en"",""es-ES"")"),"Una cámara se mueve alrededor de una habitación y conduce a una habitación frotando papel hacia abajo y poniendo una caja en el medio.")</f>
        <v>Una cámara se mueve alrededor de una habitación y conduce a una habitación frotando papel hacia abajo y poniendo una caja en el medio.</v>
      </c>
    </row>
    <row r="25863">
      <c r="A25863" s="4" t="s">
        <v>32557</v>
      </c>
      <c r="B25863" s="4" t="s">
        <v>32559</v>
      </c>
      <c r="C25863" s="5" t="str">
        <f>IFERROR(__xludf.DUMMYFUNCTION("GOOGLETRANSLATE(B25863,""en"",""es-ES"")"),"La mujer envuelve la caja en papel y empujando a los lados.")</f>
        <v>La mujer envuelve la caja en papel y empujando a los lados.</v>
      </c>
    </row>
    <row r="25864">
      <c r="A25864" s="4" t="s">
        <v>32557</v>
      </c>
      <c r="B25864" s="4" t="s">
        <v>32560</v>
      </c>
      <c r="C25864" s="5" t="str">
        <f>IFERROR(__xludf.DUMMYFUNCTION("GOOGLETRANSLATE(B25864,""en"",""es-ES"")"),"Ella graba los lados y usa una cinta para atar la caja y termina desenvolviéndola y mostrando lo que hay dentro.")</f>
        <v>Ella graba los lados y usa una cinta para atar la caja y termina desenvolviéndola y mostrando lo que hay dentro.</v>
      </c>
    </row>
    <row r="25865">
      <c r="A25865" s="4" t="s">
        <v>32561</v>
      </c>
      <c r="B25865" s="4" t="s">
        <v>32562</v>
      </c>
      <c r="C25865" s="5" t="str">
        <f>IFERROR(__xludf.DUMMYFUNCTION("GOOGLETRANSLATE(B25865,""en"",""es-ES"")"),"El ruido de mecanografía de la máquina de escribir va al principio y se muestra el título de una historia que se escribió.")</f>
        <v>El ruido de mecanografía de la máquina de escribir va al principio y se muestra el título de una historia que se escribió.</v>
      </c>
    </row>
    <row r="25866">
      <c r="A25866" s="4" t="s">
        <v>32561</v>
      </c>
      <c r="B25866" s="4" t="s">
        <v>32563</v>
      </c>
      <c r="C25866" s="5" t="str">
        <f>IFERROR(__xludf.DUMMYFUNCTION("GOOGLETRANSLATE(B25866,""en"",""es-ES"")"),"Luego se muestran a dos hombres sacando nieve fuera de las estatuas y el suelo y cuando terminan, alguien cae al suelo.")</f>
        <v>Luego se muestran a dos hombres sacando nieve fuera de las estatuas y el suelo y cuando terminan, alguien cae al suelo.</v>
      </c>
    </row>
    <row r="25867">
      <c r="A25867" s="4" t="s">
        <v>32564</v>
      </c>
      <c r="B25867" s="4" t="s">
        <v>32565</v>
      </c>
      <c r="C25867" s="5" t="str">
        <f>IFERROR(__xludf.DUMMYFUNCTION("GOOGLETRANSLATE(B25867,""en"",""es-ES"")"),"Las personas, incluidos los guardias de seguridad, están parados detrás de una cerca en un centro comercial.")</f>
        <v>Las personas, incluidos los guardias de seguridad, están parados detrás de una cerca en un centro comercial.</v>
      </c>
    </row>
    <row r="25868">
      <c r="A25868" s="4" t="s">
        <v>32564</v>
      </c>
      <c r="B25868" s="4" t="s">
        <v>32566</v>
      </c>
      <c r="C25868" s="5" t="str">
        <f>IFERROR(__xludf.DUMMYFUNCTION("GOOGLETRANSLATE(B25868,""en"",""es-ES"")"),"Vemos a un hombre joven con una elegante chaqueta hablar y arrojar dardos por la habitación.")</f>
        <v>Vemos a un hombre joven con una elegante chaqueta hablar y arrojar dardos por la habitación.</v>
      </c>
    </row>
    <row r="25869">
      <c r="A25869" s="4" t="s">
        <v>32564</v>
      </c>
      <c r="B25869" s="4" t="s">
        <v>32567</v>
      </c>
      <c r="C25869" s="5" t="str">
        <f>IFERROR(__xludf.DUMMYFUNCTION("GOOGLETRANSLATE(B25869,""en"",""es-ES"")"),"El hombre deja de tirar y se agacha por un momento y luego continúa lanzando.")</f>
        <v>El hombre deja de tirar y se agacha por un momento y luego continúa lanzando.</v>
      </c>
    </row>
    <row r="25870">
      <c r="A25870" s="4" t="s">
        <v>32564</v>
      </c>
      <c r="B25870" s="4" t="s">
        <v>32568</v>
      </c>
      <c r="C25870" s="5" t="str">
        <f>IFERROR(__xludf.DUMMYFUNCTION("GOOGLETRANSLATE(B25870,""en"",""es-ES"")"),"Una señora limpia algo de la cara del hombre y el hombre y su séquito comienzan a abandonar el área.")</f>
        <v>Una señora limpia algo de la cara del hombre y el hombre y su séquito comienzan a abandonar el área.</v>
      </c>
    </row>
    <row r="25871">
      <c r="A25871" s="4" t="s">
        <v>32569</v>
      </c>
      <c r="B25871" s="4" t="s">
        <v>32570</v>
      </c>
      <c r="C25871" s="5" t="str">
        <f>IFERROR(__xludf.DUMMYFUNCTION("GOOGLETRANSLATE(B25871,""en"",""es-ES"")"),"El hombre que usa un casco azul es kayak en río que muestra cómo usar una fila.")</f>
        <v>El hombre que usa un casco azul es kayak en río que muestra cómo usar una fila.</v>
      </c>
    </row>
    <row r="25872">
      <c r="A25872" s="4" t="s">
        <v>32569</v>
      </c>
      <c r="B25872" s="4" t="s">
        <v>32571</v>
      </c>
      <c r="C25872" s="5" t="str">
        <f>IFERROR(__xludf.DUMMYFUNCTION("GOOGLETRANSLATE(B25872,""en"",""es-ES"")"),"El hombre en el río está sentado en kayak amarillo sosteniendo una fila.")</f>
        <v>El hombre en el río está sentado en kayak amarillo sosteniendo una fila.</v>
      </c>
    </row>
    <row r="25873">
      <c r="A25873" s="4" t="s">
        <v>32569</v>
      </c>
      <c r="B25873" s="4" t="s">
        <v>32572</v>
      </c>
      <c r="C25873" s="5" t="str">
        <f>IFERROR(__xludf.DUMMYFUNCTION("GOOGLETRANSLATE(B25873,""en"",""es-ES"")"),"El hombre está luchando contra la corriente en un kayak.")</f>
        <v>El hombre está luchando contra la corriente en un kayak.</v>
      </c>
    </row>
    <row r="25874">
      <c r="A25874" s="4" t="s">
        <v>32573</v>
      </c>
      <c r="B25874" s="4" t="s">
        <v>32574</v>
      </c>
      <c r="C25874" s="5" t="str">
        <f>IFERROR(__xludf.DUMMYFUNCTION("GOOGLETRANSLATE(B25874,""en"",""es-ES"")"),"Vemos una caja en la tela.")</f>
        <v>Vemos una caja en la tela.</v>
      </c>
    </row>
    <row r="25875">
      <c r="A25875" s="4" t="s">
        <v>32573</v>
      </c>
      <c r="B25875" s="4" t="s">
        <v>32575</v>
      </c>
      <c r="C25875" s="5" t="str">
        <f>IFERROR(__xludf.DUMMYFUNCTION("GOOGLETRANSLATE(B25875,""en"",""es-ES"")"),"Una persona envuelve la caja en la tela y la ata.")</f>
        <v>Una persona envuelve la caja en la tela y la ata.</v>
      </c>
    </row>
    <row r="25876">
      <c r="A25876" s="4" t="s">
        <v>32573</v>
      </c>
      <c r="B25876" s="4" t="s">
        <v>32576</v>
      </c>
      <c r="C25876" s="5" t="str">
        <f>IFERROR(__xludf.DUMMYFUNCTION("GOOGLETRANSLATE(B25876,""en"",""es-ES"")"),"Vemos a la persona envolverse en las botellas en la tela.")</f>
        <v>Vemos a la persona envolverse en las botellas en la tela.</v>
      </c>
    </row>
    <row r="25877">
      <c r="A25877" s="4" t="s">
        <v>32573</v>
      </c>
      <c r="B25877" s="4" t="s">
        <v>32577</v>
      </c>
      <c r="C25877" s="5" t="str">
        <f>IFERROR(__xludf.DUMMYFUNCTION("GOOGLETRANSLATE(B25877,""en"",""es-ES"")"),"Luego pusieron dos botellas en una bolsa y las atan.")</f>
        <v>Luego pusieron dos botellas en una bolsa y las atan.</v>
      </c>
    </row>
    <row r="25878">
      <c r="A25878" s="4" t="s">
        <v>32573</v>
      </c>
      <c r="B25878" s="4" t="s">
        <v>1380</v>
      </c>
      <c r="C25878" s="5" t="str">
        <f>IFERROR(__xludf.DUMMYFUNCTION("GOOGLETRANSLATE(B25878,""en"",""es-ES"")"),"Luego vemos los créditos finales.")</f>
        <v>Luego vemos los créditos finales.</v>
      </c>
    </row>
    <row r="25879">
      <c r="A25879" s="4" t="s">
        <v>32578</v>
      </c>
      <c r="B25879" s="4" t="s">
        <v>32579</v>
      </c>
      <c r="C25879" s="5" t="str">
        <f>IFERROR(__xludf.DUMMYFUNCTION("GOOGLETRANSLATE(B25879,""en"",""es-ES"")"),"Vemos las pantallas de apertura verde.")</f>
        <v>Vemos las pantallas de apertura verde.</v>
      </c>
    </row>
    <row r="25880">
      <c r="A25880" s="4" t="s">
        <v>32578</v>
      </c>
      <c r="B25880" s="4" t="s">
        <v>32580</v>
      </c>
      <c r="C25880" s="5" t="str">
        <f>IFERROR(__xludf.DUMMYFUNCTION("GOOGLETRANSLATE(B25880,""en"",""es-ES"")"),"Luego vemos a una persona palear nieve con un empujador.")</f>
        <v>Luego vemos a una persona palear nieve con un empujador.</v>
      </c>
    </row>
    <row r="25881">
      <c r="A25881" s="4" t="s">
        <v>32578</v>
      </c>
      <c r="B25881" s="4" t="s">
        <v>32581</v>
      </c>
      <c r="C25881" s="5" t="str">
        <f>IFERROR(__xludf.DUMMYFUNCTION("GOOGLETRANSLATE(B25881,""en"",""es-ES"")"),"Vemos una pantalla de título.")</f>
        <v>Vemos una pantalla de título.</v>
      </c>
    </row>
    <row r="25882">
      <c r="A25882" s="4" t="s">
        <v>32578</v>
      </c>
      <c r="B25882" s="4" t="s">
        <v>32582</v>
      </c>
      <c r="C25882" s="5" t="str">
        <f>IFERROR(__xludf.DUMMYFUNCTION("GOOGLETRANSLATE(B25882,""en"",""es-ES"")"),"Nosotros, un hombre que arrebemos una pista de hielo con su pala.")</f>
        <v>Nosotros, un hombre que arrebemos una pista de hielo con su pala.</v>
      </c>
    </row>
    <row r="25883">
      <c r="A25883" s="4" t="s">
        <v>32578</v>
      </c>
      <c r="B25883" s="4" t="s">
        <v>32583</v>
      </c>
      <c r="C25883" s="5" t="str">
        <f>IFERROR(__xludf.DUMMYFUNCTION("GOOGLETRANSLATE(B25883,""en"",""es-ES"")"),"Luego vemos la pantalla del producto.")</f>
        <v>Luego vemos la pantalla del producto.</v>
      </c>
    </row>
    <row r="25884">
      <c r="A25884" s="4" t="s">
        <v>32578</v>
      </c>
      <c r="B25884" s="4" t="s">
        <v>27504</v>
      </c>
      <c r="C25884" s="5" t="str">
        <f>IFERROR(__xludf.DUMMYFUNCTION("GOOGLETRANSLATE(B25884,""en"",""es-ES"")"),"Vemos una pantalla de título de cierre.")</f>
        <v>Vemos una pantalla de título de cierre.</v>
      </c>
    </row>
    <row r="25885">
      <c r="A25885" s="4" t="s">
        <v>32584</v>
      </c>
      <c r="B25885" s="4" t="s">
        <v>32585</v>
      </c>
      <c r="C25885" s="5" t="str">
        <f>IFERROR(__xludf.DUMMYFUNCTION("GOOGLETRANSLATE(B25885,""en"",""es-ES"")"),"Una chica con una camisa azul sostiene un paquete de uñas falsas.")</f>
        <v>Una chica con una camisa azul sostiene un paquete de uñas falsas.</v>
      </c>
    </row>
    <row r="25886">
      <c r="A25886" s="4" t="s">
        <v>32584</v>
      </c>
      <c r="B25886" s="4" t="s">
        <v>32586</v>
      </c>
      <c r="C25886" s="5" t="str">
        <f>IFERROR(__xludf.DUMMYFUNCTION("GOOGLETRANSLATE(B25886,""en"",""es-ES"")"),"Ella los pega sobre las uñas de sus dedos.")</f>
        <v>Ella los pega sobre las uñas de sus dedos.</v>
      </c>
    </row>
    <row r="25887">
      <c r="A25887" s="4" t="s">
        <v>32584</v>
      </c>
      <c r="B25887" s="4" t="s">
        <v>32587</v>
      </c>
      <c r="C25887" s="5" t="str">
        <f>IFERROR(__xludf.DUMMYFUNCTION("GOOGLETRANSLATE(B25887,""en"",""es-ES"")"),"Ella está mostrando sus uñas de los dedos a la cámara.")</f>
        <v>Ella está mostrando sus uñas de los dedos a la cámara.</v>
      </c>
    </row>
    <row r="25888">
      <c r="A25888" s="4" t="s">
        <v>32588</v>
      </c>
      <c r="B25888" s="4" t="s">
        <v>32589</v>
      </c>
      <c r="C25888" s="5" t="str">
        <f>IFERROR(__xludf.DUMMYFUNCTION("GOOGLETRANSLATE(B25888,""en"",""es-ES"")"),"Un grupo de personas se paran frente a una mesa de blackjack.")</f>
        <v>Un grupo de personas se paran frente a una mesa de blackjack.</v>
      </c>
    </row>
    <row r="25889">
      <c r="A25889" s="4" t="s">
        <v>32588</v>
      </c>
      <c r="B25889" s="4" t="s">
        <v>32590</v>
      </c>
      <c r="C25889" s="5" t="str">
        <f>IFERROR(__xludf.DUMMYFUNCTION("GOOGLETRANSLATE(B25889,""en"",""es-ES"")"),"El asistente de blackjack coloca tarjetas en la mesa.")</f>
        <v>El asistente de blackjack coloca tarjetas en la mesa.</v>
      </c>
    </row>
    <row r="25890">
      <c r="A25890" s="4" t="s">
        <v>32591</v>
      </c>
      <c r="B25890" s="4" t="s">
        <v>32592</v>
      </c>
      <c r="C25890" s="5" t="str">
        <f>IFERROR(__xludf.DUMMYFUNCTION("GOOGLETRANSLATE(B25890,""en"",""es-ES"")"),"Se muestra que el líquido se vierte en un tazón, seguido de una persona cortando una piña y una manzana y mezcla en un tazón.")</f>
        <v>Se muestra que el líquido se vierte en un tazón, seguido de una persona cortando una piña y una manzana y mezcla en un tazón.</v>
      </c>
    </row>
    <row r="25891">
      <c r="A25891" s="4" t="s">
        <v>32591</v>
      </c>
      <c r="B25891" s="4" t="s">
        <v>32593</v>
      </c>
      <c r="C25891" s="5" t="str">
        <f>IFERROR(__xludf.DUMMYFUNCTION("GOOGLETRANSLATE(B25891,""en"",""es-ES"")"),"Luego, la persona corta más frutas y la agrega al tazón y lo mezcla para crear un tazón de frutas.")</f>
        <v>Luego, la persona corta más frutas y la agrega al tazón y lo mezcla para crear un tazón de frutas.</v>
      </c>
    </row>
    <row r="25892">
      <c r="A25892" s="4" t="s">
        <v>32594</v>
      </c>
      <c r="B25892" s="4" t="s">
        <v>32595</v>
      </c>
      <c r="C25892" s="5" t="str">
        <f>IFERROR(__xludf.DUMMYFUNCTION("GOOGLETRANSLATE(B25892,""en"",""es-ES"")"),"Una mujer está afuera en un gran campo verde hablando, sosteniendo un arco y una flecha frente a un papel blanco con un objetivo grande.")</f>
        <v>Una mujer está afuera en un gran campo verde hablando, sosteniendo un arco y una flecha frente a un papel blanco con un objetivo grande.</v>
      </c>
    </row>
    <row r="25893">
      <c r="A25893" s="4" t="s">
        <v>32594</v>
      </c>
      <c r="B25893" s="4" t="s">
        <v>32596</v>
      </c>
      <c r="C25893" s="5" t="str">
        <f>IFERROR(__xludf.DUMMYFUNCTION("GOOGLETRANSLATE(B25893,""en"",""es-ES"")"),"Antes de que ella comience, ensambla el arco en la flecha y golpea el tablero.")</f>
        <v>Antes de que ella comience, ensambla el arco en la flecha y golpea el tablero.</v>
      </c>
    </row>
    <row r="25894">
      <c r="A25894" s="4" t="s">
        <v>32594</v>
      </c>
      <c r="B25894" s="4" t="s">
        <v>32597</v>
      </c>
      <c r="C25894" s="5" t="str">
        <f>IFERROR(__xludf.DUMMYFUNCTION("GOOGLETRANSLATE(B25894,""en"",""es-ES"")"),"Luego demuestra la forma correcta de poner el arco en su vez más y cómo debe sostener la flecha antes de liberarla.")</f>
        <v>Luego demuestra la forma correcta de poner el arco en su vez más y cómo debe sostener la flecha antes de liberarla.</v>
      </c>
    </row>
    <row r="25895">
      <c r="A25895" s="4" t="s">
        <v>32594</v>
      </c>
      <c r="B25895" s="4" t="s">
        <v>32598</v>
      </c>
      <c r="C25895" s="5" t="str">
        <f>IFERROR(__xludf.DUMMYFUNCTION("GOOGLETRANSLATE(B25895,""en"",""es-ES"")"),"Después, se muestra una fila de personas y todas comienzan a disparar sus arcos y flechas.")</f>
        <v>Después, se muestra una fila de personas y todas comienzan a disparar sus arcos y flechas.</v>
      </c>
    </row>
    <row r="25896">
      <c r="A25896" s="4" t="s">
        <v>32599</v>
      </c>
      <c r="B25896" s="4" t="s">
        <v>32600</v>
      </c>
      <c r="C25896" s="5" t="str">
        <f>IFERROR(__xludf.DUMMYFUNCTION("GOOGLETRANSLATE(B25896,""en"",""es-ES"")"),"Un niño pequeño que lleva una sudadera con capucha azul y amarilla y pantalones de sudor grises de pie en una cancha de tenis al aire libre.")</f>
        <v>Un niño pequeño que lleva una sudadera con capucha azul y amarilla y pantalones de sudor grises de pie en una cancha de tenis al aire libre.</v>
      </c>
    </row>
    <row r="25897">
      <c r="A25897" s="4" t="s">
        <v>32599</v>
      </c>
      <c r="B25897" s="4" t="s">
        <v>32601</v>
      </c>
      <c r="C25897" s="5" t="str">
        <f>IFERROR(__xludf.DUMMYFUNCTION("GOOGLETRANSLATE(B25897,""en"",""es-ES"")"),"Está sosteniendo una raqueta azul mientras rebota en la bola de tenis amarilla y naranja en la cancha.")</f>
        <v>Está sosteniendo una raqueta azul mientras rebota en la bola de tenis amarilla y naranja en la cancha.</v>
      </c>
    </row>
    <row r="25898">
      <c r="A25898" s="4" t="s">
        <v>32599</v>
      </c>
      <c r="B25898" s="4" t="s">
        <v>32602</v>
      </c>
      <c r="C25898" s="5" t="str">
        <f>IFERROR(__xludf.DUMMYFUNCTION("GOOGLETRANSLATE(B25898,""en"",""es-ES"")"),"Comienza con su primer servicio donde la pelota golpea la red.")</f>
        <v>Comienza con su primer servicio donde la pelota golpea la red.</v>
      </c>
    </row>
    <row r="25899">
      <c r="A25899" s="4" t="s">
        <v>32599</v>
      </c>
      <c r="B25899" s="4" t="s">
        <v>32603</v>
      </c>
      <c r="C25899" s="5" t="str">
        <f>IFERROR(__xludf.DUMMYFUNCTION("GOOGLETRANSLATE(B25899,""en"",""es-ES"")"),"Luego toma otra pelota, la rebota y sirve de nuevo.")</f>
        <v>Luego toma otra pelota, la rebota y sirve de nuevo.</v>
      </c>
    </row>
    <row r="25900">
      <c r="A25900" s="4" t="s">
        <v>32599</v>
      </c>
      <c r="B25900" s="4" t="s">
        <v>32604</v>
      </c>
      <c r="C25900" s="5" t="str">
        <f>IFERROR(__xludf.DUMMYFUNCTION("GOOGLETRANSLATE(B25900,""en"",""es-ES"")"),"La pelota pasa por encima de la red y cae al otro lado de la cancha.")</f>
        <v>La pelota pasa por encima de la red y cae al otro lado de la cancha.</v>
      </c>
    </row>
    <row r="25901">
      <c r="A25901" s="4" t="s">
        <v>32599</v>
      </c>
      <c r="B25901" s="4" t="s">
        <v>32605</v>
      </c>
      <c r="C25901" s="5" t="str">
        <f>IFERROR(__xludf.DUMMYFUNCTION("GOOGLETRANSLATE(B25901,""en"",""es-ES"")"),"Obtiene otra pelota por tercera vez y la deja caer de sus manos mientras intenta servir.")</f>
        <v>Obtiene otra pelota por tercera vez y la deja caer de sus manos mientras intenta servir.</v>
      </c>
    </row>
    <row r="25902">
      <c r="A25902" s="4" t="s">
        <v>32606</v>
      </c>
      <c r="B25902" s="4" t="s">
        <v>32607</v>
      </c>
      <c r="C25902" s="5" t="str">
        <f>IFERROR(__xludf.DUMMYFUNCTION("GOOGLETRANSLATE(B25902,""en"",""es-ES"")"),"Una niña pequeña está en un juego de recompensas de Dart Park Dart.")</f>
        <v>Una niña pequeña está en un juego de recompensas de Dart Park Dart.</v>
      </c>
    </row>
    <row r="25903">
      <c r="A25903" s="4" t="s">
        <v>32606</v>
      </c>
      <c r="B25903" s="4" t="s">
        <v>32608</v>
      </c>
      <c r="C25903" s="5" t="str">
        <f>IFERROR(__xludf.DUMMYFUNCTION("GOOGLETRANSLATE(B25903,""en"",""es-ES"")"),"Una señora que trabaja en el stand viene y le pregunta cuántos dardos le gustaría usar, le da a la niña los dardos.")</f>
        <v>Una señora que trabaja en el stand viene y le pregunta cuántos dardos le gustaría usar, le da a la niña los dardos.</v>
      </c>
    </row>
    <row r="25904">
      <c r="A25904" s="4" t="s">
        <v>32606</v>
      </c>
      <c r="B25904" s="4" t="s">
        <v>32609</v>
      </c>
      <c r="C25904" s="5" t="str">
        <f>IFERROR(__xludf.DUMMYFUNCTION("GOOGLETRANSLATE(B25904,""en"",""es-ES"")"),"La niña comienza a lanzar dardos, solo puede golpear un globo, pide ayuda pero no lo entiende.")</f>
        <v>La niña comienza a lanzar dardos, solo puede golpear un globo, pide ayuda pero no lo entiende.</v>
      </c>
    </row>
    <row r="25905">
      <c r="A25905" s="4" t="s">
        <v>32610</v>
      </c>
      <c r="B25905" s="4" t="s">
        <v>32611</v>
      </c>
      <c r="C25905" s="5" t="str">
        <f>IFERROR(__xludf.DUMMYFUNCTION("GOOGLETRANSLATE(B25905,""en"",""es-ES"")"),"Vemos el título sobre un fondo negro.")</f>
        <v>Vemos el título sobre un fondo negro.</v>
      </c>
    </row>
    <row r="25906">
      <c r="A25906" s="4" t="s">
        <v>32610</v>
      </c>
      <c r="B25906" s="4" t="s">
        <v>32612</v>
      </c>
      <c r="C25906" s="5" t="str">
        <f>IFERROR(__xludf.DUMMYFUNCTION("GOOGLETRANSLATE(B25906,""en"",""es-ES"")"),"Vemos un cuchillo y afilador y un hombre que los sostiene.")</f>
        <v>Vemos un cuchillo y afilador y un hombre que los sostiene.</v>
      </c>
    </row>
    <row r="25907">
      <c r="A25907" s="4" t="s">
        <v>32610</v>
      </c>
      <c r="B25907" s="4" t="s">
        <v>32613</v>
      </c>
      <c r="C25907" s="5" t="str">
        <f>IFERROR(__xludf.DUMMYFUNCTION("GOOGLETRANSLATE(B25907,""en"",""es-ES"")"),"Vemos al hombre cortar un tomate y papel.")</f>
        <v>Vemos al hombre cortar un tomate y papel.</v>
      </c>
    </row>
    <row r="25908">
      <c r="A25908" s="4" t="s">
        <v>32610</v>
      </c>
      <c r="B25908" s="4" t="s">
        <v>32614</v>
      </c>
      <c r="C25908" s="5" t="str">
        <f>IFERROR(__xludf.DUMMYFUNCTION("GOOGLETRANSLATE(B25908,""en"",""es-ES"")"),"La persona usa un agudete y luego corta el tomate y el papel fácilmente.")</f>
        <v>La persona usa un agudete y luego corta el tomate y el papel fácilmente.</v>
      </c>
    </row>
    <row r="25909">
      <c r="A25909" s="4" t="s">
        <v>32610</v>
      </c>
      <c r="B25909" s="4" t="s">
        <v>32615</v>
      </c>
      <c r="C25909" s="5" t="str">
        <f>IFERROR(__xludf.DUMMYFUNCTION("GOOGLETRANSLATE(B25909,""en"",""es-ES"")"),"Agude un cuchillo diferente y corta un tomate y nos muestra el afilador.")</f>
        <v>Agude un cuchillo diferente y corta un tomate y nos muestra el afilador.</v>
      </c>
    </row>
    <row r="25910">
      <c r="A25910" s="4" t="s">
        <v>32610</v>
      </c>
      <c r="B25910" s="4" t="s">
        <v>19168</v>
      </c>
      <c r="C25910" s="5" t="str">
        <f>IFERROR(__xludf.DUMMYFUNCTION("GOOGLETRANSLATE(B25910,""en"",""es-ES"")"),"Vemos los créditos finales para el video.")</f>
        <v>Vemos los créditos finales para el video.</v>
      </c>
    </row>
    <row r="25911">
      <c r="A25911" s="4" t="s">
        <v>32616</v>
      </c>
      <c r="B25911" s="4" t="s">
        <v>32617</v>
      </c>
      <c r="C25911" s="5" t="str">
        <f>IFERROR(__xludf.DUMMYFUNCTION("GOOGLETRANSLATE(B25911,""en"",""es-ES"")"),"Un comercial que anuncia un cortador de calabaza, un cuchillo de calabaza y una luz de calabaza se muestra usando una familia de dos niños y una madre que prepara calabazas para la demostración.")</f>
        <v>Un comercial que anuncia un cortador de calabaza, un cuchillo de calabaza y una luz de calabaza se muestra usando una familia de dos niños y una madre que prepara calabazas para la demostración.</v>
      </c>
    </row>
    <row r="25912">
      <c r="A25912" s="4" t="s">
        <v>32616</v>
      </c>
      <c r="B25912" s="4" t="s">
        <v>32618</v>
      </c>
      <c r="C25912" s="5" t="str">
        <f>IFERROR(__xludf.DUMMYFUNCTION("GOOGLETRANSLATE(B25912,""en"",""es-ES"")"),"Se muestra un niño pequeño usando un cortador de calabaza para cortar caras en una calabaza.")</f>
        <v>Se muestra un niño pequeño usando un cortador de calabaza para cortar caras en una calabaza.</v>
      </c>
    </row>
    <row r="25913">
      <c r="A25913" s="4" t="s">
        <v>32616</v>
      </c>
      <c r="B25913" s="4" t="s">
        <v>32619</v>
      </c>
      <c r="C25913" s="5" t="str">
        <f>IFERROR(__xludf.DUMMYFUNCTION("GOOGLETRANSLATE(B25913,""en"",""es-ES"")"),"Luego se muestra al niño sacando una calabaza con una cucharada de calabaza.")</f>
        <v>Luego se muestra al niño sacando una calabaza con una cucharada de calabaza.</v>
      </c>
    </row>
    <row r="25914">
      <c r="A25914" s="4" t="s">
        <v>32616</v>
      </c>
      <c r="B25914" s="4" t="s">
        <v>32620</v>
      </c>
      <c r="C25914" s="5" t="str">
        <f>IFERROR(__xludf.DUMMYFUNCTION("GOOGLETRANSLATE(B25914,""en"",""es-ES"")"),"Luego se muestra a un niño colocando una luz de calabaza dentro de una calabaza cuando la madre se inclina y sonríe entre los dos niños y las calabazas terminadas que ahora tienen caras talladas con luces brillantes en el interior.")</f>
        <v>Luego se muestra a un niño colocando una luz de calabaza dentro de una calabaza cuando la madre se inclina y sonríe entre los dos niños y las calabazas terminadas que ahora tienen caras talladas con luces brillantes en el interior.</v>
      </c>
    </row>
    <row r="25915">
      <c r="A25915" s="4" t="s">
        <v>32621</v>
      </c>
      <c r="B25915" s="4" t="s">
        <v>32622</v>
      </c>
      <c r="C25915" s="5" t="str">
        <f>IFERROR(__xludf.DUMMYFUNCTION("GOOGLETRANSLATE(B25915,""en"",""es-ES"")"),"Se ve a docenas de personas montando una colina grande y polvorienta, mientras que la cámara se mueve alrededor de personas que montan en bicicletas de tierra.")</f>
        <v>Se ve a docenas de personas montando una colina grande y polvorienta, mientras que la cámara se mueve alrededor de personas que montan en bicicletas de tierra.</v>
      </c>
    </row>
    <row r="25916">
      <c r="A25916" s="4" t="s">
        <v>32621</v>
      </c>
      <c r="B25916" s="4" t="s">
        <v>32623</v>
      </c>
      <c r="C25916" s="5" t="str">
        <f>IFERROR(__xludf.DUMMYFUNCTION("GOOGLETRANSLATE(B25916,""en"",""es-ES"")"),"La gente viaja a lo largo del camino mientras varios otros miran a un lado y siguen a los jinetes mientras continúan viajando por la pista.")</f>
        <v>La gente viaja a lo largo del camino mientras varios otros miran a un lado y siguen a los jinetes mientras continúan viajando por la pista.</v>
      </c>
    </row>
    <row r="25917">
      <c r="A25917" s="4" t="s">
        <v>32624</v>
      </c>
      <c r="B25917" s="4" t="s">
        <v>32625</v>
      </c>
      <c r="C25917" s="5" t="str">
        <f>IFERROR(__xludf.DUMMYFUNCTION("GOOGLETRANSLATE(B25917,""en"",""es-ES"")"),"Un grupo de mujeres juega hockey sobre campo en un campo al aire libre cubierto de hierba.")</f>
        <v>Un grupo de mujeres juega hockey sobre campo en un campo al aire libre cubierto de hierba.</v>
      </c>
    </row>
    <row r="25918">
      <c r="A25918" s="4" t="s">
        <v>32624</v>
      </c>
      <c r="B25918" s="4" t="s">
        <v>32626</v>
      </c>
      <c r="C25918" s="5" t="str">
        <f>IFERROR(__xludf.DUMMYFUNCTION("GOOGLETRANSLATE(B25918,""en"",""es-ES"")"),"Las mujeres corren después de una bola blanca en el campo mientras sostienen palitos de hockey.")</f>
        <v>Las mujeres corren después de una bola blanca en el campo mientras sostienen palitos de hockey.</v>
      </c>
    </row>
    <row r="25919">
      <c r="A25919" s="4" t="s">
        <v>32624</v>
      </c>
      <c r="B25919" s="4" t="s">
        <v>32627</v>
      </c>
      <c r="C25919" s="5" t="str">
        <f>IFERROR(__xludf.DUMMYFUNCTION("GOOGLETRANSLATE(B25919,""en"",""es-ES"")"),"El equipo rojo y el equipo azul continúan jugando al hockey de campo mientras un árbitro observa y un guardia protege el gol.")</f>
        <v>El equipo rojo y el equipo azul continúan jugando al hockey de campo mientras un árbitro observa y un guardia protege el gol.</v>
      </c>
    </row>
    <row r="25920">
      <c r="A25920" s="4" t="s">
        <v>32628</v>
      </c>
      <c r="B25920" s="4" t="s">
        <v>32629</v>
      </c>
      <c r="C25920" s="5" t="str">
        <f>IFERROR(__xludf.DUMMYFUNCTION("GOOGLETRANSLATE(B25920,""en"",""es-ES"")"),"Algunos hombres están jugando al billar mientras los tres perros boxer miran.")</f>
        <v>Algunos hombres están jugando al billar mientras los tres perros boxer miran.</v>
      </c>
    </row>
    <row r="25921">
      <c r="A25921" s="4" t="s">
        <v>32628</v>
      </c>
      <c r="B25921" s="4" t="s">
        <v>32630</v>
      </c>
      <c r="C25921" s="5" t="str">
        <f>IFERROR(__xludf.DUMMYFUNCTION("GOOGLETRANSLATE(B25921,""en"",""es-ES"")"),"Los boxeadores se encuentran junto a la mesa de billar, tratando de tocar las bolas mientras se les dispara con las señales.")</f>
        <v>Los boxeadores se encuentran junto a la mesa de billar, tratando de tocar las bolas mientras se les dispara con las señales.</v>
      </c>
    </row>
    <row r="25922">
      <c r="A25922" s="4" t="s">
        <v>32631</v>
      </c>
      <c r="B25922" s="4" t="s">
        <v>32632</v>
      </c>
      <c r="C25922" s="5" t="str">
        <f>IFERROR(__xludf.DUMMYFUNCTION("GOOGLETRANSLATE(B25922,""en"",""es-ES"")"),"Un hombre coloca un temporizador en una mesa.")</f>
        <v>Un hombre coloca un temporizador en una mesa.</v>
      </c>
    </row>
    <row r="25923">
      <c r="A25923" s="4" t="s">
        <v>32631</v>
      </c>
      <c r="B25923" s="4" t="s">
        <v>32633</v>
      </c>
      <c r="C25923" s="5" t="str">
        <f>IFERROR(__xludf.DUMMYFUNCTION("GOOGLETRANSLATE(B25923,""en"",""es-ES"")"),"Luego trata de solucionar un rompecabezas de bloque de color.")</f>
        <v>Luego trata de solucionar un rompecabezas de bloque de color.</v>
      </c>
    </row>
    <row r="25924">
      <c r="A25924" s="4" t="s">
        <v>32631</v>
      </c>
      <c r="B25924" s="4" t="s">
        <v>32634</v>
      </c>
      <c r="C25924" s="5" t="str">
        <f>IFERROR(__xludf.DUMMYFUNCTION("GOOGLETRANSLATE(B25924,""en"",""es-ES"")"),"Termina el rompecabezas en solo un poco más de 8 segundos.")</f>
        <v>Termina el rompecabezas en solo un poco más de 8 segundos.</v>
      </c>
    </row>
    <row r="25925">
      <c r="A25925" s="4" t="s">
        <v>32635</v>
      </c>
      <c r="B25925" s="4" t="s">
        <v>32636</v>
      </c>
      <c r="C25925" s="5" t="str">
        <f>IFERROR(__xludf.DUMMYFUNCTION("GOOGLETRANSLATE(B25925,""en"",""es-ES"")"),"Una niña está de pie con un hula hoop en la mano.")</f>
        <v>Una niña está de pie con un hula hoop en la mano.</v>
      </c>
    </row>
    <row r="25926">
      <c r="A25926" s="4" t="s">
        <v>32635</v>
      </c>
      <c r="B25926" s="4" t="s">
        <v>32637</v>
      </c>
      <c r="C25926" s="5" t="str">
        <f>IFERROR(__xludf.DUMMYFUNCTION("GOOGLETRANSLATE(B25926,""en"",""es-ES"")"),"La niña habla con la cámara.")</f>
        <v>La niña habla con la cámara.</v>
      </c>
    </row>
    <row r="25927">
      <c r="A25927" s="4" t="s">
        <v>32635</v>
      </c>
      <c r="B25927" s="4" t="s">
        <v>32638</v>
      </c>
      <c r="C25927" s="5" t="str">
        <f>IFERROR(__xludf.DUMMYFUNCTION("GOOGLETRANSLATE(B25927,""en"",""es-ES"")"),"La niña demuestra el hula hoop.")</f>
        <v>La niña demuestra el hula hoop.</v>
      </c>
    </row>
    <row r="25928">
      <c r="A25928" s="4" t="s">
        <v>32635</v>
      </c>
      <c r="B25928" s="4" t="s">
        <v>32639</v>
      </c>
      <c r="C25928" s="5" t="str">
        <f>IFERROR(__xludf.DUMMYFUNCTION("GOOGLETRANSLATE(B25928,""en"",""es-ES"")"),"La niña deja caer el hula hoop y posa.")</f>
        <v>La niña deja caer el hula hoop y posa.</v>
      </c>
    </row>
    <row r="25929">
      <c r="A25929" s="4" t="s">
        <v>32640</v>
      </c>
      <c r="B25929" s="4" t="s">
        <v>32641</v>
      </c>
      <c r="C25929" s="5" t="str">
        <f>IFERROR(__xludf.DUMMYFUNCTION("GOOGLETRANSLATE(B25929,""en"",""es-ES"")"),"Una línea de ciclistas se prepara para una carrera de bicicletas de tierra.")</f>
        <v>Una línea de ciclistas se prepara para una carrera de bicicletas de tierra.</v>
      </c>
    </row>
    <row r="25930">
      <c r="A25930" s="4" t="s">
        <v>32640</v>
      </c>
      <c r="B25930" s="4" t="s">
        <v>32642</v>
      </c>
      <c r="C25930" s="5" t="str">
        <f>IFERROR(__xludf.DUMMYFUNCTION("GOOGLETRANSLATE(B25930,""en"",""es-ES"")"),"Salen, corriendo sobre colinas y alrededor de esquinas afiladas, algunos caen de sus bicicletas y lo patean enojado.")</f>
        <v>Salen, corriendo sobre colinas y alrededor de esquinas afiladas, algunos caen de sus bicicletas y lo patean enojado.</v>
      </c>
    </row>
    <row r="25931">
      <c r="A25931" s="4" t="s">
        <v>32643</v>
      </c>
      <c r="B25931" s="4" t="s">
        <v>32644</v>
      </c>
      <c r="C25931" s="5" t="str">
        <f>IFERROR(__xludf.DUMMYFUNCTION("GOOGLETRANSLATE(B25931,""en"",""es-ES"")"),"Un niño se sienta en una habitación y habla con una cámara mientras sostiene una demostración de cómo usar un cigarrillo electrónico.")</f>
        <v>Un niño se sienta en una habitación y habla con una cámara mientras sostiene una demostración de cómo usar un cigarrillo electrónico.</v>
      </c>
    </row>
    <row r="25932">
      <c r="A25932" s="4" t="s">
        <v>32643</v>
      </c>
      <c r="B25932" s="4" t="s">
        <v>32645</v>
      </c>
      <c r="C25932" s="5" t="str">
        <f>IFERROR(__xludf.DUMMYFUNCTION("GOOGLETRANSLATE(B25932,""en"",""es-ES"")"),"El niño desenrosca el cigarrillo para revelar el mecanismo interno.")</f>
        <v>El niño desenrosca el cigarrillo para revelar el mecanismo interno.</v>
      </c>
    </row>
    <row r="25933">
      <c r="A25933" s="4" t="s">
        <v>32643</v>
      </c>
      <c r="B25933" s="4" t="s">
        <v>32646</v>
      </c>
      <c r="C25933" s="5" t="str">
        <f>IFERROR(__xludf.DUMMYFUNCTION("GOOGLETRANSLATE(B25933,""en"",""es-ES"")"),"El niño vuelve a armar el cigarrillo y comienza a fumarlo mientras una mujer camina en el fondo, y luego continúa hablando con la cámara.")</f>
        <v>El niño vuelve a armar el cigarrillo y comienza a fumarlo mientras una mujer camina en el fondo, y luego continúa hablando con la cámara.</v>
      </c>
    </row>
    <row r="25934">
      <c r="A25934" s="4" t="s">
        <v>32647</v>
      </c>
      <c r="B25934" s="4" t="s">
        <v>32648</v>
      </c>
      <c r="C25934" s="5" t="str">
        <f>IFERROR(__xludf.DUMMYFUNCTION("GOOGLETRANSLATE(B25934,""en"",""es-ES"")"),"Se muestran los primeros planos de tela y conduce a un hombre que los pone en una pared y una mujer que habla con un gran de los hombres.")</f>
        <v>Se muestran los primeros planos de tela y conduce a un hombre que los pone en una pared y una mujer que habla con un gran de los hombres.</v>
      </c>
    </row>
    <row r="25935">
      <c r="A25935" s="4" t="s">
        <v>32647</v>
      </c>
      <c r="B25935" s="4" t="s">
        <v>32649</v>
      </c>
      <c r="C25935" s="5" t="str">
        <f>IFERROR(__xludf.DUMMYFUNCTION("GOOGLETRANSLATE(B25935,""en"",""es-ES"")"),"Una persona presenta papel en una mesa y muestra a los hombres cómo poner el papel tapiz.")</f>
        <v>Una persona presenta papel en una mesa y muestra a los hombres cómo poner el papel tapiz.</v>
      </c>
    </row>
    <row r="25936">
      <c r="A25936" s="4" t="s">
        <v>32647</v>
      </c>
      <c r="B25936" s="4" t="s">
        <v>32650</v>
      </c>
      <c r="C25936" s="5" t="str">
        <f>IFERROR(__xludf.DUMMYFUNCTION("GOOGLETRANSLATE(B25936,""en"",""es-ES"")"),"Luego, un hombre habla con la cámara y termina con la presentación de información y el hombre deja más papel.")</f>
        <v>Luego, un hombre habla con la cámara y termina con la presentación de información y el hombre deja más papel.</v>
      </c>
    </row>
    <row r="25937">
      <c r="A25937" s="4" t="s">
        <v>32651</v>
      </c>
      <c r="B25937" s="4" t="s">
        <v>32652</v>
      </c>
      <c r="C25937" s="5" t="str">
        <f>IFERROR(__xludf.DUMMYFUNCTION("GOOGLETRANSLATE(B25937,""en"",""es-ES"")"),"Se ve a una mujer atlética de pie en un círculo que se mueve en cámara lenta sosteniendo una discusión.")</f>
        <v>Se ve a una mujer atlética de pie en un círculo que se mueve en cámara lenta sosteniendo una discusión.</v>
      </c>
    </row>
    <row r="25938">
      <c r="A25938" s="4" t="s">
        <v>32651</v>
      </c>
      <c r="B25938" s="4" t="s">
        <v>32653</v>
      </c>
      <c r="C25938" s="5" t="str">
        <f>IFERROR(__xludf.DUMMYFUNCTION("GOOGLETRANSLATE(B25938,""en"",""es-ES"")"),"Luego se gira mientras sostiene el objeto y luego lo tira de la distancia.")</f>
        <v>Luego se gira mientras sostiene el objeto y luego lo tira de la distancia.</v>
      </c>
    </row>
    <row r="25939">
      <c r="A25939" s="4" t="s">
        <v>32654</v>
      </c>
      <c r="B25939" s="4" t="s">
        <v>32655</v>
      </c>
      <c r="C25939" s="5" t="str">
        <f>IFERROR(__xludf.DUMMYFUNCTION("GOOGLETRANSLATE(B25939,""en"",""es-ES"")"),"Un hombre con camisa gris está sentada en una silla.")</f>
        <v>Un hombre con camisa gris está sentada en una silla.</v>
      </c>
    </row>
    <row r="25940">
      <c r="A25940" s="4" t="s">
        <v>32654</v>
      </c>
      <c r="B25940" s="4" t="s">
        <v>32656</v>
      </c>
      <c r="C25940" s="5" t="str">
        <f>IFERROR(__xludf.DUMMYFUNCTION("GOOGLETRANSLATE(B25940,""en"",""es-ES"")"),"El hombre apunta un lienzo vacío con su cepillo mientras continúa hablando.")</f>
        <v>El hombre apunta un lienzo vacío con su cepillo mientras continúa hablando.</v>
      </c>
    </row>
    <row r="25941">
      <c r="A25941" s="4" t="s">
        <v>32654</v>
      </c>
      <c r="B25941" s="4" t="s">
        <v>32657</v>
      </c>
      <c r="C25941" s="5" t="str">
        <f>IFERROR(__xludf.DUMMYFUNCTION("GOOGLETRANSLATE(B25941,""en"",""es-ES"")"),"El hombre extiende su cepillo, sumerge el cepillo en los colores y comenzó a pintar en el lienzo más grande.")</f>
        <v>El hombre extiende su cepillo, sumerge el cepillo en los colores y comenzó a pintar en el lienzo más grande.</v>
      </c>
    </row>
    <row r="25942">
      <c r="A25942" s="4" t="s">
        <v>32658</v>
      </c>
      <c r="B25942" s="4" t="s">
        <v>32659</v>
      </c>
      <c r="C25942" s="5" t="str">
        <f>IFERROR(__xludf.DUMMYFUNCTION("GOOGLETRANSLATE(B25942,""en"",""es-ES"")"),"Se ve a una mujer sonriendo y hablando con la cámara.")</f>
        <v>Se ve a una mujer sonriendo y hablando con la cámara.</v>
      </c>
    </row>
    <row r="25943">
      <c r="A25943" s="4" t="s">
        <v>32658</v>
      </c>
      <c r="B25943" s="4" t="s">
        <v>32660</v>
      </c>
      <c r="C25943" s="5" t="str">
        <f>IFERROR(__xludf.DUMMYFUNCTION("GOOGLETRANSLATE(B25943,""en"",""es-ES"")"),"Se ve a otro hombre sentado detrás de ella con otro hombre al frente.")</f>
        <v>Se ve a otro hombre sentado detrás de ella con otro hombre al frente.</v>
      </c>
    </row>
    <row r="25944">
      <c r="A25944" s="4" t="s">
        <v>32658</v>
      </c>
      <c r="B25944" s="4" t="s">
        <v>32661</v>
      </c>
      <c r="C25944" s="5" t="str">
        <f>IFERROR(__xludf.DUMMYFUNCTION("GOOGLETRANSLATE(B25944,""en"",""es-ES"")"),"La mujer continúa hablando mientras el hombre en el frente limpia los zapatos del otro.")</f>
        <v>La mujer continúa hablando mientras el hombre en el frente limpia los zapatos del otro.</v>
      </c>
    </row>
    <row r="25945">
      <c r="A25945" s="4" t="s">
        <v>32662</v>
      </c>
      <c r="B25945" s="4" t="s">
        <v>32663</v>
      </c>
      <c r="C25945" s="5" t="str">
        <f>IFERROR(__xludf.DUMMYFUNCTION("GOOGLETRANSLATE(B25945,""en"",""es-ES"")"),"La gente juega fútbol en una arena interior.")</f>
        <v>La gente juega fútbol en una arena interior.</v>
      </c>
    </row>
    <row r="25946">
      <c r="A25946" s="4" t="s">
        <v>32662</v>
      </c>
      <c r="B25946" s="4" t="s">
        <v>32664</v>
      </c>
      <c r="C25946" s="5" t="str">
        <f>IFERROR(__xludf.DUMMYFUNCTION("GOOGLETRANSLATE(B25946,""en"",""es-ES"")"),"Disparan y hacen un gol en la red.")</f>
        <v>Disparan y hacen un gol en la red.</v>
      </c>
    </row>
    <row r="25947">
      <c r="A25947" s="4" t="s">
        <v>32662</v>
      </c>
      <c r="B25947" s="4" t="s">
        <v>32665</v>
      </c>
      <c r="C25947" s="5" t="str">
        <f>IFERROR(__xludf.DUMMYFUNCTION("GOOGLETRANSLATE(B25947,""en"",""es-ES"")"),"Los jugadores se abrazan en la cancha.")</f>
        <v>Los jugadores se abrazan en la cancha.</v>
      </c>
    </row>
    <row r="25948">
      <c r="A25948" s="4" t="s">
        <v>32666</v>
      </c>
      <c r="B25948" s="4" t="s">
        <v>32667</v>
      </c>
      <c r="C25948" s="5" t="str">
        <f>IFERROR(__xludf.DUMMYFUNCTION("GOOGLETRANSLATE(B25948,""en"",""es-ES"")"),"Una persona pule un zapato con un dedo envuelto.")</f>
        <v>Una persona pule un zapato con un dedo envuelto.</v>
      </c>
    </row>
    <row r="25949">
      <c r="A25949" s="4" t="s">
        <v>32666</v>
      </c>
      <c r="B25949" s="4" t="s">
        <v>32668</v>
      </c>
      <c r="C25949" s="5" t="str">
        <f>IFERROR(__xludf.DUMMYFUNCTION("GOOGLETRANSLATE(B25949,""en"",""es-ES"")"),"Luego, la persona agarra la pasta de polaco y el agua para pulir el zapato.")</f>
        <v>Luego, la persona agarra la pasta de polaco y el agua para pulir el zapato.</v>
      </c>
    </row>
    <row r="25950">
      <c r="A25950" s="4" t="s">
        <v>32666</v>
      </c>
      <c r="B25950" s="4" t="s">
        <v>32669</v>
      </c>
      <c r="C25950" s="5" t="str">
        <f>IFERROR(__xludf.DUMMYFUNCTION("GOOGLETRANSLATE(B25950,""en"",""es-ES"")"),"Después, la persona puso una gota de agua en el zapato y continúa puliendo.")</f>
        <v>Después, la persona puso una gota de agua en el zapato y continúa puliendo.</v>
      </c>
    </row>
    <row r="25951">
      <c r="A25951" s="4" t="s">
        <v>32670</v>
      </c>
      <c r="B25951" s="4" t="s">
        <v>32671</v>
      </c>
      <c r="C25951" s="5" t="str">
        <f>IFERROR(__xludf.DUMMYFUNCTION("GOOGLETRANSLATE(B25951,""en"",""es-ES"")"),"Los regalos envueltos se muestran alineados.")</f>
        <v>Los regalos envueltos se muestran alineados.</v>
      </c>
    </row>
    <row r="25952">
      <c r="A25952" s="4" t="s">
        <v>32670</v>
      </c>
      <c r="B25952" s="4" t="s">
        <v>32672</v>
      </c>
      <c r="C25952" s="5" t="str">
        <f>IFERROR(__xludf.DUMMYFUNCTION("GOOGLETRANSLATE(B25952,""en"",""es-ES"")"),"Una persona está desplegando papel de envoltura y usando una regla para mantenerlo presionado.")</f>
        <v>Una persona está desplegando papel de envoltura y usando una regla para mantenerlo presionado.</v>
      </c>
    </row>
    <row r="25953">
      <c r="A25953" s="4" t="s">
        <v>32670</v>
      </c>
      <c r="B25953" s="4" t="s">
        <v>32673</v>
      </c>
      <c r="C25953" s="5" t="str">
        <f>IFERROR(__xludf.DUMMYFUNCTION("GOOGLETRANSLATE(B25953,""en"",""es-ES"")"),"Una caja se establece en la parte superior del papel de envoltura.")</f>
        <v>Una caja se establece en la parte superior del papel de envoltura.</v>
      </c>
    </row>
    <row r="25954">
      <c r="A25954" s="4" t="s">
        <v>32670</v>
      </c>
      <c r="B25954" s="4" t="s">
        <v>32674</v>
      </c>
      <c r="C25954" s="5" t="str">
        <f>IFERROR(__xludf.DUMMYFUNCTION("GOOGLETRANSLATE(B25954,""en"",""es-ES"")"),"La persona comienza a envolver el presente.")</f>
        <v>La persona comienza a envolver el presente.</v>
      </c>
    </row>
    <row r="25955">
      <c r="A25955" s="4" t="s">
        <v>32670</v>
      </c>
      <c r="B25955" s="4" t="s">
        <v>32675</v>
      </c>
      <c r="C25955" s="5" t="str">
        <f>IFERROR(__xludf.DUMMYFUNCTION("GOOGLETRANSLATE(B25955,""en"",""es-ES"")"),"Están cortando el papel.")</f>
        <v>Están cortando el papel.</v>
      </c>
    </row>
    <row r="25956">
      <c r="A25956" s="4" t="s">
        <v>32670</v>
      </c>
      <c r="B25956" s="4" t="s">
        <v>32676</v>
      </c>
      <c r="C25956" s="5" t="str">
        <f>IFERROR(__xludf.DUMMYFUNCTION("GOOGLETRANSLATE(B25956,""en"",""es-ES"")"),"Continúan envolviendo el presente.")</f>
        <v>Continúan envolviendo el presente.</v>
      </c>
    </row>
    <row r="25957">
      <c r="A25957" s="4" t="s">
        <v>32670</v>
      </c>
      <c r="B25957" s="4" t="s">
        <v>32677</v>
      </c>
      <c r="C25957" s="5" t="str">
        <f>IFERROR(__xludf.DUMMYFUNCTION("GOOGLETRANSLATE(B25957,""en"",""es-ES"")"),"Usan cinta adhesiva para sostener el papel.")</f>
        <v>Usan cinta adhesiva para sostener el papel.</v>
      </c>
    </row>
    <row r="25958">
      <c r="A25958" s="4" t="s">
        <v>32670</v>
      </c>
      <c r="B25958" s="4" t="s">
        <v>32678</v>
      </c>
      <c r="C25958" s="5" t="str">
        <f>IFERROR(__xludf.DUMMYFUNCTION("GOOGLETRANSLATE(B25958,""en"",""es-ES"")"),"Doblan papel de seda para envolver el centro de la caja.")</f>
        <v>Doblan papel de seda para envolver el centro de la caja.</v>
      </c>
    </row>
    <row r="25959">
      <c r="A25959" s="4" t="s">
        <v>32670</v>
      </c>
      <c r="B25959" s="4" t="s">
        <v>32679</v>
      </c>
      <c r="C25959" s="5" t="str">
        <f>IFERROR(__xludf.DUMMYFUNCTION("GOOGLETRANSLATE(B25959,""en"",""es-ES"")"),"Envuelven la cinta de curling alrededor de la caja y la atan en un arco.")</f>
        <v>Envuelven la cinta de curling alrededor de la caja y la atan en un arco.</v>
      </c>
    </row>
    <row r="25960">
      <c r="A25960" s="4" t="s">
        <v>32670</v>
      </c>
      <c r="B25960" s="4" t="s">
        <v>32680</v>
      </c>
      <c r="C25960" s="5" t="str">
        <f>IFERROR(__xludf.DUMMYFUNCTION("GOOGLETRANSLATE(B25960,""en"",""es-ES"")"),"Usar las tijeras para rizar los extremos del arco.")</f>
        <v>Usar las tijeras para rizar los extremos del arco.</v>
      </c>
    </row>
    <row r="25961">
      <c r="A25961" s="4" t="s">
        <v>32670</v>
      </c>
      <c r="B25961" s="4" t="s">
        <v>32681</v>
      </c>
      <c r="C25961" s="5" t="str">
        <f>IFERROR(__xludf.DUMMYFUNCTION("GOOGLETRANSLATE(B25961,""en"",""es-ES"")"),"Pegan una flor de plata en el presente.")</f>
        <v>Pegan una flor de plata en el presente.</v>
      </c>
    </row>
    <row r="25962">
      <c r="A25962" s="4" t="s">
        <v>32682</v>
      </c>
      <c r="B25962" s="4" t="s">
        <v>32683</v>
      </c>
      <c r="C25962" s="5" t="str">
        <f>IFERROR(__xludf.DUMMYFUNCTION("GOOGLETRANSLATE(B25962,""en"",""es-ES"")"),"Este es un video para consejos de lucha libre de brazos.")</f>
        <v>Este es un video para consejos de lucha libre de brazos.</v>
      </c>
    </row>
    <row r="25963">
      <c r="A25963" s="4" t="s">
        <v>32682</v>
      </c>
      <c r="B25963" s="4" t="s">
        <v>32684</v>
      </c>
      <c r="C25963" s="5" t="str">
        <f>IFERROR(__xludf.DUMMYFUNCTION("GOOGLETRANSLATE(B25963,""en"",""es-ES"")"),"Se muestra una pantalla con subtítulos que describe el video.")</f>
        <v>Se muestra una pantalla con subtítulos que describe el video.</v>
      </c>
    </row>
    <row r="25964">
      <c r="A25964" s="4" t="s">
        <v>32682</v>
      </c>
      <c r="B25964" s="4" t="s">
        <v>32685</v>
      </c>
      <c r="C25964" s="5" t="str">
        <f>IFERROR(__xludf.DUMMYFUNCTION("GOOGLETRANSLATE(B25964,""en"",""es-ES"")"),"Hay dos hombres en una mesa de lucha libre. .")</f>
        <v>Hay dos hombres en una mesa de lucha libre. .</v>
      </c>
    </row>
    <row r="25965">
      <c r="A25965" s="4" t="s">
        <v>32682</v>
      </c>
      <c r="B25965" s="4" t="s">
        <v>32686</v>
      </c>
      <c r="C25965" s="5" t="str">
        <f>IFERROR(__xludf.DUMMYFUNCTION("GOOGLETRANSLATE(B25965,""en"",""es-ES"")"),"Aparece otra pantalla negra con subtítulos.")</f>
        <v>Aparece otra pantalla negra con subtítulos.</v>
      </c>
    </row>
    <row r="25966">
      <c r="A25966" s="4" t="s">
        <v>32682</v>
      </c>
      <c r="B25966" s="4" t="s">
        <v>32687</v>
      </c>
      <c r="C25966" s="5" t="str">
        <f>IFERROR(__xludf.DUMMYFUNCTION("GOOGLETRANSLATE(B25966,""en"",""es-ES"")"),"El hombre de la camiseta blanca muestra varias formas de pararse durante un combate de lucha libre con ambos pies en el suelo y envolver una pierna alrededor de la mesa de la lucha libre del brazo.")</f>
        <v>El hombre de la camiseta blanca muestra varias formas de pararse durante un combate de lucha libre con ambos pies en el suelo y envolver una pierna alrededor de la mesa de la lucha libre del brazo.</v>
      </c>
    </row>
    <row r="25967">
      <c r="A25967" s="4" t="s">
        <v>32682</v>
      </c>
      <c r="B25967" s="4" t="s">
        <v>32688</v>
      </c>
      <c r="C25967" s="5" t="str">
        <f>IFERROR(__xludf.DUMMYFUNCTION("GOOGLETRANSLATE(B25967,""en"",""es-ES"")"),"Otra pantalla negra aparece con subtítulos sobre encontrar clubes de lucha de brazos.")</f>
        <v>Otra pantalla negra aparece con subtítulos sobre encontrar clubes de lucha de brazos.</v>
      </c>
    </row>
    <row r="25968">
      <c r="A25968" s="4" t="s">
        <v>32682</v>
      </c>
      <c r="B25968" s="4" t="s">
        <v>32689</v>
      </c>
      <c r="C25968" s="5" t="str">
        <f>IFERROR(__xludf.DUMMYFUNCTION("GOOGLETRANSLATE(B25968,""en"",""es-ES"")"),"El hombre en las gafas mientras todavía está en la mesa de la lucha libre con el otro hombre ofrece una dirección de sitio web y sitios de redes sociales.")</f>
        <v>El hombre en las gafas mientras todavía está en la mesa de la lucha libre con el otro hombre ofrece una dirección de sitio web y sitios de redes sociales.</v>
      </c>
    </row>
    <row r="25969">
      <c r="A25969" s="4" t="s">
        <v>32682</v>
      </c>
      <c r="B25969" s="4" t="s">
        <v>32690</v>
      </c>
      <c r="C25969" s="5" t="str">
        <f>IFERROR(__xludf.DUMMYFUNCTION("GOOGLETRANSLATE(B25969,""en"",""es-ES"")"),"La pantalla se vuelve negra y hay créditos rodados seguidos de un nombre de empresa.")</f>
        <v>La pantalla se vuelve negra y hay créditos rodados seguidos de un nombre de empresa.</v>
      </c>
    </row>
    <row r="25970">
      <c r="A25970" s="4" t="s">
        <v>32691</v>
      </c>
      <c r="B25970" s="4" t="s">
        <v>32692</v>
      </c>
      <c r="C25970" s="5" t="str">
        <f>IFERROR(__xludf.DUMMYFUNCTION("GOOGLETRANSLATE(B25970,""en"",""es-ES"")"),"Un hombre calvo está hablando y dos fotos de un hombre joven con bonitos flashes de cabello en la pantalla.")</f>
        <v>Un hombre calvo está hablando y dos fotos de un hombre joven con bonitos flashes de cabello en la pantalla.</v>
      </c>
    </row>
    <row r="25971">
      <c r="A25971" s="4" t="s">
        <v>32691</v>
      </c>
      <c r="B25971" s="4" t="s">
        <v>32693</v>
      </c>
      <c r="C25971" s="5" t="str">
        <f>IFERROR(__xludf.DUMMYFUNCTION("GOOGLETRANSLATE(B25971,""en"",""es-ES"")"),"Luego, el hombre comienza a trabajar con una cabeza de maniquí que tiene un peinado similar al niño en las imágenes y muestra cómo se logró el corte de pelo mientras zumbaba, corta, peinaba y peina los dedos.")</f>
        <v>Luego, el hombre comienza a trabajar con una cabeza de maniquí que tiene un peinado similar al niño en las imágenes y muestra cómo se logró el corte de pelo mientras zumbaba, corta, peinaba y peina los dedos.</v>
      </c>
    </row>
    <row r="25972">
      <c r="A25972" s="4" t="s">
        <v>32691</v>
      </c>
      <c r="B25972" s="4" t="s">
        <v>32694</v>
      </c>
      <c r="C25972" s="5" t="str">
        <f>IFERROR(__xludf.DUMMYFUNCTION("GOOGLETRANSLATE(B25972,""en"",""es-ES"")"),"Aparece una pantalla negra con letras blancas y leen ""¡Gracias por Wathing! ¡Por favor, suscríbete!"".")</f>
        <v>Aparece una pantalla negra con letras blancas y leen "¡Gracias por Wathing! ¡Por favor, suscríbete!".</v>
      </c>
    </row>
    <row r="25973">
      <c r="A25973" s="4" t="s">
        <v>32695</v>
      </c>
      <c r="B25973" s="4" t="s">
        <v>32696</v>
      </c>
      <c r="C25973" s="5" t="str">
        <f>IFERROR(__xludf.DUMMYFUNCTION("GOOGLETRANSLATE(B25973,""en"",""es-ES"")"),"Un hombre mayor pasa una pelota a un grupo de niños pequeños y finalmente patea la pelota.")</f>
        <v>Un hombre mayor pasa una pelota a un grupo de niños pequeños y finalmente patea la pelota.</v>
      </c>
    </row>
    <row r="25974">
      <c r="A25974" s="4" t="s">
        <v>32695</v>
      </c>
      <c r="B25974" s="4" t="s">
        <v>32697</v>
      </c>
      <c r="C25974" s="5" t="str">
        <f>IFERROR(__xludf.DUMMYFUNCTION("GOOGLETRANSLATE(B25974,""en"",""es-ES"")"),"El hombre corre mientras otros niños corren y corre hasta el plato.")</f>
        <v>El hombre corre mientras otros niños corren y corre hasta el plato.</v>
      </c>
    </row>
    <row r="25975">
      <c r="A25975" s="4" t="s">
        <v>32695</v>
      </c>
      <c r="B25975" s="4" t="s">
        <v>32698</v>
      </c>
      <c r="C25975" s="5" t="str">
        <f>IFERROR(__xludf.DUMMYFUNCTION("GOOGLETRANSLATE(B25975,""en"",""es-ES"")"),"Una mujer corre frente a la base con la pelota y el hombre se tropieza con ella.")</f>
        <v>Una mujer corre frente a la base con la pelota y el hombre se tropieza con ella.</v>
      </c>
    </row>
    <row r="25976">
      <c r="A25976" s="4" t="s">
        <v>32695</v>
      </c>
      <c r="B25976" s="4" t="s">
        <v>32699</v>
      </c>
      <c r="C25976" s="5" t="str">
        <f>IFERROR(__xludf.DUMMYFUNCTION("GOOGLETRANSLATE(B25976,""en"",""es-ES"")"),"Él la ayuda a levantarse como ambos.")</f>
        <v>Él la ayuda a levantarse como ambos.</v>
      </c>
    </row>
    <row r="25977">
      <c r="A25977" s="4" t="s">
        <v>32700</v>
      </c>
      <c r="B25977" s="4" t="s">
        <v>32701</v>
      </c>
      <c r="C25977" s="5" t="str">
        <f>IFERROR(__xludf.DUMMYFUNCTION("GOOGLETRANSLATE(B25977,""en"",""es-ES"")"),"Los vaqueros compiten en una competencia de rodeo.")</f>
        <v>Los vaqueros compiten en una competencia de rodeo.</v>
      </c>
    </row>
    <row r="25978">
      <c r="A25978" s="4" t="s">
        <v>32700</v>
      </c>
      <c r="B25978" s="4" t="s">
        <v>32702</v>
      </c>
      <c r="C25978" s="5" t="str">
        <f>IFERROR(__xludf.DUMMYFUNCTION("GOOGLETRANSLATE(B25978,""en"",""es-ES"")"),"Los hombres salen a los caballos de una puertas y cuerdas de un toro antes de desmontar y atar sus piernas.")</f>
        <v>Los hombres salen a los caballos de una puertas y cuerdas de un toro antes de desmontar y atar sus piernas.</v>
      </c>
    </row>
    <row r="25979">
      <c r="A25979" s="4" t="s">
        <v>32700</v>
      </c>
      <c r="B25979" s="4" t="s">
        <v>32703</v>
      </c>
      <c r="C25979" s="5" t="str">
        <f>IFERROR(__xludf.DUMMYFUNCTION("GOOGLETRANSLATE(B25979,""en"",""es-ES"")"),"El ganador agita su sombrero y los otros jinetes felicitan.")</f>
        <v>El ganador agita su sombrero y los otros jinetes felicitan.</v>
      </c>
    </row>
    <row r="25980">
      <c r="A25980" s="4" t="s">
        <v>32704</v>
      </c>
      <c r="B25980" s="4" t="s">
        <v>32705</v>
      </c>
      <c r="C25980" s="5" t="str">
        <f>IFERROR(__xludf.DUMMYFUNCTION("GOOGLETRANSLATE(B25980,""en"",""es-ES"")"),"Un hombre habla con la cámara mientras está sentado en una batería mientras otro hombre toca la batería en el fondo.")</f>
        <v>Un hombre habla con la cámara mientras está sentado en una batería mientras otro hombre toca la batería en el fondo.</v>
      </c>
    </row>
    <row r="25981">
      <c r="A25981" s="4" t="s">
        <v>32704</v>
      </c>
      <c r="B25981" s="4" t="s">
        <v>32706</v>
      </c>
      <c r="C25981" s="5" t="str">
        <f>IFERROR(__xludf.DUMMYFUNCTION("GOOGLETRANSLATE(B25981,""en"",""es-ES"")"),"El primer hombre toca la batería.")</f>
        <v>El primer hombre toca la batería.</v>
      </c>
    </row>
    <row r="25982">
      <c r="A25982" s="4" t="s">
        <v>32704</v>
      </c>
      <c r="B25982" s="4" t="s">
        <v>32707</v>
      </c>
      <c r="C25982" s="5" t="str">
        <f>IFERROR(__xludf.DUMMYFUNCTION("GOOGLETRANSLATE(B25982,""en"",""es-ES"")"),"El primer hombre deja de jugar y se vuelve hacia la cámara.")</f>
        <v>El primer hombre deja de jugar y se vuelve hacia la cámara.</v>
      </c>
    </row>
    <row r="25983">
      <c r="A25983" s="4" t="s">
        <v>32708</v>
      </c>
      <c r="B25983" s="4" t="s">
        <v>32709</v>
      </c>
      <c r="C25983" s="5" t="str">
        <f>IFERROR(__xludf.DUMMYFUNCTION("GOOGLETRANSLATE(B25983,""en"",""es-ES"")"),"Vemos la pantalla de apertura blanca.")</f>
        <v>Vemos la pantalla de apertura blanca.</v>
      </c>
    </row>
    <row r="25984">
      <c r="A25984" s="4" t="s">
        <v>32708</v>
      </c>
      <c r="B25984" s="4" t="s">
        <v>32710</v>
      </c>
      <c r="C25984" s="5" t="str">
        <f>IFERROR(__xludf.DUMMYFUNCTION("GOOGLETRANSLATE(B25984,""en"",""es-ES"")"),"Un hombre con zancos de salto arroja una bolsa sobre su hombro y deja un banco.")</f>
        <v>Un hombre con zancos de salto arroja una bolsa sobre su hombro y deja un banco.</v>
      </c>
    </row>
    <row r="25985">
      <c r="A25985" s="4" t="s">
        <v>32708</v>
      </c>
      <c r="B25985" s="4" t="s">
        <v>32711</v>
      </c>
      <c r="C25985" s="5" t="str">
        <f>IFERROR(__xludf.DUMMYFUNCTION("GOOGLETRANSLATE(B25985,""en"",""es-ES"")"),"El hombre en salto pila de la policía en una calle de la ciudad.")</f>
        <v>El hombre en salto pila de la policía en una calle de la ciudad.</v>
      </c>
    </row>
    <row r="25986">
      <c r="A25986" s="4" t="s">
        <v>32708</v>
      </c>
      <c r="B25986" s="4" t="s">
        <v>32712</v>
      </c>
      <c r="C25986" s="5" t="str">
        <f>IFERROR(__xludf.DUMMYFUNCTION("GOOGLETRANSLATE(B25986,""en"",""es-ES"")"),"El hombre empuja a través de un mercado.")</f>
        <v>El hombre empuja a través de un mercado.</v>
      </c>
    </row>
    <row r="25987">
      <c r="A25987" s="4" t="s">
        <v>32708</v>
      </c>
      <c r="B25987" s="4" t="s">
        <v>32713</v>
      </c>
      <c r="C25987" s="5" t="str">
        <f>IFERROR(__xludf.DUMMYFUNCTION("GOOGLETRANSLATE(B25987,""en"",""es-ES"")"),"El hombre salta sobre un cochecito siendo empujado por una dama.")</f>
        <v>El hombre salta sobre un cochecito siendo empujado por una dama.</v>
      </c>
    </row>
    <row r="25988">
      <c r="A25988" s="4" t="s">
        <v>32708</v>
      </c>
      <c r="B25988" s="4" t="s">
        <v>32714</v>
      </c>
      <c r="C25988" s="5" t="str">
        <f>IFERROR(__xludf.DUMMYFUNCTION("GOOGLETRANSLATE(B25988,""en"",""es-ES"")"),"El hombre salta sobre un camión y sobre una cerca perdiendo a la policía.")</f>
        <v>El hombre salta sobre un camión y sobre una cerca perdiendo a la policía.</v>
      </c>
    </row>
    <row r="25989">
      <c r="A25989" s="4" t="s">
        <v>32708</v>
      </c>
      <c r="B25989" s="4" t="s">
        <v>32715</v>
      </c>
      <c r="C25989" s="5" t="str">
        <f>IFERROR(__xludf.DUMMYFUNCTION("GOOGLETRANSLATE(B25989,""en"",""es-ES"")"),"El hombre atraviesa un parque de skate por una calle de la ciudad y sube las escaleras.")</f>
        <v>El hombre atraviesa un parque de skate por una calle de la ciudad y sube las escaleras.</v>
      </c>
    </row>
    <row r="25990">
      <c r="A25990" s="4" t="s">
        <v>32708</v>
      </c>
      <c r="B25990" s="4" t="s">
        <v>32716</v>
      </c>
      <c r="C25990" s="5" t="str">
        <f>IFERROR(__xludf.DUMMYFUNCTION("GOOGLETRANSLATE(B25990,""en"",""es-ES"")"),"El hombre abre la bolsa y cuenta su efectivo.")</f>
        <v>El hombre abre la bolsa y cuenta su efectivo.</v>
      </c>
    </row>
    <row r="25991">
      <c r="A25991" s="4" t="s">
        <v>32708</v>
      </c>
      <c r="B25991" s="4" t="s">
        <v>27504</v>
      </c>
      <c r="C25991" s="5" t="str">
        <f>IFERROR(__xludf.DUMMYFUNCTION("GOOGLETRANSLATE(B25991,""en"",""es-ES"")"),"Vemos una pantalla de título de cierre.")</f>
        <v>Vemos una pantalla de título de cierre.</v>
      </c>
    </row>
    <row r="25992">
      <c r="A25992" s="4" t="s">
        <v>32717</v>
      </c>
      <c r="B25992" s="4" t="s">
        <v>32718</v>
      </c>
      <c r="C25992" s="5" t="str">
        <f>IFERROR(__xludf.DUMMYFUNCTION("GOOGLETRANSLATE(B25992,""en"",""es-ES"")"),"Se ve a un gran grupo de personas cabalgando en autos de parachoques y conduciendo alrededor de una pista, chocando entre sí.")</f>
        <v>Se ve a un gran grupo de personas cabalgando en autos de parachoques y conduciendo alrededor de una pista, chocando entre sí.</v>
      </c>
    </row>
    <row r="25993">
      <c r="A25993" s="4" t="s">
        <v>32717</v>
      </c>
      <c r="B25993" s="4" t="s">
        <v>32719</v>
      </c>
      <c r="C25993" s="5" t="str">
        <f>IFERROR(__xludf.DUMMYFUNCTION("GOOGLETRANSLATE(B25993,""en"",""es-ES"")"),"La gente continúa montando y termina con un hombre y dos niños saliendo.")</f>
        <v>La gente continúa montando y termina con un hombre y dos niños saliendo.</v>
      </c>
    </row>
    <row r="25994">
      <c r="A25994" s="4" t="s">
        <v>32720</v>
      </c>
      <c r="B25994" s="4" t="s">
        <v>32721</v>
      </c>
      <c r="C25994" s="5" t="str">
        <f>IFERROR(__xludf.DUMMYFUNCTION("GOOGLETRANSLATE(B25994,""en"",""es-ES"")"),"Una introducción se muestra en la pantalla que presenta un video de lanzamiento de invierno.")</f>
        <v>Una introducción se muestra en la pantalla que presenta un video de lanzamiento de invierno.</v>
      </c>
    </row>
    <row r="25995">
      <c r="A25995" s="4" t="s">
        <v>32720</v>
      </c>
      <c r="B25995" s="4" t="s">
        <v>32722</v>
      </c>
      <c r="C25995" s="5" t="str">
        <f>IFERROR(__xludf.DUMMYFUNCTION("GOOGLETRANSLATE(B25995,""en"",""es-ES"")"),"Un hombre gira en círculo y completa el lanzamiento que celebra su distancia.")</f>
        <v>Un hombre gira en círculo y completa el lanzamiento que celebra su distancia.</v>
      </c>
    </row>
    <row r="25996">
      <c r="A25996" s="4" t="s">
        <v>32720</v>
      </c>
      <c r="B25996" s="4" t="s">
        <v>32723</v>
      </c>
      <c r="C25996" s="5" t="str">
        <f>IFERROR(__xludf.DUMMYFUNCTION("GOOGLETRANSLATE(B25996,""en"",""es-ES"")"),"Se prepara para otro lanzamiento al poner en posición.")</f>
        <v>Se prepara para otro lanzamiento al poner en posición.</v>
      </c>
    </row>
    <row r="25997">
      <c r="A25997" s="4" t="s">
        <v>32720</v>
      </c>
      <c r="B25997" s="4" t="s">
        <v>32724</v>
      </c>
      <c r="C25997" s="5" t="str">
        <f>IFERROR(__xludf.DUMMYFUNCTION("GOOGLETRANSLATE(B25997,""en"",""es-ES"")"),"Él completa el lanzamiento y se prepara para otro.")</f>
        <v>Él completa el lanzamiento y se prepara para otro.</v>
      </c>
    </row>
    <row r="25998">
      <c r="A25998" s="4" t="s">
        <v>32720</v>
      </c>
      <c r="B25998" s="4" t="s">
        <v>32725</v>
      </c>
      <c r="C25998" s="5" t="str">
        <f>IFERROR(__xludf.DUMMYFUNCTION("GOOGLETRANSLATE(B25998,""en"",""es-ES"")"),"Él completa el siguiente lanzamiento y se prepara para el siguiente.")</f>
        <v>Él completa el siguiente lanzamiento y se prepara para el siguiente.</v>
      </c>
    </row>
    <row r="25999">
      <c r="A25999" s="4" t="s">
        <v>32720</v>
      </c>
      <c r="B25999" s="4" t="s">
        <v>32726</v>
      </c>
      <c r="C25999" s="5" t="str">
        <f>IFERROR(__xludf.DUMMYFUNCTION("GOOGLETRANSLATE(B25999,""en"",""es-ES"")"),"Él completa el último lanzamiento y nuevamente celebra una buena distancia.")</f>
        <v>Él completa el último lanzamiento y nuevamente celebra una buena distancia.</v>
      </c>
    </row>
    <row r="26000">
      <c r="A26000" s="4" t="s">
        <v>32720</v>
      </c>
      <c r="B26000" s="4" t="s">
        <v>32727</v>
      </c>
      <c r="C26000" s="5" t="str">
        <f>IFERROR(__xludf.DUMMYFUNCTION("GOOGLETRANSLATE(B26000,""en"",""es-ES"")"),"El video termina con texto que se muestra en la pantalla.")</f>
        <v>El video termina con texto que se muestra en la pantalla.</v>
      </c>
    </row>
    <row r="26001">
      <c r="A26001" s="4" t="s">
        <v>32728</v>
      </c>
      <c r="B26001" s="4" t="s">
        <v>32729</v>
      </c>
      <c r="C26001" s="5" t="str">
        <f>IFERROR(__xludf.DUMMYFUNCTION("GOOGLETRANSLATE(B26001,""en"",""es-ES"")"),"Dos chicas practican movimientos de baile frente a su televisor en su sala de estar.")</f>
        <v>Dos chicas practican movimientos de baile frente a su televisor en su sala de estar.</v>
      </c>
    </row>
    <row r="26002">
      <c r="A26002" s="4" t="s">
        <v>32728</v>
      </c>
      <c r="B26002" s="4" t="s">
        <v>32730</v>
      </c>
      <c r="C26002" s="5" t="str">
        <f>IFERROR(__xludf.DUMMYFUNCTION("GOOGLETRANSLATE(B26002,""en"",""es-ES"")"),"Una de las chicas lleva una camisa roja y la otra lleva una camisa azul oscuro.")</f>
        <v>Una de las chicas lleva una camisa roja y la otra lleva una camisa azul oscuro.</v>
      </c>
    </row>
    <row r="26003">
      <c r="A26003" s="4" t="s">
        <v>32728</v>
      </c>
      <c r="B26003" s="4" t="s">
        <v>32731</v>
      </c>
      <c r="C26003" s="5" t="str">
        <f>IFERROR(__xludf.DUMMYFUNCTION("GOOGLETRANSLATE(B26003,""en"",""es-ES"")"),"Están practicando la sala de pelota bailando.")</f>
        <v>Están practicando la sala de pelota bailando.</v>
      </c>
    </row>
    <row r="26004">
      <c r="A26004" s="4" t="s">
        <v>32728</v>
      </c>
      <c r="B26004" s="4" t="s">
        <v>32732</v>
      </c>
      <c r="C26004" s="5" t="str">
        <f>IFERROR(__xludf.DUMMYFUNCTION("GOOGLETRANSLATE(B26004,""en"",""es-ES"")"),"Se turnan para balancearse y girarse alrededor de las manos mientras dan vueltas en círculos.")</f>
        <v>Se turnan para balancearse y girarse alrededor de las manos mientras dan vueltas en círculos.</v>
      </c>
    </row>
    <row r="26005">
      <c r="A26005" s="4" t="s">
        <v>32728</v>
      </c>
      <c r="B26005" s="4" t="s">
        <v>32733</v>
      </c>
      <c r="C26005" s="5" t="str">
        <f>IFERROR(__xludf.DUMMYFUNCTION("GOOGLETRANSLATE(B26005,""en"",""es-ES"")"),"También siguen un patrón de los movimientos de su pierna mientras siguen los pasos rítmicamente.")</f>
        <v>También siguen un patrón de los movimientos de su pierna mientras siguen los pasos rítmicamente.</v>
      </c>
    </row>
    <row r="26006">
      <c r="A26006" s="4" t="s">
        <v>32728</v>
      </c>
      <c r="B26006" s="4" t="s">
        <v>32734</v>
      </c>
      <c r="C26006" s="5" t="str">
        <f>IFERROR(__xludf.DUMMYFUNCTION("GOOGLETRANSLATE(B26006,""en"",""es-ES"")"),"Después de que terminan, ambos se ríen y se alejan.")</f>
        <v>Después de que terminan, ambos se ríen y se alejan.</v>
      </c>
    </row>
    <row r="26007">
      <c r="A26007" s="4" t="s">
        <v>32735</v>
      </c>
      <c r="B26007" s="4" t="s">
        <v>32736</v>
      </c>
      <c r="C26007" s="5" t="str">
        <f>IFERROR(__xludf.DUMMYFUNCTION("GOOGLETRANSLATE(B26007,""en"",""es-ES"")"),"Se muestra una imagen fija con las palabras que el perro camina por América que se muestra sobre ella.")</f>
        <v>Se muestra una imagen fija con las palabras que el perro camina por América que se muestra sobre ella.</v>
      </c>
    </row>
    <row r="26008">
      <c r="A26008" s="4" t="s">
        <v>32735</v>
      </c>
      <c r="B26008" s="4" t="s">
        <v>32737</v>
      </c>
      <c r="C26008" s="5" t="str">
        <f>IFERROR(__xludf.DUMMYFUNCTION("GOOGLETRANSLATE(B26008,""en"",""es-ES"")"),"Luego se muestra a una pareja de mediana edad ubicada en troncos que hablan con sus perros deambulando detrás de ellos y otro hombre sentado en una gran roca de rocas.")</f>
        <v>Luego se muestra a una pareja de mediana edad ubicada en troncos que hablan con sus perros deambulando detrás de ellos y otro hombre sentado en una gran roca de rocas.</v>
      </c>
    </row>
    <row r="26009">
      <c r="A26009" s="4" t="s">
        <v>32735</v>
      </c>
      <c r="B26009" s="4" t="s">
        <v>32738</v>
      </c>
      <c r="C26009" s="5" t="str">
        <f>IFERROR(__xludf.DUMMYFUNCTION("GOOGLETRANSLATE(B26009,""en"",""es-ES"")"),"Luego se muestran varias imágenes de perros y luego la mujer reaparece sola.")</f>
        <v>Luego se muestran varias imágenes de perros y luego la mujer reaparece sola.</v>
      </c>
    </row>
    <row r="26010">
      <c r="A26010" s="4" t="s">
        <v>32735</v>
      </c>
      <c r="B26010" s="4" t="s">
        <v>32739</v>
      </c>
      <c r="C26010" s="5" t="str">
        <f>IFERROR(__xludf.DUMMYFUNCTION("GOOGLETRANSLATE(B26010,""en"",""es-ES"")"),"Luego se muestran otro conjunto de imágenes donde los veterinarios están ayudando a los perros.")</f>
        <v>Luego se muestran otro conjunto de imágenes donde los veterinarios están ayudando a los perros.</v>
      </c>
    </row>
    <row r="26011">
      <c r="A26011" s="4" t="s">
        <v>32735</v>
      </c>
      <c r="B26011" s="4" t="s">
        <v>32740</v>
      </c>
      <c r="C26011" s="5" t="str">
        <f>IFERROR(__xludf.DUMMYFUNCTION("GOOGLETRANSLATE(B26011,""en"",""es-ES"")"),"El hombre luego reaparece con la dama y comienzan a hablar de nuevo.")</f>
        <v>El hombre luego reaparece con la dama y comienzan a hablar de nuevo.</v>
      </c>
    </row>
    <row r="26012">
      <c r="A26012" s="4" t="s">
        <v>32735</v>
      </c>
      <c r="B26012" s="4" t="s">
        <v>32741</v>
      </c>
      <c r="C26012" s="5" t="str">
        <f>IFERROR(__xludf.DUMMYFUNCTION("GOOGLETRANSLATE(B26012,""en"",""es-ES"")"),"Por último, el hombre se aleja y aparece una pantalla negra que muestra múltiples sitios web.")</f>
        <v>Por último, el hombre se aleja y aparece una pantalla negra que muestra múltiples sitios web.</v>
      </c>
    </row>
    <row r="26013">
      <c r="A26013" s="4" t="s">
        <v>32742</v>
      </c>
      <c r="B26013" s="4" t="s">
        <v>32743</v>
      </c>
      <c r="C26013" s="5" t="str">
        <f>IFERROR(__xludf.DUMMYFUNCTION("GOOGLETRANSLATE(B26013,""en"",""es-ES"")"),"Algunos niños están dentro de un gimnasio.")</f>
        <v>Algunos niños están dentro de un gimnasio.</v>
      </c>
    </row>
    <row r="26014">
      <c r="A26014" s="4" t="s">
        <v>32742</v>
      </c>
      <c r="B26014" s="4" t="s">
        <v>32744</v>
      </c>
      <c r="C26014" s="5" t="str">
        <f>IFERROR(__xludf.DUMMYFUNCTION("GOOGLETRANSLATE(B26014,""en"",""es-ES"")"),"Se turnan para apilar una pila de neumáticos.")</f>
        <v>Se turnan para apilar una pila de neumáticos.</v>
      </c>
    </row>
    <row r="26015">
      <c r="A26015" s="4" t="s">
        <v>32742</v>
      </c>
      <c r="B26015" s="4" t="s">
        <v>32745</v>
      </c>
      <c r="C26015" s="5" t="str">
        <f>IFERROR(__xludf.DUMMYFUNCTION("GOOGLETRANSLATE(B26015,""en"",""es-ES"")"),"Después de cada adición, uno de ellos salta y se para en la parte superior.")</f>
        <v>Después de cada adición, uno de ellos salta y se para en la parte superior.</v>
      </c>
    </row>
    <row r="26016">
      <c r="A26016" s="4" t="s">
        <v>32746</v>
      </c>
      <c r="B26016" s="4" t="s">
        <v>32747</v>
      </c>
      <c r="C26016" s="5" t="str">
        <f>IFERROR(__xludf.DUMMYFUNCTION("GOOGLETRANSLATE(B26016,""en"",""es-ES"")"),"El hombre está en un gimnasio que estira la pierna y hace ejercicio frente a una silla.")</f>
        <v>El hombre está en un gimnasio que estira la pierna y hace ejercicio frente a una silla.</v>
      </c>
    </row>
    <row r="26017">
      <c r="A26017" s="4" t="s">
        <v>32746</v>
      </c>
      <c r="B26017" s="4" t="s">
        <v>32748</v>
      </c>
      <c r="C26017" s="5" t="str">
        <f>IFERROR(__xludf.DUMMYFUNCTION("GOOGLETRANSLATE(B26017,""en"",""es-ES"")"),"El hombre dobla la otra pierna y la estira.")</f>
        <v>El hombre dobla la otra pierna y la estira.</v>
      </c>
    </row>
    <row r="26018">
      <c r="A26018" s="4" t="s">
        <v>32749</v>
      </c>
      <c r="B26018" s="4" t="s">
        <v>32750</v>
      </c>
      <c r="C26018" s="5" t="str">
        <f>IFERROR(__xludf.DUMMYFUNCTION("GOOGLETRANSLATE(B26018,""en"",""es-ES"")"),"Un hombre se arrodilla para agarrar un peso mientras un hombre lo mira.")</f>
        <v>Un hombre se arrodilla para agarrar un peso mientras un hombre lo mira.</v>
      </c>
    </row>
    <row r="26019">
      <c r="A26019" s="4" t="s">
        <v>32749</v>
      </c>
      <c r="B26019" s="4" t="s">
        <v>32751</v>
      </c>
      <c r="C26019" s="5" t="str">
        <f>IFERROR(__xludf.DUMMYFUNCTION("GOOGLETRANSLATE(B26019,""en"",""es-ES"")"),"Un hombre gordo en topless practica el peso de peso detrás del hombre.")</f>
        <v>Un hombre gordo en topless practica el peso de peso detrás del hombre.</v>
      </c>
    </row>
    <row r="26020">
      <c r="A26020" s="4" t="s">
        <v>32749</v>
      </c>
      <c r="B26020" s="4" t="s">
        <v>32752</v>
      </c>
      <c r="C26020" s="5" t="str">
        <f>IFERROR(__xludf.DUMMYFUNCTION("GOOGLETRANSLATE(B26020,""en"",""es-ES"")"),"Una persona levanta un peso en la espalda.")</f>
        <v>Una persona levanta un peso en la espalda.</v>
      </c>
    </row>
    <row r="26021">
      <c r="A26021" s="4" t="s">
        <v>32749</v>
      </c>
      <c r="B26021" s="4" t="s">
        <v>32753</v>
      </c>
      <c r="C26021" s="5" t="str">
        <f>IFERROR(__xludf.DUMMYFUNCTION("GOOGLETRANSLATE(B26021,""en"",""es-ES"")"),"Luego, el hombre levanta el peso, después de que deja caer el peso al piso.")</f>
        <v>Luego, el hombre levanta el peso, después de que deja caer el peso al piso.</v>
      </c>
    </row>
    <row r="26022">
      <c r="A26022" s="4" t="s">
        <v>32749</v>
      </c>
      <c r="B26022" s="4" t="s">
        <v>32754</v>
      </c>
      <c r="C26022" s="5" t="str">
        <f>IFERROR(__xludf.DUMMYFUNCTION("GOOGLETRANSLATE(B26022,""en"",""es-ES"")"),"Nuevamente, el hombre se arrodilla nuevamente y levanta el peso sobre su cabeza y luego lo deja caer.")</f>
        <v>Nuevamente, el hombre se arrodilla nuevamente y levanta el peso sobre su cabeza y luego lo deja caer.</v>
      </c>
    </row>
    <row r="26023">
      <c r="A26023" s="4" t="s">
        <v>32755</v>
      </c>
      <c r="B26023" s="4" t="s">
        <v>32756</v>
      </c>
      <c r="C26023" s="5" t="str">
        <f>IFERROR(__xludf.DUMMYFUNCTION("GOOGLETRANSLATE(B26023,""en"",""es-ES"")"),"Dos hombre se sientan en una mesa.")</f>
        <v>Dos hombre se sientan en una mesa.</v>
      </c>
    </row>
    <row r="26024">
      <c r="A26024" s="4" t="s">
        <v>32755</v>
      </c>
      <c r="B26024" s="4" t="s">
        <v>32757</v>
      </c>
      <c r="C26024" s="5" t="str">
        <f>IFERROR(__xludf.DUMMYFUNCTION("GOOGLETRANSLATE(B26024,""en"",""es-ES"")"),"El hombre más cercano a los crochets de la cámara.")</f>
        <v>El hombre más cercano a los crochets de la cámara.</v>
      </c>
    </row>
    <row r="26025">
      <c r="A26025" s="4" t="s">
        <v>32755</v>
      </c>
      <c r="B26025" s="4" t="s">
        <v>32758</v>
      </c>
      <c r="C26025" s="5" t="str">
        <f>IFERROR(__xludf.DUMMYFUNCTION("GOOGLETRANSLATE(B26025,""en"",""es-ES"")"),"El hombre más cercano a la cámara se rasca la oreja.")</f>
        <v>El hombre más cercano a la cámara se rasca la oreja.</v>
      </c>
    </row>
    <row r="26026">
      <c r="A26026" s="4" t="s">
        <v>32759</v>
      </c>
      <c r="B26026" s="4" t="s">
        <v>32760</v>
      </c>
      <c r="C26026" s="5" t="str">
        <f>IFERROR(__xludf.DUMMYFUNCTION("GOOGLETRANSLATE(B26026,""en"",""es-ES"")"),"Una persona sostiene una jabalina y se prepara para lanzarla.")</f>
        <v>Una persona sostiene una jabalina y se prepara para lanzarla.</v>
      </c>
    </row>
    <row r="26027">
      <c r="A26027" s="4" t="s">
        <v>32759</v>
      </c>
      <c r="B26027" s="4" t="s">
        <v>32761</v>
      </c>
      <c r="C26027" s="5" t="str">
        <f>IFERROR(__xludf.DUMMYFUNCTION("GOOGLETRANSLATE(B26027,""en"",""es-ES"")"),"Luego, el hombre corre y lanza la jabalina.")</f>
        <v>Luego, el hombre corre y lanza la jabalina.</v>
      </c>
    </row>
    <row r="26028">
      <c r="A26028" s="4" t="s">
        <v>32762</v>
      </c>
      <c r="B26028" s="4" t="s">
        <v>32763</v>
      </c>
      <c r="C26028" s="5" t="str">
        <f>IFERROR(__xludf.DUMMYFUNCTION("GOOGLETRANSLATE(B26028,""en"",""es-ES"")"),"Una mujer demuestra cómo aplicar papel tapiz a una pared.")</f>
        <v>Una mujer demuestra cómo aplicar papel tapiz a una pared.</v>
      </c>
    </row>
    <row r="26029">
      <c r="A26029" s="4" t="s">
        <v>32762</v>
      </c>
      <c r="B26029" s="4" t="s">
        <v>32764</v>
      </c>
      <c r="C26029" s="5" t="str">
        <f>IFERROR(__xludf.DUMMYFUNCTION("GOOGLETRANSLATE(B26029,""en"",""es-ES"")"),"Una mujer sostiene las diversas herramientas necesarias para aplicar papel tapiz.")</f>
        <v>Una mujer sostiene las diversas herramientas necesarias para aplicar papel tapiz.</v>
      </c>
    </row>
    <row r="26030">
      <c r="A26030" s="4" t="s">
        <v>32762</v>
      </c>
      <c r="B26030" s="4" t="s">
        <v>32765</v>
      </c>
      <c r="C26030" s="5" t="str">
        <f>IFERROR(__xludf.DUMMYFUNCTION("GOOGLETRANSLATE(B26030,""en"",""es-ES"")"),"La mujer demuestra el proceso antes de aplicar el documento en breves segmentos de demostración.")</f>
        <v>La mujer demuestra el proceso antes de aplicar el documento en breves segmentos de demostración.</v>
      </c>
    </row>
    <row r="26031">
      <c r="A26031" s="4" t="s">
        <v>32762</v>
      </c>
      <c r="B26031" s="4" t="s">
        <v>32766</v>
      </c>
      <c r="C26031" s="5" t="str">
        <f>IFERROR(__xludf.DUMMYFUNCTION("GOOGLETRANSLATE(B26031,""en"",""es-ES"")"),"La mujer luego comienza a aplicar el fondo de pantalla a un muro paso a paso.")</f>
        <v>La mujer luego comienza a aplicar el fondo de pantalla a un muro paso a paso.</v>
      </c>
    </row>
    <row r="26032">
      <c r="A26032" s="4" t="s">
        <v>32767</v>
      </c>
      <c r="B26032" s="4" t="s">
        <v>32768</v>
      </c>
      <c r="C26032" s="5" t="str">
        <f>IFERROR(__xludf.DUMMYFUNCTION("GOOGLETRANSLATE(B26032,""en"",""es-ES"")"),"Los pies descalzos de una persona se muestran subiendo un tramo de escaleras.")</f>
        <v>Los pies descalzos de una persona se muestran subiendo un tramo de escaleras.</v>
      </c>
    </row>
    <row r="26033">
      <c r="A26033" s="4" t="s">
        <v>32767</v>
      </c>
      <c r="B26033" s="4" t="s">
        <v>32769</v>
      </c>
      <c r="C26033" s="5" t="str">
        <f>IFERROR(__xludf.DUMMYFUNCTION("GOOGLETRANSLATE(B26033,""en"",""es-ES"")"),"Luego, se muestran a diferentes hombres buceando en cámara lenta del tablero de buceo hacia el agua.")</f>
        <v>Luego, se muestran a diferentes hombres buceando en cámara lenta del tablero de buceo hacia el agua.</v>
      </c>
    </row>
    <row r="26034">
      <c r="A26034" s="4" t="s">
        <v>32767</v>
      </c>
      <c r="B26034" s="4" t="s">
        <v>32770</v>
      </c>
      <c r="C26034" s="5" t="str">
        <f>IFERROR(__xludf.DUMMYFUNCTION("GOOGLETRANSLATE(B26034,""en"",""es-ES"")"),"Las mujeres y los niños también están saltando, cada un aterrizaje en una piscina al aire libre.")</f>
        <v>Las mujeres y los niños también están saltando, cada un aterrizaje en una piscina al aire libre.</v>
      </c>
    </row>
    <row r="26035">
      <c r="A26035" s="4" t="s">
        <v>32771</v>
      </c>
      <c r="B26035" s="4" t="s">
        <v>32772</v>
      </c>
      <c r="C26035" s="5" t="str">
        <f>IFERROR(__xludf.DUMMYFUNCTION("GOOGLETRANSLATE(B26035,""en"",""es-ES"")"),"Una hembra está acostada de espaldas al hacer ejercicio dentro de un gimnasio.")</f>
        <v>Una hembra está acostada de espaldas al hacer ejercicio dentro de un gimnasio.</v>
      </c>
    </row>
    <row r="26036">
      <c r="A26036" s="4" t="s">
        <v>32771</v>
      </c>
      <c r="B26036" s="4" t="s">
        <v>32773</v>
      </c>
      <c r="C26036" s="5" t="str">
        <f>IFERROR(__xludf.DUMMYFUNCTION("GOOGLETRANSLATE(B26036,""en"",""es-ES"")"),"Lleva negro y rosa y se ve muy cómoda mientras trabaja.")</f>
        <v>Lleva negro y rosa y se ve muy cómoda mientras trabaja.</v>
      </c>
    </row>
    <row r="26037">
      <c r="A26037" s="4" t="s">
        <v>32771</v>
      </c>
      <c r="B26037" s="4" t="s">
        <v>32774</v>
      </c>
      <c r="C26037" s="5" t="str">
        <f>IFERROR(__xludf.DUMMYFUNCTION("GOOGLETRANSLATE(B26037,""en"",""es-ES"")"),"Ella levanta los brazos y sus piernas hasta el centro de su cuerpo.")</f>
        <v>Ella levanta los brazos y sus piernas hasta el centro de su cuerpo.</v>
      </c>
    </row>
    <row r="26038">
      <c r="A26038" s="4" t="s">
        <v>32771</v>
      </c>
      <c r="B26038" s="4" t="s">
        <v>32775</v>
      </c>
      <c r="C26038" s="5" t="str">
        <f>IFERROR(__xludf.DUMMYFUNCTION("GOOGLETRANSLATE(B26038,""en"",""es-ES"")"),"Ella lo hace repetidamente por un tiempo.")</f>
        <v>Ella lo hace repetidamente por un tiempo.</v>
      </c>
    </row>
    <row r="26039">
      <c r="A26039" s="4" t="s">
        <v>32776</v>
      </c>
      <c r="B26039" s="4" t="s">
        <v>19329</v>
      </c>
      <c r="C26039" s="5" t="str">
        <f>IFERROR(__xludf.DUMMYFUNCTION("GOOGLETRANSLATE(B26039,""en"",""es-ES"")"),"Vemos un juego de hockey que se juega.")</f>
        <v>Vemos un juego de hockey que se juega.</v>
      </c>
    </row>
    <row r="26040">
      <c r="A26040" s="4" t="s">
        <v>32776</v>
      </c>
      <c r="B26040" s="4" t="s">
        <v>32777</v>
      </c>
      <c r="C26040" s="5" t="str">
        <f>IFERROR(__xludf.DUMMYFUNCTION("GOOGLETRANSLATE(B26040,""en"",""es-ES"")"),"Los jugadores corren el campo y comienzan a pelear.")</f>
        <v>Los jugadores corren el campo y comienzan a pelear.</v>
      </c>
    </row>
    <row r="26041">
      <c r="A26041" s="4" t="s">
        <v>32776</v>
      </c>
      <c r="B26041" s="4" t="s">
        <v>32778</v>
      </c>
      <c r="C26041" s="5" t="str">
        <f>IFERROR(__xludf.DUMMYFUNCTION("GOOGLETRANSLATE(B26041,""en"",""es-ES"")"),"Una persona golpea a alguien en la cabeza.")</f>
        <v>Una persona golpea a alguien en la cabeza.</v>
      </c>
    </row>
    <row r="26042">
      <c r="A26042" s="4" t="s">
        <v>32776</v>
      </c>
      <c r="B26042" s="4" t="s">
        <v>32779</v>
      </c>
      <c r="C26042" s="5" t="str">
        <f>IFERROR(__xludf.DUMMYFUNCTION("GOOGLETRANSLATE(B26042,""en"",""es-ES"")"),"El entrenador está tratando de luchar contra otro entrenador.")</f>
        <v>El entrenador está tratando de luchar contra otro entrenador.</v>
      </c>
    </row>
    <row r="26043">
      <c r="A26043" s="4" t="s">
        <v>32776</v>
      </c>
      <c r="B26043" s="4" t="s">
        <v>32780</v>
      </c>
      <c r="C26043" s="5" t="str">
        <f>IFERROR(__xludf.DUMMYFUNCTION("GOOGLETRANSLATE(B26043,""en"",""es-ES"")"),"Un hombre sube sobre el balcón para tratar de luchar.")</f>
        <v>Un hombre sube sobre el balcón para tratar de luchar.</v>
      </c>
    </row>
    <row r="26044">
      <c r="A26044" s="4" t="s">
        <v>32776</v>
      </c>
      <c r="B26044" s="4" t="s">
        <v>32781</v>
      </c>
      <c r="C26044" s="5" t="str">
        <f>IFERROR(__xludf.DUMMYFUNCTION("GOOGLETRANSLATE(B26044,""en"",""es-ES"")"),"El equipo rojo se reúne y se abraza.")</f>
        <v>El equipo rojo se reúne y se abraza.</v>
      </c>
    </row>
    <row r="26045">
      <c r="A26045" s="4" t="s">
        <v>32782</v>
      </c>
      <c r="B26045" s="4" t="s">
        <v>32783</v>
      </c>
      <c r="C26045" s="5" t="str">
        <f>IFERROR(__xludf.DUMMYFUNCTION("GOOGLETRANSLATE(B26045,""en"",""es-ES"")"),"Un entrenador de voleibol se apoya en una red sosteniendo una pelota y habla.")</f>
        <v>Un entrenador de voleibol se apoya en una red sosteniendo una pelota y habla.</v>
      </c>
    </row>
    <row r="26046">
      <c r="A26046" s="4" t="s">
        <v>32782</v>
      </c>
      <c r="B26046" s="4" t="s">
        <v>32784</v>
      </c>
      <c r="C26046" s="5" t="str">
        <f>IFERROR(__xludf.DUMMYFUNCTION("GOOGLETRANSLATE(B26046,""en"",""es-ES"")"),"Dos grupos de niñas salen corriendo al centro de una cancha para agarrar voleibolas.")</f>
        <v>Dos grupos de niñas salen corriendo al centro de una cancha para agarrar voleibolas.</v>
      </c>
    </row>
    <row r="26047">
      <c r="A26047" s="4" t="s">
        <v>32782</v>
      </c>
      <c r="B26047" s="4" t="s">
        <v>32785</v>
      </c>
      <c r="C26047" s="5" t="str">
        <f>IFERROR(__xludf.DUMMYFUNCTION("GOOGLETRANSLATE(B26047,""en"",""es-ES"")"),"Se arrojan las bolas el uno al otro.")</f>
        <v>Se arrojan las bolas el uno al otro.</v>
      </c>
    </row>
    <row r="26048">
      <c r="A26048" s="4" t="s">
        <v>32782</v>
      </c>
      <c r="B26048" s="4" t="s">
        <v>32786</v>
      </c>
      <c r="C26048" s="5" t="str">
        <f>IFERROR(__xludf.DUMMYFUNCTION("GOOGLETRANSLATE(B26048,""en"",""es-ES"")"),"Se ve al entrenador dando instrucciones.")</f>
        <v>Se ve al entrenador dando instrucciones.</v>
      </c>
    </row>
    <row r="26049">
      <c r="A26049" s="4" t="s">
        <v>32782</v>
      </c>
      <c r="B26049" s="4" t="s">
        <v>32787</v>
      </c>
      <c r="C26049" s="5" t="str">
        <f>IFERROR(__xludf.DUMMYFUNCTION("GOOGLETRANSLATE(B26049,""en"",""es-ES"")"),"Las chicas continúan lanzándose las bolas entre sí.")</f>
        <v>Las chicas continúan lanzándose las bolas entre sí.</v>
      </c>
    </row>
    <row r="26050">
      <c r="A26050" s="4" t="s">
        <v>32782</v>
      </c>
      <c r="B26050" s="4" t="s">
        <v>32788</v>
      </c>
      <c r="C26050" s="5" t="str">
        <f>IFERROR(__xludf.DUMMYFUNCTION("GOOGLETRANSLATE(B26050,""en"",""es-ES"")"),"Dos chicas están al margen hablando.")</f>
        <v>Dos chicas están al margen hablando.</v>
      </c>
    </row>
    <row r="26051">
      <c r="A26051" s="4" t="s">
        <v>32789</v>
      </c>
      <c r="B26051" s="4" t="s">
        <v>32790</v>
      </c>
      <c r="C26051" s="5" t="str">
        <f>IFERROR(__xludf.DUMMYFUNCTION("GOOGLETRANSLATE(B26051,""en"",""es-ES"")"),"La gente está sentada aburrida en un salón.")</f>
        <v>La gente está sentada aburrida en un salón.</v>
      </c>
    </row>
    <row r="26052">
      <c r="A26052" s="4" t="s">
        <v>32789</v>
      </c>
      <c r="B26052" s="4" t="s">
        <v>32791</v>
      </c>
      <c r="C26052" s="5" t="str">
        <f>IFERROR(__xludf.DUMMYFUNCTION("GOOGLETRANSLATE(B26052,""en"",""es-ES"")"),"Un hombre camina sosteniendo una mesa portátil de cerveza pong.")</f>
        <v>Un hombre camina sosteniendo una mesa portátil de cerveza pong.</v>
      </c>
    </row>
    <row r="26053">
      <c r="A26053" s="4" t="s">
        <v>32789</v>
      </c>
      <c r="B26053" s="4" t="s">
        <v>32792</v>
      </c>
      <c r="C26053" s="5" t="str">
        <f>IFERROR(__xludf.DUMMYFUNCTION("GOOGLETRANSLATE(B26053,""en"",""es-ES"")"),"La gente se emociona por él.")</f>
        <v>La gente se emociona por él.</v>
      </c>
    </row>
    <row r="26054">
      <c r="A26054" s="4" t="s">
        <v>32789</v>
      </c>
      <c r="B26054" s="4" t="s">
        <v>32793</v>
      </c>
      <c r="C26054" s="5" t="str">
        <f>IFERROR(__xludf.DUMMYFUNCTION("GOOGLETRANSLATE(B26054,""en"",""es-ES"")"),"Juegan algunas rondas de cerveza pong.")</f>
        <v>Juegan algunas rondas de cerveza pong.</v>
      </c>
    </row>
    <row r="26055">
      <c r="A26055" s="4" t="s">
        <v>32789</v>
      </c>
      <c r="B26055" s="4" t="s">
        <v>32794</v>
      </c>
      <c r="C26055" s="5" t="str">
        <f>IFERROR(__xludf.DUMMYFUNCTION("GOOGLETRANSLATE(B26055,""en"",""es-ES"")"),"Un hombre sostiene una pelota de ping pong frente a un grupo de personas.")</f>
        <v>Un hombre sostiene una pelota de ping pong frente a un grupo de personas.</v>
      </c>
    </row>
    <row r="26056">
      <c r="A26056" s="4" t="s">
        <v>32789</v>
      </c>
      <c r="B26056" s="4" t="s">
        <v>32795</v>
      </c>
      <c r="C26056" s="5" t="str">
        <f>IFERROR(__xludf.DUMMYFUNCTION("GOOGLETRANSLATE(B26056,""en"",""es-ES"")"),"El texto aparece en la pantalla.")</f>
        <v>El texto aparece en la pantalla.</v>
      </c>
    </row>
    <row r="26057">
      <c r="A26057" s="4" t="s">
        <v>32796</v>
      </c>
      <c r="B26057" s="4" t="s">
        <v>32797</v>
      </c>
      <c r="C26057" s="5" t="str">
        <f>IFERROR(__xludf.DUMMYFUNCTION("GOOGLETRANSLATE(B26057,""en"",""es-ES"")"),"Un patinador viene rodando por un camino empinado.")</f>
        <v>Un patinador viene rodando por un camino empinado.</v>
      </c>
    </row>
    <row r="26058">
      <c r="A26058" s="4" t="s">
        <v>32796</v>
      </c>
      <c r="B26058" s="4" t="s">
        <v>32798</v>
      </c>
      <c r="C26058" s="5" t="str">
        <f>IFERROR(__xludf.DUMMYFUNCTION("GOOGLETRANSLATE(B26058,""en"",""es-ES"")"),"Los skaters ruedan por el medio de las calles públicas.")</f>
        <v>Los skaters ruedan por el medio de las calles públicas.</v>
      </c>
    </row>
    <row r="26059">
      <c r="A26059" s="4" t="s">
        <v>32796</v>
      </c>
      <c r="B26059" s="4" t="s">
        <v>32799</v>
      </c>
      <c r="C26059" s="5" t="str">
        <f>IFERROR(__xludf.DUMMYFUNCTION("GOOGLETRANSLATE(B26059,""en"",""es-ES"")"),"Las palabras ""Fair Oaks Longboard"" junto con créditos aparecen sobre los patinadores.")</f>
        <v>Las palabras "Fair Oaks Longboard" junto con créditos aparecen sobre los patinadores.</v>
      </c>
    </row>
    <row r="26060">
      <c r="A26060" s="4" t="s">
        <v>32800</v>
      </c>
      <c r="B26060" s="4" t="s">
        <v>32801</v>
      </c>
      <c r="C26060" s="5" t="str">
        <f>IFERROR(__xludf.DUMMYFUNCTION("GOOGLETRANSLATE(B26060,""en"",""es-ES"")"),"Un gato está acostado sobre su espalda en el sofá.")</f>
        <v>Un gato está acostado sobre su espalda en el sofá.</v>
      </c>
    </row>
    <row r="26061">
      <c r="A26061" s="4" t="s">
        <v>32800</v>
      </c>
      <c r="B26061" s="4" t="s">
        <v>32802</v>
      </c>
      <c r="C26061" s="5" t="str">
        <f>IFERROR(__xludf.DUMMYFUNCTION("GOOGLETRANSLATE(B26061,""en"",""es-ES"")"),"Una persona recoge al gato y lo pone en su regazo.")</f>
        <v>Una persona recoge al gato y lo pone en su regazo.</v>
      </c>
    </row>
    <row r="26062">
      <c r="A26062" s="4" t="s">
        <v>32800</v>
      </c>
      <c r="B26062" s="4" t="s">
        <v>32803</v>
      </c>
      <c r="C26062" s="5" t="str">
        <f>IFERROR(__xludf.DUMMYFUNCTION("GOOGLETRANSLATE(B26062,""en"",""es-ES"")"),"Comienzan a recortar las uñas de los gatos.")</f>
        <v>Comienzan a recortar las uñas de los gatos.</v>
      </c>
    </row>
    <row r="26063">
      <c r="A26063" s="4" t="s">
        <v>32804</v>
      </c>
      <c r="B26063" s="4" t="s">
        <v>32805</v>
      </c>
      <c r="C26063" s="5" t="str">
        <f>IFERROR(__xludf.DUMMYFUNCTION("GOOGLETRANSLATE(B26063,""en"",""es-ES"")"),"Hay una mujer en bikini pasando junto a personas con hula hoops.")</f>
        <v>Hay una mujer en bikini pasando junto a personas con hula hoops.</v>
      </c>
    </row>
    <row r="26064">
      <c r="A26064" s="4" t="s">
        <v>32804</v>
      </c>
      <c r="B26064" s="4" t="s">
        <v>32806</v>
      </c>
      <c r="C26064" s="5" t="str">
        <f>IFERROR(__xludf.DUMMYFUNCTION("GOOGLETRANSLATE(B26064,""en"",""es-ES"")"),"Ella va a la hierba y comienza a presionar en círculos, la está pasando muy bien bailando y aros.")</f>
        <v>Ella va a la hierba y comienza a presionar en círculos, la está pasando muy bien bailando y aros.</v>
      </c>
    </row>
    <row r="26065">
      <c r="A26065" s="4" t="s">
        <v>32804</v>
      </c>
      <c r="B26065" s="4" t="s">
        <v>32807</v>
      </c>
      <c r="C26065" s="5" t="str">
        <f>IFERROR(__xludf.DUMMYFUNCTION("GOOGLETRANSLATE(B26065,""en"",""es-ES"")"),"Luego, otras personas también están bailando y cayendo, haciendo trucos y simplemente disfrutando del día.")</f>
        <v>Luego, otras personas también están bailando y cayendo, haciendo trucos y simplemente disfrutando del día.</v>
      </c>
    </row>
    <row r="26066">
      <c r="A26066" s="4" t="s">
        <v>32804</v>
      </c>
      <c r="B26066" s="4" t="s">
        <v>32808</v>
      </c>
      <c r="C26066" s="5" t="str">
        <f>IFERROR(__xludf.DUMMYFUNCTION("GOOGLETRANSLATE(B26066,""en"",""es-ES"")"),"Todos miran mientras las dos chicas se acercan fuera de la tienda.")</f>
        <v>Todos miran mientras las dos chicas se acercan fuera de la tienda.</v>
      </c>
    </row>
    <row r="26067">
      <c r="A26067" s="4" t="s">
        <v>32809</v>
      </c>
      <c r="B26067" s="4" t="s">
        <v>32810</v>
      </c>
      <c r="C26067" s="5" t="str">
        <f>IFERROR(__xludf.DUMMYFUNCTION("GOOGLETRANSLATE(B26067,""en"",""es-ES"")"),"Una niña está afuera en un día nevado.")</f>
        <v>Una niña está afuera en un día nevado.</v>
      </c>
    </row>
    <row r="26068">
      <c r="A26068" s="4" t="s">
        <v>32809</v>
      </c>
      <c r="B26068" s="4" t="s">
        <v>32811</v>
      </c>
      <c r="C26068" s="5" t="str">
        <f>IFERROR(__xludf.DUMMYFUNCTION("GOOGLETRANSLATE(B26068,""en"",""es-ES"")"),"Ella está jugando a la raya de la lomo que se siente en el camino de entrada.")</f>
        <v>Ella está jugando a la raya de la lomo que se siente en el camino de entrada.</v>
      </c>
    </row>
    <row r="26069">
      <c r="A26069" s="4" t="s">
        <v>32809</v>
      </c>
      <c r="B26069" s="4" t="s">
        <v>32812</v>
      </c>
      <c r="C26069" s="5" t="str">
        <f>IFERROR(__xludf.DUMMYFUNCTION("GOOGLETRANSLATE(B26069,""en"",""es-ES"")"),"Ella salta a lo largo de cada cuadrado, luego gira y vuelve al principio.")</f>
        <v>Ella salta a lo largo de cada cuadrado, luego gira y vuelve al principio.</v>
      </c>
    </row>
    <row r="26070">
      <c r="A26070" s="4" t="s">
        <v>32813</v>
      </c>
      <c r="B26070" s="4" t="s">
        <v>32814</v>
      </c>
      <c r="C26070" s="5" t="str">
        <f>IFERROR(__xludf.DUMMYFUNCTION("GOOGLETRANSLATE(B26070,""en"",""es-ES"")"),"Una toalla y un vidrio están en una mesa junto a un trozo de espuma y metal.")</f>
        <v>Una toalla y un vidrio están en una mesa junto a un trozo de espuma y metal.</v>
      </c>
    </row>
    <row r="26071">
      <c r="A26071" s="4" t="s">
        <v>32813</v>
      </c>
      <c r="B26071" s="4" t="s">
        <v>32815</v>
      </c>
      <c r="C26071" s="5" t="str">
        <f>IFERROR(__xludf.DUMMYFUNCTION("GOOGLETRANSLATE(B26071,""en"",""es-ES"")"),"Una herramienta está siendo mostrada por un hombre que lo sostiene.")</f>
        <v>Una herramienta está siendo mostrada por un hombre que lo sostiene.</v>
      </c>
    </row>
    <row r="26072">
      <c r="A26072" s="4" t="s">
        <v>32813</v>
      </c>
      <c r="B26072" s="4" t="s">
        <v>32816</v>
      </c>
      <c r="C26072" s="5" t="str">
        <f>IFERROR(__xludf.DUMMYFUNCTION("GOOGLETRANSLATE(B26072,""en"",""es-ES"")"),"El metal se usa para afilar un cuchillo frente a él.")</f>
        <v>El metal se usa para afilar un cuchillo frente a él.</v>
      </c>
    </row>
    <row r="26073">
      <c r="A26073" s="4" t="s">
        <v>32817</v>
      </c>
      <c r="B26073" s="4" t="s">
        <v>32818</v>
      </c>
      <c r="C26073" s="5" t="str">
        <f>IFERROR(__xludf.DUMMYFUNCTION("GOOGLETRANSLATE(B26073,""en"",""es-ES"")"),"Se ve a un grupo de personas pasando el rato alrededor de un área con varias paradas alrededor de un partido de cerveza pong.")</f>
        <v>Se ve a un grupo de personas pasando el rato alrededor de un área con varias paradas alrededor de un partido de cerveza pong.</v>
      </c>
    </row>
    <row r="26074">
      <c r="A26074" s="4" t="s">
        <v>32817</v>
      </c>
      <c r="B26074" s="4" t="s">
        <v>32819</v>
      </c>
      <c r="C26074" s="5" t="str">
        <f>IFERROR(__xludf.DUMMYFUNCTION("GOOGLETRANSLATE(B26074,""en"",""es-ES"")"),"La gente juega a Beer Pong de regreso y cuarto y una mujer toma una copa al final que es asquerosa.")</f>
        <v>La gente juega a Beer Pong de regreso y cuarto y una mujer toma una copa al final que es asquerosa.</v>
      </c>
    </row>
    <row r="26075">
      <c r="A26075" s="4" t="s">
        <v>32820</v>
      </c>
      <c r="B26075" s="4" t="s">
        <v>32821</v>
      </c>
      <c r="C26075" s="5" t="str">
        <f>IFERROR(__xludf.DUMMYFUNCTION("GOOGLETRANSLATE(B26075,""en"",""es-ES"")"),"Una clase de baile está coreografiando una rutina y todos están generalmente sincronizados entre sí.")</f>
        <v>Una clase de baile está coreografiando una rutina y todos están generalmente sincronizados entre sí.</v>
      </c>
    </row>
    <row r="26076">
      <c r="A26076" s="4" t="s">
        <v>32820</v>
      </c>
      <c r="B26076" s="4" t="s">
        <v>32822</v>
      </c>
      <c r="C26076" s="5" t="str">
        <f>IFERROR(__xludf.DUMMYFUNCTION("GOOGLETRANSLATE(B26076,""en"",""es-ES"")"),"Se mueven de un lado a otro, hacia arriba y hacia abajo, y sacuden sus cofres.")</f>
        <v>Se mueven de un lado a otro, hacia arriba y hacia abajo, y sacuden sus cofres.</v>
      </c>
    </row>
    <row r="26077">
      <c r="A26077" s="4" t="s">
        <v>32823</v>
      </c>
      <c r="B26077" s="4" t="s">
        <v>32824</v>
      </c>
      <c r="C26077" s="5" t="str">
        <f>IFERROR(__xludf.DUMMYFUNCTION("GOOGLETRANSLATE(B26077,""en"",""es-ES"")"),"Un hombre con un atuendo inspirado en asiático blanco se encuentra al aire libre, rodeado de árboles, en la hierba, y realiza varios movimientos lentos de artes marciales y meditación.")</f>
        <v>Un hombre con un atuendo inspirado en asiático blanco se encuentra al aire libre, rodeado de árboles, en la hierba, y realiza varios movimientos lentos de artes marciales y meditación.</v>
      </c>
    </row>
    <row r="26078">
      <c r="A26078" s="4" t="s">
        <v>32823</v>
      </c>
      <c r="B26078" s="4" t="s">
        <v>32825</v>
      </c>
      <c r="C26078" s="5" t="str">
        <f>IFERROR(__xludf.DUMMYFUNCTION("GOOGLETRANSLATE(B26078,""en"",""es-ES"")"),"La escena comienza con un parche verde desnudo de hierba cortada rodeada de árboles altos y un edificio en el fondo más allá del follaje.")</f>
        <v>La escena comienza con un parche verde desnudo de hierba cortada rodeada de árboles altos y un edificio en el fondo más allá del follaje.</v>
      </c>
    </row>
    <row r="26079">
      <c r="A26079" s="4" t="s">
        <v>32823</v>
      </c>
      <c r="B26079" s="4" t="s">
        <v>32826</v>
      </c>
      <c r="C26079" s="5" t="str">
        <f>IFERROR(__xludf.DUMMYFUNCTION("GOOGLETRANSLATE(B26079,""en"",""es-ES"")"),"El hombre corre hacia el marco hacia el centro de la hierba, se centra y hace un elevador de piernas seguido de varios movimientos lentos de mano hacia arriba y hacia abajo y alrededor.")</f>
        <v>El hombre corre hacia el marco hacia el centro de la hierba, se centra y hace un elevador de piernas seguido de varios movimientos lentos de mano hacia arriba y hacia abajo y alrededor.</v>
      </c>
    </row>
    <row r="26080">
      <c r="A26080" s="4" t="s">
        <v>32823</v>
      </c>
      <c r="B26080" s="4" t="s">
        <v>32827</v>
      </c>
      <c r="C26080" s="5" t="str">
        <f>IFERROR(__xludf.DUMMYFUNCTION("GOOGLETRANSLATE(B26080,""en"",""es-ES"")"),"El hombre continúa realizando lentos movimientos de artes marciales usando pies, manos, rodillas y hombros que se mueven alrededor del parche de hierba y en algún momento pisoteando los pies en el suelo.")</f>
        <v>El hombre continúa realizando lentos movimientos de artes marciales usando pies, manos, rodillas y hombros que se mueven alrededor del parche de hierba y en algún momento pisoteando los pies en el suelo.</v>
      </c>
    </row>
    <row r="26081">
      <c r="A26081" s="4" t="s">
        <v>32828</v>
      </c>
      <c r="B26081" s="4" t="s">
        <v>32829</v>
      </c>
      <c r="C26081" s="5" t="str">
        <f>IFERROR(__xludf.DUMMYFUNCTION("GOOGLETRANSLATE(B26081,""en"",""es-ES"")"),"Esta es una forma de filmar sobre cómo aplicar un sello a un techo.")</f>
        <v>Esta es una forma de filmar sobre cómo aplicar un sello a un techo.</v>
      </c>
    </row>
    <row r="26082">
      <c r="A26082" s="4" t="s">
        <v>32828</v>
      </c>
      <c r="B26082" s="4" t="s">
        <v>32830</v>
      </c>
      <c r="C26082" s="5" t="str">
        <f>IFERROR(__xludf.DUMMYFUNCTION("GOOGLETRANSLATE(B26082,""en"",""es-ES"")"),"Las cosas negras se ponen al costado del techo.")</f>
        <v>Las cosas negras se ponen al costado del techo.</v>
      </c>
    </row>
    <row r="26083">
      <c r="A26083" s="4" t="s">
        <v>32828</v>
      </c>
      <c r="B26083" s="4" t="s">
        <v>32831</v>
      </c>
      <c r="C26083" s="5" t="str">
        <f>IFERROR(__xludf.DUMMYFUNCTION("GOOGLETRANSLATE(B26083,""en"",""es-ES"")"),"El techo está sellado.")</f>
        <v>El techo está sellado.</v>
      </c>
    </row>
    <row r="26084">
      <c r="A26084" s="4" t="s">
        <v>32832</v>
      </c>
      <c r="B26084" s="4" t="s">
        <v>32833</v>
      </c>
      <c r="C26084" s="5" t="str">
        <f>IFERROR(__xludf.DUMMYFUNCTION("GOOGLETRANSLATE(B26084,""en"",""es-ES"")"),"Se ve a un gran grupo de personas tocando un tira y afloja entre sí y se acerca a una cuerda.")</f>
        <v>Se ve a un gran grupo de personas tocando un tira y afloja entre sí y se acerca a una cuerda.</v>
      </c>
    </row>
    <row r="26085">
      <c r="A26085" s="4" t="s">
        <v>32832</v>
      </c>
      <c r="B26085" s="4" t="s">
        <v>32834</v>
      </c>
      <c r="C26085" s="5" t="str">
        <f>IFERROR(__xludf.DUMMYFUNCTION("GOOGLETRANSLATE(B26085,""en"",""es-ES"")"),"La gente continúa jugando entre sí y termina con un equipo ganador y la multitud animando.")</f>
        <v>La gente continúa jugando entre sí y termina con un equipo ganador y la multitud animando.</v>
      </c>
    </row>
    <row r="26086">
      <c r="A26086" s="4" t="s">
        <v>32835</v>
      </c>
      <c r="B26086" s="4" t="s">
        <v>32836</v>
      </c>
      <c r="C26086" s="5" t="str">
        <f>IFERROR(__xludf.DUMMYFUNCTION("GOOGLETRANSLATE(B26086,""en"",""es-ES"")"),"Un gráfico muestra en la pantalla para un sitio web sobre simulacros de baloncesto.")</f>
        <v>Un gráfico muestra en la pantalla para un sitio web sobre simulacros de baloncesto.</v>
      </c>
    </row>
    <row r="26087">
      <c r="A26087" s="4" t="s">
        <v>32835</v>
      </c>
      <c r="B26087" s="4" t="s">
        <v>32837</v>
      </c>
      <c r="C26087" s="5" t="str">
        <f>IFERROR(__xludf.DUMMYFUNCTION("GOOGLETRANSLATE(B26087,""en"",""es-ES"")"),"Algunos jóvenes en una cancha de baloncesto interior se muestran haciendo algunos de los ejercicios de baloncesto.")</f>
        <v>Algunos jóvenes en una cancha de baloncesto interior se muestran haciendo algunos de los ejercicios de baloncesto.</v>
      </c>
    </row>
    <row r="26088">
      <c r="A26088" s="4" t="s">
        <v>32835</v>
      </c>
      <c r="B26088" s="4" t="s">
        <v>32838</v>
      </c>
      <c r="C26088" s="5" t="str">
        <f>IFERROR(__xludf.DUMMYFUNCTION("GOOGLETRANSLATE(B26088,""en"",""es-ES"")"),"Un hombre mayor comienza a explicar los ejercicios mientras se muestran más imágenes de los jugadores que los demuestran.")</f>
        <v>Un hombre mayor comienza a explicar los ejercicios mientras se muestran más imágenes de los jugadores que los demuestran.</v>
      </c>
    </row>
    <row r="26089">
      <c r="A26089" s="4" t="s">
        <v>32835</v>
      </c>
      <c r="B26089" s="4" t="s">
        <v>32839</v>
      </c>
      <c r="C26089" s="5" t="str">
        <f>IFERROR(__xludf.DUMMYFUNCTION("GOOGLETRANSLATE(B26089,""en"",""es-ES"")"),"La pantalla se vuelve negra y más texto le recuerda al espectador que visite el sitio web para obtener más información.")</f>
        <v>La pantalla se vuelve negra y más texto le recuerda al espectador que visite el sitio web para obtener más información.</v>
      </c>
    </row>
    <row r="26090">
      <c r="A26090" s="4" t="s">
        <v>32840</v>
      </c>
      <c r="B26090" s="4" t="s">
        <v>32841</v>
      </c>
      <c r="C26090" s="5" t="str">
        <f>IFERROR(__xludf.DUMMYFUNCTION("GOOGLETRANSLATE(B26090,""en"",""es-ES"")"),"La mujer está hablando con otro de pie frente a los casilleros verdes en un pasillo, un hombre camina hacia las chicas que sostienen rosas amarillas en la mano.")</f>
        <v>La mujer está hablando con otro de pie frente a los casilleros verdes en un pasillo, un hombre camina hacia las chicas que sostienen rosas amarillas en la mano.</v>
      </c>
    </row>
    <row r="26091">
      <c r="A26091" s="4" t="s">
        <v>32840</v>
      </c>
      <c r="B26091" s="4" t="s">
        <v>32842</v>
      </c>
      <c r="C26091" s="5" t="str">
        <f>IFERROR(__xludf.DUMMYFUNCTION("GOOGLETRANSLATE(B26091,""en"",""es-ES"")"),"Una mujer entra en el pasillo sosteniendo un enjuague bucal y hablando con la cámara al respecto.")</f>
        <v>Una mujer entra en el pasillo sosteniendo un enjuague bucal y hablando con la cámara al respecto.</v>
      </c>
    </row>
    <row r="26092">
      <c r="A26092" s="4" t="s">
        <v>32840</v>
      </c>
      <c r="B26092" s="4" t="s">
        <v>32843</v>
      </c>
      <c r="C26092" s="5" t="str">
        <f>IFERROR(__xludf.DUMMYFUNCTION("GOOGLETRANSLATE(B26092,""en"",""es-ES"")"),"La mujer está frente a un lavado de manos limpiando su boca con enjuague bucal.")</f>
        <v>La mujer está frente a un lavado de manos limpiando su boca con enjuague bucal.</v>
      </c>
    </row>
    <row r="26093">
      <c r="A26093" s="4" t="s">
        <v>32840</v>
      </c>
      <c r="B26093" s="4" t="s">
        <v>32844</v>
      </c>
      <c r="C26093" s="5" t="str">
        <f>IFERROR(__xludf.DUMMYFUNCTION("GOOGLETRANSLATE(B26093,""en"",""es-ES"")"),"La mujer está en el pasillo y habla con los niños y parecen impresionados por su aliento fresco.")</f>
        <v>La mujer está en el pasillo y habla con los niños y parecen impresionados por su aliento fresco.</v>
      </c>
    </row>
    <row r="26094">
      <c r="A26094" s="4" t="s">
        <v>32845</v>
      </c>
      <c r="B26094" s="4" t="s">
        <v>32846</v>
      </c>
      <c r="C26094" s="5" t="str">
        <f>IFERROR(__xludf.DUMMYFUNCTION("GOOGLETRANSLATE(B26094,""en"",""es-ES"")"),"Se muestra un niño en un casco.")</f>
        <v>Se muestra un niño en un casco.</v>
      </c>
    </row>
    <row r="26095">
      <c r="A26095" s="4" t="s">
        <v>32845</v>
      </c>
      <c r="B26095" s="4" t="s">
        <v>32847</v>
      </c>
      <c r="C26095" s="5" t="str">
        <f>IFERROR(__xludf.DUMMYFUNCTION("GOOGLETRANSLATE(B26095,""en"",""es-ES"")"),"Varios otros niños en cascos en bicicletas se alejan de una rampa.")</f>
        <v>Varios otros niños en cascos en bicicletas se alejan de una rampa.</v>
      </c>
    </row>
    <row r="26096">
      <c r="A26096" s="4" t="s">
        <v>32845</v>
      </c>
      <c r="B26096" s="4" t="s">
        <v>32848</v>
      </c>
      <c r="C26096" s="5" t="str">
        <f>IFERROR(__xludf.DUMMYFUNCTION("GOOGLETRANSLATE(B26096,""en"",""es-ES"")"),"Un hombre corre junto a ellos.")</f>
        <v>Un hombre corre junto a ellos.</v>
      </c>
    </row>
    <row r="26097">
      <c r="A26097" s="4" t="s">
        <v>32845</v>
      </c>
      <c r="B26097" s="4" t="s">
        <v>32849</v>
      </c>
      <c r="C26097" s="5" t="str">
        <f>IFERROR(__xludf.DUMMYFUNCTION("GOOGLETRANSLATE(B26097,""en"",""es-ES"")"),"El cruce es una línea de meta.")</f>
        <v>El cruce es una línea de meta.</v>
      </c>
    </row>
    <row r="26098">
      <c r="A26098" s="4" t="s">
        <v>32850</v>
      </c>
      <c r="B26098" s="4" t="s">
        <v>32851</v>
      </c>
      <c r="C26098" s="5" t="str">
        <f>IFERROR(__xludf.DUMMYFUNCTION("GOOGLETRANSLATE(B26098,""en"",""es-ES"")"),"Aparece un video clip de efecto especial con alguien que se ejecuta en una cinta de correr y palabras blancas en el medio de la pantalla que decía ""CityNews Health"".")</f>
        <v>Aparece un video clip de efecto especial con alguien que se ejecuta en una cinta de correr y palabras blancas en el medio de la pantalla que decía "CityNews Health".</v>
      </c>
    </row>
    <row r="26099">
      <c r="A26099" s="4" t="s">
        <v>32850</v>
      </c>
      <c r="B26099" s="4" t="s">
        <v>32852</v>
      </c>
      <c r="C26099" s="5" t="str">
        <f>IFERROR(__xludf.DUMMYFUNCTION("GOOGLETRANSLATE(B26099,""en"",""es-ES"")"),"Un presentador de noticias hombre y mujer aparece sentado en taburetes, vestidos con vestimenta de trabajo y hablando con la cámara y entre sí.")</f>
        <v>Un presentador de noticias hombre y mujer aparece sentado en taburetes, vestidos con vestimenta de trabajo y hablando con la cámara y entre sí.</v>
      </c>
    </row>
    <row r="26100">
      <c r="A26100" s="4" t="s">
        <v>32850</v>
      </c>
      <c r="B26100" s="4" t="s">
        <v>32853</v>
      </c>
      <c r="C26100" s="5" t="str">
        <f>IFERROR(__xludf.DUMMYFUNCTION("GOOGLETRANSLATE(B26100,""en"",""es-ES"")"),"La mujer del presentador de noticias ahora se muestra al aire libre y hablando con la gente en una playa, y los clips de personas toman el sol, aplican loción sunna y se muestran diferentes tipos de lociones suntas.")</f>
        <v>La mujer del presentador de noticias ahora se muestra al aire libre y hablando con la gente en una playa, y los clips de personas toman el sol, aplican loción sunna y se muestran diferentes tipos de lociones suntas.</v>
      </c>
    </row>
    <row r="26101">
      <c r="A26101" s="4" t="s">
        <v>32850</v>
      </c>
      <c r="B26101" s="4" t="s">
        <v>32854</v>
      </c>
      <c r="C26101" s="5" t="str">
        <f>IFERROR(__xludf.DUMMYFUNCTION("GOOGLETRANSLATE(B26101,""en"",""es-ES"")"),"La mujer del presentador de noticias ahora está sentada en la playa, sosteniendo una botella de loción sunna y comienza a aplicar loción en todo el brazo.")</f>
        <v>La mujer del presentador de noticias ahora está sentada en la playa, sosteniendo una botella de loción sunna y comienza a aplicar loción en todo el brazo.</v>
      </c>
    </row>
    <row r="26102">
      <c r="A26102" s="4" t="s">
        <v>32850</v>
      </c>
      <c r="B26102" s="4" t="s">
        <v>32855</v>
      </c>
      <c r="C26102" s="5" t="str">
        <f>IFERROR(__xludf.DUMMYFUNCTION("GOOGLETRANSLATE(B26102,""en"",""es-ES"")"),"Aparece un nuevo clip con la mujer de noticias entrevistando a un médico, luego se muestra a una mujer sentada en una silla mientras el médico está de pie hablando con ella, y el banner a continuación dice que su nombre es ""Dr. Paul Cohen Dermatólogo"" y"&amp;" varios clips de personas Jugar al sol juega entre él hablando.")</f>
        <v>Aparece un nuevo clip con la mujer de noticias entrevistando a un médico, luego se muestra a una mujer sentada en una silla mientras el médico está de pie hablando con ella, y el banner a continuación dice que su nombre es "Dr. Paul Cohen Dermatólogo" y varios clips de personas Jugar al sol juega entre él hablando.</v>
      </c>
    </row>
    <row r="26103">
      <c r="A26103" s="4" t="s">
        <v>32850</v>
      </c>
      <c r="B26103" s="4" t="s">
        <v>32856</v>
      </c>
      <c r="C26103" s="5" t="str">
        <f>IFERROR(__xludf.DUMMYFUNCTION("GOOGLETRANSLATE(B26103,""en"",""es-ES"")"),"La mujer del presentador de noticias está de vuelta en el interior del hombre con el que se le mostró antes y terminan con una sonrisa.")</f>
        <v>La mujer del presentador de noticias está de vuelta en el interior del hombre con el que se le mostró antes y terminan con una sonrisa.</v>
      </c>
    </row>
    <row r="26104">
      <c r="A26104" s="4" t="s">
        <v>32857</v>
      </c>
      <c r="B26104" s="4" t="s">
        <v>32858</v>
      </c>
      <c r="C26104" s="5" t="str">
        <f>IFERROR(__xludf.DUMMYFUNCTION("GOOGLETRANSLATE(B26104,""en"",""es-ES"")"),"Se muestran varios clips de hombres que hablan entre sí, además de viajar en una bicicleta de tierra.")</f>
        <v>Se muestran varios clips de hombres que hablan entre sí, además de viajar en una bicicleta de tierra.</v>
      </c>
    </row>
    <row r="26105">
      <c r="A26105" s="4" t="s">
        <v>32857</v>
      </c>
      <c r="B26105" s="4" t="s">
        <v>32859</v>
      </c>
      <c r="C26105" s="5" t="str">
        <f>IFERROR(__xludf.DUMMYFUNCTION("GOOGLETRANSLATE(B26105,""en"",""es-ES"")"),"Se muestran más clips de personas que viajan y animan entre sí.")</f>
        <v>Se muestran más clips de personas que viajan y animan entre sí.</v>
      </c>
    </row>
    <row r="26106">
      <c r="A26106" s="4" t="s">
        <v>32857</v>
      </c>
      <c r="B26106" s="4" t="s">
        <v>32860</v>
      </c>
      <c r="C26106" s="5" t="str">
        <f>IFERROR(__xludf.DUMMYFUNCTION("GOOGLETRANSLATE(B26106,""en"",""es-ES"")"),"Los jinetes continúan dando la vuelta a la pista y al final del final.")</f>
        <v>Los jinetes continúan dando la vuelta a la pista y al final del final.</v>
      </c>
    </row>
    <row r="26107">
      <c r="A26107" s="4" t="s">
        <v>32861</v>
      </c>
      <c r="B26107" s="4" t="s">
        <v>32862</v>
      </c>
      <c r="C26107" s="5" t="str">
        <f>IFERROR(__xludf.DUMMYFUNCTION("GOOGLETRANSLATE(B26107,""en"",""es-ES"")"),"Un gran Burguer está en una mesa.")</f>
        <v>Un gran Burguer está en una mesa.</v>
      </c>
    </row>
    <row r="26108">
      <c r="A26108" s="4" t="s">
        <v>32861</v>
      </c>
      <c r="B26108" s="4" t="s">
        <v>32863</v>
      </c>
      <c r="C26108" s="5" t="str">
        <f>IFERROR(__xludf.DUMMYFUNCTION("GOOGLETRANSLATE(B26108,""en"",""es-ES"")"),"Mujer está hablando con la cámara lijando con una pared con muchos fondos de pantalla.")</f>
        <v>Mujer está hablando con la cámara lijando con una pared con muchos fondos de pantalla.</v>
      </c>
    </row>
    <row r="26109">
      <c r="A26109" s="4" t="s">
        <v>32861</v>
      </c>
      <c r="B26109" s="4" t="s">
        <v>32864</v>
      </c>
      <c r="C26109" s="5" t="str">
        <f>IFERROR(__xludf.DUMMYFUNCTION("GOOGLETRANSLATE(B26109,""en"",""es-ES"")"),"Mujer tome un sándwich y extienda mantequilla, luego ponga encurtidos, queso cheddar, mermelada y cerdo, luego ponga mantequilla encima y tostada, cuando el sándwich está listo en la mitad y se está sirviendo en un plato.")</f>
        <v>Mujer tome un sándwich y extienda mantequilla, luego ponga encurtidos, queso cheddar, mermelada y cerdo, luego ponga mantequilla encima y tostada, cuando el sándwich está listo en la mitad y se está sirviendo en un plato.</v>
      </c>
    </row>
    <row r="26110">
      <c r="A26110" s="4" t="s">
        <v>32865</v>
      </c>
      <c r="B26110" s="4" t="s">
        <v>32866</v>
      </c>
      <c r="C26110" s="5" t="str">
        <f>IFERROR(__xludf.DUMMYFUNCTION("GOOGLETRANSLATE(B26110,""en"",""es-ES"")"),"La gente monta autos para el parachoques en un piso marrón.")</f>
        <v>La gente monta autos para el parachoques en un piso marrón.</v>
      </c>
    </row>
    <row r="26111">
      <c r="A26111" s="4" t="s">
        <v>32865</v>
      </c>
      <c r="B26111" s="4" t="s">
        <v>32867</v>
      </c>
      <c r="C26111" s="5" t="str">
        <f>IFERROR(__xludf.DUMMYFUNCTION("GOOGLETRANSLATE(B26111,""en"",""es-ES"")"),"El coche de parachoques rojo de un niño se atasca en la columna.")</f>
        <v>El coche de parachoques rojo de un niño se atasca en la columna.</v>
      </c>
    </row>
    <row r="26112">
      <c r="A26112" s="4" t="s">
        <v>32865</v>
      </c>
      <c r="B26112" s="4" t="s">
        <v>32868</v>
      </c>
      <c r="C26112" s="5" t="str">
        <f>IFERROR(__xludf.DUMMYFUNCTION("GOOGLETRANSLATE(B26112,""en"",""es-ES"")"),"Una dama con un Jilbab Black Waves.")</f>
        <v>Una dama con un Jilbab Black Waves.</v>
      </c>
    </row>
    <row r="26113">
      <c r="A26113" s="4" t="s">
        <v>32865</v>
      </c>
      <c r="B26113" s="4" t="s">
        <v>32869</v>
      </c>
      <c r="C26113" s="5" t="str">
        <f>IFERROR(__xludf.DUMMYFUNCTION("GOOGLETRANSLATE(B26113,""en"",""es-ES"")"),"El coche de parachoques Lady choca con el de un hombre.")</f>
        <v>El coche de parachoques Lady choca con el de un hombre.</v>
      </c>
    </row>
    <row r="26114">
      <c r="A26114" s="4" t="s">
        <v>32865</v>
      </c>
      <c r="B26114" s="4" t="s">
        <v>32870</v>
      </c>
      <c r="C26114" s="5" t="str">
        <f>IFERROR(__xludf.DUMMYFUNCTION("GOOGLETRANSLATE(B26114,""en"",""es-ES"")"),"Un chico camina por el piso marrón.")</f>
        <v>Un chico camina por el piso marrón.</v>
      </c>
    </row>
    <row r="26115">
      <c r="A26115" s="4" t="s">
        <v>32871</v>
      </c>
      <c r="B26115" s="4" t="s">
        <v>32872</v>
      </c>
      <c r="C26115" s="5" t="str">
        <f>IFERROR(__xludf.DUMMYFUNCTION("GOOGLETRANSLATE(B26115,""en"",""es-ES"")"),"Se ve a un hombre colocando productos en el cabello de una mujer seguido de una soplado que se seca el cabello y lo cepilló.")</f>
        <v>Se ve a un hombre colocando productos en el cabello de una mujer seguido de una soplado que se seca el cabello y lo cepilló.</v>
      </c>
    </row>
    <row r="26116">
      <c r="A26116" s="4" t="s">
        <v>32871</v>
      </c>
      <c r="B26116" s="4" t="s">
        <v>32873</v>
      </c>
      <c r="C26116" s="5" t="str">
        <f>IFERROR(__xludf.DUMMYFUNCTION("GOOGLETRANSLATE(B26116,""en"",""es-ES"")"),"La persona luego corta el cabello de la mujer varias pulgadas mientras se mueve más lento al final.")</f>
        <v>La persona luego corta el cabello de la mujer varias pulgadas mientras se mueve más lento al final.</v>
      </c>
    </row>
    <row r="26117">
      <c r="A26117" s="4" t="s">
        <v>32874</v>
      </c>
      <c r="B26117" s="4" t="s">
        <v>32875</v>
      </c>
      <c r="C26117" s="5" t="str">
        <f>IFERROR(__xludf.DUMMYFUNCTION("GOOGLETRANSLATE(B26117,""en"",""es-ES"")"),"Un grupo de modelos se recoge en un lavado de autos.")</f>
        <v>Un grupo de modelos se recoge en un lavado de autos.</v>
      </c>
    </row>
    <row r="26118">
      <c r="A26118" s="4" t="s">
        <v>32874</v>
      </c>
      <c r="B26118" s="4" t="s">
        <v>32876</v>
      </c>
      <c r="C26118" s="5" t="str">
        <f>IFERROR(__xludf.DUMMYFUNCTION("GOOGLETRANSLATE(B26118,""en"",""es-ES"")"),"Los autos se detienen y la mujer usa jabón para jabón por los autos.")</f>
        <v>Los autos se detienen y la mujer usa jabón para jabón por los autos.</v>
      </c>
    </row>
    <row r="26119">
      <c r="A26119" s="4" t="s">
        <v>32874</v>
      </c>
      <c r="B26119" s="4" t="s">
        <v>32877</v>
      </c>
      <c r="C26119" s="5" t="str">
        <f>IFERROR(__xludf.DUMMYFUNCTION("GOOGLETRANSLATE(B26119,""en"",""es-ES"")"),"Luego enjuagan y limpian los autos.")</f>
        <v>Luego enjuagan y limpian los autos.</v>
      </c>
    </row>
    <row r="26120">
      <c r="A26120" s="4" t="s">
        <v>32878</v>
      </c>
      <c r="B26120" s="4" t="s">
        <v>32879</v>
      </c>
      <c r="C26120" s="5" t="str">
        <f>IFERROR(__xludf.DUMMYFUNCTION("GOOGLETRANSLATE(B26120,""en"",""es-ES"")"),"Un niño pequeño está jugando en el gimnasio de la jungla mientras un hombre habla con él y registra.")</f>
        <v>Un niño pequeño está jugando en el gimnasio de la jungla mientras un hombre habla con él y registra.</v>
      </c>
    </row>
    <row r="26121">
      <c r="A26121" s="4" t="s">
        <v>32878</v>
      </c>
      <c r="B26121" s="4" t="s">
        <v>32880</v>
      </c>
      <c r="C26121" s="5" t="str">
        <f>IFERROR(__xludf.DUMMYFUNCTION("GOOGLETRANSLATE(B26121,""en"",""es-ES"")"),"Sube las escaleras y se desliza por el tobogán varias veces.")</f>
        <v>Sube las escaleras y se desliza por el tobogán varias veces.</v>
      </c>
    </row>
    <row r="26122">
      <c r="A26122" s="4" t="s">
        <v>32878</v>
      </c>
      <c r="B26122" s="4" t="s">
        <v>32881</v>
      </c>
      <c r="C26122" s="5" t="str">
        <f>IFERROR(__xludf.DUMMYFUNCTION("GOOGLETRANSLATE(B26122,""en"",""es-ES"")"),"Cuando termina, se acerca y abraza a una dama en una silla de ruedas.")</f>
        <v>Cuando termina, se acerca y abraza a una dama en una silla de ruedas.</v>
      </c>
    </row>
    <row r="26123">
      <c r="A26123" s="4" t="s">
        <v>32882</v>
      </c>
      <c r="B26123" s="4" t="s">
        <v>32883</v>
      </c>
      <c r="C26123" s="5" t="str">
        <f>IFERROR(__xludf.DUMMYFUNCTION("GOOGLETRANSLATE(B26123,""en"",""es-ES"")"),"Hay un especialista en mejoras para el hogar que demuestra cómo eliminar el papel tapiz de las paredes.")</f>
        <v>Hay un especialista en mejoras para el hogar que demuestra cómo eliminar el papel tapiz de las paredes.</v>
      </c>
    </row>
    <row r="26124">
      <c r="A26124" s="4" t="s">
        <v>32882</v>
      </c>
      <c r="B26124" s="4" t="s">
        <v>32884</v>
      </c>
      <c r="C26124" s="5" t="str">
        <f>IFERROR(__xludf.DUMMYFUNCTION("GOOGLETRANSLATE(B26124,""en"",""es-ES"")"),"Comienza preparando el espacio alejando los muebles de las paredes y cubriendo los muebles con sábanas de plástico para protección.")</f>
        <v>Comienza preparando el espacio alejando los muebles de las paredes y cubriendo los muebles con sábanas de plástico para protección.</v>
      </c>
    </row>
    <row r="26125">
      <c r="A26125" s="4" t="s">
        <v>32882</v>
      </c>
      <c r="B26125" s="4" t="s">
        <v>32885</v>
      </c>
      <c r="C26125" s="5" t="str">
        <f>IFERROR(__xludf.DUMMYFUNCTION("GOOGLETRANSLATE(B26125,""en"",""es-ES"")"),"También elimina los tratamientos de la ventana de Windows.")</f>
        <v>También elimina los tratamientos de la ventana de Windows.</v>
      </c>
    </row>
    <row r="26126">
      <c r="A26126" s="4" t="s">
        <v>32882</v>
      </c>
      <c r="B26126" s="4" t="s">
        <v>32886</v>
      </c>
      <c r="C26126" s="5" t="str">
        <f>IFERROR(__xludf.DUMMYFUNCTION("GOOGLETRANSLATE(B26126,""en"",""es-ES"")"),"Muestra cómo tomar medidas de precaución con respecto al cableado eléctrico e interruptores y circuitos.")</f>
        <v>Muestra cómo tomar medidas de precaución con respecto al cableado eléctrico e interruptores y circuitos.</v>
      </c>
    </row>
    <row r="26127">
      <c r="A26127" s="4" t="s">
        <v>32882</v>
      </c>
      <c r="B26127" s="4" t="s">
        <v>32887</v>
      </c>
      <c r="C26127" s="5" t="str">
        <f>IFERROR(__xludf.DUMMYFUNCTION("GOOGLETRANSLATE(B26127,""en"",""es-ES"")"),"Luego muestra cómo usar los fanáticos para ventilar la habitación.")</f>
        <v>Luego muestra cómo usar los fanáticos para ventilar la habitación.</v>
      </c>
    </row>
    <row r="26128">
      <c r="A26128" s="4" t="s">
        <v>32882</v>
      </c>
      <c r="B26128" s="4" t="s">
        <v>32888</v>
      </c>
      <c r="C26128" s="5" t="str">
        <f>IFERROR(__xludf.DUMMYFUNCTION("GOOGLETRANSLATE(B26128,""en"",""es-ES"")"),"Él toma un fregado y comienza a recorrer el papel de la pared.")</f>
        <v>Él toma un fregado y comienza a recorrer el papel de la pared.</v>
      </c>
    </row>
    <row r="26129">
      <c r="A26129" s="4" t="s">
        <v>32882</v>
      </c>
      <c r="B26129" s="4" t="s">
        <v>32889</v>
      </c>
      <c r="C26129" s="5" t="str">
        <f>IFERROR(__xludf.DUMMYFUNCTION("GOOGLETRANSLATE(B26129,""en"",""es-ES"")"),"Utiliza un rodillo de pintura para remojar el papel de pared para una fácil eliminación.")</f>
        <v>Utiliza un rodillo de pintura para remojar el papel de pared para una fácil eliminación.</v>
      </c>
    </row>
    <row r="26130">
      <c r="A26130" s="4" t="s">
        <v>32882</v>
      </c>
      <c r="B26130" s="4" t="s">
        <v>32890</v>
      </c>
      <c r="C26130" s="5" t="str">
        <f>IFERROR(__xludf.DUMMYFUNCTION("GOOGLETRANSLATE(B26130,""en"",""es-ES"")"),"Luego demuestra cómo se puede usar el vapor para aflojar el papel de la pared.")</f>
        <v>Luego demuestra cómo se puede usar el vapor para aflojar el papel de la pared.</v>
      </c>
    </row>
    <row r="26131">
      <c r="A26131" s="4" t="s">
        <v>32882</v>
      </c>
      <c r="B26131" s="4" t="s">
        <v>32891</v>
      </c>
      <c r="C26131" s="5" t="str">
        <f>IFERROR(__xludf.DUMMYFUNCTION("GOOGLETRANSLATE(B26131,""en"",""es-ES"")"),"Luego comienza a despegar lentamente el papel de la pared.")</f>
        <v>Luego comienza a despegar lentamente el papel de la pared.</v>
      </c>
    </row>
    <row r="26132">
      <c r="A26132" s="4" t="s">
        <v>32882</v>
      </c>
      <c r="B26132" s="4" t="s">
        <v>32892</v>
      </c>
      <c r="C26132" s="5" t="str">
        <f>IFERROR(__xludf.DUMMYFUNCTION("GOOGLETRANSLATE(B26132,""en"",""es-ES"")"),"Reviene la superficie y usa una herramienta plana para eliminar cualquier papel de pared terco.")</f>
        <v>Reviene la superficie y usa una herramienta plana para eliminar cualquier papel de pared terco.</v>
      </c>
    </row>
    <row r="26133">
      <c r="A26133" s="4" t="s">
        <v>32882</v>
      </c>
      <c r="B26133" s="4" t="s">
        <v>32893</v>
      </c>
      <c r="C26133" s="5" t="str">
        <f>IFERROR(__xludf.DUMMYFUNCTION("GOOGLETRANSLATE(B26133,""en"",""es-ES"")"),"Finalmente usa una esponja y agua de jabón para limpiar la pared para eliminar cualquier papel de pared residual.")</f>
        <v>Finalmente usa una esponja y agua de jabón para limpiar la pared para eliminar cualquier papel de pared residual.</v>
      </c>
    </row>
    <row r="26134">
      <c r="A26134" s="4" t="s">
        <v>32882</v>
      </c>
      <c r="B26134" s="4" t="s">
        <v>32894</v>
      </c>
      <c r="C26134" s="5" t="str">
        <f>IFERROR(__xludf.DUMMYFUNCTION("GOOGLETRANSLATE(B26134,""en"",""es-ES"")"),"Muestra cómo aplicar imprimación para preparar la pared para pintar.")</f>
        <v>Muestra cómo aplicar imprimación para preparar la pared para pintar.</v>
      </c>
    </row>
    <row r="26135">
      <c r="A26135" s="4" t="s">
        <v>32882</v>
      </c>
      <c r="B26135" s="4" t="s">
        <v>32895</v>
      </c>
      <c r="C26135" s="5" t="str">
        <f>IFERROR(__xludf.DUMMYFUNCTION("GOOGLETRANSLATE(B26135,""en"",""es-ES"")"),"Se proporciona información sobre cómo usar estas técnicas en el sitio web de la compañía de Lowe.")</f>
        <v>Se proporciona información sobre cómo usar estas técnicas en el sitio web de la compañía de Lowe.</v>
      </c>
    </row>
    <row r="26136">
      <c r="A26136" s="4" t="s">
        <v>32896</v>
      </c>
      <c r="B26136" s="4" t="s">
        <v>32897</v>
      </c>
      <c r="C26136" s="5" t="str">
        <f>IFERROR(__xludf.DUMMYFUNCTION("GOOGLETRANSLATE(B26136,""en"",""es-ES"")"),"El chef está lijar frente a un cosechador con ingredientes picados en diferentes platos y hablando con la cámara.")</f>
        <v>El chef está lijar frente a un cosechador con ingredientes picados en diferentes platos y hablando con la cámara.</v>
      </c>
    </row>
    <row r="26137">
      <c r="A26137" s="4" t="s">
        <v>32896</v>
      </c>
      <c r="B26137" s="4" t="s">
        <v>32898</v>
      </c>
      <c r="C26137" s="5" t="str">
        <f>IFERROR(__xludf.DUMMYFUNCTION("GOOGLETRANSLATE(B26137,""en"",""es-ES"")"),"El hombre rocía aceite en la sartén y agregue la mezcla de los huevos y las verduras.")</f>
        <v>El hombre rocía aceite en la sartén y agregue la mezcla de los huevos y las verduras.</v>
      </c>
    </row>
    <row r="26138">
      <c r="A26138" s="4" t="s">
        <v>32896</v>
      </c>
      <c r="B26138" s="4" t="s">
        <v>32899</v>
      </c>
      <c r="C26138" s="5" t="str">
        <f>IFERROR(__xludf.DUMMYFUNCTION("GOOGLETRANSLATE(B26138,""en"",""es-ES"")"),"El hombre está de pie en la cocina hablando con la cámara dando una receta.")</f>
        <v>El hombre está de pie en la cocina hablando con la cámara dando una receta.</v>
      </c>
    </row>
    <row r="26139">
      <c r="A26139" s="4" t="s">
        <v>32900</v>
      </c>
      <c r="B26139" s="4" t="s">
        <v>32901</v>
      </c>
      <c r="C26139" s="5" t="str">
        <f>IFERROR(__xludf.DUMMYFUNCTION("GOOGLETRANSLATE(B26139,""en"",""es-ES"")"),"Dos equipos están en el juego de playa de campo tratando de anotar.")</f>
        <v>Dos equipos están en el juego de playa de campo tratando de anotar.</v>
      </c>
    </row>
    <row r="26140">
      <c r="A26140" s="4" t="s">
        <v>32900</v>
      </c>
      <c r="B26140" s="4" t="s">
        <v>32902</v>
      </c>
      <c r="C26140" s="5" t="str">
        <f>IFERROR(__xludf.DUMMYFUNCTION("GOOGLETRANSLATE(B26140,""en"",""es-ES"")"),"Uno de los jugadores del equipo azul cae en el campo.")</f>
        <v>Uno de los jugadores del equipo azul cae en el campo.</v>
      </c>
    </row>
    <row r="26141">
      <c r="A26141" s="4" t="s">
        <v>32900</v>
      </c>
      <c r="B26141" s="4" t="s">
        <v>32903</v>
      </c>
      <c r="C26141" s="5" t="str">
        <f>IFERROR(__xludf.DUMMYFUNCTION("GOOGLETRANSLATE(B26141,""en"",""es-ES"")"),"Otro jugador azul saca la pelota de los límites, la pone en la línea y vuelve al juego.")</f>
        <v>Otro jugador azul saca la pelota de los límites, la pone en la línea y vuelve al juego.</v>
      </c>
    </row>
    <row r="26142">
      <c r="A26142" s="4" t="s">
        <v>32900</v>
      </c>
      <c r="B26142" s="4" t="s">
        <v>32904</v>
      </c>
      <c r="C26142" s="5" t="str">
        <f>IFERROR(__xludf.DUMMYFUNCTION("GOOGLETRANSLATE(B26142,""en"",""es-ES"")"),"Los entrenadores de TE comienzan a saltar con alegría y los jugadores.")</f>
        <v>Los entrenadores de TE comienzan a saltar con alegría y los jugadores.</v>
      </c>
    </row>
    <row r="26143">
      <c r="A26143" s="4" t="s">
        <v>32905</v>
      </c>
      <c r="B26143" s="4" t="s">
        <v>32906</v>
      </c>
      <c r="C26143" s="5" t="str">
        <f>IFERROR(__xludf.DUMMYFUNCTION("GOOGLETRANSLATE(B26143,""en"",""es-ES"")"),"Dos hombres están arrastrando las escobas en un piso con otro tirando de una cuerda.")</f>
        <v>Dos hombres están arrastrando las escobas en un piso con otro tirando de una cuerda.</v>
      </c>
    </row>
    <row r="26144">
      <c r="A26144" s="4" t="s">
        <v>32905</v>
      </c>
      <c r="B26144" s="4" t="s">
        <v>32907</v>
      </c>
      <c r="C26144" s="5" t="str">
        <f>IFERROR(__xludf.DUMMYFUNCTION("GOOGLETRANSLATE(B26144,""en"",""es-ES"")"),"Un hombre sigue y los dos barajando finalmente mueven el disco a un agujero.")</f>
        <v>Un hombre sigue y los dos barajando finalmente mueven el disco a un agujero.</v>
      </c>
    </row>
    <row r="26145">
      <c r="A26145" s="4" t="s">
        <v>32905</v>
      </c>
      <c r="B26145" s="4" t="s">
        <v>32908</v>
      </c>
      <c r="C26145" s="5" t="str">
        <f>IFERROR(__xludf.DUMMYFUNCTION("GOOGLETRANSLATE(B26145,""en"",""es-ES"")"),"Los tres hombres se animan y se dan grandes abrazos.")</f>
        <v>Los tres hombres se animan y se dan grandes abrazos.</v>
      </c>
    </row>
    <row r="26146">
      <c r="A26146" s="4" t="s">
        <v>32909</v>
      </c>
      <c r="B26146" s="4" t="s">
        <v>32910</v>
      </c>
      <c r="C26146" s="5" t="str">
        <f>IFERROR(__xludf.DUMMYFUNCTION("GOOGLETRANSLATE(B26146,""en"",""es-ES"")"),"El video comienza con un primer plano de un neumático en una tienda de automóviles.")</f>
        <v>El video comienza con un primer plano de un neumático en una tienda de automóviles.</v>
      </c>
    </row>
    <row r="26147">
      <c r="A26147" s="4" t="s">
        <v>32909</v>
      </c>
      <c r="B26147" s="4" t="s">
        <v>32911</v>
      </c>
      <c r="C26147" s="5" t="str">
        <f>IFERROR(__xludf.DUMMYFUNCTION("GOOGLETRANSLATE(B26147,""en"",""es-ES"")"),"El camarógrafo usa su mano para mostrar un lugar específico en el neumático y acercarse más.")</f>
        <v>El camarógrafo usa su mano para mostrar un lugar específico en el neumático y acercarse más.</v>
      </c>
    </row>
    <row r="26148">
      <c r="A26148" s="4" t="s">
        <v>32909</v>
      </c>
      <c r="B26148" s="4" t="s">
        <v>32912</v>
      </c>
      <c r="C26148" s="5" t="str">
        <f>IFERROR(__xludf.DUMMYFUNCTION("GOOGLETRANSLATE(B26148,""en"",""es-ES"")"),"El hombre baja la cámara y comienza a trabajar en el neumático.")</f>
        <v>El hombre baja la cámara y comienza a trabajar en el neumático.</v>
      </c>
    </row>
    <row r="26149">
      <c r="A26149" s="4" t="s">
        <v>32909</v>
      </c>
      <c r="B26149" s="4" t="s">
        <v>32913</v>
      </c>
      <c r="C26149" s="5" t="str">
        <f>IFERROR(__xludf.DUMMYFUNCTION("GOOGLETRANSLATE(B26149,""en"",""es-ES"")"),"Agarra la cámara nuevamente para mostrar diferentes tornillos.")</f>
        <v>Agarra la cámara nuevamente para mostrar diferentes tornillos.</v>
      </c>
    </row>
    <row r="26150">
      <c r="A26150" s="4" t="s">
        <v>32909</v>
      </c>
      <c r="B26150" s="4" t="s">
        <v>32914</v>
      </c>
      <c r="C26150" s="5" t="str">
        <f>IFERROR(__xludf.DUMMYFUNCTION("GOOGLETRANSLATE(B26150,""en"",""es-ES"")"),"El video termina que muestra ambos lados del neumático.")</f>
        <v>El video termina que muestra ambos lados del neumático.</v>
      </c>
    </row>
    <row r="26151">
      <c r="A26151" s="4" t="s">
        <v>32915</v>
      </c>
      <c r="B26151" s="4" t="s">
        <v>32916</v>
      </c>
      <c r="C26151" s="5" t="str">
        <f>IFERROR(__xludf.DUMMYFUNCTION("GOOGLETRANSLATE(B26151,""en"",""es-ES"")"),"La cámara se mueve sobre las paredes de una ducha.")</f>
        <v>La cámara se mueve sobre las paredes de una ducha.</v>
      </c>
    </row>
    <row r="26152">
      <c r="A26152" s="4" t="s">
        <v>32915</v>
      </c>
      <c r="B26152" s="4" t="s">
        <v>32917</v>
      </c>
      <c r="C26152" s="5" t="str">
        <f>IFERROR(__xludf.DUMMYFUNCTION("GOOGLETRANSLATE(B26152,""en"",""es-ES"")"),"Un hombre se pone enojar e instala azulejos en la pared.")</f>
        <v>Un hombre se pone enojar e instala azulejos en la pared.</v>
      </c>
    </row>
    <row r="26153">
      <c r="A26153" s="4" t="s">
        <v>32915</v>
      </c>
      <c r="B26153" s="4" t="s">
        <v>24144</v>
      </c>
      <c r="C26153" s="5" t="str">
        <f>IFERROR(__xludf.DUMMYFUNCTION("GOOGLETRANSLATE(B26153,""en"",""es-ES"")"),"El hombre habla con la cámara.")</f>
        <v>El hombre habla con la cámara.</v>
      </c>
    </row>
    <row r="26154">
      <c r="A26154" s="4" t="s">
        <v>32915</v>
      </c>
      <c r="B26154" s="4" t="s">
        <v>32918</v>
      </c>
      <c r="C26154" s="5" t="str">
        <f>IFERROR(__xludf.DUMMYFUNCTION("GOOGLETRANSLATE(B26154,""en"",""es-ES"")"),"El hombre aplica la lechada a los espacios entre los mosaicos.")</f>
        <v>El hombre aplica la lechada a los espacios entre los mosaicos.</v>
      </c>
    </row>
    <row r="26155">
      <c r="A26155" s="4" t="s">
        <v>32915</v>
      </c>
      <c r="B26155" s="4" t="s">
        <v>32919</v>
      </c>
      <c r="C26155" s="5" t="str">
        <f>IFERROR(__xludf.DUMMYFUNCTION("GOOGLETRANSLATE(B26155,""en"",""es-ES"")"),"El hombre mide y corta un mosaico para la instalación en la ducha.")</f>
        <v>El hombre mide y corta un mosaico para la instalación en la ducha.</v>
      </c>
    </row>
    <row r="26156">
      <c r="A26156" s="4" t="s">
        <v>32915</v>
      </c>
      <c r="B26156" s="4" t="s">
        <v>32920</v>
      </c>
      <c r="C26156" s="5" t="str">
        <f>IFERROR(__xludf.DUMMYFUNCTION("GOOGLETRANSLATE(B26156,""en"",""es-ES"")"),"El hombre instala el plato de jabón.")</f>
        <v>El hombre instala el plato de jabón.</v>
      </c>
    </row>
    <row r="26157">
      <c r="A26157" s="4" t="s">
        <v>32915</v>
      </c>
      <c r="B26157" s="4" t="s">
        <v>32921</v>
      </c>
      <c r="C26157" s="5" t="str">
        <f>IFERROR(__xludf.DUMMYFUNCTION("GOOGLETRANSLATE(B26157,""en"",""es-ES"")"),"El texto de desplazamiento se muestra en una pantalla azul.")</f>
        <v>El texto de desplazamiento se muestra en una pantalla azul.</v>
      </c>
    </row>
    <row r="26158">
      <c r="A26158" s="4" t="s">
        <v>32922</v>
      </c>
      <c r="B26158" s="4" t="s">
        <v>32923</v>
      </c>
      <c r="C26158" s="5" t="str">
        <f>IFERROR(__xludf.DUMMYFUNCTION("GOOGLETRANSLATE(B26158,""en"",""es-ES"")"),"Hay una instalación abierta solo para juegos de cerveza para que la gente pueda venir a jugar.")</f>
        <v>Hay una instalación abierta solo para juegos de cerveza para que la gente pueda venir a jugar.</v>
      </c>
    </row>
    <row r="26159">
      <c r="A26159" s="4" t="s">
        <v>32922</v>
      </c>
      <c r="B26159" s="4" t="s">
        <v>32924</v>
      </c>
      <c r="C26159" s="5" t="str">
        <f>IFERROR(__xludf.DUMMYFUNCTION("GOOGLETRANSLATE(B26159,""en"",""es-ES"")"),"A todos les encanta y están emocionados de estar allí con otras personas a las que les gusta jugar.")</f>
        <v>A todos les encanta y están emocionados de estar allí con otras personas a las que les gusta jugar.</v>
      </c>
    </row>
    <row r="26160">
      <c r="A26160" s="4" t="s">
        <v>32922</v>
      </c>
      <c r="B26160" s="4" t="s">
        <v>32925</v>
      </c>
      <c r="C26160" s="5" t="str">
        <f>IFERROR(__xludf.DUMMYFUNCTION("GOOGLETRANSLATE(B26160,""en"",""es-ES"")"),"Muchos grupos diferentes están jugando y hablando de ello, así como incluso tocando las tijeras de papel de rock para ver quién puede ir primero.")</f>
        <v>Muchos grupos diferentes están jugando y hablando de ello, así como incluso tocando las tijeras de papel de rock para ver quién puede ir primero.</v>
      </c>
    </row>
    <row r="26161">
      <c r="A26161" s="4" t="s">
        <v>32922</v>
      </c>
      <c r="B26161" s="4" t="s">
        <v>32926</v>
      </c>
      <c r="C26161" s="5" t="str">
        <f>IFERROR(__xludf.DUMMYFUNCTION("GOOGLETRANSLATE(B26161,""en"",""es-ES"")"),"Quien sea el ganador recibe un cheque al final del juego.")</f>
        <v>Quien sea el ganador recibe un cheque al final del juego.</v>
      </c>
    </row>
    <row r="26162">
      <c r="A26162" s="4" t="s">
        <v>32927</v>
      </c>
      <c r="B26162" s="4" t="s">
        <v>32928</v>
      </c>
      <c r="C26162" s="5" t="str">
        <f>IFERROR(__xludf.DUMMYFUNCTION("GOOGLETRANSLATE(B26162,""en"",""es-ES"")"),"Un gran grupo de personas está en un centro comercial y está viendo a las personas establecer un área con un gran piso negro y una gran pared negra.")</f>
        <v>Un gran grupo de personas está en un centro comercial y está viendo a las personas establecer un área con un gran piso negro y una gran pared negra.</v>
      </c>
    </row>
    <row r="26163">
      <c r="A26163" s="4" t="s">
        <v>32927</v>
      </c>
      <c r="B26163" s="4" t="s">
        <v>32929</v>
      </c>
      <c r="C26163" s="5" t="str">
        <f>IFERROR(__xludf.DUMMYFUNCTION("GOOGLETRANSLATE(B26163,""en"",""es-ES"")"),"De repente, hay personas iluminadas con trajes de luz que bailan en el área negra y cambian de 1-7 personas, y alternan los colores del traje de blanco, luego al rojo y luego de regreso a blanco nuevamente.")</f>
        <v>De repente, hay personas iluminadas con trajes de luz que bailan en el área negra y cambian de 1-7 personas, y alternan los colores del traje de blanco, luego al rojo y luego de regreso a blanco nuevamente.</v>
      </c>
    </row>
    <row r="26164">
      <c r="A26164" s="4" t="s">
        <v>32927</v>
      </c>
      <c r="B26164" s="4" t="s">
        <v>32930</v>
      </c>
      <c r="C26164" s="5" t="str">
        <f>IFERROR(__xludf.DUMMYFUNCTION("GOOGLETRANSLATE(B26164,""en"",""es-ES"")"),"Sus trajes de luz se apagan y el baile ha terminado.")</f>
        <v>Sus trajes de luz se apagan y el baile ha terminado.</v>
      </c>
    </row>
    <row r="26165">
      <c r="A26165" s="4" t="s">
        <v>32931</v>
      </c>
      <c r="B26165" s="4" t="s">
        <v>32932</v>
      </c>
      <c r="C26165" s="5" t="str">
        <f>IFERROR(__xludf.DUMMYFUNCTION("GOOGLETRANSLATE(B26165,""en"",""es-ES"")"),"Un hombre que conduce un tractor en movimiento dura y mira hacia el frente.")</f>
        <v>Un hombre que conduce un tractor en movimiento dura y mira hacia el frente.</v>
      </c>
    </row>
    <row r="26166">
      <c r="A26166" s="4" t="s">
        <v>32931</v>
      </c>
      <c r="B26166" s="4" t="s">
        <v>32933</v>
      </c>
      <c r="C26166" s="5" t="str">
        <f>IFERROR(__xludf.DUMMYFUNCTION("GOOGLETRANSLATE(B26166,""en"",""es-ES"")"),"Comienza a moverse nuevamente en la máquina cortando la hierba y dirigiendo el instrumento.")</f>
        <v>Comienza a moverse nuevamente en la máquina cortando la hierba y dirigiendo el instrumento.</v>
      </c>
    </row>
    <row r="26167">
      <c r="A26167" s="4" t="s">
        <v>32931</v>
      </c>
      <c r="B26167" s="4" t="s">
        <v>32934</v>
      </c>
      <c r="C26167" s="5" t="str">
        <f>IFERROR(__xludf.DUMMYFUNCTION("GOOGLETRANSLATE(B26167,""en"",""es-ES"")"),"Un hombre en una bicicleta mira hacia adelante y se ríe y el hombre finalmente se va.")</f>
        <v>Un hombre en una bicicleta mira hacia adelante y se ríe y el hombre finalmente se va.</v>
      </c>
    </row>
    <row r="26168">
      <c r="A26168" s="4" t="s">
        <v>32935</v>
      </c>
      <c r="B26168" s="4" t="s">
        <v>32936</v>
      </c>
      <c r="C26168" s="5" t="str">
        <f>IFERROR(__xludf.DUMMYFUNCTION("GOOGLETRANSLATE(B26168,""en"",""es-ES"")"),"Se muestra un artista de tatuajes, intercalado con los artistas que hablan con la cámara, dando tatuajes.")</f>
        <v>Se muestra un artista de tatuajes, intercalado con los artistas que hablan con la cámara, dando tatuajes.</v>
      </c>
    </row>
    <row r="26169">
      <c r="A26169" s="4" t="s">
        <v>32935</v>
      </c>
      <c r="B26169" s="4" t="s">
        <v>32937</v>
      </c>
      <c r="C26169" s="5" t="str">
        <f>IFERROR(__xludf.DUMMYFUNCTION("GOOGLETRANSLATE(B26169,""en"",""es-ES"")"),"Muestran varias imágenes de su trabajo terminado junto con tinta de inyección actible y diseños de fabricación.")</f>
        <v>Muestran varias imágenes de su trabajo terminado junto con tinta de inyección actible y diseños de fabricación.</v>
      </c>
    </row>
    <row r="26170">
      <c r="A26170" s="4" t="s">
        <v>32938</v>
      </c>
      <c r="B26170" s="4" t="s">
        <v>32939</v>
      </c>
      <c r="C26170" s="5" t="str">
        <f>IFERROR(__xludf.DUMMYFUNCTION("GOOGLETRANSLATE(B26170,""en"",""es-ES"")"),"Un niño camina por el escenario con casco y espada.")</f>
        <v>Un niño camina por el escenario con casco y espada.</v>
      </c>
    </row>
    <row r="26171">
      <c r="A26171" s="4" t="s">
        <v>32938</v>
      </c>
      <c r="B26171" s="4" t="s">
        <v>32940</v>
      </c>
      <c r="C26171" s="5" t="str">
        <f>IFERROR(__xludf.DUMMYFUNCTION("GOOGLETRANSLATE(B26171,""en"",""es-ES"")"),"El niño conoce a otro niño donde se muestran caras de bebé en sus caras.")</f>
        <v>El niño conoce a otro niño donde se muestran caras de bebé en sus caras.</v>
      </c>
    </row>
    <row r="26172">
      <c r="A26172" s="4" t="s">
        <v>32938</v>
      </c>
      <c r="B26172" s="4" t="s">
        <v>32941</v>
      </c>
      <c r="C26172" s="5" t="str">
        <f>IFERROR(__xludf.DUMMYFUNCTION("GOOGLETRANSLATE(B26172,""en"",""es-ES"")"),"Un hombre que muestra que soy palabras calvas está por encima de su cabeza.")</f>
        <v>Un hombre que muestra que soy palabras calvas está por encima de su cabeza.</v>
      </c>
    </row>
    <row r="26173">
      <c r="A26173" s="4" t="s">
        <v>32938</v>
      </c>
      <c r="B26173" s="4" t="s">
        <v>32942</v>
      </c>
      <c r="C26173" s="5" t="str">
        <f>IFERROR(__xludf.DUMMYFUNCTION("GOOGLETRANSLATE(B26173,""en"",""es-ES"")"),"Los chicos se separan como signos de interrogación aparecen sobre sus cabezas.")</f>
        <v>Los chicos se separan como signos de interrogación aparecen sobre sus cabezas.</v>
      </c>
    </row>
    <row r="26174">
      <c r="A26174" s="4" t="s">
        <v>32938</v>
      </c>
      <c r="B26174" s="4" t="s">
        <v>32943</v>
      </c>
      <c r="C26174" s="5" t="str">
        <f>IFERROR(__xludf.DUMMYFUNCTION("GOOGLETRANSLATE(B26174,""en"",""es-ES"")"),"Se muestra una descripción del video.")</f>
        <v>Se muestra una descripción del video.</v>
      </c>
    </row>
    <row r="26175">
      <c r="A26175" s="4" t="s">
        <v>32938</v>
      </c>
      <c r="B26175" s="4" t="s">
        <v>32944</v>
      </c>
      <c r="C26175" s="5" t="str">
        <f>IFERROR(__xludf.DUMMYFUNCTION("GOOGLETRANSLATE(B26175,""en"",""es-ES"")"),"Los niños continúan entrando en el escenario.")</f>
        <v>Los niños continúan entrando en el escenario.</v>
      </c>
    </row>
    <row r="26176">
      <c r="A26176" s="4" t="s">
        <v>32938</v>
      </c>
      <c r="B26176" s="4" t="s">
        <v>32945</v>
      </c>
      <c r="C26176" s="5" t="str">
        <f>IFERROR(__xludf.DUMMYFUNCTION("GOOGLETRANSLATE(B26176,""en"",""es-ES"")"),"Se muestran citas fingidas sobre su cabeza y continúan disparando.")</f>
        <v>Se muestran citas fingidas sobre su cabeza y continúan disparando.</v>
      </c>
    </row>
    <row r="26177">
      <c r="A26177" s="4" t="s">
        <v>32938</v>
      </c>
      <c r="B26177" s="4" t="s">
        <v>32946</v>
      </c>
      <c r="C26177" s="5" t="str">
        <f>IFERROR(__xludf.DUMMYFUNCTION("GOOGLETRANSLATE(B26177,""en"",""es-ES"")"),"El niño de la izquierda se convierte en llamas y se vuelven a colocar y continúan disparando.")</f>
        <v>El niño de la izquierda se convierte en llamas y se vuelven a colocar y continúan disparando.</v>
      </c>
    </row>
    <row r="26178">
      <c r="A26178" s="4" t="s">
        <v>32938</v>
      </c>
      <c r="B26178" s="4" t="s">
        <v>32947</v>
      </c>
      <c r="C26178" s="5" t="str">
        <f>IFERROR(__xludf.DUMMYFUNCTION("GOOGLETRANSLATE(B26178,""en"",""es-ES"")"),"El escenario se ilumina verde y se separan y vuelven a Spar.")</f>
        <v>El escenario se ilumina verde y se separan y vuelven a Spar.</v>
      </c>
    </row>
    <row r="26179">
      <c r="A26179" s="4" t="s">
        <v>32938</v>
      </c>
      <c r="B26179" s="4" t="s">
        <v>32948</v>
      </c>
      <c r="C26179" s="5" t="str">
        <f>IFERROR(__xludf.DUMMYFUNCTION("GOOGLETRANSLATE(B26179,""en"",""es-ES"")"),"El escenario se ilumina azul a medida que aparecen citas tontas sobre The Boy on the Rights Head.")</f>
        <v>El escenario se ilumina azul a medida que aparecen citas tontas sobre The Boy on the Rights Head.</v>
      </c>
    </row>
    <row r="26180">
      <c r="A26180" s="4" t="s">
        <v>32949</v>
      </c>
      <c r="B26180" s="4" t="s">
        <v>32950</v>
      </c>
      <c r="C26180" s="5" t="str">
        <f>IFERROR(__xludf.DUMMYFUNCTION("GOOGLETRANSLATE(B26180,""en"",""es-ES"")"),"Un hombre monta un caballo en una arena.")</f>
        <v>Un hombre monta un caballo en una arena.</v>
      </c>
    </row>
    <row r="26181">
      <c r="A26181" s="4" t="s">
        <v>32949</v>
      </c>
      <c r="B26181" s="4" t="s">
        <v>32951</v>
      </c>
      <c r="C26181" s="5" t="str">
        <f>IFERROR(__xludf.DUMMYFUNCTION("GOOGLETRANSLATE(B26181,""en"",""es-ES"")"),"Salta del caballo y ata un ternero.")</f>
        <v>Salta del caballo y ata un ternero.</v>
      </c>
    </row>
    <row r="26182">
      <c r="A26182" s="4" t="s">
        <v>32949</v>
      </c>
      <c r="B26182" s="4" t="s">
        <v>32952</v>
      </c>
      <c r="C26182" s="5" t="str">
        <f>IFERROR(__xludf.DUMMYFUNCTION("GOOGLETRANSLATE(B26182,""en"",""es-ES"")"),"Él se levanta y vuelve a su caballo.")</f>
        <v>Él se levanta y vuelve a su caballo.</v>
      </c>
    </row>
    <row r="26183">
      <c r="A26183" s="4" t="s">
        <v>32949</v>
      </c>
      <c r="B26183" s="4" t="s">
        <v>32953</v>
      </c>
      <c r="C26183" s="5" t="str">
        <f>IFERROR(__xludf.DUMMYFUNCTION("GOOGLETRANSLATE(B26183,""en"",""es-ES"")"),"Dos personas vienen y colocan la pantorrilla en la arena.")</f>
        <v>Dos personas vienen y colocan la pantorrilla en la arena.</v>
      </c>
    </row>
    <row r="26184">
      <c r="A26184" s="4" t="s">
        <v>32954</v>
      </c>
      <c r="B26184" s="4" t="s">
        <v>32955</v>
      </c>
      <c r="C26184" s="5" t="str">
        <f>IFERROR(__xludf.DUMMYFUNCTION("GOOGLETRANSLATE(B26184,""en"",""es-ES"")"),"Se ve a un hombre hablando con la cámara mientras sostiene un raspador.")</f>
        <v>Se ve a un hombre hablando con la cámara mientras sostiene un raspador.</v>
      </c>
    </row>
    <row r="26185">
      <c r="A26185" s="4" t="s">
        <v>32954</v>
      </c>
      <c r="B26185" s="4" t="s">
        <v>32956</v>
      </c>
      <c r="C26185" s="5" t="str">
        <f>IFERROR(__xludf.DUMMYFUNCTION("GOOGLETRANSLATE(B26185,""en"",""es-ES"")"),"Empuja el raspador a lo largo del auto mientras habla con la cámara.")</f>
        <v>Empuja el raspador a lo largo del auto mientras habla con la cámara.</v>
      </c>
    </row>
    <row r="26186">
      <c r="A26186" s="4" t="s">
        <v>32954</v>
      </c>
      <c r="B26186" s="4" t="s">
        <v>32957</v>
      </c>
      <c r="C26186" s="5" t="str">
        <f>IFERROR(__xludf.DUMMYFUNCTION("GOOGLETRANSLATE(B26186,""en"",""es-ES"")"),"Al final se desliza hacia la nieve.")</f>
        <v>Al final se desliza hacia la nieve.</v>
      </c>
    </row>
    <row r="26187">
      <c r="A26187" s="4" t="s">
        <v>32958</v>
      </c>
      <c r="B26187" s="4" t="s">
        <v>32959</v>
      </c>
      <c r="C26187" s="5" t="str">
        <f>IFERROR(__xludf.DUMMYFUNCTION("GOOGLETRANSLATE(B26187,""en"",""es-ES"")"),"Un grupo de individuos está actuando en un recital de batón de vacaciones.")</f>
        <v>Un grupo de individuos está actuando en un recital de batón de vacaciones.</v>
      </c>
    </row>
    <row r="26188">
      <c r="A26188" s="4" t="s">
        <v>32958</v>
      </c>
      <c r="B26188" s="4" t="s">
        <v>32960</v>
      </c>
      <c r="C26188" s="5" t="str">
        <f>IFERROR(__xludf.DUMMYFUNCTION("GOOGLETRANSLATE(B26188,""en"",""es-ES"")"),"Las chicas continúan bailando, subiendo y bajando y girando el bastón.")</f>
        <v>Las chicas continúan bailando, subiendo y bajando y girando el bastón.</v>
      </c>
    </row>
    <row r="26189">
      <c r="A26189" s="4" t="s">
        <v>32958</v>
      </c>
      <c r="B26189" s="4" t="s">
        <v>32961</v>
      </c>
      <c r="C26189" s="5" t="str">
        <f>IFERROR(__xludf.DUMMYFUNCTION("GOOGLETRANSLATE(B26189,""en"",""es-ES"")"),"Las luces comienzan a parpadear y las chicas forman una línea recta en el fondo del escenario.")</f>
        <v>Las luces comienzan a parpadear y las chicas forman una línea recta en el fondo del escenario.</v>
      </c>
    </row>
    <row r="26190">
      <c r="A26190" s="4" t="s">
        <v>32958</v>
      </c>
      <c r="B26190" s="4" t="s">
        <v>32962</v>
      </c>
      <c r="C26190" s="5" t="str">
        <f>IFERROR(__xludf.DUMMYFUNCTION("GOOGLETRANSLATE(B26190,""en"",""es-ES"")"),"Durante el recital, las chicas hacen la misma rutina pero en lugar de una línea horizontal forman una vertical.")</f>
        <v>Durante el recital, las chicas hacen la misma rutina pero en lugar de una línea horizontal forman una vertical.</v>
      </c>
    </row>
    <row r="26191">
      <c r="A26191" s="4" t="s">
        <v>32958</v>
      </c>
      <c r="B26191" s="4" t="s">
        <v>32963</v>
      </c>
      <c r="C26191" s="5" t="str">
        <f>IFERROR(__xludf.DUMMYFUNCTION("GOOGLETRANSLATE(B26191,""en"",""es-ES"")"),"Una vez que hayan terminado, se mueven hacia la parte posterior del escenario y bailan detrás de las cortinas.")</f>
        <v>Una vez que hayan terminado, se mueven hacia la parte posterior del escenario y bailan detrás de las cortinas.</v>
      </c>
    </row>
    <row r="26192">
      <c r="A26192" s="4" t="s">
        <v>32964</v>
      </c>
      <c r="B26192" s="4" t="s">
        <v>32965</v>
      </c>
      <c r="C26192" s="5" t="str">
        <f>IFERROR(__xludf.DUMMYFUNCTION("GOOGLETRANSLATE(B26192,""en"",""es-ES"")"),"Un hombre se pone un atuendo de Matador en una habitación.")</f>
        <v>Un hombre se pone un atuendo de Matador en una habitación.</v>
      </c>
    </row>
    <row r="26193">
      <c r="A26193" s="4" t="s">
        <v>32964</v>
      </c>
      <c r="B26193" s="4" t="s">
        <v>32966</v>
      </c>
      <c r="C26193" s="5" t="str">
        <f>IFERROR(__xludf.DUMMYFUNCTION("GOOGLETRANSLATE(B26193,""en"",""es-ES"")"),"Un Matador pelea con un tazón con una capa roja en un estadio.")</f>
        <v>Un Matador pelea con un tazón con una capa roja en un estadio.</v>
      </c>
    </row>
    <row r="26194">
      <c r="A26194" s="4" t="s">
        <v>32964</v>
      </c>
      <c r="B26194" s="4" t="s">
        <v>32967</v>
      </c>
      <c r="C26194" s="5" t="str">
        <f>IFERROR(__xludf.DUMMYFUNCTION("GOOGLETRANSLATE(B26194,""en"",""es-ES"")"),"Los niños practican el uso de la capa roja juntos en la arena.")</f>
        <v>Los niños practican el uso de la capa roja juntos en la arena.</v>
      </c>
    </row>
    <row r="26195">
      <c r="A26195" s="4" t="s">
        <v>32964</v>
      </c>
      <c r="B26195" s="4" t="s">
        <v>32968</v>
      </c>
      <c r="C26195" s="5" t="str">
        <f>IFERROR(__xludf.DUMMYFUNCTION("GOOGLETRANSLATE(B26195,""en"",""es-ES"")"),"Las personas obtienen autógrafos del Matador y son vistos en la calle entrevistando sobre el evento.")</f>
        <v>Las personas obtienen autógrafos del Matador y son vistos en la calle entrevistando sobre el evento.</v>
      </c>
    </row>
    <row r="26196">
      <c r="A26196" s="4" t="s">
        <v>32964</v>
      </c>
      <c r="B26196" s="4" t="s">
        <v>32969</v>
      </c>
      <c r="C26196" s="5" t="str">
        <f>IFERROR(__xludf.DUMMYFUNCTION("GOOGLETRANSLATE(B26196,""en"",""es-ES"")"),"El toro corre y carga a popa al matador desde la distancia.")</f>
        <v>El toro corre y carga a popa al matador desde la distancia.</v>
      </c>
    </row>
    <row r="26197">
      <c r="A26197" s="4" t="s">
        <v>32964</v>
      </c>
      <c r="B26197" s="4" t="s">
        <v>32970</v>
      </c>
      <c r="C26197" s="5" t="str">
        <f>IFERROR(__xludf.DUMMYFUNCTION("GOOGLETRANSLATE(B26197,""en"",""es-ES"")"),"El Matador anima a la multitud con la espalda frente al toro.")</f>
        <v>El Matador anima a la multitud con la espalda frente al toro.</v>
      </c>
    </row>
    <row r="26198">
      <c r="A26198" s="4" t="s">
        <v>32971</v>
      </c>
      <c r="B26198" s="4" t="s">
        <v>32972</v>
      </c>
      <c r="C26198" s="5" t="str">
        <f>IFERROR(__xludf.DUMMYFUNCTION("GOOGLETRANSLATE(B26198,""en"",""es-ES"")"),"Un hombre, con camiseta negra, se encuentra solo en una cocina, habla con una cámara de manera animada y prepara un sándwich de mantequilla de maní y mermelada.")</f>
        <v>Un hombre, con camiseta negra, se encuentra solo en una cocina, habla con una cámara de manera animada y prepara un sándwich de mantequilla de maní y mermelada.</v>
      </c>
    </row>
    <row r="26199">
      <c r="A26199" s="4" t="s">
        <v>32971</v>
      </c>
      <c r="B26199" s="4" t="s">
        <v>32973</v>
      </c>
      <c r="C26199" s="5" t="str">
        <f>IFERROR(__xludf.DUMMYFUNCTION("GOOGLETRANSLATE(B26199,""en"",""es-ES"")"),"El hombre levanta un frasco de mantequilla de maní y una botella de gelatina después de sacar dos piezas de pan mientras está de pie frente a una encimera de cocina.")</f>
        <v>El hombre levanta un frasco de mantequilla de maní y una botella de gelatina después de sacar dos piezas de pan mientras está de pie frente a una encimera de cocina.</v>
      </c>
    </row>
    <row r="26200">
      <c r="A26200" s="4" t="s">
        <v>32971</v>
      </c>
      <c r="B26200" s="4" t="s">
        <v>32974</v>
      </c>
      <c r="C26200" s="5" t="str">
        <f>IFERROR(__xludf.DUMMYFUNCTION("GOOGLETRANSLATE(B26200,""en"",""es-ES"")"),"El hombre pone gelatina y mantequilla de maní en el pan.")</f>
        <v>El hombre pone gelatina y mantequilla de maní en el pan.</v>
      </c>
    </row>
    <row r="26201">
      <c r="A26201" s="4" t="s">
        <v>32971</v>
      </c>
      <c r="B26201" s="4" t="s">
        <v>32975</v>
      </c>
      <c r="C26201" s="5" t="str">
        <f>IFERROR(__xludf.DUMMYFUNCTION("GOOGLETRANSLATE(B26201,""en"",""es-ES"")"),"El hombre muerde en el sándwich, comienza a hablar de nuevo, golpea el sándwich en un plato y se va.")</f>
        <v>El hombre muerde en el sándwich, comienza a hablar de nuevo, golpea el sándwich en un plato y se va.</v>
      </c>
    </row>
    <row r="26202">
      <c r="A26202" s="4" t="s">
        <v>32976</v>
      </c>
      <c r="B26202" s="4" t="s">
        <v>32977</v>
      </c>
      <c r="C26202" s="5" t="str">
        <f>IFERROR(__xludf.DUMMYFUNCTION("GOOGLETRANSLATE(B26202,""en"",""es-ES"")"),"Las personas se muestran en una cancha de voleibol mientras se calientan.")</f>
        <v>Las personas se muestran en una cancha de voleibol mientras se calientan.</v>
      </c>
    </row>
    <row r="26203">
      <c r="A26203" s="4" t="s">
        <v>32976</v>
      </c>
      <c r="B26203" s="4" t="s">
        <v>32978</v>
      </c>
      <c r="C26203" s="5" t="str">
        <f>IFERROR(__xludf.DUMMYFUNCTION("GOOGLETRANSLATE(B26203,""en"",""es-ES"")"),"Las chicas volaron la pelota de un lado a otro sobre la red.")</f>
        <v>Las chicas volaron la pelota de un lado a otro sobre la red.</v>
      </c>
    </row>
    <row r="26204">
      <c r="A26204" s="4" t="s">
        <v>32976</v>
      </c>
      <c r="B26204" s="4" t="s">
        <v>32979</v>
      </c>
      <c r="C26204" s="5" t="str">
        <f>IFERROR(__xludf.DUMMYFUNCTION("GOOGLETRANSLATE(B26204,""en"",""es-ES"")"),"Intentan mantener la pelota de sus oponentes a medida que el juego realmente comienza.")</f>
        <v>Intentan mantener la pelota de sus oponentes a medida que el juego realmente comienza.</v>
      </c>
    </row>
    <row r="26205">
      <c r="A26205" s="4" t="s">
        <v>32980</v>
      </c>
      <c r="B26205" s="4" t="s">
        <v>32981</v>
      </c>
      <c r="C26205" s="5" t="str">
        <f>IFERROR(__xludf.DUMMYFUNCTION("GOOGLETRANSLATE(B26205,""en"",""es-ES"")"),"Se ve a una mujer hablando con la cámara sosteniendo varios taxistas y presentándolos a la cámara.")</f>
        <v>Se ve a una mujer hablando con la cámara sosteniendo varios taxistas y presentándolos a la cámara.</v>
      </c>
    </row>
    <row r="26206">
      <c r="A26206" s="4" t="s">
        <v>32980</v>
      </c>
      <c r="B26206" s="4" t="s">
        <v>32982</v>
      </c>
      <c r="C26206" s="5" t="str">
        <f>IFERROR(__xludf.DUMMYFUNCTION("GOOGLETRANSLATE(B26206,""en"",""es-ES"")"),"Luego sumerge los trapis en un cubo y los lava a lo largo del piso.")</f>
        <v>Luego sumerge los trapis en un cubo y los lava a lo largo del piso.</v>
      </c>
    </row>
    <row r="26207">
      <c r="A26207" s="4" t="s">
        <v>32980</v>
      </c>
      <c r="B26207" s="4" t="s">
        <v>32983</v>
      </c>
      <c r="C26207" s="5" t="str">
        <f>IFERROR(__xludf.DUMMYFUNCTION("GOOGLETRANSLATE(B26207,""en"",""es-ES"")"),"Ella continúa hablando mientras sostiene los MOPS y los desarmando y mostrando cómo funcionan.")</f>
        <v>Ella continúa hablando mientras sostiene los MOPS y los desarmando y mostrando cómo funcionan.</v>
      </c>
    </row>
    <row r="26208">
      <c r="A26208" s="4" t="s">
        <v>32984</v>
      </c>
      <c r="B26208" s="4" t="s">
        <v>32985</v>
      </c>
      <c r="C26208" s="5" t="str">
        <f>IFERROR(__xludf.DUMMYFUNCTION("GOOGLETRANSLATE(B26208,""en"",""es-ES"")"),"Un grupo de hombres y niños está en una colina nevada.")</f>
        <v>Un grupo de hombres y niños está en una colina nevada.</v>
      </c>
    </row>
    <row r="26209">
      <c r="A26209" s="4" t="s">
        <v>32984</v>
      </c>
      <c r="B26209" s="4" t="s">
        <v>32986</v>
      </c>
      <c r="C26209" s="5" t="str">
        <f>IFERROR(__xludf.DUMMYFUNCTION("GOOGLETRANSLATE(B26209,""en"",""es-ES"")"),"Lanzan bolas de nieve y viajan en los autos, luego esquian por la colina.")</f>
        <v>Lanzan bolas de nieve y viajan en los autos, luego esquian por la colina.</v>
      </c>
    </row>
    <row r="26210">
      <c r="A26210" s="4" t="s">
        <v>32984</v>
      </c>
      <c r="B26210" s="4" t="s">
        <v>32987</v>
      </c>
      <c r="C26210" s="5" t="str">
        <f>IFERROR(__xludf.DUMMYFUNCTION("GOOGLETRANSLATE(B26210,""en"",""es-ES"")"),"Se les muestra esquiando y realizando muchos trucos, girando y volteando a medida que avanzan.")</f>
        <v>Se les muestra esquiando y realizando muchos trucos, girando y volteando a medida que avanzan.</v>
      </c>
    </row>
    <row r="26211">
      <c r="A26211" s="4" t="s">
        <v>32988</v>
      </c>
      <c r="B26211" s="4" t="s">
        <v>32989</v>
      </c>
      <c r="C26211" s="5" t="str">
        <f>IFERROR(__xludf.DUMMYFUNCTION("GOOGLETRANSLATE(B26211,""en"",""es-ES"")"),"Vemos a un niño tocando un acordeón.")</f>
        <v>Vemos a un niño tocando un acordeón.</v>
      </c>
    </row>
    <row r="26212">
      <c r="A26212" s="4" t="s">
        <v>32988</v>
      </c>
      <c r="B26212" s="4" t="s">
        <v>32990</v>
      </c>
      <c r="C26212" s="5" t="str">
        <f>IFERROR(__xludf.DUMMYFUNCTION("GOOGLETRANSLATE(B26212,""en"",""es-ES"")"),"El niño desliza su mano sobre las llaves.")</f>
        <v>El niño desliza su mano sobre las llaves.</v>
      </c>
    </row>
    <row r="26213">
      <c r="A26213" s="4" t="s">
        <v>32988</v>
      </c>
      <c r="B26213" s="4" t="s">
        <v>32991</v>
      </c>
      <c r="C26213" s="5" t="str">
        <f>IFERROR(__xludf.DUMMYFUNCTION("GOOGLETRANSLATE(B26213,""en"",""es-ES"")"),"Un trozo de papel ingresa a la escena en la parte inferior derecha.")</f>
        <v>Un trozo de papel ingresa a la escena en la parte inferior derecha.</v>
      </c>
    </row>
    <row r="26214">
      <c r="A26214" s="4" t="s">
        <v>32988</v>
      </c>
      <c r="B26214" s="4" t="s">
        <v>32992</v>
      </c>
      <c r="C26214" s="5" t="str">
        <f>IFERROR(__xludf.DUMMYFUNCTION("GOOGLETRANSLATE(B26214,""en"",""es-ES"")"),"El niño termina y la pantalla se vuelve negra.")</f>
        <v>El niño termina y la pantalla se vuelve negra.</v>
      </c>
    </row>
    <row r="26215">
      <c r="A26215" s="4" t="s">
        <v>32993</v>
      </c>
      <c r="B26215" s="4" t="s">
        <v>25249</v>
      </c>
      <c r="C26215" s="5" t="str">
        <f>IFERROR(__xludf.DUMMYFUNCTION("GOOGLETRANSLATE(B26215,""en"",""es-ES"")"),"Se muestran los créditos de los clips.")</f>
        <v>Se muestran los créditos de los clips.</v>
      </c>
    </row>
    <row r="26216">
      <c r="A26216" s="4" t="s">
        <v>32993</v>
      </c>
      <c r="B26216" s="4" t="s">
        <v>32994</v>
      </c>
      <c r="C26216" s="5" t="str">
        <f>IFERROR(__xludf.DUMMYFUNCTION("GOOGLETRANSLATE(B26216,""en"",""es-ES"")"),"La mano perfora un orificio con una herramienta eléctrica.")</f>
        <v>La mano perfora un orificio con una herramienta eléctrica.</v>
      </c>
    </row>
    <row r="26217">
      <c r="A26217" s="4" t="s">
        <v>32993</v>
      </c>
      <c r="B26217" s="4" t="s">
        <v>32995</v>
      </c>
      <c r="C26217" s="5" t="str">
        <f>IFERROR(__xludf.DUMMYFUNCTION("GOOGLETRANSLATE(B26217,""en"",""es-ES"")"),"La mano atornilla dos clavos en agujeros con una herramienta eléctrica.")</f>
        <v>La mano atornilla dos clavos en agujeros con una herramienta eléctrica.</v>
      </c>
    </row>
    <row r="26218">
      <c r="A26218" s="4" t="s">
        <v>32993</v>
      </c>
      <c r="B26218" s="4" t="s">
        <v>32996</v>
      </c>
      <c r="C26218" s="5" t="str">
        <f>IFERROR(__xludf.DUMMYFUNCTION("GOOGLETRANSLATE(B26218,""en"",""es-ES"")"),"La persona se va con la herramienta eléctrica.")</f>
        <v>La persona se va con la herramienta eléctrica.</v>
      </c>
    </row>
    <row r="26219">
      <c r="A26219" s="4" t="s">
        <v>32997</v>
      </c>
      <c r="B26219" s="4" t="s">
        <v>32998</v>
      </c>
      <c r="C26219" s="5" t="str">
        <f>IFERROR(__xludf.DUMMYFUNCTION("GOOGLETRANSLATE(B26219,""en"",""es-ES"")"),"Varios niños están en una piscina jugando un juego de waterpolo.")</f>
        <v>Varios niños están en una piscina jugando un juego de waterpolo.</v>
      </c>
    </row>
    <row r="26220">
      <c r="A26220" s="4" t="s">
        <v>32997</v>
      </c>
      <c r="B26220" s="4" t="s">
        <v>32999</v>
      </c>
      <c r="C26220" s="5" t="str">
        <f>IFERROR(__xludf.DUMMYFUNCTION("GOOGLETRANSLATE(B26220,""en"",""es-ES"")"),"Una de las chicas obtiene la pelota y hace un tiro en la red mientras la multitud aplaude.")</f>
        <v>Una de las chicas obtiene la pelota y hace un tiro en la red mientras la multitud aplaude.</v>
      </c>
    </row>
    <row r="26221">
      <c r="A26221" s="4" t="s">
        <v>32997</v>
      </c>
      <c r="B26221" s="4" t="s">
        <v>33000</v>
      </c>
      <c r="C26221" s="5" t="str">
        <f>IFERROR(__xludf.DUMMYFUNCTION("GOOGLETRANSLATE(B26221,""en"",""es-ES"")"),"El juego se restablece y los equipos comienzan a jugar de nuevo.")</f>
        <v>El juego se restablece y los equipos comienzan a jugar de nuevo.</v>
      </c>
    </row>
    <row r="26222">
      <c r="A26222" s="4" t="s">
        <v>33001</v>
      </c>
      <c r="B26222" s="4" t="s">
        <v>33002</v>
      </c>
      <c r="C26222" s="5" t="str">
        <f>IFERROR(__xludf.DUMMYFUNCTION("GOOGLETRANSLATE(B26222,""en"",""es-ES"")"),"Se muestra a dos hombres hablando en una fiesta jugando pong con otros dos hombres.")</f>
        <v>Se muestra a dos hombres hablando en una fiesta jugando pong con otros dos hombres.</v>
      </c>
    </row>
    <row r="26223">
      <c r="A26223" s="4" t="s">
        <v>33001</v>
      </c>
      <c r="B26223" s="4" t="s">
        <v>33003</v>
      </c>
      <c r="C26223" s="5" t="str">
        <f>IFERROR(__xludf.DUMMYFUNCTION("GOOGLETRANSLATE(B26223,""en"",""es-ES"")"),"Los hombres siguen metiendo las bolas en las tazas de regreso y cuarto y uno salta sobre la parte posterior de la otra.")</f>
        <v>Los hombres siguen metiendo las bolas en las tazas de regreso y cuarto y uno salta sobre la parte posterior de la otra.</v>
      </c>
    </row>
    <row r="26224">
      <c r="A26224" s="4" t="s">
        <v>33004</v>
      </c>
      <c r="B26224" s="4" t="s">
        <v>33005</v>
      </c>
      <c r="C26224" s="5" t="str">
        <f>IFERROR(__xludf.DUMMYFUNCTION("GOOGLETRANSLATE(B26224,""en"",""es-ES"")"),"Un fregadero está cubierto de suciedad.")</f>
        <v>Un fregadero está cubierto de suciedad.</v>
      </c>
    </row>
    <row r="26225">
      <c r="A26225" s="4" t="s">
        <v>33004</v>
      </c>
      <c r="B26225" s="4" t="s">
        <v>33006</v>
      </c>
      <c r="C26225" s="5" t="str">
        <f>IFERROR(__xludf.DUMMYFUNCTION("GOOGLETRANSLATE(B26225,""en"",""es-ES"")"),"Se sostiene una botella a la cámara.")</f>
        <v>Se sostiene una botella a la cámara.</v>
      </c>
    </row>
    <row r="26226">
      <c r="A26226" s="4" t="s">
        <v>33004</v>
      </c>
      <c r="B26226" s="4" t="s">
        <v>33007</v>
      </c>
      <c r="C26226" s="5" t="str">
        <f>IFERROR(__xludf.DUMMYFUNCTION("GOOGLETRANSLATE(B26226,""en"",""es-ES"")"),"El agua corre sobre una esponja.")</f>
        <v>El agua corre sobre una esponja.</v>
      </c>
    </row>
    <row r="26227">
      <c r="A26227" s="4" t="s">
        <v>33004</v>
      </c>
      <c r="B26227" s="4" t="s">
        <v>33008</v>
      </c>
      <c r="C26227" s="5" t="str">
        <f>IFERROR(__xludf.DUMMYFUNCTION("GOOGLETRANSLATE(B26227,""en"",""es-ES"")"),"La solución se vierte sobre la esponja y se limpia el fregadero.")</f>
        <v>La solución se vierte sobre la esponja y se limpia el fregadero.</v>
      </c>
    </row>
    <row r="26228">
      <c r="A26228" s="4" t="s">
        <v>33009</v>
      </c>
      <c r="B26228" s="4" t="s">
        <v>33010</v>
      </c>
      <c r="C26228" s="5" t="str">
        <f>IFERROR(__xludf.DUMMYFUNCTION("GOOGLETRANSLATE(B26228,""en"",""es-ES"")"),"Un adolescente con una camisa blanca y pantalones negros está disparando aros en una cancha de baloncesto al aire libre.")</f>
        <v>Un adolescente con una camisa blanca y pantalones negros está disparando aros en una cancha de baloncesto al aire libre.</v>
      </c>
    </row>
    <row r="26229">
      <c r="A26229" s="4" t="s">
        <v>33009</v>
      </c>
      <c r="B26229" s="4" t="s">
        <v>33011</v>
      </c>
      <c r="C26229" s="5" t="str">
        <f>IFERROR(__xludf.DUMMYFUNCTION("GOOGLETRANSLATE(B26229,""en"",""es-ES"")"),"Hay algunos conos arreglados en la cancha.")</f>
        <v>Hay algunos conos arreglados en la cancha.</v>
      </c>
    </row>
    <row r="26230">
      <c r="A26230" s="4" t="s">
        <v>33009</v>
      </c>
      <c r="B26230" s="4" t="s">
        <v>33012</v>
      </c>
      <c r="C26230" s="5" t="str">
        <f>IFERROR(__xludf.DUMMYFUNCTION("GOOGLETRANSLATE(B26230,""en"",""es-ES"")"),"El niño continúa corriendo, dribling y disparando aros con el baloncesto.")</f>
        <v>El niño continúa corriendo, dribling y disparando aros con el baloncesto.</v>
      </c>
    </row>
    <row r="26231">
      <c r="A26231" s="4" t="s">
        <v>33009</v>
      </c>
      <c r="B26231" s="4" t="s">
        <v>33013</v>
      </c>
      <c r="C26231" s="5" t="str">
        <f>IFERROR(__xludf.DUMMYFUNCTION("GOOGLETRANSLATE(B26231,""en"",""es-ES"")"),"Él golpea un tiro y hace una canasta y luego deja de jugar.")</f>
        <v>Él golpea un tiro y hace una canasta y luego deja de jugar.</v>
      </c>
    </row>
    <row r="26232">
      <c r="A26232" s="4" t="s">
        <v>33014</v>
      </c>
      <c r="B26232" s="4" t="s">
        <v>33015</v>
      </c>
      <c r="C26232" s="5" t="str">
        <f>IFERROR(__xludf.DUMMYFUNCTION("GOOGLETRANSLATE(B26232,""en"",""es-ES"")"),"Se muestra un mapa y luego se muestran dos peces grandes en el agua mientras un pájaro flota a través del agua.")</f>
        <v>Se muestra un mapa y luego se muestran dos peces grandes en el agua mientras un pájaro flota a través del agua.</v>
      </c>
    </row>
    <row r="26233">
      <c r="A26233" s="4" t="s">
        <v>33014</v>
      </c>
      <c r="B26233" s="4" t="s">
        <v>33016</v>
      </c>
      <c r="C26233" s="5" t="str">
        <f>IFERROR(__xludf.DUMMYFUNCTION("GOOGLETRANSLATE(B26233,""en"",""es-ES"")"),"Dos hombres están en un bote y navegan a través del agua sobre los peces.")</f>
        <v>Dos hombres están en un bote y navegan a través del agua sobre los peces.</v>
      </c>
    </row>
    <row r="26234">
      <c r="A26234" s="4" t="s">
        <v>33014</v>
      </c>
      <c r="B26234" s="4" t="s">
        <v>33017</v>
      </c>
      <c r="C26234" s="5" t="str">
        <f>IFERROR(__xludf.DUMMYFUNCTION("GOOGLETRANSLATE(B26234,""en"",""es-ES"")"),"Luego se muestra una vista submarina y puede ver la parte inferior del cuerpo de los patos.")</f>
        <v>Luego se muestra una vista submarina y puede ver la parte inferior del cuerpo de los patos.</v>
      </c>
    </row>
    <row r="26235">
      <c r="A26235" s="4" t="s">
        <v>33014</v>
      </c>
      <c r="B26235" s="4" t="s">
        <v>33018</v>
      </c>
      <c r="C26235" s="5" t="str">
        <f>IFERROR(__xludf.DUMMYFUNCTION("GOOGLETRANSLATE(B26235,""en"",""es-ES"")"),"Luego se muestran varios hombres y botes y un correo atrapa un pez.")</f>
        <v>Luego se muestran varios hombres y botes y un correo atrapa un pez.</v>
      </c>
    </row>
    <row r="26236">
      <c r="A26236" s="4" t="s">
        <v>33014</v>
      </c>
      <c r="B26236" s="4" t="s">
        <v>33019</v>
      </c>
      <c r="C26236" s="5" t="str">
        <f>IFERROR(__xludf.DUMMYFUNCTION("GOOGLETRANSLATE(B26236,""en"",""es-ES"")"),"Después, un hombre vestido de negro está bajo el agua y se muestra un helicóptero de agua y luego el hombre vuelve bajo el agua sosteniendo la cámara y jugando con peces grandes.")</f>
        <v>Después, un hombre vestido de negro está bajo el agua y se muestra un helicóptero de agua y luego el hombre vuelve bajo el agua sosteniendo la cámara y jugando con peces grandes.</v>
      </c>
    </row>
    <row r="26237">
      <c r="A26237" s="4" t="s">
        <v>33014</v>
      </c>
      <c r="B26237" s="4" t="s">
        <v>33020</v>
      </c>
      <c r="C26237" s="5" t="str">
        <f>IFERROR(__xludf.DUMMYFUNCTION("GOOGLETRANSLATE(B26237,""en"",""es-ES"")"),"Se muestran más y los hombres continúan saltando del bote, y muestran sus hallazgos bajo el agua y arrojando agua sobre sí mismos y se muestra otro mapa.")</f>
        <v>Se muestran más y los hombres continúan saltando del bote, y muestran sus hallazgos bajo el agua y arrojando agua sobre sí mismos y se muestra otro mapa.</v>
      </c>
    </row>
    <row r="26238">
      <c r="A26238" s="4" t="s">
        <v>33021</v>
      </c>
      <c r="B26238" s="4" t="s">
        <v>33022</v>
      </c>
      <c r="C26238" s="5" t="str">
        <f>IFERROR(__xludf.DUMMYFUNCTION("GOOGLETRANSLATE(B26238,""en"",""es-ES"")"),"Dos personas están jugando racquetball.")</f>
        <v>Dos personas están jugando racquetball.</v>
      </c>
    </row>
    <row r="26239">
      <c r="A26239" s="4" t="s">
        <v>33021</v>
      </c>
      <c r="B26239" s="4" t="s">
        <v>33023</v>
      </c>
      <c r="C26239" s="5" t="str">
        <f>IFERROR(__xludf.DUMMYFUNCTION("GOOGLETRANSLATE(B26239,""en"",""es-ES"")"),"La pelota llega detrás de los jugadores.")</f>
        <v>La pelota llega detrás de los jugadores.</v>
      </c>
    </row>
    <row r="26240">
      <c r="A26240" s="4" t="s">
        <v>33021</v>
      </c>
      <c r="B26240" s="4" t="s">
        <v>33024</v>
      </c>
      <c r="C26240" s="5" t="str">
        <f>IFERROR(__xludf.DUMMYFUNCTION("GOOGLETRANSLATE(B26240,""en"",""es-ES"")"),"Reanudan jugar y saltar.")</f>
        <v>Reanudan jugar y saltar.</v>
      </c>
    </row>
    <row r="26241">
      <c r="A26241" s="4" t="s">
        <v>33021</v>
      </c>
      <c r="B26241" s="4" t="s">
        <v>33025</v>
      </c>
      <c r="C26241" s="5" t="str">
        <f>IFERROR(__xludf.DUMMYFUNCTION("GOOGLETRANSLATE(B26241,""en"",""es-ES"")"),"La pelota vuelve a pasar por los jugadores.")</f>
        <v>La pelota vuelve a pasar por los jugadores.</v>
      </c>
    </row>
    <row r="26242">
      <c r="A26242" s="4" t="s">
        <v>33021</v>
      </c>
      <c r="B26242" s="4" t="s">
        <v>33026</v>
      </c>
      <c r="C26242" s="5" t="str">
        <f>IFERROR(__xludf.DUMMYFUNCTION("GOOGLETRANSLATE(B26242,""en"",""es-ES"")"),"El hombre de amarillo reinicia un nuevo partido.")</f>
        <v>El hombre de amarillo reinicia un nuevo partido.</v>
      </c>
    </row>
    <row r="26243">
      <c r="A26243" s="4" t="s">
        <v>33021</v>
      </c>
      <c r="B26243" s="4" t="s">
        <v>33027</v>
      </c>
      <c r="C26243" s="5" t="str">
        <f>IFERROR(__xludf.DUMMYFUNCTION("GOOGLETRANSLATE(B26243,""en"",""es-ES"")"),"El hombre de azul camina hacia la ventana y se mete con una pegatina.")</f>
        <v>El hombre de azul camina hacia la ventana y se mete con una pegatina.</v>
      </c>
    </row>
    <row r="26244">
      <c r="A26244" s="4" t="s">
        <v>33021</v>
      </c>
      <c r="B26244" s="4" t="s">
        <v>33028</v>
      </c>
      <c r="C26244" s="5" t="str">
        <f>IFERROR(__xludf.DUMMYFUNCTION("GOOGLETRANSLATE(B26244,""en"",""es-ES"")"),"El hombre de amarillo intenta reiniciar un nuevo partido.")</f>
        <v>El hombre de amarillo intenta reiniciar un nuevo partido.</v>
      </c>
    </row>
    <row r="26245">
      <c r="A26245" s="4" t="s">
        <v>33021</v>
      </c>
      <c r="B26245" s="4" t="s">
        <v>33029</v>
      </c>
      <c r="C26245" s="5" t="str">
        <f>IFERROR(__xludf.DUMMYFUNCTION("GOOGLETRANSLATE(B26245,""en"",""es-ES"")"),"El hombre de azul golpea la pelota en la esquina y retrocede.")</f>
        <v>El hombre de azul golpea la pelota en la esquina y retrocede.</v>
      </c>
    </row>
    <row r="26246">
      <c r="A26246" s="4" t="s">
        <v>33021</v>
      </c>
      <c r="B26246" s="4" t="s">
        <v>33030</v>
      </c>
      <c r="C26246" s="5" t="str">
        <f>IFERROR(__xludf.DUMMYFUNCTION("GOOGLETRANSLATE(B26246,""en"",""es-ES"")"),"Comienzan otra ronda de racquetball.")</f>
        <v>Comienzan otra ronda de racquetball.</v>
      </c>
    </row>
    <row r="26247">
      <c r="A26247" s="4" t="s">
        <v>33031</v>
      </c>
      <c r="B26247" s="4" t="s">
        <v>33032</v>
      </c>
      <c r="C26247" s="5" t="str">
        <f>IFERROR(__xludf.DUMMYFUNCTION("GOOGLETRANSLATE(B26247,""en"",""es-ES"")"),"Una niña se está perforando la nariz.")</f>
        <v>Una niña se está perforando la nariz.</v>
      </c>
    </row>
    <row r="26248">
      <c r="A26248" s="4" t="s">
        <v>33031</v>
      </c>
      <c r="B26248" s="4" t="s">
        <v>33033</v>
      </c>
      <c r="C26248" s="5" t="str">
        <f>IFERROR(__xludf.DUMMYFUNCTION("GOOGLETRANSLATE(B26248,""en"",""es-ES"")"),"La nariz se limpia antes de la perforación.")</f>
        <v>La nariz se limpia antes de la perforación.</v>
      </c>
    </row>
    <row r="26249">
      <c r="A26249" s="4" t="s">
        <v>33031</v>
      </c>
      <c r="B26249" s="4" t="s">
        <v>33034</v>
      </c>
      <c r="C26249" s="5" t="str">
        <f>IFERROR(__xludf.DUMMYFUNCTION("GOOGLETRANSLATE(B26249,""en"",""es-ES"")"),"Ella habla con la cámara.")</f>
        <v>Ella habla con la cámara.</v>
      </c>
    </row>
    <row r="26250">
      <c r="A26250" s="4" t="s">
        <v>33031</v>
      </c>
      <c r="B26250" s="4" t="s">
        <v>33035</v>
      </c>
      <c r="C26250" s="5" t="str">
        <f>IFERROR(__xludf.DUMMYFUNCTION("GOOGLETRANSLATE(B26250,""en"",""es-ES"")"),"El hombre se perfora la nariz.")</f>
        <v>El hombre se perfora la nariz.</v>
      </c>
    </row>
    <row r="26251">
      <c r="A26251" s="4" t="s">
        <v>33036</v>
      </c>
      <c r="B26251" s="4" t="s">
        <v>33037</v>
      </c>
      <c r="C26251" s="5" t="str">
        <f>IFERROR(__xludf.DUMMYFUNCTION("GOOGLETRANSLATE(B26251,""en"",""es-ES"")"),"Se muestra un paisaje de una residencia.")</f>
        <v>Se muestra un paisaje de una residencia.</v>
      </c>
    </row>
    <row r="26252">
      <c r="A26252" s="4" t="s">
        <v>33036</v>
      </c>
      <c r="B26252" s="4" t="s">
        <v>33038</v>
      </c>
      <c r="C26252" s="5" t="str">
        <f>IFERROR(__xludf.DUMMYFUNCTION("GOOGLETRANSLATE(B26252,""en"",""es-ES"")"),"Un hombre aparece desde detrás de un seto y sostiene un cortador de seto verde lima y comienza a rodear sus setos y comienza a cortarlos primero en la parte superior, luego se concentra en los lados y hacia la parte inferior.")</f>
        <v>Un hombre aparece desde detrás de un seto y sostiene un cortador de seto verde lima y comienza a rodear sus setos y comienza a cortarlos primero en la parte superior, luego se concentra en los lados y hacia la parte inferior.</v>
      </c>
    </row>
    <row r="26253">
      <c r="A26253" s="4" t="s">
        <v>33036</v>
      </c>
      <c r="B26253" s="4" t="s">
        <v>33039</v>
      </c>
      <c r="C26253" s="5" t="str">
        <f>IFERROR(__xludf.DUMMYFUNCTION("GOOGLETRANSLATE(B26253,""en"",""es-ES"")"),"El hombre luego mueve su cortador de seto y se concentra en la parte superior de los setos.")</f>
        <v>El hombre luego mueve su cortador de seto y se concentra en la parte superior de los setos.</v>
      </c>
    </row>
    <row r="26254">
      <c r="A26254" s="4" t="s">
        <v>33040</v>
      </c>
      <c r="B26254" s="4" t="s">
        <v>33041</v>
      </c>
      <c r="C26254" s="5" t="str">
        <f>IFERROR(__xludf.DUMMYFUNCTION("GOOGLETRANSLATE(B26254,""en"",""es-ES"")"),"Se ve a cuatro personas golpeando una pelota alrededor de un gimnasio atrás y cuarto de la pared con una raqueta de tenis.")</f>
        <v>Se ve a cuatro personas golpeando una pelota alrededor de un gimnasio atrás y cuarto de la pared con una raqueta de tenis.</v>
      </c>
    </row>
    <row r="26255">
      <c r="A26255" s="4" t="s">
        <v>33040</v>
      </c>
      <c r="B26255" s="4" t="s">
        <v>33042</v>
      </c>
      <c r="C26255" s="5" t="str">
        <f>IFERROR(__xludf.DUMMYFUNCTION("GOOGLETRANSLATE(B26255,""en"",""es-ES"")"),"Los hombres continúan jugando entre ellos y terminan estrechándose la mano.")</f>
        <v>Los hombres continúan jugando entre ellos y terminan estrechándose la mano.</v>
      </c>
    </row>
    <row r="26256">
      <c r="A26256" s="4" t="s">
        <v>33043</v>
      </c>
      <c r="B26256" s="4" t="s">
        <v>33044</v>
      </c>
      <c r="C26256" s="5" t="str">
        <f>IFERROR(__xludf.DUMMYFUNCTION("GOOGLETRANSLATE(B26256,""en"",""es-ES"")"),"Se ve a un hombre parado frente a la cámara sosteniendo un juego de gaitas.")</f>
        <v>Se ve a un hombre parado frente a la cámara sosteniendo un juego de gaitas.</v>
      </c>
    </row>
    <row r="26257">
      <c r="A26257" s="4" t="s">
        <v>33043</v>
      </c>
      <c r="B26257" s="4" t="s">
        <v>20772</v>
      </c>
      <c r="C26257" s="5" t="str">
        <f>IFERROR(__xludf.DUMMYFUNCTION("GOOGLETRANSLATE(B26257,""en"",""es-ES"")"),"El hombre luego comienza a tocar el instrumento frente a la cámara.")</f>
        <v>El hombre luego comienza a tocar el instrumento frente a la cámara.</v>
      </c>
    </row>
    <row r="26258">
      <c r="A26258" s="4" t="s">
        <v>33043</v>
      </c>
      <c r="B26258" s="4" t="s">
        <v>33045</v>
      </c>
      <c r="C26258" s="5" t="str">
        <f>IFERROR(__xludf.DUMMYFUNCTION("GOOGLETRANSLATE(B26258,""en"",""es-ES"")"),"El hombre continúa jugando mientras toma descansos aquí y allá y muestra texto al final.")</f>
        <v>El hombre continúa jugando mientras toma descansos aquí y allá y muestra texto al final.</v>
      </c>
    </row>
    <row r="26259">
      <c r="A26259" s="4" t="s">
        <v>33046</v>
      </c>
      <c r="B26259" s="4" t="s">
        <v>33047</v>
      </c>
      <c r="C26259" s="5" t="str">
        <f>IFERROR(__xludf.DUMMYFUNCTION("GOOGLETRANSLATE(B26259,""en"",""es-ES"")"),"Se ve a una mujer rastrillarse las hojas alrededor de un césped mientras tres perros se paran cerca de ella y sostienen juguetes.")</f>
        <v>Se ve a una mujer rastrillarse las hojas alrededor de un césped mientras tres perros se paran cerca de ella y sostienen juguetes.</v>
      </c>
    </row>
    <row r="26260">
      <c r="A26260" s="4" t="s">
        <v>33046</v>
      </c>
      <c r="B26260" s="4" t="s">
        <v>33048</v>
      </c>
      <c r="C26260" s="5" t="str">
        <f>IFERROR(__xludf.DUMMYFUNCTION("GOOGLETRANSLATE(B26260,""en"",""es-ES"")"),"La mujer continúa rastrillando mientras el perro deambula a su alrededor con juguetes y ella los recoge gradualmente y los tira para los perros.")</f>
        <v>La mujer continúa rastrillando mientras el perro deambula a su alrededor con juguetes y ella los recoge gradualmente y los tira para los perros.</v>
      </c>
    </row>
    <row r="26261">
      <c r="A26261" s="4" t="s">
        <v>33049</v>
      </c>
      <c r="B26261" s="4" t="s">
        <v>33050</v>
      </c>
      <c r="C26261" s="5" t="str">
        <f>IFERROR(__xludf.DUMMYFUNCTION("GOOGLETRANSLATE(B26261,""en"",""es-ES"")"),"Hay varios hombres que juegan Foos Ball en una habitación interior que tiene paneles de madera.")</f>
        <v>Hay varios hombres que juegan Foos Ball en una habitación interior que tiene paneles de madera.</v>
      </c>
    </row>
    <row r="26262">
      <c r="A26262" s="4" t="s">
        <v>33049</v>
      </c>
      <c r="B26262" s="4" t="s">
        <v>33051</v>
      </c>
      <c r="C26262" s="5" t="str">
        <f>IFERROR(__xludf.DUMMYFUNCTION("GOOGLETRANSLATE(B26262,""en"",""es-ES"")"),"Todos están absortos en el juego cuando golpean la pelota de un lado a otro.")</f>
        <v>Todos están absortos en el juego cuando golpean la pelota de un lado a otro.</v>
      </c>
    </row>
    <row r="26263">
      <c r="A26263" s="4" t="s">
        <v>33052</v>
      </c>
      <c r="B26263" s="4" t="s">
        <v>33053</v>
      </c>
      <c r="C26263" s="5" t="str">
        <f>IFERROR(__xludf.DUMMYFUNCTION("GOOGLETRANSLATE(B26263,""en"",""es-ES"")"),"Una mujer se inclina hacia adelante extendiendo su brazo izquierdo izquierdo en la parte delantera y levantando la pierna mientras tiene la mano derecha sobre su hombro.")</f>
        <v>Una mujer se inclina hacia adelante extendiendo su brazo izquierdo izquierdo en la parte delantera y levantando la pierna mientras tiene la mano derecha sobre su hombro.</v>
      </c>
    </row>
    <row r="26264">
      <c r="A26264" s="4" t="s">
        <v>33052</v>
      </c>
      <c r="B26264" s="4" t="s">
        <v>33054</v>
      </c>
      <c r="C26264" s="5" t="str">
        <f>IFERROR(__xludf.DUMMYFUNCTION("GOOGLETRANSLATE(B26264,""en"",""es-ES"")"),"Luego, la mujer se vuelve hacia la izquierda y lanza una pelota y gira su cuerpo.")</f>
        <v>Luego, la mujer se vuelve hacia la izquierda y lanza una pelota y gira su cuerpo.</v>
      </c>
    </row>
    <row r="26265">
      <c r="A26265" s="4" t="s">
        <v>33055</v>
      </c>
      <c r="B26265" s="4" t="s">
        <v>33056</v>
      </c>
      <c r="C26265" s="5" t="str">
        <f>IFERROR(__xludf.DUMMYFUNCTION("GOOGLETRANSLATE(B26265,""en"",""es-ES"")"),"Una mujer lleva a una clase de niños y niñas en ejercicio.")</f>
        <v>Una mujer lleva a una clase de niños y niñas en ejercicio.</v>
      </c>
    </row>
    <row r="26266">
      <c r="A26266" s="4" t="s">
        <v>33055</v>
      </c>
      <c r="B26266" s="4" t="s">
        <v>33057</v>
      </c>
      <c r="C26266" s="5" t="str">
        <f>IFERROR(__xludf.DUMMYFUNCTION("GOOGLETRANSLATE(B26266,""en"",""es-ES"")"),"Usan a los estepreses para saltar hacia arriba y hacia abajo, y de lado a lado.")</f>
        <v>Usan a los estepreses para saltar hacia arriba y hacia abajo, y de lado a lado.</v>
      </c>
    </row>
    <row r="26267">
      <c r="A26267" s="4" t="s">
        <v>33055</v>
      </c>
      <c r="B26267" s="4" t="s">
        <v>33058</v>
      </c>
      <c r="C26267" s="5" t="str">
        <f>IFERROR(__xludf.DUMMYFUNCTION("GOOGLETRANSLATE(B26267,""en"",""es-ES"")"),"Luego corren en su lugar, subiendo y saliendo de los steppers.")</f>
        <v>Luego corren en su lugar, subiendo y saliendo de los steppers.</v>
      </c>
    </row>
    <row r="26268">
      <c r="A26268" s="4" t="s">
        <v>33055</v>
      </c>
      <c r="B26268" s="4" t="s">
        <v>33059</v>
      </c>
      <c r="C26268" s="5" t="str">
        <f>IFERROR(__xludf.DUMMYFUNCTION("GOOGLETRANSLATE(B26268,""en"",""es-ES"")"),"Reducen, se enfrían antes de aplaudir.")</f>
        <v>Reducen, se enfrían antes de aplaudir.</v>
      </c>
    </row>
    <row r="26269">
      <c r="A26269" s="4" t="s">
        <v>33060</v>
      </c>
      <c r="B26269" s="4" t="s">
        <v>33061</v>
      </c>
      <c r="C26269" s="5" t="str">
        <f>IFERROR(__xludf.DUMMYFUNCTION("GOOGLETRANSLATE(B26269,""en"",""es-ES"")"),"La mujer está en scubadiving y un hombre está detrás de ella.")</f>
        <v>La mujer está en scubadiving y un hombre está detrás de ella.</v>
      </c>
    </row>
    <row r="26270">
      <c r="A26270" s="4" t="s">
        <v>33060</v>
      </c>
      <c r="B26270" s="4" t="s">
        <v>33062</v>
      </c>
      <c r="C26270" s="5" t="str">
        <f>IFERROR(__xludf.DUMMYFUNCTION("GOOGLETRANSLATE(B26270,""en"",""es-ES"")"),"Están mirando los peces y los troncos.")</f>
        <v>Están mirando los peces y los troncos.</v>
      </c>
    </row>
    <row r="26271">
      <c r="A26271" s="4" t="s">
        <v>33060</v>
      </c>
      <c r="B26271" s="4" t="s">
        <v>33063</v>
      </c>
      <c r="C26271" s="5" t="str">
        <f>IFERROR(__xludf.DUMMYFUNCTION("GOOGLETRANSLATE(B26271,""en"",""es-ES"")"),"Los hombres están buceando debajo del mar.")</f>
        <v>Los hombres están buceando debajo del mar.</v>
      </c>
    </row>
    <row r="26272">
      <c r="A26272" s="4" t="s">
        <v>33064</v>
      </c>
      <c r="B26272" s="4" t="s">
        <v>33065</v>
      </c>
      <c r="C26272" s="5" t="str">
        <f>IFERROR(__xludf.DUMMYFUNCTION("GOOGLETRANSLATE(B26272,""en"",""es-ES"")"),"Un grupo de niños está alineado, tocando la batería.")</f>
        <v>Un grupo de niños está alineado, tocando la batería.</v>
      </c>
    </row>
    <row r="26273">
      <c r="A26273" s="4" t="s">
        <v>33064</v>
      </c>
      <c r="B26273" s="4" t="s">
        <v>33066</v>
      </c>
      <c r="C26273" s="5" t="str">
        <f>IFERROR(__xludf.DUMMYFUNCTION("GOOGLETRANSLATE(B26273,""en"",""es-ES"")"),"Un par de equipos están dentro de la piscina.")</f>
        <v>Un par de equipos están dentro de la piscina.</v>
      </c>
    </row>
    <row r="26274">
      <c r="A26274" s="4" t="s">
        <v>33064</v>
      </c>
      <c r="B26274" s="4" t="s">
        <v>27454</v>
      </c>
      <c r="C26274" s="5" t="str">
        <f>IFERROR(__xludf.DUMMYFUNCTION("GOOGLETRANSLATE(B26274,""en"",""es-ES"")"),"Están jugando un juego de waterpolo.")</f>
        <v>Están jugando un juego de waterpolo.</v>
      </c>
    </row>
    <row r="26275">
      <c r="A26275" s="4" t="s">
        <v>33067</v>
      </c>
      <c r="B26275" s="4" t="s">
        <v>33068</v>
      </c>
      <c r="C26275" s="5" t="str">
        <f>IFERROR(__xludf.DUMMYFUNCTION("GOOGLETRANSLATE(B26275,""en"",""es-ES"")"),"Se ve a una mujer hablando con alguien fuera de cámara y conduce a sí misma tocando la batería.")</f>
        <v>Se ve a una mujer hablando con alguien fuera de cámara y conduce a sí misma tocando la batería.</v>
      </c>
    </row>
    <row r="26276">
      <c r="A26276" s="4" t="s">
        <v>33067</v>
      </c>
      <c r="B26276" s="4" t="s">
        <v>33069</v>
      </c>
      <c r="C26276" s="5" t="str">
        <f>IFERROR(__xludf.DUMMYFUNCTION("GOOGLETRANSLATE(B26276,""en"",""es-ES"")"),"Otro hombre entra en el marco y comienza a tocar la batería con una mujer.")</f>
        <v>Otro hombre entra en el marco y comienza a tocar la batería con una mujer.</v>
      </c>
    </row>
    <row r="26277">
      <c r="A26277" s="4" t="s">
        <v>33067</v>
      </c>
      <c r="B26277" s="4" t="s">
        <v>33070</v>
      </c>
      <c r="C26277" s="5" t="str">
        <f>IFERROR(__xludf.DUMMYFUNCTION("GOOGLETRANSLATE(B26277,""en"",""es-ES"")"),"Un niño pequeño aparece en el frente un poco a la mujer mientras ella y el hombre todavía tocan la batería.")</f>
        <v>Un niño pequeño aparece en el frente un poco a la mujer mientras ella y el hombre todavía tocan la batería.</v>
      </c>
    </row>
    <row r="26278">
      <c r="A26278" s="4" t="s">
        <v>33071</v>
      </c>
      <c r="B26278" s="4" t="s">
        <v>33072</v>
      </c>
      <c r="C26278" s="5" t="str">
        <f>IFERROR(__xludf.DUMMYFUNCTION("GOOGLETRANSLATE(B26278,""en"",""es-ES"")"),"Se ve a un gran grupo de personas jugando Dodgeball uno contra el otro y arrojando la pelota hacia atrás y cuarto.")</f>
        <v>Se ve a un gran grupo de personas jugando Dodgeball uno contra el otro y arrojando la pelota hacia atrás y cuarto.</v>
      </c>
    </row>
    <row r="26279">
      <c r="A26279" s="4" t="s">
        <v>33071</v>
      </c>
      <c r="B26279" s="4" t="s">
        <v>33073</v>
      </c>
      <c r="C26279" s="5" t="str">
        <f>IFERROR(__xludf.DUMMYFUNCTION("GOOGLETRANSLATE(B26279,""en"",""es-ES"")"),"Muchas personas miran el juego al margen mientras las personas continúan jugando mientras algunos caen y entran y salen de cuadros.")</f>
        <v>Muchas personas miran el juego al margen mientras las personas continúan jugando mientras algunos caen y entran y salen de cuadros.</v>
      </c>
    </row>
    <row r="26280">
      <c r="A26280" s="4" t="s">
        <v>33074</v>
      </c>
      <c r="B26280" s="4" t="s">
        <v>33075</v>
      </c>
      <c r="C26280" s="5" t="str">
        <f>IFERROR(__xludf.DUMMYFUNCTION("GOOGLETRANSLATE(B26280,""en"",""es-ES"")"),"Una mujer asiática está de pie mientras sostiene una tarjeta que tiene oro byn letras en la parte posterior.")</f>
        <v>Una mujer asiática está de pie mientras sostiene una tarjeta que tiene oro byn letras en la parte posterior.</v>
      </c>
    </row>
    <row r="26281">
      <c r="A26281" s="4" t="s">
        <v>33074</v>
      </c>
      <c r="B26281" s="4" t="s">
        <v>33076</v>
      </c>
      <c r="C26281" s="5" t="str">
        <f>IFERROR(__xludf.DUMMYFUNCTION("GOOGLETRANSLATE(B26281,""en"",""es-ES"")"),"Un clip comienza a reproducirse y muestra a varios hombres en un gran campo tocando el croquet mientras los espectadores observan.")</f>
        <v>Un clip comienza a reproducirse y muestra a varios hombres en un gran campo tocando el croquet mientras los espectadores observan.</v>
      </c>
    </row>
    <row r="26282">
      <c r="A26282" s="4" t="s">
        <v>33074</v>
      </c>
      <c r="B26282" s="4" t="s">
        <v>33077</v>
      </c>
      <c r="C26282" s="5" t="str">
        <f>IFERROR(__xludf.DUMMYFUNCTION("GOOGLETRANSLATE(B26282,""en"",""es-ES"")"),"Luego se le presenta a un joven una gran taza de plata que le entrega un hombre mayor.")</f>
        <v>Luego se le presenta a un joven una gran taza de plata que le entrega un hombre mayor.</v>
      </c>
    </row>
    <row r="26283">
      <c r="A26283" s="4" t="s">
        <v>33078</v>
      </c>
      <c r="B26283" s="4" t="s">
        <v>33079</v>
      </c>
      <c r="C26283" s="5" t="str">
        <f>IFERROR(__xludf.DUMMYFUNCTION("GOOGLETRANSLATE(B26283,""en"",""es-ES"")"),"Una mujer yace de espaldas haciendo abdominales.")</f>
        <v>Una mujer yace de espaldas haciendo abdominales.</v>
      </c>
    </row>
    <row r="26284">
      <c r="A26284" s="4" t="s">
        <v>33078</v>
      </c>
      <c r="B26284" s="4" t="s">
        <v>33080</v>
      </c>
      <c r="C26284" s="5" t="str">
        <f>IFERROR(__xludf.DUMMYFUNCTION("GOOGLETRANSLATE(B26284,""en"",""es-ES"")"),"La mujer levanta la rodilla al pecho y tira de la cabeza con las manos.")</f>
        <v>La mujer levanta la rodilla al pecho y tira de la cabeza con las manos.</v>
      </c>
    </row>
    <row r="26285">
      <c r="A26285" s="4" t="s">
        <v>33078</v>
      </c>
      <c r="B26285" s="4" t="s">
        <v>33081</v>
      </c>
      <c r="C26285" s="5" t="str">
        <f>IFERROR(__xludf.DUMMYFUNCTION("GOOGLETRANSLATE(B26285,""en"",""es-ES"")"),"Luego, la mujer se detiene y un perro se acerca a ella.")</f>
        <v>Luego, la mujer se detiene y un perro se acerca a ella.</v>
      </c>
    </row>
    <row r="26286">
      <c r="A26286" s="4" t="s">
        <v>33082</v>
      </c>
      <c r="B26286" s="4" t="s">
        <v>33083</v>
      </c>
      <c r="C26286" s="5" t="str">
        <f>IFERROR(__xludf.DUMMYFUNCTION("GOOGLETRANSLATE(B26286,""en"",""es-ES"")"),"Un joven equipo de niños está en un gimnasio en un partido de karate.")</f>
        <v>Un joven equipo de niños está en un gimnasio en un partido de karate.</v>
      </c>
    </row>
    <row r="26287">
      <c r="A26287" s="4" t="s">
        <v>33082</v>
      </c>
      <c r="B26287" s="4" t="s">
        <v>33084</v>
      </c>
      <c r="C26287" s="5" t="str">
        <f>IFERROR(__xludf.DUMMYFUNCTION("GOOGLETRANSLATE(B26287,""en"",""es-ES"")"),"Una mujer lleva a su hijo a la colchoneta y comienza a arreglar su colchoneta y preparándolo para enfrentar a su oponente.")</f>
        <v>Una mujer lleva a su hijo a la colchoneta y comienza a arreglar su colchoneta y preparándolo para enfrentar a su oponente.</v>
      </c>
    </row>
    <row r="26288">
      <c r="A26288" s="4" t="s">
        <v>33082</v>
      </c>
      <c r="B26288" s="4" t="s">
        <v>33085</v>
      </c>
      <c r="C26288" s="5" t="str">
        <f>IFERROR(__xludf.DUMMYFUNCTION("GOOGLETRANSLATE(B26288,""en"",""es-ES"")"),"Las dos personas caminan hacia la colchoneta y el árbitro les da la señal para comenzar.")</f>
        <v>Las dos personas caminan hacia la colchoneta y el árbitro les da la señal para comenzar.</v>
      </c>
    </row>
    <row r="26289">
      <c r="A26289" s="4" t="s">
        <v>33082</v>
      </c>
      <c r="B26289" s="4" t="s">
        <v>33086</v>
      </c>
      <c r="C26289" s="5" t="str">
        <f>IFERROR(__xludf.DUMMYFUNCTION("GOOGLETRANSLATE(B26289,""en"",""es-ES"")"),"Cuando se acerca al niño, patea a su oponente en la cabeza.")</f>
        <v>Cuando se acerca al niño, patea a su oponente en la cabeza.</v>
      </c>
    </row>
    <row r="26290">
      <c r="A26290" s="4" t="s">
        <v>33082</v>
      </c>
      <c r="B26290" s="4" t="s">
        <v>33087</v>
      </c>
      <c r="C26290" s="5" t="str">
        <f>IFERROR(__xludf.DUMMYFUNCTION("GOOGLETRANSLATE(B26290,""en"",""es-ES"")"),"El niño que se patea cae en el suelo y su madre se apresura a asegurarse de que esté bien mientras el otro niño se rodea.")</f>
        <v>El niño que se patea cae en el suelo y su madre se apresura a asegurarse de que esté bien mientras el otro niño se rodea.</v>
      </c>
    </row>
    <row r="26291">
      <c r="A26291" s="4" t="s">
        <v>33082</v>
      </c>
      <c r="B26291" s="4" t="s">
        <v>33088</v>
      </c>
      <c r="C26291" s="5" t="str">
        <f>IFERROR(__xludf.DUMMYFUNCTION("GOOGLETRANSLATE(B26291,""en"",""es-ES"")"),"Una vez que el niño está bien, el árbitro comienza a hacer varios gestos con las manos y concluyen el partido, el joven va con su madre y se dirige a quien siempre está sosteniendo la cámara.")</f>
        <v>Una vez que el niño está bien, el árbitro comienza a hacer varios gestos con las manos y concluyen el partido, el joven va con su madre y se dirige a quien siempre está sosteniendo la cámara.</v>
      </c>
    </row>
    <row r="26292">
      <c r="A26292" s="4" t="s">
        <v>33089</v>
      </c>
      <c r="B26292" s="4" t="s">
        <v>33090</v>
      </c>
      <c r="C26292" s="5" t="str">
        <f>IFERROR(__xludf.DUMMYFUNCTION("GOOGLETRANSLATE(B26292,""en"",""es-ES"")"),"Se ve a un hombre con los ojos vendados sentados en una mesa con un temporizador que viene junto a él intentando resolver un cubo de Rubix.")</f>
        <v>Se ve a un hombre con los ojos vendados sentados en una mesa con un temporizador que viene junto a él intentando resolver un cubo de Rubix.</v>
      </c>
    </row>
    <row r="26293">
      <c r="A26293" s="4" t="s">
        <v>33089</v>
      </c>
      <c r="B26293" s="4" t="s">
        <v>33091</v>
      </c>
      <c r="C26293" s="5" t="str">
        <f>IFERROR(__xludf.DUMMYFUNCTION("GOOGLETRANSLATE(B26293,""en"",""es-ES"")"),"El hombre termina el cubo y el temporizador se detiene mientras una persona de pie junto a él registra su tiempo.")</f>
        <v>El hombre termina el cubo y el temporizador se detiene mientras una persona de pie junto a él registra su tiempo.</v>
      </c>
    </row>
    <row r="26294">
      <c r="A26294" s="4" t="s">
        <v>33089</v>
      </c>
      <c r="B26294" s="4" t="s">
        <v>33092</v>
      </c>
      <c r="C26294" s="5" t="str">
        <f>IFERROR(__xludf.DUMMYFUNCTION("GOOGLETRANSLATE(B26294,""en"",""es-ES"")"),"Se ve a otro hombre caminando en el fondo mientras la cámara se desplaza a más personas que resuelven cubos.")</f>
        <v>Se ve a otro hombre caminando en el fondo mientras la cámara se desplaza a más personas que resuelven cubos.</v>
      </c>
    </row>
    <row r="26295">
      <c r="A26295" s="4" t="s">
        <v>33093</v>
      </c>
      <c r="B26295" s="4" t="s">
        <v>33094</v>
      </c>
      <c r="C26295" s="5" t="str">
        <f>IFERROR(__xludf.DUMMYFUNCTION("GOOGLETRANSLATE(B26295,""en"",""es-ES"")"),"Una niña se muestra en el piso de la gimnasia preparándose para hacer una rutina de batón.")</f>
        <v>Una niña se muestra en el piso de la gimnasia preparándose para hacer una rutina de batón.</v>
      </c>
    </row>
    <row r="26296">
      <c r="A26296" s="4" t="s">
        <v>33093</v>
      </c>
      <c r="B26296" s="4" t="s">
        <v>33095</v>
      </c>
      <c r="C26296" s="5" t="str">
        <f>IFERROR(__xludf.DUMMYFUNCTION("GOOGLETRANSLATE(B26296,""en"",""es-ES"")"),"La rutina comienza cuando comienza a bailar alrededor del piso y girar sus bastones.")</f>
        <v>La rutina comienza cuando comienza a bailar alrededor del piso y girar sus bastones.</v>
      </c>
    </row>
    <row r="26297">
      <c r="A26297" s="4" t="s">
        <v>33093</v>
      </c>
      <c r="B26297" s="4" t="s">
        <v>33096</v>
      </c>
      <c r="C26297" s="5" t="str">
        <f>IFERROR(__xludf.DUMMYFUNCTION("GOOGLETRANSLATE(B26297,""en"",""es-ES"")"),"La rutina termina y sale corriendo del escenario mientras la multitud aplaude.")</f>
        <v>La rutina termina y sale corriendo del escenario mientras la multitud aplaude.</v>
      </c>
    </row>
    <row r="26298">
      <c r="A26298" s="4" t="s">
        <v>33097</v>
      </c>
      <c r="B26298" s="4" t="s">
        <v>33098</v>
      </c>
      <c r="C26298" s="5" t="str">
        <f>IFERROR(__xludf.DUMMYFUNCTION("GOOGLETRANSLATE(B26298,""en"",""es-ES"")"),"Se ve a una persona moverse a lo largo del agua y al mismo tiempo que se muestra en cámara lenta.")</f>
        <v>Se ve a una persona moverse a lo largo del agua y al mismo tiempo que se muestra en cámara lenta.</v>
      </c>
    </row>
    <row r="26299">
      <c r="A26299" s="4" t="s">
        <v>33097</v>
      </c>
      <c r="B26299" s="4" t="s">
        <v>33099</v>
      </c>
      <c r="C26299" s="5" t="str">
        <f>IFERROR(__xludf.DUMMYFUNCTION("GOOGLETRANSLATE(B26299,""en"",""es-ES"")"),"La persona se empuja bajo el agua y continúa moviéndose debajo.")</f>
        <v>La persona se empuja bajo el agua y continúa moviéndose debajo.</v>
      </c>
    </row>
    <row r="26300">
      <c r="A26300" s="4" t="s">
        <v>33097</v>
      </c>
      <c r="B26300" s="4" t="s">
        <v>33100</v>
      </c>
      <c r="C26300" s="5" t="str">
        <f>IFERROR(__xludf.DUMMYFUNCTION("GOOGLETRANSLATE(B26300,""en"",""es-ES"")"),"La cámara captura al hombre desde varios ángulos.")</f>
        <v>La cámara captura al hombre desde varios ángulos.</v>
      </c>
    </row>
    <row r="26301">
      <c r="A26301" s="4" t="s">
        <v>33101</v>
      </c>
      <c r="B26301" s="4" t="s">
        <v>33102</v>
      </c>
      <c r="C26301" s="5" t="str">
        <f>IFERROR(__xludf.DUMMYFUNCTION("GOOGLETRANSLATE(B26301,""en"",""es-ES"")"),"Hay tomas de vista distantes de las áreas alrededor de Los Ángeles, Hollywood y las áreas circundantes.")</f>
        <v>Hay tomas de vista distantes de las áreas alrededor de Los Ángeles, Hollywood y las áreas circundantes.</v>
      </c>
    </row>
    <row r="26302">
      <c r="A26302" s="4" t="s">
        <v>33101</v>
      </c>
      <c r="B26302" s="4" t="s">
        <v>33103</v>
      </c>
      <c r="C26302" s="5" t="str">
        <f>IFERROR(__xludf.DUMMYFUNCTION("GOOGLETRANSLATE(B26302,""en"",""es-ES"")"),"Un hombre luego habla detrás de una mesa llena de ingredientes y utensilios de cocina.")</f>
        <v>Un hombre luego habla detrás de una mesa llena de ingredientes y utensilios de cocina.</v>
      </c>
    </row>
    <row r="26303">
      <c r="A26303" s="4" t="s">
        <v>33101</v>
      </c>
      <c r="B26303" s="4" t="s">
        <v>33104</v>
      </c>
      <c r="C26303" s="5" t="str">
        <f>IFERROR(__xludf.DUMMYFUNCTION("GOOGLETRANSLATE(B26303,""en"",""es-ES"")"),"Luego, el hombre muestra algunas de sus verduras e ingredientes y las huele.")</f>
        <v>Luego, el hombre muestra algunas de sus verduras e ingredientes y las huele.</v>
      </c>
    </row>
    <row r="26304">
      <c r="A26304" s="4" t="s">
        <v>33101</v>
      </c>
      <c r="B26304" s="4" t="s">
        <v>33105</v>
      </c>
      <c r="C26304" s="5" t="str">
        <f>IFERROR(__xludf.DUMMYFUNCTION("GOOGLETRANSLATE(B26304,""en"",""es-ES"")"),"Comienza a cocinar apretando un limón en un tazón de verduras empapadas.")</f>
        <v>Comienza a cocinar apretando un limón en un tazón de verduras empapadas.</v>
      </c>
    </row>
    <row r="26305">
      <c r="A26305" s="4" t="s">
        <v>33101</v>
      </c>
      <c r="B26305" s="4" t="s">
        <v>33106</v>
      </c>
      <c r="C26305" s="5" t="str">
        <f>IFERROR(__xludf.DUMMYFUNCTION("GOOGLETRANSLATE(B26305,""en"",""es-ES"")"),"Luego, pone cebollas, jugo de limón, pimienta, aceite, que huele y algunas otras verduras en un plato.")</f>
        <v>Luego, pone cebollas, jugo de limón, pimienta, aceite, que huele y algunas otras verduras en un plato.</v>
      </c>
    </row>
    <row r="26306">
      <c r="A26306" s="4" t="s">
        <v>33101</v>
      </c>
      <c r="B26306" s="4" t="s">
        <v>33107</v>
      </c>
      <c r="C26306" s="5" t="str">
        <f>IFERROR(__xludf.DUMMYFUNCTION("GOOGLETRANSLATE(B26306,""en"",""es-ES"")"),"Luego destroza queso en un lugar con una trituradora.")</f>
        <v>Luego destroza queso en un lugar con una trituradora.</v>
      </c>
    </row>
    <row r="26307">
      <c r="A26307" s="4" t="s">
        <v>33101</v>
      </c>
      <c r="B26307" s="4" t="s">
        <v>33108</v>
      </c>
      <c r="C26307" s="5" t="str">
        <f>IFERROR(__xludf.DUMMYFUNCTION("GOOGLETRANSLATE(B26307,""en"",""es-ES"")"),"Pone el queso rallado en el plato original.")</f>
        <v>Pone el queso rallado en el plato original.</v>
      </c>
    </row>
    <row r="26308">
      <c r="A26308" s="4" t="s">
        <v>33101</v>
      </c>
      <c r="B26308" s="4" t="s">
        <v>33109</v>
      </c>
      <c r="C26308" s="5" t="str">
        <f>IFERROR(__xludf.DUMMYFUNCTION("GOOGLETRANSLATE(B26308,""en"",""es-ES"")"),"Después, él elige algunas hierbas y las coloca en un plato.")</f>
        <v>Después, él elige algunas hierbas y las coloca en un plato.</v>
      </c>
    </row>
    <row r="26309">
      <c r="A26309" s="4" t="s">
        <v>33101</v>
      </c>
      <c r="B26309" s="4" t="s">
        <v>33110</v>
      </c>
      <c r="C26309" s="5" t="str">
        <f>IFERROR(__xludf.DUMMYFUNCTION("GOOGLETRANSLATE(B26309,""en"",""es-ES"")"),"Luego agrega sal y más pimienta al plato original.")</f>
        <v>Luego agrega sal y más pimienta al plato original.</v>
      </c>
    </row>
    <row r="26310">
      <c r="A26310" s="4" t="s">
        <v>33101</v>
      </c>
      <c r="B26310" s="4" t="s">
        <v>33111</v>
      </c>
      <c r="C26310" s="5" t="str">
        <f>IFERROR(__xludf.DUMMYFUNCTION("GOOGLETRANSLATE(B26310,""en"",""es-ES"")"),"Luego habla de una botella de aceite y agrega algunos al plato original.")</f>
        <v>Luego habla de una botella de aceite y agrega algunos al plato original.</v>
      </c>
    </row>
    <row r="26311">
      <c r="A26311" s="4" t="s">
        <v>33101</v>
      </c>
      <c r="B26311" s="4" t="s">
        <v>33112</v>
      </c>
      <c r="C26311" s="5" t="str">
        <f>IFERROR(__xludf.DUMMYFUNCTION("GOOGLETRANSLATE(B26311,""en"",""es-ES"")"),"También agrega un tipo diferente de aceite a la placa.")</f>
        <v>También agrega un tipo diferente de aceite a la placa.</v>
      </c>
    </row>
    <row r="26312">
      <c r="A26312" s="4" t="s">
        <v>33101</v>
      </c>
      <c r="B26312" s="4" t="s">
        <v>33113</v>
      </c>
      <c r="C26312" s="5" t="str">
        <f>IFERROR(__xludf.DUMMYFUNCTION("GOOGLETRANSLATE(B26312,""en"",""es-ES"")"),"Luego hay diferentes clips y ángulos del plato de comida terminada.")</f>
        <v>Luego hay diferentes clips y ángulos del plato de comida terminada.</v>
      </c>
    </row>
    <row r="26313">
      <c r="A26313" s="4" t="s">
        <v>33114</v>
      </c>
      <c r="B26313" s="4" t="s">
        <v>33115</v>
      </c>
      <c r="C26313" s="5" t="str">
        <f>IFERROR(__xludf.DUMMYFUNCTION("GOOGLETRANSLATE(B26313,""en"",""es-ES"")"),"Un hombre completa un gran conjunto de flexiones y luego presenta los conceptos de Dodgeball.")</f>
        <v>Un hombre completa un gran conjunto de flexiones y luego presenta los conceptos de Dodgeball.</v>
      </c>
    </row>
    <row r="26314">
      <c r="A26314" s="4" t="s">
        <v>33114</v>
      </c>
      <c r="B26314" s="4" t="s">
        <v>33116</v>
      </c>
      <c r="C26314" s="5" t="str">
        <f>IFERROR(__xludf.DUMMYFUNCTION("GOOGLETRANSLATE(B26314,""en"",""es-ES"")"),"Se muestra un gráfico de la corte.")</f>
        <v>Se muestra un gráfico de la corte.</v>
      </c>
    </row>
    <row r="26315">
      <c r="A26315" s="4" t="s">
        <v>33114</v>
      </c>
      <c r="B26315" s="4" t="s">
        <v>33117</v>
      </c>
      <c r="C26315" s="5" t="str">
        <f>IFERROR(__xludf.DUMMYFUNCTION("GOOGLETRANSLATE(B26315,""en"",""es-ES"")"),"Los dos equipos se alinean para jugar uno contra el otro.")</f>
        <v>Los dos equipos se alinean para jugar uno contra el otro.</v>
      </c>
    </row>
    <row r="26316">
      <c r="A26316" s="4" t="s">
        <v>33114</v>
      </c>
      <c r="B26316" s="4" t="s">
        <v>33118</v>
      </c>
      <c r="C26316" s="5" t="str">
        <f>IFERROR(__xludf.DUMMYFUNCTION("GOOGLETRANSLATE(B26316,""en"",""es-ES"")"),"Se introducen los conceptos de gobernar a las personas y bloquear la pelota.")</f>
        <v>Se introducen los conceptos de gobernar a las personas y bloquear la pelota.</v>
      </c>
    </row>
    <row r="26317">
      <c r="A26317" s="4" t="s">
        <v>33114</v>
      </c>
      <c r="B26317" s="4" t="s">
        <v>33119</v>
      </c>
      <c r="C26317" s="5" t="str">
        <f>IFERROR(__xludf.DUMMYFUNCTION("GOOGLETRANSLATE(B26317,""en"",""es-ES"")"),"Los equipos se felicitan entre sí, mostrando deportividad.")</f>
        <v>Los equipos se felicitan entre sí, mostrando deportividad.</v>
      </c>
    </row>
    <row r="26318">
      <c r="A26318" s="4" t="s">
        <v>33114</v>
      </c>
      <c r="B26318" s="4" t="s">
        <v>33120</v>
      </c>
      <c r="C26318" s="5" t="str">
        <f>IFERROR(__xludf.DUMMYFUNCTION("GOOGLETRANSLATE(B26318,""en"",""es-ES"")"),"Se muestran más reglas en la pantalla, destacando la seguridad del jugador.")</f>
        <v>Se muestran más reglas en la pantalla, destacando la seguridad del jugador.</v>
      </c>
    </row>
    <row r="26319">
      <c r="A26319" s="4" t="s">
        <v>33121</v>
      </c>
      <c r="B26319" s="4" t="s">
        <v>33122</v>
      </c>
      <c r="C26319" s="5" t="str">
        <f>IFERROR(__xludf.DUMMYFUNCTION("GOOGLETRANSLATE(B26319,""en"",""es-ES"")"),"Se ve a una persona en varios disparos diferentes realizando trucos a lo largo del agua, mientras que otros lo montan.")</f>
        <v>Se ve a una persona en varios disparos diferentes realizando trucos a lo largo del agua, mientras que otros lo montan.</v>
      </c>
    </row>
    <row r="26320">
      <c r="A26320" s="4" t="s">
        <v>33121</v>
      </c>
      <c r="B26320" s="4" t="s">
        <v>33123</v>
      </c>
      <c r="C26320" s="5" t="str">
        <f>IFERROR(__xludf.DUMMYFUNCTION("GOOGLETRANSLATE(B26320,""en"",""es-ES"")"),"El hombre continúa realizando trucos a lo largo del agua y termina con el video que se desvanece a negro.")</f>
        <v>El hombre continúa realizando trucos a lo largo del agua y termina con el video que se desvanece a negro.</v>
      </c>
    </row>
    <row r="26321">
      <c r="A26321" s="4" t="s">
        <v>33124</v>
      </c>
      <c r="B26321" s="4" t="s">
        <v>33125</v>
      </c>
      <c r="C26321" s="5" t="str">
        <f>IFERROR(__xludf.DUMMYFUNCTION("GOOGLETRANSLATE(B26321,""en"",""es-ES"")"),"Una figura verde camina por la calle.")</f>
        <v>Una figura verde camina por la calle.</v>
      </c>
    </row>
    <row r="26322">
      <c r="A26322" s="4" t="s">
        <v>33124</v>
      </c>
      <c r="B26322" s="4" t="s">
        <v>33126</v>
      </c>
      <c r="C26322" s="5" t="str">
        <f>IFERROR(__xludf.DUMMYFUNCTION("GOOGLETRANSLATE(B26322,""en"",""es-ES"")"),"Aparece una corriente interminable de otras figuras verdes.")</f>
        <v>Aparece una corriente interminable de otras figuras verdes.</v>
      </c>
    </row>
    <row r="26323">
      <c r="A26323" s="4" t="s">
        <v>33124</v>
      </c>
      <c r="B26323" s="4" t="s">
        <v>33127</v>
      </c>
      <c r="C26323" s="5" t="str">
        <f>IFERROR(__xludf.DUMMYFUNCTION("GOOGLETRANSLATE(B26323,""en"",""es-ES"")"),"Cada una de las figuras está paseando a un perro.")</f>
        <v>Cada una de las figuras está paseando a un perro.</v>
      </c>
    </row>
    <row r="26324">
      <c r="A26324" s="4" t="s">
        <v>33124</v>
      </c>
      <c r="B26324" s="4" t="s">
        <v>33128</v>
      </c>
      <c r="C26324" s="5" t="str">
        <f>IFERROR(__xludf.DUMMYFUNCTION("GOOGLETRANSLATE(B26324,""en"",""es-ES"")"),"El clip parece ser un bucle.")</f>
        <v>El clip parece ser un bucle.</v>
      </c>
    </row>
    <row r="26325">
      <c r="A26325" s="4" t="s">
        <v>33129</v>
      </c>
      <c r="B26325" s="4" t="s">
        <v>33130</v>
      </c>
      <c r="C26325" s="5" t="str">
        <f>IFERROR(__xludf.DUMMYFUNCTION("GOOGLETRANSLATE(B26325,""en"",""es-ES"")"),"La gente está sentada en kayaks en un río.")</f>
        <v>La gente está sentada en kayaks en un río.</v>
      </c>
    </row>
    <row r="26326">
      <c r="A26326" s="4" t="s">
        <v>33129</v>
      </c>
      <c r="B26326" s="4" t="s">
        <v>33131</v>
      </c>
      <c r="C26326" s="5" t="str">
        <f>IFERROR(__xludf.DUMMYFUNCTION("GOOGLETRANSLATE(B26326,""en"",""es-ES"")"),"Están remando sus remos.")</f>
        <v>Están remando sus remos.</v>
      </c>
    </row>
    <row r="26327">
      <c r="A26327" s="4" t="s">
        <v>33129</v>
      </c>
      <c r="B26327" s="4" t="s">
        <v>33132</v>
      </c>
      <c r="C26327" s="5" t="str">
        <f>IFERROR(__xludf.DUMMYFUNCTION("GOOGLETRANSLATE(B26327,""en"",""es-ES"")"),"La gente está parada en la playa con medallas alrededor de sus cuellos.")</f>
        <v>La gente está parada en la playa con medallas alrededor de sus cuellos.</v>
      </c>
    </row>
    <row r="26328">
      <c r="A26328" s="4" t="s">
        <v>33133</v>
      </c>
      <c r="B26328" s="4" t="s">
        <v>33134</v>
      </c>
      <c r="C26328" s="5" t="str">
        <f>IFERROR(__xludf.DUMMYFUNCTION("GOOGLETRANSLATE(B26328,""en"",""es-ES"")"),"Vemos a un hombre corriendo en una pista.")</f>
        <v>Vemos a un hombre corriendo en una pista.</v>
      </c>
    </row>
    <row r="26329">
      <c r="A26329" s="4" t="s">
        <v>33133</v>
      </c>
      <c r="B26329" s="4" t="s">
        <v>33135</v>
      </c>
      <c r="C26329" s="5" t="str">
        <f>IFERROR(__xludf.DUMMYFUNCTION("GOOGLETRANSLATE(B26329,""en"",""es-ES"")"),"El hombre usa un palo largo para realizar un salto de longitud.")</f>
        <v>El hombre usa un palo largo para realizar un salto de longitud.</v>
      </c>
    </row>
    <row r="26330">
      <c r="A26330" s="4" t="s">
        <v>33133</v>
      </c>
      <c r="B26330" s="4" t="s">
        <v>33136</v>
      </c>
      <c r="C26330" s="5" t="str">
        <f>IFERROR(__xludf.DUMMYFUNCTION("GOOGLETRANSLATE(B26330,""en"",""es-ES"")"),"Luego vemos que el hombre intenta y falla el salto de longitud repetidamente.")</f>
        <v>Luego vemos que el hombre intenta y falla el salto de longitud repetidamente.</v>
      </c>
    </row>
    <row r="26331">
      <c r="A26331" s="4" t="s">
        <v>33133</v>
      </c>
      <c r="B26331" s="4" t="s">
        <v>33137</v>
      </c>
      <c r="C26331" s="5" t="str">
        <f>IFERROR(__xludf.DUMMYFUNCTION("GOOGLETRANSLATE(B26331,""en"",""es-ES"")"),"Vemos que la camisa del hombre se atasca en el poste.")</f>
        <v>Vemos que la camisa del hombre se atasca en el poste.</v>
      </c>
    </row>
    <row r="26332">
      <c r="A26332" s="4" t="s">
        <v>33138</v>
      </c>
      <c r="B26332" s="4" t="s">
        <v>33139</v>
      </c>
      <c r="C26332" s="5" t="str">
        <f>IFERROR(__xludf.DUMMYFUNCTION("GOOGLETRANSLATE(B26332,""en"",""es-ES"")"),"Se ve un primer plano de la batería seguido por una persona que camina hacia el marco.")</f>
        <v>Se ve un primer plano de la batería seguido por una persona que camina hacia el marco.</v>
      </c>
    </row>
    <row r="26333">
      <c r="A26333" s="4" t="s">
        <v>33138</v>
      </c>
      <c r="B26333" s="4" t="s">
        <v>33140</v>
      </c>
      <c r="C26333" s="5" t="str">
        <f>IFERROR(__xludf.DUMMYFUNCTION("GOOGLETRANSLATE(B26333,""en"",""es-ES"")"),"La persona se sienta frente a la batería y comienza a tocarlos continuamente.")</f>
        <v>La persona se sienta frente a la batería y comienza a tocarlos continuamente.</v>
      </c>
    </row>
    <row r="26334">
      <c r="A26334" s="4" t="s">
        <v>33138</v>
      </c>
      <c r="B26334" s="4" t="s">
        <v>33141</v>
      </c>
      <c r="C26334" s="5" t="str">
        <f>IFERROR(__xludf.DUMMYFUNCTION("GOOGLETRANSLATE(B26334,""en"",""es-ES"")"),"El hombre continúa tocando la batería cada vez más rápido mientras la cámara captura sus movimientos.")</f>
        <v>El hombre continúa tocando la batería cada vez más rápido mientras la cámara captura sus movimientos.</v>
      </c>
    </row>
    <row r="26335">
      <c r="A26335" s="4" t="s">
        <v>33142</v>
      </c>
      <c r="B26335" s="4" t="s">
        <v>33143</v>
      </c>
      <c r="C26335" s="5" t="str">
        <f>IFERROR(__xludf.DUMMYFUNCTION("GOOGLETRANSLATE(B26335,""en"",""es-ES"")"),"Se ve a un hombre empujando una cortadora de césped a lo largo de un patio y moviendo la máquina por todo el patio.")</f>
        <v>Se ve a un hombre empujando una cortadora de césped a lo largo de un patio y moviendo la máquina por todo el patio.</v>
      </c>
    </row>
    <row r="26336">
      <c r="A26336" s="4" t="s">
        <v>33142</v>
      </c>
      <c r="B26336" s="4" t="s">
        <v>33144</v>
      </c>
      <c r="C26336" s="5" t="str">
        <f>IFERROR(__xludf.DUMMYFUNCTION("GOOGLETRANSLATE(B26336,""en"",""es-ES"")"),"Se ve a otro hombre agarrando una máquina de un camión mientras el otro hombre continúa cortando el césped.")</f>
        <v>Se ve a otro hombre agarrando una máquina de un camión mientras el otro hombre continúa cortando el césped.</v>
      </c>
    </row>
    <row r="26337">
      <c r="A26337" s="4" t="s">
        <v>33145</v>
      </c>
      <c r="B26337" s="4" t="s">
        <v>33146</v>
      </c>
      <c r="C26337" s="5" t="str">
        <f>IFERROR(__xludf.DUMMYFUNCTION("GOOGLETRANSLATE(B26337,""en"",""es-ES"")"),"Una mujer embarazada se mueve lentamente en una habitación.")</f>
        <v>Una mujer embarazada se mueve lentamente en una habitación.</v>
      </c>
    </row>
    <row r="26338">
      <c r="A26338" s="4" t="s">
        <v>33145</v>
      </c>
      <c r="B26338" s="4" t="s">
        <v>33147</v>
      </c>
      <c r="C26338" s="5" t="str">
        <f>IFERROR(__xludf.DUMMYFUNCTION("GOOGLETRANSLATE(B26338,""en"",""es-ES"")"),"Ella se mueve de lado a lado a medida que avanza.")</f>
        <v>Ella se mueve de lado a lado a medida que avanza.</v>
      </c>
    </row>
    <row r="26339">
      <c r="A26339" s="4" t="s">
        <v>33145</v>
      </c>
      <c r="B26339" s="4" t="s">
        <v>33148</v>
      </c>
      <c r="C26339" s="5" t="str">
        <f>IFERROR(__xludf.DUMMYFUNCTION("GOOGLETRANSLATE(B26339,""en"",""es-ES"")"),"Levanta los pies y los brazos, haciendo varios movimientos de artes marciales.")</f>
        <v>Levanta los pies y los brazos, haciendo varios movimientos de artes marciales.</v>
      </c>
    </row>
    <row r="26340">
      <c r="A26340" s="4" t="s">
        <v>33149</v>
      </c>
      <c r="B26340" s="4" t="s">
        <v>33150</v>
      </c>
      <c r="C26340" s="5" t="str">
        <f>IFERROR(__xludf.DUMMYFUNCTION("GOOGLETRANSLATE(B26340,""en"",""es-ES"")"),"Se ve a un hombre sentado en una silla mirando nerviosamente a la cámara mientras otro hombre se sienta detrás de él.")</f>
        <v>Se ve a un hombre sentado en una silla mirando nerviosamente a la cámara mientras otro hombre se sienta detrás de él.</v>
      </c>
    </row>
    <row r="26341">
      <c r="A26341" s="4" t="s">
        <v>33149</v>
      </c>
      <c r="B26341" s="4" t="s">
        <v>33151</v>
      </c>
      <c r="C26341" s="5" t="str">
        <f>IFERROR(__xludf.DUMMYFUNCTION("GOOGLETRANSLATE(B26341,""en"",""es-ES"")"),"El hombre luego comienza tatuados el pecho del hombre y el hombre mira hacia la cámara de vez en cuando.")</f>
        <v>El hombre luego comienza tatuados el pecho del hombre y el hombre mira hacia la cámara de vez en cuando.</v>
      </c>
    </row>
    <row r="26342">
      <c r="A26342" s="4" t="s">
        <v>33152</v>
      </c>
      <c r="B26342" s="4" t="s">
        <v>33153</v>
      </c>
      <c r="C26342" s="5" t="str">
        <f>IFERROR(__xludf.DUMMYFUNCTION("GOOGLETRANSLATE(B26342,""en"",""es-ES"")"),"Se muestra una mujer arrojando cuchillos a madera y sacándolos.")</f>
        <v>Se muestra una mujer arrojando cuchillos a madera y sacándolos.</v>
      </c>
    </row>
    <row r="26343">
      <c r="A26343" s="4" t="s">
        <v>33152</v>
      </c>
      <c r="B26343" s="4" t="s">
        <v>33154</v>
      </c>
      <c r="C26343" s="5" t="str">
        <f>IFERROR(__xludf.DUMMYFUNCTION("GOOGLETRANSLATE(B26343,""en"",""es-ES"")"),"Al final, las otras personas que están allí se sientan y comen paletas.")</f>
        <v>Al final, las otras personas que están allí se sientan y comen paletas.</v>
      </c>
    </row>
    <row r="26344">
      <c r="A26344" s="4" t="s">
        <v>33155</v>
      </c>
      <c r="B26344" s="4" t="s">
        <v>33156</v>
      </c>
      <c r="C26344" s="5" t="str">
        <f>IFERROR(__xludf.DUMMYFUNCTION("GOOGLETRANSLATE(B26344,""en"",""es-ES"")"),"Un hombre que usa una camiseta gris se encuentra en un escritorio con un monitor de computadora que muestra un temporizador.")</f>
        <v>Un hombre que usa una camiseta gris se encuentra en un escritorio con un monitor de computadora que muestra un temporizador.</v>
      </c>
    </row>
    <row r="26345">
      <c r="A26345" s="4" t="s">
        <v>33155</v>
      </c>
      <c r="B26345" s="4" t="s">
        <v>33157</v>
      </c>
      <c r="C26345" s="5" t="str">
        <f>IFERROR(__xludf.DUMMYFUNCTION("GOOGLETRANSLATE(B26345,""en"",""es-ES"")"),"El hombre sostiene un cubo de Rubik y comienza el temporizador cuando comienza a resolver el cubo de Rubik.")</f>
        <v>El hombre sostiene un cubo de Rubik y comienza el temporizador cuando comienza a resolver el cubo de Rubik.</v>
      </c>
    </row>
    <row r="26346">
      <c r="A26346" s="4" t="s">
        <v>33155</v>
      </c>
      <c r="B26346" s="4" t="s">
        <v>33158</v>
      </c>
      <c r="C26346" s="5" t="str">
        <f>IFERROR(__xludf.DUMMYFUNCTION("GOOGLETRANSLATE(B26346,""en"",""es-ES"")"),"A medida que el hombre completa el cubo de Rubik, deja caer el rompecabezas y detiene el temporizador a los 26 segundos.")</f>
        <v>A medida que el hombre completa el cubo de Rubik, deja caer el rompecabezas y detiene el temporizador a los 26 segundos.</v>
      </c>
    </row>
    <row r="26347">
      <c r="A26347" s="4" t="s">
        <v>33159</v>
      </c>
      <c r="B26347" s="4" t="s">
        <v>33160</v>
      </c>
      <c r="C26347" s="5" t="str">
        <f>IFERROR(__xludf.DUMMYFUNCTION("GOOGLETRANSLATE(B26347,""en"",""es-ES"")"),"Vemos una pantalla de título de apertura negra.")</f>
        <v>Vemos una pantalla de título de apertura negra.</v>
      </c>
    </row>
    <row r="26348">
      <c r="A26348" s="4" t="s">
        <v>33159</v>
      </c>
      <c r="B26348" s="4" t="s">
        <v>33161</v>
      </c>
      <c r="C26348" s="5" t="str">
        <f>IFERROR(__xludf.DUMMYFUNCTION("GOOGLETRANSLATE(B26348,""en"",""es-ES"")"),"Vemos un bote flotando en el océano y la gente sentada en el bote.")</f>
        <v>Vemos un bote flotando en el océano y la gente sentada en el bote.</v>
      </c>
    </row>
    <row r="26349">
      <c r="A26349" s="4" t="s">
        <v>33159</v>
      </c>
      <c r="B26349" s="4" t="s">
        <v>33162</v>
      </c>
      <c r="C26349" s="5" t="str">
        <f>IFERROR(__xludf.DUMMYFUNCTION("GOOGLETRANSLATE(B26349,""en"",""es-ES"")"),"Tres personas están bajo el agua en el equipo de buceo mirando la vida de Seal.")</f>
        <v>Tres personas están bajo el agua en el equipo de buceo mirando la vida de Seal.</v>
      </c>
    </row>
    <row r="26350">
      <c r="A26350" s="4" t="s">
        <v>33159</v>
      </c>
      <c r="B26350" s="4" t="s">
        <v>33163</v>
      </c>
      <c r="C26350" s="5" t="str">
        <f>IFERROR(__xludf.DUMMYFUNCTION("GOOGLETRANSLATE(B26350,""en"",""es-ES"")"),"Vemos a un hombre y una mujer nadando juntos y la dama saluda a la cámara.")</f>
        <v>Vemos a un hombre y una mujer nadando juntos y la dama saluda a la cámara.</v>
      </c>
    </row>
    <row r="26351">
      <c r="A26351" s="4" t="s">
        <v>33159</v>
      </c>
      <c r="B26351" s="4" t="s">
        <v>33164</v>
      </c>
      <c r="C26351" s="5" t="str">
        <f>IFERROR(__xludf.DUMMYFUNCTION("GOOGLETRANSLATE(B26351,""en"",""es-ES"")"),"La señora hace un signo de explosión con las manos y las olas.")</f>
        <v>La señora hace un signo de explosión con las manos y las olas.</v>
      </c>
    </row>
    <row r="26352">
      <c r="A26352" s="4" t="s">
        <v>33159</v>
      </c>
      <c r="B26352" s="4" t="s">
        <v>33165</v>
      </c>
      <c r="C26352" s="5" t="str">
        <f>IFERROR(__xludf.DUMMYFUNCTION("GOOGLETRANSLATE(B26352,""en"",""es-ES"")"),"La señora saca su boca y se encoge de hombros.")</f>
        <v>La señora saca su boca y se encoge de hombros.</v>
      </c>
    </row>
    <row r="26353">
      <c r="A26353" s="4" t="s">
        <v>33159</v>
      </c>
      <c r="B26353" s="4" t="s">
        <v>33166</v>
      </c>
      <c r="C26353" s="5" t="str">
        <f>IFERROR(__xludf.DUMMYFUNCTION("GOOGLETRANSLATE(B26353,""en"",""es-ES"")"),"Vemos a la gente de regreso en el bote y el hombre y la niña se abrazan.")</f>
        <v>Vemos a la gente de regreso en el bote y el hombre y la niña se abrazan.</v>
      </c>
    </row>
    <row r="26354">
      <c r="A26354" s="4" t="s">
        <v>33159</v>
      </c>
      <c r="B26354" s="4" t="s">
        <v>33167</v>
      </c>
      <c r="C26354" s="5" t="str">
        <f>IFERROR(__xludf.DUMMYFUNCTION("GOOGLETRANSLATE(B26354,""en"",""es-ES"")"),"Vemos un globo en lo alto del cielo.")</f>
        <v>Vemos un globo en lo alto del cielo.</v>
      </c>
    </row>
    <row r="26355">
      <c r="A26355" s="4" t="s">
        <v>33168</v>
      </c>
      <c r="B26355" s="4" t="s">
        <v>33169</v>
      </c>
      <c r="C26355" s="5" t="str">
        <f>IFERROR(__xludf.DUMMYFUNCTION("GOOGLETRANSLATE(B26355,""en"",""es-ES"")"),"Tres hombres de blanco están haciendo movimientos de karate en una habitación.")</f>
        <v>Tres hombres de blanco están haciendo movimientos de karate en una habitación.</v>
      </c>
    </row>
    <row r="26356">
      <c r="A26356" s="4" t="s">
        <v>33168</v>
      </c>
      <c r="B26356" s="4" t="s">
        <v>33170</v>
      </c>
      <c r="C26356" s="5" t="str">
        <f>IFERROR(__xludf.DUMMYFUNCTION("GOOGLETRANSLATE(B26356,""en"",""es-ES"")"),"Hacen algunas patadas en el aire.")</f>
        <v>Hacen algunas patadas en el aire.</v>
      </c>
    </row>
    <row r="26357">
      <c r="A26357" s="4" t="s">
        <v>33168</v>
      </c>
      <c r="B26357" s="4" t="s">
        <v>33171</v>
      </c>
      <c r="C26357" s="5" t="str">
        <f>IFERROR(__xludf.DUMMYFUNCTION("GOOGLETRANSLATE(B26357,""en"",""es-ES"")"),"Dos de los hombres comienzan a luchar entre sí.")</f>
        <v>Dos de los hombres comienzan a luchar entre sí.</v>
      </c>
    </row>
    <row r="26358">
      <c r="A26358" s="4" t="s">
        <v>33172</v>
      </c>
      <c r="B26358" s="4" t="s">
        <v>33173</v>
      </c>
      <c r="C26358" s="5" t="str">
        <f>IFERROR(__xludf.DUMMYFUNCTION("GOOGLETRANSLATE(B26358,""en"",""es-ES"")"),"Una pelota grande y azul se arroja en el aire.")</f>
        <v>Una pelota grande y azul se arroja en el aire.</v>
      </c>
    </row>
    <row r="26359">
      <c r="A26359" s="4" t="s">
        <v>33172</v>
      </c>
      <c r="B26359" s="4" t="s">
        <v>33174</v>
      </c>
      <c r="C26359" s="5" t="str">
        <f>IFERROR(__xludf.DUMMYFUNCTION("GOOGLETRANSLATE(B26359,""en"",""es-ES"")"),"Un niño corre para atrapar una pelota azul y grande.")</f>
        <v>Un niño corre para atrapar una pelota azul y grande.</v>
      </c>
    </row>
    <row r="26360">
      <c r="A26360" s="4" t="s">
        <v>33172</v>
      </c>
      <c r="B26360" s="4" t="s">
        <v>33175</v>
      </c>
      <c r="C26360" s="5" t="str">
        <f>IFERROR(__xludf.DUMMYFUNCTION("GOOGLETRANSLATE(B26360,""en"",""es-ES"")"),"El niño cae en el césped.")</f>
        <v>El niño cae en el césped.</v>
      </c>
    </row>
    <row r="26361">
      <c r="A26361" s="4" t="s">
        <v>33176</v>
      </c>
      <c r="B26361" s="4" t="s">
        <v>33177</v>
      </c>
      <c r="C26361" s="5" t="str">
        <f>IFERROR(__xludf.DUMMYFUNCTION("GOOGLETRANSLATE(B26361,""en"",""es-ES"")"),"Una mujer entra en la pantalla para presentar un video sobre hacer ejercicio.")</f>
        <v>Una mujer entra en la pantalla para presentar un video sobre hacer ejercicio.</v>
      </c>
    </row>
    <row r="26362">
      <c r="A26362" s="4" t="s">
        <v>33176</v>
      </c>
      <c r="B26362" s="4" t="s">
        <v>33178</v>
      </c>
      <c r="C26362" s="5" t="str">
        <f>IFERROR(__xludf.DUMMYFUNCTION("GOOGLETRANSLATE(B26362,""en"",""es-ES"")"),"Se muestra a la misma mujer mientras enseña una clase de spinning con varios participantes.")</f>
        <v>Se muestra a la misma mujer mientras enseña una clase de spinning con varios participantes.</v>
      </c>
    </row>
    <row r="26363">
      <c r="A26363" s="4" t="s">
        <v>33176</v>
      </c>
      <c r="B26363" s="4" t="s">
        <v>33179</v>
      </c>
      <c r="C26363" s="5" t="str">
        <f>IFERROR(__xludf.DUMMYFUNCTION("GOOGLETRANSLATE(B26363,""en"",""es-ES"")"),"Ella toma un descanso de la bicicleta y hace ejercicios abdominales del tomo en el piso.")</f>
        <v>Ella toma un descanso de la bicicleta y hace ejercicios abdominales del tomo en el piso.</v>
      </c>
    </row>
    <row r="26364">
      <c r="A26364" s="4" t="s">
        <v>33176</v>
      </c>
      <c r="B26364" s="4" t="s">
        <v>33180</v>
      </c>
      <c r="C26364" s="5" t="str">
        <f>IFERROR(__xludf.DUMMYFUNCTION("GOOGLETRANSLATE(B26364,""en"",""es-ES"")"),"El video termina con el crédito de cierre que se muestra al final.")</f>
        <v>El video termina con el crédito de cierre que se muestra al final.</v>
      </c>
    </row>
    <row r="26365">
      <c r="A26365" s="4" t="s">
        <v>33181</v>
      </c>
      <c r="B26365" s="4" t="s">
        <v>33182</v>
      </c>
      <c r="C26365" s="5" t="str">
        <f>IFERROR(__xludf.DUMMYFUNCTION("GOOGLETRANSLATE(B26365,""en"",""es-ES"")"),"Una persona se sienta en el frente una computadora portátil y un rompecabezas de cubos.")</f>
        <v>Una persona se sienta en el frente una computadora portátil y un rompecabezas de cubos.</v>
      </c>
    </row>
    <row r="26366">
      <c r="A26366" s="4" t="s">
        <v>33181</v>
      </c>
      <c r="B26366" s="4" t="s">
        <v>33183</v>
      </c>
      <c r="C26366" s="5" t="str">
        <f>IFERROR(__xludf.DUMMYFUNCTION("GOOGLETRANSLATE(B26366,""en"",""es-ES"")"),"Luego, la persona resuelve un rompecabezas de cubos.")</f>
        <v>Luego, la persona resuelve un rompecabezas de cubos.</v>
      </c>
    </row>
    <row r="26367">
      <c r="A26367" s="4" t="s">
        <v>33181</v>
      </c>
      <c r="B26367" s="4" t="s">
        <v>33184</v>
      </c>
      <c r="C26367" s="5" t="str">
        <f>IFERROR(__xludf.DUMMYFUNCTION("GOOGLETRANSLATE(B26367,""en"",""es-ES"")"),"Después, la persona resuelve el rompecabezas del cubo lo pone en la computadora portátil.")</f>
        <v>Después, la persona resuelve el rompecabezas del cubo lo pone en la computadora portátil.</v>
      </c>
    </row>
    <row r="26368">
      <c r="A26368" s="4" t="s">
        <v>33185</v>
      </c>
      <c r="B26368" s="4" t="s">
        <v>33186</v>
      </c>
      <c r="C26368" s="5" t="str">
        <f>IFERROR(__xludf.DUMMYFUNCTION("GOOGLETRANSLATE(B26368,""en"",""es-ES"")"),"Un grupo de personas está haciendo ejercicio en una clase de aeróbicos.")</f>
        <v>Un grupo de personas está haciendo ejercicio en una clase de aeróbicos.</v>
      </c>
    </row>
    <row r="26369">
      <c r="A26369" s="4" t="s">
        <v>33185</v>
      </c>
      <c r="B26369" s="4" t="s">
        <v>33187</v>
      </c>
      <c r="C26369" s="5" t="str">
        <f>IFERROR(__xludf.DUMMYFUNCTION("GOOGLETRANSLATE(B26369,""en"",""es-ES"")"),"Están usando un paso a paso, bailando y saltan dentro y fuera del equipo.")</f>
        <v>Están usando un paso a paso, bailando y saltan dentro y fuera del equipo.</v>
      </c>
    </row>
    <row r="26370">
      <c r="A26370" s="4" t="s">
        <v>33188</v>
      </c>
      <c r="B26370" s="4" t="s">
        <v>33189</v>
      </c>
      <c r="C26370" s="5" t="str">
        <f>IFERROR(__xludf.DUMMYFUNCTION("GOOGLETRANSLATE(B26370,""en"",""es-ES"")"),"Dos niños pequeños son vistos afuera por un columpio.")</f>
        <v>Dos niños pequeños son vistos afuera por un columpio.</v>
      </c>
    </row>
    <row r="26371">
      <c r="A26371" s="4" t="s">
        <v>33188</v>
      </c>
      <c r="B26371" s="4" t="s">
        <v>33190</v>
      </c>
      <c r="C26371" s="5" t="str">
        <f>IFERROR(__xludf.DUMMYFUNCTION("GOOGLETRANSLATE(B26371,""en"",""es-ES"")"),"Uno regresa y cuarto mientras el otro se encuentra a un lado.")</f>
        <v>Uno regresa y cuarto mientras el otro se encuentra a un lado.</v>
      </c>
    </row>
    <row r="26372">
      <c r="A26372" s="4" t="s">
        <v>33188</v>
      </c>
      <c r="B26372" s="4" t="s">
        <v>33191</v>
      </c>
      <c r="C26372" s="5" t="str">
        <f>IFERROR(__xludf.DUMMYFUNCTION("GOOGLETRANSLATE(B26372,""en"",""es-ES"")"),"Un hombre patea al otro chico y se inclina.")</f>
        <v>Un hombre patea al otro chico y se inclina.</v>
      </c>
    </row>
    <row r="26373">
      <c r="A26373" s="4" t="s">
        <v>33192</v>
      </c>
      <c r="B26373" s="4" t="s">
        <v>33193</v>
      </c>
      <c r="C26373" s="5" t="str">
        <f>IFERROR(__xludf.DUMMYFUNCTION("GOOGLETRANSLATE(B26373,""en"",""es-ES"")"),"La cerveza y otro alcohol se muestran en un mostrador en una cocina.")</f>
        <v>La cerveza y otro alcohol se muestran en un mostrador en una cocina.</v>
      </c>
    </row>
    <row r="26374">
      <c r="A26374" s="4" t="s">
        <v>33192</v>
      </c>
      <c r="B26374" s="4" t="s">
        <v>33194</v>
      </c>
      <c r="C26374" s="5" t="str">
        <f>IFERROR(__xludf.DUMMYFUNCTION("GOOGLETRANSLATE(B26374,""en"",""es-ES"")"),"Un hombre toma una jarra de cerveza y comienza a hablar con la cámara.")</f>
        <v>Un hombre toma una jarra de cerveza y comienza a hablar con la cámara.</v>
      </c>
    </row>
    <row r="26375">
      <c r="A26375" s="4" t="s">
        <v>33192</v>
      </c>
      <c r="B26375" s="4" t="s">
        <v>33195</v>
      </c>
      <c r="C26375" s="5" t="str">
        <f>IFERROR(__xludf.DUMMYFUNCTION("GOOGLETRANSLATE(B26375,""en"",""es-ES"")"),"El hombre procede a beber toda la jarra de cerveza.")</f>
        <v>El hombre procede a beber toda la jarra de cerveza.</v>
      </c>
    </row>
    <row r="26376">
      <c r="A26376" s="4" t="s">
        <v>33196</v>
      </c>
      <c r="B26376" s="4" t="s">
        <v>33197</v>
      </c>
      <c r="C26376" s="5" t="str">
        <f>IFERROR(__xludf.DUMMYFUNCTION("GOOGLETRANSLATE(B26376,""en"",""es-ES"")"),"Una señora habla en una cocina con una medalla en la pantalla y vemos fotos de pastel y cocina.")</f>
        <v>Una señora habla en una cocina con una medalla en la pantalla y vemos fotos de pastel y cocina.</v>
      </c>
    </row>
    <row r="26377">
      <c r="A26377" s="4" t="s">
        <v>33196</v>
      </c>
      <c r="B26377" s="4" t="s">
        <v>33198</v>
      </c>
      <c r="C26377" s="5" t="str">
        <f>IFERROR(__xludf.DUMMYFUNCTION("GOOGLETRANSLATE(B26377,""en"",""es-ES"")"),"Vemos a la dama hacer un pastel y dar instrucciones.")</f>
        <v>Vemos a la dama hacer un pastel y dar instrucciones.</v>
      </c>
    </row>
    <row r="26378">
      <c r="A26378" s="4" t="s">
        <v>33196</v>
      </c>
      <c r="B26378" s="4" t="s">
        <v>33199</v>
      </c>
      <c r="C26378" s="5" t="str">
        <f>IFERROR(__xludf.DUMMYFUNCTION("GOOGLETRANSLATE(B26378,""en"",""es-ES"")"),"La señora toma y prepara sus sartenes.")</f>
        <v>La señora toma y prepara sus sartenes.</v>
      </c>
    </row>
    <row r="26379">
      <c r="A26379" s="4" t="s">
        <v>33196</v>
      </c>
      <c r="B26379" s="4" t="s">
        <v>33200</v>
      </c>
      <c r="C26379" s="5" t="str">
        <f>IFERROR(__xludf.DUMMYFUNCTION("GOOGLETRANSLATE(B26379,""en"",""es-ES"")"),"La señora mezcla sus ingredientes secos y luego los mezcla en la batidora con colorante rojo y los vierte en bandejas de pastel, cocina y los enfría en las rejillas.")</f>
        <v>La señora mezcla sus ingredientes secos y luego los mezcla en la batidora con colorante rojo y los vierte en bandejas de pastel, cocina y los enfría en las rejillas.</v>
      </c>
    </row>
    <row r="26380">
      <c r="A26380" s="4" t="s">
        <v>33196</v>
      </c>
      <c r="B26380" s="4" t="s">
        <v>33201</v>
      </c>
      <c r="C26380" s="5" t="str">
        <f>IFERROR(__xludf.DUMMYFUNCTION("GOOGLETRANSLATE(B26380,""en"",""es-ES"")"),"La señora hace glaseado en la batidora y pone glaseado entre las capas de pastel y en la parte superior.")</f>
        <v>La señora hace glaseado en la batidora y pone glaseado entre las capas de pastel y en la parte superior.</v>
      </c>
    </row>
    <row r="26381">
      <c r="A26381" s="4" t="s">
        <v>33196</v>
      </c>
      <c r="B26381" s="4" t="s">
        <v>33202</v>
      </c>
      <c r="C26381" s="5" t="str">
        <f>IFERROR(__xludf.DUMMYFUNCTION("GOOGLETRANSLATE(B26381,""en"",""es-ES"")"),"La señora corta el pastel y vemos la pantalla final del título.")</f>
        <v>La señora corta el pastel y vemos la pantalla final del título.</v>
      </c>
    </row>
    <row r="26382">
      <c r="A26382" s="4" t="s">
        <v>33203</v>
      </c>
      <c r="B26382" s="4" t="s">
        <v>33204</v>
      </c>
      <c r="C26382" s="5" t="str">
        <f>IFERROR(__xludf.DUMMYFUNCTION("GOOGLETRANSLATE(B26382,""en"",""es-ES"")"),"Una mujer que usa un casco protector habla con la cámara mientras está de pie al aire libre al lado de una palmera.")</f>
        <v>Una mujer que usa un casco protector habla con la cámara mientras está de pie al aire libre al lado de una palmera.</v>
      </c>
    </row>
    <row r="26383">
      <c r="A26383" s="4" t="s">
        <v>33203</v>
      </c>
      <c r="B26383" s="4" t="s">
        <v>33205</v>
      </c>
      <c r="C26383" s="5" t="str">
        <f>IFERROR(__xludf.DUMMYFUNCTION("GOOGLETRANSLATE(B26383,""en"",""es-ES"")"),"La mujer está parada en una acera con rodillos y equipo de protección.")</f>
        <v>La mujer está parada en una acera con rodillos y equipo de protección.</v>
      </c>
    </row>
    <row r="26384">
      <c r="A26384" s="4" t="s">
        <v>33203</v>
      </c>
      <c r="B26384" s="4" t="s">
        <v>33206</v>
      </c>
      <c r="C26384" s="5" t="str">
        <f>IFERROR(__xludf.DUMMYFUNCTION("GOOGLETRANSLATE(B26384,""en"",""es-ES"")"),"La mujer habla con la cámara y demuestra diferentes técnicas de patinaje por la acera.")</f>
        <v>La mujer habla con la cámara y demuestra diferentes técnicas de patinaje por la acera.</v>
      </c>
    </row>
    <row r="26385">
      <c r="A26385" s="4" t="s">
        <v>33207</v>
      </c>
      <c r="B26385" s="4" t="s">
        <v>33208</v>
      </c>
      <c r="C26385" s="5" t="str">
        <f>IFERROR(__xludf.DUMMYFUNCTION("GOOGLETRANSLATE(B26385,""en"",""es-ES"")"),"Vemos a dos niños en un tren hablando.")</f>
        <v>Vemos a dos niños en un tren hablando.</v>
      </c>
    </row>
    <row r="26386">
      <c r="A26386" s="4" t="s">
        <v>33207</v>
      </c>
      <c r="B26386" s="4" t="s">
        <v>33209</v>
      </c>
      <c r="C26386" s="5" t="str">
        <f>IFERROR(__xludf.DUMMYFUNCTION("GOOGLETRANSLATE(B26386,""en"",""es-ES"")"),"Se oscurece en un túnel.")</f>
        <v>Se oscurece en un túnel.</v>
      </c>
    </row>
    <row r="26387">
      <c r="A26387" s="4" t="s">
        <v>33207</v>
      </c>
      <c r="B26387" s="4" t="s">
        <v>33210</v>
      </c>
      <c r="C26387" s="5" t="str">
        <f>IFERROR(__xludf.DUMMYFUNCTION("GOOGLETRANSLATE(B26387,""en"",""es-ES"")"),"Alguien arroja algo a un niño.")</f>
        <v>Alguien arroja algo a un niño.</v>
      </c>
    </row>
    <row r="26388">
      <c r="A26388" s="4" t="s">
        <v>33207</v>
      </c>
      <c r="B26388" s="4" t="s">
        <v>33211</v>
      </c>
      <c r="C26388" s="5" t="str">
        <f>IFERROR(__xludf.DUMMYFUNCTION("GOOGLETRANSLATE(B26388,""en"",""es-ES"")"),"Vemos a los niños montando patinetas por una calle residencial.")</f>
        <v>Vemos a los niños montando patinetas por una calle residencial.</v>
      </c>
    </row>
    <row r="26389">
      <c r="A26389" s="4" t="s">
        <v>33207</v>
      </c>
      <c r="B26389" s="4" t="s">
        <v>33212</v>
      </c>
      <c r="C26389" s="5" t="str">
        <f>IFERROR(__xludf.DUMMYFUNCTION("GOOGLETRANSLATE(B26389,""en"",""es-ES"")"),"Un hombre cabalga cuesta abajo hacia atrás.")</f>
        <v>Un hombre cabalga cuesta abajo hacia atrás.</v>
      </c>
    </row>
    <row r="26390">
      <c r="A26390" s="4" t="s">
        <v>33207</v>
      </c>
      <c r="B26390" s="4" t="s">
        <v>33213</v>
      </c>
      <c r="C26390" s="5" t="str">
        <f>IFERROR(__xludf.DUMMYFUNCTION("GOOGLETRANSLATE(B26390,""en"",""es-ES"")"),"Vemos a un niño caerse de su patineta.")</f>
        <v>Vemos a un niño caerse de su patineta.</v>
      </c>
    </row>
    <row r="26391">
      <c r="A26391" s="4" t="s">
        <v>33207</v>
      </c>
      <c r="B26391" s="4" t="s">
        <v>33214</v>
      </c>
      <c r="C26391" s="5" t="str">
        <f>IFERROR(__xludf.DUMMYFUNCTION("GOOGLETRANSLATE(B26391,""en"",""es-ES"")"),"Vemos un número tres en una pared.")</f>
        <v>Vemos un número tres en una pared.</v>
      </c>
    </row>
    <row r="26392">
      <c r="A26392" s="4" t="s">
        <v>33207</v>
      </c>
      <c r="B26392" s="4" t="s">
        <v>33215</v>
      </c>
      <c r="C26392" s="5" t="str">
        <f>IFERROR(__xludf.DUMMYFUNCTION("GOOGLETRANSLATE(B26392,""en"",""es-ES"")"),"Vemos a una persona saltar de su patineta.")</f>
        <v>Vemos a una persona saltar de su patineta.</v>
      </c>
    </row>
    <row r="26393">
      <c r="A26393" s="4" t="s">
        <v>33216</v>
      </c>
      <c r="B26393" s="4" t="s">
        <v>33217</v>
      </c>
      <c r="C26393" s="5" t="str">
        <f>IFERROR(__xludf.DUMMYFUNCTION("GOOGLETRANSLATE(B26393,""en"",""es-ES"")"),"Una introducción conduce a una mujer que mira al espejo y se maquilla.")</f>
        <v>Una introducción conduce a una mujer que mira al espejo y se maquilla.</v>
      </c>
    </row>
    <row r="26394">
      <c r="A26394" s="4" t="s">
        <v>33216</v>
      </c>
      <c r="B26394" s="4" t="s">
        <v>33218</v>
      </c>
      <c r="C26394" s="5" t="str">
        <f>IFERROR(__xludf.DUMMYFUNCTION("GOOGLETRANSLATE(B26394,""en"",""es-ES"")"),"Ella pone anteojos y mira hacia el espejo.")</f>
        <v>Ella pone anteojos y mira hacia el espejo.</v>
      </c>
    </row>
    <row r="26395">
      <c r="A26395" s="4" t="s">
        <v>33216</v>
      </c>
      <c r="B26395" s="4" t="s">
        <v>33219</v>
      </c>
      <c r="C26395" s="5" t="str">
        <f>IFERROR(__xludf.DUMMYFUNCTION("GOOGLETRANSLATE(B26395,""en"",""es-ES"")"),"Ella se aleja y termina con un logotipo que se muestra.")</f>
        <v>Ella se aleja y termina con un logotipo que se muestra.</v>
      </c>
    </row>
    <row r="26396">
      <c r="A26396" s="4" t="s">
        <v>33220</v>
      </c>
      <c r="B26396" s="4" t="s">
        <v>33221</v>
      </c>
      <c r="C26396" s="5" t="str">
        <f>IFERROR(__xludf.DUMMYFUNCTION("GOOGLETRANSLATE(B26396,""en"",""es-ES"")"),"Un grupo de jugadores de lacrosse se muestra en un campo.")</f>
        <v>Un grupo de jugadores de lacrosse se muestra en un campo.</v>
      </c>
    </row>
    <row r="26397">
      <c r="A26397" s="4" t="s">
        <v>33220</v>
      </c>
      <c r="B26397" s="4" t="s">
        <v>33222</v>
      </c>
      <c r="C26397" s="5" t="str">
        <f>IFERROR(__xludf.DUMMYFUNCTION("GOOGLETRANSLATE(B26397,""en"",""es-ES"")"),"Corren, tratando de alejar la pelota el uno del otro.")</f>
        <v>Corren, tratando de alejar la pelota el uno del otro.</v>
      </c>
    </row>
    <row r="26398">
      <c r="A26398" s="4" t="s">
        <v>33220</v>
      </c>
      <c r="B26398" s="4" t="s">
        <v>33223</v>
      </c>
      <c r="C26398" s="5" t="str">
        <f>IFERROR(__xludf.DUMMYFUNCTION("GOOGLETRANSLATE(B26398,""en"",""es-ES"")"),"Se muestran jugando en cámara lenta.")</f>
        <v>Se muestran jugando en cámara lenta.</v>
      </c>
    </row>
    <row r="26399">
      <c r="A26399" s="4" t="s">
        <v>33224</v>
      </c>
      <c r="B26399" s="4" t="s">
        <v>33225</v>
      </c>
      <c r="C26399" s="5" t="str">
        <f>IFERROR(__xludf.DUMMYFUNCTION("GOOGLETRANSLATE(B26399,""en"",""es-ES"")"),"Un hombre que usa una cubierta de plástico se muestra comiendo helado.")</f>
        <v>Un hombre que usa una cubierta de plástico se muestra comiendo helado.</v>
      </c>
    </row>
    <row r="26400">
      <c r="A26400" s="4" t="s">
        <v>33224</v>
      </c>
      <c r="B26400" s="4" t="s">
        <v>33226</v>
      </c>
      <c r="C26400" s="5" t="str">
        <f>IFERROR(__xludf.DUMMYFUNCTION("GOOGLETRANSLATE(B26400,""en"",""es-ES"")"),"Vemos el interior de una planta, donde las galletas se trituran y se colocan en recipientes de helado de vainilla, luego se clasifican.")</f>
        <v>Vemos el interior de una planta, donde las galletas se trituran y se colocan en recipientes de helado de vainilla, luego se clasifican.</v>
      </c>
    </row>
    <row r="26401">
      <c r="A26401" s="4" t="s">
        <v>33224</v>
      </c>
      <c r="B26401" s="4" t="s">
        <v>33227</v>
      </c>
      <c r="C26401" s="5" t="str">
        <f>IFERROR(__xludf.DUMMYFUNCTION("GOOGLETRANSLATE(B26401,""en"",""es-ES"")"),"El helado llena las pintas y se mezcla en una bóveda gigante antes de agregar otros ingredientes y se llenan las pintas.")</f>
        <v>El helado llena las pintas y se mezcla en una bóveda gigante antes de agregar otros ingredientes y se llenan las pintas.</v>
      </c>
    </row>
    <row r="26402">
      <c r="A26402" s="4" t="s">
        <v>33224</v>
      </c>
      <c r="B26402" s="4" t="s">
        <v>33228</v>
      </c>
      <c r="C26402" s="5" t="str">
        <f>IFERROR(__xludf.DUMMYFUNCTION("GOOGLETRANSLATE(B26402,""en"",""es-ES"")"),"Luego vemos que se crean paletas, antes de que un hombre y una mujer se muestren comiendo las golosinas.")</f>
        <v>Luego vemos que se crean paletas, antes de que un hombre y una mujer se muestren comiendo las golosinas.</v>
      </c>
    </row>
    <row r="26403">
      <c r="A26403" s="4" t="s">
        <v>33229</v>
      </c>
      <c r="B26403" s="4" t="s">
        <v>33230</v>
      </c>
      <c r="C26403" s="5" t="str">
        <f>IFERROR(__xludf.DUMMYFUNCTION("GOOGLETRANSLATE(B26403,""en"",""es-ES"")"),"Un hombre que usa guantes contiene un par de alicates y pone un objeto en el medio.")</f>
        <v>Un hombre que usa guantes contiene un par de alicates y pone un objeto en el medio.</v>
      </c>
    </row>
    <row r="26404">
      <c r="A26404" s="4" t="s">
        <v>33229</v>
      </c>
      <c r="B26404" s="4" t="s">
        <v>33231</v>
      </c>
      <c r="C26404" s="5" t="str">
        <f>IFERROR(__xludf.DUMMYFUNCTION("GOOGLETRANSLATE(B26404,""en"",""es-ES"")"),"Él provoca el objeto para crear una llama y se pone la máscara para protegerse.")</f>
        <v>Él provoca el objeto para crear una llama y se pone la máscara para protegerse.</v>
      </c>
    </row>
    <row r="26405">
      <c r="A26405" s="4" t="s">
        <v>33229</v>
      </c>
      <c r="B26405" s="4" t="s">
        <v>33232</v>
      </c>
      <c r="C26405" s="5" t="str">
        <f>IFERROR(__xludf.DUMMYFUNCTION("GOOGLETRANSLATE(B26405,""en"",""es-ES"")"),"Continúa llamando al objeto y muestra lo que ha quemado.")</f>
        <v>Continúa llamando al objeto y muestra lo que ha quemado.</v>
      </c>
    </row>
    <row r="26406">
      <c r="A26406" s="4" t="s">
        <v>33233</v>
      </c>
      <c r="B26406" s="4" t="s">
        <v>33234</v>
      </c>
      <c r="C26406" s="5" t="str">
        <f>IFERROR(__xludf.DUMMYFUNCTION("GOOGLETRANSLATE(B26406,""en"",""es-ES"")"),"Un niño salta sobre una tabla de buceo.")</f>
        <v>Un niño salta sobre una tabla de buceo.</v>
      </c>
    </row>
    <row r="26407">
      <c r="A26407" s="4" t="s">
        <v>33233</v>
      </c>
      <c r="B26407" s="4" t="s">
        <v>33235</v>
      </c>
      <c r="C26407" s="5" t="str">
        <f>IFERROR(__xludf.DUMMYFUNCTION("GOOGLETRANSLATE(B26407,""en"",""es-ES"")"),"Luego, el niño salta y voltea tres veces, pero cae de espaldas haciendo un gran chapoteo.")</f>
        <v>Luego, el niño salta y voltea tres veces, pero cae de espaldas haciendo un gran chapoteo.</v>
      </c>
    </row>
    <row r="26408">
      <c r="A26408" s="4" t="s">
        <v>33236</v>
      </c>
      <c r="B26408" s="4" t="s">
        <v>33237</v>
      </c>
      <c r="C26408" s="5" t="str">
        <f>IFERROR(__xludf.DUMMYFUNCTION("GOOGLETRANSLATE(B26408,""en"",""es-ES"")"),"Un joven conecta una camisa en una tabla de planchar en un pasillo.")</f>
        <v>Un joven conecta una camisa en una tabla de planchar en un pasillo.</v>
      </c>
    </row>
    <row r="26409">
      <c r="A26409" s="4" t="s">
        <v>33236</v>
      </c>
      <c r="B26409" s="4" t="s">
        <v>33238</v>
      </c>
      <c r="C26409" s="5" t="str">
        <f>IFERROR(__xludf.DUMMYFUNCTION("GOOGLETRANSLATE(B26409,""en"",""es-ES"")"),"El hombre ajusta la cámara y vuelve a planchar.")</f>
        <v>El hombre ajusta la cámara y vuelve a planchar.</v>
      </c>
    </row>
    <row r="26410">
      <c r="A26410" s="4" t="s">
        <v>33236</v>
      </c>
      <c r="B26410" s="4" t="s">
        <v>33239</v>
      </c>
      <c r="C26410" s="5" t="str">
        <f>IFERROR(__xludf.DUMMYFUNCTION("GOOGLETRANSLATE(B26410,""en"",""es-ES"")"),"El hombre termina de planchar y aparta la cámara.")</f>
        <v>El hombre termina de planchar y aparta la cámara.</v>
      </c>
    </row>
    <row r="26411">
      <c r="A26411" s="4" t="s">
        <v>33240</v>
      </c>
      <c r="B26411" s="4" t="s">
        <v>33241</v>
      </c>
      <c r="C26411" s="5" t="str">
        <f>IFERROR(__xludf.DUMMYFUNCTION("GOOGLETRANSLATE(B26411,""en"",""es-ES"")"),"Un hombre con una camisa roja está arrodillada.")</f>
        <v>Un hombre con una camisa roja está arrodillada.</v>
      </c>
    </row>
    <row r="26412">
      <c r="A26412" s="4" t="s">
        <v>33240</v>
      </c>
      <c r="B26412" s="4" t="s">
        <v>33242</v>
      </c>
      <c r="C26412" s="5" t="str">
        <f>IFERROR(__xludf.DUMMYFUNCTION("GOOGLETRANSLATE(B26412,""en"",""es-ES"")"),"Otro hombre con una camisa negra está de pie frente a él.")</f>
        <v>Otro hombre con una camisa negra está de pie frente a él.</v>
      </c>
    </row>
    <row r="26413">
      <c r="A26413" s="4" t="s">
        <v>33240</v>
      </c>
      <c r="B26413" s="4" t="s">
        <v>33243</v>
      </c>
      <c r="C26413" s="5" t="str">
        <f>IFERROR(__xludf.DUMMYFUNCTION("GOOGLETRANSLATE(B26413,""en"",""es-ES"")"),"Están arreglando algo en una bicicleta.")</f>
        <v>Están arreglando algo en una bicicleta.</v>
      </c>
    </row>
    <row r="26414">
      <c r="A26414" s="4" t="s">
        <v>33244</v>
      </c>
      <c r="B26414" s="4" t="s">
        <v>33245</v>
      </c>
      <c r="C26414" s="5" t="str">
        <f>IFERROR(__xludf.DUMMYFUNCTION("GOOGLETRANSLATE(B26414,""en"",""es-ES"")"),"Una mujer explica cómo envolver una caja con papel de regalo.")</f>
        <v>Una mujer explica cómo envolver una caja con papel de regalo.</v>
      </c>
    </row>
    <row r="26415">
      <c r="A26415" s="4" t="s">
        <v>33244</v>
      </c>
      <c r="B26415" s="4" t="s">
        <v>33246</v>
      </c>
      <c r="C26415" s="5" t="str">
        <f>IFERROR(__xludf.DUMMYFUNCTION("GOOGLETRANSLATE(B26415,""en"",""es-ES"")"),"Luego, la mujer corta el papel y envuelve la caja con cinta adhesiva.")</f>
        <v>Luego, la mujer corta el papel y envuelve la caja con cinta adhesiva.</v>
      </c>
    </row>
    <row r="26416">
      <c r="A26416" s="4" t="s">
        <v>33244</v>
      </c>
      <c r="B26416" s="4" t="s">
        <v>33247</v>
      </c>
      <c r="C26416" s="5" t="str">
        <f>IFERROR(__xludf.DUMMYFUNCTION("GOOGLETRANSLATE(B26416,""en"",""es-ES"")"),"Después, la mujer dobla los lados del papel y corta una pieza para que se ajuste a la caja, luego coloque cinta adhesiva para unir los extremos mientras explica.")</f>
        <v>Después, la mujer dobla los lados del papel y corta una pieza para que se ajuste a la caja, luego coloque cinta adhesiva para unir los extremos mientras explica.</v>
      </c>
    </row>
    <row r="26417">
      <c r="A26417" s="4" t="s">
        <v>33248</v>
      </c>
      <c r="B26417" s="4" t="s">
        <v>33249</v>
      </c>
      <c r="C26417" s="5" t="str">
        <f>IFERROR(__xludf.DUMMYFUNCTION("GOOGLETRANSLATE(B26417,""en"",""es-ES"")"),"Se ve a una niña lamiendo un cono de helado mientras la cámara la miraba comer.")</f>
        <v>Se ve a una niña lamiendo un cono de helado mientras la cámara la miraba comer.</v>
      </c>
    </row>
    <row r="26418">
      <c r="A26418" s="4" t="s">
        <v>33248</v>
      </c>
      <c r="B26418" s="4" t="s">
        <v>33250</v>
      </c>
      <c r="C26418" s="5" t="str">
        <f>IFERROR(__xludf.DUMMYFUNCTION("GOOGLETRANSLATE(B26418,""en"",""es-ES"")"),"Ella continúa comiendo el cono de helado y mirando a lo lejos.")</f>
        <v>Ella continúa comiendo el cono de helado y mirando a lo lejos.</v>
      </c>
    </row>
    <row r="26419">
      <c r="A26419" s="4" t="s">
        <v>33251</v>
      </c>
      <c r="B26419" s="4" t="s">
        <v>33252</v>
      </c>
      <c r="C26419" s="5" t="str">
        <f>IFERROR(__xludf.DUMMYFUNCTION("GOOGLETRANSLATE(B26419,""en"",""es-ES"")"),"Un hombre con jeans y camiseta rueda un rodillo de pintura en la bandeja.")</f>
        <v>Un hombre con jeans y camiseta rueda un rodillo de pintura en la bandeja.</v>
      </c>
    </row>
    <row r="26420">
      <c r="A26420" s="4" t="s">
        <v>33251</v>
      </c>
      <c r="B26420" s="4" t="s">
        <v>33253</v>
      </c>
      <c r="C26420" s="5" t="str">
        <f>IFERROR(__xludf.DUMMYFUNCTION("GOOGLETRANSLATE(B26420,""en"",""es-ES"")"),"El hombre aplica más pintura a la cerca con un rodillo y recibe más pintura hasta que levanta el rodillo y está satisfecho.")</f>
        <v>El hombre aplica más pintura a la cerca con un rodillo y recibe más pintura hasta que levanta el rodillo y está satisfecho.</v>
      </c>
    </row>
    <row r="26421">
      <c r="A26421" s="4" t="s">
        <v>33251</v>
      </c>
      <c r="B26421" s="4" t="s">
        <v>33254</v>
      </c>
      <c r="C26421" s="5" t="str">
        <f>IFERROR(__xludf.DUMMYFUNCTION("GOOGLETRANSLATE(B26421,""en"",""es-ES"")"),"El hombre obtiene más pintura en su cepillo de la bandeja.")</f>
        <v>El hombre obtiene más pintura en su cepillo de la bandeja.</v>
      </c>
    </row>
    <row r="26422">
      <c r="A26422" s="4" t="s">
        <v>33251</v>
      </c>
      <c r="B26422" s="4" t="s">
        <v>33255</v>
      </c>
      <c r="C26422" s="5" t="str">
        <f>IFERROR(__xludf.DUMMYFUNCTION("GOOGLETRANSLATE(B26422,""en"",""es-ES"")"),"El hombre termina de pintar la sección de la cerca y luego coloca su rodillo.")</f>
        <v>El hombre termina de pintar la sección de la cerca y luego coloca su rodillo.</v>
      </c>
    </row>
    <row r="26423">
      <c r="A26423" s="4" t="s">
        <v>33256</v>
      </c>
      <c r="B26423" s="4" t="s">
        <v>33257</v>
      </c>
      <c r="C26423" s="5" t="str">
        <f>IFERROR(__xludf.DUMMYFUNCTION("GOOGLETRANSLATE(B26423,""en"",""es-ES"")"),"Varias personas están longitudes y en bicicleta por una colina.")</f>
        <v>Varias personas están longitudes y en bicicleta por una colina.</v>
      </c>
    </row>
    <row r="26424">
      <c r="A26424" s="4" t="s">
        <v>33256</v>
      </c>
      <c r="B26424" s="4" t="s">
        <v>33258</v>
      </c>
      <c r="C26424" s="5" t="str">
        <f>IFERROR(__xludf.DUMMYFUNCTION("GOOGLETRANSLATE(B26424,""en"",""es-ES"")"),"Una persona tiene un guante blanco y se aferra a la persona frente a ellos.")</f>
        <v>Una persona tiene un guante blanco y se aferra a la persona frente a ellos.</v>
      </c>
    </row>
    <row r="26425">
      <c r="A26425" s="4" t="s">
        <v>33256</v>
      </c>
      <c r="B26425" s="4" t="s">
        <v>33259</v>
      </c>
      <c r="C26425" s="5" t="str">
        <f>IFERROR(__xludf.DUMMYFUNCTION("GOOGLETRANSLATE(B26425,""en"",""es-ES"")"),"Las palabras van en la pantalla al final.")</f>
        <v>Las palabras van en la pantalla al final.</v>
      </c>
    </row>
    <row r="26426">
      <c r="A26426" s="4" t="s">
        <v>33260</v>
      </c>
      <c r="B26426" s="4" t="s">
        <v>33261</v>
      </c>
      <c r="C26426" s="5" t="str">
        <f>IFERROR(__xludf.DUMMYFUNCTION("GOOGLETRANSLATE(B26426,""en"",""es-ES"")"),"El hombre está snowboard yendo por una colina deslizándose en zigzags pasando pequeñas banderas.")</f>
        <v>El hombre está snowboard yendo por una colina deslizándose en zigzags pasando pequeñas banderas.</v>
      </c>
    </row>
    <row r="26427">
      <c r="A26427" s="4" t="s">
        <v>33260</v>
      </c>
      <c r="B26427" s="4" t="s">
        <v>33262</v>
      </c>
      <c r="C26427" s="5" t="str">
        <f>IFERROR(__xludf.DUMMYFUNCTION("GOOGLETRANSLATE(B26427,""en"",""es-ES"")"),"El hombre está hablando con la cámara en una habitación oscura.")</f>
        <v>El hombre está hablando con la cámara en una habitación oscura.</v>
      </c>
    </row>
    <row r="26428">
      <c r="A26428" s="4" t="s">
        <v>33260</v>
      </c>
      <c r="B26428" s="4" t="s">
        <v>33263</v>
      </c>
      <c r="C26428" s="5" t="str">
        <f>IFERROR(__xludf.DUMMYFUNCTION("GOOGLETRANSLATE(B26428,""en"",""es-ES"")"),"El hombre está snowboard en la pendiente nevada y un video muestra la posición correcta del cuerpo cuando va de lado a lado.")</f>
        <v>El hombre está snowboard en la pendiente nevada y un video muestra la posición correcta del cuerpo cuando va de lado a lado.</v>
      </c>
    </row>
    <row r="26429">
      <c r="A26429" s="4" t="s">
        <v>33264</v>
      </c>
      <c r="B26429" s="4" t="s">
        <v>33265</v>
      </c>
      <c r="C26429" s="5" t="str">
        <f>IFERROR(__xludf.DUMMYFUNCTION("GOOGLETRANSLATE(B26429,""en"",""es-ES"")"),"Un hombre y una hija se ven deslizándose en el marco con solo calcetines y una camisa larga.")</f>
        <v>Un hombre y una hija se ven deslizándose en el marco con solo calcetines y una camisa larga.</v>
      </c>
    </row>
    <row r="26430">
      <c r="A26430" s="4" t="s">
        <v>33264</v>
      </c>
      <c r="B26430" s="4" t="s">
        <v>33266</v>
      </c>
      <c r="C26430" s="5" t="str">
        <f>IFERROR(__xludf.DUMMYFUNCTION("GOOGLETRANSLATE(B26430,""en"",""es-ES"")"),"Los dos son vistos sosteniendo a Mops y comienzan a cantar entre sí.")</f>
        <v>Los dos son vistos sosteniendo a Mops y comienzan a cantar entre sí.</v>
      </c>
    </row>
    <row r="26431">
      <c r="A26431" s="4" t="s">
        <v>33264</v>
      </c>
      <c r="B26431" s="4" t="s">
        <v>33267</v>
      </c>
      <c r="C26431" s="5" t="str">
        <f>IFERROR(__xludf.DUMMYFUNCTION("GOOGLETRANSLATE(B26431,""en"",""es-ES"")"),"Los dos continúan bailando y cantando entre ellos.")</f>
        <v>Los dos continúan bailando y cantando entre ellos.</v>
      </c>
    </row>
    <row r="26432">
      <c r="A26432" s="4" t="s">
        <v>33268</v>
      </c>
      <c r="B26432" s="4" t="s">
        <v>33269</v>
      </c>
      <c r="C26432" s="5" t="str">
        <f>IFERROR(__xludf.DUMMYFUNCTION("GOOGLETRANSLATE(B26432,""en"",""es-ES"")"),"El buceador nade y deslice bajo el agua en el océano cerca de una cara de roca.")</f>
        <v>El buceador nade y deslice bajo el agua en el océano cerca de una cara de roca.</v>
      </c>
    </row>
    <row r="26433">
      <c r="A26433" s="4" t="s">
        <v>33268</v>
      </c>
      <c r="B26433" s="4" t="s">
        <v>33270</v>
      </c>
      <c r="C26433" s="5" t="str">
        <f>IFERROR(__xludf.DUMMYFUNCTION("GOOGLETRANSLATE(B26433,""en"",""es-ES"")"),"Los buceadores hacen gestos y bromas en las manos.")</f>
        <v>Los buceadores hacen gestos y bromas en las manos.</v>
      </c>
    </row>
    <row r="26434">
      <c r="A26434" s="4" t="s">
        <v>33268</v>
      </c>
      <c r="B26434" s="4" t="s">
        <v>33271</v>
      </c>
      <c r="C26434" s="5" t="str">
        <f>IFERROR(__xludf.DUMMYFUNCTION("GOOGLETRANSLATE(B26434,""en"",""es-ES"")"),"Los hombres nadan de cerca a la vista.")</f>
        <v>Los hombres nadan de cerca a la vista.</v>
      </c>
    </row>
    <row r="26435">
      <c r="A26435" s="4" t="s">
        <v>33272</v>
      </c>
      <c r="B26435" s="4" t="s">
        <v>33273</v>
      </c>
      <c r="C26435" s="5" t="str">
        <f>IFERROR(__xludf.DUMMYFUNCTION("GOOGLETRANSLATE(B26435,""en"",""es-ES"")"),"Se muestra un primer plano de esquís seguidos por una persona que se empuja con palos y esquía por la montaña.")</f>
        <v>Se muestra un primer plano de esquís seguidos por una persona que se empuja con palos y esquía por la montaña.</v>
      </c>
    </row>
    <row r="26436">
      <c r="A26436" s="4" t="s">
        <v>33272</v>
      </c>
      <c r="B26436" s="4" t="s">
        <v>33274</v>
      </c>
      <c r="C26436" s="5" t="str">
        <f>IFERROR(__xludf.DUMMYFUNCTION("GOOGLETRANSLATE(B26436,""en"",""es-ES"")"),"La persona que conduce continuamente por la montaña usando los esquís y se acerca a las personas y se detiene en el fondo.")</f>
        <v>La persona que conduce continuamente por la montaña usando los esquís y se acerca a las personas y se detiene en el fondo.</v>
      </c>
    </row>
    <row r="26437">
      <c r="A26437" s="4" t="s">
        <v>33275</v>
      </c>
      <c r="B26437" s="4" t="s">
        <v>33276</v>
      </c>
      <c r="C26437" s="5" t="str">
        <f>IFERROR(__xludf.DUMMYFUNCTION("GOOGLETRANSLATE(B26437,""en"",""es-ES"")"),"Se ve a un hombre parado y levantando los brazos a los costados.")</f>
        <v>Se ve a un hombre parado y levantando los brazos a los costados.</v>
      </c>
    </row>
    <row r="26438">
      <c r="A26438" s="4" t="s">
        <v>33275</v>
      </c>
      <c r="B26438" s="4" t="s">
        <v>33277</v>
      </c>
      <c r="C26438" s="5" t="str">
        <f>IFERROR(__xludf.DUMMYFUNCTION("GOOGLETRANSLATE(B26438,""en"",""es-ES"")"),"El hombre luego salta a un conjunto de barras desiguales y comienza a realizar una rutina de gimnasia.")</f>
        <v>El hombre luego salta a un conjunto de barras desiguales y comienza a realizar una rutina de gimnasia.</v>
      </c>
    </row>
    <row r="26439">
      <c r="A26439" s="4" t="s">
        <v>33275</v>
      </c>
      <c r="B26439" s="4" t="s">
        <v>33278</v>
      </c>
      <c r="C26439" s="5" t="str">
        <f>IFERROR(__xludf.DUMMYFUNCTION("GOOGLETRANSLATE(B26439,""en"",""es-ES"")"),"El hombre se gira por todas partes y termina saltando del costado con los brazos hacia arriba.")</f>
        <v>El hombre se gira por todas partes y termina saltando del costado con los brazos hacia arriba.</v>
      </c>
    </row>
    <row r="26440">
      <c r="A26440" s="4" t="s">
        <v>33279</v>
      </c>
      <c r="B26440" s="4" t="s">
        <v>33280</v>
      </c>
      <c r="C26440" s="5" t="str">
        <f>IFERROR(__xludf.DUMMYFUNCTION("GOOGLETRANSLATE(B26440,""en"",""es-ES"")"),"Dos mujeres están lavando platos en la cocina.")</f>
        <v>Dos mujeres están lavando platos en la cocina.</v>
      </c>
    </row>
    <row r="26441">
      <c r="A26441" s="4" t="s">
        <v>33279</v>
      </c>
      <c r="B26441" s="4" t="s">
        <v>33281</v>
      </c>
      <c r="C26441" s="5" t="str">
        <f>IFERROR(__xludf.DUMMYFUNCTION("GOOGLETRANSLATE(B26441,""en"",""es-ES"")"),"Van de un lado a otro sobre la cocina.")</f>
        <v>Van de un lado a otro sobre la cocina.</v>
      </c>
    </row>
    <row r="26442">
      <c r="A26442" s="4" t="s">
        <v>33279</v>
      </c>
      <c r="B26442" s="4" t="s">
        <v>33282</v>
      </c>
      <c r="C26442" s="5" t="str">
        <f>IFERROR(__xludf.DUMMYFUNCTION("GOOGLETRANSLATE(B26442,""en"",""es-ES"")"),"La escena está en movimiento muy rápido.")</f>
        <v>La escena está en movimiento muy rápido.</v>
      </c>
    </row>
    <row r="26443">
      <c r="A26443" s="4" t="s">
        <v>33283</v>
      </c>
      <c r="B26443" s="4" t="s">
        <v>33284</v>
      </c>
      <c r="C26443" s="5" t="str">
        <f>IFERROR(__xludf.DUMMYFUNCTION("GOOGLETRANSLATE(B26443,""en"",""es-ES"")"),"Un hombre y una mujer están sentados en un escenario juntos.")</f>
        <v>Un hombre y una mujer están sentados en un escenario juntos.</v>
      </c>
    </row>
    <row r="26444">
      <c r="A26444" s="4" t="s">
        <v>33283</v>
      </c>
      <c r="B26444" s="4" t="s">
        <v>33285</v>
      </c>
      <c r="C26444" s="5" t="str">
        <f>IFERROR(__xludf.DUMMYFUNCTION("GOOGLETRANSLATE(B26444,""en"",""es-ES"")"),"Están hablando del baile de tango.")</f>
        <v>Están hablando del baile de tango.</v>
      </c>
    </row>
    <row r="26445">
      <c r="A26445" s="4" t="s">
        <v>33283</v>
      </c>
      <c r="B26445" s="4" t="s">
        <v>33286</v>
      </c>
      <c r="C26445" s="5" t="str">
        <f>IFERROR(__xludf.DUMMYFUNCTION("GOOGLETRANSLATE(B26445,""en"",""es-ES"")"),"Giran y giran ante una audiencia.")</f>
        <v>Giran y giran ante una audiencia.</v>
      </c>
    </row>
    <row r="26446">
      <c r="A26446" s="4" t="s">
        <v>33287</v>
      </c>
      <c r="B26446" s="4" t="s">
        <v>33288</v>
      </c>
      <c r="C26446" s="5" t="str">
        <f>IFERROR(__xludf.DUMMYFUNCTION("GOOGLETRANSLATE(B26446,""en"",""es-ES"")"),"Se da una noticia sobre caminar una línea de holgura.")</f>
        <v>Se da una noticia sobre caminar una línea de holgura.</v>
      </c>
    </row>
    <row r="26447">
      <c r="A26447" s="4" t="s">
        <v>33287</v>
      </c>
      <c r="B26447" s="4" t="s">
        <v>33289</v>
      </c>
      <c r="C26447" s="5" t="str">
        <f>IFERROR(__xludf.DUMMYFUNCTION("GOOGLETRANSLATE(B26447,""en"",""es-ES"")"),"Las personas de todos los niveles caminan, mienten y meditan en la cuerda.")</f>
        <v>Las personas de todos los niveles caminan, mienten y meditan en la cuerda.</v>
      </c>
    </row>
    <row r="26448">
      <c r="A26448" s="4" t="s">
        <v>33287</v>
      </c>
      <c r="B26448" s="4" t="s">
        <v>33290</v>
      </c>
      <c r="C26448" s="5" t="str">
        <f>IFERROR(__xludf.DUMMYFUNCTION("GOOGLETRANSLATE(B26448,""en"",""es-ES"")"),"Algunas personas caminan sobre canoas que se aproximan.")</f>
        <v>Algunas personas caminan sobre canoas que se aproximan.</v>
      </c>
    </row>
    <row r="26449">
      <c r="A26449" s="4" t="s">
        <v>33291</v>
      </c>
      <c r="B26449" s="4" t="s">
        <v>33292</v>
      </c>
      <c r="C26449" s="5" t="str">
        <f>IFERROR(__xludf.DUMMYFUNCTION("GOOGLETRANSLATE(B26449,""en"",""es-ES"")"),"Una mujer puso lápiz labial en sus labios en el frente un espejo.")</f>
        <v>Una mujer puso lápiz labial en sus labios en el frente un espejo.</v>
      </c>
    </row>
    <row r="26450">
      <c r="A26450" s="4" t="s">
        <v>33291</v>
      </c>
      <c r="B26450" s="4" t="s">
        <v>33293</v>
      </c>
      <c r="C26450" s="5" t="str">
        <f>IFERROR(__xludf.DUMMYFUNCTION("GOOGLETRANSLATE(B26450,""en"",""es-ES"")"),"Luego se ríe con otros adolescentes a su lado.")</f>
        <v>Luego se ríe con otros adolescentes a su lado.</v>
      </c>
    </row>
    <row r="26451">
      <c r="A26451" s="4" t="s">
        <v>33294</v>
      </c>
      <c r="B26451" s="4" t="s">
        <v>33295</v>
      </c>
      <c r="C26451" s="5" t="str">
        <f>IFERROR(__xludf.DUMMYFUNCTION("GOOGLETRANSLATE(B26451,""en"",""es-ES"")"),"Un hombre está hablando con una cámara en su baño.")</f>
        <v>Un hombre está hablando con una cámara en su baño.</v>
      </c>
    </row>
    <row r="26452">
      <c r="A26452" s="4" t="s">
        <v>33294</v>
      </c>
      <c r="B26452" s="4" t="s">
        <v>33296</v>
      </c>
      <c r="C26452" s="5" t="str">
        <f>IFERROR(__xludf.DUMMYFUNCTION("GOOGLETRANSLATE(B26452,""en"",""es-ES"")"),"Luego se le muestra cepillando, rociando y peinando el cabello de una mujer antes de trenzarlo.")</f>
        <v>Luego se le muestra cepillando, rociando y peinando el cabello de una mujer antes de trenzarlo.</v>
      </c>
    </row>
    <row r="26453">
      <c r="A26453" s="4" t="s">
        <v>33294</v>
      </c>
      <c r="B26453" s="4" t="s">
        <v>33297</v>
      </c>
      <c r="C26453" s="5" t="str">
        <f>IFERROR(__xludf.DUMMYFUNCTION("GOOGLETRANSLATE(B26453,""en"",""es-ES"")"),"Ella posa para la cámara cuando él ha terminado.")</f>
        <v>Ella posa para la cámara cuando él ha terminado.</v>
      </c>
    </row>
    <row r="26454">
      <c r="A26454" s="4" t="s">
        <v>33298</v>
      </c>
      <c r="B26454" s="4" t="s">
        <v>33299</v>
      </c>
      <c r="C26454" s="5" t="str">
        <f>IFERROR(__xludf.DUMMYFUNCTION("GOOGLETRANSLATE(B26454,""en"",""es-ES"")"),"El hombre instruye a cuatro mujeres sobre la cocina.")</f>
        <v>El hombre instruye a cuatro mujeres sobre la cocina.</v>
      </c>
    </row>
    <row r="26455">
      <c r="A26455" s="4" t="s">
        <v>33298</v>
      </c>
      <c r="B26455" s="4" t="s">
        <v>33300</v>
      </c>
      <c r="C26455" s="5" t="str">
        <f>IFERROR(__xludf.DUMMYFUNCTION("GOOGLETRANSLATE(B26455,""en"",""es-ES"")"),"El hombre agrega aceite, cebolla, ajo y pimientos a una olla.")</f>
        <v>El hombre agrega aceite, cebolla, ajo y pimientos a una olla.</v>
      </c>
    </row>
    <row r="26456">
      <c r="A26456" s="4" t="s">
        <v>33298</v>
      </c>
      <c r="B26456" s="4" t="s">
        <v>33301</v>
      </c>
      <c r="C26456" s="5" t="str">
        <f>IFERROR(__xludf.DUMMYFUNCTION("GOOGLETRANSLATE(B26456,""en"",""es-ES"")"),"El hombre agrega almejas a la olla.")</f>
        <v>El hombre agrega almejas a la olla.</v>
      </c>
    </row>
    <row r="26457">
      <c r="A26457" s="4" t="s">
        <v>33298</v>
      </c>
      <c r="B26457" s="4" t="s">
        <v>33302</v>
      </c>
      <c r="C26457" s="5" t="str">
        <f>IFERROR(__xludf.DUMMYFUNCTION("GOOGLETRANSLATE(B26457,""en"",""es-ES"")"),"El hombre agrega caldo a la olla.")</f>
        <v>El hombre agrega caldo a la olla.</v>
      </c>
    </row>
    <row r="26458">
      <c r="A26458" s="4" t="s">
        <v>33298</v>
      </c>
      <c r="B26458" s="4" t="s">
        <v>33303</v>
      </c>
      <c r="C26458" s="5" t="str">
        <f>IFERROR(__xludf.DUMMYFUNCTION("GOOGLETRANSLATE(B26458,""en"",""es-ES"")"),"El hombre hierve la pasta en una olla separada.")</f>
        <v>El hombre hierve la pasta en una olla separada.</v>
      </c>
    </row>
    <row r="26459">
      <c r="A26459" s="4" t="s">
        <v>33298</v>
      </c>
      <c r="B26459" s="4" t="s">
        <v>33304</v>
      </c>
      <c r="C26459" s="5" t="str">
        <f>IFERROR(__xludf.DUMMYFUNCTION("GOOGLETRANSLATE(B26459,""en"",""es-ES"")"),"Las mujeres se reúnen alrededor de una olla para ver la pasta.")</f>
        <v>Las mujeres se reúnen alrededor de una olla para ver la pasta.</v>
      </c>
    </row>
    <row r="26460">
      <c r="A26460" s="4" t="s">
        <v>33298</v>
      </c>
      <c r="B26460" s="4" t="s">
        <v>33305</v>
      </c>
      <c r="C26460" s="5" t="str">
        <f>IFERROR(__xludf.DUMMYFUNCTION("GOOGLETRANSLATE(B26460,""en"",""es-ES"")"),"El hombre termina la salsa y la vierte en una olla.")</f>
        <v>El hombre termina la salsa y la vierte en una olla.</v>
      </c>
    </row>
    <row r="26461">
      <c r="A26461" s="4" t="s">
        <v>33298</v>
      </c>
      <c r="B26461" s="4" t="s">
        <v>33306</v>
      </c>
      <c r="C26461" s="5" t="str">
        <f>IFERROR(__xludf.DUMMYFUNCTION("GOOGLETRANSLATE(B26461,""en"",""es-ES"")"),"El hombre agrega la pasta.")</f>
        <v>El hombre agrega la pasta.</v>
      </c>
    </row>
    <row r="26462">
      <c r="A26462" s="4" t="s">
        <v>33298</v>
      </c>
      <c r="B26462" s="4" t="s">
        <v>33307</v>
      </c>
      <c r="C26462" s="5" t="str">
        <f>IFERROR(__xludf.DUMMYFUNCTION("GOOGLETRANSLATE(B26462,""en"",""es-ES"")"),"El hombre agrega la pasta al plato.")</f>
        <v>El hombre agrega la pasta al plato.</v>
      </c>
    </row>
    <row r="26463">
      <c r="A26463" s="4" t="s">
        <v>33298</v>
      </c>
      <c r="B26463" s="4" t="s">
        <v>33308</v>
      </c>
      <c r="C26463" s="5" t="str">
        <f>IFERROR(__xludf.DUMMYFUNCTION("GOOGLETRANSLATE(B26463,""en"",""es-ES"")"),"Las mujeres prueban el plato de pasta.")</f>
        <v>Las mujeres prueban el plato de pasta.</v>
      </c>
    </row>
    <row r="26464">
      <c r="A26464" s="4" t="s">
        <v>33298</v>
      </c>
      <c r="B26464" s="4" t="s">
        <v>33309</v>
      </c>
      <c r="C26464" s="5" t="str">
        <f>IFERROR(__xludf.DUMMYFUNCTION("GOOGLETRANSLATE(B26464,""en"",""es-ES"")"),"Todos se ríen y parecen felices.")</f>
        <v>Todos se ríen y parecen felices.</v>
      </c>
    </row>
    <row r="26465">
      <c r="A26465" s="4" t="s">
        <v>33298</v>
      </c>
      <c r="B26465" s="4" t="s">
        <v>33310</v>
      </c>
      <c r="C26465" s="5" t="str">
        <f>IFERROR(__xludf.DUMMYFUNCTION("GOOGLETRANSLATE(B26465,""en"",""es-ES"")"),"El hombre comienza a llamar boletos.")</f>
        <v>El hombre comienza a llamar boletos.</v>
      </c>
    </row>
    <row r="26466">
      <c r="A26466" s="4" t="s">
        <v>33298</v>
      </c>
      <c r="B26466" s="4" t="s">
        <v>33311</v>
      </c>
      <c r="C26466" s="5" t="str">
        <f>IFERROR(__xludf.DUMMYFUNCTION("GOOGLETRANSLATE(B26466,""en"",""es-ES"")"),"Las mujeres cocinan el plato que el hombre acababa de enseñarles a hacer.")</f>
        <v>Las mujeres cocinan el plato que el hombre acababa de enseñarles a hacer.</v>
      </c>
    </row>
    <row r="26467">
      <c r="A26467" s="4" t="s">
        <v>33298</v>
      </c>
      <c r="B26467" s="4" t="s">
        <v>33312</v>
      </c>
      <c r="C26467" s="5" t="str">
        <f>IFERROR(__xludf.DUMMYFUNCTION("GOOGLETRANSLATE(B26467,""en"",""es-ES"")"),"El hombre los ayuda y les da consejos.")</f>
        <v>El hombre los ayuda y les da consejos.</v>
      </c>
    </row>
    <row r="26468">
      <c r="A26468" s="4" t="s">
        <v>33298</v>
      </c>
      <c r="B26468" s="4" t="s">
        <v>33313</v>
      </c>
      <c r="C26468" s="5" t="str">
        <f>IFERROR(__xludf.DUMMYFUNCTION("GOOGLETRANSLATE(B26468,""en"",""es-ES"")"),"Las mujeres parecen ansiosas mientras intentan cocinar.")</f>
        <v>Las mujeres parecen ansiosas mientras intentan cocinar.</v>
      </c>
    </row>
    <row r="26469">
      <c r="A26469" s="4" t="s">
        <v>33298</v>
      </c>
      <c r="B26469" s="4" t="s">
        <v>33314</v>
      </c>
      <c r="C26469" s="5" t="str">
        <f>IFERROR(__xludf.DUMMYFUNCTION("GOOGLETRANSLATE(B26469,""en"",""es-ES"")"),"Los camareros comienzan a servir los platos.")</f>
        <v>Los camareros comienzan a servir los platos.</v>
      </c>
    </row>
    <row r="26470">
      <c r="A26470" s="4" t="s">
        <v>33315</v>
      </c>
      <c r="B26470" s="4" t="s">
        <v>33316</v>
      </c>
      <c r="C26470" s="5" t="str">
        <f>IFERROR(__xludf.DUMMYFUNCTION("GOOGLETRANSLATE(B26470,""en"",""es-ES"")"),"Un trabajador de la construcción está parado en un edificio, sosteniendo un trapeador y un cubo.")</f>
        <v>Un trabajador de la construcción está parado en un edificio, sosteniendo un trapeador y un cubo.</v>
      </c>
    </row>
    <row r="26471">
      <c r="A26471" s="4" t="s">
        <v>33315</v>
      </c>
      <c r="B26471" s="4" t="s">
        <v>33317</v>
      </c>
      <c r="C26471" s="5" t="str">
        <f>IFERROR(__xludf.DUMMYFUNCTION("GOOGLETRANSLATE(B26471,""en"",""es-ES"")"),"Muestra el cubo y la solución, luego trama el piso en una demostración.")</f>
        <v>Muestra el cubo y la solución, luego trama el piso en una demostración.</v>
      </c>
    </row>
    <row r="26472">
      <c r="A26472" s="4" t="s">
        <v>33315</v>
      </c>
      <c r="B26472" s="4" t="s">
        <v>33318</v>
      </c>
      <c r="C26472" s="5" t="str">
        <f>IFERROR(__xludf.DUMMYFUNCTION("GOOGLETRANSLATE(B26472,""en"",""es-ES"")"),"Él pone el piso completamente limpio y brillante antes de pararse a un lado.")</f>
        <v>Él pone el piso completamente limpio y brillante antes de pararse a un lado.</v>
      </c>
    </row>
    <row r="26473">
      <c r="A26473" s="4" t="s">
        <v>33319</v>
      </c>
      <c r="B26473" s="4" t="s">
        <v>33320</v>
      </c>
      <c r="C26473" s="5" t="str">
        <f>IFERROR(__xludf.DUMMYFUNCTION("GOOGLETRANSLATE(B26473,""en"",""es-ES"")"),"La mujer está de pie en una sala de estar sosteniendo una plancha.")</f>
        <v>La mujer está de pie en una sala de estar sosteniendo una plancha.</v>
      </c>
    </row>
    <row r="26474">
      <c r="A26474" s="4" t="s">
        <v>33319</v>
      </c>
      <c r="B26474" s="4" t="s">
        <v>33321</v>
      </c>
      <c r="C26474" s="5" t="str">
        <f>IFERROR(__xludf.DUMMYFUNCTION("GOOGLETRANSLATE(B26474,""en"",""es-ES"")"),"Mujer con una camisa rosa está planchando una camisa azul.")</f>
        <v>Mujer con una camisa rosa está planchando una camisa azul.</v>
      </c>
    </row>
    <row r="26475">
      <c r="A26475" s="4" t="s">
        <v>33319</v>
      </c>
      <c r="B26475" s="4" t="s">
        <v>33322</v>
      </c>
      <c r="C26475" s="5" t="str">
        <f>IFERROR(__xludf.DUMMYFUNCTION("GOOGLETRANSLATE(B26475,""en"",""es-ES"")"),"La sala de estar tranquila es con muebles viejos.")</f>
        <v>La sala de estar tranquila es con muebles viejos.</v>
      </c>
    </row>
    <row r="26476">
      <c r="A26476" s="4" t="s">
        <v>33323</v>
      </c>
      <c r="B26476" s="4" t="s">
        <v>33324</v>
      </c>
      <c r="C26476" s="5" t="str">
        <f>IFERROR(__xludf.DUMMYFUNCTION("GOOGLETRANSLATE(B26476,""en"",""es-ES"")"),"Una mujer está rastrando hojas en una gran pila.")</f>
        <v>Una mujer está rastrando hojas en una gran pila.</v>
      </c>
    </row>
    <row r="26477">
      <c r="A26477" s="4" t="s">
        <v>33323</v>
      </c>
      <c r="B26477" s="4" t="s">
        <v>33325</v>
      </c>
      <c r="C26477" s="5" t="str">
        <f>IFERROR(__xludf.DUMMYFUNCTION("GOOGLETRANSLATE(B26477,""en"",""es-ES"")"),"Un hombre está ejecutando un cortacésped sobre las hojas.")</f>
        <v>Un hombre está ejecutando un cortacésped sobre las hojas.</v>
      </c>
    </row>
    <row r="26478">
      <c r="A26478" s="4" t="s">
        <v>33323</v>
      </c>
      <c r="B26478" s="4" t="s">
        <v>33326</v>
      </c>
      <c r="C26478" s="5" t="str">
        <f>IFERROR(__xludf.DUMMYFUNCTION("GOOGLETRANSLATE(B26478,""en"",""es-ES"")"),"Puso algunas de las hojas en una cama de jardín.")</f>
        <v>Puso algunas de las hojas en una cama de jardín.</v>
      </c>
    </row>
    <row r="26479">
      <c r="A26479" s="4" t="s">
        <v>33327</v>
      </c>
      <c r="B26479" s="4" t="s">
        <v>33328</v>
      </c>
      <c r="C26479" s="5" t="str">
        <f>IFERROR(__xludf.DUMMYFUNCTION("GOOGLETRANSLATE(B26479,""en"",""es-ES"")"),"Se ve a una mujer hablando con la cámara y la lleva a planchar un par de pantalones.")</f>
        <v>Se ve a una mujer hablando con la cámara y la lleva a planchar un par de pantalones.</v>
      </c>
    </row>
    <row r="26480">
      <c r="A26480" s="4" t="s">
        <v>33327</v>
      </c>
      <c r="B26480" s="4" t="s">
        <v>33329</v>
      </c>
      <c r="C26480" s="5" t="str">
        <f>IFERROR(__xludf.DUMMYFUNCTION("GOOGLETRANSLATE(B26480,""en"",""es-ES"")"),"La mujer continúa planchando los pantalones mientras mueve la plancha hacia arriba y hacia abajo.")</f>
        <v>La mujer continúa planchando los pantalones mientras mueve la plancha hacia arriba y hacia abajo.</v>
      </c>
    </row>
    <row r="26481">
      <c r="A26481" s="4" t="s">
        <v>33330</v>
      </c>
      <c r="B26481" s="4" t="s">
        <v>33331</v>
      </c>
      <c r="C26481" s="5" t="str">
        <f>IFERROR(__xludf.DUMMYFUNCTION("GOOGLETRANSLATE(B26481,""en"",""es-ES"")"),"Vemos muchos platos de comida elegante.")</f>
        <v>Vemos muchos platos de comida elegante.</v>
      </c>
    </row>
    <row r="26482">
      <c r="A26482" s="4" t="s">
        <v>33330</v>
      </c>
      <c r="B26482" s="4" t="s">
        <v>33332</v>
      </c>
      <c r="C26482" s="5" t="str">
        <f>IFERROR(__xludf.DUMMYFUNCTION("GOOGLETRANSLATE(B26482,""en"",""es-ES"")"),"Luego nos acercamos a las placas.")</f>
        <v>Luego nos acercamos a las placas.</v>
      </c>
    </row>
    <row r="26483">
      <c r="A26483" s="4" t="s">
        <v>33330</v>
      </c>
      <c r="B26483" s="4" t="s">
        <v>33333</v>
      </c>
      <c r="C26483" s="5" t="str">
        <f>IFERROR(__xludf.DUMMYFUNCTION("GOOGLETRANSLATE(B26483,""en"",""es-ES"")"),"Vemos una sombra en los platos.")</f>
        <v>Vemos una sombra en los platos.</v>
      </c>
    </row>
    <row r="26484">
      <c r="A26484" s="4" t="s">
        <v>33330</v>
      </c>
      <c r="B26484" s="4" t="s">
        <v>33334</v>
      </c>
      <c r="C26484" s="5" t="str">
        <f>IFERROR(__xludf.DUMMYFUNCTION("GOOGLETRANSLATE(B26484,""en"",""es-ES"")"),"Un hombre de la derecha recoge algunas placas.")</f>
        <v>Un hombre de la derecha recoge algunas placas.</v>
      </c>
    </row>
    <row r="26485">
      <c r="A26485" s="4" t="s">
        <v>33335</v>
      </c>
      <c r="B26485" s="4" t="s">
        <v>33336</v>
      </c>
      <c r="C26485" s="5" t="str">
        <f>IFERROR(__xludf.DUMMYFUNCTION("GOOGLETRANSLATE(B26485,""en"",""es-ES"")"),"Una mujer que usa equipo de entrenamiento está de pie y colgando de un saco de boxeo muy largo.")</f>
        <v>Una mujer que usa equipo de entrenamiento está de pie y colgando de un saco de boxeo muy largo.</v>
      </c>
    </row>
    <row r="26486">
      <c r="A26486" s="4" t="s">
        <v>33335</v>
      </c>
      <c r="B26486" s="4" t="s">
        <v>33337</v>
      </c>
      <c r="C26486" s="5" t="str">
        <f>IFERROR(__xludf.DUMMYFUNCTION("GOOGLETRANSLATE(B26486,""en"",""es-ES"")"),"De repente, la mujer salta y se encuentra a horcajadas sobre la bolsa.")</f>
        <v>De repente, la mujer salta y se encuentra a horcajadas sobre la bolsa.</v>
      </c>
    </row>
    <row r="26487">
      <c r="A26487" s="4" t="s">
        <v>33335</v>
      </c>
      <c r="B26487" s="4" t="s">
        <v>33338</v>
      </c>
      <c r="C26487" s="5" t="str">
        <f>IFERROR(__xludf.DUMMYFUNCTION("GOOGLETRANSLATE(B26487,""en"",""es-ES"")"),"Poco a poco, la mujer deja caer la mitad superior de su cuerpo mientras aún a horcajadas sobre la bolsa, y hace 5 sentadillas mientras la bolsa se balancea con ella.")</f>
        <v>Poco a poco, la mujer deja caer la mitad superior de su cuerpo mientras aún a horcajadas sobre la bolsa, y hace 5 sentadillas mientras la bolsa se balancea con ella.</v>
      </c>
    </row>
    <row r="26488">
      <c r="A26488" s="4" t="s">
        <v>33335</v>
      </c>
      <c r="B26488" s="4" t="s">
        <v>33339</v>
      </c>
      <c r="C26488" s="5" t="str">
        <f>IFERROR(__xludf.DUMMYFUNCTION("GOOGLETRANSLATE(B26488,""en"",""es-ES"")"),"La mujer se aferra a la bolsa, sonríe y luego salta.")</f>
        <v>La mujer se aferra a la bolsa, sonríe y luego salta.</v>
      </c>
    </row>
    <row r="26489">
      <c r="A26489" s="4" t="s">
        <v>33340</v>
      </c>
      <c r="B26489" s="4" t="s">
        <v>33341</v>
      </c>
      <c r="C26489" s="5" t="str">
        <f>IFERROR(__xludf.DUMMYFUNCTION("GOOGLETRANSLATE(B26489,""en"",""es-ES"")"),"Una mujer y una niña nadan en una piscina.")</f>
        <v>Una mujer y una niña nadan en una piscina.</v>
      </c>
    </row>
    <row r="26490">
      <c r="A26490" s="4" t="s">
        <v>33340</v>
      </c>
      <c r="B26490" s="4" t="s">
        <v>33342</v>
      </c>
      <c r="C26490" s="5" t="str">
        <f>IFERROR(__xludf.DUMMYFUNCTION("GOOGLETRANSLATE(B26490,""en"",""es-ES"")"),"La joven se aferra a la mujer mientras nada.")</f>
        <v>La joven se aferra a la mujer mientras nada.</v>
      </c>
    </row>
    <row r="26491">
      <c r="A26491" s="4" t="s">
        <v>33340</v>
      </c>
      <c r="B26491" s="4" t="s">
        <v>33343</v>
      </c>
      <c r="C26491" s="5" t="str">
        <f>IFERROR(__xludf.DUMMYFUNCTION("GOOGLETRANSLATE(B26491,""en"",""es-ES"")"),"La joven deja ir y nada cerca de la mujer.")</f>
        <v>La joven deja ir y nada cerca de la mujer.</v>
      </c>
    </row>
    <row r="26492">
      <c r="A26492" s="4" t="s">
        <v>33340</v>
      </c>
      <c r="B26492" s="4" t="s">
        <v>33344</v>
      </c>
      <c r="C26492" s="5" t="str">
        <f>IFERROR(__xludf.DUMMYFUNCTION("GOOGLETRANSLATE(B26492,""en"",""es-ES"")"),"La joven y la mujer se toman de las manos y nadan en la superficie de la piscina.")</f>
        <v>La joven y la mujer se toman de las manos y nadan en la superficie de la piscina.</v>
      </c>
    </row>
    <row r="26493">
      <c r="A26493" s="4" t="s">
        <v>33340</v>
      </c>
      <c r="B26493" s="4" t="s">
        <v>33345</v>
      </c>
      <c r="C26493" s="5" t="str">
        <f>IFERROR(__xludf.DUMMYFUNCTION("GOOGLETRANSLATE(B26493,""en"",""es-ES"")"),"La mujer se aferra a la niña.")</f>
        <v>La mujer se aferra a la niña.</v>
      </c>
    </row>
    <row r="26494">
      <c r="A26494" s="4" t="s">
        <v>33346</v>
      </c>
      <c r="B26494" s="4" t="s">
        <v>33347</v>
      </c>
      <c r="C26494" s="5" t="str">
        <f>IFERROR(__xludf.DUMMYFUNCTION("GOOGLETRANSLATE(B26494,""en"",""es-ES"")"),"Se ve a un gran grupo de personas corriendo alrededor de un pozo arenoso pateando una pelota de fútbol.")</f>
        <v>Se ve a un gran grupo de personas corriendo alrededor de un pozo arenoso pateando una pelota de fútbol.</v>
      </c>
    </row>
    <row r="26495">
      <c r="A26495" s="4" t="s">
        <v>33346</v>
      </c>
      <c r="B26495" s="4" t="s">
        <v>33348</v>
      </c>
      <c r="C26495" s="5" t="str">
        <f>IFERROR(__xludf.DUMMYFUNCTION("GOOGLETRANSLATE(B26495,""en"",""es-ES"")"),"La gente continúa jugando fútbol entre sí y esperan una llamada al final.")</f>
        <v>La gente continúa jugando fútbol entre sí y esperan una llamada al final.</v>
      </c>
    </row>
    <row r="26496">
      <c r="A26496" s="4" t="s">
        <v>33349</v>
      </c>
      <c r="B26496" s="4" t="s">
        <v>33350</v>
      </c>
      <c r="C26496" s="5" t="str">
        <f>IFERROR(__xludf.DUMMYFUNCTION("GOOGLETRANSLATE(B26496,""en"",""es-ES"")"),"Una mujer sostiene un gatito en su regazo.")</f>
        <v>Una mujer sostiene un gatito en su regazo.</v>
      </c>
    </row>
    <row r="26497">
      <c r="A26497" s="4" t="s">
        <v>33349</v>
      </c>
      <c r="B26497" s="4" t="s">
        <v>33351</v>
      </c>
      <c r="C26497" s="5" t="str">
        <f>IFERROR(__xludf.DUMMYFUNCTION("GOOGLETRANSLATE(B26497,""en"",""es-ES"")"),"Un chico está cortando las uñas del gato.")</f>
        <v>Un chico está cortando las uñas del gato.</v>
      </c>
    </row>
    <row r="26498">
      <c r="A26498" s="4" t="s">
        <v>33352</v>
      </c>
      <c r="B26498" s="4" t="s">
        <v>33353</v>
      </c>
      <c r="C26498" s="5" t="str">
        <f>IFERROR(__xludf.DUMMYFUNCTION("GOOGLETRANSLATE(B26498,""en"",""es-ES"")"),"Dos mujeres culturistas están sentadas en una mesa.")</f>
        <v>Dos mujeres culturistas están sentadas en una mesa.</v>
      </c>
    </row>
    <row r="26499">
      <c r="A26499" s="4" t="s">
        <v>33352</v>
      </c>
      <c r="B26499" s="4" t="s">
        <v>33354</v>
      </c>
      <c r="C26499" s="5" t="str">
        <f>IFERROR(__xludf.DUMMYFUNCTION("GOOGLETRANSLATE(B26499,""en"",""es-ES"")"),"Son la lucha contra los brazos, compitiendo para ganar.")</f>
        <v>Son la lucha contra los brazos, compitiendo para ganar.</v>
      </c>
    </row>
    <row r="26500">
      <c r="A26500" s="4" t="s">
        <v>33352</v>
      </c>
      <c r="B26500" s="4" t="s">
        <v>33355</v>
      </c>
      <c r="C26500" s="5" t="str">
        <f>IFERROR(__xludf.DUMMYFUNCTION("GOOGLETRANSLATE(B26500,""en"",""es-ES"")"),"Cuando hay un vencedor, las dos mujeres se dan la mano.")</f>
        <v>Cuando hay un vencedor, las dos mujeres se dan la mano.</v>
      </c>
    </row>
    <row r="26501">
      <c r="A26501" s="4" t="s">
        <v>33356</v>
      </c>
      <c r="B26501" s="4" t="s">
        <v>33357</v>
      </c>
      <c r="C26501" s="5" t="str">
        <f>IFERROR(__xludf.DUMMYFUNCTION("GOOGLETRANSLATE(B26501,""en"",""es-ES"")"),"El equipo verde y blanco se sale del piso.")</f>
        <v>El equipo verde y blanco se sale del piso.</v>
      </c>
    </row>
    <row r="26502">
      <c r="A26502" s="4" t="s">
        <v>33356</v>
      </c>
      <c r="B26502" s="4" t="s">
        <v>33358</v>
      </c>
      <c r="C26502" s="5" t="str">
        <f>IFERROR(__xludf.DUMMYFUNCTION("GOOGLETRANSLATE(B26502,""en"",""es-ES"")"),"El equipo verde y blanco está tirando de la cuerda en un concurso de tira y afloja.")</f>
        <v>El equipo verde y blanco está tirando de la cuerda en un concurso de tira y afloja.</v>
      </c>
    </row>
    <row r="26503">
      <c r="A26503" s="4" t="s">
        <v>33356</v>
      </c>
      <c r="B26503" s="4" t="s">
        <v>33359</v>
      </c>
      <c r="C26503" s="5" t="str">
        <f>IFERROR(__xludf.DUMMYFUNCTION("GOOGLETRANSLATE(B26503,""en"",""es-ES"")"),"El equipo rojo y negro está tirando de la cuerda en un concurso de tira y afloja.")</f>
        <v>El equipo rojo y negro está tirando de la cuerda en un concurso de tira y afloja.</v>
      </c>
    </row>
    <row r="26504">
      <c r="A26504" s="4" t="s">
        <v>33356</v>
      </c>
      <c r="B26504" s="4" t="s">
        <v>33360</v>
      </c>
      <c r="C26504" s="5" t="str">
        <f>IFERROR(__xludf.DUMMYFUNCTION("GOOGLETRANSLATE(B26504,""en"",""es-ES"")"),"El equipo verde y blanco está tomando repetidamente medidas y la audiencia está vitoreando.")</f>
        <v>El equipo verde y blanco está tomando repetidamente medidas y la audiencia está vitoreando.</v>
      </c>
    </row>
    <row r="26505">
      <c r="A26505" s="4" t="s">
        <v>33356</v>
      </c>
      <c r="B26505" s="4" t="s">
        <v>33361</v>
      </c>
      <c r="C26505" s="5" t="str">
        <f>IFERROR(__xludf.DUMMYFUNCTION("GOOGLETRANSLATE(B26505,""en"",""es-ES"")"),"El equipo verde y blanco está de pie sosteniendo la cuerda.")</f>
        <v>El equipo verde y blanco está de pie sosteniendo la cuerda.</v>
      </c>
    </row>
    <row r="26506">
      <c r="A26506" s="4" t="s">
        <v>33362</v>
      </c>
      <c r="B26506" s="4" t="s">
        <v>33363</v>
      </c>
      <c r="C26506" s="5" t="str">
        <f>IFERROR(__xludf.DUMMYFUNCTION("GOOGLETRANSLATE(B26506,""en"",""es-ES"")"),"Un hombre con una camisa amarilla está sobre sus rodillas capas de cemento en el piso.")</f>
        <v>Un hombre con una camisa amarilla está sobre sus rodillas capas de cemento en el piso.</v>
      </c>
    </row>
    <row r="26507">
      <c r="A26507" s="4" t="s">
        <v>33362</v>
      </c>
      <c r="B26507" s="4" t="s">
        <v>33364</v>
      </c>
      <c r="C26507" s="5" t="str">
        <f>IFERROR(__xludf.DUMMYFUNCTION("GOOGLETRANSLATE(B26507,""en"",""es-ES"")"),"Se detiene por un segundo y levanta la vista.")</f>
        <v>Se detiene por un segundo y levanta la vista.</v>
      </c>
    </row>
    <row r="26508">
      <c r="A26508" s="4" t="s">
        <v>33362</v>
      </c>
      <c r="B26508" s="4" t="s">
        <v>33365</v>
      </c>
      <c r="C26508" s="5" t="str">
        <f>IFERROR(__xludf.DUMMYFUNCTION("GOOGLETRANSLATE(B26508,""en"",""es-ES"")"),"El hombre vuelve a colocar el piso con cemento.")</f>
        <v>El hombre vuelve a colocar el piso con cemento.</v>
      </c>
    </row>
    <row r="26509">
      <c r="A26509" s="4" t="s">
        <v>33366</v>
      </c>
      <c r="B26509" s="4" t="s">
        <v>33367</v>
      </c>
      <c r="C26509" s="5" t="str">
        <f>IFERROR(__xludf.DUMMYFUNCTION("GOOGLETRANSLATE(B26509,""en"",""es-ES"")"),"Se ve a un niño sacando un trapeador de un cubo seguido de él empujando el trapeador por el piso.")</f>
        <v>Se ve a un niño sacando un trapeador de un cubo seguido de él empujando el trapeador por el piso.</v>
      </c>
    </row>
    <row r="26510">
      <c r="A26510" s="4" t="s">
        <v>33366</v>
      </c>
      <c r="B26510" s="4" t="s">
        <v>33368</v>
      </c>
      <c r="C26510" s="5" t="str">
        <f>IFERROR(__xludf.DUMMYFUNCTION("GOOGLETRANSLATE(B26510,""en"",""es-ES"")"),"La cámara se mueve a una mujer en la distancia y el niño continúa empujando el trapeador a lo largo del piso.")</f>
        <v>La cámara se mueve a una mujer en la distancia y el niño continúa empujando el trapeador a lo largo del piso.</v>
      </c>
    </row>
    <row r="26511">
      <c r="A26511" s="4" t="s">
        <v>33369</v>
      </c>
      <c r="B26511" s="4" t="s">
        <v>33370</v>
      </c>
      <c r="C26511" s="5" t="str">
        <f>IFERROR(__xludf.DUMMYFUNCTION("GOOGLETRANSLATE(B26511,""en"",""es-ES"")"),"Una persona extiende las ramas en un árbol de Navidad.")</f>
        <v>Una persona extiende las ramas en un árbol de Navidad.</v>
      </c>
    </row>
    <row r="26512">
      <c r="A26512" s="4" t="s">
        <v>33369</v>
      </c>
      <c r="B26512" s="4" t="s">
        <v>33371</v>
      </c>
      <c r="C26512" s="5" t="str">
        <f>IFERROR(__xludf.DUMMYFUNCTION("GOOGLETRANSLATE(B26512,""en"",""es-ES"")"),"La persona cubre el tinsel brillante alrededor del árbol.")</f>
        <v>La persona cubre el tinsel brillante alrededor del árbol.</v>
      </c>
    </row>
    <row r="26513">
      <c r="A26513" s="4" t="s">
        <v>33369</v>
      </c>
      <c r="B26513" s="4" t="s">
        <v>33372</v>
      </c>
      <c r="C26513" s="5" t="str">
        <f>IFERROR(__xludf.DUMMYFUNCTION("GOOGLETRANSLATE(B26513,""en"",""es-ES"")"),"La persona cuelga las bombillas navideñas en el árbol.")</f>
        <v>La persona cuelga las bombillas navideñas en el árbol.</v>
      </c>
    </row>
    <row r="26514">
      <c r="A26514" s="4" t="s">
        <v>33369</v>
      </c>
      <c r="B26514" s="4" t="s">
        <v>33373</v>
      </c>
      <c r="C26514" s="5" t="str">
        <f>IFERROR(__xludf.DUMMYFUNCTION("GOOGLETRANSLATE(B26514,""en"",""es-ES"")"),"Un niño viene y mira a la persona que decora el árbol y luego corre jugando.")</f>
        <v>Un niño viene y mira a la persona que decora el árbol y luego corre jugando.</v>
      </c>
    </row>
    <row r="26515">
      <c r="A26515" s="4" t="s">
        <v>33369</v>
      </c>
      <c r="B26515" s="4" t="s">
        <v>33374</v>
      </c>
      <c r="C26515" s="5" t="str">
        <f>IFERROR(__xludf.DUMMYFUNCTION("GOOGLETRANSLATE(B26515,""en"",""es-ES"")"),"La persona enrolla un trozo de tela para guardar.")</f>
        <v>La persona enrolla un trozo de tela para guardar.</v>
      </c>
    </row>
    <row r="26516">
      <c r="A26516" s="4" t="s">
        <v>33375</v>
      </c>
      <c r="B26516" s="4" t="s">
        <v>33376</v>
      </c>
      <c r="C26516" s="5" t="str">
        <f>IFERROR(__xludf.DUMMYFUNCTION("GOOGLETRANSLATE(B26516,""en"",""es-ES"")"),"Se muestran varias escenas de la multitud en una arena de las campos.")</f>
        <v>Se muestran varias escenas de la multitud en una arena de las campos.</v>
      </c>
    </row>
    <row r="26517">
      <c r="A26517" s="4" t="s">
        <v>33375</v>
      </c>
      <c r="B26517" s="4" t="s">
        <v>33377</v>
      </c>
      <c r="C26517" s="5" t="str">
        <f>IFERROR(__xludf.DUMMYFUNCTION("GOOGLETRANSLATE(B26517,""en"",""es-ES"")"),"Los matadores salen al área del anillo.")</f>
        <v>Los matadores salen al área del anillo.</v>
      </c>
    </row>
    <row r="26518">
      <c r="A26518" s="4" t="s">
        <v>33375</v>
      </c>
      <c r="B26518" s="4" t="s">
        <v>33378</v>
      </c>
      <c r="C26518" s="5" t="str">
        <f>IFERROR(__xludf.DUMMYFUNCTION("GOOGLETRANSLATE(B26518,""en"",""es-ES"")"),"Se muestra un desfile de caballos y jinetes.")</f>
        <v>Se muestra un desfile de caballos y jinetes.</v>
      </c>
    </row>
    <row r="26519">
      <c r="A26519" s="4" t="s">
        <v>33375</v>
      </c>
      <c r="B26519" s="4" t="s">
        <v>33379</v>
      </c>
      <c r="C26519" s="5" t="str">
        <f>IFERROR(__xludf.DUMMYFUNCTION("GOOGLETRANSLATE(B26519,""en"",""es-ES"")"),"Se muestran escenas de matadores que interactúan con toros.")</f>
        <v>Se muestran escenas de matadores que interactúan con toros.</v>
      </c>
    </row>
    <row r="26520">
      <c r="A26520" s="4" t="s">
        <v>33375</v>
      </c>
      <c r="B26520" s="4" t="s">
        <v>33380</v>
      </c>
      <c r="C26520" s="5" t="str">
        <f>IFERROR(__xludf.DUMMYFUNCTION("GOOGLETRANSLATE(B26520,""en"",""es-ES"")"),"La multitud anima a un matador.")</f>
        <v>La multitud anima a un matador.</v>
      </c>
    </row>
    <row r="26521">
      <c r="A26521" s="4" t="s">
        <v>33375</v>
      </c>
      <c r="B26521" s="4" t="s">
        <v>33381</v>
      </c>
      <c r="C26521" s="5" t="str">
        <f>IFERROR(__xludf.DUMMYFUNCTION("GOOGLETRANSLATE(B26521,""en"",""es-ES"")"),"Los matadores son alzados sobre los hombros de las personas y desfilan.")</f>
        <v>Los matadores son alzados sobre los hombros de las personas y desfilan.</v>
      </c>
    </row>
    <row r="26522">
      <c r="A26522" s="4" t="s">
        <v>33382</v>
      </c>
      <c r="B26522" s="4" t="s">
        <v>33383</v>
      </c>
      <c r="C26522" s="5" t="str">
        <f>IFERROR(__xludf.DUMMYFUNCTION("GOOGLETRANSLATE(B26522,""en"",""es-ES"")"),"La mujer se apoya en la mesa de billar centrada en la pelota.")</f>
        <v>La mujer se apoya en la mesa de billar centrada en la pelota.</v>
      </c>
    </row>
    <row r="26523">
      <c r="A26523" s="4" t="s">
        <v>33382</v>
      </c>
      <c r="B26523" s="4" t="s">
        <v>33384</v>
      </c>
      <c r="C26523" s="5" t="str">
        <f>IFERROR(__xludf.DUMMYFUNCTION("GOOGLETRANSLATE(B26523,""en"",""es-ES"")"),"La mujer golpeó la pelota y vitoreó.")</f>
        <v>La mujer golpeó la pelota y vitoreó.</v>
      </c>
    </row>
    <row r="26524">
      <c r="A26524" s="4" t="s">
        <v>33382</v>
      </c>
      <c r="B26524" s="4" t="s">
        <v>33385</v>
      </c>
      <c r="C26524" s="5" t="str">
        <f>IFERROR(__xludf.DUMMYFUNCTION("GOOGLETRANSLATE(B26524,""en"",""es-ES"")"),"La mujer golpeó la pelota nuevamente y comenzó a saltar.")</f>
        <v>La mujer golpeó la pelota nuevamente y comenzó a saltar.</v>
      </c>
    </row>
    <row r="26525">
      <c r="A26525" s="4" t="s">
        <v>33386</v>
      </c>
      <c r="B26525" s="4" t="s">
        <v>33387</v>
      </c>
      <c r="C26525" s="5" t="str">
        <f>IFERROR(__xludf.DUMMYFUNCTION("GOOGLETRANSLATE(B26525,""en"",""es-ES"")"),"Un hombre en un leotardo está soplando en sus manos calentándose para comenzar a correr.")</f>
        <v>Un hombre en un leotardo está soplando en sus manos calentándose para comenzar a correr.</v>
      </c>
    </row>
    <row r="26526">
      <c r="A26526" s="4" t="s">
        <v>33386</v>
      </c>
      <c r="B26526" s="4" t="s">
        <v>33388</v>
      </c>
      <c r="C26526" s="5" t="str">
        <f>IFERROR(__xludf.DUMMYFUNCTION("GOOGLETRANSLATE(B26526,""en"",""es-ES"")"),"Una vez que comienza, sale muy rápido saltando hacia la arena.")</f>
        <v>Una vez que comienza, sale muy rápido saltando hacia la arena.</v>
      </c>
    </row>
    <row r="26527">
      <c r="A26527" s="4" t="s">
        <v>33386</v>
      </c>
      <c r="B26527" s="4" t="s">
        <v>33389</v>
      </c>
      <c r="C26527" s="5" t="str">
        <f>IFERROR(__xludf.DUMMYFUNCTION("GOOGLETRANSLATE(B26527,""en"",""es-ES"")"),"Muestran una repetición de su carrera y tierra en cámara lenta.")</f>
        <v>Muestran una repetición de su carrera y tierra en cámara lenta.</v>
      </c>
    </row>
    <row r="26528">
      <c r="A26528" s="4" t="s">
        <v>33386</v>
      </c>
      <c r="B26528" s="4" t="s">
        <v>33390</v>
      </c>
      <c r="C26528" s="5" t="str">
        <f>IFERROR(__xludf.DUMMYFUNCTION("GOOGLETRANSLATE(B26528,""en"",""es-ES"")"),"Cuando termina, camina por la arena mientras le sigue una cámara.")</f>
        <v>Cuando termina, camina por la arena mientras le sigue una cámara.</v>
      </c>
    </row>
    <row r="26529">
      <c r="A26529" s="4" t="s">
        <v>33391</v>
      </c>
      <c r="B26529" s="4" t="s">
        <v>33392</v>
      </c>
      <c r="C26529" s="5" t="str">
        <f>IFERROR(__xludf.DUMMYFUNCTION("GOOGLETRANSLATE(B26529,""en"",""es-ES"")"),"Una niña está parada en una cocina y comienza a exprimir un limón en un tazón de agua, una persona está de pie a su lado.")</f>
        <v>Una niña está parada en una cocina y comienza a exprimir un limón en un tazón de agua, una persona está de pie a su lado.</v>
      </c>
    </row>
    <row r="26530">
      <c r="A26530" s="4" t="s">
        <v>33391</v>
      </c>
      <c r="B26530" s="4" t="s">
        <v>33393</v>
      </c>
      <c r="C26530" s="5" t="str">
        <f>IFERROR(__xludf.DUMMYFUNCTION("GOOGLETRANSLATE(B26530,""en"",""es-ES"")"),"Lttle Girl chupa su dedo y sonríe mientras una mujer camina a través de la cocina y pone algo en el mostrador.")</f>
        <v>Lttle Girl chupa su dedo y sonríe mientras una mujer camina a través de la cocina y pone algo en el mostrador.</v>
      </c>
    </row>
    <row r="26531">
      <c r="A26531" s="4" t="s">
        <v>33391</v>
      </c>
      <c r="B26531" s="4" t="s">
        <v>33394</v>
      </c>
      <c r="C26531" s="5" t="str">
        <f>IFERROR(__xludf.DUMMYFUNCTION("GOOGLETRANSLATE(B26531,""en"",""es-ES"")"),"La niña está de pie en la cocina con la boca abierta y juega con su cabello.")</f>
        <v>La niña está de pie en la cocina con la boca abierta y juega con su cabello.</v>
      </c>
    </row>
    <row r="26532">
      <c r="A26532" s="4" t="s">
        <v>33391</v>
      </c>
      <c r="B26532" s="4" t="s">
        <v>33395</v>
      </c>
      <c r="C26532" s="5" t="str">
        <f>IFERROR(__xludf.DUMMYFUNCTION("GOOGLETRANSLATE(B26532,""en"",""es-ES"")"),"La niña comienza a caminar y sentarse en los frentes de un mostrador con un tazón de frutas y hablar con la cámara, camina nuevamente en la cocina y mantiene limones en el tazón de agua, la mujer comienza a ayudarla.")</f>
        <v>La niña comienza a caminar y sentarse en los frentes de un mostrador con un tazón de frutas y hablar con la cámara, camina nuevamente en la cocina y mantiene limones en el tazón de agua, la mujer comienza a ayudarla.</v>
      </c>
    </row>
    <row r="26533">
      <c r="A26533" s="4" t="s">
        <v>33391</v>
      </c>
      <c r="B26533" s="4" t="s">
        <v>33396</v>
      </c>
      <c r="C26533" s="5" t="str">
        <f>IFERROR(__xludf.DUMMYFUNCTION("GOOGLETRANSLATE(B26533,""en"",""es-ES"")"),"Mujer limpia sus manos en el fregadero y la niña entra en la cocina y sigue apretando los limones.")</f>
        <v>Mujer limpia sus manos en el fregadero y la niña entra en la cocina y sigue apretando los limones.</v>
      </c>
    </row>
    <row r="26534">
      <c r="A26534" s="4" t="s">
        <v>33397</v>
      </c>
      <c r="B26534" s="4" t="s">
        <v>33398</v>
      </c>
      <c r="C26534" s="5" t="str">
        <f>IFERROR(__xludf.DUMMYFUNCTION("GOOGLETRANSLATE(B26534,""en"",""es-ES"")"),"Se ve a un hombre colocando piso en el suelo usando una máquina y otros ayudando.")</f>
        <v>Se ve a un hombre colocando piso en el suelo usando una máquina y otros ayudando.</v>
      </c>
    </row>
    <row r="26535">
      <c r="A26535" s="4" t="s">
        <v>33397</v>
      </c>
      <c r="B26535" s="4" t="s">
        <v>33399</v>
      </c>
      <c r="C26535" s="5" t="str">
        <f>IFERROR(__xludf.DUMMYFUNCTION("GOOGLETRANSLATE(B26535,""en"",""es-ES"")"),"Se muestran varios disparos de los hombres empujando por el piso y usando una antorcha debajo para mantenerlo en su lugar.")</f>
        <v>Se muestran varios disparos de los hombres empujando por el piso y usando una antorcha debajo para mantenerlo en su lugar.</v>
      </c>
    </row>
    <row r="26536">
      <c r="A26536" s="4" t="s">
        <v>33397</v>
      </c>
      <c r="B26536" s="4" t="s">
        <v>33400</v>
      </c>
      <c r="C26536" s="5" t="str">
        <f>IFERROR(__xludf.DUMMYFUNCTION("GOOGLETRANSLATE(B26536,""en"",""es-ES"")"),"El hombre continúa trabajando mientras muestra el vapor en las esteras calientes y el techo terminado con Hecho.")</f>
        <v>El hombre continúa trabajando mientras muestra el vapor en las esteras calientes y el techo terminado con Hecho.</v>
      </c>
    </row>
    <row r="26537">
      <c r="A26537" s="4" t="s">
        <v>33401</v>
      </c>
      <c r="B26537" s="4" t="s">
        <v>33402</v>
      </c>
      <c r="C26537" s="5" t="str">
        <f>IFERROR(__xludf.DUMMYFUNCTION("GOOGLETRANSLATE(B26537,""en"",""es-ES"")"),"Una gran ola se estrella hacia la orilla.")</f>
        <v>Una gran ola se estrella hacia la orilla.</v>
      </c>
    </row>
    <row r="26538">
      <c r="A26538" s="4" t="s">
        <v>33401</v>
      </c>
      <c r="B26538" s="4" t="s">
        <v>33403</v>
      </c>
      <c r="C26538" s="5" t="str">
        <f>IFERROR(__xludf.DUMMYFUNCTION("GOOGLETRANSLATE(B26538,""en"",""es-ES"")"),"Se muestra a un surfista desgarrando el agua.")</f>
        <v>Se muestra a un surfista desgarrando el agua.</v>
      </c>
    </row>
    <row r="26539">
      <c r="A26539" s="4" t="s">
        <v>33401</v>
      </c>
      <c r="B26539" s="4" t="s">
        <v>33404</v>
      </c>
      <c r="C26539" s="5" t="str">
        <f>IFERROR(__xludf.DUMMYFUNCTION("GOOGLETRANSLATE(B26539,""en"",""es-ES"")"),"Aparece un arco iris, luego vemos botes en la playa y más surfistas en las olas.")</f>
        <v>Aparece un arco iris, luego vemos botes en la playa y más surfistas en las olas.</v>
      </c>
    </row>
    <row r="26540">
      <c r="A26540" s="4" t="s">
        <v>33405</v>
      </c>
      <c r="B26540" s="4" t="s">
        <v>33406</v>
      </c>
      <c r="C26540" s="5" t="str">
        <f>IFERROR(__xludf.DUMMYFUNCTION("GOOGLETRANSLATE(B26540,""en"",""es-ES"")"),"Un reportero de noticias está hablando de un recaudador de fondos local en poder de una guardería.")</f>
        <v>Un reportero de noticias está hablando de un recaudador de fondos local en poder de una guardería.</v>
      </c>
    </row>
    <row r="26541">
      <c r="A26541" s="4" t="s">
        <v>33405</v>
      </c>
      <c r="B26541" s="4" t="s">
        <v>33407</v>
      </c>
      <c r="C26541" s="5" t="str">
        <f>IFERROR(__xludf.DUMMYFUNCTION("GOOGLETRANSLATE(B26541,""en"",""es-ES"")"),"Hay varias personas reunidas para apoyar la causa.")</f>
        <v>Hay varias personas reunidas para apoyar la causa.</v>
      </c>
    </row>
    <row r="26542">
      <c r="A26542" s="4" t="s">
        <v>33405</v>
      </c>
      <c r="B26542" s="4" t="s">
        <v>33408</v>
      </c>
      <c r="C26542" s="5" t="str">
        <f>IFERROR(__xludf.DUMMYFUNCTION("GOOGLETRANSLATE(B26542,""en"",""es-ES"")"),"Hay un stand de limonada configurado donde la gente está comprando limonada para donar dinero por una causa.")</f>
        <v>Hay un stand de limonada configurado donde la gente está comprando limonada para donar dinero por una causa.</v>
      </c>
    </row>
    <row r="26543">
      <c r="A26543" s="4" t="s">
        <v>33405</v>
      </c>
      <c r="B26543" s="4" t="s">
        <v>33409</v>
      </c>
      <c r="C26543" s="5" t="str">
        <f>IFERROR(__xludf.DUMMYFUNCTION("GOOGLETRANSLATE(B26543,""en"",""es-ES"")"),"Uno de los padres está hablando con el reportero de noticias sobre el recaudador de fondos.")</f>
        <v>Uno de los padres está hablando con el reportero de noticias sobre el recaudador de fondos.</v>
      </c>
    </row>
    <row r="26544">
      <c r="A26544" s="4" t="s">
        <v>33405</v>
      </c>
      <c r="B26544" s="4" t="s">
        <v>33410</v>
      </c>
      <c r="C26544" s="5" t="str">
        <f>IFERROR(__xludf.DUMMYFUNCTION("GOOGLETRANSLATE(B26544,""en"",""es-ES"")"),"Tres padres más están de pie charlando mientras beben limonada.")</f>
        <v>Tres padres más están de pie charlando mientras beben limonada.</v>
      </c>
    </row>
    <row r="26545">
      <c r="A26545" s="4" t="s">
        <v>33405</v>
      </c>
      <c r="B26545" s="4" t="s">
        <v>33411</v>
      </c>
      <c r="C26545" s="5" t="str">
        <f>IFERROR(__xludf.DUMMYFUNCTION("GOOGLETRANSLATE(B26545,""en"",""es-ES"")"),"Una foto de la niña, Hannah se muestra para quien se celebró el recaudador de fondos.")</f>
        <v>Una foto de la niña, Hannah se muestra para quien se celebró el recaudador de fondos.</v>
      </c>
    </row>
    <row r="26546">
      <c r="A26546" s="4" t="s">
        <v>33412</v>
      </c>
      <c r="B26546" s="4" t="s">
        <v>33413</v>
      </c>
      <c r="C26546" s="5" t="str">
        <f>IFERROR(__xludf.DUMMYFUNCTION("GOOGLETRANSLATE(B26546,""en"",""es-ES"")"),"Las animadoras con las manos hacen una alegría.")</f>
        <v>Las animadoras con las manos hacen una alegría.</v>
      </c>
    </row>
    <row r="26547">
      <c r="A26547" s="4" t="s">
        <v>33412</v>
      </c>
      <c r="B26547" s="4" t="s">
        <v>33414</v>
      </c>
      <c r="C26547" s="5" t="str">
        <f>IFERROR(__xludf.DUMMYFUNCTION("GOOGLETRANSLATE(B26547,""en"",""es-ES"")"),"Van al suelo y se quedan quietos.")</f>
        <v>Van al suelo y se quedan quietos.</v>
      </c>
    </row>
    <row r="26548">
      <c r="A26548" s="4" t="s">
        <v>33412</v>
      </c>
      <c r="B26548" s="4" t="s">
        <v>33415</v>
      </c>
      <c r="C26548" s="5" t="str">
        <f>IFERROR(__xludf.DUMMYFUNCTION("GOOGLETRANSLATE(B26548,""en"",""es-ES"")"),"Realizan una rutina de alegría.")</f>
        <v>Realizan una rutina de alegría.</v>
      </c>
    </row>
    <row r="26549">
      <c r="A26549" s="4" t="s">
        <v>33412</v>
      </c>
      <c r="B26549" s="4" t="s">
        <v>33416</v>
      </c>
      <c r="C26549" s="5" t="str">
        <f>IFERROR(__xludf.DUMMYFUNCTION("GOOGLETRANSLATE(B26549,""en"",""es-ES"")"),"Cuatro chicas son levantadas y sostienen sus piernas.")</f>
        <v>Cuatro chicas son levantadas y sostienen sus piernas.</v>
      </c>
    </row>
    <row r="26550">
      <c r="A26550" s="4" t="s">
        <v>33412</v>
      </c>
      <c r="B26550" s="4" t="s">
        <v>33417</v>
      </c>
      <c r="C26550" s="5" t="str">
        <f>IFERROR(__xludf.DUMMYFUNCTION("GOOGLETRANSLATE(B26550,""en"",""es-ES"")"),"Dos chicas son levantadas en el aire y dos chicas son volteadas y luego dos niñas levantan a las dos chicas.")</f>
        <v>Dos chicas son levantadas en el aire y dos chicas son volteadas y luego dos niñas levantan a las dos chicas.</v>
      </c>
    </row>
    <row r="26551">
      <c r="A26551" s="4" t="s">
        <v>33412</v>
      </c>
      <c r="B26551" s="4" t="s">
        <v>33418</v>
      </c>
      <c r="C26551" s="5" t="str">
        <f>IFERROR(__xludf.DUMMYFUNCTION("GOOGLETRANSLATE(B26551,""en"",""es-ES"")"),"Cuatro chicas son levantadas y sostienen a otras dos chicas y se agrega un tercero.")</f>
        <v>Cuatro chicas son levantadas y sostienen a otras dos chicas y se agrega un tercero.</v>
      </c>
    </row>
    <row r="26552">
      <c r="A26552" s="4" t="s">
        <v>33412</v>
      </c>
      <c r="B26552" s="4" t="s">
        <v>33419</v>
      </c>
      <c r="C26552" s="5" t="str">
        <f>IFERROR(__xludf.DUMMYFUNCTION("GOOGLETRANSLATE(B26552,""en"",""es-ES"")"),"Dos chicas en el frente levantaron un letrero rojo.")</f>
        <v>Dos chicas en el frente levantaron un letrero rojo.</v>
      </c>
    </row>
    <row r="26553">
      <c r="A26553" s="4" t="s">
        <v>33412</v>
      </c>
      <c r="B26553" s="4" t="s">
        <v>33420</v>
      </c>
      <c r="C26553" s="5" t="str">
        <f>IFERROR(__xludf.DUMMYFUNCTION("GOOGLETRANSLATE(B26553,""en"",""es-ES"")"),"Tres chicas son levantadas y cada una con otra chica sobre sus hombros.")</f>
        <v>Tres chicas son levantadas y cada una con otra chica sobre sus hombros.</v>
      </c>
    </row>
    <row r="26554">
      <c r="A26554" s="4" t="s">
        <v>33421</v>
      </c>
      <c r="B26554" s="4" t="s">
        <v>33422</v>
      </c>
      <c r="C26554" s="5" t="str">
        <f>IFERROR(__xludf.DUMMYFUNCTION("GOOGLETRANSLATE(B26554,""en"",""es-ES"")"),"Varias personas juegan entre sí en un partido de fútbol de mesa.")</f>
        <v>Varias personas juegan entre sí en un partido de fútbol de mesa.</v>
      </c>
    </row>
    <row r="26555">
      <c r="A26555" s="4" t="s">
        <v>33421</v>
      </c>
      <c r="B26555" s="4" t="s">
        <v>33423</v>
      </c>
      <c r="C26555" s="5" t="str">
        <f>IFERROR(__xludf.DUMMYFUNCTION("GOOGLETRANSLATE(B26555,""en"",""es-ES"")"),"Dos individuos pasan en segundo plano.")</f>
        <v>Dos individuos pasan en segundo plano.</v>
      </c>
    </row>
    <row r="26556">
      <c r="A26556" s="4" t="s">
        <v>33421</v>
      </c>
      <c r="B26556" s="4" t="s">
        <v>33424</v>
      </c>
      <c r="C26556" s="5" t="str">
        <f>IFERROR(__xludf.DUMMYFUNCTION("GOOGLETRANSLATE(B26556,""en"",""es-ES"")"),"Otras dos personas pasan en segundo plano.")</f>
        <v>Otras dos personas pasan en segundo plano.</v>
      </c>
    </row>
    <row r="26557">
      <c r="A26557" s="4" t="s">
        <v>33425</v>
      </c>
      <c r="B26557" s="4" t="s">
        <v>33426</v>
      </c>
      <c r="C26557" s="5" t="str">
        <f>IFERROR(__xludf.DUMMYFUNCTION("GOOGLETRANSLATE(B26557,""en"",""es-ES"")"),"Dos niños pequeños son su madre de pie en una cocina lavando los platos.")</f>
        <v>Dos niños pequeños son su madre de pie en una cocina lavando los platos.</v>
      </c>
    </row>
    <row r="26558">
      <c r="A26558" s="4" t="s">
        <v>33425</v>
      </c>
      <c r="B26558" s="4" t="s">
        <v>33427</v>
      </c>
      <c r="C26558" s="5" t="str">
        <f>IFERROR(__xludf.DUMMYFUNCTION("GOOGLETRANSLATE(B26558,""en"",""es-ES"")"),"La niña toma una esponja azul limpia su plato y luego se baja y comienza a caminar.")</f>
        <v>La niña toma una esponja azul limpia su plato y luego se baja y comienza a caminar.</v>
      </c>
    </row>
    <row r="26559">
      <c r="A26559" s="4" t="s">
        <v>33425</v>
      </c>
      <c r="B26559" s="4" t="s">
        <v>33428</v>
      </c>
      <c r="C26559" s="5" t="str">
        <f>IFERROR(__xludf.DUMMYFUNCTION("GOOGLETRANSLATE(B26559,""en"",""es-ES"")"),"Tanto la madre como el hijo todavía están en el fregadero y ella se para además de él y también lo ayuda a limpiar su plato.")</f>
        <v>Tanto la madre como el hijo todavía están en el fregadero y ella se para además de él y también lo ayuda a limpiar su plato.</v>
      </c>
    </row>
    <row r="26560">
      <c r="A26560" s="4" t="s">
        <v>33429</v>
      </c>
      <c r="B26560" s="4" t="s">
        <v>33430</v>
      </c>
      <c r="C26560" s="5" t="str">
        <f>IFERROR(__xludf.DUMMYFUNCTION("GOOGLETRANSLATE(B26560,""en"",""es-ES"")"),"Un grupo de personas, niños y familias viven, viajan y pescan en hielo en un vasto hielo y nieve cubierto de tierra.")</f>
        <v>Un grupo de personas, niños y familias viven, viajan y pescan en hielo en un vasto hielo y nieve cubierto de tierra.</v>
      </c>
    </row>
    <row r="26561">
      <c r="A26561" s="4" t="s">
        <v>33429</v>
      </c>
      <c r="B26561" s="4" t="s">
        <v>33431</v>
      </c>
      <c r="C26561" s="5" t="str">
        <f>IFERROR(__xludf.DUMMYFUNCTION("GOOGLETRANSLATE(B26561,""en"",""es-ES"")"),"Un grupo de hombres y una mujer hablan con una cámara mientras exhibe peces atrapados y viviendo pescando en agujeros de hielo en un terreno cubierto de nieve y hielo.")</f>
        <v>Un grupo de hombres y una mujer hablan con una cámara mientras exhibe peces atrapados y viviendo pescando en agujeros de hielo en un terreno cubierto de nieve y hielo.</v>
      </c>
    </row>
    <row r="26562">
      <c r="A26562" s="4" t="s">
        <v>33429</v>
      </c>
      <c r="B26562" s="4" t="s">
        <v>33432</v>
      </c>
      <c r="C26562" s="5" t="str">
        <f>IFERROR(__xludf.DUMMYFUNCTION("GOOGLETRANSLATE(B26562,""en"",""es-ES"")"),"Varias personas pescan en agujeros de hielo con niños cercanos, mientras que otras conducen a través del terreno de hielo.")</f>
        <v>Varias personas pescan en agujeros de hielo con niños cercanos, mientras que otras conducen a través del terreno de hielo.</v>
      </c>
    </row>
    <row r="26563">
      <c r="A26563" s="4" t="s">
        <v>33429</v>
      </c>
      <c r="B26563" s="4" t="s">
        <v>33433</v>
      </c>
      <c r="C26563" s="5" t="str">
        <f>IFERROR(__xludf.DUMMYFUNCTION("GOOGLETRANSLATE(B26563,""en"",""es-ES"")"),"Se muestran peces, animales locales nativos de la zona, baños, automóviles en el hielo, niños, personas que sostienen peces simplemente atrapados y agujeros de hielo de donde provienen los peces junto con perros que tiran de trineos de nieve.")</f>
        <v>Se muestran peces, animales locales nativos de la zona, baños, automóviles en el hielo, niños, personas que sostienen peces simplemente atrapados y agujeros de hielo de donde provienen los peces junto con perros que tiran de trineos de nieve.</v>
      </c>
    </row>
    <row r="26564">
      <c r="A26564" s="4" t="s">
        <v>33434</v>
      </c>
      <c r="B26564" s="4" t="s">
        <v>33435</v>
      </c>
      <c r="C26564" s="5" t="str">
        <f>IFERROR(__xludf.DUMMYFUNCTION("GOOGLETRANSLATE(B26564,""en"",""es-ES"")"),"Se ve a una niña sentada al aire libre y levantando una botella de protector solar mientras habla con la cámara.")</f>
        <v>Se ve a una niña sentada al aire libre y levantando una botella de protector solar mientras habla con la cámara.</v>
      </c>
    </row>
    <row r="26565">
      <c r="A26565" s="4" t="s">
        <v>33434</v>
      </c>
      <c r="B26565" s="4" t="s">
        <v>33436</v>
      </c>
      <c r="C26565" s="5" t="str">
        <f>IFERROR(__xludf.DUMMYFUNCTION("GOOGLETRANSLATE(B26565,""en"",""es-ES"")"),"La niña luego sacude la botella, la verta en sus manos y la frota por todo el cuerpo.")</f>
        <v>La niña luego sacude la botella, la verta en sus manos y la frota por todo el cuerpo.</v>
      </c>
    </row>
    <row r="26566">
      <c r="A26566" s="4" t="s">
        <v>33437</v>
      </c>
      <c r="B26566" s="4" t="s">
        <v>33438</v>
      </c>
      <c r="C26566" s="5" t="str">
        <f>IFERROR(__xludf.DUMMYFUNCTION("GOOGLETRANSLATE(B26566,""en"",""es-ES"")"),"Se muestra una gran pista con varias personas que se mueven en los tubos a la vez.")</f>
        <v>Se muestra una gran pista con varias personas que se mueven en los tubos a la vez.</v>
      </c>
    </row>
    <row r="26567">
      <c r="A26567" s="4" t="s">
        <v>33437</v>
      </c>
      <c r="B26567" s="4" t="s">
        <v>33439</v>
      </c>
      <c r="C26567" s="5" t="str">
        <f>IFERROR(__xludf.DUMMYFUNCTION("GOOGLETRANSLATE(B26567,""en"",""es-ES"")"),"Un hombre registra un primer plano de un tubo y empujándolo a una mujer de pie en la nieve.")</f>
        <v>Un hombre registra un primer plano de un tubo y empujándolo a una mujer de pie en la nieve.</v>
      </c>
    </row>
    <row r="26568">
      <c r="A26568" s="4" t="s">
        <v>33437</v>
      </c>
      <c r="B26568" s="4" t="s">
        <v>33440</v>
      </c>
      <c r="C26568" s="5" t="str">
        <f>IFERROR(__xludf.DUMMYFUNCTION("GOOGLETRANSLATE(B26568,""en"",""es-ES"")"),"Ella comienza a hablar en su teléfono y el mismo clip se muestra nuevamente en cámara lenta.")</f>
        <v>Ella comienza a hablar en su teléfono y el mismo clip se muestra nuevamente en cámara lenta.</v>
      </c>
    </row>
    <row r="26569">
      <c r="A26569" s="4" t="s">
        <v>33441</v>
      </c>
      <c r="B26569" s="4" t="s">
        <v>33442</v>
      </c>
      <c r="C26569" s="5" t="str">
        <f>IFERROR(__xludf.DUMMYFUNCTION("GOOGLETRANSLATE(B26569,""en"",""es-ES"")"),"Una mujer habla mostrando un zapato, luego lo limpia con un paño.")</f>
        <v>Una mujer habla mostrando un zapato, luego lo limpia con un paño.</v>
      </c>
    </row>
    <row r="26570">
      <c r="A26570" s="4" t="s">
        <v>33441</v>
      </c>
      <c r="B26570" s="4" t="s">
        <v>33443</v>
      </c>
      <c r="C26570" s="5" t="str">
        <f>IFERROR(__xludf.DUMMYFUNCTION("GOOGLETRANSLATE(B26570,""en"",""es-ES"")"),"La mujer pone aceite en una tela y pule el zapato.")</f>
        <v>La mujer pone aceite en una tela y pule el zapato.</v>
      </c>
    </row>
    <row r="26571">
      <c r="A26571" s="4" t="s">
        <v>33441</v>
      </c>
      <c r="B26571" s="4" t="s">
        <v>33444</v>
      </c>
      <c r="C26571" s="5" t="str">
        <f>IFERROR(__xludf.DUMMYFUNCTION("GOOGLETRANSLATE(B26571,""en"",""es-ES"")"),"Luego, la mujer toma el zapato y aplica al zapato.")</f>
        <v>Luego, la mujer toma el zapato y aplica al zapato.</v>
      </c>
    </row>
    <row r="26572">
      <c r="A26572" s="4" t="s">
        <v>33445</v>
      </c>
      <c r="B26572" s="4" t="s">
        <v>33446</v>
      </c>
      <c r="C26572" s="5" t="str">
        <f>IFERROR(__xludf.DUMMYFUNCTION("GOOGLETRANSLATE(B26572,""en"",""es-ES"")"),"Una mujer está parasailing en el océano.")</f>
        <v>Una mujer está parasailing en el océano.</v>
      </c>
    </row>
    <row r="26573">
      <c r="A26573" s="4" t="s">
        <v>33445</v>
      </c>
      <c r="B26573" s="4" t="s">
        <v>33447</v>
      </c>
      <c r="C26573" s="5" t="str">
        <f>IFERROR(__xludf.DUMMYFUNCTION("GOOGLETRANSLATE(B26573,""en"",""es-ES"")"),"Ella pasa por olas duras.")</f>
        <v>Ella pasa por olas duras.</v>
      </c>
    </row>
    <row r="26574">
      <c r="A26574" s="4" t="s">
        <v>33445</v>
      </c>
      <c r="B26574" s="4" t="s">
        <v>33448</v>
      </c>
      <c r="C26574" s="5" t="str">
        <f>IFERROR(__xludf.DUMMYFUNCTION("GOOGLETRANSLATE(B26574,""en"",""es-ES"")"),"Ella pasa por una gran ola, lo que la derriba.")</f>
        <v>Ella pasa por una gran ola, lo que la derriba.</v>
      </c>
    </row>
    <row r="26575">
      <c r="A26575" s="4" t="s">
        <v>33449</v>
      </c>
      <c r="B26575" s="4" t="s">
        <v>33450</v>
      </c>
      <c r="C26575" s="5" t="str">
        <f>IFERROR(__xludf.DUMMYFUNCTION("GOOGLETRANSLATE(B26575,""en"",""es-ES"")"),"Se ve a una mujer joven parada en una cancha con un sombrero y sosteniendo una raqueta de tenis.")</f>
        <v>Se ve a una mujer joven parada en una cancha con un sombrero y sosteniendo una raqueta de tenis.</v>
      </c>
    </row>
    <row r="26576">
      <c r="A26576" s="4" t="s">
        <v>33449</v>
      </c>
      <c r="B26576" s="4" t="s">
        <v>33451</v>
      </c>
      <c r="C26576" s="5" t="str">
        <f>IFERROR(__xludf.DUMMYFUNCTION("GOOGLETRANSLATE(B26576,""en"",""es-ES"")"),"La niña luego arroja la pelota al aire y la golpea a lo lejos.")</f>
        <v>La niña luego arroja la pelota al aire y la golpea a lo lejos.</v>
      </c>
    </row>
    <row r="26577">
      <c r="A26577" s="4" t="s">
        <v>33449</v>
      </c>
      <c r="B26577" s="4" t="s">
        <v>33452</v>
      </c>
      <c r="C26577" s="5" t="str">
        <f>IFERROR(__xludf.DUMMYFUNCTION("GOOGLETRANSLATE(B26577,""en"",""es-ES"")"),"Ella mira hacia atrás y sonríe a la cámara.")</f>
        <v>Ella mira hacia atrás y sonríe a la cámara.</v>
      </c>
    </row>
    <row r="26578">
      <c r="A26578" s="4" t="s">
        <v>33453</v>
      </c>
      <c r="B26578" s="4" t="s">
        <v>33454</v>
      </c>
      <c r="C26578" s="5" t="str">
        <f>IFERROR(__xludf.DUMMYFUNCTION("GOOGLETRANSLATE(B26578,""en"",""es-ES"")"),"Un primer plano de un automóvil es visto por personas que caminan hacia el marco y lavan el automóvil.")</f>
        <v>Un primer plano de un automóvil es visto por personas que caminan hacia el marco y lavan el automóvil.</v>
      </c>
    </row>
    <row r="26579">
      <c r="A26579" s="4" t="s">
        <v>33453</v>
      </c>
      <c r="B26579" s="4" t="s">
        <v>33455</v>
      </c>
      <c r="C26579" s="5" t="str">
        <f>IFERROR(__xludf.DUMMYFUNCTION("GOOGLETRANSLATE(B26579,""en"",""es-ES"")"),"Las personas limpian el exterior y el interior y enrollan el automóvil afuera.")</f>
        <v>Las personas limpian el exterior y el interior y enrollan el automóvil afuera.</v>
      </c>
    </row>
    <row r="26580">
      <c r="A26580" s="4" t="s">
        <v>33453</v>
      </c>
      <c r="B26580" s="4" t="s">
        <v>33456</v>
      </c>
      <c r="C26580" s="5" t="str">
        <f>IFERROR(__xludf.DUMMYFUNCTION("GOOGLETRANSLATE(B26580,""en"",""es-ES"")"),"Estacionan el auto y continúan limpiándolo seguido de secarlo al final.")</f>
        <v>Estacionan el auto y continúan limpiándolo seguido de secarlo al final.</v>
      </c>
    </row>
    <row r="26581">
      <c r="A26581" s="4" t="s">
        <v>33457</v>
      </c>
      <c r="B26581" s="4" t="s">
        <v>33458</v>
      </c>
      <c r="C26581" s="5" t="str">
        <f>IFERROR(__xludf.DUMMYFUNCTION("GOOGLETRANSLATE(B26581,""en"",""es-ES"")"),"Las personas en una orilla del río se encuentran en botes y balsa inflados en un río con aguas entrecortadas.")</f>
        <v>Las personas en una orilla del río se encuentran en botes y balsa inflados en un río con aguas entrecortadas.</v>
      </c>
    </row>
    <row r="26582">
      <c r="A26582" s="4" t="s">
        <v>33457</v>
      </c>
      <c r="B26582" s="4" t="s">
        <v>33459</v>
      </c>
      <c r="C26582" s="5" t="str">
        <f>IFERROR(__xludf.DUMMYFUNCTION("GOOGLETRANSLATE(B26582,""en"",""es-ES"")"),"Dos hombres están en una canoa roja.")</f>
        <v>Dos hombres están en una canoa roja.</v>
      </c>
    </row>
    <row r="26583">
      <c r="A26583" s="4" t="s">
        <v>33457</v>
      </c>
      <c r="B26583" s="4" t="s">
        <v>33460</v>
      </c>
      <c r="C26583" s="5" t="str">
        <f>IFERROR(__xludf.DUMMYFUNCTION("GOOGLETRANSLATE(B26583,""en"",""es-ES"")"),"Un grupo de vigas va por el río, mientras que también personas en la balsa de las canoas.")</f>
        <v>Un grupo de vigas va por el río, mientras que también personas en la balsa de las canoas.</v>
      </c>
    </row>
    <row r="26584">
      <c r="A26584" s="4" t="s">
        <v>33457</v>
      </c>
      <c r="B26584" s="4" t="s">
        <v>33461</v>
      </c>
      <c r="C26584" s="5" t="str">
        <f>IFERROR(__xludf.DUMMYFUNCTION("GOOGLETRANSLATE(B26584,""en"",""es-ES"")"),"Las vigas llegan para calmar las aguas, luego un equipo celebra una victoria.")</f>
        <v>Las vigas llegan para calmar las aguas, luego un equipo celebra una victoria.</v>
      </c>
    </row>
    <row r="26585">
      <c r="A26585" s="4" t="s">
        <v>33462</v>
      </c>
      <c r="B26585" s="4" t="s">
        <v>33463</v>
      </c>
      <c r="C26585" s="5" t="str">
        <f>IFERROR(__xludf.DUMMYFUNCTION("GOOGLETRANSLATE(B26585,""en"",""es-ES"")"),"Una cámara se enfrenta a un hombre sentado y fumando un cigarrillo.")</f>
        <v>Una cámara se enfrenta a un hombre sentado y fumando un cigarrillo.</v>
      </c>
    </row>
    <row r="26586">
      <c r="A26586" s="4" t="s">
        <v>33462</v>
      </c>
      <c r="B26586" s="4" t="s">
        <v>33464</v>
      </c>
      <c r="C26586" s="5" t="str">
        <f>IFERROR(__xludf.DUMMYFUNCTION("GOOGLETRANSLATE(B26586,""en"",""es-ES"")"),"Otro hombre camina con un carrito y comienza a cavar a través de la basura.")</f>
        <v>Otro hombre camina con un carrito y comienza a cavar a través de la basura.</v>
      </c>
    </row>
    <row r="26587">
      <c r="A26587" s="4" t="s">
        <v>33462</v>
      </c>
      <c r="B26587" s="4" t="s">
        <v>33465</v>
      </c>
      <c r="C26587" s="5" t="str">
        <f>IFERROR(__xludf.DUMMYFUNCTION("GOOGLETRANSLATE(B26587,""en"",""es-ES"")"),"El hombre fumando cigarrillos comienza a hablar con el hombre sin hogar sobre cómo la vida apesta y cómo puede relacionarse con el hombre sin hogar.")</f>
        <v>El hombre fumando cigarrillos comienza a hablar con el hombre sin hogar sobre cómo la vida apesta y cómo puede relacionarse con el hombre sin hogar.</v>
      </c>
    </row>
    <row r="26588">
      <c r="A26588" s="4" t="s">
        <v>33466</v>
      </c>
      <c r="B26588" s="4" t="s">
        <v>33467</v>
      </c>
      <c r="C26588" s="5" t="str">
        <f>IFERROR(__xludf.DUMMYFUNCTION("GOOGLETRANSLATE(B26588,""en"",""es-ES"")"),"Vemos imágenes al aire libre y luego un hombre en una cocina.")</f>
        <v>Vemos imágenes al aire libre y luego un hombre en una cocina.</v>
      </c>
    </row>
    <row r="26589">
      <c r="A26589" s="4" t="s">
        <v>33466</v>
      </c>
      <c r="B26589" s="4" t="s">
        <v>33468</v>
      </c>
      <c r="C26589" s="5" t="str">
        <f>IFERROR(__xludf.DUMMYFUNCTION("GOOGLETRANSLATE(B26589,""en"",""es-ES"")"),"Vemos ingredientes en una mesa.")</f>
        <v>Vemos ingredientes en una mesa.</v>
      </c>
    </row>
    <row r="26590">
      <c r="A26590" s="4" t="s">
        <v>33466</v>
      </c>
      <c r="B26590" s="4" t="s">
        <v>33469</v>
      </c>
      <c r="C26590" s="5" t="str">
        <f>IFERROR(__xludf.DUMMYFUNCTION("GOOGLETRANSLATE(B26590,""en"",""es-ES"")"),"El hombre mezcla los ingredientes en un tazón para mezclador.")</f>
        <v>El hombre mezcla los ingredientes en un tazón para mezclador.</v>
      </c>
    </row>
    <row r="26591">
      <c r="A26591" s="4" t="s">
        <v>33466</v>
      </c>
      <c r="B26591" s="4" t="s">
        <v>33470</v>
      </c>
      <c r="C26591" s="5" t="str">
        <f>IFERROR(__xludf.DUMMYFUNCTION("GOOGLETRANSLATE(B26591,""en"",""es-ES"")"),"El hombre agita la mezcla y luego vuelve a encender la batidora.")</f>
        <v>El hombre agita la mezcla y luego vuelve a encender la batidora.</v>
      </c>
    </row>
    <row r="26592">
      <c r="A26592" s="4" t="s">
        <v>33466</v>
      </c>
      <c r="B26592" s="4" t="s">
        <v>33471</v>
      </c>
      <c r="C26592" s="5" t="str">
        <f>IFERROR(__xludf.DUMMYFUNCTION("GOOGLETRANSLATE(B26592,""en"",""es-ES"")"),"El hombre mezcla la mezcla y la vierte en sartenes.")</f>
        <v>El hombre mezcla la mezcla y la vierte en sartenes.</v>
      </c>
    </row>
    <row r="26593">
      <c r="A26593" s="4" t="s">
        <v>33466</v>
      </c>
      <c r="B26593" s="4" t="s">
        <v>33472</v>
      </c>
      <c r="C26593" s="5" t="str">
        <f>IFERROR(__xludf.DUMMYFUNCTION("GOOGLETRANSLATE(B26593,""en"",""es-ES"")"),"El hombre golpea las sartenes y luego pone el pastel en el horno.")</f>
        <v>El hombre golpea las sartenes y luego pone el pastel en el horno.</v>
      </c>
    </row>
    <row r="26594">
      <c r="A26594" s="4" t="s">
        <v>33466</v>
      </c>
      <c r="B26594" s="4" t="s">
        <v>33473</v>
      </c>
      <c r="C26594" s="5" t="str">
        <f>IFERROR(__xludf.DUMMYFUNCTION("GOOGLETRANSLATE(B26594,""en"",""es-ES"")"),"Vemos utensilios de cocina, cupcakes y el hombre cocinando.")</f>
        <v>Vemos utensilios de cocina, cupcakes y el hombre cocinando.</v>
      </c>
    </row>
    <row r="26595">
      <c r="A26595" s="4" t="s">
        <v>33466</v>
      </c>
      <c r="B26595" s="4" t="s">
        <v>33474</v>
      </c>
      <c r="C26595" s="5" t="str">
        <f>IFERROR(__xludf.DUMMYFUNCTION("GOOGLETRANSLATE(B26595,""en"",""es-ES"")"),"Luego vea la pantalla del extremo brillante.")</f>
        <v>Luego vea la pantalla del extremo brillante.</v>
      </c>
    </row>
    <row r="26596">
      <c r="A26596" s="4" t="s">
        <v>33475</v>
      </c>
      <c r="B26596" s="4" t="s">
        <v>33476</v>
      </c>
      <c r="C26596" s="5" t="str">
        <f>IFERROR(__xludf.DUMMYFUNCTION("GOOGLETRANSLATE(B26596,""en"",""es-ES"")"),"Aparece una pantalla de introducción negra y contiene palabras blancas que dicen ""Bares paralelos de elementos de gimnasia nombrados"", luego ""Música: Nightwish Where Were You anoche"", y la última pantalla incluye palabras extranjeras un correo electró"&amp;"nico y un sitio web.")</f>
        <v>Aparece una pantalla de introducción negra y contiene palabras blancas que dicen "Bares paralelos de elementos de gimnasia nombrados", luego "Música: Nightwish Where Were You anoche", y la última pantalla incluye palabras extranjeras un correo electrónico y un sitio web.</v>
      </c>
    </row>
    <row r="26597">
      <c r="A26597" s="4" t="s">
        <v>33475</v>
      </c>
      <c r="B26597" s="4" t="s">
        <v>33477</v>
      </c>
      <c r="C26597" s="5" t="str">
        <f>IFERROR(__xludf.DUMMYFUNCTION("GOOGLETRANSLATE(B26597,""en"",""es-ES"")"),"Varios clips cortos de diferentes hombres en diferentes bares paralelos en gimnasios están haciendo paradas de manos, balanceándose sobre ellos y haciendo otros trucos a medida que los espectadores observan.")</f>
        <v>Varios clips cortos de diferentes hombres en diferentes bares paralelos en gimnasios están haciendo paradas de manos, balanceándose sobre ellos y haciendo otros trucos a medida que los espectadores observan.</v>
      </c>
    </row>
    <row r="26598">
      <c r="A26598" s="4" t="s">
        <v>33475</v>
      </c>
      <c r="B26598" s="4" t="s">
        <v>33478</v>
      </c>
      <c r="C26598" s="5" t="str">
        <f>IFERROR(__xludf.DUMMYFUNCTION("GOOGLETRANSLATE(B26598,""en"",""es-ES"")"),"El último hombre en los bares paralelos parece estar practicando en un gimnasio sin un gran grupo de espectadores que miran.")</f>
        <v>El último hombre en los bares paralelos parece estar practicando en un gimnasio sin un gran grupo de espectadores que miran.</v>
      </c>
    </row>
    <row r="26599">
      <c r="A26599" s="4" t="s">
        <v>33479</v>
      </c>
      <c r="B26599" s="4" t="s">
        <v>33480</v>
      </c>
      <c r="C26599" s="5" t="str">
        <f>IFERROR(__xludf.DUMMYFUNCTION("GOOGLETRANSLATE(B26599,""en"",""es-ES"")"),"Un grupo de personas realiza aeróbicos simples en un día soleado.")</f>
        <v>Un grupo de personas realiza aeróbicos simples en un día soleado.</v>
      </c>
    </row>
    <row r="26600">
      <c r="A26600" s="4" t="s">
        <v>33479</v>
      </c>
      <c r="B26600" s="4" t="s">
        <v>33481</v>
      </c>
      <c r="C26600" s="5" t="str">
        <f>IFERROR(__xludf.DUMMYFUNCTION("GOOGLETRANSLATE(B26600,""en"",""es-ES"")"),"El instructor de aeróbicos tiene el cambio de clase a un nuevo movimiento aeróbico en el que el grupo baila los brazos frente a ellos e incorpora aplausos mientras toman medidas.")</f>
        <v>El instructor de aeróbicos tiene el cambio de clase a un nuevo movimiento aeróbico en el que el grupo baila los brazos frente a ellos e incorpora aplausos mientras toman medidas.</v>
      </c>
    </row>
    <row r="26601">
      <c r="A26601" s="4" t="s">
        <v>33479</v>
      </c>
      <c r="B26601" s="4" t="s">
        <v>33482</v>
      </c>
      <c r="C26601" s="5" t="str">
        <f>IFERROR(__xludf.DUMMYFUNCTION("GOOGLETRANSLATE(B26601,""en"",""es-ES"")"),"Su próximo movimiento es colocar sus manos hacia el cielo mientras dan un paso.")</f>
        <v>Su próximo movimiento es colocar sus manos hacia el cielo mientras dan un paso.</v>
      </c>
    </row>
    <row r="26602">
      <c r="A26602" s="4" t="s">
        <v>33483</v>
      </c>
      <c r="B26602" s="4" t="s">
        <v>33484</v>
      </c>
      <c r="C26602" s="5" t="str">
        <f>IFERROR(__xludf.DUMMYFUNCTION("GOOGLETRANSLATE(B26602,""en"",""es-ES"")"),"El hombre está parado frente a una pantalla hablando con la cámara.")</f>
        <v>El hombre está parado frente a una pantalla hablando con la cámara.</v>
      </c>
    </row>
    <row r="26603">
      <c r="A26603" s="4" t="s">
        <v>33483</v>
      </c>
      <c r="B26603" s="4" t="s">
        <v>33485</v>
      </c>
      <c r="C26603" s="5" t="str">
        <f>IFERROR(__xludf.DUMMYFUNCTION("GOOGLETRANSLATE(B26603,""en"",""es-ES"")"),"Una mujer está jugando con un gato y está en la mesa con una corta de clavos cortando las uñas del gato.")</f>
        <v>Una mujer está jugando con un gato y está en la mesa con una corta de clavos cortando las uñas del gato.</v>
      </c>
    </row>
    <row r="26604">
      <c r="A26604" s="4" t="s">
        <v>33486</v>
      </c>
      <c r="B26604" s="4" t="s">
        <v>33487</v>
      </c>
      <c r="C26604" s="5" t="str">
        <f>IFERROR(__xludf.DUMMYFUNCTION("GOOGLETRANSLATE(B26604,""en"",""es-ES"")"),"Se ve a una mujer cabalgando un toro cuando el toro la derriba y otros corren para ayudar.")</f>
        <v>Se ve a una mujer cabalgando un toro cuando el toro la derriba y otros corren para ayudar.</v>
      </c>
    </row>
    <row r="26605">
      <c r="A26605" s="4" t="s">
        <v>33486</v>
      </c>
      <c r="B26605" s="4" t="s">
        <v>33488</v>
      </c>
      <c r="C26605" s="5" t="str">
        <f>IFERROR(__xludf.DUMMYFUNCTION("GOOGLETRANSLATE(B26605,""en"",""es-ES"")"),"Se muestra a varias personas más intentando burlarse del toro y terminar al lastimarse y otras ayudando.")</f>
        <v>Se muestra a varias personas más intentando burlarse del toro y terminar al lastimarse y otras ayudando.</v>
      </c>
    </row>
    <row r="26606">
      <c r="A26606" s="4" t="s">
        <v>33489</v>
      </c>
      <c r="B26606" s="4" t="s">
        <v>33490</v>
      </c>
      <c r="C26606" s="5" t="str">
        <f>IFERROR(__xludf.DUMMYFUNCTION("GOOGLETRANSLATE(B26606,""en"",""es-ES"")"),"Se muestra un primer plano de un instrumento seguido por una mujer sentada en el marco y hablando con la cámara.")</f>
        <v>Se muestra un primer plano de un instrumento seguido por una mujer sentada en el marco y hablando con la cámara.</v>
      </c>
    </row>
    <row r="26607">
      <c r="A26607" s="4" t="s">
        <v>33489</v>
      </c>
      <c r="B26607" s="4" t="s">
        <v>33491</v>
      </c>
      <c r="C26607" s="5" t="str">
        <f>IFERROR(__xludf.DUMMYFUNCTION("GOOGLETRANSLATE(B26607,""en"",""es-ES"")"),"Luego recoge la flauta y comienza a tocarla y deteniéndose para hablar en el medio.")</f>
        <v>Luego recoge la flauta y comienza a tocarla y deteniéndose para hablar en el medio.</v>
      </c>
    </row>
    <row r="26608">
      <c r="A26608" s="4" t="s">
        <v>33489</v>
      </c>
      <c r="B26608" s="4" t="s">
        <v>33492</v>
      </c>
      <c r="C26608" s="5" t="str">
        <f>IFERROR(__xludf.DUMMYFUNCTION("GOOGLETRANSLATE(B26608,""en"",""es-ES"")"),"Ella vuelve a tocar el instrumento y se detiene para dejarlo y hablar con la cámara.")</f>
        <v>Ella vuelve a tocar el instrumento y se detiene para dejarlo y hablar con la cámara.</v>
      </c>
    </row>
    <row r="26609">
      <c r="A26609" s="4" t="s">
        <v>33493</v>
      </c>
      <c r="B26609" s="4" t="s">
        <v>33494</v>
      </c>
      <c r="C26609" s="5" t="str">
        <f>IFERROR(__xludf.DUMMYFUNCTION("GOOGLETRANSLATE(B26609,""en"",""es-ES"")"),"Aparece una pantalla negra y las palabras blancas rápidamente vuelan sobre ella y dicen ""Aquí viene configurado para la pantalla completa"".")</f>
        <v>Aparece una pantalla negra y las palabras blancas rápidamente vuelan sobre ella y dicen "Aquí viene configurado para la pantalla completa".</v>
      </c>
    </row>
    <row r="26610">
      <c r="A26610" s="4" t="s">
        <v>33493</v>
      </c>
      <c r="B26610" s="4" t="s">
        <v>33495</v>
      </c>
      <c r="C26610" s="5" t="str">
        <f>IFERROR(__xludf.DUMMYFUNCTION("GOOGLETRANSLATE(B26610,""en"",""es-ES"")"),"Aparece una imagen de una montaña nevada y las palabras blancas en la pantalla dicen ""Producciones de Hartel"".")</f>
        <v>Aparece una imagen de una montaña nevada y las palabras blancas en la pantalla dicen "Producciones de Hartel".</v>
      </c>
    </row>
    <row r="26611">
      <c r="A26611" s="4" t="s">
        <v>33493</v>
      </c>
      <c r="B26611" s="4" t="s">
        <v>33496</v>
      </c>
      <c r="C26611" s="5" t="str">
        <f>IFERROR(__xludf.DUMMYFUNCTION("GOOGLETRANSLATE(B26611,""en"",""es-ES"")"),"Aparece una tabla de madera en una zona al aire libre y Say's ""Clam Beach County Park Bienvenido al Norte Día de estacionamiento"", luego en amarillo aparece un texto que dice ""The Dog Walk"".")</f>
        <v>Aparece una tabla de madera en una zona al aire libre y Say's "Clam Beach County Park Bienvenido al Norte Día de estacionamiento", luego en amarillo aparece un texto que dice "The Dog Walk".</v>
      </c>
    </row>
    <row r="26612">
      <c r="A26612" s="4" t="s">
        <v>33493</v>
      </c>
      <c r="B26612" s="4" t="s">
        <v>33497</v>
      </c>
      <c r="C26612" s="5" t="str">
        <f>IFERROR(__xludf.DUMMYFUNCTION("GOOGLETRANSLATE(B26612,""en"",""es-ES"")"),"Varias tomas de personas que caminan con perros o caminando solo por un camino aparecen junto con varias tomas del área y títulos de lo que son.")</f>
        <v>Varias tomas de personas que caminan con perros o caminando solo por un camino aparecen junto con varias tomas del área y títulos de lo que son.</v>
      </c>
    </row>
    <row r="26613">
      <c r="A26613" s="4" t="s">
        <v>33493</v>
      </c>
      <c r="B26613" s="4" t="s">
        <v>33498</v>
      </c>
      <c r="C26613" s="5" t="str">
        <f>IFERROR(__xludf.DUMMYFUNCTION("GOOGLETRANSLATE(B26613,""en"",""es-ES"")"),"Al final todavía hay tiros de perros que se cargan en un automóvil, los perros en el automóvil, un hombre que carga el auto con su caminante, una señal de cierre y luego aparecen palabras amarillas que dicen ""el final"" y se desvanece hacia el negro.")</f>
        <v>Al final todavía hay tiros de perros que se cargan en un automóvil, los perros en el automóvil, un hombre que carga el auto con su caminante, una señal de cierre y luego aparecen palabras amarillas que dicen "el final" y se desvanece hacia el negro.</v>
      </c>
    </row>
    <row r="26614">
      <c r="A26614" s="4" t="s">
        <v>33499</v>
      </c>
      <c r="B26614" s="4" t="s">
        <v>33500</v>
      </c>
      <c r="C26614" s="5" t="str">
        <f>IFERROR(__xludf.DUMMYFUNCTION("GOOGLETRANSLATE(B26614,""en"",""es-ES"")"),"Una señora se arrodilla frente a arbustos y conversaciones.")</f>
        <v>Una señora se arrodilla frente a arbustos y conversaciones.</v>
      </c>
    </row>
    <row r="26615">
      <c r="A26615" s="4" t="s">
        <v>33499</v>
      </c>
      <c r="B26615" s="4" t="s">
        <v>33501</v>
      </c>
      <c r="C26615" s="5" t="str">
        <f>IFERROR(__xludf.DUMMYFUNCTION("GOOGLETRANSLATE(B26615,""en"",""es-ES"")"),"La señora usa tijeras de jardinería para recortar el arbusto.")</f>
        <v>La señora usa tijeras de jardinería para recortar el arbusto.</v>
      </c>
    </row>
    <row r="26616">
      <c r="A26616" s="4" t="s">
        <v>33499</v>
      </c>
      <c r="B26616" s="4" t="s">
        <v>33502</v>
      </c>
      <c r="C26616" s="5" t="str">
        <f>IFERROR(__xludf.DUMMYFUNCTION("GOOGLETRANSLATE(B26616,""en"",""es-ES"")"),"La señora se para y recorta los arbustos.")</f>
        <v>La señora se para y recorta los arbustos.</v>
      </c>
    </row>
    <row r="26617">
      <c r="A26617" s="4" t="s">
        <v>33499</v>
      </c>
      <c r="B26617" s="4" t="s">
        <v>33503</v>
      </c>
      <c r="C26617" s="5" t="str">
        <f>IFERROR(__xludf.DUMMYFUNCTION("GOOGLETRANSLATE(B26617,""en"",""es-ES"")"),"La señora se arrodilla nuevamente y continúa hablando con la cámara.")</f>
        <v>La señora se arrodilla nuevamente y continúa hablando con la cámara.</v>
      </c>
    </row>
    <row r="26618">
      <c r="A26618" s="4" t="s">
        <v>33504</v>
      </c>
      <c r="B26618" s="4" t="s">
        <v>33505</v>
      </c>
      <c r="C26618" s="5" t="str">
        <f>IFERROR(__xludf.DUMMYFUNCTION("GOOGLETRANSLATE(B26618,""en"",""es-ES"")"),"Una niña está parada en su baño y demostrando cómo enjuague su boca con la lavado de boca.")</f>
        <v>Una niña está parada en su baño y demostrando cómo enjuague su boca con la lavado de boca.</v>
      </c>
    </row>
    <row r="26619">
      <c r="A26619" s="4" t="s">
        <v>33504</v>
      </c>
      <c r="B26619" s="4" t="s">
        <v>33506</v>
      </c>
      <c r="C26619" s="5" t="str">
        <f>IFERROR(__xludf.DUMMYFUNCTION("GOOGLETRANSLATE(B26619,""en"",""es-ES"")"),"Ella toma un sorbo de boca listerina de su taza y la sostiene en su boca durante varios segundos, mientras que su video de su hermano mayor la graba.")</f>
        <v>Ella toma un sorbo de boca listerina de su taza y la sostiene en su boca durante varios segundos, mientras que su video de su hermano mayor la graba.</v>
      </c>
    </row>
    <row r="26620">
      <c r="A26620" s="4" t="s">
        <v>33504</v>
      </c>
      <c r="B26620" s="4" t="s">
        <v>33507</v>
      </c>
      <c r="C26620" s="5" t="str">
        <f>IFERROR(__xludf.DUMMYFUNCTION("GOOGLETRANSLATE(B26620,""en"",""es-ES"")"),"Otra niña camina detrás de ella y mira su enjuague.")</f>
        <v>Otra niña camina detrás de ella y mira su enjuague.</v>
      </c>
    </row>
    <row r="26621">
      <c r="A26621" s="4" t="s">
        <v>33504</v>
      </c>
      <c r="B26621" s="4" t="s">
        <v>33508</v>
      </c>
      <c r="C26621" s="5" t="str">
        <f>IFERROR(__xludf.DUMMYFUNCTION("GOOGLETRANSLATE(B26621,""en"",""es-ES"")"),"Ella sostiene el lavado de la boca en su boca durante mucho tiempo y luego lo escupe en el fregadero.")</f>
        <v>Ella sostiene el lavado de la boca en su boca durante mucho tiempo y luego lo escupe en el fregadero.</v>
      </c>
    </row>
    <row r="26622">
      <c r="A26622" s="4" t="s">
        <v>33509</v>
      </c>
      <c r="B26622" s="4" t="s">
        <v>33510</v>
      </c>
      <c r="C26622" s="5" t="str">
        <f>IFERROR(__xludf.DUMMYFUNCTION("GOOGLETRANSLATE(B26622,""en"",""es-ES"")"),"Se ve a un hombre hablando con una cámara muy cerca de su cara.")</f>
        <v>Se ve a un hombre hablando con una cámara muy cerca de su cara.</v>
      </c>
    </row>
    <row r="26623">
      <c r="A26623" s="4" t="s">
        <v>33509</v>
      </c>
      <c r="B26623" s="4" t="s">
        <v>33511</v>
      </c>
      <c r="C26623" s="5" t="str">
        <f>IFERROR(__xludf.DUMMYFUNCTION("GOOGLETRANSLATE(B26623,""en"",""es-ES"")"),"Otro hombre con casco está parado cerca.")</f>
        <v>Otro hombre con casco está parado cerca.</v>
      </c>
    </row>
    <row r="26624">
      <c r="A26624" s="4" t="s">
        <v>33509</v>
      </c>
      <c r="B26624" s="4" t="s">
        <v>33512</v>
      </c>
      <c r="C26624" s="5" t="str">
        <f>IFERROR(__xludf.DUMMYFUNCTION("GOOGLETRANSLATE(B26624,""en"",""es-ES"")"),"Se ve a un tercer hombre en un automóvil al lado del hombre que habla.")</f>
        <v>Se ve a un tercer hombre en un automóvil al lado del hombre que habla.</v>
      </c>
    </row>
    <row r="26625">
      <c r="A26625" s="4" t="s">
        <v>33509</v>
      </c>
      <c r="B26625" s="4" t="s">
        <v>33513</v>
      </c>
      <c r="C26625" s="5" t="str">
        <f>IFERROR(__xludf.DUMMYFUNCTION("GOOGLETRANSLATE(B26625,""en"",""es-ES"")"),"El hombre que lleva el casco comienza por la calle en una patineta.")</f>
        <v>El hombre que lleva el casco comienza por la calle en una patineta.</v>
      </c>
    </row>
    <row r="26626">
      <c r="A26626" s="4" t="s">
        <v>33509</v>
      </c>
      <c r="B26626" s="4" t="s">
        <v>33514</v>
      </c>
      <c r="C26626" s="5" t="str">
        <f>IFERROR(__xludf.DUMMYFUNCTION("GOOGLETRANSLATE(B26626,""en"",""es-ES"")"),"El hombre baja algunas colinas muy empinadas en su patineta.")</f>
        <v>El hombre baja algunas colinas muy empinadas en su patineta.</v>
      </c>
    </row>
    <row r="26627">
      <c r="A26627" s="4" t="s">
        <v>33509</v>
      </c>
      <c r="B26627" s="4" t="s">
        <v>33515</v>
      </c>
      <c r="C26627" s="5" t="str">
        <f>IFERROR(__xludf.DUMMYFUNCTION("GOOGLETRANSLATE(B26627,""en"",""es-ES"")"),"El hombre pasa por una señal de alto.")</f>
        <v>El hombre pasa por una señal de alto.</v>
      </c>
    </row>
    <row r="26628">
      <c r="A26628" s="4" t="s">
        <v>33509</v>
      </c>
      <c r="B26628" s="4" t="s">
        <v>33516</v>
      </c>
      <c r="C26628" s="5" t="str">
        <f>IFERROR(__xludf.DUMMYFUNCTION("GOOGLETRANSLATE(B26628,""en"",""es-ES"")"),"El hombre con la cámara y el hombre en el auto siguen filmando al hombre en la patineta.")</f>
        <v>El hombre con la cámara y el hombre en el auto siguen filmando al hombre en la patineta.</v>
      </c>
    </row>
    <row r="26629">
      <c r="A26629" s="4" t="s">
        <v>33509</v>
      </c>
      <c r="B26629" s="4" t="s">
        <v>33517</v>
      </c>
      <c r="C26629" s="5" t="str">
        <f>IFERROR(__xludf.DUMMYFUNCTION("GOOGLETRANSLATE(B26629,""en"",""es-ES"")"),"Después de la señal de alto, el auto pasa al hombre en la patineta.")</f>
        <v>Después de la señal de alto, el auto pasa al hombre en la patineta.</v>
      </c>
    </row>
    <row r="26630">
      <c r="A26630" s="4" t="s">
        <v>33509</v>
      </c>
      <c r="B26630" s="4" t="s">
        <v>33518</v>
      </c>
      <c r="C26630" s="5" t="str">
        <f>IFERROR(__xludf.DUMMYFUNCTION("GOOGLETRANSLATE(B26630,""en"",""es-ES"")"),"El auto se detiene y el hombre en la patineta se detiene y recoge su patineta.")</f>
        <v>El auto se detiene y el hombre en la patineta se detiene y recoge su patineta.</v>
      </c>
    </row>
    <row r="26631">
      <c r="A26631" s="4" t="s">
        <v>33519</v>
      </c>
      <c r="B26631" s="4" t="s">
        <v>33520</v>
      </c>
      <c r="C26631" s="5" t="str">
        <f>IFERROR(__xludf.DUMMYFUNCTION("GOOGLETRANSLATE(B26631,""en"",""es-ES"")"),"Un hombre con una guitarra y un micrófono realiza una pieza musical.")</f>
        <v>Un hombre con una guitarra y un micrófono realiza una pieza musical.</v>
      </c>
    </row>
    <row r="26632">
      <c r="A26632" s="4" t="s">
        <v>33519</v>
      </c>
      <c r="B26632" s="4" t="s">
        <v>33521</v>
      </c>
      <c r="C26632" s="5" t="str">
        <f>IFERROR(__xludf.DUMMYFUNCTION("GOOGLETRANSLATE(B26632,""en"",""es-ES"")"),"Aparece una pantalla negra con un gráfico de guitarra blanca y un sitio web.")</f>
        <v>Aparece una pantalla negra con un gráfico de guitarra blanca y un sitio web.</v>
      </c>
    </row>
    <row r="26633">
      <c r="A26633" s="4" t="s">
        <v>33519</v>
      </c>
      <c r="B26633" s="4" t="s">
        <v>33522</v>
      </c>
      <c r="C26633" s="5" t="str">
        <f>IFERROR(__xludf.DUMMYFUNCTION("GOOGLETRANSLATE(B26633,""en"",""es-ES"")"),"El hombre deja de tocar y luego la pantalla negra con guitarra blanca y sitio web aparecen nuevamente.")</f>
        <v>El hombre deja de tocar y luego la pantalla negra con guitarra blanca y sitio web aparecen nuevamente.</v>
      </c>
    </row>
    <row r="26634">
      <c r="A26634" s="4" t="s">
        <v>33523</v>
      </c>
      <c r="B26634" s="4" t="s">
        <v>33524</v>
      </c>
      <c r="C26634" s="5" t="str">
        <f>IFERROR(__xludf.DUMMYFUNCTION("GOOGLETRANSLATE(B26634,""en"",""es-ES"")"),"Se ve a un atleta caminando en un círculo y preparándose para lanzar un lanzamiento de bala.")</f>
        <v>Se ve a un atleta caminando en un círculo y preparándose para lanzar un lanzamiento de bala.</v>
      </c>
    </row>
    <row r="26635">
      <c r="A26635" s="4" t="s">
        <v>33523</v>
      </c>
      <c r="B26635" s="4" t="s">
        <v>33525</v>
      </c>
      <c r="C26635" s="5" t="str">
        <f>IFERROR(__xludf.DUMMYFUNCTION("GOOGLETRANSLATE(B26635,""en"",""es-ES"")"),"El hombre arroja el objeto varias veces después de girar y varias personas que miran al margen.")</f>
        <v>El hombre arroja el objeto varias veces después de girar y varias personas que miran al margen.</v>
      </c>
    </row>
    <row r="26636">
      <c r="A26636" s="4" t="s">
        <v>33526</v>
      </c>
      <c r="B26636" s="4" t="s">
        <v>33527</v>
      </c>
      <c r="C26636" s="5" t="str">
        <f>IFERROR(__xludf.DUMMYFUNCTION("GOOGLETRANSLATE(B26636,""en"",""es-ES"")"),"Un logotipo y las palabras Master Lube TV se muestran en una pantalla negra.")</f>
        <v>Un logotipo y las palabras Master Lube TV se muestran en una pantalla negra.</v>
      </c>
    </row>
    <row r="26637">
      <c r="A26637" s="4" t="s">
        <v>33526</v>
      </c>
      <c r="B26637" s="4" t="s">
        <v>33528</v>
      </c>
      <c r="C26637" s="5" t="str">
        <f>IFERROR(__xludf.DUMMYFUNCTION("GOOGLETRANSLATE(B26637,""en"",""es-ES"")"),"Un joven está de pie y hablando en un negocio mientras otros hombres jóvenes están limpiando y detallando el interior y el exterior de un vehículo plateado.")</f>
        <v>Un joven está de pie y hablando en un negocio mientras otros hombres jóvenes están limpiando y detallando el interior y el exterior de un vehículo plateado.</v>
      </c>
    </row>
    <row r="26638">
      <c r="A26638" s="4" t="s">
        <v>33526</v>
      </c>
      <c r="B26638" s="4" t="s">
        <v>33529</v>
      </c>
      <c r="C26638" s="5" t="str">
        <f>IFERROR(__xludf.DUMMYFUNCTION("GOOGLETRANSLATE(B26638,""en"",""es-ES"")"),"El vehículo ahora limpiado se retira del garaje y se aleja del negocio.")</f>
        <v>El vehículo ahora limpiado se retira del garaje y se aleja del negocio.</v>
      </c>
    </row>
    <row r="26639">
      <c r="A26639" s="4" t="s">
        <v>33526</v>
      </c>
      <c r="B26639" s="4" t="s">
        <v>33530</v>
      </c>
      <c r="C26639" s="5" t="str">
        <f>IFERROR(__xludf.DUMMYFUNCTION("GOOGLETRANSLATE(B26639,""en"",""es-ES"")"),"El vehículo ahora está estacionado y dos jóvenes lo están limpiando con una tela seca.")</f>
        <v>El vehículo ahora está estacionado y dos jóvenes lo están limpiando con una tela seca.</v>
      </c>
    </row>
    <row r="26640">
      <c r="A26640" s="4" t="s">
        <v>33526</v>
      </c>
      <c r="B26640" s="4" t="s">
        <v>33531</v>
      </c>
      <c r="C26640" s="5" t="str">
        <f>IFERROR(__xludf.DUMMYFUNCTION("GOOGLETRANSLATE(B26640,""en"",""es-ES"")"),"Más clips del joven que habla solo y toda la limpieza que hicieron anteriormente.")</f>
        <v>Más clips del joven que habla solo y toda la limpieza que hicieron anteriormente.</v>
      </c>
    </row>
    <row r="26641">
      <c r="A26641" s="4" t="s">
        <v>33526</v>
      </c>
      <c r="B26641" s="4" t="s">
        <v>33532</v>
      </c>
      <c r="C26641" s="5" t="str">
        <f>IFERROR(__xludf.DUMMYFUNCTION("GOOGLETRANSLATE(B26641,""en"",""es-ES"")"),"Una bandera roja, blanca y azul con las palabras ""lavado de autos de mano"" sopla en el viento.")</f>
        <v>Una bandera roja, blanca y azul con las palabras "lavado de autos de mano" sopla en el viento.</v>
      </c>
    </row>
    <row r="26642">
      <c r="A26642" s="4" t="s">
        <v>33526</v>
      </c>
      <c r="B26642" s="4" t="s">
        <v>33533</v>
      </c>
      <c r="C26642" s="5" t="str">
        <f>IFERROR(__xludf.DUMMYFUNCTION("GOOGLETRANSLATE(B26642,""en"",""es-ES"")"),"Más clips del joven que habla solo y las repeticiones de los bucles de limpieza cuando se muestran las palabras debajo del hombre y leen ""Masterlube Hand Car Wash 750 Broadwater Ave (406) 294-5530.")</f>
        <v>Más clips del joven que habla solo y las repeticiones de los bucles de limpieza cuando se muestran las palabras debajo del hombre y leen "Masterlube Hand Car Wash 750 Broadwater Ave (406) 294-5530.</v>
      </c>
    </row>
    <row r="26643">
      <c r="A26643" s="4" t="s">
        <v>33526</v>
      </c>
      <c r="B26643" s="4" t="s">
        <v>33534</v>
      </c>
      <c r="C26643" s="5" t="str">
        <f>IFERROR(__xludf.DUMMYFUNCTION("GOOGLETRANSLATE(B26643,""en"",""es-ES"")"),"Las banderas se muestran nuevamente y se desvanece en una pantalla negra con un logotipo y las palabras MasterLube.")</f>
        <v>Las banderas se muestran nuevamente y se desvanece en una pantalla negra con un logotipo y las palabras MasterLube.</v>
      </c>
    </row>
    <row r="26644">
      <c r="A26644" s="4" t="s">
        <v>33535</v>
      </c>
      <c r="B26644" s="4" t="s">
        <v>33536</v>
      </c>
      <c r="C26644" s="5" t="str">
        <f>IFERROR(__xludf.DUMMYFUNCTION("GOOGLETRANSLATE(B26644,""en"",""es-ES"")"),"Numerosas imágenes diferentes de personas de fitness parpadean en la pantalla y el logotipo de LA Muscle parpadea rápidamente.")</f>
        <v>Numerosas imágenes diferentes de personas de fitness parpadean en la pantalla y el logotipo de LA Muscle parpadea rápidamente.</v>
      </c>
    </row>
    <row r="26645">
      <c r="A26645" s="4" t="s">
        <v>33535</v>
      </c>
      <c r="B26645" s="4" t="s">
        <v>33537</v>
      </c>
      <c r="C26645" s="5" t="str">
        <f>IFERROR(__xludf.DUMMYFUNCTION("GOOGLETRANSLATE(B26645,""en"",""es-ES"")"),"Aparece un grupo de personas y están en pedaleo de bicicletas y están haciendo un taller de cardio mientras el hombre en frente con una banda para la cabeza está hablando todo el tiempo.")</f>
        <v>Aparece un grupo de personas y están en pedaleo de bicicletas y están haciendo un taller de cardio mientras el hombre en frente con una banda para la cabeza está hablando todo el tiempo.</v>
      </c>
    </row>
    <row r="26646">
      <c r="A26646" s="4" t="s">
        <v>33535</v>
      </c>
      <c r="B26646" s="4" t="s">
        <v>33538</v>
      </c>
      <c r="C26646" s="5" t="str">
        <f>IFERROR(__xludf.DUMMYFUNCTION("GOOGLETRANSLATE(B26646,""en"",""es-ES"")"),"Aparece la pantalla de Outro y es una pantalla blanca que zapata el logotipo de LA Muscle como lo hizo al principio y las palabras ""para más visitar Lamuscle Dot TV"".")</f>
        <v>Aparece la pantalla de Outro y es una pantalla blanca que zapata el logotipo de LA Muscle como lo hizo al principio y las palabras "para más visitar Lamuscle Dot TV".</v>
      </c>
    </row>
    <row r="26647">
      <c r="A26647" s="4" t="s">
        <v>33539</v>
      </c>
      <c r="B26647" s="4" t="s">
        <v>33540</v>
      </c>
      <c r="C26647" s="5" t="str">
        <f>IFERROR(__xludf.DUMMYFUNCTION("GOOGLETRANSLATE(B26647,""en"",""es-ES"")"),"Un hombre está completando un cubo Rubiks.")</f>
        <v>Un hombre está completando un cubo Rubiks.</v>
      </c>
    </row>
    <row r="26648">
      <c r="A26648" s="4" t="s">
        <v>33539</v>
      </c>
      <c r="B26648" s="4" t="s">
        <v>33541</v>
      </c>
      <c r="C26648" s="5" t="str">
        <f>IFERROR(__xludf.DUMMYFUNCTION("GOOGLETRANSLATE(B26648,""en"",""es-ES"")"),"Un temporizador está sentado en la mesa junto a él.")</f>
        <v>Un temporizador está sentado en la mesa junto a él.</v>
      </c>
    </row>
    <row r="26649">
      <c r="A26649" s="4" t="s">
        <v>33539</v>
      </c>
      <c r="B26649" s="4" t="s">
        <v>33542</v>
      </c>
      <c r="C26649" s="5" t="str">
        <f>IFERROR(__xludf.DUMMYFUNCTION("GOOGLETRANSLATE(B26649,""en"",""es-ES"")"),"Establece el cubo Rubiks completo sobre la mesa.")</f>
        <v>Establece el cubo Rubiks completo sobre la mesa.</v>
      </c>
    </row>
    <row r="26650">
      <c r="A26650" s="4" t="s">
        <v>33543</v>
      </c>
      <c r="B26650" s="4" t="s">
        <v>33544</v>
      </c>
      <c r="C26650" s="5" t="str">
        <f>IFERROR(__xludf.DUMMYFUNCTION("GOOGLETRANSLATE(B26650,""en"",""es-ES"")"),"La gente corre por la playa muy rápidamente.")</f>
        <v>La gente corre por la playa muy rápidamente.</v>
      </c>
    </row>
    <row r="26651">
      <c r="A26651" s="4" t="s">
        <v>33543</v>
      </c>
      <c r="B26651" s="4" t="s">
        <v>33545</v>
      </c>
      <c r="C26651" s="5" t="str">
        <f>IFERROR(__xludf.DUMMYFUNCTION("GOOGLETRANSLATE(B26651,""en"",""es-ES"")"),"Luego comienzan a hacer caras extrañas hacia la cámara.")</f>
        <v>Luego comienzan a hacer caras extrañas hacia la cámara.</v>
      </c>
    </row>
    <row r="26652">
      <c r="A26652" s="4" t="s">
        <v>33543</v>
      </c>
      <c r="B26652" s="4" t="s">
        <v>33546</v>
      </c>
      <c r="C26652" s="5" t="str">
        <f>IFERROR(__xludf.DUMMYFUNCTION("GOOGLETRANSLATE(B26652,""en"",""es-ES"")"),"Comienzan a rebotar y hacer trucos en algún tipo de cuerda hinchable.")</f>
        <v>Comienzan a rebotar y hacer trucos en algún tipo de cuerda hinchable.</v>
      </c>
    </row>
    <row r="26653">
      <c r="A26653" s="4" t="s">
        <v>33543</v>
      </c>
      <c r="B26653" s="4" t="s">
        <v>33547</v>
      </c>
      <c r="C26653" s="5" t="str">
        <f>IFERROR(__xludf.DUMMYFUNCTION("GOOGLETRANSLATE(B26653,""en"",""es-ES"")"),"Parece que algunos de los trucos son muy extremos.")</f>
        <v>Parece que algunos de los trucos son muy extremos.</v>
      </c>
    </row>
    <row r="26654">
      <c r="A26654" s="4" t="s">
        <v>33548</v>
      </c>
      <c r="B26654" s="4" t="s">
        <v>33549</v>
      </c>
      <c r="C26654" s="5" t="str">
        <f>IFERROR(__xludf.DUMMYFUNCTION("GOOGLETRANSLATE(B26654,""en"",""es-ES"")"),"Se ve a una mujer parada detrás de una tabla de planchar que planchaba una camisa mientras habla con la cámara de vez en cuando.")</f>
        <v>Se ve a una mujer parada detrás de una tabla de planchar que planchaba una camisa mientras habla con la cámara de vez en cuando.</v>
      </c>
    </row>
    <row r="26655">
      <c r="A26655" s="4" t="s">
        <v>33548</v>
      </c>
      <c r="B26655" s="4" t="s">
        <v>33550</v>
      </c>
      <c r="C26655" s="5" t="str">
        <f>IFERROR(__xludf.DUMMYFUNCTION("GOOGLETRANSLATE(B26655,""en"",""es-ES"")"),"El mueve la camisa por toda la mesa planchándola y sosteniéndola al final hasta el presente.")</f>
        <v>El mueve la camisa por toda la mesa planchándola y sosteniéndola al final hasta el presente.</v>
      </c>
    </row>
    <row r="26656">
      <c r="A26656" s="4" t="s">
        <v>33551</v>
      </c>
      <c r="B26656" s="4" t="s">
        <v>33552</v>
      </c>
      <c r="C26656" s="5" t="str">
        <f>IFERROR(__xludf.DUMMYFUNCTION("GOOGLETRANSLATE(B26656,""en"",""es-ES"")"),"Una mujer con cabello largo, negro y rizado se usa ropa casual, habla y se pone en cuclillas en un techo.")</f>
        <v>Una mujer con cabello largo, negro y rizado se usa ropa casual, habla y se pone en cuclillas en un techo.</v>
      </c>
    </row>
    <row r="26657">
      <c r="A26657" s="4" t="s">
        <v>33551</v>
      </c>
      <c r="B26657" s="4" t="s">
        <v>33553</v>
      </c>
      <c r="C26657" s="5" t="str">
        <f>IFERROR(__xludf.DUMMYFUNCTION("GOOGLETRANSLATE(B26657,""en"",""es-ES"")"),"La mujer se levanta y camina hacia una parte del techo donde levanta una teja negra en el techo.")</f>
        <v>La mujer se levanta y camina hacia una parte del techo donde levanta una teja negra en el techo.</v>
      </c>
    </row>
    <row r="26658">
      <c r="A26658" s="4" t="s">
        <v>33551</v>
      </c>
      <c r="B26658" s="4" t="s">
        <v>33554</v>
      </c>
      <c r="C26658" s="5" t="str">
        <f>IFERROR(__xludf.DUMMYFUNCTION("GOOGLETRANSLATE(B26658,""en"",""es-ES"")"),"La mujer ahora está parada en el suelo frente a la casa sonriendo y hablando.")</f>
        <v>La mujer ahora está parada en el suelo frente a la casa sonriendo y hablando.</v>
      </c>
    </row>
    <row r="26659">
      <c r="A26659" s="4" t="s">
        <v>33551</v>
      </c>
      <c r="B26659" s="4" t="s">
        <v>33555</v>
      </c>
      <c r="C26659" s="5" t="str">
        <f>IFERROR(__xludf.DUMMYFUNCTION("GOOGLETRANSLATE(B26659,""en"",""es-ES"")"),"Un camión grande se detiene a la casa y un hombre comienza a descargar tejas sobre el techo.")</f>
        <v>Un camión grande se detiene a la casa y un hombre comienza a descargar tejas sobre el techo.</v>
      </c>
    </row>
    <row r="26660">
      <c r="A26660" s="4" t="s">
        <v>33551</v>
      </c>
      <c r="B26660" s="4" t="s">
        <v>33556</v>
      </c>
      <c r="C26660" s="5" t="str">
        <f>IFERROR(__xludf.DUMMYFUNCTION("GOOGLETRANSLATE(B26660,""en"",""es-ES"")"),"La mujer está de vuelta en el techo con una pala y está palpitando todas las viejas tejas y luego las tira en un gran contenedor de basura.")</f>
        <v>La mujer está de vuelta en el techo con una pala y está palpitando todas las viejas tejas y luego las tira en un gran contenedor de basura.</v>
      </c>
    </row>
    <row r="26661">
      <c r="A26661" s="4" t="s">
        <v>33551</v>
      </c>
      <c r="B26661" s="4" t="s">
        <v>33557</v>
      </c>
      <c r="C26661" s="5" t="str">
        <f>IFERROR(__xludf.DUMMYFUNCTION("GOOGLETRANSLATE(B26661,""en"",""es-ES"")"),"Los hombres ahora están colocando largas piezas de material negro y clavándolos en el techo, así como clavando las tejas hacia abajo.")</f>
        <v>Los hombres ahora están colocando largas piezas de material negro y clavándolos en el techo, así como clavando las tejas hacia abajo.</v>
      </c>
    </row>
    <row r="26662">
      <c r="A26662" s="4" t="s">
        <v>33551</v>
      </c>
      <c r="B26662" s="4" t="s">
        <v>33558</v>
      </c>
      <c r="C26662" s="5" t="str">
        <f>IFERROR(__xludf.DUMMYFUNCTION("GOOGLETRANSLATE(B26662,""en"",""es-ES"")"),"El techo está hecho y se muestra que una vista de toda la casa muestra el techo terminado.")</f>
        <v>El techo está hecho y se muestra que una vista de toda la casa muestra el techo terminado.</v>
      </c>
    </row>
    <row r="26663">
      <c r="A26663" s="4" t="s">
        <v>33551</v>
      </c>
      <c r="B26663" s="4" t="s">
        <v>33559</v>
      </c>
      <c r="C26663" s="5" t="str">
        <f>IFERROR(__xludf.DUMMYFUNCTION("GOOGLETRANSLATE(B26663,""en"",""es-ES"")"),"La mujer está parada frente a la casa, sonriendo mientras habla.")</f>
        <v>La mujer está parada frente a la casa, sonriendo mientras habla.</v>
      </c>
    </row>
    <row r="26664">
      <c r="A26664" s="4" t="s">
        <v>33560</v>
      </c>
      <c r="B26664" s="4" t="s">
        <v>33561</v>
      </c>
      <c r="C26664" s="5" t="str">
        <f>IFERROR(__xludf.DUMMYFUNCTION("GOOGLETRANSLATE(B26664,""en"",""es-ES"")"),"Una cámara abarca a dos personas que viajan juntas en una canoa.")</f>
        <v>Una cámara abarca a dos personas que viajan juntas en una canoa.</v>
      </c>
    </row>
    <row r="26665">
      <c r="A26665" s="4" t="s">
        <v>33560</v>
      </c>
      <c r="B26665" s="4" t="s">
        <v>33562</v>
      </c>
      <c r="C26665" s="5" t="str">
        <f>IFERROR(__xludf.DUMMYFUNCTION("GOOGLETRANSLATE(B26665,""en"",""es-ES"")"),"La cámara se acerca y captura a la gente remando más abajo por el río.")</f>
        <v>La cámara se acerca y captura a la gente remando más abajo por el río.</v>
      </c>
    </row>
    <row r="26666">
      <c r="A26666" s="4" t="s">
        <v>33563</v>
      </c>
      <c r="B26666" s="4" t="s">
        <v>33564</v>
      </c>
      <c r="C26666" s="5" t="str">
        <f>IFERROR(__xludf.DUMMYFUNCTION("GOOGLETRANSLATE(B26666,""en"",""es-ES"")"),"Vemos a un hombre ubicado y sosteniendo un tambor.")</f>
        <v>Vemos a un hombre ubicado y sosteniendo un tambor.</v>
      </c>
    </row>
    <row r="26667">
      <c r="A26667" s="4" t="s">
        <v>33563</v>
      </c>
      <c r="B26667" s="4" t="s">
        <v>33565</v>
      </c>
      <c r="C26667" s="5" t="str">
        <f>IFERROR(__xludf.DUMMYFUNCTION("GOOGLETRANSLATE(B26667,""en"",""es-ES"")"),"Luego vemos al hombre tocando en el tambor.")</f>
        <v>Luego vemos al hombre tocando en el tambor.</v>
      </c>
    </row>
    <row r="26668">
      <c r="A26668" s="4" t="s">
        <v>33563</v>
      </c>
      <c r="B26668" s="4" t="s">
        <v>33566</v>
      </c>
      <c r="C26668" s="5" t="str">
        <f>IFERROR(__xludf.DUMMYFUNCTION("GOOGLETRANSLATE(B26668,""en"",""es-ES"")"),"El hombre golpea un tambor fuera de la cámara a la izquierda.")</f>
        <v>El hombre golpea un tambor fuera de la cámara a la izquierda.</v>
      </c>
    </row>
    <row r="26669">
      <c r="A26669" s="4" t="s">
        <v>33563</v>
      </c>
      <c r="B26669" s="4" t="s">
        <v>33567</v>
      </c>
      <c r="C26669" s="5" t="str">
        <f>IFERROR(__xludf.DUMMYFUNCTION("GOOGLETRANSLATE(B26669,""en"",""es-ES"")"),"El hombre baraja las manos sobre el tambor.")</f>
        <v>El hombre baraja las manos sobre el tambor.</v>
      </c>
    </row>
    <row r="26670">
      <c r="A26670" s="4" t="s">
        <v>33563</v>
      </c>
      <c r="B26670" s="4" t="s">
        <v>33568</v>
      </c>
      <c r="C26670" s="5" t="str">
        <f>IFERROR(__xludf.DUMMYFUNCTION("GOOGLETRANSLATE(B26670,""en"",""es-ES"")"),"El hombre deja de pagar la batería.")</f>
        <v>El hombre deja de pagar la batería.</v>
      </c>
    </row>
    <row r="26671">
      <c r="A26671" s="4" t="s">
        <v>33569</v>
      </c>
      <c r="B26671" s="4" t="s">
        <v>33570</v>
      </c>
      <c r="C26671" s="5" t="str">
        <f>IFERROR(__xludf.DUMMYFUNCTION("GOOGLETRANSLATE(B26671,""en"",""es-ES"")"),"Un niño ayuda a empujar un cortacésped con un adulto para que cortara el césped.")</f>
        <v>Un niño ayuda a empujar un cortacésped con un adulto para que cortara el césped.</v>
      </c>
    </row>
    <row r="26672">
      <c r="A26672" s="4" t="s">
        <v>33569</v>
      </c>
      <c r="B26672" s="4" t="s">
        <v>33571</v>
      </c>
      <c r="C26672" s="5" t="str">
        <f>IFERROR(__xludf.DUMMYFUNCTION("GOOGLETRANSLATE(B26672,""en"",""es-ES"")"),"Un hombre corta el césped de un gran patio junto con un niño que observa cerca.")</f>
        <v>Un hombre corta el césped de un gran patio junto con un niño que observa cerca.</v>
      </c>
    </row>
    <row r="26673">
      <c r="A26673" s="4" t="s">
        <v>33569</v>
      </c>
      <c r="B26673" s="4" t="s">
        <v>33572</v>
      </c>
      <c r="C26673" s="5" t="str">
        <f>IFERROR(__xludf.DUMMYFUNCTION("GOOGLETRANSLATE(B26673,""en"",""es-ES"")"),"El hombre vacía la bolsa de la tolva de recolección en el cortacésped y la vacía en un contenedor de basura y la aleja.")</f>
        <v>El hombre vacía la bolsa de la tolva de recolección en el cortacésped y la vacía en un contenedor de basura y la aleja.</v>
      </c>
    </row>
    <row r="26674">
      <c r="A26674" s="4" t="s">
        <v>33569</v>
      </c>
      <c r="B26674" s="4" t="s">
        <v>33573</v>
      </c>
      <c r="C26674" s="5" t="str">
        <f>IFERROR(__xludf.DUMMYFUNCTION("GOOGLETRANSLATE(B26674,""en"",""es-ES"")"),"El niño juega con la cortadora de césped mientras se apaga.")</f>
        <v>El niño juega con la cortadora de césped mientras se apaga.</v>
      </c>
    </row>
    <row r="26675">
      <c r="A26675" s="4" t="s">
        <v>33574</v>
      </c>
      <c r="B26675" s="4" t="s">
        <v>33575</v>
      </c>
      <c r="C26675" s="5" t="str">
        <f>IFERROR(__xludf.DUMMYFUNCTION("GOOGLETRANSLATE(B26675,""en"",""es-ES"")"),"Una persona está arrojando una pelota de tenis en el aire y golpea la pelota.")</f>
        <v>Una persona está arrojando una pelota de tenis en el aire y golpea la pelota.</v>
      </c>
    </row>
    <row r="26676">
      <c r="A26676" s="4" t="s">
        <v>33574</v>
      </c>
      <c r="B26676" s="4" t="s">
        <v>33576</v>
      </c>
      <c r="C26676" s="5" t="str">
        <f>IFERROR(__xludf.DUMMYFUNCTION("GOOGLETRANSLATE(B26676,""en"",""es-ES"")"),"Dos hombres comienzan a hablar sobre este movimiento de tenis y cómo debes sostener adecuadamente tu raqueta.")</f>
        <v>Dos hombres comienzan a hablar sobre este movimiento de tenis y cómo debes sostener adecuadamente tu raqueta.</v>
      </c>
    </row>
    <row r="26677">
      <c r="A26677" s="4" t="s">
        <v>33574</v>
      </c>
      <c r="B26677" s="4" t="s">
        <v>33577</v>
      </c>
      <c r="C26677" s="5" t="str">
        <f>IFERROR(__xludf.DUMMYFUNCTION("GOOGLETRANSLATE(B26677,""en"",""es-ES"")"),"El hombre demuestra cómo tirar la pelota y cómo balancearse.")</f>
        <v>El hombre demuestra cómo tirar la pelota y cómo balancearse.</v>
      </c>
    </row>
    <row r="26678">
      <c r="A26678" s="4" t="s">
        <v>33574</v>
      </c>
      <c r="B26678" s="4" t="s">
        <v>33578</v>
      </c>
      <c r="C26678" s="5" t="str">
        <f>IFERROR(__xludf.DUMMYFUNCTION("GOOGLETRANSLATE(B26678,""en"",""es-ES"")"),"El hombre continúa discutiendo cuándo golpear la pelota para este movimiento y cómo ejecutarla correctamente.")</f>
        <v>El hombre continúa discutiendo cuándo golpear la pelota para este movimiento y cómo ejecutarla correctamente.</v>
      </c>
    </row>
    <row r="26679">
      <c r="A26679" s="4" t="s">
        <v>33579</v>
      </c>
      <c r="B26679" s="4" t="s">
        <v>33580</v>
      </c>
      <c r="C26679" s="5" t="str">
        <f>IFERROR(__xludf.DUMMYFUNCTION("GOOGLETRANSLATE(B26679,""en"",""es-ES"")"),"Un hombre que lleva un atuendo de esgrima blanco se acerca a una mujer de cuero con las manos atadas.")</f>
        <v>Un hombre que lleva un atuendo de esgrima blanco se acerca a una mujer de cuero con las manos atadas.</v>
      </c>
    </row>
    <row r="26680">
      <c r="A26680" s="4" t="s">
        <v>33579</v>
      </c>
      <c r="B26680" s="4" t="s">
        <v>33581</v>
      </c>
      <c r="C26680" s="5" t="str">
        <f>IFERROR(__xludf.DUMMYFUNCTION("GOOGLETRANSLATE(B26680,""en"",""es-ES"")"),"Él le sostiene la cintura y le habla mientras mira a los hombres cerca de ellos.")</f>
        <v>Él le sostiene la cintura y le habla mientras mira a los hombres cerca de ellos.</v>
      </c>
    </row>
    <row r="26681">
      <c r="A26681" s="4" t="s">
        <v>33579</v>
      </c>
      <c r="B26681" s="4" t="s">
        <v>33582</v>
      </c>
      <c r="C26681" s="5" t="str">
        <f>IFERROR(__xludf.DUMMYFUNCTION("GOOGLETRANSLATE(B26681,""en"",""es-ES"")"),"Hablan con otra pareja desafiante y los hombres se preparan para pelear.")</f>
        <v>Hablan con otra pareja desafiante y los hombres se preparan para pelear.</v>
      </c>
    </row>
    <row r="26682">
      <c r="A26682" s="4" t="s">
        <v>33579</v>
      </c>
      <c r="B26682" s="4" t="s">
        <v>33583</v>
      </c>
      <c r="C26682" s="5" t="str">
        <f>IFERROR(__xludf.DUMMYFUNCTION("GOOGLETRANSLATE(B26682,""en"",""es-ES"")"),"Los hombres se encuentran de regreso y cuarto cuando el caballero mayor se pellizca los ojos y pelea nuevamente.")</f>
        <v>Los hombres se encuentran de regreso y cuarto cuando el caballero mayor se pellizca los ojos y pelea nuevamente.</v>
      </c>
    </row>
    <row r="26683">
      <c r="A26683" s="4" t="s">
        <v>33579</v>
      </c>
      <c r="B26683" s="4" t="s">
        <v>33584</v>
      </c>
      <c r="C26683" s="5" t="str">
        <f>IFERROR(__xludf.DUMMYFUNCTION("GOOGLETRANSLATE(B26683,""en"",""es-ES"")"),"Los hombres se agitan y una de las hojas con camisa apagada.")</f>
        <v>Los hombres se agitan y una de las hojas con camisa apagada.</v>
      </c>
    </row>
    <row r="26684">
      <c r="A26684" s="4" t="s">
        <v>33585</v>
      </c>
      <c r="B26684" s="4" t="s">
        <v>33586</v>
      </c>
      <c r="C26684" s="5" t="str">
        <f>IFERROR(__xludf.DUMMYFUNCTION("GOOGLETRANSLATE(B26684,""en"",""es-ES"")"),"Se ve a un hombre con un sombrero sosteniendo una raqueta de tenis y rebotando una pelota arriba y abajo.")</f>
        <v>Se ve a un hombre con un sombrero sosteniendo una raqueta de tenis y rebotando una pelota arriba y abajo.</v>
      </c>
    </row>
    <row r="26685">
      <c r="A26685" s="4" t="s">
        <v>33585</v>
      </c>
      <c r="B26685" s="4" t="s">
        <v>33587</v>
      </c>
      <c r="C26685" s="5" t="str">
        <f>IFERROR(__xludf.DUMMYFUNCTION("GOOGLETRANSLATE(B26685,""en"",""es-ES"")"),"El hombre luego sirve la pelota y conduce a un partido de tenis entre cuatro personas.")</f>
        <v>El hombre luego sirve la pelota y conduce a un partido de tenis entre cuatro personas.</v>
      </c>
    </row>
    <row r="26686">
      <c r="A26686" s="4" t="s">
        <v>33585</v>
      </c>
      <c r="B26686" s="4" t="s">
        <v>33588</v>
      </c>
      <c r="C26686" s="5" t="str">
        <f>IFERROR(__xludf.DUMMYFUNCTION("GOOGLETRANSLATE(B26686,""en"",""es-ES"")"),"El locutor se ríe mientras los otros compañeros de equipo hablan entre sí y muestran su golpe nuevamente en cámara lenta.")</f>
        <v>El locutor se ríe mientras los otros compañeros de equipo hablan entre sí y muestran su golpe nuevamente en cámara lenta.</v>
      </c>
    </row>
    <row r="26687">
      <c r="A26687" s="4" t="s">
        <v>33589</v>
      </c>
      <c r="B26687" s="4" t="s">
        <v>33590</v>
      </c>
      <c r="C26687" s="5" t="str">
        <f>IFERROR(__xludf.DUMMYFUNCTION("GOOGLETRANSLATE(B26687,""en"",""es-ES"")"),"Se muestra un equipo de hockey de equipo verde y amarillo y su ubicación se muestra en un mapa.")</f>
        <v>Se muestra un equipo de hockey de equipo verde y amarillo y su ubicación se muestra en un mapa.</v>
      </c>
    </row>
    <row r="26688">
      <c r="A26688" s="4" t="s">
        <v>33589</v>
      </c>
      <c r="B26688" s="4" t="s">
        <v>33591</v>
      </c>
      <c r="C26688" s="5" t="str">
        <f>IFERROR(__xludf.DUMMYFUNCTION("GOOGLETRANSLATE(B26688,""en"",""es-ES"")"),"El video luego vuelve al juego y muestra el lugar en el que los equipos están jugando.")</f>
        <v>El video luego vuelve al juego y muestra el lugar en el que los equipos están jugando.</v>
      </c>
    </row>
    <row r="26689">
      <c r="A26689" s="4" t="s">
        <v>33589</v>
      </c>
      <c r="B26689" s="4" t="s">
        <v>33592</v>
      </c>
      <c r="C26689" s="5" t="str">
        <f>IFERROR(__xludf.DUMMYFUNCTION("GOOGLETRANSLATE(B26689,""en"",""es-ES"")"),"Después, se muestra a varios jugadores patinando alrededor de la pista y luego se muestra a un hombre caucásico calvo vestido con un polo negro comienza a hablar con la cámara.")</f>
        <v>Después, se muestra a varios jugadores patinando alrededor de la pista y luego se muestra a un hombre caucásico calvo vestido con un polo negro comienza a hablar con la cámara.</v>
      </c>
    </row>
    <row r="26690">
      <c r="A26690" s="4" t="s">
        <v>33589</v>
      </c>
      <c r="B26690" s="4" t="s">
        <v>33593</v>
      </c>
      <c r="C26690" s="5" t="str">
        <f>IFERROR(__xludf.DUMMYFUNCTION("GOOGLETRANSLATE(B26690,""en"",""es-ES"")"),"Una vez terminado, el banco se critica y el juego comienza con el árbitro que se encuentra entre los dos equipos y comienzan a jugar.")</f>
        <v>Una vez terminado, el banco se critica y el juego comienza con el árbitro que se encuentra entre los dos equipos y comienzan a jugar.</v>
      </c>
    </row>
    <row r="26691">
      <c r="A26691" s="4" t="s">
        <v>33589</v>
      </c>
      <c r="B26691" s="4" t="s">
        <v>33594</v>
      </c>
      <c r="C26691" s="5" t="str">
        <f>IFERROR(__xludf.DUMMYFUNCTION("GOOGLETRANSLATE(B26691,""en"",""es-ES"")"),"A medida que continúan, el hombre calvo es shows y continúa hablando y continúan parpadeando entre él, los jugadores y los juegos.")</f>
        <v>A medida que continúan, el hombre calvo es shows y continúa hablando y continúan parpadeando entre él, los jugadores y los juegos.</v>
      </c>
    </row>
    <row r="26692">
      <c r="A26692" s="4" t="s">
        <v>33595</v>
      </c>
      <c r="B26692" s="4" t="s">
        <v>33596</v>
      </c>
      <c r="C26692" s="5" t="str">
        <f>IFERROR(__xludf.DUMMYFUNCTION("GOOGLETRANSLATE(B26692,""en"",""es-ES"")"),"Se ven varios atletas parados juntos en medio de un gran estadio y conduce a una mujer que arroja un lanzamiento de bala y luego se aleja.")</f>
        <v>Se ven varios atletas parados juntos en medio de un gran estadio y conduce a una mujer que arroja un lanzamiento de bala y luego se aleja.</v>
      </c>
    </row>
    <row r="26693">
      <c r="A26693" s="4" t="s">
        <v>33595</v>
      </c>
      <c r="B26693" s="4" t="s">
        <v>33597</v>
      </c>
      <c r="C26693" s="5" t="str">
        <f>IFERROR(__xludf.DUMMYFUNCTION("GOOGLETRANSLATE(B26693,""en"",""es-ES"")"),"Se ve a varias personas más caminando y arrojando el objeto con una mujer corriendo con la bandera estadounidense y parados en un podio con otros.")</f>
        <v>Se ve a varias personas más caminando y arrojando el objeto con una mujer corriendo con la bandera estadounidense y parados en un podio con otros.</v>
      </c>
    </row>
    <row r="26694">
      <c r="A26694" s="4" t="s">
        <v>33598</v>
      </c>
      <c r="B26694" s="4" t="s">
        <v>33599</v>
      </c>
      <c r="C26694" s="5" t="str">
        <f>IFERROR(__xludf.DUMMYFUNCTION("GOOGLETRANSLATE(B26694,""en"",""es-ES"")"),"La cámara se acerca a un chef que gira alrededor de una espátula en una sartén y pone más ingredientes en la sartén.")</f>
        <v>La cámara se acerca a un chef que gira alrededor de una espátula en una sartén y pone más ingredientes en la sartén.</v>
      </c>
    </row>
    <row r="26695">
      <c r="A26695" s="4" t="s">
        <v>33598</v>
      </c>
      <c r="B26695" s="4" t="s">
        <v>33600</v>
      </c>
      <c r="C26695" s="5" t="str">
        <f>IFERROR(__xludf.DUMMYFUNCTION("GOOGLETRANSLATE(B26695,""en"",""es-ES"")"),"Se revuelve alrededor de la mezcla y la presiona hacia un lado mientras se ajusta la espátula.")</f>
        <v>Se revuelve alrededor de la mezcla y la presiona hacia un lado mientras se ajusta la espátula.</v>
      </c>
    </row>
    <row r="26696">
      <c r="A26696" s="4" t="s">
        <v>33601</v>
      </c>
      <c r="B26696" s="4" t="s">
        <v>33602</v>
      </c>
      <c r="C26696" s="5" t="str">
        <f>IFERROR(__xludf.DUMMYFUNCTION("GOOGLETRANSLATE(B26696,""en"",""es-ES"")"),"Se ven dos cables que se colocan y mesa con una persona que coloca una caja en la parte superior.")</f>
        <v>Se ven dos cables que se colocan y mesa con una persona que coloca una caja en la parte superior.</v>
      </c>
    </row>
    <row r="26697">
      <c r="A26697" s="4" t="s">
        <v>33601</v>
      </c>
      <c r="B26697" s="4" t="s">
        <v>33603</v>
      </c>
      <c r="C26697" s="5" t="str">
        <f>IFERROR(__xludf.DUMMYFUNCTION("GOOGLETRANSLATE(B26697,""en"",""es-ES"")"),"La persona envuelve la caja con cables y atando un arco en la parte superior.")</f>
        <v>La persona envuelve la caja con cables y atando un arco en la parte superior.</v>
      </c>
    </row>
    <row r="26698">
      <c r="A26698" s="4" t="s">
        <v>33601</v>
      </c>
      <c r="B26698" s="4" t="s">
        <v>33604</v>
      </c>
      <c r="C26698" s="5" t="str">
        <f>IFERROR(__xludf.DUMMYFUNCTION("GOOGLETRANSLATE(B26698,""en"",""es-ES"")"),"La persona ata un bastón de caramelo con la caja y lo muestra a la cámara.")</f>
        <v>La persona ata un bastón de caramelo con la caja y lo muestra a la cámara.</v>
      </c>
    </row>
    <row r="26699">
      <c r="A26699" s="4" t="s">
        <v>33605</v>
      </c>
      <c r="B26699" s="4" t="s">
        <v>33606</v>
      </c>
      <c r="C26699" s="5" t="str">
        <f>IFERROR(__xludf.DUMMYFUNCTION("GOOGLETRANSLATE(B26699,""en"",""es-ES"")"),"Se ve a un hombre sosteniendo un taladro eléctrico con una papa en el extremo y la gente se pelea a su alrededor.")</f>
        <v>Se ve a un hombre sosteniendo un taladro eléctrico con una papa en el extremo y la gente se pelea a su alrededor.</v>
      </c>
    </row>
    <row r="26700">
      <c r="A26700" s="4" t="s">
        <v>33605</v>
      </c>
      <c r="B26700" s="4" t="s">
        <v>33607</v>
      </c>
      <c r="C26700" s="5" t="str">
        <f>IFERROR(__xludf.DUMMYFUNCTION("GOOGLETRANSLATE(B26700,""en"",""es-ES"")"),"El hombre enciende el taladro y pega la papa con otra persona apuntando a un lado.")</f>
        <v>El hombre enciende el taladro y pega la papa con otra persona apuntando a un lado.</v>
      </c>
    </row>
    <row r="26701">
      <c r="A26701" s="4" t="s">
        <v>33608</v>
      </c>
      <c r="B26701" s="4" t="s">
        <v>33609</v>
      </c>
      <c r="C26701" s="5" t="str">
        <f>IFERROR(__xludf.DUMMYFUNCTION("GOOGLETRANSLATE(B26701,""en"",""es-ES"")"),"Se ven dos hombres sosteniendo los brazos del otro y conducen a los hombres que realizan un partido de lucha libre.")</f>
        <v>Se ven dos hombres sosteniendo los brazos del otro y conducen a los hombres que realizan un partido de lucha libre.</v>
      </c>
    </row>
    <row r="26702">
      <c r="A26702" s="4" t="s">
        <v>33608</v>
      </c>
      <c r="B26702" s="4" t="s">
        <v>33610</v>
      </c>
      <c r="C26702" s="5" t="str">
        <f>IFERROR(__xludf.DUMMYFUNCTION("GOOGLETRANSLATE(B26702,""en"",""es-ES"")"),"Un hombre fuma un cigarrillo mientras continúan jugando y ese hombre enrolla mientras sostiene los brazos hacia arriba.")</f>
        <v>Un hombre fuma un cigarrillo mientras continúan jugando y ese hombre enrolla mientras sostiene los brazos hacia arriba.</v>
      </c>
    </row>
    <row r="26703">
      <c r="A26703" s="4" t="s">
        <v>33611</v>
      </c>
      <c r="B26703" s="4" t="s">
        <v>33612</v>
      </c>
      <c r="C26703" s="5" t="str">
        <f>IFERROR(__xludf.DUMMYFUNCTION("GOOGLETRANSLATE(B26703,""en"",""es-ES"")"),"Se ve a un hombre con un gran poste.")</f>
        <v>Se ve a un hombre con un gran poste.</v>
      </c>
    </row>
    <row r="26704">
      <c r="A26704" s="4" t="s">
        <v>33611</v>
      </c>
      <c r="B26704" s="4" t="s">
        <v>33613</v>
      </c>
      <c r="C26704" s="5" t="str">
        <f>IFERROR(__xludf.DUMMYFUNCTION("GOOGLETRANSLATE(B26704,""en"",""es-ES"")"),"Una gran multitud está en las gradas en el fondo.")</f>
        <v>Una gran multitud está en las gradas en el fondo.</v>
      </c>
    </row>
    <row r="26705">
      <c r="A26705" s="4" t="s">
        <v>33611</v>
      </c>
      <c r="B26705" s="4" t="s">
        <v>33614</v>
      </c>
      <c r="C26705" s="5" t="str">
        <f>IFERROR(__xludf.DUMMYFUNCTION("GOOGLETRANSLATE(B26705,""en"",""es-ES"")"),"El hombre con el poste corre y lo tira y luego golpea el suelo.")</f>
        <v>El hombre con el poste corre y lo tira y luego golpea el suelo.</v>
      </c>
    </row>
    <row r="26706">
      <c r="A26706" s="4" t="s">
        <v>33611</v>
      </c>
      <c r="B26706" s="4" t="s">
        <v>33615</v>
      </c>
      <c r="C26706" s="5" t="str">
        <f>IFERROR(__xludf.DUMMYFUNCTION("GOOGLETRANSLATE(B26706,""en"",""es-ES"")"),"El poste vuela por el aire y aterriza justo después del número 85 en un campo.")</f>
        <v>El poste vuela por el aire y aterriza justo después del número 85 en un campo.</v>
      </c>
    </row>
    <row r="26707">
      <c r="A26707" s="4" t="s">
        <v>33611</v>
      </c>
      <c r="B26707" s="4" t="s">
        <v>33616</v>
      </c>
      <c r="C26707" s="5" t="str">
        <f>IFERROR(__xludf.DUMMYFUNCTION("GOOGLETRANSLATE(B26707,""en"",""es-ES"")"),"Varios hombre salen corriendo al poste.")</f>
        <v>Varios hombre salen corriendo al poste.</v>
      </c>
    </row>
    <row r="26708">
      <c r="A26708" s="4" t="s">
        <v>33611</v>
      </c>
      <c r="B26708" s="4" t="s">
        <v>33617</v>
      </c>
      <c r="C26708" s="5" t="str">
        <f>IFERROR(__xludf.DUMMYFUNCTION("GOOGLETRANSLATE(B26708,""en"",""es-ES"")"),"Los hombres son vistos en las gradas aplaudiendo.")</f>
        <v>Los hombres son vistos en las gradas aplaudiendo.</v>
      </c>
    </row>
    <row r="26709">
      <c r="A26709" s="4" t="s">
        <v>33611</v>
      </c>
      <c r="B26709" s="4" t="s">
        <v>33618</v>
      </c>
      <c r="C26709" s="5" t="str">
        <f>IFERROR(__xludf.DUMMYFUNCTION("GOOGLETRANSLATE(B26709,""en"",""es-ES"")"),"Se ve al hombre que arrojó el poste poniéndose una chaqueta.")</f>
        <v>Se ve al hombre que arrojó el poste poniéndose una chaqueta.</v>
      </c>
    </row>
    <row r="26710">
      <c r="A26710" s="4" t="s">
        <v>33611</v>
      </c>
      <c r="B26710" s="4" t="s">
        <v>33619</v>
      </c>
      <c r="C26710" s="5" t="str">
        <f>IFERROR(__xludf.DUMMYFUNCTION("GOOGLETRANSLATE(B26710,""en"",""es-ES"")"),"Muchas personas caminan y se sientan en el campo.")</f>
        <v>Muchas personas caminan y se sientan en el campo.</v>
      </c>
    </row>
    <row r="26711">
      <c r="A26711" s="4" t="s">
        <v>33611</v>
      </c>
      <c r="B26711" s="4" t="s">
        <v>33620</v>
      </c>
      <c r="C26711" s="5" t="str">
        <f>IFERROR(__xludf.DUMMYFUNCTION("GOOGLETRANSLATE(B26711,""en"",""es-ES"")"),"Se ve al hombre arrojando el poste nuevamente.")</f>
        <v>Se ve al hombre arrojando el poste nuevamente.</v>
      </c>
    </row>
    <row r="26712">
      <c r="A26712" s="4" t="s">
        <v>33621</v>
      </c>
      <c r="B26712" s="4" t="s">
        <v>33622</v>
      </c>
      <c r="C26712" s="5" t="str">
        <f>IFERROR(__xludf.DUMMYFUNCTION("GOOGLETRANSLATE(B26712,""en"",""es-ES"")"),"Se muestra un primer plano de una máquina imprimiendo papel y conduce a personas que trabajan alrededor de la imagen.")</f>
        <v>Se muestra un primer plano de una máquina imprimiendo papel y conduce a personas que trabajan alrededor de la imagen.</v>
      </c>
    </row>
    <row r="26713">
      <c r="A26713" s="4" t="s">
        <v>33621</v>
      </c>
      <c r="B26713" s="4" t="s">
        <v>33623</v>
      </c>
      <c r="C26713" s="5" t="str">
        <f>IFERROR(__xludf.DUMMYFUNCTION("GOOGLETRANSLATE(B26713,""en"",""es-ES"")"),"La gente continúa trabajando con la máquina pasando papel y midiéndolo y colocándolo en una mesa.")</f>
        <v>La gente continúa trabajando con la máquina pasando papel y midiéndolo y colocándolo en una mesa.</v>
      </c>
    </row>
    <row r="26714">
      <c r="A26714" s="4" t="s">
        <v>33621</v>
      </c>
      <c r="B26714" s="4" t="s">
        <v>33624</v>
      </c>
      <c r="C26714" s="5" t="str">
        <f>IFERROR(__xludf.DUMMYFUNCTION("GOOGLETRANSLATE(B26714,""en"",""es-ES"")"),"Luego se ve a la gente colgando el papel en una pared y lo presentan al final.")</f>
        <v>Luego se ve a la gente colgando el papel en una pared y lo presentan al final.</v>
      </c>
    </row>
    <row r="26715">
      <c r="A26715" s="4" t="s">
        <v>33625</v>
      </c>
      <c r="B26715" s="4" t="s">
        <v>33626</v>
      </c>
      <c r="C26715" s="5" t="str">
        <f>IFERROR(__xludf.DUMMYFUNCTION("GOOGLETRANSLATE(B26715,""en"",""es-ES"")"),"El paseo en coche está repleto de personas, ya que muchos se están estrellando.")</f>
        <v>El paseo en coche está repleto de personas, ya que muchos se están estrellando.</v>
      </c>
    </row>
    <row r="26716">
      <c r="A26716" s="4" t="s">
        <v>33625</v>
      </c>
      <c r="B26716" s="4" t="s">
        <v>33627</v>
      </c>
      <c r="C26716" s="5" t="str">
        <f>IFERROR(__xludf.DUMMYFUNCTION("GOOGLETRANSLATE(B26716,""en"",""es-ES"")"),"Un hombre muestra el signo de paz en la cámara, pasando un buen rato.")</f>
        <v>Un hombre muestra el signo de paz en la cámara, pasando un buen rato.</v>
      </c>
    </row>
    <row r="26717">
      <c r="A26717" s="4" t="s">
        <v>33625</v>
      </c>
      <c r="B26717" s="4" t="s">
        <v>33628</v>
      </c>
      <c r="C26717" s="5" t="str">
        <f>IFERROR(__xludf.DUMMYFUNCTION("GOOGLETRANSLATE(B26717,""en"",""es-ES"")"),"Car 9 finalmente se ha puesto en marcha, pero se estrella de izquierda a derecha.")</f>
        <v>Car 9 finalmente se ha puesto en marcha, pero se estrella de izquierda a derecha.</v>
      </c>
    </row>
    <row r="26718">
      <c r="A26718" s="4" t="s">
        <v>33625</v>
      </c>
      <c r="B26718" s="4" t="s">
        <v>33629</v>
      </c>
      <c r="C26718" s="5" t="str">
        <f>IFERROR(__xludf.DUMMYFUNCTION("GOOGLETRANSLATE(B26718,""en"",""es-ES"")"),"Un hombre se invierte en otro auto detrás de él.")</f>
        <v>Un hombre se invierte en otro auto detrás de él.</v>
      </c>
    </row>
    <row r="26719">
      <c r="A26719" s="4" t="s">
        <v>33625</v>
      </c>
      <c r="B26719" s="4" t="s">
        <v>33630</v>
      </c>
      <c r="C26719" s="5" t="str">
        <f>IFERROR(__xludf.DUMMYFUNCTION("GOOGLETRANSLATE(B26719,""en"",""es-ES"")"),"Se produce una gran acumulación en el medio de la pista.")</f>
        <v>Se produce una gran acumulación en el medio de la pista.</v>
      </c>
    </row>
    <row r="26720">
      <c r="A26720" s="4" t="s">
        <v>33631</v>
      </c>
      <c r="B26720" s="4" t="s">
        <v>33632</v>
      </c>
      <c r="C26720" s="5" t="str">
        <f>IFERROR(__xludf.DUMMYFUNCTION("GOOGLETRANSLATE(B26720,""en"",""es-ES"")"),"Se ve a un hombre sentado detrás de una batería tocando en la batería.")</f>
        <v>Se ve a un hombre sentado detrás de una batería tocando en la batería.</v>
      </c>
    </row>
    <row r="26721">
      <c r="A26721" s="4" t="s">
        <v>33631</v>
      </c>
      <c r="B26721" s="4" t="s">
        <v>33633</v>
      </c>
      <c r="C26721" s="5" t="str">
        <f>IFERROR(__xludf.DUMMYFUNCTION("GOOGLETRANSLATE(B26721,""en"",""es-ES"")"),"La cámara se desplaza alrededor de sus movimientos mientras él habla con la cámara.")</f>
        <v>La cámara se desplaza alrededor de sus movimientos mientras él habla con la cámara.</v>
      </c>
    </row>
    <row r="26722">
      <c r="A26722" s="4" t="s">
        <v>33631</v>
      </c>
      <c r="B26722" s="4" t="s">
        <v>33634</v>
      </c>
      <c r="C26722" s="5" t="str">
        <f>IFERROR(__xludf.DUMMYFUNCTION("GOOGLETRANSLATE(B26722,""en"",""es-ES"")"),"Se muestran más disparos de él tocando, así como cantar y otras personas tocando instrumentos a su alrededor.")</f>
        <v>Se muestran más disparos de él tocando, así como cantar y otras personas tocando instrumentos a su alrededor.</v>
      </c>
    </row>
    <row r="26723">
      <c r="A26723" s="4" t="s">
        <v>33635</v>
      </c>
      <c r="B26723" s="4" t="s">
        <v>33636</v>
      </c>
      <c r="C26723" s="5" t="str">
        <f>IFERROR(__xludf.DUMMYFUNCTION("GOOGLETRANSLATE(B26723,""en"",""es-ES"")"),"Un niño se prepara para hacer un salto de altura en un gimnasio.")</f>
        <v>Un niño se prepara para hacer un salto de altura en un gimnasio.</v>
      </c>
    </row>
    <row r="26724">
      <c r="A26724" s="4" t="s">
        <v>33635</v>
      </c>
      <c r="B26724" s="4" t="s">
        <v>33637</v>
      </c>
      <c r="C26724" s="5" t="str">
        <f>IFERROR(__xludf.DUMMYFUNCTION("GOOGLETRANSLATE(B26724,""en"",""es-ES"")"),"Se quita corriendo con el palo de salto de altura.")</f>
        <v>Se quita corriendo con el palo de salto de altura.</v>
      </c>
    </row>
    <row r="26725">
      <c r="A26725" s="4" t="s">
        <v>33635</v>
      </c>
      <c r="B26725" s="4" t="s">
        <v>33638</v>
      </c>
      <c r="C26725" s="5" t="str">
        <f>IFERROR(__xludf.DUMMYFUNCTION("GOOGLETRANSLATE(B26725,""en"",""es-ES"")"),"Él hace el salto y aterriza en las almohadillas de seguridad.")</f>
        <v>Él hace el salto y aterriza en las almohadillas de seguridad.</v>
      </c>
    </row>
    <row r="26726">
      <c r="A26726" s="4" t="s">
        <v>33639</v>
      </c>
      <c r="B26726" s="4" t="s">
        <v>33640</v>
      </c>
      <c r="C26726" s="5" t="str">
        <f>IFERROR(__xludf.DUMMYFUNCTION("GOOGLETRANSLATE(B26726,""en"",""es-ES"")"),"Las manos de una persona con uñas son seguidas por dos mujeres que hablan con la cámara.")</f>
        <v>Las manos de una persona con uñas son seguidas por dos mujeres que hablan con la cámara.</v>
      </c>
    </row>
    <row r="26727">
      <c r="A26727" s="4" t="s">
        <v>33639</v>
      </c>
      <c r="B26727" s="4" t="s">
        <v>33641</v>
      </c>
      <c r="C26727" s="5" t="str">
        <f>IFERROR(__xludf.DUMMYFUNCTION("GOOGLETRANSLATE(B26727,""en"",""es-ES"")"),"Se muestran varios objetos en papel mientras las mujeres continúan hablando y uno comienza a hacer diseños en las uñas.")</f>
        <v>Se muestran varios objetos en papel mientras las mujeres continúan hablando y uno comienza a hacer diseños en las uñas.</v>
      </c>
    </row>
    <row r="26728">
      <c r="A26728" s="4" t="s">
        <v>33642</v>
      </c>
      <c r="B26728" s="4" t="s">
        <v>6958</v>
      </c>
      <c r="C26728" s="5" t="str">
        <f>IFERROR(__xludf.DUMMYFUNCTION("GOOGLETRANSLATE(B26728,""en"",""es-ES"")"),"Vemos una pantalla de apertura blanca.")</f>
        <v>Vemos una pantalla de apertura blanca.</v>
      </c>
    </row>
    <row r="26729">
      <c r="A26729" s="4" t="s">
        <v>33642</v>
      </c>
      <c r="B26729" s="4" t="s">
        <v>33643</v>
      </c>
      <c r="C26729" s="5" t="str">
        <f>IFERROR(__xludf.DUMMYFUNCTION("GOOGLETRANSLATE(B26729,""en"",""es-ES"")"),"Luego vemos a un hombre sosteniendo algo envuelto en una bolsa de plástico.")</f>
        <v>Luego vemos a un hombre sosteniendo algo envuelto en una bolsa de plástico.</v>
      </c>
    </row>
    <row r="26730">
      <c r="A26730" s="4" t="s">
        <v>33642</v>
      </c>
      <c r="B26730" s="4" t="s">
        <v>33644</v>
      </c>
      <c r="C26730" s="5" t="str">
        <f>IFERROR(__xludf.DUMMYFUNCTION("GOOGLETRANSLATE(B26730,""en"",""es-ES"")"),"Una mujer se une al hombre.")</f>
        <v>Una mujer se une al hombre.</v>
      </c>
    </row>
    <row r="26731">
      <c r="A26731" s="4" t="s">
        <v>33642</v>
      </c>
      <c r="B26731" s="4" t="s">
        <v>33645</v>
      </c>
      <c r="C26731" s="5" t="str">
        <f>IFERROR(__xludf.DUMMYFUNCTION("GOOGLETRANSLATE(B26731,""en"",""es-ES"")"),"El hombre abre la bolsa de plástico.")</f>
        <v>El hombre abre la bolsa de plástico.</v>
      </c>
    </row>
    <row r="26732">
      <c r="A26732" s="4" t="s">
        <v>33642</v>
      </c>
      <c r="B26732" s="4" t="s">
        <v>33646</v>
      </c>
      <c r="C26732" s="5" t="str">
        <f>IFERROR(__xludf.DUMMYFUNCTION("GOOGLETRANSLATE(B26732,""en"",""es-ES"")"),"El regalo de la dama envuelve la caja para el hombre.")</f>
        <v>El regalo de la dama envuelve la caja para el hombre.</v>
      </c>
    </row>
    <row r="26733">
      <c r="A26733" s="4" t="s">
        <v>33642</v>
      </c>
      <c r="B26733" s="4" t="s">
        <v>33647</v>
      </c>
      <c r="C26733" s="5" t="str">
        <f>IFERROR(__xludf.DUMMYFUNCTION("GOOGLETRANSLATE(B26733,""en"",""es-ES"")"),"El hombre toma una oportunidad en el envoltorio de regalo.")</f>
        <v>El hombre toma una oportunidad en el envoltorio de regalo.</v>
      </c>
    </row>
    <row r="26734">
      <c r="A26734" s="4" t="s">
        <v>33642</v>
      </c>
      <c r="B26734" s="4" t="s">
        <v>33648</v>
      </c>
      <c r="C26734" s="5" t="str">
        <f>IFERROR(__xludf.DUMMYFUNCTION("GOOGLETRANSLATE(B26734,""en"",""es-ES"")"),"La señora termina envolviendo el regalo.")</f>
        <v>La señora termina envolviendo el regalo.</v>
      </c>
    </row>
    <row r="26735">
      <c r="A26735" s="4" t="s">
        <v>33642</v>
      </c>
      <c r="B26735" s="4" t="s">
        <v>33649</v>
      </c>
      <c r="C26735" s="5" t="str">
        <f>IFERROR(__xludf.DUMMYFUNCTION("GOOGLETRANSLATE(B26735,""en"",""es-ES"")"),"El hombre dobla un borde y la dama lo graba.")</f>
        <v>El hombre dobla un borde y la dama lo graba.</v>
      </c>
    </row>
    <row r="26736">
      <c r="A26736" s="4" t="s">
        <v>33642</v>
      </c>
      <c r="B26736" s="4" t="s">
        <v>33650</v>
      </c>
      <c r="C26736" s="5" t="str">
        <f>IFERROR(__xludf.DUMMYFUNCTION("GOOGLETRANSLATE(B26736,""en"",""es-ES"")"),"El hombre presenta la caja a la cámara y habla.")</f>
        <v>El hombre presenta la caja a la cámara y habla.</v>
      </c>
    </row>
    <row r="26737">
      <c r="A26737" s="4" t="s">
        <v>33642</v>
      </c>
      <c r="B26737" s="4" t="s">
        <v>33651</v>
      </c>
      <c r="C26737" s="5" t="str">
        <f>IFERROR(__xludf.DUMMYFUNCTION("GOOGLETRANSLATE(B26737,""en"",""es-ES"")"),"La pantalla de cierre se ve y se vuelve negro.")</f>
        <v>La pantalla de cierre se ve y se vuelve negro.</v>
      </c>
    </row>
    <row r="26738">
      <c r="A26738" s="4" t="s">
        <v>33652</v>
      </c>
      <c r="B26738" s="4" t="s">
        <v>4448</v>
      </c>
      <c r="C26738" s="5" t="str">
        <f>IFERROR(__xludf.DUMMYFUNCTION("GOOGLETRANSLATE(B26738,""en"",""es-ES"")"),"Vemos la pantalla de título de apertura.")</f>
        <v>Vemos la pantalla de título de apertura.</v>
      </c>
    </row>
    <row r="26739">
      <c r="A26739" s="4" t="s">
        <v>33652</v>
      </c>
      <c r="B26739" s="4" t="s">
        <v>33653</v>
      </c>
      <c r="C26739" s="5" t="str">
        <f>IFERROR(__xludf.DUMMYFUNCTION("GOOGLETRANSLATE(B26739,""en"",""es-ES"")"),"Vemos a un hombre trabajando en un equipo.")</f>
        <v>Vemos a un hombre trabajando en un equipo.</v>
      </c>
    </row>
    <row r="26740">
      <c r="A26740" s="4" t="s">
        <v>33652</v>
      </c>
      <c r="B26740" s="4" t="s">
        <v>33654</v>
      </c>
      <c r="C26740" s="5" t="str">
        <f>IFERROR(__xludf.DUMMYFUNCTION("GOOGLETRANSLATE(B26740,""en"",""es-ES"")"),"El hombre calienta el calafateo y lo raspa.")</f>
        <v>El hombre calienta el calafateo y lo raspa.</v>
      </c>
    </row>
    <row r="26741">
      <c r="A26741" s="4" t="s">
        <v>33652</v>
      </c>
      <c r="B26741" s="4" t="s">
        <v>33655</v>
      </c>
      <c r="C26741" s="5" t="str">
        <f>IFERROR(__xludf.DUMMYFUNCTION("GOOGLETRANSLATE(B26741,""en"",""es-ES"")"),"La pantalla parpadea y el hombre se pone el nuevo calafateo.")</f>
        <v>La pantalla parpadea y el hombre se pone el nuevo calafateo.</v>
      </c>
    </row>
    <row r="26742">
      <c r="A26742" s="4" t="s">
        <v>33652</v>
      </c>
      <c r="B26742" s="4" t="s">
        <v>33656</v>
      </c>
      <c r="C26742" s="5" t="str">
        <f>IFERROR(__xludf.DUMMYFUNCTION("GOOGLETRANSLATE(B26742,""en"",""es-ES"")"),"El hombre se detiene y señala en el calafateo, se ve la escena final.")</f>
        <v>El hombre se detiene y señala en el calafateo, se ve la escena final.</v>
      </c>
    </row>
    <row r="26743">
      <c r="A26743" s="4" t="s">
        <v>33657</v>
      </c>
      <c r="B26743" s="4" t="s">
        <v>33658</v>
      </c>
      <c r="C26743" s="5" t="str">
        <f>IFERROR(__xludf.DUMMYFUNCTION("GOOGLETRANSLATE(B26743,""en"",""es-ES"")"),"El hombre lleva un kimono negro e isdoing yoga movimientos.")</f>
        <v>El hombre lleva un kimono negro e isdoing yoga movimientos.</v>
      </c>
    </row>
    <row r="26744">
      <c r="A26744" s="4" t="s">
        <v>33657</v>
      </c>
      <c r="B26744" s="4" t="s">
        <v>33659</v>
      </c>
      <c r="C26744" s="5" t="str">
        <f>IFERROR(__xludf.DUMMYFUNCTION("GOOGLETRANSLATE(B26744,""en"",""es-ES"")"),"El hombre está de pie en un gran campo verde cubierto de hierba.")</f>
        <v>El hombre está de pie en un gran campo verde cubierto de hierba.</v>
      </c>
    </row>
    <row r="26745">
      <c r="A26745" s="4" t="s">
        <v>33657</v>
      </c>
      <c r="B26745" s="4" t="s">
        <v>33660</v>
      </c>
      <c r="C26745" s="5" t="str">
        <f>IFERROR(__xludf.DUMMYFUNCTION("GOOGLETRANSLATE(B26745,""en"",""es-ES"")"),"El hombre camina lentamente practicando movimientos de boxeo.")</f>
        <v>El hombre camina lentamente practicando movimientos de boxeo.</v>
      </c>
    </row>
    <row r="26746">
      <c r="A26746" s="4" t="s">
        <v>33661</v>
      </c>
      <c r="B26746" s="4" t="s">
        <v>33662</v>
      </c>
      <c r="C26746" s="5" t="str">
        <f>IFERROR(__xludf.DUMMYFUNCTION("GOOGLETRANSLATE(B26746,""en"",""es-ES"")"),"Una mujer y un hombre se muestran nadando hacia atrás en el agua de una piscina.")</f>
        <v>Una mujer y un hombre se muestran nadando hacia atrás en el agua de una piscina.</v>
      </c>
    </row>
    <row r="26747">
      <c r="A26747" s="4" t="s">
        <v>33661</v>
      </c>
      <c r="B26747" s="4" t="s">
        <v>33663</v>
      </c>
      <c r="C26747" s="5" t="str">
        <f>IFERROR(__xludf.DUMMYFUNCTION("GOOGLETRANSLATE(B26747,""en"",""es-ES"")"),"Demuestran diferentes técnicas como natación.")</f>
        <v>Demuestran diferentes técnicas como natación.</v>
      </c>
    </row>
    <row r="26748">
      <c r="A26748" s="4" t="s">
        <v>33661</v>
      </c>
      <c r="B26748" s="4" t="s">
        <v>33664</v>
      </c>
      <c r="C26748" s="5" t="str">
        <f>IFERROR(__xludf.DUMMYFUNCTION("GOOGLETRANSLATE(B26748,""en"",""es-ES"")"),"Los nombres de los diversos métodos aparecen en la pantalla entre ejemplos.")</f>
        <v>Los nombres de los diversos métodos aparecen en la pantalla entre ejemplos.</v>
      </c>
    </row>
    <row r="26749">
      <c r="A26749" s="4" t="s">
        <v>33665</v>
      </c>
      <c r="B26749" s="4" t="s">
        <v>33666</v>
      </c>
      <c r="C26749" s="5" t="str">
        <f>IFERROR(__xludf.DUMMYFUNCTION("GOOGLETRANSLATE(B26749,""en"",""es-ES"")"),"Manis con una camisa blanca y camina en una hierba verde que lleva una cortadora de césped.")</f>
        <v>Manis con una camisa blanca y camina en una hierba verde que lleva una cortadora de césped.</v>
      </c>
    </row>
    <row r="26750">
      <c r="A26750" s="4" t="s">
        <v>33665</v>
      </c>
      <c r="B26750" s="4" t="s">
        <v>33667</v>
      </c>
      <c r="C26750" s="5" t="str">
        <f>IFERROR(__xludf.DUMMYFUNCTION("GOOGLETRANSLATE(B26750,""en"",""es-ES"")"),"Kid está parado en el campo mirando al hombre con la cortadora de césped.")</f>
        <v>Kid está parado en el campo mirando al hombre con la cortadora de césped.</v>
      </c>
    </row>
    <row r="26751">
      <c r="A26751" s="4" t="s">
        <v>33665</v>
      </c>
      <c r="B26751" s="4" t="s">
        <v>33668</v>
      </c>
      <c r="C26751" s="5" t="str">
        <f>IFERROR(__xludf.DUMMYFUNCTION("GOOGLETRANSLATE(B26751,""en"",""es-ES"")"),"Man se para y extiende la mano para sostener al niño.")</f>
        <v>Man se para y extiende la mano para sostener al niño.</v>
      </c>
    </row>
    <row r="26752">
      <c r="A26752" s="4" t="s">
        <v>33669</v>
      </c>
      <c r="B26752" s="4" t="s">
        <v>33670</v>
      </c>
      <c r="C26752" s="5" t="str">
        <f>IFERROR(__xludf.DUMMYFUNCTION("GOOGLETRANSLATE(B26752,""en"",""es-ES"")"),"Se ve a una mujer hablando con la cámara mientras se pone un bastón en sus manos.")</f>
        <v>Se ve a una mujer hablando con la cámara mientras se pone un bastón en sus manos.</v>
      </c>
    </row>
    <row r="26753">
      <c r="A26753" s="4" t="s">
        <v>33669</v>
      </c>
      <c r="B26753" s="4" t="s">
        <v>33671</v>
      </c>
      <c r="C26753" s="5" t="str">
        <f>IFERROR(__xludf.DUMMYFUNCTION("GOOGLETRANSLATE(B26753,""en"",""es-ES"")"),"Ella continúa hablando con la cámara mientras gira alrededor del bastón.")</f>
        <v>Ella continúa hablando con la cámara mientras gira alrededor del bastón.</v>
      </c>
    </row>
    <row r="26754">
      <c r="A26754" s="4" t="s">
        <v>33669</v>
      </c>
      <c r="B26754" s="4" t="s">
        <v>33672</v>
      </c>
      <c r="C26754" s="5" t="str">
        <f>IFERROR(__xludf.DUMMYFUNCTION("GOOGLETRANSLATE(B26754,""en"",""es-ES"")"),"Ella continúa girando alrededor del bastón y demostrando cómo girarlo correctamente.")</f>
        <v>Ella continúa girando alrededor del bastón y demostrando cómo girarlo correctamente.</v>
      </c>
    </row>
    <row r="26755">
      <c r="A26755" s="4" t="s">
        <v>33673</v>
      </c>
      <c r="B26755" s="4" t="s">
        <v>33674</v>
      </c>
      <c r="C26755" s="5" t="str">
        <f>IFERROR(__xludf.DUMMYFUNCTION("GOOGLETRANSLATE(B26755,""en"",""es-ES"")"),"Una dama y un hombre se arrodillan en un anillo de rizado.")</f>
        <v>Una dama y un hombre se arrodillan en un anillo de rizado.</v>
      </c>
    </row>
    <row r="26756">
      <c r="A26756" s="4" t="s">
        <v>33673</v>
      </c>
      <c r="B26756" s="4" t="s">
        <v>33675</v>
      </c>
      <c r="C26756" s="5" t="str">
        <f>IFERROR(__xludf.DUMMYFUNCTION("GOOGLETRANSLATE(B26756,""en"",""es-ES"")"),"Hablan entre sí y una escoba entra en escena.")</f>
        <v>Hablan entre sí y una escoba entra en escena.</v>
      </c>
    </row>
    <row r="26757">
      <c r="A26757" s="4" t="s">
        <v>33673</v>
      </c>
      <c r="B26757" s="4" t="s">
        <v>33676</v>
      </c>
      <c r="C26757" s="5" t="str">
        <f>IFERROR(__xludf.DUMMYFUNCTION("GOOGLETRANSLATE(B26757,""en"",""es-ES"")"),"Comienzan a avanzar.")</f>
        <v>Comienzan a avanzar.</v>
      </c>
    </row>
    <row r="26758">
      <c r="A26758" s="4" t="s">
        <v>33673</v>
      </c>
      <c r="B26758" s="4" t="s">
        <v>33677</v>
      </c>
      <c r="C26758" s="5" t="str">
        <f>IFERROR(__xludf.DUMMYFUNCTION("GOOGLETRANSLATE(B26758,""en"",""es-ES"")"),"El hombre se detiene y la señora tropieza.")</f>
        <v>El hombre se detiene y la señora tropieza.</v>
      </c>
    </row>
    <row r="26759">
      <c r="A26759" s="4" t="s">
        <v>33678</v>
      </c>
      <c r="B26759" s="4" t="s">
        <v>33679</v>
      </c>
      <c r="C26759" s="5" t="str">
        <f>IFERROR(__xludf.DUMMYFUNCTION("GOOGLETRANSLATE(B26759,""en"",""es-ES"")"),"Un hombre se encuentra en el interior, en una plataforma, frente a tres espectadores, y levanta una campana de barra muy pesada.")</f>
        <v>Un hombre se encuentra en el interior, en una plataforma, frente a tres espectadores, y levanta una campana de barra muy pesada.</v>
      </c>
    </row>
    <row r="26760">
      <c r="A26760" s="4" t="s">
        <v>33678</v>
      </c>
      <c r="B26760" s="4" t="s">
        <v>33680</v>
      </c>
      <c r="C26760" s="5" t="str">
        <f>IFERROR(__xludf.DUMMYFUNCTION("GOOGLETRANSLATE(B26760,""en"",""es-ES"")"),"Un hombre se acerca a una barra en el piso y se para antes de prepararse para levantarla.")</f>
        <v>Un hombre se acerca a una barra en el piso y se para antes de prepararse para levantarla.</v>
      </c>
    </row>
    <row r="26761">
      <c r="A26761" s="4" t="s">
        <v>33678</v>
      </c>
      <c r="B26761" s="4" t="s">
        <v>33681</v>
      </c>
      <c r="C26761" s="5" t="str">
        <f>IFERROR(__xludf.DUMMYFUNCTION("GOOGLETRANSLATE(B26761,""en"",""es-ES"")"),"El hombre luego se dobla de rodillas y pone sus manos en la parte de la barra del peso.")</f>
        <v>El hombre luego se dobla de rodillas y pone sus manos en la parte de la barra del peso.</v>
      </c>
    </row>
    <row r="26762">
      <c r="A26762" s="4" t="s">
        <v>33678</v>
      </c>
      <c r="B26762" s="4" t="s">
        <v>33682</v>
      </c>
      <c r="C26762" s="5" t="str">
        <f>IFERROR(__xludf.DUMMYFUNCTION("GOOGLETRANSLATE(B26762,""en"",""es-ES"")"),"Luego, el hombre levanta la campana sobre su cabeza y luego deja que la campana caiga al piso donde rebota un poco al aterrizar mientras el hombre gira y se aleja del peso.")</f>
        <v>Luego, el hombre levanta la campana sobre su cabeza y luego deja que la campana caiga al piso donde rebota un poco al aterrizar mientras el hombre gira y se aleja del peso.</v>
      </c>
    </row>
    <row r="26763">
      <c r="A26763" s="4" t="s">
        <v>33683</v>
      </c>
      <c r="B26763" s="4" t="s">
        <v>33684</v>
      </c>
      <c r="C26763" s="5" t="str">
        <f>IFERROR(__xludf.DUMMYFUNCTION("GOOGLETRANSLATE(B26763,""en"",""es-ES"")"),"Dos hombres describen la escalada del plomo, mientras que un hombre con una camisa verde brillante trepa en una pared de escalada, el otro hombre que lleva una camisa verde oscuro sostiene la línea de plomo y explica el proceso.")</f>
        <v>Dos hombres describen la escalada del plomo, mientras que un hombre con una camisa verde brillante trepa en una pared de escalada, el otro hombre que lleva una camisa verde oscuro sostiene la línea de plomo y explica el proceso.</v>
      </c>
    </row>
    <row r="26764">
      <c r="A26764" s="4" t="s">
        <v>33683</v>
      </c>
      <c r="B26764" s="4" t="s">
        <v>33685</v>
      </c>
      <c r="C26764" s="5" t="str">
        <f>IFERROR(__xludf.DUMMYFUNCTION("GOOGLETRANSLATE(B26764,""en"",""es-ES"")"),"El hombre en la camisa verde oscuro coloca una correa y se enlaza a la pared de escalada y buce una cuerda a través del clip.")</f>
        <v>El hombre en la camisa verde oscuro coloca una correa y se enlaza a la pared de escalada y buce una cuerda a través del clip.</v>
      </c>
    </row>
    <row r="26765">
      <c r="A26765" s="4" t="s">
        <v>33683</v>
      </c>
      <c r="B26765" s="4" t="s">
        <v>33686</v>
      </c>
      <c r="C26765" s="5" t="str">
        <f>IFERROR(__xludf.DUMMYFUNCTION("GOOGLETRANSLATE(B26765,""en"",""es-ES"")"),"El hombre invierte la posición de la correa y boques la cuerda a través del enlace de la correa.")</f>
        <v>El hombre invierte la posición de la correa y boques la cuerda a través del enlace de la correa.</v>
      </c>
    </row>
    <row r="26766">
      <c r="A26766" s="4" t="s">
        <v>33683</v>
      </c>
      <c r="B26766" s="4" t="s">
        <v>33687</v>
      </c>
      <c r="C26766" s="5" t="str">
        <f>IFERROR(__xludf.DUMMYFUNCTION("GOOGLETRANSLATE(B26766,""en"",""es-ES"")"),"El hombre de la camisa verde brillante continúa subiendo a la cima de la pared.")</f>
        <v>El hombre de la camisa verde brillante continúa subiendo a la cima de la pared.</v>
      </c>
    </row>
    <row r="26767">
      <c r="A26767" s="4" t="s">
        <v>33683</v>
      </c>
      <c r="B26767" s="4" t="s">
        <v>33688</v>
      </c>
      <c r="C26767" s="5" t="str">
        <f>IFERROR(__xludf.DUMMYFUNCTION("GOOGLETRANSLATE(B26767,""en"",""es-ES"")"),"El hombre en la camisa verde oscuro continúa hablando con la cámara.")</f>
        <v>El hombre en la camisa verde oscuro continúa hablando con la cámara.</v>
      </c>
    </row>
    <row r="26768">
      <c r="A26768" s="4" t="s">
        <v>33689</v>
      </c>
      <c r="B26768" s="4" t="s">
        <v>33690</v>
      </c>
      <c r="C26768" s="5" t="str">
        <f>IFERROR(__xludf.DUMMYFUNCTION("GOOGLETRANSLATE(B26768,""en"",""es-ES"")"),"Una mujer arroja algo a otra.")</f>
        <v>Una mujer arroja algo a otra.</v>
      </c>
    </row>
    <row r="26769">
      <c r="A26769" s="4" t="s">
        <v>33689</v>
      </c>
      <c r="B26769" s="4" t="s">
        <v>33691</v>
      </c>
      <c r="C26769" s="5" t="str">
        <f>IFERROR(__xludf.DUMMYFUNCTION("GOOGLETRANSLATE(B26769,""en"",""es-ES"")"),"Luego, las dos mujeres juegan a la raya.")</f>
        <v>Luego, las dos mujeres juegan a la raya.</v>
      </c>
    </row>
    <row r="26770">
      <c r="A26770" s="4" t="s">
        <v>33692</v>
      </c>
      <c r="B26770" s="4" t="s">
        <v>33693</v>
      </c>
      <c r="C26770" s="5" t="str">
        <f>IFERROR(__xludf.DUMMYFUNCTION("GOOGLETRANSLATE(B26770,""en"",""es-ES"")"),"Una mujer está sentada detrás de un escritorio hablando con la cámara.")</f>
        <v>Una mujer está sentada detrás de un escritorio hablando con la cámara.</v>
      </c>
    </row>
    <row r="26771">
      <c r="A26771" s="4" t="s">
        <v>33692</v>
      </c>
      <c r="B26771" s="4" t="s">
        <v>33694</v>
      </c>
      <c r="C26771" s="5" t="str">
        <f>IFERROR(__xludf.DUMMYFUNCTION("GOOGLETRANSLATE(B26771,""en"",""es-ES"")"),"Una mujer entra en una habitación y se sienta en un banco.")</f>
        <v>Una mujer entra en una habitación y se sienta en un banco.</v>
      </c>
    </row>
    <row r="26772">
      <c r="A26772" s="4" t="s">
        <v>33692</v>
      </c>
      <c r="B26772" s="4" t="s">
        <v>33695</v>
      </c>
      <c r="C26772" s="5" t="str">
        <f>IFERROR(__xludf.DUMMYFUNCTION("GOOGLETRANSLATE(B26772,""en"",""es-ES"")"),"La mujer comienza a tejer.")</f>
        <v>La mujer comienza a tejer.</v>
      </c>
    </row>
    <row r="26773">
      <c r="A26773" s="4" t="s">
        <v>33692</v>
      </c>
      <c r="B26773" s="4" t="s">
        <v>33696</v>
      </c>
      <c r="C26773" s="5" t="str">
        <f>IFERROR(__xludf.DUMMYFUNCTION("GOOGLETRANSLATE(B26773,""en"",""es-ES"")"),"La mujer luego habla con la cámara.")</f>
        <v>La mujer luego habla con la cámara.</v>
      </c>
    </row>
    <row r="26774">
      <c r="A26774" s="4" t="s">
        <v>33697</v>
      </c>
      <c r="B26774" s="4" t="s">
        <v>33698</v>
      </c>
      <c r="C26774" s="5" t="str">
        <f>IFERROR(__xludf.DUMMYFUNCTION("GOOGLETRANSLATE(B26774,""en"",""es-ES"")"),"Los niños están saltando en un gimnasio.")</f>
        <v>Los niños están saltando en un gimnasio.</v>
      </c>
    </row>
    <row r="26775">
      <c r="A26775" s="4" t="s">
        <v>33697</v>
      </c>
      <c r="B26775" s="4" t="s">
        <v>33699</v>
      </c>
      <c r="C26775" s="5" t="str">
        <f>IFERROR(__xludf.DUMMYFUNCTION("GOOGLETRANSLATE(B26775,""en"",""es-ES"")"),"Se voltean el uno al otro.")</f>
        <v>Se voltean el uno al otro.</v>
      </c>
    </row>
    <row r="26776">
      <c r="A26776" s="4" t="s">
        <v>33697</v>
      </c>
      <c r="B26776" s="4" t="s">
        <v>33700</v>
      </c>
      <c r="C26776" s="5" t="str">
        <f>IFERROR(__xludf.DUMMYFUNCTION("GOOGLETRANSLATE(B26776,""en"",""es-ES"")"),"La gente de la audiencia aplaude para ellos al final.")</f>
        <v>La gente de la audiencia aplaude para ellos al final.</v>
      </c>
    </row>
    <row r="26777">
      <c r="A26777" s="4" t="s">
        <v>33701</v>
      </c>
      <c r="B26777" s="4" t="s">
        <v>33702</v>
      </c>
      <c r="C26777" s="5" t="str">
        <f>IFERROR(__xludf.DUMMYFUNCTION("GOOGLETRANSLATE(B26777,""en"",""es-ES"")"),"Se ve un primer plano de los pies de una persona, así como texto en la pantalla.")</f>
        <v>Se ve un primer plano de los pies de una persona, así como texto en la pantalla.</v>
      </c>
    </row>
    <row r="26778">
      <c r="A26778" s="4" t="s">
        <v>33701</v>
      </c>
      <c r="B26778" s="4" t="s">
        <v>33703</v>
      </c>
      <c r="C26778" s="5" t="str">
        <f>IFERROR(__xludf.DUMMYFUNCTION("GOOGLETRANSLATE(B26778,""en"",""es-ES"")"),"Se ve a la persona quitando los cordones y corriendo los zapatos bajo el agua.")</f>
        <v>Se ve a la persona quitando los cordones y corriendo los zapatos bajo el agua.</v>
      </c>
    </row>
    <row r="26779">
      <c r="A26779" s="4" t="s">
        <v>33701</v>
      </c>
      <c r="B26779" s="4" t="s">
        <v>33704</v>
      </c>
      <c r="C26779" s="5" t="str">
        <f>IFERROR(__xludf.DUMMYFUNCTION("GOOGLETRANSLATE(B26779,""en"",""es-ES"")"),"La persona mezcla ingredientes en un tazón y frota los zapatos con el cepillo del diente.")</f>
        <v>La persona mezcla ingredientes en un tazón y frota los zapatos con el cepillo del diente.</v>
      </c>
    </row>
    <row r="26780">
      <c r="A26780" s="4" t="s">
        <v>33701</v>
      </c>
      <c r="B26780" s="4" t="s">
        <v>33705</v>
      </c>
      <c r="C26780" s="5" t="str">
        <f>IFERROR(__xludf.DUMMYFUNCTION("GOOGLETRANSLATE(B26780,""en"",""es-ES"")"),"Luego pega los zapatos en el lavado y los muestra después.")</f>
        <v>Luego pega los zapatos en el lavado y los muestra después.</v>
      </c>
    </row>
    <row r="26781">
      <c r="A26781" s="4" t="s">
        <v>33706</v>
      </c>
      <c r="B26781" s="4" t="s">
        <v>33707</v>
      </c>
      <c r="C26781" s="5" t="str">
        <f>IFERROR(__xludf.DUMMYFUNCTION("GOOGLETRANSLATE(B26781,""en"",""es-ES"")"),"Vemos a un hombre preparándose para lanzar un martillo en el atletismo.")</f>
        <v>Vemos a un hombre preparándose para lanzar un martillo en el atletismo.</v>
      </c>
    </row>
    <row r="26782">
      <c r="A26782" s="4" t="s">
        <v>33706</v>
      </c>
      <c r="B26782" s="4" t="s">
        <v>33708</v>
      </c>
      <c r="C26782" s="5" t="str">
        <f>IFERROR(__xludf.DUMMYFUNCTION("GOOGLETRANSLATE(B26782,""en"",""es-ES"")"),"El hombre sacude las piernas y camina hacia el campo.")</f>
        <v>El hombre sacude las piernas y camina hacia el campo.</v>
      </c>
    </row>
    <row r="26783">
      <c r="A26783" s="4" t="s">
        <v>33706</v>
      </c>
      <c r="B26783" s="4" t="s">
        <v>33709</v>
      </c>
      <c r="C26783" s="5" t="str">
        <f>IFERROR(__xludf.DUMMYFUNCTION("GOOGLETRANSLATE(B26783,""en"",""es-ES"")"),"El hombre gira duro y lanza el martillo.")</f>
        <v>El hombre gira duro y lanza el martillo.</v>
      </c>
    </row>
    <row r="26784">
      <c r="A26784" s="4" t="s">
        <v>33706</v>
      </c>
      <c r="B26784" s="4" t="s">
        <v>33710</v>
      </c>
      <c r="C26784" s="5" t="str">
        <f>IFERROR(__xludf.DUMMYFUNCTION("GOOGLETRANSLATE(B26784,""en"",""es-ES"")"),"Vemos el martillo mientras vuela por la pista.")</f>
        <v>Vemos el martillo mientras vuela por la pista.</v>
      </c>
    </row>
    <row r="26785">
      <c r="A26785" s="4" t="s">
        <v>33711</v>
      </c>
      <c r="B26785" s="4" t="s">
        <v>33712</v>
      </c>
      <c r="C26785" s="5" t="str">
        <f>IFERROR(__xludf.DUMMYFUNCTION("GOOGLETRANSLATE(B26785,""en"",""es-ES"")"),"Dos hombres realizan un movimiento de flip en un patio de recreo que lleva a que uno se caiga en el suelo.")</f>
        <v>Dos hombres realizan un movimiento de flip en un patio de recreo que lleva a que uno se caiga en el suelo.</v>
      </c>
    </row>
    <row r="26786">
      <c r="A26786" s="4" t="s">
        <v>33711</v>
      </c>
      <c r="B26786" s="4" t="s">
        <v>33713</v>
      </c>
      <c r="C26786" s="5" t="str">
        <f>IFERROR(__xludf.DUMMYFUNCTION("GOOGLETRANSLATE(B26786,""en"",""es-ES"")"),"La cámara se acerca al hombre caído mientras todos se ríen juntos.")</f>
        <v>La cámara se acerca al hombre caído mientras todos se ríen juntos.</v>
      </c>
    </row>
    <row r="26787">
      <c r="A26787" s="4" t="s">
        <v>33714</v>
      </c>
      <c r="B26787" s="4" t="s">
        <v>33715</v>
      </c>
      <c r="C26787" s="5" t="str">
        <f>IFERROR(__xludf.DUMMYFUNCTION("GOOGLETRANSLATE(B26787,""en"",""es-ES"")"),"Una niña viaja en un caballo blanco que está en una carrera de obstáculos cerrada, pero es solo caminar, trotar y correr alrededor del perímetro haciendo vueltas.")</f>
        <v>Una niña viaja en un caballo blanco que está en una carrera de obstáculos cerrada, pero es solo caminar, trotar y correr alrededor del perímetro haciendo vueltas.</v>
      </c>
    </row>
    <row r="26788">
      <c r="A26788" s="4" t="s">
        <v>33714</v>
      </c>
      <c r="B26788" s="4" t="s">
        <v>33716</v>
      </c>
      <c r="C26788" s="5" t="str">
        <f>IFERROR(__xludf.DUMMYFUNCTION("GOOGLETRANSLATE(B26788,""en"",""es-ES"")"),"Otra chica ahora es el foco y está montando en un caballo marrón más alto que comienza a caminar, trotando y también permanecen en el perímetro de la zona.")</f>
        <v>Otra chica ahora es el foco y está montando en un caballo marrón más alto que comienza a caminar, trotando y también permanecen en el perímetro de la zona.</v>
      </c>
    </row>
    <row r="26789">
      <c r="A26789" s="4" t="s">
        <v>33714</v>
      </c>
      <c r="B26789" s="4" t="s">
        <v>33717</v>
      </c>
      <c r="C26789" s="5" t="str">
        <f>IFERROR(__xludf.DUMMYFUNCTION("GOOGLETRANSLATE(B26789,""en"",""es-ES"")"),"Cuando el caballo marrón ha terminado de dar vueltas, se acerca al caballo blanco que ahora está en el medio del área y se detiene.")</f>
        <v>Cuando el caballo marrón ha terminado de dar vueltas, se acerca al caballo blanco que ahora está en el medio del área y se detiene.</v>
      </c>
    </row>
    <row r="26790">
      <c r="A26790" s="4" t="s">
        <v>33718</v>
      </c>
      <c r="B26790" s="4" t="s">
        <v>33719</v>
      </c>
      <c r="C26790" s="5" t="str">
        <f>IFERROR(__xludf.DUMMYFUNCTION("GOOGLETRANSLATE(B26790,""en"",""es-ES"")"),"Hay varias chicas listas con sus cuerdas de salto en un gimnasio interior.")</f>
        <v>Hay varias chicas listas con sus cuerdas de salto en un gimnasio interior.</v>
      </c>
    </row>
    <row r="26791">
      <c r="A26791" s="4" t="s">
        <v>33718</v>
      </c>
      <c r="B26791" s="4" t="s">
        <v>33720</v>
      </c>
      <c r="C26791" s="5" t="str">
        <f>IFERROR(__xludf.DUMMYFUNCTION("GOOGLETRANSLATE(B26791,""en"",""es-ES"")"),"Están listos para competir en la competencia.")</f>
        <v>Están listos para competir en la competencia.</v>
      </c>
    </row>
    <row r="26792">
      <c r="A26792" s="4" t="s">
        <v>33718</v>
      </c>
      <c r="B26792" s="4" t="s">
        <v>33721</v>
      </c>
      <c r="C26792" s="5" t="str">
        <f>IFERROR(__xludf.DUMMYFUNCTION("GOOGLETRANSLATE(B26792,""en"",""es-ES"")"),"Hay varias personas sentadas y de pie que están mirando a las chicas mientras saltan la cuerda.")</f>
        <v>Hay varias personas sentadas y de pie que están mirando a las chicas mientras saltan la cuerda.</v>
      </c>
    </row>
    <row r="26793">
      <c r="A26793" s="4" t="s">
        <v>33718</v>
      </c>
      <c r="B26793" s="4" t="s">
        <v>33722</v>
      </c>
      <c r="C26793" s="5" t="str">
        <f>IFERROR(__xludf.DUMMYFUNCTION("GOOGLETRANSLATE(B26793,""en"",""es-ES"")"),"Las chicas se turnan y saltan la cuerda de forma de retransmisión.")</f>
        <v>Las chicas se turnan y saltan la cuerda de forma de retransmisión.</v>
      </c>
    </row>
    <row r="26794">
      <c r="A26794" s="4" t="s">
        <v>33718</v>
      </c>
      <c r="B26794" s="4" t="s">
        <v>33723</v>
      </c>
      <c r="C26794" s="5" t="str">
        <f>IFERROR(__xludf.DUMMYFUNCTION("GOOGLETRANSLATE(B26794,""en"",""es-ES"")"),"Cambian entre los concursantes y pasan de saltos rápidos a saltos más lentos y estables.")</f>
        <v>Cambian entre los concursantes y pasan de saltos rápidos a saltos más lentos y estables.</v>
      </c>
    </row>
    <row r="26795">
      <c r="A26795" s="4" t="s">
        <v>33718</v>
      </c>
      <c r="B26795" s="4" t="s">
        <v>33724</v>
      </c>
      <c r="C26795" s="5" t="str">
        <f>IFERROR(__xludf.DUMMYFUNCTION("GOOGLETRANSLATE(B26795,""en"",""es-ES"")"),"Se turnan mientras se saltan.")</f>
        <v>Se turnan mientras se saltan.</v>
      </c>
    </row>
    <row r="26796">
      <c r="A26796" s="4" t="s">
        <v>33718</v>
      </c>
      <c r="B26796" s="4" t="s">
        <v>33725</v>
      </c>
      <c r="C26796" s="5" t="str">
        <f>IFERROR(__xludf.DUMMYFUNCTION("GOOGLETRANSLATE(B26796,""en"",""es-ES"")"),"Después de que se detienen, la multitud aplaude y vítores.")</f>
        <v>Después de que se detienen, la multitud aplaude y vítores.</v>
      </c>
    </row>
    <row r="26797">
      <c r="A26797" s="4" t="s">
        <v>33726</v>
      </c>
      <c r="B26797" s="4" t="s">
        <v>33727</v>
      </c>
      <c r="C26797" s="5" t="str">
        <f>IFERROR(__xludf.DUMMYFUNCTION("GOOGLETRANSLATE(B26797,""en"",""es-ES"")"),"Un grupo de personas se ha reunido en una cancha al aire libre.")</f>
        <v>Un grupo de personas se ha reunido en una cancha al aire libre.</v>
      </c>
    </row>
    <row r="26798">
      <c r="A26798" s="4" t="s">
        <v>33726</v>
      </c>
      <c r="B26798" s="4" t="s">
        <v>33728</v>
      </c>
      <c r="C26798" s="5" t="str">
        <f>IFERROR(__xludf.DUMMYFUNCTION("GOOGLETRANSLATE(B26798,""en"",""es-ES"")"),"Están involucrados en un juego de curling.")</f>
        <v>Están involucrados en un juego de curling.</v>
      </c>
    </row>
    <row r="26799">
      <c r="A26799" s="4" t="s">
        <v>33726</v>
      </c>
      <c r="B26799" s="4" t="s">
        <v>33729</v>
      </c>
      <c r="C26799" s="5" t="str">
        <f>IFERROR(__xludf.DUMMYFUNCTION("GOOGLETRANSLATE(B26799,""en"",""es-ES"")"),"Cada persona usa el palo para empujar el disco mientras una niña habla con la cámara.")</f>
        <v>Cada persona usa el palo para empujar el disco mientras una niña habla con la cámara.</v>
      </c>
    </row>
    <row r="26800">
      <c r="A26800" s="4" t="s">
        <v>33730</v>
      </c>
      <c r="B26800" s="4" t="s">
        <v>33731</v>
      </c>
      <c r="C26800" s="5" t="str">
        <f>IFERROR(__xludf.DUMMYFUNCTION("GOOGLETRANSLATE(B26800,""en"",""es-ES"")"),"Los niños están parados en un campo de hierba verde que vuela voladoras.")</f>
        <v>Los niños están parados en un campo de hierba verde que vuela voladoras.</v>
      </c>
    </row>
    <row r="26801">
      <c r="A26801" s="4" t="s">
        <v>33730</v>
      </c>
      <c r="B26801" s="4" t="s">
        <v>33732</v>
      </c>
      <c r="C26801" s="5" t="str">
        <f>IFERROR(__xludf.DUMMYFUNCTION("GOOGLETRANSLATE(B26801,""en"",""es-ES"")"),"El hombre con camisa blanca está volando la cometa en un campo de lago.")</f>
        <v>El hombre con camisa blanca está volando la cometa en un campo de lago.</v>
      </c>
    </row>
    <row r="26802">
      <c r="A26802" s="4" t="s">
        <v>33730</v>
      </c>
      <c r="B26802" s="4" t="s">
        <v>33733</v>
      </c>
      <c r="C26802" s="5" t="str">
        <f>IFERROR(__xludf.DUMMYFUNCTION("GOOGLETRANSLATE(B26802,""en"",""es-ES"")"),"Litle Kid con una camisa naranja está mirando al hombre.")</f>
        <v>Litle Kid con una camisa naranja está mirando al hombre.</v>
      </c>
    </row>
    <row r="26803">
      <c r="A26803" s="4" t="s">
        <v>33734</v>
      </c>
      <c r="B26803" s="4" t="s">
        <v>33735</v>
      </c>
      <c r="C26803" s="5" t="str">
        <f>IFERROR(__xludf.DUMMYFUNCTION("GOOGLETRANSLATE(B26803,""en"",""es-ES"")"),"El video conduce a varios clips de un reproductor de hockey que se mueve alrededor del hielo y los jugadores que hablan con la cámara.")</f>
        <v>El video conduce a varios clips de un reproductor de hockey que se mueve alrededor del hielo y los jugadores que hablan con la cámara.</v>
      </c>
    </row>
    <row r="26804">
      <c r="A26804" s="4" t="s">
        <v>33734</v>
      </c>
      <c r="B26804" s="4" t="s">
        <v>33736</v>
      </c>
      <c r="C26804" s="5" t="str">
        <f>IFERROR(__xludf.DUMMYFUNCTION("GOOGLETRANSLATE(B26804,""en"",""es-ES"")"),"Las personas que continúan patinando en el hielo mientras practican como jugadores intervienen para hablar con la cámara.")</f>
        <v>Las personas que continúan patinando en el hielo mientras practican como jugadores intervienen para hablar con la cámara.</v>
      </c>
    </row>
    <row r="26805">
      <c r="A26805" s="4" t="s">
        <v>33737</v>
      </c>
      <c r="B26805" s="4" t="s">
        <v>33738</v>
      </c>
      <c r="C26805" s="5" t="str">
        <f>IFERROR(__xludf.DUMMYFUNCTION("GOOGLETRANSLATE(B26805,""en"",""es-ES"")"),"Una introducción de texto conduce a varias tomas de un almacén y personas que trabajan con antorchas.")</f>
        <v>Una introducción de texto conduce a varias tomas de un almacén y personas que trabajan con antorchas.</v>
      </c>
    </row>
    <row r="26806">
      <c r="A26806" s="4" t="s">
        <v>33737</v>
      </c>
      <c r="B26806" s="4" t="s">
        <v>33739</v>
      </c>
      <c r="C26806" s="5" t="str">
        <f>IFERROR(__xludf.DUMMYFUNCTION("GOOGLETRANSLATE(B26806,""en"",""es-ES"")"),"Se ve a las personas usando computadoras y imanes que conducen a personas que hacen pasteles.")</f>
        <v>Se ve a las personas usando computadoras y imanes que conducen a personas que hacen pasteles.</v>
      </c>
    </row>
    <row r="26807">
      <c r="A26807" s="4" t="s">
        <v>33737</v>
      </c>
      <c r="B26807" s="4" t="s">
        <v>33740</v>
      </c>
      <c r="C26807" s="5" t="str">
        <f>IFERROR(__xludf.DUMMYFUNCTION("GOOGLETRANSLATE(B26807,""en"",""es-ES"")"),"Las personas usan varias herramientas y materiales para hacer un pastel grande que se mueve y lo lleva a una exhibición al final.")</f>
        <v>Las personas usan varias herramientas y materiales para hacer un pastel grande que se mueve y lo lleva a una exhibición al final.</v>
      </c>
    </row>
    <row r="26808">
      <c r="A26808" s="4" t="s">
        <v>33741</v>
      </c>
      <c r="B26808" s="4" t="s">
        <v>33742</v>
      </c>
      <c r="C26808" s="5" t="str">
        <f>IFERROR(__xludf.DUMMYFUNCTION("GOOGLETRANSLATE(B26808,""en"",""es-ES"")"),"Un grupo de amigos se sientan juntos contra una cerca en un parque de skate.")</f>
        <v>Un grupo de amigos se sientan juntos contra una cerca en un parque de skate.</v>
      </c>
    </row>
    <row r="26809">
      <c r="A26809" s="4" t="s">
        <v>33741</v>
      </c>
      <c r="B26809" s="4" t="s">
        <v>33743</v>
      </c>
      <c r="C26809" s="5" t="str">
        <f>IFERROR(__xludf.DUMMYFUNCTION("GOOGLETRANSLATE(B26809,""en"",""es-ES"")"),"La gente en las cuchillas de los rodillos hace trucos en una rampa sobre los pasos.")</f>
        <v>La gente en las cuchillas de los rodillos hace trucos en una rampa sobre los pasos.</v>
      </c>
    </row>
    <row r="26810">
      <c r="A26810" s="4" t="s">
        <v>33741</v>
      </c>
      <c r="B26810" s="4" t="s">
        <v>33744</v>
      </c>
      <c r="C26810" s="5" t="str">
        <f>IFERROR(__xludf.DUMMYFUNCTION("GOOGLETRANSLATE(B26810,""en"",""es-ES"")"),"La gente de las cuchillas de los rodillos hace trucos en un banco en el parque de skate.")</f>
        <v>La gente de las cuchillas de los rodillos hace trucos en un banco en el parque de skate.</v>
      </c>
    </row>
    <row r="26811">
      <c r="A26811" s="4" t="s">
        <v>33741</v>
      </c>
      <c r="B26811" s="4" t="s">
        <v>33745</v>
      </c>
      <c r="C26811" s="5" t="str">
        <f>IFERROR(__xludf.DUMMYFUNCTION("GOOGLETRANSLATE(B26811,""en"",""es-ES"")"),"La gente hace camiones en una barandilla por una rampa en el parque de skate.")</f>
        <v>La gente hace camiones en una barandilla por una rampa en el parque de skate.</v>
      </c>
    </row>
    <row r="26812">
      <c r="A26812" s="4" t="s">
        <v>33741</v>
      </c>
      <c r="B26812" s="4" t="s">
        <v>33746</v>
      </c>
      <c r="C26812" s="5" t="str">
        <f>IFERROR(__xludf.DUMMYFUNCTION("GOOGLETRANSLATE(B26812,""en"",""es-ES"")"),"Los patines de los rodillos montan en rampas de media tubería.")</f>
        <v>Los patines de los rodillos montan en rampas de media tubería.</v>
      </c>
    </row>
    <row r="26813">
      <c r="A26813" s="4" t="s">
        <v>33747</v>
      </c>
      <c r="B26813" s="4" t="s">
        <v>33748</v>
      </c>
      <c r="C26813" s="5" t="str">
        <f>IFERROR(__xludf.DUMMYFUNCTION("GOOGLETRANSLATE(B26813,""en"",""es-ES"")"),"Un chico sube por las escaleras con un amplificador negro.")</f>
        <v>Un chico sube por las escaleras con un amplificador negro.</v>
      </c>
    </row>
    <row r="26814">
      <c r="A26814" s="4" t="s">
        <v>33747</v>
      </c>
      <c r="B26814" s="4" t="s">
        <v>33749</v>
      </c>
      <c r="C26814" s="5" t="str">
        <f>IFERROR(__xludf.DUMMYFUNCTION("GOOGLETRANSLATE(B26814,""en"",""es-ES"")"),"El tipo camina por una puerta que abrió.")</f>
        <v>El tipo camina por una puerta que abrió.</v>
      </c>
    </row>
    <row r="26815">
      <c r="A26815" s="4" t="s">
        <v>33747</v>
      </c>
      <c r="B26815" s="4" t="s">
        <v>33750</v>
      </c>
      <c r="C26815" s="5" t="str">
        <f>IFERROR(__xludf.DUMMYFUNCTION("GOOGLETRANSLATE(B26815,""en"",""es-ES"")"),"El tipo toca una armónica con un micrófono en una mano.")</f>
        <v>El tipo toca una armónica con un micrófono en una mano.</v>
      </c>
    </row>
    <row r="26816">
      <c r="A26816" s="4" t="s">
        <v>33747</v>
      </c>
      <c r="B26816" s="4" t="s">
        <v>33751</v>
      </c>
      <c r="C26816" s="5" t="str">
        <f>IFERROR(__xludf.DUMMYFUNCTION("GOOGLETRANSLATE(B26816,""en"",""es-ES"")"),"El tipo toca la guitarra.")</f>
        <v>El tipo toca la guitarra.</v>
      </c>
    </row>
    <row r="26817">
      <c r="A26817" s="4" t="s">
        <v>33747</v>
      </c>
      <c r="B26817" s="4" t="s">
        <v>33752</v>
      </c>
      <c r="C26817" s="5" t="str">
        <f>IFERROR(__xludf.DUMMYFUNCTION("GOOGLETRANSLATE(B26817,""en"",""es-ES"")"),"El amplificador negro se muestra en una tabla.")</f>
        <v>El amplificador negro se muestra en una tabla.</v>
      </c>
    </row>
    <row r="26818">
      <c r="A26818" s="4" t="s">
        <v>33747</v>
      </c>
      <c r="B26818" s="4" t="s">
        <v>33753</v>
      </c>
      <c r="C26818" s="5" t="str">
        <f>IFERROR(__xludf.DUMMYFUNCTION("GOOGLETRANSLATE(B26818,""en"",""es-ES"")"),"El amplificador se muestra en una tabla.")</f>
        <v>El amplificador se muestra en una tabla.</v>
      </c>
    </row>
    <row r="26819">
      <c r="A26819" s="4" t="s">
        <v>33754</v>
      </c>
      <c r="B26819" s="4" t="s">
        <v>33755</v>
      </c>
      <c r="C26819" s="5" t="str">
        <f>IFERROR(__xludf.DUMMYFUNCTION("GOOGLETRANSLATE(B26819,""en"",""es-ES"")"),"Se ve a una mujer hablando con la cámara con varios ingredientes establecidos, así como su limpieza.")</f>
        <v>Se ve a una mujer hablando con la cámara con varios ingredientes establecidos, así como su limpieza.</v>
      </c>
    </row>
    <row r="26820">
      <c r="A26820" s="4" t="s">
        <v>33754</v>
      </c>
      <c r="B26820" s="4" t="s">
        <v>33756</v>
      </c>
      <c r="C26820" s="5" t="str">
        <f>IFERROR(__xludf.DUMMYFUNCTION("GOOGLETRANSLATE(B26820,""en"",""es-ES"")"),"Ella presenta un periódico y mezcla varios ingredientes en una botella de spray.")</f>
        <v>Ella presenta un periódico y mezcla varios ingredientes en una botella de spray.</v>
      </c>
    </row>
    <row r="26821">
      <c r="A26821" s="4" t="s">
        <v>33754</v>
      </c>
      <c r="B26821" s="4" t="s">
        <v>33757</v>
      </c>
      <c r="C26821" s="5" t="str">
        <f>IFERROR(__xludf.DUMMYFUNCTION("GOOGLETRANSLATE(B26821,""en"",""es-ES"")"),"Ella se pone guantes y usa el periódico para limpiar una ventana después de que la haya rociado.")</f>
        <v>Ella se pone guantes y usa el periódico para limpiar una ventana después de que la haya rociado.</v>
      </c>
    </row>
    <row r="26822">
      <c r="A26822" s="4" t="s">
        <v>33754</v>
      </c>
      <c r="B26822" s="4" t="s">
        <v>33758</v>
      </c>
      <c r="C26822" s="5" t="str">
        <f>IFERROR(__xludf.DUMMYFUNCTION("GOOGLETRANSLATE(B26822,""en"",""es-ES"")"),"Ella continúa limpiando la ventana mientras habla con la cámara.")</f>
        <v>Ella continúa limpiando la ventana mientras habla con la cámara.</v>
      </c>
    </row>
    <row r="26823">
      <c r="A26823" s="4" t="s">
        <v>33759</v>
      </c>
      <c r="B26823" s="4" t="s">
        <v>33760</v>
      </c>
      <c r="C26823" s="5" t="str">
        <f>IFERROR(__xludf.DUMMYFUNCTION("GOOGLETRANSLATE(B26823,""en"",""es-ES"")"),"Una niña se está calentando y estirando y agarra 2 cuerdas grandes.")</f>
        <v>Una niña se está calentando y estirando y agarra 2 cuerdas grandes.</v>
      </c>
    </row>
    <row r="26824">
      <c r="A26824" s="4" t="s">
        <v>33759</v>
      </c>
      <c r="B26824" s="4" t="s">
        <v>33761</v>
      </c>
      <c r="C26824" s="5" t="str">
        <f>IFERROR(__xludf.DUMMYFUNCTION("GOOGLETRANSLATE(B26824,""en"",""es-ES"")"),"Dos mujeres sostienen cada cuerda y la niña intenta tirar de ambas cuerdas a la vez.")</f>
        <v>Dos mujeres sostienen cada cuerda y la niña intenta tirar de ambas cuerdas a la vez.</v>
      </c>
    </row>
    <row r="26825">
      <c r="A26825" s="4" t="s">
        <v>33759</v>
      </c>
      <c r="B26825" s="4" t="s">
        <v>33762</v>
      </c>
      <c r="C26825" s="5" t="str">
        <f>IFERROR(__xludf.DUMMYFUNCTION("GOOGLETRANSLATE(B26825,""en"",""es-ES"")"),"Ella continúa tirando de la cuerda y tiene éxito para acercar a las dos mujeres.")</f>
        <v>Ella continúa tirando de la cuerda y tiene éxito para acercar a las dos mujeres.</v>
      </c>
    </row>
    <row r="26826">
      <c r="A26826" s="4" t="s">
        <v>33763</v>
      </c>
      <c r="B26826" s="4" t="s">
        <v>33764</v>
      </c>
      <c r="C26826" s="5" t="str">
        <f>IFERROR(__xludf.DUMMYFUNCTION("GOOGLETRANSLATE(B26826,""en"",""es-ES"")"),"Las vacas corren a través de los campos con hombres persiguiéndolas con palos.")</f>
        <v>Las vacas corren a través de los campos con hombres persiguiéndolas con palos.</v>
      </c>
    </row>
    <row r="26827">
      <c r="A26827" s="4" t="s">
        <v>33763</v>
      </c>
      <c r="B26827" s="4" t="s">
        <v>33765</v>
      </c>
      <c r="C26827" s="5" t="str">
        <f>IFERROR(__xludf.DUMMYFUNCTION("GOOGLETRANSLATE(B26827,""en"",""es-ES"")"),"Los hombres están agitando a las vacas y haciendo que peleen entre ellos.")</f>
        <v>Los hombres están agitando a las vacas y haciendo que peleen entre ellos.</v>
      </c>
    </row>
    <row r="26828">
      <c r="A26828" s="4" t="s">
        <v>33763</v>
      </c>
      <c r="B26828" s="4" t="s">
        <v>33766</v>
      </c>
      <c r="C26828" s="5" t="str">
        <f>IFERROR(__xludf.DUMMYFUNCTION("GOOGLETRANSLATE(B26828,""en"",""es-ES"")"),"Los hombres están cantando y bailando alrededor de las vacas.")</f>
        <v>Los hombres están cantando y bailando alrededor de las vacas.</v>
      </c>
    </row>
    <row r="26829">
      <c r="A26829" s="4" t="s">
        <v>33763</v>
      </c>
      <c r="B26829" s="4" t="s">
        <v>33767</v>
      </c>
      <c r="C26829" s="5" t="str">
        <f>IFERROR(__xludf.DUMMYFUNCTION("GOOGLETRANSLATE(B26829,""en"",""es-ES"")"),"Los medios de comunicación entrevistan a hombres de la multitud.")</f>
        <v>Los medios de comunicación entrevistan a hombres de la multitud.</v>
      </c>
    </row>
    <row r="26830">
      <c r="A26830" s="4" t="s">
        <v>33763</v>
      </c>
      <c r="B26830" s="4" t="s">
        <v>33768</v>
      </c>
      <c r="C26830" s="5" t="str">
        <f>IFERROR(__xludf.DUMMYFUNCTION("GOOGLETRANSLATE(B26830,""en"",""es-ES"")"),"Una reportera femenina está sosteniendo un micrófono mientras realiza un informe de noticias.")</f>
        <v>Una reportera femenina está sosteniendo un micrófono mientras realiza un informe de noticias.</v>
      </c>
    </row>
    <row r="26831">
      <c r="A26831" s="4" t="s">
        <v>33763</v>
      </c>
      <c r="B26831" s="4" t="s">
        <v>33769</v>
      </c>
      <c r="C26831" s="5" t="str">
        <f>IFERROR(__xludf.DUMMYFUNCTION("GOOGLETRANSLATE(B26831,""en"",""es-ES"")"),"Una gran multitud de hombres la sigue.")</f>
        <v>Una gran multitud de hombres la sigue.</v>
      </c>
    </row>
    <row r="26832">
      <c r="A26832" s="4" t="s">
        <v>33770</v>
      </c>
      <c r="B26832" s="4" t="s">
        <v>33771</v>
      </c>
      <c r="C26832" s="5" t="str">
        <f>IFERROR(__xludf.DUMMYFUNCTION("GOOGLETRANSLATE(B26832,""en"",""es-ES"")"),"Varias personas se ven arrodilladas en una playa que ayudan a un niño pequeño a hacer castillos de arena.")</f>
        <v>Varias personas se ven arrodilladas en una playa que ayudan a un niño pequeño a hacer castillos de arena.</v>
      </c>
    </row>
    <row r="26833">
      <c r="A26833" s="4" t="s">
        <v>33770</v>
      </c>
      <c r="B26833" s="4" t="s">
        <v>33772</v>
      </c>
      <c r="C26833" s="5" t="str">
        <f>IFERROR(__xludf.DUMMYFUNCTION("GOOGLETRANSLATE(B26833,""en"",""es-ES"")"),"Se ve a muchas personas caminando por la playa mientras el niño y la mujer mayor continúan haciendo castillos de arena.")</f>
        <v>Se ve a muchas personas caminando por la playa mientras el niño y la mujer mayor continúan haciendo castillos de arena.</v>
      </c>
    </row>
    <row r="26834">
      <c r="A26834" s="4" t="s">
        <v>33773</v>
      </c>
      <c r="B26834" s="4" t="s">
        <v>33774</v>
      </c>
      <c r="C26834" s="5" t="str">
        <f>IFERROR(__xludf.DUMMYFUNCTION("GOOGLETRANSLATE(B26834,""en"",""es-ES"")"),"Un par de globos grandes flotan sobre el agua del océano.")</f>
        <v>Un par de globos grandes flotan sobre el agua del océano.</v>
      </c>
    </row>
    <row r="26835">
      <c r="A26835" s="4" t="s">
        <v>33773</v>
      </c>
      <c r="B26835" s="4" t="s">
        <v>33775</v>
      </c>
      <c r="C26835" s="5" t="str">
        <f>IFERROR(__xludf.DUMMYFUNCTION("GOOGLETRANSLATE(B26835,""en"",""es-ES"")"),"Los navegantes competidores se muestran corriendo en el agua.")</f>
        <v>Los navegantes competidores se muestran corriendo en el agua.</v>
      </c>
    </row>
    <row r="26836">
      <c r="A26836" s="4" t="s">
        <v>33773</v>
      </c>
      <c r="B26836" s="4" t="s">
        <v>33776</v>
      </c>
      <c r="C26836" s="5" t="str">
        <f>IFERROR(__xludf.DUMMYFUNCTION("GOOGLETRANSLATE(B26836,""en"",""es-ES"")"),"Reman rápidamente hacia la marca de acabado.")</f>
        <v>Reman rápidamente hacia la marca de acabado.</v>
      </c>
    </row>
    <row r="26837">
      <c r="A26837" s="4" t="s">
        <v>33777</v>
      </c>
      <c r="B26837" s="4" t="s">
        <v>33778</v>
      </c>
      <c r="C26837" s="5" t="str">
        <f>IFERROR(__xludf.DUMMYFUNCTION("GOOGLETRANSLATE(B26837,""en"",""es-ES"")"),"Una niña corre por una pista en cámara lenta.")</f>
        <v>Una niña corre por una pista en cámara lenta.</v>
      </c>
    </row>
    <row r="26838">
      <c r="A26838" s="4" t="s">
        <v>33777</v>
      </c>
      <c r="B26838" s="4" t="s">
        <v>33779</v>
      </c>
      <c r="C26838" s="5" t="str">
        <f>IFERROR(__xludf.DUMMYFUNCTION("GOOGLETRANSLATE(B26838,""en"",""es-ES"")"),"Ella da un gran salto, arrojándose sobre un bar.")</f>
        <v>Ella da un gran salto, arrojándose sobre un bar.</v>
      </c>
    </row>
    <row r="26839">
      <c r="A26839" s="4" t="s">
        <v>33777</v>
      </c>
      <c r="B26839" s="4" t="s">
        <v>33780</v>
      </c>
      <c r="C26839" s="5" t="str">
        <f>IFERROR(__xludf.DUMMYFUNCTION("GOOGLETRANSLATE(B26839,""en"",""es-ES"")"),"Se muestra realizando el acto nuevamente en cámara lenta.")</f>
        <v>Se muestra realizando el acto nuevamente en cámara lenta.</v>
      </c>
    </row>
    <row r="26840">
      <c r="A26840" s="4" t="s">
        <v>33781</v>
      </c>
      <c r="B26840" s="4" t="s">
        <v>33782</v>
      </c>
      <c r="C26840" s="5" t="str">
        <f>IFERROR(__xludf.DUMMYFUNCTION("GOOGLETRANSLATE(B26840,""en"",""es-ES"")"),"Una niña llama a una puerta pero nadie responde.")</f>
        <v>Una niña llama a una puerta pero nadie responde.</v>
      </c>
    </row>
    <row r="26841">
      <c r="A26841" s="4" t="s">
        <v>33781</v>
      </c>
      <c r="B26841" s="4" t="s">
        <v>33783</v>
      </c>
      <c r="C26841" s="5" t="str">
        <f>IFERROR(__xludf.DUMMYFUNCTION("GOOGLETRANSLATE(B26841,""en"",""es-ES"")"),"Ella baila y prepara comida frente a la estufa con otra mujer.")</f>
        <v>Ella baila y prepara comida frente a la estufa con otra mujer.</v>
      </c>
    </row>
    <row r="26842">
      <c r="A26842" s="4" t="s">
        <v>33781</v>
      </c>
      <c r="B26842" s="4" t="s">
        <v>33784</v>
      </c>
      <c r="C26842" s="5" t="str">
        <f>IFERROR(__xludf.DUMMYFUNCTION("GOOGLETRANSLATE(B26842,""en"",""es-ES"")"),"Ella pelea y luego ambas chicas se separan.")</f>
        <v>Ella pelea y luego ambas chicas se separan.</v>
      </c>
    </row>
    <row r="26843">
      <c r="A26843" s="4" t="s">
        <v>33785</v>
      </c>
      <c r="B26843" s="4" t="s">
        <v>33786</v>
      </c>
      <c r="C26843" s="5" t="str">
        <f>IFERROR(__xludf.DUMMYFUNCTION("GOOGLETRANSLATE(B26843,""en"",""es-ES"")"),"La gente está en una piscina jugando waterpolo.")</f>
        <v>La gente está en una piscina jugando waterpolo.</v>
      </c>
    </row>
    <row r="26844">
      <c r="A26844" s="4" t="s">
        <v>33785</v>
      </c>
      <c r="B26844" s="4" t="s">
        <v>33787</v>
      </c>
      <c r="C26844" s="5" t="str">
        <f>IFERROR(__xludf.DUMMYFUNCTION("GOOGLETRANSLATE(B26844,""en"",""es-ES"")"),"Una mujer camina fuera de la piscina.")</f>
        <v>Una mujer camina fuera de la piscina.</v>
      </c>
    </row>
    <row r="26845">
      <c r="A26845" s="4" t="s">
        <v>33785</v>
      </c>
      <c r="B26845" s="4" t="s">
        <v>33788</v>
      </c>
      <c r="C26845" s="5" t="str">
        <f>IFERROR(__xludf.DUMMYFUNCTION("GOOGLETRANSLATE(B26845,""en"",""es-ES"")"),"Un hombre se frota la cara mientras está en el agua antes de salir del agua.")</f>
        <v>Un hombre se frota la cara mientras está en el agua antes de salir del agua.</v>
      </c>
    </row>
    <row r="26846">
      <c r="A26846" s="4" t="s">
        <v>33789</v>
      </c>
      <c r="B26846" s="4" t="s">
        <v>33790</v>
      </c>
      <c r="C26846" s="5" t="str">
        <f>IFERROR(__xludf.DUMMYFUNCTION("GOOGLETRANSLATE(B26846,""en"",""es-ES"")"),"Las estadísticas de video explican cómo hacer muffins de tortilla.")</f>
        <v>Las estadísticas de video explican cómo hacer muffins de tortilla.</v>
      </c>
    </row>
    <row r="26847">
      <c r="A26847" s="4" t="s">
        <v>33789</v>
      </c>
      <c r="B26847" s="4" t="s">
        <v>33791</v>
      </c>
      <c r="C26847" s="5" t="str">
        <f>IFERROR(__xludf.DUMMYFUNCTION("GOOGLETRANSLATE(B26847,""en"",""es-ES"")"),"Ella muestra los ingredientes y le dice a qué configurar el horno.")</f>
        <v>Ella muestra los ingredientes y le dice a qué configurar el horno.</v>
      </c>
    </row>
    <row r="26848">
      <c r="A26848" s="4" t="s">
        <v>33789</v>
      </c>
      <c r="B26848" s="4" t="s">
        <v>33792</v>
      </c>
      <c r="C26848" s="5" t="str">
        <f>IFERROR(__xludf.DUMMYFUNCTION("GOOGLETRANSLATE(B26848,""en"",""es-ES"")"),"Ella mezcla todo y lo agita con el condimento.")</f>
        <v>Ella mezcla todo y lo agita con el condimento.</v>
      </c>
    </row>
    <row r="26849">
      <c r="A26849" s="4" t="s">
        <v>33789</v>
      </c>
      <c r="B26849" s="4" t="s">
        <v>33793</v>
      </c>
      <c r="C26849" s="5" t="str">
        <f>IFERROR(__xludf.DUMMYFUNCTION("GOOGLETRANSLATE(B26849,""en"",""es-ES"")"),"Luego lo pone en la bandeja y al horno para hornear.")</f>
        <v>Luego lo pone en la bandeja y al horno para hornear.</v>
      </c>
    </row>
    <row r="26850">
      <c r="A26850" s="4" t="s">
        <v>33789</v>
      </c>
      <c r="B26850" s="4" t="s">
        <v>33794</v>
      </c>
      <c r="C26850" s="5" t="str">
        <f>IFERROR(__xludf.DUMMYFUNCTION("GOOGLETRANSLATE(B26850,""en"",""es-ES"")"),"Luego lo saca y muestra el producto terminado.")</f>
        <v>Luego lo saca y muestra el producto terminado.</v>
      </c>
    </row>
    <row r="26851">
      <c r="A26851" s="4" t="s">
        <v>33795</v>
      </c>
      <c r="B26851" s="4" t="s">
        <v>33796</v>
      </c>
      <c r="C26851" s="5" t="str">
        <f>IFERROR(__xludf.DUMMYFUNCTION("GOOGLETRANSLATE(B26851,""en"",""es-ES"")"),"Se muestran imágenes del cabello de la gente.")</f>
        <v>Se muestran imágenes del cabello de la gente.</v>
      </c>
    </row>
    <row r="26852">
      <c r="A26852" s="4" t="s">
        <v>33795</v>
      </c>
      <c r="B26852" s="4" t="s">
        <v>33797</v>
      </c>
      <c r="C26852" s="5" t="str">
        <f>IFERROR(__xludf.DUMMYFUNCTION("GOOGLETRANSLATE(B26852,""en"",""es-ES"")"),"Una mujer con una camisa rosa tiene fotos de su cabello.")</f>
        <v>Una mujer con una camisa rosa tiene fotos de su cabello.</v>
      </c>
    </row>
    <row r="26853">
      <c r="A26853" s="4" t="s">
        <v>33795</v>
      </c>
      <c r="B26853" s="4" t="s">
        <v>33798</v>
      </c>
      <c r="C26853" s="5" t="str">
        <f>IFERROR(__xludf.DUMMYFUNCTION("GOOGLETRANSLATE(B26853,""en"",""es-ES"")"),"Las palabras vienen en la pantalla al final.")</f>
        <v>Las palabras vienen en la pantalla al final.</v>
      </c>
    </row>
    <row r="26854">
      <c r="A26854" s="4" t="s">
        <v>33799</v>
      </c>
      <c r="B26854" s="4" t="s">
        <v>33800</v>
      </c>
      <c r="C26854" s="5" t="str">
        <f>IFERROR(__xludf.DUMMYFUNCTION("GOOGLETRANSLATE(B26854,""en"",""es-ES"")"),"Un grupo de gimnasta ingresa al frente de un estadio.")</f>
        <v>Un grupo de gimnasta ingresa al frente de un estadio.</v>
      </c>
    </row>
    <row r="26855">
      <c r="A26855" s="4" t="s">
        <v>33799</v>
      </c>
      <c r="B26855" s="4" t="s">
        <v>33801</v>
      </c>
      <c r="C26855" s="5" t="str">
        <f>IFERROR(__xludf.DUMMYFUNCTION("GOOGLETRANSLATE(B26855,""en"",""es-ES"")"),"A continuación, se muestra una gimnasta en la barra y hace múltiples trucos que consisten en volteos y paradas de manos, y luego se van a aterrizar y se va.")</f>
        <v>A continuación, se muestra una gimnasta en la barra y hace múltiples trucos que consisten en volteos y paradas de manos, y luego se van a aterrizar y se va.</v>
      </c>
    </row>
    <row r="26856">
      <c r="A26856" s="4" t="s">
        <v>33799</v>
      </c>
      <c r="B26856" s="4" t="s">
        <v>33802</v>
      </c>
      <c r="C26856" s="5" t="str">
        <f>IFERROR(__xludf.DUMMYFUNCTION("GOOGLETRANSLATE(B26856,""en"",""es-ES"")"),"Mientras un hombre corre cerca de él, se muestra una repetición de los casos en que se equivocó y luego se muestra su puntaje.")</f>
        <v>Mientras un hombre corre cerca de él, se muestra una repetición de los casos en que se equivocó y luego se muestra su puntaje.</v>
      </c>
    </row>
    <row r="26857">
      <c r="A26857" s="4" t="s">
        <v>33799</v>
      </c>
      <c r="B26857" s="4" t="s">
        <v>33803</v>
      </c>
      <c r="C26857" s="5" t="str">
        <f>IFERROR(__xludf.DUMMYFUNCTION("GOOGLETRANSLATE(B26857,""en"",""es-ES"")"),"Se muestra a otro hombre haciendo varios trucos y volteos, pero en lugar de estar por encima de la barra, comienza debajo de la barra y entra en la parte superior para hacer un soporte de mano antes de finalmente voltear.")</f>
        <v>Se muestra a otro hombre haciendo varios trucos y volteos, pero en lugar de estar por encima de la barra, comienza debajo de la barra y entra en la parte superior para hacer un soporte de mano antes de finalmente voltear.</v>
      </c>
    </row>
    <row r="26858">
      <c r="A26858" s="4" t="s">
        <v>33799</v>
      </c>
      <c r="B26858" s="4" t="s">
        <v>33804</v>
      </c>
      <c r="C26858" s="5" t="str">
        <f>IFERROR(__xludf.DUMMYFUNCTION("GOOGLETRANSLATE(B26858,""en"",""es-ES"")"),"Varios otros equipos se acercan al bar y ellos también comienzan a hacer los mismos trucos en su competencia.")</f>
        <v>Varios otros equipos se acercan al bar y ellos también comienzan a hacer los mismos trucos en su competencia.</v>
      </c>
    </row>
    <row r="26859">
      <c r="A26859" s="4" t="s">
        <v>33799</v>
      </c>
      <c r="B26859" s="4" t="s">
        <v>33805</v>
      </c>
      <c r="C26859" s="5" t="str">
        <f>IFERROR(__xludf.DUMMYFUNCTION("GOOGLETRANSLATE(B26859,""en"",""es-ES"")"),"El ganador luego comienza a agitar su bandera y agitando su mano a la multitud.")</f>
        <v>El ganador luego comienza a agitar su bandera y agitando su mano a la multitud.</v>
      </c>
    </row>
    <row r="26860">
      <c r="A26860" s="4" t="s">
        <v>33806</v>
      </c>
      <c r="B26860" s="4" t="s">
        <v>33807</v>
      </c>
      <c r="C26860" s="5" t="str">
        <f>IFERROR(__xludf.DUMMYFUNCTION("GOOGLETRANSLATE(B26860,""en"",""es-ES"")"),"Vemos a un hombre en una habitación frente a una estantería con una galleta.")</f>
        <v>Vemos a un hombre en una habitación frente a una estantería con una galleta.</v>
      </c>
    </row>
    <row r="26861">
      <c r="A26861" s="4" t="s">
        <v>33806</v>
      </c>
      <c r="B26861" s="4" t="s">
        <v>33808</v>
      </c>
      <c r="C26861" s="5" t="str">
        <f>IFERROR(__xludf.DUMMYFUNCTION("GOOGLETRANSLATE(B26861,""en"",""es-ES"")"),"La galleta es arrebatada del hombre.")</f>
        <v>La galleta es arrebatada del hombre.</v>
      </c>
    </row>
    <row r="26862">
      <c r="A26862" s="4" t="s">
        <v>33806</v>
      </c>
      <c r="B26862" s="4" t="s">
        <v>33809</v>
      </c>
      <c r="C26862" s="5" t="str">
        <f>IFERROR(__xludf.DUMMYFUNCTION("GOOGLETRANSLATE(B26862,""en"",""es-ES"")"),"Vemos la cara de un niño.")</f>
        <v>Vemos la cara de un niño.</v>
      </c>
    </row>
    <row r="26863">
      <c r="A26863" s="4" t="s">
        <v>33806</v>
      </c>
      <c r="B26863" s="4" t="s">
        <v>33810</v>
      </c>
      <c r="C26863" s="5" t="str">
        <f>IFERROR(__xludf.DUMMYFUNCTION("GOOGLETRANSLATE(B26863,""en"",""es-ES"")"),"Vemos ingredientes agregados a un tazón.")</f>
        <v>Vemos ingredientes agregados a un tazón.</v>
      </c>
    </row>
    <row r="26864">
      <c r="A26864" s="4" t="s">
        <v>33806</v>
      </c>
      <c r="B26864" s="4" t="s">
        <v>33811</v>
      </c>
      <c r="C26864" s="5" t="str">
        <f>IFERROR(__xludf.DUMMYFUNCTION("GOOGLETRANSLATE(B26864,""en"",""es-ES"")"),"Cambiamos y vemos un gato.")</f>
        <v>Cambiamos y vemos un gato.</v>
      </c>
    </row>
    <row r="26865">
      <c r="A26865" s="4" t="s">
        <v>33806</v>
      </c>
      <c r="B26865" s="4" t="s">
        <v>33812</v>
      </c>
      <c r="C26865" s="5" t="str">
        <f>IFERROR(__xludf.DUMMYFUNCTION("GOOGLETRANSLATE(B26865,""en"",""es-ES"")"),"Vemos ingredientes en una batidora, luego vertimos en un tazón y luego refrigerados.")</f>
        <v>Vemos ingredientes en una batidora, luego vertimos en un tazón y luego refrigerados.</v>
      </c>
    </row>
    <row r="26866">
      <c r="A26866" s="4" t="s">
        <v>33806</v>
      </c>
      <c r="B26866" s="4" t="s">
        <v>33813</v>
      </c>
      <c r="C26866" s="5" t="str">
        <f>IFERROR(__xludf.DUMMYFUNCTION("GOOGLETRANSLATE(B26866,""en"",""es-ES"")"),"Vemos al gato aparecer de nuevo.")</f>
        <v>Vemos al gato aparecer de nuevo.</v>
      </c>
    </row>
    <row r="26867">
      <c r="A26867" s="4" t="s">
        <v>33806</v>
      </c>
      <c r="B26867" s="4" t="s">
        <v>33814</v>
      </c>
      <c r="C26867" s="5" t="str">
        <f>IFERROR(__xludf.DUMMYFUNCTION("GOOGLETRANSLATE(B26867,""en"",""es-ES"")"),"Una persona da forma a las bolas y las cubre en azúcar en polvo.")</f>
        <v>Una persona da forma a las bolas y las cubre en azúcar en polvo.</v>
      </c>
    </row>
    <row r="26868">
      <c r="A26868" s="4" t="s">
        <v>33806</v>
      </c>
      <c r="B26868" s="4" t="s">
        <v>33815</v>
      </c>
      <c r="C26868" s="5" t="str">
        <f>IFERROR(__xludf.DUMMYFUNCTION("GOOGLETRANSLATE(B26868,""en"",""es-ES"")"),"Las galletas están horneadas.")</f>
        <v>Las galletas están horneadas.</v>
      </c>
    </row>
    <row r="26869">
      <c r="A26869" s="4" t="s">
        <v>33806</v>
      </c>
      <c r="B26869" s="4" t="s">
        <v>33816</v>
      </c>
      <c r="C26869" s="5" t="str">
        <f>IFERROR(__xludf.DUMMYFUNCTION("GOOGLETRANSLATE(B26869,""en"",""es-ES"")"),"Vemos al hombre hablando con una chica.")</f>
        <v>Vemos al hombre hablando con una chica.</v>
      </c>
    </row>
    <row r="26870">
      <c r="A26870" s="4" t="s">
        <v>33806</v>
      </c>
      <c r="B26870" s="4" t="s">
        <v>33817</v>
      </c>
      <c r="C26870" s="5" t="str">
        <f>IFERROR(__xludf.DUMMYFUNCTION("GOOGLETRANSLATE(B26870,""en"",""es-ES"")"),"Vemos las galletas y dos tazas.")</f>
        <v>Vemos las galletas y dos tazas.</v>
      </c>
    </row>
    <row r="26871">
      <c r="A26871" s="4" t="s">
        <v>33806</v>
      </c>
      <c r="B26871" s="4" t="s">
        <v>33818</v>
      </c>
      <c r="C26871" s="5" t="str">
        <f>IFERROR(__xludf.DUMMYFUNCTION("GOOGLETRANSLATE(B26871,""en"",""es-ES"")"),"Vemos al hombre con dos hijos.")</f>
        <v>Vemos al hombre con dos hijos.</v>
      </c>
    </row>
    <row r="26872">
      <c r="A26872" s="4" t="s">
        <v>33819</v>
      </c>
      <c r="B26872" s="4" t="s">
        <v>33820</v>
      </c>
      <c r="C26872" s="5" t="str">
        <f>IFERROR(__xludf.DUMMYFUNCTION("GOOGLETRANSLATE(B26872,""en"",""es-ES"")"),"Se ve a una mujer tocando un juego de gaitas mientras la gente se sienta a su alrededor y mira.")</f>
        <v>Se ve a una mujer tocando un juego de gaitas mientras la gente se sienta a su alrededor y mira.</v>
      </c>
    </row>
    <row r="26873">
      <c r="A26873" s="4" t="s">
        <v>33819</v>
      </c>
      <c r="B26873" s="4" t="s">
        <v>33821</v>
      </c>
      <c r="C26873" s="5" t="str">
        <f>IFERROR(__xludf.DUMMYFUNCTION("GOOGLETRANSLATE(B26873,""en"",""es-ES"")"),"La niña continúa tocando mientras la cámara la mira mover sus manos por el instrumento y un hombre de pie a su lado para posar y lanzar cambios.")</f>
        <v>La niña continúa tocando mientras la cámara la mira mover sus manos por el instrumento y un hombre de pie a su lado para posar y lanzar cambios.</v>
      </c>
    </row>
    <row r="26874">
      <c r="A26874" s="4" t="s">
        <v>33822</v>
      </c>
      <c r="B26874" s="4" t="s">
        <v>33823</v>
      </c>
      <c r="C26874" s="5" t="str">
        <f>IFERROR(__xludf.DUMMYFUNCTION("GOOGLETRANSLATE(B26874,""en"",""es-ES"")"),"Se ve a un hombre de pie ante un gran tronco que sostiene un hacha en sus manos.")</f>
        <v>Se ve a un hombre de pie ante un gran tronco que sostiene un hacha en sus manos.</v>
      </c>
    </row>
    <row r="26875">
      <c r="A26875" s="4" t="s">
        <v>33822</v>
      </c>
      <c r="B26875" s="4" t="s">
        <v>33824</v>
      </c>
      <c r="C26875" s="5" t="str">
        <f>IFERROR(__xludf.DUMMYFUNCTION("GOOGLETRANSLATE(B26875,""en"",""es-ES"")"),"Él sostiene el hacha sobre su cabeza mientras aún mira el tronco.")</f>
        <v>Él sostiene el hacha sobre su cabeza mientras aún mira el tronco.</v>
      </c>
    </row>
    <row r="26876">
      <c r="A26876" s="4" t="s">
        <v>33822</v>
      </c>
      <c r="B26876" s="4" t="s">
        <v>33825</v>
      </c>
      <c r="C26876" s="5" t="str">
        <f>IFERROR(__xludf.DUMMYFUNCTION("GOOGLETRANSLATE(B26876,""en"",""es-ES"")"),"Él balancea el hacha hacia abajo y corta el registro por la mitad.")</f>
        <v>Él balancea el hacha hacia abajo y corta el registro por la mitad.</v>
      </c>
    </row>
    <row r="26877">
      <c r="A26877" s="4" t="s">
        <v>33826</v>
      </c>
      <c r="B26877" s="4" t="s">
        <v>33827</v>
      </c>
      <c r="C26877" s="5" t="str">
        <f>IFERROR(__xludf.DUMMYFUNCTION("GOOGLETRANSLATE(B26877,""en"",""es-ES"")"),"La gente está en una habitación que hablan entre sí.")</f>
        <v>La gente está en una habitación que hablan entre sí.</v>
      </c>
    </row>
    <row r="26878">
      <c r="A26878" s="4" t="s">
        <v>33826</v>
      </c>
      <c r="B26878" s="4" t="s">
        <v>33828</v>
      </c>
      <c r="C26878" s="5" t="str">
        <f>IFERROR(__xludf.DUMMYFUNCTION("GOOGLETRANSLATE(B26878,""en"",""es-ES"")"),"Entonces, los hombres compiten la lucha de brazos y el ganador se ve feliz, mientras que la gente
 aplaudir.")</f>
        <v>Entonces, los hombres compiten la lucha de brazos y el ganador se ve feliz, mientras que la gente
 aplaudir.</v>
      </c>
    </row>
    <row r="26879">
      <c r="A26879" s="4" t="s">
        <v>33826</v>
      </c>
      <c r="B26879" s="4" t="s">
        <v>33829</v>
      </c>
      <c r="C26879" s="5" t="str">
        <f>IFERROR(__xludf.DUMMYFUNCTION("GOOGLETRANSLATE(B26879,""en"",""es-ES"")"),"Un hombre bebe cerveza de una botella.")</f>
        <v>Un hombre bebe cerveza de una botella.</v>
      </c>
    </row>
    <row r="26880">
      <c r="A26880" s="4" t="s">
        <v>33830</v>
      </c>
      <c r="B26880" s="4" t="s">
        <v>33831</v>
      </c>
      <c r="C26880" s="5" t="str">
        <f>IFERROR(__xludf.DUMMYFUNCTION("GOOGLETRANSLATE(B26880,""en"",""es-ES"")"),"Se ve a una persona caminando por un curso de paintball y conduce a clips de personas que juegan paintball y hablan entre sí.")</f>
        <v>Se ve a una persona caminando por un curso de paintball y conduce a clips de personas que juegan paintball y hablan entre sí.</v>
      </c>
    </row>
    <row r="26881">
      <c r="A26881" s="4" t="s">
        <v>33830</v>
      </c>
      <c r="B26881" s="4" t="s">
        <v>33832</v>
      </c>
      <c r="C26881" s="5" t="str">
        <f>IFERROR(__xludf.DUMMYFUNCTION("GOOGLETRANSLATE(B26881,""en"",""es-ES"")"),"Un hombre apunta a la cámara y conduce a más tiros de personas que juegan y trabajan entre sí.")</f>
        <v>Un hombre apunta a la cámara y conduce a más tiros de personas que juegan y trabajan entre sí.</v>
      </c>
    </row>
    <row r="26882">
      <c r="A26882" s="4" t="s">
        <v>33833</v>
      </c>
      <c r="B26882" s="4" t="s">
        <v>33834</v>
      </c>
      <c r="C26882" s="5" t="str">
        <f>IFERROR(__xludf.DUMMYFUNCTION("GOOGLETRANSLATE(B26882,""en"",""es-ES"")"),"Se muestra un primer plano de un sándwich, seguido de ingredientes y una mujer que habla con la cámara.")</f>
        <v>Se muestra un primer plano de un sándwich, seguido de ingredientes y una mujer que habla con la cámara.</v>
      </c>
    </row>
    <row r="26883">
      <c r="A26883" s="4" t="s">
        <v>33833</v>
      </c>
      <c r="B26883" s="4" t="s">
        <v>33835</v>
      </c>
      <c r="C26883" s="5" t="str">
        <f>IFERROR(__xludf.DUMMYFUNCTION("GOOGLETRANSLATE(B26883,""en"",""es-ES"")"),"Varios ingredientes se presentan y se muestran cerca uno por uno, mientras que la mujer los mezcla todos en un tazón.")</f>
        <v>Varios ingredientes se presentan y se muestran cerca uno por uno, mientras que la mujer los mezcla todos en un tazón.</v>
      </c>
    </row>
    <row r="26884">
      <c r="A26884" s="4" t="s">
        <v>33833</v>
      </c>
      <c r="B26884" s="4" t="s">
        <v>33836</v>
      </c>
      <c r="C26884" s="5" t="str">
        <f>IFERROR(__xludf.DUMMYFUNCTION("GOOGLETRANSLATE(B26884,""en"",""es-ES"")"),"Luego vierte la mezcla sobre una rebanada de descanso y la presenta en un plato mientras habla continuamente.")</f>
        <v>Luego vierte la mezcla sobre una rebanada de descanso y la presenta en un plato mientras habla continuamente.</v>
      </c>
    </row>
    <row r="26885">
      <c r="A26885" s="4" t="s">
        <v>33837</v>
      </c>
      <c r="B26885" s="4" t="s">
        <v>33838</v>
      </c>
      <c r="C26885" s="5" t="str">
        <f>IFERROR(__xludf.DUMMYFUNCTION("GOOGLETRANSLATE(B26885,""en"",""es-ES"")"),"Un hombre está poniendo papel de pared en la pared, está tratando de medirlo bien para que sea incluso con el resto.")</f>
        <v>Un hombre está poniendo papel de pared en la pared, está tratando de medirlo bien para que sea incluso con el resto.</v>
      </c>
    </row>
    <row r="26886">
      <c r="A26886" s="4" t="s">
        <v>33837</v>
      </c>
      <c r="B26886" s="4" t="s">
        <v>33839</v>
      </c>
      <c r="C26886" s="5" t="str">
        <f>IFERROR(__xludf.DUMMYFUNCTION("GOOGLETRANSLATE(B26886,""en"",""es-ES"")"),"Corta parte del papel y quita la parte de plástico de la parte posterior para que esté pegajosa y comience a presionar el lado adhesivo en la pared.")</f>
        <v>Corta parte del papel y quita la parte de plástico de la parte posterior para que esté pegajosa y comience a presionar el lado adhesivo en la pared.</v>
      </c>
    </row>
    <row r="26887">
      <c r="A26887" s="4" t="s">
        <v>33837</v>
      </c>
      <c r="B26887" s="4" t="s">
        <v>33840</v>
      </c>
      <c r="C26887" s="5" t="str">
        <f>IFERROR(__xludf.DUMMYFUNCTION("GOOGLETRANSLATE(B26887,""en"",""es-ES"")"),"Comienza a agregarle presión para que cualquier burbujas salga y se vea bien y incluso.")</f>
        <v>Comienza a agregarle presión para que cualquier burbujas salga y se vea bien y incluso.</v>
      </c>
    </row>
    <row r="26888">
      <c r="A26888" s="4" t="s">
        <v>33837</v>
      </c>
      <c r="B26888" s="4" t="s">
        <v>33841</v>
      </c>
      <c r="C26888" s="5" t="str">
        <f>IFERROR(__xludf.DUMMYFUNCTION("GOOGLETRANSLATE(B26888,""en"",""es-ES"")"),"Se detiene para mirar la pared y asegurarse de que se vea bien, luego muestra una foto de antes y después.")</f>
        <v>Se detiene para mirar la pared y asegurarse de que se vea bien, luego muestra una foto de antes y después.</v>
      </c>
    </row>
    <row r="26889">
      <c r="A26889" s="4" t="s">
        <v>33842</v>
      </c>
      <c r="B26889" s="4" t="s">
        <v>33843</v>
      </c>
      <c r="C26889" s="5" t="str">
        <f>IFERROR(__xludf.DUMMYFUNCTION("GOOGLETRANSLATE(B26889,""en"",""es-ES"")"),"Un hombre está arrodillado en un campo.")</f>
        <v>Un hombre está arrodillado en un campo.</v>
      </c>
    </row>
    <row r="26890">
      <c r="A26890" s="4" t="s">
        <v>33842</v>
      </c>
      <c r="B26890" s="4" t="s">
        <v>33844</v>
      </c>
      <c r="C26890" s="5" t="str">
        <f>IFERROR(__xludf.DUMMYFUNCTION("GOOGLETRANSLATE(B26890,""en"",""es-ES"")"),"Recoge una pelota pesada y la usa para realizar numerosas técnicas de ejercicio.")</f>
        <v>Recoge una pelota pesada y la usa para realizar numerosas técnicas de ejercicio.</v>
      </c>
    </row>
    <row r="26891">
      <c r="A26891" s="4" t="s">
        <v>33842</v>
      </c>
      <c r="B26891" s="4" t="s">
        <v>33845</v>
      </c>
      <c r="C26891" s="5" t="str">
        <f>IFERROR(__xludf.DUMMYFUNCTION("GOOGLETRANSLATE(B26891,""en"",""es-ES"")"),"Luego lo vuelve a colocar sobre la hierba.")</f>
        <v>Luego lo vuelve a colocar sobre la hierba.</v>
      </c>
    </row>
    <row r="26892">
      <c r="A26892" s="4" t="s">
        <v>33846</v>
      </c>
      <c r="B26892" s="4" t="s">
        <v>33847</v>
      </c>
      <c r="C26892" s="5" t="str">
        <f>IFERROR(__xludf.DUMMYFUNCTION("GOOGLETRANSLATE(B26892,""en"",""es-ES"")"),"Se ve un bote montando a lo largo del agua con un hombre conduciendo a otros.")</f>
        <v>Se ve un bote montando a lo largo del agua con un hombre conduciendo a otros.</v>
      </c>
    </row>
    <row r="26893">
      <c r="A26893" s="4" t="s">
        <v>33846</v>
      </c>
      <c r="B26893" s="4" t="s">
        <v>33848</v>
      </c>
      <c r="C26893" s="5" t="str">
        <f>IFERROR(__xludf.DUMMYFUNCTION("GOOGLETRANSLATE(B26893,""en"",""es-ES"")"),"Se ve a una persona cabalgando sobre la espalda haciendo varios flips y trucos en su tablero.")</f>
        <v>Se ve a una persona cabalgando sobre la espalda haciendo varios flips y trucos en su tablero.</v>
      </c>
    </row>
    <row r="26894">
      <c r="A26894" s="4" t="s">
        <v>33846</v>
      </c>
      <c r="B26894" s="4" t="s">
        <v>33849</v>
      </c>
      <c r="C26894" s="5" t="str">
        <f>IFERROR(__xludf.DUMMYFUNCTION("GOOGLETRANSLATE(B26894,""en"",""es-ES"")"),"La gente mira al hombre y a la cámara mientras continúa volteando y mirando hacia la cámara.")</f>
        <v>La gente mira al hombre y a la cámara mientras continúa volteando y mirando hacia la cámara.</v>
      </c>
    </row>
    <row r="26895">
      <c r="A26895" s="4" t="s">
        <v>33850</v>
      </c>
      <c r="B26895" s="4" t="s">
        <v>33851</v>
      </c>
      <c r="C26895" s="5" t="str">
        <f>IFERROR(__xludf.DUMMYFUNCTION("GOOGLETRANSLATE(B26895,""en"",""es-ES"")"),"Un hombre está haciendo snowboard cuesta abajo por una colina de nieve.")</f>
        <v>Un hombre está haciendo snowboard cuesta abajo por una colina de nieve.</v>
      </c>
    </row>
    <row r="26896">
      <c r="A26896" s="4" t="s">
        <v>33850</v>
      </c>
      <c r="B26896" s="4" t="s">
        <v>33852</v>
      </c>
      <c r="C26896" s="5" t="str">
        <f>IFERROR(__xludf.DUMMYFUNCTION("GOOGLETRANSLATE(B26896,""en"",""es-ES"")"),"Él está saltando en el aire y haciendo trucos de las tuberías.")</f>
        <v>Él está saltando en el aire y haciendo trucos de las tuberías.</v>
      </c>
    </row>
    <row r="26897">
      <c r="A26897" s="4" t="s">
        <v>33853</v>
      </c>
      <c r="B26897" s="4" t="s">
        <v>33854</v>
      </c>
      <c r="C26897" s="5" t="str">
        <f>IFERROR(__xludf.DUMMYFUNCTION("GOOGLETRANSLATE(B26897,""en"",""es-ES"")"),"Un hombre camina mientras ajusta un cinturón, con muchas otras personas en la habitación.")</f>
        <v>Un hombre camina mientras ajusta un cinturón, con muchas otras personas en la habitación.</v>
      </c>
    </row>
    <row r="26898">
      <c r="A26898" s="4" t="s">
        <v>33853</v>
      </c>
      <c r="B26898" s="4" t="s">
        <v>33855</v>
      </c>
      <c r="C26898" s="5" t="str">
        <f>IFERROR(__xludf.DUMMYFUNCTION("GOOGLETRANSLATE(B26898,""en"",""es-ES"")"),"El hombre camina a través de un túnel flanqueado por varios otros hombres.")</f>
        <v>El hombre camina a través de un túnel flanqueado por varios otros hombres.</v>
      </c>
    </row>
    <row r="26899">
      <c r="A26899" s="4" t="s">
        <v>33853</v>
      </c>
      <c r="B26899" s="4" t="s">
        <v>33856</v>
      </c>
      <c r="C26899" s="5" t="str">
        <f>IFERROR(__xludf.DUMMYFUNCTION("GOOGLETRANSLATE(B26899,""en"",""es-ES"")"),"El hombre sube a un escenario y polventa las manos.")</f>
        <v>El hombre sube a un escenario y polventa las manos.</v>
      </c>
    </row>
    <row r="26900">
      <c r="A26900" s="4" t="s">
        <v>33853</v>
      </c>
      <c r="B26900" s="4" t="s">
        <v>33857</v>
      </c>
      <c r="C26900" s="5" t="str">
        <f>IFERROR(__xludf.DUMMYFUNCTION("GOOGLETRANSLATE(B26900,""en"",""es-ES"")"),"El hombre camina antes de una barra con pesas.")</f>
        <v>El hombre camina antes de una barra con pesas.</v>
      </c>
    </row>
    <row r="26901">
      <c r="A26901" s="4" t="s">
        <v>33853</v>
      </c>
      <c r="B26901" s="4" t="s">
        <v>33858</v>
      </c>
      <c r="C26901" s="5" t="str">
        <f>IFERROR(__xludf.DUMMYFUNCTION("GOOGLETRANSLATE(B26901,""en"",""es-ES"")"),"El hombre levanta los pesos.")</f>
        <v>El hombre levanta los pesos.</v>
      </c>
    </row>
    <row r="26902">
      <c r="A26902" s="4" t="s">
        <v>33853</v>
      </c>
      <c r="B26902" s="4" t="s">
        <v>33859</v>
      </c>
      <c r="C26902" s="5" t="str">
        <f>IFERROR(__xludf.DUMMYFUNCTION("GOOGLETRANSLATE(B26902,""en"",""es-ES"")"),"El hombre deja caer los pesos.")</f>
        <v>El hombre deja caer los pesos.</v>
      </c>
    </row>
    <row r="26903">
      <c r="A26903" s="4" t="s">
        <v>33853</v>
      </c>
      <c r="B26903" s="4" t="s">
        <v>33860</v>
      </c>
      <c r="C26903" s="5" t="str">
        <f>IFERROR(__xludf.DUMMYFUNCTION("GOOGLETRANSLATE(B26903,""en"",""es-ES"")"),"El hombre sale del escenario a medida que los asistentes se mueven al peso en el escenario.")</f>
        <v>El hombre sale del escenario a medida que los asistentes se mueven al peso en el escenario.</v>
      </c>
    </row>
    <row r="26904">
      <c r="A26904" s="4" t="s">
        <v>33853</v>
      </c>
      <c r="B26904" s="4" t="s">
        <v>33861</v>
      </c>
      <c r="C26904" s="5" t="str">
        <f>IFERROR(__xludf.DUMMYFUNCTION("GOOGLETRANSLATE(B26904,""en"",""es-ES"")"),"Una repetición del elevador se muestra desde un ángulo diferente.")</f>
        <v>Una repetición del elevador se muestra desde un ángulo diferente.</v>
      </c>
    </row>
    <row r="26905">
      <c r="A26905" s="4" t="s">
        <v>33862</v>
      </c>
      <c r="B26905" s="4" t="s">
        <v>33863</v>
      </c>
      <c r="C26905" s="5" t="str">
        <f>IFERROR(__xludf.DUMMYFUNCTION("GOOGLETRANSLATE(B26905,""en"",""es-ES"")"),"Una dama está de pie en la mesa con ingredientes en la mesa.")</f>
        <v>Una dama está de pie en la mesa con ingredientes en la mesa.</v>
      </c>
    </row>
    <row r="26906">
      <c r="A26906" s="4" t="s">
        <v>33862</v>
      </c>
      <c r="B26906" s="4" t="s">
        <v>33864</v>
      </c>
      <c r="C26906" s="5" t="str">
        <f>IFERROR(__xludf.DUMMYFUNCTION("GOOGLETRANSLATE(B26906,""en"",""es-ES"")"),"La mujer apuntó a los ingredientes como pimientos rojos, apio, zanahorias, pechuga de pollo, aceitunas, gherkins en escabeche, aceite de oliva en la botella, vino blanco en la botella, mayonesa, mostaza y gruyere, sal y pimienta.")</f>
        <v>La mujer apuntó a los ingredientes como pimientos rojos, apio, zanahorias, pechuga de pollo, aceitunas, gherkins en escabeche, aceite de oliva en la botella, vino blanco en la botella, mayonesa, mostaza y gruyere, sal y pimienta.</v>
      </c>
    </row>
    <row r="26907">
      <c r="A26907" s="4" t="s">
        <v>33862</v>
      </c>
      <c r="B26907" s="4" t="s">
        <v>33865</v>
      </c>
      <c r="C26907" s="5" t="str">
        <f>IFERROR(__xludf.DUMMYFUNCTION("GOOGLETRANSLATE(B26907,""en"",""es-ES"")"),"La señora tocó los ingredientes en los platos, luego cortó el pollo, colocó la mostaza, la mayonesa y el aceite de oliva en un tazón, luego agregó las verduras, y luego el plato se muestra con la ensalada de pollo.")</f>
        <v>La señora tocó los ingredientes en los platos, luego cortó el pollo, colocó la mostaza, la mayonesa y el aceite de oliva en un tazón, luego agregó las verduras, y luego el plato se muestra con la ensalada de pollo.</v>
      </c>
    </row>
    <row r="26908">
      <c r="A26908" s="4" t="s">
        <v>33866</v>
      </c>
      <c r="B26908" s="4" t="s">
        <v>33867</v>
      </c>
      <c r="C26908" s="5" t="str">
        <f>IFERROR(__xludf.DUMMYFUNCTION("GOOGLETRANSLATE(B26908,""en"",""es-ES"")"),"Un piloto de kayak remar contra la corriente y maniobra de un lado a otro con sus caderas y remo.")</f>
        <v>Un piloto de kayak remar contra la corriente y maniobra de un lado a otro con sus caderas y remo.</v>
      </c>
    </row>
    <row r="26909">
      <c r="A26909" s="4" t="s">
        <v>33866</v>
      </c>
      <c r="B26909" s="4" t="s">
        <v>33868</v>
      </c>
      <c r="C26909" s="5" t="str">
        <f>IFERROR(__xludf.DUMMYFUNCTION("GOOGLETRANSLATE(B26909,""en"",""es-ES"")"),"El jinete de kayak se sumerge en el agua y se recupera.")</f>
        <v>El jinete de kayak se sumerge en el agua y se recupera.</v>
      </c>
    </row>
    <row r="26910">
      <c r="A26910" s="4" t="s">
        <v>33869</v>
      </c>
      <c r="B26910" s="4" t="s">
        <v>33870</v>
      </c>
      <c r="C26910" s="5" t="str">
        <f>IFERROR(__xludf.DUMMYFUNCTION("GOOGLETRANSLATE(B26910,""en"",""es-ES"")"),"Se está llevando a cabo un juego entre Argentina y Perú.")</f>
        <v>Se está llevando a cabo un juego entre Argentina y Perú.</v>
      </c>
    </row>
    <row r="26911">
      <c r="A26911" s="4" t="s">
        <v>33869</v>
      </c>
      <c r="B26911" s="4" t="s">
        <v>33871</v>
      </c>
      <c r="C26911" s="5" t="str">
        <f>IFERROR(__xludf.DUMMYFUNCTION("GOOGLETRANSLATE(B26911,""en"",""es-ES"")"),"La gente en los puestos llenos de gente se reúne y se dispersan.")</f>
        <v>La gente en los puestos llenos de gente se reúne y se dispersan.</v>
      </c>
    </row>
    <row r="26912">
      <c r="A26912" s="4" t="s">
        <v>33869</v>
      </c>
      <c r="B26912" s="4" t="s">
        <v>33872</v>
      </c>
      <c r="C26912" s="5" t="str">
        <f>IFERROR(__xludf.DUMMYFUNCTION("GOOGLETRANSLATE(B26912,""en"",""es-ES"")"),"Los hombres se muestran en la cancha, jugando y pateando la pelota.")</f>
        <v>Los hombres se muestran en la cancha, jugando y pateando la pelota.</v>
      </c>
    </row>
    <row r="26913">
      <c r="A26913" s="4" t="s">
        <v>33869</v>
      </c>
      <c r="B26913" s="4" t="s">
        <v>33873</v>
      </c>
      <c r="C26913" s="5" t="str">
        <f>IFERROR(__xludf.DUMMYFUNCTION("GOOGLETRANSLATE(B26913,""en"",""es-ES"")"),"El marcador se muestra para comparación a medida que termina el juego.")</f>
        <v>El marcador se muestra para comparación a medida que termina el juego.</v>
      </c>
    </row>
    <row r="26914">
      <c r="A26914" s="4" t="s">
        <v>33874</v>
      </c>
      <c r="B26914" s="4" t="s">
        <v>33875</v>
      </c>
      <c r="C26914" s="5" t="str">
        <f>IFERROR(__xludf.DUMMYFUNCTION("GOOGLETRANSLATE(B26914,""en"",""es-ES"")"),"Se ve un techo grande de cerca seguido de una persona parada sobre una escalera y empujando las baldosas.")</f>
        <v>Se ve un techo grande de cerca seguido de una persona parada sobre una escalera y empujando las baldosas.</v>
      </c>
    </row>
    <row r="26915">
      <c r="A26915" s="4" t="s">
        <v>33874</v>
      </c>
      <c r="B26915" s="4" t="s">
        <v>33876</v>
      </c>
      <c r="C26915" s="5" t="str">
        <f>IFERROR(__xludf.DUMMYFUNCTION("GOOGLETRANSLATE(B26915,""en"",""es-ES"")"),"Se ve a más personas trabajando en el techo que golpea las baldosas y las empujan y habla con la cámara.")</f>
        <v>Se ve a más personas trabajando en el techo que golpea las baldosas y las empujan y habla con la cámara.</v>
      </c>
    </row>
    <row r="26916">
      <c r="A26916" s="4" t="s">
        <v>33874</v>
      </c>
      <c r="B26916" s="4" t="s">
        <v>33877</v>
      </c>
      <c r="C26916" s="5" t="str">
        <f>IFERROR(__xludf.DUMMYFUNCTION("GOOGLETRANSLATE(B26916,""en"",""es-ES"")"),"La cámara continúa pasando por todo el techo, así como los edificios a su alrededor y los hombres continúan trabajando.")</f>
        <v>La cámara continúa pasando por todo el techo, así como los edificios a su alrededor y los hombres continúan trabajando.</v>
      </c>
    </row>
    <row r="26917">
      <c r="A26917" s="4" t="s">
        <v>33878</v>
      </c>
      <c r="B26917" s="4" t="s">
        <v>33879</v>
      </c>
      <c r="C26917" s="5" t="str">
        <f>IFERROR(__xludf.DUMMYFUNCTION("GOOGLETRANSLATE(B26917,""en"",""es-ES"")"),"Una niña está sentada frente a un sofá.")</f>
        <v>Una niña está sentada frente a un sofá.</v>
      </c>
    </row>
    <row r="26918">
      <c r="A26918" s="4" t="s">
        <v>33878</v>
      </c>
      <c r="B26918" s="4" t="s">
        <v>33880</v>
      </c>
      <c r="C26918" s="5" t="str">
        <f>IFERROR(__xludf.DUMMYFUNCTION("GOOGLETRANSLATE(B26918,""en"",""es-ES"")"),"Ella comienza a tocar una flauta.")</f>
        <v>Ella comienza a tocar una flauta.</v>
      </c>
    </row>
    <row r="26919">
      <c r="A26919" s="4" t="s">
        <v>33878</v>
      </c>
      <c r="B26919" s="4" t="s">
        <v>33881</v>
      </c>
      <c r="C26919" s="5" t="str">
        <f>IFERROR(__xludf.DUMMYFUNCTION("GOOGLETRANSLATE(B26919,""en"",""es-ES"")"),"Ella continúa jugando a la flauta blanca mirando hacia abajo.")</f>
        <v>Ella continúa jugando a la flauta blanca mirando hacia abajo.</v>
      </c>
    </row>
    <row r="26920">
      <c r="A26920" s="4" t="s">
        <v>33882</v>
      </c>
      <c r="B26920" s="4" t="s">
        <v>33883</v>
      </c>
      <c r="C26920" s="5" t="str">
        <f>IFERROR(__xludf.DUMMYFUNCTION("GOOGLETRANSLATE(B26920,""en"",""es-ES"")"),"Un hombre se para frente a una pared llena de productos para el cabello.")</f>
        <v>Un hombre se para frente a una pared llena de productos para el cabello.</v>
      </c>
    </row>
    <row r="26921">
      <c r="A26921" s="4" t="s">
        <v>33882</v>
      </c>
      <c r="B26921" s="4" t="s">
        <v>33884</v>
      </c>
      <c r="C26921" s="5" t="str">
        <f>IFERROR(__xludf.DUMMYFUNCTION("GOOGLETRANSLATE(B26921,""en"",""es-ES"")"),"Varias tijeras y peines se colocan en una estera.")</f>
        <v>Varias tijeras y peines se colocan en una estera.</v>
      </c>
    </row>
    <row r="26922">
      <c r="A26922" s="4" t="s">
        <v>33882</v>
      </c>
      <c r="B26922" s="4" t="s">
        <v>33885</v>
      </c>
      <c r="C26922" s="5" t="str">
        <f>IFERROR(__xludf.DUMMYFUNCTION("GOOGLETRANSLATE(B26922,""en"",""es-ES"")"),"La toallas del estilista del salón se frota los productos para el cabello a través del cabello del hombre con las manos.")</f>
        <v>La toallas del estilista del salón se frota los productos para el cabello a través del cabello del hombre con las manos.</v>
      </c>
    </row>
    <row r="26923">
      <c r="A26923" s="4" t="s">
        <v>33882</v>
      </c>
      <c r="B26923" s="4" t="s">
        <v>33886</v>
      </c>
      <c r="C26923" s="5" t="str">
        <f>IFERROR(__xludf.DUMMYFUNCTION("GOOGLETRANSLATE(B26923,""en"",""es-ES"")"),"El estilista saca el cabello de las personas y lo corta con tijeras.")</f>
        <v>El estilista saca el cabello de las personas y lo corta con tijeras.</v>
      </c>
    </row>
    <row r="26924">
      <c r="A26924" s="4" t="s">
        <v>33882</v>
      </c>
      <c r="B26924" s="4" t="s">
        <v>33887</v>
      </c>
      <c r="C26924" s="5" t="str">
        <f>IFERROR(__xludf.DUMMYFUNCTION("GOOGLETRANSLATE(B26924,""en"",""es-ES"")"),"El estilista recorta las patillas y alrededor de las orejas.")</f>
        <v>El estilista recorta las patillas y alrededor de las orejas.</v>
      </c>
    </row>
    <row r="26925">
      <c r="A26925" s="4" t="s">
        <v>33882</v>
      </c>
      <c r="B26925" s="4" t="s">
        <v>33888</v>
      </c>
      <c r="C26925" s="5" t="str">
        <f>IFERROR(__xludf.DUMMYFUNCTION("GOOGLETRANSLATE(B26925,""en"",""es-ES"")"),"El estilista usa sus manos para peinar el cabello y soplarlo cuando termina de cortar para que la persona lo vea.")</f>
        <v>El estilista usa sus manos para peinar el cabello y soplarlo cuando termina de cortar para que la persona lo vea.</v>
      </c>
    </row>
    <row r="26926">
      <c r="A26926" s="4" t="s">
        <v>33889</v>
      </c>
      <c r="B26926" s="4" t="s">
        <v>33890</v>
      </c>
      <c r="C26926" s="5" t="str">
        <f>IFERROR(__xludf.DUMMYFUNCTION("GOOGLETRANSLATE(B26926,""en"",""es-ES"")"),"Vemos a un hombre sonriente con créditos que se ejecutan en la pantalla.")</f>
        <v>Vemos a un hombre sonriente con créditos que se ejecutan en la pantalla.</v>
      </c>
    </row>
    <row r="26927">
      <c r="A26927" s="4" t="s">
        <v>33889</v>
      </c>
      <c r="B26927" s="4" t="s">
        <v>33891</v>
      </c>
      <c r="C26927" s="5" t="str">
        <f>IFERROR(__xludf.DUMMYFUNCTION("GOOGLETRANSLATE(B26927,""en"",""es-ES"")"),"Vemos una pantalla de instrucción.")</f>
        <v>Vemos una pantalla de instrucción.</v>
      </c>
    </row>
    <row r="26928">
      <c r="A26928" s="4" t="s">
        <v>33889</v>
      </c>
      <c r="B26928" s="4" t="s">
        <v>33892</v>
      </c>
      <c r="C26928" s="5" t="str">
        <f>IFERROR(__xludf.DUMMYFUNCTION("GOOGLETRANSLATE(B26928,""en"",""es-ES"")"),"Vemos a dos hombres jugando un juego de squash.")</f>
        <v>Vemos a dos hombres jugando un juego de squash.</v>
      </c>
    </row>
    <row r="26929">
      <c r="A26929" s="4" t="s">
        <v>33889</v>
      </c>
      <c r="B26929" s="4" t="s">
        <v>5107</v>
      </c>
      <c r="C26929" s="5" t="str">
        <f>IFERROR(__xludf.DUMMYFUNCTION("GOOGLETRANSLATE(B26929,""en"",""es-ES"")"),"Luego vemos la pantalla de título final.")</f>
        <v>Luego vemos la pantalla de título final.</v>
      </c>
    </row>
    <row r="26930">
      <c r="A26930" s="4" t="s">
        <v>33893</v>
      </c>
      <c r="B26930" s="4" t="s">
        <v>33894</v>
      </c>
      <c r="C26930" s="5" t="str">
        <f>IFERROR(__xludf.DUMMYFUNCTION("GOOGLETRANSLATE(B26930,""en"",""es-ES"")"),"La mujer está comiendo hojuelas de salvado y poniendo un poco de rímel, lavándose los dientes y limpiando la boca con enjuague bucal.")</f>
        <v>La mujer está comiendo hojuelas de salvado y poniendo un poco de rímel, lavándose los dientes y limpiando la boca con enjuague bucal.</v>
      </c>
    </row>
    <row r="26931">
      <c r="A26931" s="4" t="s">
        <v>33893</v>
      </c>
      <c r="B26931" s="4" t="s">
        <v>33895</v>
      </c>
      <c r="C26931" s="5" t="str">
        <f>IFERROR(__xludf.DUMMYFUNCTION("GOOGLETRANSLATE(B26931,""en"",""es-ES"")"),"Los periodistas están hablando en las noticias.")</f>
        <v>Los periodistas están hablando en las noticias.</v>
      </c>
    </row>
    <row r="26932">
      <c r="A26932" s="4" t="s">
        <v>33896</v>
      </c>
      <c r="B26932" s="4" t="s">
        <v>33897</v>
      </c>
      <c r="C26932" s="5" t="str">
        <f>IFERROR(__xludf.DUMMYFUNCTION("GOOGLETRANSLATE(B26932,""en"",""es-ES"")"),"Una mujer está lavando las manos sobre un fregadero.")</f>
        <v>Una mujer está lavando las manos sobre un fregadero.</v>
      </c>
    </row>
    <row r="26933">
      <c r="A26933" s="4" t="s">
        <v>33896</v>
      </c>
      <c r="B26933" s="4" t="s">
        <v>33898</v>
      </c>
      <c r="C26933" s="5" t="str">
        <f>IFERROR(__xludf.DUMMYFUNCTION("GOOGLETRANSLATE(B26933,""en"",""es-ES"")"),"Ella enjuague sus manos en el fregadero.")</f>
        <v>Ella enjuague sus manos en el fregadero.</v>
      </c>
    </row>
    <row r="26934">
      <c r="A26934" s="4" t="s">
        <v>33896</v>
      </c>
      <c r="B26934" s="4" t="s">
        <v>33899</v>
      </c>
      <c r="C26934" s="5" t="str">
        <f>IFERROR(__xludf.DUMMYFUNCTION("GOOGLETRANSLATE(B26934,""en"",""es-ES"")"),"Ella agarra una toalla de papel y seca las manos.")</f>
        <v>Ella agarra una toalla de papel y seca las manos.</v>
      </c>
    </row>
    <row r="26935">
      <c r="A26935" s="4" t="s">
        <v>33900</v>
      </c>
      <c r="B26935" s="4" t="s">
        <v>33901</v>
      </c>
      <c r="C26935" s="5" t="str">
        <f>IFERROR(__xludf.DUMMYFUNCTION("GOOGLETRANSLATE(B26935,""en"",""es-ES"")"),"Vemos la pantalla del título en Gray.")</f>
        <v>Vemos la pantalla del título en Gray.</v>
      </c>
    </row>
    <row r="26936">
      <c r="A26936" s="4" t="s">
        <v>33900</v>
      </c>
      <c r="B26936" s="4" t="s">
        <v>33902</v>
      </c>
      <c r="C26936" s="5" t="str">
        <f>IFERROR(__xludf.DUMMYFUNCTION("GOOGLETRANSLATE(B26936,""en"",""es-ES"")"),"Dos hombres están jugando squash.")</f>
        <v>Dos hombres están jugando squash.</v>
      </c>
    </row>
    <row r="26937">
      <c r="A26937" s="4" t="s">
        <v>33900</v>
      </c>
      <c r="B26937" s="4" t="s">
        <v>33903</v>
      </c>
      <c r="C26937" s="5" t="str">
        <f>IFERROR(__xludf.DUMMYFUNCTION("GOOGLETRANSLATE(B26937,""en"",""es-ES"")"),"Vemos una transición instando a la práctica.")</f>
        <v>Vemos una transición instando a la práctica.</v>
      </c>
    </row>
    <row r="26938">
      <c r="A26938" s="4" t="s">
        <v>33900</v>
      </c>
      <c r="B26938" s="4" t="s">
        <v>33904</v>
      </c>
      <c r="C26938" s="5" t="str">
        <f>IFERROR(__xludf.DUMMYFUNCTION("GOOGLETRANSLATE(B26938,""en"",""es-ES"")"),"Una transición comienza pero no cambia a nada.")</f>
        <v>Una transición comienza pero no cambia a nada.</v>
      </c>
    </row>
    <row r="26939">
      <c r="A26939" s="4" t="s">
        <v>33900</v>
      </c>
      <c r="B26939" s="4" t="s">
        <v>33905</v>
      </c>
      <c r="C26939" s="5" t="str">
        <f>IFERROR(__xludf.DUMMYFUNCTION("GOOGLETRANSLATE(B26939,""en"",""es-ES"")"),"El hombre de blanco se limpia la frente con la manga.")</f>
        <v>El hombre de blanco se limpia la frente con la manga.</v>
      </c>
    </row>
    <row r="26940">
      <c r="A26940" s="4" t="s">
        <v>33900</v>
      </c>
      <c r="B26940" s="4" t="s">
        <v>33906</v>
      </c>
      <c r="C26940" s="5" t="str">
        <f>IFERROR(__xludf.DUMMYFUNCTION("GOOGLETRANSLATE(B26940,""en"",""es-ES"")"),"Los créditos finales ejecutan la pantalla.")</f>
        <v>Los créditos finales ejecutan la pantalla.</v>
      </c>
    </row>
    <row r="26941">
      <c r="A26941" s="4" t="s">
        <v>33907</v>
      </c>
      <c r="B26941" s="4" t="s">
        <v>33908</v>
      </c>
      <c r="C26941" s="5" t="str">
        <f>IFERROR(__xludf.DUMMYFUNCTION("GOOGLETRANSLATE(B26941,""en"",""es-ES"")"),"Una mujer está arrodillada en el suelo al lado de un escritorio.")</f>
        <v>Una mujer está arrodillada en el suelo al lado de un escritorio.</v>
      </c>
    </row>
    <row r="26942">
      <c r="A26942" s="4" t="s">
        <v>33907</v>
      </c>
      <c r="B26942" s="4" t="s">
        <v>33909</v>
      </c>
      <c r="C26942" s="5" t="str">
        <f>IFERROR(__xludf.DUMMYFUNCTION("GOOGLETRANSLATE(B26942,""en"",""es-ES"")"),"Ella comienza a pintar el escritorio de blanco con un pincel.")</f>
        <v>Ella comienza a pintar el escritorio de blanco con un pincel.</v>
      </c>
    </row>
    <row r="26943">
      <c r="A26943" s="4" t="s">
        <v>33907</v>
      </c>
      <c r="B26943" s="4" t="s">
        <v>33910</v>
      </c>
      <c r="C26943" s="5" t="str">
        <f>IFERROR(__xludf.DUMMYFUNCTION("GOOGLETRANSLATE(B26943,""en"",""es-ES"")"),"Luego comienza a pintar dos de los cajones de naranja.")</f>
        <v>Luego comienza a pintar dos de los cajones de naranja.</v>
      </c>
    </row>
    <row r="26944">
      <c r="A26944" s="4" t="s">
        <v>33911</v>
      </c>
      <c r="B26944" s="4" t="s">
        <v>33912</v>
      </c>
      <c r="C26944" s="5" t="str">
        <f>IFERROR(__xludf.DUMMYFUNCTION("GOOGLETRANSLATE(B26944,""en"",""es-ES"")"),"Los hombres se turnan para lanzar dardos a un tablero de dardos.")</f>
        <v>Los hombres se turnan para lanzar dardos a un tablero de dardos.</v>
      </c>
    </row>
    <row r="26945">
      <c r="A26945" s="4" t="s">
        <v>33911</v>
      </c>
      <c r="B26945" s="4" t="s">
        <v>33913</v>
      </c>
      <c r="C26945" s="5" t="str">
        <f>IFERROR(__xludf.DUMMYFUNCTION("GOOGLETRANSLATE(B26945,""en"",""es-ES"")"),"Una mujer en la multitud aplaude para ellos.")</f>
        <v>Una mujer en la multitud aplaude para ellos.</v>
      </c>
    </row>
    <row r="26946">
      <c r="A26946" s="4" t="s">
        <v>33911</v>
      </c>
      <c r="B26946" s="4" t="s">
        <v>33914</v>
      </c>
      <c r="C26946" s="5" t="str">
        <f>IFERROR(__xludf.DUMMYFUNCTION("GOOGLETRANSLATE(B26946,""en"",""es-ES"")"),"Un hombre toma una copa de un vaso.")</f>
        <v>Un hombre toma una copa de un vaso.</v>
      </c>
    </row>
    <row r="26947">
      <c r="A26947" s="4" t="s">
        <v>33915</v>
      </c>
      <c r="B26947" s="4" t="s">
        <v>33916</v>
      </c>
      <c r="C26947" s="5" t="str">
        <f>IFERROR(__xludf.DUMMYFUNCTION("GOOGLETRANSLATE(B26947,""en"",""es-ES"")"),"Una persona está remando al borde de un bote.")</f>
        <v>Una persona está remando al borde de un bote.</v>
      </c>
    </row>
    <row r="26948">
      <c r="A26948" s="4" t="s">
        <v>33915</v>
      </c>
      <c r="B26948" s="4" t="s">
        <v>33917</v>
      </c>
      <c r="C26948" s="5" t="str">
        <f>IFERROR(__xludf.DUMMYFUNCTION("GOOGLETRANSLATE(B26948,""en"",""es-ES"")"),"La persona saca un gancho de pesca.")</f>
        <v>La persona saca un gancho de pesca.</v>
      </c>
    </row>
    <row r="26949">
      <c r="A26949" s="4" t="s">
        <v>33915</v>
      </c>
      <c r="B26949" s="4" t="s">
        <v>33918</v>
      </c>
      <c r="C26949" s="5" t="str">
        <f>IFERROR(__xludf.DUMMYFUNCTION("GOOGLETRANSLATE(B26949,""en"",""es-ES"")"),"La persona comienza a pescar en su límite.")</f>
        <v>La persona comienza a pescar en su límite.</v>
      </c>
    </row>
    <row r="26950">
      <c r="A26950" s="4" t="s">
        <v>33919</v>
      </c>
      <c r="B26950" s="4" t="s">
        <v>33920</v>
      </c>
      <c r="C26950" s="5" t="str">
        <f>IFERROR(__xludf.DUMMYFUNCTION("GOOGLETRANSLATE(B26950,""en"",""es-ES"")"),"Se ve a una mujer realizando una rutina de baile del vientre en un gran escenario con otras personas mirando a los lados.")</f>
        <v>Se ve a una mujer realizando una rutina de baile del vientre en un gran escenario con otras personas mirando a los lados.</v>
      </c>
    </row>
    <row r="26951">
      <c r="A26951" s="4" t="s">
        <v>33919</v>
      </c>
      <c r="B26951" s="4" t="s">
        <v>33921</v>
      </c>
      <c r="C26951" s="5" t="str">
        <f>IFERROR(__xludf.DUMMYFUNCTION("GOOGLETRANSLATE(B26951,""en"",""es-ES"")"),"La mujer continúa bailando y girando por el escenario y termina con ella posando y saliendo.")</f>
        <v>La mujer continúa bailando y girando por el escenario y termina con ella posando y saliendo.</v>
      </c>
    </row>
    <row r="26952">
      <c r="A26952" s="4" t="s">
        <v>33922</v>
      </c>
      <c r="B26952" s="4" t="s">
        <v>33923</v>
      </c>
      <c r="C26952" s="5" t="str">
        <f>IFERROR(__xludf.DUMMYFUNCTION("GOOGLETRANSLATE(B26952,""en"",""es-ES"")"),"Hay un grupo de estudiantes de la banda de marcha tocando las trompetas.")</f>
        <v>Hay un grupo de estudiantes de la banda de marcha tocando las trompetas.</v>
      </c>
    </row>
    <row r="26953">
      <c r="A26953" s="4" t="s">
        <v>33922</v>
      </c>
      <c r="B26953" s="4" t="s">
        <v>33924</v>
      </c>
      <c r="C26953" s="5" t="str">
        <f>IFERROR(__xludf.DUMMYFUNCTION("GOOGLETRANSLATE(B26953,""en"",""es-ES"")"),"Están vestidos con uniformes de color marrón y amarillo y sombreros blancos.")</f>
        <v>Están vestidos con uniformes de color marrón y amarillo y sombreros blancos.</v>
      </c>
    </row>
    <row r="26954">
      <c r="A26954" s="4" t="s">
        <v>33922</v>
      </c>
      <c r="B26954" s="4" t="s">
        <v>33925</v>
      </c>
      <c r="C26954" s="5" t="str">
        <f>IFERROR(__xludf.DUMMYFUNCTION("GOOGLETRANSLATE(B26954,""en"",""es-ES"")"),"Hay algunos estudiantes tocando la batería y algunos estudiantes tocan la trompeta.")</f>
        <v>Hay algunos estudiantes tocando la batería y algunos estudiantes tocan la trompeta.</v>
      </c>
    </row>
    <row r="26955">
      <c r="A26955" s="4" t="s">
        <v>33922</v>
      </c>
      <c r="B26955" s="4" t="s">
        <v>33926</v>
      </c>
      <c r="C26955" s="5" t="str">
        <f>IFERROR(__xludf.DUMMYFUNCTION("GOOGLETRANSLATE(B26955,""en"",""es-ES"")"),"Continúan tocando la banda mientras marchan por las calles.")</f>
        <v>Continúan tocando la banda mientras marchan por las calles.</v>
      </c>
    </row>
    <row r="26956">
      <c r="A26956" s="4" t="s">
        <v>33927</v>
      </c>
      <c r="B26956" s="4" t="s">
        <v>33928</v>
      </c>
      <c r="C26956" s="5" t="str">
        <f>IFERROR(__xludf.DUMMYFUNCTION("GOOGLETRANSLATE(B26956,""en"",""es-ES"")"),"Un luchador está saliendo y se mete en el ring.")</f>
        <v>Un luchador está saliendo y se mete en el ring.</v>
      </c>
    </row>
    <row r="26957">
      <c r="A26957" s="4" t="s">
        <v>33927</v>
      </c>
      <c r="B26957" s="4" t="s">
        <v>33929</v>
      </c>
      <c r="C26957" s="5" t="str">
        <f>IFERROR(__xludf.DUMMYFUNCTION("GOOGLETRANSLATE(B26957,""en"",""es-ES"")"),"Alguien está acostado en su estómago haciendo un tatuaje en la espalda.")</f>
        <v>Alguien está acostado en su estómago haciendo un tatuaje en la espalda.</v>
      </c>
    </row>
    <row r="26958">
      <c r="A26958" s="4" t="s">
        <v>33927</v>
      </c>
      <c r="B26958" s="4" t="s">
        <v>33930</v>
      </c>
      <c r="C26958" s="5" t="str">
        <f>IFERROR(__xludf.DUMMYFUNCTION("GOOGLETRANSLATE(B26958,""en"",""es-ES"")"),"Un hombre con una camisa roja está tatuando al hombre acostado.")</f>
        <v>Un hombre con una camisa roja está tatuando al hombre acostado.</v>
      </c>
    </row>
    <row r="26959">
      <c r="A26959" s="4" t="s">
        <v>33927</v>
      </c>
      <c r="B26959" s="4" t="s">
        <v>33931</v>
      </c>
      <c r="C26959" s="5" t="str">
        <f>IFERROR(__xludf.DUMMYFUNCTION("GOOGLETRANSLATE(B26959,""en"",""es-ES"")"),"El luchador se muestra nuevamente.")</f>
        <v>El luchador se muestra nuevamente.</v>
      </c>
    </row>
    <row r="26960">
      <c r="A26960" s="4" t="s">
        <v>33932</v>
      </c>
      <c r="B26960" s="4" t="s">
        <v>33933</v>
      </c>
      <c r="C26960" s="5" t="str">
        <f>IFERROR(__xludf.DUMMYFUNCTION("GOOGLETRANSLATE(B26960,""en"",""es-ES"")"),"Un actor, Jason Stathom, está sentado en una silla reclinable azul que habla de un presentador de televisión nocturno con el nombre de Jimmy Fallon, que está sentado detrás de un escritorio.")</f>
        <v>Un actor, Jason Stathom, está sentado en una silla reclinable azul que habla de un presentador de televisión nocturno con el nombre de Jimmy Fallon, que está sentado detrás de un escritorio.</v>
      </c>
    </row>
    <row r="26961">
      <c r="A26961" s="4" t="s">
        <v>33932</v>
      </c>
      <c r="B26961" s="4" t="s">
        <v>33934</v>
      </c>
      <c r="C26961" s="5" t="str">
        <f>IFERROR(__xludf.DUMMYFUNCTION("GOOGLETRANSLATE(B26961,""en"",""es-ES"")"),"Los dos continúan hablando y luego ambos se ponen de pie de manera bromeada y caminan hacia una mesa.")</f>
        <v>Los dos continúan hablando y luego ambos se ponen de pie de manera bromeada y caminan hacia una mesa.</v>
      </c>
    </row>
    <row r="26962">
      <c r="A26962" s="4" t="s">
        <v>33932</v>
      </c>
      <c r="B26962" s="4" t="s">
        <v>33935</v>
      </c>
      <c r="C26962" s="5" t="str">
        <f>IFERROR(__xludf.DUMMYFUNCTION("GOOGLETRANSLATE(B26962,""en"",""es-ES"")"),"Ambos se paran en los extremos de la mesa y comienzan a la lucha contra el brazo y hablan.")</f>
        <v>Ambos se paran en los extremos de la mesa y comienzan a la lucha contra el brazo y hablan.</v>
      </c>
    </row>
    <row r="26963">
      <c r="A26963" s="4" t="s">
        <v>33932</v>
      </c>
      <c r="B26963" s="4" t="s">
        <v>33936</v>
      </c>
      <c r="C26963" s="5" t="str">
        <f>IFERROR(__xludf.DUMMYFUNCTION("GOOGLETRANSLATE(B26963,""en"",""es-ES"")"),"Después de un largo período de tiempo, el actor gana y comienza a animarse a sí mismo.")</f>
        <v>Después de un largo período de tiempo, el actor gana y comienza a animarse a sí mismo.</v>
      </c>
    </row>
    <row r="26964">
      <c r="A26964" s="4" t="s">
        <v>33937</v>
      </c>
      <c r="B26964" s="4" t="s">
        <v>33938</v>
      </c>
      <c r="C26964" s="5" t="str">
        <f>IFERROR(__xludf.DUMMYFUNCTION("GOOGLETRANSLATE(B26964,""en"",""es-ES"")"),"Una mujer con camisa blanca posa con su cabello corto.")</f>
        <v>Una mujer con camisa blanca posa con su cabello corto.</v>
      </c>
    </row>
    <row r="26965">
      <c r="A26965" s="4" t="s">
        <v>33937</v>
      </c>
      <c r="B26965" s="4" t="s">
        <v>33939</v>
      </c>
      <c r="C26965" s="5" t="str">
        <f>IFERROR(__xludf.DUMMYFUNCTION("GOOGLETRANSLATE(B26965,""en"",""es-ES"")"),"Un hombre con camisa blanca está cortando el cabello de la niña en un estudio con fondo blanco, luego trenzó la parte posterior de su cabello y luego continúa cortando y peinando el cabello de la niña.")</f>
        <v>Un hombre con camisa blanca está cortando el cabello de la niña en un estudio con fondo blanco, luego trenzó la parte posterior de su cabello y luego continúa cortando y peinando el cabello de la niña.</v>
      </c>
    </row>
    <row r="26966">
      <c r="A26966" s="4" t="s">
        <v>33940</v>
      </c>
      <c r="B26966" s="4" t="s">
        <v>33941</v>
      </c>
      <c r="C26966" s="5" t="str">
        <f>IFERROR(__xludf.DUMMYFUNCTION("GOOGLETRANSLATE(B26966,""en"",""es-ES"")"),"Se ve a un hombre arrodillado en un piso seguido de disparos de él poniendo yeso y azulejos hacia abajo.")</f>
        <v>Se ve a un hombre arrodillado en un piso seguido de disparos de él poniendo yeso y azulejos hacia abajo.</v>
      </c>
    </row>
    <row r="26967">
      <c r="A26967" s="4" t="s">
        <v>33940</v>
      </c>
      <c r="B26967" s="4" t="s">
        <v>33942</v>
      </c>
      <c r="C26967" s="5" t="str">
        <f>IFERROR(__xludf.DUMMYFUNCTION("GOOGLETRANSLATE(B26967,""en"",""es-ES"")"),"Luego perfora un cubo y coloca yeso, así como colocando fichas en el piso una vez más y mostrando más disparos de él trabajando al final.")</f>
        <v>Luego perfora un cubo y coloca yeso, así como colocando fichas en el piso una vez más y mostrando más disparos de él trabajando al final.</v>
      </c>
    </row>
    <row r="26968">
      <c r="A26968" s="4" t="s">
        <v>33943</v>
      </c>
      <c r="B26968" s="4" t="s">
        <v>33944</v>
      </c>
      <c r="C26968" s="5" t="str">
        <f>IFERROR(__xludf.DUMMYFUNCTION("GOOGLETRANSLATE(B26968,""en"",""es-ES"")"),"Kid está parado frente al escenario interpretando a Congas.")</f>
        <v>Kid está parado frente al escenario interpretando a Congas.</v>
      </c>
    </row>
    <row r="26969">
      <c r="A26969" s="4" t="s">
        <v>33943</v>
      </c>
      <c r="B26969" s="4" t="s">
        <v>33945</v>
      </c>
      <c r="C26969" s="5" t="str">
        <f>IFERROR(__xludf.DUMMYFUNCTION("GOOGLETRANSLATE(B26969,""en"",""es-ES"")"),"Detrás de él hay una niña tocando la pandereta y un niño tocando el triángulo.")</f>
        <v>Detrás de él hay una niña tocando la pandereta y un niño tocando el triángulo.</v>
      </c>
    </row>
    <row r="26970">
      <c r="A26970" s="4" t="s">
        <v>33943</v>
      </c>
      <c r="B26970" s="4" t="s">
        <v>33946</v>
      </c>
      <c r="C26970" s="5" t="str">
        <f>IFERROR(__xludf.DUMMYFUNCTION("GOOGLETRANSLATE(B26970,""en"",""es-ES"")"),"En el fondo, los niños parados en el escenario están tocando la batería.")</f>
        <v>En el fondo, los niños parados en el escenario están tocando la batería.</v>
      </c>
    </row>
    <row r="26971">
      <c r="A26971" s="4" t="s">
        <v>33947</v>
      </c>
      <c r="B26971" s="4" t="s">
        <v>33948</v>
      </c>
      <c r="C26971" s="5" t="str">
        <f>IFERROR(__xludf.DUMMYFUNCTION("GOOGLETRANSLATE(B26971,""en"",""es-ES"")"),"Un hombre está sentado en una mesa.")</f>
        <v>Un hombre está sentado en una mesa.</v>
      </c>
    </row>
    <row r="26972">
      <c r="A26972" s="4" t="s">
        <v>33947</v>
      </c>
      <c r="B26972" s="4" t="s">
        <v>33949</v>
      </c>
      <c r="C26972" s="5" t="str">
        <f>IFERROR(__xludf.DUMMYFUNCTION("GOOGLETRANSLATE(B26972,""en"",""es-ES"")"),"Una mujer entra en la mesa y cae en sus brazos.")</f>
        <v>Una mujer entra en la mesa y cae en sus brazos.</v>
      </c>
    </row>
    <row r="26973">
      <c r="A26973" s="4" t="s">
        <v>33947</v>
      </c>
      <c r="B26973" s="4" t="s">
        <v>33950</v>
      </c>
      <c r="C26973" s="5" t="str">
        <f>IFERROR(__xludf.DUMMYFUNCTION("GOOGLETRANSLATE(B26973,""en"",""es-ES"")"),"Ella hace una espalda voltea de él al suelo.")</f>
        <v>Ella hace una espalda voltea de él al suelo.</v>
      </c>
    </row>
    <row r="26974">
      <c r="A26974" s="4" t="s">
        <v>33947</v>
      </c>
      <c r="B26974" s="4" t="s">
        <v>33951</v>
      </c>
      <c r="C26974" s="5" t="str">
        <f>IFERROR(__xludf.DUMMYFUNCTION("GOOGLETRANSLATE(B26974,""en"",""es-ES"")"),"Comienzan a bailar en la pista de baile.")</f>
        <v>Comienzan a bailar en la pista de baile.</v>
      </c>
    </row>
    <row r="26975">
      <c r="A26975" s="4" t="s">
        <v>33952</v>
      </c>
      <c r="B26975" s="4" t="s">
        <v>33953</v>
      </c>
      <c r="C26975" s="5" t="str">
        <f>IFERROR(__xludf.DUMMYFUNCTION("GOOGLETRANSLATE(B26975,""en"",""es-ES"")"),"Se ve a un hombre inclinado sobre una cerca y doblando continuamente hacia abajo para sumergir la pintura en un cubo.")</f>
        <v>Se ve a un hombre inclinado sobre una cerca y doblando continuamente hacia abajo para sumergir la pintura en un cubo.</v>
      </c>
    </row>
    <row r="26976">
      <c r="A26976" s="4" t="s">
        <v>33952</v>
      </c>
      <c r="B26976" s="4" t="s">
        <v>33954</v>
      </c>
      <c r="C26976" s="5" t="str">
        <f>IFERROR(__xludf.DUMMYFUNCTION("GOOGLETRANSLATE(B26976,""en"",""es-ES"")"),"La mujer cepilla la cerca continuamente frente a ella mientras la cámara la captura desde atrás.")</f>
        <v>La mujer cepilla la cerca continuamente frente a ella mientras la cámara la captura desde atrás.</v>
      </c>
    </row>
    <row r="26977">
      <c r="A26977" s="4" t="s">
        <v>33955</v>
      </c>
      <c r="B26977" s="4" t="s">
        <v>33956</v>
      </c>
      <c r="C26977" s="5" t="str">
        <f>IFERROR(__xludf.DUMMYFUNCTION("GOOGLETRANSLATE(B26977,""en"",""es-ES"")"),"Los autos y los RV se sientan afuera de un centro de rodeo.")</f>
        <v>Los autos y los RV se sientan afuera de un centro de rodeo.</v>
      </c>
    </row>
    <row r="26978">
      <c r="A26978" s="4" t="s">
        <v>33955</v>
      </c>
      <c r="B26978" s="4" t="s">
        <v>33957</v>
      </c>
      <c r="C26978" s="5" t="str">
        <f>IFERROR(__xludf.DUMMYFUNCTION("GOOGLETRANSLATE(B26978,""en"",""es-ES"")"),"Los vaqueros practican su trabajo de lazo.")</f>
        <v>Los vaqueros practican su trabajo de lazo.</v>
      </c>
    </row>
    <row r="26979">
      <c r="A26979" s="4" t="s">
        <v>33955</v>
      </c>
      <c r="B26979" s="4" t="s">
        <v>33958</v>
      </c>
      <c r="C26979" s="5" t="str">
        <f>IFERROR(__xludf.DUMMYFUNCTION("GOOGLETRANSLATE(B26979,""en"",""es-ES"")"),"La gente compra dentro de la tienda del centro de rodeo.")</f>
        <v>La gente compra dentro de la tienda del centro de rodeo.</v>
      </c>
    </row>
    <row r="26980">
      <c r="A26980" s="4" t="s">
        <v>33955</v>
      </c>
      <c r="B26980" s="4" t="s">
        <v>33959</v>
      </c>
      <c r="C26980" s="5" t="str">
        <f>IFERROR(__xludf.DUMMYFUNCTION("GOOGLETRANSLATE(B26980,""en"",""es-ES"")"),"Un niño pequeño atrapa un ternero.")</f>
        <v>Un niño pequeño atrapa un ternero.</v>
      </c>
    </row>
    <row r="26981">
      <c r="A26981" s="4" t="s">
        <v>33955</v>
      </c>
      <c r="B26981" s="4" t="s">
        <v>33960</v>
      </c>
      <c r="C26981" s="5" t="str">
        <f>IFERROR(__xludf.DUMMYFUNCTION("GOOGLETRANSLATE(B26981,""en"",""es-ES"")"),"Un vaquero salta de su caballo para controlar la pantorrilla que ha atrapado.")</f>
        <v>Un vaquero salta de su caballo para controlar la pantorrilla que ha atrapado.</v>
      </c>
    </row>
    <row r="26982">
      <c r="A26982" s="4" t="s">
        <v>33955</v>
      </c>
      <c r="B26982" s="4" t="s">
        <v>33961</v>
      </c>
      <c r="C26982" s="5" t="str">
        <f>IFERROR(__xludf.DUMMYFUNCTION("GOOGLETRANSLATE(B26982,""en"",""es-ES"")"),"Otro vaquero con una camisa negra salta de su caballo.")</f>
        <v>Otro vaquero con una camisa negra salta de su caballo.</v>
      </c>
    </row>
    <row r="26983">
      <c r="A26983" s="4" t="s">
        <v>33955</v>
      </c>
      <c r="B26983" s="4" t="s">
        <v>33962</v>
      </c>
      <c r="C26983" s="5" t="str">
        <f>IFERROR(__xludf.DUMMYFUNCTION("GOOGLETRANSLATE(B26983,""en"",""es-ES"")"),"Un hombre con una camisa rosa lassos un ternero.")</f>
        <v>Un hombre con una camisa rosa lassos un ternero.</v>
      </c>
    </row>
    <row r="26984">
      <c r="A26984" s="4" t="s">
        <v>33955</v>
      </c>
      <c r="B26984" s="4" t="s">
        <v>33963</v>
      </c>
      <c r="C26984" s="5" t="str">
        <f>IFERROR(__xludf.DUMMYFUNCTION("GOOGLETRANSLATE(B26984,""en"",""es-ES"")"),"Una mujer en un caballo atrapa un ternero.")</f>
        <v>Una mujer en un caballo atrapa un ternero.</v>
      </c>
    </row>
    <row r="26985">
      <c r="A26985" s="4" t="s">
        <v>33955</v>
      </c>
      <c r="B26985" s="4" t="s">
        <v>33964</v>
      </c>
      <c r="C26985" s="5" t="str">
        <f>IFERROR(__xludf.DUMMYFUNCTION("GOOGLETRANSLATE(B26985,""en"",""es-ES"")"),"Otro hombre salta de su caballo marrón para controlar la pantorrilla que ha atrapado.")</f>
        <v>Otro hombre salta de su caballo marrón para controlar la pantorrilla que ha atrapado.</v>
      </c>
    </row>
    <row r="26986">
      <c r="A26986" s="4" t="s">
        <v>33965</v>
      </c>
      <c r="B26986" s="4" t="s">
        <v>33966</v>
      </c>
      <c r="C26986" s="5" t="str">
        <f>IFERROR(__xludf.DUMMYFUNCTION("GOOGLETRANSLATE(B26986,""en"",""es-ES"")"),"Un hombre levanta un gran peso del suelo.")</f>
        <v>Un hombre levanta un gran peso del suelo.</v>
      </c>
    </row>
    <row r="26987">
      <c r="A26987" s="4" t="s">
        <v>33965</v>
      </c>
      <c r="B26987" s="4" t="s">
        <v>33967</v>
      </c>
      <c r="C26987" s="5" t="str">
        <f>IFERROR(__xludf.DUMMYFUNCTION("GOOGLETRANSLATE(B26987,""en"",""es-ES"")"),"Lo empuja sobre su cabeza antes de dejarla caer en el suelo.")</f>
        <v>Lo empuja sobre su cabeza antes de dejarla caer en el suelo.</v>
      </c>
    </row>
    <row r="26988">
      <c r="A26988" s="4" t="s">
        <v>33968</v>
      </c>
      <c r="B26988" s="4" t="s">
        <v>33969</v>
      </c>
      <c r="C26988" s="5" t="str">
        <f>IFERROR(__xludf.DUMMYFUNCTION("GOOGLETRANSLATE(B26988,""en"",""es-ES"")"),"Un hombre le arroja una pelota a su hijo, quien la atrapa con un palo de lacrosse.")</f>
        <v>Un hombre le arroja una pelota a su hijo, quien la atrapa con un palo de lacrosse.</v>
      </c>
    </row>
    <row r="26989">
      <c r="A26989" s="4" t="s">
        <v>33968</v>
      </c>
      <c r="B26989" s="4" t="s">
        <v>33970</v>
      </c>
      <c r="C26989" s="5" t="str">
        <f>IFERROR(__xludf.DUMMYFUNCTION("GOOGLETRANSLATE(B26989,""en"",""es-ES"")"),"El niño lo devuelve y navega hacia la derecha del hombre.")</f>
        <v>El niño lo devuelve y navega hacia la derecha del hombre.</v>
      </c>
    </row>
    <row r="26990">
      <c r="A26990" s="4" t="s">
        <v>33971</v>
      </c>
      <c r="B26990" s="4" t="s">
        <v>33972</v>
      </c>
      <c r="C26990" s="5" t="str">
        <f>IFERROR(__xludf.DUMMYFUNCTION("GOOGLETRANSLATE(B26990,""en"",""es-ES"")"),"Una mujer se muestra desde varios ángulos que se mueven en una máquina de ejercicios y conduce a la tierra que gira.")</f>
        <v>Una mujer se muestra desde varios ángulos que se mueven en una máquina de ejercicios y conduce a la tierra que gira.</v>
      </c>
    </row>
    <row r="26991">
      <c r="A26991" s="4" t="s">
        <v>33971</v>
      </c>
      <c r="B26991" s="4" t="s">
        <v>33973</v>
      </c>
      <c r="C26991" s="5" t="str">
        <f>IFERROR(__xludf.DUMMYFUNCTION("GOOGLETRANSLATE(B26991,""en"",""es-ES"")"),"Ella coloca un artículo en la máquina y se muestran varias imágenes de salud.")</f>
        <v>Ella coloca un artículo en la máquina y se muestran varias imágenes de salud.</v>
      </c>
    </row>
    <row r="26992">
      <c r="A26992" s="4" t="s">
        <v>33971</v>
      </c>
      <c r="B26992" s="4" t="s">
        <v>33974</v>
      </c>
      <c r="C26992" s="5" t="str">
        <f>IFERROR(__xludf.DUMMYFUNCTION("GOOGLETRANSLATE(B26992,""en"",""es-ES"")"),"Ella nuevamente está en la máquina y finalmente dobla la máquina al final.")</f>
        <v>Ella nuevamente está en la máquina y finalmente dobla la máquina al final.</v>
      </c>
    </row>
    <row r="26993">
      <c r="A26993" s="4" t="s">
        <v>33975</v>
      </c>
      <c r="B26993" s="4" t="s">
        <v>33976</v>
      </c>
      <c r="C26993" s="5" t="str">
        <f>IFERROR(__xludf.DUMMYFUNCTION("GOOGLETRANSLATE(B26993,""en"",""es-ES"")"),"Un hombre está hablando frente a una red.")</f>
        <v>Un hombre está hablando frente a una red.</v>
      </c>
    </row>
    <row r="26994">
      <c r="A26994" s="4" t="s">
        <v>33975</v>
      </c>
      <c r="B26994" s="4" t="s">
        <v>33977</v>
      </c>
      <c r="C26994" s="5" t="str">
        <f>IFERROR(__xludf.DUMMYFUNCTION("GOOGLETRANSLATE(B26994,""en"",""es-ES"")"),"Se agacha al suelo, cruzando los tobillos.")</f>
        <v>Se agacha al suelo, cruzando los tobillos.</v>
      </c>
    </row>
    <row r="26995">
      <c r="A26995" s="4" t="s">
        <v>33975</v>
      </c>
      <c r="B26995" s="4" t="s">
        <v>33978</v>
      </c>
      <c r="C26995" s="5" t="str">
        <f>IFERROR(__xludf.DUMMYFUNCTION("GOOGLETRANSLATE(B26995,""en"",""es-ES"")"),"Luego avanza varias veces, estirándose.")</f>
        <v>Luego avanza varias veces, estirándose.</v>
      </c>
    </row>
    <row r="26996">
      <c r="A26996" s="4" t="s">
        <v>33979</v>
      </c>
      <c r="B26996" s="4" t="s">
        <v>33980</v>
      </c>
      <c r="C26996" s="5" t="str">
        <f>IFERROR(__xludf.DUMMYFUNCTION("GOOGLETRANSLATE(B26996,""en"",""es-ES"")"),"Un hombre se sienta en una habitación y discute.")</f>
        <v>Un hombre se sienta en una habitación y discute.</v>
      </c>
    </row>
    <row r="26997">
      <c r="A26997" s="4" t="s">
        <v>33979</v>
      </c>
      <c r="B26997" s="4" t="s">
        <v>33981</v>
      </c>
      <c r="C26997" s="5" t="str">
        <f>IFERROR(__xludf.DUMMYFUNCTION("GOOGLETRANSLATE(B26997,""en"",""es-ES"")"),"El hombre levanta una taza de café mientras habla.")</f>
        <v>El hombre levanta una taza de café mientras habla.</v>
      </c>
    </row>
    <row r="26998">
      <c r="A26998" s="4" t="s">
        <v>33979</v>
      </c>
      <c r="B26998" s="4" t="s">
        <v>33982</v>
      </c>
      <c r="C26998" s="5" t="str">
        <f>IFERROR(__xludf.DUMMYFUNCTION("GOOGLETRANSLATE(B26998,""en"",""es-ES"")"),"El hombre toma algunas bebidas de la taza de café.")</f>
        <v>El hombre toma algunas bebidas de la taza de café.</v>
      </c>
    </row>
    <row r="26999">
      <c r="A26999" s="4" t="s">
        <v>33983</v>
      </c>
      <c r="B26999" s="4" t="s">
        <v>33984</v>
      </c>
      <c r="C26999" s="5" t="str">
        <f>IFERROR(__xludf.DUMMYFUNCTION("GOOGLETRANSLATE(B26999,""en"",""es-ES"")"),"Un niño pequeño está sentado frente a una mesa, con su juego maquillado sobre la mesa.")</f>
        <v>Un niño pequeño está sentado frente a una mesa, con su juego maquillado sobre la mesa.</v>
      </c>
    </row>
    <row r="27000">
      <c r="A27000" s="4" t="s">
        <v>33983</v>
      </c>
      <c r="B27000" s="4" t="s">
        <v>33985</v>
      </c>
      <c r="C27000" s="5" t="str">
        <f>IFERROR(__xludf.DUMMYFUNCTION("GOOGLETRANSLATE(B27000,""en"",""es-ES"")"),"Luego toma su base y la pone en su rostro.")</f>
        <v>Luego toma su base y la pone en su rostro.</v>
      </c>
    </row>
    <row r="27001">
      <c r="A27001" s="4" t="s">
        <v>33983</v>
      </c>
      <c r="B27001" s="4" t="s">
        <v>33986</v>
      </c>
      <c r="C27001" s="5" t="str">
        <f>IFERROR(__xludf.DUMMYFUNCTION("GOOGLETRANSLATE(B27001,""en"",""es-ES"")"),"Luego viene su sombra de ojos, luego sus labios, pero termina dejándolo en el piso y tiene que pasar debajo de la mesa para conseguirlo.")</f>
        <v>Luego viene su sombra de ojos, luego sus labios, pero termina dejándolo en el piso y tiene que pasar debajo de la mesa para conseguirlo.</v>
      </c>
    </row>
    <row r="27002">
      <c r="A27002" s="4" t="s">
        <v>33983</v>
      </c>
      <c r="B27002" s="4" t="s">
        <v>33987</v>
      </c>
      <c r="C27002" s="5" t="str">
        <f>IFERROR(__xludf.DUMMYFUNCTION("GOOGLETRANSLATE(B27002,""en"",""es-ES"")"),"Finalmente, regresa y agrega los toques finales en sus labios, termina sus labios y agrega más color a sus mejillas.")</f>
        <v>Finalmente, regresa y agrega los toques finales en sus labios, termina sus labios y agrega más color a sus mejillas.</v>
      </c>
    </row>
    <row r="27003">
      <c r="A27003" s="4" t="s">
        <v>33988</v>
      </c>
      <c r="B27003" s="4" t="s">
        <v>33989</v>
      </c>
      <c r="C27003" s="5" t="str">
        <f>IFERROR(__xludf.DUMMYFUNCTION("GOOGLETRANSLATE(B27003,""en"",""es-ES"")"),"Vemos imágenes que fueron filmadas alrededor de DC.")</f>
        <v>Vemos imágenes que fueron filmadas alrededor de DC.</v>
      </c>
    </row>
    <row r="27004">
      <c r="A27004" s="4" t="s">
        <v>33988</v>
      </c>
      <c r="B27004" s="4" t="s">
        <v>33990</v>
      </c>
      <c r="C27004" s="5" t="str">
        <f>IFERROR(__xludf.DUMMYFUNCTION("GOOGLETRANSLATE(B27004,""en"",""es-ES"")"),"Vemos a un hombre hablando y tomas de patinetas mientras la gente se reúne en una habitación.")</f>
        <v>Vemos a un hombre hablando y tomas de patinetas mientras la gente se reúne en una habitación.</v>
      </c>
    </row>
    <row r="27005">
      <c r="A27005" s="4" t="s">
        <v>33988</v>
      </c>
      <c r="B27005" s="4" t="s">
        <v>33991</v>
      </c>
      <c r="C27005" s="5" t="str">
        <f>IFERROR(__xludf.DUMMYFUNCTION("GOOGLETRANSLATE(B27005,""en"",""es-ES"")"),"Vemos a Tony Hawk que señala a otras personas.")</f>
        <v>Vemos a Tony Hawk que señala a otras personas.</v>
      </c>
    </row>
    <row r="27006">
      <c r="A27006" s="4" t="s">
        <v>33988</v>
      </c>
      <c r="B27006" s="4" t="s">
        <v>33992</v>
      </c>
      <c r="C27006" s="5" t="str">
        <f>IFERROR(__xludf.DUMMYFUNCTION("GOOGLETRANSLATE(B27006,""en"",""es-ES"")"),"Vemos gente que patina en la calle, y alrededor de DC.")</f>
        <v>Vemos gente que patina en la calle, y alrededor de DC.</v>
      </c>
    </row>
    <row r="27007">
      <c r="A27007" s="4" t="s">
        <v>33988</v>
      </c>
      <c r="B27007" s="4" t="s">
        <v>33993</v>
      </c>
      <c r="C27007" s="5" t="str">
        <f>IFERROR(__xludf.DUMMYFUNCTION("GOOGLETRANSLATE(B27007,""en"",""es-ES"")"),"Vemos un patinador llamado Shaun Gregoirie.")</f>
        <v>Vemos un patinador llamado Shaun Gregoirie.</v>
      </c>
    </row>
    <row r="27008">
      <c r="A27008" s="4" t="s">
        <v>33988</v>
      </c>
      <c r="B27008" s="4" t="s">
        <v>33994</v>
      </c>
      <c r="C27008" s="5" t="str">
        <f>IFERROR(__xludf.DUMMYFUNCTION("GOOGLETRANSLATE(B27008,""en"",""es-ES"")"),"Una señora levanta una bandera de EE. UU. Y habla.")</f>
        <v>Una señora levanta una bandera de EE. UU. Y habla.</v>
      </c>
    </row>
    <row r="27009">
      <c r="A27009" s="4" t="s">
        <v>33988</v>
      </c>
      <c r="B27009" s="4" t="s">
        <v>33995</v>
      </c>
      <c r="C27009" s="5" t="str">
        <f>IFERROR(__xludf.DUMMYFUNCTION("GOOGLETRANSLATE(B27009,""en"",""es-ES"")"),"Vemos un coche de policía en la calle.")</f>
        <v>Vemos un coche de policía en la calle.</v>
      </c>
    </row>
    <row r="27010">
      <c r="A27010" s="4" t="s">
        <v>33988</v>
      </c>
      <c r="B27010" s="4" t="s">
        <v>33996</v>
      </c>
      <c r="C27010" s="5" t="str">
        <f>IFERROR(__xludf.DUMMYFUNCTION("GOOGLETRANSLATE(B27010,""en"",""es-ES"")"),"Vemos a Anthony Shetler sentado y hablando antes de patinar en la calle.")</f>
        <v>Vemos a Anthony Shetler sentado y hablando antes de patinar en la calle.</v>
      </c>
    </row>
    <row r="27011">
      <c r="A27011" s="4" t="s">
        <v>33988</v>
      </c>
      <c r="B27011" s="4" t="s">
        <v>33997</v>
      </c>
      <c r="C27011" s="5" t="str">
        <f>IFERROR(__xludf.DUMMYFUNCTION("GOOGLETRANSLATE(B27011,""en"",""es-ES"")"),"Un hombre salta escaleras y cae.")</f>
        <v>Un hombre salta escaleras y cae.</v>
      </c>
    </row>
    <row r="27012">
      <c r="A27012" s="4" t="s">
        <v>33988</v>
      </c>
      <c r="B27012" s="4" t="s">
        <v>19168</v>
      </c>
      <c r="C27012" s="5" t="str">
        <f>IFERROR(__xludf.DUMMYFUNCTION("GOOGLETRANSLATE(B27012,""en"",""es-ES"")"),"Vemos los créditos finales para el video.")</f>
        <v>Vemos los créditos finales para el video.</v>
      </c>
    </row>
    <row r="27013">
      <c r="A27013" s="4" t="s">
        <v>33998</v>
      </c>
      <c r="B27013" s="4" t="s">
        <v>33999</v>
      </c>
      <c r="C27013" s="5" t="str">
        <f>IFERROR(__xludf.DUMMYFUNCTION("GOOGLETRANSLATE(B27013,""en"",""es-ES"")"),"Se ve a un hombre sentado en un auto parachoques sosteniendo un pulgar hacia arriba y luego comienza a conducir.")</f>
        <v>Se ve a un hombre sentado en un auto parachoques sosteniendo un pulgar hacia arriba y luego comienza a conducir.</v>
      </c>
    </row>
    <row r="27014">
      <c r="A27014" s="4" t="s">
        <v>33998</v>
      </c>
      <c r="B27014" s="4" t="s">
        <v>34000</v>
      </c>
      <c r="C27014" s="5" t="str">
        <f>IFERROR(__xludf.DUMMYFUNCTION("GOOGLETRANSLATE(B27014,""en"",""es-ES"")"),"La gente continúa conduciendo el uno al otro y termina con ellos de pie.")</f>
        <v>La gente continúa conduciendo el uno al otro y termina con ellos de pie.</v>
      </c>
    </row>
    <row r="27015">
      <c r="A27015" s="4" t="s">
        <v>34001</v>
      </c>
      <c r="B27015" s="4" t="s">
        <v>34002</v>
      </c>
      <c r="C27015" s="5" t="str">
        <f>IFERROR(__xludf.DUMMYFUNCTION("GOOGLETRANSLATE(B27015,""en"",""es-ES"")"),"A los jóvenes se les muestra una demostración de karate frente a los jueces.")</f>
        <v>A los jóvenes se les muestra una demostración de karate frente a los jueces.</v>
      </c>
    </row>
    <row r="27016">
      <c r="A27016" s="4" t="s">
        <v>34001</v>
      </c>
      <c r="B27016" s="4" t="s">
        <v>34003</v>
      </c>
      <c r="C27016" s="5" t="str">
        <f>IFERROR(__xludf.DUMMYFUNCTION("GOOGLETRANSLATE(B27016,""en"",""es-ES"")"),"Se mueven de un lado a otro y de adelante hacia atrás realizando varios golpes.")</f>
        <v>Se mueven de un lado a otro y de adelante hacia atrás realizando varios golpes.</v>
      </c>
    </row>
    <row r="27017">
      <c r="A27017" s="4" t="s">
        <v>34001</v>
      </c>
      <c r="B27017" s="4" t="s">
        <v>34004</v>
      </c>
      <c r="C27017" s="5" t="str">
        <f>IFERROR(__xludf.DUMMYFUNCTION("GOOGLETRANSLATE(B27017,""en"",""es-ES"")"),"Luego se relajan y hacen una reverencia mientras las personas detrás de ellos aplauden.")</f>
        <v>Luego se relajan y hacen una reverencia mientras las personas detrás de ellos aplauden.</v>
      </c>
    </row>
    <row r="27018">
      <c r="A27018" s="4" t="s">
        <v>34001</v>
      </c>
      <c r="B27018" s="4" t="s">
        <v>34005</v>
      </c>
      <c r="C27018" s="5" t="str">
        <f>IFERROR(__xludf.DUMMYFUNCTION("GOOGLETRANSLATE(B27018,""en"",""es-ES"")"),"Luego continúan con su rutina de juego de juego.")</f>
        <v>Luego continúan con su rutina de juego de juego.</v>
      </c>
    </row>
    <row r="27019">
      <c r="A27019" s="4" t="s">
        <v>34001</v>
      </c>
      <c r="B27019" s="4" t="s">
        <v>34006</v>
      </c>
      <c r="C27019" s="5" t="str">
        <f>IFERROR(__xludf.DUMMYFUNCTION("GOOGLETRANSLATE(B27019,""en"",""es-ES"")"),"Esto continúa hasta que el niño termina su rutina para aplausar y luego sentarse.")</f>
        <v>Esto continúa hasta que el niño termina su rutina para aplausar y luego sentarse.</v>
      </c>
    </row>
    <row r="27020">
      <c r="A27020" s="4" t="s">
        <v>34007</v>
      </c>
      <c r="B27020" s="4" t="s">
        <v>34008</v>
      </c>
      <c r="C27020" s="5" t="str">
        <f>IFERROR(__xludf.DUMMYFUNCTION("GOOGLETRANSLATE(B27020,""en"",""es-ES"")"),"Un hombre lleva gafas de sol dentro de un edificio.")</f>
        <v>Un hombre lleva gafas de sol dentro de un edificio.</v>
      </c>
    </row>
    <row r="27021">
      <c r="A27021" s="4" t="s">
        <v>34007</v>
      </c>
      <c r="B27021" s="4" t="s">
        <v>34009</v>
      </c>
      <c r="C27021" s="5" t="str">
        <f>IFERROR(__xludf.DUMMYFUNCTION("GOOGLETRANSLATE(B27021,""en"",""es-ES"")"),"Vemos a un grupo de personas en el edificio mientras bailan aeróbicamente.")</f>
        <v>Vemos a un grupo de personas en el edificio mientras bailan aeróbicamente.</v>
      </c>
    </row>
    <row r="27022">
      <c r="A27022" s="4" t="s">
        <v>34007</v>
      </c>
      <c r="B27022" s="4" t="s">
        <v>34010</v>
      </c>
      <c r="C27022" s="5" t="str">
        <f>IFERROR(__xludf.DUMMYFUNCTION("GOOGLETRANSLATE(B27022,""en"",""es-ES"")"),"Se agitan al unísono, yendo y viniendo y de lado a lado.")</f>
        <v>Se agitan al unísono, yendo y viniendo y de lado a lado.</v>
      </c>
    </row>
    <row r="27023">
      <c r="A27023" s="4" t="s">
        <v>34011</v>
      </c>
      <c r="B27023" s="4" t="s">
        <v>34012</v>
      </c>
      <c r="C27023" s="5" t="str">
        <f>IFERROR(__xludf.DUMMYFUNCTION("GOOGLETRANSLATE(B27023,""en"",""es-ES"")"),"La gente está parada afuera jugando voleibol.")</f>
        <v>La gente está parada afuera jugando voleibol.</v>
      </c>
    </row>
    <row r="27024">
      <c r="A27024" s="4" t="s">
        <v>34011</v>
      </c>
      <c r="B27024" s="4" t="s">
        <v>34013</v>
      </c>
      <c r="C27024" s="5" t="str">
        <f>IFERROR(__xludf.DUMMYFUNCTION("GOOGLETRANSLATE(B27024,""en"",""es-ES"")"),"Un hombre con una camisa negra está hablando con alguien.")</f>
        <v>Un hombre con una camisa negra está hablando con alguien.</v>
      </c>
    </row>
    <row r="27025">
      <c r="A27025" s="4" t="s">
        <v>34011</v>
      </c>
      <c r="B27025" s="4" t="s">
        <v>34014</v>
      </c>
      <c r="C27025" s="5" t="str">
        <f>IFERROR(__xludf.DUMMYFUNCTION("GOOGLETRANSLATE(B27025,""en"",""es-ES"")"),"Un hombre con una camisa gris tiene sus manos en sus caderas.")</f>
        <v>Un hombre con una camisa gris tiene sus manos en sus caderas.</v>
      </c>
    </row>
    <row r="27026">
      <c r="A27026" s="4" t="s">
        <v>34015</v>
      </c>
      <c r="B27026" s="4" t="s">
        <v>34016</v>
      </c>
      <c r="C27026" s="5" t="str">
        <f>IFERROR(__xludf.DUMMYFUNCTION("GOOGLETRANSLATE(B27026,""en"",""es-ES"")"),"Un hombre está arrodillado en el suelo lando una pared con un utensilio plateado.")</f>
        <v>Un hombre está arrodillado en el suelo lando una pared con un utensilio plateado.</v>
      </c>
    </row>
    <row r="27027">
      <c r="A27027" s="4" t="s">
        <v>34015</v>
      </c>
      <c r="B27027" s="4" t="s">
        <v>34017</v>
      </c>
      <c r="C27027" s="5" t="str">
        <f>IFERROR(__xludf.DUMMYFUNCTION("GOOGLETRANSLATE(B27027,""en"",""es-ES"")"),"El hombre se levanta, mira hacia atrás a la cámara y continúa haciendo su tarea.")</f>
        <v>El hombre se levanta, mira hacia atrás a la cámara y continúa haciendo su tarea.</v>
      </c>
    </row>
    <row r="27028">
      <c r="A27028" s="4" t="s">
        <v>34015</v>
      </c>
      <c r="B27028" s="4" t="s">
        <v>34018</v>
      </c>
      <c r="C27028" s="5" t="str">
        <f>IFERROR(__xludf.DUMMYFUNCTION("GOOGLETRANSLATE(B27028,""en"",""es-ES"")"),"Ahora el hombre está de vuelta de rodillas y continúa haciendo lo que estaba haciendo al principio.")</f>
        <v>Ahora el hombre está de vuelta de rodillas y continúa haciendo lo que estaba haciendo al principio.</v>
      </c>
    </row>
    <row r="27029">
      <c r="A27029" s="4" t="s">
        <v>34019</v>
      </c>
      <c r="B27029" s="4" t="s">
        <v>34020</v>
      </c>
      <c r="C27029" s="5" t="str">
        <f>IFERROR(__xludf.DUMMYFUNCTION("GOOGLETRANSLATE(B27029,""en"",""es-ES"")"),"Se ve a una mujer parada en un baño envuelto en una toalla.")</f>
        <v>Se ve a una mujer parada en un baño envuelto en una toalla.</v>
      </c>
    </row>
    <row r="27030">
      <c r="A27030" s="4" t="s">
        <v>34019</v>
      </c>
      <c r="B27030" s="4" t="s">
        <v>34021</v>
      </c>
      <c r="C27030" s="5" t="str">
        <f>IFERROR(__xludf.DUMMYFUNCTION("GOOGLETRANSLATE(B27030,""en"",""es-ES"")"),"La niña se levanta el cabello con una mano y frota el maquillaje con la otra.")</f>
        <v>La niña se levanta el cabello con una mano y frota el maquillaje con la otra.</v>
      </c>
    </row>
    <row r="27031">
      <c r="A27031" s="4" t="s">
        <v>34022</v>
      </c>
      <c r="B27031" s="4" t="s">
        <v>34023</v>
      </c>
      <c r="C27031" s="5" t="str">
        <f>IFERROR(__xludf.DUMMYFUNCTION("GOOGLETRANSLATE(B27031,""en"",""es-ES"")"),"Hay un hombre calvo con barba de perilla de pie en su baño frente a un gran espejo con una rasuradora eléctrica en la mano.")</f>
        <v>Hay un hombre calvo con barba de perilla de pie en su baño frente a un gran espejo con una rasuradora eléctrica en la mano.</v>
      </c>
    </row>
    <row r="27032">
      <c r="A27032" s="4" t="s">
        <v>34022</v>
      </c>
      <c r="B27032" s="4" t="s">
        <v>34024</v>
      </c>
      <c r="C27032" s="5" t="str">
        <f>IFERROR(__xludf.DUMMYFUNCTION("GOOGLETRANSLATE(B27032,""en"",""es-ES"")"),"Está demostrando cómo afeitarse la barba y mantenerla.")</f>
        <v>Está demostrando cómo afeitarse la barba y mantenerla.</v>
      </c>
    </row>
    <row r="27033">
      <c r="A27033" s="4" t="s">
        <v>34022</v>
      </c>
      <c r="B27033" s="4" t="s">
        <v>34025</v>
      </c>
      <c r="C27033" s="5" t="str">
        <f>IFERROR(__xludf.DUMMYFUNCTION("GOOGLETRANSLATE(B27033,""en"",""es-ES"")"),"Luego comienza a mostrar cómo usar la recortadora para su barba ajustando el tamaño del clipper.")</f>
        <v>Luego comienza a mostrar cómo usar la recortadora para su barba ajustando el tamaño del clipper.</v>
      </c>
    </row>
    <row r="27034">
      <c r="A27034" s="4" t="s">
        <v>34022</v>
      </c>
      <c r="B27034" s="4" t="s">
        <v>34026</v>
      </c>
      <c r="C27034" s="5" t="str">
        <f>IFERROR(__xludf.DUMMYFUNCTION("GOOGLETRANSLATE(B27034,""en"",""es-ES"")"),"Se afeita completamente la barba.")</f>
        <v>Se afeita completamente la barba.</v>
      </c>
    </row>
    <row r="27035">
      <c r="A27035" s="4" t="s">
        <v>34022</v>
      </c>
      <c r="B27035" s="4" t="s">
        <v>34027</v>
      </c>
      <c r="C27035" s="5" t="str">
        <f>IFERROR(__xludf.DUMMYFUNCTION("GOOGLETRANSLATE(B27035,""en"",""es-ES"")"),"Luego toca su piel para ver qué tan limpio está el afeitado.")</f>
        <v>Luego toca su piel para ver qué tan limpio está el afeitado.</v>
      </c>
    </row>
    <row r="27036">
      <c r="A27036" s="4" t="s">
        <v>34022</v>
      </c>
      <c r="B27036" s="4" t="s">
        <v>34028</v>
      </c>
      <c r="C27036" s="5" t="str">
        <f>IFERROR(__xludf.DUMMYFUNCTION("GOOGLETRANSLATE(B27036,""en"",""es-ES"")"),"Elimina el cabello de la rasuradora y lo limpia.")</f>
        <v>Elimina el cabello de la rasuradora y lo limpia.</v>
      </c>
    </row>
    <row r="27037">
      <c r="A27037" s="4" t="s">
        <v>34029</v>
      </c>
      <c r="B27037" s="4" t="s">
        <v>34030</v>
      </c>
      <c r="C27037" s="5" t="str">
        <f>IFERROR(__xludf.DUMMYFUNCTION("GOOGLETRANSLATE(B27037,""en"",""es-ES"")"),"Un hombre con una chaqueta blanca recoge una plancha.")</f>
        <v>Un hombre con una chaqueta blanca recoge una plancha.</v>
      </c>
    </row>
    <row r="27038">
      <c r="A27038" s="4" t="s">
        <v>34029</v>
      </c>
      <c r="B27038" s="4" t="s">
        <v>34031</v>
      </c>
      <c r="C27038" s="5" t="str">
        <f>IFERROR(__xludf.DUMMYFUNCTION("GOOGLETRANSLATE(B27038,""en"",""es-ES"")"),"Coloque el papel de aluminio sobre una mesa.")</f>
        <v>Coloque el papel de aluminio sobre una mesa.</v>
      </c>
    </row>
    <row r="27039">
      <c r="A27039" s="4" t="s">
        <v>34029</v>
      </c>
      <c r="B27039" s="4" t="s">
        <v>34032</v>
      </c>
      <c r="C27039" s="5" t="str">
        <f>IFERROR(__xludf.DUMMYFUNCTION("GOOGLETRANSLATE(B27039,""en"",""es-ES"")"),"Pone pan en la papel de aluminio con mantequilla y queso.")</f>
        <v>Pone pan en la papel de aluminio con mantequilla y queso.</v>
      </c>
    </row>
    <row r="27040">
      <c r="A27040" s="4" t="s">
        <v>34029</v>
      </c>
      <c r="B27040" s="4" t="s">
        <v>34033</v>
      </c>
      <c r="C27040" s="5" t="str">
        <f>IFERROR(__xludf.DUMMYFUNCTION("GOOGLETRANSLATE(B27040,""en"",""es-ES"")"),"Él pone el hierro en el sándwich.")</f>
        <v>Él pone el hierro en el sándwich.</v>
      </c>
    </row>
    <row r="27041">
      <c r="A27041" s="4" t="s">
        <v>34029</v>
      </c>
      <c r="B27041" s="4" t="s">
        <v>34034</v>
      </c>
      <c r="C27041" s="5" t="str">
        <f>IFERROR(__xludf.DUMMYFUNCTION("GOOGLETRANSLATE(B27041,""en"",""es-ES"")"),"Abre el papel de aluminio y corta el sándwich por la mitad.")</f>
        <v>Abre el papel de aluminio y corta el sándwich por la mitad.</v>
      </c>
    </row>
    <row r="27042">
      <c r="A27042" s="4" t="s">
        <v>34029</v>
      </c>
      <c r="B27042" s="4" t="s">
        <v>34035</v>
      </c>
      <c r="C27042" s="5" t="str">
        <f>IFERROR(__xludf.DUMMYFUNCTION("GOOGLETRANSLATE(B27042,""en"",""es-ES"")"),"Toma un poco del sándwich.")</f>
        <v>Toma un poco del sándwich.</v>
      </c>
    </row>
    <row r="27043">
      <c r="A27043" s="4" t="s">
        <v>34036</v>
      </c>
      <c r="B27043" s="4" t="s">
        <v>34037</v>
      </c>
      <c r="C27043" s="5" t="str">
        <f>IFERROR(__xludf.DUMMYFUNCTION("GOOGLETRANSLATE(B27043,""en"",""es-ES"")"),"Se ve a un atleta caminando hacia una plataforma y comienza a girar a sí mismo y arrojar un objeto a lo lejos.")</f>
        <v>Se ve a un atleta caminando hacia una plataforma y comienza a girar a sí mismo y arrojar un objeto a lo lejos.</v>
      </c>
    </row>
    <row r="27044">
      <c r="A27044" s="4" t="s">
        <v>34036</v>
      </c>
      <c r="B27044" s="4" t="s">
        <v>34038</v>
      </c>
      <c r="C27044" s="5" t="str">
        <f>IFERROR(__xludf.DUMMYFUNCTION("GOOGLETRANSLATE(B27044,""en"",""es-ES"")"),"Su lanzamiento se muestra nuevamente en cámara lenta y se ve a otro hombre girando y luego arrojando el objeto con las manos en alto después.")</f>
        <v>Su lanzamiento se muestra nuevamente en cámara lenta y se ve a otro hombre girando y luego arrojando el objeto con las manos en alto después.</v>
      </c>
    </row>
    <row r="27045">
      <c r="A27045" s="4" t="s">
        <v>34039</v>
      </c>
      <c r="B27045" s="4" t="s">
        <v>34040</v>
      </c>
      <c r="C27045" s="5" t="str">
        <f>IFERROR(__xludf.DUMMYFUNCTION("GOOGLETRANSLATE(B27045,""en"",""es-ES"")"),"Se ve a un hombre sentado en un equipo de ejercicio y remando de regreso y cuarto en una máquina.")</f>
        <v>Se ve a un hombre sentado en un equipo de ejercicio y remando de regreso y cuarto en una máquina.</v>
      </c>
    </row>
    <row r="27046">
      <c r="A27046" s="4" t="s">
        <v>34039</v>
      </c>
      <c r="B27046" s="4" t="s">
        <v>34041</v>
      </c>
      <c r="C27046" s="5" t="str">
        <f>IFERROR(__xludf.DUMMYFUNCTION("GOOGLETRANSLATE(B27046,""en"",""es-ES"")"),"El hombre continúa moviéndose hacia atrás y cuarto mientras la cámara lo captura desde varios ángulos.")</f>
        <v>El hombre continúa moviéndose hacia atrás y cuarto mientras la cámara lo captura desde varios ángulos.</v>
      </c>
    </row>
    <row r="27047">
      <c r="A27047" s="4" t="s">
        <v>34042</v>
      </c>
      <c r="B27047" s="4" t="s">
        <v>34043</v>
      </c>
      <c r="C27047" s="5" t="str">
        <f>IFERROR(__xludf.DUMMYFUNCTION("GOOGLETRANSLATE(B27047,""en"",""es-ES"")"),"El hombre está de pie en una pista de carreras y está corriendo para saltar y la gente está de pie a su alrededor.")</f>
        <v>El hombre está de pie en una pista de carreras y está corriendo para saltar y la gente está de pie a su alrededor.</v>
      </c>
    </row>
    <row r="27048">
      <c r="A27048" s="4" t="s">
        <v>34042</v>
      </c>
      <c r="B27048" s="4" t="s">
        <v>34044</v>
      </c>
      <c r="C27048" s="5" t="str">
        <f>IFERROR(__xludf.DUMMYFUNCTION("GOOGLETRANSLATE(B27048,""en"",""es-ES"")"),"El hombre está sentado en una habitación hablando con la cámara.")</f>
        <v>El hombre está sentado en una habitación hablando con la cámara.</v>
      </c>
    </row>
    <row r="27049">
      <c r="A27049" s="4" t="s">
        <v>34042</v>
      </c>
      <c r="B27049" s="4" t="s">
        <v>34045</v>
      </c>
      <c r="C27049" s="5" t="str">
        <f>IFERROR(__xludf.DUMMYFUNCTION("GOOGLETRANSLATE(B27049,""en"",""es-ES"")"),"El hombre está corriendo en una pista de carreras y saltando en el polvo y el hombre está sentado en una habitación hablando.")</f>
        <v>El hombre está corriendo en una pista de carreras y saltando en el polvo y el hombre está sentado en una habitación hablando.</v>
      </c>
    </row>
    <row r="27050">
      <c r="A27050" s="4" t="s">
        <v>34042</v>
      </c>
      <c r="B27050" s="4" t="s">
        <v>34046</v>
      </c>
      <c r="C27050" s="5" t="str">
        <f>IFERROR(__xludf.DUMMYFUNCTION("GOOGLETRANSLATE(B27050,""en"",""es-ES"")"),"Los jugadores corren jugando al fútbol americano y los espectadores están en las terrazas.")</f>
        <v>Los jugadores corren jugando al fútbol americano y los espectadores están en las terrazas.</v>
      </c>
    </row>
    <row r="27051">
      <c r="A27051" s="4" t="s">
        <v>34042</v>
      </c>
      <c r="B27051" s="4" t="s">
        <v>34047</v>
      </c>
      <c r="C27051" s="5" t="str">
        <f>IFERROR(__xludf.DUMMYFUNCTION("GOOGLETRANSLATE(B27051,""en"",""es-ES"")"),"Old Man está hablando en la habitación y el hombre en la pista de carreras está corriendo y practicando el salto.")</f>
        <v>Old Man está hablando en la habitación y el hombre en la pista de carreras está corriendo y practicando el salto.</v>
      </c>
    </row>
    <row r="27052">
      <c r="A27052" s="4" t="s">
        <v>34048</v>
      </c>
      <c r="B27052" s="4" t="s">
        <v>34049</v>
      </c>
      <c r="C27052" s="5" t="str">
        <f>IFERROR(__xludf.DUMMYFUNCTION("GOOGLETRANSLATE(B27052,""en"",""es-ES"")"),"Se muestran dos grandes piezas de papel de construcción decorado con las palabras felices cumpleaños en todas partes.")</f>
        <v>Se muestran dos grandes piezas de papel de construcción decorado con las palabras felices cumpleaños en todas partes.</v>
      </c>
    </row>
    <row r="27053">
      <c r="A27053" s="4" t="s">
        <v>34048</v>
      </c>
      <c r="B27053" s="4" t="s">
        <v>34050</v>
      </c>
      <c r="C27053" s="5" t="str">
        <f>IFERROR(__xludf.DUMMYFUNCTION("GOOGLETRANSLATE(B27053,""en"",""es-ES"")"),"Luego vemos regalos envueltos con la misma redacción.")</f>
        <v>Luego vemos regalos envueltos con la misma redacción.</v>
      </c>
    </row>
    <row r="27054">
      <c r="A27054" s="4" t="s">
        <v>34051</v>
      </c>
      <c r="B27054" s="4" t="s">
        <v>34052</v>
      </c>
      <c r="C27054" s="5" t="str">
        <f>IFERROR(__xludf.DUMMYFUNCTION("GOOGLETRANSLATE(B27054,""en"",""es-ES"")"),"Se muestra un par de zapatos de primer plano seguido de varias instrucciones y herramientas de texto establecidas.")</f>
        <v>Se muestra un par de zapatos de primer plano seguido de varias instrucciones y herramientas de texto establecidas.</v>
      </c>
    </row>
    <row r="27055">
      <c r="A27055" s="4" t="s">
        <v>34051</v>
      </c>
      <c r="B27055" s="4" t="s">
        <v>34053</v>
      </c>
      <c r="C27055" s="5" t="str">
        <f>IFERROR(__xludf.DUMMYFUNCTION("GOOGLETRANSLATE(B27055,""en"",""es-ES"")"),"Luego se ve a una persona frotar el espectáculo con un trapo usando varios ingredientes y acercar el par de zapatos limpios.")</f>
        <v>Luego se ve a una persona frotar el espectáculo con un trapo usando varios ingredientes y acercar el par de zapatos limpios.</v>
      </c>
    </row>
    <row r="27056">
      <c r="A27056" s="4" t="s">
        <v>34054</v>
      </c>
      <c r="B27056" s="4" t="s">
        <v>34055</v>
      </c>
      <c r="C27056" s="5" t="str">
        <f>IFERROR(__xludf.DUMMYFUNCTION("GOOGLETRANSLATE(B27056,""en"",""es-ES"")"),"Una mujer está parada en un piso de madera.")</f>
        <v>Una mujer está parada en un piso de madera.</v>
      </c>
    </row>
    <row r="27057">
      <c r="A27057" s="4" t="s">
        <v>34054</v>
      </c>
      <c r="B27057" s="4" t="s">
        <v>34056</v>
      </c>
      <c r="C27057" s="5" t="str">
        <f>IFERROR(__xludf.DUMMYFUNCTION("GOOGLETRANSLATE(B27057,""en"",""es-ES"")"),"Ella está levantando y bajando los brazos, cambiando a diferentes posiciones.")</f>
        <v>Ella está levantando y bajando los brazos, cambiando a diferentes posiciones.</v>
      </c>
    </row>
    <row r="27058">
      <c r="A27058" s="4" t="s">
        <v>34054</v>
      </c>
      <c r="B27058" s="4" t="s">
        <v>34057</v>
      </c>
      <c r="C27058" s="5" t="str">
        <f>IFERROR(__xludf.DUMMYFUNCTION("GOOGLETRANSLATE(B27058,""en"",""es-ES"")"),"Ella está mostrando actos de Tai Chai para la cámara.")</f>
        <v>Ella está mostrando actos de Tai Chai para la cámara.</v>
      </c>
    </row>
    <row r="27059">
      <c r="A27059" s="4" t="s">
        <v>34058</v>
      </c>
      <c r="B27059" s="4" t="s">
        <v>34059</v>
      </c>
      <c r="C27059" s="5" t="str">
        <f>IFERROR(__xludf.DUMMYFUNCTION("GOOGLETRANSLATE(B27059,""en"",""es-ES"")"),"Un hombre se muestra en un escenario, tocando un juego de batería.")</f>
        <v>Un hombre se muestra en un escenario, tocando un juego de batería.</v>
      </c>
    </row>
    <row r="27060">
      <c r="A27060" s="4" t="s">
        <v>34058</v>
      </c>
      <c r="B27060" s="4" t="s">
        <v>34060</v>
      </c>
      <c r="C27060" s="5" t="str">
        <f>IFERROR(__xludf.DUMMYFUNCTION("GOOGLETRANSLATE(B27060,""en"",""es-ES"")"),"La mujer de un lado está jugando a Maracas.")</f>
        <v>La mujer de un lado está jugando a Maracas.</v>
      </c>
    </row>
    <row r="27061">
      <c r="A27061" s="4" t="s">
        <v>34058</v>
      </c>
      <c r="B27061" s="4" t="s">
        <v>34061</v>
      </c>
      <c r="C27061" s="5" t="str">
        <f>IFERROR(__xludf.DUMMYFUNCTION("GOOGLETRANSLATE(B27061,""en"",""es-ES"")"),"El hombre del otro lado está tocando una guitarra eléctrica.")</f>
        <v>El hombre del otro lado está tocando una guitarra eléctrica.</v>
      </c>
    </row>
    <row r="27062">
      <c r="A27062" s="4" t="s">
        <v>34062</v>
      </c>
      <c r="B27062" s="4" t="s">
        <v>34063</v>
      </c>
      <c r="C27062" s="5" t="str">
        <f>IFERROR(__xludf.DUMMYFUNCTION("GOOGLETRANSLATE(B27062,""en"",""es-ES"")"),"Se muestra a un hombre que ingresa a un área circular enjaulada con un lado abierto.")</f>
        <v>Se muestra a un hombre que ingresa a un área circular enjaulada con un lado abierto.</v>
      </c>
    </row>
    <row r="27063">
      <c r="A27063" s="4" t="s">
        <v>34062</v>
      </c>
      <c r="B27063" s="4" t="s">
        <v>34064</v>
      </c>
      <c r="C27063" s="5" t="str">
        <f>IFERROR(__xludf.DUMMYFUNCTION("GOOGLETRANSLATE(B27063,""en"",""es-ES"")"),"El hombre comienza a girar una pelota que está unida a una cuerda a su alrededor.")</f>
        <v>El hombre comienza a girar una pelota que está unida a una cuerda a su alrededor.</v>
      </c>
    </row>
    <row r="27064">
      <c r="A27064" s="4" t="s">
        <v>34062</v>
      </c>
      <c r="B27064" s="4" t="s">
        <v>34065</v>
      </c>
      <c r="C27064" s="5" t="str">
        <f>IFERROR(__xludf.DUMMYFUNCTION("GOOGLETRANSLATE(B27064,""en"",""es-ES"")"),"El hombre comienza a girar su cuerpo rápidamente en círculos.")</f>
        <v>El hombre comienza a girar su cuerpo rápidamente en círculos.</v>
      </c>
    </row>
    <row r="27065">
      <c r="A27065" s="4" t="s">
        <v>34062</v>
      </c>
      <c r="B27065" s="4" t="s">
        <v>34066</v>
      </c>
      <c r="C27065" s="5" t="str">
        <f>IFERROR(__xludf.DUMMYFUNCTION("GOOGLETRANSLATE(B27065,""en"",""es-ES"")"),"El hombre suelta la cuerda y la pelota vuela por el aire.")</f>
        <v>El hombre suelta la cuerda y la pelota vuela por el aire.</v>
      </c>
    </row>
    <row r="27066">
      <c r="A27066" s="4" t="s">
        <v>34067</v>
      </c>
      <c r="B27066" s="4" t="s">
        <v>34068</v>
      </c>
      <c r="C27066" s="5" t="str">
        <f>IFERROR(__xludf.DUMMYFUNCTION("GOOGLETRANSLATE(B27066,""en"",""es-ES"")"),"Dos equipos juegan polo sosteniendo postes para patear una pelota en el frente de una multitud en un campo.")</f>
        <v>Dos equipos juegan polo sosteniendo postes para patear una pelota en el frente de una multitud en un campo.</v>
      </c>
    </row>
    <row r="27067">
      <c r="A27067" s="4" t="s">
        <v>34067</v>
      </c>
      <c r="B27067" s="4" t="s">
        <v>34069</v>
      </c>
      <c r="C27067" s="5" t="str">
        <f>IFERROR(__xludf.DUMMYFUNCTION("GOOGLETRANSLATE(B27067,""en"",""es-ES"")"),"La gente se encuentra junto a los tableros de puntajes.")</f>
        <v>La gente se encuentra junto a los tableros de puntajes.</v>
      </c>
    </row>
    <row r="27068">
      <c r="A27068" s="4" t="s">
        <v>34067</v>
      </c>
      <c r="B27068" s="4" t="s">
        <v>34070</v>
      </c>
      <c r="C27068" s="5" t="str">
        <f>IFERROR(__xludf.DUMMYFUNCTION("GOOGLETRANSLATE(B27068,""en"",""es-ES"")"),"Luego, un jugador sube al escenario para recibir un trofeo, después de que una mujer besa al ganador y otros jugadores en el escenario, y todos se elevan el trofeo.")</f>
        <v>Luego, un jugador sube al escenario para recibir un trofeo, después de que una mujer besa al ganador y otros jugadores en el escenario, y todos se elevan el trofeo.</v>
      </c>
    </row>
    <row r="27069">
      <c r="A27069" s="4" t="s">
        <v>34071</v>
      </c>
      <c r="B27069" s="4" t="s">
        <v>4448</v>
      </c>
      <c r="C27069" s="5" t="str">
        <f>IFERROR(__xludf.DUMMYFUNCTION("GOOGLETRANSLATE(B27069,""en"",""es-ES"")"),"Vemos la pantalla de título de apertura.")</f>
        <v>Vemos la pantalla de título de apertura.</v>
      </c>
    </row>
    <row r="27070">
      <c r="A27070" s="4" t="s">
        <v>34071</v>
      </c>
      <c r="B27070" s="4" t="s">
        <v>34072</v>
      </c>
      <c r="C27070" s="5" t="str">
        <f>IFERROR(__xludf.DUMMYFUNCTION("GOOGLETRANSLATE(B27070,""en"",""es-ES"")"),"Un hombre sostiene un banco y abre las piezas para que pueda configurarlo.")</f>
        <v>Un hombre sostiene un banco y abre las piezas para que pueda configurarlo.</v>
      </c>
    </row>
    <row r="27071">
      <c r="A27071" s="4" t="s">
        <v>34071</v>
      </c>
      <c r="B27071" s="4" t="s">
        <v>34073</v>
      </c>
      <c r="C27071" s="5" t="str">
        <f>IFERROR(__xludf.DUMMYFUNCTION("GOOGLETRANSLATE(B27071,""en"",""es-ES"")"),"Él pega un alfiler y le da un esquí.")</f>
        <v>Él pega un alfiler y le da un esquí.</v>
      </c>
    </row>
    <row r="27072">
      <c r="A27072" s="4" t="s">
        <v>34071</v>
      </c>
      <c r="B27072" s="4" t="s">
        <v>34074</v>
      </c>
      <c r="C27072" s="5" t="str">
        <f>IFERROR(__xludf.DUMMYFUNCTION("GOOGLETRANSLATE(B27072,""en"",""es-ES"")"),"Luego se acerca al esquí y quita el alfiler.")</f>
        <v>Luego se acerca al esquí y quita el alfiler.</v>
      </c>
    </row>
    <row r="27073">
      <c r="A27073" s="4" t="s">
        <v>34071</v>
      </c>
      <c r="B27073" s="4" t="s">
        <v>34075</v>
      </c>
      <c r="C27073" s="5" t="str">
        <f>IFERROR(__xludf.DUMMYFUNCTION("GOOGLETRANSLATE(B27073,""en"",""es-ES"")"),"Ajusta las partes del banco.")</f>
        <v>Ajusta las partes del banco.</v>
      </c>
    </row>
    <row r="27074">
      <c r="A27074" s="4" t="s">
        <v>34071</v>
      </c>
      <c r="B27074" s="4" t="s">
        <v>34076</v>
      </c>
      <c r="C27074" s="5" t="str">
        <f>IFERROR(__xludf.DUMMYFUNCTION("GOOGLETRANSLATE(B27074,""en"",""es-ES"")"),"Vemos el banco en disparos con los créditos finales.")</f>
        <v>Vemos el banco en disparos con los créditos finales.</v>
      </c>
    </row>
    <row r="27075">
      <c r="A27075" s="4" t="s">
        <v>34077</v>
      </c>
      <c r="B27075" s="4" t="s">
        <v>34078</v>
      </c>
      <c r="C27075" s="5" t="str">
        <f>IFERROR(__xludf.DUMMYFUNCTION("GOOGLETRANSLATE(B27075,""en"",""es-ES"")"),"Un hombre sirve una pelota de tenis cuando juega al tenis con una persona en una cancha de tenis.")</f>
        <v>Un hombre sirve una pelota de tenis cuando juega al tenis con una persona en una cancha de tenis.</v>
      </c>
    </row>
    <row r="27076">
      <c r="A27076" s="4" t="s">
        <v>34077</v>
      </c>
      <c r="B27076" s="4" t="s">
        <v>34079</v>
      </c>
      <c r="C27076" s="5" t="str">
        <f>IFERROR(__xludf.DUMMYFUNCTION("GOOGLETRANSLATE(B27076,""en"",""es-ES"")"),"Luego, el hombre sirve nuevamente a una persona detrás de la red, mientras que un jugador se encuentra junto a él.")</f>
        <v>Luego, el hombre sirve nuevamente a una persona detrás de la red, mientras que un jugador se encuentra junto a él.</v>
      </c>
    </row>
    <row r="27077">
      <c r="A27077" s="4" t="s">
        <v>34077</v>
      </c>
      <c r="B27077" s="4" t="s">
        <v>34080</v>
      </c>
      <c r="C27077" s="5" t="str">
        <f>IFERROR(__xludf.DUMMYFUNCTION("GOOGLETRANSLATE(B27077,""en"",""es-ES"")"),"Después, el hombre sirve una pelota pero nadie está detrás de la red.")</f>
        <v>Después, el hombre sirve una pelota pero nadie está detrás de la red.</v>
      </c>
    </row>
    <row r="27078">
      <c r="A27078" s="4" t="s">
        <v>34081</v>
      </c>
      <c r="B27078" s="4" t="s">
        <v>34082</v>
      </c>
      <c r="C27078" s="5" t="str">
        <f>IFERROR(__xludf.DUMMYFUNCTION("GOOGLETRANSLATE(B27078,""en"",""es-ES"")"),"Un hombre que monta un caballo y balanceando una cuerda se ve persiguiendo después de una pantorrilla y finalmente agarra al animal con su cuerda.")</f>
        <v>Un hombre que monta un caballo y balanceando una cuerda se ve persiguiendo después de una pantorrilla y finalmente agarra al animal con su cuerda.</v>
      </c>
    </row>
    <row r="27079">
      <c r="A27079" s="4" t="s">
        <v>34081</v>
      </c>
      <c r="B27079" s="4" t="s">
        <v>34083</v>
      </c>
      <c r="C27079" s="5" t="str">
        <f>IFERROR(__xludf.DUMMYFUNCTION("GOOGLETRANSLATE(B27079,""en"",""es-ES"")"),"Él sostiene la pantorrilla y otro hombre sale para ayudar al hombre a atar la pantorrilla.")</f>
        <v>Él sostiene la pantorrilla y otro hombre sale para ayudar al hombre a atar la pantorrilla.</v>
      </c>
    </row>
    <row r="27080">
      <c r="A27080" s="4" t="s">
        <v>34081</v>
      </c>
      <c r="B27080" s="4" t="s">
        <v>34084</v>
      </c>
      <c r="C27080" s="5" t="str">
        <f>IFERROR(__xludf.DUMMYFUNCTION("GOOGLETRANSLATE(B27080,""en"",""es-ES"")"),"Luego agarra su cuerda y sale de la arena en su caballo.")</f>
        <v>Luego agarra su cuerda y sale de la arena en su caballo.</v>
      </c>
    </row>
    <row r="27081">
      <c r="A27081" s="4" t="s">
        <v>34085</v>
      </c>
      <c r="B27081" s="4" t="s">
        <v>34086</v>
      </c>
      <c r="C27081" s="5" t="str">
        <f>IFERROR(__xludf.DUMMYFUNCTION("GOOGLETRANSLATE(B27081,""en"",""es-ES"")"),"Se ven piezas de muebles, incluidos gabinetes y mesas.")</f>
        <v>Se ven piezas de muebles, incluidos gabinetes y mesas.</v>
      </c>
    </row>
    <row r="27082">
      <c r="A27082" s="4" t="s">
        <v>34085</v>
      </c>
      <c r="B27082" s="4" t="s">
        <v>34087</v>
      </c>
      <c r="C27082" s="5" t="str">
        <f>IFERROR(__xludf.DUMMYFUNCTION("GOOGLETRANSLATE(B27082,""en"",""es-ES"")"),"Una persona arena un trozo de madera con una lijadora eléctrica.")</f>
        <v>Una persona arena un trozo de madera con una lijadora eléctrica.</v>
      </c>
    </row>
    <row r="27083">
      <c r="A27083" s="4" t="s">
        <v>34085</v>
      </c>
      <c r="B27083" s="4" t="s">
        <v>34088</v>
      </c>
      <c r="C27083" s="5" t="str">
        <f>IFERROR(__xludf.DUMMYFUNCTION("GOOGLETRANSLATE(B27083,""en"",""es-ES"")"),"Una persona arena un trozo de madera a mano.")</f>
        <v>Una persona arena un trozo de madera a mano.</v>
      </c>
    </row>
    <row r="27084">
      <c r="A27084" s="4" t="s">
        <v>34089</v>
      </c>
      <c r="B27084" s="4" t="s">
        <v>34090</v>
      </c>
      <c r="C27084" s="5" t="str">
        <f>IFERROR(__xludf.DUMMYFUNCTION("GOOGLETRANSLATE(B27084,""en"",""es-ES"")"),"La gente montando bicicletas en una pista.")</f>
        <v>La gente montando bicicletas en una pista.</v>
      </c>
    </row>
    <row r="27085">
      <c r="A27085" s="4" t="s">
        <v>34089</v>
      </c>
      <c r="B27085" s="4" t="s">
        <v>34091</v>
      </c>
      <c r="C27085" s="5" t="str">
        <f>IFERROR(__xludf.DUMMYFUNCTION("GOOGLETRANSLATE(B27085,""en"",""es-ES"")"),"Un hombre se estrella y aterriza en la pista.")</f>
        <v>Un hombre se estrella y aterriza en la pista.</v>
      </c>
    </row>
    <row r="27086">
      <c r="A27086" s="4" t="s">
        <v>34089</v>
      </c>
      <c r="B27086" s="4" t="s">
        <v>34092</v>
      </c>
      <c r="C27086" s="5" t="str">
        <f>IFERROR(__xludf.DUMMYFUNCTION("GOOGLETRANSLATE(B27086,""en"",""es-ES"")"),"Un hombre con un sombrero está hablando con la cámara.")</f>
        <v>Un hombre con un sombrero está hablando con la cámara.</v>
      </c>
    </row>
    <row r="27087">
      <c r="A27087" s="4" t="s">
        <v>34089</v>
      </c>
      <c r="B27087" s="4" t="s">
        <v>34093</v>
      </c>
      <c r="C27087" s="5" t="str">
        <f>IFERROR(__xludf.DUMMYFUNCTION("GOOGLETRANSLATE(B27087,""en"",""es-ES"")"),"La gente continúa montando bicicletas en la pista y chocando.")</f>
        <v>La gente continúa montando bicicletas en la pista y chocando.</v>
      </c>
    </row>
    <row r="27088">
      <c r="A27088" s="4" t="s">
        <v>34094</v>
      </c>
      <c r="B27088" s="4" t="s">
        <v>34095</v>
      </c>
      <c r="C27088" s="5" t="str">
        <f>IFERROR(__xludf.DUMMYFUNCTION("GOOGLETRANSLATE(B27088,""en"",""es-ES"")"),"Una cámara se acerca a un peso con una persona parada cerca.")</f>
        <v>Una cámara se acerca a un peso con una persona parada cerca.</v>
      </c>
    </row>
    <row r="27089">
      <c r="A27089" s="4" t="s">
        <v>34094</v>
      </c>
      <c r="B27089" s="4" t="s">
        <v>34096</v>
      </c>
      <c r="C27089" s="5" t="str">
        <f>IFERROR(__xludf.DUMMYFUNCTION("GOOGLETRANSLATE(B27089,""en"",""es-ES"")"),"Una mujer está de pie con pesas en las manos y haciendo estocadas.")</f>
        <v>Una mujer está de pie con pesas en las manos y haciendo estocadas.</v>
      </c>
    </row>
    <row r="27090">
      <c r="A27090" s="4" t="s">
        <v>34094</v>
      </c>
      <c r="B27090" s="4" t="s">
        <v>34097</v>
      </c>
      <c r="C27090" s="5" t="str">
        <f>IFERROR(__xludf.DUMMYFUNCTION("GOOGLETRANSLATE(B27090,""en"",""es-ES"")"),"Entra una segunda mujer, así como un hombre que hace varios movimientos de levantamiento de pesas.")</f>
        <v>Entra una segunda mujer, así como un hombre que hace varios movimientos de levantamiento de pesas.</v>
      </c>
    </row>
    <row r="27091">
      <c r="A27091" s="4" t="s">
        <v>34098</v>
      </c>
      <c r="B27091" s="4" t="s">
        <v>34099</v>
      </c>
      <c r="C27091" s="5" t="str">
        <f>IFERROR(__xludf.DUMMYFUNCTION("GOOGLETRANSLATE(B27091,""en"",""es-ES"")"),"Un bebé está montando un columpio en el patio de recreo.")</f>
        <v>Un bebé está montando un columpio en el patio de recreo.</v>
      </c>
    </row>
    <row r="27092">
      <c r="A27092" s="4" t="s">
        <v>34098</v>
      </c>
      <c r="B27092" s="4" t="s">
        <v>34100</v>
      </c>
      <c r="C27092" s="5" t="str">
        <f>IFERROR(__xludf.DUMMYFUNCTION("GOOGLETRANSLATE(B27092,""en"",""es-ES"")"),"Una mano la empuja mientras disfruta del viaje.")</f>
        <v>Una mano la empuja mientras disfruta del viaje.</v>
      </c>
    </row>
    <row r="27093">
      <c r="A27093" s="4" t="s">
        <v>34098</v>
      </c>
      <c r="B27093" s="4" t="s">
        <v>34101</v>
      </c>
      <c r="C27093" s="5" t="str">
        <f>IFERROR(__xludf.DUMMYFUNCTION("GOOGLETRANSLATE(B27093,""en"",""es-ES"")"),"El hombre comienza a jugar con ella.")</f>
        <v>El hombre comienza a jugar con ella.</v>
      </c>
    </row>
    <row r="27094">
      <c r="A27094" s="4" t="s">
        <v>34102</v>
      </c>
      <c r="B27094" s="4" t="s">
        <v>34103</v>
      </c>
      <c r="C27094" s="5" t="str">
        <f>IFERROR(__xludf.DUMMYFUNCTION("GOOGLETRANSLATE(B27094,""en"",""es-ES"")"),"La gente corre en un maratón en la calle.")</f>
        <v>La gente corre en un maratón en la calle.</v>
      </c>
    </row>
    <row r="27095">
      <c r="A27095" s="4" t="s">
        <v>34102</v>
      </c>
      <c r="B27095" s="4" t="s">
        <v>34104</v>
      </c>
      <c r="C27095" s="5" t="str">
        <f>IFERROR(__xludf.DUMMYFUNCTION("GOOGLETRANSLATE(B27095,""en"",""es-ES"")"),"Un hombre encabeza la carrera y corre solo en la calle.")</f>
        <v>Un hombre encabeza la carrera y corre solo en la calle.</v>
      </c>
    </row>
    <row r="27096">
      <c r="A27096" s="4" t="s">
        <v>34102</v>
      </c>
      <c r="B27096" s="4" t="s">
        <v>34105</v>
      </c>
      <c r="C27096" s="5" t="str">
        <f>IFERROR(__xludf.DUMMYFUNCTION("GOOGLETRANSLATE(B27096,""en"",""es-ES"")"),"De repente, el hombre se estrella contra el auto y cae.")</f>
        <v>De repente, el hombre se estrella contra el auto y cae.</v>
      </c>
    </row>
    <row r="27097">
      <c r="A27097" s="4" t="s">
        <v>34106</v>
      </c>
      <c r="B27097" s="4" t="s">
        <v>34107</v>
      </c>
      <c r="C27097" s="5" t="str">
        <f>IFERROR(__xludf.DUMMYFUNCTION("GOOGLETRANSLATE(B27097,""en"",""es-ES"")"),"Hay un hombre con una camisa azul que camina hacia un edificio alto donde hay una arena de cercas de interior.")</f>
        <v>Hay un hombre con una camisa azul que camina hacia un edificio alto donde hay una arena de cercas de interior.</v>
      </c>
    </row>
    <row r="27098">
      <c r="A27098" s="4" t="s">
        <v>34106</v>
      </c>
      <c r="B27098" s="4" t="s">
        <v>34108</v>
      </c>
      <c r="C27098" s="5" t="str">
        <f>IFERROR(__xludf.DUMMYFUNCTION("GOOGLETRANSLATE(B27098,""en"",""es-ES"")"),"Entra en la arena y habla con dos cercadores.")</f>
        <v>Entra en la arena y habla con dos cercadores.</v>
      </c>
    </row>
    <row r="27099">
      <c r="A27099" s="4" t="s">
        <v>34106</v>
      </c>
      <c r="B27099" s="4" t="s">
        <v>34109</v>
      </c>
      <c r="C27099" s="5" t="str">
        <f>IFERROR(__xludf.DUMMYFUNCTION("GOOGLETRANSLATE(B27099,""en"",""es-ES"")"),"Uno de los esgráficos se pone un traje de esgrima al hombre.")</f>
        <v>Uno de los esgráficos se pone un traje de esgrima al hombre.</v>
      </c>
    </row>
    <row r="27100">
      <c r="A27100" s="4" t="s">
        <v>34106</v>
      </c>
      <c r="B27100" s="4" t="s">
        <v>34110</v>
      </c>
      <c r="C27100" s="5" t="str">
        <f>IFERROR(__xludf.DUMMYFUNCTION("GOOGLETRANSLATE(B27100,""en"",""es-ES"")"),"El esgrimista luego demuestra y le da al hombre una lección de esgrima.")</f>
        <v>El esgrimista luego demuestra y le da al hombre una lección de esgrima.</v>
      </c>
    </row>
    <row r="27101">
      <c r="A27101" s="4" t="s">
        <v>34106</v>
      </c>
      <c r="B27101" s="4" t="s">
        <v>34111</v>
      </c>
      <c r="C27101" s="5" t="str">
        <f>IFERROR(__xludf.DUMMYFUNCTION("GOOGLETRANSLATE(B27101,""en"",""es-ES"")"),"Le muestra al hombre las diversas habilidades involucradas en la esgrima.")</f>
        <v>Le muestra al hombre las diversas habilidades involucradas en la esgrima.</v>
      </c>
    </row>
    <row r="27102">
      <c r="A27102" s="4" t="s">
        <v>34106</v>
      </c>
      <c r="B27102" s="4" t="s">
        <v>34112</v>
      </c>
      <c r="C27102" s="5" t="str">
        <f>IFERROR(__xludf.DUMMYFUNCTION("GOOGLETRANSLATE(B27102,""en"",""es-ES"")"),"El hombre puede perderse y evadir cada movimiento del esgrima cuando no se tocó con la espada.")</f>
        <v>El hombre puede perderse y evadir cada movimiento del esgrima cuando no se tocó con la espada.</v>
      </c>
    </row>
    <row r="27103">
      <c r="A27103" s="4" t="s">
        <v>34106</v>
      </c>
      <c r="B27103" s="4" t="s">
        <v>34113</v>
      </c>
      <c r="C27103" s="5" t="str">
        <f>IFERROR(__xludf.DUMMYFUNCTION("GOOGLETRANSLATE(B27103,""en"",""es-ES"")"),"Luego, ambos esgrimistas se quitan las máscaras y se dan la mano.")</f>
        <v>Luego, ambos esgrimistas se quitan las máscaras y se dan la mano.</v>
      </c>
    </row>
    <row r="27104">
      <c r="A27104" s="4" t="s">
        <v>34106</v>
      </c>
      <c r="B27104" s="4" t="s">
        <v>34114</v>
      </c>
      <c r="C27104" s="5" t="str">
        <f>IFERROR(__xludf.DUMMYFUNCTION("GOOGLETRANSLATE(B27104,""en"",""es-ES"")"),"El Fencer habla sobre su experiencia con el maestro esgrimista.")</f>
        <v>El Fencer habla sobre su experiencia con el maestro esgrimista.</v>
      </c>
    </row>
    <row r="27105">
      <c r="A27105" s="4" t="s">
        <v>34115</v>
      </c>
      <c r="B27105" s="4" t="s">
        <v>34116</v>
      </c>
      <c r="C27105" s="5" t="str">
        <f>IFERROR(__xludf.DUMMYFUNCTION("GOOGLETRANSLATE(B27105,""en"",""es-ES"")"),"Comienza un juego de lacrosse y un niño llamado Chase Madrid es lo más destacado que hace escenas a lo largo del juego.")</f>
        <v>Comienza un juego de lacrosse y un niño llamado Chase Madrid es lo más destacado que hace escenas a lo largo del juego.</v>
      </c>
    </row>
    <row r="27106">
      <c r="A27106" s="4" t="s">
        <v>34115</v>
      </c>
      <c r="B27106" s="4" t="s">
        <v>34117</v>
      </c>
      <c r="C27106" s="5" t="str">
        <f>IFERROR(__xludf.DUMMYFUNCTION("GOOGLETRANSLATE(B27106,""en"",""es-ES"")"),"Comienzan varios juegos diferentes y se dibuja un círculo amarillo a su alrededor para cada jugada cuando está corriendo de un lado a otro.")</f>
        <v>Comienzan varios juegos diferentes y se dibuja un círculo amarillo a su alrededor para cada jugada cuando está corriendo de un lado a otro.</v>
      </c>
    </row>
    <row r="27107">
      <c r="A27107" s="4" t="s">
        <v>34115</v>
      </c>
      <c r="B27107" s="4" t="s">
        <v>34118</v>
      </c>
      <c r="C27107" s="5" t="str">
        <f>IFERROR(__xludf.DUMMYFUNCTION("GOOGLETRANSLATE(B27107,""en"",""es-ES"")"),"Cuando se termina el carrete destacado, aparece una pantalla negra y muestra la escuela secundaria, así como el nombre del jugador.")</f>
        <v>Cuando se termina el carrete destacado, aparece una pantalla negra y muestra la escuela secundaria, así como el nombre del jugador.</v>
      </c>
    </row>
    <row r="27108">
      <c r="A27108" s="4" t="s">
        <v>34119</v>
      </c>
      <c r="B27108" s="4" t="s">
        <v>34120</v>
      </c>
      <c r="C27108" s="5" t="str">
        <f>IFERROR(__xludf.DUMMYFUNCTION("GOOGLETRANSLATE(B27108,""en"",""es-ES"")"),"Un hombre está en un parque, donde él y su esposa, que sostienen a un bebé, empujan a dos niños pequeños en los columpios.")</f>
        <v>Un hombre está en un parque, donde él y su esposa, que sostienen a un bebé, empujan a dos niños pequeños en los columpios.</v>
      </c>
    </row>
    <row r="27109">
      <c r="A27109" s="4" t="s">
        <v>34119</v>
      </c>
      <c r="B27109" s="4" t="s">
        <v>34121</v>
      </c>
      <c r="C27109" s="5" t="str">
        <f>IFERROR(__xludf.DUMMYFUNCTION("GOOGLETRANSLATE(B27109,""en"",""es-ES"")"),"La mujer desaparece mientras el hombre continúa empujando.")</f>
        <v>La mujer desaparece mientras el hombre continúa empujando.</v>
      </c>
    </row>
    <row r="27110">
      <c r="A27110" s="4" t="s">
        <v>34122</v>
      </c>
      <c r="B27110" s="4" t="s">
        <v>34123</v>
      </c>
      <c r="C27110" s="5" t="str">
        <f>IFERROR(__xludf.DUMMYFUNCTION("GOOGLETRANSLATE(B27110,""en"",""es-ES"")"),"Se ve a un pequeño grupo de niños moviéndose alrededor de un gimnasio arrojando bolas.")</f>
        <v>Se ve a un pequeño grupo de niños moviéndose alrededor de un gimnasio arrojando bolas.</v>
      </c>
    </row>
    <row r="27111">
      <c r="A27111" s="4" t="s">
        <v>34122</v>
      </c>
      <c r="B27111" s="4" t="s">
        <v>34124</v>
      </c>
      <c r="C27111" s="5" t="str">
        <f>IFERROR(__xludf.DUMMYFUNCTION("GOOGLETRANSLATE(B27111,""en"",""es-ES"")"),"Los niños se lanzan las pelotas entre sí mientras juegan un juego.")</f>
        <v>Los niños se lanzan las pelotas entre sí mientras juegan un juego.</v>
      </c>
    </row>
    <row r="27112">
      <c r="A27112" s="4" t="s">
        <v>34122</v>
      </c>
      <c r="B27112" s="4" t="s">
        <v>34125</v>
      </c>
      <c r="C27112" s="5" t="str">
        <f>IFERROR(__xludf.DUMMYFUNCTION("GOOGLETRANSLATE(B27112,""en"",""es-ES"")"),"El juego continúa mientras los niños saltan y bajan.")</f>
        <v>El juego continúa mientras los niños saltan y bajan.</v>
      </c>
    </row>
    <row r="27113">
      <c r="A27113" s="4" t="s">
        <v>34126</v>
      </c>
      <c r="B27113" s="4" t="s">
        <v>34127</v>
      </c>
      <c r="C27113" s="5" t="str">
        <f>IFERROR(__xludf.DUMMYFUNCTION("GOOGLETRANSLATE(B27113,""en"",""es-ES"")"),"Un hombre baila en una gran habitación.")</f>
        <v>Un hombre baila en una gran habitación.</v>
      </c>
    </row>
    <row r="27114">
      <c r="A27114" s="4" t="s">
        <v>34126</v>
      </c>
      <c r="B27114" s="4" t="s">
        <v>34128</v>
      </c>
      <c r="C27114" s="5" t="str">
        <f>IFERROR(__xludf.DUMMYFUNCTION("GOOGLETRANSLATE(B27114,""en"",""es-ES"")"),"Mientras lo hace el baile, explica cómo hacerlo.")</f>
        <v>Mientras lo hace el baile, explica cómo hacerlo.</v>
      </c>
    </row>
    <row r="27115">
      <c r="A27115" s="4" t="s">
        <v>34129</v>
      </c>
      <c r="B27115" s="4" t="s">
        <v>34130</v>
      </c>
      <c r="C27115" s="5" t="str">
        <f>IFERROR(__xludf.DUMMYFUNCTION("GOOGLETRANSLATE(B27115,""en"",""es-ES"")"),"Estos caballos caminan en una zona cubierta de hierba por sí mismos y luego se muestra a una mujer cepillando el cabello del caballo.")</f>
        <v>Estos caballos caminan en una zona cubierta de hierba por sí mismos y luego se muestra a una mujer cepillando el cabello del caballo.</v>
      </c>
    </row>
    <row r="27116">
      <c r="A27116" s="4" t="s">
        <v>34129</v>
      </c>
      <c r="B27116" s="4" t="s">
        <v>34131</v>
      </c>
      <c r="C27116" s="5" t="str">
        <f>IFERROR(__xludf.DUMMYFUNCTION("GOOGLETRANSLATE(B27116,""en"",""es-ES"")"),"La cámara se acerca para mostrar la nariz del caballo y luego la mujer sube a la silla de montar del caballo para montarla en algún lugar.")</f>
        <v>La cámara se acerca para mostrar la nariz del caballo y luego la mujer sube a la silla de montar del caballo para montarla en algún lugar.</v>
      </c>
    </row>
    <row r="27117">
      <c r="A27117" s="4" t="s">
        <v>34129</v>
      </c>
      <c r="B27117" s="4" t="s">
        <v>34132</v>
      </c>
      <c r="C27117" s="5" t="str">
        <f>IFERROR(__xludf.DUMMYFUNCTION("GOOGLETRANSLATE(B27117,""en"",""es-ES"")"),"Luego, otras dos personas son HSOwn montando el caballo en diferentes entornos.")</f>
        <v>Luego, otras dos personas son HSOwn montando el caballo en diferentes entornos.</v>
      </c>
    </row>
    <row r="27118">
      <c r="A27118" s="4" t="s">
        <v>34133</v>
      </c>
      <c r="B27118" s="4" t="s">
        <v>34134</v>
      </c>
      <c r="C27118" s="5" t="str">
        <f>IFERROR(__xludf.DUMMYFUNCTION("GOOGLETRANSLATE(B27118,""en"",""es-ES"")"),"Dos chicas se encuentran afuera hablando con sus pies cruzados.")</f>
        <v>Dos chicas se encuentran afuera hablando con sus pies cruzados.</v>
      </c>
    </row>
    <row r="27119">
      <c r="A27119" s="4" t="s">
        <v>34133</v>
      </c>
      <c r="B27119" s="4" t="s">
        <v>34135</v>
      </c>
      <c r="C27119" s="5" t="str">
        <f>IFERROR(__xludf.DUMMYFUNCTION("GOOGLETRANSLATE(B27119,""en"",""es-ES"")"),"Una de las chicas entrega al otro un contenedor que saca un pequeño papel que le dice qué hacer.")</f>
        <v>Una de las chicas entrega al otro un contenedor que saca un pequeño papel que le dice qué hacer.</v>
      </c>
    </row>
    <row r="27120">
      <c r="A27120" s="4" t="s">
        <v>34133</v>
      </c>
      <c r="B27120" s="4" t="s">
        <v>34136</v>
      </c>
      <c r="C27120" s="5" t="str">
        <f>IFERROR(__xludf.DUMMYFUNCTION("GOOGLETRANSLATE(B27120,""en"",""es-ES"")"),"Ella lo lee y luego hace lo que el periódico dice hacer.")</f>
        <v>Ella lo lee y luego hace lo que el periódico dice hacer.</v>
      </c>
    </row>
    <row r="27121">
      <c r="A27121" s="4" t="s">
        <v>34133</v>
      </c>
      <c r="B27121" s="4" t="s">
        <v>34137</v>
      </c>
      <c r="C27121" s="5" t="str">
        <f>IFERROR(__xludf.DUMMYFUNCTION("GOOGLETRANSLATE(B27121,""en"",""es-ES"")"),"Se turnan para hacer esto, elegir una nota y luego hacer la tarea que dice hacer y se están divirtiendo mientras lo hacen.")</f>
        <v>Se turnan para hacer esto, elegir una nota y luego hacer la tarea que dice hacer y se están divirtiendo mientras lo hacen.</v>
      </c>
    </row>
    <row r="27122">
      <c r="A27122" s="4" t="s">
        <v>34138</v>
      </c>
      <c r="B27122" s="4" t="s">
        <v>34139</v>
      </c>
      <c r="C27122" s="5" t="str">
        <f>IFERROR(__xludf.DUMMYFUNCTION("GOOGLETRANSLATE(B27122,""en"",""es-ES"")"),"Salpicando agua en una torre de reloj.")</f>
        <v>Salpicando agua en una torre de reloj.</v>
      </c>
    </row>
    <row r="27123">
      <c r="A27123" s="4" t="s">
        <v>34138</v>
      </c>
      <c r="B27123" s="4" t="s">
        <v>34140</v>
      </c>
      <c r="C27123" s="5" t="str">
        <f>IFERROR(__xludf.DUMMYFUNCTION("GOOGLETRANSLATE(B27123,""en"",""es-ES"")"),"Gente sentada en la playa en un bote.")</f>
        <v>Gente sentada en la playa en un bote.</v>
      </c>
    </row>
    <row r="27124">
      <c r="A27124" s="4" t="s">
        <v>34138</v>
      </c>
      <c r="B27124" s="4" t="s">
        <v>34141</v>
      </c>
      <c r="C27124" s="5" t="str">
        <f>IFERROR(__xludf.DUMMYFUNCTION("GOOGLETRANSLATE(B27124,""en"",""es-ES"")"),"La música se reproduce en el fondo a medida que diferentes personas navegan durante diferentes clips.")</f>
        <v>La música se reproduce en el fondo a medida que diferentes personas navegan durante diferentes clips.</v>
      </c>
    </row>
    <row r="27125">
      <c r="A27125" s="4" t="s">
        <v>34142</v>
      </c>
      <c r="B27125" s="4" t="s">
        <v>34143</v>
      </c>
      <c r="C27125" s="5" t="str">
        <f>IFERROR(__xludf.DUMMYFUNCTION("GOOGLETRANSLATE(B27125,""en"",""es-ES"")"),"Dos niños en pantalones de karate se luchan entre sí en el fondo.")</f>
        <v>Dos niños en pantalones de karate se luchan entre sí en el fondo.</v>
      </c>
    </row>
    <row r="27126">
      <c r="A27126" s="4" t="s">
        <v>34142</v>
      </c>
      <c r="B27126" s="4" t="s">
        <v>34144</v>
      </c>
      <c r="C27126" s="5" t="str">
        <f>IFERROR(__xludf.DUMMYFUNCTION("GOOGLETRANSLATE(B27126,""en"",""es-ES"")"),"El grupo forma un círculo y dos de los niños comienzan a entrenar en una práctica de artes marciales.")</f>
        <v>El grupo forma un círculo y dos de los niños comienzan a entrenar en una práctica de artes marciales.</v>
      </c>
    </row>
    <row r="27127">
      <c r="A27127" s="4" t="s">
        <v>34142</v>
      </c>
      <c r="B27127" s="4" t="s">
        <v>34145</v>
      </c>
      <c r="C27127" s="5" t="str">
        <f>IFERROR(__xludf.DUMMYFUNCTION("GOOGLETRANSLATE(B27127,""en"",""es-ES"")"),"El niño en top rosa hace una patada giratoria.")</f>
        <v>El niño en top rosa hace una patada giratoria.</v>
      </c>
    </row>
    <row r="27128">
      <c r="A27128" s="4" t="s">
        <v>34146</v>
      </c>
      <c r="B27128" s="4" t="s">
        <v>34147</v>
      </c>
      <c r="C27128" s="5" t="str">
        <f>IFERROR(__xludf.DUMMYFUNCTION("GOOGLETRANSLATE(B27128,""en"",""es-ES"")"),"Una banda toca música en el escenario.")</f>
        <v>Una banda toca música en el escenario.</v>
      </c>
    </row>
    <row r="27129">
      <c r="A27129" s="4" t="s">
        <v>34146</v>
      </c>
      <c r="B27129" s="4" t="s">
        <v>34148</v>
      </c>
      <c r="C27129" s="5" t="str">
        <f>IFERROR(__xludf.DUMMYFUNCTION("GOOGLETRANSLATE(B27129,""en"",""es-ES"")"),"Un hombre toca la batería intensamente.")</f>
        <v>Un hombre toca la batería intensamente.</v>
      </c>
    </row>
    <row r="27130">
      <c r="A27130" s="4" t="s">
        <v>34146</v>
      </c>
      <c r="B27130" s="4" t="s">
        <v>34149</v>
      </c>
      <c r="C27130" s="5" t="str">
        <f>IFERROR(__xludf.DUMMYFUNCTION("GOOGLETRANSLATE(B27130,""en"",""es-ES"")"),"Una pantalla grande muestra la banda de arriba.")</f>
        <v>Una pantalla grande muestra la banda de arriba.</v>
      </c>
    </row>
    <row r="27131">
      <c r="A27131" s="4" t="s">
        <v>34146</v>
      </c>
      <c r="B27131" s="4" t="s">
        <v>34150</v>
      </c>
      <c r="C27131" s="5" t="str">
        <f>IFERROR(__xludf.DUMMYFUNCTION("GOOGLETRANSLATE(B27131,""en"",""es-ES"")"),"La gente toca la guitarra en el escenario.")</f>
        <v>La gente toca la guitarra en el escenario.</v>
      </c>
    </row>
    <row r="27132">
      <c r="A27132" s="4" t="s">
        <v>34151</v>
      </c>
      <c r="B27132" s="4" t="s">
        <v>34152</v>
      </c>
      <c r="C27132" s="5" t="str">
        <f>IFERROR(__xludf.DUMMYFUNCTION("GOOGLETRANSLATE(B27132,""en"",""es-ES"")"),"Los jugadores corren jugando lacrosse en un campo de hierba.")</f>
        <v>Los jugadores corren jugando lacrosse en un campo de hierba.</v>
      </c>
    </row>
    <row r="27133">
      <c r="A27133" s="4" t="s">
        <v>34151</v>
      </c>
      <c r="B27133" s="4" t="s">
        <v>34153</v>
      </c>
      <c r="C27133" s="5" t="str">
        <f>IFERROR(__xludf.DUMMYFUNCTION("GOOGLETRANSLATE(B27133,""en"",""es-ES"")"),"El público está mirando y aplaudiendo por ellos.")</f>
        <v>El público está mirando y aplaudiendo por ellos.</v>
      </c>
    </row>
    <row r="27134">
      <c r="A27134" s="4" t="s">
        <v>34154</v>
      </c>
      <c r="B27134" s="4" t="s">
        <v>34155</v>
      </c>
      <c r="C27134" s="5" t="str">
        <f>IFERROR(__xludf.DUMMYFUNCTION("GOOGLETRANSLATE(B27134,""en"",""es-ES"")"),"Se ve a un hombre calvo hablando con una cámara mientras se frota la cabeza y hace caras de mueca.")</f>
        <v>Se ve a un hombre calvo hablando con una cámara mientras se frota la cabeza y hace caras de mueca.</v>
      </c>
    </row>
    <row r="27135">
      <c r="A27135" s="4" t="s">
        <v>34154</v>
      </c>
      <c r="B27135" s="4" t="s">
        <v>34156</v>
      </c>
      <c r="C27135" s="5" t="str">
        <f>IFERROR(__xludf.DUMMYFUNCTION("GOOGLETRANSLATE(B27135,""en"",""es-ES"")"),"Continúa hablando con la cámara y el video termina con él agitando y apagando la cámara.")</f>
        <v>Continúa hablando con la cámara y el video termina con él agitando y apagando la cámara.</v>
      </c>
    </row>
    <row r="27136">
      <c r="A27136" s="4" t="s">
        <v>34157</v>
      </c>
      <c r="B27136" s="4" t="s">
        <v>34158</v>
      </c>
      <c r="C27136" s="5" t="str">
        <f>IFERROR(__xludf.DUMMYFUNCTION("GOOGLETRANSLATE(B27136,""en"",""es-ES"")"),"Un grupo se muestra juntos y compitiendo en bicicletas BMX en una serie de fotos.")</f>
        <v>Un grupo se muestra juntos y compitiendo en bicicletas BMX en una serie de fotos.</v>
      </c>
    </row>
    <row r="27137">
      <c r="A27137" s="4" t="s">
        <v>34157</v>
      </c>
      <c r="B27137" s="4" t="s">
        <v>34159</v>
      </c>
      <c r="C27137" s="5" t="str">
        <f>IFERROR(__xludf.DUMMYFUNCTION("GOOGLETRANSLATE(B27137,""en"",""es-ES"")"),"Luego vemos gente en bicicletas, realizando acrobacias, dando vueltas y saltando colinas.")</f>
        <v>Luego vemos gente en bicicletas, realizando acrobacias, dando vueltas y saltando colinas.</v>
      </c>
    </row>
    <row r="27138">
      <c r="A27138" s="4" t="s">
        <v>34157</v>
      </c>
      <c r="B27138" s="4" t="s">
        <v>34160</v>
      </c>
      <c r="C27138" s="5" t="str">
        <f>IFERROR(__xludf.DUMMYFUNCTION("GOOGLETRANSLATE(B27138,""en"",""es-ES"")"),"Un motociclista vuela por el aire, luego vemos una foto final de los ganadores con sus medallas.")</f>
        <v>Un motociclista vuela por el aire, luego vemos una foto final de los ganadores con sus medallas.</v>
      </c>
    </row>
    <row r="27139">
      <c r="A27139" s="4" t="s">
        <v>34161</v>
      </c>
      <c r="B27139" s="4" t="s">
        <v>34162</v>
      </c>
      <c r="C27139" s="5" t="str">
        <f>IFERROR(__xludf.DUMMYFUNCTION("GOOGLETRANSLATE(B27139,""en"",""es-ES"")"),"Un hombre en un patio comienza su cortacésped.")</f>
        <v>Un hombre en un patio comienza su cortacésped.</v>
      </c>
    </row>
    <row r="27140">
      <c r="A27140" s="4" t="s">
        <v>34161</v>
      </c>
      <c r="B27140" s="4" t="s">
        <v>34163</v>
      </c>
      <c r="C27140" s="5" t="str">
        <f>IFERROR(__xludf.DUMMYFUNCTION("GOOGLETRANSLATE(B27140,""en"",""es-ES"")"),"El hombre corta su césped con auriculares en las orejas mientras su perro camina alrededor del patio.")</f>
        <v>El hombre corta su césped con auriculares en las orejas mientras su perro camina alrededor del patio.</v>
      </c>
    </row>
    <row r="27141">
      <c r="A27141" s="4" t="s">
        <v>34161</v>
      </c>
      <c r="B27141" s="4" t="s">
        <v>34164</v>
      </c>
      <c r="C27141" s="5" t="str">
        <f>IFERROR(__xludf.DUMMYFUNCTION("GOOGLETRANSLATE(B27141,""en"",""es-ES"")"),"El perro corre para salir del camino del cortacésped y sale de la escena.")</f>
        <v>El perro corre para salir del camino del cortacésped y sale de la escena.</v>
      </c>
    </row>
    <row r="27142">
      <c r="A27142" s="4" t="s">
        <v>34165</v>
      </c>
      <c r="B27142" s="4" t="s">
        <v>34166</v>
      </c>
      <c r="C27142" s="5" t="str">
        <f>IFERROR(__xludf.DUMMYFUNCTION("GOOGLETRANSLATE(B27142,""en"",""es-ES"")"),"Se ve a un gato lamiéndose en una cama mientras una persona intenta continuamente cortar sus garras.")</f>
        <v>Se ve a un gato lamiéndose en una cama mientras una persona intenta continuamente cortar sus garras.</v>
      </c>
    </row>
    <row r="27143">
      <c r="A27143" s="4" t="s">
        <v>34165</v>
      </c>
      <c r="B27143" s="4" t="s">
        <v>34167</v>
      </c>
      <c r="C27143" s="5" t="str">
        <f>IFERROR(__xludf.DUMMYFUNCTION("GOOGLETRANSLATE(B27143,""en"",""es-ES"")"),"La persona rasca al gato mientras continúa lamiéndose e intenta nuevamente cortar sus garras.")</f>
        <v>La persona rasca al gato mientras continúa lamiéndose e intenta nuevamente cortar sus garras.</v>
      </c>
    </row>
    <row r="27144">
      <c r="A27144" s="4" t="s">
        <v>34165</v>
      </c>
      <c r="B27144" s="4" t="s">
        <v>34168</v>
      </c>
      <c r="C27144" s="5" t="str">
        <f>IFERROR(__xludf.DUMMYFUNCTION("GOOGLETRANSLATE(B27144,""en"",""es-ES"")"),"Finalmente, la persona juega con el gato y el auto continúa lamiendo.")</f>
        <v>Finalmente, la persona juega con el gato y el auto continúa lamiendo.</v>
      </c>
    </row>
    <row r="27145">
      <c r="A27145" s="4" t="s">
        <v>34169</v>
      </c>
      <c r="B27145" s="4" t="s">
        <v>34170</v>
      </c>
      <c r="C27145" s="5" t="str">
        <f>IFERROR(__xludf.DUMMYFUNCTION("GOOGLETRANSLATE(B27145,""en"",""es-ES"")"),"Un chico se afeita la pierna de un hombre.")</f>
        <v>Un chico se afeita la pierna de un hombre.</v>
      </c>
    </row>
    <row r="27146">
      <c r="A27146" s="4" t="s">
        <v>34169</v>
      </c>
      <c r="B27146" s="4" t="s">
        <v>34171</v>
      </c>
      <c r="C27146" s="5" t="str">
        <f>IFERROR(__xludf.DUMMYFUNCTION("GOOGLETRANSLATE(B27146,""en"",""es-ES"")"),"El hombre se ríe y se mete con sus pantalones cortos.")</f>
        <v>El hombre se ríe y se mete con sus pantalones cortos.</v>
      </c>
    </row>
    <row r="27147">
      <c r="A27147" s="4" t="s">
        <v>34169</v>
      </c>
      <c r="B27147" s="4" t="s">
        <v>34172</v>
      </c>
      <c r="C27147" s="5" t="str">
        <f>IFERROR(__xludf.DUMMYFUNCTION("GOOGLETRANSLATE(B27147,""en"",""es-ES"")"),"El tipo enjuague la maquinilla de afeitar en un tazón azul lleno de líquido jabonoso.")</f>
        <v>El tipo enjuague la maquinilla de afeitar en un tazón azul lleno de líquido jabonoso.</v>
      </c>
    </row>
    <row r="27148">
      <c r="A27148" s="4" t="s">
        <v>34173</v>
      </c>
      <c r="B27148" s="4" t="s">
        <v>34174</v>
      </c>
      <c r="C27148" s="5" t="str">
        <f>IFERROR(__xludf.DUMMYFUNCTION("GOOGLETRANSLATE(B27148,""en"",""es-ES"")"),"Un hombre sostiene un voleibol mientras está de pie en una cancha y habla.")</f>
        <v>Un hombre sostiene un voleibol mientras está de pie en una cancha y habla.</v>
      </c>
    </row>
    <row r="27149">
      <c r="A27149" s="4" t="s">
        <v>34173</v>
      </c>
      <c r="B27149" s="4" t="s">
        <v>34175</v>
      </c>
      <c r="C27149" s="5" t="str">
        <f>IFERROR(__xludf.DUMMYFUNCTION("GOOGLETRANSLATE(B27149,""en"",""es-ES"")"),"Las jugadoras entrenan y practican detrás de él mientras él habla.")</f>
        <v>Las jugadoras entrenan y practican detrás de él mientras él habla.</v>
      </c>
    </row>
    <row r="27150">
      <c r="A27150" s="4" t="s">
        <v>34176</v>
      </c>
      <c r="B27150" s="4" t="s">
        <v>34177</v>
      </c>
      <c r="C27150" s="5" t="str">
        <f>IFERROR(__xludf.DUMMYFUNCTION("GOOGLETRANSLATE(B27150,""en"",""es-ES"")"),"Dos niños en pijama cuelgan adornos navideños de un árbol.")</f>
        <v>Dos niños en pijama cuelgan adornos navideños de un árbol.</v>
      </c>
    </row>
    <row r="27151">
      <c r="A27151" s="4" t="s">
        <v>34176</v>
      </c>
      <c r="B27151" s="4" t="s">
        <v>34178</v>
      </c>
      <c r="C27151" s="5" t="str">
        <f>IFERROR(__xludf.DUMMYFUNCTION("GOOGLETRANSLATE(B27151,""en"",""es-ES"")"),"Un murciélago falso sale del árbol de Navidad y asusta a los niños.")</f>
        <v>Un murciélago falso sale del árbol de Navidad y asusta a los niños.</v>
      </c>
    </row>
    <row r="27152">
      <c r="A27152" s="4" t="s">
        <v>34179</v>
      </c>
      <c r="B27152" s="4" t="s">
        <v>34180</v>
      </c>
      <c r="C27152" s="5" t="str">
        <f>IFERROR(__xludf.DUMMYFUNCTION("GOOGLETRANSLATE(B27152,""en"",""es-ES"")"),"Un hombre está parado afuera de un remolque.")</f>
        <v>Un hombre está parado afuera de un remolque.</v>
      </c>
    </row>
    <row r="27153">
      <c r="A27153" s="4" t="s">
        <v>34179</v>
      </c>
      <c r="B27153" s="4" t="s">
        <v>34181</v>
      </c>
      <c r="C27153" s="5" t="str">
        <f>IFERROR(__xludf.DUMMYFUNCTION("GOOGLETRANSLATE(B27153,""en"",""es-ES"")"),"Comienza a palear nieve frente al remolque.")</f>
        <v>Comienza a palear nieve frente al remolque.</v>
      </c>
    </row>
    <row r="27154">
      <c r="A27154" s="4" t="s">
        <v>34179</v>
      </c>
      <c r="B27154" s="4" t="s">
        <v>34182</v>
      </c>
      <c r="C27154" s="5" t="str">
        <f>IFERROR(__xludf.DUMMYFUNCTION("GOOGLETRANSLATE(B27154,""en"",""es-ES"")"),"Pone la pala de nieve en la nieve y continúa hablando.")</f>
        <v>Pone la pala de nieve en la nieve y continúa hablando.</v>
      </c>
    </row>
    <row r="27155">
      <c r="A27155" s="4" t="s">
        <v>34183</v>
      </c>
      <c r="B27155" s="4" t="s">
        <v>34184</v>
      </c>
      <c r="C27155" s="5" t="str">
        <f>IFERROR(__xludf.DUMMYFUNCTION("GOOGLETRANSLATE(B27155,""en"",""es-ES"")"),"Se ve a un niño pequeño sentado en un tubo mientras otros se paran a su alrededor.")</f>
        <v>Se ve a un niño pequeño sentado en un tubo mientras otros se paran a su alrededor.</v>
      </c>
    </row>
    <row r="27156">
      <c r="A27156" s="4" t="s">
        <v>34183</v>
      </c>
      <c r="B27156" s="4" t="s">
        <v>34185</v>
      </c>
      <c r="C27156" s="5" t="str">
        <f>IFERROR(__xludf.DUMMYFUNCTION("GOOGLETRANSLATE(B27156,""en"",""es-ES"")"),"El niño luego comienza a subir por una colina nevada en el tubo.")</f>
        <v>El niño luego comienza a subir por una colina nevada en el tubo.</v>
      </c>
    </row>
    <row r="27157">
      <c r="A27157" s="4" t="s">
        <v>34183</v>
      </c>
      <c r="B27157" s="4" t="s">
        <v>34186</v>
      </c>
      <c r="C27157" s="5" t="str">
        <f>IFERROR(__xludf.DUMMYFUNCTION("GOOGLETRANSLATE(B27157,""en"",""es-ES"")"),"El niño continúa montando hasta llegar al fondo.")</f>
        <v>El niño continúa montando hasta llegar al fondo.</v>
      </c>
    </row>
    <row r="27158">
      <c r="A27158" s="4" t="s">
        <v>34187</v>
      </c>
      <c r="B27158" s="4" t="s">
        <v>34188</v>
      </c>
      <c r="C27158" s="5" t="str">
        <f>IFERROR(__xludf.DUMMYFUNCTION("GOOGLETRANSLATE(B27158,""en"",""es-ES"")"),"Una mujer se para un fregadero mientras habla.")</f>
        <v>Una mujer se para un fregadero mientras habla.</v>
      </c>
    </row>
    <row r="27159">
      <c r="A27159" s="4" t="s">
        <v>34187</v>
      </c>
      <c r="B27159" s="4" t="s">
        <v>34189</v>
      </c>
      <c r="C27159" s="5" t="str">
        <f>IFERROR(__xludf.DUMMYFUNCTION("GOOGLETRANSLATE(B27159,""en"",""es-ES"")"),"Ella enciende el grifo y moja el fregadero.")</f>
        <v>Ella enciende el grifo y moja el fregadero.</v>
      </c>
    </row>
    <row r="27160">
      <c r="A27160" s="4" t="s">
        <v>34187</v>
      </c>
      <c r="B27160" s="4" t="s">
        <v>34190</v>
      </c>
      <c r="C27160" s="5" t="str">
        <f>IFERROR(__xludf.DUMMYFUNCTION("GOOGLETRANSLATE(B27160,""en"",""es-ES"")"),"Ella rocía el fregadero con un limpiador.")</f>
        <v>Ella rocía el fregadero con un limpiador.</v>
      </c>
    </row>
    <row r="27161">
      <c r="A27161" s="4" t="s">
        <v>34187</v>
      </c>
      <c r="B27161" s="4" t="s">
        <v>34191</v>
      </c>
      <c r="C27161" s="5" t="str">
        <f>IFERROR(__xludf.DUMMYFUNCTION("GOOGLETRANSLATE(B27161,""en"",""es-ES"")"),"Ella toma una toalla de papel y limpia el fregadero.")</f>
        <v>Ella toma una toalla de papel y limpia el fregadero.</v>
      </c>
    </row>
    <row r="27162">
      <c r="A27162" s="4" t="s">
        <v>34187</v>
      </c>
      <c r="B27162" s="4" t="s">
        <v>34192</v>
      </c>
      <c r="C27162" s="5" t="str">
        <f>IFERROR(__xludf.DUMMYFUNCTION("GOOGLETRANSLATE(B27162,""en"",""es-ES"")"),"Ella enciende el agua y hará el fregadero.")</f>
        <v>Ella enciende el agua y hará el fregadero.</v>
      </c>
    </row>
    <row r="27163">
      <c r="A27163" s="4" t="s">
        <v>34187</v>
      </c>
      <c r="B27163" s="4" t="s">
        <v>34193</v>
      </c>
      <c r="C27163" s="5" t="str">
        <f>IFERROR(__xludf.DUMMYFUNCTION("GOOGLETRANSLATE(B27163,""en"",""es-ES"")"),"Ella toma otra toalla de papel y limpia el fregadero.")</f>
        <v>Ella toma otra toalla de papel y limpia el fregadero.</v>
      </c>
    </row>
    <row r="27164">
      <c r="A27164" s="4" t="s">
        <v>34187</v>
      </c>
      <c r="B27164" s="4" t="s">
        <v>34194</v>
      </c>
      <c r="C27164" s="5" t="str">
        <f>IFERROR(__xludf.DUMMYFUNCTION("GOOGLETRANSLATE(B27164,""en"",""es-ES"")"),"Ella termina de limpiar el fregadero y habla.")</f>
        <v>Ella termina de limpiar el fregadero y habla.</v>
      </c>
    </row>
    <row r="27165">
      <c r="A27165" s="4" t="s">
        <v>34195</v>
      </c>
      <c r="B27165" s="4" t="s">
        <v>34196</v>
      </c>
      <c r="C27165" s="5" t="str">
        <f>IFERROR(__xludf.DUMMYFUNCTION("GOOGLETRANSLATE(B27165,""en"",""es-ES"")"),"Un equipo está jugando baloncesto contra otro equipo.")</f>
        <v>Un equipo está jugando baloncesto contra otro equipo.</v>
      </c>
    </row>
    <row r="27166">
      <c r="A27166" s="4" t="s">
        <v>34195</v>
      </c>
      <c r="B27166" s="4" t="s">
        <v>34197</v>
      </c>
      <c r="C27166" s="5" t="str">
        <f>IFERROR(__xludf.DUMMYFUNCTION("GOOGLETRANSLATE(B27166,""en"",""es-ES"")"),"Persiguen la pelota por toda la cancha.")</f>
        <v>Persiguen la pelota por toda la cancha.</v>
      </c>
    </row>
    <row r="27167">
      <c r="A27167" s="4" t="s">
        <v>34195</v>
      </c>
      <c r="B27167" s="4" t="s">
        <v>34198</v>
      </c>
      <c r="C27167" s="5" t="str">
        <f>IFERROR(__xludf.DUMMYFUNCTION("GOOGLETRANSLATE(B27167,""en"",""es-ES"")"),"Intentan mantener la pelota lejos de su oponente, haciendo canastas a medida que avanzan.")</f>
        <v>Intentan mantener la pelota lejos de su oponente, haciendo canastas a medida que avanzan.</v>
      </c>
    </row>
    <row r="27168">
      <c r="A27168" s="4" t="s">
        <v>34199</v>
      </c>
      <c r="B27168" s="4" t="s">
        <v>34200</v>
      </c>
      <c r="C27168" s="5" t="str">
        <f>IFERROR(__xludf.DUMMYFUNCTION("GOOGLETRANSLATE(B27168,""en"",""es-ES"")"),"Dos hombres se preparan para un concurso haciendo papel de papel de papel para ver quién va primero.")</f>
        <v>Dos hombres se preparan para un concurso haciendo papel de papel de papel para ver quién va primero.</v>
      </c>
    </row>
    <row r="27169">
      <c r="A27169" s="4" t="s">
        <v>34199</v>
      </c>
      <c r="B27169" s="4" t="s">
        <v>34201</v>
      </c>
      <c r="C27169" s="5" t="str">
        <f>IFERROR(__xludf.DUMMYFUNCTION("GOOGLETRANSLATE(B27169,""en"",""es-ES"")"),"Los hombres cruzan los brazos y comenzaron a beber los líquidos durante el concurso.")</f>
        <v>Los hombres cruzan los brazos y comenzaron a beber los líquidos durante el concurso.</v>
      </c>
    </row>
    <row r="27170">
      <c r="A27170" s="4" t="s">
        <v>34202</v>
      </c>
      <c r="B27170" s="4" t="s">
        <v>34203</v>
      </c>
      <c r="C27170" s="5" t="str">
        <f>IFERROR(__xludf.DUMMYFUNCTION("GOOGLETRANSLATE(B27170,""en"",""es-ES"")"),"Un pastel de queso Oreo está encima de una mesa.")</f>
        <v>Un pastel de queso Oreo está encima de una mesa.</v>
      </c>
    </row>
    <row r="27171">
      <c r="A27171" s="4" t="s">
        <v>34202</v>
      </c>
      <c r="B27171" s="4" t="s">
        <v>34204</v>
      </c>
      <c r="C27171" s="5" t="str">
        <f>IFERROR(__xludf.DUMMYFUNCTION("GOOGLETRANSLATE(B27171,""en"",""es-ES"")"),"Oreos está en un tazón y la olla la tritura y la mantequilla derretida y la mezcla y la pone en una sartén.")</f>
        <v>Oreos está en un tazón y la olla la tritura y la mantequilla derretida y la mezcla y la pone en una sartén.</v>
      </c>
    </row>
    <row r="27172">
      <c r="A27172" s="4" t="s">
        <v>34202</v>
      </c>
      <c r="B27172" s="4" t="s">
        <v>34205</v>
      </c>
      <c r="C27172" s="5" t="str">
        <f>IFERROR(__xludf.DUMMYFUNCTION("GOOGLETRANSLATE(B27172,""en"",""es-ES"")"),"La crema batida está cubierta en un tazón y bata hasta el doble de su volumen.")</f>
        <v>La crema batida está cubierta en un tazón y bata hasta el doble de su volumen.</v>
      </c>
    </row>
    <row r="27173">
      <c r="A27173" s="4" t="s">
        <v>34202</v>
      </c>
      <c r="B27173" s="4" t="s">
        <v>34206</v>
      </c>
      <c r="C27173" s="5" t="str">
        <f>IFERROR(__xludf.DUMMYFUNCTION("GOOGLETRANSLATE(B27173,""en"",""es-ES"")"),"En otro tazón, un queso crema se mezcla con azúcar y vainilla y rompa galletas Oreo en un tazón y mezcle y luego deje caerlo en la sartén y colóquelo con galletas Oreo.")</f>
        <v>En otro tazón, un queso crema se mezcla con azúcar y vainilla y rompa galletas Oreo en un tazón y mezcle y luego deje caerlo en la sartén y colóquelo con galletas Oreo.</v>
      </c>
    </row>
    <row r="27174">
      <c r="A27174" s="4" t="s">
        <v>34207</v>
      </c>
      <c r="B27174" s="4" t="s">
        <v>34208</v>
      </c>
      <c r="C27174" s="5" t="str">
        <f>IFERROR(__xludf.DUMMYFUNCTION("GOOGLETRANSLATE(B27174,""en"",""es-ES"")"),"Se ve a una mujer hablando en un micrófono y lo lleva a arrojar dardos a la cabeza de una persona después de girar.")</f>
        <v>Se ve a una mujer hablando en un micrófono y lo lleva a arrojar dardos a la cabeza de una persona después de girar.</v>
      </c>
    </row>
    <row r="27175">
      <c r="A27175" s="4" t="s">
        <v>34207</v>
      </c>
      <c r="B27175" s="4" t="s">
        <v>34209</v>
      </c>
      <c r="C27175" s="5" t="str">
        <f>IFERROR(__xludf.DUMMYFUNCTION("GOOGLETRANSLATE(B27175,""en"",""es-ES"")"),"La persona usa una cabeza de calabaza y se ve a más personas intentando lanzar dardos.")</f>
        <v>La persona usa una cabeza de calabaza y se ve a más personas intentando lanzar dardos.</v>
      </c>
    </row>
    <row r="27176">
      <c r="A27176" s="4" t="s">
        <v>34207</v>
      </c>
      <c r="B27176" s="4" t="s">
        <v>34210</v>
      </c>
      <c r="C27176" s="5" t="str">
        <f>IFERROR(__xludf.DUMMYFUNCTION("GOOGLETRANSLATE(B27176,""en"",""es-ES"")"),"Al final, el hombre se quita la calabaza de su cabeza.")</f>
        <v>Al final, el hombre se quita la calabaza de su cabeza.</v>
      </c>
    </row>
    <row r="27177">
      <c r="A27177" s="4" t="s">
        <v>34211</v>
      </c>
      <c r="B27177" s="4" t="s">
        <v>34212</v>
      </c>
      <c r="C27177" s="5" t="str">
        <f>IFERROR(__xludf.DUMMYFUNCTION("GOOGLETRANSLATE(B27177,""en"",""es-ES"")"),"Se muestra a un hombre sentado frente a un árbol arrastrando cartas cuando alguien le entrega una bebida.")</f>
        <v>Se muestra a un hombre sentado frente a un árbol arrastrando cartas cuando alguien le entrega una bebida.</v>
      </c>
    </row>
    <row r="27178">
      <c r="A27178" s="4" t="s">
        <v>34211</v>
      </c>
      <c r="B27178" s="4" t="s">
        <v>34213</v>
      </c>
      <c r="C27178" s="5" t="str">
        <f>IFERROR(__xludf.DUMMYFUNCTION("GOOGLETRANSLATE(B27178,""en"",""es-ES"")"),"Luego toma la bebida muy rápido y señala al que arrojó la bebida.")</f>
        <v>Luego toma la bebida muy rápido y señala al que arrojó la bebida.</v>
      </c>
    </row>
    <row r="27179">
      <c r="A27179" s="4" t="s">
        <v>34214</v>
      </c>
      <c r="B27179" s="4" t="s">
        <v>34215</v>
      </c>
      <c r="C27179" s="5" t="str">
        <f>IFERROR(__xludf.DUMMYFUNCTION("GOOGLETRANSLATE(B27179,""en"",""es-ES"")"),"Se muestran varias imágenes de una panadería y un chef y luego aparece un pequeño tipo animado que muestra de qué se tratará el video.")</f>
        <v>Se muestran varias imágenes de una panadería y un chef y luego aparece un pequeño tipo animado que muestra de qué se tratará el video.</v>
      </c>
    </row>
    <row r="27180">
      <c r="A27180" s="4" t="s">
        <v>34214</v>
      </c>
      <c r="B27180" s="4" t="s">
        <v>34216</v>
      </c>
      <c r="C27180" s="5" t="str">
        <f>IFERROR(__xludf.DUMMYFUNCTION("GOOGLETRANSLATE(B27180,""en"",""es-ES"")"),"Luego aparece un verdadero chef y comienza a cortar pequeñas capas de pasteles y agregarlas.")</f>
        <v>Luego aparece un verdadero chef y comienza a cortar pequeñas capas de pasteles y agregarlas.</v>
      </c>
    </row>
    <row r="27181">
      <c r="A27181" s="4" t="s">
        <v>34214</v>
      </c>
      <c r="B27181" s="4" t="s">
        <v>34217</v>
      </c>
      <c r="C27181" s="5" t="str">
        <f>IFERROR(__xludf.DUMMYFUNCTION("GOOGLETRANSLATE(B27181,""en"",""es-ES"")"),"Una vez que todas las capas del pastel se cortan y se congelan, el fondant se coloca en el pastel, así como la guinda y el desierto está completo.")</f>
        <v>Una vez que todas las capas del pastel se cortan y se congelan, el fondant se coloca en el pastel, así como la guinda y el desierto está completo.</v>
      </c>
    </row>
    <row r="27182">
      <c r="A27182" s="4" t="s">
        <v>34218</v>
      </c>
      <c r="B27182" s="4" t="s">
        <v>34219</v>
      </c>
      <c r="C27182" s="5" t="str">
        <f>IFERROR(__xludf.DUMMYFUNCTION("GOOGLETRANSLATE(B27182,""en"",""es-ES"")"),"Se ve a un grupo de hombres sin camisa de pie alrededor del exterior de una casa cuando uno agarra varias herramientas y manos más a otra.")</f>
        <v>Se ve a un grupo de hombres sin camisa de pie alrededor del exterior de una casa cuando uno agarra varias herramientas y manos más a otra.</v>
      </c>
    </row>
    <row r="27183">
      <c r="A27183" s="4" t="s">
        <v>34218</v>
      </c>
      <c r="B27183" s="4" t="s">
        <v>34220</v>
      </c>
      <c r="C27183" s="5" t="str">
        <f>IFERROR(__xludf.DUMMYFUNCTION("GOOGLETRANSLATE(B27183,""en"",""es-ES"")"),"Luego, los hombres golpearon una pelota por todo el patio a través de soportes sobresaliendo y se hablan mientras bebían agua.")</f>
        <v>Luego, los hombres golpearon una pelota por todo el patio a través de soportes sobresaliendo y se hablan mientras bebían agua.</v>
      </c>
    </row>
    <row r="27184">
      <c r="A27184" s="4" t="s">
        <v>34218</v>
      </c>
      <c r="B27184" s="4" t="s">
        <v>34221</v>
      </c>
      <c r="C27184" s="5" t="str">
        <f>IFERROR(__xludf.DUMMYFUNCTION("GOOGLETRANSLATE(B27184,""en"",""es-ES"")"),"Los hombres golpean la pelota varias veces más y continúan hablando entre ellos.")</f>
        <v>Los hombres golpean la pelota varias veces más y continúan hablando entre ellos.</v>
      </c>
    </row>
    <row r="27185">
      <c r="A27185" s="4" t="s">
        <v>34222</v>
      </c>
      <c r="B27185" s="4" t="s">
        <v>34223</v>
      </c>
      <c r="C27185" s="5" t="str">
        <f>IFERROR(__xludf.DUMMYFUNCTION("GOOGLETRANSLATE(B27185,""en"",""es-ES"")"),"Se muestra a una niña tomando ropa húmeda nuestra de un cubo.")</f>
        <v>Se muestra a una niña tomando ropa húmeda nuestra de un cubo.</v>
      </c>
    </row>
    <row r="27186">
      <c r="A27186" s="4" t="s">
        <v>34222</v>
      </c>
      <c r="B27186" s="4" t="s">
        <v>34224</v>
      </c>
      <c r="C27186" s="5" t="str">
        <f>IFERROR(__xludf.DUMMYFUNCTION("GOOGLETRANSLATE(B27186,""en"",""es-ES"")"),"Varias personas están cerca de ella lavando ropa y atendiéndoles.")</f>
        <v>Varias personas están cerca de ella lavando ropa y atendiéndoles.</v>
      </c>
    </row>
    <row r="27187">
      <c r="A27187" s="4" t="s">
        <v>34222</v>
      </c>
      <c r="B27187" s="4" t="s">
        <v>34225</v>
      </c>
      <c r="C27187" s="5" t="str">
        <f>IFERROR(__xludf.DUMMYFUNCTION("GOOGLETRANSLATE(B27187,""en"",""es-ES"")"),"Ella mira hacia atrás a la cámara y parece estar divirtiéndose.")</f>
        <v>Ella mira hacia atrás a la cámara y parece estar divirtiéndose.</v>
      </c>
    </row>
    <row r="27188">
      <c r="A27188" s="4" t="s">
        <v>34222</v>
      </c>
      <c r="B27188" s="4" t="s">
        <v>34226</v>
      </c>
      <c r="C27188" s="5" t="str">
        <f>IFERROR(__xludf.DUMMYFUNCTION("GOOGLETRANSLATE(B27188,""en"",""es-ES"")"),"Un niño salta frente a la cámara y está sonriendo.")</f>
        <v>Un niño salta frente a la cámara y está sonriendo.</v>
      </c>
    </row>
    <row r="27189">
      <c r="A27189" s="4" t="s">
        <v>34222</v>
      </c>
      <c r="B27189" s="4" t="s">
        <v>34227</v>
      </c>
      <c r="C27189" s="5" t="str">
        <f>IFERROR(__xludf.DUMMYFUNCTION("GOOGLETRANSLATE(B27189,""en"",""es-ES"")"),"Las niñas continúan enjuagando la ropa en el cubo mientras el joven le da la espalda a la cámara.")</f>
        <v>Las niñas continúan enjuagando la ropa en el cubo mientras el joven le da la espalda a la cámara.</v>
      </c>
    </row>
    <row r="27190">
      <c r="A27190" s="4" t="s">
        <v>34222</v>
      </c>
      <c r="B27190" s="4" t="s">
        <v>34228</v>
      </c>
      <c r="C27190" s="5" t="str">
        <f>IFERROR(__xludf.DUMMYFUNCTION("GOOGLETRANSLATE(B27190,""en"",""es-ES"")"),"La joven continúa con su trabajo y se muestra muy enfocado en su tarea.")</f>
        <v>La joven continúa con su trabajo y se muestra muy enfocado en su tarea.</v>
      </c>
    </row>
    <row r="27191">
      <c r="A27191" s="4" t="s">
        <v>34229</v>
      </c>
      <c r="B27191" s="4" t="s">
        <v>34230</v>
      </c>
      <c r="C27191" s="5" t="str">
        <f>IFERROR(__xludf.DUMMYFUNCTION("GOOGLETRANSLATE(B27191,""en"",""es-ES"")"),"El agua cae cuando un hombre se para en una moto de agua.")</f>
        <v>El agua cae cuando un hombre se para en una moto de agua.</v>
      </c>
    </row>
    <row r="27192">
      <c r="A27192" s="4" t="s">
        <v>34229</v>
      </c>
      <c r="B27192" s="4" t="s">
        <v>34231</v>
      </c>
      <c r="C27192" s="5" t="str">
        <f>IFERROR(__xludf.DUMMYFUNCTION("GOOGLETRANSLATE(B27192,""en"",""es-ES"")"),"Vemos al hombre jet skiing y realizando saltos sobre un lago.")</f>
        <v>Vemos al hombre jet skiing y realizando saltos sobre un lago.</v>
      </c>
    </row>
    <row r="27193">
      <c r="A27193" s="4" t="s">
        <v>34229</v>
      </c>
      <c r="B27193" s="4" t="s">
        <v>34232</v>
      </c>
      <c r="C27193" s="5" t="str">
        <f>IFERROR(__xludf.DUMMYFUNCTION("GOOGLETRANSLATE(B27193,""en"",""es-ES"")"),"El hombre esquía con la mano en el agua mientras se dobla.")</f>
        <v>El hombre esquía con la mano en el agua mientras se dobla.</v>
      </c>
    </row>
    <row r="27194">
      <c r="A27194" s="4" t="s">
        <v>34229</v>
      </c>
      <c r="B27194" s="4" t="s">
        <v>34233</v>
      </c>
      <c r="C27194" s="5" t="str">
        <f>IFERROR(__xludf.DUMMYFUNCTION("GOOGLETRANSLATE(B27194,""en"",""es-ES"")"),"Vemos que el bote nos pasa con el esquiador en el aire.")</f>
        <v>Vemos que el bote nos pasa con el esquiador en el aire.</v>
      </c>
    </row>
    <row r="27195">
      <c r="A27195" s="4" t="s">
        <v>34234</v>
      </c>
      <c r="B27195" s="4" t="s">
        <v>34235</v>
      </c>
      <c r="C27195" s="5" t="str">
        <f>IFERROR(__xludf.DUMMYFUNCTION("GOOGLETRANSLATE(B27195,""en"",""es-ES"")"),"Dos mujeres y un hombre caminan en el pasillo mirando las alfombras en exhibición.")</f>
        <v>Dos mujeres y un hombre caminan en el pasillo mirando las alfombras en exhibición.</v>
      </c>
    </row>
    <row r="27196">
      <c r="A27196" s="4" t="s">
        <v>34234</v>
      </c>
      <c r="B27196" s="4" t="s">
        <v>34236</v>
      </c>
      <c r="C27196" s="5" t="str">
        <f>IFERROR(__xludf.DUMMYFUNCTION("GOOGLETRANSLATE(B27196,""en"",""es-ES"")"),"Pasó una camioneta roja conducida por un hombre, luego un hombre caminó hacia la casa, luego un hombre se agacha en el piso alfombrado cortando una pieza o alfombra marrón, plancha la alfombra, presiona la alfombra con metal pesado.")</f>
        <v>Pasó una camioneta roja conducida por un hombre, luego un hombre caminó hacia la casa, luego un hombre se agacha en el piso alfombrado cortando una pieza o alfombra marrón, plancha la alfombra, presiona la alfombra con metal pesado.</v>
      </c>
    </row>
    <row r="27197">
      <c r="A27197" s="4" t="s">
        <v>34237</v>
      </c>
      <c r="B27197" s="4" t="s">
        <v>34238</v>
      </c>
      <c r="C27197" s="5" t="str">
        <f>IFERROR(__xludf.DUMMYFUNCTION("GOOGLETRANSLATE(B27197,""en"",""es-ES"")"),"Un hombre y una mujer raspan las heladas de las ventanas de un automóvil estacionado, el parabrisas y las cuchillas de los limpiaparabrisas, mientras que una segunda mujer les habla desde el costado del automóvil en la nieve.")</f>
        <v>Un hombre y una mujer raspan las heladas de las ventanas de un automóvil estacionado, el parabrisas y las cuchillas de los limpiaparabrisas, mientras que una segunda mujer les habla desde el costado del automóvil en la nieve.</v>
      </c>
    </row>
    <row r="27198">
      <c r="A27198" s="4" t="s">
        <v>34237</v>
      </c>
      <c r="B27198" s="4" t="s">
        <v>34239</v>
      </c>
      <c r="C27198" s="5" t="str">
        <f>IFERROR(__xludf.DUMMYFUNCTION("GOOGLETRANSLATE(B27198,""en"",""es-ES"")"),"Un hombre con un largo abrigo de lana negro raspa el hielo del parabrisas de un auto azul, mientras que una mujer con un abrigo de piel negra le habla desde el costado del auto.")</f>
        <v>Un hombre con un largo abrigo de lana negro raspa el hielo del parabrisas de un auto azul, mientras que una mujer con un abrigo de piel negra le habla desde el costado del auto.</v>
      </c>
    </row>
    <row r="27199">
      <c r="A27199" s="4" t="s">
        <v>34237</v>
      </c>
      <c r="B27199" s="4" t="s">
        <v>34240</v>
      </c>
      <c r="C27199" s="5" t="str">
        <f>IFERROR(__xludf.DUMMYFUNCTION("GOOGLETRANSLATE(B27199,""en"",""es-ES"")"),"Una segunda mujer comienza a limpiar la nieve de los limpiaparabrisas del automóvil mientras habla con la mujer con el abrigo con capucha de piel.")</f>
        <v>Una segunda mujer comienza a limpiar la nieve de los limpiaparabrisas del automóvil mientras habla con la mujer con el abrigo con capucha de piel.</v>
      </c>
    </row>
    <row r="27200">
      <c r="A27200" s="4" t="s">
        <v>34237</v>
      </c>
      <c r="B27200" s="4" t="s">
        <v>34241</v>
      </c>
      <c r="C27200" s="5" t="str">
        <f>IFERROR(__xludf.DUMMYFUNCTION("GOOGLETRANSLATE(B27200,""en"",""es-ES"")"),"El hombre se mete en el asiento trasero del auto y cierra la puerta detrás de él mientras la mujer en el pelaje de piel saluda a la otra mujer que se mueve hacia la puerta del auto del lado del conductor.")</f>
        <v>El hombre se mete en el asiento trasero del auto y cierra la puerta detrás de él mientras la mujer en el pelaje de piel saluda a la otra mujer que se mueve hacia la puerta del auto del lado del conductor.</v>
      </c>
    </row>
    <row r="27201">
      <c r="A27201" s="4" t="s">
        <v>34242</v>
      </c>
      <c r="B27201" s="4" t="s">
        <v>34243</v>
      </c>
      <c r="C27201" s="5" t="str">
        <f>IFERROR(__xludf.DUMMYFUNCTION("GOOGLETRANSLATE(B27201,""en"",""es-ES"")"),"Hay algunas chicas haciendo gimnasia en un gimnasio.")</f>
        <v>Hay algunas chicas haciendo gimnasia en un gimnasio.</v>
      </c>
    </row>
    <row r="27202">
      <c r="A27202" s="4" t="s">
        <v>34242</v>
      </c>
      <c r="B27202" s="4" t="s">
        <v>34244</v>
      </c>
      <c r="C27202" s="5" t="str">
        <f>IFERROR(__xludf.DUMMYFUNCTION("GOOGLETRANSLATE(B27202,""en"",""es-ES"")"),"Hay una niña que lleva una camiseta sin mangas atlética y pantalones cortos que hacen volteretas en su patio trasero.")</f>
        <v>Hay una niña que lleva una camiseta sin mangas atlética y pantalones cortos que hacen volteretas en su patio trasero.</v>
      </c>
    </row>
    <row r="27203">
      <c r="A27203" s="4" t="s">
        <v>34242</v>
      </c>
      <c r="B27203" s="4" t="s">
        <v>34245</v>
      </c>
      <c r="C27203" s="5" t="str">
        <f>IFERROR(__xludf.DUMMYFUNCTION("GOOGLETRANSLATE(B27203,""en"",""es-ES"")"),"Ella continúa retrocediendo de una manera rápida.")</f>
        <v>Ella continúa retrocediendo de una manera rápida.</v>
      </c>
    </row>
    <row r="27204">
      <c r="A27204" s="4" t="s">
        <v>34242</v>
      </c>
      <c r="B27204" s="4" t="s">
        <v>34246</v>
      </c>
      <c r="C27204" s="5" t="str">
        <f>IFERROR(__xludf.DUMMYFUNCTION("GOOGLETRANSLATE(B27204,""en"",""es-ES"")"),"Ella también hace una vuelta en la playa.")</f>
        <v>Ella también hace una vuelta en la playa.</v>
      </c>
    </row>
    <row r="27205">
      <c r="A27205" s="4" t="s">
        <v>34242</v>
      </c>
      <c r="B27205" s="4" t="s">
        <v>34247</v>
      </c>
      <c r="C27205" s="5" t="str">
        <f>IFERROR(__xludf.DUMMYFUNCTION("GOOGLETRANSLATE(B27205,""en"",""es-ES"")"),"Luego hace más volteos en su patio trasero y en un parque.")</f>
        <v>Luego hace más volteos en su patio trasero y en un parque.</v>
      </c>
    </row>
    <row r="27206">
      <c r="A27206" s="4" t="s">
        <v>34242</v>
      </c>
      <c r="B27206" s="4" t="s">
        <v>34248</v>
      </c>
      <c r="C27206" s="5" t="str">
        <f>IFERROR(__xludf.DUMMYFUNCTION("GOOGLETRANSLATE(B27206,""en"",""es-ES"")"),"Luego, la niña estira su pierna hacia la parte posterior de su cabeza para hacer que sus dedos toquen su cabeza.")</f>
        <v>Luego, la niña estira su pierna hacia la parte posterior de su cabeza para hacer que sus dedos toquen su cabeza.</v>
      </c>
    </row>
    <row r="27207">
      <c r="A27207" s="4" t="s">
        <v>34242</v>
      </c>
      <c r="B27207" s="4" t="s">
        <v>34249</v>
      </c>
      <c r="C27207" s="5" t="str">
        <f>IFERROR(__xludf.DUMMYFUNCTION("GOOGLETRANSLATE(B27207,""en"",""es-ES"")"),"Se muestran varias fotos de la niña donde ha participado como animadora y en muchos eventos de gimnasia.")</f>
        <v>Se muestran varias fotos de la niña donde ha participado como animadora y en muchos eventos de gimnasia.</v>
      </c>
    </row>
    <row r="27208">
      <c r="A27208" s="4" t="s">
        <v>34250</v>
      </c>
      <c r="B27208" s="4" t="s">
        <v>34251</v>
      </c>
      <c r="C27208" s="5" t="str">
        <f>IFERROR(__xludf.DUMMYFUNCTION("GOOGLETRANSLATE(B27208,""en"",""es-ES"")"),"Se ve a una mujer hablando con la cámara mientras se muestran tomas de casas.")</f>
        <v>Se ve a una mujer hablando con la cámara mientras se muestran tomas de casas.</v>
      </c>
    </row>
    <row r="27209">
      <c r="A27209" s="4" t="s">
        <v>34250</v>
      </c>
      <c r="B27209" s="4" t="s">
        <v>34252</v>
      </c>
      <c r="C27209" s="5" t="str">
        <f>IFERROR(__xludf.DUMMYFUNCTION("GOOGLETRANSLATE(B27209,""en"",""es-ES"")"),"Luego se ve a la gente preparar perros y sostener premios.")</f>
        <v>Luego se ve a la gente preparar perros y sostener premios.</v>
      </c>
    </row>
    <row r="27210">
      <c r="A27210" s="4" t="s">
        <v>34250</v>
      </c>
      <c r="B27210" s="4" t="s">
        <v>34253</v>
      </c>
      <c r="C27210" s="5" t="str">
        <f>IFERROR(__xludf.DUMMYFUNCTION("GOOGLETRANSLATE(B27210,""en"",""es-ES"")"),"La mujer continúa hablando con la cámara mientras los perros continúan siendo preparados detrás de ella.")</f>
        <v>La mujer continúa hablando con la cámara mientras los perros continúan siendo preparados detrás de ella.</v>
      </c>
    </row>
    <row r="27211">
      <c r="A27211" s="4" t="s">
        <v>34254</v>
      </c>
      <c r="B27211" s="4" t="s">
        <v>34255</v>
      </c>
      <c r="C27211" s="5" t="str">
        <f>IFERROR(__xludf.DUMMYFUNCTION("GOOGLETRANSLATE(B27211,""en"",""es-ES"")"),"Un hombre parlante vestido con equipo deportivo está parado en un campo muy verde y las palabras en la parte inferior izquierda dicen que se llama Neil Macmillan y su título es entrenador en jefe.")</f>
        <v>Un hombre parlante vestido con equipo deportivo está parado en un campo muy verde y las palabras en la parte inferior izquierda dicen que se llama Neil Macmillan y su título es entrenador en jefe.</v>
      </c>
    </row>
    <row r="27212">
      <c r="A27212" s="4" t="s">
        <v>34254</v>
      </c>
      <c r="B27212" s="4" t="s">
        <v>34256</v>
      </c>
      <c r="C27212" s="5" t="str">
        <f>IFERROR(__xludf.DUMMYFUNCTION("GOOGLETRANSLATE(B27212,""en"",""es-ES"")"),"Se muestra un gran grupo de chicas vestidas con equipo deportivo jugando hockey terrestre, y las personas que no juegan están vestidas para el clima frío.")</f>
        <v>Se muestra un gran grupo de chicas vestidas con equipo deportivo jugando hockey terrestre, y las personas que no juegan están vestidas para el clima frío.</v>
      </c>
    </row>
    <row r="27213">
      <c r="A27213" s="4" t="s">
        <v>34254</v>
      </c>
      <c r="B27213" s="4" t="s">
        <v>34257</v>
      </c>
      <c r="C27213" s="5" t="str">
        <f>IFERROR(__xludf.DUMMYFUNCTION("GOOGLETRANSLATE(B27213,""en"",""es-ES"")"),"Los clips del hombre continúan jugando y girando al mostrar al hombre y a las chicas jugando hockey terrestre hasta que terminan de jugar.")</f>
        <v>Los clips del hombre continúan jugando y girando al mostrar al hombre y a las chicas jugando hockey terrestre hasta que terminan de jugar.</v>
      </c>
    </row>
    <row r="27214">
      <c r="A27214" s="4" t="s">
        <v>34258</v>
      </c>
      <c r="B27214" s="4" t="s">
        <v>34259</v>
      </c>
      <c r="C27214" s="5" t="str">
        <f>IFERROR(__xludf.DUMMYFUNCTION("GOOGLETRANSLATE(B27214,""en"",""es-ES"")"),"Un niño suelda un trozo de metal haciendo destellos.")</f>
        <v>Un niño suelda un trozo de metal haciendo destellos.</v>
      </c>
    </row>
    <row r="27215">
      <c r="A27215" s="4" t="s">
        <v>34258</v>
      </c>
      <c r="B27215" s="4" t="s">
        <v>34260</v>
      </c>
      <c r="C27215" s="5" t="str">
        <f>IFERROR(__xludf.DUMMYFUNCTION("GOOGLETRANSLATE(B27215,""en"",""es-ES"")"),"Luego, el niño levanta el casco y habla.")</f>
        <v>Luego, el niño levanta el casco y habla.</v>
      </c>
    </row>
    <row r="27216">
      <c r="A27216" s="4" t="s">
        <v>34261</v>
      </c>
      <c r="B27216" s="4" t="s">
        <v>34262</v>
      </c>
      <c r="C27216" s="5" t="str">
        <f>IFERROR(__xludf.DUMMYFUNCTION("GOOGLETRANSLATE(B27216,""en"",""es-ES"")"),"Una mujer abre la boca y sonríe a la cámara.")</f>
        <v>Una mujer abre la boca y sonríe a la cámara.</v>
      </c>
    </row>
    <row r="27217">
      <c r="A27217" s="4" t="s">
        <v>34261</v>
      </c>
      <c r="B27217" s="4" t="s">
        <v>34263</v>
      </c>
      <c r="C27217" s="5" t="str">
        <f>IFERROR(__xludf.DUMMYFUNCTION("GOOGLETRANSLATE(B27217,""en"",""es-ES"")"),"La gente pasa, navegando por agua.")</f>
        <v>La gente pasa, navegando por agua.</v>
      </c>
    </row>
    <row r="27218">
      <c r="A27218" s="4" t="s">
        <v>34261</v>
      </c>
      <c r="B27218" s="4" t="s">
        <v>34264</v>
      </c>
      <c r="C27218" s="5" t="str">
        <f>IFERROR(__xludf.DUMMYFUNCTION("GOOGLETRANSLATE(B27218,""en"",""es-ES"")"),"Giran y giran en el agua mientras navegan.")</f>
        <v>Giran y giran en el agua mientras navegan.</v>
      </c>
    </row>
    <row r="27219">
      <c r="A27219" s="4" t="s">
        <v>34265</v>
      </c>
      <c r="B27219" s="4" t="s">
        <v>34266</v>
      </c>
      <c r="C27219" s="5" t="str">
        <f>IFERROR(__xludf.DUMMYFUNCTION("GOOGLETRANSLATE(B27219,""en"",""es-ES"")"),"Un hombre cerrando la puerta de su casa y luego abriendo la puerta de su auto.")</f>
        <v>Un hombre cerrando la puerta de su casa y luego abriendo la puerta de su auto.</v>
      </c>
    </row>
    <row r="27220">
      <c r="A27220" s="4" t="s">
        <v>34265</v>
      </c>
      <c r="B27220" s="4" t="s">
        <v>34267</v>
      </c>
      <c r="C27220" s="5" t="str">
        <f>IFERROR(__xludf.DUMMYFUNCTION("GOOGLETRANSLATE(B27220,""en"",""es-ES"")"),"Se sube al auto y pone las llaves en el encendido y comienza a conducir por la carretera hasta su tienda.")</f>
        <v>Se sube al auto y pone las llaves en el encendido y comienza a conducir por la carretera hasta su tienda.</v>
      </c>
    </row>
    <row r="27221">
      <c r="A27221" s="4" t="s">
        <v>34265</v>
      </c>
      <c r="B27221" s="4" t="s">
        <v>34268</v>
      </c>
      <c r="C27221" s="5" t="str">
        <f>IFERROR(__xludf.DUMMYFUNCTION("GOOGLETRANSLATE(B27221,""en"",""es-ES"")"),"Obtiene algunos tableros y comienza a lijarse al suavizarlos.")</f>
        <v>Obtiene algunos tableros y comienza a lijarse al suavizarlos.</v>
      </c>
    </row>
    <row r="27222">
      <c r="A27222" s="4" t="s">
        <v>34265</v>
      </c>
      <c r="B27222" s="4" t="s">
        <v>34269</v>
      </c>
      <c r="C27222" s="5" t="str">
        <f>IFERROR(__xludf.DUMMYFUNCTION("GOOGLETRANSLATE(B27222,""en"",""es-ES"")"),"Cuando termina el día, apaga las luces y se prepara para el trabajo.")</f>
        <v>Cuando termina el día, apaga las luces y se prepara para el trabajo.</v>
      </c>
    </row>
    <row r="27223">
      <c r="A27223" s="4" t="s">
        <v>34270</v>
      </c>
      <c r="B27223" s="4" t="s">
        <v>34271</v>
      </c>
      <c r="C27223" s="5" t="str">
        <f>IFERROR(__xludf.DUMMYFUNCTION("GOOGLETRANSLATE(B27223,""en"",""es-ES"")"),"Un hombre está parado sobre hielo sosteniendo un poste de pesca en su mano derecha y hay un agujero muy pequeño en el hielo frente a él y deja caer su gancho en el agujero y tira de su poste.")</f>
        <v>Un hombre está parado sobre hielo sosteniendo un poste de pesca en su mano derecha y hay un agujero muy pequeño en el hielo frente a él y deja caer su gancho en el agujero y tira de su poste.</v>
      </c>
    </row>
    <row r="27224">
      <c r="A27224" s="4" t="s">
        <v>34270</v>
      </c>
      <c r="B27224" s="4" t="s">
        <v>34272</v>
      </c>
      <c r="C27224" s="5" t="str">
        <f>IFERROR(__xludf.DUMMYFUNCTION("GOOGLETRANSLATE(B27224,""en"",""es-ES"")"),"El hombre luego tira del alambre de pesca varias veces y se para allí sosteniendo su poste de pesca, moviéndolo y enrollándolo de vez en cuando.")</f>
        <v>El hombre luego tira del alambre de pesca varias veces y se para allí sosteniendo su poste de pesca, moviéndolo y enrollándolo de vez en cuando.</v>
      </c>
    </row>
    <row r="27225">
      <c r="A27225" s="4" t="s">
        <v>34270</v>
      </c>
      <c r="B27225" s="4" t="s">
        <v>34273</v>
      </c>
      <c r="C27225" s="5" t="str">
        <f>IFERROR(__xludf.DUMMYFUNCTION("GOOGLETRANSLATE(B27225,""en"",""es-ES"")"),"El extremo del poste comienza a doblarse y el hombre comienza a tirar del poste y enrollarlo y saca un pez del agujero y aterriza sobre el hielo.")</f>
        <v>El extremo del poste comienza a doblarse y el hombre comienza a tirar del poste y enrollarlo y saca un pez del agujero y aterriza sobre el hielo.</v>
      </c>
    </row>
    <row r="27226">
      <c r="A27226" s="4" t="s">
        <v>34270</v>
      </c>
      <c r="B27226" s="4" t="s">
        <v>34274</v>
      </c>
      <c r="C27226" s="5" t="str">
        <f>IFERROR(__xludf.DUMMYFUNCTION("GOOGLETRANSLATE(B27226,""en"",""es-ES"")"),"El hombre agarra el pez del hielo y lo vuelve a colocar en el agujero del que lo sacó mientras aún está unido al gancho y su alambre.")</f>
        <v>El hombre agarra el pez del hielo y lo vuelve a colocar en el agujero del que lo sacó mientras aún está unido al gancho y su alambre.</v>
      </c>
    </row>
    <row r="27227">
      <c r="A27227" s="4" t="s">
        <v>34270</v>
      </c>
      <c r="B27227" s="4" t="s">
        <v>34275</v>
      </c>
      <c r="C27227" s="5" t="str">
        <f>IFERROR(__xludf.DUMMYFUNCTION("GOOGLETRANSLATE(B27227,""en"",""es-ES"")"),"Luego, el hombre comienza a tirar del alambre de pesca, tire de su poste hacia arriba y hacia abajo varias veces, y luego ajusta la cámara.")</f>
        <v>Luego, el hombre comienza a tirar del alambre de pesca, tire de su poste hacia arriba y hacia abajo varias veces, y luego ajusta la cámara.</v>
      </c>
    </row>
    <row r="27228">
      <c r="A27228" s="4" t="s">
        <v>34276</v>
      </c>
      <c r="B27228" s="4" t="s">
        <v>34277</v>
      </c>
      <c r="C27228" s="5" t="str">
        <f>IFERROR(__xludf.DUMMYFUNCTION("GOOGLETRANSLATE(B27228,""en"",""es-ES"")"),"La pantalla de mosaico aparece con algunos nombres.")</f>
        <v>La pantalla de mosaico aparece con algunos nombres.</v>
      </c>
    </row>
    <row r="27229">
      <c r="A27229" s="4" t="s">
        <v>34276</v>
      </c>
      <c r="B27229" s="4" t="s">
        <v>34278</v>
      </c>
      <c r="C27229" s="5" t="str">
        <f>IFERROR(__xludf.DUMMYFUNCTION("GOOGLETRANSLATE(B27229,""en"",""es-ES"")"),"Un hombre comienza a lanzar un disparo varias veces diferentes a medida que los nombres se desplazan en la parte inferior.")</f>
        <v>Un hombre comienza a lanzar un disparo varias veces diferentes a medida que los nombres se desplazan en la parte inferior.</v>
      </c>
    </row>
    <row r="27230">
      <c r="A27230" s="4" t="s">
        <v>34276</v>
      </c>
      <c r="B27230" s="4" t="s">
        <v>34279</v>
      </c>
      <c r="C27230" s="5" t="str">
        <f>IFERROR(__xludf.DUMMYFUNCTION("GOOGLETRANSLATE(B27230,""en"",""es-ES"")"),"Se puede ver un grupo detrás de verlo.")</f>
        <v>Se puede ver un grupo detrás de verlo.</v>
      </c>
    </row>
    <row r="27231">
      <c r="A27231" s="4" t="s">
        <v>34276</v>
      </c>
      <c r="B27231" s="4" t="s">
        <v>34280</v>
      </c>
      <c r="C27231" s="5" t="str">
        <f>IFERROR(__xludf.DUMMYFUNCTION("GOOGLETRANSLATE(B27231,""en"",""es-ES"")"),"Un hombre está detrás del último lanzado.")</f>
        <v>Un hombre está detrás del último lanzado.</v>
      </c>
    </row>
    <row r="27232">
      <c r="A27232" s="4" t="s">
        <v>34281</v>
      </c>
      <c r="B27232" s="4" t="s">
        <v>34282</v>
      </c>
      <c r="C27232" s="5" t="str">
        <f>IFERROR(__xludf.DUMMYFUNCTION("GOOGLETRANSLATE(B27232,""en"",""es-ES"")"),"Las palabras aparecen en la pantalla antes de que se vuelva negra.")</f>
        <v>Las palabras aparecen en la pantalla antes de que se vuelva negra.</v>
      </c>
    </row>
    <row r="27233">
      <c r="A27233" s="4" t="s">
        <v>34281</v>
      </c>
      <c r="B27233" s="4" t="s">
        <v>34283</v>
      </c>
      <c r="C27233" s="5" t="str">
        <f>IFERROR(__xludf.DUMMYFUNCTION("GOOGLETRANSLATE(B27233,""en"",""es-ES"")"),"Aparece un hombre, usando escobreses para lavar una ventana frente a él mientras habla.")</f>
        <v>Aparece un hombre, usando escobreses para lavar una ventana frente a él mientras habla.</v>
      </c>
    </row>
    <row r="27234">
      <c r="A27234" s="4" t="s">
        <v>34281</v>
      </c>
      <c r="B27234" s="4" t="s">
        <v>34284</v>
      </c>
      <c r="C27234" s="5" t="str">
        <f>IFERROR(__xludf.DUMMYFUNCTION("GOOGLETRANSLATE(B27234,""en"",""es-ES"")"),"Aplica jabón generosamente antes de desprenderlo con el rastrillo.")</f>
        <v>Aplica jabón generosamente antes de desprenderlo con el rastrillo.</v>
      </c>
    </row>
    <row r="27235">
      <c r="A27235" s="4" t="s">
        <v>34281</v>
      </c>
      <c r="B27235" s="4" t="s">
        <v>34285</v>
      </c>
      <c r="C27235" s="5" t="str">
        <f>IFERROR(__xludf.DUMMYFUNCTION("GOOGLETRANSLATE(B27235,""en"",""es-ES"")"),"Deja de limpiar la ventana y dice algunas palabras para cerrar.")</f>
        <v>Deja de limpiar la ventana y dice algunas palabras para cerrar.</v>
      </c>
    </row>
    <row r="27236">
      <c r="A27236" s="4" t="s">
        <v>34286</v>
      </c>
      <c r="B27236" s="4" t="s">
        <v>34287</v>
      </c>
      <c r="C27236" s="5" t="str">
        <f>IFERROR(__xludf.DUMMYFUNCTION("GOOGLETRANSLATE(B27236,""en"",""es-ES"")"),"Un atleta camina hasta una viga.")</f>
        <v>Un atleta camina hasta una viga.</v>
      </c>
    </row>
    <row r="27237">
      <c r="A27237" s="4" t="s">
        <v>34286</v>
      </c>
      <c r="B27237" s="4" t="s">
        <v>34288</v>
      </c>
      <c r="C27237" s="5" t="str">
        <f>IFERROR(__xludf.DUMMYFUNCTION("GOOGLETRANSLATE(B27237,""en"",""es-ES"")"),"Se monta rápidamente, girando y girando y saltando entre las dos barras varias veces.")</f>
        <v>Se monta rápidamente, girando y girando y saltando entre las dos barras varias veces.</v>
      </c>
    </row>
    <row r="27238">
      <c r="A27238" s="4" t="s">
        <v>34286</v>
      </c>
      <c r="B27238" s="4" t="s">
        <v>34289</v>
      </c>
      <c r="C27238" s="5" t="str">
        <f>IFERROR(__xludf.DUMMYFUNCTION("GOOGLETRANSLATE(B27238,""en"",""es-ES"")"),"Finalmente desmonta, arrojando los brazos al aire antes de alejarse.")</f>
        <v>Finalmente desmonta, arrojando los brazos al aire antes de alejarse.</v>
      </c>
    </row>
    <row r="27239">
      <c r="A27239" s="4" t="s">
        <v>34290</v>
      </c>
      <c r="B27239" s="4" t="s">
        <v>34291</v>
      </c>
      <c r="C27239" s="5" t="str">
        <f>IFERROR(__xludf.DUMMYFUNCTION("GOOGLETRANSLATE(B27239,""en"",""es-ES"")"),"Un hombre hace tatuajes en la cabeza trasera y el cuello de una persona.")</f>
        <v>Un hombre hace tatuajes en la cabeza trasera y el cuello de una persona.</v>
      </c>
    </row>
    <row r="27240">
      <c r="A27240" s="4" t="s">
        <v>34290</v>
      </c>
      <c r="B27240" s="4" t="s">
        <v>34292</v>
      </c>
      <c r="C27240" s="5" t="str">
        <f>IFERROR(__xludf.DUMMYFUNCTION("GOOGLETRANSLATE(B27240,""en"",""es-ES"")"),"Luego, el hombre limpia la cabeza y el cuello con un tejido blanco.")</f>
        <v>Luego, el hombre limpia la cabeza y el cuello con un tejido blanco.</v>
      </c>
    </row>
    <row r="27241">
      <c r="A27241" s="4" t="s">
        <v>34290</v>
      </c>
      <c r="B27241" s="4" t="s">
        <v>34293</v>
      </c>
      <c r="C27241" s="5" t="str">
        <f>IFERROR(__xludf.DUMMYFUNCTION("GOOGLETRANSLATE(B27241,""en"",""es-ES"")"),"Después, el hombre continúa haciendo el tatuaje en el costado de la cabeza mientras limpia la pintura.")</f>
        <v>Después, el hombre continúa haciendo el tatuaje en el costado de la cabeza mientras limpia la pintura.</v>
      </c>
    </row>
    <row r="27242">
      <c r="A27242" s="4" t="s">
        <v>34294</v>
      </c>
      <c r="B27242" s="4" t="s">
        <v>34295</v>
      </c>
      <c r="C27242" s="5" t="str">
        <f>IFERROR(__xludf.DUMMYFUNCTION("GOOGLETRANSLATE(B27242,""en"",""es-ES"")"),"Una mujer con un leotardo negro está hablando en un escenario.")</f>
        <v>Una mujer con un leotardo negro está hablando en un escenario.</v>
      </c>
    </row>
    <row r="27243">
      <c r="A27243" s="4" t="s">
        <v>34294</v>
      </c>
      <c r="B27243" s="4" t="s">
        <v>34296</v>
      </c>
      <c r="C27243" s="5" t="str">
        <f>IFERROR(__xludf.DUMMYFUNCTION("GOOGLETRANSLATE(B27243,""en"",""es-ES"")"),"Ella comienza a bailar para la cámara.")</f>
        <v>Ella comienza a bailar para la cámara.</v>
      </c>
    </row>
    <row r="27244">
      <c r="A27244" s="4" t="s">
        <v>34294</v>
      </c>
      <c r="B27244" s="4" t="s">
        <v>34297</v>
      </c>
      <c r="C27244" s="5" t="str">
        <f>IFERROR(__xludf.DUMMYFUNCTION("GOOGLETRANSLATE(B27244,""en"",""es-ES"")"),"Ella muestra varios movimientos de baile mientras los hace.")</f>
        <v>Ella muestra varios movimientos de baile mientras los hace.</v>
      </c>
    </row>
    <row r="27245">
      <c r="A27245" s="4" t="s">
        <v>34298</v>
      </c>
      <c r="B27245" s="4" t="s">
        <v>34299</v>
      </c>
      <c r="C27245" s="5" t="str">
        <f>IFERROR(__xludf.DUMMYFUNCTION("GOOGLETRANSLATE(B27245,""en"",""es-ES"")"),"Dos personas están jugando un juego de lacrosse.")</f>
        <v>Dos personas están jugando un juego de lacrosse.</v>
      </c>
    </row>
    <row r="27246">
      <c r="A27246" s="4" t="s">
        <v>34298</v>
      </c>
      <c r="B27246" s="4" t="s">
        <v>34300</v>
      </c>
      <c r="C27246" s="5" t="str">
        <f>IFERROR(__xludf.DUMMYFUNCTION("GOOGLETRANSLATE(B27246,""en"",""es-ES"")"),"Disparan a la meta y hacen el punto.")</f>
        <v>Disparan a la meta y hacen el punto.</v>
      </c>
    </row>
    <row r="27247">
      <c r="A27247" s="4" t="s">
        <v>34301</v>
      </c>
      <c r="B27247" s="4" t="s">
        <v>34302</v>
      </c>
      <c r="C27247" s="5" t="str">
        <f>IFERROR(__xludf.DUMMYFUNCTION("GOOGLETRANSLATE(B27247,""en"",""es-ES"")"),"Una niña en una habitación de pie frente a algunas sillas está golpeando una Dora piadata.")</f>
        <v>Una niña en una habitación de pie frente a algunas sillas está golpeando una Dora piadata.</v>
      </c>
    </row>
    <row r="27248">
      <c r="A27248" s="4" t="s">
        <v>34301</v>
      </c>
      <c r="B27248" s="4" t="s">
        <v>34303</v>
      </c>
      <c r="C27248" s="5" t="str">
        <f>IFERROR(__xludf.DUMMYFUNCTION("GOOGLETRANSLATE(B27248,""en"",""es-ES"")"),"Ella lo golpea varias veces y luego es el turno de otra persona.")</f>
        <v>Ella lo golpea varias veces y luego es el turno de otra persona.</v>
      </c>
    </row>
    <row r="27249">
      <c r="A27249" s="4" t="s">
        <v>34301</v>
      </c>
      <c r="B27249" s="4" t="s">
        <v>34304</v>
      </c>
      <c r="C27249" s="5" t="str">
        <f>IFERROR(__xludf.DUMMYFUNCTION("GOOGLETRANSLATE(B27249,""en"",""es-ES"")"),"Una niña mayor lo golpea tan fuerte que no se rompe, pero toda la piñata se cae y los adultos tienen que volver a ponerlo.")</f>
        <v>Una niña mayor lo golpea tan fuerte que no se rompe, pero toda la piñata se cae y los adultos tienen que volver a ponerlo.</v>
      </c>
    </row>
    <row r="27250">
      <c r="A27250" s="4" t="s">
        <v>34301</v>
      </c>
      <c r="B27250" s="4" t="s">
        <v>34305</v>
      </c>
      <c r="C27250" s="5" t="str">
        <f>IFERROR(__xludf.DUMMYFUNCTION("GOOGLETRANSLATE(B27250,""en"",""es-ES"")"),"Después de que todos toman su tún, la niña vuelve a ir, cuando golpear no funciona, todos toman un trozo de cuerda y lo tiran.")</f>
        <v>Después de que todos toman su tún, la niña vuelve a ir, cuando golpear no funciona, todos toman un trozo de cuerda y lo tiran.</v>
      </c>
    </row>
    <row r="27251">
      <c r="A27251" s="4" t="s">
        <v>34306</v>
      </c>
      <c r="B27251" s="4" t="s">
        <v>34307</v>
      </c>
      <c r="C27251" s="5" t="str">
        <f>IFERROR(__xludf.DUMMYFUNCTION("GOOGLETRANSLATE(B27251,""en"",""es-ES"")"),"La gente está en una cancha estirando y haciendo ejercicio, saltando la cuerda y el levantamiento de pesas.")</f>
        <v>La gente está en una cancha estirando y haciendo ejercicio, saltando la cuerda y el levantamiento de pesas.</v>
      </c>
    </row>
    <row r="27252">
      <c r="A27252" s="4" t="s">
        <v>34306</v>
      </c>
      <c r="B27252" s="4" t="s">
        <v>34308</v>
      </c>
      <c r="C27252" s="5" t="str">
        <f>IFERROR(__xludf.DUMMYFUNCTION("GOOGLETRANSLATE(B27252,""en"",""es-ES"")"),"El hombre está hablando con la cámara y las personas que practican capoeira, suicidios y el levantamiento de pesas son entrenamiento.")</f>
        <v>El hombre está hablando con la cámara y las personas que practican capoeira, suicidios y el levantamiento de pesas son entrenamiento.</v>
      </c>
    </row>
    <row r="27253">
      <c r="A27253" s="4" t="s">
        <v>34309</v>
      </c>
      <c r="B27253" s="4" t="s">
        <v>34310</v>
      </c>
      <c r="C27253" s="5" t="str">
        <f>IFERROR(__xludf.DUMMYFUNCTION("GOOGLETRANSLATE(B27253,""en"",""es-ES"")"),"Un presentador de un hombre y una mujer están hablando detrás de un escritorio y varios televisores.")</f>
        <v>Un presentador de un hombre y una mujer están hablando detrás de un escritorio y varios televisores.</v>
      </c>
    </row>
    <row r="27254">
      <c r="A27254" s="4" t="s">
        <v>34309</v>
      </c>
      <c r="B27254" s="4" t="s">
        <v>34311</v>
      </c>
      <c r="C27254" s="5" t="str">
        <f>IFERROR(__xludf.DUMMYFUNCTION("GOOGLETRANSLATE(B27254,""en"",""es-ES"")"),"Luego se muestra a la mujer sola y ella comienza a hablar.")</f>
        <v>Luego se muestra a la mujer sola y ella comienza a hablar.</v>
      </c>
    </row>
    <row r="27255">
      <c r="A27255" s="4" t="s">
        <v>34309</v>
      </c>
      <c r="B27255" s="4" t="s">
        <v>34312</v>
      </c>
      <c r="C27255" s="5" t="str">
        <f>IFERROR(__xludf.DUMMYFUNCTION("GOOGLETRANSLATE(B27255,""en"",""es-ES"")"),"Luego aparece una pista de hielo y una mujer comienza a entrenar a un hombre sobre técnicas específicas para un juego.")</f>
        <v>Luego aparece una pista de hielo y una mujer comienza a entrenar a un hombre sobre técnicas específicas para un juego.</v>
      </c>
    </row>
    <row r="27256">
      <c r="A27256" s="4" t="s">
        <v>34309</v>
      </c>
      <c r="B27256" s="4" t="s">
        <v>34313</v>
      </c>
      <c r="C27256" s="5" t="str">
        <f>IFERROR(__xludf.DUMMYFUNCTION("GOOGLETRANSLATE(B27256,""en"",""es-ES"")"),"Ella tiene una breve entrevista y continúa entrenando a personas en curling.")</f>
        <v>Ella tiene una breve entrevista y continúa entrenando a personas en curling.</v>
      </c>
    </row>
    <row r="27257">
      <c r="A27257" s="4" t="s">
        <v>34309</v>
      </c>
      <c r="B27257" s="4" t="s">
        <v>34314</v>
      </c>
      <c r="C27257" s="5" t="str">
        <f>IFERROR(__xludf.DUMMYFUNCTION("GOOGLETRANSLATE(B27257,""en"",""es-ES"")"),"Más personas están en el gimnasio y continúan curvando y más instructores comienzan a tener entrevistas.")</f>
        <v>Más personas están en el gimnasio y continúan curvando y más instructores comienzan a tener entrevistas.</v>
      </c>
    </row>
    <row r="27258">
      <c r="A27258" s="4" t="s">
        <v>34309</v>
      </c>
      <c r="B27258" s="4" t="s">
        <v>34315</v>
      </c>
      <c r="C27258" s="5" t="str">
        <f>IFERROR(__xludf.DUMMYFUNCTION("GOOGLETRANSLATE(B27258,""en"",""es-ES"")"),"Los clips se muestran desde un juego de rizado real y la gente comienza a esperar contra la pared.")</f>
        <v>Los clips se muestran desde un juego de rizado real y la gente comienza a esperar contra la pared.</v>
      </c>
    </row>
    <row r="27259">
      <c r="A27259" s="4" t="s">
        <v>34316</v>
      </c>
      <c r="B27259" s="4" t="s">
        <v>34317</v>
      </c>
      <c r="C27259" s="5" t="str">
        <f>IFERROR(__xludf.DUMMYFUNCTION("GOOGLETRANSLATE(B27259,""en"",""es-ES"")"),"Hay un campo con una cometa en él.")</f>
        <v>Hay un campo con una cometa en él.</v>
      </c>
    </row>
    <row r="27260">
      <c r="A27260" s="4" t="s">
        <v>34316</v>
      </c>
      <c r="B27260" s="4" t="s">
        <v>34318</v>
      </c>
      <c r="C27260" s="5" t="str">
        <f>IFERROR(__xludf.DUMMYFUNCTION("GOOGLETRANSLATE(B27260,""en"",""es-ES"")"),"Un hombre se está preparando para volar la cometa.")</f>
        <v>Un hombre se está preparando para volar la cometa.</v>
      </c>
    </row>
    <row r="27261">
      <c r="A27261" s="4" t="s">
        <v>34316</v>
      </c>
      <c r="B27261" s="4" t="s">
        <v>34319</v>
      </c>
      <c r="C27261" s="5" t="str">
        <f>IFERROR(__xludf.DUMMYFUNCTION("GOOGLETRANSLATE(B27261,""en"",""es-ES"")"),"La cometa se encuentra en el aire y se dispara.")</f>
        <v>La cometa se encuentra en el aire y se dispara.</v>
      </c>
    </row>
    <row r="27262">
      <c r="A27262" s="4" t="s">
        <v>34320</v>
      </c>
      <c r="B27262" s="4" t="s">
        <v>34321</v>
      </c>
      <c r="C27262" s="5" t="str">
        <f>IFERROR(__xludf.DUMMYFUNCTION("GOOGLETRANSLATE(B27262,""en"",""es-ES"")"),"Un hombre que lleva gafas muy grandes está hablando en un micrófono negro mientras las personas detrás de él bailan hasta que señala su dirección y todos se dispersan en la pista de baile.")</f>
        <v>Un hombre que lleva gafas muy grandes está hablando en un micrófono negro mientras las personas detrás de él bailan hasta que señala su dirección y todos se dispersan en la pista de baile.</v>
      </c>
    </row>
    <row r="27263">
      <c r="A27263" s="4" t="s">
        <v>34320</v>
      </c>
      <c r="B27263" s="4" t="s">
        <v>34322</v>
      </c>
      <c r="C27263" s="5" t="str">
        <f>IFERROR(__xludf.DUMMYFUNCTION("GOOGLETRANSLATE(B27263,""en"",""es-ES"")"),"Los hombres están vestidos con trajes rojos y cada uno se turnan para break break bailando solos, ya que las palabras en la pantalla posiblemente nombran al bailarín.")</f>
        <v>Los hombres están vestidos con trajes rojos y cada uno se turnan para break break bailando solos, ya que las palabras en la pantalla posiblemente nombran al bailarín.</v>
      </c>
    </row>
    <row r="27264">
      <c r="A27264" s="4" t="s">
        <v>34320</v>
      </c>
      <c r="B27264" s="4" t="s">
        <v>34323</v>
      </c>
      <c r="C27264" s="5" t="str">
        <f>IFERROR(__xludf.DUMMYFUNCTION("GOOGLETRANSLATE(B27264,""en"",""es-ES"")"),"Cuando el último hombre está bailando, todos se detienen y tienen una pose y DJ que ha estado tocando todo este tiempo continúa reproduciendo música en su estación de DJ.")</f>
        <v>Cuando el último hombre está bailando, todos se detienen y tienen una pose y DJ que ha estado tocando todo este tiempo continúa reproduciendo música en su estación de DJ.</v>
      </c>
    </row>
    <row r="27265">
      <c r="A27265" s="4" t="s">
        <v>34324</v>
      </c>
      <c r="B27265" s="4" t="s">
        <v>34325</v>
      </c>
      <c r="C27265" s="5" t="str">
        <f>IFERROR(__xludf.DUMMYFUNCTION("GOOGLETRANSLATE(B27265,""en"",""es-ES"")"),"Una mujer y un hombre realiza la lucha libre.")</f>
        <v>Una mujer y un hombre realiza la lucha libre.</v>
      </c>
    </row>
    <row r="27266">
      <c r="A27266" s="4" t="s">
        <v>34324</v>
      </c>
      <c r="B27266" s="4" t="s">
        <v>34326</v>
      </c>
      <c r="C27266" s="5" t="str">
        <f>IFERROR(__xludf.DUMMYFUNCTION("GOOGLETRANSLATE(B27266,""en"",""es-ES"")"),"El hombre levanta su manga de camiseta hasta el hombro.")</f>
        <v>El hombre levanta su manga de camiseta hasta el hombro.</v>
      </c>
    </row>
    <row r="27267">
      <c r="A27267" s="4" t="s">
        <v>34324</v>
      </c>
      <c r="B27267" s="4" t="s">
        <v>34327</v>
      </c>
      <c r="C27267" s="5" t="str">
        <f>IFERROR(__xludf.DUMMYFUNCTION("GOOGLETRANSLATE(B27267,""en"",""es-ES"")"),"Un hombre entra en una habitación detrás de los luchadores.")</f>
        <v>Un hombre entra en una habitación detrás de los luchadores.</v>
      </c>
    </row>
    <row r="27268">
      <c r="A27268" s="4" t="s">
        <v>34324</v>
      </c>
      <c r="B27268" s="4" t="s">
        <v>34328</v>
      </c>
      <c r="C27268" s="5" t="str">
        <f>IFERROR(__xludf.DUMMYFUNCTION("GOOGLETRANSLATE(B27268,""en"",""es-ES"")"),"El hombre dobla el brazo de la mujer, pero la mujer recta su brazo y dobla el brazo del hombre y gana.")</f>
        <v>El hombre dobla el brazo de la mujer, pero la mujer recta su brazo y dobla el brazo del hombre y gana.</v>
      </c>
    </row>
    <row r="27269">
      <c r="A27269" s="4" t="s">
        <v>34329</v>
      </c>
      <c r="B27269" s="4" t="s">
        <v>34330</v>
      </c>
      <c r="C27269" s="5" t="str">
        <f>IFERROR(__xludf.DUMMYFUNCTION("GOOGLETRANSLATE(B27269,""en"",""es-ES"")"),"Un hombre poda ramas muertas de la planta de cojinete de frutas en el invierno.")</f>
        <v>Un hombre poda ramas muertas de la planta de cojinete de frutas en el invierno.</v>
      </c>
    </row>
    <row r="27270">
      <c r="A27270" s="4" t="s">
        <v>34329</v>
      </c>
      <c r="B27270" s="4" t="s">
        <v>34331</v>
      </c>
      <c r="C27270" s="5" t="str">
        <f>IFERROR(__xludf.DUMMYFUNCTION("GOOGLETRANSLATE(B27270,""en"",""es-ES"")"),"Un hombre, en un campo de suciedad y cultivos de frutas con ramas desnudas del invierno, comienza a podar ramas muertas de las plantas de frutas con una herramienta de poda y un hacha.")</f>
        <v>Un hombre, en un campo de suciedad y cultivos de frutas con ramas desnudas del invierno, comienza a podar ramas muertas de las plantas de frutas con una herramienta de poda y un hacha.</v>
      </c>
    </row>
    <row r="27271">
      <c r="A27271" s="4" t="s">
        <v>34329</v>
      </c>
      <c r="B27271" s="4" t="s">
        <v>34332</v>
      </c>
      <c r="C27271" s="5" t="str">
        <f>IFERROR(__xludf.DUMMYFUNCTION("GOOGLETRANSLATE(B27271,""en"",""es-ES"")"),"Una imagen de las plantas en los meses de rodamiento de frutas aparece antes de regresar al hombre en el campo podando las ramas muertas.")</f>
        <v>Una imagen de las plantas en los meses de rodamiento de frutas aparece antes de regresar al hombre en el campo podando las ramas muertas.</v>
      </c>
    </row>
    <row r="27272">
      <c r="A27272" s="4" t="s">
        <v>34333</v>
      </c>
      <c r="B27272" s="4" t="s">
        <v>34334</v>
      </c>
      <c r="C27272" s="5" t="str">
        <f>IFERROR(__xludf.DUMMYFUNCTION("GOOGLETRANSLATE(B27272,""en"",""es-ES"")"),"Se muestra a una persona que realiza una inmersión fuera de un tablero mientras un par de personas miran al margen y aplauden.")</f>
        <v>Se muestra a una persona que realiza una inmersión fuera de un tablero mientras un par de personas miran al margen y aplauden.</v>
      </c>
    </row>
    <row r="27273">
      <c r="A27273" s="4" t="s">
        <v>34333</v>
      </c>
      <c r="B27273" s="4" t="s">
        <v>34335</v>
      </c>
      <c r="C27273" s="5" t="str">
        <f>IFERROR(__xludf.DUMMYFUNCTION("GOOGLETRANSLATE(B27273,""en"",""es-ES"")"),"La persona realiza varios trucos más de la alta inmersión mientras más personas miran a los lados.")</f>
        <v>La persona realiza varios trucos más de la alta inmersión mientras más personas miran a los lados.</v>
      </c>
    </row>
    <row r="27274">
      <c r="A27274" s="4" t="s">
        <v>34336</v>
      </c>
      <c r="B27274" s="4" t="s">
        <v>34337</v>
      </c>
      <c r="C27274" s="5" t="str">
        <f>IFERROR(__xludf.DUMMYFUNCTION("GOOGLETRANSLATE(B27274,""en"",""es-ES"")"),"Los niños conducen autos de parachoques en un carnaval.")</f>
        <v>Los niños conducen autos de parachoques en un carnaval.</v>
      </c>
    </row>
    <row r="27275">
      <c r="A27275" s="4" t="s">
        <v>34336</v>
      </c>
      <c r="B27275" s="4" t="s">
        <v>34338</v>
      </c>
      <c r="C27275" s="5" t="str">
        <f>IFERROR(__xludf.DUMMYFUNCTION("GOOGLETRANSLATE(B27275,""en"",""es-ES"")"),"Una niña se toca en la pared y se atasca con otros autos, luego la niña se libera y continúa montando.")</f>
        <v>Una niña se toca en la pared y se atasca con otros autos, luego la niña se libera y continúa montando.</v>
      </c>
    </row>
    <row r="27276">
      <c r="A27276" s="4" t="s">
        <v>34336</v>
      </c>
      <c r="B27276" s="4" t="s">
        <v>34339</v>
      </c>
      <c r="C27276" s="5" t="str">
        <f>IFERROR(__xludf.DUMMYFUNCTION("GOOGLETRANSLATE(B27276,""en"",""es-ES"")"),"La niña se queda atascada con otros niños, luego se libera y luego monta el coche parachoques.")</f>
        <v>La niña se queda atascada con otros niños, luego se libera y luego monta el coche parachoques.</v>
      </c>
    </row>
    <row r="27277">
      <c r="A27277" s="4" t="s">
        <v>34340</v>
      </c>
      <c r="B27277" s="4" t="s">
        <v>34341</v>
      </c>
      <c r="C27277" s="5" t="str">
        <f>IFERROR(__xludf.DUMMYFUNCTION("GOOGLETRANSLATE(B27277,""en"",""es-ES"")"),"Una persona demuestra cómo hacer un mini plato de sándwich de carne y queso con guarnición.")</f>
        <v>Una persona demuestra cómo hacer un mini plato de sándwich de carne y queso con guarnición.</v>
      </c>
    </row>
    <row r="27278">
      <c r="A27278" s="4" t="s">
        <v>34340</v>
      </c>
      <c r="B27278" s="4" t="s">
        <v>34342</v>
      </c>
      <c r="C27278" s="5" t="str">
        <f>IFERROR(__xludf.DUMMYFUNCTION("GOOGLETRANSLATE(B27278,""en"",""es-ES"")"),"Un gran plato de sándwiches preparados.")</f>
        <v>Un gran plato de sándwiches preparados.</v>
      </c>
    </row>
    <row r="27279">
      <c r="A27279" s="4" t="s">
        <v>34340</v>
      </c>
      <c r="B27279" s="4" t="s">
        <v>34343</v>
      </c>
      <c r="C27279" s="5" t="str">
        <f>IFERROR(__xludf.DUMMYFUNCTION("GOOGLETRANSLATE(B27279,""en"",""es-ES"")"),"Se ve a las manos de una persona arrojando diferentes sándwiches que hacen ingredientes en un carrito de compras dentro de una tienda de comestibles, los ingredientes incluyen rollos y carne de almuerzo.")</f>
        <v>Se ve a las manos de una persona arrojando diferentes sándwiches que hacen ingredientes en un carrito de compras dentro de una tienda de comestibles, los ingredientes incluyen rollos y carne de almuerzo.</v>
      </c>
    </row>
    <row r="27280">
      <c r="A27280" s="4" t="s">
        <v>34340</v>
      </c>
      <c r="B27280" s="4" t="s">
        <v>34344</v>
      </c>
      <c r="C27280" s="5" t="str">
        <f>IFERROR(__xludf.DUMMYFUNCTION("GOOGLETRANSLATE(B27280,""en"",""es-ES"")"),"Luego se ve a una persona juntando un sándwich de queso y carne en rollos de pan blanco con lechuga en una encimera.")</f>
        <v>Luego se ve a una persona juntando un sándwich de queso y carne en rollos de pan blanco con lechuga en una encimera.</v>
      </c>
    </row>
    <row r="27281">
      <c r="A27281" s="4" t="s">
        <v>34340</v>
      </c>
      <c r="B27281" s="4" t="s">
        <v>34345</v>
      </c>
      <c r="C27281" s="5" t="str">
        <f>IFERROR(__xludf.DUMMYFUNCTION("GOOGLETRANSLATE(B27281,""en"",""es-ES"")"),"La persona corta los rollos para hacer sándwiches individuales y luego agrega palillos de dientes y fresas junto con grano de lechuga a la fuente en la que la cámara se centra como el producto terminado.")</f>
        <v>La persona corta los rollos para hacer sándwiches individuales y luego agrega palillos de dientes y fresas junto con grano de lechuga a la fuente en la que la cámara se centra como el producto terminado.</v>
      </c>
    </row>
    <row r="27282">
      <c r="A27282" s="4" t="s">
        <v>34346</v>
      </c>
      <c r="B27282" s="4" t="s">
        <v>34347</v>
      </c>
      <c r="C27282" s="5" t="str">
        <f>IFERROR(__xludf.DUMMYFUNCTION("GOOGLETRANSLATE(B27282,""en"",""es-ES"")"),"Vemos un letrero con el nombre de un hombre.")</f>
        <v>Vemos un letrero con el nombre de un hombre.</v>
      </c>
    </row>
    <row r="27283">
      <c r="A27283" s="4" t="s">
        <v>34346</v>
      </c>
      <c r="B27283" s="4" t="s">
        <v>34348</v>
      </c>
      <c r="C27283" s="5" t="str">
        <f>IFERROR(__xludf.DUMMYFUNCTION("GOOGLETRANSLATE(B27283,""en"",""es-ES"")"),"Vemos a un hombre correr y hacer un salto de longitud en diferentes pistas repetidamente con su nombre en un letrero ocasionalmente.")</f>
        <v>Vemos a un hombre correr y hacer un salto de longitud en diferentes pistas repetidamente con su nombre en un letrero ocasionalmente.</v>
      </c>
    </row>
    <row r="27284">
      <c r="A27284" s="4" t="s">
        <v>34346</v>
      </c>
      <c r="B27284" s="4" t="s">
        <v>34349</v>
      </c>
      <c r="C27284" s="5" t="str">
        <f>IFERROR(__xludf.DUMMYFUNCTION("GOOGLETRANSLATE(B27284,""en"",""es-ES"")"),"Vemos al hombre en una pista azul con señales publicitarias.")</f>
        <v>Vemos al hombre en una pista azul con señales publicitarias.</v>
      </c>
    </row>
    <row r="27285">
      <c r="A27285" s="4" t="s">
        <v>34346</v>
      </c>
      <c r="B27285" s="4" t="s">
        <v>34350</v>
      </c>
      <c r="C27285" s="5" t="str">
        <f>IFERROR(__xludf.DUMMYFUNCTION("GOOGLETRANSLATE(B27285,""en"",""es-ES"")"),"El hombre cae sobre su aterrizaje.")</f>
        <v>El hombre cae sobre su aterrizaje.</v>
      </c>
    </row>
    <row r="27286">
      <c r="A27286" s="4" t="s">
        <v>34346</v>
      </c>
      <c r="B27286" s="4" t="s">
        <v>34351</v>
      </c>
      <c r="C27286" s="5" t="str">
        <f>IFERROR(__xludf.DUMMYFUNCTION("GOOGLETRANSLATE(B27286,""en"",""es-ES"")"),"El hombre aterriza sobre su espalda.")</f>
        <v>El hombre aterriza sobre su espalda.</v>
      </c>
    </row>
    <row r="27287">
      <c r="A27287" s="4" t="s">
        <v>34346</v>
      </c>
      <c r="B27287" s="4" t="s">
        <v>34352</v>
      </c>
      <c r="C27287" s="5" t="str">
        <f>IFERROR(__xludf.DUMMYFUNCTION("GOOGLETRANSLATE(B27287,""en"",""es-ES"")"),"La pantalla se desvanece hasta negra.")</f>
        <v>La pantalla se desvanece hasta negra.</v>
      </c>
    </row>
    <row r="27288">
      <c r="A27288" s="4" t="s">
        <v>34353</v>
      </c>
      <c r="B27288" s="4" t="s">
        <v>34354</v>
      </c>
      <c r="C27288" s="5" t="str">
        <f>IFERROR(__xludf.DUMMYFUNCTION("GOOGLETRANSLATE(B27288,""en"",""es-ES"")"),"Un hombre se hunde bajo el agua en una piscina.")</f>
        <v>Un hombre se hunde bajo el agua en una piscina.</v>
      </c>
    </row>
    <row r="27289">
      <c r="A27289" s="4" t="s">
        <v>34353</v>
      </c>
      <c r="B27289" s="4" t="s">
        <v>34355</v>
      </c>
      <c r="C27289" s="5" t="str">
        <f>IFERROR(__xludf.DUMMYFUNCTION("GOOGLETRANSLATE(B27289,""en"",""es-ES"")"),"El hombre se hunde bajo el agua en una piscina al revés.")</f>
        <v>El hombre se hunde bajo el agua en una piscina al revés.</v>
      </c>
    </row>
    <row r="27290">
      <c r="A27290" s="4" t="s">
        <v>34353</v>
      </c>
      <c r="B27290" s="4" t="s">
        <v>34356</v>
      </c>
      <c r="C27290" s="5" t="str">
        <f>IFERROR(__xludf.DUMMYFUNCTION("GOOGLETRANSLATE(B27290,""en"",""es-ES"")"),"El texto se muestra en una pantalla negra.")</f>
        <v>El texto se muestra en una pantalla negra.</v>
      </c>
    </row>
    <row r="27291">
      <c r="A27291" s="4" t="s">
        <v>34357</v>
      </c>
      <c r="B27291" s="4" t="s">
        <v>34358</v>
      </c>
      <c r="C27291" s="5" t="str">
        <f>IFERROR(__xludf.DUMMYFUNCTION("GOOGLETRANSLATE(B27291,""en"",""es-ES"")"),"La mujer está sentada en un banco de madera hablando con la cámara.")</f>
        <v>La mujer está sentada en un banco de madera hablando con la cámara.</v>
      </c>
    </row>
    <row r="27292">
      <c r="A27292" s="4" t="s">
        <v>34357</v>
      </c>
      <c r="B27292" s="4" t="s">
        <v>34359</v>
      </c>
      <c r="C27292" s="5" t="str">
        <f>IFERROR(__xludf.DUMMYFUNCTION("GOOGLETRANSLATE(B27292,""en"",""es-ES"")"),"La mujer está haciendo saltos mortales en un gran campo verde cubierto de hierba.")</f>
        <v>La mujer está haciendo saltos mortales en un gran campo verde cubierto de hierba.</v>
      </c>
    </row>
    <row r="27293">
      <c r="A27293" s="4" t="s">
        <v>34357</v>
      </c>
      <c r="B27293" s="4" t="s">
        <v>34360</v>
      </c>
      <c r="C27293" s="5" t="str">
        <f>IFERROR(__xludf.DUMMYFUNCTION("GOOGLETRANSLATE(B27293,""en"",""es-ES"")"),"La mujer está saliendo y se desliza y cayó a la hierba.")</f>
        <v>La mujer está saliendo y se desliza y cayó a la hierba.</v>
      </c>
    </row>
    <row r="27294">
      <c r="A27294" s="4" t="s">
        <v>34361</v>
      </c>
      <c r="B27294" s="4" t="s">
        <v>34362</v>
      </c>
      <c r="C27294" s="5" t="str">
        <f>IFERROR(__xludf.DUMMYFUNCTION("GOOGLETRANSLATE(B27294,""en"",""es-ES"")"),"Se muestra un video de skaters en un skatepark al aire libre.")</f>
        <v>Se muestra un video de skaters en un skatepark al aire libre.</v>
      </c>
    </row>
    <row r="27295">
      <c r="A27295" s="4" t="s">
        <v>34361</v>
      </c>
      <c r="B27295" s="4" t="s">
        <v>34363</v>
      </c>
      <c r="C27295" s="5" t="str">
        <f>IFERROR(__xludf.DUMMYFUNCTION("GOOGLETRANSLATE(B27295,""en"",""es-ES"")"),"Se muestran entrevistas y luego se muestran algunas carreras.")</f>
        <v>Se muestran entrevistas y luego se muestran algunas carreras.</v>
      </c>
    </row>
    <row r="27296">
      <c r="A27296" s="4" t="s">
        <v>34364</v>
      </c>
      <c r="B27296" s="4" t="s">
        <v>34365</v>
      </c>
      <c r="C27296" s="5" t="str">
        <f>IFERROR(__xludf.DUMMYFUNCTION("GOOGLETRANSLATE(B27296,""en"",""es-ES"")"),"Un niño pequeño sentado en una mesa come helado con una cuchara mientras la gente camina en el fondo.")</f>
        <v>Un niño pequeño sentado en una mesa come helado con una cuchara mientras la gente camina en el fondo.</v>
      </c>
    </row>
    <row r="27297">
      <c r="A27297" s="4" t="s">
        <v>34364</v>
      </c>
      <c r="B27297" s="4" t="s">
        <v>34366</v>
      </c>
      <c r="C27297" s="5" t="str">
        <f>IFERROR(__xludf.DUMMYFUNCTION("GOOGLETRANSLATE(B27297,""en"",""es-ES"")"),"Un par de manos para adultos ingresan brevemente al marco de la cámara en primer plano.")</f>
        <v>Un par de manos para adultos ingresan brevemente al marco de la cámara en primer plano.</v>
      </c>
    </row>
    <row r="27298">
      <c r="A27298" s="4" t="s">
        <v>34364</v>
      </c>
      <c r="B27298" s="4" t="s">
        <v>34367</v>
      </c>
      <c r="C27298" s="5" t="str">
        <f>IFERROR(__xludf.DUMMYFUNCTION("GOOGLETRANSLATE(B27298,""en"",""es-ES"")"),"El niño inserta su cuchara en su recipiente de helado sobre la mesa.")</f>
        <v>El niño inserta su cuchara en su recipiente de helado sobre la mesa.</v>
      </c>
    </row>
    <row r="27299">
      <c r="A27299" s="4" t="s">
        <v>34364</v>
      </c>
      <c r="B27299" s="4" t="s">
        <v>34368</v>
      </c>
      <c r="C27299" s="5" t="str">
        <f>IFERROR(__xludf.DUMMYFUNCTION("GOOGLETRANSLATE(B27299,""en"",""es-ES"")"),"El niño se queja de algo.")</f>
        <v>El niño se queja de algo.</v>
      </c>
    </row>
    <row r="27300">
      <c r="A27300" s="4" t="s">
        <v>34364</v>
      </c>
      <c r="B27300" s="4" t="s">
        <v>34369</v>
      </c>
      <c r="C27300" s="5" t="str">
        <f>IFERROR(__xludf.DUMMYFUNCTION("GOOGLETRANSLATE(B27300,""en"",""es-ES"")"),"La cámara se acerca al helado.")</f>
        <v>La cámara se acerca al helado.</v>
      </c>
    </row>
    <row r="27301">
      <c r="A27301" s="4" t="s">
        <v>34370</v>
      </c>
      <c r="B27301" s="4" t="s">
        <v>34371</v>
      </c>
      <c r="C27301" s="5" t="str">
        <f>IFERROR(__xludf.DUMMYFUNCTION("GOOGLETRANSLATE(B27301,""en"",""es-ES"")"),"Se ve a una persona parada en una cancha con zancos en sus pies.")</f>
        <v>Se ve a una persona parada en una cancha con zancos en sus pies.</v>
      </c>
    </row>
    <row r="27302">
      <c r="A27302" s="4" t="s">
        <v>34370</v>
      </c>
      <c r="B27302" s="4" t="s">
        <v>34372</v>
      </c>
      <c r="C27302" s="5" t="str">
        <f>IFERROR(__xludf.DUMMYFUNCTION("GOOGLETRANSLATE(B27302,""en"",""es-ES"")"),"El niño luego comienza a correr por la cancha en los pilotes.")</f>
        <v>El niño luego comienza a correr por la cancha en los pilotes.</v>
      </c>
    </row>
    <row r="27303">
      <c r="A27303" s="4" t="s">
        <v>34370</v>
      </c>
      <c r="B27303" s="4" t="s">
        <v>34373</v>
      </c>
      <c r="C27303" s="5" t="str">
        <f>IFERROR(__xludf.DUMMYFUNCTION("GOOGLETRANSLATE(B27303,""en"",""es-ES"")"),"El niño sumerge una pequeña bola en la canasta y regresa para agarrarla.")</f>
        <v>El niño sumerge una pequeña bola en la canasta y regresa para agarrarla.</v>
      </c>
    </row>
    <row r="27304">
      <c r="A27304" s="4" t="s">
        <v>34374</v>
      </c>
      <c r="B27304" s="4" t="s">
        <v>34375</v>
      </c>
      <c r="C27304" s="5" t="str">
        <f>IFERROR(__xludf.DUMMYFUNCTION("GOOGLETRANSLATE(B27304,""en"",""es-ES"")"),"Se ve a un hombre usando un ejercicio eléctrico en un tazón grande lleno de chocolate.")</f>
        <v>Se ve a un hombre usando un ejercicio eléctrico en un tazón grande lleno de chocolate.</v>
      </c>
    </row>
    <row r="27305">
      <c r="A27305" s="4" t="s">
        <v>34374</v>
      </c>
      <c r="B27305" s="4" t="s">
        <v>34376</v>
      </c>
      <c r="C27305" s="5" t="str">
        <f>IFERROR(__xludf.DUMMYFUNCTION("GOOGLETRANSLATE(B27305,""en"",""es-ES"")"),"Otra persona le entrega una licuadora, pero el hombre continúa usando el taladro en el tazón.")</f>
        <v>Otra persona le entrega una licuadora, pero el hombre continúa usando el taladro en el tazón.</v>
      </c>
    </row>
    <row r="27306">
      <c r="A27306" s="4" t="s">
        <v>34377</v>
      </c>
      <c r="B27306" s="4" t="s">
        <v>34378</v>
      </c>
      <c r="C27306" s="5" t="str">
        <f>IFERROR(__xludf.DUMMYFUNCTION("GOOGLETRANSLATE(B27306,""en"",""es-ES"")"),"Se ve a una mujer joven parada detrás de una cortadora de césped en un patio.")</f>
        <v>Se ve a una mujer joven parada detrás de una cortadora de césped en un patio.</v>
      </c>
    </row>
    <row r="27307">
      <c r="A27307" s="4" t="s">
        <v>34377</v>
      </c>
      <c r="B27307" s="4" t="s">
        <v>34379</v>
      </c>
      <c r="C27307" s="5" t="str">
        <f>IFERROR(__xludf.DUMMYFUNCTION("GOOGLETRANSLATE(B27307,""en"",""es-ES"")"),"Ella comienza a empujar el cortacésped a lo largo del patio.")</f>
        <v>Ella comienza a empujar el cortacésped a lo largo del patio.</v>
      </c>
    </row>
    <row r="27308">
      <c r="A27308" s="4" t="s">
        <v>34377</v>
      </c>
      <c r="B27308" s="4" t="s">
        <v>34380</v>
      </c>
      <c r="C27308" s="5" t="str">
        <f>IFERROR(__xludf.DUMMYFUNCTION("GOOGLETRANSLATE(B27308,""en"",""es-ES"")"),"Se mueve de regreso al césped y mira a la cámara.")</f>
        <v>Se mueve de regreso al césped y mira a la cámara.</v>
      </c>
    </row>
    <row r="27309">
      <c r="A27309" s="4" t="s">
        <v>34381</v>
      </c>
      <c r="B27309" s="4" t="s">
        <v>34382</v>
      </c>
      <c r="C27309" s="5" t="str">
        <f>IFERROR(__xludf.DUMMYFUNCTION("GOOGLETRANSLATE(B27309,""en"",""es-ES"")"),"Una gimnasta realiza una rutina en las barras horizontales.")</f>
        <v>Una gimnasta realiza una rutina en las barras horizontales.</v>
      </c>
    </row>
    <row r="27310">
      <c r="A27310" s="4" t="s">
        <v>34381</v>
      </c>
      <c r="B27310" s="4" t="s">
        <v>34383</v>
      </c>
      <c r="C27310" s="5" t="str">
        <f>IFERROR(__xludf.DUMMYFUNCTION("GOOGLETRANSLATE(B27310,""en"",""es-ES"")"),"La gimnasta gira y gira de una barra a otra, también sosteniendo una mano.")</f>
        <v>La gimnasta gira y gira de una barra a otra, también sosteniendo una mano.</v>
      </c>
    </row>
    <row r="27311">
      <c r="A27311" s="4" t="s">
        <v>34381</v>
      </c>
      <c r="B27311" s="4" t="s">
        <v>34384</v>
      </c>
      <c r="C27311" s="5" t="str">
        <f>IFERROR(__xludf.DUMMYFUNCTION("GOOGLETRANSLATE(B27311,""en"",""es-ES"")"),"Luego, la gimnasta gira y salta en el piso, luego se presenta un flashback de la rutina.")</f>
        <v>Luego, la gimnasta gira y salta en el piso, luego se presenta un flashback de la rutina.</v>
      </c>
    </row>
    <row r="27312">
      <c r="A27312" s="4" t="s">
        <v>34385</v>
      </c>
      <c r="B27312" s="4" t="s">
        <v>34386</v>
      </c>
      <c r="C27312" s="5" t="str">
        <f>IFERROR(__xludf.DUMMYFUNCTION("GOOGLETRANSLATE(B27312,""en"",""es-ES"")"),"Un hombre y una mujer están montando bicicletas rápidamente por una calle pavimentada.")</f>
        <v>Un hombre y una mujer están montando bicicletas rápidamente por una calle pavimentada.</v>
      </c>
    </row>
    <row r="27313">
      <c r="A27313" s="4" t="s">
        <v>34385</v>
      </c>
      <c r="B27313" s="4" t="s">
        <v>34387</v>
      </c>
      <c r="C27313" s="5" t="str">
        <f>IFERROR(__xludf.DUMMYFUNCTION("GOOGLETRANSLATE(B27313,""en"",""es-ES"")"),"Se detienen, bombeando aire a sus neumáticos.")</f>
        <v>Se detienen, bombeando aire a sus neumáticos.</v>
      </c>
    </row>
    <row r="27314">
      <c r="A27314" s="4" t="s">
        <v>34385</v>
      </c>
      <c r="B27314" s="4" t="s">
        <v>34388</v>
      </c>
      <c r="C27314" s="5" t="str">
        <f>IFERROR(__xludf.DUMMYFUNCTION("GOOGLETRANSLATE(B27314,""en"",""es-ES"")"),"Luego reemplazan los tubos y vuelven a las bicicletas.")</f>
        <v>Luego reemplazan los tubos y vuelven a las bicicletas.</v>
      </c>
    </row>
    <row r="27315">
      <c r="A27315" s="4" t="s">
        <v>34385</v>
      </c>
      <c r="B27315" s="4" t="s">
        <v>34389</v>
      </c>
      <c r="C27315" s="5" t="str">
        <f>IFERROR(__xludf.DUMMYFUNCTION("GOOGLETRANSLATE(B27315,""en"",""es-ES"")"),"Continúan montando por el camino.")</f>
        <v>Continúan montando por el camino.</v>
      </c>
    </row>
    <row r="27316">
      <c r="A27316" s="4" t="s">
        <v>34390</v>
      </c>
      <c r="B27316" s="4" t="s">
        <v>34391</v>
      </c>
      <c r="C27316" s="5" t="str">
        <f>IFERROR(__xludf.DUMMYFUNCTION("GOOGLETRANSLATE(B27316,""en"",""es-ES"")"),"Una mujer está de pie en la bañera con la ducha para lavarse la ropa.")</f>
        <v>Una mujer está de pie en la bañera con la ducha para lavarse la ropa.</v>
      </c>
    </row>
    <row r="27317">
      <c r="A27317" s="4" t="s">
        <v>34390</v>
      </c>
      <c r="B27317" s="4" t="s">
        <v>34392</v>
      </c>
      <c r="C27317" s="5" t="str">
        <f>IFERROR(__xludf.DUMMYFUNCTION("GOOGLETRANSLATE(B27317,""en"",""es-ES"")"),"Ella patea la ropa y se da vuelta y se da un poco de baila.")</f>
        <v>Ella patea la ropa y se da vuelta y se da un poco de baila.</v>
      </c>
    </row>
    <row r="27318">
      <c r="A27318" s="4" t="s">
        <v>34390</v>
      </c>
      <c r="B27318" s="4" t="s">
        <v>34393</v>
      </c>
      <c r="C27318" s="5" t="str">
        <f>IFERROR(__xludf.DUMMYFUNCTION("GOOGLETRANSLATE(B27318,""en"",""es-ES"")"),"Su novio se está grabando a ella y a él mismo en el espejo.")</f>
        <v>Su novio se está grabando a ella y a él mismo en el espejo.</v>
      </c>
    </row>
    <row r="27319">
      <c r="A27319" s="4" t="s">
        <v>34390</v>
      </c>
      <c r="B27319" s="4" t="s">
        <v>34394</v>
      </c>
      <c r="C27319" s="5" t="str">
        <f>IFERROR(__xludf.DUMMYFUNCTION("GOOGLETRANSLATE(B27319,""en"",""es-ES"")"),"Él continúa mirándola mientras ella pisa la ropa, y luego gira la cámara a su madre.")</f>
        <v>Él continúa mirándola mientras ella pisa la ropa, y luego gira la cámara a su madre.</v>
      </c>
    </row>
    <row r="27320">
      <c r="A27320" s="4" t="s">
        <v>34395</v>
      </c>
      <c r="B27320" s="4" t="s">
        <v>34396</v>
      </c>
      <c r="C27320" s="5" t="str">
        <f>IFERROR(__xludf.DUMMYFUNCTION("GOOGLETRANSLATE(B27320,""en"",""es-ES"")"),"Varias personas están en una pequeña habitación vestida con ropa de ejercicio que sube y en el escalón.")</f>
        <v>Varias personas están en una pequeña habitación vestida con ropa de ejercicio que sube y en el escalón.</v>
      </c>
    </row>
    <row r="27321">
      <c r="A27321" s="4" t="s">
        <v>34395</v>
      </c>
      <c r="B27321" s="4" t="s">
        <v>34397</v>
      </c>
      <c r="C27321" s="5" t="str">
        <f>IFERROR(__xludf.DUMMYFUNCTION("GOOGLETRANSLATE(B27321,""en"",""es-ES"")"),"Luego se dan la vuelta y comienzan a bailar en el paso de la escalera e intensificando el entrenamiento.")</f>
        <v>Luego se dan la vuelta y comienzan a bailar en el paso de la escalera e intensificando el entrenamiento.</v>
      </c>
    </row>
    <row r="27322">
      <c r="A27322" s="4" t="s">
        <v>34395</v>
      </c>
      <c r="B27322" s="4" t="s">
        <v>34398</v>
      </c>
      <c r="C27322" s="5" t="str">
        <f>IFERROR(__xludf.DUMMYFUNCTION("GOOGLETRANSLATE(B27322,""en"",""es-ES"")"),"A mitad de camino, el instructor se baja y camina mientras el resto de la clase continúa.")</f>
        <v>A mitad de camino, el instructor se baja y camina mientras el resto de la clase continúa.</v>
      </c>
    </row>
    <row r="27323">
      <c r="A27323" s="4" t="s">
        <v>34395</v>
      </c>
      <c r="B27323" s="4" t="s">
        <v>34399</v>
      </c>
      <c r="C27323" s="5" t="str">
        <f>IFERROR(__xludf.DUMMYFUNCTION("GOOGLETRANSLATE(B27323,""en"",""es-ES"")"),"Después, el paso de la escalera, colóquelo contra la pared y vuelva a sus puntos por el resto del entrenamiento.")</f>
        <v>Después, el paso de la escalera, colóquelo contra la pared y vuelva a sus puntos por el resto del entrenamiento.</v>
      </c>
    </row>
    <row r="27324">
      <c r="A27324" s="4" t="s">
        <v>34400</v>
      </c>
      <c r="B27324" s="4" t="s">
        <v>34401</v>
      </c>
      <c r="C27324" s="5" t="str">
        <f>IFERROR(__xludf.DUMMYFUNCTION("GOOGLETRANSLATE(B27324,""en"",""es-ES"")"),"Steven Richardson, un gerente de la tienda, discute el tema del cuidado de neumáticos para vehículos con 4 ruedas en tracción.")</f>
        <v>Steven Richardson, un gerente de la tienda, discute el tema del cuidado de neumáticos para vehículos con 4 ruedas en tracción.</v>
      </c>
    </row>
    <row r="27325">
      <c r="A27325" s="4" t="s">
        <v>34400</v>
      </c>
      <c r="B27325" s="4" t="s">
        <v>34402</v>
      </c>
      <c r="C27325" s="5" t="str">
        <f>IFERROR(__xludf.DUMMYFUNCTION("GOOGLETRANSLATE(B27325,""en"",""es-ES"")"),"Explica que los neumáticos no coincidentes en los vehículos de 4 ruedas causan desgaste.")</f>
        <v>Explica que los neumáticos no coincidentes en los vehículos de 4 ruedas causan desgaste.</v>
      </c>
    </row>
    <row r="27326">
      <c r="A27326" s="4" t="s">
        <v>34400</v>
      </c>
      <c r="B27326" s="4" t="s">
        <v>34403</v>
      </c>
      <c r="C27326" s="5" t="str">
        <f>IFERROR(__xludf.DUMMYFUNCTION("GOOGLETRANSLATE(B27326,""en"",""es-ES"")"),"Recomiendo que los 4 neumáticos se reemplazaran al mismo tiempo.")</f>
        <v>Recomiendo que los 4 neumáticos se reemplazaran al mismo tiempo.</v>
      </c>
    </row>
    <row r="27327">
      <c r="A27327" s="4" t="s">
        <v>34400</v>
      </c>
      <c r="B27327" s="4" t="s">
        <v>34404</v>
      </c>
      <c r="C27327" s="5" t="str">
        <f>IFERROR(__xludf.DUMMYFUNCTION("GOOGLETRANSLATE(B27327,""en"",""es-ES"")"),"Anuncia el sitio web Belletire Dot Com y dice que lo use para encontrar una ubicación cerca de usted.")</f>
        <v>Anuncia el sitio web Belletire Dot Com y dice que lo use para encontrar una ubicación cerca de usted.</v>
      </c>
    </row>
    <row r="27328">
      <c r="A27328" s="4" t="s">
        <v>34405</v>
      </c>
      <c r="B27328" s="4" t="s">
        <v>34406</v>
      </c>
      <c r="C27328" s="5" t="str">
        <f>IFERROR(__xludf.DUMMYFUNCTION("GOOGLETRANSLATE(B27328,""en"",""es-ES"")"),"Se ve a una bailarina que sale a un escenario y la lleva a realizar una rutina de ballet.")</f>
        <v>Se ve a una bailarina que sale a un escenario y la lleva a realizar una rutina de ballet.</v>
      </c>
    </row>
    <row r="27329">
      <c r="A27329" s="4" t="s">
        <v>34405</v>
      </c>
      <c r="B27329" s="4" t="s">
        <v>34407</v>
      </c>
      <c r="C27329" s="5" t="str">
        <f>IFERROR(__xludf.DUMMYFUNCTION("GOOGLETRANSLATE(B27329,""en"",""es-ES"")"),"La niña se gira sobre sus zapatos mientras la audiencia la mira.")</f>
        <v>La niña se gira sobre sus zapatos mientras la audiencia la mira.</v>
      </c>
    </row>
    <row r="27330">
      <c r="A27330" s="4" t="s">
        <v>34405</v>
      </c>
      <c r="B27330" s="4" t="s">
        <v>34408</v>
      </c>
      <c r="C27330" s="5" t="str">
        <f>IFERROR(__xludf.DUMMYFUNCTION("GOOGLETRANSLATE(B27330,""en"",""es-ES"")"),"Ella continúa girando y girando y termina sosteniendo una pose y inclinándose.")</f>
        <v>Ella continúa girando y girando y termina sosteniendo una pose y inclinándose.</v>
      </c>
    </row>
    <row r="27331">
      <c r="A27331" s="4" t="s">
        <v>34409</v>
      </c>
      <c r="B27331" s="4" t="s">
        <v>34410</v>
      </c>
      <c r="C27331" s="5" t="str">
        <f>IFERROR(__xludf.DUMMYFUNCTION("GOOGLETRANSLATE(B27331,""en"",""es-ES"")"),"Un hombre descalzo está tocando un mueble de madera con un cepillo.")</f>
        <v>Un hombre descalzo está tocando un mueble de madera con un cepillo.</v>
      </c>
    </row>
    <row r="27332">
      <c r="A27332" s="4" t="s">
        <v>34409</v>
      </c>
      <c r="B27332" s="4" t="s">
        <v>34411</v>
      </c>
      <c r="C27332" s="5" t="str">
        <f>IFERROR(__xludf.DUMMYFUNCTION("GOOGLETRANSLATE(B27332,""en"",""es-ES"")"),"Luego mueve la pieza para mostrar los rasguños y los pule con un cepillo.")</f>
        <v>Luego mueve la pieza para mostrar los rasguños y los pule con un cepillo.</v>
      </c>
    </row>
    <row r="27333">
      <c r="A27333" s="4" t="s">
        <v>34409</v>
      </c>
      <c r="B27333" s="4" t="s">
        <v>34412</v>
      </c>
      <c r="C27333" s="5" t="str">
        <f>IFERROR(__xludf.DUMMYFUNCTION("GOOGLETRANSLATE(B27333,""en"",""es-ES"")"),"El hombre muestra los bordes limpios con los dedos.")</f>
        <v>El hombre muestra los bordes limpios con los dedos.</v>
      </c>
    </row>
    <row r="27334">
      <c r="A27334" s="4" t="s">
        <v>34413</v>
      </c>
      <c r="B27334" s="4" t="s">
        <v>34414</v>
      </c>
      <c r="C27334" s="5" t="str">
        <f>IFERROR(__xludf.DUMMYFUNCTION("GOOGLETRANSLATE(B27334,""en"",""es-ES"")"),"Un par de niños están vitoreando una bolera.")</f>
        <v>Un par de niños están vitoreando una bolera.</v>
      </c>
    </row>
    <row r="27335">
      <c r="A27335" s="4" t="s">
        <v>34413</v>
      </c>
      <c r="B27335" s="4" t="s">
        <v>34415</v>
      </c>
      <c r="C27335" s="5" t="str">
        <f>IFERROR(__xludf.DUMMYFUNCTION("GOOGLETRANSLATE(B27335,""en"",""es-ES"")"),"Se unen a otros niños, discutiendo sobre una pelota de bolos.")</f>
        <v>Se unen a otros niños, discutiendo sobre una pelota de bolos.</v>
      </c>
    </row>
    <row r="27336">
      <c r="A27336" s="4" t="s">
        <v>34413</v>
      </c>
      <c r="B27336" s="4" t="s">
        <v>34416</v>
      </c>
      <c r="C27336" s="5" t="str">
        <f>IFERROR(__xludf.DUMMYFUNCTION("GOOGLETRANSLATE(B27336,""en"",""es-ES"")"),"Eligen una pelota, luego la lanzan por el carril.")</f>
        <v>Eligen una pelota, luego la lanzan por el carril.</v>
      </c>
    </row>
    <row r="27337">
      <c r="A27337" s="4" t="s">
        <v>34417</v>
      </c>
      <c r="B27337" s="4" t="s">
        <v>34418</v>
      </c>
      <c r="C27337" s="5" t="str">
        <f>IFERROR(__xludf.DUMMYFUNCTION("GOOGLETRANSLATE(B27337,""en"",""es-ES"")"),"Un grupo de personas bailan entre sí.")</f>
        <v>Un grupo de personas bailan entre sí.</v>
      </c>
    </row>
    <row r="27338">
      <c r="A27338" s="4" t="s">
        <v>34417</v>
      </c>
      <c r="B27338" s="4" t="s">
        <v>34419</v>
      </c>
      <c r="C27338" s="5" t="str">
        <f>IFERROR(__xludf.DUMMYFUNCTION("GOOGLETRANSLATE(B27338,""en"",""es-ES"")"),"Una niña se mueve con un hula hoop haciendo varios movimientos.")</f>
        <v>Una niña se mueve con un hula hoop haciendo varios movimientos.</v>
      </c>
    </row>
    <row r="27339">
      <c r="A27339" s="4" t="s">
        <v>34417</v>
      </c>
      <c r="B27339" s="4" t="s">
        <v>34420</v>
      </c>
      <c r="C27339" s="5" t="str">
        <f>IFERROR(__xludf.DUMMYFUNCTION("GOOGLETRANSLATE(B27339,""en"",""es-ES"")"),"La gente que continúa bailando a su alrededor en varios movimientos.")</f>
        <v>La gente que continúa bailando a su alrededor en varios movimientos.</v>
      </c>
    </row>
    <row r="27340">
      <c r="A27340" s="4" t="s">
        <v>34417</v>
      </c>
      <c r="B27340" s="4" t="s">
        <v>34421</v>
      </c>
      <c r="C27340" s="5" t="str">
        <f>IFERROR(__xludf.DUMMYFUNCTION("GOOGLETRANSLATE(B27340,""en"",""es-ES"")"),"La niña gira su hula hoop alrededor de su cabeza.")</f>
        <v>La niña gira su hula hoop alrededor de su cabeza.</v>
      </c>
    </row>
    <row r="27341">
      <c r="A27341" s="4" t="s">
        <v>34422</v>
      </c>
      <c r="B27341" s="4" t="s">
        <v>34423</v>
      </c>
      <c r="C27341" s="5" t="str">
        <f>IFERROR(__xludf.DUMMYFUNCTION("GOOGLETRANSLATE(B27341,""en"",""es-ES"")"),"Se ven dos chicas hablando y saludando a la cámara que conducen a ellas realizando varios saltos y trucos en una estera.")</f>
        <v>Se ven dos chicas hablando y saludando a la cámara que conducen a ellas realizando varios saltos y trucos en una estera.</v>
      </c>
    </row>
    <row r="27342">
      <c r="A27342" s="4" t="s">
        <v>34422</v>
      </c>
      <c r="B27342" s="4" t="s">
        <v>34424</v>
      </c>
      <c r="C27342" s="5" t="str">
        <f>IFERROR(__xludf.DUMMYFUNCTION("GOOGLETRANSLATE(B27342,""en"",""es-ES"")"),"Las chicas continúan turnándose volteando por toda la alfombra en el área, así como hablando con la cámara y saludando.")</f>
        <v>Las chicas continúan turnándose volteando por toda la alfombra en el área, así como hablando con la cámara y saludando.</v>
      </c>
    </row>
    <row r="27343">
      <c r="A27343" s="4" t="s">
        <v>34425</v>
      </c>
      <c r="B27343" s="4" t="s">
        <v>34426</v>
      </c>
      <c r="C27343" s="5" t="str">
        <f>IFERROR(__xludf.DUMMYFUNCTION("GOOGLETRANSLATE(B27343,""en"",""es-ES"")"),"Una mujer está de pie con una pelota en una cuerda.")</f>
        <v>Una mujer está de pie con una pelota en una cuerda.</v>
      </c>
    </row>
    <row r="27344">
      <c r="A27344" s="4" t="s">
        <v>34425</v>
      </c>
      <c r="B27344" s="4" t="s">
        <v>34427</v>
      </c>
      <c r="C27344" s="5" t="str">
        <f>IFERROR(__xludf.DUMMYFUNCTION("GOOGLETRANSLATE(B27344,""en"",""es-ES"")"),"Ella está en una competencia por el atletismo.")</f>
        <v>Ella está en una competencia por el atletismo.</v>
      </c>
    </row>
    <row r="27345">
      <c r="A27345" s="4" t="s">
        <v>34425</v>
      </c>
      <c r="B27345" s="4" t="s">
        <v>34428</v>
      </c>
      <c r="C27345" s="5" t="str">
        <f>IFERROR(__xludf.DUMMYFUNCTION("GOOGLETRANSLATE(B27345,""en"",""es-ES"")"),"Ella balancea la pelota en numerosas ocasiones, luego las piernas van y aplauden a medida que aterriza en el campo.")</f>
        <v>Ella balancea la pelota en numerosas ocasiones, luego las piernas van y aplauden a medida que aterriza en el campo.</v>
      </c>
    </row>
    <row r="27346">
      <c r="A27346" s="4" t="s">
        <v>34429</v>
      </c>
      <c r="B27346" s="4" t="s">
        <v>34430</v>
      </c>
      <c r="C27346" s="5" t="str">
        <f>IFERROR(__xludf.DUMMYFUNCTION("GOOGLETRANSLATE(B27346,""en"",""es-ES"")"),"Se ve a un atleta de pie listo en el medio de un pequeño círculo y luego arroja un disparo a lo lejos.")</f>
        <v>Se ve a un atleta de pie listo en el medio de un pequeño círculo y luego arroja un disparo a lo lejos.</v>
      </c>
    </row>
    <row r="27347">
      <c r="A27347" s="4" t="s">
        <v>34429</v>
      </c>
      <c r="B27347" s="4" t="s">
        <v>34431</v>
      </c>
      <c r="C27347" s="5" t="str">
        <f>IFERROR(__xludf.DUMMYFUNCTION("GOOGLETRANSLATE(B27347,""en"",""es-ES"")"),"El hombre se aleja sacudiendo los brazos y su lanzamiento se muestra nuevamente varias veces.")</f>
        <v>El hombre se aleja sacudiendo los brazos y su lanzamiento se muestra nuevamente varias veces.</v>
      </c>
    </row>
    <row r="27348">
      <c r="A27348" s="4" t="s">
        <v>34429</v>
      </c>
      <c r="B27348" s="4" t="s">
        <v>34432</v>
      </c>
      <c r="C27348" s="5" t="str">
        <f>IFERROR(__xludf.DUMMYFUNCTION("GOOGLETRANSLATE(B27348,""en"",""es-ES"")"),"Se muestran varios atletas más que dan un paso adelante en la plataforma lanzando el lanzamiento de bala y terminando con un hombre con un sombrero que habla con la audiencia.")</f>
        <v>Se muestran varios atletas más que dan un paso adelante en la plataforma lanzando el lanzamiento de bala y terminando con un hombre con un sombrero que habla con la audiencia.</v>
      </c>
    </row>
    <row r="27349">
      <c r="A27349" s="4" t="s">
        <v>34433</v>
      </c>
      <c r="B27349" s="4" t="s">
        <v>34434</v>
      </c>
      <c r="C27349" s="5" t="str">
        <f>IFERROR(__xludf.DUMMYFUNCTION("GOOGLETRANSLATE(B27349,""en"",""es-ES"")"),"Una dama con sujetador y bragas agarra y lanza un disparo.")</f>
        <v>Una dama con sujetador y bragas agarra y lanza un disparo.</v>
      </c>
    </row>
    <row r="27350">
      <c r="A27350" s="4" t="s">
        <v>34433</v>
      </c>
      <c r="B27350" s="4" t="s">
        <v>34435</v>
      </c>
      <c r="C27350" s="5" t="str">
        <f>IFERROR(__xludf.DUMMYFUNCTION("GOOGLETRANSLATE(B27350,""en"",""es-ES"")"),"Pasa por una ventana en una casa y un gato corre.")</f>
        <v>Pasa por una ventana en una casa y un gato corre.</v>
      </c>
    </row>
    <row r="27351">
      <c r="A27351" s="4" t="s">
        <v>34433</v>
      </c>
      <c r="B27351" s="4" t="s">
        <v>34436</v>
      </c>
      <c r="C27351" s="5" t="str">
        <f>IFERROR(__xludf.DUMMYFUNCTION("GOOGLETRANSLATE(B27351,""en"",""es-ES"")"),"El hombre mira hacia afuera y ve a la dama.")</f>
        <v>El hombre mira hacia afuera y ve a la dama.</v>
      </c>
    </row>
    <row r="27352">
      <c r="A27352" s="4" t="s">
        <v>34433</v>
      </c>
      <c r="B27352" s="4" t="s">
        <v>34437</v>
      </c>
      <c r="C27352" s="5" t="str">
        <f>IFERROR(__xludf.DUMMYFUNCTION("GOOGLETRANSLATE(B27352,""en"",""es-ES"")"),"La señora usa un salto para el poste para la ventana del segundo piso y salta al hombre.")</f>
        <v>La señora usa un salto para el poste para la ventana del segundo piso y salta al hombre.</v>
      </c>
    </row>
    <row r="27353">
      <c r="A27353" s="4" t="s">
        <v>34433</v>
      </c>
      <c r="B27353" s="4" t="s">
        <v>34438</v>
      </c>
      <c r="C27353" s="5" t="str">
        <f>IFERROR(__xludf.DUMMYFUNCTION("GOOGLETRANSLATE(B27353,""en"",""es-ES"")"),"Vemos la pantalla del título y los pantalones del hombre vuelan por la ventana.")</f>
        <v>Vemos la pantalla del título y los pantalones del hombre vuelan por la ventana.</v>
      </c>
    </row>
    <row r="27354">
      <c r="A27354" s="4" t="s">
        <v>34439</v>
      </c>
      <c r="B27354" s="4" t="s">
        <v>34440</v>
      </c>
      <c r="C27354" s="5" t="str">
        <f>IFERROR(__xludf.DUMMYFUNCTION("GOOGLETRANSLATE(B27354,""en"",""es-ES"")"),"Una persona que sostiene una escoba limpia el piso de un lado a otro.")</f>
        <v>Una persona que sostiene una escoba limpia el piso de un lado a otro.</v>
      </c>
    </row>
    <row r="27355">
      <c r="A27355" s="4" t="s">
        <v>34439</v>
      </c>
      <c r="B27355" s="4" t="s">
        <v>34441</v>
      </c>
      <c r="C27355" s="5" t="str">
        <f>IFERROR(__xludf.DUMMYFUNCTION("GOOGLETRANSLATE(B27355,""en"",""es-ES"")"),"La persona gira la escoba para acumular el polvo.")</f>
        <v>La persona gira la escoba para acumular el polvo.</v>
      </c>
    </row>
    <row r="27356">
      <c r="A27356" s="4" t="s">
        <v>34442</v>
      </c>
      <c r="B27356" s="4" t="s">
        <v>34443</v>
      </c>
      <c r="C27356" s="5" t="str">
        <f>IFERROR(__xludf.DUMMYFUNCTION("GOOGLETRANSLATE(B27356,""en"",""es-ES"")"),"Los atletas corren en una pista al aire libre de un campo y salto con pértiga durante la práctica.")</f>
        <v>Los atletas corren en una pista al aire libre de un campo y salto con pértiga durante la práctica.</v>
      </c>
    </row>
    <row r="27357">
      <c r="A27357" s="4" t="s">
        <v>34442</v>
      </c>
      <c r="B27357" s="4" t="s">
        <v>34444</v>
      </c>
      <c r="C27357" s="5" t="str">
        <f>IFERROR(__xludf.DUMMYFUNCTION("GOOGLETRANSLATE(B27357,""en"",""es-ES"")"),"Un atleta corre y salto con pértiga durante una competencia olímpica en un estadio.")</f>
        <v>Un atleta corre y salto con pértiga durante una competencia olímpica en un estadio.</v>
      </c>
    </row>
    <row r="27358">
      <c r="A27358" s="4" t="s">
        <v>34442</v>
      </c>
      <c r="B27358" s="4" t="s">
        <v>34445</v>
      </c>
      <c r="C27358" s="5" t="str">
        <f>IFERROR(__xludf.DUMMYFUNCTION("GOOGLETRANSLATE(B27358,""en"",""es-ES"")"),"Los atletas hacen un salto de práctica y buceos debajo de la cuerda y hacia la colchoneta.")</f>
        <v>Los atletas hacen un salto de práctica y buceos debajo de la cuerda y hacia la colchoneta.</v>
      </c>
    </row>
    <row r="27359">
      <c r="A27359" s="4" t="s">
        <v>34446</v>
      </c>
      <c r="B27359" s="4" t="s">
        <v>34447</v>
      </c>
      <c r="C27359" s="5" t="str">
        <f>IFERROR(__xludf.DUMMYFUNCTION("GOOGLETRANSLATE(B27359,""en"",""es-ES"")"),"Un niño está llenando un cono de helado con helado.")</f>
        <v>Un niño está llenando un cono de helado con helado.</v>
      </c>
    </row>
    <row r="27360">
      <c r="A27360" s="4" t="s">
        <v>34446</v>
      </c>
      <c r="B27360" s="4" t="s">
        <v>34448</v>
      </c>
      <c r="C27360" s="5" t="str">
        <f>IFERROR(__xludf.DUMMYFUNCTION("GOOGLETRANSLATE(B27360,""en"",""es-ES"")"),"Él lame el cono de helado.")</f>
        <v>Él lame el cono de helado.</v>
      </c>
    </row>
    <row r="27361">
      <c r="A27361" s="4" t="s">
        <v>34446</v>
      </c>
      <c r="B27361" s="4" t="s">
        <v>34449</v>
      </c>
      <c r="C27361" s="5" t="str">
        <f>IFERROR(__xludf.DUMMYFUNCTION("GOOGLETRANSLATE(B27361,""en"",""es-ES"")"),"Levanta el cono de helado para mostrar la cámara.")</f>
        <v>Levanta el cono de helado para mostrar la cámara.</v>
      </c>
    </row>
    <row r="27362">
      <c r="A27362" s="4" t="s">
        <v>34450</v>
      </c>
      <c r="B27362" s="4" t="s">
        <v>34451</v>
      </c>
      <c r="C27362" s="5" t="str">
        <f>IFERROR(__xludf.DUMMYFUNCTION("GOOGLETRANSLATE(B27362,""en"",""es-ES"")"),"Una niña tiene un poste y tiene los ojos vendados.")</f>
        <v>Una niña tiene un poste y tiene los ojos vendados.</v>
      </c>
    </row>
    <row r="27363">
      <c r="A27363" s="4" t="s">
        <v>34450</v>
      </c>
      <c r="B27363" s="4" t="s">
        <v>34452</v>
      </c>
      <c r="C27363" s="5" t="str">
        <f>IFERROR(__xludf.DUMMYFUNCTION("GOOGLETRANSLATE(B27363,""en"",""es-ES"")"),"Ella se balancea en una piñata y falla.")</f>
        <v>Ella se balancea en una piñata y falla.</v>
      </c>
    </row>
    <row r="27364">
      <c r="A27364" s="4" t="s">
        <v>34450</v>
      </c>
      <c r="B27364" s="4" t="s">
        <v>34453</v>
      </c>
      <c r="C27364" s="5" t="str">
        <f>IFERROR(__xludf.DUMMYFUNCTION("GOOGLETRANSLATE(B27364,""en"",""es-ES"")"),"Ella se acerca y lo intenta nuevamente, golpeándolo esta vez.")</f>
        <v>Ella se acerca y lo intenta nuevamente, golpeándolo esta vez.</v>
      </c>
    </row>
    <row r="27365">
      <c r="A27365" s="4" t="s">
        <v>34450</v>
      </c>
      <c r="B27365" s="4" t="s">
        <v>34454</v>
      </c>
      <c r="C27365" s="5" t="str">
        <f>IFERROR(__xludf.DUMMYFUNCTION("GOOGLETRANSLATE(B27365,""en"",""es-ES"")"),"Ella retrocede cuando un perro entra en escena.")</f>
        <v>Ella retrocede cuando un perro entra en escena.</v>
      </c>
    </row>
    <row r="27366">
      <c r="A27366" s="4" t="s">
        <v>34450</v>
      </c>
      <c r="B27366" s="4" t="s">
        <v>34455</v>
      </c>
      <c r="C27366" s="5" t="str">
        <f>IFERROR(__xludf.DUMMYFUNCTION("GOOGLETRANSLATE(B27366,""en"",""es-ES"")"),"Ella sigue balanceándose en la falta.")</f>
        <v>Ella sigue balanceándose en la falta.</v>
      </c>
    </row>
    <row r="27367">
      <c r="A27367" s="4" t="s">
        <v>34450</v>
      </c>
      <c r="B27367" s="4" t="s">
        <v>34456</v>
      </c>
      <c r="C27367" s="5" t="str">
        <f>IFERROR(__xludf.DUMMYFUNCTION("GOOGLETRANSLATE(B27367,""en"",""es-ES"")"),"Ella se detiene por el momento, da un ritmo duro y lo golpea.")</f>
        <v>Ella se detiene por el momento, da un ritmo duro y lo golpea.</v>
      </c>
    </row>
    <row r="27368">
      <c r="A27368" s="4" t="s">
        <v>34457</v>
      </c>
      <c r="B27368" s="4" t="s">
        <v>34458</v>
      </c>
      <c r="C27368" s="5" t="str">
        <f>IFERROR(__xludf.DUMMYFUNCTION("GOOGLETRANSLATE(B27368,""en"",""es-ES"")"),"Se muestra varios texto en la pantalla y conduce a un hombre que habla y se muestran más herramientas.")</f>
        <v>Se muestra varios texto en la pantalla y conduce a un hombre que habla y se muestran más herramientas.</v>
      </c>
    </row>
    <row r="27369">
      <c r="A27369" s="4" t="s">
        <v>34457</v>
      </c>
      <c r="B27369" s="4" t="s">
        <v>34459</v>
      </c>
      <c r="C27369" s="5" t="str">
        <f>IFERROR(__xludf.DUMMYFUNCTION("GOOGLETRANSLATE(B27369,""en"",""es-ES"")"),"El hombre frota las herramientas a lo largo de su piel y señala hacia atrás y cuarto al vacío mientras habla.")</f>
        <v>El hombre frota las herramientas a lo largo de su piel y señala hacia atrás y cuarto al vacío mientras habla.</v>
      </c>
    </row>
    <row r="27370">
      <c r="A27370" s="4" t="s">
        <v>34460</v>
      </c>
      <c r="B27370" s="4" t="s">
        <v>34461</v>
      </c>
      <c r="C27370" s="5" t="str">
        <f>IFERROR(__xludf.DUMMYFUNCTION("GOOGLETRANSLATE(B27370,""en"",""es-ES"")"),"La teja superior de un techo cuelga sin garantía.")</f>
        <v>La teja superior de un techo cuelga sin garantía.</v>
      </c>
    </row>
    <row r="27371">
      <c r="A27371" s="4" t="s">
        <v>34460</v>
      </c>
      <c r="B27371" s="4" t="s">
        <v>34462</v>
      </c>
      <c r="C27371" s="5" t="str">
        <f>IFERROR(__xludf.DUMMYFUNCTION("GOOGLETRANSLATE(B27371,""en"",""es-ES"")"),"Un hombre en un techo golpea un clavo en la teja, asegurando la teja.")</f>
        <v>Un hombre en un techo golpea un clavo en la teja, asegurando la teja.</v>
      </c>
    </row>
    <row r="27372">
      <c r="A27372" s="4" t="s">
        <v>34463</v>
      </c>
      <c r="B27372" s="4" t="s">
        <v>34464</v>
      </c>
      <c r="C27372" s="5" t="str">
        <f>IFERROR(__xludf.DUMMYFUNCTION("GOOGLETRANSLATE(B27372,""en"",""es-ES"")"),"Se ve a varias personas caminando por una playa que conduce a hombres apretando una cuerda y rebotando en la cuerda.")</f>
        <v>Se ve a varias personas caminando por una playa que conduce a hombres apretando una cuerda y rebotando en la cuerda.</v>
      </c>
    </row>
    <row r="27373">
      <c r="A27373" s="4" t="s">
        <v>34463</v>
      </c>
      <c r="B27373" s="4" t="s">
        <v>34465</v>
      </c>
      <c r="C27373" s="5" t="str">
        <f>IFERROR(__xludf.DUMMYFUNCTION("GOOGLETRANSLATE(B27373,""en"",""es-ES"")"),"Varias personas realizan muchos trucos y saltan sobre la cuerda, mientras que otras se paran y miran a un lado.")</f>
        <v>Varias personas realizan muchos trucos y saltan sobre la cuerda, mientras que otras se paran y miran a un lado.</v>
      </c>
    </row>
    <row r="27374">
      <c r="A27374" s="4" t="s">
        <v>34466</v>
      </c>
      <c r="B27374" s="4" t="s">
        <v>34467</v>
      </c>
      <c r="C27374" s="5" t="str">
        <f>IFERROR(__xludf.DUMMYFUNCTION("GOOGLETRANSLATE(B27374,""en"",""es-ES"")"),"Se ve a una persona montar en un tubo por un río mientras la cámara se acerca a los pies de una persona.")</f>
        <v>Se ve a una persona montar en un tubo por un río mientras la cámara se acerca a los pies de una persona.</v>
      </c>
    </row>
    <row r="27375">
      <c r="A27375" s="4" t="s">
        <v>34466</v>
      </c>
      <c r="B27375" s="4" t="s">
        <v>34468</v>
      </c>
      <c r="C27375" s="5" t="str">
        <f>IFERROR(__xludf.DUMMYFUNCTION("GOOGLETRANSLATE(B27375,""en"",""es-ES"")"),"Las personas en los tubos pasan más allá de los demás en el agua.")</f>
        <v>Las personas en los tubos pasan más allá de los demás en el agua.</v>
      </c>
    </row>
    <row r="27376">
      <c r="A27376" s="4" t="s">
        <v>34466</v>
      </c>
      <c r="B27376" s="4" t="s">
        <v>34469</v>
      </c>
      <c r="C27376" s="5" t="str">
        <f>IFERROR(__xludf.DUMMYFUNCTION("GOOGLETRANSLATE(B27376,""en"",""es-ES"")"),"Se ve a más personas cabalgando por el río en los tubos.")</f>
        <v>Se ve a más personas cabalgando por el río en los tubos.</v>
      </c>
    </row>
    <row r="27377">
      <c r="A27377" s="4" t="s">
        <v>34470</v>
      </c>
      <c r="B27377" s="4" t="s">
        <v>34471</v>
      </c>
      <c r="C27377" s="5" t="str">
        <f>IFERROR(__xludf.DUMMYFUNCTION("GOOGLETRANSLATE(B27377,""en"",""es-ES"")"),"Una serie de clips de la misma mujer que realizan saltos con pértiga en diferentes eventos deportivos profesionales.")</f>
        <v>Una serie de clips de la misma mujer que realizan saltos con pértiga en diferentes eventos deportivos profesionales.</v>
      </c>
    </row>
    <row r="27378">
      <c r="A27378" s="4" t="s">
        <v>34470</v>
      </c>
      <c r="B27378" s="4" t="s">
        <v>34472</v>
      </c>
      <c r="C27378" s="5" t="str">
        <f>IFERROR(__xludf.DUMMYFUNCTION("GOOGLETRANSLATE(B27378,""en"",""es-ES"")"),"Una mujer que sostiene un poste corre en una pista hacia una línea de gol y realiza un salto con pértiga frente a los espectadores y seguidores del evento.")</f>
        <v>Una mujer que sostiene un poste corre en una pista hacia una línea de gol y realiza un salto con pértiga frente a los espectadores y seguidores del evento.</v>
      </c>
    </row>
    <row r="27379">
      <c r="A27379" s="4" t="s">
        <v>34470</v>
      </c>
      <c r="B27379" s="4" t="s">
        <v>34473</v>
      </c>
      <c r="C27379" s="5" t="str">
        <f>IFERROR(__xludf.DUMMYFUNCTION("GOOGLETRANSLATE(B27379,""en"",""es-ES"")"),"Luego, la mujer se muestra en dos eventos más realizando el mismo salto con pértiga rodeado de espectadores y tomadores de puntuación.")</f>
        <v>Luego, la mujer se muestra en dos eventos más realizando el mismo salto con pértiga rodeado de espectadores y tomadores de puntuación.</v>
      </c>
    </row>
    <row r="27380">
      <c r="A27380" s="4" t="s">
        <v>34474</v>
      </c>
      <c r="B27380" s="4" t="s">
        <v>34475</v>
      </c>
      <c r="C27380" s="5" t="str">
        <f>IFERROR(__xludf.DUMMYFUNCTION("GOOGLETRANSLATE(B27380,""en"",""es-ES"")"),"Una mujer se para frente a un espejo y enjuague la boca antes de acercarse al espejo y mirar sus dientes desde un ángulo de primer plano.")</f>
        <v>Una mujer se para frente a un espejo y enjuague la boca antes de acercarse al espejo y mirar sus dientes desde un ángulo de primer plano.</v>
      </c>
    </row>
    <row r="27381">
      <c r="A27381" s="4" t="s">
        <v>34474</v>
      </c>
      <c r="B27381" s="4" t="s">
        <v>34476</v>
      </c>
      <c r="C27381" s="5" t="str">
        <f>IFERROR(__xludf.DUMMYFUNCTION("GOOGLETRANSLATE(B27381,""en"",""es-ES"")"),"Una mujer se sienta frente a un espejo de baño aplastando agua en su boca, como si enjuagara su boca.")</f>
        <v>Una mujer se sienta frente a un espejo de baño aplastando agua en su boca, como si enjuagara su boca.</v>
      </c>
    </row>
    <row r="27382">
      <c r="A27382" s="4" t="s">
        <v>34474</v>
      </c>
      <c r="B27382" s="4" t="s">
        <v>34477</v>
      </c>
      <c r="C27382" s="5" t="str">
        <f>IFERROR(__xludf.DUMMYFUNCTION("GOOGLETRANSLATE(B27382,""en"",""es-ES"")"),"Luego, la mujer escupe el agua en el fregadero y mira sus dientes muy cerca del espejo antes de que la escena se desvanezca.")</f>
        <v>Luego, la mujer escupe el agua en el fregadero y mira sus dientes muy cerca del espejo antes de que la escena se desvanezca.</v>
      </c>
    </row>
    <row r="27383">
      <c r="A27383" s="4" t="s">
        <v>34478</v>
      </c>
      <c r="B27383" s="4" t="s">
        <v>34479</v>
      </c>
      <c r="C27383" s="5" t="str">
        <f>IFERROR(__xludf.DUMMYFUNCTION("GOOGLETRANSLATE(B27383,""en"",""es-ES"")"),"Vemos gente en esquís caídas.")</f>
        <v>Vemos gente en esquís caídas.</v>
      </c>
    </row>
    <row r="27384">
      <c r="A27384" s="4" t="s">
        <v>34478</v>
      </c>
      <c r="B27384" s="4" t="s">
        <v>34480</v>
      </c>
      <c r="C27384" s="5" t="str">
        <f>IFERROR(__xludf.DUMMYFUNCTION("GOOGLETRANSLATE(B27384,""en"",""es-ES"")"),"Vemos a una persona volar en una pila de nieve.")</f>
        <v>Vemos a una persona volar en una pila de nieve.</v>
      </c>
    </row>
    <row r="27385">
      <c r="A27385" s="4" t="s">
        <v>34478</v>
      </c>
      <c r="B27385" s="4" t="s">
        <v>34481</v>
      </c>
      <c r="C27385" s="5" t="str">
        <f>IFERROR(__xludf.DUMMYFUNCTION("GOOGLETRANSLATE(B27385,""en"",""es-ES"")"),"Una persona esquía y cae mientras saltan por una calle.")</f>
        <v>Una persona esquía y cae mientras saltan por una calle.</v>
      </c>
    </row>
    <row r="27386">
      <c r="A27386" s="4" t="s">
        <v>34478</v>
      </c>
      <c r="B27386" s="4" t="s">
        <v>34482</v>
      </c>
      <c r="C27386" s="5" t="str">
        <f>IFERROR(__xludf.DUMMYFUNCTION("GOOGLETRANSLATE(B27386,""en"",""es-ES"")"),"Una persona en esquís está sosteniendo una línea y cae y luego una persona de blanco se estrella contra otra y ambos caen.")</f>
        <v>Una persona en esquís está sosteniendo una línea y cae y luego una persona de blanco se estrella contra otra y ambos caen.</v>
      </c>
    </row>
    <row r="27387">
      <c r="A27387" s="4" t="s">
        <v>34478</v>
      </c>
      <c r="B27387" s="4" t="s">
        <v>34483</v>
      </c>
      <c r="C27387" s="5" t="str">
        <f>IFERROR(__xludf.DUMMYFUNCTION("GOOGLETRANSLATE(B27387,""en"",""es-ES"")"),"Un snowboarder no puede sostener la línea y golpea a una persona que ayuda y se cae.")</f>
        <v>Un snowboarder no puede sostener la línea y golpea a una persona que ayuda y se cae.</v>
      </c>
    </row>
    <row r="27388">
      <c r="A27388" s="4" t="s">
        <v>34484</v>
      </c>
      <c r="B27388" s="4" t="s">
        <v>34485</v>
      </c>
      <c r="C27388" s="5" t="str">
        <f>IFERROR(__xludf.DUMMYFUNCTION("GOOGLETRANSLATE(B27388,""en"",""es-ES"")"),"Un río rodeado de Rocks Apperas.")</f>
        <v>Un río rodeado de Rocks Apperas.</v>
      </c>
    </row>
    <row r="27389">
      <c r="A27389" s="4" t="s">
        <v>34484</v>
      </c>
      <c r="B27389" s="4" t="s">
        <v>34486</v>
      </c>
      <c r="C27389" s="5" t="str">
        <f>IFERROR(__xludf.DUMMYFUNCTION("GOOGLETRANSLATE(B27389,""en"",""es-ES"")"),"Varias personas flotan a través de él en intertubes.")</f>
        <v>Varias personas flotan a través de él en intertubes.</v>
      </c>
    </row>
    <row r="27390">
      <c r="A27390" s="4" t="s">
        <v>34484</v>
      </c>
      <c r="B27390" s="4" t="s">
        <v>34487</v>
      </c>
      <c r="C27390" s="5" t="str">
        <f>IFERROR(__xludf.DUMMYFUNCTION("GOOGLETRANSLATE(B27390,""en"",""es-ES"")"),"Flotan por el río juntos a través de los rápidos.")</f>
        <v>Flotan por el río juntos a través de los rápidos.</v>
      </c>
    </row>
    <row r="27391">
      <c r="A27391" s="4" t="s">
        <v>34488</v>
      </c>
      <c r="B27391" s="4" t="s">
        <v>34489</v>
      </c>
      <c r="C27391" s="5" t="str">
        <f>IFERROR(__xludf.DUMMYFUNCTION("GOOGLETRANSLATE(B27391,""en"",""es-ES"")"),"Un hombre y un hombre con camisa verde están decorando el árbol de Navidad con su hijo con camisa gris, están poniendo las decoraciones mientras la mujer está sentada en una silla junto al árbol y pone las decoraciones en la mesa azul.")</f>
        <v>Un hombre y un hombre con camisa verde están decorando el árbol de Navidad con su hijo con camisa gris, están poniendo las decoraciones mientras la mujer está sentada en una silla junto al árbol y pone las decoraciones en la mesa azul.</v>
      </c>
    </row>
    <row r="27392">
      <c r="A27392" s="4" t="s">
        <v>34488</v>
      </c>
      <c r="B27392" s="4" t="s">
        <v>34490</v>
      </c>
      <c r="C27392" s="5" t="str">
        <f>IFERROR(__xludf.DUMMYFUNCTION("GOOGLETRANSLATE(B27392,""en"",""es-ES"")"),"La señora ayudó al hombre y al niño a colgar la decoración en el árbol de Navidad, el hombre le entregó algunas decoraciones a la dama y ella la puso en el árbol.")</f>
        <v>La señora ayudó al hombre y al niño a colgar la decoración en el árbol de Navidad, el hombre le entregó algunas decoraciones a la dama y ella la puso en el árbol.</v>
      </c>
    </row>
    <row r="27393">
      <c r="A27393" s="4" t="s">
        <v>34488</v>
      </c>
      <c r="B27393" s="4" t="s">
        <v>34491</v>
      </c>
      <c r="C27393" s="5" t="str">
        <f>IFERROR(__xludf.DUMMYFUNCTION("GOOGLETRANSLATE(B27393,""en"",""es-ES"")"),"La mujer se sentó en la silla para organizar la pelota de Navidad en la mesa y los ayudó con las decoraciones.")</f>
        <v>La mujer se sentó en la silla para organizar la pelota de Navidad en la mesa y los ayudó con las decoraciones.</v>
      </c>
    </row>
    <row r="27394">
      <c r="A27394" s="4" t="s">
        <v>34488</v>
      </c>
      <c r="B27394" s="4" t="s">
        <v>34492</v>
      </c>
      <c r="C27394" s="5" t="str">
        <f>IFERROR(__xludf.DUMMYFUNCTION("GOOGLETRANSLATE(B27394,""en"",""es-ES"")"),"Una dama en top negro puso más decoraciones al árbol de Navidad.")</f>
        <v>Una dama en top negro puso más decoraciones al árbol de Navidad.</v>
      </c>
    </row>
    <row r="27395">
      <c r="A27395" s="4" t="s">
        <v>34493</v>
      </c>
      <c r="B27395" s="4" t="s">
        <v>34494</v>
      </c>
      <c r="C27395" s="5" t="str">
        <f>IFERROR(__xludf.DUMMYFUNCTION("GOOGLETRANSLATE(B27395,""en"",""es-ES"")"),"Un niño camina hasta un puesto en una gran cancha interior.")</f>
        <v>Un niño camina hasta un puesto en una gran cancha interior.</v>
      </c>
    </row>
    <row r="27396">
      <c r="A27396" s="4" t="s">
        <v>34493</v>
      </c>
      <c r="B27396" s="4" t="s">
        <v>34495</v>
      </c>
      <c r="C27396" s="5" t="str">
        <f>IFERROR(__xludf.DUMMYFUNCTION("GOOGLETRANSLATE(B27396,""en"",""es-ES"")"),"Se prepara, moviendo los brazos.")</f>
        <v>Se prepara, moviendo los brazos.</v>
      </c>
    </row>
    <row r="27397">
      <c r="A27397" s="4" t="s">
        <v>34493</v>
      </c>
      <c r="B27397" s="4" t="s">
        <v>34496</v>
      </c>
      <c r="C27397" s="5" t="str">
        <f>IFERROR(__xludf.DUMMYFUNCTION("GOOGLETRANSLATE(B27397,""en"",""es-ES"")"),"Comienza a girar muy rápidamente.")</f>
        <v>Comienza a girar muy rápidamente.</v>
      </c>
    </row>
    <row r="27398">
      <c r="A27398" s="4" t="s">
        <v>34493</v>
      </c>
      <c r="B27398" s="4" t="s">
        <v>34497</v>
      </c>
      <c r="C27398" s="5" t="str">
        <f>IFERROR(__xludf.DUMMYFUNCTION("GOOGLETRANSLATE(B27398,""en"",""es-ES"")"),"Finalmente dejando ir y lanzar la pelota.")</f>
        <v>Finalmente dejando ir y lanzar la pelota.</v>
      </c>
    </row>
    <row r="27399">
      <c r="A27399" s="4" t="s">
        <v>34498</v>
      </c>
      <c r="B27399" s="4" t="s">
        <v>34499</v>
      </c>
      <c r="C27399" s="5" t="str">
        <f>IFERROR(__xludf.DUMMYFUNCTION("GOOGLETRANSLATE(B27399,""en"",""es-ES"")"),"Una mujer golpea su mejilla mientras se prepara en un campo.")</f>
        <v>Una mujer golpea su mejilla mientras se prepara en un campo.</v>
      </c>
    </row>
    <row r="27400">
      <c r="A27400" s="4" t="s">
        <v>34498</v>
      </c>
      <c r="B27400" s="4" t="s">
        <v>34500</v>
      </c>
      <c r="C27400" s="5" t="str">
        <f>IFERROR(__xludf.DUMMYFUNCTION("GOOGLETRANSLATE(B27400,""en"",""es-ES"")"),"Ella balancea una pelota varias veces.")</f>
        <v>Ella balancea una pelota varias veces.</v>
      </c>
    </row>
    <row r="27401">
      <c r="A27401" s="4" t="s">
        <v>34498</v>
      </c>
      <c r="B27401" s="4" t="s">
        <v>34501</v>
      </c>
      <c r="C27401" s="5" t="str">
        <f>IFERROR(__xludf.DUMMYFUNCTION("GOOGLETRANSLATE(B27401,""en"",""es-ES"")"),"Ella soltamos, dejando que la pelota volara por el aire.")</f>
        <v>Ella soltamos, dejando que la pelota volara por el aire.</v>
      </c>
    </row>
    <row r="27402">
      <c r="A27402" s="4" t="s">
        <v>34502</v>
      </c>
      <c r="B27402" s="4" t="s">
        <v>34503</v>
      </c>
      <c r="C27402" s="5" t="str">
        <f>IFERROR(__xludf.DUMMYFUNCTION("GOOGLETRANSLATE(B27402,""en"",""es-ES"")"),"Una mujer que usa una parte superior negra y con cabello castaño rizado y resaltados de bronce está demostrando cómo usar un difusor para secar el cabello.")</f>
        <v>Una mujer que usa una parte superior negra y con cabello castaño rizado y resaltados de bronce está demostrando cómo usar un difusor para secar el cabello.</v>
      </c>
    </row>
    <row r="27403">
      <c r="A27403" s="4" t="s">
        <v>34502</v>
      </c>
      <c r="B27403" s="4" t="s">
        <v>34504</v>
      </c>
      <c r="C27403" s="5" t="str">
        <f>IFERROR(__xludf.DUMMYFUNCTION("GOOGLETRANSLATE(B27403,""en"",""es-ES"")"),"Ella está usando el secador a fuego medio para secar su cabello.")</f>
        <v>Ella está usando el secador a fuego medio para secar su cabello.</v>
      </c>
    </row>
    <row r="27404">
      <c r="A27404" s="4" t="s">
        <v>34502</v>
      </c>
      <c r="B27404" s="4" t="s">
        <v>34505</v>
      </c>
      <c r="C27404" s="5" t="str">
        <f>IFERROR(__xludf.DUMMYFUNCTION("GOOGLETRANSLATE(B27404,""en"",""es-ES"")"),"Ella se seca los rizos hasta que la humedad del cabello desaparece.")</f>
        <v>Ella se seca los rizos hasta que la humedad del cabello desaparece.</v>
      </c>
    </row>
    <row r="27405">
      <c r="A27405" s="4" t="s">
        <v>34502</v>
      </c>
      <c r="B27405" s="4" t="s">
        <v>34506</v>
      </c>
      <c r="C27405" s="5" t="str">
        <f>IFERROR(__xludf.DUMMYFUNCTION("GOOGLETRANSLATE(B27405,""en"",""es-ES"")"),"Después de que haya terminado de usar el secador, usa un peine de dientes ancho para peinar a través de sus rizos.")</f>
        <v>Después de que haya terminado de usar el secador, usa un peine de dientes ancho para peinar a través de sus rizos.</v>
      </c>
    </row>
    <row r="27406">
      <c r="A27406" s="4" t="s">
        <v>34502</v>
      </c>
      <c r="B27406" s="4" t="s">
        <v>34507</v>
      </c>
      <c r="C27406" s="5" t="str">
        <f>IFERROR(__xludf.DUMMYFUNCTION("GOOGLETRANSLATE(B27406,""en"",""es-ES"")"),"Luego se pone el cabello y muestra sus deliciosos rizos.")</f>
        <v>Luego se pone el cabello y muestra sus deliciosos rizos.</v>
      </c>
    </row>
    <row r="27407">
      <c r="A27407" s="4" t="s">
        <v>34508</v>
      </c>
      <c r="B27407" s="4" t="s">
        <v>34509</v>
      </c>
      <c r="C27407" s="5" t="str">
        <f>IFERROR(__xludf.DUMMYFUNCTION("GOOGLETRANSLATE(B27407,""en"",""es-ES"")"),"Un helicóptero vuela en algunas personas que luego comienzan a jugar paintball.")</f>
        <v>Un helicóptero vuela en algunas personas que luego comienzan a jugar paintball.</v>
      </c>
    </row>
    <row r="27408">
      <c r="A27408" s="4" t="s">
        <v>34508</v>
      </c>
      <c r="B27408" s="4" t="s">
        <v>34510</v>
      </c>
      <c r="C27408" s="5" t="str">
        <f>IFERROR(__xludf.DUMMYFUNCTION("GOOGLETRANSLATE(B27408,""en"",""es-ES"")"),"Corren los obstáculos y lo pasan muy bien.")</f>
        <v>Corren los obstáculos y lo pasan muy bien.</v>
      </c>
    </row>
    <row r="27409">
      <c r="A27409" s="4" t="s">
        <v>34511</v>
      </c>
      <c r="B27409" s="4" t="s">
        <v>34512</v>
      </c>
      <c r="C27409" s="5" t="str">
        <f>IFERROR(__xludf.DUMMYFUNCTION("GOOGLETRANSLATE(B27409,""en"",""es-ES"")"),"Un niño sostiene un hacha afuera.")</f>
        <v>Un niño sostiene un hacha afuera.</v>
      </c>
    </row>
    <row r="27410">
      <c r="A27410" s="4" t="s">
        <v>34511</v>
      </c>
      <c r="B27410" s="4" t="s">
        <v>34513</v>
      </c>
      <c r="C27410" s="5" t="str">
        <f>IFERROR(__xludf.DUMMYFUNCTION("GOOGLETRANSLATE(B27410,""en"",""es-ES"")"),"Él balancea el hacha en un tocón.")</f>
        <v>Él balancea el hacha en un tocón.</v>
      </c>
    </row>
    <row r="27411">
      <c r="A27411" s="4" t="s">
        <v>34511</v>
      </c>
      <c r="B27411" s="4" t="s">
        <v>34514</v>
      </c>
      <c r="C27411" s="5" t="str">
        <f>IFERROR(__xludf.DUMMYFUNCTION("GOOGLETRANSLATE(B27411,""en"",""es-ES"")"),"Se muestra a otro chico haciendo lo mismo.")</f>
        <v>Se muestra a otro chico haciendo lo mismo.</v>
      </c>
    </row>
    <row r="27412">
      <c r="A27412" s="4" t="s">
        <v>34511</v>
      </c>
      <c r="B27412" s="4" t="s">
        <v>34515</v>
      </c>
      <c r="C27412" s="5" t="str">
        <f>IFERROR(__xludf.DUMMYFUNCTION("GOOGLETRANSLATE(B27412,""en"",""es-ES"")"),"Continúan tratando de dividir la madera.")</f>
        <v>Continúan tratando de dividir la madera.</v>
      </c>
    </row>
    <row r="27413">
      <c r="A27413" s="4" t="s">
        <v>34516</v>
      </c>
      <c r="B27413" s="4" t="s">
        <v>34517</v>
      </c>
      <c r="C27413" s="5" t="str">
        <f>IFERROR(__xludf.DUMMYFUNCTION("GOOGLETRANSLATE(B27413,""en"",""es-ES"")"),"El comienzo de una carrera se muestra como las personas corriendo y el final también se muestra.")</f>
        <v>El comienzo de una carrera se muestra como las personas corriendo y el final también se muestra.</v>
      </c>
    </row>
    <row r="27414">
      <c r="A27414" s="4" t="s">
        <v>34516</v>
      </c>
      <c r="B27414" s="4" t="s">
        <v>34518</v>
      </c>
      <c r="C27414" s="5" t="str">
        <f>IFERROR(__xludf.DUMMYFUNCTION("GOOGLETRANSLATE(B27414,""en"",""es-ES"")"),"Se muestran personas con disfraces y las personas generalmente se lo están pasando muy bien.")</f>
        <v>Se muestran personas con disfraces y las personas generalmente se lo están pasando muy bien.</v>
      </c>
    </row>
    <row r="27415">
      <c r="A27415" s="4" t="s">
        <v>34519</v>
      </c>
      <c r="B27415" s="4" t="s">
        <v>34520</v>
      </c>
      <c r="C27415" s="5" t="str">
        <f>IFERROR(__xludf.DUMMYFUNCTION("GOOGLETRANSLATE(B27415,""en"",""es-ES"")"),"Una introducción conduce a varios disparos de personas que bajan por las colinas nevadas y suben por un lado.")</f>
        <v>Una introducción conduce a varios disparos de personas que bajan por las colinas nevadas y suben por un lado.</v>
      </c>
    </row>
    <row r="27416">
      <c r="A27416" s="4" t="s">
        <v>34519</v>
      </c>
      <c r="B27416" s="4" t="s">
        <v>34521</v>
      </c>
      <c r="C27416" s="5" t="str">
        <f>IFERROR(__xludf.DUMMYFUNCTION("GOOGLETRANSLATE(B27416,""en"",""es-ES"")"),"Dos personas hablan con la cámara y muestran más tiros de ellos escalando una montaña y varios disparos de la montaña.")</f>
        <v>Dos personas hablan con la cámara y muestran más tiros de ellos escalando una montaña y varios disparos de la montaña.</v>
      </c>
    </row>
    <row r="27417">
      <c r="A27417" s="4" t="s">
        <v>34519</v>
      </c>
      <c r="B27417" s="4" t="s">
        <v>34522</v>
      </c>
      <c r="C27417" s="5" t="str">
        <f>IFERROR(__xludf.DUMMYFUNCTION("GOOGLETRANSLATE(B27417,""en"",""es-ES"")"),"Luego, la gente viaja en esquís mientras todavía habla con la cámara y muestra varias tomas de ellos cabalgando por la montaña nevada.")</f>
        <v>Luego, la gente viaja en esquís mientras todavía habla con la cámara y muestra varias tomas de ellos cabalgando por la montaña nevada.</v>
      </c>
    </row>
    <row r="27418">
      <c r="A27418" s="4" t="s">
        <v>34523</v>
      </c>
      <c r="B27418" s="4" t="s">
        <v>34524</v>
      </c>
      <c r="C27418" s="5" t="str">
        <f>IFERROR(__xludf.DUMMYFUNCTION("GOOGLETRANSLATE(B27418,""en"",""es-ES"")"),"Dos mujeres y una niña están caminando al aire libre, mostrando a la niña un grupo de niños en la distancia.")</f>
        <v>Dos mujeres y una niña están caminando al aire libre, mostrando a la niña un grupo de niños en la distancia.</v>
      </c>
    </row>
    <row r="27419">
      <c r="A27419" s="4" t="s">
        <v>34523</v>
      </c>
      <c r="B27419" s="4" t="s">
        <v>34525</v>
      </c>
      <c r="C27419" s="5" t="str">
        <f>IFERROR(__xludf.DUMMYFUNCTION("GOOGLETRANSLATE(B27419,""en"",""es-ES"")"),"Lanzan una pelota y la niña la patea antes de ser conducida a una base.")</f>
        <v>Lanzan una pelota y la niña la patea antes de ser conducida a una base.</v>
      </c>
    </row>
    <row r="27420">
      <c r="A27420" s="4" t="s">
        <v>34523</v>
      </c>
      <c r="B27420" s="4" t="s">
        <v>34526</v>
      </c>
      <c r="C27420" s="5" t="str">
        <f>IFERROR(__xludf.DUMMYFUNCTION("GOOGLETRANSLATE(B27420,""en"",""es-ES"")"),"El grupo se reúne juntos para felicitarla.")</f>
        <v>El grupo se reúne juntos para felicitarla.</v>
      </c>
    </row>
    <row r="27421">
      <c r="A27421" s="4" t="s">
        <v>34527</v>
      </c>
      <c r="B27421" s="4" t="s">
        <v>34528</v>
      </c>
      <c r="C27421" s="5" t="str">
        <f>IFERROR(__xludf.DUMMYFUNCTION("GOOGLETRANSLATE(B27421,""en"",""es-ES"")"),"Se ve a un hombre sentado detrás de un escritorio trabajando en una computadora.")</f>
        <v>Se ve a un hombre sentado detrás de un escritorio trabajando en una computadora.</v>
      </c>
    </row>
    <row r="27422">
      <c r="A27422" s="4" t="s">
        <v>34527</v>
      </c>
      <c r="B27422" s="4" t="s">
        <v>34529</v>
      </c>
      <c r="C27422" s="5" t="str">
        <f>IFERROR(__xludf.DUMMYFUNCTION("GOOGLETRANSLATE(B27422,""en"",""es-ES"")"),"Se muestran varias tomas de personas que imprimen en papel, así como en papel de primer plano.")</f>
        <v>Se muestran varias tomas de personas que imprimen en papel, así como en papel de primer plano.</v>
      </c>
    </row>
    <row r="27423">
      <c r="A27423" s="4" t="s">
        <v>34527</v>
      </c>
      <c r="B27423" s="4" t="s">
        <v>34530</v>
      </c>
      <c r="C27423" s="5" t="str">
        <f>IFERROR(__xludf.DUMMYFUNCTION("GOOGLETRANSLATE(B27423,""en"",""es-ES"")"),"Se muestran más clips de personas colgando el fondo de pantalla, así como las tomas de la ciudad.")</f>
        <v>Se muestran más clips de personas colgando el fondo de pantalla, así como las tomas de la ciudad.</v>
      </c>
    </row>
    <row r="27424">
      <c r="A27424" s="4" t="s">
        <v>34531</v>
      </c>
      <c r="B27424" s="4" t="s">
        <v>34532</v>
      </c>
      <c r="C27424" s="5" t="str">
        <f>IFERROR(__xludf.DUMMYFUNCTION("GOOGLETRANSLATE(B27424,""en"",""es-ES"")"),"Un video comienza a mostrar a un hombre y una mujer sosteniéndose y retrocediendo y cuarto.")</f>
        <v>Un video comienza a mostrar a un hombre y una mujer sosteniéndose y retrocediendo y cuarto.</v>
      </c>
    </row>
    <row r="27425">
      <c r="A27425" s="4" t="s">
        <v>34531</v>
      </c>
      <c r="B27425" s="4" t="s">
        <v>34533</v>
      </c>
      <c r="C27425" s="5" t="str">
        <f>IFERROR(__xludf.DUMMYFUNCTION("GOOGLETRANSLATE(B27425,""en"",""es-ES"")"),"La pareja mueve sus pies hacia atrás y cuarto mientras el hombre habla con la cámara.")</f>
        <v>La pareja mueve sus pies hacia atrás y cuarto mientras el hombre habla con la cámara.</v>
      </c>
    </row>
    <row r="27426">
      <c r="A27426" s="4" t="s">
        <v>34531</v>
      </c>
      <c r="B27426" s="4" t="s">
        <v>34534</v>
      </c>
      <c r="C27426" s="5" t="str">
        <f>IFERROR(__xludf.DUMMYFUNCTION("GOOGLETRANSLATE(B27426,""en"",""es-ES"")"),"La mujer finalmente habla la cámara mientras realiza varios movimientos de baile diferentes para que la cámara lo vea.")</f>
        <v>La mujer finalmente habla la cámara mientras realiza varios movimientos de baile diferentes para que la cámara lo vea.</v>
      </c>
    </row>
    <row r="27427">
      <c r="A27427" s="4" t="s">
        <v>34535</v>
      </c>
      <c r="B27427" s="4" t="s">
        <v>34536</v>
      </c>
      <c r="C27427" s="5" t="str">
        <f>IFERROR(__xludf.DUMMYFUNCTION("GOOGLETRANSLATE(B27427,""en"",""es-ES"")"),"Varias canoas se muestran en agua inactiva en agua turbia.")</f>
        <v>Varias canoas se muestran en agua inactiva en agua turbia.</v>
      </c>
    </row>
    <row r="27428">
      <c r="A27428" s="4" t="s">
        <v>34535</v>
      </c>
      <c r="B27428" s="4" t="s">
        <v>34537</v>
      </c>
      <c r="C27428" s="5" t="str">
        <f>IFERROR(__xludf.DUMMYFUNCTION("GOOGLETRANSLATE(B27428,""en"",""es-ES"")"),"Luego, un conjunto de niños comienza a kayak en el agua y saltando de los árboles.")</f>
        <v>Luego, un conjunto de niños comienza a kayak en el agua y saltando de los árboles.</v>
      </c>
    </row>
    <row r="27429">
      <c r="A27429" s="4" t="s">
        <v>34538</v>
      </c>
      <c r="B27429" s="4" t="s">
        <v>34539</v>
      </c>
      <c r="C27429" s="5" t="str">
        <f>IFERROR(__xludf.DUMMYFUNCTION("GOOGLETRANSLATE(B27429,""en"",""es-ES"")"),"Una persona se lave las manos en un fregadero.")</f>
        <v>Una persona se lave las manos en un fregadero.</v>
      </c>
    </row>
    <row r="27430">
      <c r="A27430" s="4" t="s">
        <v>34538</v>
      </c>
      <c r="B27430" s="4" t="s">
        <v>34540</v>
      </c>
      <c r="C27430" s="5" t="str">
        <f>IFERROR(__xludf.DUMMYFUNCTION("GOOGLETRANSLATE(B27430,""en"",""es-ES"")"),"Dos mujeres están de pie junto al fregadero lavándose las manos.")</f>
        <v>Dos mujeres están de pie junto al fregadero lavándose las manos.</v>
      </c>
    </row>
    <row r="27431">
      <c r="A27431" s="4" t="s">
        <v>34538</v>
      </c>
      <c r="B27431" s="4" t="s">
        <v>13650</v>
      </c>
      <c r="C27431" s="5" t="str">
        <f>IFERROR(__xludf.DUMMYFUNCTION("GOOGLETRANSLATE(B27431,""en"",""es-ES"")"),"Las palabras entran en la pantalla.")</f>
        <v>Las palabras entran en la pantalla.</v>
      </c>
    </row>
    <row r="27432">
      <c r="A27432" s="4" t="s">
        <v>34541</v>
      </c>
      <c r="B27432" s="4" t="s">
        <v>34542</v>
      </c>
      <c r="C27432" s="5" t="str">
        <f>IFERROR(__xludf.DUMMYFUNCTION("GOOGLETRANSLATE(B27432,""en"",""es-ES"")"),"Dos hombres en una rodilla demuestran un estiramiento de Flexxer de cadera en un gimnasio de terapia.")</f>
        <v>Dos hombres en una rodilla demuestran un estiramiento de Flexxer de cadera en un gimnasio de terapia.</v>
      </c>
    </row>
    <row r="27433">
      <c r="A27433" s="4" t="s">
        <v>34541</v>
      </c>
      <c r="B27433" s="4" t="s">
        <v>34543</v>
      </c>
      <c r="C27433" s="5" t="str">
        <f>IFERROR(__xludf.DUMMYFUNCTION("GOOGLETRANSLATE(B27433,""en"",""es-ES"")"),"El hombre que usa una camiseta negra usa al hombre con una camiseta verde como modelo para demostrar el estiramiento Flexxer de cadera.")</f>
        <v>El hombre que usa una camiseta negra usa al hombre con una camiseta verde como modelo para demostrar el estiramiento Flexxer de cadera.</v>
      </c>
    </row>
    <row r="27434">
      <c r="A27434" s="4" t="s">
        <v>34541</v>
      </c>
      <c r="B27434" s="4" t="s">
        <v>34544</v>
      </c>
      <c r="C27434" s="5" t="str">
        <f>IFERROR(__xludf.DUMMYFUNCTION("GOOGLETRANSLATE(B27434,""en"",""es-ES"")"),"El hombre de la camiseta negra ajusta al hombre en la camisa verde en diferentes posiciones mediante una ligera posición del pie, la pierna, las caderas y los brazos.")</f>
        <v>El hombre de la camiseta negra ajusta al hombre en la camisa verde en diferentes posiciones mediante una ligera posición del pie, la pierna, las caderas y los brazos.</v>
      </c>
    </row>
    <row r="27435">
      <c r="A27435" s="4" t="s">
        <v>34545</v>
      </c>
      <c r="B27435" s="4" t="s">
        <v>34546</v>
      </c>
      <c r="C27435" s="5" t="str">
        <f>IFERROR(__xludf.DUMMYFUNCTION("GOOGLETRANSLATE(B27435,""en"",""es-ES"")"),"Se muestran los créditos de los clips.")</f>
        <v>Se muestran los créditos de los clips.</v>
      </c>
    </row>
    <row r="27436">
      <c r="A27436" s="4" t="s">
        <v>34545</v>
      </c>
      <c r="B27436" s="4" t="s">
        <v>34547</v>
      </c>
      <c r="C27436" s="5" t="str">
        <f>IFERROR(__xludf.DUMMYFUNCTION("GOOGLETRANSLATE(B27436,""en"",""es-ES"")"),"Una mujer está afuera junto a una pila de nieve.")</f>
        <v>Una mujer está afuera junto a una pila de nieve.</v>
      </c>
    </row>
    <row r="27437">
      <c r="A27437" s="4" t="s">
        <v>34545</v>
      </c>
      <c r="B27437" s="4" t="s">
        <v>34548</v>
      </c>
      <c r="C27437" s="5" t="str">
        <f>IFERROR(__xludf.DUMMYFUNCTION("GOOGLETRANSLATE(B27437,""en"",""es-ES"")"),"Un chico recoge una tierra de pala, pala a un lado.")</f>
        <v>Un chico recoge una tierra de pala, pala a un lado.</v>
      </c>
    </row>
    <row r="27438">
      <c r="A27438" s="4" t="s">
        <v>34545</v>
      </c>
      <c r="B27438" s="4" t="s">
        <v>34549</v>
      </c>
      <c r="C27438" s="5" t="str">
        <f>IFERROR(__xludf.DUMMYFUNCTION("GOOGLETRANSLATE(B27438,""en"",""es-ES"")"),"El tipo deja la pala y estira su espalda hacia atrás dos veces.")</f>
        <v>El tipo deja la pala y estira su espalda hacia atrás dos veces.</v>
      </c>
    </row>
    <row r="27439">
      <c r="A27439" s="4" t="s">
        <v>34545</v>
      </c>
      <c r="B27439" s="4" t="s">
        <v>34550</v>
      </c>
      <c r="C27439" s="5" t="str">
        <f>IFERROR(__xludf.DUMMYFUNCTION("GOOGLETRANSLATE(B27439,""en"",""es-ES"")"),"El tipo recoge la pala y continúa palpitando la nieve.")</f>
        <v>El tipo recoge la pala y continúa palpitando la nieve.</v>
      </c>
    </row>
    <row r="27440">
      <c r="A27440" s="4" t="s">
        <v>34545</v>
      </c>
      <c r="B27440" s="4" t="s">
        <v>34546</v>
      </c>
      <c r="C27440" s="5" t="str">
        <f>IFERROR(__xludf.DUMMYFUNCTION("GOOGLETRANSLATE(B27440,""en"",""es-ES"")"),"Se muestran los créditos de los clips.")</f>
        <v>Se muestran los créditos de los clips.</v>
      </c>
    </row>
    <row r="27441">
      <c r="A27441" s="4" t="s">
        <v>34551</v>
      </c>
      <c r="B27441" s="4" t="s">
        <v>34552</v>
      </c>
      <c r="C27441" s="5" t="str">
        <f>IFERROR(__xludf.DUMMYFUNCTION("GOOGLETRANSLATE(B27441,""en"",""es-ES"")"),"Se ve un tiro de primer plano de niños montando un juego de autos de parachoques y que se encuentran entre sí.")</f>
        <v>Se ve un tiro de primer plano de niños montando un juego de autos de parachoques y que se encuentran entre sí.</v>
      </c>
    </row>
    <row r="27442">
      <c r="A27442" s="4" t="s">
        <v>34551</v>
      </c>
      <c r="B27442" s="4" t="s">
        <v>34553</v>
      </c>
      <c r="C27442" s="5" t="str">
        <f>IFERROR(__xludf.DUMMYFUNCTION("GOOGLETRANSLATE(B27442,""en"",""es-ES"")"),"Se ve a dos niños entrando el uno al otro con varios otros niños montando y golpeándose.")</f>
        <v>Se ve a dos niños entrando el uno al otro con varios otros niños montando y golpeándose.</v>
      </c>
    </row>
    <row r="27443">
      <c r="A27443" s="4" t="s">
        <v>34554</v>
      </c>
      <c r="B27443" s="4" t="s">
        <v>34555</v>
      </c>
      <c r="C27443" s="5" t="str">
        <f>IFERROR(__xludf.DUMMYFUNCTION("GOOGLETRANSLATE(B27443,""en"",""es-ES"")"),"Un niño llena una olla con agua.")</f>
        <v>Un niño llena una olla con agua.</v>
      </c>
    </row>
    <row r="27444">
      <c r="A27444" s="4" t="s">
        <v>34554</v>
      </c>
      <c r="B27444" s="4" t="s">
        <v>34556</v>
      </c>
      <c r="C27444" s="5" t="str">
        <f>IFERROR(__xludf.DUMMYFUNCTION("GOOGLETRANSLATE(B27444,""en"",""es-ES"")"),"Él pone la olla en una estufa y le pone una tapa.")</f>
        <v>Él pone la olla en una estufa y le pone una tapa.</v>
      </c>
    </row>
    <row r="27445">
      <c r="A27445" s="4" t="s">
        <v>34554</v>
      </c>
      <c r="B27445" s="4" t="s">
        <v>34557</v>
      </c>
      <c r="C27445" s="5" t="str">
        <f>IFERROR(__xludf.DUMMYFUNCTION("GOOGLETRANSLATE(B27445,""en"",""es-ES"")"),"Agrega sal y pasta a la olla.")</f>
        <v>Agrega sal y pasta a la olla.</v>
      </c>
    </row>
    <row r="27446">
      <c r="A27446" s="4" t="s">
        <v>34554</v>
      </c>
      <c r="B27446" s="4" t="s">
        <v>34558</v>
      </c>
      <c r="C27446" s="5" t="str">
        <f>IFERROR(__xludf.DUMMYFUNCTION("GOOGLETRANSLATE(B27446,""en"",""es-ES"")"),"Él pone la tapa de vuelta en la olla.")</f>
        <v>Él pone la tapa de vuelta en la olla.</v>
      </c>
    </row>
    <row r="27447">
      <c r="A27447" s="4" t="s">
        <v>34554</v>
      </c>
      <c r="B27447" s="4" t="s">
        <v>34559</v>
      </c>
      <c r="C27447" s="5" t="str">
        <f>IFERROR(__xludf.DUMMYFUNCTION("GOOGLETRANSLATE(B27447,""en"",""es-ES"")"),"Rebita la olla y vierte la pasta en un colador.")</f>
        <v>Rebita la olla y vierte la pasta en un colador.</v>
      </c>
    </row>
    <row r="27448">
      <c r="A27448" s="4" t="s">
        <v>34554</v>
      </c>
      <c r="B27448" s="4" t="s">
        <v>34560</v>
      </c>
      <c r="C27448" s="5" t="str">
        <f>IFERROR(__xludf.DUMMYFUNCTION("GOOGLETRANSLATE(B27448,""en"",""es-ES"")"),"Vuelve la pasta de nuevo en la sartén.")</f>
        <v>Vuelve la pasta de nuevo en la sartén.</v>
      </c>
    </row>
    <row r="27449">
      <c r="A27449" s="4" t="s">
        <v>34554</v>
      </c>
      <c r="B27449" s="4" t="s">
        <v>34561</v>
      </c>
      <c r="C27449" s="5" t="str">
        <f>IFERROR(__xludf.DUMMYFUNCTION("GOOGLETRANSLATE(B27449,""en"",""es-ES"")"),"Agrega salsa y la revuelve.")</f>
        <v>Agrega salsa y la revuelve.</v>
      </c>
    </row>
    <row r="27450">
      <c r="A27450" s="4" t="s">
        <v>34562</v>
      </c>
      <c r="B27450" s="4" t="s">
        <v>34563</v>
      </c>
      <c r="C27450" s="5" t="str">
        <f>IFERROR(__xludf.DUMMYFUNCTION("GOOGLETRANSLATE(B27450,""en"",""es-ES"")"),"Un hombre está patinando por una calle de la ciudad.")</f>
        <v>Un hombre está patinando por una calle de la ciudad.</v>
      </c>
    </row>
    <row r="27451">
      <c r="A27451" s="4" t="s">
        <v>34562</v>
      </c>
      <c r="B27451" s="4" t="s">
        <v>34564</v>
      </c>
      <c r="C27451" s="5" t="str">
        <f>IFERROR(__xludf.DUMMYFUNCTION("GOOGLETRANSLATE(B27451,""en"",""es-ES"")"),"Se lo ve hablando con la cámara en el medio del camino.")</f>
        <v>Se lo ve hablando con la cámara en el medio del camino.</v>
      </c>
    </row>
    <row r="27452">
      <c r="A27452" s="4" t="s">
        <v>34562</v>
      </c>
      <c r="B27452" s="4" t="s">
        <v>34565</v>
      </c>
      <c r="C27452" s="5" t="str">
        <f>IFERROR(__xludf.DUMMYFUNCTION("GOOGLETRANSLATE(B27452,""en"",""es-ES"")"),"Luego lo vemos haciendo varias acrobacias diferentes cuando entra y sale del tráfico.")</f>
        <v>Luego lo vemos haciendo varias acrobacias diferentes cuando entra y sale del tráfico.</v>
      </c>
    </row>
    <row r="27453">
      <c r="A27453" s="4" t="s">
        <v>34566</v>
      </c>
      <c r="B27453" s="4" t="s">
        <v>34567</v>
      </c>
      <c r="C27453" s="5" t="str">
        <f>IFERROR(__xludf.DUMMYFUNCTION("GOOGLETRANSLATE(B27453,""en"",""es-ES"")"),"Se ve a una persona sentada en el borde de una cama con una guitarra.")</f>
        <v>Se ve a una persona sentada en el borde de una cama con una guitarra.</v>
      </c>
    </row>
    <row r="27454">
      <c r="A27454" s="4" t="s">
        <v>34566</v>
      </c>
      <c r="B27454" s="4" t="s">
        <v>34568</v>
      </c>
      <c r="C27454" s="5" t="str">
        <f>IFERROR(__xludf.DUMMYFUNCTION("GOOGLETRANSLATE(B27454,""en"",""es-ES"")"),"La persona comienza a tocar la guitarra mientras mira a la cámara.")</f>
        <v>La persona comienza a tocar la guitarra mientras mira a la cámara.</v>
      </c>
    </row>
    <row r="27455">
      <c r="A27455" s="4" t="s">
        <v>34566</v>
      </c>
      <c r="B27455" s="4" t="s">
        <v>34569</v>
      </c>
      <c r="C27455" s="5" t="str">
        <f>IFERROR(__xludf.DUMMYFUNCTION("GOOGLETRANSLATE(B27455,""en"",""es-ES"")"),"El hombre continúa jugando y deja de mover su mano fuera de cuadro.")</f>
        <v>El hombre continúa jugando y deja de mover su mano fuera de cuadro.</v>
      </c>
    </row>
    <row r="27456">
      <c r="A27456" s="4" t="s">
        <v>34570</v>
      </c>
      <c r="B27456" s="4" t="s">
        <v>34571</v>
      </c>
      <c r="C27456" s="5" t="str">
        <f>IFERROR(__xludf.DUMMYFUNCTION("GOOGLETRANSLATE(B27456,""en"",""es-ES"")"),"Varias personas se muestran en imágenes recopiladas fuera de un edificio.")</f>
        <v>Varias personas se muestran en imágenes recopiladas fuera de un edificio.</v>
      </c>
    </row>
    <row r="27457">
      <c r="A27457" s="4" t="s">
        <v>34570</v>
      </c>
      <c r="B27457" s="4" t="s">
        <v>34572</v>
      </c>
      <c r="C27457" s="5" t="str">
        <f>IFERROR(__xludf.DUMMYFUNCTION("GOOGLETRANSLATE(B27457,""en"",""es-ES"")"),"Dos luchadores de sumo de dibujos animados se dedican a una pelea.")</f>
        <v>Dos luchadores de sumo de dibujos animados se dedican a una pelea.</v>
      </c>
    </row>
    <row r="27458">
      <c r="A27458" s="4" t="s">
        <v>34570</v>
      </c>
      <c r="B27458" s="4" t="s">
        <v>34573</v>
      </c>
      <c r="C27458" s="5" t="str">
        <f>IFERROR(__xludf.DUMMYFUNCTION("GOOGLETRANSLATE(B27458,""en"",""es-ES"")"),"El cuerpo se golpean como un árbitro.")</f>
        <v>El cuerpo se golpean como un árbitro.</v>
      </c>
    </row>
    <row r="27459">
      <c r="A27459" s="4" t="s">
        <v>34574</v>
      </c>
      <c r="B27459" s="4" t="s">
        <v>34575</v>
      </c>
      <c r="C27459" s="5" t="str">
        <f>IFERROR(__xludf.DUMMYFUNCTION("GOOGLETRANSLATE(B27459,""en"",""es-ES"")"),"Los sumos están parados uno frente al otro en un patio de polvo y un vestido de árbitro con traje blanco los está mirando.")</f>
        <v>Los sumos están parados uno frente al otro en un patio de polvo y un vestido de árbitro con traje blanco los está mirando.</v>
      </c>
    </row>
    <row r="27460">
      <c r="A27460" s="4" t="s">
        <v>34574</v>
      </c>
      <c r="B27460" s="4" t="s">
        <v>34576</v>
      </c>
      <c r="C27460" s="5" t="str">
        <f>IFERROR(__xludf.DUMMYFUNCTION("GOOGLETRANSLATE(B27460,""en"",""es-ES"")"),"Los hombres de la lucha libre de estadísticas y uno de ellos si se quitan la cancha.")</f>
        <v>Los hombres de la lucha libre de estadísticas y uno de ellos si se quitan la cancha.</v>
      </c>
    </row>
    <row r="27461">
      <c r="A27461" s="4" t="s">
        <v>34577</v>
      </c>
      <c r="B27461" s="4" t="s">
        <v>34578</v>
      </c>
      <c r="C27461" s="5" t="str">
        <f>IFERROR(__xludf.DUMMYFUNCTION("GOOGLETRANSLATE(B27461,""en"",""es-ES"")"),"Se ven las manos de una persona cortando un trozo de papel con tijeras y luego envolviendo una caja con papel.")</f>
        <v>Se ven las manos de una persona cortando un trozo de papel con tijeras y luego envolviendo una caja con papel.</v>
      </c>
    </row>
    <row r="27462">
      <c r="A27462" s="4" t="s">
        <v>34577</v>
      </c>
      <c r="B27462" s="4" t="s">
        <v>34579</v>
      </c>
      <c r="C27462" s="5" t="str">
        <f>IFERROR(__xludf.DUMMYFUNCTION("GOOGLETRANSLATE(B27462,""en"",""es-ES"")"),"Ella graba el presente y lo ata en un tazón, termina cortando el exceso de cuerda y colocando una etiqueta en la parte superior.")</f>
        <v>Ella graba el presente y lo ata en un tazón, termina cortando el exceso de cuerda y colocando una etiqueta en la parte superior.</v>
      </c>
    </row>
    <row r="27463">
      <c r="A27463" s="4" t="s">
        <v>34580</v>
      </c>
      <c r="B27463" s="4" t="s">
        <v>34581</v>
      </c>
      <c r="C27463" s="5" t="str">
        <f>IFERROR(__xludf.DUMMYFUNCTION("GOOGLETRANSLATE(B27463,""en"",""es-ES"")"),"Se ve a un niño pequeño sentado en el suelo cepillándose el cabello frente a un espejo.")</f>
        <v>Se ve a un niño pequeño sentado en el suelo cepillándose el cabello frente a un espejo.</v>
      </c>
    </row>
    <row r="27464">
      <c r="A27464" s="4" t="s">
        <v>34580</v>
      </c>
      <c r="B27464" s="4" t="s">
        <v>34582</v>
      </c>
      <c r="C27464" s="5" t="str">
        <f>IFERROR(__xludf.DUMMYFUNCTION("GOOGLETRANSLATE(B27464,""en"",""es-ES"")"),"La niña continúa cepillándose el cabello y termina con ella viendo un video y hablando con la cámara.")</f>
        <v>La niña continúa cepillándose el cabello y termina con ella viendo un video y hablando con la cámara.</v>
      </c>
    </row>
    <row r="27465">
      <c r="A27465" s="4" t="s">
        <v>34583</v>
      </c>
      <c r="B27465" s="4" t="s">
        <v>34584</v>
      </c>
      <c r="C27465" s="5" t="str">
        <f>IFERROR(__xludf.DUMMYFUNCTION("GOOGLETRANSLATE(B27465,""en"",""es-ES"")"),"Se ve a dos hombres hablando con la cámara cuando otro entra al marco riendo y se aleja.")</f>
        <v>Se ve a dos hombres hablando con la cámara cuando otro entra al marco riendo y se aleja.</v>
      </c>
    </row>
    <row r="27466">
      <c r="A27466" s="4" t="s">
        <v>34583</v>
      </c>
      <c r="B27466" s="4" t="s">
        <v>34585</v>
      </c>
      <c r="C27466" s="5" t="str">
        <f>IFERROR(__xludf.DUMMYFUNCTION("GOOGLETRANSLATE(B27466,""en"",""es-ES"")"),"Los hombres continúan hablando y luego conducen a un partido de lucha libre entre los dos.")</f>
        <v>Los hombres continúan hablando y luego conducen a un partido de lucha libre entre los dos.</v>
      </c>
    </row>
    <row r="27467">
      <c r="A27467" s="4" t="s">
        <v>34583</v>
      </c>
      <c r="B27467" s="4" t="s">
        <v>34586</v>
      </c>
      <c r="C27467" s="5" t="str">
        <f>IFERROR(__xludf.DUMMYFUNCTION("GOOGLETRANSLATE(B27467,""en"",""es-ES"")"),"Uno late al otro y flexiona los brazos hacia la cámara mientras sonríe.")</f>
        <v>Uno late al otro y flexiona los brazos hacia la cámara mientras sonríe.</v>
      </c>
    </row>
    <row r="27468">
      <c r="A27468" s="4" t="s">
        <v>34587</v>
      </c>
      <c r="B27468" s="4" t="s">
        <v>6935</v>
      </c>
      <c r="C27468" s="5" t="str">
        <f>IFERROR(__xludf.DUMMYFUNCTION("GOOGLETRANSLATE(B27468,""en"",""es-ES"")"),"El texto aparece en la pantalla brevemente.")</f>
        <v>El texto aparece en la pantalla brevemente.</v>
      </c>
    </row>
    <row r="27469">
      <c r="A27469" s="4" t="s">
        <v>34587</v>
      </c>
      <c r="B27469" s="4" t="s">
        <v>34588</v>
      </c>
      <c r="C27469" s="5" t="str">
        <f>IFERROR(__xludf.DUMMYFUNCTION("GOOGLETRANSLATE(B27469,""en"",""es-ES"")"),"Un hombre es el poder lavando una cerca.")</f>
        <v>Un hombre es el poder lavando una cerca.</v>
      </c>
    </row>
    <row r="27470">
      <c r="A27470" s="4" t="s">
        <v>34587</v>
      </c>
      <c r="B27470" s="4" t="s">
        <v>34589</v>
      </c>
      <c r="C27470" s="5" t="str">
        <f>IFERROR(__xludf.DUMMYFUNCTION("GOOGLETRANSLATE(B27470,""en"",""es-ES"")"),"Le corta el poder lavando una sección diferente.")</f>
        <v>Le corta el poder lavando una sección diferente.</v>
      </c>
    </row>
    <row r="27471">
      <c r="A27471" s="4" t="s">
        <v>34587</v>
      </c>
      <c r="B27471" s="4" t="s">
        <v>34590</v>
      </c>
      <c r="C27471" s="5" t="str">
        <f>IFERROR(__xludf.DUMMYFUNCTION("GOOGLETRANSLATE(B27471,""en"",""es-ES"")"),"Se desvanece a un tiro abierto de la cerca.")</f>
        <v>Se desvanece a un tiro abierto de la cerca.</v>
      </c>
    </row>
    <row r="27472">
      <c r="A27472" s="4" t="s">
        <v>34591</v>
      </c>
      <c r="B27472" s="4" t="s">
        <v>34592</v>
      </c>
      <c r="C27472" s="5" t="str">
        <f>IFERROR(__xludf.DUMMYFUNCTION("GOOGLETRANSLATE(B27472,""en"",""es-ES"")"),"Aparecen varias imágenes alternativas de platos de comida.")</f>
        <v>Aparecen varias imágenes alternativas de platos de comida.</v>
      </c>
    </row>
    <row r="27473">
      <c r="A27473" s="4" t="s">
        <v>34591</v>
      </c>
      <c r="B27473" s="4" t="s">
        <v>34593</v>
      </c>
      <c r="C27473" s="5" t="str">
        <f>IFERROR(__xludf.DUMMYFUNCTION("GOOGLETRANSLATE(B27473,""en"",""es-ES"")"),"Comienza una receta para el aderezo griego.")</f>
        <v>Comienza una receta para el aderezo griego.</v>
      </c>
    </row>
    <row r="27474">
      <c r="A27474" s="4" t="s">
        <v>34591</v>
      </c>
      <c r="B27474" s="4" t="s">
        <v>34594</v>
      </c>
      <c r="C27474" s="5" t="str">
        <f>IFERROR(__xludf.DUMMYFUNCTION("GOOGLETRANSLATE(B27474,""en"",""es-ES"")"),"Los ingredientes hechos de polvos y polvos se mezclan y se agitan en un frasco, y se verten en una ensalada.")</f>
        <v>Los ingredientes hechos de polvos y polvos se mezclan y se agitan en un frasco, y se verten en una ensalada.</v>
      </c>
    </row>
    <row r="27475">
      <c r="A27475" s="4" t="s">
        <v>34591</v>
      </c>
      <c r="B27475" s="4" t="s">
        <v>34595</v>
      </c>
      <c r="C27475" s="5" t="str">
        <f>IFERROR(__xludf.DUMMYFUNCTION("GOOGLETRANSLATE(B27475,""en"",""es-ES"")"),"Luego se cubre con bloques de queso.")</f>
        <v>Luego se cubre con bloques de queso.</v>
      </c>
    </row>
    <row r="27476">
      <c r="A27476" s="4" t="s">
        <v>34596</v>
      </c>
      <c r="B27476" s="4" t="s">
        <v>34597</v>
      </c>
      <c r="C27476" s="5" t="str">
        <f>IFERROR(__xludf.DUMMYFUNCTION("GOOGLETRANSLATE(B27476,""en"",""es-ES"")"),"Aparece una pantalla negra y las palabras amarillas aparecen en ellas, leen ""regalos extremos de instrucciones"".")</f>
        <v>Aparece una pantalla negra y las palabras amarillas aparecen en ellas, leen "regalos extremos de instrucciones".</v>
      </c>
    </row>
    <row r="27477">
      <c r="A27477" s="4" t="s">
        <v>34596</v>
      </c>
      <c r="B27477" s="4" t="s">
        <v>34598</v>
      </c>
      <c r="C27477" s="5" t="str">
        <f>IFERROR(__xludf.DUMMYFUNCTION("GOOGLETRANSLATE(B27477,""en"",""es-ES"")"),"La segunda pantalla negra tiene palabras amarillas que leen ""Instalación de baldosas de piso con calefacción"".")</f>
        <v>La segunda pantalla negra tiene palabras amarillas que leen "Instalación de baldosas de piso con calefacción".</v>
      </c>
    </row>
    <row r="27478">
      <c r="A27478" s="4" t="s">
        <v>34596</v>
      </c>
      <c r="B27478" s="4" t="s">
        <v>34599</v>
      </c>
      <c r="C27478" s="5" t="str">
        <f>IFERROR(__xludf.DUMMYFUNCTION("GOOGLETRANSLATE(B27478,""en"",""es-ES"")"),"Un hombre ahora está de pie y habla en la esquina de una casa residencial, vestida con una camisa negra de manga larga, pantalones largos marrones, zapatos y con un sombrero.")</f>
        <v>Un hombre ahora está de pie y habla en la esquina de una casa residencial, vestida con una camisa negra de manga larga, pantalones largos marrones, zapatos y con un sombrero.</v>
      </c>
    </row>
    <row r="27479">
      <c r="A27479" s="4" t="s">
        <v>34596</v>
      </c>
      <c r="B27479" s="4" t="s">
        <v>34600</v>
      </c>
      <c r="C27479" s="5" t="str">
        <f>IFERROR(__xludf.DUMMYFUNCTION("GOOGLETRANSLATE(B27479,""en"",""es-ES"")"),"El hombre se aleja de la esquina y la siguiente vista es de un hombre arrodillado que usa una herramienta para eliminar la moldura de la base de una pared, usando una pistola de perforación, que mide con una regla larga y luego se coloca sobre las piezas "&amp;"de tela grises con algunos cables. adjunto a.")</f>
        <v>El hombre se aleja de la esquina y la siguiente vista es de un hombre arrodillado que usa una herramienta para eliminar la moldura de la base de una pared, usando una pistola de perforación, que mide con una regla larga y luego se coloca sobre las piezas de tela grises con algunos cables. adjunto a.</v>
      </c>
    </row>
    <row r="27480">
      <c r="A27480" s="4" t="s">
        <v>34596</v>
      </c>
      <c r="B27480" s="4" t="s">
        <v>34601</v>
      </c>
      <c r="C27480" s="5" t="str">
        <f>IFERROR(__xludf.DUMMYFUNCTION("GOOGLETRANSLATE(B27480,""en"",""es-ES"")"),"Luego se muestra al hombre presionando botones en una pequeña caja blanca y el hombre ahora apunta a esos cables unidos a esas piezas grises de tela y el hombre comienza a colocar cables en una tubería gris que ahora se muestra en la pared.")</f>
        <v>Luego se muestra al hombre presionando botones en una pequeña caja blanca y el hombre ahora apunta a esos cables unidos a esas piezas grises de tela y el hombre comienza a colocar cables en una tubería gris que ahora se muestra en la pared.</v>
      </c>
    </row>
    <row r="27481">
      <c r="A27481" s="4" t="s">
        <v>34596</v>
      </c>
      <c r="B27481" s="4" t="s">
        <v>34602</v>
      </c>
      <c r="C27481" s="5" t="str">
        <f>IFERROR(__xludf.DUMMYFUNCTION("GOOGLETRANSLATE(B27481,""en"",""es-ES"")"),"El hombre está de vuelta en el suelo con una cinta métrica larga y mide el suelo.")</f>
        <v>El hombre está de vuelta en el suelo con una cinta métrica larga y mide el suelo.</v>
      </c>
    </row>
    <row r="27482">
      <c r="A27482" s="4" t="s">
        <v>34596</v>
      </c>
      <c r="B27482" s="4" t="s">
        <v>34603</v>
      </c>
      <c r="C27482" s="5" t="str">
        <f>IFERROR(__xludf.DUMMYFUNCTION("GOOGLETRANSLATE(B27482,""en"",""es-ES"")"),"El hombre ahora sostiene un mosaico con crestas en los cuatro lados y toma un mazo y una herramienta para golpear suavemente las piezas.")</f>
        <v>El hombre ahora sostiene un mosaico con crestas en los cuatro lados y toma un mazo y una herramienta para golpear suavemente las piezas.</v>
      </c>
    </row>
    <row r="27483">
      <c r="A27483" s="4" t="s">
        <v>34596</v>
      </c>
      <c r="B27483" s="4" t="s">
        <v>34604</v>
      </c>
      <c r="C27483" s="5" t="str">
        <f>IFERROR(__xludf.DUMMYFUNCTION("GOOGLETRANSLATE(B27483,""en"",""es-ES"")"),"Cuando el hombre llega a la pared, usa un lápiz para medir el mosaico, lo lleva a un cortador de baldosas húmedos y lo corta.")</f>
        <v>Cuando el hombre llega a la pared, usa un lápiz para medir el mosaico, lo lleva a un cortador de baldosas húmedos y lo corta.</v>
      </c>
    </row>
    <row r="27484">
      <c r="A27484" s="4" t="s">
        <v>34596</v>
      </c>
      <c r="B27484" s="4" t="s">
        <v>34605</v>
      </c>
      <c r="C27484" s="5" t="str">
        <f>IFERROR(__xludf.DUMMYFUNCTION("GOOGLETRANSLATE(B27484,""en"",""es-ES"")"),"El hombre está de vuelta en la casa y junta un pequeño azulejo cerca de algunos gabinetes, luego el hombre comienza a lechada y usa una esponja grande, húmeda y amarilla para limpiar el exceso de lechada.")</f>
        <v>El hombre está de vuelta en la casa y junta un pequeño azulejo cerca de algunos gabinetes, luego el hombre comienza a lechada y usa una esponja grande, húmeda y amarilla para limpiar el exceso de lechada.</v>
      </c>
    </row>
    <row r="27485">
      <c r="A27485" s="4" t="s">
        <v>34596</v>
      </c>
      <c r="B27485" s="4" t="s">
        <v>34606</v>
      </c>
      <c r="C27485" s="5" t="str">
        <f>IFERROR(__xludf.DUMMYFUNCTION("GOOGLETRANSLATE(B27485,""en"",""es-ES"")"),"El hombre parlante de anteriormente aparece en la esquina que parecen hablar y amarillas en la pantalla que contienen sitios web.")</f>
        <v>El hombre parlante de anteriormente aparece en la esquina que parecen hablar y amarillas en la pantalla que contienen sitios web.</v>
      </c>
    </row>
    <row r="27486">
      <c r="A27486" s="4" t="s">
        <v>34607</v>
      </c>
      <c r="B27486" s="4" t="s">
        <v>34608</v>
      </c>
      <c r="C27486" s="5" t="str">
        <f>IFERROR(__xludf.DUMMYFUNCTION("GOOGLETRANSLATE(B27486,""en"",""es-ES"")"),"Varias mesas se instalan en una habitación grande.")</f>
        <v>Varias mesas se instalan en una habitación grande.</v>
      </c>
    </row>
    <row r="27487">
      <c r="A27487" s="4" t="s">
        <v>34607</v>
      </c>
      <c r="B27487" s="4" t="s">
        <v>34609</v>
      </c>
      <c r="C27487" s="5" t="str">
        <f>IFERROR(__xludf.DUMMYFUNCTION("GOOGLETRANSLATE(B27487,""en"",""es-ES"")"),"Varios grupos están jugando cerveza pong.")</f>
        <v>Varios grupos están jugando cerveza pong.</v>
      </c>
    </row>
    <row r="27488">
      <c r="A27488" s="4" t="s">
        <v>34607</v>
      </c>
      <c r="B27488" s="4" t="s">
        <v>34610</v>
      </c>
      <c r="C27488" s="5" t="str">
        <f>IFERROR(__xludf.DUMMYFUNCTION("GOOGLETRANSLATE(B27488,""en"",""es-ES"")"),"Algunas personas están animando a ganar.")</f>
        <v>Algunas personas están animando a ganar.</v>
      </c>
    </row>
    <row r="27489">
      <c r="A27489" s="4" t="s">
        <v>34607</v>
      </c>
      <c r="B27489" s="4" t="s">
        <v>34611</v>
      </c>
      <c r="C27489" s="5" t="str">
        <f>IFERROR(__xludf.DUMMYFUNCTION("GOOGLETRANSLATE(B27489,""en"",""es-ES"")"),"Otros parecen molestos por perder.")</f>
        <v>Otros parecen molestos por perder.</v>
      </c>
    </row>
    <row r="27490">
      <c r="A27490" s="4" t="s">
        <v>34612</v>
      </c>
      <c r="B27490" s="4" t="s">
        <v>34613</v>
      </c>
      <c r="C27490" s="5" t="str">
        <f>IFERROR(__xludf.DUMMYFUNCTION("GOOGLETRANSLATE(B27490,""en"",""es-ES"")"),"La persona está parasailing, está sosteniendo la vela.")</f>
        <v>La persona está parasailing, está sosteniendo la vela.</v>
      </c>
    </row>
    <row r="27491">
      <c r="A27491" s="4" t="s">
        <v>34612</v>
      </c>
      <c r="B27491" s="4" t="s">
        <v>34614</v>
      </c>
      <c r="C27491" s="5" t="str">
        <f>IFERROR(__xludf.DUMMYFUNCTION("GOOGLETRANSLATE(B27491,""en"",""es-ES"")"),"El hombre está avanzando hacia la isla.")</f>
        <v>El hombre está avanzando hacia la isla.</v>
      </c>
    </row>
    <row r="27492">
      <c r="A27492" s="4" t="s">
        <v>34612</v>
      </c>
      <c r="B27492" s="4" t="s">
        <v>34615</v>
      </c>
      <c r="C27492" s="5" t="str">
        <f>IFERROR(__xludf.DUMMYFUNCTION("GOOGLETRANSLATE(B27492,""en"",""es-ES"")"),"La persona tiene los pies en el tablero de parasail.")</f>
        <v>La persona tiene los pies en el tablero de parasail.</v>
      </c>
    </row>
    <row r="27493">
      <c r="A27493" s="4" t="s">
        <v>34616</v>
      </c>
      <c r="B27493" s="4" t="s">
        <v>34617</v>
      </c>
      <c r="C27493" s="5" t="str">
        <f>IFERROR(__xludf.DUMMYFUNCTION("GOOGLETRANSLATE(B27493,""en"",""es-ES"")"),"Vemos a un hombre y a una mujer jugando al billar.")</f>
        <v>Vemos a un hombre y a una mujer jugando al billar.</v>
      </c>
    </row>
    <row r="27494">
      <c r="A27494" s="4" t="s">
        <v>34616</v>
      </c>
      <c r="B27494" s="4" t="s">
        <v>34618</v>
      </c>
      <c r="C27494" s="5" t="str">
        <f>IFERROR(__xludf.DUMMYFUNCTION("GOOGLETRANSLATE(B27494,""en"",""es-ES"")"),"La señora se turna para disparar la pelota.")</f>
        <v>La señora se turna para disparar la pelota.</v>
      </c>
    </row>
    <row r="27495">
      <c r="A27495" s="4" t="s">
        <v>34616</v>
      </c>
      <c r="B27495" s="4" t="s">
        <v>34619</v>
      </c>
      <c r="C27495" s="5" t="str">
        <f>IFERROR(__xludf.DUMMYFUNCTION("GOOGLETRANSLATE(B27495,""en"",""es-ES"")"),"Vemos flashes de cámara brillantes.")</f>
        <v>Vemos flashes de cámara brillantes.</v>
      </c>
    </row>
    <row r="27496">
      <c r="A27496" s="4" t="s">
        <v>34616</v>
      </c>
      <c r="B27496" s="4" t="s">
        <v>34620</v>
      </c>
      <c r="C27496" s="5" t="str">
        <f>IFERROR(__xludf.DUMMYFUNCTION("GOOGLETRANSLATE(B27496,""en"",""es-ES"")"),"Vemos a la dama tomando las fotos.")</f>
        <v>Vemos a la dama tomando las fotos.</v>
      </c>
    </row>
    <row r="27497">
      <c r="A27497" s="4" t="s">
        <v>34616</v>
      </c>
      <c r="B27497" s="4" t="s">
        <v>34621</v>
      </c>
      <c r="C27497" s="5" t="str">
        <f>IFERROR(__xludf.DUMMYFUNCTION("GOOGLETRANSLATE(B27497,""en"",""es-ES"")"),"La señora le entrega su piscina a un hombre y le da la mano.")</f>
        <v>La señora le entrega su piscina a un hombre y le da la mano.</v>
      </c>
    </row>
    <row r="27498">
      <c r="A27498" s="4" t="s">
        <v>34616</v>
      </c>
      <c r="B27498" s="4" t="s">
        <v>34622</v>
      </c>
      <c r="C27498" s="5" t="str">
        <f>IFERROR(__xludf.DUMMYFUNCTION("GOOGLETRANSLATE(B27498,""en"",""es-ES"")"),"Ella sacude la mano de otro hombre y se va.")</f>
        <v>Ella sacude la mano de otro hombre y se va.</v>
      </c>
    </row>
    <row r="27499">
      <c r="A27499" s="4" t="s">
        <v>34623</v>
      </c>
      <c r="B27499" s="4" t="s">
        <v>34624</v>
      </c>
      <c r="C27499" s="5" t="str">
        <f>IFERROR(__xludf.DUMMYFUNCTION("GOOGLETRANSLATE(B27499,""en"",""es-ES"")"),"Una mujer le sufre la nariz por un hombre sentado detrás de su cabeza.")</f>
        <v>Una mujer le sufre la nariz por un hombre sentado detrás de su cabeza.</v>
      </c>
    </row>
    <row r="27500">
      <c r="A27500" s="4" t="s">
        <v>34623</v>
      </c>
      <c r="B27500" s="4" t="s">
        <v>34625</v>
      </c>
      <c r="C27500" s="5" t="str">
        <f>IFERROR(__xludf.DUMMYFUNCTION("GOOGLETRANSLATE(B27500,""en"",""es-ES"")"),"Él atraviesa su tabique.")</f>
        <v>Él atraviesa su tabique.</v>
      </c>
    </row>
    <row r="27501">
      <c r="A27501" s="4" t="s">
        <v>34623</v>
      </c>
      <c r="B27501" s="4" t="s">
        <v>34626</v>
      </c>
      <c r="C27501" s="5" t="str">
        <f>IFERROR(__xludf.DUMMYFUNCTION("GOOGLETRANSLATE(B27501,""en"",""es-ES"")"),"Lo corta y elimina la abrazadera.")</f>
        <v>Lo corta y elimina la abrazadera.</v>
      </c>
    </row>
    <row r="27502">
      <c r="A27502" s="4" t="s">
        <v>34623</v>
      </c>
      <c r="B27502" s="4" t="s">
        <v>34627</v>
      </c>
      <c r="C27502" s="5" t="str">
        <f>IFERROR(__xludf.DUMMYFUNCTION("GOOGLETRANSLATE(B27502,""en"",""es-ES"")"),"El hombre pone un arete a través del agujero.")</f>
        <v>El hombre pone un arete a través del agujero.</v>
      </c>
    </row>
    <row r="27503">
      <c r="A27503" s="4" t="s">
        <v>34623</v>
      </c>
      <c r="B27503" s="4" t="s">
        <v>34628</v>
      </c>
      <c r="C27503" s="5" t="str">
        <f>IFERROR(__xludf.DUMMYFUNCTION("GOOGLETRANSLATE(B27503,""en"",""es-ES"")"),"Él se pone Qtips en la nariz para atrapar la sangre.")</f>
        <v>Él se pone Qtips en la nariz para atrapar la sangre.</v>
      </c>
    </row>
    <row r="27504">
      <c r="A27504" s="4" t="s">
        <v>34629</v>
      </c>
      <c r="B27504" s="4" t="s">
        <v>34630</v>
      </c>
      <c r="C27504" s="5" t="str">
        <f>IFERROR(__xludf.DUMMYFUNCTION("GOOGLETRANSLATE(B27504,""en"",""es-ES"")"),"Una mujer está sentada en una silla.")</f>
        <v>Una mujer está sentada en una silla.</v>
      </c>
    </row>
    <row r="27505">
      <c r="A27505" s="4" t="s">
        <v>34629</v>
      </c>
      <c r="B27505" s="4" t="s">
        <v>34631</v>
      </c>
      <c r="C27505" s="5" t="str">
        <f>IFERROR(__xludf.DUMMYFUNCTION("GOOGLETRANSLATE(B27505,""en"",""es-ES"")"),"Ella recibe una perforación dérmica en su mejilla.")</f>
        <v>Ella recibe una perforación dérmica en su mejilla.</v>
      </c>
    </row>
    <row r="27506">
      <c r="A27506" s="4" t="s">
        <v>34629</v>
      </c>
      <c r="B27506" s="4" t="s">
        <v>34632</v>
      </c>
      <c r="C27506" s="5" t="str">
        <f>IFERROR(__xludf.DUMMYFUNCTION("GOOGLETRANSLATE(B27506,""en"",""es-ES"")"),"La niña muestra la perforación y las sonrisas.")</f>
        <v>La niña muestra la perforación y las sonrisas.</v>
      </c>
    </row>
    <row r="27507">
      <c r="A27507" s="4" t="s">
        <v>34633</v>
      </c>
      <c r="B27507" s="4" t="s">
        <v>34634</v>
      </c>
      <c r="C27507" s="5" t="str">
        <f>IFERROR(__xludf.DUMMYFUNCTION("GOOGLETRANSLATE(B27507,""en"",""es-ES"")"),"Se ven dos personas usando odios divertidos y parados detrás de una mesa hablando con la cámara.")</f>
        <v>Se ven dos personas usando odios divertidos y parados detrás de una mesa hablando con la cámara.</v>
      </c>
    </row>
    <row r="27508">
      <c r="A27508" s="4" t="s">
        <v>34633</v>
      </c>
      <c r="B27508" s="4" t="s">
        <v>34635</v>
      </c>
      <c r="C27508" s="5" t="str">
        <f>IFERROR(__xludf.DUMMYFUNCTION("GOOGLETRANSLATE(B27508,""en"",""es-ES"")"),"Luego envuelven rápidamente un regalo y muestran un mejor regalo debajo.")</f>
        <v>Luego envuelven rápidamente un regalo y muestran un mejor regalo debajo.</v>
      </c>
    </row>
    <row r="27509">
      <c r="A27509" s="4" t="s">
        <v>34633</v>
      </c>
      <c r="B27509" s="4" t="s">
        <v>34636</v>
      </c>
      <c r="C27509" s="5" t="str">
        <f>IFERROR(__xludf.DUMMYFUNCTION("GOOGLETRANSLATE(B27509,""en"",""es-ES"")"),"Se muestran más tomas de su envoltura mientras se mueven rápidamente y hablan con la cámara.")</f>
        <v>Se muestran más tomas de su envoltura mientras se mueven rápidamente y hablan con la cámara.</v>
      </c>
    </row>
    <row r="27510">
      <c r="A27510" s="4" t="s">
        <v>34637</v>
      </c>
      <c r="B27510" s="4" t="s">
        <v>34638</v>
      </c>
      <c r="C27510" s="5" t="str">
        <f>IFERROR(__xludf.DUMMYFUNCTION("GOOGLETRANSLATE(B27510,""en"",""es-ES"")"),"Se ve a una persona montando en un automóvil que se desplaza a otros mientras sigue a un gran grupo de personas en bicicletas.")</f>
        <v>Se ve a una persona montando en un automóvil que se desplaza a otros mientras sigue a un gran grupo de personas en bicicletas.</v>
      </c>
    </row>
    <row r="27511">
      <c r="A27511" s="4" t="s">
        <v>34637</v>
      </c>
      <c r="B27511" s="4" t="s">
        <v>34639</v>
      </c>
      <c r="C27511" s="5" t="str">
        <f>IFERROR(__xludf.DUMMYFUNCTION("GOOGLETRANSLATE(B27511,""en"",""es-ES"")"),"El conductor le entrega a las personas riegue a un lado, así como para atraerlos para arreglar una bicicleta.")</f>
        <v>El conductor le entrega a las personas riegue a un lado, así como para atraerlos para arreglar una bicicleta.</v>
      </c>
    </row>
    <row r="27512">
      <c r="A27512" s="4" t="s">
        <v>34637</v>
      </c>
      <c r="B27512" s="4" t="s">
        <v>34640</v>
      </c>
      <c r="C27512" s="5" t="str">
        <f>IFERROR(__xludf.DUMMYFUNCTION("GOOGLETRANSLATE(B27512,""en"",""es-ES"")"),"El automóvil continúa siguiendo y ayudando al hombre, así como a detenerse a cambiar una rueda y subir en el automóvil.")</f>
        <v>El automóvil continúa siguiendo y ayudando al hombre, así como a detenerse a cambiar una rueda y subir en el automóvil.</v>
      </c>
    </row>
    <row r="27513">
      <c r="A27513" s="4" t="s">
        <v>34641</v>
      </c>
      <c r="B27513" s="4" t="s">
        <v>34642</v>
      </c>
      <c r="C27513" s="5" t="str">
        <f>IFERROR(__xludf.DUMMYFUNCTION("GOOGLETRANSLATE(B27513,""en"",""es-ES"")"),"Se ve a un hombre mirando de cerca la cámara seguido de una persona que se despierta abordando y realizando varios trucos.")</f>
        <v>Se ve a un hombre mirando de cerca la cámara seguido de una persona que se despierta abordando y realizando varios trucos.</v>
      </c>
    </row>
    <row r="27514">
      <c r="A27514" s="4" t="s">
        <v>34641</v>
      </c>
      <c r="B27514" s="4" t="s">
        <v>34643</v>
      </c>
      <c r="C27514" s="5" t="str">
        <f>IFERROR(__xludf.DUMMYFUNCTION("GOOGLETRANSLATE(B27514,""en"",""es-ES"")"),"Se muestran varios disparos de personas que hacen trucos a lo largo del agua, mientras que el bote los saca del frente.")</f>
        <v>Se muestran varios disparos de personas que hacen trucos a lo largo del agua, mientras que el bote los saca del frente.</v>
      </c>
    </row>
    <row r="27515">
      <c r="A27515" s="4" t="s">
        <v>34644</v>
      </c>
      <c r="B27515" s="4" t="s">
        <v>34645</v>
      </c>
      <c r="C27515" s="5" t="str">
        <f>IFERROR(__xludf.DUMMYFUNCTION("GOOGLETRANSLATE(B27515,""en"",""es-ES"")"),"Se ve a un hombre sosteniendo un trozo de madera y frotándolo mientras habla con la cámara y rocía el esmalte.")</f>
        <v>Se ve a un hombre sosteniendo un trozo de madera y frotándolo mientras habla con la cámara y rocía el esmalte.</v>
      </c>
    </row>
    <row r="27516">
      <c r="A27516" s="4" t="s">
        <v>34644</v>
      </c>
      <c r="B27516" s="4" t="s">
        <v>34646</v>
      </c>
      <c r="C27516" s="5" t="str">
        <f>IFERROR(__xludf.DUMMYFUNCTION("GOOGLETRANSLATE(B27516,""en"",""es-ES"")"),"El hombre limpia el esmalte con un trapo mientras continúa hablando con la cámara y sosteniendo el trozo de madera al final.")</f>
        <v>El hombre limpia el esmalte con un trapo mientras continúa hablando con la cámara y sosteniendo el trozo de madera al final.</v>
      </c>
    </row>
    <row r="27517">
      <c r="A27517" s="4" t="s">
        <v>34647</v>
      </c>
      <c r="B27517" s="4" t="s">
        <v>34648</v>
      </c>
      <c r="C27517" s="5" t="str">
        <f>IFERROR(__xludf.DUMMYFUNCTION("GOOGLETRANSLATE(B27517,""en"",""es-ES"")"),"Las hojas secas de color marrón y amarillo están en el suelo, en la parte superior de la hierba verde.")</f>
        <v>Las hojas secas de color marrón y amarillo están en el suelo, en la parte superior de la hierba verde.</v>
      </c>
    </row>
    <row r="27518">
      <c r="A27518" s="4" t="s">
        <v>34647</v>
      </c>
      <c r="B27518" s="4" t="s">
        <v>34649</v>
      </c>
      <c r="C27518" s="5" t="str">
        <f>IFERROR(__xludf.DUMMYFUNCTION("GOOGLETRANSLATE(B27518,""en"",""es-ES"")"),"Un hombre con un soplador de hojas en la mano comenzó a soplar las hojas hacia el centro del campo.")</f>
        <v>Un hombre con un soplador de hojas en la mano comenzó a soplar las hojas hacia el centro del campo.</v>
      </c>
    </row>
    <row r="27519">
      <c r="A27519" s="4" t="s">
        <v>34647</v>
      </c>
      <c r="B27519" s="4" t="s">
        <v>34650</v>
      </c>
      <c r="C27519" s="5" t="str">
        <f>IFERROR(__xludf.DUMMYFUNCTION("GOOGLETRANSLATE(B27519,""en"",""es-ES"")"),"El hombre sopló las hojas del costado del camino hacia el árbol, mientras que otro hombre con soplador de hojas camina al otro lado de la pasarela.")</f>
        <v>El hombre sopló las hojas del costado del camino hacia el árbol, mientras que otro hombre con soplador de hojas camina al otro lado de la pasarela.</v>
      </c>
    </row>
    <row r="27520">
      <c r="A27520" s="4" t="s">
        <v>34651</v>
      </c>
      <c r="B27520" s="4" t="s">
        <v>34652</v>
      </c>
      <c r="C27520" s="5" t="str">
        <f>IFERROR(__xludf.DUMMYFUNCTION("GOOGLETRANSLATE(B27520,""en"",""es-ES"")"),"Se muestra a un hombre trabajando en una cerca en el patio trasero.")</f>
        <v>Se muestra a un hombre trabajando en una cerca en el patio trasero.</v>
      </c>
    </row>
    <row r="27521">
      <c r="A27521" s="4" t="s">
        <v>34651</v>
      </c>
      <c r="B27521" s="4" t="s">
        <v>34653</v>
      </c>
      <c r="C27521" s="5" t="str">
        <f>IFERROR(__xludf.DUMMYFUNCTION("GOOGLETRANSLATE(B27521,""en"",""es-ES"")"),"El hombre usa un atuendo azul mientras pinta la cerca de madera de un color rojo.")</f>
        <v>El hombre usa un atuendo azul mientras pinta la cerca de madera de un color rojo.</v>
      </c>
    </row>
    <row r="27522">
      <c r="A27522" s="4" t="s">
        <v>34651</v>
      </c>
      <c r="B27522" s="4" t="s">
        <v>34654</v>
      </c>
      <c r="C27522" s="5" t="str">
        <f>IFERROR(__xludf.DUMMYFUNCTION("GOOGLETRANSLATE(B27522,""en"",""es-ES"")"),"El hombre limpia la pintura de las tablas.")</f>
        <v>El hombre limpia la pintura de las tablas.</v>
      </c>
    </row>
    <row r="27523">
      <c r="A27523" s="4" t="s">
        <v>34655</v>
      </c>
      <c r="B27523" s="4" t="s">
        <v>34656</v>
      </c>
      <c r="C27523" s="5" t="str">
        <f>IFERROR(__xludf.DUMMYFUNCTION("GOOGLETRANSLATE(B27523,""en"",""es-ES"")"),"Se ve a un hombre hablando con la cámara mientras pone una caja alrededor de un papel.")</f>
        <v>Se ve a un hombre hablando con la cámara mientras pone una caja alrededor de un papel.</v>
      </c>
    </row>
    <row r="27524">
      <c r="A27524" s="4" t="s">
        <v>34655</v>
      </c>
      <c r="B27524" s="4" t="s">
        <v>34657</v>
      </c>
      <c r="C27524" s="5" t="str">
        <f>IFERROR(__xludf.DUMMYFUNCTION("GOOGLETRANSLATE(B27524,""en"",""es-ES"")"),"Envuelve la caja en papel mientras usa tijeras para cortar los lados.")</f>
        <v>Envuelve la caja en papel mientras usa tijeras para cortar los lados.</v>
      </c>
    </row>
    <row r="27525">
      <c r="A27525" s="4" t="s">
        <v>34655</v>
      </c>
      <c r="B27525" s="4" t="s">
        <v>34658</v>
      </c>
      <c r="C27525" s="5" t="str">
        <f>IFERROR(__xludf.DUMMYFUNCTION("GOOGLETRANSLATE(B27525,""en"",""es-ES"")"),"El hombre graba la caja y se la presenta a la cámara.")</f>
        <v>El hombre graba la caja y se la presenta a la cámara.</v>
      </c>
    </row>
    <row r="27526">
      <c r="A27526" s="4" t="s">
        <v>34659</v>
      </c>
      <c r="B27526" s="4" t="s">
        <v>34660</v>
      </c>
      <c r="C27526" s="5" t="str">
        <f>IFERROR(__xludf.DUMMYFUNCTION("GOOGLETRANSLATE(B27526,""en"",""es-ES"")"),"Un presentador de noticias está parado detrás de una mesa con papeles que hablan mientras un hombre está nadando en la pantalla de televisión detrás de él.")</f>
        <v>Un presentador de noticias está parado detrás de una mesa con papeles que hablan mientras un hombre está nadando en la pantalla de televisión detrás de él.</v>
      </c>
    </row>
    <row r="27527">
      <c r="A27527" s="4" t="s">
        <v>34659</v>
      </c>
      <c r="B27527" s="4" t="s">
        <v>34661</v>
      </c>
      <c r="C27527" s="5" t="str">
        <f>IFERROR(__xludf.DUMMYFUNCTION("GOOGLETRANSLATE(B27527,""en"",""es-ES"")"),"Después, un grupo de personas está en una piscina jugando un juego de waterpolo haciendo goles.")</f>
        <v>Después, un grupo de personas está en una piscina jugando un juego de waterpolo haciendo goles.</v>
      </c>
    </row>
    <row r="27528">
      <c r="A27528" s="4" t="s">
        <v>34659</v>
      </c>
      <c r="B27528" s="4" t="s">
        <v>34662</v>
      </c>
      <c r="C27528" s="5" t="str">
        <f>IFERROR(__xludf.DUMMYFUNCTION("GOOGLETRANSLATE(B27528,""en"",""es-ES"")"),"Luego se muestra un entrenador en un pasillo mientras la gente regresa y continúa jugando antes de un juego de fútbol y luego se muestra.")</f>
        <v>Luego se muestra un entrenador en un pasillo mientras la gente regresa y continúa jugando antes de un juego de fútbol y luego se muestra.</v>
      </c>
    </row>
    <row r="27529">
      <c r="A27529" s="4" t="s">
        <v>34663</v>
      </c>
      <c r="B27529" s="4" t="s">
        <v>34664</v>
      </c>
      <c r="C27529" s="5" t="str">
        <f>IFERROR(__xludf.DUMMYFUNCTION("GOOGLETRANSLATE(B27529,""en"",""es-ES"")"),"Se ve a una niña saltando a los artículos en agua y fregando una sartén con un cepillo.")</f>
        <v>Se ve a una niña saltando a los artículos en agua y fregando una sartén con un cepillo.</v>
      </c>
    </row>
    <row r="27530">
      <c r="A27530" s="4" t="s">
        <v>34663</v>
      </c>
      <c r="B27530" s="4" t="s">
        <v>34665</v>
      </c>
      <c r="C27530" s="5" t="str">
        <f>IFERROR(__xludf.DUMMYFUNCTION("GOOGLETRANSLATE(B27530,""en"",""es-ES"")"),"Ella continúa hablando con la cámara y en la sartén y demostrando cómo limpiar adecuadamente una sartén.")</f>
        <v>Ella continúa hablando con la cámara y en la sartén y demostrando cómo limpiar adecuadamente una sartén.</v>
      </c>
    </row>
    <row r="27531">
      <c r="A27531" s="4" t="s">
        <v>34666</v>
      </c>
      <c r="B27531" s="4" t="s">
        <v>34667</v>
      </c>
      <c r="C27531" s="5" t="str">
        <f>IFERROR(__xludf.DUMMYFUNCTION("GOOGLETRANSLATE(B27531,""en"",""es-ES"")"),"Una cámara se mueve alrededor de un bosque y conduce a una cuerda atada a un árbol.")</f>
        <v>Una cámara se mueve alrededor de un bosque y conduce a una cuerda atada a un árbol.</v>
      </c>
    </row>
    <row r="27532">
      <c r="A27532" s="4" t="s">
        <v>34666</v>
      </c>
      <c r="B27532" s="4" t="s">
        <v>34668</v>
      </c>
      <c r="C27532" s="5" t="str">
        <f>IFERROR(__xludf.DUMMYFUNCTION("GOOGLETRANSLATE(B27532,""en"",""es-ES"")"),"Se ve a una persona apretando la cuerda seguida de caminar a lo largo de la cuerda.")</f>
        <v>Se ve a una persona apretando la cuerda seguida de caminar a lo largo de la cuerda.</v>
      </c>
    </row>
    <row r="27533">
      <c r="A27533" s="4" t="s">
        <v>34666</v>
      </c>
      <c r="B27533" s="4" t="s">
        <v>34669</v>
      </c>
      <c r="C27533" s="5" t="str">
        <f>IFERROR(__xludf.DUMMYFUNCTION("GOOGLETRANSLATE(B27533,""en"",""es-ES"")"),"Se ve a varias personas caminando por la cuerda, así como rebotando y realizando trucos.")</f>
        <v>Se ve a varias personas caminando por la cuerda, así como rebotando y realizando trucos.</v>
      </c>
    </row>
    <row r="27534">
      <c r="A27534" s="4" t="s">
        <v>34670</v>
      </c>
      <c r="B27534" s="4" t="s">
        <v>34671</v>
      </c>
      <c r="C27534" s="5" t="str">
        <f>IFERROR(__xludf.DUMMYFUNCTION("GOOGLETRANSLATE(B27534,""en"",""es-ES"")"),"Vemos a una chica en oro haciendo una rutina de batón.")</f>
        <v>Vemos a una chica en oro haciendo una rutina de batón.</v>
      </c>
    </row>
    <row r="27535">
      <c r="A27535" s="4" t="s">
        <v>34670</v>
      </c>
      <c r="B27535" s="4" t="s">
        <v>34672</v>
      </c>
      <c r="C27535" s="5" t="str">
        <f>IFERROR(__xludf.DUMMYFUNCTION("GOOGLETRANSLATE(B27535,""en"",""es-ES"")"),"La niña hace un flip.")</f>
        <v>La niña hace un flip.</v>
      </c>
    </row>
    <row r="27536">
      <c r="A27536" s="4" t="s">
        <v>34670</v>
      </c>
      <c r="B27536" s="4" t="s">
        <v>34673</v>
      </c>
      <c r="C27536" s="5" t="str">
        <f>IFERROR(__xludf.DUMMYFUNCTION("GOOGLETRANSLATE(B27536,""en"",""es-ES"")"),"Las chicas giran repetidamente y atrapan su bastón.")</f>
        <v>Las chicas giran repetidamente y atrapan su bastón.</v>
      </c>
    </row>
    <row r="27537">
      <c r="A27537" s="4" t="s">
        <v>34670</v>
      </c>
      <c r="B27537" s="4" t="s">
        <v>34674</v>
      </c>
      <c r="C27537" s="5" t="str">
        <f>IFERROR(__xludf.DUMMYFUNCTION("GOOGLETRANSLATE(B27537,""en"",""es-ES"")"),"La niña gira y dos bastones entran y ella agarra a cada una.")</f>
        <v>La niña gira y dos bastones entran y ella agarra a cada una.</v>
      </c>
    </row>
    <row r="27538">
      <c r="A27538" s="4" t="s">
        <v>34670</v>
      </c>
      <c r="B27538" s="4" t="s">
        <v>34675</v>
      </c>
      <c r="C27538" s="5" t="str">
        <f>IFERROR(__xludf.DUMMYFUNCTION("GOOGLETRANSLATE(B27538,""en"",""es-ES"")"),"La niña gira, atrapa su bastón y posa para su final mientras la multitud aplaude.")</f>
        <v>La niña gira, atrapa su bastón y posa para su final mientras la multitud aplaude.</v>
      </c>
    </row>
    <row r="27539">
      <c r="A27539" s="4" t="s">
        <v>34676</v>
      </c>
      <c r="B27539" s="4" t="s">
        <v>34677</v>
      </c>
      <c r="C27539" s="5" t="str">
        <f>IFERROR(__xludf.DUMMYFUNCTION("GOOGLETRANSLATE(B27539,""en"",""es-ES"")"),"Una persona está rastrando hojas en una pila.")</f>
        <v>Una persona está rastrando hojas en una pila.</v>
      </c>
    </row>
    <row r="27540">
      <c r="A27540" s="4" t="s">
        <v>34676</v>
      </c>
      <c r="B27540" s="4" t="s">
        <v>34678</v>
      </c>
      <c r="C27540" s="5" t="str">
        <f>IFERROR(__xludf.DUMMYFUNCTION("GOOGLETRANSLATE(B27540,""en"",""es-ES"")"),"Un niño está recogiendo las hojas y jugando en la pila.")</f>
        <v>Un niño está recogiendo las hojas y jugando en la pila.</v>
      </c>
    </row>
    <row r="27541">
      <c r="A27541" s="4" t="s">
        <v>34676</v>
      </c>
      <c r="B27541" s="4" t="s">
        <v>34679</v>
      </c>
      <c r="C27541" s="5" t="str">
        <f>IFERROR(__xludf.DUMMYFUNCTION("GOOGLETRANSLATE(B27541,""en"",""es-ES"")"),"El niño recoge un rastrillo y comienza a rastrillar las hojas.")</f>
        <v>El niño recoge un rastrillo y comienza a rastrillar las hojas.</v>
      </c>
    </row>
    <row r="27542">
      <c r="A27542" s="4" t="s">
        <v>34680</v>
      </c>
      <c r="B27542" s="4" t="s">
        <v>34681</v>
      </c>
      <c r="C27542" s="5" t="str">
        <f>IFERROR(__xludf.DUMMYFUNCTION("GOOGLETRANSLATE(B27542,""en"",""es-ES"")"),"Hay una niña con un suéter marrón tocando el violín.")</f>
        <v>Hay una niña con un suéter marrón tocando el violín.</v>
      </c>
    </row>
    <row r="27543">
      <c r="A27543" s="4" t="s">
        <v>34680</v>
      </c>
      <c r="B27543" s="4" t="s">
        <v>34682</v>
      </c>
      <c r="C27543" s="5" t="str">
        <f>IFERROR(__xludf.DUMMYFUNCTION("GOOGLETRANSLATE(B27543,""en"",""es-ES"")"),"Ella ataca el violín con su mano izquierda mientras usa el palo de arco con su mano derecha.")</f>
        <v>Ella ataca el violín con su mano izquierda mientras usa el palo de arco con su mano derecha.</v>
      </c>
    </row>
    <row r="27544">
      <c r="A27544" s="4" t="s">
        <v>34680</v>
      </c>
      <c r="B27544" s="4" t="s">
        <v>34683</v>
      </c>
      <c r="C27544" s="5" t="str">
        <f>IFERROR(__xludf.DUMMYFUNCTION("GOOGLETRANSLATE(B27544,""en"",""es-ES"")"),"Ella continúa tocando su melodía en el violín con una concentración completa sin detenerse.")</f>
        <v>Ella continúa tocando su melodía en el violín con una concentración completa sin detenerse.</v>
      </c>
    </row>
    <row r="27545">
      <c r="A27545" s="4" t="s">
        <v>34680</v>
      </c>
      <c r="B27545" s="4" t="s">
        <v>34684</v>
      </c>
      <c r="C27545" s="5" t="str">
        <f>IFERROR(__xludf.DUMMYFUNCTION("GOOGLETRANSLATE(B27545,""en"",""es-ES"")"),"Ella constantemente mira el violín mientras toca las notas.")</f>
        <v>Ella constantemente mira el violín mientras toca las notas.</v>
      </c>
    </row>
    <row r="27546">
      <c r="A27546" s="4" t="s">
        <v>34680</v>
      </c>
      <c r="B27546" s="4" t="s">
        <v>34685</v>
      </c>
      <c r="C27546" s="5" t="str">
        <f>IFERROR(__xludf.DUMMYFUNCTION("GOOGLETRANSLATE(B27546,""en"",""es-ES"")"),"Después de que ella termina de tocar el violín, sonríe y se aleja.")</f>
        <v>Después de que ella termina de tocar el violín, sonríe y se aleja.</v>
      </c>
    </row>
    <row r="27547">
      <c r="A27547" s="4" t="s">
        <v>34686</v>
      </c>
      <c r="B27547" s="4" t="s">
        <v>34687</v>
      </c>
      <c r="C27547" s="5" t="str">
        <f>IFERROR(__xludf.DUMMYFUNCTION("GOOGLETRANSLATE(B27547,""en"",""es-ES"")"),"Se muestra un video de las uñas de los pies de recorte de un gato.")</f>
        <v>Se muestra un video de las uñas de los pies de recorte de un gato.</v>
      </c>
    </row>
    <row r="27548">
      <c r="A27548" s="4" t="s">
        <v>34686</v>
      </c>
      <c r="B27548" s="4" t="s">
        <v>34688</v>
      </c>
      <c r="C27548" s="5" t="str">
        <f>IFERROR(__xludf.DUMMYFUNCTION("GOOGLETRANSLATE(B27548,""en"",""es-ES"")"),"Cada pata es agarrada y la uña se empuja y se recorta.")</f>
        <v>Cada pata es agarrada y la uña se empuja y se recorta.</v>
      </c>
    </row>
    <row r="27549">
      <c r="A27549" s="4" t="s">
        <v>34686</v>
      </c>
      <c r="B27549" s="4" t="s">
        <v>34689</v>
      </c>
      <c r="C27549" s="5" t="str">
        <f>IFERROR(__xludf.DUMMYFUNCTION("GOOGLETRANSLATE(B27549,""en"",""es-ES"")"),"El gato está extrañamente tranquilo todo el tiempo.")</f>
        <v>El gato está extrañamente tranquilo todo el tiempo.</v>
      </c>
    </row>
    <row r="27550">
      <c r="A27550" s="4" t="s">
        <v>34690</v>
      </c>
      <c r="B27550" s="4" t="s">
        <v>34691</v>
      </c>
      <c r="C27550" s="5" t="str">
        <f>IFERROR(__xludf.DUMMYFUNCTION("GOOGLETRANSLATE(B27550,""en"",""es-ES"")"),"Un hombre camina en una habitación.")</f>
        <v>Un hombre camina en una habitación.</v>
      </c>
    </row>
    <row r="27551">
      <c r="A27551" s="4" t="s">
        <v>34690</v>
      </c>
      <c r="B27551" s="4" t="s">
        <v>34692</v>
      </c>
      <c r="C27551" s="5" t="str">
        <f>IFERROR(__xludf.DUMMYFUNCTION("GOOGLETRANSLATE(B27551,""en"",""es-ES"")"),"Una niña está bailando frente a un espejo en la habitación.")</f>
        <v>Una niña está bailando frente a un espejo en la habitación.</v>
      </c>
    </row>
    <row r="27552">
      <c r="A27552" s="4" t="s">
        <v>34690</v>
      </c>
      <c r="B27552" s="4" t="s">
        <v>34693</v>
      </c>
      <c r="C27552" s="5" t="str">
        <f>IFERROR(__xludf.DUMMYFUNCTION("GOOGLETRANSLATE(B27552,""en"",""es-ES"")"),"La mira desde fuera de la habitación.")</f>
        <v>La mira desde fuera de la habitación.</v>
      </c>
    </row>
    <row r="27553">
      <c r="A27553" s="4" t="s">
        <v>34694</v>
      </c>
      <c r="B27553" s="4" t="s">
        <v>1487</v>
      </c>
      <c r="C27553" s="5" t="str">
        <f>IFERROR(__xludf.DUMMYFUNCTION("GOOGLETRANSLATE(B27553,""en"",""es-ES"")"),"Vemos una pantalla de título de apertura.")</f>
        <v>Vemos una pantalla de título de apertura.</v>
      </c>
    </row>
    <row r="27554">
      <c r="A27554" s="4" t="s">
        <v>34694</v>
      </c>
      <c r="B27554" s="4" t="s">
        <v>34695</v>
      </c>
      <c r="C27554" s="5" t="str">
        <f>IFERROR(__xludf.DUMMYFUNCTION("GOOGLETRANSLATE(B27554,""en"",""es-ES"")"),"Hay un programa de televisión en blanco y negro con dos hombres en un escenario hablando y riendo.")</f>
        <v>Hay un programa de televisión en blanco y negro con dos hombres en un escenario hablando y riendo.</v>
      </c>
    </row>
    <row r="27555">
      <c r="A27555" s="4" t="s">
        <v>34694</v>
      </c>
      <c r="B27555" s="4" t="s">
        <v>34696</v>
      </c>
      <c r="C27555" s="5" t="str">
        <f>IFERROR(__xludf.DUMMYFUNCTION("GOOGLETRANSLATE(B27555,""en"",""es-ES"")"),"El hombre correcto se levanta y camina hacia un piano.")</f>
        <v>El hombre correcto se levanta y camina hacia un piano.</v>
      </c>
    </row>
    <row r="27556">
      <c r="A27556" s="4" t="s">
        <v>34694</v>
      </c>
      <c r="B27556" s="4" t="s">
        <v>34697</v>
      </c>
      <c r="C27556" s="5" t="str">
        <f>IFERROR(__xludf.DUMMYFUNCTION("GOOGLETRANSLATE(B27556,""en"",""es-ES"")"),"El hombre toca un piano de cola.")</f>
        <v>El hombre toca un piano de cola.</v>
      </c>
    </row>
    <row r="27557">
      <c r="A27557" s="4" t="s">
        <v>34694</v>
      </c>
      <c r="B27557" s="4" t="s">
        <v>34698</v>
      </c>
      <c r="C27557" s="5" t="str">
        <f>IFERROR(__xludf.DUMMYFUNCTION("GOOGLETRANSLATE(B27557,""en"",""es-ES"")"),"El hombre termina y se pone de pie.")</f>
        <v>El hombre termina y se pone de pie.</v>
      </c>
    </row>
    <row r="27558">
      <c r="A27558" s="4" t="s">
        <v>34694</v>
      </c>
      <c r="B27558" s="4" t="s">
        <v>19328</v>
      </c>
      <c r="C27558" s="5" t="str">
        <f>IFERROR(__xludf.DUMMYFUNCTION("GOOGLETRANSLATE(B27558,""en"",""es-ES"")"),"Vemos a la multitud aplaudiendo.")</f>
        <v>Vemos a la multitud aplaudiendo.</v>
      </c>
    </row>
    <row r="27559">
      <c r="A27559" s="4" t="s">
        <v>34694</v>
      </c>
      <c r="B27559" s="4" t="s">
        <v>34699</v>
      </c>
      <c r="C27559" s="5" t="str">
        <f>IFERROR(__xludf.DUMMYFUNCTION("GOOGLETRANSLATE(B27559,""en"",""es-ES"")"),"Los hombres se dan la mano y el pianista se aleja y el anfitrión habla un poco.")</f>
        <v>Los hombres se dan la mano y el pianista se aleja y el anfitrión habla un poco.</v>
      </c>
    </row>
    <row r="27560">
      <c r="A27560" s="4" t="s">
        <v>34700</v>
      </c>
      <c r="B27560" s="4" t="s">
        <v>34701</v>
      </c>
      <c r="C27560" s="5" t="str">
        <f>IFERROR(__xludf.DUMMYFUNCTION("GOOGLETRANSLATE(B27560,""en"",""es-ES"")"),"Se ve a un atleta agitando las manos a la multitud y aplaudiendo seguido de él corriendo sobre una viga.")</f>
        <v>Se ve a un atleta agitando las manos a la multitud y aplaudiendo seguido de él corriendo sobre una viga.</v>
      </c>
    </row>
    <row r="27561">
      <c r="A27561" s="4" t="s">
        <v>34700</v>
      </c>
      <c r="B27561" s="4" t="s">
        <v>34702</v>
      </c>
      <c r="C27561" s="5" t="str">
        <f>IFERROR(__xludf.DUMMYFUNCTION("GOOGLETRANSLATE(B27561,""en"",""es-ES"")"),"Su mismo disparo se muestra nuevamente en cámara lenta y se ve hablando con un hombre.")</f>
        <v>Su mismo disparo se muestra nuevamente en cámara lenta y se ve hablando con un hombre.</v>
      </c>
    </row>
    <row r="27562">
      <c r="A27562" s="4" t="s">
        <v>34703</v>
      </c>
      <c r="B27562" s="4" t="s">
        <v>34704</v>
      </c>
      <c r="C27562" s="5" t="str">
        <f>IFERROR(__xludf.DUMMYFUNCTION("GOOGLETRANSLATE(B27562,""en"",""es-ES"")"),"Un grupo de hombres jóvenes está en una cocina, jugando un juego de cerveza pong.")</f>
        <v>Un grupo de hombres jóvenes está en una cocina, jugando un juego de cerveza pong.</v>
      </c>
    </row>
    <row r="27563">
      <c r="A27563" s="4" t="s">
        <v>34703</v>
      </c>
      <c r="B27563" s="4" t="s">
        <v>34705</v>
      </c>
      <c r="C27563" s="5" t="str">
        <f>IFERROR(__xludf.DUMMYFUNCTION("GOOGLETRANSLATE(B27563,""en"",""es-ES"")"),"Animan mientras llevan la pelota a una taza.")</f>
        <v>Animan mientras llevan la pelota a una taza.</v>
      </c>
    </row>
    <row r="27564">
      <c r="A27564" s="4" t="s">
        <v>34703</v>
      </c>
      <c r="B27564" s="4" t="s">
        <v>34706</v>
      </c>
      <c r="C27564" s="5" t="str">
        <f>IFERROR(__xludf.DUMMYFUNCTION("GOOGLETRANSLATE(B27564,""en"",""es-ES"")"),"Aparece una mujer y recoge una de las tazas.")</f>
        <v>Aparece una mujer y recoge una de las tazas.</v>
      </c>
    </row>
    <row r="27565">
      <c r="A27565" s="4" t="s">
        <v>34707</v>
      </c>
      <c r="B27565" s="4" t="s">
        <v>34708</v>
      </c>
      <c r="C27565" s="5" t="str">
        <f>IFERROR(__xludf.DUMMYFUNCTION("GOOGLETRANSLATE(B27565,""en"",""es-ES"")"),"Dos niños a una edad temprana están jugando fooseball entre sí.")</f>
        <v>Dos niños a una edad temprana están jugando fooseball entre sí.</v>
      </c>
    </row>
    <row r="27566">
      <c r="A27566" s="4" t="s">
        <v>34707</v>
      </c>
      <c r="B27566" s="4" t="s">
        <v>34709</v>
      </c>
      <c r="C27566" s="5" t="str">
        <f>IFERROR(__xludf.DUMMYFUNCTION("GOOGLETRANSLATE(B27566,""en"",""es-ES"")"),"Uno agarra la pelota y la vuelve a jugar.")</f>
        <v>Uno agarra la pelota y la vuelve a jugar.</v>
      </c>
    </row>
    <row r="27567">
      <c r="A27567" s="4" t="s">
        <v>34707</v>
      </c>
      <c r="B27567" s="4" t="s">
        <v>34710</v>
      </c>
      <c r="C27567" s="5" t="str">
        <f>IFERROR(__xludf.DUMMYFUNCTION("GOOGLETRANSLATE(B27567,""en"",""es-ES"")"),"Los muchachos continúan jugando el juego y el cuarto en las pestañas.")</f>
        <v>Los muchachos continúan jugando el juego y el cuarto en las pestañas.</v>
      </c>
    </row>
    <row r="27568">
      <c r="A27568" s="4" t="s">
        <v>34711</v>
      </c>
      <c r="B27568" s="4" t="s">
        <v>34712</v>
      </c>
      <c r="C27568" s="5" t="str">
        <f>IFERROR(__xludf.DUMMYFUNCTION("GOOGLETRANSLATE(B27568,""en"",""es-ES"")"),"Una cámara se mueve alrededor de un patio que conduce a un rastrillo sentado contra un bote de basura.")</f>
        <v>Una cámara se mueve alrededor de un patio que conduce a un rastrillo sentado contra un bote de basura.</v>
      </c>
    </row>
    <row r="27569">
      <c r="A27569" s="4" t="s">
        <v>34711</v>
      </c>
      <c r="B27569" s="4" t="s">
        <v>34713</v>
      </c>
      <c r="C27569" s="5" t="str">
        <f>IFERROR(__xludf.DUMMYFUNCTION("GOOGLETRANSLATE(B27569,""en"",""es-ES"")"),"Se ve a un hombre estirarse hacia la distancia y comienza a rastrillar las hojas.")</f>
        <v>Se ve a un hombre estirarse hacia la distancia y comienza a rastrillar las hojas.</v>
      </c>
    </row>
    <row r="27570">
      <c r="A27570" s="4" t="s">
        <v>34711</v>
      </c>
      <c r="B27570" s="4" t="s">
        <v>34714</v>
      </c>
      <c r="C27570" s="5" t="str">
        <f>IFERROR(__xludf.DUMMYFUNCTION("GOOGLETRANSLATE(B27570,""en"",""es-ES"")"),"Él recoge las hojas y las arroja a la basura, así como a una manta y entregándolas a una niña.")</f>
        <v>Él recoge las hojas y las arroja a la basura, así como a una manta y entregándolas a una niña.</v>
      </c>
    </row>
    <row r="27571">
      <c r="A27571" s="4" t="s">
        <v>34715</v>
      </c>
      <c r="B27571" s="4" t="s">
        <v>34716</v>
      </c>
      <c r="C27571" s="5" t="str">
        <f>IFERROR(__xludf.DUMMYFUNCTION("GOOGLETRANSLATE(B27571,""en"",""es-ES"")"),"Una colección de patinetas se alineó en una calle en la posición ascendente sobre sus ruedas y al revés en la plataforma.")</f>
        <v>Una colección de patinetas se alineó en una calle en la posición ascendente sobre sus ruedas y al revés en la plataforma.</v>
      </c>
    </row>
    <row r="27572">
      <c r="A27572" s="4" t="s">
        <v>34715</v>
      </c>
      <c r="B27572" s="4" t="s">
        <v>34717</v>
      </c>
      <c r="C27572" s="5" t="str">
        <f>IFERROR(__xludf.DUMMYFUNCTION("GOOGLETRANSLATE(B27572,""en"",""es-ES"")"),"Un patinador con patines de casco blanco seguido por otro patinador, mientras que la cámara acompaña a un grupo de espectadores de skateboarder que miran desde la calle.")</f>
        <v>Un patinador con patines de casco blanco seguido por otro patinador, mientras que la cámara acompaña a un grupo de espectadores de skateboarder que miran desde la calle.</v>
      </c>
    </row>
    <row r="27573">
      <c r="A27573" s="4" t="s">
        <v>34715</v>
      </c>
      <c r="B27573" s="4" t="s">
        <v>34718</v>
      </c>
      <c r="C27573" s="5" t="str">
        <f>IFERROR(__xludf.DUMMYFUNCTION("GOOGLETRANSLATE(B27573,""en"",""es-ES"")"),"Un grupo de skaters realiza trucos y maniobras por la calle.")</f>
        <v>Un grupo de skaters realiza trucos y maniobras por la calle.</v>
      </c>
    </row>
    <row r="27574">
      <c r="A27574" s="4" t="s">
        <v>34715</v>
      </c>
      <c r="B27574" s="4" t="s">
        <v>34719</v>
      </c>
      <c r="C27574" s="5" t="str">
        <f>IFERROR(__xludf.DUMMYFUNCTION("GOOGLETRANSLATE(B27574,""en"",""es-ES"")"),"Una vista de un vehículo cargado de patinetas y equipos de skateboard.")</f>
        <v>Una vista de un vehículo cargado de patinetas y equipos de skateboard.</v>
      </c>
    </row>
    <row r="27575">
      <c r="A27575" s="4" t="s">
        <v>34715</v>
      </c>
      <c r="B27575" s="4" t="s">
        <v>34720</v>
      </c>
      <c r="C27575" s="5" t="str">
        <f>IFERROR(__xludf.DUMMYFUNCTION("GOOGLETRANSLATE(B27575,""en"",""es-ES"")"),"Otra vista de las patinetas se alineó en la calle en posición vertical.")</f>
        <v>Otra vista de las patinetas se alineó en la calle en posición vertical.</v>
      </c>
    </row>
    <row r="27576">
      <c r="A27576" s="4" t="s">
        <v>34715</v>
      </c>
      <c r="B27576" s="4" t="s">
        <v>34721</v>
      </c>
      <c r="C27576" s="5" t="str">
        <f>IFERROR(__xludf.DUMMYFUNCTION("GOOGLETRANSLATE(B27576,""en"",""es-ES"")"),"Los espectadores observan desde la calle Curbe mientras un grupo de skaters se turna para patinar cuesta abajo y hacer una fuerte parada de giro en un lugar designado.")</f>
        <v>Los espectadores observan desde la calle Curbe mientras un grupo de skaters se turna para patinar cuesta abajo y hacer una fuerte parada de giro en un lugar designado.</v>
      </c>
    </row>
    <row r="27577">
      <c r="A27577" s="4" t="s">
        <v>34722</v>
      </c>
      <c r="B27577" s="4" t="s">
        <v>34723</v>
      </c>
      <c r="C27577" s="5" t="str">
        <f>IFERROR(__xludf.DUMMYFUNCTION("GOOGLETRANSLATE(B27577,""en"",""es-ES"")"),"La mujer camina en un patio trasero verde.")</f>
        <v>La mujer camina en un patio trasero verde.</v>
      </c>
    </row>
    <row r="27578">
      <c r="A27578" s="4" t="s">
        <v>34722</v>
      </c>
      <c r="B27578" s="4" t="s">
        <v>34724</v>
      </c>
      <c r="C27578" s="5" t="str">
        <f>IFERROR(__xludf.DUMMYFUNCTION("GOOGLETRANSLATE(B27578,""en"",""es-ES"")"),"El hombre está de pie en un Bacyard frente a una cerca con una máquina frente a él.")</f>
        <v>El hombre está de pie en un Bacyard frente a una cerca con una máquina frente a él.</v>
      </c>
    </row>
    <row r="27579">
      <c r="A27579" s="4" t="s">
        <v>34722</v>
      </c>
      <c r="B27579" s="4" t="s">
        <v>34725</v>
      </c>
      <c r="C27579" s="5" t="str">
        <f>IFERROR(__xludf.DUMMYFUNCTION("GOOGLETRANSLATE(B27579,""en"",""es-ES"")"),"La mujer está en el patio trasero y un hombre está detrás de ella usando una cortadora de césped para cortar la hierba.")</f>
        <v>La mujer está en el patio trasero y un hombre está detrás de ella usando una cortadora de césped para cortar la hierba.</v>
      </c>
    </row>
    <row r="27580">
      <c r="A27580" s="4" t="s">
        <v>34722</v>
      </c>
      <c r="B27580" s="4" t="s">
        <v>34726</v>
      </c>
      <c r="C27580" s="5" t="str">
        <f>IFERROR(__xludf.DUMMYFUNCTION("GOOGLETRANSLATE(B27580,""en"",""es-ES"")"),"El hombre camina con algunas bolsas de plástico blancas en la tela.")</f>
        <v>El hombre camina con algunas bolsas de plástico blancas en la tela.</v>
      </c>
    </row>
    <row r="27581">
      <c r="A27581" s="4" t="s">
        <v>34727</v>
      </c>
      <c r="B27581" s="4" t="s">
        <v>34728</v>
      </c>
      <c r="C27581" s="5" t="str">
        <f>IFERROR(__xludf.DUMMYFUNCTION("GOOGLETRANSLATE(B27581,""en"",""es-ES"")"),"Un anciano arrojó la bola amarilla en la taza y se recuperó sobre la mesa.")</f>
        <v>Un anciano arrojó la bola amarilla en la taza y se recuperó sobre la mesa.</v>
      </c>
    </row>
    <row r="27582">
      <c r="A27582" s="4" t="s">
        <v>34727</v>
      </c>
      <c r="B27582" s="4" t="s">
        <v>34729</v>
      </c>
      <c r="C27582" s="5" t="str">
        <f>IFERROR(__xludf.DUMMYFUNCTION("GOOGLETRANSLATE(B27582,""en"",""es-ES"")"),"El viejo con camisa negra arrojó la pelota y aterrizó sobre la mesa.")</f>
        <v>El viejo con camisa negra arrojó la pelota y aterrizó sobre la mesa.</v>
      </c>
    </row>
    <row r="27583">
      <c r="A27583" s="4" t="s">
        <v>34727</v>
      </c>
      <c r="B27583" s="4" t="s">
        <v>34730</v>
      </c>
      <c r="C27583" s="5" t="str">
        <f>IFERROR(__xludf.DUMMYFUNCTION("GOOGLETRANSLATE(B27583,""en"",""es-ES"")"),"Un hombre arrojó la pelota hacia atrás y el hombre con camisa negra sacó la pelota de la copa y la arrojó, pero aterrizó fuera de la mesa.")</f>
        <v>Un hombre arrojó la pelota hacia atrás y el hombre con camisa negra sacó la pelota de la copa y la arrojó, pero aterrizó fuera de la mesa.</v>
      </c>
    </row>
    <row r="27584">
      <c r="A27584" s="4" t="s">
        <v>34731</v>
      </c>
      <c r="B27584" s="4" t="s">
        <v>34732</v>
      </c>
      <c r="C27584" s="5" t="str">
        <f>IFERROR(__xludf.DUMMYFUNCTION("GOOGLETRANSLATE(B27584,""en"",""es-ES"")"),"Vemos a un hombre en una orquesta haciendo caras.")</f>
        <v>Vemos a un hombre en una orquesta haciendo caras.</v>
      </c>
    </row>
    <row r="27585">
      <c r="A27585" s="4" t="s">
        <v>34731</v>
      </c>
      <c r="B27585" s="4" t="s">
        <v>34733</v>
      </c>
      <c r="C27585" s="5" t="str">
        <f>IFERROR(__xludf.DUMMYFUNCTION("GOOGLETRANSLATE(B27585,""en"",""es-ES"")"),"El hombre luego se para y toca el violín.")</f>
        <v>El hombre luego se para y toca el violín.</v>
      </c>
    </row>
    <row r="27586">
      <c r="A27586" s="4" t="s">
        <v>34731</v>
      </c>
      <c r="B27586" s="4" t="s">
        <v>34734</v>
      </c>
      <c r="C27586" s="5" t="str">
        <f>IFERROR(__xludf.DUMMYFUNCTION("GOOGLETRANSLATE(B27586,""en"",""es-ES"")"),"Vemos gente en los casilleros.")</f>
        <v>Vemos gente en los casilleros.</v>
      </c>
    </row>
    <row r="27587">
      <c r="A27587" s="4" t="s">
        <v>34731</v>
      </c>
      <c r="B27587" s="4" t="s">
        <v>34735</v>
      </c>
      <c r="C27587" s="5" t="str">
        <f>IFERROR(__xludf.DUMMYFUNCTION("GOOGLETRANSLATE(B27587,""en"",""es-ES"")"),"Volvemos al hombre que toca el violín.")</f>
        <v>Volvemos al hombre que toca el violín.</v>
      </c>
    </row>
    <row r="27588">
      <c r="A27588" s="4" t="s">
        <v>34731</v>
      </c>
      <c r="B27588" s="4" t="s">
        <v>34736</v>
      </c>
      <c r="C27588" s="5" t="str">
        <f>IFERROR(__xludf.DUMMYFUNCTION("GOOGLETRANSLATE(B27588,""en"",""es-ES"")"),"Vemos a la gente en el casillero.")</f>
        <v>Vemos a la gente en el casillero.</v>
      </c>
    </row>
    <row r="27589">
      <c r="A27589" s="4" t="s">
        <v>34731</v>
      </c>
      <c r="B27589" s="4" t="s">
        <v>34737</v>
      </c>
      <c r="C27589" s="5" t="str">
        <f>IFERROR(__xludf.DUMMYFUNCTION("GOOGLETRANSLATE(B27589,""en"",""es-ES"")"),"Vemos al hombre de juego y luego la multitud se para y aplaude.")</f>
        <v>Vemos al hombre de juego y luego la multitud se para y aplaude.</v>
      </c>
    </row>
    <row r="27590">
      <c r="A27590" s="4" t="s">
        <v>34731</v>
      </c>
      <c r="B27590" s="4" t="s">
        <v>34738</v>
      </c>
      <c r="C27590" s="5" t="str">
        <f>IFERROR(__xludf.DUMMYFUNCTION("GOOGLETRANSLATE(B27590,""en"",""es-ES"")"),"El hombre sonríe y saluda.")</f>
        <v>El hombre sonríe y saluda.</v>
      </c>
    </row>
    <row r="27591">
      <c r="A27591" s="4" t="s">
        <v>34739</v>
      </c>
      <c r="B27591" s="4" t="s">
        <v>34740</v>
      </c>
      <c r="C27591" s="5" t="str">
        <f>IFERROR(__xludf.DUMMYFUNCTION("GOOGLETRANSLATE(B27591,""en"",""es-ES"")"),"La gente está abordando una colina.")</f>
        <v>La gente está abordando una colina.</v>
      </c>
    </row>
    <row r="27592">
      <c r="A27592" s="4" t="s">
        <v>34739</v>
      </c>
      <c r="B27592" s="4" t="s">
        <v>34741</v>
      </c>
      <c r="C27592" s="5" t="str">
        <f>IFERROR(__xludf.DUMMYFUNCTION("GOOGLETRANSLATE(B27592,""en"",""es-ES"")"),"Un camión plateado está estacionado al lado de la colina.")</f>
        <v>Un camión plateado está estacionado al lado de la colina.</v>
      </c>
    </row>
    <row r="27593">
      <c r="A27593" s="4" t="s">
        <v>34739</v>
      </c>
      <c r="B27593" s="4" t="s">
        <v>34742</v>
      </c>
      <c r="C27593" s="5" t="str">
        <f>IFERROR(__xludf.DUMMYFUNCTION("GOOGLETRANSLATE(B27593,""en"",""es-ES"")"),"Una persona se cae del largo tablero hacia el pavimento.")</f>
        <v>Una persona se cae del largo tablero hacia el pavimento.</v>
      </c>
    </row>
    <row r="27594">
      <c r="A27594" s="4" t="s">
        <v>34743</v>
      </c>
      <c r="B27594" s="4" t="s">
        <v>34744</v>
      </c>
      <c r="C27594" s="5" t="str">
        <f>IFERROR(__xludf.DUMMYFUNCTION("GOOGLETRANSLATE(B27594,""en"",""es-ES"")"),"El texto blanco dice en memoria de Paul Walker.")</f>
        <v>El texto blanco dice en memoria de Paul Walker.</v>
      </c>
    </row>
    <row r="27595">
      <c r="A27595" s="4" t="s">
        <v>34743</v>
      </c>
      <c r="B27595" s="4" t="s">
        <v>34745</v>
      </c>
      <c r="C27595" s="5" t="str">
        <f>IFERROR(__xludf.DUMMYFUNCTION("GOOGLETRANSLATE(B27595,""en"",""es-ES"")"),"Se muestra a una persona usando un pequeño pincel para crear una imagen de Paul Walker.")</f>
        <v>Se muestra a una persona usando un pequeño pincel para crear una imagen de Paul Walker.</v>
      </c>
    </row>
    <row r="27596">
      <c r="A27596" s="4" t="s">
        <v>34743</v>
      </c>
      <c r="B27596" s="4" t="s">
        <v>34746</v>
      </c>
      <c r="C27596" s="5" t="str">
        <f>IFERROR(__xludf.DUMMYFUNCTION("GOOGLETRANSLATE(B27596,""en"",""es-ES"")"),"Cada detalle se dibuja uno a la vez, produciendo la imagen final completa.")</f>
        <v>Cada detalle se dibuja uno a la vez, produciendo la imagen final completa.</v>
      </c>
    </row>
    <row r="27597">
      <c r="A27597" s="4" t="s">
        <v>34747</v>
      </c>
      <c r="B27597" s="4" t="s">
        <v>34748</v>
      </c>
      <c r="C27597" s="5" t="str">
        <f>IFERROR(__xludf.DUMMYFUNCTION("GOOGLETRANSLATE(B27597,""en"",""es-ES"")"),"Se ven dos personas que organizan un segmento de noticias que conduce a clips de personas que raspan sus autos.")</f>
        <v>Se ven dos personas que organizan un segmento de noticias que conduce a clips de personas que raspan sus autos.</v>
      </c>
    </row>
    <row r="27598">
      <c r="A27598" s="4" t="s">
        <v>34747</v>
      </c>
      <c r="B27598" s="4" t="s">
        <v>34749</v>
      </c>
      <c r="C27598" s="5" t="str">
        <f>IFERROR(__xludf.DUMMYFUNCTION("GOOGLETRANSLATE(B27598,""en"",""es-ES"")"),"Se ve a una mujer hablando con la cámara mientras raspa su automóvil y sostiene productos para ayudar.")</f>
        <v>Se ve a una mujer hablando con la cámara mientras raspa su automóvil y sostiene productos para ayudar.</v>
      </c>
    </row>
    <row r="27599">
      <c r="A27599" s="4" t="s">
        <v>34747</v>
      </c>
      <c r="B27599" s="4" t="s">
        <v>34750</v>
      </c>
      <c r="C27599" s="5" t="str">
        <f>IFERROR(__xludf.DUMMYFUNCTION("GOOGLETRANSLATE(B27599,""en"",""es-ES"")"),"Se ve a más personas hablando con la cámara y mostrando sus métodos para derretir el hielo y llevar de regreso a los dos reporteros.")</f>
        <v>Se ve a más personas hablando con la cámara y mostrando sus métodos para derretir el hielo y llevar de regreso a los dos reporteros.</v>
      </c>
    </row>
    <row r="27600">
      <c r="A27600" s="4" t="s">
        <v>34751</v>
      </c>
      <c r="B27600" s="4" t="s">
        <v>34752</v>
      </c>
      <c r="C27600" s="5" t="str">
        <f>IFERROR(__xludf.DUMMYFUNCTION("GOOGLETRANSLATE(B27600,""en"",""es-ES"")"),"Un gimnasta masculino vestido de leotardos rojos y blancos está actuando en una barra de caballos.")</f>
        <v>Un gimnasta masculino vestido de leotardos rojos y blancos está actuando en una barra de caballos.</v>
      </c>
    </row>
    <row r="27601">
      <c r="A27601" s="4" t="s">
        <v>34751</v>
      </c>
      <c r="B27601" s="4" t="s">
        <v>34753</v>
      </c>
      <c r="C27601" s="5" t="str">
        <f>IFERROR(__xludf.DUMMYFUNCTION("GOOGLETRANSLATE(B27601,""en"",""es-ES"")"),"Él sube por la barra de caballos y hace resortes de revés.")</f>
        <v>Él sube por la barra de caballos y hace resortes de revés.</v>
      </c>
    </row>
    <row r="27602">
      <c r="A27602" s="4" t="s">
        <v>34751</v>
      </c>
      <c r="B27602" s="4" t="s">
        <v>34754</v>
      </c>
      <c r="C27602" s="5" t="str">
        <f>IFERROR(__xludf.DUMMYFUNCTION("GOOGLETRANSLATE(B27602,""en"",""es-ES"")"),"Continúa rápidamente sobre la barra de caballos mientras levanta su cuerpo empujando su peso corporal sobre sus brazos.")</f>
        <v>Continúa rápidamente sobre la barra de caballos mientras levanta su cuerpo empujando su peso corporal sobre sus brazos.</v>
      </c>
    </row>
    <row r="27603">
      <c r="A27603" s="4" t="s">
        <v>34751</v>
      </c>
      <c r="B27603" s="4" t="s">
        <v>34755</v>
      </c>
      <c r="C27603" s="5" t="str">
        <f>IFERROR(__xludf.DUMMYFUNCTION("GOOGLETRANSLATE(B27603,""en"",""es-ES"")"),"Continúa haciendo manantiales de mano delantera y trasera.")</f>
        <v>Continúa haciendo manantiales de mano delantera y trasera.</v>
      </c>
    </row>
    <row r="27604">
      <c r="A27604" s="4" t="s">
        <v>34751</v>
      </c>
      <c r="B27604" s="4" t="s">
        <v>34756</v>
      </c>
      <c r="C27604" s="5" t="str">
        <f>IFERROR(__xludf.DUMMYFUNCTION("GOOGLETRANSLATE(B27604,""en"",""es-ES"")"),"Después de que termine, se baja del bar y camina hacia los jueces y otros concursantes.")</f>
        <v>Después de que termine, se baja del bar y camina hacia los jueces y otros concursantes.</v>
      </c>
    </row>
    <row r="27605">
      <c r="A27605" s="4" t="s">
        <v>34751</v>
      </c>
      <c r="B27605" s="4" t="s">
        <v>34757</v>
      </c>
      <c r="C27605" s="5" t="str">
        <f>IFERROR(__xludf.DUMMYFUNCTION("GOOGLETRANSLATE(B27605,""en"",""es-ES"")"),"Los espectadores lo animan y los jueces se dan la mano con la gimnasta.")</f>
        <v>Los espectadores lo animan y los jueces se dan la mano con la gimnasta.</v>
      </c>
    </row>
    <row r="27606">
      <c r="A27606" s="4" t="s">
        <v>34758</v>
      </c>
      <c r="B27606" s="4" t="s">
        <v>34759</v>
      </c>
      <c r="C27606" s="5" t="str">
        <f>IFERROR(__xludf.DUMMYFUNCTION("GOOGLETRANSLATE(B27606,""en"",""es-ES"")"),"Un hombre está parado en una habitación derritiendo un objeto con un utensilio que está creando varias chispas.")</f>
        <v>Un hombre está parado en una habitación derritiendo un objeto con un utensilio que está creando varias chispas.</v>
      </c>
    </row>
    <row r="27607">
      <c r="A27607" s="4" t="s">
        <v>34758</v>
      </c>
      <c r="B27607" s="4" t="s">
        <v>34760</v>
      </c>
      <c r="C27607" s="5" t="str">
        <f>IFERROR(__xludf.DUMMYFUNCTION("GOOGLETRANSLATE(B27607,""en"",""es-ES"")"),"Otro hombre luego camina detrás de la persona y se pone un casco para protección mientras mira al hombre frente a él.")</f>
        <v>Otro hombre luego camina detrás de la persona y se pone un casco para protección mientras mira al hombre frente a él.</v>
      </c>
    </row>
    <row r="27608">
      <c r="A27608" s="4" t="s">
        <v>34761</v>
      </c>
      <c r="B27608" s="4" t="s">
        <v>34762</v>
      </c>
      <c r="C27608" s="5" t="str">
        <f>IFERROR(__xludf.DUMMYFUNCTION("GOOGLETRANSLATE(B27608,""en"",""es-ES"")"),"Tres niños balanceándose en la jugada ubicada en el patio trasero.")</f>
        <v>Tres niños balanceándose en la jugada ubicada en el patio trasero.</v>
      </c>
    </row>
    <row r="27609">
      <c r="A27609" s="4" t="s">
        <v>34761</v>
      </c>
      <c r="B27609" s="4" t="s">
        <v>34763</v>
      </c>
      <c r="C27609" s="5" t="str">
        <f>IFERROR(__xludf.DUMMYFUNCTION("GOOGLETRANSLATE(B27609,""en"",""es-ES"")"),"Uno de los chicos trepa y se desliza por el tobogán.")</f>
        <v>Uno de los chicos trepa y se desliza por el tobogán.</v>
      </c>
    </row>
    <row r="27610">
      <c r="A27610" s="4" t="s">
        <v>34761</v>
      </c>
      <c r="B27610" s="4" t="s">
        <v>34764</v>
      </c>
      <c r="C27610" s="5" t="str">
        <f>IFERROR(__xludf.DUMMYFUNCTION("GOOGLETRANSLATE(B27610,""en"",""es-ES"")"),"Más niños se unen y bajan por la diapositiva y se mueven alrededor del set muy rápidamente.")</f>
        <v>Más niños se unen y bajan por la diapositiva y se mueven alrededor del set muy rápidamente.</v>
      </c>
    </row>
    <row r="27611">
      <c r="A27611" s="4" t="s">
        <v>34761</v>
      </c>
      <c r="B27611" s="4" t="s">
        <v>34765</v>
      </c>
      <c r="C27611" s="5" t="str">
        <f>IFERROR(__xludf.DUMMYFUNCTION("GOOGLETRANSLATE(B27611,""en"",""es-ES"")"),"Comienzan a balancearse en sus barrigas y, en general, pasar un buen rato jugando.")</f>
        <v>Comienzan a balancearse en sus barrigas y, en general, pasar un buen rato jugando.</v>
      </c>
    </row>
    <row r="27612">
      <c r="A27612" s="4" t="s">
        <v>34766</v>
      </c>
      <c r="B27612" s="4" t="s">
        <v>34767</v>
      </c>
      <c r="C27612" s="5" t="str">
        <f>IFERROR(__xludf.DUMMYFUNCTION("GOOGLETRANSLATE(B27612,""en"",""es-ES"")"),"Aparecen una serie de palabras en la pantalla y nos informan que los hombres intentan remar a través del Atlántico.")</f>
        <v>Aparecen una serie de palabras en la pantalla y nos informan que los hombres intentan remar a través del Atlántico.</v>
      </c>
    </row>
    <row r="27613">
      <c r="A27613" s="4" t="s">
        <v>34766</v>
      </c>
      <c r="B27613" s="4" t="s">
        <v>34768</v>
      </c>
      <c r="C27613" s="5" t="str">
        <f>IFERROR(__xludf.DUMMYFUNCTION("GOOGLETRANSLATE(B27613,""en"",""es-ES"")"),"Luego se muestra a un hombre afuera en su remo de patio y las palabras indican que han sido dos horas y 1600 calorías quemadas.")</f>
        <v>Luego se muestra a un hombre afuera en su remo de patio y las palabras indican que han sido dos horas y 1600 calorías quemadas.</v>
      </c>
    </row>
    <row r="27614">
      <c r="A27614" s="4" t="s">
        <v>34766</v>
      </c>
      <c r="B27614" s="4" t="s">
        <v>34769</v>
      </c>
      <c r="C27614" s="5" t="str">
        <f>IFERROR(__xludf.DUMMYFUNCTION("GOOGLETRANSLATE(B27614,""en"",""es-ES"")"),"Después de que el hombre se muestra nuevamente, pero esta vez está agotado y se ve obligado a respirar para poder respirar.")</f>
        <v>Después de que el hombre se muestra nuevamente, pero esta vez está agotado y se ve obligado a respirar para poder respirar.</v>
      </c>
    </row>
    <row r="27615">
      <c r="A27615" s="4" t="s">
        <v>34766</v>
      </c>
      <c r="B27615" s="4" t="s">
        <v>34770</v>
      </c>
      <c r="C27615" s="5" t="str">
        <f>IFERROR(__xludf.DUMMYFUNCTION("GOOGLETRANSLATE(B27615,""en"",""es-ES"")"),"Ahora el hombre está de pie y está tomando la cámara y levanta la mano para mostrar las ampollas que tiene en sus manos.")</f>
        <v>Ahora el hombre está de pie y está tomando la cámara y levanta la mano para mostrar las ampollas que tiene en sus manos.</v>
      </c>
    </row>
    <row r="27616">
      <c r="A27616" s="4" t="s">
        <v>34771</v>
      </c>
      <c r="B27616" s="4" t="s">
        <v>34772</v>
      </c>
      <c r="C27616" s="5" t="str">
        <f>IFERROR(__xludf.DUMMYFUNCTION("GOOGLETRANSLATE(B27616,""en"",""es-ES"")"),"La gente se encuentra encima de un tablero de buceo, el hombre A salta a la piscina.")</f>
        <v>La gente se encuentra encima de un tablero de buceo, el hombre A salta a la piscina.</v>
      </c>
    </row>
    <row r="27617">
      <c r="A27617" s="4" t="s">
        <v>34771</v>
      </c>
      <c r="B27617" s="4" t="s">
        <v>34773</v>
      </c>
      <c r="C27617" s="5" t="str">
        <f>IFERROR(__xludf.DUMMYFUNCTION("GOOGLETRANSLATE(B27617,""en"",""es-ES"")"),"De repente, una niña corre en una tabla de comedor inferior y salta a la piscina.")</f>
        <v>De repente, una niña corre en una tabla de comedor inferior y salta a la piscina.</v>
      </c>
    </row>
    <row r="27618">
      <c r="A27618" s="4" t="s">
        <v>34771</v>
      </c>
      <c r="B27618" s="4" t="s">
        <v>34774</v>
      </c>
      <c r="C27618" s="5" t="str">
        <f>IFERROR(__xludf.DUMMYFUNCTION("GOOGLETRANSLATE(B27618,""en"",""es-ES"")"),"La gente se sienta alrededor de la piscina.")</f>
        <v>La gente se sienta alrededor de la piscina.</v>
      </c>
    </row>
    <row r="27619">
      <c r="A27619" s="4" t="s">
        <v>34775</v>
      </c>
      <c r="B27619" s="4" t="s">
        <v>34776</v>
      </c>
      <c r="C27619" s="5" t="str">
        <f>IFERROR(__xludf.DUMMYFUNCTION("GOOGLETRANSLATE(B27619,""en"",""es-ES"")"),"Algunos hombres mayores se muestran parados frente a bares de mono hablando entre ellos.")</f>
        <v>Algunos hombres mayores se muestran parados frente a bares de mono hablando entre ellos.</v>
      </c>
    </row>
    <row r="27620">
      <c r="A27620" s="4" t="s">
        <v>34775</v>
      </c>
      <c r="B27620" s="4" t="s">
        <v>34777</v>
      </c>
      <c r="C27620" s="5" t="str">
        <f>IFERROR(__xludf.DUMMYFUNCTION("GOOGLETRANSLATE(B27620,""en"",""es-ES"")"),"Uno comienza a subir a lo largo de los bares con varias otras personas que vienen desde atrás.")</f>
        <v>Uno comienza a subir a lo largo de los bares con varias otras personas que vienen desde atrás.</v>
      </c>
    </row>
    <row r="27621">
      <c r="A27621" s="4" t="s">
        <v>34775</v>
      </c>
      <c r="B27621" s="4" t="s">
        <v>34778</v>
      </c>
      <c r="C27621" s="5" t="str">
        <f>IFERROR(__xludf.DUMMYFUNCTION("GOOGLETRANSLATE(B27621,""en"",""es-ES"")"),"Una mujer cae en el agua y muchos más suben a través de las barras de mono.")</f>
        <v>Una mujer cae en el agua y muchos más suben a través de las barras de mono.</v>
      </c>
    </row>
    <row r="27622">
      <c r="A27622" s="4" t="s">
        <v>34779</v>
      </c>
      <c r="B27622" s="4" t="s">
        <v>34780</v>
      </c>
      <c r="C27622" s="5" t="str">
        <f>IFERROR(__xludf.DUMMYFUNCTION("GOOGLETRANSLATE(B27622,""en"",""es-ES"")"),"Un niño pequeño que lleva una camisa a rayas negras y rojas está sentada con una batería y tocando la batería.")</f>
        <v>Un niño pequeño que lleva una camisa a rayas negras y rojas está sentada con una batería y tocando la batería.</v>
      </c>
    </row>
    <row r="27623">
      <c r="A27623" s="4" t="s">
        <v>34779</v>
      </c>
      <c r="B27623" s="4" t="s">
        <v>34781</v>
      </c>
      <c r="C27623" s="5" t="str">
        <f>IFERROR(__xludf.DUMMYFUNCTION("GOOGLETRANSLATE(B27623,""en"",""es-ES"")"),"Un hombre con una camisa rosa y pantalones negros está de pie junto a él.")</f>
        <v>Un hombre con una camisa rosa y pantalones negros está de pie junto a él.</v>
      </c>
    </row>
    <row r="27624">
      <c r="A27624" s="4" t="s">
        <v>34779</v>
      </c>
      <c r="B27624" s="4" t="s">
        <v>34782</v>
      </c>
      <c r="C27624" s="5" t="str">
        <f>IFERROR(__xludf.DUMMYFUNCTION("GOOGLETRANSLATE(B27624,""en"",""es-ES"")"),"Otra persona que lleva una camisa de mezclilla pasa al niño.")</f>
        <v>Otra persona que lleva una camisa de mezclilla pasa al niño.</v>
      </c>
    </row>
    <row r="27625">
      <c r="A27625" s="4" t="s">
        <v>34779</v>
      </c>
      <c r="B27625" s="4" t="s">
        <v>34783</v>
      </c>
      <c r="C27625" s="5" t="str">
        <f>IFERROR(__xludf.DUMMYFUNCTION("GOOGLETRANSLATE(B27625,""en"",""es-ES"")"),"El niño continúa tambaleando a los platillos y al saludo de una manera rítmica mientras las personas lo animan.")</f>
        <v>El niño continúa tambaleando a los platillos y al saludo de una manera rítmica mientras las personas lo animan.</v>
      </c>
    </row>
    <row r="27626">
      <c r="A27626" s="4" t="s">
        <v>34779</v>
      </c>
      <c r="B27626" s="4" t="s">
        <v>34784</v>
      </c>
      <c r="C27626" s="5" t="str">
        <f>IFERROR(__xludf.DUMMYFUNCTION("GOOGLETRANSLATE(B27626,""en"",""es-ES"")"),"Alternativamente golpea los platillos y los tambores con los palos.")</f>
        <v>Alternativamente golpea los platillos y los tambores con los palos.</v>
      </c>
    </row>
    <row r="27627">
      <c r="A27627" s="4" t="s">
        <v>34779</v>
      </c>
      <c r="B27627" s="4" t="s">
        <v>34785</v>
      </c>
      <c r="C27627" s="5" t="str">
        <f>IFERROR(__xludf.DUMMYFUNCTION("GOOGLETRANSLATE(B27627,""en"",""es-ES"")"),"Termina golpeando los platillos.")</f>
        <v>Termina golpeando los platillos.</v>
      </c>
    </row>
    <row r="27628">
      <c r="A27628" s="4" t="s">
        <v>34786</v>
      </c>
      <c r="B27628" s="4" t="s">
        <v>34787</v>
      </c>
      <c r="C27628" s="5" t="str">
        <f>IFERROR(__xludf.DUMMYFUNCTION("GOOGLETRANSLATE(B27628,""en"",""es-ES"")"),"Las gimnastas se balancean en barras dobles durante la competencia olímpica.")</f>
        <v>Las gimnastas se balancean en barras dobles durante la competencia olímpica.</v>
      </c>
    </row>
    <row r="27629">
      <c r="A27629" s="4" t="s">
        <v>34786</v>
      </c>
      <c r="B27629" s="4" t="s">
        <v>34788</v>
      </c>
      <c r="C27629" s="5" t="str">
        <f>IFERROR(__xludf.DUMMYFUNCTION("GOOGLETRANSLATE(B27629,""en"",""es-ES"")"),"Gymnast se balancea en bares dobles durante la práctica en un gimnasio.")</f>
        <v>Gymnast se balancea en bares dobles durante la práctica en un gimnasio.</v>
      </c>
    </row>
    <row r="27630">
      <c r="A27630" s="4" t="s">
        <v>34789</v>
      </c>
      <c r="B27630" s="4" t="s">
        <v>34790</v>
      </c>
      <c r="C27630" s="5" t="str">
        <f>IFERROR(__xludf.DUMMYFUNCTION("GOOGLETRANSLATE(B27630,""en"",""es-ES"")"),"Varios adultos están haciendo un ejercicio de paso en plataformas.")</f>
        <v>Varios adultos están haciendo un ejercicio de paso en plataformas.</v>
      </c>
    </row>
    <row r="27631">
      <c r="A27631" s="4" t="s">
        <v>34789</v>
      </c>
      <c r="B27631" s="4" t="s">
        <v>34791</v>
      </c>
      <c r="C27631" s="5" t="str">
        <f>IFERROR(__xludf.DUMMYFUNCTION("GOOGLETRANSLATE(B27631,""en"",""es-ES"")"),"Pisan y giran y giran.")</f>
        <v>Pisan y giran y giran.</v>
      </c>
    </row>
    <row r="27632">
      <c r="A27632" s="4" t="s">
        <v>34789</v>
      </c>
      <c r="B27632" s="4" t="s">
        <v>34792</v>
      </c>
      <c r="C27632" s="5" t="str">
        <f>IFERROR(__xludf.DUMMYFUNCTION("GOOGLETRANSLATE(B27632,""en"",""es-ES"")"),"Hacen una rueda de carrito de la plataforma.")</f>
        <v>Hacen una rueda de carrito de la plataforma.</v>
      </c>
    </row>
    <row r="27633">
      <c r="A27633" s="4" t="s">
        <v>34789</v>
      </c>
      <c r="B27633" s="4" t="s">
        <v>34793</v>
      </c>
      <c r="C27633" s="5" t="str">
        <f>IFERROR(__xludf.DUMMYFUNCTION("GOOGLETRANSLATE(B27633,""en"",""es-ES"")"),"Terminan su ejercicio y se van.")</f>
        <v>Terminan su ejercicio y se van.</v>
      </c>
    </row>
    <row r="27634">
      <c r="A27634" s="4" t="s">
        <v>34794</v>
      </c>
      <c r="B27634" s="4" t="s">
        <v>34795</v>
      </c>
      <c r="C27634" s="5" t="str">
        <f>IFERROR(__xludf.DUMMYFUNCTION("GOOGLETRANSLATE(B27634,""en"",""es-ES"")"),"Una joven adolescente está sentada en una silla grande hablando por teléfono y haciendo caras.")</f>
        <v>Una joven adolescente está sentada en una silla grande hablando por teléfono y haciendo caras.</v>
      </c>
    </row>
    <row r="27635">
      <c r="A27635" s="4" t="s">
        <v>34794</v>
      </c>
      <c r="B27635" s="4" t="s">
        <v>34796</v>
      </c>
      <c r="C27635" s="5" t="str">
        <f>IFERROR(__xludf.DUMMYFUNCTION("GOOGLETRANSLATE(B27635,""en"",""es-ES"")"),"Otras dos hembras comienzan a bailar por el frente en el patio en una acera.")</f>
        <v>Otras dos hembras comienzan a bailar por el frente en el patio en una acera.</v>
      </c>
    </row>
    <row r="27636">
      <c r="A27636" s="4" t="s">
        <v>34794</v>
      </c>
      <c r="B27636" s="4" t="s">
        <v>34797</v>
      </c>
      <c r="C27636" s="5" t="str">
        <f>IFERROR(__xludf.DUMMYFUNCTION("GOOGLETRANSLATE(B27636,""en"",""es-ES"")"),"Luego, la niña se agarra los pantalones de sudor y comienza a enseñarle a su contraparte diferentes pasos de baile y la primera mujer reaparece por teléfono.")</f>
        <v>Luego, la niña se agarra los pantalones de sudor y comienza a enseñarle a su contraparte diferentes pasos de baile y la primera mujer reaparece por teléfono.</v>
      </c>
    </row>
    <row r="27637">
      <c r="A27637" s="4" t="s">
        <v>34798</v>
      </c>
      <c r="B27637" s="4" t="s">
        <v>34799</v>
      </c>
      <c r="C27637" s="5" t="str">
        <f>IFERROR(__xludf.DUMMYFUNCTION("GOOGLETRANSLATE(B27637,""en"",""es-ES"")"),"Una persona muestra cómo instalar baldosas de goma en un gimnasio.")</f>
        <v>Una persona muestra cómo instalar baldosas de goma en un gimnasio.</v>
      </c>
    </row>
    <row r="27638">
      <c r="A27638" s="4" t="s">
        <v>34798</v>
      </c>
      <c r="B27638" s="4" t="s">
        <v>34800</v>
      </c>
      <c r="C27638" s="5" t="str">
        <f>IFERROR(__xludf.DUMMYFUNCTION("GOOGLETRANSLATE(B27638,""en"",""es-ES"")"),"El video muestra a varias personas trabajando en un gimnasio en el piso.")</f>
        <v>El video muestra a varias personas trabajando en un gimnasio en el piso.</v>
      </c>
    </row>
    <row r="27639">
      <c r="A27639" s="4" t="s">
        <v>34798</v>
      </c>
      <c r="B27639" s="4" t="s">
        <v>34801</v>
      </c>
      <c r="C27639" s="5" t="str">
        <f>IFERROR(__xludf.DUMMYFUNCTION("GOOGLETRANSLATE(B27639,""en"",""es-ES"")"),"La persona muestra cómo preparar la superficie del piso antes de instalar los mosaicos.")</f>
        <v>La persona muestra cómo preparar la superficie del piso antes de instalar los mosaicos.</v>
      </c>
    </row>
    <row r="27640">
      <c r="A27640" s="4" t="s">
        <v>34798</v>
      </c>
      <c r="B27640" s="4" t="s">
        <v>34802</v>
      </c>
      <c r="C27640" s="5" t="str">
        <f>IFERROR(__xludf.DUMMYFUNCTION("GOOGLETRANSLATE(B27640,""en"",""es-ES"")"),"Demuestra cómo colocar las baldosas en el piso de manera entrecruzada.")</f>
        <v>Demuestra cómo colocar las baldosas en el piso de manera entrecruzada.</v>
      </c>
    </row>
    <row r="27641">
      <c r="A27641" s="4" t="s">
        <v>34798</v>
      </c>
      <c r="B27641" s="4" t="s">
        <v>34803</v>
      </c>
      <c r="C27641" s="5" t="str">
        <f>IFERROR(__xludf.DUMMYFUNCTION("GOOGLETRANSLATE(B27641,""en"",""es-ES"")"),"El video muestra una simulación de cómo se pueden medir los mosaicos y establecidos uno por uno para obtener una pared perfecta para el ajuste de la pared.")</f>
        <v>El video muestra una simulación de cómo se pueden medir los mosaicos y establecidos uno por uno para obtener una pared perfecta para el ajuste de la pared.</v>
      </c>
    </row>
    <row r="27642">
      <c r="A27642" s="4" t="s">
        <v>34798</v>
      </c>
      <c r="B27642" s="4" t="s">
        <v>34804</v>
      </c>
      <c r="C27642" s="5" t="str">
        <f>IFERROR(__xludf.DUMMYFUNCTION("GOOGLETRANSLATE(B27642,""en"",""es-ES"")"),"Una persona también muestra cómo recortar los mosaicos para que se ajusten al borde de descarga al borde sin dejar un espacio entre los mosaicos.")</f>
        <v>Una persona también muestra cómo recortar los mosaicos para que se ajusten al borde de descarga al borde sin dejar un espacio entre los mosaicos.</v>
      </c>
    </row>
    <row r="27643">
      <c r="A27643" s="4" t="s">
        <v>34798</v>
      </c>
      <c r="B27643" s="4" t="s">
        <v>34805</v>
      </c>
      <c r="C27643" s="5" t="str">
        <f>IFERROR(__xludf.DUMMYFUNCTION("GOOGLETRANSLATE(B27643,""en"",""es-ES"")"),"Finalmente, muestra cómo usar una solución de vinagre para limpiar los mosaicos para mantener la calidad de los mosaicos.")</f>
        <v>Finalmente, muestra cómo usar una solución de vinagre para limpiar los mosaicos para mantener la calidad de los mosaicos.</v>
      </c>
    </row>
    <row r="27644">
      <c r="A27644" s="4" t="s">
        <v>34798</v>
      </c>
      <c r="B27644" s="4" t="s">
        <v>34806</v>
      </c>
      <c r="C27644" s="5" t="str">
        <f>IFERROR(__xludf.DUMMYFUNCTION("GOOGLETRANSLATE(B27644,""en"",""es-ES"")"),"El video termina con la información de la compañía de azulejos.")</f>
        <v>El video termina con la información de la compañía de azulejos.</v>
      </c>
    </row>
    <row r="27645">
      <c r="A27645" s="4" t="s">
        <v>34807</v>
      </c>
      <c r="B27645" s="4" t="s">
        <v>34808</v>
      </c>
      <c r="C27645" s="5" t="str">
        <f>IFERROR(__xludf.DUMMYFUNCTION("GOOGLETRANSLATE(B27645,""en"",""es-ES"")"),"Se muestra un granero interior y un hombre está sentado en un caballo.")</f>
        <v>Se muestra un granero interior y un hombre está sentado en un caballo.</v>
      </c>
    </row>
    <row r="27646">
      <c r="A27646" s="4" t="s">
        <v>34807</v>
      </c>
      <c r="B27646" s="4" t="s">
        <v>34809</v>
      </c>
      <c r="C27646" s="5" t="str">
        <f>IFERROR(__xludf.DUMMYFUNCTION("GOOGLETRANSLATE(B27646,""en"",""es-ES"")"),"Las puertas se abren y el hombre vuela con la elisso persiguiendo una pantorrilla en blanco y negro.")</f>
        <v>Las puertas se abren y el hombre vuela con la elisso persiguiendo una pantorrilla en blanco y negro.</v>
      </c>
    </row>
    <row r="27647">
      <c r="A27647" s="4" t="s">
        <v>34807</v>
      </c>
      <c r="B27647" s="4" t="s">
        <v>34810</v>
      </c>
      <c r="C27647" s="5" t="str">
        <f>IFERROR(__xludf.DUMMYFUNCTION("GOOGLETRANSLATE(B27647,""en"",""es-ES"")"),"El hombre arroja la cuerda y atrapa la pantorrilla, se levanta, ata la vaca y regresa sobre el caballo.")</f>
        <v>El hombre arroja la cuerda y atrapa la pantorrilla, se levanta, ata la vaca y regresa sobre el caballo.</v>
      </c>
    </row>
    <row r="27648">
      <c r="A27648" s="4" t="s">
        <v>34811</v>
      </c>
      <c r="B27648" s="4" t="s">
        <v>34812</v>
      </c>
      <c r="C27648" s="5" t="str">
        <f>IFERROR(__xludf.DUMMYFUNCTION("GOOGLETRANSLATE(B27648,""en"",""es-ES"")"),"Se muestra una niña con cabello largo hablando con la cámara y lo lleva a pulverizar agua sobre un perro en la bañera.")</f>
        <v>Se muestra una niña con cabello largo hablando con la cámara y lo lleva a pulverizar agua sobre un perro en la bañera.</v>
      </c>
    </row>
    <row r="27649">
      <c r="A27649" s="4" t="s">
        <v>34811</v>
      </c>
      <c r="B27649" s="4" t="s">
        <v>34813</v>
      </c>
      <c r="C27649" s="5" t="str">
        <f>IFERROR(__xludf.DUMMYFUNCTION("GOOGLETRANSLATE(B27649,""en"",""es-ES"")"),"Ella frota al perro con champú y corre nuevamente corre el agua sobre el perro.")</f>
        <v>Ella frota al perro con champú y corre nuevamente corre el agua sobre el perro.</v>
      </c>
    </row>
    <row r="27650">
      <c r="A27650" s="4" t="s">
        <v>34811</v>
      </c>
      <c r="B27650" s="4" t="s">
        <v>34814</v>
      </c>
      <c r="C27650" s="5" t="str">
        <f>IFERROR(__xludf.DUMMYFUNCTION("GOOGLETRANSLATE(B27650,""en"",""es-ES"")"),"Ella sostiene al perro con una toalla y luego se seca al perro en su regazo mientras lo peina.")</f>
        <v>Ella sostiene al perro con una toalla y luego se seca al perro en su regazo mientras lo peina.</v>
      </c>
    </row>
    <row r="27651">
      <c r="A27651" s="4" t="s">
        <v>34811</v>
      </c>
      <c r="B27651" s="4" t="s">
        <v>34815</v>
      </c>
      <c r="C27651" s="5" t="str">
        <f>IFERROR(__xludf.DUMMYFUNCTION("GOOGLETRANSLATE(B27651,""en"",""es-ES"")"),"El perro se muestra nuevamente, todo se seca y se sacude mientras mira la cámara y la niña habla más.")</f>
        <v>El perro se muestra nuevamente, todo se seca y se sacude mientras mira la cámara y la niña habla más.</v>
      </c>
    </row>
    <row r="27652">
      <c r="A27652" s="4" t="s">
        <v>34816</v>
      </c>
      <c r="B27652" s="4" t="s">
        <v>34817</v>
      </c>
      <c r="C27652" s="5" t="str">
        <f>IFERROR(__xludf.DUMMYFUNCTION("GOOGLETRANSLATE(B27652,""en"",""es-ES"")"),"Un hombre con una camisa negra que coloca una cámara mientras está sentado frente a un cubo de Rub-IX y un reloj de parada electrónico.")</f>
        <v>Un hombre con una camisa negra que coloca una cámara mientras está sentado frente a un cubo de Rub-IX y un reloj de parada electrónico.</v>
      </c>
    </row>
    <row r="27653">
      <c r="A27653" s="4" t="s">
        <v>34816</v>
      </c>
      <c r="B27653" s="4" t="s">
        <v>34818</v>
      </c>
      <c r="C27653" s="5" t="str">
        <f>IFERROR(__xludf.DUMMYFUNCTION("GOOGLETRANSLATE(B27653,""en"",""es-ES"")"),"Una vez que el reloj comienza a otro hombre fuera de la cámara y el hombre sentado frente al cubo comienza a descubrir el rompecabezas.")</f>
        <v>Una vez que el reloj comienza a otro hombre fuera de la cámara y el hombre sentado frente al cubo comienza a descubrir el rompecabezas.</v>
      </c>
    </row>
    <row r="27654">
      <c r="A27654" s="4" t="s">
        <v>34816</v>
      </c>
      <c r="B27654" s="4" t="s">
        <v>34819</v>
      </c>
      <c r="C27654" s="5" t="str">
        <f>IFERROR(__xludf.DUMMYFUNCTION("GOOGLETRANSLATE(B27654,""en"",""es-ES"")"),"Una vez que el reloj alcanza 43 segundos, ambos hombres terminan el rompecabezas y felicitan entre sí por completar el rompecabezas.")</f>
        <v>Una vez que el reloj alcanza 43 segundos, ambos hombres terminan el rompecabezas y felicitan entre sí por completar el rompecabezas.</v>
      </c>
    </row>
    <row r="27655">
      <c r="A27655" s="4" t="s">
        <v>34820</v>
      </c>
      <c r="B27655" s="4" t="s">
        <v>34821</v>
      </c>
      <c r="C27655" s="5" t="str">
        <f>IFERROR(__xludf.DUMMYFUNCTION("GOOGLETRANSLATE(B27655,""en"",""es-ES"")"),"Vemos a un hombre hablando en un gimnasio de baloncesto.")</f>
        <v>Vemos a un hombre hablando en un gimnasio de baloncesto.</v>
      </c>
    </row>
    <row r="27656">
      <c r="A27656" s="4" t="s">
        <v>34820</v>
      </c>
      <c r="B27656" s="4" t="s">
        <v>34822</v>
      </c>
      <c r="C27656" s="5" t="str">
        <f>IFERROR(__xludf.DUMMYFUNCTION("GOOGLETRANSLATE(B27656,""en"",""es-ES"")"),"El hombre señala al niño.")</f>
        <v>El hombre señala al niño.</v>
      </c>
    </row>
    <row r="27657">
      <c r="A27657" s="4" t="s">
        <v>34820</v>
      </c>
      <c r="B27657" s="4" t="s">
        <v>34823</v>
      </c>
      <c r="C27657" s="5" t="str">
        <f>IFERROR(__xludf.DUMMYFUNCTION("GOOGLETRANSLATE(B27657,""en"",""es-ES"")"),"El hombre señala a la derecha.")</f>
        <v>El hombre señala a la derecha.</v>
      </c>
    </row>
    <row r="27658">
      <c r="A27658" s="4" t="s">
        <v>34820</v>
      </c>
      <c r="B27658" s="4" t="s">
        <v>34824</v>
      </c>
      <c r="C27658" s="5" t="str">
        <f>IFERROR(__xludf.DUMMYFUNCTION("GOOGLETRANSLATE(B27658,""en"",""es-ES"")"),"Vemos a un hombre haciendo tiros en un aro de baloncesto.")</f>
        <v>Vemos a un hombre haciendo tiros en un aro de baloncesto.</v>
      </c>
    </row>
    <row r="27659">
      <c r="A27659" s="4" t="s">
        <v>34825</v>
      </c>
      <c r="B27659" s="4" t="s">
        <v>34826</v>
      </c>
      <c r="C27659" s="5" t="str">
        <f>IFERROR(__xludf.DUMMYFUNCTION("GOOGLETRANSLATE(B27659,""en"",""es-ES"")"),"Se ve a una mujer hablando con la cámara y la lleva a verter hielo en un vaso.")</f>
        <v>Se ve a una mujer hablando con la cámara y la lleva a verter hielo en un vaso.</v>
      </c>
    </row>
    <row r="27660">
      <c r="A27660" s="4" t="s">
        <v>34825</v>
      </c>
      <c r="B27660" s="4" t="s">
        <v>34827</v>
      </c>
      <c r="C27660" s="5" t="str">
        <f>IFERROR(__xludf.DUMMYFUNCTION("GOOGLETRANSLATE(B27660,""en"",""es-ES"")"),"Luego mezcla varios ingredientes en el vidrio y los mezcla en un agitador.")</f>
        <v>Luego mezcla varios ingredientes en el vidrio y los mezcla en un agitador.</v>
      </c>
    </row>
    <row r="27661">
      <c r="A27661" s="4" t="s">
        <v>34825</v>
      </c>
      <c r="B27661" s="4" t="s">
        <v>34828</v>
      </c>
      <c r="C27661" s="5" t="str">
        <f>IFERROR(__xludf.DUMMYFUNCTION("GOOGLETRANSLATE(B27661,""en"",""es-ES"")"),"La mujer luego baja el vidrio y vierte la mezcla en vidrio que lo presenta a la cámara.")</f>
        <v>La mujer luego baja el vidrio y vierte la mezcla en vidrio que lo presenta a la cámara.</v>
      </c>
    </row>
    <row r="27662">
      <c r="A27662" s="4" t="s">
        <v>34829</v>
      </c>
      <c r="B27662" s="4" t="s">
        <v>34830</v>
      </c>
      <c r="C27662" s="5" t="str">
        <f>IFERROR(__xludf.DUMMYFUNCTION("GOOGLETRANSLATE(B27662,""en"",""es-ES"")"),"Un hombre que lleva una camisa de entrenador está de pie mientras una gimnasta gira voltea en una viga.")</f>
        <v>Un hombre que lleva una camisa de entrenador está de pie mientras una gimnasta gira voltea en una viga.</v>
      </c>
    </row>
    <row r="27663">
      <c r="A27663" s="4" t="s">
        <v>34829</v>
      </c>
      <c r="B27663" s="4" t="s">
        <v>34831</v>
      </c>
      <c r="C27663" s="5" t="str">
        <f>IFERROR(__xludf.DUMMYFUNCTION("GOOGLETRANSLATE(B27663,""en"",""es-ES"")"),"Él la ve mientras ella voltea y desmonta antes de sentarse.")</f>
        <v>Él la ve mientras ella voltea y desmonta antes de sentarse.</v>
      </c>
    </row>
    <row r="27664">
      <c r="A27664" s="4" t="s">
        <v>34832</v>
      </c>
      <c r="B27664" s="4" t="s">
        <v>34833</v>
      </c>
      <c r="C27664" s="5" t="str">
        <f>IFERROR(__xludf.DUMMYFUNCTION("GOOGLETRANSLATE(B27664,""en"",""es-ES"")"),"Un gran grupo de personas se muestra en varios disparos que viajan en canoas.")</f>
        <v>Un gran grupo de personas se muestra en varios disparos que viajan en canoas.</v>
      </c>
    </row>
    <row r="27665">
      <c r="A27665" s="4" t="s">
        <v>34832</v>
      </c>
      <c r="B27665" s="4" t="s">
        <v>34834</v>
      </c>
      <c r="C27665" s="5" t="str">
        <f>IFERROR(__xludf.DUMMYFUNCTION("GOOGLETRANSLATE(B27665,""en"",""es-ES"")"),"Un hombre habla con la cámara mientras la gente camina con las canoas y muestra fotos.")</f>
        <v>Un hombre habla con la cámara mientras la gente camina con las canoas y muestra fotos.</v>
      </c>
    </row>
    <row r="27666">
      <c r="A27666" s="4" t="s">
        <v>34832</v>
      </c>
      <c r="B27666" s="4" t="s">
        <v>34835</v>
      </c>
      <c r="C27666" s="5" t="str">
        <f>IFERROR(__xludf.DUMMYFUNCTION("GOOGLETRANSLATE(B27666,""en"",""es-ES"")"),"Se ve a más personas usándolos y caminando.")</f>
        <v>Se ve a más personas usándolos y caminando.</v>
      </c>
    </row>
    <row r="27667">
      <c r="A27667" s="4" t="s">
        <v>34836</v>
      </c>
      <c r="B27667" s="4" t="s">
        <v>34837</v>
      </c>
      <c r="C27667" s="5" t="str">
        <f>IFERROR(__xludf.DUMMYFUNCTION("GOOGLETRANSLATE(B27667,""en"",""es-ES"")"),"Se ve a una persona corriendo sostener una tabla de surf, y se muestra nuevamente mirando su teléfono y riendo.")</f>
        <v>Se ve a una persona corriendo sostener una tabla de surf, y se muestra nuevamente mirando su teléfono y riendo.</v>
      </c>
    </row>
    <row r="27668">
      <c r="A27668" s="4" t="s">
        <v>34836</v>
      </c>
      <c r="B27668" s="4" t="s">
        <v>34838</v>
      </c>
      <c r="C27668" s="5" t="str">
        <f>IFERROR(__xludf.DUMMYFUNCTION("GOOGLETRANSLATE(B27668,""en"",""es-ES"")"),"Se ve a más personas en varios lugares revisando su teléfono y termina con una mujer montando una bicicleta de ejercicios.")</f>
        <v>Se ve a más personas en varios lugares revisando su teléfono y termina con una mujer montando una bicicleta de ejercicios.</v>
      </c>
    </row>
    <row r="27669">
      <c r="A27669" s="4" t="s">
        <v>34839</v>
      </c>
      <c r="B27669" s="4" t="s">
        <v>34840</v>
      </c>
      <c r="C27669" s="5" t="str">
        <f>IFERROR(__xludf.DUMMYFUNCTION("GOOGLETRANSLATE(B27669,""en"",""es-ES"")"),"La mano de una mujer recoge un animal de peluche rodeado de regalos.")</f>
        <v>La mano de una mujer recoge un animal de peluche rodeado de regalos.</v>
      </c>
    </row>
    <row r="27670">
      <c r="A27670" s="4" t="s">
        <v>34839</v>
      </c>
      <c r="B27670" s="4" t="s">
        <v>34841</v>
      </c>
      <c r="C27670" s="5" t="str">
        <f>IFERROR(__xludf.DUMMYFUNCTION("GOOGLETRANSLATE(B27670,""en"",""es-ES"")"),"Se muestran accesorios de envoltura de regalos.")</f>
        <v>Se muestran accesorios de envoltura de regalos.</v>
      </c>
    </row>
    <row r="27671">
      <c r="A27671" s="4" t="s">
        <v>34839</v>
      </c>
      <c r="B27671" s="4" t="s">
        <v>34842</v>
      </c>
      <c r="C27671" s="5" t="str">
        <f>IFERROR(__xludf.DUMMYFUNCTION("GOOGLETRANSLATE(B27671,""en"",""es-ES"")"),"Una mujer presenta papel de seda y coloca un juguete de peluche en el centro.")</f>
        <v>Una mujer presenta papel de seda y coloca un juguete de peluche en el centro.</v>
      </c>
    </row>
    <row r="27672">
      <c r="A27672" s="4" t="s">
        <v>34839</v>
      </c>
      <c r="B27672" s="4" t="s">
        <v>34843</v>
      </c>
      <c r="C27672" s="5" t="str">
        <f>IFERROR(__xludf.DUMMYFUNCTION("GOOGLETRANSLATE(B27672,""en"",""es-ES"")"),"La mujer envuelve el juguete en el papel de seda y se los cierra.")</f>
        <v>La mujer envuelve el juguete en el papel de seda y se los cierra.</v>
      </c>
    </row>
    <row r="27673">
      <c r="A27673" s="4" t="s">
        <v>34839</v>
      </c>
      <c r="B27673" s="4" t="s">
        <v>34844</v>
      </c>
      <c r="C27673" s="5" t="str">
        <f>IFERROR(__xludf.DUMMYFUNCTION("GOOGLETRANSLATE(B27673,""en"",""es-ES"")"),"La mujer presenta celofán y coloca el juguete envuelto en él.")</f>
        <v>La mujer presenta celofán y coloca el juguete envuelto en él.</v>
      </c>
    </row>
    <row r="27674">
      <c r="A27674" s="4" t="s">
        <v>34839</v>
      </c>
      <c r="B27674" s="4" t="s">
        <v>34845</v>
      </c>
      <c r="C27674" s="5" t="str">
        <f>IFERROR(__xludf.DUMMYFUNCTION("GOOGLETRANSLATE(B27674,""en"",""es-ES"")"),"La mujer corta el celofán y luego procede a enrollar el juguete cubierto de papel de seda.")</f>
        <v>La mujer corta el celofán y luego procede a enrollar el juguete cubierto de papel de seda.</v>
      </c>
    </row>
    <row r="27675">
      <c r="A27675" s="4" t="s">
        <v>34839</v>
      </c>
      <c r="B27675" s="4" t="s">
        <v>34846</v>
      </c>
      <c r="C27675" s="5" t="str">
        <f>IFERROR(__xludf.DUMMYFUNCTION("GOOGLETRANSLATE(B27675,""en"",""es-ES"")"),"La mujer tuerce los extremos del celofán y cinta adhesado el paquete.")</f>
        <v>La mujer tuerce los extremos del celofán y cinta adhesado el paquete.</v>
      </c>
    </row>
    <row r="27676">
      <c r="A27676" s="4" t="s">
        <v>34839</v>
      </c>
      <c r="B27676" s="4" t="s">
        <v>34847</v>
      </c>
      <c r="C27676" s="5" t="str">
        <f>IFERROR(__xludf.DUMMYFUNCTION("GOOGLETRANSLATE(B27676,""en"",""es-ES"")"),"La cinta se coloca alrededor de los extremos del paquete.")</f>
        <v>La cinta se coloca alrededor de los extremos del paquete.</v>
      </c>
    </row>
    <row r="27677">
      <c r="A27677" s="4" t="s">
        <v>34839</v>
      </c>
      <c r="B27677" s="4" t="s">
        <v>34848</v>
      </c>
      <c r="C27677" s="5" t="str">
        <f>IFERROR(__xludf.DUMMYFUNCTION("GOOGLETRANSLATE(B27677,""en"",""es-ES"")"),"La mujer muestra el paquete a la cámara y lo coloca en un mostrador.")</f>
        <v>La mujer muestra el paquete a la cámara y lo coloca en un mostrador.</v>
      </c>
    </row>
    <row r="27678">
      <c r="A27678" s="4" t="s">
        <v>34849</v>
      </c>
      <c r="B27678" s="4" t="s">
        <v>34850</v>
      </c>
      <c r="C27678" s="5" t="str">
        <f>IFERROR(__xludf.DUMMYFUNCTION("GOOGLETRANSLATE(B27678,""en"",""es-ES"")"),"Un niño está jugando un juego de arcade.")</f>
        <v>Un niño está jugando un juego de arcade.</v>
      </c>
    </row>
    <row r="27679">
      <c r="A27679" s="4" t="s">
        <v>34849</v>
      </c>
      <c r="B27679" s="4" t="s">
        <v>34851</v>
      </c>
      <c r="C27679" s="5" t="str">
        <f>IFERROR(__xludf.DUMMYFUNCTION("GOOGLETRANSLATE(B27679,""en"",""es-ES"")"),"Recoge una pelota y la arroja a los alfileres.")</f>
        <v>Recoge una pelota y la arroja a los alfileres.</v>
      </c>
    </row>
    <row r="27680">
      <c r="A27680" s="4" t="s">
        <v>34849</v>
      </c>
      <c r="B27680" s="4" t="s">
        <v>34852</v>
      </c>
      <c r="C27680" s="5" t="str">
        <f>IFERROR(__xludf.DUMMYFUNCTION("GOOGLETRANSLATE(B27680,""en"",""es-ES"")"),"Se da la vuelta y se aleja.")</f>
        <v>Se da la vuelta y se aleja.</v>
      </c>
    </row>
    <row r="27681">
      <c r="A27681" s="4" t="s">
        <v>34853</v>
      </c>
      <c r="B27681" s="4" t="s">
        <v>34854</v>
      </c>
      <c r="C27681" s="5" t="str">
        <f>IFERROR(__xludf.DUMMYFUNCTION("GOOGLETRANSLATE(B27681,""en"",""es-ES"")"),"Hombres y mujeres y niños están asando malvavisco en la hoguera, mientras que otros están esquiando o descansando en las sillas.")</f>
        <v>Hombres y mujeres y niños están asando malvavisco en la hoguera, mientras que otros están esquiando o descansando en las sillas.</v>
      </c>
    </row>
    <row r="27682">
      <c r="A27682" s="4" t="s">
        <v>34853</v>
      </c>
      <c r="B27682" s="4" t="s">
        <v>34855</v>
      </c>
      <c r="C27682" s="5" t="str">
        <f>IFERROR(__xludf.DUMMYFUNCTION("GOOGLETRANSLATE(B27682,""en"",""es-ES"")"),"Una mujer se desliza por la pendiente y la niña se acercó a ella y le dio un beso, luego la mujer ayuda a la niña deslizándose por la pendiente.")</f>
        <v>Una mujer se desliza por la pendiente y la niña se acercó a ella y le dio un beso, luego la mujer ayuda a la niña deslizándose por la pendiente.</v>
      </c>
    </row>
    <row r="27683">
      <c r="A27683" s="4" t="s">
        <v>34856</v>
      </c>
      <c r="B27683" s="4" t="s">
        <v>34857</v>
      </c>
      <c r="C27683" s="5" t="str">
        <f>IFERROR(__xludf.DUMMYFUNCTION("GOOGLETRANSLATE(B27683,""en"",""es-ES"")"),"Un hombre está afuera en la nieve sosteniendo una cuerda unida a un móvil de nieve.")</f>
        <v>Un hombre está afuera en la nieve sosteniendo una cuerda unida a un móvil de nieve.</v>
      </c>
    </row>
    <row r="27684">
      <c r="A27684" s="4" t="s">
        <v>34856</v>
      </c>
      <c r="B27684" s="4" t="s">
        <v>34858</v>
      </c>
      <c r="C27684" s="5" t="str">
        <f>IFERROR(__xludf.DUMMYFUNCTION("GOOGLETRANSLATE(B27684,""en"",""es-ES"")"),"El móvil de nieve comienza a moverse y la persona comienza a hacer snowboard en todo el campo.")</f>
        <v>El móvil de nieve comienza a moverse y la persona comienza a hacer snowboard en todo el campo.</v>
      </c>
    </row>
    <row r="27685">
      <c r="A27685" s="4" t="s">
        <v>34856</v>
      </c>
      <c r="B27685" s="4" t="s">
        <v>34859</v>
      </c>
      <c r="C27685" s="5" t="str">
        <f>IFERROR(__xludf.DUMMYFUNCTION("GOOGLETRANSLATE(B27685,""en"",""es-ES"")"),"Continúan moviéndose a través de la nieve y el bosque de los árboles en un estacionamiento junto a una cabaña.")</f>
        <v>Continúan moviéndose a través de la nieve y el bosque de los árboles en un estacionamiento junto a una cabaña.</v>
      </c>
    </row>
    <row r="27686">
      <c r="A27686" s="4" t="s">
        <v>34860</v>
      </c>
      <c r="B27686" s="4" t="s">
        <v>34861</v>
      </c>
      <c r="C27686" s="5" t="str">
        <f>IFERROR(__xludf.DUMMYFUNCTION("GOOGLETRANSLATE(B27686,""en"",""es-ES"")"),"Se ve a una niña de pie lista mirando un violín.")</f>
        <v>Se ve a una niña de pie lista mirando un violín.</v>
      </c>
    </row>
    <row r="27687">
      <c r="A27687" s="4" t="s">
        <v>34860</v>
      </c>
      <c r="B27687" s="4" t="s">
        <v>34862</v>
      </c>
      <c r="C27687" s="5" t="str">
        <f>IFERROR(__xludf.DUMMYFUNCTION("GOOGLETRANSLATE(B27687,""en"",""es-ES"")"),"Luego se ve a la niña tocando el violín mientras se mueve hacia arriba y hacia abajo.")</f>
        <v>Luego se ve a la niña tocando el violín mientras se mueve hacia arriba y hacia abajo.</v>
      </c>
    </row>
    <row r="27688">
      <c r="A27688" s="4" t="s">
        <v>34860</v>
      </c>
      <c r="B27688" s="4" t="s">
        <v>34863</v>
      </c>
      <c r="C27688" s="5" t="str">
        <f>IFERROR(__xludf.DUMMYFUNCTION("GOOGLETRANSLATE(B27688,""en"",""es-ES"")"),"La niña continúa tocando el instrumento y termina mirando a la cámara.")</f>
        <v>La niña continúa tocando el instrumento y termina mirando a la cámara.</v>
      </c>
    </row>
    <row r="27689">
      <c r="A27689" s="4" t="s">
        <v>34864</v>
      </c>
      <c r="B27689" s="4" t="s">
        <v>34865</v>
      </c>
      <c r="C27689" s="5" t="str">
        <f>IFERROR(__xludf.DUMMYFUNCTION("GOOGLETRANSLATE(B27689,""en"",""es-ES"")"),"Un hombre está frotando protector solar en su espalda.")</f>
        <v>Un hombre está frotando protector solar en su espalda.</v>
      </c>
    </row>
    <row r="27690">
      <c r="A27690" s="4" t="s">
        <v>34864</v>
      </c>
      <c r="B27690" s="4" t="s">
        <v>34866</v>
      </c>
      <c r="C27690" s="5" t="str">
        <f>IFERROR(__xludf.DUMMYFUNCTION("GOOGLETRANSLATE(B27690,""en"",""es-ES"")"),"Una niña está acostada sobre una toalla en la playa detrás de él.")</f>
        <v>Una niña está acostada sobre una toalla en la playa detrás de él.</v>
      </c>
    </row>
    <row r="27691">
      <c r="A27691" s="4" t="s">
        <v>34864</v>
      </c>
      <c r="B27691" s="4" t="s">
        <v>34867</v>
      </c>
      <c r="C27691" s="5" t="str">
        <f>IFERROR(__xludf.DUMMYFUNCTION("GOOGLETRANSLATE(B27691,""en"",""es-ES"")"),"Una persona con una camisa naranja camina detrás de él.")</f>
        <v>Una persona con una camisa naranja camina detrás de él.</v>
      </c>
    </row>
    <row r="27692">
      <c r="A27692" s="4" t="s">
        <v>34868</v>
      </c>
      <c r="B27692" s="4" t="s">
        <v>34869</v>
      </c>
      <c r="C27692" s="5" t="str">
        <f>IFERROR(__xludf.DUMMYFUNCTION("GOOGLETRANSLATE(B27692,""en"",""es-ES"")"),"Se ve a una persona cayendo en el agua frente a un salto.")</f>
        <v>Se ve a una persona cayendo en el agua frente a un salto.</v>
      </c>
    </row>
    <row r="27693">
      <c r="A27693" s="4" t="s">
        <v>34868</v>
      </c>
      <c r="B27693" s="4" t="s">
        <v>34870</v>
      </c>
      <c r="C27693" s="5" t="str">
        <f>IFERROR(__xludf.DUMMYFUNCTION("GOOGLETRANSLATE(B27693,""en"",""es-ES"")"),"Se ve a otra persona cabalgando en esquís junto a él.")</f>
        <v>Se ve a otra persona cabalgando en esquís junto a él.</v>
      </c>
    </row>
    <row r="27694">
      <c r="A27694" s="4" t="s">
        <v>34868</v>
      </c>
      <c r="B27694" s="4" t="s">
        <v>34871</v>
      </c>
      <c r="C27694" s="5" t="str">
        <f>IFERROR(__xludf.DUMMYFUNCTION("GOOGLETRANSLATE(B27694,""en"",""es-ES"")"),"El hombre continúa montando mientras la cámara se acerca al agua.")</f>
        <v>El hombre continúa montando mientras la cámara se acerca al agua.</v>
      </c>
    </row>
    <row r="27695">
      <c r="A27695" s="4" t="s">
        <v>34872</v>
      </c>
      <c r="B27695" s="4" t="s">
        <v>34873</v>
      </c>
      <c r="C27695" s="5" t="str">
        <f>IFERROR(__xludf.DUMMYFUNCTION("GOOGLETRANSLATE(B27695,""en"",""es-ES"")"),"Se ve a un hombre sosteniendo un instrumento frente a una gran pila de instrumentos y hablando con la cámara.")</f>
        <v>Se ve a un hombre sosteniendo un instrumento frente a una gran pila de instrumentos y hablando con la cámara.</v>
      </c>
    </row>
    <row r="27696">
      <c r="A27696" s="4" t="s">
        <v>34872</v>
      </c>
      <c r="B27696" s="4" t="s">
        <v>34874</v>
      </c>
      <c r="C27696" s="5" t="str">
        <f>IFERROR(__xludf.DUMMYFUNCTION("GOOGLETRANSLATE(B27696,""en"",""es-ES"")"),"El hombre luego toca el instrumento continuamente y termina con él deteniendo y sosteniendo el instrumento.")</f>
        <v>El hombre luego toca el instrumento continuamente y termina con él deteniendo y sosteniendo el instrumento.</v>
      </c>
    </row>
    <row r="27697">
      <c r="A27697" s="4" t="s">
        <v>34875</v>
      </c>
      <c r="B27697" s="4" t="s">
        <v>34876</v>
      </c>
      <c r="C27697" s="5" t="str">
        <f>IFERROR(__xludf.DUMMYFUNCTION("GOOGLETRANSLATE(B27697,""en"",""es-ES"")"),"Dos hombres comienzan a luchar de pie afuera.")</f>
        <v>Dos hombres comienzan a luchar de pie afuera.</v>
      </c>
    </row>
    <row r="27698">
      <c r="A27698" s="4" t="s">
        <v>34875</v>
      </c>
      <c r="B27698" s="4" t="s">
        <v>34877</v>
      </c>
      <c r="C27698" s="5" t="str">
        <f>IFERROR(__xludf.DUMMYFUNCTION("GOOGLETRANSLATE(B27698,""en"",""es-ES"")"),"Un hombre arroja al otro hombre a una mesa.")</f>
        <v>Un hombre arroja al otro hombre a una mesa.</v>
      </c>
    </row>
    <row r="27699">
      <c r="A27699" s="4" t="s">
        <v>34878</v>
      </c>
      <c r="B27699" s="4" t="s">
        <v>34879</v>
      </c>
      <c r="C27699" s="5" t="str">
        <f>IFERROR(__xludf.DUMMYFUNCTION("GOOGLETRANSLATE(B27699,""en"",""es-ES"")"),"Una cámara se acerca a un bebé con una sombrero de béisbol que cabalga hacia atrás y el cuarto en un set de columpio.")</f>
        <v>Una cámara se acerca a un bebé con una sombrero de béisbol que cabalga hacia atrás y el cuarto en un set de columpio.</v>
      </c>
    </row>
    <row r="27700">
      <c r="A27700" s="4" t="s">
        <v>34878</v>
      </c>
      <c r="B27700" s="4" t="s">
        <v>34880</v>
      </c>
      <c r="C27700" s="5" t="str">
        <f>IFERROR(__xludf.DUMMYFUNCTION("GOOGLETRANSLATE(B27700,""en"",""es-ES"")"),"El bebé viaja continuamente de regreso y cuarto mientras que otro niño monta un columpio a su lado.")</f>
        <v>El bebé viaja continuamente de regreso y cuarto mientras que otro niño monta un columpio a su lado.</v>
      </c>
    </row>
    <row r="27701">
      <c r="A27701" s="4" t="s">
        <v>34881</v>
      </c>
      <c r="B27701" s="4" t="s">
        <v>34882</v>
      </c>
      <c r="C27701" s="5" t="str">
        <f>IFERROR(__xludf.DUMMYFUNCTION("GOOGLETRANSLATE(B27701,""en"",""es-ES"")"),"Un grupo de niñas está sentada en un auto viejo mientras un gran grupo de autos detrás de ellas se mueve.")</f>
        <v>Un grupo de niñas está sentada en un auto viejo mientras un gran grupo de autos detrás de ellas se mueve.</v>
      </c>
    </row>
    <row r="27702">
      <c r="A27702" s="4" t="s">
        <v>34881</v>
      </c>
      <c r="B27702" s="4" t="s">
        <v>34883</v>
      </c>
      <c r="C27702" s="5" t="str">
        <f>IFERROR(__xludf.DUMMYFUNCTION("GOOGLETRANSLATE(B27702,""en"",""es-ES"")"),"Otras personas se muestran con atuendo de Navidad y bailando en las calles del automóvil.")</f>
        <v>Otras personas se muestran con atuendo de Navidad y bailando en las calles del automóvil.</v>
      </c>
    </row>
    <row r="27703">
      <c r="A27703" s="4" t="s">
        <v>34881</v>
      </c>
      <c r="B27703" s="4" t="s">
        <v>34884</v>
      </c>
      <c r="C27703" s="5" t="str">
        <f>IFERROR(__xludf.DUMMYFUNCTION("GOOGLETRANSLATE(B27703,""en"",""es-ES"")"),"Una banda está tocando un grupo de niños mientras el desfile los sigue llenos de gente bailando.")</f>
        <v>Una banda está tocando un grupo de niños mientras el desfile los sigue llenos de gente bailando.</v>
      </c>
    </row>
    <row r="27704">
      <c r="A27704" s="4" t="s">
        <v>34885</v>
      </c>
      <c r="B27704" s="4" t="s">
        <v>34886</v>
      </c>
      <c r="C27704" s="5" t="str">
        <f>IFERROR(__xludf.DUMMYFUNCTION("GOOGLETRANSLATE(B27704,""en"",""es-ES"")"),"Un hombre y un niño pintan una cerca con pinceles.")</f>
        <v>Un hombre y un niño pintan una cerca con pinceles.</v>
      </c>
    </row>
    <row r="27705">
      <c r="A27705" s="4" t="s">
        <v>34885</v>
      </c>
      <c r="B27705" s="4" t="s">
        <v>34887</v>
      </c>
      <c r="C27705" s="5" t="str">
        <f>IFERROR(__xludf.DUMMYFUNCTION("GOOGLETRANSLATE(B27705,""en"",""es-ES"")"),"Un bebé mira al hombre y al niño pintando.")</f>
        <v>Un bebé mira al hombre y al niño pintando.</v>
      </c>
    </row>
    <row r="27706">
      <c r="A27706" s="4" t="s">
        <v>34888</v>
      </c>
      <c r="B27706" s="4" t="s">
        <v>34889</v>
      </c>
      <c r="C27706" s="5" t="str">
        <f>IFERROR(__xludf.DUMMYFUNCTION("GOOGLETRANSLATE(B27706,""en"",""es-ES"")"),"Se ve a un gran grupo de personas de pie en un escenario, mientras que otros miran a un lado.")</f>
        <v>Se ve a un gran grupo de personas de pie en un escenario, mientras que otros miran a un lado.</v>
      </c>
    </row>
    <row r="27707">
      <c r="A27707" s="4" t="s">
        <v>34888</v>
      </c>
      <c r="B27707" s="4" t="s">
        <v>34890</v>
      </c>
      <c r="C27707" s="5" t="str">
        <f>IFERROR(__xludf.DUMMYFUNCTION("GOOGLETRANSLATE(B27707,""en"",""es-ES"")"),"Las animadoras comienzan a realizar una rutina mientras arrojan a otros y voltean.")</f>
        <v>Las animadoras comienzan a realizar una rutina mientras arrojan a otros y voltean.</v>
      </c>
    </row>
    <row r="27708">
      <c r="A27708" s="4" t="s">
        <v>34888</v>
      </c>
      <c r="B27708" s="4" t="s">
        <v>34891</v>
      </c>
      <c r="C27708" s="5" t="str">
        <f>IFERROR(__xludf.DUMMYFUNCTION("GOOGLETRANSLATE(B27708,""en"",""es-ES"")"),"El grupo continúa actuando en el escenario y finaliza sosteniendo una pose y alejándose.")</f>
        <v>El grupo continúa actuando en el escenario y finaliza sosteniendo una pose y alejándose.</v>
      </c>
    </row>
    <row r="27709">
      <c r="A27709" s="4" t="s">
        <v>34892</v>
      </c>
      <c r="B27709" s="4" t="s">
        <v>34893</v>
      </c>
      <c r="C27709" s="5" t="str">
        <f>IFERROR(__xludf.DUMMYFUNCTION("GOOGLETRANSLATE(B27709,""en"",""es-ES"")"),"Un chico se sienta con las piernas cerca de su pecho.")</f>
        <v>Un chico se sienta con las piernas cerca de su pecho.</v>
      </c>
    </row>
    <row r="27710">
      <c r="A27710" s="4" t="s">
        <v>34892</v>
      </c>
      <c r="B27710" s="4" t="s">
        <v>34894</v>
      </c>
      <c r="C27710" s="5" t="str">
        <f>IFERROR(__xludf.DUMMYFUNCTION("GOOGLETRANSLATE(B27710,""en"",""es-ES"")"),"El chico está haciendo ejercicio tirando de un mango.")</f>
        <v>El chico está haciendo ejercicio tirando de un mango.</v>
      </c>
    </row>
    <row r="27711">
      <c r="A27711" s="4" t="s">
        <v>34892</v>
      </c>
      <c r="B27711" s="4" t="s">
        <v>34895</v>
      </c>
      <c r="C27711" s="5" t="str">
        <f>IFERROR(__xludf.DUMMYFUNCTION("GOOGLETRANSLATE(B27711,""en"",""es-ES"")"),"El tipo deja de hacer ejercicio arregla sus gafas de lectura y toca su barba.")</f>
        <v>El tipo deja de hacer ejercicio arregla sus gafas de lectura y toca su barba.</v>
      </c>
    </row>
    <row r="27712">
      <c r="A27712" s="4" t="s">
        <v>34892</v>
      </c>
      <c r="B27712" s="4" t="s">
        <v>34896</v>
      </c>
      <c r="C27712" s="5" t="str">
        <f>IFERROR(__xludf.DUMMYFUNCTION("GOOGLETRANSLATE(B27712,""en"",""es-ES"")"),"El tipo se quita las piernas de la máquina de ejercicios y toca la perilla.")</f>
        <v>El tipo se quita las piernas de la máquina de ejercicios y toca la perilla.</v>
      </c>
    </row>
    <row r="27713">
      <c r="A27713" s="4" t="s">
        <v>34897</v>
      </c>
      <c r="B27713" s="4" t="s">
        <v>34898</v>
      </c>
      <c r="C27713" s="5" t="str">
        <f>IFERROR(__xludf.DUMMYFUNCTION("GOOGLETRANSLATE(B27713,""en"",""es-ES"")"),"Vemos a una chica saltando sobre un trampolín en puertas.")</f>
        <v>Vemos a una chica saltando sobre un trampolín en puertas.</v>
      </c>
    </row>
    <row r="27714">
      <c r="A27714" s="4" t="s">
        <v>34897</v>
      </c>
      <c r="B27714" s="4" t="s">
        <v>34899</v>
      </c>
      <c r="C27714" s="5" t="str">
        <f>IFERROR(__xludf.DUMMYFUNCTION("GOOGLETRANSLATE(B27714,""en"",""es-ES"")"),"Vemos a la niña girar en el aire.")</f>
        <v>Vemos a la niña girar en el aire.</v>
      </c>
    </row>
    <row r="27715">
      <c r="A27715" s="4" t="s">
        <v>34897</v>
      </c>
      <c r="B27715" s="4" t="s">
        <v>34900</v>
      </c>
      <c r="C27715" s="5" t="str">
        <f>IFERROR(__xludf.DUMMYFUNCTION("GOOGLETRANSLATE(B27715,""en"",""es-ES"")"),"La niña hace una serie de flips.")</f>
        <v>La niña hace una serie de flips.</v>
      </c>
    </row>
    <row r="27716">
      <c r="A27716" s="4" t="s">
        <v>34897</v>
      </c>
      <c r="B27716" s="4" t="s">
        <v>34901</v>
      </c>
      <c r="C27716" s="5" t="str">
        <f>IFERROR(__xludf.DUMMYFUNCTION("GOOGLETRANSLATE(B27716,""en"",""es-ES"")"),"La niña voltea en cajas azules.")</f>
        <v>La niña voltea en cajas azules.</v>
      </c>
    </row>
    <row r="27717">
      <c r="A27717" s="4" t="s">
        <v>34897</v>
      </c>
      <c r="B27717" s="4" t="s">
        <v>34902</v>
      </c>
      <c r="C27717" s="5" t="str">
        <f>IFERROR(__xludf.DUMMYFUNCTION("GOOGLETRANSLATE(B27717,""en"",""es-ES"")"),"La niña hace una serie de volteos y un giro.")</f>
        <v>La niña hace una serie de volteos y un giro.</v>
      </c>
    </row>
    <row r="27718">
      <c r="A27718" s="4" t="s">
        <v>34897</v>
      </c>
      <c r="B27718" s="4" t="s">
        <v>34903</v>
      </c>
      <c r="C27718" s="5" t="str">
        <f>IFERROR(__xludf.DUMMYFUNCTION("GOOGLETRANSLATE(B27718,""en"",""es-ES"")"),"Vemos una pantalla de título y luego vemos a las chicas bloopers.")</f>
        <v>Vemos una pantalla de título y luego vemos a las chicas bloopers.</v>
      </c>
    </row>
    <row r="27719">
      <c r="A27719" s="4" t="s">
        <v>34897</v>
      </c>
      <c r="B27719" s="4" t="s">
        <v>3608</v>
      </c>
      <c r="C27719" s="5" t="str">
        <f>IFERROR(__xludf.DUMMYFUNCTION("GOOGLETRANSLATE(B27719,""en"",""es-ES"")"),"Vemos la pantalla final.")</f>
        <v>Vemos la pantalla final.</v>
      </c>
    </row>
    <row r="27720">
      <c r="A27720" s="4" t="s">
        <v>34904</v>
      </c>
      <c r="B27720" s="4" t="s">
        <v>34905</v>
      </c>
      <c r="C27720" s="5" t="str">
        <f>IFERROR(__xludf.DUMMYFUNCTION("GOOGLETRANSLATE(B27720,""en"",""es-ES"")"),"Se muestra a una mujer hablando con la cámara con las manos y la cámara apuntando a un edificio.")</f>
        <v>Se muestra a una mujer hablando con la cámara con las manos y la cámara apuntando a un edificio.</v>
      </c>
    </row>
    <row r="27721">
      <c r="A27721" s="4" t="s">
        <v>34904</v>
      </c>
      <c r="B27721" s="4" t="s">
        <v>34906</v>
      </c>
      <c r="C27721" s="5" t="str">
        <f>IFERROR(__xludf.DUMMYFUNCTION("GOOGLETRANSLATE(B27721,""en"",""es-ES"")"),"Ella se para frente al edificio haciendo varios pequeños bailes y continúa esto frente a varios edificios y ubicaciones.")</f>
        <v>Ella se para frente al edificio haciendo varios pequeños bailes y continúa esto frente a varios edificios y ubicaciones.</v>
      </c>
    </row>
    <row r="27722">
      <c r="A27722" s="4" t="s">
        <v>34907</v>
      </c>
      <c r="B27722" s="4" t="s">
        <v>34908</v>
      </c>
      <c r="C27722" s="5" t="str">
        <f>IFERROR(__xludf.DUMMYFUNCTION("GOOGLETRANSLATE(B27722,""en"",""es-ES"")"),"Se muestra a una mujer sonriendo a la cámara raspando su auto con un raspador.")</f>
        <v>Se muestra a una mujer sonriendo a la cámara raspando su auto con un raspador.</v>
      </c>
    </row>
    <row r="27723">
      <c r="A27723" s="4" t="s">
        <v>34907</v>
      </c>
      <c r="B27723" s="4" t="s">
        <v>34909</v>
      </c>
      <c r="C27723" s="5" t="str">
        <f>IFERROR(__xludf.DUMMYFUNCTION("GOOGLETRANSLATE(B27723,""en"",""es-ES"")"),"Ella habla con el camarógrafo mientras sonríe a la cámara y continúa raspando.")</f>
        <v>Ella habla con el camarógrafo mientras sonríe a la cámara y continúa raspando.</v>
      </c>
    </row>
    <row r="27724">
      <c r="A27724" s="4" t="s">
        <v>34910</v>
      </c>
      <c r="B27724" s="4" t="s">
        <v>34911</v>
      </c>
      <c r="C27724" s="5" t="str">
        <f>IFERROR(__xludf.DUMMYFUNCTION("GOOGLETRANSLATE(B27724,""en"",""es-ES"")"),"Vemos a una dama traer un caballo a un establo gira el caballo y lo ata.")</f>
        <v>Vemos a una dama traer un caballo a un establo gira el caballo y lo ata.</v>
      </c>
    </row>
    <row r="27725">
      <c r="A27725" s="4" t="s">
        <v>34910</v>
      </c>
      <c r="B27725" s="4" t="s">
        <v>34912</v>
      </c>
      <c r="C27725" s="5" t="str">
        <f>IFERROR(__xludf.DUMMYFUNCTION("GOOGLETRANSLATE(B27725,""en"",""es-ES"")"),"La señora luego cepilla el caballo y limpia los cascos del caballo a la derecha.")</f>
        <v>La señora luego cepilla el caballo y limpia los cascos del caballo a la derecha.</v>
      </c>
    </row>
    <row r="27726">
      <c r="A27726" s="4" t="s">
        <v>34910</v>
      </c>
      <c r="B27726" s="4" t="s">
        <v>34913</v>
      </c>
      <c r="C27726" s="5" t="str">
        <f>IFERROR(__xludf.DUMMYFUNCTION("GOOGLETRANSLATE(B27726,""en"",""es-ES"")"),"La señora rocía un producto en la melena y lo viene.")</f>
        <v>La señora rocía un producto en la melena y lo viene.</v>
      </c>
    </row>
    <row r="27727">
      <c r="A27727" s="4" t="s">
        <v>34910</v>
      </c>
      <c r="B27727" s="4" t="s">
        <v>34914</v>
      </c>
      <c r="C27727" s="5" t="str">
        <f>IFERROR(__xludf.DUMMYFUNCTION("GOOGLETRANSLATE(B27727,""en"",""es-ES"")"),"La señora se mueve al frente del caballo y cepilla su melena.")</f>
        <v>La señora se mueve al frente del caballo y cepilla su melena.</v>
      </c>
    </row>
    <row r="27728">
      <c r="A27728" s="4" t="s">
        <v>34910</v>
      </c>
      <c r="B27728" s="4" t="s">
        <v>34915</v>
      </c>
      <c r="C27728" s="5" t="str">
        <f>IFERROR(__xludf.DUMMYFUNCTION("GOOGLETRANSLATE(B27728,""en"",""es-ES"")"),"La señora cepilla el lado izquierdo del caballo y se limpia los cascos.")</f>
        <v>La señora cepilla el lado izquierdo del caballo y se limpia los cascos.</v>
      </c>
    </row>
    <row r="27729">
      <c r="A27729" s="4" t="s">
        <v>34910</v>
      </c>
      <c r="B27729" s="4" t="s">
        <v>34916</v>
      </c>
      <c r="C27729" s="5" t="str">
        <f>IFERROR(__xludf.DUMMYFUNCTION("GOOGLETRANSLATE(B27729,""en"",""es-ES"")"),"La señora luego cepilla la cola y el caballo y la señora se van.")</f>
        <v>La señora luego cepilla la cola y el caballo y la señora se van.</v>
      </c>
    </row>
    <row r="27730">
      <c r="A27730" s="4" t="s">
        <v>34917</v>
      </c>
      <c r="B27730" s="4" t="s">
        <v>34918</v>
      </c>
      <c r="C27730" s="5" t="str">
        <f>IFERROR(__xludf.DUMMYFUNCTION("GOOGLETRANSLATE(B27730,""en"",""es-ES"")"),"Se muestran varias imágenes de ingredientes seguidas de imágenes de los ingredientes establecidos en un tablero de corte.")</f>
        <v>Se muestran varias imágenes de ingredientes seguidas de imágenes de los ingredientes establecidos en un tablero de corte.</v>
      </c>
    </row>
    <row r="27731">
      <c r="A27731" s="4" t="s">
        <v>34917</v>
      </c>
      <c r="B27731" s="4" t="s">
        <v>34919</v>
      </c>
      <c r="C27731" s="5" t="str">
        <f>IFERROR(__xludf.DUMMYFUNCTION("GOOGLETRANSLATE(B27731,""en"",""es-ES"")"),"Las imágenes se transmiten a más ingredientes con las manos que los cubren y las apretan en una pelota.")</f>
        <v>Las imágenes se transmiten a más ingredientes con las manos que los cubren y las apretan en una pelota.</v>
      </c>
    </row>
    <row r="27732">
      <c r="A27732" s="4" t="s">
        <v>34917</v>
      </c>
      <c r="B27732" s="4" t="s">
        <v>34920</v>
      </c>
      <c r="C27732" s="5" t="str">
        <f>IFERROR(__xludf.DUMMYFUNCTION("GOOGLETRANSLATE(B27732,""en"",""es-ES"")"),"Las imágenes y el video de la comida que se está cocinando en una sartén se muestran seguidas por una persona que lo saca y la corta con un cuchillo.")</f>
        <v>Las imágenes y el video de la comida que se está cocinando en una sartén se muestran seguidas por una persona que lo saca y la corta con un cuchillo.</v>
      </c>
    </row>
    <row r="27733">
      <c r="A27733" s="4" t="s">
        <v>34917</v>
      </c>
      <c r="B27733" s="4" t="s">
        <v>34921</v>
      </c>
      <c r="C27733" s="5" t="str">
        <f>IFERROR(__xludf.DUMMYFUNCTION("GOOGLETRANSLATE(B27733,""en"",""es-ES"")"),"Finalmente, se muestra una imagen del producto de comida terminada.")</f>
        <v>Finalmente, se muestra una imagen del producto de comida terminada.</v>
      </c>
    </row>
    <row r="27734">
      <c r="A27734" s="4" t="s">
        <v>34922</v>
      </c>
      <c r="B27734" s="4" t="s">
        <v>3859</v>
      </c>
      <c r="C27734" s="5" t="str">
        <f>IFERROR(__xludf.DUMMYFUNCTION("GOOGLETRANSLATE(B27734,""en"",""es-ES"")"),"Vemos una pantalla de título de apertura.")</f>
        <v>Vemos una pantalla de título de apertura.</v>
      </c>
    </row>
    <row r="27735">
      <c r="A27735" s="4" t="s">
        <v>34922</v>
      </c>
      <c r="B27735" s="4" t="s">
        <v>34923</v>
      </c>
      <c r="C27735" s="5" t="str">
        <f>IFERROR(__xludf.DUMMYFUNCTION("GOOGLETRANSLATE(B27735,""en"",""es-ES"")"),"Vemos gente rafting por un río en una balsa amarilla.")</f>
        <v>Vemos gente rafting por un río en una balsa amarilla.</v>
      </c>
    </row>
    <row r="27736">
      <c r="A27736" s="4" t="s">
        <v>34922</v>
      </c>
      <c r="B27736" s="4" t="s">
        <v>34924</v>
      </c>
      <c r="C27736" s="5" t="str">
        <f>IFERROR(__xludf.DUMMYFUNCTION("GOOGLETRANSLATE(B27736,""en"",""es-ES"")"),"La balsa se revoca y la gente cae en el río.")</f>
        <v>La balsa se revoca y la gente cae en el río.</v>
      </c>
    </row>
    <row r="27737">
      <c r="A27737" s="4" t="s">
        <v>34922</v>
      </c>
      <c r="B27737" s="4" t="s">
        <v>34925</v>
      </c>
      <c r="C27737" s="5" t="str">
        <f>IFERROR(__xludf.DUMMYFUNCTION("GOOGLETRANSLATE(B27737,""en"",""es-ES"")"),"La gente se agacha debajo de la rama de un árbol bajo y el hombre delantero derecho se encuentra y baila.")</f>
        <v>La gente se agacha debajo de la rama de un árbol bajo y el hombre delantero derecho se encuentra y baila.</v>
      </c>
    </row>
    <row r="27738">
      <c r="A27738" s="4" t="s">
        <v>34922</v>
      </c>
      <c r="B27738" s="4" t="s">
        <v>34926</v>
      </c>
      <c r="C27738" s="5" t="str">
        <f>IFERROR(__xludf.DUMMYFUNCTION("GOOGLETRANSLATE(B27738,""en"",""es-ES"")"),"Un hombre en la parte posterior de la balsa camina hacia adelante.")</f>
        <v>Un hombre en la parte posterior de la balsa camina hacia adelante.</v>
      </c>
    </row>
    <row r="27739">
      <c r="A27739" s="4" t="s">
        <v>34922</v>
      </c>
      <c r="B27739" s="4" t="s">
        <v>777</v>
      </c>
      <c r="C27739" s="5" t="str">
        <f>IFERROR(__xludf.DUMMYFUNCTION("GOOGLETRANSLATE(B27739,""en"",""es-ES"")"),"Vemos la pantalla de título final.")</f>
        <v>Vemos la pantalla de título final.</v>
      </c>
    </row>
    <row r="27740">
      <c r="A27740" s="4" t="s">
        <v>34927</v>
      </c>
      <c r="B27740" s="4" t="s">
        <v>34928</v>
      </c>
      <c r="C27740" s="5" t="str">
        <f>IFERROR(__xludf.DUMMYFUNCTION("GOOGLETRANSLATE(B27740,""en"",""es-ES"")"),"Un equipo está jugando un juego en el campo, uno de ellos anota.")</f>
        <v>Un equipo está jugando un juego en el campo, uno de ellos anota.</v>
      </c>
    </row>
    <row r="27741">
      <c r="A27741" s="4" t="s">
        <v>34927</v>
      </c>
      <c r="B27741" s="4" t="s">
        <v>34929</v>
      </c>
      <c r="C27741" s="5" t="str">
        <f>IFERROR(__xludf.DUMMYFUNCTION("GOOGLETRANSLATE(B27741,""en"",""es-ES"")"),"La audiencia se vuelve loca y luego los equipos están de vuelta para tratar de anotar en la meta.")</f>
        <v>La audiencia se vuelve loca y luego los equipos están de vuelta para tratar de anotar en la meta.</v>
      </c>
    </row>
    <row r="27742">
      <c r="A27742" s="4" t="s">
        <v>34927</v>
      </c>
      <c r="B27742" s="4" t="s">
        <v>34930</v>
      </c>
      <c r="C27742" s="5" t="str">
        <f>IFERROR(__xludf.DUMMYFUNCTION("GOOGLETRANSLATE(B27742,""en"",""es-ES"")"),"El tipo del equipo amarillo tiene la pelota en el palo, está corriendo rápidamente con él y anota.")</f>
        <v>El tipo del equipo amarillo tiene la pelota en el palo, está corriendo rápidamente con él y anota.</v>
      </c>
    </row>
    <row r="27743">
      <c r="A27743" s="4" t="s">
        <v>34927</v>
      </c>
      <c r="B27743" s="4" t="s">
        <v>34931</v>
      </c>
      <c r="C27743" s="5" t="str">
        <f>IFERROR(__xludf.DUMMYFUNCTION("GOOGLETRANSLATE(B27743,""en"",""es-ES"")"),"Pusieron el trofeo en el aire y gritan con emoción.")</f>
        <v>Pusieron el trofeo en el aire y gritan con emoción.</v>
      </c>
    </row>
    <row r="27744">
      <c r="A27744" s="4" t="s">
        <v>34932</v>
      </c>
      <c r="B27744" s="4" t="s">
        <v>34933</v>
      </c>
      <c r="C27744" s="5" t="str">
        <f>IFERROR(__xludf.DUMMYFUNCTION("GOOGLETRANSLATE(B27744,""en"",""es-ES"")"),"Un hombre que lleva un abrigo negro está parado en la acera.")</f>
        <v>Un hombre que lleva un abrigo negro está parado en la acera.</v>
      </c>
    </row>
    <row r="27745">
      <c r="A27745" s="4" t="s">
        <v>34932</v>
      </c>
      <c r="B27745" s="4" t="s">
        <v>34934</v>
      </c>
      <c r="C27745" s="5" t="str">
        <f>IFERROR(__xludf.DUMMYFUNCTION("GOOGLETRANSLATE(B27745,""en"",""es-ES"")"),"Se acerca a un automóvil y comienza a raspar la nieve de las ventanas.")</f>
        <v>Se acerca a un automóvil y comienza a raspar la nieve de las ventanas.</v>
      </c>
    </row>
    <row r="27746">
      <c r="A27746" s="4" t="s">
        <v>34932</v>
      </c>
      <c r="B27746" s="4" t="s">
        <v>34935</v>
      </c>
      <c r="C27746" s="5" t="str">
        <f>IFERROR(__xludf.DUMMYFUNCTION("GOOGLETRANSLATE(B27746,""en"",""es-ES"")"),"La nieve cae al suelo frente al automóvil.")</f>
        <v>La nieve cae al suelo frente al automóvil.</v>
      </c>
    </row>
    <row r="27747">
      <c r="A27747" s="4" t="s">
        <v>34936</v>
      </c>
      <c r="B27747" s="4" t="s">
        <v>34937</v>
      </c>
      <c r="C27747" s="5" t="str">
        <f>IFERROR(__xludf.DUMMYFUNCTION("GOOGLETRANSLATE(B27747,""en"",""es-ES"")"),"Un hombre y una niña están parados en una playa.")</f>
        <v>Un hombre y una niña están parados en una playa.</v>
      </c>
    </row>
    <row r="27748">
      <c r="A27748" s="4" t="s">
        <v>34936</v>
      </c>
      <c r="B27748" s="4" t="s">
        <v>34938</v>
      </c>
      <c r="C27748" s="5" t="str">
        <f>IFERROR(__xludf.DUMMYFUNCTION("GOOGLETRANSLATE(B27748,""en"",""es-ES"")"),"El hombre recoge a la niña y recoge una tabla de surf.")</f>
        <v>El hombre recoge a la niña y recoge una tabla de surf.</v>
      </c>
    </row>
    <row r="27749">
      <c r="A27749" s="4" t="s">
        <v>34936</v>
      </c>
      <c r="B27749" s="4" t="s">
        <v>34939</v>
      </c>
      <c r="C27749" s="5" t="str">
        <f>IFERROR(__xludf.DUMMYFUNCTION("GOOGLETRANSLATE(B27749,""en"",""es-ES"")"),"Él va a surfear en el agua con ella en su espalda.")</f>
        <v>Él va a surfear en el agua con ella en su espalda.</v>
      </c>
    </row>
    <row r="27750">
      <c r="A27750" s="4" t="s">
        <v>34940</v>
      </c>
      <c r="B27750" s="4" t="s">
        <v>34941</v>
      </c>
      <c r="C27750" s="5" t="str">
        <f>IFERROR(__xludf.DUMMYFUNCTION("GOOGLETRANSLATE(B27750,""en"",""es-ES"")"),"Un hombre sostiene las patas traseras de un gato y le corta las uñas sentadas en el suelo.")</f>
        <v>Un hombre sostiene las patas traseras de un gato y le corta las uñas sentadas en el suelo.</v>
      </c>
    </row>
    <row r="27751">
      <c r="A27751" s="4" t="s">
        <v>34940</v>
      </c>
      <c r="B27751" s="4" t="s">
        <v>34942</v>
      </c>
      <c r="C27751" s="5" t="str">
        <f>IFERROR(__xludf.DUMMYFUNCTION("GOOGLETRANSLATE(B27751,""en"",""es-ES"")"),"El hombre termina una pata y luego lucha con el gato.")</f>
        <v>El hombre termina una pata y luego lucha con el gato.</v>
      </c>
    </row>
    <row r="27752">
      <c r="A27752" s="4" t="s">
        <v>34940</v>
      </c>
      <c r="B27752" s="4" t="s">
        <v>34943</v>
      </c>
      <c r="C27752" s="5" t="str">
        <f>IFERROR(__xludf.DUMMYFUNCTION("GOOGLETRANSLATE(B27752,""en"",""es-ES"")"),"El hombre mascota que gana el estómago.")</f>
        <v>El hombre mascota que gana el estómago.</v>
      </c>
    </row>
    <row r="27753">
      <c r="A27753" s="4" t="s">
        <v>34940</v>
      </c>
      <c r="B27753" s="4" t="s">
        <v>34944</v>
      </c>
      <c r="C27753" s="5" t="str">
        <f>IFERROR(__xludf.DUMMYFUNCTION("GOOGLETRANSLATE(B27753,""en"",""es-ES"")"),"El hombre examina a los gatos después de que se realiza el trabajo.")</f>
        <v>El hombre examina a los gatos después de que se realiza el trabajo.</v>
      </c>
    </row>
    <row r="27754">
      <c r="A27754" s="4" t="s">
        <v>34945</v>
      </c>
      <c r="B27754" s="4" t="s">
        <v>34946</v>
      </c>
      <c r="C27754" s="5" t="str">
        <f>IFERROR(__xludf.DUMMYFUNCTION("GOOGLETRANSLATE(B27754,""en"",""es-ES"")"),"Una taza con limonada es el siguiente frasco con una limonada.")</f>
        <v>Una taza con limonada es el siguiente frasco con una limonada.</v>
      </c>
    </row>
    <row r="27755">
      <c r="A27755" s="4" t="s">
        <v>34945</v>
      </c>
      <c r="B27755" s="4" t="s">
        <v>34947</v>
      </c>
      <c r="C27755" s="5" t="str">
        <f>IFERROR(__xludf.DUMMYFUNCTION("GOOGLETRANSLATE(B27755,""en"",""es-ES"")"),"Un tazón con tres tazas de agua fría, una taza de jugo de limón, una taza de agua y una taza de azúcar en la mesa.")</f>
        <v>Un tazón con tres tazas de agua fría, una taza de jugo de limón, una taza de agua y una taza de azúcar en la mesa.</v>
      </c>
    </row>
    <row r="27756">
      <c r="A27756" s="4" t="s">
        <v>34945</v>
      </c>
      <c r="B27756" s="4" t="s">
        <v>34948</v>
      </c>
      <c r="C27756" s="5" t="str">
        <f>IFERROR(__xludf.DUMMYFUNCTION("GOOGLETRANSLATE(B27756,""en"",""es-ES"")"),"Luego, una persona agrega azúcar y limón a la olla con agua para calentar.")</f>
        <v>Luego, una persona agrega azúcar y limón a la olla con agua para calentar.</v>
      </c>
    </row>
    <row r="27757">
      <c r="A27757" s="4" t="s">
        <v>34945</v>
      </c>
      <c r="B27757" s="4" t="s">
        <v>34949</v>
      </c>
      <c r="C27757" s="5" t="str">
        <f>IFERROR(__xludf.DUMMYFUNCTION("GOOGLETRANSLATE(B27757,""en"",""es-ES"")"),"Luego, la persona agrega la limonada a un frasco y sirve en una taza.")</f>
        <v>Luego, la persona agrega la limonada a un frasco y sirve en una taza.</v>
      </c>
    </row>
    <row r="27758">
      <c r="A27758" s="4" t="s">
        <v>34950</v>
      </c>
      <c r="B27758" s="4" t="s">
        <v>34951</v>
      </c>
      <c r="C27758" s="5" t="str">
        <f>IFERROR(__xludf.DUMMYFUNCTION("GOOGLETRANSLATE(B27758,""en"",""es-ES"")"),"Un hombre está en un garaje con periódico en una mesa.")</f>
        <v>Un hombre está en un garaje con periódico en una mesa.</v>
      </c>
    </row>
    <row r="27759">
      <c r="A27759" s="4" t="s">
        <v>34950</v>
      </c>
      <c r="B27759" s="4" t="s">
        <v>34952</v>
      </c>
      <c r="C27759" s="5" t="str">
        <f>IFERROR(__xludf.DUMMYFUNCTION("GOOGLETRANSLATE(B27759,""en"",""es-ES"")"),"Muestra cómo cortar la parte superior de una calabaza y elimina el interior.")</f>
        <v>Muestra cómo cortar la parte superior de una calabaza y elimina el interior.</v>
      </c>
    </row>
    <row r="27760">
      <c r="A27760" s="4" t="s">
        <v>34950</v>
      </c>
      <c r="B27760" s="4" t="s">
        <v>34953</v>
      </c>
      <c r="C27760" s="5" t="str">
        <f>IFERROR(__xludf.DUMMYFUNCTION("GOOGLETRANSLATE(B27760,""en"",""es-ES"")"),"Luego escala un diseño en la calabaza, creando una novedad Jackolantern.")</f>
        <v>Luego escala un diseño en la calabaza, creando una novedad Jackolantern.</v>
      </c>
    </row>
    <row r="27761">
      <c r="A27761" s="4" t="s">
        <v>34954</v>
      </c>
      <c r="B27761" s="4" t="s">
        <v>34955</v>
      </c>
      <c r="C27761" s="5" t="str">
        <f>IFERROR(__xludf.DUMMYFUNCTION("GOOGLETRANSLATE(B27761,""en"",""es-ES"")"),"Se muestra a un grupo de personas montando caballos en el desierto.")</f>
        <v>Se muestra a un grupo de personas montando caballos en el desierto.</v>
      </c>
    </row>
    <row r="27762">
      <c r="A27762" s="4" t="s">
        <v>34954</v>
      </c>
      <c r="B27762" s="4" t="s">
        <v>34956</v>
      </c>
      <c r="C27762" s="5" t="str">
        <f>IFERROR(__xludf.DUMMYFUNCTION("GOOGLETRANSLATE(B27762,""en"",""es-ES"")"),"Un hombre habla con la cámara mientras monta el caballo y da varias tomas de la tierra.")</f>
        <v>Un hombre habla con la cámara mientras monta el caballo y da varias tomas de la tierra.</v>
      </c>
    </row>
    <row r="27763">
      <c r="A27763" s="4" t="s">
        <v>34954</v>
      </c>
      <c r="B27763" s="4" t="s">
        <v>34957</v>
      </c>
      <c r="C27763" s="5" t="str">
        <f>IFERROR(__xludf.DUMMYFUNCTION("GOOGLETRANSLATE(B27763,""en"",""es-ES"")"),"Muestra a las otras personas en caballos y continúa hablando de su aventura cerca de la cámara.")</f>
        <v>Muestra a las otras personas en caballos y continúa hablando de su aventura cerca de la cámara.</v>
      </c>
    </row>
    <row r="27764">
      <c r="A27764" s="4" t="s">
        <v>34958</v>
      </c>
      <c r="B27764" s="4" t="s">
        <v>34959</v>
      </c>
      <c r="C27764" s="5" t="str">
        <f>IFERROR(__xludf.DUMMYFUNCTION("GOOGLETRANSLATE(B27764,""en"",""es-ES"")"),"Una persona abre una puerta y entra dentro de una cocina.")</f>
        <v>Una persona abre una puerta y entra dentro de una cocina.</v>
      </c>
    </row>
    <row r="27765">
      <c r="A27765" s="4" t="s">
        <v>34958</v>
      </c>
      <c r="B27765" s="4" t="s">
        <v>34960</v>
      </c>
      <c r="C27765" s="5" t="str">
        <f>IFERROR(__xludf.DUMMYFUNCTION("GOOGLETRANSLATE(B27765,""en"",""es-ES"")"),"Una mujer se sienta en un mostrador de cocina afeitándose las piernas en un fregadero.")</f>
        <v>Una mujer se sienta en un mostrador de cocina afeitándose las piernas en un fregadero.</v>
      </c>
    </row>
    <row r="27766">
      <c r="A27766" s="4" t="s">
        <v>34961</v>
      </c>
      <c r="B27766" s="4" t="s">
        <v>34962</v>
      </c>
      <c r="C27766" s="5" t="str">
        <f>IFERROR(__xludf.DUMMYFUNCTION("GOOGLETRANSLATE(B27766,""en"",""es-ES"")"),"Una introducción conduce a un grupo de mujeres parados en un piso de madera detrás de un equipo de ejercicio.")</f>
        <v>Una introducción conduce a un grupo de mujeres parados en un piso de madera detrás de un equipo de ejercicio.</v>
      </c>
    </row>
    <row r="27767">
      <c r="A27767" s="4" t="s">
        <v>34961</v>
      </c>
      <c r="B27767" s="4" t="s">
        <v>34963</v>
      </c>
      <c r="C27767" s="5" t="str">
        <f>IFERROR(__xludf.DUMMYFUNCTION("GOOGLETRANSLATE(B27767,""en"",""es-ES"")"),"Luego, las mujeres comienzan a mudarse hacia atrás y cuarto y arriba y abajo en el equipo mientras la mujer en el frente habla en voz alta.")</f>
        <v>Luego, las mujeres comienzan a mudarse hacia atrás y cuarto y arriba y abajo en el equipo mientras la mujer en el frente habla en voz alta.</v>
      </c>
    </row>
    <row r="27768">
      <c r="A27768" s="4" t="s">
        <v>34964</v>
      </c>
      <c r="B27768" s="4" t="s">
        <v>34965</v>
      </c>
      <c r="C27768" s="5" t="str">
        <f>IFERROR(__xludf.DUMMYFUNCTION("GOOGLETRANSLATE(B27768,""en"",""es-ES"")"),"Un hombre demuestra cómo hacer un sándwich de ensalada de huevo.")</f>
        <v>Un hombre demuestra cómo hacer un sándwich de ensalada de huevo.</v>
      </c>
    </row>
    <row r="27769">
      <c r="A27769" s="4" t="s">
        <v>34964</v>
      </c>
      <c r="B27769" s="4" t="s">
        <v>34966</v>
      </c>
      <c r="C27769" s="5" t="str">
        <f>IFERROR(__xludf.DUMMYFUNCTION("GOOGLETRANSLATE(B27769,""en"",""es-ES"")"),"Un hombre comienza a hablar con la cámara en ángulo de primer plano y luego morde un sándwich.")</f>
        <v>Un hombre comienza a hablar con la cámara en ángulo de primer plano y luego morde un sándwich.</v>
      </c>
    </row>
    <row r="27770">
      <c r="A27770" s="4" t="s">
        <v>34964</v>
      </c>
      <c r="B27770" s="4" t="s">
        <v>34967</v>
      </c>
      <c r="C27770" s="5" t="str">
        <f>IFERROR(__xludf.DUMMYFUNCTION("GOOGLETRANSLATE(B27770,""en"",""es-ES"")"),"Se muestra una tienta de materiales para hacer sándwich.")</f>
        <v>Se muestra una tienta de materiales para hacer sándwich.</v>
      </c>
    </row>
    <row r="27771">
      <c r="A27771" s="4" t="s">
        <v>34964</v>
      </c>
      <c r="B27771" s="4" t="s">
        <v>34968</v>
      </c>
      <c r="C27771" s="5" t="str">
        <f>IFERROR(__xludf.DUMMYFUNCTION("GOOGLETRANSLATE(B27771,""en"",""es-ES"")"),"Un huevos se hierve en una sartén, y luego los huevos se ejecutan bajo agua fría.")</f>
        <v>Un huevos se hierve en una sartén, y luego los huevos se ejecutan bajo agua fría.</v>
      </c>
    </row>
    <row r="27772">
      <c r="A27772" s="4" t="s">
        <v>34964</v>
      </c>
      <c r="B27772" s="4" t="s">
        <v>34969</v>
      </c>
      <c r="C27772" s="5" t="str">
        <f>IFERROR(__xludf.DUMMYFUNCTION("GOOGLETRANSLATE(B27772,""en"",""es-ES"")"),"El apio se pica en pedazos junto con otras verduras y luego los huevos se mezclan con esto y se muestra un sándwich terminado.")</f>
        <v>El apio se pica en pedazos junto con otras verduras y luego los huevos se mezclan con esto y se muestra un sándwich terminado.</v>
      </c>
    </row>
    <row r="27773">
      <c r="A27773" s="4" t="s">
        <v>34970</v>
      </c>
      <c r="B27773" s="4" t="s">
        <v>34971</v>
      </c>
      <c r="C27773" s="5" t="str">
        <f>IFERROR(__xludf.DUMMYFUNCTION("GOOGLETRANSLATE(B27773,""en"",""es-ES"")"),"Un camarero habla sobre cómo hacer un cóctel adecuado.")</f>
        <v>Un camarero habla sobre cómo hacer un cóctel adecuado.</v>
      </c>
    </row>
    <row r="27774">
      <c r="A27774" s="4" t="s">
        <v>34970</v>
      </c>
      <c r="B27774" s="4" t="s">
        <v>34972</v>
      </c>
      <c r="C27774" s="5" t="str">
        <f>IFERROR(__xludf.DUMMYFUNCTION("GOOGLETRANSLATE(B27774,""en"",""es-ES"")"),"Agarra un vaso y pone hielo en el vaso.")</f>
        <v>Agarra un vaso y pone hielo en el vaso.</v>
      </c>
    </row>
    <row r="27775">
      <c r="A27775" s="4" t="s">
        <v>34970</v>
      </c>
      <c r="B27775" s="4" t="s">
        <v>34973</v>
      </c>
      <c r="C27775" s="5" t="str">
        <f>IFERROR(__xludf.DUMMYFUNCTION("GOOGLETRANSLATE(B27775,""en"",""es-ES"")"),"Luego mezcla vodka y refresco en el vidrio.")</f>
        <v>Luego mezcla vodka y refresco en el vidrio.</v>
      </c>
    </row>
    <row r="27776">
      <c r="A27776" s="4" t="s">
        <v>34970</v>
      </c>
      <c r="B27776" s="4" t="s">
        <v>34974</v>
      </c>
      <c r="C27776" s="5" t="str">
        <f>IFERROR(__xludf.DUMMYFUNCTION("GOOGLETRANSLATE(B27776,""en"",""es-ES"")"),"Agarra un limón y lo pone en el vaso para terminar.")</f>
        <v>Agarra un limón y lo pone en el vaso para terminar.</v>
      </c>
    </row>
    <row r="27777">
      <c r="A27777" s="4" t="s">
        <v>34975</v>
      </c>
      <c r="B27777" s="4" t="s">
        <v>34976</v>
      </c>
      <c r="C27777" s="5" t="str">
        <f>IFERROR(__xludf.DUMMYFUNCTION("GOOGLETRANSLATE(B27777,""en"",""es-ES"")"),"Un primer plano de varios objetos que se muestran en un círculo de tierra y conduce a una persona que sostiene una bolsa.")</f>
        <v>Un primer plano de varios objetos que se muestran en un círculo de tierra y conduce a una persona que sostiene una bolsa.</v>
      </c>
    </row>
    <row r="27778">
      <c r="A27778" s="4" t="s">
        <v>34975</v>
      </c>
      <c r="B27778" s="4" t="s">
        <v>34977</v>
      </c>
      <c r="C27778" s="5" t="str">
        <f>IFERROR(__xludf.DUMMYFUNCTION("GOOGLETRANSLATE(B27778,""en"",""es-ES"")"),"Luego, la persona abre la bolsa y señala los objetos en tierra y enciende un partido.")</f>
        <v>Luego, la persona abre la bolsa y señala los objetos en tierra y enciende un partido.</v>
      </c>
    </row>
    <row r="27779">
      <c r="A27779" s="4" t="s">
        <v>34975</v>
      </c>
      <c r="B27779" s="4" t="s">
        <v>34978</v>
      </c>
      <c r="C27779" s="5" t="str">
        <f>IFERROR(__xludf.DUMMYFUNCTION("GOOGLETRANSLATE(B27779,""en"",""es-ES"")"),"Los objetos se incendian y la cámara se acerca a los objetos quemando.")</f>
        <v>Los objetos se incendian y la cámara se acerca a los objetos quemando.</v>
      </c>
    </row>
    <row r="27780">
      <c r="A27780" s="4" t="s">
        <v>34979</v>
      </c>
      <c r="B27780" s="4" t="s">
        <v>34980</v>
      </c>
      <c r="C27780" s="5" t="str">
        <f>IFERROR(__xludf.DUMMYFUNCTION("GOOGLETRANSLATE(B27780,""en"",""es-ES"")"),"Un grupo de amigos monta entre tubos a través de pequeños rápidos en una jungla tropical.")</f>
        <v>Un grupo de amigos monta entre tubos a través de pequeños rápidos en una jungla tropical.</v>
      </c>
    </row>
    <row r="27781">
      <c r="A27781" s="4" t="s">
        <v>34979</v>
      </c>
      <c r="B27781" s="4" t="s">
        <v>34981</v>
      </c>
      <c r="C27781" s="5" t="str">
        <f>IFERROR(__xludf.DUMMYFUNCTION("GOOGLETRANSLATE(B27781,""en"",""es-ES"")"),"El grupo pasa por las grandes rocas saliendo del agua.")</f>
        <v>El grupo pasa por las grandes rocas saliendo del agua.</v>
      </c>
    </row>
    <row r="27782">
      <c r="A27782" s="4" t="s">
        <v>34982</v>
      </c>
      <c r="B27782" s="4" t="s">
        <v>34983</v>
      </c>
      <c r="C27782" s="5" t="str">
        <f>IFERROR(__xludf.DUMMYFUNCTION("GOOGLETRANSLATE(B27782,""en"",""es-ES"")"),"Un niño está de pie en la hierba alta de un campo.")</f>
        <v>Un niño está de pie en la hierba alta de un campo.</v>
      </c>
    </row>
    <row r="27783">
      <c r="A27783" s="4" t="s">
        <v>34982</v>
      </c>
      <c r="B27783" s="4" t="s">
        <v>34984</v>
      </c>
      <c r="C27783" s="5" t="str">
        <f>IFERROR(__xludf.DUMMYFUNCTION("GOOGLETRANSLATE(B27783,""en"",""es-ES"")"),"Se aferrará a una cometa en el aire.")</f>
        <v>Se aferrará a una cometa en el aire.</v>
      </c>
    </row>
    <row r="27784">
      <c r="A27784" s="4" t="s">
        <v>34982</v>
      </c>
      <c r="B27784" s="4" t="s">
        <v>34985</v>
      </c>
      <c r="C27784" s="5" t="str">
        <f>IFERROR(__xludf.DUMMYFUNCTION("GOOGLETRANSLATE(B27784,""en"",""es-ES"")"),"Se inclina atrás, siendo drogas por la fuerza del viento.")</f>
        <v>Se inclina atrás, siendo drogas por la fuerza del viento.</v>
      </c>
    </row>
    <row r="27785">
      <c r="A27785" s="4" t="s">
        <v>34986</v>
      </c>
      <c r="B27785" s="4" t="s">
        <v>34987</v>
      </c>
      <c r="C27785" s="5" t="str">
        <f>IFERROR(__xludf.DUMMYFUNCTION("GOOGLETRANSLATE(B27785,""en"",""es-ES"")"),"Un hombre está sentado en el sofá con jeans una camisa, y sostiene una guitarra en su regazo, tocando con la mano derecha y tocando las cuerdas superiores con la mano izquierda.")</f>
        <v>Un hombre está sentado en el sofá con jeans una camisa, y sostiene una guitarra en su regazo, tocando con la mano derecha y tocando las cuerdas superiores con la mano izquierda.</v>
      </c>
    </row>
    <row r="27786">
      <c r="A27786" s="4" t="s">
        <v>34986</v>
      </c>
      <c r="B27786" s="4" t="s">
        <v>34988</v>
      </c>
      <c r="C27786" s="5" t="str">
        <f>IFERROR(__xludf.DUMMYFUNCTION("GOOGLETRANSLATE(B27786,""en"",""es-ES"")"),"El hombre se ralentiza y deja de rasguear y golpear su guitarra.")</f>
        <v>El hombre se ralentiza y deja de rasguear y golpear su guitarra.</v>
      </c>
    </row>
    <row r="27787">
      <c r="A27787" s="4" t="s">
        <v>34986</v>
      </c>
      <c r="B27787" s="4" t="s">
        <v>34989</v>
      </c>
      <c r="C27787" s="5" t="str">
        <f>IFERROR(__xludf.DUMMYFUNCTION("GOOGLETRANSLATE(B27787,""en"",""es-ES"")"),"Aparece una pantalla colorida y muestra una imagen de dibujos animados de un Pokémon parado al aire libre cerca de un árbol mientras está nevando, y las palabras rojas leen ""pokemon-pallet-town"".")</f>
        <v>Aparece una pantalla colorida y muestra una imagen de dibujos animados de un Pokémon parado al aire libre cerca de un árbol mientras está nevando, y las palabras rojas leen "pokemon-pallet-town".</v>
      </c>
    </row>
    <row r="27788">
      <c r="A27788" s="4" t="s">
        <v>34990</v>
      </c>
      <c r="B27788" s="4" t="s">
        <v>34991</v>
      </c>
      <c r="C27788" s="5" t="str">
        <f>IFERROR(__xludf.DUMMYFUNCTION("GOOGLETRANSLATE(B27788,""en"",""es-ES"")"),"La gente está de pie sobre la espalda de los caballos.")</f>
        <v>La gente está de pie sobre la espalda de los caballos.</v>
      </c>
    </row>
    <row r="27789">
      <c r="A27789" s="4" t="s">
        <v>34990</v>
      </c>
      <c r="B27789" s="4" t="s">
        <v>34992</v>
      </c>
      <c r="C27789" s="5" t="str">
        <f>IFERROR(__xludf.DUMMYFUNCTION("GOOGLETRANSLATE(B27789,""en"",""es-ES"")"),"Tres chicas están hablando con una cámara.")</f>
        <v>Tres chicas están hablando con una cámara.</v>
      </c>
    </row>
    <row r="27790">
      <c r="A27790" s="4" t="s">
        <v>34990</v>
      </c>
      <c r="B27790" s="4" t="s">
        <v>34993</v>
      </c>
      <c r="C27790" s="5" t="str">
        <f>IFERROR(__xludf.DUMMYFUNCTION("GOOGLETRANSLATE(B27790,""en"",""es-ES"")"),"Los caballos caminan por un camino de tierra.")</f>
        <v>Los caballos caminan por un camino de tierra.</v>
      </c>
    </row>
    <row r="27791">
      <c r="A27791" s="4" t="s">
        <v>34994</v>
      </c>
      <c r="B27791" s="4" t="s">
        <v>34995</v>
      </c>
      <c r="C27791" s="5" t="str">
        <f>IFERROR(__xludf.DUMMYFUNCTION("GOOGLETRANSLATE(B27791,""en"",""es-ES"")"),"Se ve a un hombre hablando con la cámara mientras se aferran a un perro en un avión.")</f>
        <v>Se ve a un hombre hablando con la cámara mientras se aferran a un perro en un avión.</v>
      </c>
    </row>
    <row r="27792">
      <c r="A27792" s="4" t="s">
        <v>34994</v>
      </c>
      <c r="B27792" s="4" t="s">
        <v>34996</v>
      </c>
      <c r="C27792" s="5" t="str">
        <f>IFERROR(__xludf.DUMMYFUNCTION("GOOGLETRANSLATE(B27792,""en"",""es-ES"")"),"Se muestran varios clips del hombre en un avión con el perro y bajo el agua.")</f>
        <v>Se muestran varios clips del hombre en un avión con el perro y bajo el agua.</v>
      </c>
    </row>
    <row r="27793">
      <c r="A27793" s="4" t="s">
        <v>34994</v>
      </c>
      <c r="B27793" s="4" t="s">
        <v>34997</v>
      </c>
      <c r="C27793" s="5" t="str">
        <f>IFERROR(__xludf.DUMMYFUNCTION("GOOGLETRANSLATE(B27793,""en"",""es-ES"")"),"El hombre realiza varias actividades con su perro en la mano mientras una mujer habla con la cámara.")</f>
        <v>El hombre realiza varias actividades con su perro en la mano mientras una mujer habla con la cámara.</v>
      </c>
    </row>
    <row r="27794">
      <c r="A27794" s="4" t="s">
        <v>34998</v>
      </c>
      <c r="B27794" s="4" t="s">
        <v>34999</v>
      </c>
      <c r="C27794" s="5" t="str">
        <f>IFERROR(__xludf.DUMMYFUNCTION("GOOGLETRANSLATE(B27794,""en"",""es-ES"")"),"Una cámara se mueve alrededor de un techo nevado y conduce a un hombre empujando la nieve de un techo y al suelo debajo.")</f>
        <v>Una cámara se mueve alrededor de un techo nevado y conduce a un hombre empujando la nieve de un techo y al suelo debajo.</v>
      </c>
    </row>
    <row r="27795">
      <c r="A27795" s="4" t="s">
        <v>34998</v>
      </c>
      <c r="B27795" s="4" t="s">
        <v>35000</v>
      </c>
      <c r="C27795" s="5" t="str">
        <f>IFERROR(__xludf.DUMMYFUNCTION("GOOGLETRANSLATE(B27795,""en"",""es-ES"")"),"El hombre continúa hablando con la cámara mientras empuja la nieve y conduce a un techo vacío.")</f>
        <v>El hombre continúa hablando con la cámara mientras empuja la nieve y conduce a un techo vacío.</v>
      </c>
    </row>
    <row r="27796">
      <c r="A27796" s="4" t="s">
        <v>34998</v>
      </c>
      <c r="B27796" s="4" t="s">
        <v>35001</v>
      </c>
      <c r="C27796" s="5" t="str">
        <f>IFERROR(__xludf.DUMMYFUNCTION("GOOGLETRANSLATE(B27796,""en"",""es-ES"")"),"Se ve a otro hombre sacando la nieve y termina con fotos de los hombres trabajando.")</f>
        <v>Se ve a otro hombre sacando la nieve y termina con fotos de los hombres trabajando.</v>
      </c>
    </row>
    <row r="27797">
      <c r="A27797" s="4" t="s">
        <v>35002</v>
      </c>
      <c r="B27797" s="4" t="s">
        <v>35003</v>
      </c>
      <c r="C27797" s="5" t="str">
        <f>IFERROR(__xludf.DUMMYFUNCTION("GOOGLETRANSLATE(B27797,""en"",""es-ES"")"),"Una anciana está sentada en una silla.")</f>
        <v>Una anciana está sentada en una silla.</v>
      </c>
    </row>
    <row r="27798">
      <c r="A27798" s="4" t="s">
        <v>35002</v>
      </c>
      <c r="B27798" s="4" t="s">
        <v>35004</v>
      </c>
      <c r="C27798" s="5" t="str">
        <f>IFERROR(__xludf.DUMMYFUNCTION("GOOGLETRANSLATE(B27798,""en"",""es-ES"")"),"Ella está tejiendo con hilo rojo.")</f>
        <v>Ella está tejiendo con hilo rojo.</v>
      </c>
    </row>
    <row r="27799">
      <c r="A27799" s="4" t="s">
        <v>35002</v>
      </c>
      <c r="B27799" s="4" t="s">
        <v>35005</v>
      </c>
      <c r="C27799" s="5" t="str">
        <f>IFERROR(__xludf.DUMMYFUNCTION("GOOGLETRANSLATE(B27799,""en"",""es-ES"")"),"Ella habla con la persona con la cámara mientras se teje.")</f>
        <v>Ella habla con la persona con la cámara mientras se teje.</v>
      </c>
    </row>
    <row r="27800">
      <c r="A27800" s="4" t="s">
        <v>35006</v>
      </c>
      <c r="B27800" s="4" t="s">
        <v>35007</v>
      </c>
      <c r="C27800" s="5" t="str">
        <f>IFERROR(__xludf.DUMMYFUNCTION("GOOGLETRANSLATE(B27800,""en"",""es-ES"")"),"Se ve a una persona empujando una lijadora a lo largo de un esquí y conduce a otra persona apretando un esquí y rociando cera a lo largo de la parte superior.")</f>
        <v>Se ve a una persona empujando una lijadora a lo largo de un esquí y conduce a otra persona apretando un esquí y rociando cera a lo largo de la parte superior.</v>
      </c>
    </row>
    <row r="27801">
      <c r="A27801" s="4" t="s">
        <v>35006</v>
      </c>
      <c r="B27801" s="4" t="s">
        <v>35008</v>
      </c>
      <c r="C27801" s="5" t="str">
        <f>IFERROR(__xludf.DUMMYFUNCTION("GOOGLETRANSLATE(B27801,""en"",""es-ES"")"),"La persona lo limpia y luego usa una barra de cera en la lijadora a lo largo del esquí.")</f>
        <v>La persona lo limpia y luego usa una barra de cera en la lijadora a lo largo del esquí.</v>
      </c>
    </row>
    <row r="27802">
      <c r="A27802" s="4" t="s">
        <v>35009</v>
      </c>
      <c r="B27802" s="4" t="s">
        <v>35010</v>
      </c>
      <c r="C27802" s="5" t="str">
        <f>IFERROR(__xludf.DUMMYFUNCTION("GOOGLETRANSLATE(B27802,""en"",""es-ES"")"),"Una mujer está organizando un segmento de noticias que conduce a clips de personas que trabajan en las calles y protestan.")</f>
        <v>Una mujer está organizando un segmento de noticias que conduce a clips de personas que trabajan en las calles y protestan.</v>
      </c>
    </row>
    <row r="27803">
      <c r="A27803" s="4" t="s">
        <v>35009</v>
      </c>
      <c r="B27803" s="4" t="s">
        <v>35011</v>
      </c>
      <c r="C27803" s="5" t="str">
        <f>IFERROR(__xludf.DUMMYFUNCTION("GOOGLETRANSLATE(B27803,""en"",""es-ES"")"),"Varias mujeres son entrevistadas por la cámara y muestran más clips de personas que trabajan y protestan.")</f>
        <v>Varias mujeres son entrevistadas por la cámara y muestran más clips de personas que trabajan y protestan.</v>
      </c>
    </row>
    <row r="27804">
      <c r="A27804" s="4" t="s">
        <v>35012</v>
      </c>
      <c r="B27804" s="4" t="s">
        <v>35013</v>
      </c>
      <c r="C27804" s="5" t="str">
        <f>IFERROR(__xludf.DUMMYFUNCTION("GOOGLETRANSLATE(B27804,""en"",""es-ES"")"),"Vemos a un hombre disparando a una mesa azul.")</f>
        <v>Vemos a un hombre disparando a una mesa azul.</v>
      </c>
    </row>
    <row r="27805">
      <c r="A27805" s="4" t="s">
        <v>35012</v>
      </c>
      <c r="B27805" s="4" t="s">
        <v>35014</v>
      </c>
      <c r="C27805" s="5" t="str">
        <f>IFERROR(__xludf.DUMMYFUNCTION("GOOGLETRANSLATE(B27805,""en"",""es-ES"")"),"El hombre termina y sonríe mientras su amigo aplaude sus manos.")</f>
        <v>El hombre termina y sonríe mientras su amigo aplaude sus manos.</v>
      </c>
    </row>
    <row r="27806">
      <c r="A27806" s="4" t="s">
        <v>35012</v>
      </c>
      <c r="B27806" s="4" t="s">
        <v>2486</v>
      </c>
      <c r="C27806" s="5" t="str">
        <f>IFERROR(__xludf.DUMMYFUNCTION("GOOGLETRANSLATE(B27806,""en"",""es-ES"")"),"Vemos la pantalla de cierre.")</f>
        <v>Vemos la pantalla de cierre.</v>
      </c>
    </row>
    <row r="27807">
      <c r="A27807" s="4" t="s">
        <v>35015</v>
      </c>
      <c r="B27807" s="4" t="s">
        <v>35016</v>
      </c>
      <c r="C27807" s="5" t="str">
        <f>IFERROR(__xludf.DUMMYFUNCTION("GOOGLETRANSLATE(B27807,""en"",""es-ES"")"),"Se muestra una imagen senior de una hembra y luego una pantalla parpadea que indica que sus aspectos más destacados están a punto de mostrarse.")</f>
        <v>Se muestra una imagen senior de una hembra y luego una pantalla parpadea que indica que sus aspectos más destacados están a punto de mostrarse.</v>
      </c>
    </row>
    <row r="27808">
      <c r="A27808" s="4" t="s">
        <v>35015</v>
      </c>
      <c r="B27808" s="4" t="s">
        <v>35017</v>
      </c>
      <c r="C27808" s="5" t="str">
        <f>IFERROR(__xludf.DUMMYFUNCTION("GOOGLETRANSLATE(B27808,""en"",""es-ES"")"),"Luego se muestran varios videos de ella corriendo contra niñas de otros equipos que defienden su territorio y quitan la pelota de los otros oponentes.")</f>
        <v>Luego se muestran varios videos de ella corriendo contra niñas de otros equipos que defienden su territorio y quitan la pelota de los otros oponentes.</v>
      </c>
    </row>
    <row r="27809">
      <c r="A27809" s="4" t="s">
        <v>35018</v>
      </c>
      <c r="B27809" s="4" t="s">
        <v>35019</v>
      </c>
      <c r="C27809" s="5" t="str">
        <f>IFERROR(__xludf.DUMMYFUNCTION("GOOGLETRANSLATE(B27809,""en"",""es-ES"")"),"El hombre está de pie en una habitación con juego de Dart en la pared.")</f>
        <v>El hombre está de pie en una habitación con juego de Dart en la pared.</v>
      </c>
    </row>
    <row r="27810">
      <c r="A27810" s="4" t="s">
        <v>35018</v>
      </c>
      <c r="B27810" s="4" t="s">
        <v>35020</v>
      </c>
      <c r="C27810" s="5" t="str">
        <f>IFERROR(__xludf.DUMMYFUNCTION("GOOGLETRANSLATE(B27810,""en"",""es-ES"")"),"Tomó uno de los dardos del tablero y sigue hablando, se acerca a la cámara y muestra el dardo afilado.")</f>
        <v>Tomó uno de los dardos del tablero y sigue hablando, se acerca a la cámara y muestra el dardo afilado.</v>
      </c>
    </row>
    <row r="27811">
      <c r="A27811" s="4" t="s">
        <v>35018</v>
      </c>
      <c r="B27811" s="4" t="s">
        <v>35021</v>
      </c>
      <c r="C27811" s="5" t="str">
        <f>IFERROR(__xludf.DUMMYFUNCTION("GOOGLETRANSLATE(B27811,""en"",""es-ES"")"),"Lanza el dardo al tablero y se apoya en la pared.")</f>
        <v>Lanza el dardo al tablero y se apoya en la pared.</v>
      </c>
    </row>
    <row r="27812">
      <c r="A27812" s="4" t="s">
        <v>35018</v>
      </c>
      <c r="B27812" s="4" t="s">
        <v>35022</v>
      </c>
      <c r="C27812" s="5" t="str">
        <f>IFERROR(__xludf.DUMMYFUNCTION("GOOGLETRANSLATE(B27812,""en"",""es-ES"")"),"El hombre abre los brazos y se balancea de lado a lado, arrodíllate en el suelo.")</f>
        <v>El hombre abre los brazos y se balancea de lado a lado, arrodíllate en el suelo.</v>
      </c>
    </row>
    <row r="27813">
      <c r="A27813" s="4" t="s">
        <v>35018</v>
      </c>
      <c r="B27813" s="4" t="s">
        <v>35023</v>
      </c>
      <c r="C27813" s="5" t="str">
        <f>IFERROR(__xludf.DUMMYFUNCTION("GOOGLETRANSLATE(B27813,""en"",""es-ES"")"),"Lleva otro dardo al tablero y con la cabeza hacia abajo comienza a gritarle a la cámara.")</f>
        <v>Lleva otro dardo al tablero y con la cabeza hacia abajo comienza a gritarle a la cámara.</v>
      </c>
    </row>
    <row r="27814">
      <c r="A27814" s="4" t="s">
        <v>35024</v>
      </c>
      <c r="B27814" s="4" t="s">
        <v>35025</v>
      </c>
      <c r="C27814" s="5" t="str">
        <f>IFERROR(__xludf.DUMMYFUNCTION("GOOGLETRANSLATE(B27814,""en"",""es-ES"")"),"Se ve a una gimnasta parada y sosteniendo los brazos que la llevan a trepar en una viga y realizando una rutina de gimnasia en la viga.")</f>
        <v>Se ve a una gimnasta parada y sosteniendo los brazos que la llevan a trepar en una viga y realizando una rutina de gimnasia en la viga.</v>
      </c>
    </row>
    <row r="27815">
      <c r="A27815" s="4" t="s">
        <v>35024</v>
      </c>
      <c r="B27815" s="4" t="s">
        <v>35026</v>
      </c>
      <c r="C27815" s="5" t="str">
        <f>IFERROR(__xludf.DUMMYFUNCTION("GOOGLETRANSLATE(B27815,""en"",""es-ES"")"),"La niña realiza varios saltos y trucos que terminan con ella saltando en una estera y sosteniendo los brazos hacia arriba.")</f>
        <v>La niña realiza varios saltos y trucos que terminan con ella saltando en una estera y sosteniendo los brazos hacia arriba.</v>
      </c>
    </row>
    <row r="27816">
      <c r="A27816" s="4" t="s">
        <v>35027</v>
      </c>
      <c r="B27816" s="4" t="s">
        <v>35028</v>
      </c>
      <c r="C27816" s="5" t="str">
        <f>IFERROR(__xludf.DUMMYFUNCTION("GOOGLETRANSLATE(B27816,""en"",""es-ES"")"),"Se ve a una persona sentada detrás de un conjunto de tambores tocándolos constantemente.")</f>
        <v>Se ve a una persona sentada detrás de un conjunto de tambores tocándolos constantemente.</v>
      </c>
    </row>
    <row r="27817">
      <c r="A27817" s="4" t="s">
        <v>35027</v>
      </c>
      <c r="B27817" s="4" t="s">
        <v>35029</v>
      </c>
      <c r="C27817" s="5" t="str">
        <f>IFERROR(__xludf.DUMMYFUNCTION("GOOGLETRANSLATE(B27817,""en"",""es-ES"")"),"Ella continúa tocando la batería mientras la cámara se acerca a sus manos.")</f>
        <v>Ella continúa tocando la batería mientras la cámara se acerca a sus manos.</v>
      </c>
    </row>
    <row r="27818">
      <c r="A27818" s="4" t="s">
        <v>35030</v>
      </c>
      <c r="B27818" s="4" t="s">
        <v>35031</v>
      </c>
      <c r="C27818" s="5" t="str">
        <f>IFERROR(__xludf.DUMMYFUNCTION("GOOGLETRANSLATE(B27818,""en"",""es-ES"")"),"Hay muchos trofeos en exhibición que puedes ganar por hacer un buen trabajo.")</f>
        <v>Hay muchos trofeos en exhibición que puedes ganar por hacer un buen trabajo.</v>
      </c>
    </row>
    <row r="27819">
      <c r="A27819" s="4" t="s">
        <v>35030</v>
      </c>
      <c r="B27819" s="4" t="s">
        <v>35032</v>
      </c>
      <c r="C27819" s="5" t="str">
        <f>IFERROR(__xludf.DUMMYFUNCTION("GOOGLETRANSLATE(B27819,""en"",""es-ES"")"),"Los hombres en sus bicicletas están esperando comenzar una carrera.")</f>
        <v>Los hombres en sus bicicletas están esperando comenzar una carrera.</v>
      </c>
    </row>
    <row r="27820">
      <c r="A27820" s="4" t="s">
        <v>35030</v>
      </c>
      <c r="B27820" s="4" t="s">
        <v>35033</v>
      </c>
      <c r="C27820" s="5" t="str">
        <f>IFERROR(__xludf.DUMMYFUNCTION("GOOGLETRANSLATE(B27820,""en"",""es-ES"")"),"Dos hombres golpean sus nudillos juntos antes de que comience la carrera.")</f>
        <v>Dos hombres golpean sus nudillos juntos antes de que comience la carrera.</v>
      </c>
    </row>
    <row r="27821">
      <c r="A27821" s="4" t="s">
        <v>35030</v>
      </c>
      <c r="B27821" s="4" t="s">
        <v>35034</v>
      </c>
      <c r="C27821" s="5" t="str">
        <f>IFERROR(__xludf.DUMMYFUNCTION("GOOGLETRANSLATE(B27821,""en"",""es-ES"")"),"La audiencia está vitoreando y los corredores se van muy rápido tratando de ganar.")</f>
        <v>La audiencia está vitoreando y los corredores se van muy rápido tratando de ganar.</v>
      </c>
    </row>
    <row r="27822">
      <c r="A27822" s="4" t="s">
        <v>35035</v>
      </c>
      <c r="B27822" s="4" t="s">
        <v>35036</v>
      </c>
      <c r="C27822" s="5" t="str">
        <f>IFERROR(__xludf.DUMMYFUNCTION("GOOGLETRANSLATE(B27822,""en"",""es-ES"")"),"Se ve a un hombre haciendo karate frente a otro con un cuchillo y conduce a un disparo de un hombre bolos y mensaje de texto en su rostro.")</f>
        <v>Se ve a un hombre haciendo karate frente a otro con un cuchillo y conduce a un disparo de un hombre bolos y mensaje de texto en su rostro.</v>
      </c>
    </row>
    <row r="27823">
      <c r="A27823" s="4" t="s">
        <v>35035</v>
      </c>
      <c r="B27823" s="4" t="s">
        <v>35037</v>
      </c>
      <c r="C27823" s="5" t="str">
        <f>IFERROR(__xludf.DUMMYFUNCTION("GOOGLETRANSLATE(B27823,""en"",""es-ES"")"),"El hombre celebra mientras la gente mira y se muestra a Clipart, así como más tomas del hombre celebrando y bolos.")</f>
        <v>El hombre celebra mientras la gente mira y se muestra a Clipart, así como más tomas del hombre celebrando y bolos.</v>
      </c>
    </row>
    <row r="27824">
      <c r="A27824" s="4" t="s">
        <v>35035</v>
      </c>
      <c r="B27824" s="4" t="s">
        <v>35038</v>
      </c>
      <c r="C27824" s="5" t="str">
        <f>IFERROR(__xludf.DUMMYFUNCTION("GOOGLETRANSLATE(B27824,""en"",""es-ES"")"),"El hombre sostiene un trofeo al final y le grita a la cámara y al público.")</f>
        <v>El hombre sostiene un trofeo al final y le grita a la cámara y al público.</v>
      </c>
    </row>
    <row r="27825">
      <c r="A27825" s="4" t="s">
        <v>35035</v>
      </c>
      <c r="B27825" s="4" t="s">
        <v>35039</v>
      </c>
      <c r="C27825" s="5" t="str">
        <f>IFERROR(__xludf.DUMMYFUNCTION("GOOGLETRANSLATE(B27825,""en"",""es-ES"")"),"La cámara luego se acerca a una foto en un póster.")</f>
        <v>La cámara luego se acerca a una foto en un póster.</v>
      </c>
    </row>
    <row r="27826">
      <c r="A27826" s="4" t="s">
        <v>35040</v>
      </c>
      <c r="B27826" s="4" t="s">
        <v>35041</v>
      </c>
      <c r="C27826" s="5" t="str">
        <f>IFERROR(__xludf.DUMMYFUNCTION("GOOGLETRANSLATE(B27826,""en"",""es-ES"")"),"Se ve a una mujer arrodillada antes de un gran peso y hablando con la cámara continuamente.")</f>
        <v>Se ve a una mujer arrodillada antes de un gran peso y hablando con la cámara continuamente.</v>
      </c>
    </row>
    <row r="27827">
      <c r="A27827" s="4" t="s">
        <v>35040</v>
      </c>
      <c r="B27827" s="4" t="s">
        <v>35042</v>
      </c>
      <c r="C27827" s="5" t="str">
        <f>IFERROR(__xludf.DUMMYFUNCTION("GOOGLETRANSLATE(B27827,""en"",""es-ES"")"),"Mueve su cuerpo alrededor del peso y apuntando para demostrar cómo mantener adecuadamente el peso.")</f>
        <v>Mueve su cuerpo alrededor del peso y apuntando para demostrar cómo mantener adecuadamente el peso.</v>
      </c>
    </row>
    <row r="27828">
      <c r="A27828" s="4" t="s">
        <v>35043</v>
      </c>
      <c r="B27828" s="4" t="s">
        <v>7459</v>
      </c>
      <c r="C27828" s="5" t="str">
        <f>IFERROR(__xludf.DUMMYFUNCTION("GOOGLETRANSLATE(B27828,""en"",""es-ES"")"),"Una persona está esquiando por una colina de nieve.")</f>
        <v>Una persona está esquiando por una colina de nieve.</v>
      </c>
    </row>
    <row r="27829">
      <c r="A27829" s="4" t="s">
        <v>35043</v>
      </c>
      <c r="B27829" s="4" t="s">
        <v>35044</v>
      </c>
      <c r="C27829" s="5" t="str">
        <f>IFERROR(__xludf.DUMMYFUNCTION("GOOGLETRANSLATE(B27829,""en"",""es-ES"")"),"Pasan a un grupo de personas snowboard.")</f>
        <v>Pasan a un grupo de personas snowboard.</v>
      </c>
    </row>
    <row r="27830">
      <c r="A27830" s="4" t="s">
        <v>35043</v>
      </c>
      <c r="B27830" s="4" t="s">
        <v>35045</v>
      </c>
      <c r="C27830" s="5" t="str">
        <f>IFERROR(__xludf.DUMMYFUNCTION("GOOGLETRANSLATE(B27830,""en"",""es-ES"")"),"Llegan al fondo de la colina y se detienen frente a un pequeño edificio.")</f>
        <v>Llegan al fondo de la colina y se detienen frente a un pequeño edificio.</v>
      </c>
    </row>
    <row r="27831">
      <c r="A27831" s="4" t="s">
        <v>35046</v>
      </c>
      <c r="B27831" s="4" t="s">
        <v>1487</v>
      </c>
      <c r="C27831" s="5" t="str">
        <f>IFERROR(__xludf.DUMMYFUNCTION("GOOGLETRANSLATE(B27831,""en"",""es-ES"")"),"Vemos una pantalla de título de apertura.")</f>
        <v>Vemos una pantalla de título de apertura.</v>
      </c>
    </row>
    <row r="27832">
      <c r="A27832" s="4" t="s">
        <v>35046</v>
      </c>
      <c r="B27832" s="4" t="s">
        <v>35047</v>
      </c>
      <c r="C27832" s="5" t="str">
        <f>IFERROR(__xludf.DUMMYFUNCTION("GOOGLETRANSLATE(B27832,""en"",""es-ES"")"),"Vemos a 5 hombres caminando por la calle al lado.")</f>
        <v>Vemos a 5 hombres caminando por la calle al lado.</v>
      </c>
    </row>
    <row r="27833">
      <c r="A27833" s="4" t="s">
        <v>35046</v>
      </c>
      <c r="B27833" s="4" t="s">
        <v>35048</v>
      </c>
      <c r="C27833" s="5" t="str">
        <f>IFERROR(__xludf.DUMMYFUNCTION("GOOGLETRANSLATE(B27833,""en"",""es-ES"")"),"Un hombre mira a los hombres.")</f>
        <v>Un hombre mira a los hombres.</v>
      </c>
    </row>
    <row r="27834">
      <c r="A27834" s="4" t="s">
        <v>35046</v>
      </c>
      <c r="B27834" s="4" t="s">
        <v>35049</v>
      </c>
      <c r="C27834" s="5" t="str">
        <f>IFERROR(__xludf.DUMMYFUNCTION("GOOGLETRANSLATE(B27834,""en"",""es-ES"")"),"Una señora mira a los hombres.")</f>
        <v>Una señora mira a los hombres.</v>
      </c>
    </row>
    <row r="27835">
      <c r="A27835" s="4" t="s">
        <v>35046</v>
      </c>
      <c r="B27835" s="4" t="s">
        <v>35050</v>
      </c>
      <c r="C27835" s="5" t="str">
        <f>IFERROR(__xludf.DUMMYFUNCTION("GOOGLETRANSLATE(B27835,""en"",""es-ES"")"),"Dos hombres se vuelven y se miran.")</f>
        <v>Dos hombres se vuelven y se miran.</v>
      </c>
    </row>
    <row r="27836">
      <c r="A27836" s="4" t="s">
        <v>35046</v>
      </c>
      <c r="B27836" s="4" t="s">
        <v>35051</v>
      </c>
      <c r="C27836" s="5" t="str">
        <f>IFERROR(__xludf.DUMMYFUNCTION("GOOGLETRANSLATE(B27836,""en"",""es-ES"")"),"Un hombre compra bebidas mientras todos las miran.")</f>
        <v>Un hombre compra bebidas mientras todos las miran.</v>
      </c>
    </row>
    <row r="27837">
      <c r="A27837" s="4" t="s">
        <v>35046</v>
      </c>
      <c r="B27837" s="4" t="s">
        <v>35052</v>
      </c>
      <c r="C27837" s="5" t="str">
        <f>IFERROR(__xludf.DUMMYFUNCTION("GOOGLETRANSLATE(B27837,""en"",""es-ES"")"),"Los cinco hombres beben sus cervezas en un trago.")</f>
        <v>Los cinco hombres beben sus cervezas en un trago.</v>
      </c>
    </row>
    <row r="27838">
      <c r="A27838" s="4" t="s">
        <v>35046</v>
      </c>
      <c r="B27838" s="4" t="s">
        <v>35053</v>
      </c>
      <c r="C27838" s="5" t="str">
        <f>IFERROR(__xludf.DUMMYFUNCTION("GOOGLETRANSLATE(B27838,""en"",""es-ES"")"),"Los hombres dejan el bar borracho.")</f>
        <v>Los hombres dejan el bar borracho.</v>
      </c>
    </row>
    <row r="27839">
      <c r="A27839" s="4" t="s">
        <v>35046</v>
      </c>
      <c r="B27839" s="4" t="s">
        <v>35054</v>
      </c>
      <c r="C27839" s="5" t="str">
        <f>IFERROR(__xludf.DUMMYFUNCTION("GOOGLETRANSLATE(B27839,""en"",""es-ES"")"),"Vemos una pantalla de cierre gris.")</f>
        <v>Vemos una pantalla de cierre gris.</v>
      </c>
    </row>
    <row r="27840">
      <c r="A27840" s="4" t="s">
        <v>35055</v>
      </c>
      <c r="B27840" s="4" t="s">
        <v>35056</v>
      </c>
      <c r="C27840" s="5" t="str">
        <f>IFERROR(__xludf.DUMMYFUNCTION("GOOGLETRANSLATE(B27840,""en"",""es-ES"")"),"La mujer que usa ropa negra está acostada en el piso haciendo abdominales.")</f>
        <v>La mujer que usa ropa negra está acostada en el piso haciendo abdominales.</v>
      </c>
    </row>
    <row r="27841">
      <c r="A27841" s="4" t="s">
        <v>35055</v>
      </c>
      <c r="B27841" s="4" t="s">
        <v>35057</v>
      </c>
      <c r="C27841" s="5" t="str">
        <f>IFERROR(__xludf.DUMMYFUNCTION("GOOGLETRANSLATE(B27841,""en"",""es-ES"")"),"La mujer que hace abdominales en el piso tiene su FET atado a los elásticos.")</f>
        <v>La mujer que hace abdominales en el piso tiene su FET atado a los elásticos.</v>
      </c>
    </row>
    <row r="27842">
      <c r="A27842" s="4" t="s">
        <v>35055</v>
      </c>
      <c r="B27842" s="4" t="s">
        <v>35058</v>
      </c>
      <c r="C27842" s="5" t="str">
        <f>IFERROR(__xludf.DUMMYFUNCTION("GOOGLETRANSLATE(B27842,""en"",""es-ES"")"),"La mujer está haciendo ejercicio en un gimnasio techo.")</f>
        <v>La mujer está haciendo ejercicio en un gimnasio techo.</v>
      </c>
    </row>
    <row r="27843">
      <c r="A27843" s="4" t="s">
        <v>35059</v>
      </c>
      <c r="B27843" s="4" t="s">
        <v>35060</v>
      </c>
      <c r="C27843" s="5" t="str">
        <f>IFERROR(__xludf.DUMMYFUNCTION("GOOGLETRANSLATE(B27843,""en"",""es-ES"")"),"Se ve a un hombre realizando una rutina de baile en un escenario mientras una orquesta toca detrás de él.")</f>
        <v>Se ve a un hombre realizando una rutina de baile en un escenario mientras una orquesta toca detrás de él.</v>
      </c>
    </row>
    <row r="27844">
      <c r="A27844" s="4" t="s">
        <v>35059</v>
      </c>
      <c r="B27844" s="4" t="s">
        <v>35061</v>
      </c>
      <c r="C27844" s="5" t="str">
        <f>IFERROR(__xludf.DUMMYFUNCTION("GOOGLETRANSLATE(B27844,""en"",""es-ES"")"),"Una mujer luego interviene y baila con el hombre mientras giraba su sombrero y gira en el escenario.")</f>
        <v>Una mujer luego interviene y baila con el hombre mientras giraba su sombrero y gira en el escenario.</v>
      </c>
    </row>
    <row r="27845">
      <c r="A27845" s="4" t="s">
        <v>35059</v>
      </c>
      <c r="B27845" s="4" t="s">
        <v>35062</v>
      </c>
      <c r="C27845" s="5" t="str">
        <f>IFERROR(__xludf.DUMMYFUNCTION("GOOGLETRANSLATE(B27845,""en"",""es-ES"")"),"Los dos terminan haciendo un gesto divertido y luego sale del escenario hacia un lado.")</f>
        <v>Los dos terminan haciendo un gesto divertido y luego sale del escenario hacia un lado.</v>
      </c>
    </row>
    <row r="27846">
      <c r="A27846" s="4" t="s">
        <v>35063</v>
      </c>
      <c r="B27846" s="4" t="s">
        <v>35064</v>
      </c>
      <c r="C27846" s="5" t="str">
        <f>IFERROR(__xludf.DUMMYFUNCTION("GOOGLETRANSLATE(B27846,""en"",""es-ES"")"),"Un hombre está hablando junto a varias bicicletas de ejercicios.")</f>
        <v>Un hombre está hablando junto a varias bicicletas de ejercicios.</v>
      </c>
    </row>
    <row r="27847">
      <c r="A27847" s="4" t="s">
        <v>35063</v>
      </c>
      <c r="B27847" s="4" t="s">
        <v>35065</v>
      </c>
      <c r="C27847" s="5" t="str">
        <f>IFERROR(__xludf.DUMMYFUNCTION("GOOGLETRANSLATE(B27847,""en"",""es-ES"")"),"Comienza a hacer ejercicio en una de las bicicletas.")</f>
        <v>Comienza a hacer ejercicio en una de las bicicletas.</v>
      </c>
    </row>
    <row r="27848">
      <c r="A27848" s="4" t="s">
        <v>35063</v>
      </c>
      <c r="B27848" s="4" t="s">
        <v>35066</v>
      </c>
      <c r="C27848" s="5" t="str">
        <f>IFERROR(__xludf.DUMMYFUNCTION("GOOGLETRANSLATE(B27848,""en"",""es-ES"")"),"La gente está haciendo ejercicio en la oscuridad.")</f>
        <v>La gente está haciendo ejercicio en la oscuridad.</v>
      </c>
    </row>
    <row r="27849">
      <c r="A27849" s="4" t="s">
        <v>35067</v>
      </c>
      <c r="B27849" s="4" t="s">
        <v>35068</v>
      </c>
      <c r="C27849" s="5" t="str">
        <f>IFERROR(__xludf.DUMMYFUNCTION("GOOGLETRANSLATE(B27849,""en"",""es-ES"")"),"Un grupo de personas juega polo en caballos en una hierba cubierta, cercado en un campo rodeado de espectadores y espectadores.")</f>
        <v>Un grupo de personas juega polo en caballos en una hierba cubierta, cercado en un campo rodeado de espectadores y espectadores.</v>
      </c>
    </row>
    <row r="27850">
      <c r="A27850" s="4" t="s">
        <v>35067</v>
      </c>
      <c r="B27850" s="4" t="s">
        <v>35069</v>
      </c>
      <c r="C27850" s="5" t="str">
        <f>IFERROR(__xludf.DUMMYFUNCTION("GOOGLETRANSLATE(B27850,""en"",""es-ES"")"),"Un hombre en un caballo camina por el centro de una línea de personas en un caballo mientras sostiene un largo poste de mazo.")</f>
        <v>Un hombre en un caballo camina por el centro de una línea de personas en un caballo mientras sostiene un largo poste de mazo.</v>
      </c>
    </row>
    <row r="27851">
      <c r="A27851" s="4" t="s">
        <v>35067</v>
      </c>
      <c r="B27851" s="4" t="s">
        <v>35070</v>
      </c>
      <c r="C27851" s="5" t="str">
        <f>IFERROR(__xludf.DUMMYFUNCTION("GOOGLETRANSLATE(B27851,""en"",""es-ES"")"),"Un grupo de espectadores de pie y sentados en la hierba mira desde el costado del campo.")</f>
        <v>Un grupo de espectadores de pie y sentados en la hierba mira desde el costado del campo.</v>
      </c>
    </row>
    <row r="27852">
      <c r="A27852" s="4" t="s">
        <v>35067</v>
      </c>
      <c r="B27852" s="4" t="s">
        <v>35071</v>
      </c>
      <c r="C27852" s="5" t="str">
        <f>IFERROR(__xludf.DUMMYFUNCTION("GOOGLETRANSLATE(B27852,""en"",""es-ES"")"),"El juego de polo comienza y las personas en los caballos comienzan a balancear sus postes de mazo por el suelo.")</f>
        <v>El juego de polo comienza y las personas en los caballos comienzan a balancear sus postes de mazo por el suelo.</v>
      </c>
    </row>
    <row r="27853">
      <c r="A27853" s="4" t="s">
        <v>35072</v>
      </c>
      <c r="B27853" s="4" t="s">
        <v>35073</v>
      </c>
      <c r="C27853" s="5" t="str">
        <f>IFERROR(__xludf.DUMMYFUNCTION("GOOGLETRANSLATE(B27853,""en"",""es-ES"")"),"Se ve a un hombre hablando con la cámara mientras se mueve los brazos y otros nadan en una piscina detrás de él.")</f>
        <v>Se ve a un hombre hablando con la cámara mientras se mueve los brazos y otros nadan en una piscina detrás de él.</v>
      </c>
    </row>
    <row r="27854">
      <c r="A27854" s="4" t="s">
        <v>35072</v>
      </c>
      <c r="B27854" s="4" t="s">
        <v>35074</v>
      </c>
      <c r="C27854" s="5" t="str">
        <f>IFERROR(__xludf.DUMMYFUNCTION("GOOGLETRANSLATE(B27854,""en"",""es-ES"")"),"El hombre continúa hablando con la cámara y una persona salta del tablero de buceo detrás de él.")</f>
        <v>El hombre continúa hablando con la cámara y una persona salta del tablero de buceo detrás de él.</v>
      </c>
    </row>
    <row r="27855">
      <c r="A27855" s="4" t="s">
        <v>35075</v>
      </c>
      <c r="B27855" s="4" t="s">
        <v>35076</v>
      </c>
      <c r="C27855" s="5" t="str">
        <f>IFERROR(__xludf.DUMMYFUNCTION("GOOGLETRANSLATE(B27855,""en"",""es-ES"")"),"Una gimnasta monta una viga alta en un gimnasio.")</f>
        <v>Una gimnasta monta una viga alta en un gimnasio.</v>
      </c>
    </row>
    <row r="27856">
      <c r="A27856" s="4" t="s">
        <v>35075</v>
      </c>
      <c r="B27856" s="4" t="s">
        <v>35077</v>
      </c>
      <c r="C27856" s="5" t="str">
        <f>IFERROR(__xludf.DUMMYFUNCTION("GOOGLETRANSLATE(B27856,""en"",""es-ES"")"),"Él voltea y hace varios resortes.")</f>
        <v>Él voltea y hace varios resortes.</v>
      </c>
    </row>
    <row r="27857">
      <c r="A27857" s="4" t="s">
        <v>35075</v>
      </c>
      <c r="B27857" s="4" t="s">
        <v>35078</v>
      </c>
      <c r="C27857" s="5" t="str">
        <f>IFERROR(__xludf.DUMMYFUNCTION("GOOGLETRANSLATE(B27857,""en"",""es-ES"")"),"Luego desmonta, levantando los brazos mientras lo hace.")</f>
        <v>Luego desmonta, levantando los brazos mientras lo hace.</v>
      </c>
    </row>
    <row r="27858">
      <c r="A27858" s="4" t="s">
        <v>35079</v>
      </c>
      <c r="B27858" s="4" t="s">
        <v>35080</v>
      </c>
      <c r="C27858" s="5" t="str">
        <f>IFERROR(__xludf.DUMMYFUNCTION("GOOGLETRANSLATE(B27858,""en"",""es-ES"")"),"Se muestra una gran máquina naranja que se mueve por una carretera con una garra como el brazo y la navaja de afeitar que cortan la hierba.")</f>
        <v>Se muestra una gran máquina naranja que se mueve por una carretera con una garra como el brazo y la navaja de afeitar que cortan la hierba.</v>
      </c>
    </row>
    <row r="27859">
      <c r="A27859" s="4" t="s">
        <v>35079</v>
      </c>
      <c r="B27859" s="4" t="s">
        <v>35081</v>
      </c>
      <c r="C27859" s="5" t="str">
        <f>IFERROR(__xludf.DUMMYFUNCTION("GOOGLETRANSLATE(B27859,""en"",""es-ES"")"),"El corte continúa y la máquina se está operando en diferentes áreas, como las carreteras.")</f>
        <v>El corte continúa y la máquina se está operando en diferentes áreas, como las carreteras.</v>
      </c>
    </row>
    <row r="27860">
      <c r="A27860" s="4" t="s">
        <v>35082</v>
      </c>
      <c r="B27860" s="4" t="s">
        <v>35083</v>
      </c>
      <c r="C27860" s="5" t="str">
        <f>IFERROR(__xludf.DUMMYFUNCTION("GOOGLETRANSLATE(B27860,""en"",""es-ES"")"),"Se ve a una niña realizando una rutina de baile del vientre en un pequeño escenario.")</f>
        <v>Se ve a una niña realizando una rutina de baile del vientre en un pequeño escenario.</v>
      </c>
    </row>
    <row r="27861">
      <c r="A27861" s="4" t="s">
        <v>35082</v>
      </c>
      <c r="B27861" s="4" t="s">
        <v>35084</v>
      </c>
      <c r="C27861" s="5" t="str">
        <f>IFERROR(__xludf.DUMMYFUNCTION("GOOGLETRANSLATE(B27861,""en"",""es-ES"")"),"Ella continúa bailando y actuando alrededor del escenario y termina su baile con una postura, inclinándose y alejándose.")</f>
        <v>Ella continúa bailando y actuando alrededor del escenario y termina su baile con una postura, inclinándose y alejándose.</v>
      </c>
    </row>
    <row r="27862">
      <c r="A27862" s="4" t="s">
        <v>35085</v>
      </c>
      <c r="B27862" s="4" t="s">
        <v>35086</v>
      </c>
      <c r="C27862" s="5" t="str">
        <f>IFERROR(__xludf.DUMMYFUNCTION("GOOGLETRANSLATE(B27862,""en"",""es-ES"")"),"Se muestran varios clip de ingredientes que se colocan en tazones seguidos de una persona que los mezcla todos juntos.")</f>
        <v>Se muestran varios clip de ingredientes que se colocan en tazones seguidos de una persona que los mezcla todos juntos.</v>
      </c>
    </row>
    <row r="27863">
      <c r="A27863" s="4" t="s">
        <v>35085</v>
      </c>
      <c r="B27863" s="4" t="s">
        <v>35087</v>
      </c>
      <c r="C27863" s="5" t="str">
        <f>IFERROR(__xludf.DUMMYFUNCTION("GOOGLETRANSLATE(B27863,""en"",""es-ES"")"),"La persona las enrolla en bolas y las coloca en un plato, finalmente metiéndolos en el horno.")</f>
        <v>La persona las enrolla en bolas y las coloca en un plato, finalmente metiéndolos en el horno.</v>
      </c>
    </row>
    <row r="27864">
      <c r="A27864" s="4" t="s">
        <v>35085</v>
      </c>
      <c r="B27864" s="4" t="s">
        <v>35088</v>
      </c>
      <c r="C27864" s="5" t="str">
        <f>IFERROR(__xludf.DUMMYFUNCTION("GOOGLETRANSLATE(B27864,""en"",""es-ES"")"),"Luego saca las galletas hechas y le da a la cámara un pulgar hacia arriba.")</f>
        <v>Luego saca las galletas hechas y le da a la cámara un pulgar hacia arriba.</v>
      </c>
    </row>
    <row r="27865">
      <c r="A27865" s="4" t="s">
        <v>35089</v>
      </c>
      <c r="B27865" s="4" t="s">
        <v>35090</v>
      </c>
      <c r="C27865" s="5" t="str">
        <f>IFERROR(__xludf.DUMMYFUNCTION("GOOGLETRANSLATE(B27865,""en"",""es-ES"")"),"La gente conduce autos de parachoques y choca entre sí.")</f>
        <v>La gente conduce autos de parachoques y choca entre sí.</v>
      </c>
    </row>
    <row r="27866">
      <c r="A27866" s="4" t="s">
        <v>35089</v>
      </c>
      <c r="B27866" s="4" t="s">
        <v>35091</v>
      </c>
      <c r="C27866" s="5" t="str">
        <f>IFERROR(__xludf.DUMMYFUNCTION("GOOGLETRANSLATE(B27866,""en"",""es-ES"")"),"Un automóvil verde se estrella en un auto dorado.")</f>
        <v>Un automóvil verde se estrella en un auto dorado.</v>
      </c>
    </row>
    <row r="27867">
      <c r="A27867" s="4" t="s">
        <v>35089</v>
      </c>
      <c r="B27867" s="4" t="s">
        <v>35092</v>
      </c>
      <c r="C27867" s="5" t="str">
        <f>IFERROR(__xludf.DUMMYFUNCTION("GOOGLETRANSLATE(B27867,""en"",""es-ES"")"),"Un automóvil azul se estrella en un auto dorado.")</f>
        <v>Un automóvil azul se estrella en un auto dorado.</v>
      </c>
    </row>
    <row r="27868">
      <c r="A27868" s="4" t="s">
        <v>35093</v>
      </c>
      <c r="B27868" s="4" t="s">
        <v>35094</v>
      </c>
      <c r="C27868" s="5" t="str">
        <f>IFERROR(__xludf.DUMMYFUNCTION("GOOGLETRANSLATE(B27868,""en"",""es-ES"")"),"Una cámara se mueve alrededor de un gran almacén y muestra clips de materiales que se están haciendo y los hombres que trabajan.")</f>
        <v>Una cámara se mueve alrededor de un gran almacén y muestra clips de materiales que se están haciendo y los hombres que trabajan.</v>
      </c>
    </row>
    <row r="27869">
      <c r="A27869" s="4" t="s">
        <v>35093</v>
      </c>
      <c r="B27869" s="4" t="s">
        <v>35095</v>
      </c>
      <c r="C27869" s="5" t="str">
        <f>IFERROR(__xludf.DUMMYFUNCTION("GOOGLETRANSLATE(B27869,""en"",""es-ES"")"),"La maquinaria se muestra empujando materiales mientras las personas miran a los lados.")</f>
        <v>La maquinaria se muestra empujando materiales mientras las personas miran a los lados.</v>
      </c>
    </row>
    <row r="27870">
      <c r="A27870" s="4" t="s">
        <v>35093</v>
      </c>
      <c r="B27870" s="4" t="s">
        <v>35096</v>
      </c>
      <c r="C27870" s="5" t="str">
        <f>IFERROR(__xludf.DUMMYFUNCTION("GOOGLETRANSLATE(B27870,""en"",""es-ES"")"),"Se están empujando más productos para casas y se muestra una maquinaria que los lleva.")</f>
        <v>Se están empujando más productos para casas y se muestra una maquinaria que los lleva.</v>
      </c>
    </row>
    <row r="27871">
      <c r="A27871" s="4" t="s">
        <v>35097</v>
      </c>
      <c r="B27871" s="4" t="s">
        <v>35098</v>
      </c>
      <c r="C27871" s="5" t="str">
        <f>IFERROR(__xludf.DUMMYFUNCTION("GOOGLETRANSLATE(B27871,""en"",""es-ES"")"),"Se ve un primer plano de un tobogán seguido por un adulto y un niño pequeño que conduce por el tobogán.")</f>
        <v>Se ve un primer plano de un tobogán seguido por un adulto y un niño pequeño que conduce por el tobogán.</v>
      </c>
    </row>
    <row r="27872">
      <c r="A27872" s="4" t="s">
        <v>35097</v>
      </c>
      <c r="B27872" s="4" t="s">
        <v>35099</v>
      </c>
      <c r="C27872" s="5" t="str">
        <f>IFERROR(__xludf.DUMMYFUNCTION("GOOGLETRANSLATE(B27872,""en"",""es-ES"")"),"La mujer se ríe con el bebé y la recoge en el fondo.")</f>
        <v>La mujer se ríe con el bebé y la recoge en el fondo.</v>
      </c>
    </row>
    <row r="27873">
      <c r="A27873" s="4" t="s">
        <v>35100</v>
      </c>
      <c r="B27873" s="4" t="s">
        <v>35101</v>
      </c>
      <c r="C27873" s="5" t="str">
        <f>IFERROR(__xludf.DUMMYFUNCTION("GOOGLETRANSLATE(B27873,""en"",""es-ES"")"),"Se ve a una mujer parada en un gran círculo y se inclina hacia adelante.")</f>
        <v>Se ve a una mujer parada en un gran círculo y se inclina hacia adelante.</v>
      </c>
    </row>
    <row r="27874">
      <c r="A27874" s="4" t="s">
        <v>35100</v>
      </c>
      <c r="B27874" s="4" t="s">
        <v>35102</v>
      </c>
      <c r="C27874" s="5" t="str">
        <f>IFERROR(__xludf.DUMMYFUNCTION("GOOGLETRANSLATE(B27874,""en"",""es-ES"")"),"La mujer luego se gira y arroja un objeto a la distancia.")</f>
        <v>La mujer luego se gira y arroja un objeto a la distancia.</v>
      </c>
    </row>
    <row r="27875">
      <c r="A27875" s="4" t="s">
        <v>35100</v>
      </c>
      <c r="B27875" s="4" t="s">
        <v>35103</v>
      </c>
      <c r="C27875" s="5" t="str">
        <f>IFERROR(__xludf.DUMMYFUNCTION("GOOGLETRANSLATE(B27875,""en"",""es-ES"")"),"La mujer hace esto varias veces después.")</f>
        <v>La mujer hace esto varias veces después.</v>
      </c>
    </row>
    <row r="27876">
      <c r="A27876" s="4" t="s">
        <v>35104</v>
      </c>
      <c r="B27876" s="4" t="s">
        <v>35105</v>
      </c>
      <c r="C27876" s="5" t="str">
        <f>IFERROR(__xludf.DUMMYFUNCTION("GOOGLETRANSLATE(B27876,""en"",""es-ES"")"),"Una línea de batería entra en formación en un evento al aire libre.")</f>
        <v>Una línea de batería entra en formación en un evento al aire libre.</v>
      </c>
    </row>
    <row r="27877">
      <c r="A27877" s="4" t="s">
        <v>35104</v>
      </c>
      <c r="B27877" s="4" t="s">
        <v>35106</v>
      </c>
      <c r="C27877" s="5" t="str">
        <f>IFERROR(__xludf.DUMMYFUNCTION("GOOGLETRANSLATE(B27877,""en"",""es-ES"")"),"Comienzan su rutina, cada sección se mueve en su propio camino antes de reunirse y extenderse nuevamente.")</f>
        <v>Comienzan su rutina, cada sección se mueve en su propio camino antes de reunirse y extenderse nuevamente.</v>
      </c>
    </row>
    <row r="27878">
      <c r="A27878" s="4" t="s">
        <v>35104</v>
      </c>
      <c r="B27878" s="4" t="s">
        <v>35107</v>
      </c>
      <c r="C27878" s="5" t="str">
        <f>IFERROR(__xludf.DUMMYFUNCTION("GOOGLETRANSLATE(B27878,""en"",""es-ES"")"),"Se forman en dos filas y terminan la canción.")</f>
        <v>Se forman en dos filas y terminan la canción.</v>
      </c>
    </row>
    <row r="27879">
      <c r="A27879" s="4" t="s">
        <v>35108</v>
      </c>
      <c r="B27879" s="4" t="s">
        <v>1487</v>
      </c>
      <c r="C27879" s="5" t="str">
        <f>IFERROR(__xludf.DUMMYFUNCTION("GOOGLETRANSLATE(B27879,""en"",""es-ES"")"),"Vemos una pantalla de título de apertura.")</f>
        <v>Vemos una pantalla de título de apertura.</v>
      </c>
    </row>
    <row r="27880">
      <c r="A27880" s="4" t="s">
        <v>35108</v>
      </c>
      <c r="B27880" s="4" t="s">
        <v>35109</v>
      </c>
      <c r="C27880" s="5" t="str">
        <f>IFERROR(__xludf.DUMMYFUNCTION("GOOGLETRANSLATE(B27880,""en"",""es-ES"")"),"Una persona sube las escaleras hacia una habitación y ve cerveza vertida de un barril y gente hablando.")</f>
        <v>Una persona sube las escaleras hacia una habitación y ve cerveza vertida de un barril y gente hablando.</v>
      </c>
    </row>
    <row r="27881">
      <c r="A27881" s="4" t="s">
        <v>35108</v>
      </c>
      <c r="B27881" s="4" t="s">
        <v>35110</v>
      </c>
      <c r="C27881" s="5" t="str">
        <f>IFERROR(__xludf.DUMMYFUNCTION("GOOGLETRANSLATE(B27881,""en"",""es-ES"")"),"La gente se pare y juega a Beer Pong mientras otros miran.")</f>
        <v>La gente se pare y juega a Beer Pong mientras otros miran.</v>
      </c>
    </row>
    <row r="27882">
      <c r="A27882" s="4" t="s">
        <v>35108</v>
      </c>
      <c r="B27882" s="4" t="s">
        <v>35111</v>
      </c>
      <c r="C27882" s="5" t="str">
        <f>IFERROR(__xludf.DUMMYFUNCTION("GOOGLETRANSLATE(B27882,""en"",""es-ES"")"),"Un hombre intenta soplar una pelota de una taza.")</f>
        <v>Un hombre intenta soplar una pelota de una taza.</v>
      </c>
    </row>
    <row r="27883">
      <c r="A27883" s="4" t="s">
        <v>35108</v>
      </c>
      <c r="B27883" s="4" t="s">
        <v>35112</v>
      </c>
      <c r="C27883" s="5" t="str">
        <f>IFERROR(__xludf.DUMMYFUNCTION("GOOGLETRANSLATE(B27883,""en"",""es-ES"")"),"Un hombre golpea la pelota lejos de la copa.")</f>
        <v>Un hombre golpea la pelota lejos de la copa.</v>
      </c>
    </row>
    <row r="27884">
      <c r="A27884" s="4" t="s">
        <v>35108</v>
      </c>
      <c r="B27884" s="4" t="s">
        <v>35113</v>
      </c>
      <c r="C27884" s="5" t="str">
        <f>IFERROR(__xludf.DUMMYFUNCTION("GOOGLETRANSLATE(B27884,""en"",""es-ES"")"),"El equipo de la izquierda salta y vítores.")</f>
        <v>El equipo de la izquierda salta y vítores.</v>
      </c>
    </row>
    <row r="27885">
      <c r="A27885" s="4" t="s">
        <v>35108</v>
      </c>
      <c r="B27885" s="4" t="s">
        <v>35114</v>
      </c>
      <c r="C27885" s="5" t="str">
        <f>IFERROR(__xludf.DUMMYFUNCTION("GOOGLETRANSLATE(B27885,""en"",""es-ES"")"),"Vemos a los pueblos de cerca y platos de comida en una mesa.")</f>
        <v>Vemos a los pueblos de cerca y platos de comida en una mesa.</v>
      </c>
    </row>
    <row r="27886">
      <c r="A27886" s="4" t="s">
        <v>35108</v>
      </c>
      <c r="B27886" s="4" t="s">
        <v>35115</v>
      </c>
      <c r="C27886" s="5" t="str">
        <f>IFERROR(__xludf.DUMMYFUNCTION("GOOGLETRANSLATE(B27886,""en"",""es-ES"")"),"Vemos un letrero iluminado y un final.")</f>
        <v>Vemos un letrero iluminado y un final.</v>
      </c>
    </row>
    <row r="27887">
      <c r="A27887" s="4" t="s">
        <v>35116</v>
      </c>
      <c r="B27887" s="4" t="s">
        <v>35117</v>
      </c>
      <c r="C27887" s="5" t="str">
        <f>IFERROR(__xludf.DUMMYFUNCTION("GOOGLETRANSLATE(B27887,""en"",""es-ES"")"),"Se ve a un hombre parado alrededor de un vecindario en un par de zancos.")</f>
        <v>Se ve a un hombre parado alrededor de un vecindario en un par de zancos.</v>
      </c>
    </row>
    <row r="27888">
      <c r="A27888" s="4" t="s">
        <v>35116</v>
      </c>
      <c r="B27888" s="4" t="s">
        <v>35118</v>
      </c>
      <c r="C27888" s="5" t="str">
        <f>IFERROR(__xludf.DUMMYFUNCTION("GOOGLETRANSLATE(B27888,""en"",""es-ES"")"),"El hombre camina por la calle y se vuelve hacia atrás.")</f>
        <v>El hombre camina por la calle y se vuelve hacia atrás.</v>
      </c>
    </row>
    <row r="27889">
      <c r="A27889" s="4" t="s">
        <v>35116</v>
      </c>
      <c r="B27889" s="4" t="s">
        <v>35119</v>
      </c>
      <c r="C27889" s="5" t="str">
        <f>IFERROR(__xludf.DUMMYFUNCTION("GOOGLETRANSLATE(B27889,""en"",""es-ES"")"),"Luego comienza a saltar por el camino y mirando hacia la cámara.")</f>
        <v>Luego comienza a saltar por el camino y mirando hacia la cámara.</v>
      </c>
    </row>
    <row r="27890">
      <c r="A27890" s="4" t="s">
        <v>35120</v>
      </c>
      <c r="B27890" s="4" t="s">
        <v>35121</v>
      </c>
      <c r="C27890" s="5" t="str">
        <f>IFERROR(__xludf.DUMMYFUNCTION("GOOGLETRANSLATE(B27890,""en"",""es-ES"")"),"Un hombre salta de un tablero de buceo hacia atrás en una piscina.")</f>
        <v>Un hombre salta de un tablero de buceo hacia atrás en una piscina.</v>
      </c>
    </row>
    <row r="27891">
      <c r="A27891" s="4" t="s">
        <v>35120</v>
      </c>
      <c r="B27891" s="4" t="s">
        <v>35122</v>
      </c>
      <c r="C27891" s="5" t="str">
        <f>IFERROR(__xludf.DUMMYFUNCTION("GOOGLETRANSLATE(B27891,""en"",""es-ES"")"),"Hay un gran chapoteo y el hombre superficies sonriendo.")</f>
        <v>Hay un gran chapoteo y el hombre superficies sonriendo.</v>
      </c>
    </row>
    <row r="27892">
      <c r="A27892" s="4" t="s">
        <v>35123</v>
      </c>
      <c r="B27892" s="4" t="s">
        <v>35124</v>
      </c>
      <c r="C27892" s="5" t="str">
        <f>IFERROR(__xludf.DUMMYFUNCTION("GOOGLETRANSLATE(B27892,""en"",""es-ES"")"),"Los niños sacan el desierto para su familiar.")</f>
        <v>Los niños sacan el desierto para su familiar.</v>
      </c>
    </row>
    <row r="27893">
      <c r="A27893" s="4" t="s">
        <v>35123</v>
      </c>
      <c r="B27893" s="4" t="s">
        <v>35125</v>
      </c>
      <c r="C27893" s="5" t="str">
        <f>IFERROR(__xludf.DUMMYFUNCTION("GOOGLETRANSLATE(B27893,""en"",""es-ES"")"),"A la familia le gusta comer el desierto juntos.")</f>
        <v>A la familia le gusta comer el desierto juntos.</v>
      </c>
    </row>
    <row r="27894">
      <c r="A27894" s="4" t="s">
        <v>35123</v>
      </c>
      <c r="B27894" s="4" t="s">
        <v>35126</v>
      </c>
      <c r="C27894" s="5" t="str">
        <f>IFERROR(__xludf.DUMMYFUNCTION("GOOGLETRANSLATE(B27894,""en"",""es-ES"")"),"La gente del restaurante se ríe del hombre y se pregunta qué están haciendo.")</f>
        <v>La gente del restaurante se ríe del hombre y se pregunta qué están haciendo.</v>
      </c>
    </row>
    <row r="27895">
      <c r="A27895" s="4" t="s">
        <v>35123</v>
      </c>
      <c r="B27895" s="4" t="s">
        <v>35127</v>
      </c>
      <c r="C27895" s="5" t="str">
        <f>IFERROR(__xludf.DUMMYFUNCTION("GOOGLETRANSLATE(B27895,""en"",""es-ES"")"),"El hombre se levanta y se aleja a la otra habitación.")</f>
        <v>El hombre se levanta y se aleja a la otra habitación.</v>
      </c>
    </row>
    <row r="27896">
      <c r="A27896" s="4" t="s">
        <v>35128</v>
      </c>
      <c r="B27896" s="4" t="s">
        <v>35129</v>
      </c>
      <c r="C27896" s="5" t="str">
        <f>IFERROR(__xludf.DUMMYFUNCTION("GOOGLETRANSLATE(B27896,""en"",""es-ES"")"),"Un hombre está parado en su patio trasero.")</f>
        <v>Un hombre está parado en su patio trasero.</v>
      </c>
    </row>
    <row r="27897">
      <c r="A27897" s="4" t="s">
        <v>35128</v>
      </c>
      <c r="B27897" s="4" t="s">
        <v>35130</v>
      </c>
      <c r="C27897" s="5" t="str">
        <f>IFERROR(__xludf.DUMMYFUNCTION("GOOGLETRANSLATE(B27897,""en"",""es-ES"")"),"Se está riendo mientras cría el costado de un cobertizo.")</f>
        <v>Se está riendo mientras cría el costado de un cobertizo.</v>
      </c>
    </row>
    <row r="27898">
      <c r="A27898" s="4" t="s">
        <v>35128</v>
      </c>
      <c r="B27898" s="4" t="s">
        <v>35131</v>
      </c>
      <c r="C27898" s="5" t="str">
        <f>IFERROR(__xludf.DUMMYFUNCTION("GOOGLETRANSLATE(B27898,""en"",""es-ES"")"),"Utiliza un rociador para aplicar la pintura roja.")</f>
        <v>Utiliza un rociador para aplicar la pintura roja.</v>
      </c>
    </row>
    <row r="27899">
      <c r="A27899" s="4" t="s">
        <v>35132</v>
      </c>
      <c r="B27899" s="4" t="s">
        <v>35133</v>
      </c>
      <c r="C27899" s="5" t="str">
        <f>IFERROR(__xludf.DUMMYFUNCTION("GOOGLETRANSLATE(B27899,""en"",""es-ES"")"),"Vemos a un hombre en una tabla de buceo en el aire.")</f>
        <v>Vemos a un hombre en una tabla de buceo en el aire.</v>
      </c>
    </row>
    <row r="27900">
      <c r="A27900" s="4" t="s">
        <v>35132</v>
      </c>
      <c r="B27900" s="4" t="s">
        <v>35134</v>
      </c>
      <c r="C27900" s="5" t="str">
        <f>IFERROR(__xludf.DUMMYFUNCTION("GOOGLETRANSLATE(B27900,""en"",""es-ES"")"),"El hombre hace una parada de manos y cae de la parada de manos hacia el agua.")</f>
        <v>El hombre hace una parada de manos y cae de la parada de manos hacia el agua.</v>
      </c>
    </row>
    <row r="27901">
      <c r="A27901" s="4" t="s">
        <v>35132</v>
      </c>
      <c r="B27901" s="4" t="s">
        <v>35135</v>
      </c>
      <c r="C27901" s="5" t="str">
        <f>IFERROR(__xludf.DUMMYFUNCTION("GOOGLETRANSLATE(B27901,""en"",""es-ES"")"),"El siguiente hombre simplemente corre y se sumerge mientras voltea al agua.")</f>
        <v>El siguiente hombre simplemente corre y se sumerge mientras voltea al agua.</v>
      </c>
    </row>
    <row r="27902">
      <c r="A27902" s="4" t="s">
        <v>35132</v>
      </c>
      <c r="B27902" s="4" t="s">
        <v>35136</v>
      </c>
      <c r="C27902" s="5" t="str">
        <f>IFERROR(__xludf.DUMMYFUNCTION("GOOGLETRANSLATE(B27902,""en"",""es-ES"")"),"El hombre final hace una inmersión más tradicional.")</f>
        <v>El hombre final hace una inmersión más tradicional.</v>
      </c>
    </row>
    <row r="27903">
      <c r="A27903" s="4" t="s">
        <v>35137</v>
      </c>
      <c r="B27903" s="4" t="s">
        <v>35138</v>
      </c>
      <c r="C27903" s="5" t="str">
        <f>IFERROR(__xludf.DUMMYFUNCTION("GOOGLETRANSLATE(B27903,""en"",""es-ES"")"),"Una persona muestra cómo deformar un regalo como un profesional y hacer adornos y cintas de regalos.")</f>
        <v>Una persona muestra cómo deformar un regalo como un profesional y hacer adornos y cintas de regalos.</v>
      </c>
    </row>
    <row r="27904">
      <c r="A27904" s="4" t="s">
        <v>35137</v>
      </c>
      <c r="B27904" s="4" t="s">
        <v>35139</v>
      </c>
      <c r="C27904" s="5" t="str">
        <f>IFERROR(__xludf.DUMMYFUNCTION("GOOGLETRANSLATE(B27904,""en"",""es-ES"")"),"La mujer arregla una canasta de regalo y muestra un montón de buenos regalos.")</f>
        <v>La mujer arregla una canasta de regalo y muestra un montón de buenos regalos.</v>
      </c>
    </row>
    <row r="27905">
      <c r="A27905" s="4" t="s">
        <v>35137</v>
      </c>
      <c r="B27905" s="4" t="s">
        <v>35140</v>
      </c>
      <c r="C27905" s="5" t="str">
        <f>IFERROR(__xludf.DUMMYFUNCTION("GOOGLETRANSLATE(B27905,""en"",""es-ES"")"),"Luego, la mujer envuelve regalos con diferentes formas y adornos.")</f>
        <v>Luego, la mujer envuelve regalos con diferentes formas y adornos.</v>
      </c>
    </row>
    <row r="27906">
      <c r="A27906" s="4" t="s">
        <v>35141</v>
      </c>
      <c r="B27906" s="4" t="s">
        <v>35142</v>
      </c>
      <c r="C27906" s="5" t="str">
        <f>IFERROR(__xludf.DUMMYFUNCTION("GOOGLETRANSLATE(B27906,""en"",""es-ES"")"),"Una dama se arrodilla en una canoa mientras se fila en un lago.")</f>
        <v>Una dama se arrodilla en una canoa mientras se fila en un lago.</v>
      </c>
    </row>
    <row r="27907">
      <c r="A27907" s="4" t="s">
        <v>35141</v>
      </c>
      <c r="B27907" s="4" t="s">
        <v>35143</v>
      </c>
      <c r="C27907" s="5" t="str">
        <f>IFERROR(__xludf.DUMMYFUNCTION("GOOGLETRANSLATE(B27907,""en"",""es-ES"")"),"Una señora intenta pararse en un pie en el bote y cae en el lago.")</f>
        <v>Una señora intenta pararse en un pie en el bote y cae en el lago.</v>
      </c>
    </row>
    <row r="27908">
      <c r="A27908" s="4" t="s">
        <v>35141</v>
      </c>
      <c r="B27908" s="4" t="s">
        <v>35144</v>
      </c>
      <c r="C27908" s="5" t="str">
        <f>IFERROR(__xludf.DUMMYFUNCTION("GOOGLETRANSLATE(B27908,""en"",""es-ES"")"),"Una señora tiene un pie en el agua y otro en el bote y ella comienza a hacer flexiones en el bote.")</f>
        <v>Una señora tiene un pie en el agua y otro en el bote y ella comienza a hacer flexiones en el bote.</v>
      </c>
    </row>
    <row r="27909">
      <c r="A27909" s="4" t="s">
        <v>35141</v>
      </c>
      <c r="B27909" s="4" t="s">
        <v>35145</v>
      </c>
      <c r="C27909" s="5" t="str">
        <f>IFERROR(__xludf.DUMMYFUNCTION("GOOGLETRANSLATE(B27909,""en"",""es-ES"")"),"La señora termina y muestra su músculo a la cámara.")</f>
        <v>La señora termina y muestra su músculo a la cámara.</v>
      </c>
    </row>
    <row r="27910">
      <c r="A27910" s="4" t="s">
        <v>35141</v>
      </c>
      <c r="B27910" s="4" t="s">
        <v>35146</v>
      </c>
      <c r="C27910" s="5" t="str">
        <f>IFERROR(__xludf.DUMMYFUNCTION("GOOGLETRANSLATE(B27910,""en"",""es-ES"")"),"Vemos un emblema en la pantalla.")</f>
        <v>Vemos un emblema en la pantalla.</v>
      </c>
    </row>
    <row r="27911">
      <c r="A27911" s="4" t="s">
        <v>35147</v>
      </c>
      <c r="B27911" s="4" t="s">
        <v>35148</v>
      </c>
      <c r="C27911" s="5" t="str">
        <f>IFERROR(__xludf.DUMMYFUNCTION("GOOGLETRANSLATE(B27911,""en"",""es-ES"")"),"Un niño pequeño que lleva un casco está trepando en bares de mono en un patio de recreo con un niño pequeño debajo de ella.")</f>
        <v>Un niño pequeño que lleva un casco está trepando en bares de mono en un patio de recreo con un niño pequeño debajo de ella.</v>
      </c>
    </row>
    <row r="27912">
      <c r="A27912" s="4" t="s">
        <v>35147</v>
      </c>
      <c r="B27912" s="4" t="s">
        <v>35149</v>
      </c>
      <c r="C27912" s="5" t="str">
        <f>IFERROR(__xludf.DUMMYFUNCTION("GOOGLETRANSLATE(B27912,""en"",""es-ES"")"),"Una persona en bicicleta da la vuelta a la joven y ella sube hasta el último bar.")</f>
        <v>Una persona en bicicleta da la vuelta a la joven y ella sube hasta el último bar.</v>
      </c>
    </row>
    <row r="27913">
      <c r="A27913" s="4" t="s">
        <v>35150</v>
      </c>
      <c r="B27913" s="4" t="s">
        <v>35151</v>
      </c>
      <c r="C27913" s="5" t="str">
        <f>IFERROR(__xludf.DUMMYFUNCTION("GOOGLETRANSLATE(B27913,""en"",""es-ES"")"),"Un hombre de rojo corto está vertiendo una botella en un poco de madera.")</f>
        <v>Un hombre de rojo corto está vertiendo una botella en un poco de madera.</v>
      </c>
    </row>
    <row r="27914">
      <c r="A27914" s="4" t="s">
        <v>35150</v>
      </c>
      <c r="B27914" s="4" t="s">
        <v>35152</v>
      </c>
      <c r="C27914" s="5" t="str">
        <f>IFERROR(__xludf.DUMMYFUNCTION("GOOGLETRANSLATE(B27914,""en"",""es-ES"")"),"El hombre arroja un poco de papel sobre la madera.")</f>
        <v>El hombre arroja un poco de papel sobre la madera.</v>
      </c>
    </row>
    <row r="27915">
      <c r="A27915" s="4" t="s">
        <v>35150</v>
      </c>
      <c r="B27915" s="4" t="s">
        <v>35153</v>
      </c>
      <c r="C27915" s="5" t="str">
        <f>IFERROR(__xludf.DUMMYFUNCTION("GOOGLETRANSLATE(B27915,""en"",""es-ES"")"),"El hombre arroja partidos a la pila de madera.")</f>
        <v>El hombre arroja partidos a la pila de madera.</v>
      </c>
    </row>
    <row r="27916">
      <c r="A27916" s="4" t="s">
        <v>35150</v>
      </c>
      <c r="B27916" s="4" t="s">
        <v>35154</v>
      </c>
      <c r="C27916" s="5" t="str">
        <f>IFERROR(__xludf.DUMMYFUNCTION("GOOGLETRANSLATE(B27916,""en"",""es-ES"")"),"Un fuego comienza a arder.")</f>
        <v>Un fuego comienza a arder.</v>
      </c>
    </row>
    <row r="27917">
      <c r="A27917" s="4" t="s">
        <v>35155</v>
      </c>
      <c r="B27917" s="4" t="s">
        <v>35156</v>
      </c>
      <c r="C27917" s="5" t="str">
        <f>IFERROR(__xludf.DUMMYFUNCTION("GOOGLETRANSLATE(B27917,""en"",""es-ES"")"),"Una cámara se mueve alrededor de una gran piscina interior y muestra a un hombre saltando de una tabla de buceo hacia el agua.")</f>
        <v>Una cámara se mueve alrededor de una gran piscina interior y muestra a un hombre saltando de una tabla de buceo hacia el agua.</v>
      </c>
    </row>
    <row r="27918">
      <c r="A27918" s="4" t="s">
        <v>35155</v>
      </c>
      <c r="B27918" s="4" t="s">
        <v>35157</v>
      </c>
      <c r="C27918" s="5" t="str">
        <f>IFERROR(__xludf.DUMMYFUNCTION("GOOGLETRANSLATE(B27918,""en"",""es-ES"")"),"Varias personas se muestran calentándose y seguidas por muchos saltando a la piscina.")</f>
        <v>Varias personas se muestran calentándose y seguidas por muchos saltando a la piscina.</v>
      </c>
    </row>
    <row r="27919">
      <c r="A27919" s="4" t="s">
        <v>35155</v>
      </c>
      <c r="B27919" s="4" t="s">
        <v>35158</v>
      </c>
      <c r="C27919" s="5" t="str">
        <f>IFERROR(__xludf.DUMMYFUNCTION("GOOGLETRANSLATE(B27919,""en"",""es-ES"")"),"Un hombre les instruye sobre cómo aterrizar adecuadamente en el agua, seguido de varias personas que saltan una a la vez en la piscina, incluido el camarógrafo.")</f>
        <v>Un hombre les instruye sobre cómo aterrizar adecuadamente en el agua, seguido de varias personas que saltan una a la vez en la piscina, incluido el camarógrafo.</v>
      </c>
    </row>
    <row r="27920">
      <c r="A27920" s="4" t="s">
        <v>35159</v>
      </c>
      <c r="B27920" s="4" t="s">
        <v>35160</v>
      </c>
      <c r="C27920" s="5" t="str">
        <f>IFERROR(__xludf.DUMMYFUNCTION("GOOGLETRANSLATE(B27920,""en"",""es-ES"")"),"Dos sumos se preparan para luchar en un anillo mientras un juez se encuentra en el medio de ellos.")</f>
        <v>Dos sumos se preparan para luchar en un anillo mientras un juez se encuentra en el medio de ellos.</v>
      </c>
    </row>
    <row r="27921">
      <c r="A27921" s="4" t="s">
        <v>35159</v>
      </c>
      <c r="B27921" s="4" t="s">
        <v>35161</v>
      </c>
      <c r="C27921" s="5" t="str">
        <f>IFERROR(__xludf.DUMMYFUNCTION("GOOGLETRANSLATE(B27921,""en"",""es-ES"")"),"Luego los sumos luchan, y el delgado sumo arroja el sumo gordo al suelo.")</f>
        <v>Luego los sumos luchan, y el delgado sumo arroja el sumo gordo al suelo.</v>
      </c>
    </row>
    <row r="27922">
      <c r="A27922" s="4" t="s">
        <v>35159</v>
      </c>
      <c r="B27922" s="4" t="s">
        <v>35162</v>
      </c>
      <c r="C27922" s="5" t="str">
        <f>IFERROR(__xludf.DUMMYFUNCTION("GOOGLETRANSLATE(B27922,""en"",""es-ES"")"),"Después, el sumo gordo se levanta y salió del anillo.")</f>
        <v>Después, el sumo gordo se levanta y salió del anillo.</v>
      </c>
    </row>
    <row r="27923">
      <c r="A27923" s="4" t="s">
        <v>35159</v>
      </c>
      <c r="B27923" s="4" t="s">
        <v>35163</v>
      </c>
      <c r="C27923" s="5" t="str">
        <f>IFERROR(__xludf.DUMMYFUNCTION("GOOGLETRANSLATE(B27923,""en"",""es-ES"")"),"El cuervo aplaude, luego los hombres escaparon del anillo.")</f>
        <v>El cuervo aplaude, luego los hombres escaparon del anillo.</v>
      </c>
    </row>
    <row r="27924">
      <c r="A27924" s="4" t="s">
        <v>35164</v>
      </c>
      <c r="B27924" s="4" t="s">
        <v>35165</v>
      </c>
      <c r="C27924" s="5" t="str">
        <f>IFERROR(__xludf.DUMMYFUNCTION("GOOGLETRANSLATE(B27924,""en"",""es-ES"")"),"Se ve a un hombre hablando con la cámara que sostiene una palanca de hockey y lo lleva a él instruyendo a otros jugadores.")</f>
        <v>Se ve a un hombre hablando con la cámara que sostiene una palanca de hockey y lo lleva a él instruyendo a otros jugadores.</v>
      </c>
    </row>
    <row r="27925">
      <c r="A27925" s="4" t="s">
        <v>35164</v>
      </c>
      <c r="B27925" s="4" t="s">
        <v>35166</v>
      </c>
      <c r="C27925" s="5" t="str">
        <f>IFERROR(__xludf.DUMMYFUNCTION("GOOGLETRANSLATE(B27925,""en"",""es-ES"")"),"El hombre continúa jugando unos a otros mientras el hombre les grita y los demás continúan jugando.")</f>
        <v>El hombre continúa jugando unos a otros mientras el hombre les grita y los demás continúan jugando.</v>
      </c>
    </row>
    <row r="27926">
      <c r="A27926" s="4" t="s">
        <v>35167</v>
      </c>
      <c r="B27926" s="4" t="s">
        <v>35168</v>
      </c>
      <c r="C27926" s="5" t="str">
        <f>IFERROR(__xludf.DUMMYFUNCTION("GOOGLETRANSLATE(B27926,""en"",""es-ES"")"),"Se ve a un pequeño grupo de hombres parados en una cancha con muchas personas sentadas y observando a los lados.")</f>
        <v>Se ve a un pequeño grupo de hombres parados en una cancha con muchas personas sentadas y observando a los lados.</v>
      </c>
    </row>
    <row r="27927">
      <c r="A27927" s="4" t="s">
        <v>35167</v>
      </c>
      <c r="B27927" s="4" t="s">
        <v>35169</v>
      </c>
      <c r="C27927" s="5" t="str">
        <f>IFERROR(__xludf.DUMMYFUNCTION("GOOGLETRANSLATE(B27927,""en"",""es-ES"")"),"Una persona corre con un salto con pértiga y lo arroja a la distancia, mientras que el mismo clip se muestra nuevamente en cámara lenta y otro persigue.")</f>
        <v>Una persona corre con un salto con pértiga y lo arroja a la distancia, mientras que el mismo clip se muestra nuevamente en cámara lenta y otro persigue.</v>
      </c>
    </row>
    <row r="27928">
      <c r="A27928" s="4" t="s">
        <v>35170</v>
      </c>
      <c r="B27928" s="4" t="s">
        <v>35171</v>
      </c>
      <c r="C27928" s="5" t="str">
        <f>IFERROR(__xludf.DUMMYFUNCTION("GOOGLETRANSLATE(B27928,""en"",""es-ES"")"),"El video comienza con una introducción a las recetas en movimiento sobre salsa de espagueti rápida.")</f>
        <v>El video comienza con una introducción a las recetas en movimiento sobre salsa de espagueti rápida.</v>
      </c>
    </row>
    <row r="27929">
      <c r="A27929" s="4" t="s">
        <v>35170</v>
      </c>
      <c r="B27929" s="4" t="s">
        <v>35172</v>
      </c>
      <c r="C27929" s="5" t="str">
        <f>IFERROR(__xludf.DUMMYFUNCTION("GOOGLETRANSLATE(B27929,""en"",""es-ES"")"),"El video pasa a mostrar un cucharón vertiendo la salsa sobre fideos.")</f>
        <v>El video pasa a mostrar un cucharón vertiendo la salsa sobre fideos.</v>
      </c>
    </row>
    <row r="27930">
      <c r="A27930" s="4" t="s">
        <v>35170</v>
      </c>
      <c r="B27930" s="4" t="s">
        <v>35173</v>
      </c>
      <c r="C27930" s="5" t="str">
        <f>IFERROR(__xludf.DUMMYFUNCTION("GOOGLETRANSLATE(B27930,""en"",""es-ES"")"),"Alguien comienza a cortar varios vegetales con un cuchillo, esto incluye un vegetal verde y una cebolla.")</f>
        <v>Alguien comienza a cortar varios vegetales con un cuchillo, esto incluye un vegetal verde y una cebolla.</v>
      </c>
    </row>
    <row r="27931">
      <c r="A27931" s="4" t="s">
        <v>35170</v>
      </c>
      <c r="B27931" s="4" t="s">
        <v>35174</v>
      </c>
      <c r="C27931" s="5" t="str">
        <f>IFERROR(__xludf.DUMMYFUNCTION("GOOGLETRANSLATE(B27931,""en"",""es-ES"")"),"A continuación, se muestra una sartén metálica vacía cuando alguien vierte aceite y las verduras en ella.")</f>
        <v>A continuación, se muestra una sartén metálica vacía cuando alguien vierte aceite y las verduras en ella.</v>
      </c>
    </row>
    <row r="27932">
      <c r="A27932" s="4" t="s">
        <v>35170</v>
      </c>
      <c r="B27932" s="4" t="s">
        <v>35175</v>
      </c>
      <c r="C27932" s="5" t="str">
        <f>IFERROR(__xludf.DUMMYFUNCTION("GOOGLETRANSLATE(B27932,""en"",""es-ES"")"),"Luego comienzan a revolver las verduras con el aceite.")</f>
        <v>Luego comienzan a revolver las verduras con el aceite.</v>
      </c>
    </row>
    <row r="27933">
      <c r="A27933" s="4" t="s">
        <v>35170</v>
      </c>
      <c r="B27933" s="4" t="s">
        <v>35176</v>
      </c>
      <c r="C27933" s="5" t="str">
        <f>IFERROR(__xludf.DUMMYFUNCTION("GOOGLETRANSLATE(B27933,""en"",""es-ES"")"),"Después de esto, lo que se agregan otros ingredientes incluyen tomates, especias y algún tipo de líquido.")</f>
        <v>Después de esto, lo que se agregan otros ingredientes incluyen tomates, especias y algún tipo de líquido.</v>
      </c>
    </row>
    <row r="27934">
      <c r="A27934" s="4" t="s">
        <v>35170</v>
      </c>
      <c r="B27934" s="4" t="s">
        <v>35177</v>
      </c>
      <c r="C27934" s="5" t="str">
        <f>IFERROR(__xludf.DUMMYFUNCTION("GOOGLETRANSLATE(B27934,""en"",""es-ES"")"),"Todo se está agitando juntos.")</f>
        <v>Todo se está agitando juntos.</v>
      </c>
    </row>
    <row r="27935">
      <c r="A27935" s="4" t="s">
        <v>35170</v>
      </c>
      <c r="B27935" s="4" t="s">
        <v>35178</v>
      </c>
      <c r="C27935" s="5" t="str">
        <f>IFERROR(__xludf.DUMMYFUNCTION("GOOGLETRANSLATE(B27935,""en"",""es-ES"")"),"Se retira la sartén y se mezclan los ingredientes agitados.")</f>
        <v>Se retira la sartén y se mezclan los ingredientes agitados.</v>
      </c>
    </row>
    <row r="27936">
      <c r="A27936" s="4" t="s">
        <v>35170</v>
      </c>
      <c r="B27936" s="4" t="s">
        <v>35179</v>
      </c>
      <c r="C27936" s="5" t="str">
        <f>IFERROR(__xludf.DUMMYFUNCTION("GOOGLETRANSLATE(B27936,""en"",""es-ES"")"),"Los ingredientes mezclados se vuelven a colocar sobre el hombre y una sustancia roja de una lata se vierte sobre la sartén y se mezcla.")</f>
        <v>Los ingredientes mezclados se vuelven a colocar sobre el hombre y una sustancia roja de una lata se vierte sobre la sartén y se mezcla.</v>
      </c>
    </row>
    <row r="27937">
      <c r="A27937" s="4" t="s">
        <v>35170</v>
      </c>
      <c r="B27937" s="4" t="s">
        <v>35180</v>
      </c>
      <c r="C27937" s="5" t="str">
        <f>IFERROR(__xludf.DUMMYFUNCTION("GOOGLETRANSLATE(B27937,""en"",""es-ES"")"),"La salsa se completa y se vierte sobre los fideos.")</f>
        <v>La salsa se completa y se vierte sobre los fideos.</v>
      </c>
    </row>
    <row r="27938">
      <c r="A27938" s="4" t="s">
        <v>35170</v>
      </c>
      <c r="B27938" s="4" t="s">
        <v>35181</v>
      </c>
      <c r="C27938" s="5" t="str">
        <f>IFERROR(__xludf.DUMMYFUNCTION("GOOGLETRANSLATE(B27938,""en"",""es-ES"")"),"El video termina con un fondo naranja con información sobre dónde ver más videos.")</f>
        <v>El video termina con un fondo naranja con información sobre dónde ver más videos.</v>
      </c>
    </row>
    <row r="27939">
      <c r="A27939" s="4" t="s">
        <v>35182</v>
      </c>
      <c r="B27939" s="4" t="s">
        <v>35183</v>
      </c>
      <c r="C27939" s="5" t="str">
        <f>IFERROR(__xludf.DUMMYFUNCTION("GOOGLETRANSLATE(B27939,""en"",""es-ES"")"),"Un adolescente golpea una esponja Bob Piñata se cubrió los ojos con una tela mientras la mujer toma fotos.")</f>
        <v>Un adolescente golpea una esponja Bob Piñata se cubrió los ojos con una tela mientras la mujer toma fotos.</v>
      </c>
    </row>
    <row r="27940">
      <c r="A27940" s="4" t="s">
        <v>35182</v>
      </c>
      <c r="B27940" s="4" t="s">
        <v>35184</v>
      </c>
      <c r="C27940" s="5" t="str">
        <f>IFERROR(__xludf.DUMMYFUNCTION("GOOGLETRANSLATE(B27940,""en"",""es-ES"")"),"Un niño golpea la piñata hasta que cae mientras el niño se cubre los ojos con una tela azul.")</f>
        <v>Un niño golpea la piñata hasta que cae mientras el niño se cubre los ojos con una tela azul.</v>
      </c>
    </row>
    <row r="27941">
      <c r="A27941" s="4" t="s">
        <v>35182</v>
      </c>
      <c r="B27941" s="4" t="s">
        <v>35185</v>
      </c>
      <c r="C27941" s="5" t="str">
        <f>IFERROR(__xludf.DUMMYFUNCTION("GOOGLETRANSLATE(B27941,""en"",""es-ES"")"),"Un hombre se frota la cara con la mano y luego le saca la punta.")</f>
        <v>Un hombre se frota la cara con la mano y luego le saca la punta.</v>
      </c>
    </row>
    <row r="27942">
      <c r="A27942" s="4" t="s">
        <v>35186</v>
      </c>
      <c r="B27942" s="4" t="s">
        <v>35187</v>
      </c>
      <c r="C27942" s="5" t="str">
        <f>IFERROR(__xludf.DUMMYFUNCTION("GOOGLETRANSLATE(B27942,""en"",""es-ES"")"),"Dos personas están afuera en la pelota bailando en una plaza mientras un grupo de personas los rodea y miran.")</f>
        <v>Dos personas están afuera en la pelota bailando en una plaza mientras un grupo de personas los rodea y miran.</v>
      </c>
    </row>
    <row r="27943">
      <c r="A27943" s="4" t="s">
        <v>35186</v>
      </c>
      <c r="B27943" s="4" t="s">
        <v>35188</v>
      </c>
      <c r="C27943" s="5" t="str">
        <f>IFERROR(__xludf.DUMMYFUNCTION("GOOGLETRANSLATE(B27943,""en"",""es-ES"")"),"La gente va y va a ver bailar a las dos personas y luego finalmente dejan de bailar, se inclinan y se agarran un paño para lavarse la cara.")</f>
        <v>La gente va y va a ver bailar a las dos personas y luego finalmente dejan de bailar, se inclinan y se agarran un paño para lavarse la cara.</v>
      </c>
    </row>
    <row r="27944">
      <c r="A27944" s="4" t="s">
        <v>35189</v>
      </c>
      <c r="B27944" s="4" t="s">
        <v>35190</v>
      </c>
      <c r="C27944" s="5" t="str">
        <f>IFERROR(__xludf.DUMMYFUNCTION("GOOGLETRANSLATE(B27944,""en"",""es-ES"")"),"Una mujer coloca hojas vegetales en un arco.")</f>
        <v>Una mujer coloca hojas vegetales en un arco.</v>
      </c>
    </row>
    <row r="27945">
      <c r="A27945" s="4" t="s">
        <v>35189</v>
      </c>
      <c r="B27945" s="4" t="s">
        <v>35191</v>
      </c>
      <c r="C27945" s="5" t="str">
        <f>IFERROR(__xludf.DUMMYFUNCTION("GOOGLETRANSLATE(B27945,""en"",""es-ES"")"),"La cámara se prepara directamente para mostrar a un hombre de pie junto a la mujer.")</f>
        <v>La cámara se prepara directamente para mostrar a un hombre de pie junto a la mujer.</v>
      </c>
    </row>
    <row r="27946">
      <c r="A27946" s="4" t="s">
        <v>35189</v>
      </c>
      <c r="B27946" s="4" t="s">
        <v>35192</v>
      </c>
      <c r="C27946" s="5" t="str">
        <f>IFERROR(__xludf.DUMMYFUNCTION("GOOGLETRANSLATE(B27946,""en"",""es-ES"")"),"El hombre corta un pepino en un plato.")</f>
        <v>El hombre corta un pepino en un plato.</v>
      </c>
    </row>
    <row r="27947">
      <c r="A27947" s="4" t="s">
        <v>35193</v>
      </c>
      <c r="B27947" s="4" t="s">
        <v>35194</v>
      </c>
      <c r="C27947" s="5" t="str">
        <f>IFERROR(__xludf.DUMMYFUNCTION("GOOGLETRANSLATE(B27947,""en"",""es-ES"")"),"Se ven dos hombres que conducen sobre el capó del auto mientras se agarran sobre las manos.")</f>
        <v>Se ven dos hombres que conducen sobre el capó del auto mientras se agarran sobre las manos.</v>
      </c>
    </row>
    <row r="27948">
      <c r="A27948" s="4" t="s">
        <v>35193</v>
      </c>
      <c r="B27948" s="4" t="s">
        <v>35195</v>
      </c>
      <c r="C27948" s="5" t="str">
        <f>IFERROR(__xludf.DUMMYFUNCTION("GOOGLETRANSLATE(B27948,""en"",""es-ES"")"),"Luego comienzan un juego de lucha contra el brazo y termina con un hombre ganando y ambos miran la cámara y uno sosteniendo su muñeca.")</f>
        <v>Luego comienzan un juego de lucha contra el brazo y termina con un hombre ganando y ambos miran la cámara y uno sosteniendo su muñeca.</v>
      </c>
    </row>
    <row r="27949">
      <c r="A27949" s="4" t="s">
        <v>35196</v>
      </c>
      <c r="B27949" s="4" t="s">
        <v>35197</v>
      </c>
      <c r="C27949" s="5" t="str">
        <f>IFERROR(__xludf.DUMMYFUNCTION("GOOGLETRANSLATE(B27949,""en"",""es-ES"")"),"Se muestran el título o la etiqueta del video.")</f>
        <v>Se muestran el título o la etiqueta del video.</v>
      </c>
    </row>
    <row r="27950">
      <c r="A27950" s="4" t="s">
        <v>35196</v>
      </c>
      <c r="B27950" s="4" t="s">
        <v>35198</v>
      </c>
      <c r="C27950" s="5" t="str">
        <f>IFERROR(__xludf.DUMMYFUNCTION("GOOGLETRANSLATE(B27950,""en"",""es-ES"")"),"Un chico hace un gesto del signo de la paz.")</f>
        <v>Un chico hace un gesto del signo de la paz.</v>
      </c>
    </row>
    <row r="27951">
      <c r="A27951" s="4" t="s">
        <v>35196</v>
      </c>
      <c r="B27951" s="4" t="s">
        <v>35199</v>
      </c>
      <c r="C27951" s="5" t="str">
        <f>IFERROR(__xludf.DUMMYFUNCTION("GOOGLETRANSLATE(B27951,""en"",""es-ES"")"),"Un chico es un tablero de nieve por una pendiente.")</f>
        <v>Un chico es un tablero de nieve por una pendiente.</v>
      </c>
    </row>
    <row r="27952">
      <c r="A27952" s="4" t="s">
        <v>35196</v>
      </c>
      <c r="B27952" s="4" t="s">
        <v>35200</v>
      </c>
      <c r="C27952" s="5" t="str">
        <f>IFERROR(__xludf.DUMMYFUNCTION("GOOGLETRANSLATE(B27952,""en"",""es-ES"")"),"Un grupo en una ola de fila adiós.")</f>
        <v>Un grupo en una ola de fila adiós.</v>
      </c>
    </row>
    <row r="27953">
      <c r="A27953" s="4" t="s">
        <v>35201</v>
      </c>
      <c r="B27953" s="4" t="s">
        <v>35202</v>
      </c>
      <c r="C27953" s="5" t="str">
        <f>IFERROR(__xludf.DUMMYFUNCTION("GOOGLETRANSLATE(B27953,""en"",""es-ES"")"),"Un hombre se está preparando para el agua, hay un bote esperando a su derecha, y las palabras blancas en la esquina inferior derecha dicen ""Spray Lake Watersports &amp; Activity Center"".")</f>
        <v>Un hombre se está preparando para el agua, hay un bote esperando a su derecha, y las palabras blancas en la esquina inferior derecha dicen "Spray Lake Watersports &amp; Activity Center".</v>
      </c>
    </row>
    <row r="27954">
      <c r="A27954" s="4" t="s">
        <v>35201</v>
      </c>
      <c r="B27954" s="4" t="s">
        <v>35203</v>
      </c>
      <c r="C27954" s="5" t="str">
        <f>IFERROR(__xludf.DUMMYFUNCTION("GOOGLETRANSLATE(B27954,""en"",""es-ES"")"),"El hombre entra en el agua y mientras se sostiene en la barra conectada a la cuerda y al bote, se está acelerando rápidamente en el lago, a veces usando ambas manos para sostener la barra y a veces alternando las manos.")</f>
        <v>El hombre entra en el agua y mientras se sostiene en la barra conectada a la cuerda y al bote, se está acelerando rápidamente en el lago, a veces usando ambas manos para sostener la barra y a veces alternando las manos.</v>
      </c>
    </row>
    <row r="27955">
      <c r="A27955" s="4" t="s">
        <v>35201</v>
      </c>
      <c r="B27955" s="4" t="s">
        <v>35204</v>
      </c>
      <c r="C27955" s="5" t="str">
        <f>IFERROR(__xludf.DUMMYFUNCTION("GOOGLETRANSLATE(B27955,""en"",""es-ES"")"),"El hombre suelta la barra y comienza a disminuir hacia un muelle.")</f>
        <v>El hombre suelta la barra y comienza a disminuir hacia un muelle.</v>
      </c>
    </row>
    <row r="27956">
      <c r="A27956" s="4" t="s">
        <v>35201</v>
      </c>
      <c r="B27956" s="4" t="s">
        <v>35205</v>
      </c>
      <c r="C27956" s="5" t="str">
        <f>IFERROR(__xludf.DUMMYFUNCTION("GOOGLETRANSLATE(B27956,""en"",""es-ES"")"),"Un par de manos ahora sostienen una tabla de agua que tiene un par de zapatos negros y plateados unidos.")</f>
        <v>Un par de manos ahora sostienen una tabla de agua que tiene un par de zapatos negros y plateados unidos.</v>
      </c>
    </row>
    <row r="27957">
      <c r="A27957" s="4" t="s">
        <v>35201</v>
      </c>
      <c r="B27957" s="4" t="s">
        <v>35206</v>
      </c>
      <c r="C27957" s="5" t="str">
        <f>IFERROR(__xludf.DUMMYFUNCTION("GOOGLETRANSLATE(B27957,""en"",""es-ES"")"),"Se muestra brevemente una persona en el agua y la vista va a burbujear bajo el agua.")</f>
        <v>Se muestra brevemente una persona en el agua y la vista va a burbujear bajo el agua.</v>
      </c>
    </row>
    <row r="27958">
      <c r="A27958" s="4" t="s">
        <v>35207</v>
      </c>
      <c r="B27958" s="4" t="s">
        <v>35208</v>
      </c>
      <c r="C27958" s="5" t="str">
        <f>IFERROR(__xludf.DUMMYFUNCTION("GOOGLETRANSLATE(B27958,""en"",""es-ES"")"),"Se ve a una persona cabalgando sobre el caballo en un área cerrada.")</f>
        <v>Se ve a una persona cabalgando sobre el caballo en un área cerrada.</v>
      </c>
    </row>
    <row r="27959">
      <c r="A27959" s="4" t="s">
        <v>35207</v>
      </c>
      <c r="B27959" s="4" t="s">
        <v>35209</v>
      </c>
      <c r="C27959" s="5" t="str">
        <f>IFERROR(__xludf.DUMMYFUNCTION("GOOGLETRANSLATE(B27959,""en"",""es-ES"")"),"La cámara continúa siguiéndolo paseando por el área galopando.")</f>
        <v>La cámara continúa siguiéndolo paseando por el área galopando.</v>
      </c>
    </row>
    <row r="27960">
      <c r="A27960" s="4" t="s">
        <v>35210</v>
      </c>
      <c r="B27960" s="4" t="s">
        <v>35211</v>
      </c>
      <c r="C27960" s="5" t="str">
        <f>IFERROR(__xludf.DUMMYFUNCTION("GOOGLETRANSLATE(B27960,""en"",""es-ES"")"),"La niña está en la cima de la barra de mono.")</f>
        <v>La niña está en la cima de la barra de mono.</v>
      </c>
    </row>
    <row r="27961">
      <c r="A27961" s="4" t="s">
        <v>35210</v>
      </c>
      <c r="B27961" s="4" t="s">
        <v>35212</v>
      </c>
      <c r="C27961" s="5" t="str">
        <f>IFERROR(__xludf.DUMMYFUNCTION("GOOGLETRANSLATE(B27961,""en"",""es-ES"")"),"Un niño pequeño con colorida camisa está cruzando el mono.")</f>
        <v>Un niño pequeño con colorida camisa está cruzando el mono.</v>
      </c>
    </row>
    <row r="27962">
      <c r="A27962" s="4" t="s">
        <v>35210</v>
      </c>
      <c r="B27962" s="4" t="s">
        <v>35213</v>
      </c>
      <c r="C27962" s="5" t="str">
        <f>IFERROR(__xludf.DUMMYFUNCTION("GOOGLETRANSLATE(B27962,""en"",""es-ES"")"),"La niña cayó de Monkey Bar y regresó al Monkey Bar.")</f>
        <v>La niña cayó de Monkey Bar y regresó al Monkey Bar.</v>
      </c>
    </row>
    <row r="27963">
      <c r="A27963" s="4" t="s">
        <v>35214</v>
      </c>
      <c r="B27963" s="4" t="s">
        <v>35215</v>
      </c>
      <c r="C27963" s="5" t="str">
        <f>IFERROR(__xludf.DUMMYFUNCTION("GOOGLETRANSLATE(B27963,""en"",""es-ES"")"),"Los jugadores están jugando lacrosse al aire libre frente a una audiencia.")</f>
        <v>Los jugadores están jugando lacrosse al aire libre frente a una audiencia.</v>
      </c>
    </row>
    <row r="27964">
      <c r="A27964" s="4" t="s">
        <v>35214</v>
      </c>
      <c r="B27964" s="4" t="s">
        <v>35216</v>
      </c>
      <c r="C27964" s="5" t="str">
        <f>IFERROR(__xludf.DUMMYFUNCTION("GOOGLETRANSLATE(B27964,""en"",""es-ES"")"),"Un jugador está acostado en el campo.")</f>
        <v>Un jugador está acostado en el campo.</v>
      </c>
    </row>
    <row r="27965">
      <c r="A27965" s="4" t="s">
        <v>35214</v>
      </c>
      <c r="B27965" s="4" t="s">
        <v>35217</v>
      </c>
      <c r="C27965" s="5" t="str">
        <f>IFERROR(__xludf.DUMMYFUNCTION("GOOGLETRANSLATE(B27965,""en"",""es-ES"")"),"El jugador golpea la pelota en la meta.")</f>
        <v>El jugador golpea la pelota en la meta.</v>
      </c>
    </row>
    <row r="27966">
      <c r="A27966" s="4" t="s">
        <v>35214</v>
      </c>
      <c r="B27966" s="4" t="s">
        <v>35218</v>
      </c>
      <c r="C27966" s="5" t="str">
        <f>IFERROR(__xludf.DUMMYFUNCTION("GOOGLETRANSLATE(B27966,""en"",""es-ES"")"),"La audiencia y los compañeros de equipo celebran el objetivo, y los compañeros de equipo se acarician en el hombro.")</f>
        <v>La audiencia y los compañeros de equipo celebran el objetivo, y los compañeros de equipo se acarician en el hombro.</v>
      </c>
    </row>
    <row r="27967">
      <c r="A27967" s="4" t="s">
        <v>35214</v>
      </c>
      <c r="B27967" s="4" t="s">
        <v>35219</v>
      </c>
      <c r="C27967" s="5" t="str">
        <f>IFERROR(__xludf.DUMMYFUNCTION("GOOGLETRANSLATE(B27967,""en"",""es-ES"")"),"Un chico se quita el casco.")</f>
        <v>Un chico se quita el casco.</v>
      </c>
    </row>
    <row r="27968">
      <c r="A27968" s="4" t="s">
        <v>35220</v>
      </c>
      <c r="B27968" s="4" t="s">
        <v>35221</v>
      </c>
      <c r="C27968" s="5" t="str">
        <f>IFERROR(__xludf.DUMMYFUNCTION("GOOGLETRANSLATE(B27968,""en"",""es-ES"")"),"Una chica muestra cómo hacer limonada.")</f>
        <v>Una chica muestra cómo hacer limonada.</v>
      </c>
    </row>
    <row r="27969">
      <c r="A27969" s="4" t="s">
        <v>35220</v>
      </c>
      <c r="B27969" s="4" t="s">
        <v>35222</v>
      </c>
      <c r="C27969" s="5" t="str">
        <f>IFERROR(__xludf.DUMMYFUNCTION("GOOGLETRANSLATE(B27969,""en"",""es-ES"")"),"Luego recauda el efectivo que sus padres la ayudaron.")</f>
        <v>Luego recauda el efectivo que sus padres la ayudaron.</v>
      </c>
    </row>
    <row r="27970">
      <c r="A27970" s="4" t="s">
        <v>35223</v>
      </c>
      <c r="B27970" s="4" t="s">
        <v>35224</v>
      </c>
      <c r="C27970" s="5" t="str">
        <f>IFERROR(__xludf.DUMMYFUNCTION("GOOGLETRANSLATE(B27970,""en"",""es-ES"")"),"Una cámara se dirige a una cometa volando en el cielo, así como a las personas en un campo.")</f>
        <v>Una cámara se dirige a una cometa volando en el cielo, así como a las personas en un campo.</v>
      </c>
    </row>
    <row r="27971">
      <c r="A27971" s="4" t="s">
        <v>35223</v>
      </c>
      <c r="B27971" s="4" t="s">
        <v>35225</v>
      </c>
      <c r="C27971" s="5" t="str">
        <f>IFERROR(__xludf.DUMMYFUNCTION("GOOGLETRANSLATE(B27971,""en"",""es-ES"")"),"Se ve a un hombre al sitio que controla la cometa con sus manos.")</f>
        <v>Se ve a un hombre al sitio que controla la cometa con sus manos.</v>
      </c>
    </row>
    <row r="27972">
      <c r="A27972" s="4" t="s">
        <v>35223</v>
      </c>
      <c r="B27972" s="4" t="s">
        <v>35226</v>
      </c>
      <c r="C27972" s="5" t="str">
        <f>IFERROR(__xludf.DUMMYFUNCTION("GOOGLETRANSLATE(B27972,""en"",""es-ES"")"),"Continúa volando el objeto alrededor del cielo con la cámara siguiendo.")</f>
        <v>Continúa volando el objeto alrededor del cielo con la cámara siguiendo.</v>
      </c>
    </row>
    <row r="27973">
      <c r="A27973" s="4" t="s">
        <v>35227</v>
      </c>
      <c r="B27973" s="4" t="s">
        <v>35228</v>
      </c>
      <c r="C27973" s="5" t="str">
        <f>IFERROR(__xludf.DUMMYFUNCTION("GOOGLETRANSLATE(B27973,""en"",""es-ES"")"),"Un joven se sienta en una silla frente a una batería.")</f>
        <v>Un joven se sienta en una silla frente a una batería.</v>
      </c>
    </row>
    <row r="27974">
      <c r="A27974" s="4" t="s">
        <v>35227</v>
      </c>
      <c r="B27974" s="4" t="s">
        <v>35229</v>
      </c>
      <c r="C27974" s="5" t="str">
        <f>IFERROR(__xludf.DUMMYFUNCTION("GOOGLETRANSLATE(B27974,""en"",""es-ES"")"),"Comienza a tocar la batería, que se encuentran dentro de una sala de estar.")</f>
        <v>Comienza a tocar la batería, que se encuentran dentro de una sala de estar.</v>
      </c>
    </row>
    <row r="27975">
      <c r="A27975" s="4" t="s">
        <v>35227</v>
      </c>
      <c r="B27975" s="4" t="s">
        <v>35230</v>
      </c>
      <c r="C27975" s="5" t="str">
        <f>IFERROR(__xludf.DUMMYFUNCTION("GOOGLETRANSLATE(B27975,""en"",""es-ES"")"),"La reproducción continúa hasta que baja las palitos de batería y mira la cámara con un aspecto sorprendido.")</f>
        <v>La reproducción continúa hasta que baja las palitos de batería y mira la cámara con un aspecto sorprendido.</v>
      </c>
    </row>
    <row r="27976">
      <c r="A27976" s="4" t="s">
        <v>35227</v>
      </c>
      <c r="B27976" s="4" t="s">
        <v>35231</v>
      </c>
      <c r="C27976" s="5" t="str">
        <f>IFERROR(__xludf.DUMMYFUNCTION("GOOGLETRANSLATE(B27976,""en"",""es-ES"")"),"El video termina con el hombre que se levanta para apagar la cámara.")</f>
        <v>El video termina con el hombre que se levanta para apagar la cámara.</v>
      </c>
    </row>
    <row r="27977">
      <c r="A27977" s="4" t="s">
        <v>35232</v>
      </c>
      <c r="B27977" s="4" t="s">
        <v>35233</v>
      </c>
      <c r="C27977" s="5" t="str">
        <f>IFERROR(__xludf.DUMMYFUNCTION("GOOGLETRANSLATE(B27977,""en"",""es-ES"")"),"Un grupo de personas camina sosteniendo botes inflables y llega a un lago, luego las personas navegan en el lago.")</f>
        <v>Un grupo de personas camina sosteniendo botes inflables y llega a un lago, luego las personas navegan en el lago.</v>
      </c>
    </row>
    <row r="27978">
      <c r="A27978" s="4" t="s">
        <v>35232</v>
      </c>
      <c r="B27978" s="4" t="s">
        <v>35234</v>
      </c>
      <c r="C27978" s="5" t="str">
        <f>IFERROR(__xludf.DUMMYFUNCTION("GOOGLETRANSLATE(B27978,""en"",""es-ES"")"),"Después, la gente toma los botes para navegar en un río estrecho y entrecortado.")</f>
        <v>Después, la gente toma los botes para navegar en un río estrecho y entrecortado.</v>
      </c>
    </row>
    <row r="27979">
      <c r="A27979" s="4" t="s">
        <v>35232</v>
      </c>
      <c r="B27979" s="4" t="s">
        <v>35235</v>
      </c>
      <c r="C27979" s="5" t="str">
        <f>IFERROR(__xludf.DUMMYFUNCTION("GOOGLETRANSLATE(B27979,""en"",""es-ES"")"),"Las vigas llegan a una cascada y los barcos se pliegan cuando descienden la cascada, luego continúan rafting en el río.")</f>
        <v>Las vigas llegan a una cascada y los barcos se pliegan cuando descienden la cascada, luego continúan rafting en el río.</v>
      </c>
    </row>
    <row r="27980">
      <c r="A27980" s="4" t="s">
        <v>35236</v>
      </c>
      <c r="B27980" s="4" t="s">
        <v>35237</v>
      </c>
      <c r="C27980" s="5" t="str">
        <f>IFERROR(__xludf.DUMMYFUNCTION("GOOGLETRANSLATE(B27980,""en"",""es-ES"")"),"Un hombre está parado en una escalera.")</f>
        <v>Un hombre está parado en una escalera.</v>
      </c>
    </row>
    <row r="27981">
      <c r="A27981" s="4" t="s">
        <v>35236</v>
      </c>
      <c r="B27981" s="4" t="s">
        <v>35238</v>
      </c>
      <c r="C27981" s="5" t="str">
        <f>IFERROR(__xludf.DUMMYFUNCTION("GOOGLETRANSLATE(B27981,""en"",""es-ES"")"),"Está colgando de papel de pared en una pared frente a él.")</f>
        <v>Está colgando de papel de pared en una pared frente a él.</v>
      </c>
    </row>
    <row r="27982">
      <c r="A27982" s="4" t="s">
        <v>35236</v>
      </c>
      <c r="B27982" s="4" t="s">
        <v>35239</v>
      </c>
      <c r="C27982" s="5" t="str">
        <f>IFERROR(__xludf.DUMMYFUNCTION("GOOGLETRANSLATE(B27982,""en"",""es-ES"")"),"Utiliza una herramienta para suavizar el papel de la pared una vez que está en la pared.")</f>
        <v>Utiliza una herramienta para suavizar el papel de la pared una vez que está en la pared.</v>
      </c>
    </row>
    <row r="27983">
      <c r="A27983" s="4" t="s">
        <v>35240</v>
      </c>
      <c r="B27983" s="4" t="s">
        <v>35241</v>
      </c>
      <c r="C27983" s="5" t="str">
        <f>IFERROR(__xludf.DUMMYFUNCTION("GOOGLETRANSLATE(B27983,""en"",""es-ES"")"),"Se muestran varias tomas de personas de pie juntas y moviéndose alrededor del hielo, así como personas que juegan un tablero y gritando entre sí.")</f>
        <v>Se muestran varias tomas de personas de pie juntas y moviéndose alrededor del hielo, así como personas que juegan un tablero y gritando entre sí.</v>
      </c>
    </row>
    <row r="27984">
      <c r="A27984" s="4" t="s">
        <v>35240</v>
      </c>
      <c r="B27984" s="4" t="s">
        <v>35242</v>
      </c>
      <c r="C27984" s="5" t="str">
        <f>IFERROR(__xludf.DUMMYFUNCTION("GOOGLETRANSLATE(B27984,""en"",""es-ES"")"),"Varias personas son entrevistadas en la cámara que interviene con tomas de shuffleboard y personas frotándose el cuello y hablando entre sí.")</f>
        <v>Varias personas son entrevistadas en la cámara que interviene con tomas de shuffleboard y personas frotándose el cuello y hablando entre sí.</v>
      </c>
    </row>
    <row r="27985">
      <c r="A27985" s="4" t="s">
        <v>35243</v>
      </c>
      <c r="B27985" s="4" t="s">
        <v>35244</v>
      </c>
      <c r="C27985" s="5" t="str">
        <f>IFERROR(__xludf.DUMMYFUNCTION("GOOGLETRANSLATE(B27985,""en"",""es-ES"")"),"Una mujer está montando un intertube por una colina nevada.")</f>
        <v>Una mujer está montando un intertube por una colina nevada.</v>
      </c>
    </row>
    <row r="27986">
      <c r="A27986" s="4" t="s">
        <v>35243</v>
      </c>
      <c r="B27986" s="4" t="s">
        <v>35245</v>
      </c>
      <c r="C27986" s="5" t="str">
        <f>IFERROR(__xludf.DUMMYFUNCTION("GOOGLETRANSLATE(B27986,""en"",""es-ES"")"),"Ella gira mientras cae, encontrándose con otra persona.")</f>
        <v>Ella gira mientras cae, encontrándose con otra persona.</v>
      </c>
    </row>
    <row r="27987">
      <c r="A27987" s="4" t="s">
        <v>35243</v>
      </c>
      <c r="B27987" s="4" t="s">
        <v>35246</v>
      </c>
      <c r="C27987" s="5" t="str">
        <f>IFERROR(__xludf.DUMMYFUNCTION("GOOGLETRANSLATE(B27987,""en"",""es-ES"")"),"Ella es eliminada de su intertube.")</f>
        <v>Ella es eliminada de su intertube.</v>
      </c>
    </row>
    <row r="27988">
      <c r="A27988" s="4" t="s">
        <v>35247</v>
      </c>
      <c r="B27988" s="4" t="s">
        <v>35248</v>
      </c>
      <c r="C27988" s="5" t="str">
        <f>IFERROR(__xludf.DUMMYFUNCTION("GOOGLETRANSLATE(B27988,""en"",""es-ES"")"),"Se muestran varios tiros de toros que se encuentran con personas en calles concurridas y personas que se lastiman por los toros.")</f>
        <v>Se muestran varios tiros de toros que se encuentran con personas en calles concurridas y personas que se lastiman por los toros.</v>
      </c>
    </row>
    <row r="27989">
      <c r="A27989" s="4" t="s">
        <v>35247</v>
      </c>
      <c r="B27989" s="4" t="s">
        <v>35249</v>
      </c>
      <c r="C27989" s="5" t="str">
        <f>IFERROR(__xludf.DUMMYFUNCTION("GOOGLETRANSLATE(B27989,""en"",""es-ES"")"),"Se muestran muchas más disparos de toros que perjudican a las personas en varios lugares, mientras que otros intentan ayudarlos a un lado.")</f>
        <v>Se muestran muchas más disparos de toros que perjudican a las personas en varios lugares, mientras que otros intentan ayudarlos a un lado.</v>
      </c>
    </row>
    <row r="27990">
      <c r="A27990" s="4" t="s">
        <v>35250</v>
      </c>
      <c r="B27990" s="4" t="s">
        <v>35251</v>
      </c>
      <c r="C27990" s="5" t="str">
        <f>IFERROR(__xludf.DUMMYFUNCTION("GOOGLETRANSLATE(B27990,""en"",""es-ES"")"),"Un cielo oscuro con luna y nube se muestra entre el sendero, así que la tierra.")</f>
        <v>Un cielo oscuro con luna y nube se muestra entre el sendero, así que la tierra.</v>
      </c>
    </row>
    <row r="27991">
      <c r="A27991" s="4" t="s">
        <v>35250</v>
      </c>
      <c r="B27991" s="4" t="s">
        <v>35252</v>
      </c>
      <c r="C27991" s="5" t="str">
        <f>IFERROR(__xludf.DUMMYFUNCTION("GOOGLETRANSLATE(B27991,""en"",""es-ES"")"),"Después, se muestra un hombre que usa un sombrero caminando por el sendero y se muestran varios ciclistas de tierra.")</f>
        <v>Después, se muestra un hombre que usa un sombrero caminando por el sendero y se muestran varios ciclistas de tierra.</v>
      </c>
    </row>
    <row r="27992">
      <c r="A27992" s="4" t="s">
        <v>35250</v>
      </c>
      <c r="B27992" s="4" t="s">
        <v>35253</v>
      </c>
      <c r="C27992" s="5" t="str">
        <f>IFERROR(__xludf.DUMMYFUNCTION("GOOGLETRANSLATE(B27992,""en"",""es-ES"")"),"El hombre luego se pone un casco, el bar se decepciona y comienza a saltar sobre una colina.")</f>
        <v>El hombre luego se pone un casco, el bar se decepciona y comienza a saltar sobre una colina.</v>
      </c>
    </row>
    <row r="27993">
      <c r="A27993" s="4" t="s">
        <v>35250</v>
      </c>
      <c r="B27993" s="4" t="s">
        <v>35254</v>
      </c>
      <c r="C27993" s="5" t="str">
        <f>IFERROR(__xludf.DUMMYFUNCTION("GOOGLETRANSLATE(B27993,""en"",""es-ES"")"),"A medida que el video continúa, estás siguiendo al hombre corriendo por el sendero y haciendo trucos y cabalgando en ángulo lateral para asegurar que los trucos aterricen y que no se caiga.")</f>
        <v>A medida que el video continúa, estás siguiendo al hombre corriendo por el sendero y haciendo trucos y cabalgando en ángulo lateral para asegurar que los trucos aterricen y que no se caiga.</v>
      </c>
    </row>
    <row r="27994">
      <c r="A27994" s="4" t="s">
        <v>35250</v>
      </c>
      <c r="B27994" s="4" t="s">
        <v>35255</v>
      </c>
      <c r="C27994" s="5" t="str">
        <f>IFERROR(__xludf.DUMMYFUNCTION("GOOGLETRANSLATE(B27994,""en"",""es-ES"")"),"El hombre luego reaparece y el reflejo de las carreras se muestra en su ojo antes de que se vaya.")</f>
        <v>El hombre luego reaparece y el reflejo de las carreras se muestra en su ojo antes de que se vaya.</v>
      </c>
    </row>
    <row r="27995">
      <c r="A27995" s="4" t="s">
        <v>35256</v>
      </c>
      <c r="B27995" s="4" t="s">
        <v>35257</v>
      </c>
      <c r="C27995" s="5" t="str">
        <f>IFERROR(__xludf.DUMMYFUNCTION("GOOGLETRANSLATE(B27995,""en"",""es-ES"")"),"Los alfileres de bolos están siendo golpeados con Bowling Ball.")</f>
        <v>Los alfileres de bolos están siendo golpeados con Bowling Ball.</v>
      </c>
    </row>
    <row r="27996">
      <c r="A27996" s="4" t="s">
        <v>35256</v>
      </c>
      <c r="B27996" s="4" t="s">
        <v>35258</v>
      </c>
      <c r="C27996" s="5" t="str">
        <f>IFERROR(__xludf.DUMMYFUNCTION("GOOGLETRANSLATE(B27996,""en"",""es-ES"")"),"Una multitud aplaude detrás de la bolera.")</f>
        <v>Una multitud aplaude detrás de la bolera.</v>
      </c>
    </row>
    <row r="27997">
      <c r="A27997" s="4" t="s">
        <v>35256</v>
      </c>
      <c r="B27997" s="4" t="s">
        <v>35259</v>
      </c>
      <c r="C27997" s="5" t="str">
        <f>IFERROR(__xludf.DUMMYFUNCTION("GOOGLETRANSLATE(B27997,""en"",""es-ES"")"),"Un hombre besa un trofeo en sus manos.")</f>
        <v>Un hombre besa un trofeo en sus manos.</v>
      </c>
    </row>
    <row r="27998">
      <c r="A27998" s="4" t="s">
        <v>35260</v>
      </c>
      <c r="B27998" s="4" t="s">
        <v>35261</v>
      </c>
      <c r="C27998" s="5" t="str">
        <f>IFERROR(__xludf.DUMMYFUNCTION("GOOGLETRANSLATE(B27998,""en"",""es-ES"")"),"La gente está parada en una habitación jugando al tenis.")</f>
        <v>La gente está parada en una habitación jugando al tenis.</v>
      </c>
    </row>
    <row r="27999">
      <c r="A27999" s="4" t="s">
        <v>35260</v>
      </c>
      <c r="B27999" s="4" t="s">
        <v>35262</v>
      </c>
      <c r="C27999" s="5" t="str">
        <f>IFERROR(__xludf.DUMMYFUNCTION("GOOGLETRANSLATE(B27999,""en"",""es-ES"")"),"Una mujer recoge una pelota que cae al suelo.")</f>
        <v>Una mujer recoge una pelota que cae al suelo.</v>
      </c>
    </row>
    <row r="28000">
      <c r="A28000" s="4" t="s">
        <v>35260</v>
      </c>
      <c r="B28000" s="4" t="s">
        <v>35263</v>
      </c>
      <c r="C28000" s="5" t="str">
        <f>IFERROR(__xludf.DUMMYFUNCTION("GOOGLETRANSLATE(B28000,""en"",""es-ES"")"),"La niña se acerca a la red.")</f>
        <v>La niña se acerca a la red.</v>
      </c>
    </row>
    <row r="28001">
      <c r="A28001" s="4" t="s">
        <v>35264</v>
      </c>
      <c r="B28001" s="4" t="s">
        <v>35265</v>
      </c>
      <c r="C28001" s="5" t="str">
        <f>IFERROR(__xludf.DUMMYFUNCTION("GOOGLETRANSLATE(B28001,""en"",""es-ES"")"),"Dos hombres jóvenes luchan en una cocina con una silla de gato de pie como una mesa.")</f>
        <v>Dos hombres jóvenes luchan en una cocina con una silla de gato de pie como una mesa.</v>
      </c>
    </row>
    <row r="28002">
      <c r="A28002" s="4" t="s">
        <v>35264</v>
      </c>
      <c r="B28002" s="4" t="s">
        <v>35266</v>
      </c>
      <c r="C28002" s="5" t="str">
        <f>IFERROR(__xludf.DUMMYFUNCTION("GOOGLETRANSLATE(B28002,""en"",""es-ES"")"),"Un joven con una camiseta sin mangas blanca coloca su codo en una silla de gato elevada junto con otro joven con una camisa negra.")</f>
        <v>Un joven con una camiseta sin mangas blanca coloca su codo en una silla de gato elevada junto con otro joven con una camisa negra.</v>
      </c>
    </row>
    <row r="28003">
      <c r="A28003" s="4" t="s">
        <v>35264</v>
      </c>
      <c r="B28003" s="4" t="s">
        <v>35267</v>
      </c>
      <c r="C28003" s="5" t="str">
        <f>IFERROR(__xludf.DUMMYFUNCTION("GOOGLETRANSLATE(B28003,""en"",""es-ES"")"),"Los dos jóvenes comienzan a luchar contra la lucha.")</f>
        <v>Los dos jóvenes comienzan a luchar contra la lucha.</v>
      </c>
    </row>
    <row r="28004">
      <c r="A28004" s="4" t="s">
        <v>35264</v>
      </c>
      <c r="B28004" s="4" t="s">
        <v>35268</v>
      </c>
      <c r="C28004" s="5" t="str">
        <f>IFERROR(__xludf.DUMMYFUNCTION("GOOGLETRANSLATE(B28004,""en"",""es-ES"")"),"El hombre de la camisa negra gana el combate de lucha libre en el brazo, momento en el que el hombre en la camiseta de tanque blanca se aleja y se encuentra frente a un refrigerador al lado de una niña que bebe una bebida enlatada.")</f>
        <v>El hombre de la camisa negra gana el combate de lucha libre en el brazo, momento en el que el hombre en la camiseta de tanque blanca se aleja y se encuentra frente a un refrigerador al lado de una niña que bebe una bebida enlatada.</v>
      </c>
    </row>
    <row r="28005">
      <c r="A28005" s="4" t="s">
        <v>35269</v>
      </c>
      <c r="B28005" s="4" t="s">
        <v>35270</v>
      </c>
      <c r="C28005" s="5" t="str">
        <f>IFERROR(__xludf.DUMMYFUNCTION("GOOGLETRANSLATE(B28005,""en"",""es-ES"")"),"Un hombre y una mujer están de pie una cocina.")</f>
        <v>Un hombre y una mujer están de pie una cocina.</v>
      </c>
    </row>
    <row r="28006">
      <c r="A28006" s="4" t="s">
        <v>35269</v>
      </c>
      <c r="B28006" s="4" t="s">
        <v>35271</v>
      </c>
      <c r="C28006" s="5" t="str">
        <f>IFERROR(__xludf.DUMMYFUNCTION("GOOGLETRANSLATE(B28006,""en"",""es-ES"")"),"La mujer está cortando varias verduras en una bandeja blanca.")</f>
        <v>La mujer está cortando varias verduras en una bandeja blanca.</v>
      </c>
    </row>
    <row r="28007">
      <c r="A28007" s="4" t="s">
        <v>35272</v>
      </c>
      <c r="B28007" s="4" t="s">
        <v>35273</v>
      </c>
      <c r="C28007" s="5" t="str">
        <f>IFERROR(__xludf.DUMMYFUNCTION("GOOGLETRANSLATE(B28007,""en"",""es-ES"")"),"Una gran multitud está en las gradas en una arena.")</f>
        <v>Una gran multitud está en las gradas en una arena.</v>
      </c>
    </row>
    <row r="28008">
      <c r="A28008" s="4" t="s">
        <v>35272</v>
      </c>
      <c r="B28008" s="4" t="s">
        <v>35274</v>
      </c>
      <c r="C28008" s="5" t="str">
        <f>IFERROR(__xludf.DUMMYFUNCTION("GOOGLETRANSLATE(B28008,""en"",""es-ES"")"),"Un hombre arroja una jabalina.")</f>
        <v>Un hombre arroja una jabalina.</v>
      </c>
    </row>
    <row r="28009">
      <c r="A28009" s="4" t="s">
        <v>35272</v>
      </c>
      <c r="B28009" s="4" t="s">
        <v>35275</v>
      </c>
      <c r="C28009" s="5" t="str">
        <f>IFERROR(__xludf.DUMMYFUNCTION("GOOGLETRANSLATE(B28009,""en"",""es-ES"")"),"Los fotógrafos toman fotos en el fondo.")</f>
        <v>Los fotógrafos toman fotos en el fondo.</v>
      </c>
    </row>
    <row r="28010">
      <c r="A28010" s="4" t="s">
        <v>35272</v>
      </c>
      <c r="B28010" s="4" t="s">
        <v>35276</v>
      </c>
      <c r="C28010" s="5" t="str">
        <f>IFERROR(__xludf.DUMMYFUNCTION("GOOGLETRANSLATE(B28010,""en"",""es-ES"")"),"Varios hombres corren hacia donde aterriza la jabalina.")</f>
        <v>Varios hombres corren hacia donde aterriza la jabalina.</v>
      </c>
    </row>
    <row r="28011">
      <c r="A28011" s="4" t="s">
        <v>35272</v>
      </c>
      <c r="B28011" s="4" t="s">
        <v>35277</v>
      </c>
      <c r="C28011" s="5" t="str">
        <f>IFERROR(__xludf.DUMMYFUNCTION("GOOGLETRANSLATE(B28011,""en"",""es-ES"")"),"El hombre que arrojó la jabalina celebra.")</f>
        <v>El hombre que arrojó la jabalina celebra.</v>
      </c>
    </row>
    <row r="28012">
      <c r="A28012" s="4" t="s">
        <v>35272</v>
      </c>
      <c r="B28012" s="4" t="s">
        <v>35278</v>
      </c>
      <c r="C28012" s="5" t="str">
        <f>IFERROR(__xludf.DUMMYFUNCTION("GOOGLETRANSLATE(B28012,""en"",""es-ES"")"),"Otro hombre arroja una jabalina.")</f>
        <v>Otro hombre arroja una jabalina.</v>
      </c>
    </row>
    <row r="28013">
      <c r="A28013" s="4" t="s">
        <v>35272</v>
      </c>
      <c r="B28013" s="4" t="s">
        <v>35279</v>
      </c>
      <c r="C28013" s="5" t="str">
        <f>IFERROR(__xludf.DUMMYFUNCTION("GOOGLETRANSLATE(B28013,""en"",""es-ES"")"),"La gente camina haciendo cosas diferentes.")</f>
        <v>La gente camina haciendo cosas diferentes.</v>
      </c>
    </row>
    <row r="28014">
      <c r="A28014" s="4" t="s">
        <v>35272</v>
      </c>
      <c r="B28014" s="4" t="s">
        <v>35280</v>
      </c>
      <c r="C28014" s="5" t="str">
        <f>IFERROR(__xludf.DUMMYFUNCTION("GOOGLETRANSLATE(B28014,""en"",""es-ES"")"),"Varios hombres salen corriendo a donde la jabalina aterriza nuevamente.")</f>
        <v>Varios hombres salen corriendo a donde la jabalina aterriza nuevamente.</v>
      </c>
    </row>
    <row r="28015">
      <c r="A28015" s="4" t="s">
        <v>35272</v>
      </c>
      <c r="B28015" s="4" t="s">
        <v>35281</v>
      </c>
      <c r="C28015" s="5" t="str">
        <f>IFERROR(__xludf.DUMMYFUNCTION("GOOGLETRANSLATE(B28015,""en"",""es-ES"")"),"El segundo hombre en lanzar la jabalina y un hombre en las gradas celebran.")</f>
        <v>El segundo hombre en lanzar la jabalina y un hombre en las gradas celebran.</v>
      </c>
    </row>
    <row r="28016">
      <c r="A28016" s="4" t="s">
        <v>35272</v>
      </c>
      <c r="B28016" s="4" t="s">
        <v>35282</v>
      </c>
      <c r="C28016" s="5" t="str">
        <f>IFERROR(__xludf.DUMMYFUNCTION("GOOGLETRANSLATE(B28016,""en"",""es-ES"")"),"Un tercer hombre arroja una jabalina tan fuerte que cae.")</f>
        <v>Un tercer hombre arroja una jabalina tan fuerte que cae.</v>
      </c>
    </row>
    <row r="28017">
      <c r="A28017" s="4" t="s">
        <v>35272</v>
      </c>
      <c r="B28017" s="4" t="s">
        <v>35283</v>
      </c>
      <c r="C28017" s="5" t="str">
        <f>IFERROR(__xludf.DUMMYFUNCTION("GOOGLETRANSLATE(B28017,""en"",""es-ES"")"),"Los mismos hombres corren hacia el lugar de aterrizaje de la jabalina.")</f>
        <v>Los mismos hombres corren hacia el lugar de aterrizaje de la jabalina.</v>
      </c>
    </row>
    <row r="28018">
      <c r="A28018" s="4" t="s">
        <v>35272</v>
      </c>
      <c r="B28018" s="4" t="s">
        <v>35284</v>
      </c>
      <c r="C28018" s="5" t="str">
        <f>IFERROR(__xludf.DUMMYFUNCTION("GOOGLETRANSLATE(B28018,""en"",""es-ES"")"),"El tercer hombre se aleja con un aspecto decepcionado.")</f>
        <v>El tercer hombre se aleja con un aspecto decepcionado.</v>
      </c>
    </row>
    <row r="28019">
      <c r="A28019" s="4" t="s">
        <v>35272</v>
      </c>
      <c r="B28019" s="4" t="s">
        <v>35285</v>
      </c>
      <c r="C28019" s="5" t="str">
        <f>IFERROR(__xludf.DUMMYFUNCTION("GOOGLETRANSLATE(B28019,""en"",""es-ES"")"),"Un cuarto hombre lanza una jabalina.")</f>
        <v>Un cuarto hombre lanza una jabalina.</v>
      </c>
    </row>
    <row r="28020">
      <c r="A28020" s="4" t="s">
        <v>35272</v>
      </c>
      <c r="B28020" s="4" t="s">
        <v>35286</v>
      </c>
      <c r="C28020" s="5" t="str">
        <f>IFERROR(__xludf.DUMMYFUNCTION("GOOGLETRANSLATE(B28020,""en"",""es-ES"")"),"Nuevamente, los hombres corren hacia donde aterriza la jabalina.")</f>
        <v>Nuevamente, los hombres corren hacia donde aterriza la jabalina.</v>
      </c>
    </row>
    <row r="28021">
      <c r="A28021" s="4" t="s">
        <v>35272</v>
      </c>
      <c r="B28021" s="4" t="s">
        <v>35287</v>
      </c>
      <c r="C28021" s="5" t="str">
        <f>IFERROR(__xludf.DUMMYFUNCTION("GOOGLETRANSLATE(B28021,""en"",""es-ES"")"),"El cuarto hombre se ve decepcionado por buscar su chaqueta.")</f>
        <v>El cuarto hombre se ve decepcionado por buscar su chaqueta.</v>
      </c>
    </row>
    <row r="28022">
      <c r="A28022" s="4" t="s">
        <v>35272</v>
      </c>
      <c r="B28022" s="4" t="s">
        <v>35288</v>
      </c>
      <c r="C28022" s="5" t="str">
        <f>IFERROR(__xludf.DUMMYFUNCTION("GOOGLETRANSLATE(B28022,""en"",""es-ES"")"),"El primer hombre en lanzar una jabalina corre celebrando y abraza a otro hombre.")</f>
        <v>El primer hombre en lanzar una jabalina corre celebrando y abraza a otro hombre.</v>
      </c>
    </row>
    <row r="28023">
      <c r="A28023" s="4" t="s">
        <v>35272</v>
      </c>
      <c r="B28023" s="4" t="s">
        <v>35289</v>
      </c>
      <c r="C28023" s="5" t="str">
        <f>IFERROR(__xludf.DUMMYFUNCTION("GOOGLETRANSLATE(B28023,""en"",""es-ES"")"),"Un hombre pone una medalla de oro alrededor del cuello del primer lanzador de jabalina y le da la mano.")</f>
        <v>Un hombre pone una medalla de oro alrededor del cuello del primer lanzador de jabalina y le da la mano.</v>
      </c>
    </row>
    <row r="28024">
      <c r="A28024" s="4" t="s">
        <v>35272</v>
      </c>
      <c r="B28024" s="4" t="s">
        <v>35290</v>
      </c>
      <c r="C28024" s="5" t="str">
        <f>IFERROR(__xludf.DUMMYFUNCTION("GOOGLETRANSLATE(B28024,""en"",""es-ES"")"),"Pone una medalla de plata en el segundo lanzador.")</f>
        <v>Pone una medalla de plata en el segundo lanzador.</v>
      </c>
    </row>
    <row r="28025">
      <c r="A28025" s="4" t="s">
        <v>35272</v>
      </c>
      <c r="B28025" s="4" t="s">
        <v>35291</v>
      </c>
      <c r="C28025" s="5" t="str">
        <f>IFERROR(__xludf.DUMMYFUNCTION("GOOGLETRANSLATE(B28025,""en"",""es-ES"")"),"Pone una medalla de bronce en el tercer lanzador.")</f>
        <v>Pone una medalla de bronce en el tercer lanzador.</v>
      </c>
    </row>
    <row r="28026">
      <c r="A28026" s="4" t="s">
        <v>35272</v>
      </c>
      <c r="B28026" s="4" t="s">
        <v>35292</v>
      </c>
      <c r="C28026" s="5" t="str">
        <f>IFERROR(__xludf.DUMMYFUNCTION("GOOGLETRANSLATE(B28026,""en"",""es-ES"")"),"Todos los hombres se dan la mano.")</f>
        <v>Todos los hombres se dan la mano.</v>
      </c>
    </row>
    <row r="28027">
      <c r="A28027" s="4" t="s">
        <v>35272</v>
      </c>
      <c r="B28027" s="4" t="s">
        <v>35293</v>
      </c>
      <c r="C28027" s="5" t="str">
        <f>IFERROR(__xludf.DUMMYFUNCTION("GOOGLETRANSLATE(B28027,""en"",""es-ES"")"),"El ganador de la medalla de oro habla con una persona de noticias.")</f>
        <v>El ganador de la medalla de oro habla con una persona de noticias.</v>
      </c>
    </row>
    <row r="28028">
      <c r="A28028" s="4" t="s">
        <v>35272</v>
      </c>
      <c r="B28028" s="4" t="s">
        <v>35294</v>
      </c>
      <c r="C28028" s="5" t="str">
        <f>IFERROR(__xludf.DUMMYFUNCTION("GOOGLETRANSLATE(B28028,""en"",""es-ES"")"),"El medallista de plata habla con una persona de noticias.")</f>
        <v>El medallista de plata habla con una persona de noticias.</v>
      </c>
    </row>
    <row r="28029">
      <c r="A28029" s="4" t="s">
        <v>35295</v>
      </c>
      <c r="B28029" s="4" t="s">
        <v>35296</v>
      </c>
      <c r="C28029" s="5" t="str">
        <f>IFERROR(__xludf.DUMMYFUNCTION("GOOGLETRANSLATE(B28029,""en"",""es-ES"")"),"Dos personas están trabajando en bicicletas de ejercicio.")</f>
        <v>Dos personas están trabajando en bicicletas de ejercicio.</v>
      </c>
    </row>
    <row r="28030">
      <c r="A28030" s="4" t="s">
        <v>35295</v>
      </c>
      <c r="B28030" s="4" t="s">
        <v>35297</v>
      </c>
      <c r="C28030" s="5" t="str">
        <f>IFERROR(__xludf.DUMMYFUNCTION("GOOGLETRANSLATE(B28030,""en"",""es-ES"")"),"El que lleva una peluca azul pone sus manos en el aire.")</f>
        <v>El que lleva una peluca azul pone sus manos en el aire.</v>
      </c>
    </row>
    <row r="28031">
      <c r="A28031" s="4" t="s">
        <v>35295</v>
      </c>
      <c r="B28031" s="4" t="s">
        <v>35298</v>
      </c>
      <c r="C28031" s="5" t="str">
        <f>IFERROR(__xludf.DUMMYFUNCTION("GOOGLETRANSLATE(B28031,""en"",""es-ES"")"),"La gente está frente a ellos también en bicicletas de ejercicio.")</f>
        <v>La gente está frente a ellos también en bicicletas de ejercicio.</v>
      </c>
    </row>
    <row r="28032">
      <c r="A28032" s="4" t="s">
        <v>35299</v>
      </c>
      <c r="B28032" s="4" t="s">
        <v>35300</v>
      </c>
      <c r="C28032" s="5" t="str">
        <f>IFERROR(__xludf.DUMMYFUNCTION("GOOGLETRANSLATE(B28032,""en"",""es-ES"")"),"Una persona cubre el piso con baldosas.")</f>
        <v>Una persona cubre el piso con baldosas.</v>
      </c>
    </row>
    <row r="28033">
      <c r="A28033" s="4" t="s">
        <v>35299</v>
      </c>
      <c r="B28033" s="4" t="s">
        <v>35301</v>
      </c>
      <c r="C28033" s="5" t="str">
        <f>IFERROR(__xludf.DUMMYFUNCTION("GOOGLETRANSLATE(B28033,""en"",""es-ES"")"),"Luego, otro hombre viene y ayuda a cubrir el piso con azulejos.")</f>
        <v>Luego, otro hombre viene y ayuda a cubrir el piso con azulejos.</v>
      </c>
    </row>
    <row r="28034">
      <c r="A28034" s="4" t="s">
        <v>35302</v>
      </c>
      <c r="B28034" s="4" t="s">
        <v>35303</v>
      </c>
      <c r="C28034" s="5" t="str">
        <f>IFERROR(__xludf.DUMMYFUNCTION("GOOGLETRANSLATE(B28034,""en"",""es-ES"")"),"Dos hombres se para en el frente un alto seto sosteniendo recortadores.")</f>
        <v>Dos hombres se para en el frente un alto seto sosteniendo recortadores.</v>
      </c>
    </row>
    <row r="28035">
      <c r="A28035" s="4" t="s">
        <v>35302</v>
      </c>
      <c r="B28035" s="4" t="s">
        <v>35304</v>
      </c>
      <c r="C28035" s="5" t="str">
        <f>IFERROR(__xludf.DUMMYFUNCTION("GOOGLETRANSLATE(B28035,""en"",""es-ES"")"),"Los hombres cortan la parte superior del seto.")</f>
        <v>Los hombres cortan la parte superior del seto.</v>
      </c>
    </row>
    <row r="28036">
      <c r="A28036" s="4" t="s">
        <v>35302</v>
      </c>
      <c r="B28036" s="4" t="s">
        <v>35305</v>
      </c>
      <c r="C28036" s="5" t="str">
        <f>IFERROR(__xludf.DUMMYFUNCTION("GOOGLETRANSLATE(B28036,""en"",""es-ES"")"),"Las hojas caen de la parte superior del seto.")</f>
        <v>Las hojas caen de la parte superior del seto.</v>
      </c>
    </row>
    <row r="28037">
      <c r="A28037" s="4" t="s">
        <v>35306</v>
      </c>
      <c r="B28037" s="4" t="s">
        <v>35307</v>
      </c>
      <c r="C28037" s="5" t="str">
        <f>IFERROR(__xludf.DUMMYFUNCTION("GOOGLETRANSLATE(B28037,""en"",""es-ES"")"),"Un hombre está usando una gran escoba en un estacionamiento.")</f>
        <v>Un hombre está usando una gran escoba en un estacionamiento.</v>
      </c>
    </row>
    <row r="28038">
      <c r="A28038" s="4" t="s">
        <v>35306</v>
      </c>
      <c r="B28038" s="4" t="s">
        <v>35308</v>
      </c>
      <c r="C28038" s="5" t="str">
        <f>IFERROR(__xludf.DUMMYFUNCTION("GOOGLETRANSLATE(B28038,""en"",""es-ES"")"),"Gira la escoba en círculos a su alrededor.")</f>
        <v>Gira la escoba en círculos a su alrededor.</v>
      </c>
    </row>
    <row r="28039">
      <c r="A28039" s="4" t="s">
        <v>35306</v>
      </c>
      <c r="B28039" s="4" t="s">
        <v>35309</v>
      </c>
      <c r="C28039" s="5" t="str">
        <f>IFERROR(__xludf.DUMMYFUNCTION("GOOGLETRANSLATE(B28039,""en"",""es-ES"")"),"El giro cepilla las pilas de hojas fuera del estacionamiento.")</f>
        <v>El giro cepilla las pilas de hojas fuera del estacionamiento.</v>
      </c>
    </row>
    <row r="28040">
      <c r="A28040" s="4" t="s">
        <v>35310</v>
      </c>
      <c r="B28040" s="4" t="s">
        <v>35311</v>
      </c>
      <c r="C28040" s="5" t="str">
        <f>IFERROR(__xludf.DUMMYFUNCTION("GOOGLETRANSLATE(B28040,""en"",""es-ES"")"),"Se ve a una mujer hablando con la cámara mientras sostiene un trapo y un limpiador y la lleva a rociar los guantes y moverlos a lo largo de un piano.")</f>
        <v>Se ve a una mujer hablando con la cámara mientras sostiene un trapo y un limpiador y la lleva a rociar los guantes y moverlos a lo largo de un piano.</v>
      </c>
    </row>
    <row r="28041">
      <c r="A28041" s="4" t="s">
        <v>35310</v>
      </c>
      <c r="B28041" s="4" t="s">
        <v>35312</v>
      </c>
      <c r="C28041" s="5" t="str">
        <f>IFERROR(__xludf.DUMMYFUNCTION("GOOGLETRANSLATE(B28041,""en"",""es-ES"")"),"La mujer continúa limpiando todo el piano y termina hablando con la cámara.")</f>
        <v>La mujer continúa limpiando todo el piano y termina hablando con la cámara.</v>
      </c>
    </row>
    <row r="28042">
      <c r="A28042" s="4" t="s">
        <v>35313</v>
      </c>
      <c r="B28042" s="4" t="s">
        <v>27371</v>
      </c>
      <c r="C28042" s="5" t="str">
        <f>IFERROR(__xludf.DUMMYFUNCTION("GOOGLETRANSLATE(B28042,""en"",""es-ES"")"),"Vemos una pantalla de título verde.")</f>
        <v>Vemos una pantalla de título verde.</v>
      </c>
    </row>
    <row r="28043">
      <c r="A28043" s="4" t="s">
        <v>35313</v>
      </c>
      <c r="B28043" s="4" t="s">
        <v>35314</v>
      </c>
      <c r="C28043" s="5" t="str">
        <f>IFERROR(__xludf.DUMMYFUNCTION("GOOGLETRANSLATE(B28043,""en"",""es-ES"")"),"La gente está corriendo en un campo jugando un juego de lacrosse.")</f>
        <v>La gente está corriendo en un campo jugando un juego de lacrosse.</v>
      </c>
    </row>
    <row r="28044">
      <c r="A28044" s="4" t="s">
        <v>35313</v>
      </c>
      <c r="B28044" s="4" t="s">
        <v>35315</v>
      </c>
      <c r="C28044" s="5" t="str">
        <f>IFERROR(__xludf.DUMMYFUNCTION("GOOGLETRANSLATE(B28044,""en"",""es-ES"")"),"Un hombre con pantalones cortos blancos se sienta frente a la cámara.")</f>
        <v>Un hombre con pantalones cortos blancos se sienta frente a la cámara.</v>
      </c>
    </row>
    <row r="28045">
      <c r="A28045" s="4" t="s">
        <v>35313</v>
      </c>
      <c r="B28045" s="4" t="s">
        <v>35316</v>
      </c>
      <c r="C28045" s="5" t="str">
        <f>IFERROR(__xludf.DUMMYFUNCTION("GOOGLETRANSLATE(B28045,""en"",""es-ES"")"),"Un hombre derriba a uno de sus compañeros de equipo.")</f>
        <v>Un hombre derriba a uno de sus compañeros de equipo.</v>
      </c>
    </row>
    <row r="28046">
      <c r="A28046" s="4" t="s">
        <v>35313</v>
      </c>
      <c r="B28046" s="4" t="s">
        <v>35317</v>
      </c>
      <c r="C28046" s="5" t="str">
        <f>IFERROR(__xludf.DUMMYFUNCTION("GOOGLETRANSLATE(B28046,""en"",""es-ES"")"),"Dos hombres casi se estrellan contra la cámara.")</f>
        <v>Dos hombres casi se estrellan contra la cámara.</v>
      </c>
    </row>
    <row r="28047">
      <c r="A28047" s="4" t="s">
        <v>35313</v>
      </c>
      <c r="B28047" s="4" t="s">
        <v>35318</v>
      </c>
      <c r="C28047" s="5" t="str">
        <f>IFERROR(__xludf.DUMMYFUNCTION("GOOGLETRANSLATE(B28047,""en"",""es-ES"")"),"Un grupo de jugadores pelean por el balón.")</f>
        <v>Un grupo de jugadores pelean por el balón.</v>
      </c>
    </row>
    <row r="28048">
      <c r="A28048" s="4" t="s">
        <v>35313</v>
      </c>
      <c r="B28048" s="4" t="s">
        <v>35319</v>
      </c>
      <c r="C28048" s="5" t="str">
        <f>IFERROR(__xludf.DUMMYFUNCTION("GOOGLETRANSLATE(B28048,""en"",""es-ES"")"),"Un hombre golpea la pelota en todo el campo.")</f>
        <v>Un hombre golpea la pelota en todo el campo.</v>
      </c>
    </row>
    <row r="28049">
      <c r="A28049" s="4" t="s">
        <v>35313</v>
      </c>
      <c r="B28049" s="4" t="s">
        <v>35320</v>
      </c>
      <c r="C28049" s="5" t="str">
        <f>IFERROR(__xludf.DUMMYFUNCTION("GOOGLETRANSLATE(B28049,""en"",""es-ES"")"),"La pantalla se desvanece hasta el verde.")</f>
        <v>La pantalla se desvanece hasta el verde.</v>
      </c>
    </row>
    <row r="28050">
      <c r="A28050" s="4" t="s">
        <v>35321</v>
      </c>
      <c r="B28050" s="4" t="s">
        <v>35322</v>
      </c>
      <c r="C28050" s="5" t="str">
        <f>IFERROR(__xludf.DUMMYFUNCTION("GOOGLETRANSLATE(B28050,""en"",""es-ES"")"),"Un hombre está sentado en un caballo y sosteniendo un lazo mientras los asistentes están parados y una audiencia observa.")</f>
        <v>Un hombre está sentado en un caballo y sosteniendo un lazo mientras los asistentes están parados y una audiencia observa.</v>
      </c>
    </row>
    <row r="28051">
      <c r="A28051" s="4" t="s">
        <v>35321</v>
      </c>
      <c r="B28051" s="4" t="s">
        <v>35323</v>
      </c>
      <c r="C28051" s="5" t="str">
        <f>IFERROR(__xludf.DUMMYFUNCTION("GOOGLETRANSLATE(B28051,""en"",""es-ES"")"),"Se libera una vaca y el hombre lo persigue.")</f>
        <v>Se libera una vaca y el hombre lo persigue.</v>
      </c>
    </row>
    <row r="28052">
      <c r="A28052" s="4" t="s">
        <v>35321</v>
      </c>
      <c r="B28052" s="4" t="s">
        <v>35324</v>
      </c>
      <c r="C28052" s="5" t="str">
        <f>IFERROR(__xludf.DUMMYFUNCTION("GOOGLETRANSLATE(B28052,""en"",""es-ES"")"),"El hombre lassos y lo ata.")</f>
        <v>El hombre lassos y lo ata.</v>
      </c>
    </row>
    <row r="28053">
      <c r="A28053" s="4" t="s">
        <v>35321</v>
      </c>
      <c r="B28053" s="4" t="s">
        <v>35325</v>
      </c>
      <c r="C28053" s="5" t="str">
        <f>IFERROR(__xludf.DUMMYFUNCTION("GOOGLETRANSLATE(B28053,""en"",""es-ES"")"),"Un hombre entra brevemente en el marco de la cámara.")</f>
        <v>Un hombre entra brevemente en el marco de la cámara.</v>
      </c>
    </row>
    <row r="28054">
      <c r="A28054" s="4" t="s">
        <v>35321</v>
      </c>
      <c r="B28054" s="4" t="s">
        <v>35326</v>
      </c>
      <c r="C28054" s="5" t="str">
        <f>IFERROR(__xludf.DUMMYFUNCTION("GOOGLETRANSLATE(B28054,""en"",""es-ES"")"),"Otro hombre está sentado en un caballo y sosteniendo un lazo en el mismo entorno.")</f>
        <v>Otro hombre está sentado en un caballo y sosteniendo un lazo en el mismo entorno.</v>
      </c>
    </row>
    <row r="28055">
      <c r="A28055" s="4" t="s">
        <v>35321</v>
      </c>
      <c r="B28055" s="4" t="s">
        <v>35327</v>
      </c>
      <c r="C28055" s="5" t="str">
        <f>IFERROR(__xludf.DUMMYFUNCTION("GOOGLETRANSLATE(B28055,""en"",""es-ES"")"),"Se libera una vaca y el segundo hombre lo persigue.")</f>
        <v>Se libera una vaca y el segundo hombre lo persigue.</v>
      </c>
    </row>
    <row r="28056">
      <c r="A28056" s="4" t="s">
        <v>35321</v>
      </c>
      <c r="B28056" s="4" t="s">
        <v>35328</v>
      </c>
      <c r="C28056" s="5" t="str">
        <f>IFERROR(__xludf.DUMMYFUNCTION("GOOGLETRANSLATE(B28056,""en"",""es-ES"")"),"El segundo hombre lassos y lo ata.")</f>
        <v>El segundo hombre lassos y lo ata.</v>
      </c>
    </row>
    <row r="28057">
      <c r="A28057" s="4" t="s">
        <v>35321</v>
      </c>
      <c r="B28057" s="4" t="s">
        <v>35329</v>
      </c>
      <c r="C28057" s="5" t="str">
        <f>IFERROR(__xludf.DUMMYFUNCTION("GOOGLETRANSLATE(B28057,""en"",""es-ES"")"),"Dos jinetes y dos asistentes ingresan al marco.")</f>
        <v>Dos jinetes y dos asistentes ingresan al marco.</v>
      </c>
    </row>
    <row r="28058">
      <c r="A28058" s="4" t="s">
        <v>35330</v>
      </c>
      <c r="B28058" s="4" t="s">
        <v>35331</v>
      </c>
      <c r="C28058" s="5" t="str">
        <f>IFERROR(__xludf.DUMMYFUNCTION("GOOGLETRANSLATE(B28058,""en"",""es-ES"")"),"Un hombre puentón salta de una cápsula elevada a un cuerpo de agua debajo de él en un entorno como bosque.")</f>
        <v>Un hombre puentón salta de una cápsula elevada a un cuerpo de agua debajo de él en un entorno como bosque.</v>
      </c>
    </row>
    <row r="28059">
      <c r="A28059" s="4" t="s">
        <v>35330</v>
      </c>
      <c r="B28059" s="4" t="s">
        <v>35332</v>
      </c>
      <c r="C28059" s="5" t="str">
        <f>IFERROR(__xludf.DUMMYFUNCTION("GOOGLETRANSLATE(B28059,""en"",""es-ES"")"),"Un hombre con una camisa azul está atado a un arnés de salto de saco.")</f>
        <v>Un hombre con una camisa azul está atado a un arnés de salto de saco.</v>
      </c>
    </row>
    <row r="28060">
      <c r="A28060" s="4" t="s">
        <v>35330</v>
      </c>
      <c r="B28060" s="4" t="s">
        <v>35333</v>
      </c>
      <c r="C28060" s="5" t="str">
        <f>IFERROR(__xludf.DUMMYFUNCTION("GOOGLETRANSLATE(B28060,""en"",""es-ES"")"),"Luego, el hombre se levanta en el aire en una cápsula amarilla con una guía, muy por encima de un cuerpo de agua.")</f>
        <v>Luego, el hombre se levanta en el aire en una cápsula amarilla con una guía, muy por encima de un cuerpo de agua.</v>
      </c>
    </row>
    <row r="28061">
      <c r="A28061" s="4" t="s">
        <v>35330</v>
      </c>
      <c r="B28061" s="4" t="s">
        <v>35334</v>
      </c>
      <c r="C28061" s="5" t="str">
        <f>IFERROR(__xludf.DUMMYFUNCTION("GOOGLETRANSLATE(B28061,""en"",""es-ES"")"),"El hombre luego salta de la cápsula y cae la distancia entre la cápsula y el agua y coloca el agua.")</f>
        <v>El hombre luego salta de la cápsula y cae la distancia entre la cápsula y el agua y coloca el agua.</v>
      </c>
    </row>
    <row r="28062">
      <c r="A28062" s="4" t="s">
        <v>35335</v>
      </c>
      <c r="B28062" s="4" t="s">
        <v>35336</v>
      </c>
      <c r="C28062" s="5" t="str">
        <f>IFERROR(__xludf.DUMMYFUNCTION("GOOGLETRANSLATE(B28062,""en"",""es-ES"")"),"Un hombre con una camisa azul está de pie en el bosque explicando algo.")</f>
        <v>Un hombre con una camisa azul está de pie en el bosque explicando algo.</v>
      </c>
    </row>
    <row r="28063">
      <c r="A28063" s="4" t="s">
        <v>35335</v>
      </c>
      <c r="B28063" s="4" t="s">
        <v>35337</v>
      </c>
      <c r="C28063" s="5" t="str">
        <f>IFERROR(__xludf.DUMMYFUNCTION("GOOGLETRANSLATE(B28063,""en"",""es-ES"")"),"Luego muestra cómo configurar madera para un fuego.")</f>
        <v>Luego muestra cómo configurar madera para un fuego.</v>
      </c>
    </row>
    <row r="28064">
      <c r="A28064" s="4" t="s">
        <v>35335</v>
      </c>
      <c r="B28064" s="4" t="s">
        <v>35338</v>
      </c>
      <c r="C28064" s="5" t="str">
        <f>IFERROR(__xludf.DUMMYFUNCTION("GOOGLETRANSLATE(B28064,""en"",""es-ES"")"),"La cámara vuelve a él de pie.")</f>
        <v>La cámara vuelve a él de pie.</v>
      </c>
    </row>
    <row r="28065">
      <c r="A28065" s="4" t="s">
        <v>35335</v>
      </c>
      <c r="B28065" s="4" t="s">
        <v>35339</v>
      </c>
      <c r="C28065" s="5" t="str">
        <f>IFERROR(__xludf.DUMMYFUNCTION("GOOGLETRANSLATE(B28065,""en"",""es-ES"")"),"La cámara va al fuego que se inicia.")</f>
        <v>La cámara va al fuego que se inicia.</v>
      </c>
    </row>
    <row r="28066">
      <c r="A28066" s="4" t="s">
        <v>35335</v>
      </c>
      <c r="B28066" s="4" t="s">
        <v>35340</v>
      </c>
      <c r="C28066" s="5" t="str">
        <f>IFERROR(__xludf.DUMMYFUNCTION("GOOGLETRANSLATE(B28066,""en"",""es-ES"")"),"La cámara vuelve a él de pie.")</f>
        <v>La cámara vuelve a él de pie.</v>
      </c>
    </row>
    <row r="28067">
      <c r="A28067" s="4" t="s">
        <v>35335</v>
      </c>
      <c r="B28067" s="4" t="s">
        <v>35341</v>
      </c>
      <c r="C28067" s="5" t="str">
        <f>IFERROR(__xludf.DUMMYFUNCTION("GOOGLETRANSLATE(B28067,""en"",""es-ES"")"),"La cámara se remonta a él construyendo un tipo diferente de fogata.")</f>
        <v>La cámara se remonta a él construyendo un tipo diferente de fogata.</v>
      </c>
    </row>
    <row r="28068">
      <c r="A28068" s="4" t="s">
        <v>35335</v>
      </c>
      <c r="B28068" s="4" t="s">
        <v>35342</v>
      </c>
      <c r="C28068" s="5" t="str">
        <f>IFERROR(__xludf.DUMMYFUNCTION("GOOGLETRANSLATE(B28068,""en"",""es-ES"")"),"Está parado en el bosque de nuevo hablando.")</f>
        <v>Está parado en el bosque de nuevo hablando.</v>
      </c>
    </row>
    <row r="28069">
      <c r="A28069" s="4" t="s">
        <v>35343</v>
      </c>
      <c r="B28069" s="4" t="s">
        <v>35344</v>
      </c>
      <c r="C28069" s="5" t="str">
        <f>IFERROR(__xludf.DUMMYFUNCTION("GOOGLETRANSLATE(B28069,""en"",""es-ES"")"),"Se muestra un video de cómo evitar fugas de techo de vehículos recreativos, hay un techo de un RV y un hombre que limpia el pegamento alrededor de la fuga.")</f>
        <v>Se muestra un video de cómo evitar fugas de techo de vehículos recreativos, hay un techo de un RV y un hombre que limpia el pegamento alrededor de la fuga.</v>
      </c>
    </row>
    <row r="28070">
      <c r="A28070" s="4" t="s">
        <v>35343</v>
      </c>
      <c r="B28070" s="4" t="s">
        <v>35345</v>
      </c>
      <c r="C28070" s="5" t="str">
        <f>IFERROR(__xludf.DUMMYFUNCTION("GOOGLETRANSLATE(B28070,""en"",""es-ES"")"),"El hombre está poniendo pegamento blanco alrededor de la fuga.")</f>
        <v>El hombre está poniendo pegamento blanco alrededor de la fuga.</v>
      </c>
    </row>
    <row r="28071">
      <c r="A28071" s="4" t="s">
        <v>35346</v>
      </c>
      <c r="B28071" s="4" t="s">
        <v>35347</v>
      </c>
      <c r="C28071" s="5" t="str">
        <f>IFERROR(__xludf.DUMMYFUNCTION("GOOGLETRANSLATE(B28071,""en"",""es-ES"")"),"Una introducción llega a la pantalla para un video sobre el snowboard.")</f>
        <v>Una introducción llega a la pantalla para un video sobre el snowboard.</v>
      </c>
    </row>
    <row r="28072">
      <c r="A28072" s="4" t="s">
        <v>35346</v>
      </c>
      <c r="B28072" s="4" t="s">
        <v>35348</v>
      </c>
      <c r="C28072" s="5" t="str">
        <f>IFERROR(__xludf.DUMMYFUNCTION("GOOGLETRANSLATE(B28072,""en"",""es-ES"")"),"Un snowboarder comienza a hacer algunos comentarios sobre sus técnicas de snowboard.")</f>
        <v>Un snowboarder comienza a hacer algunos comentarios sobre sus técnicas de snowboard.</v>
      </c>
    </row>
    <row r="28073">
      <c r="A28073" s="4" t="s">
        <v>35346</v>
      </c>
      <c r="B28073" s="4" t="s">
        <v>35349</v>
      </c>
      <c r="C28073" s="5" t="str">
        <f>IFERROR(__xludf.DUMMYFUNCTION("GOOGLETRANSLATE(B28073,""en"",""es-ES"")"),"Se muestran varios clips de snowboarders realizando la técnica como él explica.")</f>
        <v>Se muestran varios clips de snowboarders realizando la técnica como él explica.</v>
      </c>
    </row>
    <row r="28074">
      <c r="A28074" s="4" t="s">
        <v>35346</v>
      </c>
      <c r="B28074" s="4" t="s">
        <v>4761</v>
      </c>
      <c r="C28074" s="5" t="str">
        <f>IFERROR(__xludf.DUMMYFUNCTION("GOOGLETRANSLATE(B28074,""en"",""es-ES"")"),"El video termina con los créditos de cierre que se muestran en la pantalla.")</f>
        <v>El video termina con los créditos de cierre que se muestran en la pantalla.</v>
      </c>
    </row>
    <row r="28075">
      <c r="A28075" s="4" t="s">
        <v>35350</v>
      </c>
      <c r="B28075" s="4" t="s">
        <v>35351</v>
      </c>
      <c r="C28075" s="5" t="str">
        <f>IFERROR(__xludf.DUMMYFUNCTION("GOOGLETRANSLATE(B28075,""en"",""es-ES"")"),"La pantalla muestra el snowboard Transworld en Keystone, Colorado.")</f>
        <v>La pantalla muestra el snowboard Transworld en Keystone, Colorado.</v>
      </c>
    </row>
    <row r="28076">
      <c r="A28076" s="4" t="s">
        <v>35350</v>
      </c>
      <c r="B28076" s="4" t="s">
        <v>35352</v>
      </c>
      <c r="C28076" s="5" t="str">
        <f>IFERROR(__xludf.DUMMYFUNCTION("GOOGLETRANSLATE(B28076,""en"",""es-ES"")"),"Muestra los fundamentos del snowboard de Jack Mitrani.")</f>
        <v>Muestra los fundamentos del snowboard de Jack Mitrani.</v>
      </c>
    </row>
    <row r="28077">
      <c r="A28077" s="4" t="s">
        <v>35350</v>
      </c>
      <c r="B28077" s="4" t="s">
        <v>35353</v>
      </c>
      <c r="C28077" s="5" t="str">
        <f>IFERROR(__xludf.DUMMYFUNCTION("GOOGLETRANSLATE(B28077,""en"",""es-ES"")"),"Una persona que usa una sudadera con capucha verde y un sombrero habla sobre los elementos esenciales requeridos para el snowboard.")</f>
        <v>Una persona que usa una sudadera con capucha verde y un sombrero habla sobre los elementos esenciales requeridos para el snowboard.</v>
      </c>
    </row>
    <row r="28078">
      <c r="A28078" s="4" t="s">
        <v>35350</v>
      </c>
      <c r="B28078" s="4" t="s">
        <v>35354</v>
      </c>
      <c r="C28078" s="5" t="str">
        <f>IFERROR(__xludf.DUMMYFUNCTION("GOOGLETRANSLATE(B28078,""en"",""es-ES"")"),"Está demostrando su tutorial con un snowboard colocado frente a él.")</f>
        <v>Está demostrando su tutorial con un snowboard colocado frente a él.</v>
      </c>
    </row>
    <row r="28079">
      <c r="A28079" s="4" t="s">
        <v>35350</v>
      </c>
      <c r="B28079" s="4" t="s">
        <v>35355</v>
      </c>
      <c r="C28079" s="5" t="str">
        <f>IFERROR(__xludf.DUMMYFUNCTION("GOOGLETRANSLATE(B28079,""en"",""es-ES"")"),"Está sosteniendo un hierro en la mano mientras explica cómo depilarse el tablero.")</f>
        <v>Está sosteniendo un hierro en la mano mientras explica cómo depilarse el tablero.</v>
      </c>
    </row>
    <row r="28080">
      <c r="A28080" s="4" t="s">
        <v>35350</v>
      </c>
      <c r="B28080" s="4" t="s">
        <v>35356</v>
      </c>
      <c r="C28080" s="5" t="str">
        <f>IFERROR(__xludf.DUMMYFUNCTION("GOOGLETRANSLATE(B28080,""en"",""es-ES"")"),"Él tiene un trozo de cera dura en la mano y un hierro también.")</f>
        <v>Él tiene un trozo de cera dura en la mano y un hierro también.</v>
      </c>
    </row>
    <row r="28081">
      <c r="A28081" s="4" t="s">
        <v>35350</v>
      </c>
      <c r="B28081" s="4" t="s">
        <v>35357</v>
      </c>
      <c r="C28081" s="5" t="str">
        <f>IFERROR(__xludf.DUMMYFUNCTION("GOOGLETRANSLATE(B28081,""en"",""es-ES"")"),"Comienza a derretir la cera con el hierro calentado y lo deja caer en el tablero.")</f>
        <v>Comienza a derretir la cera con el hierro calentado y lo deja caer en el tablero.</v>
      </c>
    </row>
    <row r="28082">
      <c r="A28082" s="4" t="s">
        <v>35350</v>
      </c>
      <c r="B28082" s="4" t="s">
        <v>35358</v>
      </c>
      <c r="C28082" s="5" t="str">
        <f>IFERROR(__xludf.DUMMYFUNCTION("GOOGLETRANSLATE(B28082,""en"",""es-ES"")"),"Él deja caer la cera derretida por todo el tablero.")</f>
        <v>Él deja caer la cera derretida por todo el tablero.</v>
      </c>
    </row>
    <row r="28083">
      <c r="A28083" s="4" t="s">
        <v>35350</v>
      </c>
      <c r="B28083" s="4" t="s">
        <v>35359</v>
      </c>
      <c r="C28083" s="5" t="str">
        <f>IFERROR(__xludf.DUMMYFUNCTION("GOOGLETRANSLATE(B28083,""en"",""es-ES"")"),"Luego arrastra la cera derretida por todo el tablero.")</f>
        <v>Luego arrastra la cera derretida por todo el tablero.</v>
      </c>
    </row>
    <row r="28084">
      <c r="A28084" s="4" t="s">
        <v>35350</v>
      </c>
      <c r="B28084" s="4" t="s">
        <v>35360</v>
      </c>
      <c r="C28084" s="5" t="str">
        <f>IFERROR(__xludf.DUMMYFUNCTION("GOOGLETRANSLATE(B28084,""en"",""es-ES"")"),"Continúa el mismo proceso en todo el tablero.")</f>
        <v>Continúa el mismo proceso en todo el tablero.</v>
      </c>
    </row>
    <row r="28085">
      <c r="A28085" s="4" t="s">
        <v>35350</v>
      </c>
      <c r="B28085" s="4" t="s">
        <v>35361</v>
      </c>
      <c r="C28085" s="5" t="str">
        <f>IFERROR(__xludf.DUMMYFUNCTION("GOOGLETRANSLATE(B28085,""en"",""es-ES"")"),"Luego usa un raspador para raspar la cera y limpiar la placa.")</f>
        <v>Luego usa un raspador para raspar la cera y limpiar la placa.</v>
      </c>
    </row>
    <row r="28086">
      <c r="A28086" s="4" t="s">
        <v>35350</v>
      </c>
      <c r="B28086" s="4" t="s">
        <v>35362</v>
      </c>
      <c r="C28086" s="5" t="str">
        <f>IFERROR(__xludf.DUMMYFUNCTION("GOOGLETRANSLATE(B28086,""en"",""es-ES"")"),"También usa un cepillo para cepillar la cera y sopla las virutas de cera del tablero.")</f>
        <v>También usa un cepillo para cepillar la cera y sopla las virutas de cera del tablero.</v>
      </c>
    </row>
    <row r="28087">
      <c r="A28087" s="4" t="s">
        <v>35363</v>
      </c>
      <c r="B28087" s="4" t="s">
        <v>35364</v>
      </c>
      <c r="C28087" s="5" t="str">
        <f>IFERROR(__xludf.DUMMYFUNCTION("GOOGLETRANSLATE(B28087,""en"",""es-ES"")"),"Una gimnasta femenina pasa por su rutina mientras su entrenador supervisa.")</f>
        <v>Una gimnasta femenina pasa por su rutina mientras su entrenador supervisa.</v>
      </c>
    </row>
    <row r="28088">
      <c r="A28088" s="4" t="s">
        <v>35363</v>
      </c>
      <c r="B28088" s="4" t="s">
        <v>35365</v>
      </c>
      <c r="C28088" s="5" t="str">
        <f>IFERROR(__xludf.DUMMYFUNCTION("GOOGLETRANSLATE(B28088,""en"",""es-ES"")"),"Los gráficos aparecen en la parte inferior de la pantalla que le da el nombre y el país de la niña que representa.")</f>
        <v>Los gráficos aparecen en la parte inferior de la pantalla que le da el nombre y el país de la niña que representa.</v>
      </c>
    </row>
    <row r="28089">
      <c r="A28089" s="4" t="s">
        <v>35363</v>
      </c>
      <c r="B28089" s="4" t="s">
        <v>35366</v>
      </c>
      <c r="C28089" s="5" t="str">
        <f>IFERROR(__xludf.DUMMYFUNCTION("GOOGLETRANSLATE(B28089,""en"",""es-ES"")"),"Su entrenador camina hacia los bares desiguales para posicionarse en caso de que caiga.")</f>
        <v>Su entrenador camina hacia los bares desiguales para posicionarse en caso de que caiga.</v>
      </c>
    </row>
    <row r="28090">
      <c r="A28090" s="4" t="s">
        <v>35363</v>
      </c>
      <c r="B28090" s="4" t="s">
        <v>35367</v>
      </c>
      <c r="C28090" s="5" t="str">
        <f>IFERROR(__xludf.DUMMYFUNCTION("GOOGLETRANSLATE(B28090,""en"",""es-ES"")"),"El entrenador se acerca a las barras desiguales por segunda vez para posicionarse para atraparla si es necesario y luego camina hacia el otro lado de las esteras.")</f>
        <v>El entrenador se acerca a las barras desiguales por segunda vez para posicionarse para atraparla si es necesario y luego camina hacia el otro lado de las esteras.</v>
      </c>
    </row>
    <row r="28091">
      <c r="A28091" s="4" t="s">
        <v>35363</v>
      </c>
      <c r="B28091" s="4" t="s">
        <v>35368</v>
      </c>
      <c r="C28091" s="5" t="str">
        <f>IFERROR(__xludf.DUMMYFUNCTION("GOOGLETRANSLATE(B28091,""en"",""es-ES"")"),"Ella sale de las barras y tierras desiguales en la colchoneta y poses.")</f>
        <v>Ella sale de las barras y tierras desiguales en la colchoneta y poses.</v>
      </c>
    </row>
    <row r="28092">
      <c r="A28092" s="4" t="s">
        <v>35369</v>
      </c>
      <c r="B28092" s="4" t="s">
        <v>35370</v>
      </c>
      <c r="C28092" s="5" t="str">
        <f>IFERROR(__xludf.DUMMYFUNCTION("GOOGLETRANSLATE(B28092,""en"",""es-ES"")"),"La gente está sentada alrededor de una fogata.")</f>
        <v>La gente está sentada alrededor de una fogata.</v>
      </c>
    </row>
    <row r="28093">
      <c r="A28093" s="4" t="s">
        <v>35369</v>
      </c>
      <c r="B28093" s="4" t="s">
        <v>35371</v>
      </c>
      <c r="C28093" s="5" t="str">
        <f>IFERROR(__xludf.DUMMYFUNCTION("GOOGLETRANSLATE(B28093,""en"",""es-ES"")"),"Un hombre con un sombrero se pone de pie y corta la madera.")</f>
        <v>Un hombre con un sombrero se pone de pie y corta la madera.</v>
      </c>
    </row>
    <row r="28094">
      <c r="A28094" s="4" t="s">
        <v>35369</v>
      </c>
      <c r="B28094" s="4" t="s">
        <v>35372</v>
      </c>
      <c r="C28094" s="5" t="str">
        <f>IFERROR(__xludf.DUMMYFUNCTION("GOOGLETRANSLATE(B28094,""en"",""es-ES"")"),"Dale un pulgar hacia arriba y pone el hacha sobre su hombro.")</f>
        <v>Dale un pulgar hacia arriba y pone el hacha sobre su hombro.</v>
      </c>
    </row>
    <row r="28095">
      <c r="A28095" s="4" t="s">
        <v>35373</v>
      </c>
      <c r="B28095" s="4" t="s">
        <v>35374</v>
      </c>
      <c r="C28095" s="5" t="str">
        <f>IFERROR(__xludf.DUMMYFUNCTION("GOOGLETRANSLATE(B28095,""en"",""es-ES"")"),"Un hombre conduce su auto a la playa.")</f>
        <v>Un hombre conduce su auto a la playa.</v>
      </c>
    </row>
    <row r="28096">
      <c r="A28096" s="4" t="s">
        <v>35373</v>
      </c>
      <c r="B28096" s="4" t="s">
        <v>35375</v>
      </c>
      <c r="C28096" s="5" t="str">
        <f>IFERROR(__xludf.DUMMYFUNCTION("GOOGLETRANSLATE(B28096,""en"",""es-ES"")"),"Se prepara para las olas.")</f>
        <v>Se prepara para las olas.</v>
      </c>
    </row>
    <row r="28097">
      <c r="A28097" s="4" t="s">
        <v>35373</v>
      </c>
      <c r="B28097" s="4" t="s">
        <v>35376</v>
      </c>
      <c r="C28097" s="5" t="str">
        <f>IFERROR(__xludf.DUMMYFUNCTION("GOOGLETRANSLATE(B28097,""en"",""es-ES"")"),"Luego surfe de una gran ola.")</f>
        <v>Luego surfe de una gran ola.</v>
      </c>
    </row>
    <row r="28098">
      <c r="A28098" s="4" t="s">
        <v>35373</v>
      </c>
      <c r="B28098" s="4" t="s">
        <v>35377</v>
      </c>
      <c r="C28098" s="5" t="str">
        <f>IFERROR(__xludf.DUMMYFUNCTION("GOOGLETRANSLATE(B28098,""en"",""es-ES"")"),"Termina y se para en la playa.")</f>
        <v>Termina y se para en la playa.</v>
      </c>
    </row>
    <row r="28099">
      <c r="A28099" s="4" t="s">
        <v>35378</v>
      </c>
      <c r="B28099" s="4" t="s">
        <v>35379</v>
      </c>
      <c r="C28099" s="5" t="str">
        <f>IFERROR(__xludf.DUMMYFUNCTION("GOOGLETRANSLATE(B28099,""en"",""es-ES"")"),"Una persona toca la piel con luz verde mientras limpia el área.")</f>
        <v>Una persona toca la piel con luz verde mientras limpia el área.</v>
      </c>
    </row>
    <row r="28100">
      <c r="A28100" s="4" t="s">
        <v>35378</v>
      </c>
      <c r="B28100" s="4" t="s">
        <v>35380</v>
      </c>
      <c r="C28100" s="5" t="str">
        <f>IFERROR(__xludf.DUMMYFUNCTION("GOOGLETRANSLATE(B28100,""en"",""es-ES"")"),"La persona limpia la pierna con algodón.")</f>
        <v>La persona limpia la pierna con algodón.</v>
      </c>
    </row>
    <row r="28101">
      <c r="A28101" s="4" t="s">
        <v>35378</v>
      </c>
      <c r="B28101" s="4" t="s">
        <v>35381</v>
      </c>
      <c r="C28101" s="5" t="str">
        <f>IFERROR(__xludf.DUMMYFUNCTION("GOOGLETRANSLATE(B28101,""en"",""es-ES"")"),"La persona continúa aplicando la luz verde.")</f>
        <v>La persona continúa aplicando la luz verde.</v>
      </c>
    </row>
    <row r="28102">
      <c r="A28102" s="4" t="s">
        <v>35382</v>
      </c>
      <c r="B28102" s="4" t="s">
        <v>35383</v>
      </c>
      <c r="C28102" s="5" t="str">
        <f>IFERROR(__xludf.DUMMYFUNCTION("GOOGLETRANSLATE(B28102,""en"",""es-ES"")"),"Hay 4 niños afroamericanos que se saltan en el terreno de concreto.")</f>
        <v>Hay 4 niños afroamericanos que se saltan en el terreno de concreto.</v>
      </c>
    </row>
    <row r="28103">
      <c r="A28103" s="4" t="s">
        <v>35382</v>
      </c>
      <c r="B28103" s="4" t="s">
        <v>35384</v>
      </c>
      <c r="C28103" s="5" t="str">
        <f>IFERROR(__xludf.DUMMYFUNCTION("GOOGLETRANSLATE(B28103,""en"",""es-ES"")"),"3 usan vestidos y 1 de ellos lleva una camisa y pantalones.")</f>
        <v>3 usan vestidos y 1 de ellos lleva una camisa y pantalones.</v>
      </c>
    </row>
    <row r="28104">
      <c r="A28104" s="4" t="s">
        <v>35382</v>
      </c>
      <c r="B28104" s="4" t="s">
        <v>35385</v>
      </c>
      <c r="C28104" s="5" t="str">
        <f>IFERROR(__xludf.DUMMYFUNCTION("GOOGLETRANSLATE(B28104,""en"",""es-ES"")"),"Después de que hayan terminado de omitir, van a recoger verduras al costado de un edificio y los ponen en un tazón azul.")</f>
        <v>Después de que hayan terminado de omitir, van a recoger verduras al costado de un edificio y los ponen en un tazón azul.</v>
      </c>
    </row>
    <row r="28105">
      <c r="A28105" s="4" t="s">
        <v>35386</v>
      </c>
      <c r="B28105" s="4" t="s">
        <v>35387</v>
      </c>
      <c r="C28105" s="5" t="str">
        <f>IFERROR(__xludf.DUMMYFUNCTION("GOOGLETRANSLATE(B28105,""en"",""es-ES"")"),"Dos mujeres están en una habitación de pie detrás de una mesa y una sostiene un oso de peluche.")</f>
        <v>Dos mujeres están en una habitación de pie detrás de una mesa y una sostiene un oso de peluche.</v>
      </c>
    </row>
    <row r="28106">
      <c r="A28106" s="4" t="s">
        <v>35386</v>
      </c>
      <c r="B28106" s="4" t="s">
        <v>35388</v>
      </c>
      <c r="C28106" s="5" t="str">
        <f>IFERROR(__xludf.DUMMYFUNCTION("GOOGLETRANSLATE(B28106,""en"",""es-ES"")"),"Los dos se ayudan entre sí y comienzan sacando un rollo de papel de envoltura.")</f>
        <v>Los dos se ayudan entre sí y comienzan sacando un rollo de papel de envoltura.</v>
      </c>
    </row>
    <row r="28107">
      <c r="A28107" s="4" t="s">
        <v>35386</v>
      </c>
      <c r="B28107" s="4" t="s">
        <v>35389</v>
      </c>
      <c r="C28107" s="5" t="str">
        <f>IFERROR(__xludf.DUMMYFUNCTION("GOOGLETRANSLATE(B28107,""en"",""es-ES"")"),"Después, la joven comienza a cortar, doblar y pegar el papel y colocar el oso adentro.")</f>
        <v>Después, la joven comienza a cortar, doblar y pegar el papel y colocar el oso adentro.</v>
      </c>
    </row>
    <row r="28108">
      <c r="A28108" s="4" t="s">
        <v>35386</v>
      </c>
      <c r="B28108" s="4" t="s">
        <v>35390</v>
      </c>
      <c r="C28108" s="5" t="str">
        <f>IFERROR(__xludf.DUMMYFUNCTION("GOOGLETRANSLATE(B28108,""en"",""es-ES"")"),"Finalmente, la tarea está completa y ella mantiene el producto terminado sobre la mesa.")</f>
        <v>Finalmente, la tarea está completa y ella mantiene el producto terminado sobre la mesa.</v>
      </c>
    </row>
    <row r="28109">
      <c r="A28109" s="4" t="s">
        <v>35391</v>
      </c>
      <c r="B28109" s="4" t="s">
        <v>35392</v>
      </c>
      <c r="C28109" s="5" t="str">
        <f>IFERROR(__xludf.DUMMYFUNCTION("GOOGLETRANSLATE(B28109,""en"",""es-ES"")"),"Un grupo de hombres está afuera de estar parado en un círculo golpeando palitos cuando dos hombres comienzan a pelear.")</f>
        <v>Un grupo de hombres está afuera de estar parado en un círculo golpeando palitos cuando dos hombres comienzan a pelear.</v>
      </c>
    </row>
    <row r="28110">
      <c r="A28110" s="4" t="s">
        <v>35391</v>
      </c>
      <c r="B28110" s="4" t="s">
        <v>35393</v>
      </c>
      <c r="C28110" s="5" t="str">
        <f>IFERROR(__xludf.DUMMYFUNCTION("GOOGLETRANSLATE(B28110,""en"",""es-ES"")"),"Luego, dos hombres más comienzan a bailar alrededor del círculo haciendo movimientos de lucha.")</f>
        <v>Luego, dos hombres más comienzan a bailar alrededor del círculo haciendo movimientos de lucha.</v>
      </c>
    </row>
    <row r="28111">
      <c r="A28111" s="4" t="s">
        <v>35391</v>
      </c>
      <c r="B28111" s="4" t="s">
        <v>35394</v>
      </c>
      <c r="C28111" s="5" t="str">
        <f>IFERROR(__xludf.DUMMYFUNCTION("GOOGLETRANSLATE(B28111,""en"",""es-ES"")"),"Después, los hombres entran en el círculo en parejas y comienzan a bailar entre sí como si estuvieran luchando entre sí.")</f>
        <v>Después, los hombres entran en el círculo en parejas y comienzan a bailar entre sí como si estuvieran luchando entre sí.</v>
      </c>
    </row>
    <row r="28112">
      <c r="A28112" s="4" t="s">
        <v>35395</v>
      </c>
      <c r="B28112" s="4" t="s">
        <v>35396</v>
      </c>
      <c r="C28112" s="5" t="str">
        <f>IFERROR(__xludf.DUMMYFUNCTION("GOOGLETRANSLATE(B28112,""en"",""es-ES"")"),"Un video de niña graba a un hombre arrojando el final de un palo en llamas.")</f>
        <v>Un video de niña graba a un hombre arrojando el final de un palo en llamas.</v>
      </c>
    </row>
    <row r="28113">
      <c r="A28113" s="4" t="s">
        <v>35395</v>
      </c>
      <c r="B28113" s="4" t="s">
        <v>35397</v>
      </c>
      <c r="C28113" s="5" t="str">
        <f>IFERROR(__xludf.DUMMYFUNCTION("GOOGLETRANSLATE(B28113,""en"",""es-ES"")"),"El hombre sopla el palo de fuego en una pila de madera y finalmente crea un fuego.")</f>
        <v>El hombre sopla el palo de fuego en una pila de madera y finalmente crea un fuego.</v>
      </c>
    </row>
    <row r="28114">
      <c r="A28114" s="4" t="s">
        <v>35398</v>
      </c>
      <c r="B28114" s="4" t="s">
        <v>35399</v>
      </c>
      <c r="C28114" s="5" t="str">
        <f>IFERROR(__xludf.DUMMYFUNCTION("GOOGLETRANSLATE(B28114,""en"",""es-ES"")"),"Dos hombres están parados en un gimnasio.")</f>
        <v>Dos hombres están parados en un gimnasio.</v>
      </c>
    </row>
    <row r="28115">
      <c r="A28115" s="4" t="s">
        <v>35398</v>
      </c>
      <c r="B28115" s="4" t="s">
        <v>35400</v>
      </c>
      <c r="C28115" s="5" t="str">
        <f>IFERROR(__xludf.DUMMYFUNCTION("GOOGLETRANSLATE(B28115,""en"",""es-ES"")"),"Un hombre se pone de rodillas y levanta dos pesas.")</f>
        <v>Un hombre se pone de rodillas y levanta dos pesas.</v>
      </c>
    </row>
    <row r="28116">
      <c r="A28116" s="4" t="s">
        <v>35398</v>
      </c>
      <c r="B28116" s="4" t="s">
        <v>35401</v>
      </c>
      <c r="C28116" s="5" t="str">
        <f>IFERROR(__xludf.DUMMYFUNCTION("GOOGLETRANSLATE(B28116,""en"",""es-ES"")"),"Un hombre está detrás de él y habla.")</f>
        <v>Un hombre está detrás de él y habla.</v>
      </c>
    </row>
    <row r="28117">
      <c r="A28117" s="4" t="s">
        <v>35398</v>
      </c>
      <c r="B28117" s="4" t="s">
        <v>35402</v>
      </c>
      <c r="C28117" s="5" t="str">
        <f>IFERROR(__xludf.DUMMYFUNCTION("GOOGLETRANSLATE(B28117,""en"",""es-ES"")"),"El hombre se levanta y se arrodilla varias veces.")</f>
        <v>El hombre se levanta y se arrodilla varias veces.</v>
      </c>
    </row>
    <row r="28118">
      <c r="A28118" s="4" t="s">
        <v>35403</v>
      </c>
      <c r="B28118" s="4" t="s">
        <v>35404</v>
      </c>
      <c r="C28118" s="5" t="str">
        <f>IFERROR(__xludf.DUMMYFUNCTION("GOOGLETRANSLATE(B28118,""en"",""es-ES"")"),"Un hombre lleva blanco frente a un edificio.")</f>
        <v>Un hombre lleva blanco frente a un edificio.</v>
      </c>
    </row>
    <row r="28119">
      <c r="A28119" s="4" t="s">
        <v>35403</v>
      </c>
      <c r="B28119" s="4" t="s">
        <v>35405</v>
      </c>
      <c r="C28119" s="5" t="str">
        <f>IFERROR(__xludf.DUMMYFUNCTION("GOOGLETRANSLATE(B28119,""en"",""es-ES"")"),"Está haciendo varios movimientos de artes marciales.")</f>
        <v>Está haciendo varios movimientos de artes marciales.</v>
      </c>
    </row>
    <row r="28120">
      <c r="A28120" s="4" t="s">
        <v>35403</v>
      </c>
      <c r="B28120" s="4" t="s">
        <v>35406</v>
      </c>
      <c r="C28120" s="5" t="str">
        <f>IFERROR(__xludf.DUMMYFUNCTION("GOOGLETRANSLATE(B28120,""en"",""es-ES"")"),"Se mueve muy lentamente mientras demuestra los movimientos.")</f>
        <v>Se mueve muy lentamente mientras demuestra los movimientos.</v>
      </c>
    </row>
    <row r="28121">
      <c r="A28121" s="4" t="s">
        <v>35407</v>
      </c>
      <c r="B28121" s="4" t="s">
        <v>35408</v>
      </c>
      <c r="C28121" s="5" t="str">
        <f>IFERROR(__xludf.DUMMYFUNCTION("GOOGLETRANSLATE(B28121,""en"",""es-ES"")"),"Vemos una pantalla de introducción negra.")</f>
        <v>Vemos una pantalla de introducción negra.</v>
      </c>
    </row>
    <row r="28122">
      <c r="A28122" s="4" t="s">
        <v>35407</v>
      </c>
      <c r="B28122" s="4" t="s">
        <v>35409</v>
      </c>
      <c r="C28122" s="5" t="str">
        <f>IFERROR(__xludf.DUMMYFUNCTION("GOOGLETRANSLATE(B28122,""en"",""es-ES"")"),"Vemos a la princesa Diana y a un hombre jugando al billar.")</f>
        <v>Vemos a la princesa Diana y a un hombre jugando al billar.</v>
      </c>
    </row>
    <row r="28123">
      <c r="A28123" s="4" t="s">
        <v>35407</v>
      </c>
      <c r="B28123" s="4" t="s">
        <v>35410</v>
      </c>
      <c r="C28123" s="5" t="str">
        <f>IFERROR(__xludf.DUMMYFUNCTION("GOOGLETRANSLATE(B28123,""en"",""es-ES"")"),"Los fotógrafos se ponen de pie al final de su mesa.")</f>
        <v>Los fotógrafos se ponen de pie al final de su mesa.</v>
      </c>
    </row>
    <row r="28124">
      <c r="A28124" s="4" t="s">
        <v>35407</v>
      </c>
      <c r="B28124" s="4" t="s">
        <v>35411</v>
      </c>
      <c r="C28124" s="5" t="str">
        <f>IFERROR(__xludf.DUMMYFUNCTION("GOOGLETRANSLATE(B28124,""en"",""es-ES"")"),"La princesa y su gente salen de la habitación.")</f>
        <v>La princesa y su gente salen de la habitación.</v>
      </c>
    </row>
    <row r="28125">
      <c r="A28125" s="4" t="s">
        <v>35407</v>
      </c>
      <c r="B28125" s="4" t="s">
        <v>35412</v>
      </c>
      <c r="C28125" s="5" t="str">
        <f>IFERROR(__xludf.DUMMYFUNCTION("GOOGLETRANSLATE(B28125,""en"",""es-ES"")"),"Regresamos a la pantalla negra.")</f>
        <v>Regresamos a la pantalla negra.</v>
      </c>
    </row>
    <row r="28126">
      <c r="A28126" s="4" t="s">
        <v>35413</v>
      </c>
      <c r="B28126" s="4" t="s">
        <v>35414</v>
      </c>
      <c r="C28126" s="5" t="str">
        <f>IFERROR(__xludf.DUMMYFUNCTION("GOOGLETRANSLATE(B28126,""en"",""es-ES"")"),"Una mujer está de pie mientras usa un par de botas negras.")</f>
        <v>Una mujer está de pie mientras usa un par de botas negras.</v>
      </c>
    </row>
    <row r="28127">
      <c r="A28127" s="4" t="s">
        <v>35413</v>
      </c>
      <c r="B28127" s="4" t="s">
        <v>35415</v>
      </c>
      <c r="C28127" s="5" t="str">
        <f>IFERROR(__xludf.DUMMYFUNCTION("GOOGLETRANSLATE(B28127,""en"",""es-ES"")"),"Sus botas comienzan a moverse y patear cuando ella comienza a bailar.")</f>
        <v>Sus botas comienzan a moverse y patear cuando ella comienza a bailar.</v>
      </c>
    </row>
    <row r="28128">
      <c r="A28128" s="4" t="s">
        <v>35413</v>
      </c>
      <c r="B28128" s="4" t="s">
        <v>35416</v>
      </c>
      <c r="C28128" s="5" t="str">
        <f>IFERROR(__xludf.DUMMYFUNCTION("GOOGLETRANSLATE(B28128,""en"",""es-ES"")"),"Ella se mueve de lado a lado, entrando y saliendo.")</f>
        <v>Ella se mueve de lado a lado, entrando y saliendo.</v>
      </c>
    </row>
    <row r="28129">
      <c r="A28129" s="4" t="s">
        <v>35413</v>
      </c>
      <c r="B28129" s="4" t="s">
        <v>35417</v>
      </c>
      <c r="C28129" s="5" t="str">
        <f>IFERROR(__xludf.DUMMYFUNCTION("GOOGLETRANSLATE(B28129,""en"",""es-ES"")"),"La mujer se muestra completamente cuando deja de bailar y comienza a hablar con la cámara.")</f>
        <v>La mujer se muestra completamente cuando deja de bailar y comienza a hablar con la cámara.</v>
      </c>
    </row>
    <row r="28130">
      <c r="A28130" s="4" t="s">
        <v>35418</v>
      </c>
      <c r="B28130" s="4" t="s">
        <v>35419</v>
      </c>
      <c r="C28130" s="5" t="str">
        <f>IFERROR(__xludf.DUMMYFUNCTION("GOOGLETRANSLATE(B28130,""en"",""es-ES"")"),"Un hombre está saltando cuerda en una habitación.")</f>
        <v>Un hombre está saltando cuerda en una habitación.</v>
      </c>
    </row>
    <row r="28131">
      <c r="A28131" s="4" t="s">
        <v>35418</v>
      </c>
      <c r="B28131" s="4" t="s">
        <v>35420</v>
      </c>
      <c r="C28131" s="5" t="str">
        <f>IFERROR(__xludf.DUMMYFUNCTION("GOOGLETRANSLATE(B28131,""en"",""es-ES"")"),"Un hombre detrás de él se estira.")</f>
        <v>Un hombre detrás de él se estira.</v>
      </c>
    </row>
    <row r="28132">
      <c r="A28132" s="4" t="s">
        <v>35418</v>
      </c>
      <c r="B28132" s="4" t="s">
        <v>35421</v>
      </c>
      <c r="C28132" s="5" t="str">
        <f>IFERROR(__xludf.DUMMYFUNCTION("GOOGLETRANSLATE(B28132,""en"",""es-ES"")"),"Un hombre detrás de él comienza a hacer flexiones.")</f>
        <v>Un hombre detrás de él comienza a hacer flexiones.</v>
      </c>
    </row>
    <row r="28133">
      <c r="A28133" s="4" t="s">
        <v>35422</v>
      </c>
      <c r="B28133" s="4" t="s">
        <v>35423</v>
      </c>
      <c r="C28133" s="5" t="str">
        <f>IFERROR(__xludf.DUMMYFUNCTION("GOOGLETRANSLATE(B28133,""en"",""es-ES"")"),"Hay un hombre que lleva un traje de peligro azul que pinta una cerca alta.")</f>
        <v>Hay un hombre que lleva un traje de peligro azul que pinta una cerca alta.</v>
      </c>
    </row>
    <row r="28134">
      <c r="A28134" s="4" t="s">
        <v>35422</v>
      </c>
      <c r="B28134" s="4" t="s">
        <v>35424</v>
      </c>
      <c r="C28134" s="5" t="str">
        <f>IFERROR(__xludf.DUMMYFUNCTION("GOOGLETRANSLATE(B28134,""en"",""es-ES"")"),"Está usando una manguera de pintura en aerosol para pintar la cerca de madera.")</f>
        <v>Está usando una manguera de pintura en aerosol para pintar la cerca de madera.</v>
      </c>
    </row>
    <row r="28135">
      <c r="A28135" s="4" t="s">
        <v>35422</v>
      </c>
      <c r="B28135" s="4" t="s">
        <v>35425</v>
      </c>
      <c r="C28135" s="5" t="str">
        <f>IFERROR(__xludf.DUMMYFUNCTION("GOOGLETRANSLATE(B28135,""en"",""es-ES"")"),"Mueve la manguera de un lado a otro para asegurarse de que cubra toda la superficie de la cerca.")</f>
        <v>Mueve la manguera de un lado a otro para asegurarse de que cubra toda la superficie de la cerca.</v>
      </c>
    </row>
    <row r="28136">
      <c r="A28136" s="4" t="s">
        <v>35426</v>
      </c>
      <c r="B28136" s="4" t="s">
        <v>35427</v>
      </c>
      <c r="C28136" s="5" t="str">
        <f>IFERROR(__xludf.DUMMYFUNCTION("GOOGLETRANSLATE(B28136,""en"",""es-ES"")"),"Una niña corre con un palo empujando y objeto, jugando y divirtiéndose mucho.")</f>
        <v>Una niña corre con un palo empujando y objeto, jugando y divirtiéndose mucho.</v>
      </c>
    </row>
    <row r="28137">
      <c r="A28137" s="4" t="s">
        <v>35426</v>
      </c>
      <c r="B28137" s="4" t="s">
        <v>35428</v>
      </c>
      <c r="C28137" s="5" t="str">
        <f>IFERROR(__xludf.DUMMYFUNCTION("GOOGLETRANSLATE(B28137,""en"",""es-ES"")"),"La niña avanza jugando durante unos 10 metros y luego vuelve a correr.")</f>
        <v>La niña avanza jugando durante unos 10 metros y luego vuelve a correr.</v>
      </c>
    </row>
    <row r="28138">
      <c r="A28138" s="4" t="s">
        <v>35426</v>
      </c>
      <c r="B28138" s="4" t="s">
        <v>35429</v>
      </c>
      <c r="C28138" s="5" t="str">
        <f>IFERROR(__xludf.DUMMYFUNCTION("GOOGLETRANSLATE(B28138,""en"",""es-ES"")"),"Toca una placa roja y la coloca y luego corre hacia el otro lado.")</f>
        <v>Toca una placa roja y la coloca y luego corre hacia el otro lado.</v>
      </c>
    </row>
    <row r="28139">
      <c r="A28139" s="4" t="s">
        <v>35430</v>
      </c>
      <c r="B28139" s="4" t="s">
        <v>35431</v>
      </c>
      <c r="C28139" s="5" t="str">
        <f>IFERROR(__xludf.DUMMYFUNCTION("GOOGLETRANSLATE(B28139,""en"",""es-ES"")"),"Un hombre tiene una cachimba en la boca y está inhalando humo por un tiempo.")</f>
        <v>Un hombre tiene una cachimba en la boca y está inhalando humo por un tiempo.</v>
      </c>
    </row>
    <row r="28140">
      <c r="A28140" s="4" t="s">
        <v>35430</v>
      </c>
      <c r="B28140" s="4" t="s">
        <v>35432</v>
      </c>
      <c r="C28140" s="5" t="str">
        <f>IFERROR(__xludf.DUMMYFUNCTION("GOOGLETRANSLATE(B28140,""en"",""es-ES"")"),"Se saca la narguile de su boca y exhala soltando un montón de humo.")</f>
        <v>Se saca la narguile de su boca y exhala soltando un montón de humo.</v>
      </c>
    </row>
    <row r="28141">
      <c r="A28141" s="4" t="s">
        <v>35430</v>
      </c>
      <c r="B28141" s="4" t="s">
        <v>35433</v>
      </c>
      <c r="C28141" s="5" t="str">
        <f>IFERROR(__xludf.DUMMYFUNCTION("GOOGLETRANSLATE(B28141,""en"",""es-ES"")"),"Creo que está tratando de hacer O's con el humo, pero no sabe cómo.")</f>
        <v>Creo que está tratando de hacer O's con el humo, pero no sabe cómo.</v>
      </c>
    </row>
    <row r="28142">
      <c r="A28142" s="4" t="s">
        <v>35430</v>
      </c>
      <c r="B28142" s="4" t="s">
        <v>35434</v>
      </c>
      <c r="C28142" s="5" t="str">
        <f>IFERROR(__xludf.DUMMYFUNCTION("GOOGLETRANSLATE(B28142,""en"",""es-ES"")"),"Sigue inhalando y continúa tratando de desahogar el humo.")</f>
        <v>Sigue inhalando y continúa tratando de desahogar el humo.</v>
      </c>
    </row>
    <row r="28143">
      <c r="A28143" s="4" t="s">
        <v>35435</v>
      </c>
      <c r="B28143" s="4" t="s">
        <v>35436</v>
      </c>
      <c r="C28143" s="5" t="str">
        <f>IFERROR(__xludf.DUMMYFUNCTION("GOOGLETRANSLATE(B28143,""en"",""es-ES"")"),"Se ve a un gimnasio empujándose hacia un conjunto de barras desiguales mientras varias otras personas miran al margen y actúan.")</f>
        <v>Se ve a un gimnasio empujándose hacia un conjunto de barras desiguales mientras varias otras personas miran al margen y actúan.</v>
      </c>
    </row>
    <row r="28144">
      <c r="A28144" s="4" t="s">
        <v>35435</v>
      </c>
      <c r="B28144" s="4" t="s">
        <v>35437</v>
      </c>
      <c r="C28144" s="5" t="str">
        <f>IFERROR(__xludf.DUMMYFUNCTION("GOOGLETRANSLATE(B28144,""en"",""es-ES"")"),"Varios hombres mayores, el hombre, se encuentra con el marco para ver a la gimnasta en la espalda mientras el hombre en los bares continúa su rutina.")</f>
        <v>Varios hombres mayores, el hombre, se encuentra con el marco para ver a la gimnasta en la espalda mientras el hombre en los bares continúa su rutina.</v>
      </c>
    </row>
    <row r="28145">
      <c r="A28145" s="4" t="s">
        <v>35435</v>
      </c>
      <c r="B28145" s="4" t="s">
        <v>35438</v>
      </c>
      <c r="C28145" s="5" t="str">
        <f>IFERROR(__xludf.DUMMYFUNCTION("GOOGLETRANSLATE(B28145,""en"",""es-ES"")"),"El atleta hace un volteo de espalda y termina su rutina, mientras que varios otros se encuentran con el marco.")</f>
        <v>El atleta hace un volteo de espalda y termina su rutina, mientras que varios otros se encuentran con el marco.</v>
      </c>
    </row>
    <row r="28146">
      <c r="A28146" s="4" t="s">
        <v>35439</v>
      </c>
      <c r="B28146" s="4" t="s">
        <v>35440</v>
      </c>
      <c r="C28146" s="5" t="str">
        <f>IFERROR(__xludf.DUMMYFUNCTION("GOOGLETRANSLATE(B28146,""en"",""es-ES"")"),"Una mujer que lleva una bufanda de cabeza está sentada, hablando con la cámara.")</f>
        <v>Una mujer que lleva una bufanda de cabeza está sentada, hablando con la cámara.</v>
      </c>
    </row>
    <row r="28147">
      <c r="A28147" s="4" t="s">
        <v>35439</v>
      </c>
      <c r="B28147" s="4" t="s">
        <v>35441</v>
      </c>
      <c r="C28147" s="5" t="str">
        <f>IFERROR(__xludf.DUMMYFUNCTION("GOOGLETRANSLATE(B28147,""en"",""es-ES"")"),"Ella saca los rodillos de su cabello, uno a la vez.")</f>
        <v>Ella saca los rodillos de su cabello, uno a la vez.</v>
      </c>
    </row>
    <row r="28148">
      <c r="A28148" s="4" t="s">
        <v>35439</v>
      </c>
      <c r="B28148" s="4" t="s">
        <v>35442</v>
      </c>
      <c r="C28148" s="5" t="str">
        <f>IFERROR(__xludf.DUMMYFUNCTION("GOOGLETRANSLATE(B28148,""en"",""es-ES"")"),"Luego le estiliza el cabello y lo muestra a la cámara.")</f>
        <v>Luego le estiliza el cabello y lo muestra a la cámara.</v>
      </c>
    </row>
    <row r="28149">
      <c r="A28149" s="4" t="s">
        <v>35443</v>
      </c>
      <c r="B28149" s="4" t="s">
        <v>35444</v>
      </c>
      <c r="C28149" s="5" t="str">
        <f>IFERROR(__xludf.DUMMYFUNCTION("GOOGLETRANSLATE(B28149,""en"",""es-ES"")"),"Se muestra un portero guardando varias pelotas y siendo entrevistado por un periodista.")</f>
        <v>Se muestra un portero guardando varias pelotas y siendo entrevistado por un periodista.</v>
      </c>
    </row>
    <row r="28150">
      <c r="A28150" s="4" t="s">
        <v>35443</v>
      </c>
      <c r="B28150" s="4" t="s">
        <v>35445</v>
      </c>
      <c r="C28150" s="5" t="str">
        <f>IFERROR(__xludf.DUMMYFUNCTION("GOOGLETRANSLATE(B28150,""en"",""es-ES"")"),"Se muestran muchos disparos de niños que juegan fútbol y son entrevistados y lideran al entrenador que es entrevistado.")</f>
        <v>Se muestran muchos disparos de niños que juegan fútbol y son entrevistados y lideran al entrenador que es entrevistado.</v>
      </c>
    </row>
    <row r="28151">
      <c r="A28151" s="4" t="s">
        <v>35443</v>
      </c>
      <c r="B28151" s="4" t="s">
        <v>35446</v>
      </c>
      <c r="C28151" s="5" t="str">
        <f>IFERROR(__xludf.DUMMYFUNCTION("GOOGLETRANSLATE(B28151,""en"",""es-ES"")"),"Muchas personas disfrutan viendo el juego y terminan con más jugadores entrevistados.")</f>
        <v>Muchas personas disfrutan viendo el juego y terminan con más jugadores entrevistados.</v>
      </c>
    </row>
    <row r="28152">
      <c r="A28152" s="4" t="s">
        <v>35447</v>
      </c>
      <c r="B28152" s="4" t="s">
        <v>35448</v>
      </c>
      <c r="C28152" s="5" t="str">
        <f>IFERROR(__xludf.DUMMYFUNCTION("GOOGLETRANSLATE(B28152,""en"",""es-ES"")"),"El hombre está de pie en la cocina.")</f>
        <v>El hombre está de pie en la cocina.</v>
      </c>
    </row>
    <row r="28153">
      <c r="A28153" s="4" t="s">
        <v>35447</v>
      </c>
      <c r="B28153" s="4" t="s">
        <v>35449</v>
      </c>
      <c r="C28153" s="5" t="str">
        <f>IFERROR(__xludf.DUMMYFUNCTION("GOOGLETRANSLATE(B28153,""en"",""es-ES"")"),"Agarra una pinza y un tazón de metal plateado con verduras.")</f>
        <v>Agarra una pinza y un tazón de metal plateado con verduras.</v>
      </c>
    </row>
    <row r="28154">
      <c r="A28154" s="4" t="s">
        <v>35447</v>
      </c>
      <c r="B28154" s="4" t="s">
        <v>35450</v>
      </c>
      <c r="C28154" s="5" t="str">
        <f>IFERROR(__xludf.DUMMYFUNCTION("GOOGLETRANSLATE(B28154,""en"",""es-ES"")"),"Los ingredientes en el mostrador están en contenedores blancos.")</f>
        <v>Los ingredientes en el mostrador están en contenedores blancos.</v>
      </c>
    </row>
    <row r="28155">
      <c r="A28155" s="4" t="s">
        <v>35447</v>
      </c>
      <c r="B28155" s="4" t="s">
        <v>35451</v>
      </c>
      <c r="C28155" s="5" t="str">
        <f>IFERROR(__xludf.DUMMYFUNCTION("GOOGLETRANSLATE(B28155,""en"",""es-ES"")"),"El chef sostiene un pequeño trozo de nuez.")</f>
        <v>El chef sostiene un pequeño trozo de nuez.</v>
      </c>
    </row>
    <row r="28156">
      <c r="A28156" s="4" t="s">
        <v>35452</v>
      </c>
      <c r="B28156" s="4" t="s">
        <v>35453</v>
      </c>
      <c r="C28156" s="5" t="str">
        <f>IFERROR(__xludf.DUMMYFUNCTION("GOOGLETRANSLATE(B28156,""en"",""es-ES"")"),"La cámara se adhiere a un jugador de voleibol mientras ella juega un juego con otros.")</f>
        <v>La cámara se adhiere a un jugador de voleibol mientras ella juega un juego con otros.</v>
      </c>
    </row>
    <row r="28157">
      <c r="A28157" s="4" t="s">
        <v>35452</v>
      </c>
      <c r="B28157" s="4" t="s">
        <v>35454</v>
      </c>
      <c r="C28157" s="5" t="str">
        <f>IFERROR(__xludf.DUMMYFUNCTION("GOOGLETRANSLATE(B28157,""en"",""es-ES"")"),"La cámara se detiene de vez en cuando para capturar sus movimientos y sartenes alrededor de las otras personas jugando.")</f>
        <v>La cámara se detiene de vez en cuando para capturar sus movimientos y sartenes alrededor de las otras personas jugando.</v>
      </c>
    </row>
    <row r="28158">
      <c r="A28158" s="4" t="s">
        <v>35455</v>
      </c>
      <c r="B28158" s="4" t="s">
        <v>35456</v>
      </c>
      <c r="C28158" s="5" t="str">
        <f>IFERROR(__xludf.DUMMYFUNCTION("GOOGLETRANSLATE(B28158,""en"",""es-ES"")"),"Un anfitrión habla con la cámara con varios músicos sentados detrás de él y conduce a varias tomas de paisajes.")</f>
        <v>Un anfitrión habla con la cámara con varios músicos sentados detrás de él y conduce a varias tomas de paisajes.</v>
      </c>
    </row>
    <row r="28159">
      <c r="A28159" s="4" t="s">
        <v>35455</v>
      </c>
      <c r="B28159" s="4" t="s">
        <v>35457</v>
      </c>
      <c r="C28159" s="5" t="str">
        <f>IFERROR(__xludf.DUMMYFUNCTION("GOOGLETRANSLATE(B28159,""en"",""es-ES"")"),"El mismo hombre habla con la cámara y se muestra cabalgando en una tabla de surf con varios otros surfistas.")</f>
        <v>El mismo hombre habla con la cámara y se muestra cabalgando en una tabla de surf con varios otros surfistas.</v>
      </c>
    </row>
    <row r="28160">
      <c r="A28160" s="4" t="s">
        <v>35455</v>
      </c>
      <c r="B28160" s="4" t="s">
        <v>35458</v>
      </c>
      <c r="C28160" s="5" t="str">
        <f>IFERROR(__xludf.DUMMYFUNCTION("GOOGLETRANSLATE(B28160,""en"",""es-ES"")"),"El hombre es visto una vez más en el estudio y es entrevistado por una mujer y otro hombre.")</f>
        <v>El hombre es visto una vez más en el estudio y es entrevistado por una mujer y otro hombre.</v>
      </c>
    </row>
    <row r="28161">
      <c r="A28161" s="4" t="s">
        <v>35459</v>
      </c>
      <c r="B28161" s="4" t="s">
        <v>35460</v>
      </c>
      <c r="C28161" s="5" t="str">
        <f>IFERROR(__xludf.DUMMYFUNCTION("GOOGLETRANSLATE(B28161,""en"",""es-ES"")"),"Una mujer está de pie y hablando con la cámara, mientras señalaba al caballo a su lado.")</f>
        <v>Una mujer está de pie y hablando con la cámara, mientras señalaba al caballo a su lado.</v>
      </c>
    </row>
    <row r="28162">
      <c r="A28162" s="4" t="s">
        <v>35459</v>
      </c>
      <c r="B28162" s="4" t="s">
        <v>35461</v>
      </c>
      <c r="C28162" s="5" t="str">
        <f>IFERROR(__xludf.DUMMYFUNCTION("GOOGLETRANSLATE(B28162,""en"",""es-ES"")"),"Una mujer de amarillo está sentada en el caballo, el caballo caminó alrededor de la rampa.")</f>
        <v>Una mujer de amarillo está sentada en el caballo, el caballo caminó alrededor de la rampa.</v>
      </c>
    </row>
    <row r="28163">
      <c r="A28163" s="4" t="s">
        <v>35459</v>
      </c>
      <c r="B28163" s="4" t="s">
        <v>35462</v>
      </c>
      <c r="C28163" s="5" t="str">
        <f>IFERROR(__xludf.DUMMYFUNCTION("GOOGLETRANSLATE(B28163,""en"",""es-ES"")"),"El caballo comenzó a correr en círculos mientras la mujer mayor está mirando.")</f>
        <v>El caballo comenzó a correr en círculos mientras la mujer mayor está mirando.</v>
      </c>
    </row>
    <row r="28164">
      <c r="A28164" s="4" t="s">
        <v>35463</v>
      </c>
      <c r="B28164" s="4" t="s">
        <v>35464</v>
      </c>
      <c r="C28164" s="5" t="str">
        <f>IFERROR(__xludf.DUMMYFUNCTION("GOOGLETRANSLATE(B28164,""en"",""es-ES"")"),"Se ve a un hombre hablando con la cámara y lo lleva a sostener un conjunto de herramientas y presentarlas a la cámara.")</f>
        <v>Se ve a un hombre hablando con la cámara y lo lleva a sostener un conjunto de herramientas y presentarlas a la cámara.</v>
      </c>
    </row>
    <row r="28165">
      <c r="A28165" s="4" t="s">
        <v>35463</v>
      </c>
      <c r="B28165" s="4" t="s">
        <v>35465</v>
      </c>
      <c r="C28165" s="5" t="str">
        <f>IFERROR(__xludf.DUMMYFUNCTION("GOOGLETRANSLATE(B28165,""en"",""es-ES"")"),"Luego usa las herramientas en arbustos cercanos mientras sigue mirando a la cámara para hablar.")</f>
        <v>Luego usa las herramientas en arbustos cercanos mientras sigue mirando a la cámara para hablar.</v>
      </c>
    </row>
    <row r="28166">
      <c r="A28166" s="4" t="s">
        <v>35466</v>
      </c>
      <c r="B28166" s="4" t="s">
        <v>35467</v>
      </c>
      <c r="C28166" s="5" t="str">
        <f>IFERROR(__xludf.DUMMYFUNCTION("GOOGLETRANSLATE(B28166,""en"",""es-ES"")"),"Un hombre está corriendo por una pista en cámara lenta haciendo varios saltos y aterrizando en un pozo.")</f>
        <v>Un hombre está corriendo por una pista en cámara lenta haciendo varios saltos y aterrizando en un pozo.</v>
      </c>
    </row>
    <row r="28167">
      <c r="A28167" s="4" t="s">
        <v>35466</v>
      </c>
      <c r="B28167" s="4" t="s">
        <v>35468</v>
      </c>
      <c r="C28167" s="5" t="str">
        <f>IFERROR(__xludf.DUMMYFUNCTION("GOOGLETRANSLATE(B28167,""en"",""es-ES"")"),"El mismo hombre se muestra varias veces a través de varios clips en cámara lenta realizando el salto de longitud en un campo de pista.")</f>
        <v>El mismo hombre se muestra varias veces a través de varios clips en cámara lenta realizando el salto de longitud en un campo de pista.</v>
      </c>
    </row>
    <row r="28168">
      <c r="A28168" s="4" t="s">
        <v>35469</v>
      </c>
      <c r="B28168" s="4" t="s">
        <v>35470</v>
      </c>
      <c r="C28168" s="5" t="str">
        <f>IFERROR(__xludf.DUMMYFUNCTION("GOOGLETRANSLATE(B28168,""en"",""es-ES"")"),"Se ve a un hombre moviéndose en cámara lenta mientras la cámara lo captura desde varios ángulos.")</f>
        <v>Se ve a un hombre moviéndose en cámara lenta mientras la cámara lo captura desde varios ángulos.</v>
      </c>
    </row>
    <row r="28169">
      <c r="A28169" s="4" t="s">
        <v>35469</v>
      </c>
      <c r="B28169" s="4" t="s">
        <v>35471</v>
      </c>
      <c r="C28169" s="5" t="str">
        <f>IFERROR(__xludf.DUMMYFUNCTION("GOOGLETRANSLATE(B28169,""en"",""es-ES"")"),"Luego se ve un par de tijeras y un peine de cerca y conduce a una persona que corta el cabello del hombre.")</f>
        <v>Luego se ve un par de tijeras y un peine de cerca y conduce a una persona que corta el cabello del hombre.</v>
      </c>
    </row>
    <row r="28170">
      <c r="A28170" s="4" t="s">
        <v>35469</v>
      </c>
      <c r="B28170" s="4" t="s">
        <v>35472</v>
      </c>
      <c r="C28170" s="5" t="str">
        <f>IFERROR(__xludf.DUMMYFUNCTION("GOOGLETRANSLATE(B28170,""en"",""es-ES"")"),"Finalmente se seca el cabello del hombre y se muestra una vez más sonriendo y riendo a la cámara.")</f>
        <v>Finalmente se seca el cabello del hombre y se muestra una vez más sonriendo y riendo a la cámara.</v>
      </c>
    </row>
    <row r="28171">
      <c r="A28171" s="4" t="s">
        <v>35473</v>
      </c>
      <c r="B28171" s="4" t="s">
        <v>35474</v>
      </c>
      <c r="C28171" s="5" t="str">
        <f>IFERROR(__xludf.DUMMYFUNCTION("GOOGLETRANSLATE(B28171,""en"",""es-ES"")"),"Las mujeres están en un gran campo verde jugando.")</f>
        <v>Las mujeres están en un gran campo verde jugando.</v>
      </c>
    </row>
    <row r="28172">
      <c r="A28172" s="4" t="s">
        <v>35473</v>
      </c>
      <c r="B28172" s="4" t="s">
        <v>35475</v>
      </c>
      <c r="C28172" s="5" t="str">
        <f>IFERROR(__xludf.DUMMYFUNCTION("GOOGLETRANSLATE(B28172,""en"",""es-ES"")"),"La mujer está en una pequeña cancha verde que practica tiros de lanzamiento.")</f>
        <v>La mujer está en una pequeña cancha verde que practica tiros de lanzamiento.</v>
      </c>
    </row>
    <row r="28173">
      <c r="A28173" s="4" t="s">
        <v>35476</v>
      </c>
      <c r="B28173" s="4" t="s">
        <v>35477</v>
      </c>
      <c r="C28173" s="5" t="str">
        <f>IFERROR(__xludf.DUMMYFUNCTION("GOOGLETRANSLATE(B28173,""en"",""es-ES"")"),"La persona está mirando sus manos con jabón en un lavado de manos, ponga algo de solución en las macetas, mantiene un contacto visual con el dedo índice y con las otras manos abre el ojo y pone el contacto en su ojo, agarra el otro contacto y con el otro "&amp;"Las manos abren el anuncio del ojo, lo ponen en el ojo.")</f>
        <v>La persona está mirando sus manos con jabón en un lavado de manos, ponga algo de solución en las macetas, mantiene un contacto visual con el dedo índice y con las otras manos abre el ojo y pone el contacto en su ojo, agarra el otro contacto y con el otro Las manos abren el anuncio del ojo, lo ponen en el ojo.</v>
      </c>
    </row>
    <row r="28174">
      <c r="A28174" s="4" t="s">
        <v>35476</v>
      </c>
      <c r="B28174" s="4" t="s">
        <v>35478</v>
      </c>
      <c r="C28174" s="5" t="str">
        <f>IFERROR(__xludf.DUMMYFUNCTION("GOOGLETRANSLATE(B28174,""en"",""es-ES"")"),"Ahora la persona se lave las manos y abre el ojo y con los dedos agarra el contacto del ojo y lo pone en una olla, luego hace lo mismo con el otro ojo, abre el ojo y agarra el contacto del ojo y lo ponga. en la olla.")</f>
        <v>Ahora la persona se lave las manos y abre el ojo y con los dedos agarra el contacto del ojo y lo pone en una olla, luego hace lo mismo con el otro ojo, abre el ojo y agarra el contacto del ojo y lo ponga. en la olla.</v>
      </c>
    </row>
    <row r="28175">
      <c r="A28175" s="4" t="s">
        <v>35479</v>
      </c>
      <c r="B28175" s="4" t="s">
        <v>35480</v>
      </c>
      <c r="C28175" s="5" t="str">
        <f>IFERROR(__xludf.DUMMYFUNCTION("GOOGLETRANSLATE(B28175,""en"",""es-ES"")"),"Una persona se deja de un avión.")</f>
        <v>Una persona se deja de un avión.</v>
      </c>
    </row>
    <row r="28176">
      <c r="A28176" s="4" t="s">
        <v>35479</v>
      </c>
      <c r="B28176" s="4" t="s">
        <v>35481</v>
      </c>
      <c r="C28176" s="5" t="str">
        <f>IFERROR(__xludf.DUMMYFUNCTION("GOOGLETRANSLATE(B28176,""en"",""es-ES"")"),"Una persona está rodando por una ciudad y saliendo con amigos.")</f>
        <v>Una persona está rodando por una ciudad y saliendo con amigos.</v>
      </c>
    </row>
    <row r="28177">
      <c r="A28177" s="4" t="s">
        <v>35479</v>
      </c>
      <c r="B28177" s="4" t="s">
        <v>35482</v>
      </c>
      <c r="C28177" s="5" t="str">
        <f>IFERROR(__xludf.DUMMYFUNCTION("GOOGLETRANSLATE(B28177,""en"",""es-ES"")"),"Esto sucede en muchos lugares diferentes, pero básicamente es lo mismo.")</f>
        <v>Esto sucede en muchos lugares diferentes, pero básicamente es lo mismo.</v>
      </c>
    </row>
    <row r="28178">
      <c r="A28178" s="4" t="s">
        <v>35483</v>
      </c>
      <c r="B28178" s="4" t="s">
        <v>35484</v>
      </c>
      <c r="C28178" s="5" t="str">
        <f>IFERROR(__xludf.DUMMYFUNCTION("GOOGLETRANSLATE(B28178,""en"",""es-ES"")"),"Un hombre se muestra contra un fondo blanco.")</f>
        <v>Un hombre se muestra contra un fondo blanco.</v>
      </c>
    </row>
    <row r="28179">
      <c r="A28179" s="4" t="s">
        <v>35483</v>
      </c>
      <c r="B28179" s="4" t="s">
        <v>35485</v>
      </c>
      <c r="C28179" s="5" t="str">
        <f>IFERROR(__xludf.DUMMYFUNCTION("GOOGLETRANSLATE(B28179,""en"",""es-ES"")"),"Él está tocando una guitarra con las manos.")</f>
        <v>Él está tocando una guitarra con las manos.</v>
      </c>
    </row>
    <row r="28180">
      <c r="A28180" s="4" t="s">
        <v>35483</v>
      </c>
      <c r="B28180" s="4" t="s">
        <v>35486</v>
      </c>
      <c r="C28180" s="5" t="str">
        <f>IFERROR(__xludf.DUMMYFUNCTION("GOOGLETRANSLATE(B28180,""en"",""es-ES"")"),"Los acordes y las palabras aparecen en la parte inferior de la pantalla mientras juega.")</f>
        <v>Los acordes y las palabras aparecen en la parte inferior de la pantalla mientras juega.</v>
      </c>
    </row>
    <row r="28181">
      <c r="A28181" s="4" t="s">
        <v>35487</v>
      </c>
      <c r="B28181" s="4" t="s">
        <v>35488</v>
      </c>
      <c r="C28181" s="5" t="str">
        <f>IFERROR(__xludf.DUMMYFUNCTION("GOOGLETRANSLATE(B28181,""en"",""es-ES"")"),"Nosotros, una pantalla de apertura para un producto.")</f>
        <v>Nosotros, una pantalla de apertura para un producto.</v>
      </c>
    </row>
    <row r="28182">
      <c r="A28182" s="4" t="s">
        <v>35487</v>
      </c>
      <c r="B28182" s="4" t="s">
        <v>35489</v>
      </c>
      <c r="C28182" s="5" t="str">
        <f>IFERROR(__xludf.DUMMYFUNCTION("GOOGLETRANSLATE(B28182,""en"",""es-ES"")"),"Vemos a una persona paleando su acera.")</f>
        <v>Vemos a una persona paleando su acera.</v>
      </c>
    </row>
    <row r="28183">
      <c r="A28183" s="4" t="s">
        <v>35487</v>
      </c>
      <c r="B28183" s="4" t="s">
        <v>35490</v>
      </c>
      <c r="C28183" s="5" t="str">
        <f>IFERROR(__xludf.DUMMYFUNCTION("GOOGLETRANSLATE(B28183,""en"",""es-ES"")"),"El hombre llega a la casa y se da vuelta para terminar el otro lado de la pasarela.")</f>
        <v>El hombre llega a la casa y se da vuelta para terminar el otro lado de la pasarela.</v>
      </c>
    </row>
    <row r="28184">
      <c r="A28184" s="4" t="s">
        <v>35487</v>
      </c>
      <c r="B28184" s="4" t="s">
        <v>35491</v>
      </c>
      <c r="C28184" s="5" t="str">
        <f>IFERROR(__xludf.DUMMYFUNCTION("GOOGLETRANSLATE(B28184,""en"",""es-ES"")"),"Vemos a una persona rociando un artículo en su acera.")</f>
        <v>Vemos a una persona rociando un artículo en su acera.</v>
      </c>
    </row>
    <row r="28185">
      <c r="A28185" s="4" t="s">
        <v>35487</v>
      </c>
      <c r="B28185" s="4" t="s">
        <v>35492</v>
      </c>
      <c r="C28185" s="5" t="str">
        <f>IFERROR(__xludf.DUMMYFUNCTION("GOOGLETRANSLATE(B28185,""en"",""es-ES"")"),"Luego vemos dos pantallas de cierre.")</f>
        <v>Luego vemos dos pantallas de cierre.</v>
      </c>
    </row>
    <row r="28186">
      <c r="A28186" s="4" t="s">
        <v>35493</v>
      </c>
      <c r="B28186" s="4" t="s">
        <v>35494</v>
      </c>
      <c r="C28186" s="5" t="str">
        <f>IFERROR(__xludf.DUMMYFUNCTION("GOOGLETRANSLATE(B28186,""en"",""es-ES"")"),"Un hombre se dedica a una competencia de piscinas.")</f>
        <v>Un hombre se dedica a una competencia de piscinas.</v>
      </c>
    </row>
    <row r="28187">
      <c r="A28187" s="4" t="s">
        <v>35493</v>
      </c>
      <c r="B28187" s="4" t="s">
        <v>35495</v>
      </c>
      <c r="C28187" s="5" t="str">
        <f>IFERROR(__xludf.DUMMYFUNCTION("GOOGLETRANSLATE(B28187,""en"",""es-ES"")"),"Él dispara el palo en las bolas, haciéndolas ir a los bolsillos de la esquina.")</f>
        <v>Él dispara el palo en las bolas, haciéndolas ir a los bolsillos de la esquina.</v>
      </c>
    </row>
    <row r="28188">
      <c r="A28188" s="4" t="s">
        <v>35493</v>
      </c>
      <c r="B28188" s="4" t="s">
        <v>35496</v>
      </c>
      <c r="C28188" s="5" t="str">
        <f>IFERROR(__xludf.DUMMYFUNCTION("GOOGLETRANSLATE(B28188,""en"",""es-ES"")"),"Cuando gana, choca con otro hombre.")</f>
        <v>Cuando gana, choca con otro hombre.</v>
      </c>
    </row>
    <row r="28189">
      <c r="A28189" s="4" t="s">
        <v>35497</v>
      </c>
      <c r="B28189" s="4" t="s">
        <v>35498</v>
      </c>
      <c r="C28189" s="5" t="str">
        <f>IFERROR(__xludf.DUMMYFUNCTION("GOOGLETRANSLATE(B28189,""en"",""es-ES"")"),"Hay alrededor de cinco o seis niños que rebotan y saltan en una casa hinchada cerrada con baloncesto en sus manos.")</f>
        <v>Hay alrededor de cinco o seis niños que rebotan y saltan en una casa hinchada cerrada con baloncesto en sus manos.</v>
      </c>
    </row>
    <row r="28190">
      <c r="A28190" s="4" t="s">
        <v>35497</v>
      </c>
      <c r="B28190" s="4" t="s">
        <v>35499</v>
      </c>
      <c r="C28190" s="5" t="str">
        <f>IFERROR(__xludf.DUMMYFUNCTION("GOOGLETRANSLATE(B28190,""en"",""es-ES"")"),"El entrenador los guía soplando el silbato mientras los niños continúan rebotando y saltando.")</f>
        <v>El entrenador los guía soplando el silbato mientras los niños continúan rebotando y saltando.</v>
      </c>
    </row>
    <row r="28191">
      <c r="A28191" s="4" t="s">
        <v>35497</v>
      </c>
      <c r="B28191" s="4" t="s">
        <v>35500</v>
      </c>
      <c r="C28191" s="5" t="str">
        <f>IFERROR(__xludf.DUMMYFUNCTION("GOOGLETRANSLATE(B28191,""en"",""es-ES"")"),"Se turnan para lanzar las bolas de naranja según las instrucciones de su entrenador.")</f>
        <v>Se turnan para lanzar las bolas de naranja según las instrucciones de su entrenador.</v>
      </c>
    </row>
    <row r="28192">
      <c r="A28192" s="4" t="s">
        <v>35501</v>
      </c>
      <c r="B28192" s="4" t="s">
        <v>35502</v>
      </c>
      <c r="C28192" s="5" t="str">
        <f>IFERROR(__xludf.DUMMYFUNCTION("GOOGLETRANSLATE(B28192,""en"",""es-ES"")"),"La gente está jugando tira y afloja en un campo.")</f>
        <v>La gente está jugando tira y afloja en un campo.</v>
      </c>
    </row>
    <row r="28193">
      <c r="A28193" s="4" t="s">
        <v>35501</v>
      </c>
      <c r="B28193" s="4" t="s">
        <v>35503</v>
      </c>
      <c r="C28193" s="5" t="str">
        <f>IFERROR(__xludf.DUMMYFUNCTION("GOOGLETRANSLATE(B28193,""en"",""es-ES"")"),"La gente cae en un montón de agua fangosa.")</f>
        <v>La gente cae en un montón de agua fangosa.</v>
      </c>
    </row>
    <row r="28194">
      <c r="A28194" s="4" t="s">
        <v>35501</v>
      </c>
      <c r="B28194" s="4" t="s">
        <v>35504</v>
      </c>
      <c r="C28194" s="5" t="str">
        <f>IFERROR(__xludf.DUMMYFUNCTION("GOOGLETRANSLATE(B28194,""en"",""es-ES"")"),"La gente está de pie junto a ellos mirando.")</f>
        <v>La gente está de pie junto a ellos mirando.</v>
      </c>
    </row>
    <row r="28195">
      <c r="A28195" s="4" t="s">
        <v>35505</v>
      </c>
      <c r="B28195" s="4" t="s">
        <v>35506</v>
      </c>
      <c r="C28195" s="5" t="str">
        <f>IFERROR(__xludf.DUMMYFUNCTION("GOOGLETRANSLATE(B28195,""en"",""es-ES"")"),"La mujer muestra las esteras cuadradas y apunta a los diferentes materiales y características.")</f>
        <v>La mujer muestra las esteras cuadradas y apunta a los diferentes materiales y características.</v>
      </c>
    </row>
    <row r="28196">
      <c r="A28196" s="4" t="s">
        <v>35505</v>
      </c>
      <c r="B28196" s="4" t="s">
        <v>35507</v>
      </c>
      <c r="C28196" s="5" t="str">
        <f>IFERROR(__xludf.DUMMYFUNCTION("GOOGLETRANSLATE(B28196,""en"",""es-ES"")"),"La mujer barre el piso para prepararse para un proyecto.")</f>
        <v>La mujer barre el piso para prepararse para un proyecto.</v>
      </c>
    </row>
    <row r="28197">
      <c r="A28197" s="4" t="s">
        <v>35505</v>
      </c>
      <c r="B28197" s="4" t="s">
        <v>35508</v>
      </c>
      <c r="C28197" s="5" t="str">
        <f>IFERROR(__xludf.DUMMYFUNCTION("GOOGLETRANSLATE(B28197,""en"",""es-ES"")"),"La mujer usa una línea de tiza y luego cinta adhesiva para marcar el piso.")</f>
        <v>La mujer usa una línea de tiza y luego cinta adhesiva para marcar el piso.</v>
      </c>
    </row>
    <row r="28198">
      <c r="A28198" s="4" t="s">
        <v>35505</v>
      </c>
      <c r="B28198" s="4" t="s">
        <v>35509</v>
      </c>
      <c r="C28198" s="5" t="str">
        <f>IFERROR(__xludf.DUMMYFUNCTION("GOOGLETRANSLATE(B28198,""en"",""es-ES"")"),"La mujer se coloca en las piezas de alfombra cuadradas en su lugar para cubrir el piso.")</f>
        <v>La mujer se coloca en las piezas de alfombra cuadradas en su lugar para cubrir el piso.</v>
      </c>
    </row>
    <row r="28199">
      <c r="A28199" s="4" t="s">
        <v>35505</v>
      </c>
      <c r="B28199" s="4" t="s">
        <v>35510</v>
      </c>
      <c r="C28199" s="5" t="str">
        <f>IFERROR(__xludf.DUMMYFUNCTION("GOOGLETRANSLATE(B28199,""en"",""es-ES"")"),"La mujer muestra el piso terminado.")</f>
        <v>La mujer muestra el piso terminado.</v>
      </c>
    </row>
    <row r="28200">
      <c r="A28200" s="4" t="s">
        <v>35511</v>
      </c>
      <c r="B28200" s="4" t="s">
        <v>35512</v>
      </c>
      <c r="C28200" s="5" t="str">
        <f>IFERROR(__xludf.DUMMYFUNCTION("GOOGLETRANSLATE(B28200,""en"",""es-ES"")"),"Agarra el largo poste y comienza a caminar con él al otro lado del campo.")</f>
        <v>Agarra el largo poste y comienza a caminar con él al otro lado del campo.</v>
      </c>
    </row>
    <row r="28201">
      <c r="A28201" s="4" t="s">
        <v>35511</v>
      </c>
      <c r="B28201" s="4" t="s">
        <v>35513</v>
      </c>
      <c r="C28201" s="5" t="str">
        <f>IFERROR(__xludf.DUMMYFUNCTION("GOOGLETRANSLATE(B28201,""en"",""es-ES"")"),"Luego se posiciona y hace un salto y aterriza.")</f>
        <v>Luego se posiciona y hace un salto y aterriza.</v>
      </c>
    </row>
    <row r="28202">
      <c r="A28202" s="4" t="s">
        <v>35511</v>
      </c>
      <c r="B28202" s="4" t="s">
        <v>35514</v>
      </c>
      <c r="C28202" s="5" t="str">
        <f>IFERROR(__xludf.DUMMYFUNCTION("GOOGLETRANSLATE(B28202,""en"",""es-ES"")"),"Todos los demás comienzan a tomar sus turnos y comienzan a correr y saltar también.")</f>
        <v>Todos los demás comienzan a tomar sus turnos y comienzan a correr y saltar también.</v>
      </c>
    </row>
    <row r="28203">
      <c r="A28203" s="4" t="s">
        <v>35511</v>
      </c>
      <c r="B28203" s="4" t="s">
        <v>35515</v>
      </c>
      <c r="C28203" s="5" t="str">
        <f>IFERROR(__xludf.DUMMYFUNCTION("GOOGLETRANSLATE(B28203,""en"",""es-ES"")"),"Practican por un tiempo y lo hacen por unas pocas veces más.")</f>
        <v>Practican por un tiempo y lo hacen por unas pocas veces más.</v>
      </c>
    </row>
    <row r="28204">
      <c r="A28204" s="4" t="s">
        <v>35516</v>
      </c>
      <c r="B28204" s="4" t="s">
        <v>35517</v>
      </c>
      <c r="C28204" s="5" t="str">
        <f>IFERROR(__xludf.DUMMYFUNCTION("GOOGLETRANSLATE(B28204,""en"",""es-ES"")"),"Se ve a un gran grupo de personas saltando una cuerda en un gimnasio mientras se mueve hacia atrás y cuarto con la cámara.")</f>
        <v>Se ve a un gran grupo de personas saltando una cuerda en un gimnasio mientras se mueve hacia atrás y cuarto con la cámara.</v>
      </c>
    </row>
    <row r="28205">
      <c r="A28205" s="4" t="s">
        <v>35516</v>
      </c>
      <c r="B28205" s="4" t="s">
        <v>35518</v>
      </c>
      <c r="C28205" s="5" t="str">
        <f>IFERROR(__xludf.DUMMYFUNCTION("GOOGLETRANSLATE(B28205,""en"",""es-ES"")"),"Una mujer se para delante para instruir al grupo y continuar saltando la cuerda y luego deteniéndose.")</f>
        <v>Una mujer se para delante para instruir al grupo y continuar saltando la cuerda y luego deteniéndose.</v>
      </c>
    </row>
    <row r="28206">
      <c r="A28206" s="4" t="s">
        <v>35516</v>
      </c>
      <c r="B28206" s="4" t="s">
        <v>35519</v>
      </c>
      <c r="C28206" s="5" t="str">
        <f>IFERROR(__xludf.DUMMYFUNCTION("GOOGLETRANSLATE(B28206,""en"",""es-ES"")"),"Luego, la gente se calienta entre sí y se extiende con la mujer que conduce al frente.")</f>
        <v>Luego, la gente se calienta entre sí y se extiende con la mujer que conduce al frente.</v>
      </c>
    </row>
    <row r="28207">
      <c r="A28207" s="4" t="s">
        <v>35520</v>
      </c>
      <c r="B28207" s="4" t="s">
        <v>35521</v>
      </c>
      <c r="C28207" s="5" t="str">
        <f>IFERROR(__xludf.DUMMYFUNCTION("GOOGLETRANSLATE(B28207,""en"",""es-ES"")"),"Se muestra una cinta de correr, luego una mujer, que usa la cinta de correr en la sala de estar, se muestra con top azul y pantalones cortos negros.")</f>
        <v>Se muestra una cinta de correr, luego una mujer, que usa la cinta de correr en la sala de estar, se muestra con top azul y pantalones cortos negros.</v>
      </c>
    </row>
    <row r="28208">
      <c r="A28208" s="4" t="s">
        <v>35520</v>
      </c>
      <c r="B28208" s="4" t="s">
        <v>35522</v>
      </c>
      <c r="C28208" s="5" t="str">
        <f>IFERROR(__xludf.DUMMYFUNCTION("GOOGLETRANSLATE(B28208,""en"",""es-ES"")"),"Ella ajustó el monitor, luego se muestran los ajustes de la cinta de correr y los medidores con números.")</f>
        <v>Ella ajustó el monitor, luego se muestran los ajustes de la cinta de correr y los medidores con números.</v>
      </c>
    </row>
    <row r="28209">
      <c r="A28209" s="4" t="s">
        <v>35523</v>
      </c>
      <c r="B28209" s="4" t="s">
        <v>35524</v>
      </c>
      <c r="C28209" s="5" t="str">
        <f>IFERROR(__xludf.DUMMYFUNCTION("GOOGLETRANSLATE(B28209,""en"",""es-ES"")"),"Se ve a un hombre estar listo fuera de una pista y comienza a correr hacia un bar.")</f>
        <v>Se ve a un hombre estar listo fuera de una pista y comienza a correr hacia un bar.</v>
      </c>
    </row>
    <row r="28210">
      <c r="A28210" s="4" t="s">
        <v>35523</v>
      </c>
      <c r="B28210" s="4" t="s">
        <v>35525</v>
      </c>
      <c r="C28210" s="5" t="str">
        <f>IFERROR(__xludf.DUMMYFUNCTION("GOOGLETRANSLATE(B28210,""en"",""es-ES"")"),"El hombre luego salta sobre la barra y se muestra nuevamente en cámara lenta.")</f>
        <v>El hombre luego salta sobre la barra y se muestra nuevamente en cámara lenta.</v>
      </c>
    </row>
    <row r="28211">
      <c r="A28211" s="4" t="s">
        <v>35526</v>
      </c>
      <c r="B28211" s="4" t="s">
        <v>35527</v>
      </c>
      <c r="C28211" s="5" t="str">
        <f>IFERROR(__xludf.DUMMYFUNCTION("GOOGLETRANSLATE(B28211,""en"",""es-ES"")"),"La gente se sienta en una mesa de Black Jack.")</f>
        <v>La gente se sienta en una mesa de Black Jack.</v>
      </c>
    </row>
    <row r="28212">
      <c r="A28212" s="4" t="s">
        <v>35526</v>
      </c>
      <c r="B28212" s="4" t="s">
        <v>35528</v>
      </c>
      <c r="C28212" s="5" t="str">
        <f>IFERROR(__xludf.DUMMYFUNCTION("GOOGLETRANSLATE(B28212,""en"",""es-ES"")"),"Un hombre se sienta detrás de la mesa que trata las cartas.")</f>
        <v>Un hombre se sienta detrás de la mesa que trata las cartas.</v>
      </c>
    </row>
    <row r="28213">
      <c r="A28213" s="4" t="s">
        <v>35526</v>
      </c>
      <c r="B28213" s="4" t="s">
        <v>35529</v>
      </c>
      <c r="C28213" s="5" t="str">
        <f>IFERROR(__xludf.DUMMYFUNCTION("GOOGLETRANSLATE(B28213,""en"",""es-ES"")"),"Un hombre cobra chips con el concesionario.")</f>
        <v>Un hombre cobra chips con el concesionario.</v>
      </c>
    </row>
    <row r="28214">
      <c r="A28214" s="4" t="s">
        <v>35530</v>
      </c>
      <c r="B28214" s="4" t="s">
        <v>35531</v>
      </c>
      <c r="C28214" s="5" t="str">
        <f>IFERROR(__xludf.DUMMYFUNCTION("GOOGLETRANSLATE(B28214,""en"",""es-ES"")"),"Una dama está hablando con la cámara en una habitación de luz.")</f>
        <v>Una dama está hablando con la cámara en una habitación de luz.</v>
      </c>
    </row>
    <row r="28215">
      <c r="A28215" s="4" t="s">
        <v>35530</v>
      </c>
      <c r="B28215" s="4" t="s">
        <v>35532</v>
      </c>
      <c r="C28215" s="5" t="str">
        <f>IFERROR(__xludf.DUMMYFUNCTION("GOOGLETRANSLATE(B28215,""en"",""es-ES"")"),"Ella se da vuelta y agarra un puñado de cabello.")</f>
        <v>Ella se da vuelta y agarra un puñado de cabello.</v>
      </c>
    </row>
    <row r="28216">
      <c r="A28216" s="4" t="s">
        <v>35530</v>
      </c>
      <c r="B28216" s="4" t="s">
        <v>35533</v>
      </c>
      <c r="C28216" s="5" t="str">
        <f>IFERROR(__xludf.DUMMYFUNCTION("GOOGLETRANSLATE(B28216,""en"",""es-ES"")"),"La señora comienza a trenzar su cabello agregando más cabello mientras trenza.")</f>
        <v>La señora comienza a trenzar su cabello agregando más cabello mientras trenza.</v>
      </c>
    </row>
    <row r="28217">
      <c r="A28217" s="4" t="s">
        <v>35530</v>
      </c>
      <c r="B28217" s="4" t="s">
        <v>35534</v>
      </c>
      <c r="C28217" s="5" t="str">
        <f>IFERROR(__xludf.DUMMYFUNCTION("GOOGLETRANSLATE(B28217,""en"",""es-ES"")"),"La señora tira de su trenza frente a ella y agrega una corbata de cabello.")</f>
        <v>La señora tira de su trenza frente a ella y agrega una corbata de cabello.</v>
      </c>
    </row>
    <row r="28218">
      <c r="A28218" s="4" t="s">
        <v>35530</v>
      </c>
      <c r="B28218" s="4" t="s">
        <v>35535</v>
      </c>
      <c r="C28218" s="5" t="str">
        <f>IFERROR(__xludf.DUMMYFUNCTION("GOOGLETRANSLATE(B28218,""en"",""es-ES"")"),"Ella tira de su cabello para aflojar la trenza y gira hacia la cámara y sonríe.")</f>
        <v>Ella tira de su cabello para aflojar la trenza y gira hacia la cámara y sonríe.</v>
      </c>
    </row>
    <row r="28219">
      <c r="A28219" s="4" t="s">
        <v>35536</v>
      </c>
      <c r="B28219" s="4" t="s">
        <v>35537</v>
      </c>
      <c r="C28219" s="5" t="str">
        <f>IFERROR(__xludf.DUMMYFUNCTION("GOOGLETRANSLATE(B28219,""en"",""es-ES"")"),"Una fila de niños adolescentes tocan tambores.")</f>
        <v>Una fila de niños adolescentes tocan tambores.</v>
      </c>
    </row>
    <row r="28220">
      <c r="A28220" s="4" t="s">
        <v>35536</v>
      </c>
      <c r="B28220" s="4" t="s">
        <v>35538</v>
      </c>
      <c r="C28220" s="5" t="str">
        <f>IFERROR(__xludf.DUMMYFUNCTION("GOOGLETRANSLATE(B28220,""en"",""es-ES"")"),"Aparece un gran bombo y un reproductor.")</f>
        <v>Aparece un gran bombo y un reproductor.</v>
      </c>
    </row>
    <row r="28221">
      <c r="A28221" s="4" t="s">
        <v>35536</v>
      </c>
      <c r="B28221" s="4" t="s">
        <v>35539</v>
      </c>
      <c r="C28221" s="5" t="str">
        <f>IFERROR(__xludf.DUMMYFUNCTION("GOOGLETRANSLATE(B28221,""en"",""es-ES"")"),"Una niña tocando un tambor se une.")</f>
        <v>Una niña tocando un tambor se une.</v>
      </c>
    </row>
    <row r="28222">
      <c r="A28222" s="4" t="s">
        <v>35540</v>
      </c>
      <c r="B28222" s="4" t="s">
        <v>35541</v>
      </c>
      <c r="C28222" s="5" t="str">
        <f>IFERROR(__xludf.DUMMYFUNCTION("GOOGLETRANSLATE(B28222,""en"",""es-ES"")"),"Un grupo de niños de diferentes edades se desliza por un tobogán azul en un parque temático.")</f>
        <v>Un grupo de niños de diferentes edades se desliza por un tobogán azul en un parque temático.</v>
      </c>
    </row>
    <row r="28223">
      <c r="A28223" s="4" t="s">
        <v>35540</v>
      </c>
      <c r="B28223" s="4" t="s">
        <v>35542</v>
      </c>
      <c r="C28223" s="5" t="str">
        <f>IFERROR(__xludf.DUMMYFUNCTION("GOOGLETRANSLATE(B28223,""en"",""es-ES"")"),"Un grupo de niños aparece en la parte superior de alto tobogán.")</f>
        <v>Un grupo de niños aparece en la parte superior de alto tobogán.</v>
      </c>
    </row>
    <row r="28224">
      <c r="A28224" s="4" t="s">
        <v>35540</v>
      </c>
      <c r="B28224" s="4" t="s">
        <v>35543</v>
      </c>
      <c r="C28224" s="5" t="str">
        <f>IFERROR(__xludf.DUMMYFUNCTION("GOOGLETRANSLATE(B28224,""en"",""es-ES"")"),"Los niños se deslizan por el tobogán, con la diadema de una niña bajando sobre sus ojos.")</f>
        <v>Los niños se deslizan por el tobogán, con la diadema de una niña bajando sobre sus ojos.</v>
      </c>
    </row>
    <row r="28225">
      <c r="A28225" s="4" t="s">
        <v>35540</v>
      </c>
      <c r="B28225" s="4" t="s">
        <v>35544</v>
      </c>
      <c r="C28225" s="5" t="str">
        <f>IFERROR(__xludf.DUMMYFUNCTION("GOOGLETRANSLATE(B28225,""en"",""es-ES"")"),"Los niños aterrizan y se levantan y huyen.")</f>
        <v>Los niños aterrizan y se levantan y huyen.</v>
      </c>
    </row>
    <row r="28226">
      <c r="A28226" s="4" t="s">
        <v>35545</v>
      </c>
      <c r="B28226" s="4" t="s">
        <v>35546</v>
      </c>
      <c r="C28226" s="5" t="str">
        <f>IFERROR(__xludf.DUMMYFUNCTION("GOOGLETRANSLATE(B28226,""en"",""es-ES"")"),"El texto blanco explica el proceso de lesión de rodilla.")</f>
        <v>El texto blanco explica el proceso de lesión de rodilla.</v>
      </c>
    </row>
    <row r="28227">
      <c r="A28227" s="4" t="s">
        <v>35545</v>
      </c>
      <c r="B28227" s="4" t="s">
        <v>35547</v>
      </c>
      <c r="C28227" s="5" t="str">
        <f>IFERROR(__xludf.DUMMYFUNCTION("GOOGLETRANSLATE(B28227,""en"",""es-ES"")"),"Se muestra a un hombre haciendo actos atléticos, que incluyen saltar sobre un colchón, y se extiende por sus rodillas antes de saltar una y otra vez.")</f>
        <v>Se muestra a un hombre haciendo actos atléticos, que incluyen saltar sobre un colchón, y se extiende por sus rodillas antes de saltar una y otra vez.</v>
      </c>
    </row>
    <row r="28228">
      <c r="A28228" s="4" t="s">
        <v>35548</v>
      </c>
      <c r="B28228" s="4" t="s">
        <v>35549</v>
      </c>
      <c r="C28228" s="5" t="str">
        <f>IFERROR(__xludf.DUMMYFUNCTION("GOOGLETRANSLATE(B28228,""en"",""es-ES"")"),"Un hombre se para en un baño frente a un espejo, sosteniendo una navaja de afeitar.")</f>
        <v>Un hombre se para en un baño frente a un espejo, sosteniendo una navaja de afeitar.</v>
      </c>
    </row>
    <row r="28229">
      <c r="A28229" s="4" t="s">
        <v>35548</v>
      </c>
      <c r="B28229" s="4" t="s">
        <v>35550</v>
      </c>
      <c r="C28229" s="5" t="str">
        <f>IFERROR(__xludf.DUMMYFUNCTION("GOOGLETRANSLATE(B28229,""en"",""es-ES"")"),"El hombre comienza a hablar con la cámara mientras muestra la maquinilla de afeitar y sus diversas partes.")</f>
        <v>El hombre comienza a hablar con la cámara mientras muestra la maquinilla de afeitar y sus diversas partes.</v>
      </c>
    </row>
    <row r="28230">
      <c r="A28230" s="4" t="s">
        <v>35548</v>
      </c>
      <c r="B28230" s="4" t="s">
        <v>35551</v>
      </c>
      <c r="C28230" s="5" t="str">
        <f>IFERROR(__xludf.DUMMYFUNCTION("GOOGLETRANSLATE(B28230,""en"",""es-ES"")"),"Pronto comienza a afeitarse la cara mientras mira en el espejo.")</f>
        <v>Pronto comienza a afeitarse la cara mientras mira en el espejo.</v>
      </c>
    </row>
    <row r="28231">
      <c r="A28231" s="4" t="s">
        <v>35548</v>
      </c>
      <c r="B28231" s="4" t="s">
        <v>35552</v>
      </c>
      <c r="C28231" s="5" t="str">
        <f>IFERROR(__xludf.DUMMYFUNCTION("GOOGLETRANSLATE(B28231,""en"",""es-ES"")"),"Después, se reanuda hablando con la cámara y mostrando cómo funcionó la navaja.")</f>
        <v>Después, se reanuda hablando con la cámara y mostrando cómo funcionó la navaja.</v>
      </c>
    </row>
    <row r="28232">
      <c r="A28232" s="4" t="s">
        <v>35548</v>
      </c>
      <c r="B28232" s="4" t="s">
        <v>35553</v>
      </c>
      <c r="C28232" s="5" t="str">
        <f>IFERROR(__xludf.DUMMYFUNCTION("GOOGLETRANSLATE(B28232,""en"",""es-ES"")"),"El hombre coloca la maquinilla de afeitar en un soporte de carga que muestra una luz iluminadora, y luego la recoge.")</f>
        <v>El hombre coloca la maquinilla de afeitar en un soporte de carga que muestra una luz iluminadora, y luego la recoge.</v>
      </c>
    </row>
    <row r="28233">
      <c r="A28233" s="4" t="s">
        <v>35548</v>
      </c>
      <c r="B28233" s="4" t="s">
        <v>35554</v>
      </c>
      <c r="C28233" s="5" t="str">
        <f>IFERROR(__xludf.DUMMYFUNCTION("GOOGLETRANSLATE(B28233,""en"",""es-ES"")"),"El video termina con el hombre tocando su rostro para demostrar el trabajo suave.")</f>
        <v>El video termina con el hombre tocando su rostro para demostrar el trabajo suave.</v>
      </c>
    </row>
    <row r="28234">
      <c r="A28234" s="4" t="s">
        <v>35555</v>
      </c>
      <c r="B28234" s="4" t="s">
        <v>35556</v>
      </c>
      <c r="C28234" s="5" t="str">
        <f>IFERROR(__xludf.DUMMYFUNCTION("GOOGLETRANSLATE(B28234,""en"",""es-ES"")"),"Dos hombres demuestran acrobacias, trucos y técnicas de cuerda de salto en un auditorio frente a un grupo de estudiantes.")</f>
        <v>Dos hombres demuestran acrobacias, trucos y técnicas de cuerda de salto en un auditorio frente a un grupo de estudiantes.</v>
      </c>
    </row>
    <row r="28235">
      <c r="A28235" s="4" t="s">
        <v>35555</v>
      </c>
      <c r="B28235" s="4" t="s">
        <v>35557</v>
      </c>
      <c r="C28235" s="5" t="str">
        <f>IFERROR(__xludf.DUMMYFUNCTION("GOOGLETRANSLATE(B28235,""en"",""es-ES"")"),"Un hombre con un traje de pista gris realiza trucos de cuerda de salto frente a un grupo de estudiantes.")</f>
        <v>Un hombre con un traje de pista gris realiza trucos de cuerda de salto frente a un grupo de estudiantes.</v>
      </c>
    </row>
    <row r="28236">
      <c r="A28236" s="4" t="s">
        <v>35555</v>
      </c>
      <c r="B28236" s="4" t="s">
        <v>35558</v>
      </c>
      <c r="C28236" s="5" t="str">
        <f>IFERROR(__xludf.DUMMYFUNCTION("GOOGLETRANSLATE(B28236,""en"",""es-ES"")"),"El hombre con el traje de pista gris termina y los niños aplauden.")</f>
        <v>El hombre con el traje de pista gris termina y los niños aplauden.</v>
      </c>
    </row>
    <row r="28237">
      <c r="A28237" s="4" t="s">
        <v>35555</v>
      </c>
      <c r="B28237" s="4" t="s">
        <v>35559</v>
      </c>
      <c r="C28237" s="5" t="str">
        <f>IFERROR(__xludf.DUMMYFUNCTION("GOOGLETRANSLATE(B28237,""en"",""es-ES"")"),"Un segundo hombre camina junto al hombre y los dos hombres comienzan a realizar más trucos y acrobacias, incluidos backflips y movimientos de baile durante la manifestación.")</f>
        <v>Un segundo hombre camina junto al hombre y los dos hombres comienzan a realizar más trucos y acrobacias, incluidos backflips y movimientos de baile durante la manifestación.</v>
      </c>
    </row>
    <row r="28238">
      <c r="A28238" s="4" t="s">
        <v>35560</v>
      </c>
      <c r="B28238" s="4" t="s">
        <v>35561</v>
      </c>
      <c r="C28238" s="5" t="str">
        <f>IFERROR(__xludf.DUMMYFUNCTION("GOOGLETRANSLATE(B28238,""en"",""es-ES"")"),"Se ven dos personas que organizan un segmento de noticias hablando entre sí y que muestran varios clips en el interior de un gimnasio.")</f>
        <v>Se ven dos personas que organizan un segmento de noticias hablando entre sí y que muestran varios clips en el interior de un gimnasio.</v>
      </c>
    </row>
    <row r="28239">
      <c r="A28239" s="4" t="s">
        <v>35560</v>
      </c>
      <c r="B28239" s="4" t="s">
        <v>35562</v>
      </c>
      <c r="C28239" s="5" t="str">
        <f>IFERROR(__xludf.DUMMYFUNCTION("GOOGLETRANSLATE(B28239,""en"",""es-ES"")"),"La mujer luego sube a la cinta de correr y lo intenta mientras sigue hablando con el hombre.")</f>
        <v>La mujer luego sube a la cinta de correr y lo intenta mientras sigue hablando con el hombre.</v>
      </c>
    </row>
    <row r="28240">
      <c r="A28240" s="4" t="s">
        <v>35563</v>
      </c>
      <c r="B28240" s="4" t="s">
        <v>35564</v>
      </c>
      <c r="C28240" s="5" t="str">
        <f>IFERROR(__xludf.DUMMYFUNCTION("GOOGLETRANSLATE(B28240,""en"",""es-ES"")"),"Se ve a una mujer hablando con la cámara sosteniendo una cerveza y lo lleva a beber del vaso.")</f>
        <v>Se ve a una mujer hablando con la cámara sosteniendo una cerveza y lo lleva a beber del vaso.</v>
      </c>
    </row>
    <row r="28241">
      <c r="A28241" s="4" t="s">
        <v>35563</v>
      </c>
      <c r="B28241" s="4" t="s">
        <v>35565</v>
      </c>
      <c r="C28241" s="5" t="str">
        <f>IFERROR(__xludf.DUMMYFUNCTION("GOOGLETRANSLATE(B28241,""en"",""es-ES"")"),"Ella continúa bebiendo la cerveza mientras se ríe ante la cámara y asiente con la cabeza.")</f>
        <v>Ella continúa bebiendo la cerveza mientras se ríe ante la cámara y asiente con la cabeza.</v>
      </c>
    </row>
    <row r="28242">
      <c r="A28242" s="4" t="s">
        <v>35566</v>
      </c>
      <c r="B28242" s="4" t="s">
        <v>35567</v>
      </c>
      <c r="C28242" s="5" t="str">
        <f>IFERROR(__xludf.DUMMYFUNCTION("GOOGLETRANSLATE(B28242,""en"",""es-ES"")"),"Un voluntario rastrilla se va en un patio delantero.")</f>
        <v>Un voluntario rastrilla se va en un patio delantero.</v>
      </c>
    </row>
    <row r="28243">
      <c r="A28243" s="4" t="s">
        <v>35566</v>
      </c>
      <c r="B28243" s="4" t="s">
        <v>35568</v>
      </c>
      <c r="C28243" s="5" t="str">
        <f>IFERROR(__xludf.DUMMYFUNCTION("GOOGLETRANSLATE(B28243,""en"",""es-ES"")"),"Los voluntarios llevan y establecen herramientas de patio y productos de limpieza.")</f>
        <v>Los voluntarios llevan y establecen herramientas de patio y productos de limpieza.</v>
      </c>
    </row>
    <row r="28244">
      <c r="A28244" s="4" t="s">
        <v>35566</v>
      </c>
      <c r="B28244" s="4" t="s">
        <v>35569</v>
      </c>
      <c r="C28244" s="5" t="str">
        <f>IFERROR(__xludf.DUMMYFUNCTION("GOOGLETRANSLATE(B28244,""en"",""es-ES"")"),"Un grupo de voluntarios rastrilló las hojas frente a una casa.")</f>
        <v>Un grupo de voluntarios rastrilló las hojas frente a una casa.</v>
      </c>
    </row>
    <row r="28245">
      <c r="A28245" s="4" t="s">
        <v>35566</v>
      </c>
      <c r="B28245" s="4" t="s">
        <v>35570</v>
      </c>
      <c r="C28245" s="5" t="str">
        <f>IFERROR(__xludf.DUMMYFUNCTION("GOOGLETRANSLATE(B28245,""en"",""es-ES"")"),"Todos los voluntarios comen juntos en una cafetería.")</f>
        <v>Todos los voluntarios comen juntos en una cafetería.</v>
      </c>
    </row>
    <row r="28246">
      <c r="A28246" s="4" t="s">
        <v>35566</v>
      </c>
      <c r="B28246" s="4" t="s">
        <v>35571</v>
      </c>
      <c r="C28246" s="5" t="str">
        <f>IFERROR(__xludf.DUMMYFUNCTION("GOOGLETRANSLATE(B28246,""en"",""es-ES"")"),"Un hombre carga bolsas de hojas y las deja en un patio de recolección.")</f>
        <v>Un hombre carga bolsas de hojas y las deja en un patio de recolección.</v>
      </c>
    </row>
    <row r="28247">
      <c r="A28247" s="4" t="s">
        <v>35572</v>
      </c>
      <c r="B28247" s="4" t="s">
        <v>35573</v>
      </c>
      <c r="C28247" s="5" t="str">
        <f>IFERROR(__xludf.DUMMYFUNCTION("GOOGLETRANSLATE(B28247,""en"",""es-ES"")"),"Una chica con traje de baño está sentada en la playa.")</f>
        <v>Una chica con traje de baño está sentada en la playa.</v>
      </c>
    </row>
    <row r="28248">
      <c r="A28248" s="4" t="s">
        <v>35572</v>
      </c>
      <c r="B28248" s="4" t="s">
        <v>35574</v>
      </c>
      <c r="C28248" s="5" t="str">
        <f>IFERROR(__xludf.DUMMYFUNCTION("GOOGLETRANSLATE(B28248,""en"",""es-ES"")"),"Ella está poniendo arena en una taza y construyendo un castillo de arena.")</f>
        <v>Ella está poniendo arena en una taza y construyendo un castillo de arena.</v>
      </c>
    </row>
    <row r="28249">
      <c r="A28249" s="4" t="s">
        <v>35572</v>
      </c>
      <c r="B28249" s="4" t="s">
        <v>35575</v>
      </c>
      <c r="C28249" s="5" t="str">
        <f>IFERROR(__xludf.DUMMYFUNCTION("GOOGLETRANSLATE(B28249,""en"",""es-ES"")"),"Otra chica se acerca y habla con ella.")</f>
        <v>Otra chica se acerca y habla con ella.</v>
      </c>
    </row>
    <row r="28250">
      <c r="A28250" s="4" t="s">
        <v>35576</v>
      </c>
      <c r="B28250" s="4" t="s">
        <v>35577</v>
      </c>
      <c r="C28250" s="5" t="str">
        <f>IFERROR(__xludf.DUMMYFUNCTION("GOOGLETRANSLATE(B28250,""en"",""es-ES"")"),"Un hombre se acuesta en el piso sobre una estera.")</f>
        <v>Un hombre se acuesta en el piso sobre una estera.</v>
      </c>
    </row>
    <row r="28251">
      <c r="A28251" s="4" t="s">
        <v>35576</v>
      </c>
      <c r="B28251" s="4" t="s">
        <v>35578</v>
      </c>
      <c r="C28251" s="5" t="str">
        <f>IFERROR(__xludf.DUMMYFUNCTION("GOOGLETRANSLATE(B28251,""en"",""es-ES"")"),"El hombre tiene un peso en la cabeza.")</f>
        <v>El hombre tiene un peso en la cabeza.</v>
      </c>
    </row>
    <row r="28252">
      <c r="A28252" s="4" t="s">
        <v>35576</v>
      </c>
      <c r="B28252" s="4" t="s">
        <v>35579</v>
      </c>
      <c r="C28252" s="5" t="str">
        <f>IFERROR(__xludf.DUMMYFUNCTION("GOOGLETRANSLATE(B28252,""en"",""es-ES"")"),"El hombre hace ejercicio sosteniendo el peso y levantando las piernas dobladas hasta el cofre.")</f>
        <v>El hombre hace ejercicio sosteniendo el peso y levantando las piernas dobladas hasta el cofre.</v>
      </c>
    </row>
    <row r="28253">
      <c r="A28253" s="4" t="s">
        <v>35580</v>
      </c>
      <c r="B28253" s="4" t="s">
        <v>35581</v>
      </c>
      <c r="C28253" s="5" t="str">
        <f>IFERROR(__xludf.DUMMYFUNCTION("GOOGLETRANSLATE(B28253,""en"",""es-ES"")"),"Un hombre que usa una camisa negra que tiene palabras blancas que dicen ""juega bien con uno mismo"" está sentado en una casa y juega en dos bongos diferentes que son diferentes en tamaño, diseño y color.")</f>
        <v>Un hombre que usa una camisa negra que tiene palabras blancas que dicen "juega bien con uno mismo" está sentado en una casa y juega en dos bongos diferentes que son diferentes en tamaño, diseño y color.</v>
      </c>
    </row>
    <row r="28254">
      <c r="A28254" s="4" t="s">
        <v>35580</v>
      </c>
      <c r="B28254" s="4" t="s">
        <v>35582</v>
      </c>
      <c r="C28254" s="5" t="str">
        <f>IFERROR(__xludf.DUMMYFUNCTION("GOOGLETRANSLATE(B28254,""en"",""es-ES"")"),"El hombre deja de golpear a los bongos y descansa su mano izquierda sobre el bongo de color más claro.")</f>
        <v>El hombre deja de golpear a los bongos y descansa su mano izquierda sobre el bongo de color más claro.</v>
      </c>
    </row>
    <row r="28255">
      <c r="A28255" s="4" t="s">
        <v>35580</v>
      </c>
      <c r="B28255" s="4" t="s">
        <v>35583</v>
      </c>
      <c r="C28255" s="5" t="str">
        <f>IFERROR(__xludf.DUMMYFUNCTION("GOOGLETRANSLATE(B28255,""en"",""es-ES"")"),"Luego, el hombre se mueve la pierna derecha como si se pusiera de pie y el Bongo se mueva sin el apoyo de la pierna.")</f>
        <v>Luego, el hombre se mueve la pierna derecha como si se pusiera de pie y el Bongo se mueva sin el apoyo de la pierna.</v>
      </c>
    </row>
    <row r="28256">
      <c r="A28256" s="4" t="s">
        <v>35584</v>
      </c>
      <c r="B28256" s="4" t="s">
        <v>35585</v>
      </c>
      <c r="C28256" s="5" t="str">
        <f>IFERROR(__xludf.DUMMYFUNCTION("GOOGLETRANSLATE(B28256,""en"",""es-ES"")"),"Stone Cold Steve Austin en el ring sudando profusamente.")</f>
        <v>Stone Cold Steve Austin en el ring sudando profusamente.</v>
      </c>
    </row>
    <row r="28257">
      <c r="A28257" s="4" t="s">
        <v>35584</v>
      </c>
      <c r="B28257" s="4" t="s">
        <v>35586</v>
      </c>
      <c r="C28257" s="5" t="str">
        <f>IFERROR(__xludf.DUMMYFUNCTION("GOOGLETRANSLATE(B28257,""en"",""es-ES"")"),"Mira a la otra respiración y sudoración del luchador, solo se miran por un tiempo.")</f>
        <v>Mira a la otra respiración y sudoración del luchador, solo se miran por un tiempo.</v>
      </c>
    </row>
    <row r="28258">
      <c r="A28258" s="4" t="s">
        <v>35584</v>
      </c>
      <c r="B28258" s="4" t="s">
        <v>35587</v>
      </c>
      <c r="C28258" s="5" t="str">
        <f>IFERROR(__xludf.DUMMYFUNCTION("GOOGLETRANSLATE(B28258,""en"",""es-ES"")"),"Abren cervezas y golpean las juntas, luego comienzan a lanzar cervezas a la audiencia.")</f>
        <v>Abren cervezas y golpean las juntas, luego comienzan a lanzar cervezas a la audiencia.</v>
      </c>
    </row>
    <row r="28259">
      <c r="A28259" s="4" t="s">
        <v>35584</v>
      </c>
      <c r="B28259" s="4" t="s">
        <v>35588</v>
      </c>
      <c r="C28259" s="5" t="str">
        <f>IFERROR(__xludf.DUMMYFUNCTION("GOOGLETRANSLATE(B28259,""en"",""es-ES"")"),"Luego, Austin sale del ring y comienza a caminar hacia atrás.")</f>
        <v>Luego, Austin sale del ring y comienza a caminar hacia atrás.</v>
      </c>
    </row>
    <row r="28260">
      <c r="A28260" s="4" t="s">
        <v>35589</v>
      </c>
      <c r="B28260" s="4" t="s">
        <v>35590</v>
      </c>
      <c r="C28260" s="5" t="str">
        <f>IFERROR(__xludf.DUMMYFUNCTION("GOOGLETRANSLATE(B28260,""en"",""es-ES"")"),"Mujer está hablando con un hombre en un patinaje Icerink y sosteniendo postes de hockey que juegan tirando del disco.")</f>
        <v>Mujer está hablando con un hombre en un patinaje Icerink y sosteniendo postes de hockey que juegan tirando del disco.</v>
      </c>
    </row>
    <row r="28261">
      <c r="A28261" s="4" t="s">
        <v>35589</v>
      </c>
      <c r="B28261" s="4" t="s">
        <v>35591</v>
      </c>
      <c r="C28261" s="5" t="str">
        <f>IFERROR(__xludf.DUMMYFUNCTION("GOOGLETRANSLATE(B28261,""en"",""es-ES"")"),"La mujer está en un hospital hablando con un hombre.")</f>
        <v>La mujer está en un hospital hablando con un hombre.</v>
      </c>
    </row>
    <row r="28262">
      <c r="A28262" s="4" t="s">
        <v>35589</v>
      </c>
      <c r="B28262" s="4" t="s">
        <v>35592</v>
      </c>
      <c r="C28262" s="5" t="str">
        <f>IFERROR(__xludf.DUMMYFUNCTION("GOOGLETRANSLATE(B28262,""en"",""es-ES"")"),"El hombre y la mujer miraban al hombre que tiene vendaje en su cabeza.")</f>
        <v>El hombre y la mujer miraban al hombre que tiene vendaje en su cabeza.</v>
      </c>
    </row>
    <row r="28263">
      <c r="A28263" s="4" t="s">
        <v>35593</v>
      </c>
      <c r="B28263" s="4" t="s">
        <v>35594</v>
      </c>
      <c r="C28263" s="5" t="str">
        <f>IFERROR(__xludf.DUMMYFUNCTION("GOOGLETRANSLATE(B28263,""en"",""es-ES"")"),"Los jugadores de Brasil anotan mientras las personas en los blanqueadores celebran.")</f>
        <v>Los jugadores de Brasil anotan mientras las personas en los blanqueadores celebran.</v>
      </c>
    </row>
    <row r="28264">
      <c r="A28264" s="4" t="s">
        <v>35593</v>
      </c>
      <c r="B28264" s="4" t="s">
        <v>35595</v>
      </c>
      <c r="C28264" s="5" t="str">
        <f>IFERROR(__xludf.DUMMYFUNCTION("GOOGLETRANSLATE(B28264,""en"",""es-ES"")"),"Un jugador brasileño pasa la pelota a su compañero de juegos que anota y corre para celebrar, otros jugadores brasileños anotan muchas veces.")</f>
        <v>Un jugador brasileño pasa la pelota a su compañero de juegos que anota y corre para celebrar, otros jugadores brasileños anotan muchas veces.</v>
      </c>
    </row>
    <row r="28265">
      <c r="A28265" s="4" t="s">
        <v>35593</v>
      </c>
      <c r="B28265" s="4" t="s">
        <v>35596</v>
      </c>
      <c r="C28265" s="5" t="str">
        <f>IFERROR(__xludf.DUMMYFUNCTION("GOOGLETRANSLATE(B28265,""en"",""es-ES"")"),"Después, Brasil juega con otros asta y puntajes muchas veces.")</f>
        <v>Después, Brasil juega con otros asta y puntajes muchas veces.</v>
      </c>
    </row>
    <row r="28266">
      <c r="A28266" s="4" t="s">
        <v>35593</v>
      </c>
      <c r="B28266" s="4" t="s">
        <v>35597</v>
      </c>
      <c r="C28266" s="5" t="str">
        <f>IFERROR(__xludf.DUMMYFUNCTION("GOOGLETRANSLATE(B28266,""en"",""es-ES"")"),"Entonces Brasil juega con jugadores de otros países y puntajes.")</f>
        <v>Entonces Brasil juega con jugadores de otros países y puntajes.</v>
      </c>
    </row>
    <row r="28267">
      <c r="A28267" s="4" t="s">
        <v>35593</v>
      </c>
      <c r="B28267" s="4" t="s">
        <v>35598</v>
      </c>
      <c r="C28267" s="5" t="str">
        <f>IFERROR(__xludf.DUMMYFUNCTION("GOOGLETRANSLATE(B28267,""en"",""es-ES"")"),"Al final, Brasil gana la competencia.")</f>
        <v>Al final, Brasil gana la competencia.</v>
      </c>
    </row>
    <row r="28268">
      <c r="A28268" s="4" t="s">
        <v>35599</v>
      </c>
      <c r="B28268" s="4" t="s">
        <v>35600</v>
      </c>
      <c r="C28268" s="5" t="str">
        <f>IFERROR(__xludf.DUMMYFUNCTION("GOOGLETRANSLATE(B28268,""en"",""es-ES"")"),"La gente juega fútbol interior en una arena.")</f>
        <v>La gente juega fútbol interior en una arena.</v>
      </c>
    </row>
    <row r="28269">
      <c r="A28269" s="4" t="s">
        <v>35599</v>
      </c>
      <c r="B28269" s="4" t="s">
        <v>35601</v>
      </c>
      <c r="C28269" s="5" t="str">
        <f>IFERROR(__xludf.DUMMYFUNCTION("GOOGLETRANSLATE(B28269,""en"",""es-ES"")"),"La gente está sentada en las gradas mirando.")</f>
        <v>La gente está sentada en las gradas mirando.</v>
      </c>
    </row>
    <row r="28270">
      <c r="A28270" s="4" t="s">
        <v>35599</v>
      </c>
      <c r="B28270" s="4" t="s">
        <v>2018</v>
      </c>
      <c r="C28270" s="5" t="str">
        <f>IFERROR(__xludf.DUMMYFUNCTION("GOOGLETRANSLATE(B28270,""en"",""es-ES"")"),"Las palabras aparecen en la pantalla.")</f>
        <v>Las palabras aparecen en la pantalla.</v>
      </c>
    </row>
    <row r="28271">
      <c r="A28271" s="4" t="s">
        <v>35602</v>
      </c>
      <c r="B28271" s="4" t="s">
        <v>35603</v>
      </c>
      <c r="C28271" s="5" t="str">
        <f>IFERROR(__xludf.DUMMYFUNCTION("GOOGLETRANSLATE(B28271,""en"",""es-ES"")"),"Una mujer se para en una habitación con un hula hoop.")</f>
        <v>Una mujer se para en una habitación con un hula hoop.</v>
      </c>
    </row>
    <row r="28272">
      <c r="A28272" s="4" t="s">
        <v>35602</v>
      </c>
      <c r="B28272" s="4" t="s">
        <v>35604</v>
      </c>
      <c r="C28272" s="5" t="str">
        <f>IFERROR(__xludf.DUMMYFUNCTION("GOOGLETRANSLATE(B28272,""en"",""es-ES"")"),"Ella demuestra cómo usar el hula hoop.")</f>
        <v>Ella demuestra cómo usar el hula hoop.</v>
      </c>
    </row>
    <row r="28273">
      <c r="A28273" s="4" t="s">
        <v>35602</v>
      </c>
      <c r="B28273" s="4" t="s">
        <v>35605</v>
      </c>
      <c r="C28273" s="5" t="str">
        <f>IFERROR(__xludf.DUMMYFUNCTION("GOOGLETRANSLATE(B28273,""en"",""es-ES"")"),"Ella lo gira usando sus caderas y hablando con la cámara.")</f>
        <v>Ella lo gira usando sus caderas y hablando con la cámara.</v>
      </c>
    </row>
    <row r="28274">
      <c r="A28274" s="4" t="s">
        <v>35606</v>
      </c>
      <c r="B28274" s="4" t="s">
        <v>35607</v>
      </c>
      <c r="C28274" s="5" t="str">
        <f>IFERROR(__xludf.DUMMYFUNCTION("GOOGLETRANSLATE(B28274,""en"",""es-ES"")"),"Un hombre que lleva una camisa azul está tocando el piano en un patio.")</f>
        <v>Un hombre que lleva una camisa azul está tocando el piano en un patio.</v>
      </c>
    </row>
    <row r="28275">
      <c r="A28275" s="4" t="s">
        <v>35606</v>
      </c>
      <c r="B28275" s="4" t="s">
        <v>35608</v>
      </c>
      <c r="C28275" s="5" t="str">
        <f>IFERROR(__xludf.DUMMYFUNCTION("GOOGLETRANSLATE(B28275,""en"",""es-ES"")"),"Hay dos elefantes parados detrás de él.")</f>
        <v>Hay dos elefantes parados detrás de él.</v>
      </c>
    </row>
    <row r="28276">
      <c r="A28276" s="4" t="s">
        <v>35606</v>
      </c>
      <c r="B28276" s="4" t="s">
        <v>35609</v>
      </c>
      <c r="C28276" s="5" t="str">
        <f>IFERROR(__xludf.DUMMYFUNCTION("GOOGLETRANSLATE(B28276,""en"",""es-ES"")"),"Uno de los elefantes está tratando de tocar el piano con su baúl.")</f>
        <v>Uno de los elefantes está tratando de tocar el piano con su baúl.</v>
      </c>
    </row>
    <row r="28277">
      <c r="A28277" s="4" t="s">
        <v>35606</v>
      </c>
      <c r="B28277" s="4" t="s">
        <v>35610</v>
      </c>
      <c r="C28277" s="5" t="str">
        <f>IFERROR(__xludf.DUMMYFUNCTION("GOOGLETRANSLATE(B28277,""en"",""es-ES"")"),"El hombre continúa jugando el piano en un ritmo rápido usando varias llaves del piano.")</f>
        <v>El hombre continúa jugando el piano en un ritmo rápido usando varias llaves del piano.</v>
      </c>
    </row>
    <row r="28278">
      <c r="A28278" s="4" t="s">
        <v>35606</v>
      </c>
      <c r="B28278" s="4" t="s">
        <v>35611</v>
      </c>
      <c r="C28278" s="5" t="str">
        <f>IFERROR(__xludf.DUMMYFUNCTION("GOOGLETRANSLATE(B28278,""en"",""es-ES"")"),"Da un gran final con la melodía y luego acaricia el tronco del elefante.")</f>
        <v>Da un gran final con la melodía y luego acaricia el tronco del elefante.</v>
      </c>
    </row>
    <row r="28279">
      <c r="A28279" s="4" t="s">
        <v>35612</v>
      </c>
      <c r="B28279" s="4" t="s">
        <v>35613</v>
      </c>
      <c r="C28279" s="5" t="str">
        <f>IFERROR(__xludf.DUMMYFUNCTION("GOOGLETRANSLATE(B28279,""en"",""es-ES"")"),"Un chico se para en la orilla de una playa sosteniendo un palo de hockey que equilibra una pelota.")</f>
        <v>Un chico se para en la orilla de una playa sosteniendo un palo de hockey que equilibra una pelota.</v>
      </c>
    </row>
    <row r="28280">
      <c r="A28280" s="4" t="s">
        <v>35612</v>
      </c>
      <c r="B28280" s="4" t="s">
        <v>35614</v>
      </c>
      <c r="C28280" s="5" t="str">
        <f>IFERROR(__xludf.DUMMYFUNCTION("GOOGLETRANSLATE(B28280,""en"",""es-ES"")"),"Un palo de hockey y una bola blanca yacía sobre hierba falsa afuera.")</f>
        <v>Un palo de hockey y una bola blanca yacía sobre hierba falsa afuera.</v>
      </c>
    </row>
    <row r="28281">
      <c r="A28281" s="4" t="s">
        <v>35612</v>
      </c>
      <c r="B28281" s="4" t="s">
        <v>35615</v>
      </c>
      <c r="C28281" s="5" t="str">
        <f>IFERROR(__xludf.DUMMYFUNCTION("GOOGLETRANSLATE(B28281,""en"",""es-ES"")"),"Una persona mueve una bola blanca con un palo de hockey.")</f>
        <v>Una persona mueve una bola blanca con un palo de hockey.</v>
      </c>
    </row>
    <row r="28282">
      <c r="A28282" s="4" t="s">
        <v>35612</v>
      </c>
      <c r="B28282" s="4" t="s">
        <v>35616</v>
      </c>
      <c r="C28282" s="5" t="str">
        <f>IFERROR(__xludf.DUMMYFUNCTION("GOOGLETRANSLATE(B28282,""en"",""es-ES"")"),"Una persona demuestra diez técnicas de hockey sobre campo.")</f>
        <v>Una persona demuestra diez técnicas de hockey sobre campo.</v>
      </c>
    </row>
    <row r="28283">
      <c r="A28283" s="4" t="s">
        <v>35612</v>
      </c>
      <c r="B28283" s="4" t="s">
        <v>35617</v>
      </c>
      <c r="C28283" s="5" t="str">
        <f>IFERROR(__xludf.DUMMYFUNCTION("GOOGLETRANSLATE(B28283,""en"",""es-ES"")"),"Un chico usa un palo de hockey para rebotar una pelota en el aire.")</f>
        <v>Un chico usa un palo de hockey para rebotar una pelota en el aire.</v>
      </c>
    </row>
    <row r="28284">
      <c r="A28284" s="4" t="s">
        <v>35612</v>
      </c>
      <c r="B28284" s="4" t="s">
        <v>35618</v>
      </c>
      <c r="C28284" s="5" t="str">
        <f>IFERROR(__xludf.DUMMYFUNCTION("GOOGLETRANSLATE(B28284,""en"",""es-ES"")"),"Se muestran saludos y créditos.")</f>
        <v>Se muestran saludos y créditos.</v>
      </c>
    </row>
    <row r="28285">
      <c r="A28285" s="4" t="s">
        <v>35619</v>
      </c>
      <c r="B28285" s="4" t="s">
        <v>35620</v>
      </c>
      <c r="C28285" s="5" t="str">
        <f>IFERROR(__xludf.DUMMYFUNCTION("GOOGLETRANSLATE(B28285,""en"",""es-ES"")"),"Un niño juega con una pelota en un patio.")</f>
        <v>Un niño juega con una pelota en un patio.</v>
      </c>
    </row>
    <row r="28286">
      <c r="A28286" s="4" t="s">
        <v>35619</v>
      </c>
      <c r="B28286" s="4" t="s">
        <v>35621</v>
      </c>
      <c r="C28286" s="5" t="str">
        <f>IFERROR(__xludf.DUMMYFUNCTION("GOOGLETRANSLATE(B28286,""en"",""es-ES"")"),"Un niño balancea y golpea la pelota fuera del patio.")</f>
        <v>Un niño balancea y golpea la pelota fuera del patio.</v>
      </c>
    </row>
    <row r="28287">
      <c r="A28287" s="4" t="s">
        <v>35619</v>
      </c>
      <c r="B28287" s="4" t="s">
        <v>35622</v>
      </c>
      <c r="C28287" s="5" t="str">
        <f>IFERROR(__xludf.DUMMYFUNCTION("GOOGLETRANSLATE(B28287,""en"",""es-ES"")"),"El niño camina para recuperar la pelota.")</f>
        <v>El niño camina para recuperar la pelota.</v>
      </c>
    </row>
    <row r="28288">
      <c r="A28288" s="4" t="s">
        <v>35619</v>
      </c>
      <c r="B28288" s="4" t="s">
        <v>35623</v>
      </c>
      <c r="C28288" s="5" t="str">
        <f>IFERROR(__xludf.DUMMYFUNCTION("GOOGLETRANSLATE(B28288,""en"",""es-ES"")"),"El niño juega un juego en el que golpea la pelota y derriba las tapas de basura.")</f>
        <v>El niño juega un juego en el que golpea la pelota y derriba las tapas de basura.</v>
      </c>
    </row>
    <row r="28289">
      <c r="A28289" s="4" t="s">
        <v>35619</v>
      </c>
      <c r="B28289" s="4" t="s">
        <v>35624</v>
      </c>
      <c r="C28289" s="5" t="str">
        <f>IFERROR(__xludf.DUMMYFUNCTION("GOOGLETRANSLATE(B28289,""en"",""es-ES"")"),"El niño balancea un palo en las bolas para golpearlas a través de un gol.")</f>
        <v>El niño balancea un palo en las bolas para golpearlas a través de un gol.</v>
      </c>
    </row>
    <row r="28290">
      <c r="A28290" s="4" t="s">
        <v>35625</v>
      </c>
      <c r="B28290" s="4" t="s">
        <v>35626</v>
      </c>
      <c r="C28290" s="5" t="str">
        <f>IFERROR(__xludf.DUMMYFUNCTION("GOOGLETRANSLATE(B28290,""en"",""es-ES"")"),"La gente juega ShuffleBoard en un gimnasio.")</f>
        <v>La gente juega ShuffleBoard en un gimnasio.</v>
      </c>
    </row>
    <row r="28291">
      <c r="A28291" s="4" t="s">
        <v>35625</v>
      </c>
      <c r="B28291" s="4" t="s">
        <v>35627</v>
      </c>
      <c r="C28291" s="5" t="str">
        <f>IFERROR(__xludf.DUMMYFUNCTION("GOOGLETRANSLATE(B28291,""en"",""es-ES"")"),"Una mujer lanza un disco negro, luego habla y continúa jugando.")</f>
        <v>Una mujer lanza un disco negro, luego habla y continúa jugando.</v>
      </c>
    </row>
    <row r="28292">
      <c r="A28292" s="4" t="s">
        <v>35625</v>
      </c>
      <c r="B28292" s="4" t="s">
        <v>35628</v>
      </c>
      <c r="C28292" s="5" t="str">
        <f>IFERROR(__xludf.DUMMYFUNCTION("GOOGLETRANSLATE(B28292,""en"",""es-ES"")"),"El viejo con una gorra habla en el gimnasio.")</f>
        <v>El viejo con una gorra habla en el gimnasio.</v>
      </c>
    </row>
    <row r="28293">
      <c r="A28293" s="4" t="s">
        <v>35625</v>
      </c>
      <c r="B28293" s="4" t="s">
        <v>35629</v>
      </c>
      <c r="C28293" s="5" t="str">
        <f>IFERROR(__xludf.DUMMYFUNCTION("GOOGLETRANSLATE(B28293,""en"",""es-ES"")"),"Dos mujeres hablan de lado a lado, una de las mujeres sostiene un poste.")</f>
        <v>Dos mujeres hablan de lado a lado, una de las mujeres sostiene un poste.</v>
      </c>
    </row>
    <row r="28294">
      <c r="A28294" s="4" t="s">
        <v>35630</v>
      </c>
      <c r="B28294" s="4" t="s">
        <v>35631</v>
      </c>
      <c r="C28294" s="5" t="str">
        <f>IFERROR(__xludf.DUMMYFUNCTION("GOOGLETRANSLATE(B28294,""en"",""es-ES"")"),"Un infomercial muestra a una persona que usa una maquinilla de afeitar en la pierna mientras habla con la cámara.")</f>
        <v>Un infomercial muestra a una persona que usa una maquinilla de afeitar en la pierna mientras habla con la cámara.</v>
      </c>
    </row>
    <row r="28295">
      <c r="A28295" s="4" t="s">
        <v>35630</v>
      </c>
      <c r="B28295" s="4" t="s">
        <v>35632</v>
      </c>
      <c r="C28295" s="5" t="str">
        <f>IFERROR(__xludf.DUMMYFUNCTION("GOOGLETRANSLATE(B28295,""en"",""es-ES"")"),"La mujer continúa afeitándose las piernas y se muestra un primer plano de la herramienta.")</f>
        <v>La mujer continúa afeitándose las piernas y se muestra un primer plano de la herramienta.</v>
      </c>
    </row>
    <row r="28296">
      <c r="A28296" s="4" t="s">
        <v>35633</v>
      </c>
      <c r="B28296" s="4" t="s">
        <v>35634</v>
      </c>
      <c r="C28296" s="5" t="str">
        <f>IFERROR(__xludf.DUMMYFUNCTION("GOOGLETRANSLATE(B28296,""en"",""es-ES"")"),"Una mujer entra al marco jugando con su cabello y separándolo detrás de ella.")</f>
        <v>Una mujer entra al marco jugando con su cabello y separándolo detrás de ella.</v>
      </c>
    </row>
    <row r="28297">
      <c r="A28297" s="4" t="s">
        <v>35633</v>
      </c>
      <c r="B28297" s="4" t="s">
        <v>35635</v>
      </c>
      <c r="C28297" s="5" t="str">
        <f>IFERROR(__xludf.DUMMYFUNCTION("GOOGLETRANSLATE(B28297,""en"",""es-ES"")"),"La mujer continúa trenzándose el cabello y muestra el resultado final mientras mira a la cámara y luego se va.")</f>
        <v>La mujer continúa trenzándose el cabello y muestra el resultado final mientras mira a la cámara y luego se va.</v>
      </c>
    </row>
    <row r="28298">
      <c r="A28298" s="4" t="s">
        <v>35636</v>
      </c>
      <c r="B28298" s="4" t="s">
        <v>35637</v>
      </c>
      <c r="C28298" s="5" t="str">
        <f>IFERROR(__xludf.DUMMYFUNCTION("GOOGLETRANSLATE(B28298,""en"",""es-ES"")"),"Se muestran autos cubiertos por una gruesa nieve y un hombre está limpiando la nieve con una pala en el parabrisas y todo el automóvil.")</f>
        <v>Se muestran autos cubiertos por una gruesa nieve y un hombre está limpiando la nieve con una pala en el parabrisas y todo el automóvil.</v>
      </c>
    </row>
    <row r="28299">
      <c r="A28299" s="4" t="s">
        <v>35636</v>
      </c>
      <c r="B28299" s="4" t="s">
        <v>35638</v>
      </c>
      <c r="C28299" s="5" t="str">
        <f>IFERROR(__xludf.DUMMYFUNCTION("GOOGLETRANSLATE(B28299,""en"",""es-ES"")"),"El coche va a la calle.")</f>
        <v>El coche va a la calle.</v>
      </c>
    </row>
    <row r="28300">
      <c r="A28300" s="4" t="s">
        <v>35639</v>
      </c>
      <c r="B28300" s="4" t="s">
        <v>35640</v>
      </c>
      <c r="C28300" s="5" t="str">
        <f>IFERROR(__xludf.DUMMYFUNCTION("GOOGLETRANSLATE(B28300,""en"",""es-ES"")"),"Una pareja y un niño están en una sala de estar.")</f>
        <v>Una pareja y un niño están en una sala de estar.</v>
      </c>
    </row>
    <row r="28301">
      <c r="A28301" s="4" t="s">
        <v>35639</v>
      </c>
      <c r="B28301" s="4" t="s">
        <v>35641</v>
      </c>
      <c r="C28301" s="5" t="str">
        <f>IFERROR(__xludf.DUMMYFUNCTION("GOOGLETRANSLATE(B28301,""en"",""es-ES"")"),"La pareja comienza a bailar en el medio de la habitación, girando y girando.")</f>
        <v>La pareja comienza a bailar en el medio de la habitación, girando y girando.</v>
      </c>
    </row>
    <row r="28302">
      <c r="A28302" s="4" t="s">
        <v>35642</v>
      </c>
      <c r="B28302" s="4" t="s">
        <v>35643</v>
      </c>
      <c r="C28302" s="5" t="str">
        <f>IFERROR(__xludf.DUMMYFUNCTION("GOOGLETRANSLATE(B28302,""en"",""es-ES"")"),"Un árbitro con una camisa blanca en un combate de boxeo comienza un combate de boxeo.")</f>
        <v>Un árbitro con una camisa blanca en un combate de boxeo comienza un combate de boxeo.</v>
      </c>
    </row>
    <row r="28303">
      <c r="A28303" s="4" t="s">
        <v>35642</v>
      </c>
      <c r="B28303" s="4" t="s">
        <v>35644</v>
      </c>
      <c r="C28303" s="5" t="str">
        <f>IFERROR(__xludf.DUMMYFUNCTION("GOOGLETRANSLATE(B28303,""en"",""es-ES"")"),"Dos boxeadores de niñas se acercan y comienzan a Kick Boxing.")</f>
        <v>Dos boxeadores de niñas se acercan y comienzan a Kick Boxing.</v>
      </c>
    </row>
    <row r="28304">
      <c r="A28304" s="4" t="s">
        <v>35642</v>
      </c>
      <c r="B28304" s="4" t="s">
        <v>35645</v>
      </c>
      <c r="C28304" s="5" t="str">
        <f>IFERROR(__xludf.DUMMYFUNCTION("GOOGLETRANSLATE(B28304,""en"",""es-ES"")"),"El boxeador más alto se acerca al boxeador más corto y golpea al boxeador más corto con una patada recta.")</f>
        <v>El boxeador más alto se acerca al boxeador más corto y golpea al boxeador más corto con una patada recta.</v>
      </c>
    </row>
    <row r="28305">
      <c r="A28305" s="4" t="s">
        <v>35642</v>
      </c>
      <c r="B28305" s="4" t="s">
        <v>35646</v>
      </c>
      <c r="C28305" s="5" t="str">
        <f>IFERROR(__xludf.DUMMYFUNCTION("GOOGLETRANSLATE(B28305,""en"",""es-ES"")"),"Ambos boxeadores intercambian golpes y paten en el centro del ring.")</f>
        <v>Ambos boxeadores intercambian golpes y paten en el centro del ring.</v>
      </c>
    </row>
    <row r="28306">
      <c r="A28306" s="4" t="s">
        <v>35642</v>
      </c>
      <c r="B28306" s="4" t="s">
        <v>35647</v>
      </c>
      <c r="C28306" s="5" t="str">
        <f>IFERROR(__xludf.DUMMYFUNCTION("GOOGLETRANSLATE(B28306,""en"",""es-ES"")"),"El árbitro maneja la pelea mientras sigue y observa a los luchadores de cerca.")</f>
        <v>El árbitro maneja la pelea mientras sigue y observa a los luchadores de cerca.</v>
      </c>
    </row>
    <row r="28307">
      <c r="A28307" s="4" t="s">
        <v>35648</v>
      </c>
      <c r="B28307" s="4" t="s">
        <v>35649</v>
      </c>
      <c r="C28307" s="5" t="str">
        <f>IFERROR(__xludf.DUMMYFUNCTION("GOOGLETRANSLATE(B28307,""en"",""es-ES"")"),"Dos personas tienen tubos en un arroyo con agua exuberante y enormes rocas en todo.")</f>
        <v>Dos personas tienen tubos en un arroyo con agua exuberante y enormes rocas en todo.</v>
      </c>
    </row>
    <row r="28308">
      <c r="A28308" s="4" t="s">
        <v>35648</v>
      </c>
      <c r="B28308" s="4" t="s">
        <v>35650</v>
      </c>
      <c r="C28308" s="5" t="str">
        <f>IFERROR(__xludf.DUMMYFUNCTION("GOOGLETRANSLATE(B28308,""en"",""es-ES"")"),"Una vez que los dos se acercan a la curva, golpearon dos pequeñas colinas y vade en la parte más tranquila del agua.")</f>
        <v>Una vez que los dos se acercan a la curva, golpearon dos pequeñas colinas y vade en la parte más tranquila del agua.</v>
      </c>
    </row>
    <row r="28309">
      <c r="A28309" s="4" t="s">
        <v>35651</v>
      </c>
      <c r="B28309" s="4" t="s">
        <v>35652</v>
      </c>
      <c r="C28309" s="5" t="str">
        <f>IFERROR(__xludf.DUMMYFUNCTION("GOOGLETRANSLATE(B28309,""en"",""es-ES"")"),"El hombre está depilando la pierna de una mujer.")</f>
        <v>El hombre está depilando la pierna de una mujer.</v>
      </c>
    </row>
    <row r="28310">
      <c r="A28310" s="4" t="s">
        <v>35651</v>
      </c>
      <c r="B28310" s="4" t="s">
        <v>35653</v>
      </c>
      <c r="C28310" s="5" t="str">
        <f>IFERROR(__xludf.DUMMYFUNCTION("GOOGLETRANSLATE(B28310,""en"",""es-ES"")"),"La mujer está hablando con la cámara y mostrando cómo encender la pierna.")</f>
        <v>La mujer está hablando con la cámara y mostrando cómo encender la pierna.</v>
      </c>
    </row>
    <row r="28311">
      <c r="A28311" s="4" t="s">
        <v>35654</v>
      </c>
      <c r="B28311" s="4" t="s">
        <v>35655</v>
      </c>
      <c r="C28311" s="5" t="str">
        <f>IFERROR(__xludf.DUMMYFUNCTION("GOOGLETRANSLATE(B28311,""en"",""es-ES"")"),"Dos personas tienen sus piernas atadas y luego reciben instrucciones.")</f>
        <v>Dos personas tienen sus piernas atadas y luego reciben instrucciones.</v>
      </c>
    </row>
    <row r="28312">
      <c r="A28312" s="4" t="s">
        <v>35654</v>
      </c>
      <c r="B28312" s="4" t="s">
        <v>35656</v>
      </c>
      <c r="C28312" s="5" t="str">
        <f>IFERROR(__xludf.DUMMYFUNCTION("GOOGLETRANSLATE(B28312,""en"",""es-ES"")"),"Salen a una repisa y luego saltan el bungee saltando sobre el borde.")</f>
        <v>Salen a una repisa y luego saltan el bungee saltando sobre el borde.</v>
      </c>
    </row>
    <row r="28313">
      <c r="A28313" s="4" t="s">
        <v>35657</v>
      </c>
      <c r="B28313" s="4" t="s">
        <v>35658</v>
      </c>
      <c r="C28313" s="5" t="str">
        <f>IFERROR(__xludf.DUMMYFUNCTION("GOOGLETRANSLATE(B28313,""en"",""es-ES"")"),"Las imágenes de una bebida se muestran seguidas de un tazón vacío y una persona que pone ingredientes en el tazón.")</f>
        <v>Las imágenes de una bebida se muestran seguidas de un tazón vacío y una persona que pone ingredientes en el tazón.</v>
      </c>
    </row>
    <row r="28314">
      <c r="A28314" s="4" t="s">
        <v>35657</v>
      </c>
      <c r="B28314" s="4" t="s">
        <v>35659</v>
      </c>
      <c r="C28314" s="5" t="str">
        <f>IFERROR(__xludf.DUMMYFUNCTION("GOOGLETRANSLATE(B28314,""en"",""es-ES"")"),"La persona agita los ingredientes por todas partes y vierte la mezcla en un vaso con hielo para servir.")</f>
        <v>La persona agita los ingredientes por todas partes y vierte la mezcla en un vaso con hielo para servir.</v>
      </c>
    </row>
    <row r="28315">
      <c r="A28315" s="4" t="s">
        <v>35660</v>
      </c>
      <c r="B28315" s="4" t="s">
        <v>35661</v>
      </c>
      <c r="C28315" s="5" t="str">
        <f>IFERROR(__xludf.DUMMYFUNCTION("GOOGLETRANSLATE(B28315,""en"",""es-ES"")"),"Se une un cepillo a un taladro de alimentación para fregar.")</f>
        <v>Se une un cepillo a un taladro de alimentación para fregar.</v>
      </c>
    </row>
    <row r="28316">
      <c r="A28316" s="4" t="s">
        <v>35660</v>
      </c>
      <c r="B28316" s="4" t="s">
        <v>35662</v>
      </c>
      <c r="C28316" s="5" t="str">
        <f>IFERROR(__xludf.DUMMYFUNCTION("GOOGLETRANSLATE(B28316,""en"",""es-ES"")"),"La parte superior del fregadero se frota y luego el tazón.")</f>
        <v>La parte superior del fregadero se frota y luego el tazón.</v>
      </c>
    </row>
    <row r="28317">
      <c r="A28317" s="4" t="s">
        <v>35660</v>
      </c>
      <c r="B28317" s="4" t="s">
        <v>35663</v>
      </c>
      <c r="C28317" s="5" t="str">
        <f>IFERROR(__xludf.DUMMYFUNCTION("GOOGLETRANSLATE(B28317,""en"",""es-ES"")"),"Se limpia con una toalla para terminar.")</f>
        <v>Se limpia con una toalla para terminar.</v>
      </c>
    </row>
    <row r="28318">
      <c r="A28318" s="4" t="s">
        <v>35664</v>
      </c>
      <c r="B28318" s="4" t="s">
        <v>35665</v>
      </c>
      <c r="C28318" s="5" t="str">
        <f>IFERROR(__xludf.DUMMYFUNCTION("GOOGLETRANSLATE(B28318,""en"",""es-ES"")"),"La gente está sentada en máquinas de ejercicio en una habitación.")</f>
        <v>La gente está sentada en máquinas de ejercicio en una habitación.</v>
      </c>
    </row>
    <row r="28319">
      <c r="A28319" s="4" t="s">
        <v>35664</v>
      </c>
      <c r="B28319" s="4" t="s">
        <v>35666</v>
      </c>
      <c r="C28319" s="5" t="str">
        <f>IFERROR(__xludf.DUMMYFUNCTION("GOOGLETRANSLATE(B28319,""en"",""es-ES"")"),"Todos comienzan a hacer ejercicio y tirando de una cuerda.")</f>
        <v>Todos comienzan a hacer ejercicio y tirando de una cuerda.</v>
      </c>
    </row>
    <row r="28320">
      <c r="A28320" s="4" t="s">
        <v>35664</v>
      </c>
      <c r="B28320" s="4" t="s">
        <v>35667</v>
      </c>
      <c r="C28320" s="5" t="str">
        <f>IFERROR(__xludf.DUMMYFUNCTION("GOOGLETRANSLATE(B28320,""en"",""es-ES"")"),"La gente está parada frente a ellos animándolos.")</f>
        <v>La gente está parada frente a ellos animándolos.</v>
      </c>
    </row>
    <row r="28321">
      <c r="A28321" s="4" t="s">
        <v>35668</v>
      </c>
      <c r="B28321" s="4" t="s">
        <v>35669</v>
      </c>
      <c r="C28321" s="5" t="str">
        <f>IFERROR(__xludf.DUMMYFUNCTION("GOOGLETRANSLATE(B28321,""en"",""es-ES"")"),"Se ve a un hombre bailando con un hula hoop en un área llena de gente mientras la gente deambula detrás de ella.")</f>
        <v>Se ve a un hombre bailando con un hula hoop en un área llena de gente mientras la gente deambula detrás de ella.</v>
      </c>
    </row>
    <row r="28322">
      <c r="A28322" s="4" t="s">
        <v>35668</v>
      </c>
      <c r="B28322" s="4" t="s">
        <v>35670</v>
      </c>
      <c r="C28322" s="5" t="str">
        <f>IFERROR(__xludf.DUMMYFUNCTION("GOOGLETRANSLATE(B28322,""en"",""es-ES"")"),"La mujer continúa girando el aro a su alrededor mientras la gente la ve girar.")</f>
        <v>La mujer continúa girando el aro a su alrededor mientras la gente la ve girar.</v>
      </c>
    </row>
    <row r="28323">
      <c r="A28323" s="4" t="s">
        <v>35671</v>
      </c>
      <c r="B28323" s="4" t="s">
        <v>35672</v>
      </c>
      <c r="C28323" s="5" t="str">
        <f>IFERROR(__xludf.DUMMYFUNCTION("GOOGLETRANSLATE(B28323,""en"",""es-ES"")"),"Un músico de jazz está enseñando cómo tocar el saxofón.")</f>
        <v>Un músico de jazz está enseñando cómo tocar el saxofón.</v>
      </c>
    </row>
    <row r="28324">
      <c r="A28324" s="4" t="s">
        <v>35671</v>
      </c>
      <c r="B28324" s="4" t="s">
        <v>35673</v>
      </c>
      <c r="C28324" s="5" t="str">
        <f>IFERROR(__xludf.DUMMYFUNCTION("GOOGLETRANSLATE(B28324,""en"",""es-ES"")"),"Él está dando instrucciones y hablando sobre música y escalas.")</f>
        <v>Él está dando instrucciones y hablando sobre música y escalas.</v>
      </c>
    </row>
    <row r="28325">
      <c r="A28325" s="4" t="s">
        <v>35671</v>
      </c>
      <c r="B28325" s="4" t="s">
        <v>35674</v>
      </c>
      <c r="C28325" s="5" t="str">
        <f>IFERROR(__xludf.DUMMYFUNCTION("GOOGLETRANSLATE(B28325,""en"",""es-ES"")"),"Luego comienza a jugar un poco antes de volver a conferencias.")</f>
        <v>Luego comienza a jugar un poco antes de volver a conferencias.</v>
      </c>
    </row>
    <row r="28326">
      <c r="A28326" s="4" t="s">
        <v>35671</v>
      </c>
      <c r="B28326" s="4" t="s">
        <v>35675</v>
      </c>
      <c r="C28326" s="5" t="str">
        <f>IFERROR(__xludf.DUMMYFUNCTION("GOOGLETRANSLATE(B28326,""en"",""es-ES"")"),"Habla sobre las notas que ha escrito en el tablero de tiza y vuelve a dar una conferencia más sobre todo.")</f>
        <v>Habla sobre las notas que ha escrito en el tablero de tiza y vuelve a dar una conferencia más sobre todo.</v>
      </c>
    </row>
    <row r="28327">
      <c r="A28327" s="4" t="s">
        <v>35676</v>
      </c>
      <c r="B28327" s="4" t="s">
        <v>35677</v>
      </c>
      <c r="C28327" s="5" t="str">
        <f>IFERROR(__xludf.DUMMYFUNCTION("GOOGLETRANSLATE(B28327,""en"",""es-ES"")"),"Una persona habla mientras se sienta en un bote sosteniendo una paleta.")</f>
        <v>Una persona habla mientras se sienta en un bote sosteniendo una paleta.</v>
      </c>
    </row>
    <row r="28328">
      <c r="A28328" s="4" t="s">
        <v>35676</v>
      </c>
      <c r="B28328" s="4" t="s">
        <v>35678</v>
      </c>
      <c r="C28328" s="5" t="str">
        <f>IFERROR(__xludf.DUMMYFUNCTION("GOOGLETRANSLATE(B28328,""en"",""es-ES"")"),"Luego, la persona navega en aguas entrecortadas, de repente giró el bote ayudando con el remo.")</f>
        <v>Luego, la persona navega en aguas entrecortadas, de repente giró el bote ayudando con el remo.</v>
      </c>
    </row>
    <row r="28329">
      <c r="A28329" s="4" t="s">
        <v>35679</v>
      </c>
      <c r="B28329" s="4" t="s">
        <v>35680</v>
      </c>
      <c r="C28329" s="5" t="str">
        <f>IFERROR(__xludf.DUMMYFUNCTION("GOOGLETRANSLATE(B28329,""en"",""es-ES"")"),"Un grupo de niños y adultos está por un río.")</f>
        <v>Un grupo de niños y adultos está por un río.</v>
      </c>
    </row>
    <row r="28330">
      <c r="A28330" s="4" t="s">
        <v>35679</v>
      </c>
      <c r="B28330" s="4" t="s">
        <v>35681</v>
      </c>
      <c r="C28330" s="5" t="str">
        <f>IFERROR(__xludf.DUMMYFUNCTION("GOOGLETRANSLATE(B28330,""en"",""es-ES"")"),"Se meten en balsas y flotan por la corriente.")</f>
        <v>Se meten en balsas y flotan por la corriente.</v>
      </c>
    </row>
    <row r="28331">
      <c r="A28331" s="4" t="s">
        <v>35679</v>
      </c>
      <c r="B28331" s="4" t="s">
        <v>35682</v>
      </c>
      <c r="C28331" s="5" t="str">
        <f>IFERROR(__xludf.DUMMYFUNCTION("GOOGLETRANSLATE(B28331,""en"",""es-ES"")"),"Reman a través de los rápidos y las caídas.")</f>
        <v>Reman a través de los rápidos y las caídas.</v>
      </c>
    </row>
    <row r="28332">
      <c r="A28332" s="4" t="s">
        <v>35683</v>
      </c>
      <c r="B28332" s="4" t="s">
        <v>35684</v>
      </c>
      <c r="C28332" s="5" t="str">
        <f>IFERROR(__xludf.DUMMYFUNCTION("GOOGLETRANSLATE(B28332,""en"",""es-ES"")"),"""Cómo comenzar una fogata con Fiair"" aparece en la pantalla.")</f>
        <v>"Cómo comenzar una fogata con Fiair" aparece en la pantalla.</v>
      </c>
    </row>
    <row r="28333">
      <c r="A28333" s="4" t="s">
        <v>35683</v>
      </c>
      <c r="B28333" s="4" t="s">
        <v>35685</v>
      </c>
      <c r="C28333" s="5" t="str">
        <f>IFERROR(__xludf.DUMMYFUNCTION("GOOGLETRANSLATE(B28333,""en"",""es-ES"")"),"El biólogo de vida silvestre Bryon Shissler se sienta afuera por una fogata y habla con la cámara.")</f>
        <v>El biólogo de vida silvestre Bryon Shissler se sienta afuera por una fogata y habla con la cámara.</v>
      </c>
    </row>
    <row r="28334">
      <c r="A28334" s="4" t="s">
        <v>35683</v>
      </c>
      <c r="B28334" s="4" t="s">
        <v>35686</v>
      </c>
      <c r="C28334" s="5" t="str">
        <f>IFERROR(__xludf.DUMMYFUNCTION("GOOGLETRANSLATE(B28334,""en"",""es-ES"")"),"Él construye y enciende un fuego en el pozo usando el dispositivo FIAIR.")</f>
        <v>Él construye y enciende un fuego en el pozo usando el dispositivo FIAIR.</v>
      </c>
    </row>
    <row r="28335">
      <c r="A28335" s="4" t="s">
        <v>35683</v>
      </c>
      <c r="B28335" s="4" t="s">
        <v>35687</v>
      </c>
      <c r="C28335" s="5" t="str">
        <f>IFERROR(__xludf.DUMMYFUNCTION("GOOGLETRANSLATE(B28335,""en"",""es-ES"")"),"""Fiair el pequeño soplador de mano para alimentar sus incendios"" aparece en la pantalla.")</f>
        <v>"Fiair el pequeño soplador de mano para alimentar sus incendios" aparece en la pantalla.</v>
      </c>
    </row>
    <row r="28336">
      <c r="A28336" s="4" t="s">
        <v>35688</v>
      </c>
      <c r="B28336" s="4" t="s">
        <v>35689</v>
      </c>
      <c r="C28336" s="5" t="str">
        <f>IFERROR(__xludf.DUMMYFUNCTION("GOOGLETRANSLATE(B28336,""en"",""es-ES"")"),"La gente ve un desfile donde la gente camina al frente de una banda de música que sostiene una pancarta y agita a los espectadores.")</f>
        <v>La gente ve un desfile donde la gente camina al frente de una banda de música que sostiene una pancarta y agita a los espectadores.</v>
      </c>
    </row>
    <row r="28337">
      <c r="A28337" s="4" t="s">
        <v>35688</v>
      </c>
      <c r="B28337" s="4" t="s">
        <v>35690</v>
      </c>
      <c r="C28337" s="5" t="str">
        <f>IFERROR(__xludf.DUMMYFUNCTION("GOOGLETRANSLATE(B28337,""en"",""es-ES"")"),"Un hombre cruza la calle sosteniendo una pequeña bandera y extiende su mano.")</f>
        <v>Un hombre cruza la calle sosteniendo una pequeña bandera y extiende su mano.</v>
      </c>
    </row>
    <row r="28338">
      <c r="A28338" s="4" t="s">
        <v>35688</v>
      </c>
      <c r="B28338" s="4" t="s">
        <v>35691</v>
      </c>
      <c r="C28338" s="5" t="str">
        <f>IFERROR(__xludf.DUMMYFUNCTION("GOOGLETRANSLATE(B28338,""en"",""es-ES"")"),"Un grupo de soldados sostiene rifles y banderas en el frente de un automóvil negro.")</f>
        <v>Un grupo de soldados sostiene rifles y banderas en el frente de un automóvil negro.</v>
      </c>
    </row>
    <row r="28339">
      <c r="A28339" s="4" t="s">
        <v>35688</v>
      </c>
      <c r="B28339" s="4" t="s">
        <v>35692</v>
      </c>
      <c r="C28339" s="5" t="str">
        <f>IFERROR(__xludf.DUMMYFUNCTION("GOOGLETRANSLATE(B28339,""en"",""es-ES"")"),"Un veterano hace que el militar saludo.")</f>
        <v>Un veterano hace que el militar saludo.</v>
      </c>
    </row>
    <row r="28340">
      <c r="A28340" s="4" t="s">
        <v>35693</v>
      </c>
      <c r="B28340" s="4" t="s">
        <v>35694</v>
      </c>
      <c r="C28340" s="5" t="str">
        <f>IFERROR(__xludf.DUMMYFUNCTION("GOOGLETRANSLATE(B28340,""en"",""es-ES"")"),"Una persona sumerge un pincel de pintura en una sartén.")</f>
        <v>Una persona sumerge un pincel de pintura en una sartén.</v>
      </c>
    </row>
    <row r="28341">
      <c r="A28341" s="4" t="s">
        <v>35693</v>
      </c>
      <c r="B28341" s="4" t="s">
        <v>35695</v>
      </c>
      <c r="C28341" s="5" t="str">
        <f>IFERROR(__xludf.DUMMYFUNCTION("GOOGLETRANSLATE(B28341,""en"",""es-ES"")"),"Usan el cepillo para pintar el costado de una mesa.")</f>
        <v>Usan el cepillo para pintar el costado de una mesa.</v>
      </c>
    </row>
    <row r="28342">
      <c r="A28342" s="4" t="s">
        <v>35693</v>
      </c>
      <c r="B28342" s="4" t="s">
        <v>35696</v>
      </c>
      <c r="C28342" s="5" t="str">
        <f>IFERROR(__xludf.DUMMYFUNCTION("GOOGLETRANSLATE(B28342,""en"",""es-ES"")"),"Usan grandes trazos, continúan pintando.")</f>
        <v>Usan grandes trazos, continúan pintando.</v>
      </c>
    </row>
    <row r="28343">
      <c r="A28343" s="4" t="s">
        <v>35697</v>
      </c>
      <c r="B28343" s="4" t="s">
        <v>35698</v>
      </c>
      <c r="C28343" s="5" t="str">
        <f>IFERROR(__xludf.DUMMYFUNCTION("GOOGLETRANSLATE(B28343,""en"",""es-ES"")"),"Un hombre se acerca a otro hombre molesto y sugiere un partido de lucha libre.")</f>
        <v>Un hombre se acerca a otro hombre molesto y sugiere un partido de lucha libre.</v>
      </c>
    </row>
    <row r="28344">
      <c r="A28344" s="4" t="s">
        <v>35697</v>
      </c>
      <c r="B28344" s="4" t="s">
        <v>35699</v>
      </c>
      <c r="C28344" s="5" t="str">
        <f>IFERROR(__xludf.DUMMYFUNCTION("GOOGLETRANSLATE(B28344,""en"",""es-ES"")"),"Los hombres comienzan a tomarse de la mano y se alejan rápidamente mientras dos mujeres caminan hacia la escena.")</f>
        <v>Los hombres comienzan a tomarse de la mano y se alejan rápidamente mientras dos mujeres caminan hacia la escena.</v>
      </c>
    </row>
    <row r="28345">
      <c r="A28345" s="4" t="s">
        <v>35697</v>
      </c>
      <c r="B28345" s="4" t="s">
        <v>35700</v>
      </c>
      <c r="C28345" s="5" t="str">
        <f>IFERROR(__xludf.DUMMYFUNCTION("GOOGLETRANSLATE(B28345,""en"",""es-ES"")"),"Los hombres continúan el partido mientras se ven tranquilos y el otro parece luchado.")</f>
        <v>Los hombres continúan el partido mientras se ven tranquilos y el otro parece luchado.</v>
      </c>
    </row>
    <row r="28346">
      <c r="A28346" s="4" t="s">
        <v>35697</v>
      </c>
      <c r="B28346" s="4" t="s">
        <v>35701</v>
      </c>
      <c r="C28346" s="5" t="str">
        <f>IFERROR(__xludf.DUMMYFUNCTION("GOOGLETRANSLATE(B28346,""en"",""es-ES"")"),"El partido continúa mientras los hombres discuten sus problemas y las mujeres que miran gritan a los hombres.")</f>
        <v>El partido continúa mientras los hombres discuten sus problemas y las mujeres que miran gritan a los hombres.</v>
      </c>
    </row>
    <row r="28347">
      <c r="A28347" s="4" t="s">
        <v>35697</v>
      </c>
      <c r="B28347" s="4" t="s">
        <v>35702</v>
      </c>
      <c r="C28347" s="5" t="str">
        <f>IFERROR(__xludf.DUMMYFUNCTION("GOOGLETRANSLATE(B28347,""en"",""es-ES"")"),"Luego, las mujeres ayudan a los hombres a luchar y uno golpea al otro para ayudar a un hombre a ganar.")</f>
        <v>Luego, las mujeres ayudan a los hombres a luchar y uno golpea al otro para ayudar a un hombre a ganar.</v>
      </c>
    </row>
    <row r="28348">
      <c r="A28348" s="4" t="s">
        <v>35697</v>
      </c>
      <c r="B28348" s="4" t="s">
        <v>35703</v>
      </c>
      <c r="C28348" s="5" t="str">
        <f>IFERROR(__xludf.DUMMYFUNCTION("GOOGLETRANSLATE(B28348,""en"",""es-ES"")"),"La mujer perforada levanta los brazos y los apuñala mientras el otro hombre también los apuñala.")</f>
        <v>La mujer perforada levanta los brazos y los apuñala mientras el otro hombre también los apuñala.</v>
      </c>
    </row>
    <row r="28349">
      <c r="A28349" s="4" t="s">
        <v>35697</v>
      </c>
      <c r="B28349" s="4" t="s">
        <v>35704</v>
      </c>
      <c r="C28349" s="5" t="str">
        <f>IFERROR(__xludf.DUMMYFUNCTION("GOOGLETRANSLATE(B28349,""en"",""es-ES"")"),"Las mujeres sacan cinta adhesiva y meten un cuerpo en una bolsa.")</f>
        <v>Las mujeres sacan cinta adhesiva y meten un cuerpo en una bolsa.</v>
      </c>
    </row>
    <row r="28350">
      <c r="A28350" s="4" t="s">
        <v>35705</v>
      </c>
      <c r="B28350" s="4" t="s">
        <v>35706</v>
      </c>
      <c r="C28350" s="5" t="str">
        <f>IFERROR(__xludf.DUMMYFUNCTION("GOOGLETRANSLATE(B28350,""en"",""es-ES"")"),"Un hombre se concentra extremadamente duro mientras está lanzando dardos a un tablero en un torneo.")</f>
        <v>Un hombre se concentra extremadamente duro mientras está lanzando dardos a un tablero en un torneo.</v>
      </c>
    </row>
    <row r="28351">
      <c r="A28351" s="4" t="s">
        <v>35705</v>
      </c>
      <c r="B28351" s="4" t="s">
        <v>35707</v>
      </c>
      <c r="C28351" s="5" t="str">
        <f>IFERROR(__xludf.DUMMYFUNCTION("GOOGLETRANSLATE(B28351,""en"",""es-ES"")"),"La gente anima y proyecta para él cuando otro hombre se acerca al tablero y le adquiere competencia.")</f>
        <v>La gente anima y proyecta para él cuando otro hombre se acerca al tablero y le adquiere competencia.</v>
      </c>
    </row>
    <row r="28352">
      <c r="A28352" s="4" t="s">
        <v>35705</v>
      </c>
      <c r="B28352" s="4" t="s">
        <v>35708</v>
      </c>
      <c r="C28352" s="5" t="str">
        <f>IFERROR(__xludf.DUMMYFUNCTION("GOOGLETRANSLATE(B28352,""en"",""es-ES"")"),"Los dos van y vienen, sin embargo, el primer tipo parece ser el favorito de los fanáticos y termina ganando el juego.")</f>
        <v>Los dos van y vienen, sin embargo, el primer tipo parece ser el favorito de los fanáticos y termina ganando el juego.</v>
      </c>
    </row>
    <row r="28353">
      <c r="A28353" s="4" t="s">
        <v>35709</v>
      </c>
      <c r="B28353" s="4" t="s">
        <v>35710</v>
      </c>
      <c r="C28353" s="5" t="str">
        <f>IFERROR(__xludf.DUMMYFUNCTION("GOOGLETRANSLATE(B28353,""en"",""es-ES"")"),"Un hombre está sentado en una bicicleta de ejercicios.")</f>
        <v>Un hombre está sentado en una bicicleta de ejercicios.</v>
      </c>
    </row>
    <row r="28354">
      <c r="A28354" s="4" t="s">
        <v>35709</v>
      </c>
      <c r="B28354" s="4" t="s">
        <v>35711</v>
      </c>
      <c r="C28354" s="5" t="str">
        <f>IFERROR(__xludf.DUMMYFUNCTION("GOOGLETRANSLATE(B28354,""en"",""es-ES"")"),"Está trabajando en la bicicleta.")</f>
        <v>Está trabajando en la bicicleta.</v>
      </c>
    </row>
    <row r="28355">
      <c r="A28355" s="4" t="s">
        <v>35709</v>
      </c>
      <c r="B28355" s="4" t="s">
        <v>35712</v>
      </c>
      <c r="C28355" s="5" t="str">
        <f>IFERROR(__xludf.DUMMYFUNCTION("GOOGLETRANSLATE(B28355,""en"",""es-ES"")"),"Está hablando con la cámara mientras trabaja.")</f>
        <v>Está hablando con la cámara mientras trabaja.</v>
      </c>
    </row>
    <row r="28356">
      <c r="A28356" s="4" t="s">
        <v>35713</v>
      </c>
      <c r="B28356" s="4" t="s">
        <v>35714</v>
      </c>
      <c r="C28356" s="5" t="str">
        <f>IFERROR(__xludf.DUMMYFUNCTION("GOOGLETRANSLATE(B28356,""en"",""es-ES"")"),"Un grupo de artistas marciales y bateristas actúa en una competencia callejera.")</f>
        <v>Un grupo de artistas marciales y bateristas actúa en una competencia callejera.</v>
      </c>
    </row>
    <row r="28357">
      <c r="A28357" s="4" t="s">
        <v>35713</v>
      </c>
      <c r="B28357" s="4" t="s">
        <v>35715</v>
      </c>
      <c r="C28357" s="5" t="str">
        <f>IFERROR(__xludf.DUMMYFUNCTION("GOOGLETRANSLATE(B28357,""en"",""es-ES"")"),"Los artistas marciales con pantalones rojos y camisas negras hacen patadas y volteos.")</f>
        <v>Los artistas marciales con pantalones rojos y camisas negras hacen patadas y volteos.</v>
      </c>
    </row>
    <row r="28358">
      <c r="A28358" s="4" t="s">
        <v>35713</v>
      </c>
      <c r="B28358" s="4" t="s">
        <v>35716</v>
      </c>
      <c r="C28358" s="5" t="str">
        <f>IFERROR(__xludf.DUMMYFUNCTION("GOOGLETRANSLATE(B28358,""en"",""es-ES"")"),"Los bateristas con todos los sombreros negros y rojos tocan la batería.")</f>
        <v>Los bateristas con todos los sombreros negros y rojos tocan la batería.</v>
      </c>
    </row>
    <row r="28359">
      <c r="A28359" s="4" t="s">
        <v>35713</v>
      </c>
      <c r="B28359" s="4" t="s">
        <v>35717</v>
      </c>
      <c r="C28359" s="5" t="str">
        <f>IFERROR(__xludf.DUMMYFUNCTION("GOOGLETRANSLATE(B28359,""en"",""es-ES"")"),"Los artistas terminan su pieza y la multitud aplaude.")</f>
        <v>Los artistas terminan su pieza y la multitud aplaude.</v>
      </c>
    </row>
    <row r="28360">
      <c r="A28360" s="4" t="s">
        <v>35718</v>
      </c>
      <c r="B28360" s="4" t="s">
        <v>35719</v>
      </c>
      <c r="C28360" s="5" t="str">
        <f>IFERROR(__xludf.DUMMYFUNCTION("GOOGLETRANSLATE(B28360,""en"",""es-ES"")"),"Un niño y una niña están parados sobre un fregadero con su madre hablando.")</f>
        <v>Un niño y una niña están parados sobre un fregadero con su madre hablando.</v>
      </c>
    </row>
    <row r="28361">
      <c r="A28361" s="4" t="s">
        <v>35718</v>
      </c>
      <c r="B28361" s="4" t="s">
        <v>35720</v>
      </c>
      <c r="C28361" s="5" t="str">
        <f>IFERROR(__xludf.DUMMYFUNCTION("GOOGLETRANSLATE(B28361,""en"",""es-ES"")"),"La madre les instruye sobre cómo cepillarse los dientes mientras se ríe.")</f>
        <v>La madre les instruye sobre cómo cepillarse los dientes mientras se ríe.</v>
      </c>
    </row>
    <row r="28362">
      <c r="A28362" s="4" t="s">
        <v>35718</v>
      </c>
      <c r="B28362" s="4" t="s">
        <v>35721</v>
      </c>
      <c r="C28362" s="5" t="str">
        <f>IFERROR(__xludf.DUMMYFUNCTION("GOOGLETRANSLATE(B28362,""en"",""es-ES"")"),"El niño ayuda a su hermana menor a cepillarse los dientes.")</f>
        <v>El niño ayuda a su hermana menor a cepillarse los dientes.</v>
      </c>
    </row>
    <row r="28363">
      <c r="A28363" s="4" t="s">
        <v>35718</v>
      </c>
      <c r="B28363" s="4" t="s">
        <v>35722</v>
      </c>
      <c r="C28363" s="5" t="str">
        <f>IFERROR(__xludf.DUMMYFUNCTION("GOOGLETRANSLATE(B28363,""en"",""es-ES"")"),"Ella les consigue un poco de agua para hacer gárgaras en la boca.")</f>
        <v>Ella les consigue un poco de agua para hacer gárgaras en la boca.</v>
      </c>
    </row>
    <row r="28364">
      <c r="A28364" s="4" t="s">
        <v>35718</v>
      </c>
      <c r="B28364" s="4" t="s">
        <v>35723</v>
      </c>
      <c r="C28364" s="5" t="str">
        <f>IFERROR(__xludf.DUMMYFUNCTION("GOOGLETRANSLATE(B28364,""en"",""es-ES"")"),"El niño y la niña comienzan a jugar en el fregadero.")</f>
        <v>El niño y la niña comienzan a jugar en el fregadero.</v>
      </c>
    </row>
    <row r="28365">
      <c r="A28365" s="4" t="s">
        <v>35718</v>
      </c>
      <c r="B28365" s="4" t="s">
        <v>35724</v>
      </c>
      <c r="C28365" s="5" t="str">
        <f>IFERROR(__xludf.DUMMYFUNCTION("GOOGLETRANSLATE(B28365,""en"",""es-ES"")"),"La mujer se ríe de los niños que gotea agua.")</f>
        <v>La mujer se ríe de los niños que gotea agua.</v>
      </c>
    </row>
    <row r="28366">
      <c r="A28366" s="4" t="s">
        <v>35725</v>
      </c>
      <c r="B28366" s="4" t="s">
        <v>35726</v>
      </c>
      <c r="C28366" s="5" t="str">
        <f>IFERROR(__xludf.DUMMYFUNCTION("GOOGLETRANSLATE(B28366,""en"",""es-ES"")"),"Una mujer está fuera del viento que sopla un poco por su cabello, la vista es excepcional.")</f>
        <v>Una mujer está fuera del viento que sopla un poco por su cabello, la vista es excepcional.</v>
      </c>
    </row>
    <row r="28367">
      <c r="A28367" s="4" t="s">
        <v>35725</v>
      </c>
      <c r="B28367" s="4" t="s">
        <v>35727</v>
      </c>
      <c r="C28367" s="5" t="str">
        <f>IFERROR(__xludf.DUMMYFUNCTION("GOOGLETRANSLATE(B28367,""en"",""es-ES"")"),"Hay un grupo de corredores que comienzan un maratón que se toma su tiempo.")</f>
        <v>Hay un grupo de corredores que comienzan un maratón que se toma su tiempo.</v>
      </c>
    </row>
    <row r="28368">
      <c r="A28368" s="4" t="s">
        <v>35725</v>
      </c>
      <c r="B28368" s="4" t="s">
        <v>35728</v>
      </c>
      <c r="C28368" s="5" t="str">
        <f>IFERROR(__xludf.DUMMYFUNCTION("GOOGLETRANSLATE(B28368,""en"",""es-ES"")"),"Era pintoresco y hermoso, flores florecían y todo.")</f>
        <v>Era pintoresco y hermoso, flores florecían y todo.</v>
      </c>
    </row>
    <row r="28369">
      <c r="A28369" s="4" t="s">
        <v>35725</v>
      </c>
      <c r="B28369" s="4" t="s">
        <v>35729</v>
      </c>
      <c r="C28369" s="5" t="str">
        <f>IFERROR(__xludf.DUMMYFUNCTION("GOOGLETRANSLATE(B28369,""en"",""es-ES"")"),"Algunos de los corredores hablan sobre su experiencia con los periodistas.")</f>
        <v>Algunos de los corredores hablan sobre su experiencia con los periodistas.</v>
      </c>
    </row>
    <row r="28370">
      <c r="A28370" s="4" t="s">
        <v>35730</v>
      </c>
      <c r="B28370" s="4" t="s">
        <v>35731</v>
      </c>
      <c r="C28370" s="5" t="str">
        <f>IFERROR(__xludf.DUMMYFUNCTION("GOOGLETRANSLATE(B28370,""en"",""es-ES"")"),"Ella está bailando con un bastón con mucha gracia en todo el escenario para su actuación.")</f>
        <v>Ella está bailando con un bastón con mucha gracia en todo el escenario para su actuación.</v>
      </c>
    </row>
    <row r="28371">
      <c r="A28371" s="4" t="s">
        <v>35730</v>
      </c>
      <c r="B28371" s="4" t="s">
        <v>35732</v>
      </c>
      <c r="C28371" s="5" t="str">
        <f>IFERROR(__xludf.DUMMYFUNCTION("GOOGLETRANSLATE(B28371,""en"",""es-ES"")"),"Ella hace paradas de manos y todo tipo de movimientos intrigantes diferentes.")</f>
        <v>Ella hace paradas de manos y todo tipo de movimientos intrigantes diferentes.</v>
      </c>
    </row>
    <row r="28372">
      <c r="A28372" s="4" t="s">
        <v>35730</v>
      </c>
      <c r="B28372" s="4" t="s">
        <v>35733</v>
      </c>
      <c r="C28372" s="5" t="str">
        <f>IFERROR(__xludf.DUMMYFUNCTION("GOOGLETRANSLATE(B28372,""en"",""es-ES"")"),"Ella arroja el bastón y hace algunas volteretas y aterriza a tiempo para atraparlo.")</f>
        <v>Ella arroja el bastón y hace algunas volteretas y aterriza a tiempo para atraparlo.</v>
      </c>
    </row>
    <row r="28373">
      <c r="A28373" s="4" t="s">
        <v>35730</v>
      </c>
      <c r="B28373" s="4" t="s">
        <v>35734</v>
      </c>
      <c r="C28373" s="5" t="str">
        <f>IFERROR(__xludf.DUMMYFUNCTION("GOOGLETRANSLATE(B28373,""en"",""es-ES"")"),"Ella accidentalmente deja caer el bastón y recoge y continúa y continúa hasta el final de su baile.")</f>
        <v>Ella accidentalmente deja caer el bastón y recoge y continúa y continúa hasta el final de su baile.</v>
      </c>
    </row>
    <row r="28374">
      <c r="A28374" s="4" t="s">
        <v>35735</v>
      </c>
      <c r="B28374" s="4" t="s">
        <v>35736</v>
      </c>
      <c r="C28374" s="5" t="str">
        <f>IFERROR(__xludf.DUMMYFUNCTION("GOOGLETRANSLATE(B28374,""en"",""es-ES"")"),"Kid está lijando en una habitación hablando con la cámara.")</f>
        <v>Kid está lijando en una habitación hablando con la cámara.</v>
      </c>
    </row>
    <row r="28375">
      <c r="A28375" s="4" t="s">
        <v>35735</v>
      </c>
      <c r="B28375" s="4" t="s">
        <v>35737</v>
      </c>
      <c r="C28375" s="5" t="str">
        <f>IFERROR(__xludf.DUMMYFUNCTION("GOOGLETRANSLATE(B28375,""en"",""es-ES"")"),"Anoher Man aparece en la habitación y está practicando una cerradura de la cabeza.")</f>
        <v>Anoher Man aparece en la habitación y está practicando una cerradura de la cabeza.</v>
      </c>
    </row>
    <row r="28376">
      <c r="A28376" s="4" t="s">
        <v>35735</v>
      </c>
      <c r="B28376" s="4" t="s">
        <v>35738</v>
      </c>
      <c r="C28376" s="5" t="str">
        <f>IFERROR(__xludf.DUMMYFUNCTION("GOOGLETRANSLATE(B28376,""en"",""es-ES"")"),"Hombre tira al niño en la cama y se para.")</f>
        <v>Hombre tira al niño en la cama y se para.</v>
      </c>
    </row>
    <row r="28377">
      <c r="A28377" s="4" t="s">
        <v>35739</v>
      </c>
      <c r="B28377" s="4" t="s">
        <v>35740</v>
      </c>
      <c r="C28377" s="5" t="str">
        <f>IFERROR(__xludf.DUMMYFUNCTION("GOOGLETRANSLATE(B28377,""en"",""es-ES"")"),"Se muestra una pantalla de apertura con el título de una canción.")</f>
        <v>Se muestra una pantalla de apertura con el título de una canción.</v>
      </c>
    </row>
    <row r="28378">
      <c r="A28378" s="4" t="s">
        <v>35739</v>
      </c>
      <c r="B28378" s="4" t="s">
        <v>35741</v>
      </c>
      <c r="C28378" s="5" t="str">
        <f>IFERROR(__xludf.DUMMYFUNCTION("GOOGLETRANSLATE(B28378,""en"",""es-ES"")"),"Vemos a un hombre tocando una guitarra en un estudio de grabación.")</f>
        <v>Vemos a un hombre tocando una guitarra en un estudio de grabación.</v>
      </c>
    </row>
    <row r="28379">
      <c r="A28379" s="4" t="s">
        <v>35739</v>
      </c>
      <c r="B28379" s="4" t="s">
        <v>35742</v>
      </c>
      <c r="C28379" s="5" t="str">
        <f>IFERROR(__xludf.DUMMYFUNCTION("GOOGLETRANSLATE(B28379,""en"",""es-ES"")"),"Vemos una pantalla final con la dirección del canal de YouTube del hombre.")</f>
        <v>Vemos una pantalla final con la dirección del canal de YouTube del hombre.</v>
      </c>
    </row>
    <row r="28380">
      <c r="A28380" s="4" t="s">
        <v>35743</v>
      </c>
      <c r="B28380" s="4" t="s">
        <v>35744</v>
      </c>
      <c r="C28380" s="5" t="str">
        <f>IFERROR(__xludf.DUMMYFUNCTION("GOOGLETRANSLATE(B28380,""en"",""es-ES"")"),"El hombre está en una pista de carreras corriendo para dar un salto de altura al polvo.")</f>
        <v>El hombre está en una pista de carreras corriendo para dar un salto de altura al polvo.</v>
      </c>
    </row>
    <row r="28381">
      <c r="A28381" s="4" t="s">
        <v>35743</v>
      </c>
      <c r="B28381" s="4" t="s">
        <v>35745</v>
      </c>
      <c r="C28381" s="5" t="str">
        <f>IFERROR(__xludf.DUMMYFUNCTION("GOOGLETRANSLATE(B28381,""en"",""es-ES"")"),"La mujer está poniendo números en un bocadillo.")</f>
        <v>La mujer está poniendo números en un bocadillo.</v>
      </c>
    </row>
    <row r="28382">
      <c r="A28382" s="4" t="s">
        <v>35743</v>
      </c>
      <c r="B28382" s="4" t="s">
        <v>35746</v>
      </c>
      <c r="C28382" s="5" t="str">
        <f>IFERROR(__xludf.DUMMYFUNCTION("GOOGLETRANSLATE(B28382,""en"",""es-ES"")"),"El hombre está corriendo en el medio del campo.")</f>
        <v>El hombre está corriendo en el medio del campo.</v>
      </c>
    </row>
    <row r="28383">
      <c r="A28383" s="4" t="s">
        <v>35747</v>
      </c>
      <c r="B28383" s="4" t="s">
        <v>35748</v>
      </c>
      <c r="C28383" s="5" t="str">
        <f>IFERROR(__xludf.DUMMYFUNCTION("GOOGLETRANSLATE(B28383,""en"",""es-ES"")"),"Dos hombres están en un tribunal interno.")</f>
        <v>Dos hombres están en un tribunal interno.</v>
      </c>
    </row>
    <row r="28384">
      <c r="A28384" s="4" t="s">
        <v>35747</v>
      </c>
      <c r="B28384" s="4" t="s">
        <v>35749</v>
      </c>
      <c r="C28384" s="5" t="str">
        <f>IFERROR(__xludf.DUMMYFUNCTION("GOOGLETRANSLATE(B28384,""en"",""es-ES"")"),"Juegan un juego de racquetball juntos.")</f>
        <v>Juegan un juego de racquetball juntos.</v>
      </c>
    </row>
    <row r="28385">
      <c r="A28385" s="4" t="s">
        <v>35747</v>
      </c>
      <c r="B28385" s="4" t="s">
        <v>35750</v>
      </c>
      <c r="C28385" s="5" t="str">
        <f>IFERROR(__xludf.DUMMYFUNCTION("GOOGLETRANSLATE(B28385,""en"",""es-ES"")"),"Se turnan para golpear la pelota de un lado a otro contra la pared.")</f>
        <v>Se turnan para golpear la pelota de un lado a otro contra la pared.</v>
      </c>
    </row>
    <row r="28386">
      <c r="A28386" s="4" t="s">
        <v>35751</v>
      </c>
      <c r="B28386" s="4" t="s">
        <v>35752</v>
      </c>
      <c r="C28386" s="5" t="str">
        <f>IFERROR(__xludf.DUMMYFUNCTION("GOOGLETRANSLATE(B28386,""en"",""es-ES"")"),"La gente está sentada en un coche.")</f>
        <v>La gente está sentada en un coche.</v>
      </c>
    </row>
    <row r="28387">
      <c r="A28387" s="4" t="s">
        <v>35751</v>
      </c>
      <c r="B28387" s="4" t="s">
        <v>35753</v>
      </c>
      <c r="C28387" s="5" t="str">
        <f>IFERROR(__xludf.DUMMYFUNCTION("GOOGLETRANSLATE(B28387,""en"",""es-ES"")"),"Están de pie alrededor de una gran balsa inflable.")</f>
        <v>Están de pie alrededor de una gran balsa inflable.</v>
      </c>
    </row>
    <row r="28388">
      <c r="A28388" s="4" t="s">
        <v>35751</v>
      </c>
      <c r="B28388" s="4" t="s">
        <v>35754</v>
      </c>
      <c r="C28388" s="5" t="str">
        <f>IFERROR(__xludf.DUMMYFUNCTION("GOOGLETRANSLATE(B28388,""en"",""es-ES"")"),"Están rafting en agua entrecortada de un río.")</f>
        <v>Están rafting en agua entrecortada de un río.</v>
      </c>
    </row>
    <row r="28389">
      <c r="A28389" s="4" t="s">
        <v>35755</v>
      </c>
      <c r="B28389" s="4" t="s">
        <v>35756</v>
      </c>
      <c r="C28389" s="5" t="str">
        <f>IFERROR(__xludf.DUMMYFUNCTION("GOOGLETRANSLATE(B28389,""en"",""es-ES"")"),"Se muestran varias imágenes de personas acurrucadas juntas, así como personas que juegan fútbol en una playa.")</f>
        <v>Se muestran varias imágenes de personas acurrucadas juntas, así como personas que juegan fútbol en una playa.</v>
      </c>
    </row>
    <row r="28390">
      <c r="A28390" s="4" t="s">
        <v>35755</v>
      </c>
      <c r="B28390" s="4" t="s">
        <v>35757</v>
      </c>
      <c r="C28390" s="5" t="str">
        <f>IFERROR(__xludf.DUMMYFUNCTION("GOOGLETRANSLATE(B28390,""en"",""es-ES"")"),"Se muestran más fotos de personas que juegan, así como un hombre que recibe un trofeo y celebra con otros.")</f>
        <v>Se muestran más fotos de personas que juegan, así como un hombre que recibe un trofeo y celebra con otros.</v>
      </c>
    </row>
    <row r="28391">
      <c r="A28391" s="4" t="s">
        <v>35758</v>
      </c>
      <c r="B28391" s="4" t="s">
        <v>35759</v>
      </c>
      <c r="C28391" s="5" t="str">
        <f>IFERROR(__xludf.DUMMYFUNCTION("GOOGLETRANSLATE(B28391,""en"",""es-ES"")"),"Una cámara se mueve alrededor de una mujer sentada en una silla fumando un cigarrillo.")</f>
        <v>Una cámara se mueve alrededor de una mujer sentada en una silla fumando un cigarrillo.</v>
      </c>
    </row>
    <row r="28392">
      <c r="A28392" s="4" t="s">
        <v>35758</v>
      </c>
      <c r="B28392" s="4" t="s">
        <v>35760</v>
      </c>
      <c r="C28392" s="5" t="str">
        <f>IFERROR(__xludf.DUMMYFUNCTION("GOOGLETRANSLATE(B28392,""en"",""es-ES"")"),"Ella habla con la cámara mientras continúa fumando y termina extendiéndose las piernas.")</f>
        <v>Ella habla con la cámara mientras continúa fumando y termina extendiéndose las piernas.</v>
      </c>
    </row>
    <row r="28393">
      <c r="A28393" s="4" t="s">
        <v>35761</v>
      </c>
      <c r="B28393" s="4" t="s">
        <v>35762</v>
      </c>
      <c r="C28393" s="5" t="str">
        <f>IFERROR(__xludf.DUMMYFUNCTION("GOOGLETRANSLATE(B28393,""en"",""es-ES"")"),"La mujer es Ni Seas -Hore con un sombrero grande y sonriendo.")</f>
        <v>La mujer es Ni Seas -Hore con un sombrero grande y sonriendo.</v>
      </c>
    </row>
    <row r="28394">
      <c r="A28394" s="4" t="s">
        <v>35761</v>
      </c>
      <c r="B28394" s="4" t="s">
        <v>35763</v>
      </c>
      <c r="C28394" s="5" t="str">
        <f>IFERROR(__xludf.DUMMYFUNCTION("GOOGLETRANSLATE(B28394,""en"",""es-ES"")"),"Peolpe está buceando en el mar al lado del muelle con bolsas en la espalda y mostrando los peces y rocas en el piso.")</f>
        <v>Peolpe está buceando en el mar al lado del muelle con bolsas en la espalda y mostrando los peces y rocas en el piso.</v>
      </c>
    </row>
    <row r="28395">
      <c r="A28395" s="4" t="s">
        <v>35764</v>
      </c>
      <c r="B28395" s="4" t="s">
        <v>35765</v>
      </c>
      <c r="C28395" s="5" t="str">
        <f>IFERROR(__xludf.DUMMYFUNCTION("GOOGLETRANSLATE(B28395,""en"",""es-ES"")"),"Un grupo de adolescentes está afuera en un patio.")</f>
        <v>Un grupo de adolescentes está afuera en un patio.</v>
      </c>
    </row>
    <row r="28396">
      <c r="A28396" s="4" t="s">
        <v>35764</v>
      </c>
      <c r="B28396" s="4" t="s">
        <v>35766</v>
      </c>
      <c r="C28396" s="5" t="str">
        <f>IFERROR(__xludf.DUMMYFUNCTION("GOOGLETRANSLATE(B28396,""en"",""es-ES"")"),"Recogen suministros, luego encienden un fuego.")</f>
        <v>Recogen suministros, luego encienden un fuego.</v>
      </c>
    </row>
    <row r="28397">
      <c r="A28397" s="4" t="s">
        <v>35764</v>
      </c>
      <c r="B28397" s="4" t="s">
        <v>35767</v>
      </c>
      <c r="C28397" s="5" t="str">
        <f>IFERROR(__xludf.DUMMYFUNCTION("GOOGLETRANSLATE(B28397,""en"",""es-ES"")"),"Comienzan a patear una pelota en llamas de un lado a otro.")</f>
        <v>Comienzan a patear una pelota en llamas de un lado a otro.</v>
      </c>
    </row>
    <row r="28398">
      <c r="A28398" s="4" t="s">
        <v>35768</v>
      </c>
      <c r="B28398" s="4" t="s">
        <v>35769</v>
      </c>
      <c r="C28398" s="5" t="str">
        <f>IFERROR(__xludf.DUMMYFUNCTION("GOOGLETRANSLATE(B28398,""en"",""es-ES"")"),"Un niño está sentado detrás de una mesa.")</f>
        <v>Un niño está sentado detrás de una mesa.</v>
      </c>
    </row>
    <row r="28399">
      <c r="A28399" s="4" t="s">
        <v>35768</v>
      </c>
      <c r="B28399" s="4" t="s">
        <v>35770</v>
      </c>
      <c r="C28399" s="5" t="str">
        <f>IFERROR(__xludf.DUMMYFUNCTION("GOOGLETRANSLATE(B28399,""en"",""es-ES"")"),"Recoge una cerveza y toma un trago rápidamente.")</f>
        <v>Recoge una cerveza y toma un trago rápidamente.</v>
      </c>
    </row>
    <row r="28400">
      <c r="A28400" s="4" t="s">
        <v>35768</v>
      </c>
      <c r="B28400" s="4" t="s">
        <v>35771</v>
      </c>
      <c r="C28400" s="5" t="str">
        <f>IFERROR(__xludf.DUMMYFUNCTION("GOOGLETRANSLATE(B28400,""en"",""es-ES"")"),"Una mujer se lo agarra.")</f>
        <v>Una mujer se lo agarra.</v>
      </c>
    </row>
    <row r="28401">
      <c r="A28401" s="4" t="s">
        <v>35772</v>
      </c>
      <c r="B28401" s="4" t="s">
        <v>35773</v>
      </c>
      <c r="C28401" s="5" t="str">
        <f>IFERROR(__xludf.DUMMYFUNCTION("GOOGLETRANSLATE(B28401,""en"",""es-ES"")"),"Se muestran varias tomas de comida chapada, seguidas de un sándwich sentado en una mesa y una mujer que sostiene sartenes.")</f>
        <v>Se muestran varias tomas de comida chapada, seguidas de un sándwich sentado en una mesa y una mujer que sostiene sartenes.</v>
      </c>
    </row>
    <row r="28402">
      <c r="A28402" s="4" t="s">
        <v>35772</v>
      </c>
      <c r="B28402" s="4" t="s">
        <v>35774</v>
      </c>
      <c r="C28402" s="5" t="str">
        <f>IFERROR(__xludf.DUMMYFUNCTION("GOOGLETRANSLATE(B28402,""en"",""es-ES"")"),"Luego, la mujer pone ingredientes en pan de sándwich y mezcla los dos y toma múltiples bocados.")</f>
        <v>Luego, la mujer pone ingredientes en pan de sándwich y mezcla los dos y toma múltiples bocados.</v>
      </c>
    </row>
    <row r="28403">
      <c r="A28403" s="4" t="s">
        <v>35775</v>
      </c>
      <c r="B28403" s="4" t="s">
        <v>35776</v>
      </c>
      <c r="C28403" s="5" t="str">
        <f>IFERROR(__xludf.DUMMYFUNCTION("GOOGLETRANSLATE(B28403,""en"",""es-ES"")"),"Se ve a una mujer hablando con la cámara mientras sostiene un cubo y una olla.")</f>
        <v>Se ve a una mujer hablando con la cámara mientras sostiene un cubo y una olla.</v>
      </c>
    </row>
    <row r="28404">
      <c r="A28404" s="4" t="s">
        <v>35775</v>
      </c>
      <c r="B28404" s="4" t="s">
        <v>35777</v>
      </c>
      <c r="C28404" s="5" t="str">
        <f>IFERROR(__xludf.DUMMYFUNCTION("GOOGLETRANSLATE(B28404,""en"",""es-ES"")"),"Ella vierte agua de la olla en el cubo, así como algo de detergente.")</f>
        <v>Ella vierte agua de la olla en el cubo, así como algo de detergente.</v>
      </c>
    </row>
    <row r="28405">
      <c r="A28405" s="4" t="s">
        <v>35775</v>
      </c>
      <c r="B28405" s="4" t="s">
        <v>35778</v>
      </c>
      <c r="C28405" s="5" t="str">
        <f>IFERROR(__xludf.DUMMYFUNCTION("GOOGLETRANSLATE(B28405,""en"",""es-ES"")"),"Luego lavó la ropa en el cubo con agua continuamente, así como un cepillo de dientes.")</f>
        <v>Luego lavó la ropa en el cubo con agua continuamente, así como un cepillo de dientes.</v>
      </c>
    </row>
    <row r="28406">
      <c r="A28406" s="4" t="s">
        <v>35775</v>
      </c>
      <c r="B28406" s="4" t="s">
        <v>35779</v>
      </c>
      <c r="C28406" s="5" t="str">
        <f>IFERROR(__xludf.DUMMYFUNCTION("GOOGLETRANSLATE(B28406,""en"",""es-ES"")"),"Ella presenta la ropa al final y la cuelga.")</f>
        <v>Ella presenta la ropa al final y la cuelga.</v>
      </c>
    </row>
    <row r="28407">
      <c r="A28407" s="4" t="s">
        <v>35780</v>
      </c>
      <c r="B28407" s="4" t="s">
        <v>35781</v>
      </c>
      <c r="C28407" s="5" t="str">
        <f>IFERROR(__xludf.DUMMYFUNCTION("GOOGLETRANSLATE(B28407,""en"",""es-ES"")"),"Tres personas está en Studio hablando de noticias.")</f>
        <v>Tres personas está en Studio hablando de noticias.</v>
      </c>
    </row>
    <row r="28408">
      <c r="A28408" s="4" t="s">
        <v>35780</v>
      </c>
      <c r="B28408" s="4" t="s">
        <v>35782</v>
      </c>
      <c r="C28408" s="5" t="str">
        <f>IFERROR(__xludf.DUMMYFUNCTION("GOOGLETRANSLATE(B28408,""en"",""es-ES"")"),"En la pantalla se muestra una historia sobre el deporte curling y el equipo de niños que juegan en el campo y anotaciones.")</f>
        <v>En la pantalla se muestra una historia sobre el deporte curling y el equipo de niños que juegan en el campo y anotaciones.</v>
      </c>
    </row>
    <row r="28409">
      <c r="A28409" s="4" t="s">
        <v>35780</v>
      </c>
      <c r="B28409" s="4" t="s">
        <v>35783</v>
      </c>
      <c r="C28409" s="5" t="str">
        <f>IFERROR(__xludf.DUMMYFUNCTION("GOOGLETRANSLATE(B28409,""en"",""es-ES"")"),"De vuelta a los reporteros del estudio, siguen hablando de la historia.")</f>
        <v>De vuelta a los reporteros del estudio, siguen hablando de la historia.</v>
      </c>
    </row>
    <row r="28410">
      <c r="A28410" s="4" t="s">
        <v>35784</v>
      </c>
      <c r="B28410" s="4" t="s">
        <v>35785</v>
      </c>
      <c r="C28410" s="5" t="str">
        <f>IFERROR(__xludf.DUMMYFUNCTION("GOOGLETRANSLATE(B28410,""en"",""es-ES"")"),"Un hombre está parado detrás de un sofá, con una cabeza protectora que cubre.")</f>
        <v>Un hombre está parado detrás de un sofá, con una cabeza protectora que cubre.</v>
      </c>
    </row>
    <row r="28411">
      <c r="A28411" s="4" t="s">
        <v>35784</v>
      </c>
      <c r="B28411" s="4" t="s">
        <v>35786</v>
      </c>
      <c r="C28411" s="5" t="str">
        <f>IFERROR(__xludf.DUMMYFUNCTION("GOOGLETRANSLATE(B28411,""en"",""es-ES"")"),"Está cubriendo un sofá con plástico y lo cinta en su lugar.")</f>
        <v>Está cubriendo un sofá con plástico y lo cinta en su lugar.</v>
      </c>
    </row>
    <row r="28412">
      <c r="A28412" s="4" t="s">
        <v>35784</v>
      </c>
      <c r="B28412" s="4" t="s">
        <v>35787</v>
      </c>
      <c r="C28412" s="5" t="str">
        <f>IFERROR(__xludf.DUMMYFUNCTION("GOOGLETRANSLATE(B28412,""en"",""es-ES"")"),"Él habla con la cámara sobre lo que hizo un poco más.")</f>
        <v>Él habla con la cámara sobre lo que hizo un poco más.</v>
      </c>
    </row>
    <row r="28413">
      <c r="A28413" s="4" t="s">
        <v>35788</v>
      </c>
      <c r="B28413" s="4" t="s">
        <v>35789</v>
      </c>
      <c r="C28413" s="5" t="str">
        <f>IFERROR(__xludf.DUMMYFUNCTION("GOOGLETRANSLATE(B28413,""en"",""es-ES"")"),"Vemos letras azules en una pantalla negra y vemos un techo.")</f>
        <v>Vemos letras azules en una pantalla negra y vemos un techo.</v>
      </c>
    </row>
    <row r="28414">
      <c r="A28414" s="4" t="s">
        <v>35788</v>
      </c>
      <c r="B28414" s="4" t="s">
        <v>35790</v>
      </c>
      <c r="C28414" s="5" t="str">
        <f>IFERROR(__xludf.DUMMYFUNCTION("GOOGLETRANSLATE(B28414,""en"",""es-ES"")"),"Luego cambiamos a más letras y se ha rociado el techo con una solución.")</f>
        <v>Luego cambiamos a más letras y se ha rociado el techo con una solución.</v>
      </c>
    </row>
    <row r="28415">
      <c r="A28415" s="4" t="s">
        <v>35788</v>
      </c>
      <c r="B28415" s="4" t="s">
        <v>35791</v>
      </c>
      <c r="C28415" s="5" t="str">
        <f>IFERROR(__xludf.DUMMYFUNCTION("GOOGLETRANSLATE(B28415,""en"",""es-ES"")"),"Se nos informa que el techo se ha limpiado y se muestran tomas del techo limpio.")</f>
        <v>Se nos informa que el techo se ha limpiado y se muestran tomas del techo limpio.</v>
      </c>
    </row>
    <row r="28416">
      <c r="A28416" s="4" t="s">
        <v>35788</v>
      </c>
      <c r="B28416" s="4" t="s">
        <v>35792</v>
      </c>
      <c r="C28416" s="5" t="str">
        <f>IFERROR(__xludf.DUMMYFUNCTION("GOOGLETRANSLATE(B28416,""en"",""es-ES"")"),"Luego vemos el frente de la casa.")</f>
        <v>Luego vemos el frente de la casa.</v>
      </c>
    </row>
    <row r="28417">
      <c r="A28417" s="4" t="s">
        <v>35788</v>
      </c>
      <c r="B28417" s="4" t="s">
        <v>35793</v>
      </c>
      <c r="C28417" s="5" t="str">
        <f>IFERROR(__xludf.DUMMYFUNCTION("GOOGLETRANSLATE(B28417,""en"",""es-ES"")"),"Se nos proporciona el número de teléfono de las lavadoras a presión.")</f>
        <v>Se nos proporciona el número de teléfono de las lavadoras a presión.</v>
      </c>
    </row>
    <row r="28418">
      <c r="A28418" s="4" t="s">
        <v>35794</v>
      </c>
      <c r="B28418" s="4" t="s">
        <v>14504</v>
      </c>
      <c r="C28418" s="5" t="str">
        <f>IFERROR(__xludf.DUMMYFUNCTION("GOOGLETRANSLATE(B28418,""en"",""es-ES"")"),"La gente está jugando voleibol en una playa.")</f>
        <v>La gente está jugando voleibol en una playa.</v>
      </c>
    </row>
    <row r="28419">
      <c r="A28419" s="4" t="s">
        <v>35794</v>
      </c>
      <c r="B28419" s="4" t="s">
        <v>35795</v>
      </c>
      <c r="C28419" s="5" t="str">
        <f>IFERROR(__xludf.DUMMYFUNCTION("GOOGLETRANSLATE(B28419,""en"",""es-ES"")"),"La pelota cae al suelo y un tipo con pantalones cortos rojos lo recoge.")</f>
        <v>La pelota cae al suelo y un tipo con pantalones cortos rojos lo recoge.</v>
      </c>
    </row>
    <row r="28420">
      <c r="A28420" s="4" t="s">
        <v>35794</v>
      </c>
      <c r="B28420" s="4" t="s">
        <v>35796</v>
      </c>
      <c r="C28420" s="5" t="str">
        <f>IFERROR(__xludf.DUMMYFUNCTION("GOOGLETRANSLATE(B28420,""en"",""es-ES"")"),"Un hombre con un sombrero negro sirve la pelota.")</f>
        <v>Un hombre con un sombrero negro sirve la pelota.</v>
      </c>
    </row>
    <row r="28421">
      <c r="A28421" s="4" t="s">
        <v>35797</v>
      </c>
      <c r="B28421" s="4" t="s">
        <v>35798</v>
      </c>
      <c r="C28421" s="5" t="str">
        <f>IFERROR(__xludf.DUMMYFUNCTION("GOOGLETRANSLATE(B28421,""en"",""es-ES"")"),"Un hombre está parado afuera en un campo de hierba que es relativamente bajo.")</f>
        <v>Un hombre está parado afuera en un campo de hierba que es relativamente bajo.</v>
      </c>
    </row>
    <row r="28422">
      <c r="A28422" s="4" t="s">
        <v>35797</v>
      </c>
      <c r="B28422" s="4" t="s">
        <v>35799</v>
      </c>
      <c r="C28422" s="5" t="str">
        <f>IFERROR(__xludf.DUMMYFUNCTION("GOOGLETRANSLATE(B28422,""en"",""es-ES"")"),"Sin embargo, en su mano tiene una guadaña y comienza a balancearse de un lado a otro cortando la hierba aún más.")</f>
        <v>Sin embargo, en su mano tiene una guadaña y comienza a balancearse de un lado a otro cortando la hierba aún más.</v>
      </c>
    </row>
    <row r="28423">
      <c r="A28423" s="4" t="s">
        <v>35797</v>
      </c>
      <c r="B28423" s="4" t="s">
        <v>35800</v>
      </c>
      <c r="C28423" s="5" t="str">
        <f>IFERROR(__xludf.DUMMYFUNCTION("GOOGLETRANSLATE(B28423,""en"",""es-ES"")"),"A medida que corta, aparecen varios textos en la pantalla con palabras blancas sobre lo que está haciendo y explicando la actividad.")</f>
        <v>A medida que corta, aparecen varios textos en la pantalla con palabras blancas sobre lo que está haciendo y explicando la actividad.</v>
      </c>
    </row>
    <row r="28424">
      <c r="A28424" s="4" t="s">
        <v>35801</v>
      </c>
      <c r="B28424" s="4" t="s">
        <v>35802</v>
      </c>
      <c r="C28424" s="5" t="str">
        <f>IFERROR(__xludf.DUMMYFUNCTION("GOOGLETRANSLATE(B28424,""en"",""es-ES"")"),"Un grupo de campeones de esgrima olímpico de EE. UU. Se muestra compitiendo en esgrima intercalados con imágenes y gráficos que anuncian un próximo torneo de esgrima en Nueva York.")</f>
        <v>Un grupo de campeones de esgrima olímpico de EE. UU. Se muestra compitiendo en esgrima intercalados con imágenes y gráficos que anuncian un próximo torneo de esgrima en Nueva York.</v>
      </c>
    </row>
    <row r="28425">
      <c r="A28425" s="4" t="s">
        <v>35801</v>
      </c>
      <c r="B28425" s="4" t="s">
        <v>35803</v>
      </c>
      <c r="C28425" s="5" t="str">
        <f>IFERROR(__xludf.DUMMYFUNCTION("GOOGLETRANSLATE(B28425,""en"",""es-ES"")"),"Varias imágenes de esgrimistas se muestran intercalados con video de los cercadores caminando.")</f>
        <v>Varias imágenes de esgrimistas se muestran intercalados con video de los cercadores caminando.</v>
      </c>
    </row>
    <row r="28426">
      <c r="A28426" s="4" t="s">
        <v>35801</v>
      </c>
      <c r="B28426" s="4" t="s">
        <v>35804</v>
      </c>
      <c r="C28426" s="5" t="str">
        <f>IFERROR(__xludf.DUMMYFUNCTION("GOOGLETRANSLATE(B28426,""en"",""es-ES"")"),"Aparece una imagen de una chica que sostiene una bandera estadounidense detrás de ella.")</f>
        <v>Aparece una imagen de una chica que sostiene una bandera estadounidense detrás de ella.</v>
      </c>
    </row>
    <row r="28427">
      <c r="A28427" s="4" t="s">
        <v>35801</v>
      </c>
      <c r="B28427" s="4" t="s">
        <v>35805</v>
      </c>
      <c r="C28427" s="5" t="str">
        <f>IFERROR(__xludf.DUMMYFUNCTION("GOOGLETRANSLATE(B28427,""en"",""es-ES"")"),"Más imágenes fijas de esgrima y un video de cámara lenta de una competencia de esgrima aparecen antes de un gráfico de marketing final con un sitio web.")</f>
        <v>Más imágenes fijas de esgrima y un video de cámara lenta de una competencia de esgrima aparecen antes de un gráfico de marketing final con un sitio web.</v>
      </c>
    </row>
    <row r="28428">
      <c r="A28428" s="4" t="s">
        <v>35806</v>
      </c>
      <c r="B28428" s="4" t="s">
        <v>35807</v>
      </c>
      <c r="C28428" s="5" t="str">
        <f>IFERROR(__xludf.DUMMYFUNCTION("GOOGLETRANSLATE(B28428,""en"",""es-ES"")"),"Una anciana se acuesta contra una almohada marrón.")</f>
        <v>Una anciana se acuesta contra una almohada marrón.</v>
      </c>
    </row>
    <row r="28429">
      <c r="A28429" s="4" t="s">
        <v>35806</v>
      </c>
      <c r="B28429" s="4" t="s">
        <v>35808</v>
      </c>
      <c r="C28429" s="5" t="str">
        <f>IFERROR(__xludf.DUMMYFUNCTION("GOOGLETRANSLATE(B28429,""en"",""es-ES"")"),"Ella sostiene una armónica en su boca y la juega.")</f>
        <v>Ella sostiene una armónica en su boca y la juega.</v>
      </c>
    </row>
    <row r="28430">
      <c r="A28430" s="4" t="s">
        <v>35806</v>
      </c>
      <c r="B28430" s="4" t="s">
        <v>35809</v>
      </c>
      <c r="C28430" s="5" t="str">
        <f>IFERROR(__xludf.DUMMYFUNCTION("GOOGLETRANSLATE(B28430,""en"",""es-ES"")"),"La luz en la habitación se ilumina.")</f>
        <v>La luz en la habitación se ilumina.</v>
      </c>
    </row>
    <row r="28431">
      <c r="A28431" s="4" t="s">
        <v>35806</v>
      </c>
      <c r="B28431" s="4" t="s">
        <v>35810</v>
      </c>
      <c r="C28431" s="5" t="str">
        <f>IFERROR(__xludf.DUMMYFUNCTION("GOOGLETRANSLATE(B28431,""en"",""es-ES"")"),"Ella termina de jugar y se ríe.")</f>
        <v>Ella termina de jugar y se ríe.</v>
      </c>
    </row>
    <row r="28432">
      <c r="A28432" s="4" t="s">
        <v>35811</v>
      </c>
      <c r="B28432" s="4" t="s">
        <v>35812</v>
      </c>
      <c r="C28432" s="5" t="str">
        <f>IFERROR(__xludf.DUMMYFUNCTION("GOOGLETRANSLATE(B28432,""en"",""es-ES"")"),"Varios jugadores del equipo blanco y negro están jugando hockey sobre hielo en la arena.")</f>
        <v>Varios jugadores del equipo blanco y negro están jugando hockey sobre hielo en la arena.</v>
      </c>
    </row>
    <row r="28433">
      <c r="A28433" s="4" t="s">
        <v>35811</v>
      </c>
      <c r="B28433" s="4" t="s">
        <v>35813</v>
      </c>
      <c r="C28433" s="5" t="str">
        <f>IFERROR(__xludf.DUMMYFUNCTION("GOOGLETRANSLATE(B28433,""en"",""es-ES"")"),"Uno de los jugadores del equipo negro golpea el disco de su oponente.")</f>
        <v>Uno de los jugadores del equipo negro golpea el disco de su oponente.</v>
      </c>
    </row>
    <row r="28434">
      <c r="A28434" s="4" t="s">
        <v>35811</v>
      </c>
      <c r="B28434" s="4" t="s">
        <v>35814</v>
      </c>
      <c r="C28434" s="5" t="str">
        <f>IFERROR(__xludf.DUMMYFUNCTION("GOOGLETRANSLATE(B28434,""en"",""es-ES"")"),"Los jugadores del equipo blanco intentan evitar que alcance una meta.")</f>
        <v>Los jugadores del equipo blanco intentan evitar que alcance una meta.</v>
      </c>
    </row>
    <row r="28435">
      <c r="A28435" s="4" t="s">
        <v>35811</v>
      </c>
      <c r="B28435" s="4" t="s">
        <v>35815</v>
      </c>
      <c r="C28435" s="5" t="str">
        <f>IFERROR(__xludf.DUMMYFUNCTION("GOOGLETRANSLATE(B28435,""en"",""es-ES"")"),"Una versión animada del juego se muestra en la pantalla.")</f>
        <v>Una versión animada del juego se muestra en la pantalla.</v>
      </c>
    </row>
    <row r="28436">
      <c r="A28436" s="4" t="s">
        <v>35811</v>
      </c>
      <c r="B28436" s="4" t="s">
        <v>35816</v>
      </c>
      <c r="C28436" s="5" t="str">
        <f>IFERROR(__xludf.DUMMYFUNCTION("GOOGLETRANSLATE(B28436,""en"",""es-ES"")"),"Luego, el enfoque está de vuelta en el juego real en el que se destaca un jugador de equipo negro a medida que toma un tiro en la meta.")</f>
        <v>Luego, el enfoque está de vuelta en el juego real en el que se destaca un jugador de equipo negro a medida que toma un tiro en la meta.</v>
      </c>
    </row>
    <row r="28437">
      <c r="A28437" s="4" t="s">
        <v>35811</v>
      </c>
      <c r="B28437" s="4" t="s">
        <v>35817</v>
      </c>
      <c r="C28437" s="5" t="str">
        <f>IFERROR(__xludf.DUMMYFUNCTION("GOOGLETRANSLATE(B28437,""en"",""es-ES"")"),"Nuevamente, se muestra otro ejemplo animado para explicar cómo funciona el juego.")</f>
        <v>Nuevamente, se muestra otro ejemplo animado para explicar cómo funciona el juego.</v>
      </c>
    </row>
    <row r="28438">
      <c r="A28438" s="4" t="s">
        <v>35811</v>
      </c>
      <c r="B28438" s="4" t="s">
        <v>35818</v>
      </c>
      <c r="C28438" s="5" t="str">
        <f>IFERROR(__xludf.DUMMYFUNCTION("GOOGLETRANSLATE(B28438,""en"",""es-ES"")"),"El jugador del equipo negro golpea el disco en la esquina opuesta del hielo.")</f>
        <v>El jugador del equipo negro golpea el disco en la esquina opuesta del hielo.</v>
      </c>
    </row>
    <row r="28439">
      <c r="A28439" s="4" t="s">
        <v>35811</v>
      </c>
      <c r="B28439" s="4" t="s">
        <v>35819</v>
      </c>
      <c r="C28439" s="5" t="str">
        <f>IFERROR(__xludf.DUMMYFUNCTION("GOOGLETRANSLATE(B28439,""en"",""es-ES"")"),"A medida que el negro se mueve rápido y hacia la meta, hace que el portero se caiga.")</f>
        <v>A medida que el negro se mueve rápido y hacia la meta, hace que el portero se caiga.</v>
      </c>
    </row>
    <row r="28440">
      <c r="A28440" s="4" t="s">
        <v>35811</v>
      </c>
      <c r="B28440" s="4" t="s">
        <v>35820</v>
      </c>
      <c r="C28440" s="5" t="str">
        <f>IFERROR(__xludf.DUMMYFUNCTION("GOOGLETRANSLATE(B28440,""en"",""es-ES"")"),"El equipo negro gana el gol y obtiene la victoria en el juego.")</f>
        <v>El equipo negro gana el gol y obtiene la victoria en el juego.</v>
      </c>
    </row>
    <row r="28441">
      <c r="A28441" s="4" t="s">
        <v>35821</v>
      </c>
      <c r="B28441" s="4" t="s">
        <v>35822</v>
      </c>
      <c r="C28441" s="5" t="str">
        <f>IFERROR(__xludf.DUMMYFUNCTION("GOOGLETRANSLATE(B28441,""en"",""es-ES"")"),"Una cámara se mueve sobre una sala de pesas y muestra a varias personas trabajando en máquinas.")</f>
        <v>Una cámara se mueve sobre una sala de pesas y muestra a varias personas trabajando en máquinas.</v>
      </c>
    </row>
    <row r="28442">
      <c r="A28442" s="4" t="s">
        <v>35821</v>
      </c>
      <c r="B28442" s="4" t="s">
        <v>35823</v>
      </c>
      <c r="C28442" s="5" t="str">
        <f>IFERROR(__xludf.DUMMYFUNCTION("GOOGLETRANSLATE(B28442,""en"",""es-ES"")"),"Se ve a un hombre ejecutándose en una elíptica mientras que otro usa una máquina de remo en la parte posterior.")</f>
        <v>Se ve a un hombre ejecutándose en una elíptica mientras que otro usa una máquina de remo en la parte posterior.</v>
      </c>
    </row>
    <row r="28443">
      <c r="A28443" s="4" t="s">
        <v>35824</v>
      </c>
      <c r="B28443" s="4" t="s">
        <v>35825</v>
      </c>
      <c r="C28443" s="5" t="str">
        <f>IFERROR(__xludf.DUMMYFUNCTION("GOOGLETRANSLATE(B28443,""en"",""es-ES"")"),"Un hombre está sacando nieve desde la parte superior de un automóvil.")</f>
        <v>Un hombre está sacando nieve desde la parte superior de un automóvil.</v>
      </c>
    </row>
    <row r="28444">
      <c r="A28444" s="4" t="s">
        <v>35824</v>
      </c>
      <c r="B28444" s="4" t="s">
        <v>35826</v>
      </c>
      <c r="C28444" s="5" t="str">
        <f>IFERROR(__xludf.DUMMYFUNCTION("GOOGLETRANSLATE(B28444,""en"",""es-ES"")"),"Camina alrededor del auto y comienza a palear el suelo.")</f>
        <v>Camina alrededor del auto y comienza a palear el suelo.</v>
      </c>
    </row>
    <row r="28445">
      <c r="A28445" s="4" t="s">
        <v>35827</v>
      </c>
      <c r="B28445" s="4" t="s">
        <v>35828</v>
      </c>
      <c r="C28445" s="5" t="str">
        <f>IFERROR(__xludf.DUMMYFUNCTION("GOOGLETRANSLATE(B28445,""en"",""es-ES"")"),"Una persona arroja una pelota de bolos por un carril.")</f>
        <v>Una persona arroja una pelota de bolos por un carril.</v>
      </c>
    </row>
    <row r="28446">
      <c r="A28446" s="4" t="s">
        <v>35827</v>
      </c>
      <c r="B28446" s="4" t="s">
        <v>35829</v>
      </c>
      <c r="C28446" s="5" t="str">
        <f>IFERROR(__xludf.DUMMYFUNCTION("GOOGLETRANSLATE(B28446,""en"",""es-ES"")"),"Derriban los alfileres.")</f>
        <v>Derriban los alfileres.</v>
      </c>
    </row>
    <row r="28447">
      <c r="A28447" s="4" t="s">
        <v>35827</v>
      </c>
      <c r="B28447" s="4" t="s">
        <v>35830</v>
      </c>
      <c r="C28447" s="5" t="str">
        <f>IFERROR(__xludf.DUMMYFUNCTION("GOOGLETRANSLATE(B28447,""en"",""es-ES"")"),"Lanzan la pelota a un repuesto y derriban todo el resto de los alfileres.")</f>
        <v>Lanzan la pelota a un repuesto y derriban todo el resto de los alfileres.</v>
      </c>
    </row>
    <row r="28448">
      <c r="A28448" s="4" t="s">
        <v>35831</v>
      </c>
      <c r="B28448" s="4" t="s">
        <v>35832</v>
      </c>
      <c r="C28448" s="5" t="str">
        <f>IFERROR(__xludf.DUMMYFUNCTION("GOOGLETRANSLATE(B28448,""en"",""es-ES"")"),"Una mujer lava ropa en un cubo con jabón.")</f>
        <v>Una mujer lava ropa en un cubo con jabón.</v>
      </c>
    </row>
    <row r="28449">
      <c r="A28449" s="4" t="s">
        <v>35831</v>
      </c>
      <c r="B28449" s="4" t="s">
        <v>35833</v>
      </c>
      <c r="C28449" s="5" t="str">
        <f>IFERROR(__xludf.DUMMYFUNCTION("GOOGLETRANSLATE(B28449,""en"",""es-ES"")"),"La mujer saca una toalla.")</f>
        <v>La mujer saca una toalla.</v>
      </c>
    </row>
    <row r="28450">
      <c r="A28450" s="4" t="s">
        <v>35831</v>
      </c>
      <c r="B28450" s="4" t="s">
        <v>35834</v>
      </c>
      <c r="C28450" s="5" t="str">
        <f>IFERROR(__xludf.DUMMYFUNCTION("GOOGLETRANSLATE(B28450,""en"",""es-ES"")"),"Alguien se está doblando en el fondo mientras la mujer continúa lavando la ropa.")</f>
        <v>Alguien se está doblando en el fondo mientras la mujer continúa lavando la ropa.</v>
      </c>
    </row>
    <row r="28451">
      <c r="A28451" s="4" t="s">
        <v>35835</v>
      </c>
      <c r="B28451" s="4" t="s">
        <v>35836</v>
      </c>
      <c r="C28451" s="5" t="str">
        <f>IFERROR(__xludf.DUMMYFUNCTION("GOOGLETRANSLATE(B28451,""en"",""es-ES"")"),"Un hombre con una gorra de béisbol, pantalones cortos y una camisa azul de manga corta sirve tres bolas de tenis a través de una red de tenis en una cancha de tenis solo.")</f>
        <v>Un hombre con una gorra de béisbol, pantalones cortos y una camisa azul de manga corta sirve tres bolas de tenis a través de una red de tenis en una cancha de tenis solo.</v>
      </c>
    </row>
    <row r="28452">
      <c r="A28452" s="4" t="s">
        <v>35835</v>
      </c>
      <c r="B28452" s="4" t="s">
        <v>35837</v>
      </c>
      <c r="C28452" s="5" t="str">
        <f>IFERROR(__xludf.DUMMYFUNCTION("GOOGLETRANSLATE(B28452,""en"",""es-ES"")"),"Un hombre en una cancha de tenis solo sirve una pelota de tenis con una raqueta de tenis en una red.")</f>
        <v>Un hombre en una cancha de tenis solo sirve una pelota de tenis con una raqueta de tenis en una red.</v>
      </c>
    </row>
    <row r="28453">
      <c r="A28453" s="4" t="s">
        <v>35835</v>
      </c>
      <c r="B28453" s="4" t="s">
        <v>35838</v>
      </c>
      <c r="C28453" s="5" t="str">
        <f>IFERROR(__xludf.DUMMYFUNCTION("GOOGLETRANSLATE(B28453,""en"",""es-ES"")"),"Luego, el hombre sirve dos bolas más en la red, la pelota solo aterriza al otro lado.")</f>
        <v>Luego, el hombre sirve dos bolas más en la red, la pelota solo aterriza al otro lado.</v>
      </c>
    </row>
    <row r="28454">
      <c r="A28454" s="4" t="s">
        <v>35839</v>
      </c>
      <c r="B28454" s="4" t="s">
        <v>35840</v>
      </c>
      <c r="C28454" s="5" t="str">
        <f>IFERROR(__xludf.DUMMYFUNCTION("GOOGLETRANSLATE(B28454,""en"",""es-ES"")"),"Un atleta masculino está corriendo en una pista.")</f>
        <v>Un atleta masculino está corriendo en una pista.</v>
      </c>
    </row>
    <row r="28455">
      <c r="A28455" s="4" t="s">
        <v>35839</v>
      </c>
      <c r="B28455" s="4" t="s">
        <v>35841</v>
      </c>
      <c r="C28455" s="5" t="str">
        <f>IFERROR(__xludf.DUMMYFUNCTION("GOOGLETRANSLATE(B28455,""en"",""es-ES"")"),"Salta alto al aire.")</f>
        <v>Salta alto al aire.</v>
      </c>
    </row>
    <row r="28456">
      <c r="A28456" s="4" t="s">
        <v>35839</v>
      </c>
      <c r="B28456" s="4" t="s">
        <v>35842</v>
      </c>
      <c r="C28456" s="5" t="str">
        <f>IFERROR(__xludf.DUMMYFUNCTION("GOOGLETRANSLATE(B28456,""en"",""es-ES"")"),"Bovales al revés sobre una viga alta.")</f>
        <v>Bovales al revés sobre una viga alta.</v>
      </c>
    </row>
    <row r="28457">
      <c r="A28457" s="4" t="s">
        <v>35839</v>
      </c>
      <c r="B28457" s="4" t="s">
        <v>35843</v>
      </c>
      <c r="C28457" s="5" t="str">
        <f>IFERROR(__xludf.DUMMYFUNCTION("GOOGLETRANSLATE(B28457,""en"",""es-ES"")"),"Esto se muestra repetido en cámara lenta numerosas veces.")</f>
        <v>Esto se muestra repetido en cámara lenta numerosas veces.</v>
      </c>
    </row>
    <row r="28458">
      <c r="A28458" s="4" t="s">
        <v>35844</v>
      </c>
      <c r="B28458" s="4" t="s">
        <v>35845</v>
      </c>
      <c r="C28458" s="5" t="str">
        <f>IFERROR(__xludf.DUMMYFUNCTION("GOOGLETRANSLATE(B28458,""en"",""es-ES"")"),"Un hombre se sienta con una guitarra.")</f>
        <v>Un hombre se sienta con una guitarra.</v>
      </c>
    </row>
    <row r="28459">
      <c r="A28459" s="4" t="s">
        <v>35844</v>
      </c>
      <c r="B28459" s="4" t="s">
        <v>35846</v>
      </c>
      <c r="C28459" s="5" t="str">
        <f>IFERROR(__xludf.DUMMYFUNCTION("GOOGLETRANSLATE(B28459,""en"",""es-ES"")"),"El hombre comienza a tocar la guitarra.")</f>
        <v>El hombre comienza a tocar la guitarra.</v>
      </c>
    </row>
    <row r="28460">
      <c r="A28460" s="4" t="s">
        <v>35844</v>
      </c>
      <c r="B28460" s="4" t="s">
        <v>35847</v>
      </c>
      <c r="C28460" s="5" t="str">
        <f>IFERROR(__xludf.DUMMYFUNCTION("GOOGLETRANSLATE(B28460,""en"",""es-ES"")"),"El hombre comienza a cantar mientras toca la guitarra.")</f>
        <v>El hombre comienza a cantar mientras toca la guitarra.</v>
      </c>
    </row>
    <row r="28461">
      <c r="A28461" s="4" t="s">
        <v>35844</v>
      </c>
      <c r="B28461" s="4" t="s">
        <v>35848</v>
      </c>
      <c r="C28461" s="5" t="str">
        <f>IFERROR(__xludf.DUMMYFUNCTION("GOOGLETRANSLATE(B28461,""en"",""es-ES"")"),"El hombre deja de tocar la guitarra y se pone de pie y camina hacia la cámara.")</f>
        <v>El hombre deja de tocar la guitarra y se pone de pie y camina hacia la cámara.</v>
      </c>
    </row>
    <row r="28462">
      <c r="A28462" s="4" t="s">
        <v>35849</v>
      </c>
      <c r="B28462" s="4" t="s">
        <v>35850</v>
      </c>
      <c r="C28462" s="5" t="str">
        <f>IFERROR(__xludf.DUMMYFUNCTION("GOOGLETRANSLATE(B28462,""en"",""es-ES"")"),"Un hombre juega gaita en una plaza de la ciudad mientras que nadie presta atención.")</f>
        <v>Un hombre juega gaita en una plaza de la ciudad mientras que nadie presta atención.</v>
      </c>
    </row>
    <row r="28463">
      <c r="A28463" s="4" t="s">
        <v>35849</v>
      </c>
      <c r="B28463" s="4" t="s">
        <v>35851</v>
      </c>
      <c r="C28463" s="5" t="str">
        <f>IFERROR(__xludf.DUMMYFUNCTION("GOOGLETRANSLATE(B28463,""en"",""es-ES"")"),"Un policía le dice que se detenga.")</f>
        <v>Un policía le dice que se detenga.</v>
      </c>
    </row>
    <row r="28464">
      <c r="A28464" s="4" t="s">
        <v>35852</v>
      </c>
      <c r="B28464" s="4" t="s">
        <v>35853</v>
      </c>
      <c r="C28464" s="5" t="str">
        <f>IFERROR(__xludf.DUMMYFUNCTION("GOOGLETRANSLATE(B28464,""en"",""es-ES"")"),"Un niño corre lentamente por un camino.")</f>
        <v>Un niño corre lentamente por un camino.</v>
      </c>
    </row>
    <row r="28465">
      <c r="A28465" s="4" t="s">
        <v>35852</v>
      </c>
      <c r="B28465" s="4" t="s">
        <v>35854</v>
      </c>
      <c r="C28465" s="5" t="str">
        <f>IFERROR(__xludf.DUMMYFUNCTION("GOOGLETRANSLATE(B28465,""en"",""es-ES"")"),"Da un gran salto al aire.")</f>
        <v>Da un gran salto al aire.</v>
      </c>
    </row>
    <row r="28466">
      <c r="A28466" s="4" t="s">
        <v>35852</v>
      </c>
      <c r="B28466" s="4" t="s">
        <v>35855</v>
      </c>
      <c r="C28466" s="5" t="str">
        <f>IFERROR(__xludf.DUMMYFUNCTION("GOOGLETRANSLATE(B28466,""en"",""es-ES"")"),"Él aterriza en un pozo de arena gigante.")</f>
        <v>Él aterriza en un pozo de arena gigante.</v>
      </c>
    </row>
    <row r="28467">
      <c r="A28467" s="4" t="s">
        <v>35856</v>
      </c>
      <c r="B28467" s="4" t="s">
        <v>35857</v>
      </c>
      <c r="C28467" s="5" t="str">
        <f>IFERROR(__xludf.DUMMYFUNCTION("GOOGLETRANSLATE(B28467,""en"",""es-ES"")"),"Se ve a un pequeño grupo de personas jugando un juego de béisbol en un campo y conduce a varios tiros más de ellos jugando.")</f>
        <v>Se ve a un pequeño grupo de personas jugando un juego de béisbol en un campo y conduce a varios tiros más de ellos jugando.</v>
      </c>
    </row>
    <row r="28468">
      <c r="A28468" s="4" t="s">
        <v>35856</v>
      </c>
      <c r="B28468" s="4" t="s">
        <v>35858</v>
      </c>
      <c r="C28468" s="5" t="str">
        <f>IFERROR(__xludf.DUMMYFUNCTION("GOOGLETRANSLATE(B28468,""en"",""es-ES"")"),"El video continúa con varios clips de personas golpeando y atrapando la pelota y termina con texto en la pantalla.")</f>
        <v>El video continúa con varios clips de personas golpeando y atrapando la pelota y termina con texto en la pantalla.</v>
      </c>
    </row>
    <row r="28469">
      <c r="A28469" s="4" t="s">
        <v>35859</v>
      </c>
      <c r="B28469" s="4" t="s">
        <v>35860</v>
      </c>
      <c r="C28469" s="5" t="str">
        <f>IFERROR(__xludf.DUMMYFUNCTION("GOOGLETRANSLATE(B28469,""en"",""es-ES"")"),"Un hombre y una mujer están jugando dentro de una cancha de racquetball.")</f>
        <v>Un hombre y una mujer están jugando dentro de una cancha de racquetball.</v>
      </c>
    </row>
    <row r="28470">
      <c r="A28470" s="4" t="s">
        <v>35859</v>
      </c>
      <c r="B28470" s="4" t="s">
        <v>35861</v>
      </c>
      <c r="C28470" s="5" t="str">
        <f>IFERROR(__xludf.DUMMYFUNCTION("GOOGLETRANSLATE(B28470,""en"",""es-ES"")"),"Están usando raquetas, bolas, zapatos especiales y gafas protectores.")</f>
        <v>Están usando raquetas, bolas, zapatos especiales y gafas protectores.</v>
      </c>
    </row>
    <row r="28471">
      <c r="A28471" s="4" t="s">
        <v>35859</v>
      </c>
      <c r="B28471" s="4" t="s">
        <v>35862</v>
      </c>
      <c r="C28471" s="5" t="str">
        <f>IFERROR(__xludf.DUMMYFUNCTION("GOOGLETRANSLATE(B28471,""en"",""es-ES"")"),"Muestran cómo pararse y golpear la pelota.")</f>
        <v>Muestran cómo pararse y golpear la pelota.</v>
      </c>
    </row>
    <row r="28472">
      <c r="A28472" s="4" t="s">
        <v>35863</v>
      </c>
      <c r="B28472" s="4" t="s">
        <v>35864</v>
      </c>
      <c r="C28472" s="5" t="str">
        <f>IFERROR(__xludf.DUMMYFUNCTION("GOOGLETRANSLATE(B28472,""en"",""es-ES"")"),"Un niño está de pie detrás de una posición de música tocando una flauta.")</f>
        <v>Un niño está de pie detrás de una posición de música tocando una flauta.</v>
      </c>
    </row>
    <row r="28473">
      <c r="A28473" s="4" t="s">
        <v>35863</v>
      </c>
      <c r="B28473" s="4" t="s">
        <v>35865</v>
      </c>
      <c r="C28473" s="5" t="str">
        <f>IFERROR(__xludf.DUMMYFUNCTION("GOOGLETRANSLATE(B28473,""en"",""es-ES"")"),"Deja de jugar y sonríe antes de alejarse.")</f>
        <v>Deja de jugar y sonríe antes de alejarse.</v>
      </c>
    </row>
    <row r="28474">
      <c r="A28474" s="4" t="s">
        <v>35866</v>
      </c>
      <c r="B28474" s="4" t="s">
        <v>35867</v>
      </c>
      <c r="C28474" s="5" t="str">
        <f>IFERROR(__xludf.DUMMYFUNCTION("GOOGLETRANSLATE(B28474,""en"",""es-ES"")"),"Una mujer con un sombrero en puestos y conversaciones.")</f>
        <v>Una mujer con un sombrero en puestos y conversaciones.</v>
      </c>
    </row>
    <row r="28475">
      <c r="A28475" s="4" t="s">
        <v>35866</v>
      </c>
      <c r="B28475" s="4" t="s">
        <v>35868</v>
      </c>
      <c r="C28475" s="5" t="str">
        <f>IFERROR(__xludf.DUMMYFUNCTION("GOOGLETRANSLATE(B28475,""en"",""es-ES"")"),"Ella está jugando con su cabello y hablando.")</f>
        <v>Ella está jugando con su cabello y hablando.</v>
      </c>
    </row>
    <row r="28476">
      <c r="A28476" s="4" t="s">
        <v>35866</v>
      </c>
      <c r="B28476" s="4" t="s">
        <v>35869</v>
      </c>
      <c r="C28476" s="5" t="str">
        <f>IFERROR(__xludf.DUMMYFUNCTION("GOOGLETRANSLATE(B28476,""en"",""es-ES"")"),"Se insertan imágenes de su cabello.")</f>
        <v>Se insertan imágenes de su cabello.</v>
      </c>
    </row>
    <row r="28477">
      <c r="A28477" s="4" t="s">
        <v>35870</v>
      </c>
      <c r="B28477" s="4" t="s">
        <v>35871</v>
      </c>
      <c r="C28477" s="5" t="str">
        <f>IFERROR(__xludf.DUMMYFUNCTION("GOOGLETRANSLATE(B28477,""en"",""es-ES"")"),"Una chica en bikini está haciendo hula hoop en un patio.")</f>
        <v>Una chica en bikini está haciendo hula hoop en un patio.</v>
      </c>
    </row>
    <row r="28478">
      <c r="A28478" s="4" t="s">
        <v>35870</v>
      </c>
      <c r="B28478" s="4" t="s">
        <v>35872</v>
      </c>
      <c r="C28478" s="5" t="str">
        <f>IFERROR(__xludf.DUMMYFUNCTION("GOOGLETRANSLATE(B28478,""en"",""es-ES"")"),"Ella gira varias veces y parece estar muy divertida.")</f>
        <v>Ella gira varias veces y parece estar muy divertida.</v>
      </c>
    </row>
    <row r="28479">
      <c r="A28479" s="4" t="s">
        <v>35870</v>
      </c>
      <c r="B28479" s="4" t="s">
        <v>35873</v>
      </c>
      <c r="C28479" s="5" t="str">
        <f>IFERROR(__xludf.DUMMYFUNCTION("GOOGLETRANSLATE(B28479,""en"",""es-ES"")"),"El vino se mueve hacia arriba y hacia abajo para mantenerla en el cuadro.")</f>
        <v>El vino se mueve hacia arriba y hacia abajo para mantenerla en el cuadro.</v>
      </c>
    </row>
    <row r="28480">
      <c r="A28480" s="4" t="s">
        <v>35870</v>
      </c>
      <c r="B28480" s="4" t="s">
        <v>35874</v>
      </c>
      <c r="C28480" s="5" t="str">
        <f>IFERROR(__xludf.DUMMYFUNCTION("GOOGLETRANSLATE(B28480,""en"",""es-ES"")"),"Luego salta a otra chica solo mostrando su mitad inferior cuando un hula hoop gira a su alrededor.")</f>
        <v>Luego salta a otra chica solo mostrando su mitad inferior cuando un hula hoop gira a su alrededor.</v>
      </c>
    </row>
    <row r="28481">
      <c r="A28481" s="4" t="s">
        <v>35870</v>
      </c>
      <c r="B28481" s="4" t="s">
        <v>35875</v>
      </c>
      <c r="C28481" s="5" t="str">
        <f>IFERROR(__xludf.DUMMYFUNCTION("GOOGLETRANSLATE(B28481,""en"",""es-ES"")"),"Otra chicas se muestra bailando dentro de una casa varias veces.")</f>
        <v>Otra chicas se muestra bailando dentro de una casa varias veces.</v>
      </c>
    </row>
    <row r="28482">
      <c r="A28482" s="4" t="s">
        <v>35876</v>
      </c>
      <c r="B28482" s="4" t="s">
        <v>35877</v>
      </c>
      <c r="C28482" s="5" t="str">
        <f>IFERROR(__xludf.DUMMYFUNCTION("GOOGLETRANSLATE(B28482,""en"",""es-ES"")"),"Un gran grupo de personas se muestra en varios tiros jugando un juego de deporte mientras cientos de personas miran a los lados.")</f>
        <v>Un gran grupo de personas se muestra en varios tiros jugando un juego de deporte mientras cientos de personas miran a los lados.</v>
      </c>
    </row>
    <row r="28483">
      <c r="A28483" s="4" t="s">
        <v>35876</v>
      </c>
      <c r="B28483" s="4" t="s">
        <v>35878</v>
      </c>
      <c r="C28483" s="5" t="str">
        <f>IFERROR(__xludf.DUMMYFUNCTION("GOOGLETRANSLATE(B28483,""en"",""es-ES"")"),"Los hombres continúan corriendo alrededor del campo mientras se muestran los primeros planos de entrenadores y uno anota un gol.")</f>
        <v>Los hombres continúan corriendo alrededor del campo mientras se muestran los primeros planos de entrenadores y uno anota un gol.</v>
      </c>
    </row>
    <row r="28484">
      <c r="A28484" s="4" t="s">
        <v>35876</v>
      </c>
      <c r="B28484" s="4" t="s">
        <v>35879</v>
      </c>
      <c r="C28484" s="5" t="str">
        <f>IFERROR(__xludf.DUMMYFUNCTION("GOOGLETRANSLATE(B28484,""en"",""es-ES"")"),"Un hombre se arrodilla y los demás se dan la mano con los jugadores.")</f>
        <v>Un hombre se arrodilla y los demás se dan la mano con los jugadores.</v>
      </c>
    </row>
    <row r="28485">
      <c r="A28485" s="4" t="s">
        <v>35880</v>
      </c>
      <c r="B28485" s="4" t="s">
        <v>35881</v>
      </c>
      <c r="C28485" s="5" t="str">
        <f>IFERROR(__xludf.DUMMYFUNCTION("GOOGLETRANSLATE(B28485,""en"",""es-ES"")"),"Una chef que lleva una blusa de rayas habla en una cocina.")</f>
        <v>Una chef que lleva una blusa de rayas habla en una cocina.</v>
      </c>
    </row>
    <row r="28486">
      <c r="A28486" s="4" t="s">
        <v>35880</v>
      </c>
      <c r="B28486" s="4" t="s">
        <v>35882</v>
      </c>
      <c r="C28486" s="5" t="str">
        <f>IFERROR(__xludf.DUMMYFUNCTION("GOOGLETRANSLATE(B28486,""en"",""es-ES"")"),"La Lady Chef describe los ingredientes necesarios y la preparación para la cremosa pasta de mariscos.")</f>
        <v>La Lady Chef describe los ingredientes necesarios y la preparación para la cremosa pasta de mariscos.</v>
      </c>
    </row>
    <row r="28487">
      <c r="A28487" s="4" t="s">
        <v>35880</v>
      </c>
      <c r="B28487" s="4" t="s">
        <v>35883</v>
      </c>
      <c r="C28487" s="5" t="str">
        <f>IFERROR(__xludf.DUMMYFUNCTION("GOOGLETRANSLATE(B28487,""en"",""es-ES"")"),"La Lady Chef muestra un proceso paso a paso para preparar el plato cremoso de pasta de mariscos y muestra el producto final.")</f>
        <v>La Lady Chef muestra un proceso paso a paso para preparar el plato cremoso de pasta de mariscos y muestra el producto final.</v>
      </c>
    </row>
    <row r="28488">
      <c r="A28488" s="4" t="s">
        <v>35884</v>
      </c>
      <c r="B28488" s="4" t="s">
        <v>35885</v>
      </c>
      <c r="C28488" s="5" t="str">
        <f>IFERROR(__xludf.DUMMYFUNCTION("GOOGLETRANSLATE(B28488,""en"",""es-ES"")"),"Un hombre está hablando en un establo mientras alimenta a un caballo a su lado.")</f>
        <v>Un hombre está hablando en un establo mientras alimenta a un caballo a su lado.</v>
      </c>
    </row>
    <row r="28489">
      <c r="A28489" s="4" t="s">
        <v>35884</v>
      </c>
      <c r="B28489" s="4" t="s">
        <v>35886</v>
      </c>
      <c r="C28489" s="5" t="str">
        <f>IFERROR(__xludf.DUMMYFUNCTION("GOOGLETRANSLATE(B28489,""en"",""es-ES"")"),"Habla mucho sobre los beneficios de la equitación.")</f>
        <v>Habla mucho sobre los beneficios de la equitación.</v>
      </c>
    </row>
    <row r="28490">
      <c r="A28490" s="4" t="s">
        <v>35884</v>
      </c>
      <c r="B28490" s="4" t="s">
        <v>35887</v>
      </c>
      <c r="C28490" s="5" t="str">
        <f>IFERROR(__xludf.DUMMYFUNCTION("GOOGLETRANSLATE(B28490,""en"",""es-ES"")"),"Él monta una silla sobre el caballo.")</f>
        <v>Él monta una silla sobre el caballo.</v>
      </c>
    </row>
    <row r="28491">
      <c r="A28491" s="4" t="s">
        <v>35884</v>
      </c>
      <c r="B28491" s="4" t="s">
        <v>35888</v>
      </c>
      <c r="C28491" s="5" t="str">
        <f>IFERROR(__xludf.DUMMYFUNCTION("GOOGLETRANSLATE(B28491,""en"",""es-ES"")"),"Luego lleva al caballo, dándole una manzana mientras continúa hablando.")</f>
        <v>Luego lleva al caballo, dándole una manzana mientras continúa hablando.</v>
      </c>
    </row>
    <row r="28492">
      <c r="A28492" s="4" t="s">
        <v>35889</v>
      </c>
      <c r="B28492" s="4" t="s">
        <v>35890</v>
      </c>
      <c r="C28492" s="5" t="str">
        <f>IFERROR(__xludf.DUMMYFUNCTION("GOOGLETRANSLATE(B28492,""en"",""es-ES"")"),"Un hombre está parado frente a un gran grupo de personas que se aferran a una cuerda.")</f>
        <v>Un hombre está parado frente a un gran grupo de personas que se aferran a una cuerda.</v>
      </c>
    </row>
    <row r="28493">
      <c r="A28493" s="4" t="s">
        <v>35889</v>
      </c>
      <c r="B28493" s="4" t="s">
        <v>35891</v>
      </c>
      <c r="C28493" s="5" t="str">
        <f>IFERROR(__xludf.DUMMYFUNCTION("GOOGLETRANSLATE(B28493,""en"",""es-ES"")"),"El hombre levanta los brazos y los dos equipos comienzan un juego de tira y afloja.")</f>
        <v>El hombre levanta los brazos y los dos equipos comienzan un juego de tira y afloja.</v>
      </c>
    </row>
    <row r="28494">
      <c r="A28494" s="4" t="s">
        <v>35889</v>
      </c>
      <c r="B28494" s="4" t="s">
        <v>35892</v>
      </c>
      <c r="C28494" s="5" t="str">
        <f>IFERROR(__xludf.DUMMYFUNCTION("GOOGLETRANSLATE(B28494,""en"",""es-ES"")"),"Otro juego de tira y afloja ocurre en el costado y termina con los hombres de pie recto.")</f>
        <v>Otro juego de tira y afloja ocurre en el costado y termina con los hombres de pie recto.</v>
      </c>
    </row>
    <row r="28495">
      <c r="A28495" s="4" t="s">
        <v>35893</v>
      </c>
      <c r="B28495" s="4" t="s">
        <v>35894</v>
      </c>
      <c r="C28495" s="5" t="str">
        <f>IFERROR(__xludf.DUMMYFUNCTION("GOOGLETRANSLATE(B28495,""en"",""es-ES"")"),"Vemos a una chica sentada en una sala de penetración con una dama de pie cerca de ella.")</f>
        <v>Vemos a una chica sentada en una sala de penetración con una dama de pie cerca de ella.</v>
      </c>
    </row>
    <row r="28496">
      <c r="A28496" s="4" t="s">
        <v>35893</v>
      </c>
      <c r="B28496" s="4" t="s">
        <v>35895</v>
      </c>
      <c r="C28496" s="5" t="str">
        <f>IFERROR(__xludf.DUMMYFUNCTION("GOOGLETRANSLATE(B28496,""en"",""es-ES"")"),"La señora pone un clip en el labio de las chicas y se mete una aguja grande a través de su labio.")</f>
        <v>La señora pone un clip en el labio de las chicas y se mete una aguja grande a través de su labio.</v>
      </c>
    </row>
    <row r="28497">
      <c r="A28497" s="4" t="s">
        <v>35893</v>
      </c>
      <c r="B28497" s="4" t="s">
        <v>35896</v>
      </c>
      <c r="C28497" s="5" t="str">
        <f>IFERROR(__xludf.DUMMYFUNCTION("GOOGLETRANSLATE(B28497,""en"",""es-ES"")"),"La señora desliza el arete a través del labio de las chicas y le pone un desinfectante.")</f>
        <v>La señora desliza el arete a través del labio de las chicas y le pone un desinfectante.</v>
      </c>
    </row>
    <row r="28498">
      <c r="A28498" s="4" t="s">
        <v>35897</v>
      </c>
      <c r="B28498" s="4" t="s">
        <v>35898</v>
      </c>
      <c r="C28498" s="5" t="str">
        <f>IFERROR(__xludf.DUMMYFUNCTION("GOOGLETRANSLATE(B28498,""en"",""es-ES"")"),"Se ve a una niña hablando con la cámara y levanta una botella a la cámara.")</f>
        <v>Se ve a una niña hablando con la cámara y levanta una botella a la cámara.</v>
      </c>
    </row>
    <row r="28499">
      <c r="A28499" s="4" t="s">
        <v>35897</v>
      </c>
      <c r="B28499" s="4" t="s">
        <v>35899</v>
      </c>
      <c r="C28499" s="5" t="str">
        <f>IFERROR(__xludf.DUMMYFUNCTION("GOOGLETRANSLATE(B28499,""en"",""es-ES"")"),"Luego, la niña comienza a pintarse las uñas y mostrarlas a la cámara.")</f>
        <v>Luego, la niña comienza a pintarse las uñas y mostrarlas a la cámara.</v>
      </c>
    </row>
    <row r="28500">
      <c r="A28500" s="4" t="s">
        <v>35897</v>
      </c>
      <c r="B28500" s="4" t="s">
        <v>35900</v>
      </c>
      <c r="C28500" s="5" t="str">
        <f>IFERROR(__xludf.DUMMYFUNCTION("GOOGLETRANSLATE(B28500,""en"",""es-ES"")"),"Ella continúa pintándose las uñas y haciendo caras divertidas en la cámara.")</f>
        <v>Ella continúa pintándose las uñas y haciendo caras divertidas en la cámara.</v>
      </c>
    </row>
    <row r="28501">
      <c r="A28501" s="4" t="s">
        <v>35901</v>
      </c>
      <c r="B28501" s="4" t="s">
        <v>35902</v>
      </c>
      <c r="C28501" s="5" t="str">
        <f>IFERROR(__xludf.DUMMYFUNCTION("GOOGLETRANSLATE(B28501,""en"",""es-ES"")"),"Una persona pone las alfombras en el piso.")</f>
        <v>Una persona pone las alfombras en el piso.</v>
      </c>
    </row>
    <row r="28502">
      <c r="A28502" s="4" t="s">
        <v>35901</v>
      </c>
      <c r="B28502" s="4" t="s">
        <v>35903</v>
      </c>
      <c r="C28502" s="5" t="str">
        <f>IFERROR(__xludf.DUMMYFUNCTION("GOOGLETRANSLATE(B28502,""en"",""es-ES"")"),"El hombre mide las cuñas para encajar en las esquinas.")</f>
        <v>El hombre mide las cuñas para encajar en las esquinas.</v>
      </c>
    </row>
    <row r="28503">
      <c r="A28503" s="4" t="s">
        <v>35901</v>
      </c>
      <c r="B28503" s="4" t="s">
        <v>35904</v>
      </c>
      <c r="C28503" s="5" t="str">
        <f>IFERROR(__xludf.DUMMYFUNCTION("GOOGLETRANSLATE(B28503,""en"",""es-ES"")"),"Después, la persona pone rayas en el borde de las cuñas, luego pone la alfombra.")</f>
        <v>Después, la persona pone rayas en el borde de las cuñas, luego pone la alfombra.</v>
      </c>
    </row>
    <row r="28504">
      <c r="A28504" s="4" t="s">
        <v>35905</v>
      </c>
      <c r="B28504" s="4" t="s">
        <v>35906</v>
      </c>
      <c r="C28504" s="5" t="str">
        <f>IFERROR(__xludf.DUMMYFUNCTION("GOOGLETRANSLATE(B28504,""en"",""es-ES"")"),"Un hombre toma videos de él esquiando y snowboard por una montaña.")</f>
        <v>Un hombre toma videos de él esquiando y snowboard por una montaña.</v>
      </c>
    </row>
    <row r="28505">
      <c r="A28505" s="4" t="s">
        <v>35905</v>
      </c>
      <c r="B28505" s="4" t="s">
        <v>35907</v>
      </c>
      <c r="C28505" s="5" t="str">
        <f>IFERROR(__xludf.DUMMYFUNCTION("GOOGLETRANSLATE(B28505,""en"",""es-ES"")"),"También pasa por un bosque.")</f>
        <v>También pasa por un bosque.</v>
      </c>
    </row>
    <row r="28506">
      <c r="A28506" s="4" t="s">
        <v>35908</v>
      </c>
      <c r="B28506" s="4" t="s">
        <v>35909</v>
      </c>
      <c r="C28506" s="5" t="str">
        <f>IFERROR(__xludf.DUMMYFUNCTION("GOOGLETRANSLATE(B28506,""en"",""es-ES"")"),"Dos nadadores se inclinan hacia adelante en una plataforma de alta buceo.")</f>
        <v>Dos nadadores se inclinan hacia adelante en una plataforma de alta buceo.</v>
      </c>
    </row>
    <row r="28507">
      <c r="A28507" s="4" t="s">
        <v>35908</v>
      </c>
      <c r="B28507" s="4" t="s">
        <v>35910</v>
      </c>
      <c r="C28507" s="5" t="str">
        <f>IFERROR(__xludf.DUMMYFUNCTION("GOOGLETRANSLATE(B28507,""en"",""es-ES"")"),"Los buzos se sumergen desde la plataforma hacia el agua.")</f>
        <v>Los buzos se sumergen desde la plataforma hacia el agua.</v>
      </c>
    </row>
    <row r="28508">
      <c r="A28508" s="4" t="s">
        <v>35911</v>
      </c>
      <c r="B28508" s="4" t="s">
        <v>35912</v>
      </c>
      <c r="C28508" s="5" t="str">
        <f>IFERROR(__xludf.DUMMYFUNCTION("GOOGLETRANSLATE(B28508,""en"",""es-ES"")"),"Dos hombres se presentan al comienzo del video y les dicen a los espectadores que hablarán de tatuajes.")</f>
        <v>Dos hombres se presentan al comienzo del video y les dicen a los espectadores que hablarán de tatuajes.</v>
      </c>
    </row>
    <row r="28509">
      <c r="A28509" s="4" t="s">
        <v>35911</v>
      </c>
      <c r="B28509" s="4" t="s">
        <v>35913</v>
      </c>
      <c r="C28509" s="5" t="str">
        <f>IFERROR(__xludf.DUMMYFUNCTION("GOOGLETRANSLATE(B28509,""en"",""es-ES"")"),"Uno de los muchachos viene en la pantalla y ofrece algunos consejos sobre cómo prepararse para hacer un tatuaje.")</f>
        <v>Uno de los muchachos viene en la pantalla y ofrece algunos consejos sobre cómo prepararse para hacer un tatuaje.</v>
      </c>
    </row>
    <row r="28510">
      <c r="A28510" s="4" t="s">
        <v>35911</v>
      </c>
      <c r="B28510" s="4" t="s">
        <v>35914</v>
      </c>
      <c r="C28510" s="5" t="str">
        <f>IFERROR(__xludf.DUMMYFUNCTION("GOOGLETRANSLATE(B28510,""en"",""es-ES"")"),"Se muestra un primer plano de un hombre dando un tatuaje a alguien.")</f>
        <v>Se muestra un primer plano de un hombre dando un tatuaje a alguien.</v>
      </c>
    </row>
    <row r="28511">
      <c r="A28511" s="4" t="s">
        <v>35911</v>
      </c>
      <c r="B28511" s="4" t="s">
        <v>35915</v>
      </c>
      <c r="C28511" s="5" t="str">
        <f>IFERROR(__xludf.DUMMYFUNCTION("GOOGLETRANSLATE(B28511,""en"",""es-ES"")"),"Varios clientes se muestran de cerca en la pantalla mientras están en proceso de un tatuaje.")</f>
        <v>Varios clientes se muestran de cerca en la pantalla mientras están en proceso de un tatuaje.</v>
      </c>
    </row>
    <row r="28512">
      <c r="A28512" s="4" t="s">
        <v>35916</v>
      </c>
      <c r="B28512" s="4" t="s">
        <v>35917</v>
      </c>
      <c r="C28512" s="5" t="str">
        <f>IFERROR(__xludf.DUMMYFUNCTION("GOOGLETRANSLATE(B28512,""en"",""es-ES"")"),"Se ve a una mujer empujando un disco a lo largo de un hielo seguido de personas que cepillan hielo con escobas frente al disco.")</f>
        <v>Se ve a una mujer empujando un disco a lo largo de un hielo seguido de personas que cepillan hielo con escobas frente al disco.</v>
      </c>
    </row>
    <row r="28513">
      <c r="A28513" s="4" t="s">
        <v>35916</v>
      </c>
      <c r="B28513" s="4" t="s">
        <v>35918</v>
      </c>
      <c r="C28513" s="5" t="str">
        <f>IFERROR(__xludf.DUMMYFUNCTION("GOOGLETRANSLATE(B28513,""en"",""es-ES"")"),"Continuamente cepillan y terminan el disco en un círculo y termina con la mujer que habla con los demás.")</f>
        <v>Continuamente cepillan y terminan el disco en un círculo y termina con la mujer que habla con los demás.</v>
      </c>
    </row>
    <row r="28514">
      <c r="A28514" s="4" t="s">
        <v>35919</v>
      </c>
      <c r="B28514" s="4" t="s">
        <v>35920</v>
      </c>
      <c r="C28514" s="5" t="str">
        <f>IFERROR(__xludf.DUMMYFUNCTION("GOOGLETRANSLATE(B28514,""en"",""es-ES"")"),"Un hombre primero saluda y luego karate dentro de una habitación mientras gira sobre una pierna, luego hace saludo.")</f>
        <v>Un hombre primero saluda y luego karate dentro de una habitación mientras gira sobre una pierna, luego hace saludo.</v>
      </c>
    </row>
    <row r="28515">
      <c r="A28515" s="4" t="s">
        <v>35919</v>
      </c>
      <c r="B28515" s="4" t="s">
        <v>35921</v>
      </c>
      <c r="C28515" s="5" t="str">
        <f>IFERROR(__xludf.DUMMYFUNCTION("GOOGLETRANSLATE(B28515,""en"",""es-ES"")"),"Un hombre hace la señal cruzada en una posición en cuclillas, luego gira su cuerpo.")</f>
        <v>Un hombre hace la señal cruzada en una posición en cuclillas, luego gira su cuerpo.</v>
      </c>
    </row>
    <row r="28516">
      <c r="A28516" s="4" t="s">
        <v>35919</v>
      </c>
      <c r="B28516" s="4" t="s">
        <v>35922</v>
      </c>
      <c r="C28516" s="5" t="str">
        <f>IFERROR(__xludf.DUMMYFUNCTION("GOOGLETRANSLATE(B28516,""en"",""es-ES"")"),"Luego, el hombre y el hombre pelean mientras saltan y patean.")</f>
        <v>Luego, el hombre y el hombre pelean mientras saltan y patean.</v>
      </c>
    </row>
    <row r="28517">
      <c r="A28517" s="4" t="s">
        <v>35919</v>
      </c>
      <c r="B28517" s="4" t="s">
        <v>35923</v>
      </c>
      <c r="C28517" s="5" t="str">
        <f>IFERROR(__xludf.DUMMYFUNCTION("GOOGLETRANSLATE(B28517,""en"",""es-ES"")"),"Después, el macho pateó la cara del hombre con los pies y hace un giro con una mano en el suelo mientras el hombre aterriza en una estera espumosa.")</f>
        <v>Después, el macho pateó la cara del hombre con los pies y hace un giro con una mano en el suelo mientras el hombre aterriza en una estera espumosa.</v>
      </c>
    </row>
    <row r="28518">
      <c r="A28518" s="4" t="s">
        <v>35924</v>
      </c>
      <c r="B28518" s="4" t="s">
        <v>35925</v>
      </c>
      <c r="C28518" s="5" t="str">
        <f>IFERROR(__xludf.DUMMYFUNCTION("GOOGLETRANSLATE(B28518,""en"",""es-ES"")"),"Un primer plano de una estera se muestra rodeado de discos y un palo sentado en el medio.")</f>
        <v>Un primer plano de una estera se muestra rodeado de discos y un palo sentado en el medio.</v>
      </c>
    </row>
    <row r="28519">
      <c r="A28519" s="4" t="s">
        <v>35924</v>
      </c>
      <c r="B28519" s="4" t="s">
        <v>35926</v>
      </c>
      <c r="C28519" s="5" t="str">
        <f>IFERROR(__xludf.DUMMYFUNCTION("GOOGLETRANSLATE(B28519,""en"",""es-ES"")"),"La cámara se maneja a la gente que empuja el disco a lo largo del hielo seguido de una persona empujando el disco hacia el medio.")</f>
        <v>La cámara se maneja a la gente que empuja el disco a lo largo del hielo seguido de una persona empujando el disco hacia el medio.</v>
      </c>
    </row>
    <row r="28520">
      <c r="A28520" s="4" t="s">
        <v>35927</v>
      </c>
      <c r="B28520" s="4" t="s">
        <v>35928</v>
      </c>
      <c r="C28520" s="5" t="str">
        <f>IFERROR(__xludf.DUMMYFUNCTION("GOOGLETRANSLATE(B28520,""en"",""es-ES"")"),"Un niño pequeño en su pijamma está parado en el espejo observándose a sí mismo cepillarse los dientes.")</f>
        <v>Un niño pequeño en su pijamma está parado en el espejo observándose a sí mismo cepillarse los dientes.</v>
      </c>
    </row>
    <row r="28521">
      <c r="A28521" s="4" t="s">
        <v>35927</v>
      </c>
      <c r="B28521" s="4" t="s">
        <v>35929</v>
      </c>
      <c r="C28521" s="5" t="str">
        <f>IFERROR(__xludf.DUMMYFUNCTION("GOOGLETRANSLATE(B28521,""en"",""es-ES"")"),"Se mueve un poco y escupe una pasta de dientes.")</f>
        <v>Se mueve un poco y escupe una pasta de dientes.</v>
      </c>
    </row>
    <row r="28522">
      <c r="A28522" s="4" t="s">
        <v>35927</v>
      </c>
      <c r="B28522" s="4" t="s">
        <v>35930</v>
      </c>
      <c r="C28522" s="5" t="str">
        <f>IFERROR(__xludf.DUMMYFUNCTION("GOOGLETRANSLATE(B28522,""en"",""es-ES"")"),"Luego continúa cepillando, pone el cepillo del diente y agarra un poco una taza de gigas de agua y lo escupe.")</f>
        <v>Luego continúa cepillando, pone el cepillo del diente y agarra un poco una taza de gigas de agua y lo escupe.</v>
      </c>
    </row>
    <row r="28523">
      <c r="A28523" s="4" t="s">
        <v>35927</v>
      </c>
      <c r="B28523" s="4" t="s">
        <v>35931</v>
      </c>
      <c r="C28523" s="5" t="str">
        <f>IFERROR(__xludf.DUMMYFUNCTION("GOOGLETRANSLATE(B28523,""en"",""es-ES"")"),"Encuentra esto muy divertido, y lo hace una y otra vez hasta que la taza de agua está vacía y luego se baja de su taburete y se limpia la cara con una toalla.")</f>
        <v>Encuentra esto muy divertido, y lo hace una y otra vez hasta que la taza de agua está vacía y luego se baja de su taburete y se limpia la cara con una toalla.</v>
      </c>
    </row>
    <row r="28524">
      <c r="A28524" s="4" t="s">
        <v>35932</v>
      </c>
      <c r="B28524" s="4" t="s">
        <v>35933</v>
      </c>
      <c r="C28524" s="5" t="str">
        <f>IFERROR(__xludf.DUMMYFUNCTION("GOOGLETRANSLATE(B28524,""en"",""es-ES"")"),"Algunos texto aparecen en la pantalla haciendo una pregunta sobre un tema en seguridad de buceo.")</f>
        <v>Algunos texto aparecen en la pantalla haciendo una pregunta sobre un tema en seguridad de buceo.</v>
      </c>
    </row>
    <row r="28525">
      <c r="A28525" s="4" t="s">
        <v>35932</v>
      </c>
      <c r="B28525" s="4" t="s">
        <v>35934</v>
      </c>
      <c r="C28525" s="5" t="str">
        <f>IFERROR(__xludf.DUMMYFUNCTION("GOOGLETRANSLATE(B28525,""en"",""es-ES"")"),"La escena cambia para mostrar muchos tanques de aire de buceo y algunos textos más explicando más sobre la pregunta.")</f>
        <v>La escena cambia para mostrar muchos tanques de aire de buceo y algunos textos más explicando más sobre la pregunta.</v>
      </c>
    </row>
    <row r="28526">
      <c r="A28526" s="4" t="s">
        <v>35932</v>
      </c>
      <c r="B28526" s="4" t="s">
        <v>35935</v>
      </c>
      <c r="C28526" s="5" t="str">
        <f>IFERROR(__xludf.DUMMYFUNCTION("GOOGLETRANSLATE(B28526,""en"",""es-ES"")"),"Un hombre está buceando bajo el agua mientras sostiene su tanque de aire en sus manos y el texto continúa explicando.")</f>
        <v>Un hombre está buceando bajo el agua mientras sostiene su tanque de aire en sus manos y el texto continúa explicando.</v>
      </c>
    </row>
    <row r="28527">
      <c r="A28527" s="4" t="s">
        <v>35932</v>
      </c>
      <c r="B28527" s="4" t="s">
        <v>35936</v>
      </c>
      <c r="C28527" s="5" t="str">
        <f>IFERROR(__xludf.DUMMYFUNCTION("GOOGLETRANSLATE(B28527,""en"",""es-ES"")"),"El tanque de aire se ve flotando solo en la cama marina.")</f>
        <v>El tanque de aire se ve flotando solo en la cama marina.</v>
      </c>
    </row>
    <row r="28528">
      <c r="A28528" s="4" t="s">
        <v>35932</v>
      </c>
      <c r="B28528" s="4" t="s">
        <v>35937</v>
      </c>
      <c r="C28528" s="5" t="str">
        <f>IFERROR(__xludf.DUMMYFUNCTION("GOOGLETRANSLATE(B28528,""en"",""es-ES"")"),"Otro hombre está buceando y suelta su tanque para demostrar la flotabilidad.")</f>
        <v>Otro hombre está buceando y suelta su tanque para demostrar la flotabilidad.</v>
      </c>
    </row>
    <row r="28529">
      <c r="A28529" s="4" t="s">
        <v>35932</v>
      </c>
      <c r="B28529" s="4" t="s">
        <v>35938</v>
      </c>
      <c r="C28529" s="5" t="str">
        <f>IFERROR(__xludf.DUMMYFUNCTION("GOOGLETRANSLATE(B28529,""en"",""es-ES"")"),"La escena regresa al grupo de tanques de aire con más texto explicando.")</f>
        <v>La escena regresa al grupo de tanques de aire con más texto explicando.</v>
      </c>
    </row>
    <row r="28530">
      <c r="A28530" s="4" t="s">
        <v>35932</v>
      </c>
      <c r="B28530" s="4" t="s">
        <v>35939</v>
      </c>
      <c r="C28530" s="5" t="str">
        <f>IFERROR(__xludf.DUMMYFUNCTION("GOOGLETRANSLATE(B28530,""en"",""es-ES"")"),"Otra escena se muestra con 2 tanques y una bolsa al lado de algunos árboles.")</f>
        <v>Otra escena se muestra con 2 tanques y una bolsa al lado de algunos árboles.</v>
      </c>
    </row>
    <row r="28531">
      <c r="A28531" s="4" t="s">
        <v>35940</v>
      </c>
      <c r="B28531" s="4" t="s">
        <v>35941</v>
      </c>
      <c r="C28531" s="5" t="str">
        <f>IFERROR(__xludf.DUMMYFUNCTION("GOOGLETRANSLATE(B28531,""en"",""es-ES"")"),"Un hombre sostiene una navaja de bolsillo mientras está sentado en algunas rocas en el desierto.")</f>
        <v>Un hombre sostiene una navaja de bolsillo mientras está sentado en algunas rocas en el desierto.</v>
      </c>
    </row>
    <row r="28532">
      <c r="A28532" s="4" t="s">
        <v>35940</v>
      </c>
      <c r="B28532" s="4" t="s">
        <v>35942</v>
      </c>
      <c r="C28532" s="5" t="str">
        <f>IFERROR(__xludf.DUMMYFUNCTION("GOOGLETRANSLATE(B28532,""en"",""es-ES"")"),"Luego toma una pequeña piedra del río que fluye y la rompe en otra piedra.")</f>
        <v>Luego toma una pequeña piedra del río que fluye y la rompe en otra piedra.</v>
      </c>
    </row>
    <row r="28533">
      <c r="A28533" s="4" t="s">
        <v>35940</v>
      </c>
      <c r="B28533" s="4" t="s">
        <v>35943</v>
      </c>
      <c r="C28533" s="5" t="str">
        <f>IFERROR(__xludf.DUMMYFUNCTION("GOOGLETRANSLATE(B28533,""en"",""es-ES"")"),"Comienza a aplastar la pequeña piedra a piezas más pequeñas.")</f>
        <v>Comienza a aplastar la pequeña piedra a piezas más pequeñas.</v>
      </c>
    </row>
    <row r="28534">
      <c r="A28534" s="4" t="s">
        <v>35940</v>
      </c>
      <c r="B28534" s="4" t="s">
        <v>35944</v>
      </c>
      <c r="C28534" s="5" t="str">
        <f>IFERROR(__xludf.DUMMYFUNCTION("GOOGLETRANSLATE(B28534,""en"",""es-ES"")"),"Le molesta hacer que las piezas sean más pequeñas.")</f>
        <v>Le molesta hacer que las piezas sean más pequeñas.</v>
      </c>
    </row>
    <row r="28535">
      <c r="A28535" s="4" t="s">
        <v>35940</v>
      </c>
      <c r="B28535" s="4" t="s">
        <v>35945</v>
      </c>
      <c r="C28535" s="5" t="str">
        <f>IFERROR(__xludf.DUMMYFUNCTION("GOOGLETRANSLATE(B28535,""en"",""es-ES"")"),"Luego toma un trozo de corteza y frota las piezas de piedra alimentadas sobre él.")</f>
        <v>Luego toma un trozo de corteza y frota las piezas de piedra alimentadas sobre él.</v>
      </c>
    </row>
    <row r="28536">
      <c r="A28536" s="4" t="s">
        <v>35940</v>
      </c>
      <c r="B28536" s="4" t="s">
        <v>35946</v>
      </c>
      <c r="C28536" s="5" t="str">
        <f>IFERROR(__xludf.DUMMYFUNCTION("GOOGLETRANSLATE(B28536,""en"",""es-ES"")"),"Las partículas de piedra se adhieren a la pieza de madera húmeda.")</f>
        <v>Las partículas de piedra se adhieren a la pieza de madera húmeda.</v>
      </c>
    </row>
    <row r="28537">
      <c r="A28537" s="4" t="s">
        <v>35940</v>
      </c>
      <c r="B28537" s="4" t="s">
        <v>35947</v>
      </c>
      <c r="C28537" s="5" t="str">
        <f>IFERROR(__xludf.DUMMYFUNCTION("GOOGLETRANSLATE(B28537,""en"",""es-ES"")"),"Luego toma el cuchillo y lo agudiza contra la pieza de madera.")</f>
        <v>Luego toma el cuchillo y lo agudiza contra la pieza de madera.</v>
      </c>
    </row>
    <row r="28538">
      <c r="A28538" s="4" t="s">
        <v>35940</v>
      </c>
      <c r="B28538" s="4" t="s">
        <v>35948</v>
      </c>
      <c r="C28538" s="5" t="str">
        <f>IFERROR(__xludf.DUMMYFUNCTION("GOOGLETRANSLATE(B28538,""en"",""es-ES"")"),"Luego se da cuenta de una pequeña rana venenosa negra y verde sentada a su lado.")</f>
        <v>Luego se da cuenta de una pequeña rana venenosa negra y verde sentada a su lado.</v>
      </c>
    </row>
    <row r="28539">
      <c r="A28539" s="4" t="s">
        <v>35940</v>
      </c>
      <c r="B28539" s="4" t="s">
        <v>35949</v>
      </c>
      <c r="C28539" s="5" t="str">
        <f>IFERROR(__xludf.DUMMYFUNCTION("GOOGLETRANSLATE(B28539,""en"",""es-ES"")"),"La rana luego escapa y salta.")</f>
        <v>La rana luego escapa y salta.</v>
      </c>
    </row>
    <row r="28540">
      <c r="A28540" s="4" t="s">
        <v>35940</v>
      </c>
      <c r="B28540" s="4" t="s">
        <v>35950</v>
      </c>
      <c r="C28540" s="5" t="str">
        <f>IFERROR(__xludf.DUMMYFUNCTION("GOOGLETRANSLATE(B28540,""en"",""es-ES"")"),"Explica cómo la rana secreta un fluido venenoso que puede ser extremadamente dañino.")</f>
        <v>Explica cómo la rana secreta un fluido venenoso que puede ser extremadamente dañino.</v>
      </c>
    </row>
    <row r="28541">
      <c r="A28541" s="4" t="s">
        <v>35951</v>
      </c>
      <c r="B28541" s="4" t="s">
        <v>35952</v>
      </c>
      <c r="C28541" s="5" t="str">
        <f>IFERROR(__xludf.DUMMYFUNCTION("GOOGLETRANSLATE(B28541,""en"",""es-ES"")"),"Vemos una pantalla de apertura rosa.")</f>
        <v>Vemos una pantalla de apertura rosa.</v>
      </c>
    </row>
    <row r="28542">
      <c r="A28542" s="4" t="s">
        <v>35951</v>
      </c>
      <c r="B28542" s="4" t="s">
        <v>35953</v>
      </c>
      <c r="C28542" s="5" t="str">
        <f>IFERROR(__xludf.DUMMYFUNCTION("GOOGLETRANSLATE(B28542,""en"",""es-ES"")"),"Vemos a una dama cepillando dos caballos en miniatura.")</f>
        <v>Vemos a una dama cepillando dos caballos en miniatura.</v>
      </c>
    </row>
    <row r="28543">
      <c r="A28543" s="4" t="s">
        <v>35951</v>
      </c>
      <c r="B28543" s="4" t="s">
        <v>35954</v>
      </c>
      <c r="C28543" s="5" t="str">
        <f>IFERROR(__xludf.DUMMYFUNCTION("GOOGLETRANSLATE(B28543,""en"",""es-ES"")"),"La señora limpia los cascos de los caballos marrones.")</f>
        <v>La señora limpia los cascos de los caballos marrones.</v>
      </c>
    </row>
    <row r="28544">
      <c r="A28544" s="4" t="s">
        <v>35951</v>
      </c>
      <c r="B28544" s="4" t="s">
        <v>35955</v>
      </c>
      <c r="C28544" s="5" t="str">
        <f>IFERROR(__xludf.DUMMYFUNCTION("GOOGLETRANSLATE(B28544,""en"",""es-ES"")"),"La señora limpia los cascos del caballo blanco y bronceado.")</f>
        <v>La señora limpia los cascos del caballo blanco y bronceado.</v>
      </c>
    </row>
    <row r="28545">
      <c r="A28545" s="4" t="s">
        <v>35951</v>
      </c>
      <c r="B28545" s="4" t="s">
        <v>35956</v>
      </c>
      <c r="C28545" s="5" t="str">
        <f>IFERROR(__xludf.DUMMYFUNCTION("GOOGLETRANSLATE(B28545,""en"",""es-ES"")"),"La señora cepilla la melena de ambos caballos.")</f>
        <v>La señora cepilla la melena de ambos caballos.</v>
      </c>
    </row>
    <row r="28546">
      <c r="A28546" s="4" t="s">
        <v>35951</v>
      </c>
      <c r="B28546" s="4" t="s">
        <v>35957</v>
      </c>
      <c r="C28546" s="5" t="str">
        <f>IFERROR(__xludf.DUMMYFUNCTION("GOOGLETRANSLATE(B28546,""en"",""es-ES"")"),"La dama deja sus suministros.")</f>
        <v>La dama deja sus suministros.</v>
      </c>
    </row>
    <row r="28547">
      <c r="A28547" s="4" t="s">
        <v>35951</v>
      </c>
      <c r="B28547" s="4" t="s">
        <v>777</v>
      </c>
      <c r="C28547" s="5" t="str">
        <f>IFERROR(__xludf.DUMMYFUNCTION("GOOGLETRANSLATE(B28547,""en"",""es-ES"")"),"Vemos la pantalla de título final.")</f>
        <v>Vemos la pantalla de título final.</v>
      </c>
    </row>
    <row r="28548">
      <c r="A28548" s="4" t="s">
        <v>35951</v>
      </c>
      <c r="B28548" s="4" t="s">
        <v>35958</v>
      </c>
      <c r="C28548" s="5" t="str">
        <f>IFERROR(__xludf.DUMMYFUNCTION("GOOGLETRANSLATE(B28548,""en"",""es-ES"")"),"Vemos imágenes fijas en blanco y negro de los caballos.")</f>
        <v>Vemos imágenes fijas en blanco y negro de los caballos.</v>
      </c>
    </row>
    <row r="28549">
      <c r="A28549" s="4" t="s">
        <v>35951</v>
      </c>
      <c r="B28549" s="4" t="s">
        <v>35959</v>
      </c>
      <c r="C28549" s="5" t="str">
        <f>IFERROR(__xludf.DUMMYFUNCTION("GOOGLETRANSLATE(B28549,""en"",""es-ES"")"),"Vemos a la dama cepillar al caballo marrón nuevamente.")</f>
        <v>Vemos a la dama cepillar al caballo marrón nuevamente.</v>
      </c>
    </row>
    <row r="28550">
      <c r="A28550" s="4" t="s">
        <v>35960</v>
      </c>
      <c r="B28550" s="4" t="s">
        <v>35961</v>
      </c>
      <c r="C28550" s="5" t="str">
        <f>IFERROR(__xludf.DUMMYFUNCTION("GOOGLETRANSLATE(B28550,""en"",""es-ES"")"),"Un grupo de niños viajan en autos de parachoques.")</f>
        <v>Un grupo de niños viajan en autos de parachoques.</v>
      </c>
    </row>
    <row r="28551">
      <c r="A28551" s="4" t="s">
        <v>35960</v>
      </c>
      <c r="B28551" s="4" t="s">
        <v>35962</v>
      </c>
      <c r="C28551" s="5" t="str">
        <f>IFERROR(__xludf.DUMMYFUNCTION("GOOGLETRANSLATE(B28551,""en"",""es-ES"")"),"Van de un lado a otro en la pista.")</f>
        <v>Van de un lado a otro en la pista.</v>
      </c>
    </row>
    <row r="28552">
      <c r="A28552" s="4" t="s">
        <v>35960</v>
      </c>
      <c r="B28552" s="4" t="s">
        <v>35963</v>
      </c>
      <c r="C28552" s="5" t="str">
        <f>IFERROR(__xludf.DUMMYFUNCTION("GOOGLETRANSLATE(B28552,""en"",""es-ES"")"),"Se topan el uno con el otro, sonriendo y riendo.")</f>
        <v>Se topan el uno con el otro, sonriendo y riendo.</v>
      </c>
    </row>
    <row r="28553">
      <c r="A28553" s="4" t="s">
        <v>35964</v>
      </c>
      <c r="B28553" s="4" t="s">
        <v>35965</v>
      </c>
      <c r="C28553" s="5" t="str">
        <f>IFERROR(__xludf.DUMMYFUNCTION("GOOGLETRANSLATE(B28553,""en"",""es-ES"")"),"Se muestran los montes nevados y la gente está haciendo snowboard que baja por la colina sosteniendo postes.")</f>
        <v>Se muestran los montes nevados y la gente está haciendo snowboard que baja por la colina sosteniendo postes.</v>
      </c>
    </row>
    <row r="28554">
      <c r="A28554" s="4" t="s">
        <v>35964</v>
      </c>
      <c r="B28554" s="4" t="s">
        <v>35966</v>
      </c>
      <c r="C28554" s="5" t="str">
        <f>IFERROR(__xludf.DUMMYFUNCTION("GOOGLETRANSLATE(B28554,""en"",""es-ES"")"),"Se muestra una casa de nieve con niños jugando.")</f>
        <v>Se muestra una casa de nieve con niños jugando.</v>
      </c>
    </row>
    <row r="28555">
      <c r="A28555" s="4" t="s">
        <v>35964</v>
      </c>
      <c r="B28555" s="4" t="s">
        <v>35967</v>
      </c>
      <c r="C28555" s="5" t="str">
        <f>IFERROR(__xludf.DUMMYFUNCTION("GOOGLETRANSLATE(B28555,""en"",""es-ES"")"),"Ma está jugando con un avión de juguete.")</f>
        <v>Ma está jugando con un avión de juguete.</v>
      </c>
    </row>
    <row r="28556">
      <c r="A28556" s="4" t="s">
        <v>35964</v>
      </c>
      <c r="B28556" s="4" t="s">
        <v>35968</v>
      </c>
      <c r="C28556" s="5" t="str">
        <f>IFERROR(__xludf.DUMMYFUNCTION("GOOGLETRANSLATE(B28556,""en"",""es-ES"")"),"La gente que hace snowboard va por la montaña con lighes rojos y los fuegos artificiales están en el cielo.")</f>
        <v>La gente que hace snowboard va por la montaña con lighes rojos y los fuegos artificiales están en el cielo.</v>
      </c>
    </row>
    <row r="28557">
      <c r="A28557" s="4" t="s">
        <v>35969</v>
      </c>
      <c r="B28557" s="4" t="s">
        <v>1251</v>
      </c>
      <c r="C28557" s="5" t="str">
        <f>IFERROR(__xludf.DUMMYFUNCTION("GOOGLETRANSLATE(B28557,""en"",""es-ES"")"),"Se muestran los créditos del clip.")</f>
        <v>Se muestran los créditos del clip.</v>
      </c>
    </row>
    <row r="28558">
      <c r="A28558" s="4" t="s">
        <v>35969</v>
      </c>
      <c r="B28558" s="4" t="s">
        <v>35970</v>
      </c>
      <c r="C28558" s="5" t="str">
        <f>IFERROR(__xludf.DUMMYFUNCTION("GOOGLETRANSLATE(B28558,""en"",""es-ES"")"),"Se muestran los diferentes tamaños del producto.")</f>
        <v>Se muestran los diferentes tamaños del producto.</v>
      </c>
    </row>
    <row r="28559">
      <c r="A28559" s="4" t="s">
        <v>35969</v>
      </c>
      <c r="B28559" s="4" t="s">
        <v>35971</v>
      </c>
      <c r="C28559" s="5" t="str">
        <f>IFERROR(__xludf.DUMMYFUNCTION("GOOGLETRANSLATE(B28559,""en"",""es-ES"")"),"El tipo vierte el producto en un recipiente y usa un cepillo para colocar el líquido en la superficie de un objeto de metal.")</f>
        <v>El tipo vierte el producto en un recipiente y usa un cepillo para colocar el líquido en la superficie de un objeto de metal.</v>
      </c>
    </row>
    <row r="28560">
      <c r="A28560" s="4" t="s">
        <v>35969</v>
      </c>
      <c r="B28560" s="4" t="s">
        <v>35972</v>
      </c>
      <c r="C28560" s="5" t="str">
        <f>IFERROR(__xludf.DUMMYFUNCTION("GOOGLETRANSLATE(B28560,""en"",""es-ES"")"),"El tipo pone un paño blanco en el borde.")</f>
        <v>El tipo pone un paño blanco en el borde.</v>
      </c>
    </row>
    <row r="28561">
      <c r="A28561" s="4" t="s">
        <v>35969</v>
      </c>
      <c r="B28561" s="4" t="s">
        <v>35973</v>
      </c>
      <c r="C28561" s="5" t="str">
        <f>IFERROR(__xludf.DUMMYFUNCTION("GOOGLETRANSLATE(B28561,""en"",""es-ES"")"),"El tipo dirige el objeto de metal repetidamente a través de la tela blanca.")</f>
        <v>El tipo dirige el objeto de metal repetidamente a través de la tela blanca.</v>
      </c>
    </row>
    <row r="28562">
      <c r="A28562" s="4" t="s">
        <v>35969</v>
      </c>
      <c r="B28562" s="4" t="s">
        <v>573</v>
      </c>
      <c r="C28562" s="5" t="str">
        <f>IFERROR(__xludf.DUMMYFUNCTION("GOOGLETRANSLATE(B28562,""en"",""es-ES"")"),"Se muestran los créditos del video.")</f>
        <v>Se muestran los créditos del video.</v>
      </c>
    </row>
    <row r="28563">
      <c r="A28563" s="4" t="s">
        <v>35974</v>
      </c>
      <c r="B28563" s="4" t="s">
        <v>35975</v>
      </c>
      <c r="C28563" s="5" t="str">
        <f>IFERROR(__xludf.DUMMYFUNCTION("GOOGLETRANSLATE(B28563,""en"",""es-ES"")"),"Se muestra una pintura seguida de varias imágenes de herramientas y suministros de pintura.")</f>
        <v>Se muestra una pintura seguida de varias imágenes de herramientas y suministros de pintura.</v>
      </c>
    </row>
    <row r="28564">
      <c r="A28564" s="4" t="s">
        <v>35974</v>
      </c>
      <c r="B28564" s="4" t="s">
        <v>35976</v>
      </c>
      <c r="C28564" s="5" t="str">
        <f>IFERROR(__xludf.DUMMYFUNCTION("GOOGLETRANSLATE(B28564,""en"",""es-ES"")"),"La mano de una persona luego comienza a poner marcas en la pintura y sumergir su pincel continuamente en la pintura.")</f>
        <v>La mano de una persona luego comienza a poner marcas en la pintura y sumergir su pincel continuamente en la pintura.</v>
      </c>
    </row>
    <row r="28565">
      <c r="A28565" s="4" t="s">
        <v>35974</v>
      </c>
      <c r="B28565" s="4" t="s">
        <v>35977</v>
      </c>
      <c r="C28565" s="5" t="str">
        <f>IFERROR(__xludf.DUMMYFUNCTION("GOOGLETRANSLATE(B28565,""en"",""es-ES"")"),"La cámara saca la imagen terminada y se muestra un texto en la pantalla.")</f>
        <v>La cámara saca la imagen terminada y se muestra un texto en la pantalla.</v>
      </c>
    </row>
    <row r="28566">
      <c r="A28566" s="4" t="s">
        <v>35978</v>
      </c>
      <c r="B28566" s="4" t="s">
        <v>35979</v>
      </c>
      <c r="C28566" s="5" t="str">
        <f>IFERROR(__xludf.DUMMYFUNCTION("GOOGLETRANSLATE(B28566,""en"",""es-ES"")"),"Se ve a una mujer tocando frisbee en un patio trasero con un perro y realiza varios trucos con el perro.")</f>
        <v>Se ve a una mujer tocando frisbee en un patio trasero con un perro y realiza varios trucos con el perro.</v>
      </c>
    </row>
    <row r="28567">
      <c r="A28567" s="4" t="s">
        <v>35978</v>
      </c>
      <c r="B28567" s="4" t="s">
        <v>35980</v>
      </c>
      <c r="C28567" s="5" t="str">
        <f>IFERROR(__xludf.DUMMYFUNCTION("GOOGLETRANSLATE(B28567,""en"",""es-ES"")"),"Ella juega continuamente con varios juguetes con el perro cuando otra persona mira a un lado.")</f>
        <v>Ella juega continuamente con varios juguetes con el perro cuando otra persona mira a un lado.</v>
      </c>
    </row>
    <row r="28568">
      <c r="A28568" s="4" t="s">
        <v>35981</v>
      </c>
      <c r="B28568" s="4" t="s">
        <v>35982</v>
      </c>
      <c r="C28568" s="5" t="str">
        <f>IFERROR(__xludf.DUMMYFUNCTION("GOOGLETRANSLATE(B28568,""en"",""es-ES"")"),"Una mujer caucásica en maternidad tardía se muestra sentada en el sofá de la sala de estar.")</f>
        <v>Una mujer caucásica en maternidad tardía se muestra sentada en el sofá de la sala de estar.</v>
      </c>
    </row>
    <row r="28569">
      <c r="A28569" s="4" t="s">
        <v>35981</v>
      </c>
      <c r="B28569" s="4" t="s">
        <v>35983</v>
      </c>
      <c r="C28569" s="5" t="str">
        <f>IFERROR(__xludf.DUMMYFUNCTION("GOOGLETRANSLATE(B28569,""en"",""es-ES"")"),"Ella se pone un calcetín en su pie izquierdo mientras cruza la pierna y luego procede a ponerse un zapato de tenis en su pie izquierdo.")</f>
        <v>Ella se pone un calcetín en su pie izquierdo mientras cruza la pierna y luego procede a ponerse un zapato de tenis en su pie izquierdo.</v>
      </c>
    </row>
    <row r="28570">
      <c r="A28570" s="4" t="s">
        <v>35981</v>
      </c>
      <c r="B28570" s="4" t="s">
        <v>35984</v>
      </c>
      <c r="C28570" s="5" t="str">
        <f>IFERROR(__xludf.DUMMYFUNCTION("GOOGLETRANSLATE(B28570,""en"",""es-ES"")"),"Ella es clara en incomodidad mientras procede a atar su zapato, que descansa en una otomana.")</f>
        <v>Ella es clara en incomodidad mientras procede a atar su zapato, que descansa en una otomana.</v>
      </c>
    </row>
    <row r="28571">
      <c r="A28571" s="4" t="s">
        <v>35981</v>
      </c>
      <c r="B28571" s="4" t="s">
        <v>35985</v>
      </c>
      <c r="C28571" s="5" t="str">
        <f>IFERROR(__xludf.DUMMYFUNCTION("GOOGLETRANSLATE(B28571,""en"",""es-ES"")"),"Ella toma un pequeño descanso y luego procede a ponerse el zapato derecho, descansa su pie derecho sobre la otomana mientras ata el zapato.")</f>
        <v>Ella toma un pequeño descanso y luego procede a ponerse el zapato derecho, descansa su pie derecho sobre la otomana mientras ata el zapato.</v>
      </c>
    </row>
    <row r="28572">
      <c r="A28572" s="4" t="s">
        <v>35981</v>
      </c>
      <c r="B28572" s="4" t="s">
        <v>35986</v>
      </c>
      <c r="C28572" s="5" t="str">
        <f>IFERROR(__xludf.DUMMYFUNCTION("GOOGLETRANSLATE(B28572,""en"",""es-ES"")"),"La mujer satisfecha y agotada se sienta en el sofá y sostiene su gran vientre mientras completa la tarea de ponerse su zapato derecho.")</f>
        <v>La mujer satisfecha y agotada se sienta en el sofá y sostiene su gran vientre mientras completa la tarea de ponerse su zapato derecho.</v>
      </c>
    </row>
    <row r="28573">
      <c r="A28573" s="4" t="s">
        <v>35987</v>
      </c>
      <c r="B28573" s="4" t="s">
        <v>35988</v>
      </c>
      <c r="C28573" s="5" t="str">
        <f>IFERROR(__xludf.DUMMYFUNCTION("GOOGLETRANSLATE(B28573,""en"",""es-ES"")"),"Un hombre que sostiene una raqueta se encuentra en una cancha de squash que habla con la cámara.")</f>
        <v>Un hombre que sostiene una raqueta se encuentra en una cancha de squash que habla con la cámara.</v>
      </c>
    </row>
    <row r="28574">
      <c r="A28574" s="4" t="s">
        <v>35987</v>
      </c>
      <c r="B28574" s="4" t="s">
        <v>35989</v>
      </c>
      <c r="C28574" s="5" t="str">
        <f>IFERROR(__xludf.DUMMYFUNCTION("GOOGLETRANSLATE(B28574,""en"",""es-ES"")"),"El hombre rebota y atrapa una pelota azul.")</f>
        <v>El hombre rebota y atrapa una pelota azul.</v>
      </c>
    </row>
    <row r="28575">
      <c r="A28575" s="4" t="s">
        <v>35987</v>
      </c>
      <c r="B28575" s="4" t="s">
        <v>35990</v>
      </c>
      <c r="C28575" s="5" t="str">
        <f>IFERROR(__xludf.DUMMYFUNCTION("GOOGLETRANSLATE(B28575,""en"",""es-ES"")"),"El hombre luego golpea la pelota de la pared trasera y la atrapa.")</f>
        <v>El hombre luego golpea la pelota de la pared trasera y la atrapa.</v>
      </c>
    </row>
    <row r="28576">
      <c r="A28576" s="4" t="s">
        <v>35987</v>
      </c>
      <c r="B28576" s="4" t="s">
        <v>35991</v>
      </c>
      <c r="C28576" s="5" t="str">
        <f>IFERROR(__xludf.DUMMYFUNCTION("GOOGLETRANSLATE(B28576,""en"",""es-ES"")"),"El hombre luego se para y habla con la cámara.")</f>
        <v>El hombre luego se para y habla con la cámara.</v>
      </c>
    </row>
    <row r="28577">
      <c r="A28577" s="4" t="s">
        <v>35992</v>
      </c>
      <c r="B28577" s="4" t="s">
        <v>35993</v>
      </c>
      <c r="C28577" s="5" t="str">
        <f>IFERROR(__xludf.DUMMYFUNCTION("GOOGLETRANSLATE(B28577,""en"",""es-ES"")"),"Se ve a un pequeño grupo de personas de pie alrededor de un campo con un árbitro que habla a la gente.")</f>
        <v>Se ve a un pequeño grupo de personas de pie alrededor de un campo con un árbitro que habla a la gente.</v>
      </c>
    </row>
    <row r="28578">
      <c r="A28578" s="4" t="s">
        <v>35992</v>
      </c>
      <c r="B28578" s="4" t="s">
        <v>35994</v>
      </c>
      <c r="C28578" s="5" t="str">
        <f>IFERROR(__xludf.DUMMYFUNCTION("GOOGLETRANSLATE(B28578,""en"",""es-ES"")"),"Los jugadores comienzan un partido de lacrosse entre sí y corren por el campo jugando.")</f>
        <v>Los jugadores comienzan un partido de lacrosse entre sí y corren por el campo jugando.</v>
      </c>
    </row>
    <row r="28579">
      <c r="A28579" s="4" t="s">
        <v>35995</v>
      </c>
      <c r="B28579" s="4" t="s">
        <v>35996</v>
      </c>
      <c r="C28579" s="5" t="str">
        <f>IFERROR(__xludf.DUMMYFUNCTION("GOOGLETRANSLATE(B28579,""en"",""es-ES"")"),"Hay dos personas vestidas con camisas amarillas jugando al tenis de mesa en un sótano terminado.")</f>
        <v>Hay dos personas vestidas con camisas amarillas jugando al tenis de mesa en un sótano terminado.</v>
      </c>
    </row>
    <row r="28580">
      <c r="A28580" s="4" t="s">
        <v>35995</v>
      </c>
      <c r="B28580" s="4" t="s">
        <v>35997</v>
      </c>
      <c r="C28580" s="5" t="str">
        <f>IFERROR(__xludf.DUMMYFUNCTION("GOOGLETRANSLATE(B28580,""en"",""es-ES"")"),"Hay tres personas sentadas en sofás al lado de ellos viendo la televisión de fútbol.")</f>
        <v>Hay tres personas sentadas en sofás al lado de ellos viendo la televisión de fútbol.</v>
      </c>
    </row>
    <row r="28581">
      <c r="A28581" s="4" t="s">
        <v>35995</v>
      </c>
      <c r="B28581" s="4" t="s">
        <v>35998</v>
      </c>
      <c r="C28581" s="5" t="str">
        <f>IFERROR(__xludf.DUMMYFUNCTION("GOOGLETRANSLATE(B28581,""en"",""es-ES"")"),"Otra persona sentada en el sofá está jugando en su teléfono.")</f>
        <v>Otra persona sentada en el sofá está jugando en su teléfono.</v>
      </c>
    </row>
    <row r="28582">
      <c r="A28582" s="4" t="s">
        <v>35995</v>
      </c>
      <c r="B28582" s="4" t="s">
        <v>35999</v>
      </c>
      <c r="C28582" s="5" t="str">
        <f>IFERROR(__xludf.DUMMYFUNCTION("GOOGLETRANSLATE(B28582,""en"",""es-ES"")"),"Los dos jugadores continúan jugando al tenis de mesa.")</f>
        <v>Los dos jugadores continúan jugando al tenis de mesa.</v>
      </c>
    </row>
    <row r="28583">
      <c r="A28583" s="4" t="s">
        <v>35995</v>
      </c>
      <c r="B28583" s="4" t="s">
        <v>36000</v>
      </c>
      <c r="C28583" s="5" t="str">
        <f>IFERROR(__xludf.DUMMYFUNCTION("GOOGLETRANSLATE(B28583,""en"",""es-ES"")"),"El jugador de la derecha golpea la pelota, que es oponente regresa de manera rápida.")</f>
        <v>El jugador de la derecha golpea la pelota, que es oponente regresa de manera rápida.</v>
      </c>
    </row>
    <row r="28584">
      <c r="A28584" s="4" t="s">
        <v>35995</v>
      </c>
      <c r="B28584" s="4" t="s">
        <v>36001</v>
      </c>
      <c r="C28584" s="5" t="str">
        <f>IFERROR(__xludf.DUMMYFUNCTION("GOOGLETRANSLATE(B28584,""en"",""es-ES"")"),"La pelota se cae de la mesa.")</f>
        <v>La pelota se cae de la mesa.</v>
      </c>
    </row>
    <row r="28585">
      <c r="A28585" s="4" t="s">
        <v>35995</v>
      </c>
      <c r="B28585" s="4" t="s">
        <v>36002</v>
      </c>
      <c r="C28585" s="5" t="str">
        <f>IFERROR(__xludf.DUMMYFUNCTION("GOOGLETRANSLATE(B28585,""en"",""es-ES"")"),"La persona en la derecha corre para recoger la pelota.")</f>
        <v>La persona en la derecha corre para recoger la pelota.</v>
      </c>
    </row>
    <row r="28586">
      <c r="A28586" s="4" t="s">
        <v>35995</v>
      </c>
      <c r="B28586" s="4" t="s">
        <v>36003</v>
      </c>
      <c r="C28586" s="5" t="str">
        <f>IFERROR(__xludf.DUMMYFUNCTION("GOOGLETRANSLATE(B28586,""en"",""es-ES"")"),"Continúan jugando y sirviendo la pelota.")</f>
        <v>Continúan jugando y sirviendo la pelota.</v>
      </c>
    </row>
    <row r="28587">
      <c r="A28587" s="4" t="s">
        <v>35995</v>
      </c>
      <c r="B28587" s="4" t="s">
        <v>36004</v>
      </c>
      <c r="C28587" s="5" t="str">
        <f>IFERROR(__xludf.DUMMYFUNCTION("GOOGLETRANSLATE(B28587,""en"",""es-ES"")"),"Un chico vestido con una sudadera con capucha negra paseando.")</f>
        <v>Un chico vestido con una sudadera con capucha negra paseando.</v>
      </c>
    </row>
    <row r="28588">
      <c r="A28588" s="4" t="s">
        <v>35995</v>
      </c>
      <c r="B28588" s="4" t="s">
        <v>36005</v>
      </c>
      <c r="C28588" s="5" t="str">
        <f>IFERROR(__xludf.DUMMYFUNCTION("GOOGLETRANSLATE(B28588,""en"",""es-ES"")"),"Uno de los jugadores hace una pausa para ajustar la mesa.")</f>
        <v>Uno de los jugadores hace una pausa para ajustar la mesa.</v>
      </c>
    </row>
    <row r="28589">
      <c r="A28589" s="4" t="s">
        <v>35995</v>
      </c>
      <c r="B28589" s="4" t="s">
        <v>36006</v>
      </c>
      <c r="C28589" s="5" t="str">
        <f>IFERROR(__xludf.DUMMYFUNCTION("GOOGLETRANSLATE(B28589,""en"",""es-ES"")"),"Continúan jugando al tenis de mesa mientras hablan entre sí.")</f>
        <v>Continúan jugando al tenis de mesa mientras hablan entre sí.</v>
      </c>
    </row>
    <row r="28590">
      <c r="A28590" s="4" t="s">
        <v>36007</v>
      </c>
      <c r="B28590" s="4" t="s">
        <v>36008</v>
      </c>
      <c r="C28590" s="5" t="str">
        <f>IFERROR(__xludf.DUMMYFUNCTION("GOOGLETRANSLATE(B28590,""en"",""es-ES"")"),"Se muestran dos niños pequeños cuando uno trepa a través de un conjunto de barras de mono y los otros pasos fuera de cuadro.")</f>
        <v>Se muestran dos niños pequeños cuando uno trepa a través de un conjunto de barras de mono y los otros pasos fuera de cuadro.</v>
      </c>
    </row>
    <row r="28591">
      <c r="A28591" s="4" t="s">
        <v>36007</v>
      </c>
      <c r="B28591" s="4" t="s">
        <v>36009</v>
      </c>
      <c r="C28591" s="5" t="str">
        <f>IFERROR(__xludf.DUMMYFUNCTION("GOOGLETRANSLATE(B28591,""en"",""es-ES"")"),"La niña llega al final de las barras y mira a la cámara hablando y sonriendo.")</f>
        <v>La niña llega al final de las barras y mira a la cámara hablando y sonriendo.</v>
      </c>
    </row>
    <row r="28592">
      <c r="A28592" s="4" t="s">
        <v>36010</v>
      </c>
      <c r="B28592" s="4" t="s">
        <v>36011</v>
      </c>
      <c r="C28592" s="5" t="str">
        <f>IFERROR(__xludf.DUMMYFUNCTION("GOOGLETRANSLATE(B28592,""en"",""es-ES"")"),"Una mujer habla en la cocina, luego viene dos niños y habla mientras muestra las frutas en el mostrador.")</f>
        <v>Una mujer habla en la cocina, luego viene dos niños y habla mientras muestra las frutas en el mostrador.</v>
      </c>
    </row>
    <row r="28593">
      <c r="A28593" s="4" t="s">
        <v>36010</v>
      </c>
      <c r="B28593" s="4" t="s">
        <v>36012</v>
      </c>
      <c r="C28593" s="5" t="str">
        <f>IFERROR(__xludf.DUMMYFUNCTION("GOOGLETRANSLATE(B28593,""en"",""es-ES"")"),"Luego, un hombre viene y pone todas las frutas en un tazón grande mientras explica.")</f>
        <v>Luego, un hombre viene y pone todas las frutas en un tazón grande mientras explica.</v>
      </c>
    </row>
    <row r="28594">
      <c r="A28594" s="4" t="s">
        <v>36010</v>
      </c>
      <c r="B28594" s="4" t="s">
        <v>36013</v>
      </c>
      <c r="C28594" s="5" t="str">
        <f>IFERROR(__xludf.DUMMYFUNCTION("GOOGLETRANSLATE(B28594,""en"",""es-ES"")"),"Después, el hombre agrega en la parte superior el yogurt de las frutas, el chocolate y el cereal.")</f>
        <v>Después, el hombre agrega en la parte superior el yogurt de las frutas, el chocolate y el cereal.</v>
      </c>
    </row>
    <row r="28595">
      <c r="A28595" s="4" t="s">
        <v>36014</v>
      </c>
      <c r="B28595" s="4" t="s">
        <v>36015</v>
      </c>
      <c r="C28595" s="5" t="str">
        <f>IFERROR(__xludf.DUMMYFUNCTION("GOOGLETRANSLATE(B28595,""en"",""es-ES"")"),"Una persona que lleva un chaleco tiene varios cubos en la calle con la que está tocando.")</f>
        <v>Una persona que lleva un chaleco tiene varios cubos en la calle con la que está tocando.</v>
      </c>
    </row>
    <row r="28596">
      <c r="A28596" s="4" t="s">
        <v>36014</v>
      </c>
      <c r="B28596" s="4" t="s">
        <v>36016</v>
      </c>
      <c r="C28596" s="5" t="str">
        <f>IFERROR(__xludf.DUMMYFUNCTION("GOOGLETRANSLATE(B28596,""en"",""es-ES"")"),"Muchas personas están de pie con asombro viendo jugar a este hombre, mientras que algunas están grabando con una cámara.")</f>
        <v>Muchas personas están de pie con asombro viendo jugar a este hombre, mientras que algunas están grabando con una cámara.</v>
      </c>
    </row>
    <row r="28597">
      <c r="A28597" s="4" t="s">
        <v>36014</v>
      </c>
      <c r="B28597" s="4" t="s">
        <v>36017</v>
      </c>
      <c r="C28597" s="5" t="str">
        <f>IFERROR(__xludf.DUMMYFUNCTION("GOOGLETRANSLATE(B28597,""en"",""es-ES"")"),"El hombre continúa tocando más rápido y la multitud continúa animándolo.")</f>
        <v>El hombre continúa tocando más rápido y la multitud continúa animándolo.</v>
      </c>
    </row>
    <row r="28598">
      <c r="A28598" s="4" t="s">
        <v>36014</v>
      </c>
      <c r="B28598" s="4" t="s">
        <v>36018</v>
      </c>
      <c r="C28598" s="5" t="str">
        <f>IFERROR(__xludf.DUMMYFUNCTION("GOOGLETRANSLATE(B28598,""en"",""es-ES"")"),"Muchas personas pasan y no parecen notar al baterista.")</f>
        <v>Muchas personas pasan y no parecen notar al baterista.</v>
      </c>
    </row>
    <row r="28599">
      <c r="A28599" s="4" t="s">
        <v>36019</v>
      </c>
      <c r="B28599" s="4" t="s">
        <v>36020</v>
      </c>
      <c r="C28599" s="5" t="str">
        <f>IFERROR(__xludf.DUMMYFUNCTION("GOOGLETRANSLATE(B28599,""en"",""es-ES"")"),"Un niño está detrás de una mesa de comida.")</f>
        <v>Un niño está detrás de una mesa de comida.</v>
      </c>
    </row>
    <row r="28600">
      <c r="A28600" s="4" t="s">
        <v>36019</v>
      </c>
      <c r="B28600" s="4" t="s">
        <v>36021</v>
      </c>
      <c r="C28600" s="5" t="str">
        <f>IFERROR(__xludf.DUMMYFUNCTION("GOOGLETRANSLATE(B28600,""en"",""es-ES"")"),"Comienza a extender la mayonesa sobre rebanadas de pan.")</f>
        <v>Comienza a extender la mayonesa sobre rebanadas de pan.</v>
      </c>
    </row>
    <row r="28601">
      <c r="A28601" s="4" t="s">
        <v>36019</v>
      </c>
      <c r="B28601" s="4" t="s">
        <v>36022</v>
      </c>
      <c r="C28601" s="5" t="str">
        <f>IFERROR(__xludf.DUMMYFUNCTION("GOOGLETRANSLATE(B28601,""en"",""es-ES"")"),"Él pone lechuga en el pan.")</f>
        <v>Él pone lechuga en el pan.</v>
      </c>
    </row>
    <row r="28602">
      <c r="A28602" s="4" t="s">
        <v>36019</v>
      </c>
      <c r="B28602" s="4" t="s">
        <v>36023</v>
      </c>
      <c r="C28602" s="5" t="str">
        <f>IFERROR(__xludf.DUMMYFUNCTION("GOOGLETRANSLATE(B28602,""en"",""es-ES"")"),"Apila tomates encima de la lechuga en el pan.")</f>
        <v>Apila tomates encima de la lechuga en el pan.</v>
      </c>
    </row>
    <row r="28603">
      <c r="A28603" s="4" t="s">
        <v>36019</v>
      </c>
      <c r="B28603" s="4" t="s">
        <v>36024</v>
      </c>
      <c r="C28603" s="5" t="str">
        <f>IFERROR(__xludf.DUMMYFUNCTION("GOOGLETRANSLATE(B28603,""en"",""es-ES"")"),"Él pone pollo encima del tomate.")</f>
        <v>Él pone pollo encima del tomate.</v>
      </c>
    </row>
    <row r="28604">
      <c r="A28604" s="4" t="s">
        <v>36019</v>
      </c>
      <c r="B28604" s="4" t="s">
        <v>36025</v>
      </c>
      <c r="C28604" s="5" t="str">
        <f>IFERROR(__xludf.DUMMYFUNCTION("GOOGLETRANSLATE(B28604,""en"",""es-ES"")"),"Pone un pedazo de pan encima del otro.")</f>
        <v>Pone un pedazo de pan encima del otro.</v>
      </c>
    </row>
    <row r="28605">
      <c r="A28605" s="4" t="s">
        <v>36019</v>
      </c>
      <c r="B28605" s="4" t="s">
        <v>36026</v>
      </c>
      <c r="C28605" s="5" t="str">
        <f>IFERROR(__xludf.DUMMYFUNCTION("GOOGLETRANSLATE(B28605,""en"",""es-ES"")"),"Pone la mayonesa encima del pedazo superior de pan.")</f>
        <v>Pone la mayonesa encima del pedazo superior de pan.</v>
      </c>
    </row>
    <row r="28606">
      <c r="A28606" s="4" t="s">
        <v>36019</v>
      </c>
      <c r="B28606" s="4" t="s">
        <v>36027</v>
      </c>
      <c r="C28606" s="5" t="str">
        <f>IFERROR(__xludf.DUMMYFUNCTION("GOOGLETRANSLATE(B28606,""en"",""es-ES"")"),"Él reúne la comida en el pan nuevamente.")</f>
        <v>Él reúne la comida en el pan nuevamente.</v>
      </c>
    </row>
    <row r="28607">
      <c r="A28607" s="4" t="s">
        <v>36019</v>
      </c>
      <c r="B28607" s="4" t="s">
        <v>36028</v>
      </c>
      <c r="C28607" s="5" t="str">
        <f>IFERROR(__xludf.DUMMYFUNCTION("GOOGLETRANSLATE(B28607,""en"",""es-ES"")"),"Lo cubre con un trozo final de pan.")</f>
        <v>Lo cubre con un trozo final de pan.</v>
      </c>
    </row>
    <row r="28608">
      <c r="A28608" s="4" t="s">
        <v>36019</v>
      </c>
      <c r="B28608" s="4" t="s">
        <v>36029</v>
      </c>
      <c r="C28608" s="5" t="str">
        <f>IFERROR(__xludf.DUMMYFUNCTION("GOOGLETRANSLATE(B28608,""en"",""es-ES"")"),"Corta el sándwich en cuatro rodajas en un tablero.")</f>
        <v>Corta el sándwich en cuatro rodajas en un tablero.</v>
      </c>
    </row>
    <row r="28609">
      <c r="A28609" s="4" t="s">
        <v>36019</v>
      </c>
      <c r="B28609" s="4" t="s">
        <v>36030</v>
      </c>
      <c r="C28609" s="5" t="str">
        <f>IFERROR(__xludf.DUMMYFUNCTION("GOOGLETRANSLATE(B28609,""en"",""es-ES"")"),"Pone un palillo en cada sección del sándwich.")</f>
        <v>Pone un palillo en cada sección del sándwich.</v>
      </c>
    </row>
    <row r="28610">
      <c r="A28610" s="4" t="s">
        <v>36019</v>
      </c>
      <c r="B28610" s="4" t="s">
        <v>36031</v>
      </c>
      <c r="C28610" s="5" t="str">
        <f>IFERROR(__xludf.DUMMYFUNCTION("GOOGLETRANSLATE(B28610,""en"",""es-ES"")"),"Mueve el sándwich del tablero a un plato.")</f>
        <v>Mueve el sándwich del tablero a un plato.</v>
      </c>
    </row>
    <row r="28611">
      <c r="A28611" s="4" t="s">
        <v>36019</v>
      </c>
      <c r="B28611" s="4" t="s">
        <v>36032</v>
      </c>
      <c r="C28611" s="5" t="str">
        <f>IFERROR(__xludf.DUMMYFUNCTION("GOOGLETRANSLATE(B28611,""en"",""es-ES"")"),"Agrega papas fritas al plato con el sándwich.")</f>
        <v>Agrega papas fritas al plato con el sándwich.</v>
      </c>
    </row>
    <row r="28612">
      <c r="A28612" s="4" t="s">
        <v>36033</v>
      </c>
      <c r="B28612" s="4" t="s">
        <v>36034</v>
      </c>
      <c r="C28612" s="5" t="str">
        <f>IFERROR(__xludf.DUMMYFUNCTION("GOOGLETRANSLATE(B28612,""en"",""es-ES"")"),"Hay un reportero de NBC News con un suéter rojo y una camisa blanca que habla sobre el aseo de los perros de Scissor Wizard una compañía de aseo.")</f>
        <v>Hay un reportero de NBC News con un suéter rojo y una camisa blanca que habla sobre el aseo de los perros de Scissor Wizard una compañía de aseo.</v>
      </c>
    </row>
    <row r="28613">
      <c r="A28613" s="4" t="s">
        <v>36033</v>
      </c>
      <c r="B28613" s="4" t="s">
        <v>36035</v>
      </c>
      <c r="C28613" s="5" t="str">
        <f>IFERROR(__xludf.DUMMYFUNCTION("GOOGLETRANSLATE(B28613,""en"",""es-ES"")"),"El representante de la compañía está hablando sobre los servicios que ofrecen y cómo esos perros participan en los espectáculos de perros.")</f>
        <v>El representante de la compañía está hablando sobre los servicios que ofrecen y cómo esos perros participan en los espectáculos de perros.</v>
      </c>
    </row>
    <row r="28614">
      <c r="A28614" s="4" t="s">
        <v>36033</v>
      </c>
      <c r="B28614" s="4" t="s">
        <v>36036</v>
      </c>
      <c r="C28614" s="5" t="str">
        <f>IFERROR(__xludf.DUMMYFUNCTION("GOOGLETRANSLATE(B28614,""en"",""es-ES"")"),"Se ve a un peluquero usando tijeras para recortar creativamente el cabello del perro e incluso teñirlo en tonos coloridos de rojo, verde, amarillo y azul.")</f>
        <v>Se ve a un peluquero usando tijeras para recortar creativamente el cabello del perro e incluso teñirlo en tonos coloridos de rojo, verde, amarillo y azul.</v>
      </c>
    </row>
    <row r="28615">
      <c r="A28615" s="4" t="s">
        <v>36037</v>
      </c>
      <c r="B28615" s="4" t="s">
        <v>36038</v>
      </c>
      <c r="C28615" s="5" t="str">
        <f>IFERROR(__xludf.DUMMYFUNCTION("GOOGLETRANSLATE(B28615,""en"",""es-ES"")"),"Varias personas están en una clase de ejercicio en una habitación con muchos espejos en un gimnasio, y están bailando y girando y subiendo a una plataforma.")</f>
        <v>Varias personas están en una clase de ejercicio en una habitación con muchos espejos en un gimnasio, y están bailando y girando y subiendo a una plataforma.</v>
      </c>
    </row>
    <row r="28616">
      <c r="A28616" s="4" t="s">
        <v>36037</v>
      </c>
      <c r="B28616" s="4" t="s">
        <v>36039</v>
      </c>
      <c r="C28616" s="5" t="str">
        <f>IFERROR(__xludf.DUMMYFUNCTION("GOOGLETRANSLATE(B28616,""en"",""es-ES"")"),"Una mujer camina junto a la sala de ejercicios sosteniendo pesas.")</f>
        <v>Una mujer camina junto a la sala de ejercicios sosteniendo pesas.</v>
      </c>
    </row>
    <row r="28617">
      <c r="A28617" s="4" t="s">
        <v>36037</v>
      </c>
      <c r="B28617" s="4" t="s">
        <v>36040</v>
      </c>
      <c r="C28617" s="5" t="str">
        <f>IFERROR(__xludf.DUMMYFUNCTION("GOOGLETRANSLATE(B28617,""en"",""es-ES"")"),"Una mujer coloca los pesos en el estante.")</f>
        <v>Una mujer coloca los pesos en el estante.</v>
      </c>
    </row>
    <row r="28618">
      <c r="A28618" s="4" t="s">
        <v>36037</v>
      </c>
      <c r="B28618" s="4" t="s">
        <v>36041</v>
      </c>
      <c r="C28618" s="5" t="str">
        <f>IFERROR(__xludf.DUMMYFUNCTION("GOOGLETRANSLATE(B28618,""en"",""es-ES"")"),"Una mujer camina sin tener pesas.")</f>
        <v>Una mujer camina sin tener pesas.</v>
      </c>
    </row>
    <row r="28619">
      <c r="A28619" s="4" t="s">
        <v>36042</v>
      </c>
      <c r="B28619" s="4" t="s">
        <v>36043</v>
      </c>
      <c r="C28619" s="5" t="str">
        <f>IFERROR(__xludf.DUMMYFUNCTION("GOOGLETRANSLATE(B28619,""en"",""es-ES"")"),"Un Mustang rojo está siendo sacudido.")</f>
        <v>Un Mustang rojo está siendo sacudido.</v>
      </c>
    </row>
    <row r="28620">
      <c r="A28620" s="4" t="s">
        <v>36042</v>
      </c>
      <c r="B28620" s="4" t="s">
        <v>36044</v>
      </c>
      <c r="C28620" s="5" t="str">
        <f>IFERROR(__xludf.DUMMYFUNCTION("GOOGLETRANSLATE(B28620,""en"",""es-ES"")"),"Luego, los trabajadores frotan jabón sobre el auto.")</f>
        <v>Luego, los trabajadores frotan jabón sobre el auto.</v>
      </c>
    </row>
    <row r="28621">
      <c r="A28621" s="4" t="s">
        <v>36042</v>
      </c>
      <c r="B28621" s="4" t="s">
        <v>36045</v>
      </c>
      <c r="C28621" s="5" t="str">
        <f>IFERROR(__xludf.DUMMYFUNCTION("GOOGLETRANSLATE(B28621,""en"",""es-ES"")"),"Después de eso, ambos trabajan para lavar el jabón antes de aplicar otro jabón sobre el vehículo.")</f>
        <v>Después de eso, ambos trabajan para lavar el jabón antes de aplicar otro jabón sobre el vehículo.</v>
      </c>
    </row>
    <row r="28622">
      <c r="A28622" s="4" t="s">
        <v>36042</v>
      </c>
      <c r="B28622" s="4" t="s">
        <v>36046</v>
      </c>
      <c r="C28622" s="5" t="str">
        <f>IFERROR(__xludf.DUMMYFUNCTION("GOOGLETRANSLATE(B28622,""en"",""es-ES"")"),"Luego usan mangueras para lavar el automóvil.")</f>
        <v>Luego usan mangueras para lavar el automóvil.</v>
      </c>
    </row>
    <row r="28623">
      <c r="A28623" s="4" t="s">
        <v>36047</v>
      </c>
      <c r="B28623" s="4" t="s">
        <v>36048</v>
      </c>
      <c r="C28623" s="5" t="str">
        <f>IFERROR(__xludf.DUMMYFUNCTION("GOOGLETRANSLATE(B28623,""en"",""es-ES"")"),"Se ve a un pequeño grupo de hombres corriendo alrededor de una cancha de baloncesto jugando un juego de baloncesto.")</f>
        <v>Se ve a un pequeño grupo de hombres corriendo alrededor de una cancha de baloncesto jugando un juego de baloncesto.</v>
      </c>
    </row>
    <row r="28624">
      <c r="A28624" s="4" t="s">
        <v>36047</v>
      </c>
      <c r="B28624" s="4" t="s">
        <v>36049</v>
      </c>
      <c r="C28624" s="5" t="str">
        <f>IFERROR(__xludf.DUMMYFUNCTION("GOOGLETRANSLATE(B28624,""en"",""es-ES"")"),"Un jugador se mueve por toda la red sosteniendo la pelota y demuestra cómo disparar adecuadamente un aro.")</f>
        <v>Un jugador se mueve por toda la red sosteniendo la pelota y demuestra cómo disparar adecuadamente un aro.</v>
      </c>
    </row>
    <row r="28625">
      <c r="A28625" s="4" t="s">
        <v>36047</v>
      </c>
      <c r="B28625" s="4" t="s">
        <v>36050</v>
      </c>
      <c r="C28625" s="5" t="str">
        <f>IFERROR(__xludf.DUMMYFUNCTION("GOOGLETRANSLATE(B28625,""en"",""es-ES"")"),"Él rebota la pelota un poco y se muestran más tiros de las personas que juegan.")</f>
        <v>Él rebota la pelota un poco y se muestran más tiros de las personas que juegan.</v>
      </c>
    </row>
    <row r="28626">
      <c r="A28626" s="4" t="s">
        <v>36051</v>
      </c>
      <c r="B28626" s="4" t="s">
        <v>36052</v>
      </c>
      <c r="C28626" s="5" t="str">
        <f>IFERROR(__xludf.DUMMYFUNCTION("GOOGLETRANSLATE(B28626,""en"",""es-ES"")"),"Se ve a un hombre hablando con la cámara mientras muestra un plato de comida y derrama ingredientes en un plato.")</f>
        <v>Se ve a un hombre hablando con la cámara mientras muestra un plato de comida y derrama ingredientes en un plato.</v>
      </c>
    </row>
    <row r="28627">
      <c r="A28627" s="4" t="s">
        <v>36051</v>
      </c>
      <c r="B28627" s="4" t="s">
        <v>36053</v>
      </c>
      <c r="C28627" s="5" t="str">
        <f>IFERROR(__xludf.DUMMYFUNCTION("GOOGLETRANSLATE(B28627,""en"",""es-ES"")"),"Continúa mezclando ingredientes en un plato y termina con un primer plano del plato y él hablando más.")</f>
        <v>Continúa mezclando ingredientes en un plato y termina con un primer plano del plato y él hablando más.</v>
      </c>
    </row>
    <row r="28628">
      <c r="A28628" s="4" t="s">
        <v>36054</v>
      </c>
      <c r="B28628" s="4" t="s">
        <v>36055</v>
      </c>
      <c r="C28628" s="5" t="str">
        <f>IFERROR(__xludf.DUMMYFUNCTION("GOOGLETRANSLATE(B28628,""en"",""es-ES"")"),"Se muestran a dos personas sosteniendo palitos de esgrima y apuntando entre sí.")</f>
        <v>Se muestran a dos personas sosteniendo palitos de esgrima y apuntando entre sí.</v>
      </c>
    </row>
    <row r="28629">
      <c r="A28629" s="4" t="s">
        <v>36054</v>
      </c>
      <c r="B28629" s="4" t="s">
        <v>36056</v>
      </c>
      <c r="C28629" s="5" t="str">
        <f>IFERROR(__xludf.DUMMYFUNCTION("GOOGLETRANSLATE(B28629,""en"",""es-ES"")"),"Se retroceden y el cuarto y coinciden entre sí.")</f>
        <v>Se retroceden y el cuarto y coinciden entre sí.</v>
      </c>
    </row>
    <row r="28630">
      <c r="A28630" s="4" t="s">
        <v>36057</v>
      </c>
      <c r="B28630" s="4" t="s">
        <v>36058</v>
      </c>
      <c r="C28630" s="5" t="str">
        <f>IFERROR(__xludf.DUMMYFUNCTION("GOOGLETRANSLATE(B28630,""en"",""es-ES"")"),"Un hombre viaja en una tabla de surf en el océano.")</f>
        <v>Un hombre viaja en una tabla de surf en el océano.</v>
      </c>
    </row>
    <row r="28631">
      <c r="A28631" s="4" t="s">
        <v>36057</v>
      </c>
      <c r="B28631" s="4" t="s">
        <v>36059</v>
      </c>
      <c r="C28631" s="5" t="str">
        <f>IFERROR(__xludf.DUMMYFUNCTION("GOOGLETRANSLATE(B28631,""en"",""es-ES"")"),"Él hace un gran volteo, aterrizando de regreso en la ola.")</f>
        <v>Él hace un gran volteo, aterrizando de regreso en la ola.</v>
      </c>
    </row>
    <row r="28632">
      <c r="A28632" s="4" t="s">
        <v>36057</v>
      </c>
      <c r="B28632" s="4" t="s">
        <v>36060</v>
      </c>
      <c r="C28632" s="5" t="str">
        <f>IFERROR(__xludf.DUMMYFUNCTION("GOOGLETRANSLATE(B28632,""en"",""es-ES"")"),"El flip se repite en cámara lenta.")</f>
        <v>El flip se repite en cámara lenta.</v>
      </c>
    </row>
    <row r="28633">
      <c r="A28633" s="4" t="s">
        <v>36061</v>
      </c>
      <c r="B28633" s="4" t="s">
        <v>36062</v>
      </c>
      <c r="C28633" s="5" t="str">
        <f>IFERROR(__xludf.DUMMYFUNCTION("GOOGLETRANSLATE(B28633,""en"",""es-ES"")"),"La mujer está de pie en el medio del escenario hablando con la cámara y mostrando en movimientos de baile de cámara lenta.")</f>
        <v>La mujer está de pie en el medio del escenario hablando con la cámara y mostrando en movimientos de baile de cámara lenta.</v>
      </c>
    </row>
    <row r="28634">
      <c r="A28634" s="4" t="s">
        <v>36061</v>
      </c>
      <c r="B28634" s="4" t="s">
        <v>36063</v>
      </c>
      <c r="C28634" s="5" t="str">
        <f>IFERROR(__xludf.DUMMYFUNCTION("GOOGLETRANSLATE(B28634,""en"",""es-ES"")"),"La mujer está haciendo los movimientos rápidamente y muestra la posición de las manos.")</f>
        <v>La mujer está haciendo los movimientos rápidamente y muestra la posición de las manos.</v>
      </c>
    </row>
    <row r="28635">
      <c r="A28635" s="4" t="s">
        <v>36061</v>
      </c>
      <c r="B28635" s="4" t="s">
        <v>36064</v>
      </c>
      <c r="C28635" s="5" t="str">
        <f>IFERROR(__xludf.DUMMYFUNCTION("GOOGLETRANSLATE(B28635,""en"",""es-ES"")"),"La mujer muestra movimientos de salsa en una habitación.")</f>
        <v>La mujer muestra movimientos de salsa en una habitación.</v>
      </c>
    </row>
    <row r="28636">
      <c r="A28636" s="4" t="s">
        <v>36065</v>
      </c>
      <c r="B28636" s="4" t="s">
        <v>36066</v>
      </c>
      <c r="C28636" s="5" t="str">
        <f>IFERROR(__xludf.DUMMYFUNCTION("GOOGLETRANSLATE(B28636,""en"",""es-ES"")"),"Un hombre está parado en un campo oscuro.")</f>
        <v>Un hombre está parado en un campo oscuro.</v>
      </c>
    </row>
    <row r="28637">
      <c r="A28637" s="4" t="s">
        <v>36065</v>
      </c>
      <c r="B28637" s="4" t="s">
        <v>36067</v>
      </c>
      <c r="C28637" s="5" t="str">
        <f>IFERROR(__xludf.DUMMYFUNCTION("GOOGLETRANSLATE(B28637,""en"",""es-ES"")"),"Lanza un frisbee por el aire, y un perro lo atrapa.")</f>
        <v>Lanza un frisbee por el aire, y un perro lo atrapa.</v>
      </c>
    </row>
    <row r="28638">
      <c r="A28638" s="4" t="s">
        <v>36065</v>
      </c>
      <c r="B28638" s="4" t="s">
        <v>36068</v>
      </c>
      <c r="C28638" s="5" t="str">
        <f>IFERROR(__xludf.DUMMYFUNCTION("GOOGLETRANSLATE(B28638,""en"",""es-ES"")"),"El perro persigue y hace trucos para obtener el Frisbee.")</f>
        <v>El perro persigue y hace trucos para obtener el Frisbee.</v>
      </c>
    </row>
    <row r="28639">
      <c r="A28639" s="4" t="s">
        <v>36069</v>
      </c>
      <c r="B28639" s="4" t="s">
        <v>36070</v>
      </c>
      <c r="C28639" s="5" t="str">
        <f>IFERROR(__xludf.DUMMYFUNCTION("GOOGLETRANSLATE(B28639,""en"",""es-ES"")"),"Un grupo de niños jóvenes está en bicicleta detrás de una arena que se prepara para despegar y correr por el curso.")</f>
        <v>Un grupo de niños jóvenes está en bicicleta detrás de una arena que se prepara para despegar y correr por el curso.</v>
      </c>
    </row>
    <row r="28640">
      <c r="A28640" s="4" t="s">
        <v>36069</v>
      </c>
      <c r="B28640" s="4" t="s">
        <v>36071</v>
      </c>
      <c r="C28640" s="5" t="str">
        <f>IFERROR(__xludf.DUMMYFUNCTION("GOOGLETRANSLATE(B28640,""en"",""es-ES"")"),"El pestillo se decepciona y todos despegan a la tierra y comienzan a correr en la tierra.")</f>
        <v>El pestillo se decepciona y todos despegan a la tierra y comienzan a correr en la tierra.</v>
      </c>
    </row>
    <row r="28641">
      <c r="A28641" s="4" t="s">
        <v>36069</v>
      </c>
      <c r="B28641" s="4" t="s">
        <v>36072</v>
      </c>
      <c r="C28641" s="5" t="str">
        <f>IFERROR(__xludf.DUMMYFUNCTION("GOOGLETRANSLATE(B28641,""en"",""es-ES"")"),"Muchos de los niños siguen dando vueltas y las personas se extienden por todo el curso sosteniendo palos.")</f>
        <v>Muchos de los niños siguen dando vueltas y las personas se extienden por todo el curso sosteniendo palos.</v>
      </c>
    </row>
    <row r="28642">
      <c r="A28642" s="4" t="s">
        <v>36073</v>
      </c>
      <c r="B28642" s="4" t="s">
        <v>36074</v>
      </c>
      <c r="C28642" s="5" t="str">
        <f>IFERROR(__xludf.DUMMYFUNCTION("GOOGLETRANSLATE(B28642,""en"",""es-ES"")"),"Un hombre rociando una cerca de gris con una poderosa pistola de pulverización.")</f>
        <v>Un hombre rociando una cerca de gris con una poderosa pistola de pulverización.</v>
      </c>
    </row>
    <row r="28643">
      <c r="A28643" s="4" t="s">
        <v>36073</v>
      </c>
      <c r="B28643" s="4" t="s">
        <v>36075</v>
      </c>
      <c r="C28643" s="5" t="str">
        <f>IFERROR(__xludf.DUMMYFUNCTION("GOOGLETRANSLATE(B28643,""en"",""es-ES"")"),"Un hombre en parado de pie detrás de él mirando con las manos cruzadas, bostezando.")</f>
        <v>Un hombre en parado de pie detrás de él mirando con las manos cruzadas, bostezando.</v>
      </c>
    </row>
    <row r="28644">
      <c r="A28644" s="4" t="s">
        <v>36073</v>
      </c>
      <c r="B28644" s="4" t="s">
        <v>36076</v>
      </c>
      <c r="C28644" s="5" t="str">
        <f>IFERROR(__xludf.DUMMYFUNCTION("GOOGLETRANSLATE(B28644,""en"",""es-ES"")"),"El hombre rociando rocías arriba y abajo haciendo bien el tiempo.")</f>
        <v>El hombre rociando rocías arriba y abajo haciendo bien el tiempo.</v>
      </c>
    </row>
    <row r="28645">
      <c r="A28645" s="4" t="s">
        <v>36073</v>
      </c>
      <c r="B28645" s="4" t="s">
        <v>36077</v>
      </c>
      <c r="C28645" s="5" t="str">
        <f>IFERROR(__xludf.DUMMYFUNCTION("GOOGLETRANSLATE(B28645,""en"",""es-ES"")"),"Se asegura de repasar todos los lugares para que no se pierda ninguno.")</f>
        <v>Se asegura de repasar todos los lugares para que no se pierda ninguno.</v>
      </c>
    </row>
    <row r="28646">
      <c r="A28646" s="4" t="s">
        <v>36078</v>
      </c>
      <c r="B28646" s="4" t="s">
        <v>36079</v>
      </c>
      <c r="C28646" s="5" t="str">
        <f>IFERROR(__xludf.DUMMYFUNCTION("GOOGLETRANSLATE(B28646,""en"",""es-ES"")"),"El hombre está pateando el azulejo del techo hasta que se movió.")</f>
        <v>El hombre está pateando el azulejo del techo hasta que se movió.</v>
      </c>
    </row>
    <row r="28647">
      <c r="A28647" s="4" t="s">
        <v>36078</v>
      </c>
      <c r="B28647" s="4" t="s">
        <v>36080</v>
      </c>
      <c r="C28647" s="5" t="str">
        <f>IFERROR(__xludf.DUMMYFUNCTION("GOOGLETRANSLATE(B28647,""en"",""es-ES"")"),"El hombre sacó un neumático del techo y apuntó a los lados de los azulejos.")</f>
        <v>El hombre sacó un neumático del techo y apuntó a los lados de los azulejos.</v>
      </c>
    </row>
    <row r="28648">
      <c r="A28648" s="4" t="s">
        <v>36078</v>
      </c>
      <c r="B28648" s="4" t="s">
        <v>36081</v>
      </c>
      <c r="C28648" s="5" t="str">
        <f>IFERROR(__xludf.DUMMYFUNCTION("GOOGLETRANSLATE(B28648,""en"",""es-ES"")"),"Retrocedió el mosaico, lo mueve a su lugar original.")</f>
        <v>Retrocedió el mosaico, lo mueve a su lugar original.</v>
      </c>
    </row>
    <row r="28649">
      <c r="A28649" s="4" t="s">
        <v>36082</v>
      </c>
      <c r="B28649" s="4" t="s">
        <v>36083</v>
      </c>
      <c r="C28649" s="5" t="str">
        <f>IFERROR(__xludf.DUMMYFUNCTION("GOOGLETRANSLATE(B28649,""en"",""es-ES"")"),"Un hombre con una camiseta sin mangas negra describe el entrenamiento cardiovascular en una bicicleta giratoria.")</f>
        <v>Un hombre con una camiseta sin mangas negra describe el entrenamiento cardiovascular en una bicicleta giratoria.</v>
      </c>
    </row>
    <row r="28650">
      <c r="A28650" s="4" t="s">
        <v>36082</v>
      </c>
      <c r="B28650" s="4" t="s">
        <v>36084</v>
      </c>
      <c r="C28650" s="5" t="str">
        <f>IFERROR(__xludf.DUMMYFUNCTION("GOOGLETRANSLATE(B28650,""en"",""es-ES"")"),"El hombre en la camiseta de tanque negra monta la bicicleta giratoria en intervalos de tensión de velocidad de crucero de 45 segundos, los 15 segundos con tensión hacia arriba.")</f>
        <v>El hombre en la camiseta de tanque negra monta la bicicleta giratoria en intervalos de tensión de velocidad de crucero de 45 segundos, los 15 segundos con tensión hacia arriba.</v>
      </c>
    </row>
    <row r="28651">
      <c r="A28651" s="4" t="s">
        <v>36082</v>
      </c>
      <c r="B28651" s="4" t="s">
        <v>36085</v>
      </c>
      <c r="C28651" s="5" t="str">
        <f>IFERROR(__xludf.DUMMYFUNCTION("GOOGLETRANSLATE(B28651,""en"",""es-ES"")"),"Luego enfríe con la tensión de la velocidad del crucero.")</f>
        <v>Luego enfríe con la tensión de la velocidad del crucero.</v>
      </c>
    </row>
    <row r="28652">
      <c r="A28652" s="4" t="s">
        <v>36086</v>
      </c>
      <c r="B28652" s="4" t="s">
        <v>36087</v>
      </c>
      <c r="C28652" s="5" t="str">
        <f>IFERROR(__xludf.DUMMYFUNCTION("GOOGLETRANSLATE(B28652,""en"",""es-ES"")"),"Se muestra un primer plano de una máquina seguido por un hombre que palearé la tierra alrededor de un piso.")</f>
        <v>Se muestra un primer plano de una máquina seguido por un hombre que palearé la tierra alrededor de un piso.</v>
      </c>
    </row>
    <row r="28653">
      <c r="A28653" s="4" t="s">
        <v>36086</v>
      </c>
      <c r="B28653" s="4" t="s">
        <v>36088</v>
      </c>
      <c r="C28653" s="5" t="str">
        <f>IFERROR(__xludf.DUMMYFUNCTION("GOOGLETRANSLATE(B28653,""en"",""es-ES"")"),"Luego, el hombre usa la máquina alrededor de la tierra y las aguas por el área después.")</f>
        <v>Luego, el hombre usa la máquina alrededor de la tierra y las aguas por el área después.</v>
      </c>
    </row>
    <row r="28654">
      <c r="A28654" s="4" t="s">
        <v>36086</v>
      </c>
      <c r="B28654" s="4" t="s">
        <v>36089</v>
      </c>
      <c r="C28654" s="5" t="str">
        <f>IFERROR(__xludf.DUMMYFUNCTION("GOOGLETRANSLATE(B28654,""en"",""es-ES"")"),"Se ve a otro hombre verter agua en el suelo y pegar el papel blanco.")</f>
        <v>Se ve a otro hombre verter agua en el suelo y pegar el papel blanco.</v>
      </c>
    </row>
    <row r="28655">
      <c r="A28655" s="4" t="s">
        <v>36090</v>
      </c>
      <c r="B28655" s="4" t="s">
        <v>36091</v>
      </c>
      <c r="C28655" s="5" t="str">
        <f>IFERROR(__xludf.DUMMYFUNCTION("GOOGLETRANSLATE(B28655,""en"",""es-ES"")"),"Un hombre está en las aguas turbias, usando una paleta.")</f>
        <v>Un hombre está en las aguas turbias, usando una paleta.</v>
      </c>
    </row>
    <row r="28656">
      <c r="A28656" s="4" t="s">
        <v>36090</v>
      </c>
      <c r="B28656" s="4" t="s">
        <v>36092</v>
      </c>
      <c r="C28656" s="5" t="str">
        <f>IFERROR(__xludf.DUMMYFUNCTION("GOOGLETRANSLATE(B28656,""en"",""es-ES"")"),"Él está kayak hacia la cámara y más allá de otros kayakistas.")</f>
        <v>Él está kayak hacia la cámara y más allá de otros kayakistas.</v>
      </c>
    </row>
    <row r="28657">
      <c r="A28657" s="4" t="s">
        <v>36090</v>
      </c>
      <c r="B28657" s="4" t="s">
        <v>36093</v>
      </c>
      <c r="C28657" s="5" t="str">
        <f>IFERROR(__xludf.DUMMYFUNCTION("GOOGLETRANSLATE(B28657,""en"",""es-ES"")"),"Él pasa por el agua más rápido, tratando de mantenerse al día con la corriente.")</f>
        <v>Él pasa por el agua más rápido, tratando de mantenerse al día con la corriente.</v>
      </c>
    </row>
    <row r="28658">
      <c r="A28658" s="4" t="s">
        <v>36094</v>
      </c>
      <c r="B28658" s="4" t="s">
        <v>36095</v>
      </c>
      <c r="C28658" s="5" t="str">
        <f>IFERROR(__xludf.DUMMYFUNCTION("GOOGLETRANSLATE(B28658,""en"",""es-ES"")"),"Se ve a un hombre saltando hacia arriba y hacia abajo sobre un par de pilotes, mientras que algunos otros se mueven sobre zancos con ayuda.")</f>
        <v>Se ve a un hombre saltando hacia arriba y hacia abajo sobre un par de pilotes, mientras que algunos otros se mueven sobre zancos con ayuda.</v>
      </c>
    </row>
    <row r="28659">
      <c r="A28659" s="4" t="s">
        <v>36094</v>
      </c>
      <c r="B28659" s="4" t="s">
        <v>36096</v>
      </c>
      <c r="C28659" s="5" t="str">
        <f>IFERROR(__xludf.DUMMYFUNCTION("GOOGLETRANSLATE(B28659,""en"",""es-ES"")"),"Se muestran más disparos de personas que saltan sobre los zancos y otras que aún necesitan ayuda de los demás.")</f>
        <v>Se muestran más disparos de personas que saltan sobre los zancos y otras que aún necesitan ayuda de los demás.</v>
      </c>
    </row>
    <row r="28660">
      <c r="A28660" s="4" t="s">
        <v>36097</v>
      </c>
      <c r="B28660" s="4" t="s">
        <v>36098</v>
      </c>
      <c r="C28660" s="5" t="str">
        <f>IFERROR(__xludf.DUMMYFUNCTION("GOOGLETRANSLATE(B28660,""en"",""es-ES"")"),"La cámara se mueve alrededor de una piscina y una audiencia y conduce a un grupo de nadadores que están listos a un lado.")</f>
        <v>La cámara se mueve alrededor de una piscina y una audiencia y conduce a un grupo de nadadores que están listos a un lado.</v>
      </c>
    </row>
    <row r="28661">
      <c r="A28661" s="4" t="s">
        <v>36097</v>
      </c>
      <c r="B28661" s="4" t="s">
        <v>36099</v>
      </c>
      <c r="C28661" s="5" t="str">
        <f>IFERROR(__xludf.DUMMYFUNCTION("GOOGLETRANSLATE(B28661,""en"",""es-ES"")"),"Luego se ven varios hombres realizando inmersiones impresionantes en una piscina que incluye volteretas y trucos y los buzos reciben medallas al final.")</f>
        <v>Luego se ven varios hombres realizando inmersiones impresionantes en una piscina que incluye volteretas y trucos y los buzos reciben medallas al final.</v>
      </c>
    </row>
    <row r="28662">
      <c r="A28662" s="4" t="s">
        <v>36100</v>
      </c>
      <c r="B28662" s="4" t="s">
        <v>36101</v>
      </c>
      <c r="C28662" s="5" t="str">
        <f>IFERROR(__xludf.DUMMYFUNCTION("GOOGLETRANSLATE(B28662,""en"",""es-ES"")"),"La gente está en una arena de rodeo, mientras que un hombre en un caballo prepara una cuerda con un bucle.")</f>
        <v>La gente está en una arena de rodeo, mientras que un hombre en un caballo prepara una cuerda con un bucle.</v>
      </c>
    </row>
    <row r="28663">
      <c r="A28663" s="4" t="s">
        <v>36100</v>
      </c>
      <c r="B28663" s="4" t="s">
        <v>36102</v>
      </c>
      <c r="C28663" s="5" t="str">
        <f>IFERROR(__xludf.DUMMYFUNCTION("GOOGLETRANSLATE(B28663,""en"",""es-ES"")"),"Luego, el hombre gira el bucle y tira para atrapar una pantorrilla, luego corre y ate el ternero.")</f>
        <v>Luego, el hombre gira el bucle y tira para atrapar una pantorrilla, luego corre y ate el ternero.</v>
      </c>
    </row>
    <row r="28664">
      <c r="A28664" s="4" t="s">
        <v>36100</v>
      </c>
      <c r="B28664" s="4" t="s">
        <v>36103</v>
      </c>
      <c r="C28664" s="5" t="str">
        <f>IFERROR(__xludf.DUMMYFUNCTION("GOOGLETRANSLATE(B28664,""en"",""es-ES"")"),"Un joven entra en la arena y desataba el ternero.")</f>
        <v>Un joven entra en la arena y desataba el ternero.</v>
      </c>
    </row>
    <row r="28665">
      <c r="A28665" s="4" t="s">
        <v>36104</v>
      </c>
      <c r="B28665" s="4" t="s">
        <v>36105</v>
      </c>
      <c r="C28665" s="5" t="str">
        <f>IFERROR(__xludf.DUMMYFUNCTION("GOOGLETRANSLATE(B28665,""en"",""es-ES"")"),"Se muestran varios disparos de un bote que viaja a lo largo de las condiciones de agua áspera desde varios ángulos.")</f>
        <v>Se muestran varios disparos de un bote que viaja a lo largo de las condiciones de agua áspera desde varios ángulos.</v>
      </c>
    </row>
    <row r="28666">
      <c r="A28666" s="4" t="s">
        <v>36104</v>
      </c>
      <c r="B28666" s="4" t="s">
        <v>36106</v>
      </c>
      <c r="C28666" s="5" t="str">
        <f>IFERROR(__xludf.DUMMYFUNCTION("GOOGLETRANSLATE(B28666,""en"",""es-ES"")"),"La cámara muestra una tabla y conduce de regreso al agua, haciendo la transición a personas vistas sentadas dentro del bote.")</f>
        <v>La cámara muestra una tabla y conduce de regreso al agua, haciendo la transición a personas vistas sentadas dentro del bote.</v>
      </c>
    </row>
    <row r="28667">
      <c r="A28667" s="4" t="s">
        <v>36104</v>
      </c>
      <c r="B28667" s="4" t="s">
        <v>36107</v>
      </c>
      <c r="C28667" s="5" t="str">
        <f>IFERROR(__xludf.DUMMYFUNCTION("GOOGLETRANSLATE(B28667,""en"",""es-ES"")"),"La cámara camina más y captura vistas del interior, así como del agua.")</f>
        <v>La cámara camina más y captura vistas del interior, así como del agua.</v>
      </c>
    </row>
    <row r="28668">
      <c r="A28668" s="4" t="s">
        <v>36108</v>
      </c>
      <c r="B28668" s="4" t="s">
        <v>36109</v>
      </c>
      <c r="C28668" s="5" t="str">
        <f>IFERROR(__xludf.DUMMYFUNCTION("GOOGLETRANSLATE(B28668,""en"",""es-ES"")"),"Un hombre calvo dentro de una casa está sosteniendo una cámara y grabando video a una mujer sobre zancos.")</f>
        <v>Un hombre calvo dentro de una casa está sosteniendo una cámara y grabando video a una mujer sobre zancos.</v>
      </c>
    </row>
    <row r="28669">
      <c r="A28669" s="4" t="s">
        <v>36108</v>
      </c>
      <c r="B28669" s="4" t="s">
        <v>36110</v>
      </c>
      <c r="C28669" s="5" t="str">
        <f>IFERROR(__xludf.DUMMYFUNCTION("GOOGLETRANSLATE(B28669,""en"",""es-ES"")"),"La cámara se mueve a la mujer, que camina por la sala de estar en los zancos.")</f>
        <v>La cámara se mueve a la mujer, que camina por la sala de estar en los zancos.</v>
      </c>
    </row>
    <row r="28670">
      <c r="A28670" s="4" t="s">
        <v>36108</v>
      </c>
      <c r="B28670" s="4" t="s">
        <v>36111</v>
      </c>
      <c r="C28670" s="5" t="str">
        <f>IFERROR(__xludf.DUMMYFUNCTION("GOOGLETRANSLATE(B28670,""en"",""es-ES"")"),"El hombre le pide a la mujer que actúe como un personaje de película, y ella está de acuerdo.")</f>
        <v>El hombre le pide a la mujer que actúe como un personaje de película, y ella está de acuerdo.</v>
      </c>
    </row>
    <row r="28671">
      <c r="A28671" s="4" t="s">
        <v>36108</v>
      </c>
      <c r="B28671" s="4" t="s">
        <v>36112</v>
      </c>
      <c r="C28671" s="5" t="str">
        <f>IFERROR(__xludf.DUMMYFUNCTION("GOOGLETRANSLATE(B28671,""en"",""es-ES"")"),"La mujer luego agarra la cámara, y la vista está oscurecida por su mano.")</f>
        <v>La mujer luego agarra la cámara, y la vista está oscurecida por su mano.</v>
      </c>
    </row>
    <row r="28672">
      <c r="A28672" s="4" t="s">
        <v>36113</v>
      </c>
      <c r="B28672" s="4" t="s">
        <v>36114</v>
      </c>
      <c r="C28672" s="5" t="str">
        <f>IFERROR(__xludf.DUMMYFUNCTION("GOOGLETRANSLATE(B28672,""en"",""es-ES"")"),"Una mujer está parada afuera, hablando con la cámara.")</f>
        <v>Una mujer está parada afuera, hablando con la cámara.</v>
      </c>
    </row>
    <row r="28673">
      <c r="A28673" s="4" t="s">
        <v>36113</v>
      </c>
      <c r="B28673" s="4" t="s">
        <v>36115</v>
      </c>
      <c r="C28673" s="5" t="str">
        <f>IFERROR(__xludf.DUMMYFUNCTION("GOOGLETRANSLATE(B28673,""en"",""es-ES"")"),"Ella habla mucho en su ubicación en la ciudad de Nueva York.")</f>
        <v>Ella habla mucho en su ubicación en la ciudad de Nueva York.</v>
      </c>
    </row>
    <row r="28674">
      <c r="A28674" s="4" t="s">
        <v>36113</v>
      </c>
      <c r="B28674" s="4" t="s">
        <v>36116</v>
      </c>
      <c r="C28674" s="5" t="str">
        <f>IFERROR(__xludf.DUMMYFUNCTION("GOOGLETRANSLATE(B28674,""en"",""es-ES"")"),"Al final, aparece una pantalla con información de contacto.")</f>
        <v>Al final, aparece una pantalla con información de contacto.</v>
      </c>
    </row>
    <row r="28675">
      <c r="A28675" s="4" t="s">
        <v>36117</v>
      </c>
      <c r="B28675" s="4" t="s">
        <v>36118</v>
      </c>
      <c r="C28675" s="5" t="str">
        <f>IFERROR(__xludf.DUMMYFUNCTION("GOOGLETRANSLATE(B28675,""en"",""es-ES"")"),"Primero, el hombre camina al escenario al principio y sacude la cabeza bruscamente.")</f>
        <v>Primero, el hombre camina al escenario al principio y sacude la cabeza bruscamente.</v>
      </c>
    </row>
    <row r="28676">
      <c r="A28676" s="4" t="s">
        <v>36117</v>
      </c>
      <c r="B28676" s="4" t="s">
        <v>36119</v>
      </c>
      <c r="C28676" s="5" t="str">
        <f>IFERROR(__xludf.DUMMYFUNCTION("GOOGLETRANSLATE(B28676,""en"",""es-ES"")"),"Luego lucha a un hombre calvo en un combate de lucha libre.")</f>
        <v>Luego lucha a un hombre calvo en un combate de lucha libre.</v>
      </c>
    </row>
    <row r="28677">
      <c r="A28677" s="4" t="s">
        <v>36117</v>
      </c>
      <c r="B28677" s="4" t="s">
        <v>36120</v>
      </c>
      <c r="C28677" s="5" t="str">
        <f>IFERROR(__xludf.DUMMYFUNCTION("GOOGLETRANSLATE(B28677,""en"",""es-ES"")"),"Luego lucha a un hombre que tiene cabello rubio largo y largo y lucha contra un hombre que tiene un corte de pelo bajo y gana.")</f>
        <v>Luego lucha a un hombre que tiene cabello rubio largo y largo y lucha contra un hombre que tiene un corte de pelo bajo y gana.</v>
      </c>
    </row>
    <row r="28678">
      <c r="A28678" s="4" t="s">
        <v>36117</v>
      </c>
      <c r="B28678" s="4" t="s">
        <v>36121</v>
      </c>
      <c r="C28678" s="5" t="str">
        <f>IFERROR(__xludf.DUMMYFUNCTION("GOOGLETRANSLATE(B28678,""en"",""es-ES"")"),"La multitud comienza a animar y rugir debido a cuántas veces había ganado.")</f>
        <v>La multitud comienza a animar y rugir debido a cuántas veces había ganado.</v>
      </c>
    </row>
    <row r="28679">
      <c r="A28679" s="4" t="s">
        <v>36122</v>
      </c>
      <c r="B28679" s="4" t="s">
        <v>36123</v>
      </c>
      <c r="C28679" s="5" t="str">
        <f>IFERROR(__xludf.DUMMYFUNCTION("GOOGLETRANSLATE(B28679,""en"",""es-ES"")"),"Un joven se sienta en una cama.")</f>
        <v>Un joven se sienta en una cama.</v>
      </c>
    </row>
    <row r="28680">
      <c r="A28680" s="4" t="s">
        <v>36122</v>
      </c>
      <c r="B28680" s="4" t="s">
        <v>36124</v>
      </c>
      <c r="C28680" s="5" t="str">
        <f>IFERROR(__xludf.DUMMYFUNCTION("GOOGLETRANSLATE(B28680,""en"",""es-ES"")"),"El hombre comienza a tocar una guitarra acústica.")</f>
        <v>El hombre comienza a tocar una guitarra acústica.</v>
      </c>
    </row>
    <row r="28681">
      <c r="A28681" s="4" t="s">
        <v>36122</v>
      </c>
      <c r="B28681" s="4" t="s">
        <v>36125</v>
      </c>
      <c r="C28681" s="5" t="str">
        <f>IFERROR(__xludf.DUMMYFUNCTION("GOOGLETRANSLATE(B28681,""en"",""es-ES"")"),"El hombre comienza a cantar mientras toca.")</f>
        <v>El hombre comienza a cantar mientras toca.</v>
      </c>
    </row>
    <row r="28682">
      <c r="A28682" s="4" t="s">
        <v>36122</v>
      </c>
      <c r="B28682" s="4" t="s">
        <v>36126</v>
      </c>
      <c r="C28682" s="5" t="str">
        <f>IFERROR(__xludf.DUMMYFUNCTION("GOOGLETRANSLATE(B28682,""en"",""es-ES"")"),"El hombre hace una pausa y rolla es ojos.")</f>
        <v>El hombre hace una pausa y rolla es ojos.</v>
      </c>
    </row>
    <row r="28683">
      <c r="A28683" s="4" t="s">
        <v>36122</v>
      </c>
      <c r="B28683" s="4" t="s">
        <v>36127</v>
      </c>
      <c r="C28683" s="5" t="str">
        <f>IFERROR(__xludf.DUMMYFUNCTION("GOOGLETRANSLATE(B28683,""en"",""es-ES"")"),"El hombre termina y mira hacia arriba, luego en el suelo.")</f>
        <v>El hombre termina y mira hacia arriba, luego en el suelo.</v>
      </c>
    </row>
    <row r="28684">
      <c r="A28684" s="4" t="s">
        <v>36128</v>
      </c>
      <c r="B28684" s="4" t="s">
        <v>36129</v>
      </c>
      <c r="C28684" s="5" t="str">
        <f>IFERROR(__xludf.DUMMYFUNCTION("GOOGLETRANSLATE(B28684,""en"",""es-ES"")"),"Se ve a un hombre sentado detrás de una batería que comienza a tocar mientras otros lo miran a un lado.")</f>
        <v>Se ve a un hombre sentado detrás de una batería que comienza a tocar mientras otros lo miran a un lado.</v>
      </c>
    </row>
    <row r="28685">
      <c r="A28685" s="4" t="s">
        <v>36128</v>
      </c>
      <c r="B28685" s="4" t="s">
        <v>36130</v>
      </c>
      <c r="C28685" s="5" t="str">
        <f>IFERROR(__xludf.DUMMYFUNCTION("GOOGLETRANSLATE(B28685,""en"",""es-ES"")"),"El hombre continúa tocando la batería más rápido y más rápido y termina deteniéndose para hablar con la cámara.")</f>
        <v>El hombre continúa tocando la batería más rápido y más rápido y termina deteniéndose para hablar con la cámara.</v>
      </c>
    </row>
    <row r="28686">
      <c r="A28686" s="4" t="s">
        <v>36131</v>
      </c>
      <c r="B28686" s="4" t="s">
        <v>36132</v>
      </c>
      <c r="C28686" s="5" t="str">
        <f>IFERROR(__xludf.DUMMYFUNCTION("GOOGLETRANSLATE(B28686,""en"",""es-ES"")"),"La mujer está ajustando al Matt, mientras el hombre está levantando el poste.")</f>
        <v>La mujer está ajustando al Matt, mientras el hombre está levantando el poste.</v>
      </c>
    </row>
    <row r="28687">
      <c r="A28687" s="4" t="s">
        <v>36131</v>
      </c>
      <c r="B28687" s="4" t="s">
        <v>36133</v>
      </c>
      <c r="C28687" s="5" t="str">
        <f>IFERROR(__xludf.DUMMYFUNCTION("GOOGLETRANSLATE(B28687,""en"",""es-ES"")"),"La mujer corre con un poste, luego saltó sobre la cuerda amarilla.")</f>
        <v>La mujer corre con un poste, luego saltó sobre la cuerda amarilla.</v>
      </c>
    </row>
    <row r="28688">
      <c r="A28688" s="4" t="s">
        <v>36131</v>
      </c>
      <c r="B28688" s="4" t="s">
        <v>36134</v>
      </c>
      <c r="C28688" s="5" t="str">
        <f>IFERROR(__xludf.DUMMYFUNCTION("GOOGLETRANSLATE(B28688,""en"",""es-ES"")"),"La mujer saltó sobre la cuerda mientras su entrenador está al costado del tracto mirando y ayudándola mientras saltaba sobre el poste.")</f>
        <v>La mujer saltó sobre la cuerda mientras su entrenador está al costado del tracto mirando y ayudándola mientras saltaba sobre el poste.</v>
      </c>
    </row>
    <row r="28689">
      <c r="A28689" s="4" t="s">
        <v>36135</v>
      </c>
      <c r="B28689" s="4" t="s">
        <v>36136</v>
      </c>
      <c r="C28689" s="5" t="str">
        <f>IFERROR(__xludf.DUMMYFUNCTION("GOOGLETRANSLATE(B28689,""en"",""es-ES"")"),"Se muestra un barbero usando cortinas en la cabeza de su cliente en una peluquería.")</f>
        <v>Se muestra un barbero usando cortinas en la cabeza de su cliente en una peluquería.</v>
      </c>
    </row>
    <row r="28690">
      <c r="A28690" s="4" t="s">
        <v>36135</v>
      </c>
      <c r="B28690" s="4" t="s">
        <v>36137</v>
      </c>
      <c r="C28690" s="5" t="str">
        <f>IFERROR(__xludf.DUMMYFUNCTION("GOOGLETRANSLATE(B28690,""en"",""es-ES"")"),"Está afeitando la cabeza de un hombre con crema de afeitar y una maquinilla de afeitar.")</f>
        <v>Está afeitando la cabeza de un hombre con crema de afeitar y una maquinilla de afeitar.</v>
      </c>
    </row>
    <row r="28691">
      <c r="A28691" s="4" t="s">
        <v>36135</v>
      </c>
      <c r="B28691" s="4" t="s">
        <v>36138</v>
      </c>
      <c r="C28691" s="5" t="str">
        <f>IFERROR(__xludf.DUMMYFUNCTION("GOOGLETRANSLATE(B28691,""en"",""es-ES"")"),"También está diseñando el cabello de un niño con gel y un peine.")</f>
        <v>También está diseñando el cabello de un niño con gel y un peine.</v>
      </c>
    </row>
    <row r="28692">
      <c r="A28692" s="4" t="s">
        <v>36135</v>
      </c>
      <c r="B28692" s="4" t="s">
        <v>36139</v>
      </c>
      <c r="C28692" s="5" t="str">
        <f>IFERROR(__xludf.DUMMYFUNCTION("GOOGLETRANSLATE(B28692,""en"",""es-ES"")"),"Se afeita la barba de un hombre con gel de afeitar y una navaja de afeitar.")</f>
        <v>Se afeita la barba de un hombre con gel de afeitar y una navaja de afeitar.</v>
      </c>
    </row>
    <row r="28693">
      <c r="A28693" s="4" t="s">
        <v>36135</v>
      </c>
      <c r="B28693" s="4" t="s">
        <v>36140</v>
      </c>
      <c r="C28693" s="5" t="str">
        <f>IFERROR(__xludf.DUMMYFUNCTION("GOOGLETRANSLATE(B28693,""en"",""es-ES"")"),"También está cortando el cabello de un hombre con tijeras para darle un mohawk.")</f>
        <v>También está cortando el cabello de un hombre con tijeras para darle un mohawk.</v>
      </c>
    </row>
    <row r="28694">
      <c r="A28694" s="4" t="s">
        <v>36135</v>
      </c>
      <c r="B28694" s="4" t="s">
        <v>36141</v>
      </c>
      <c r="C28694" s="5" t="str">
        <f>IFERROR(__xludf.DUMMYFUNCTION("GOOGLETRANSLATE(B28694,""en"",""es-ES"")"),"Él está usando cortinas en un joven.")</f>
        <v>Él está usando cortinas en un joven.</v>
      </c>
    </row>
    <row r="28695">
      <c r="A28695" s="4" t="s">
        <v>36135</v>
      </c>
      <c r="B28695" s="4" t="s">
        <v>36142</v>
      </c>
      <c r="C28695" s="5" t="str">
        <f>IFERROR(__xludf.DUMMYFUNCTION("GOOGLETRANSLATE(B28695,""en"",""es-ES"")"),"El sitio web se anuncia en la pantalla con imágenes del sitio web.")</f>
        <v>El sitio web se anuncia en la pantalla con imágenes del sitio web.</v>
      </c>
    </row>
    <row r="28696">
      <c r="A28696" s="4" t="s">
        <v>36143</v>
      </c>
      <c r="B28696" s="4" t="s">
        <v>36144</v>
      </c>
      <c r="C28696" s="5" t="str">
        <f>IFERROR(__xludf.DUMMYFUNCTION("GOOGLETRANSLATE(B28696,""en"",""es-ES"")"),"Un hombre está afuera en un campo de hierba empujando una cortadora de césped de un lado a otro.")</f>
        <v>Un hombre está afuera en un campo de hierba empujando una cortadora de césped de un lado a otro.</v>
      </c>
    </row>
    <row r="28697">
      <c r="A28697" s="4" t="s">
        <v>36143</v>
      </c>
      <c r="B28697" s="4" t="s">
        <v>36145</v>
      </c>
      <c r="C28697" s="5" t="str">
        <f>IFERROR(__xludf.DUMMYFUNCTION("GOOGLETRANSLATE(B28697,""en"",""es-ES"")"),"Una vez que llega al otro lado de la tira, la persona con la cámara se acerca a él y comienza a hablar con ellos.")</f>
        <v>Una vez que llega al otro lado de la tira, la persona con la cámara se acerca a él y comienza a hablar con ellos.</v>
      </c>
    </row>
    <row r="28698">
      <c r="A28698" s="4" t="s">
        <v>36143</v>
      </c>
      <c r="B28698" s="4" t="s">
        <v>36146</v>
      </c>
      <c r="C28698" s="5" t="str">
        <f>IFERROR(__xludf.DUMMYFUNCTION("GOOGLETRANSLATE(B28698,""en"",""es-ES"")"),"Después, el tipo con la cortadora de césped comienza a reír y continúa cortando el patio.")</f>
        <v>Después, el tipo con la cortadora de césped comienza a reír y continúa cortando el patio.</v>
      </c>
    </row>
    <row r="28699">
      <c r="A28699" s="4" t="s">
        <v>36147</v>
      </c>
      <c r="B28699" s="4" t="s">
        <v>36148</v>
      </c>
      <c r="C28699" s="5" t="str">
        <f>IFERROR(__xludf.DUMMYFUNCTION("GOOGLETRANSLATE(B28699,""en"",""es-ES"")"),"Se ve un gráfico de un niño pateando una pelota de fútbol con 3 defensores.")</f>
        <v>Se ve un gráfico de un niño pateando una pelota de fútbol con 3 defensores.</v>
      </c>
    </row>
    <row r="28700">
      <c r="A28700" s="4" t="s">
        <v>36147</v>
      </c>
      <c r="B28700" s="4" t="s">
        <v>36149</v>
      </c>
      <c r="C28700" s="5" t="str">
        <f>IFERROR(__xludf.DUMMYFUNCTION("GOOGLETRANSLATE(B28700,""en"",""es-ES"")"),"La pelota es desviada por los defensores en el gráfico.")</f>
        <v>La pelota es desviada por los defensores en el gráfico.</v>
      </c>
    </row>
    <row r="28701">
      <c r="A28701" s="4" t="s">
        <v>36147</v>
      </c>
      <c r="B28701" s="4" t="s">
        <v>36150</v>
      </c>
      <c r="C28701" s="5" t="str">
        <f>IFERROR(__xludf.DUMMYFUNCTION("GOOGLETRANSLATE(B28701,""en"",""es-ES"")"),"Un jugador de fútbol patea una pelota bloqueada por una serie de defensores y un portero y un campo interior.")</f>
        <v>Un jugador de fútbol patea una pelota bloqueada por una serie de defensores y un portero y un campo interior.</v>
      </c>
    </row>
    <row r="28702">
      <c r="A28702" s="4" t="s">
        <v>36151</v>
      </c>
      <c r="B28702" s="4" t="s">
        <v>36152</v>
      </c>
      <c r="C28702" s="5" t="str">
        <f>IFERROR(__xludf.DUMMYFUNCTION("GOOGLETRANSLATE(B28702,""en"",""es-ES"")"),"Un pequeño patio de recreo es seguido por un hombre y su perro caminando hacia el marco.")</f>
        <v>Un pequeño patio de recreo es seguido por un hombre y su perro caminando hacia el marco.</v>
      </c>
    </row>
    <row r="28703">
      <c r="A28703" s="4" t="s">
        <v>36151</v>
      </c>
      <c r="B28703" s="4" t="s">
        <v>36153</v>
      </c>
      <c r="C28703" s="5" t="str">
        <f>IFERROR(__xludf.DUMMYFUNCTION("GOOGLETRANSLATE(B28703,""en"",""es-ES"")"),"El hombre lo empuja al perro y el perro monta por el tobogán.")</f>
        <v>El hombre lo empuja al perro y el perro monta por el tobogán.</v>
      </c>
    </row>
    <row r="28704">
      <c r="A28704" s="4" t="s">
        <v>36151</v>
      </c>
      <c r="B28704" s="4" t="s">
        <v>36154</v>
      </c>
      <c r="C28704" s="5" t="str">
        <f>IFERROR(__xludf.DUMMYFUNCTION("GOOGLETRANSLATE(B28704,""en"",""es-ES"")"),"El hombre hace esto nuevamente con el perro en otro patio de recreo.")</f>
        <v>El hombre hace esto nuevamente con el perro en otro patio de recreo.</v>
      </c>
    </row>
    <row r="28705">
      <c r="A28705" s="4" t="s">
        <v>36155</v>
      </c>
      <c r="B28705" s="4" t="s">
        <v>36156</v>
      </c>
      <c r="C28705" s="5" t="str">
        <f>IFERROR(__xludf.DUMMYFUNCTION("GOOGLETRANSLATE(B28705,""en"",""es-ES"")"),"Un hombre está en un bote en el agua.")</f>
        <v>Un hombre está en un bote en el agua.</v>
      </c>
    </row>
    <row r="28706">
      <c r="A28706" s="4" t="s">
        <v>36155</v>
      </c>
      <c r="B28706" s="4" t="s">
        <v>36157</v>
      </c>
      <c r="C28706" s="5" t="str">
        <f>IFERROR(__xludf.DUMMYFUNCTION("GOOGLETRANSLATE(B28706,""en"",""es-ES"")"),"Se arroja una barra de pan a los peces y están luchando para comerlo.")</f>
        <v>Se arroja una barra de pan a los peces y están luchando para comerlo.</v>
      </c>
    </row>
    <row r="28707">
      <c r="A28707" s="4" t="s">
        <v>36155</v>
      </c>
      <c r="B28707" s="4" t="s">
        <v>36158</v>
      </c>
      <c r="C28707" s="5" t="str">
        <f>IFERROR(__xludf.DUMMYFUNCTION("GOOGLETRANSLATE(B28707,""en"",""es-ES"")"),"El hombre está buceando en el mar profundo a través de los carnicoles y los corales.")</f>
        <v>El hombre está buceando en el mar profundo a través de los carnicoles y los corales.</v>
      </c>
    </row>
    <row r="28708">
      <c r="A28708" s="4" t="s">
        <v>36159</v>
      </c>
      <c r="B28708" s="4" t="s">
        <v>36160</v>
      </c>
      <c r="C28708" s="5" t="str">
        <f>IFERROR(__xludf.DUMMYFUNCTION("GOOGLETRANSLATE(B28708,""en"",""es-ES"")"),"Cuatro hombres están jugando Dodge Ball en una cancha interior.")</f>
        <v>Cuatro hombres están jugando Dodge Ball en una cancha interior.</v>
      </c>
    </row>
    <row r="28709">
      <c r="A28709" s="4" t="s">
        <v>36159</v>
      </c>
      <c r="B28709" s="4" t="s">
        <v>36161</v>
      </c>
      <c r="C28709" s="5" t="str">
        <f>IFERROR(__xludf.DUMMYFUNCTION("GOOGLETRANSLATE(B28709,""en"",""es-ES"")"),"Comienzan a correr hacia las bolas rojas después de que el entrenador sopla el silbato.")</f>
        <v>Comienzan a correr hacia las bolas rojas después de que el entrenador sopla el silbato.</v>
      </c>
    </row>
    <row r="28710">
      <c r="A28710" s="4" t="s">
        <v>36159</v>
      </c>
      <c r="B28710" s="4" t="s">
        <v>36162</v>
      </c>
      <c r="C28710" s="5" t="str">
        <f>IFERROR(__xludf.DUMMYFUNCTION("GOOGLETRANSLATE(B28710,""en"",""es-ES"")"),"Uno de los jugadores golpea la pelota en su oponente.")</f>
        <v>Uno de los jugadores golpea la pelota en su oponente.</v>
      </c>
    </row>
    <row r="28711">
      <c r="A28711" s="4" t="s">
        <v>36159</v>
      </c>
      <c r="B28711" s="4" t="s">
        <v>36163</v>
      </c>
      <c r="C28711" s="5" t="str">
        <f>IFERROR(__xludf.DUMMYFUNCTION("GOOGLETRANSLATE(B28711,""en"",""es-ES"")"),"El oponente retrocede al otro jugador, pero logra esquivar la pelota.")</f>
        <v>El oponente retrocede al otro jugador, pero logra esquivar la pelota.</v>
      </c>
    </row>
    <row r="28712">
      <c r="A28712" s="4" t="s">
        <v>36159</v>
      </c>
      <c r="B28712" s="4" t="s">
        <v>36164</v>
      </c>
      <c r="C28712" s="5" t="str">
        <f>IFERROR(__xludf.DUMMYFUNCTION("GOOGLETRANSLATE(B28712,""en"",""es-ES"")"),"Luego, el jugador golpea otra pelota directamente en su oponente parado frente a él.")</f>
        <v>Luego, el jugador golpea otra pelota directamente en su oponente parado frente a él.</v>
      </c>
    </row>
    <row r="28713">
      <c r="A28713" s="4" t="s">
        <v>36159</v>
      </c>
      <c r="B28713" s="4" t="s">
        <v>36165</v>
      </c>
      <c r="C28713" s="5" t="str">
        <f>IFERROR(__xludf.DUMMYFUNCTION("GOOGLETRANSLATE(B28713,""en"",""es-ES"")"),"El jugador golpea la pelota con fuerza en la pierna de su oponente.")</f>
        <v>El jugador golpea la pelota con fuerza en la pierna de su oponente.</v>
      </c>
    </row>
    <row r="28714">
      <c r="A28714" s="4" t="s">
        <v>36159</v>
      </c>
      <c r="B28714" s="4" t="s">
        <v>36166</v>
      </c>
      <c r="C28714" s="5" t="str">
        <f>IFERROR(__xludf.DUMMYFUNCTION("GOOGLETRANSLATE(B28714,""en"",""es-ES"")"),"Continúan jugando varias rondas de Dodge Ball.")</f>
        <v>Continúan jugando varias rondas de Dodge Ball.</v>
      </c>
    </row>
    <row r="28715">
      <c r="A28715" s="4" t="s">
        <v>36159</v>
      </c>
      <c r="B28715" s="4" t="s">
        <v>36167</v>
      </c>
      <c r="C28715" s="5" t="str">
        <f>IFERROR(__xludf.DUMMYFUNCTION("GOOGLETRANSLATE(B28715,""en"",""es-ES"")"),"El jugador apunta directamente a uno de sus oponentes y lo golpea en su pierna.")</f>
        <v>El jugador apunta directamente a uno de sus oponentes y lo golpea en su pierna.</v>
      </c>
    </row>
    <row r="28716">
      <c r="A28716" s="4" t="s">
        <v>36159</v>
      </c>
      <c r="B28716" s="4" t="s">
        <v>36168</v>
      </c>
      <c r="C28716" s="5" t="str">
        <f>IFERROR(__xludf.DUMMYFUNCTION("GOOGLETRANSLATE(B28716,""en"",""es-ES"")"),"El juego termina después de que el entrenador sopla el silbato.")</f>
        <v>El juego termina después de que el entrenador sopla el silbato.</v>
      </c>
    </row>
    <row r="28717">
      <c r="A28717" s="4" t="s">
        <v>36169</v>
      </c>
      <c r="B28717" s="4" t="s">
        <v>36170</v>
      </c>
      <c r="C28717" s="5" t="str">
        <f>IFERROR(__xludf.DUMMYFUNCTION("GOOGLETRANSLATE(B28717,""en"",""es-ES"")"),"La gente navegan en canoas en un río remeros.")</f>
        <v>La gente navegan en canoas en un río remeros.</v>
      </c>
    </row>
    <row r="28718">
      <c r="A28718" s="4" t="s">
        <v>36169</v>
      </c>
      <c r="B28718" s="4" t="s">
        <v>36171</v>
      </c>
      <c r="C28718" s="5" t="str">
        <f>IFERROR(__xludf.DUMMYFUNCTION("GOOGLETRANSLATE(B28718,""en"",""es-ES"")"),"Un joven toca la guitarra en un bote, mientras que un joven fuma un cigarrillo.")</f>
        <v>Un joven toca la guitarra en un bote, mientras que un joven fuma un cigarrillo.</v>
      </c>
    </row>
    <row r="28719">
      <c r="A28719" s="4" t="s">
        <v>36169</v>
      </c>
      <c r="B28719" s="4" t="s">
        <v>36172</v>
      </c>
      <c r="C28719" s="5" t="str">
        <f>IFERROR(__xludf.DUMMYFUNCTION("GOOGLETRANSLATE(B28719,""en"",""es-ES"")"),"Dos jóvenes navegan un bote detrás de los hombres.")</f>
        <v>Dos jóvenes navegan un bote detrás de los hombres.</v>
      </c>
    </row>
    <row r="28720">
      <c r="A28720" s="4" t="s">
        <v>36173</v>
      </c>
      <c r="B28720" s="4" t="s">
        <v>36174</v>
      </c>
      <c r="C28720" s="5" t="str">
        <f>IFERROR(__xludf.DUMMYFUNCTION("GOOGLETRANSLATE(B28720,""en"",""es-ES"")"),"Se ve a una mujer organizando un segmento de noticias y conduce a los disparos de personas que interpretan a los miembros del fútbol y la audiencia que observan.")</f>
        <v>Se ve a una mujer organizando un segmento de noticias y conduce a los disparos de personas que interpretan a los miembros del fútbol y la audiencia que observan.</v>
      </c>
    </row>
    <row r="28721">
      <c r="A28721" s="4" t="s">
        <v>36173</v>
      </c>
      <c r="B28721" s="4" t="s">
        <v>36175</v>
      </c>
      <c r="C28721" s="5" t="str">
        <f>IFERROR(__xludf.DUMMYFUNCTION("GOOGLETRANSLATE(B28721,""en"",""es-ES"")"),"Se muestran más aspectos destacados del juego, así como compañeros de equipo que se celebran y se abrazan.")</f>
        <v>Se muestran más aspectos destacados del juego, así como compañeros de equipo que se celebran y se abrazan.</v>
      </c>
    </row>
    <row r="28722">
      <c r="A28722" s="4" t="s">
        <v>36176</v>
      </c>
      <c r="B28722" s="4" t="s">
        <v>36177</v>
      </c>
      <c r="C28722" s="5" t="str">
        <f>IFERROR(__xludf.DUMMYFUNCTION("GOOGLETRANSLATE(B28722,""en"",""es-ES"")"),"Aparece un ícono de Fox News en la pantalla.")</f>
        <v>Aparece un ícono de Fox News en la pantalla.</v>
      </c>
    </row>
    <row r="28723">
      <c r="A28723" s="4" t="s">
        <v>36176</v>
      </c>
      <c r="B28723" s="4" t="s">
        <v>36178</v>
      </c>
      <c r="C28723" s="5" t="str">
        <f>IFERROR(__xludf.DUMMYFUNCTION("GOOGLETRANSLATE(B28723,""en"",""es-ES"")"),"Un grupo de personas está en un edificio, jugando un juego llamado Beer Pong.")</f>
        <v>Un grupo de personas está en un edificio, jugando un juego llamado Beer Pong.</v>
      </c>
    </row>
    <row r="28724">
      <c r="A28724" s="4" t="s">
        <v>36176</v>
      </c>
      <c r="B28724" s="4" t="s">
        <v>36179</v>
      </c>
      <c r="C28724" s="5" t="str">
        <f>IFERROR(__xludf.DUMMYFUNCTION("GOOGLETRANSLATE(B28724,""en"",""es-ES"")"),"Los reporteros de noticias se reúnen en su estudio para jugar a Beer Pong.")</f>
        <v>Los reporteros de noticias se reúnen en su estudio para jugar a Beer Pong.</v>
      </c>
    </row>
    <row r="28725">
      <c r="A28725" s="4" t="s">
        <v>36176</v>
      </c>
      <c r="B28725" s="4" t="s">
        <v>36180</v>
      </c>
      <c r="C28725" s="5" t="str">
        <f>IFERROR(__xludf.DUMMYFUNCTION("GOOGLETRANSLATE(B28725,""en"",""es-ES"")"),"Un reportero masculino y femenino intenta tirar las bolas a las tazas.")</f>
        <v>Un reportero masculino y femenino intenta tirar las bolas a las tazas.</v>
      </c>
    </row>
    <row r="28726">
      <c r="A28726" s="4" t="s">
        <v>36176</v>
      </c>
      <c r="B28726" s="4" t="s">
        <v>36181</v>
      </c>
      <c r="C28726" s="5" t="str">
        <f>IFERROR(__xludf.DUMMYFUNCTION("GOOGLETRANSLATE(B28726,""en"",""es-ES"")"),"La mujer se aleja riendo mientras los otros reporteros continúan hablando.")</f>
        <v>La mujer se aleja riendo mientras los otros reporteros continúan hablando.</v>
      </c>
    </row>
    <row r="28727">
      <c r="A28727" s="4" t="s">
        <v>36176</v>
      </c>
      <c r="B28727" s="4" t="s">
        <v>36182</v>
      </c>
      <c r="C28727" s="5" t="str">
        <f>IFERROR(__xludf.DUMMYFUNCTION("GOOGLETRANSLATE(B28727,""en"",""es-ES"")"),"Reanudan jugar antes del ícono de Fox News aparecen nuevamente en la pantalla.")</f>
        <v>Reanudan jugar antes del ícono de Fox News aparecen nuevamente en la pantalla.</v>
      </c>
    </row>
    <row r="28728">
      <c r="A28728" s="4" t="s">
        <v>36183</v>
      </c>
      <c r="B28728" s="4" t="s">
        <v>36184</v>
      </c>
      <c r="C28728" s="5" t="str">
        <f>IFERROR(__xludf.DUMMYFUNCTION("GOOGLETRANSLATE(B28728,""en"",""es-ES"")"),"Se ve a dos personas caminando sobre zancos en medio de una calle y acera.")</f>
        <v>Se ve a dos personas caminando sobre zancos en medio de una calle y acera.</v>
      </c>
    </row>
    <row r="28729">
      <c r="A28729" s="4" t="s">
        <v>36183</v>
      </c>
      <c r="B28729" s="4" t="s">
        <v>36185</v>
      </c>
      <c r="C28729" s="5" t="str">
        <f>IFERROR(__xludf.DUMMYFUNCTION("GOOGLETRANSLATE(B28729,""en"",""es-ES"")"),"La caminata continúa caminando por las calles sobre zancos que pasan por la gente y hablando.")</f>
        <v>La caminata continúa caminando por las calles sobre zancos que pasan por la gente y hablando.</v>
      </c>
    </row>
    <row r="28730">
      <c r="A28730" s="4" t="s">
        <v>36186</v>
      </c>
      <c r="B28730" s="4" t="s">
        <v>36187</v>
      </c>
      <c r="C28730" s="5" t="str">
        <f>IFERROR(__xludf.DUMMYFUNCTION("GOOGLETRANSLATE(B28730,""en"",""es-ES"")"),"La mujer está de pie en un campo jugando gaita.")</f>
        <v>La mujer está de pie en un campo jugando gaita.</v>
      </c>
    </row>
    <row r="28731">
      <c r="A28731" s="4" t="s">
        <v>36186</v>
      </c>
      <c r="B28731" s="4" t="s">
        <v>36188</v>
      </c>
      <c r="C28731" s="5" t="str">
        <f>IFERROR(__xludf.DUMMYFUNCTION("GOOGLETRANSLATE(B28731,""en"",""es-ES"")"),"La mujer está de pie en medio de un estacionamiento jugando tuberías de bolsas.")</f>
        <v>La mujer está de pie en medio de un estacionamiento jugando tuberías de bolsas.</v>
      </c>
    </row>
    <row r="28732">
      <c r="A28732" s="4" t="s">
        <v>36186</v>
      </c>
      <c r="B28732" s="4" t="s">
        <v>36189</v>
      </c>
      <c r="C28732" s="5" t="str">
        <f>IFERROR(__xludf.DUMMYFUNCTION("GOOGLETRANSLATE(B28732,""en"",""es-ES"")"),"Una casa azul está detrás de la mujer que juega gaita.")</f>
        <v>Una casa azul está detrás de la mujer que juega gaita.</v>
      </c>
    </row>
    <row r="28733">
      <c r="A28733" s="4" t="s">
        <v>36190</v>
      </c>
      <c r="B28733" s="4" t="s">
        <v>36191</v>
      </c>
      <c r="C28733" s="5" t="str">
        <f>IFERROR(__xludf.DUMMYFUNCTION("GOOGLETRANSLATE(B28733,""en"",""es-ES"")"),"Un patinador llega y rueda en un parche de tierra junto a la caminata lateral.")</f>
        <v>Un patinador llega y rueda en un parche de tierra junto a la caminata lateral.</v>
      </c>
    </row>
    <row r="28734">
      <c r="A28734" s="4" t="s">
        <v>36190</v>
      </c>
      <c r="B28734" s="4" t="s">
        <v>36192</v>
      </c>
      <c r="C28734" s="5" t="str">
        <f>IFERROR(__xludf.DUMMYFUNCTION("GOOGLETRANSLATE(B28734,""en"",""es-ES"")"),"Un hombre luego comienza a montar su patineta desde la parte superior del techo por un camino inclinado.")</f>
        <v>Un hombre luego comienza a montar su patineta desde la parte superior del techo por un camino inclinado.</v>
      </c>
    </row>
    <row r="28735">
      <c r="A28735" s="4" t="s">
        <v>36190</v>
      </c>
      <c r="B28735" s="4" t="s">
        <v>36193</v>
      </c>
      <c r="C28735" s="5" t="str">
        <f>IFERROR(__xludf.DUMMYFUNCTION("GOOGLETRANSLATE(B28735,""en"",""es-ES"")"),"Luego, el hombre comienza a moverse y patinar en todo el vecindario e interactuar con la gente.")</f>
        <v>Luego, el hombre comienza a moverse y patinar en todo el vecindario e interactuar con la gente.</v>
      </c>
    </row>
    <row r="28736">
      <c r="A28736" s="4" t="s">
        <v>36190</v>
      </c>
      <c r="B28736" s="4" t="s">
        <v>36194</v>
      </c>
      <c r="C28736" s="5" t="str">
        <f>IFERROR(__xludf.DUMMYFUNCTION("GOOGLETRANSLATE(B28736,""en"",""es-ES"")"),"De repente, el hombre camina por el metro y se levanta de su patineta hasta que llega a su destino.")</f>
        <v>De repente, el hombre camina por el metro y se levanta de su patineta hasta que llega a su destino.</v>
      </c>
    </row>
    <row r="28737">
      <c r="A28737" s="4" t="s">
        <v>36190</v>
      </c>
      <c r="B28737" s="4" t="s">
        <v>36195</v>
      </c>
      <c r="C28737" s="5" t="str">
        <f>IFERROR(__xludf.DUMMYFUNCTION("GOOGLETRANSLATE(B28737,""en"",""es-ES"")"),"Luego procede a patinar por la ciudad, saltando sobre los postes y los créditos comienzan a rodar.")</f>
        <v>Luego procede a patinar por la ciudad, saltando sobre los postes y los créditos comienzan a rodar.</v>
      </c>
    </row>
    <row r="28738">
      <c r="A28738" s="4" t="s">
        <v>36196</v>
      </c>
      <c r="B28738" s="4" t="s">
        <v>36197</v>
      </c>
      <c r="C28738" s="5" t="str">
        <f>IFERROR(__xludf.DUMMYFUNCTION("GOOGLETRANSLATE(B28738,""en"",""es-ES"")"),"El hombre está parado frente a una cocina cocinando y mostrando los ingredientes a un cocinero.")</f>
        <v>El hombre está parado frente a una cocina cocinando y mostrando los ingredientes a un cocinero.</v>
      </c>
    </row>
    <row r="28739">
      <c r="A28739" s="4" t="s">
        <v>36196</v>
      </c>
      <c r="B28739" s="4" t="s">
        <v>36198</v>
      </c>
      <c r="C28739" s="5" t="str">
        <f>IFERROR(__xludf.DUMMYFUNCTION("GOOGLETRANSLATE(B28739,""en"",""es-ES"")"),"El hombre pone los ingredientes en una sartén y cocine el pollo con la ensalada y lo sirve en un plato.")</f>
        <v>El hombre pone los ingredientes en una sartén y cocine el pollo con la ensalada y lo sirve en un plato.</v>
      </c>
    </row>
    <row r="28740">
      <c r="A28740" s="4" t="s">
        <v>36199</v>
      </c>
      <c r="B28740" s="4" t="s">
        <v>36200</v>
      </c>
      <c r="C28740" s="5" t="str">
        <f>IFERROR(__xludf.DUMMYFUNCTION("GOOGLETRANSLATE(B28740,""en"",""es-ES"")"),"Una introducción llega a la pantalla para un video sobre el trato de casino.")</f>
        <v>Una introducción llega a la pantalla para un video sobre el trato de casino.</v>
      </c>
    </row>
    <row r="28741">
      <c r="A28741" s="4" t="s">
        <v>36199</v>
      </c>
      <c r="B28741" s="4" t="s">
        <v>36201</v>
      </c>
      <c r="C28741" s="5" t="str">
        <f>IFERROR(__xludf.DUMMYFUNCTION("GOOGLETRANSLATE(B28741,""en"",""es-ES"")"),"Un hombre explica que se encuentran en una escuela de negociación de casino donde enseñarán a las personas cómo lidiar.")</f>
        <v>Un hombre explica que se encuentran en una escuela de negociación de casino donde enseñarán a las personas cómo lidiar.</v>
      </c>
    </row>
    <row r="28742">
      <c r="A28742" s="4" t="s">
        <v>36199</v>
      </c>
      <c r="B28742" s="4" t="s">
        <v>36202</v>
      </c>
      <c r="C28742" s="5" t="str">
        <f>IFERROR(__xludf.DUMMYFUNCTION("GOOGLETRANSLATE(B28742,""en"",""es-ES"")"),"Otro hombre comienza a contar y sobre los conceptos básicos para el trato de casino.")</f>
        <v>Otro hombre comienza a contar y sobre los conceptos básicos para el trato de casino.</v>
      </c>
    </row>
    <row r="28743">
      <c r="A28743" s="4" t="s">
        <v>36199</v>
      </c>
      <c r="B28743" s="4" t="s">
        <v>4761</v>
      </c>
      <c r="C28743" s="5" t="str">
        <f>IFERROR(__xludf.DUMMYFUNCTION("GOOGLETRANSLATE(B28743,""en"",""es-ES"")"),"El video termina con los créditos de cierre que se muestran en la pantalla.")</f>
        <v>El video termina con los créditos de cierre que se muestran en la pantalla.</v>
      </c>
    </row>
    <row r="28744">
      <c r="A28744" s="4" t="s">
        <v>36203</v>
      </c>
      <c r="B28744" s="4" t="s">
        <v>36204</v>
      </c>
      <c r="C28744" s="5" t="str">
        <f>IFERROR(__xludf.DUMMYFUNCTION("GOOGLETRANSLATE(B28744,""en"",""es-ES"")"),"Fuera de un hombre está usando un soplador de hojas que lo usa para soplar un montón de hojas.")</f>
        <v>Fuera de un hombre está usando un soplador de hojas que lo usa para soplar un montón de hojas.</v>
      </c>
    </row>
    <row r="28745">
      <c r="A28745" s="4" t="s">
        <v>36203</v>
      </c>
      <c r="B28745" s="4" t="s">
        <v>36205</v>
      </c>
      <c r="C28745" s="5" t="str">
        <f>IFERROR(__xludf.DUMMYFUNCTION("GOOGLETRANSLATE(B28745,""en"",""es-ES"")"),"Parece estar en un parque o algo en el estacionamiento.")</f>
        <v>Parece estar en un parque o algo en el estacionamiento.</v>
      </c>
    </row>
    <row r="28746">
      <c r="A28746" s="4" t="s">
        <v>36203</v>
      </c>
      <c r="B28746" s="4" t="s">
        <v>36206</v>
      </c>
      <c r="C28746" s="5" t="str">
        <f>IFERROR(__xludf.DUMMYFUNCTION("GOOGLETRANSLATE(B28746,""en"",""es-ES"")"),"Lleva un sombrero y jeans y solo por sí mismo.")</f>
        <v>Lleva un sombrero y jeans y solo por sí mismo.</v>
      </c>
    </row>
    <row r="28747">
      <c r="A28747" s="4" t="s">
        <v>36203</v>
      </c>
      <c r="B28747" s="4" t="s">
        <v>36207</v>
      </c>
      <c r="C28747" s="5" t="str">
        <f>IFERROR(__xludf.DUMMYFUNCTION("GOOGLETRANSLATE(B28747,""en"",""es-ES"")"),"Él continúa soplando la pila de hojas cuando un perro pasa de la nada.")</f>
        <v>Él continúa soplando la pila de hojas cuando un perro pasa de la nada.</v>
      </c>
    </row>
    <row r="28748">
      <c r="A28748" s="4" t="s">
        <v>36208</v>
      </c>
      <c r="B28748" s="4" t="s">
        <v>36209</v>
      </c>
      <c r="C28748" s="5" t="str">
        <f>IFERROR(__xludf.DUMMYFUNCTION("GOOGLETRANSLATE(B28748,""en"",""es-ES"")"),"Un hombre de buceo interactúa bajo el agua con un pez grande.")</f>
        <v>Un hombre de buceo interactúa bajo el agua con un pez grande.</v>
      </c>
    </row>
    <row r="28749">
      <c r="A28749" s="4" t="s">
        <v>36208</v>
      </c>
      <c r="B28749" s="4" t="s">
        <v>36210</v>
      </c>
      <c r="C28749" s="5" t="str">
        <f>IFERROR(__xludf.DUMMYFUNCTION("GOOGLETRANSLATE(B28749,""en"",""es-ES"")"),"El hombre hace un gesto de empuje hacia la cámara.")</f>
        <v>El hombre hace un gesto de empuje hacia la cámara.</v>
      </c>
    </row>
    <row r="28750">
      <c r="A28750" s="4" t="s">
        <v>36208</v>
      </c>
      <c r="B28750" s="4" t="s">
        <v>36211</v>
      </c>
      <c r="C28750" s="5" t="str">
        <f>IFERROR(__xludf.DUMMYFUNCTION("GOOGLETRANSLATE(B28750,""en"",""es-ES"")"),"El hombre hace varios gestos hacia la cámara.")</f>
        <v>El hombre hace varios gestos hacia la cámara.</v>
      </c>
    </row>
    <row r="28751">
      <c r="A28751" s="4" t="s">
        <v>36208</v>
      </c>
      <c r="B28751" s="4" t="s">
        <v>36212</v>
      </c>
      <c r="C28751" s="5" t="str">
        <f>IFERROR(__xludf.DUMMYFUNCTION("GOOGLETRANSLATE(B28751,""en"",""es-ES"")"),"El pez se llena en el hombre y nada.")</f>
        <v>El pez se llena en el hombre y nada.</v>
      </c>
    </row>
    <row r="28752">
      <c r="A28752" s="4" t="s">
        <v>36213</v>
      </c>
      <c r="B28752" s="4" t="s">
        <v>36214</v>
      </c>
      <c r="C28752" s="5" t="str">
        <f>IFERROR(__xludf.DUMMYFUNCTION("GOOGLETRANSLATE(B28752,""en"",""es-ES"")"),"Un hombre sostiene dos espadas y finge golpear a otras personas sosteniendo espadas.")</f>
        <v>Un hombre sostiene dos espadas y finge golpear a otras personas sosteniendo espadas.</v>
      </c>
    </row>
    <row r="28753">
      <c r="A28753" s="4" t="s">
        <v>36213</v>
      </c>
      <c r="B28753" s="4" t="s">
        <v>36215</v>
      </c>
      <c r="C28753" s="5" t="str">
        <f>IFERROR(__xludf.DUMMYFUNCTION("GOOGLETRANSLATE(B28753,""en"",""es-ES"")"),"Él demuestra nuevamente y entrega las espadas a otro hombre.")</f>
        <v>Él demuestra nuevamente y entrega las espadas a otro hombre.</v>
      </c>
    </row>
    <row r="28754">
      <c r="A28754" s="4" t="s">
        <v>36213</v>
      </c>
      <c r="B28754" s="4" t="s">
        <v>36216</v>
      </c>
      <c r="C28754" s="5" t="str">
        <f>IFERROR(__xludf.DUMMYFUNCTION("GOOGLETRANSLATE(B28754,""en"",""es-ES"")"),"Comenta sobre su habilidad mientras continúa mostrando varios movimientos de espadas.")</f>
        <v>Comenta sobre su habilidad mientras continúa mostrando varios movimientos de espadas.</v>
      </c>
    </row>
    <row r="28755">
      <c r="A28755" s="4" t="s">
        <v>36213</v>
      </c>
      <c r="B28755" s="4" t="s">
        <v>36217</v>
      </c>
      <c r="C28755" s="5" t="str">
        <f>IFERROR(__xludf.DUMMYFUNCTION("GOOGLETRANSLATE(B28755,""en"",""es-ES"")"),"Otros hombres comienzan a pelear con las espadas.")</f>
        <v>Otros hombres comienzan a pelear con las espadas.</v>
      </c>
    </row>
    <row r="28756">
      <c r="A28756" s="4" t="s">
        <v>36213</v>
      </c>
      <c r="B28756" s="4" t="s">
        <v>36218</v>
      </c>
      <c r="C28756" s="5" t="str">
        <f>IFERROR(__xludf.DUMMYFUNCTION("GOOGLETRANSLATE(B28756,""en"",""es-ES"")"),"Un hombre se cae y actúa herido para retratar un papel en la obra de Hamlet.")</f>
        <v>Un hombre se cae y actúa herido para retratar un papel en la obra de Hamlet.</v>
      </c>
    </row>
    <row r="28757">
      <c r="A28757" s="4" t="s">
        <v>36219</v>
      </c>
      <c r="B28757" s="4" t="s">
        <v>36220</v>
      </c>
      <c r="C28757" s="5" t="str">
        <f>IFERROR(__xludf.DUMMYFUNCTION("GOOGLETRANSLATE(B28757,""en"",""es-ES"")"),"Una cámara se mueve alrededor de una mujer parada frente a un perro que se balancea sobre una cerca.")</f>
        <v>Una cámara se mueve alrededor de una mujer parada frente a un perro que se balancea sobre una cerca.</v>
      </c>
    </row>
    <row r="28758">
      <c r="A28758" s="4" t="s">
        <v>36219</v>
      </c>
      <c r="B28758" s="4" t="s">
        <v>36221</v>
      </c>
      <c r="C28758" s="5" t="str">
        <f>IFERROR(__xludf.DUMMYFUNCTION("GOOGLETRANSLATE(B28758,""en"",""es-ES"")"),"El perro continúa equilibrándose en la cerca mientras la cámara se aplica.")</f>
        <v>El perro continúa equilibrándose en la cerca mientras la cámara se aplica.</v>
      </c>
    </row>
    <row r="28759">
      <c r="A28759" s="4" t="s">
        <v>36219</v>
      </c>
      <c r="B28759" s="4" t="s">
        <v>36222</v>
      </c>
      <c r="C28759" s="5" t="str">
        <f>IFERROR(__xludf.DUMMYFUNCTION("GOOGLETRANSLATE(B28759,""en"",""es-ES"")"),"El perro luego salta de la cerca al final.")</f>
        <v>El perro luego salta de la cerca al final.</v>
      </c>
    </row>
    <row r="28760">
      <c r="A28760" s="4" t="s">
        <v>36223</v>
      </c>
      <c r="B28760" s="4" t="s">
        <v>36224</v>
      </c>
      <c r="C28760" s="5" t="str">
        <f>IFERROR(__xludf.DUMMYFUNCTION("GOOGLETRANSLATE(B28760,""en"",""es-ES"")"),"Un hombre sostiene un zapato blanco y lo pone en el suelo.")</f>
        <v>Un hombre sostiene un zapato blanco y lo pone en el suelo.</v>
      </c>
    </row>
    <row r="28761">
      <c r="A28761" s="4" t="s">
        <v>36223</v>
      </c>
      <c r="B28761" s="4" t="s">
        <v>36225</v>
      </c>
      <c r="C28761" s="5" t="str">
        <f>IFERROR(__xludf.DUMMYFUNCTION("GOOGLETRANSLATE(B28761,""en"",""es-ES"")"),"El hombre ya tiene un zapato en el pie derecho y se aprieta cuando lo toca.")</f>
        <v>El hombre ya tiene un zapato en el pie derecho y se aprieta cuando lo toca.</v>
      </c>
    </row>
    <row r="28762">
      <c r="A28762" s="4" t="s">
        <v>36223</v>
      </c>
      <c r="B28762" s="4" t="s">
        <v>36226</v>
      </c>
      <c r="C28762" s="5" t="str">
        <f>IFERROR(__xludf.DUMMYFUNCTION("GOOGLETRANSLATE(B28762,""en"",""es-ES"")"),"Se muestra la cara del hombre y está mirando los zapatos y luego muestra el zapato izquierdo en el pie y se está apretando.")</f>
        <v>Se muestra la cara del hombre y está mirando los zapatos y luego muestra el zapato izquierdo en el pie y se está apretando.</v>
      </c>
    </row>
    <row r="28763">
      <c r="A28763" s="4" t="s">
        <v>36223</v>
      </c>
      <c r="B28763" s="4" t="s">
        <v>36227</v>
      </c>
      <c r="C28763" s="5" t="str">
        <f>IFERROR(__xludf.DUMMYFUNCTION("GOOGLETRANSLATE(B28763,""en"",""es-ES"")"),"El hombre se levanta del auto y la escena revela que es Michael J Fox en la película de regreso al futuro.")</f>
        <v>El hombre se levanta del auto y la escena revela que es Michael J Fox en la película de regreso al futuro.</v>
      </c>
    </row>
    <row r="28764">
      <c r="A28764" s="4" t="s">
        <v>36228</v>
      </c>
      <c r="B28764" s="4" t="s">
        <v>36229</v>
      </c>
      <c r="C28764" s="5" t="str">
        <f>IFERROR(__xludf.DUMMYFUNCTION("GOOGLETRANSLATE(B28764,""en"",""es-ES"")"),"Una niña está afuera en un muelle de botes con tres hula hoops en sus manos.")</f>
        <v>Una niña está afuera en un muelle de botes con tres hula hoops en sus manos.</v>
      </c>
    </row>
    <row r="28765">
      <c r="A28765" s="4" t="s">
        <v>36228</v>
      </c>
      <c r="B28765" s="4" t="s">
        <v>36230</v>
      </c>
      <c r="C28765" s="5" t="str">
        <f>IFERROR(__xludf.DUMMYFUNCTION("GOOGLETRANSLATE(B28765,""en"",""es-ES"")"),"Ella comienza a balancearlos en su mano, alrededor de sus piernas, muñeca y cuello y se detiene brevemente para ajustar la cámara.")</f>
        <v>Ella comienza a balancearlos en su mano, alrededor de sus piernas, muñeca y cuello y se detiene brevemente para ajustar la cámara.</v>
      </c>
    </row>
    <row r="28766">
      <c r="A28766" s="4" t="s">
        <v>36228</v>
      </c>
      <c r="B28766" s="4" t="s">
        <v>36231</v>
      </c>
      <c r="C28766" s="5" t="str">
        <f>IFERROR(__xludf.DUMMYFUNCTION("GOOGLETRANSLATE(B28766,""en"",""es-ES"")"),"Luego, la joven aparece nuevamente con veinte a treinta hula hoops alrededor de su cuerpo balanceándolos de un lado a otro antes de aconsejarle que se suscribiera a un canal.")</f>
        <v>Luego, la joven aparece nuevamente con veinte a treinta hula hoops alrededor de su cuerpo balanceándolos de un lado a otro antes de aconsejarle que se suscribiera a un canal.</v>
      </c>
    </row>
    <row r="28767">
      <c r="A28767" s="4" t="s">
        <v>36232</v>
      </c>
      <c r="B28767" s="4" t="s">
        <v>36233</v>
      </c>
      <c r="C28767" s="5" t="str">
        <f>IFERROR(__xludf.DUMMYFUNCTION("GOOGLETRANSLATE(B28767,""en"",""es-ES"")"),"Se ve a dos hombres parados en una habitación cerrada que sostiene raquetas de tenis y comienzan a golpear la pelota de la pared entre sí.")</f>
        <v>Se ve a dos hombres parados en una habitación cerrada que sostiene raquetas de tenis y comienzan a golpear la pelota de la pared entre sí.</v>
      </c>
    </row>
    <row r="28768">
      <c r="A28768" s="4" t="s">
        <v>36232</v>
      </c>
      <c r="B28768" s="4" t="s">
        <v>36234</v>
      </c>
      <c r="C28768" s="5" t="str">
        <f>IFERROR(__xludf.DUMMYFUNCTION("GOOGLETRANSLATE(B28768,""en"",""es-ES"")"),"Los hombres continúan caminando de regreso y cuarto con la pelota y golpeándola fuera de la pared y topes en la pared.")</f>
        <v>Los hombres continúan caminando de regreso y cuarto con la pelota y golpeándola fuera de la pared y topes en la pared.</v>
      </c>
    </row>
    <row r="28769">
      <c r="A28769" s="4" t="s">
        <v>36235</v>
      </c>
      <c r="B28769" s="4" t="s">
        <v>36236</v>
      </c>
      <c r="C28769" s="5" t="str">
        <f>IFERROR(__xludf.DUMMYFUNCTION("GOOGLETRANSLATE(B28769,""en"",""es-ES"")"),"Se ven dos hombres pasando una pelota entre sí y conduce a un grupo de personas que juegan fútbol.")</f>
        <v>Se ven dos hombres pasando una pelota entre sí y conduce a un grupo de personas que juegan fútbol.</v>
      </c>
    </row>
    <row r="28770">
      <c r="A28770" s="4" t="s">
        <v>36235</v>
      </c>
      <c r="B28770" s="4" t="s">
        <v>36237</v>
      </c>
      <c r="C28770" s="5" t="str">
        <f>IFERROR(__xludf.DUMMYFUNCTION("GOOGLETRANSLATE(B28770,""en"",""es-ES"")"),"La gente se mueve por la cancha mientras la cámara sigue sus movimientos.")</f>
        <v>La gente se mueve por la cancha mientras la cámara sigue sus movimientos.</v>
      </c>
    </row>
    <row r="28771">
      <c r="A28771" s="4" t="s">
        <v>36235</v>
      </c>
      <c r="B28771" s="4" t="s">
        <v>36238</v>
      </c>
      <c r="C28771" s="5" t="str">
        <f>IFERROR(__xludf.DUMMYFUNCTION("GOOGLETRANSLATE(B28771,""en"",""es-ES"")"),"Muchas personas miran a los lados mientras el grupo continúa jugando.")</f>
        <v>Muchas personas miran a los lados mientras el grupo continúa jugando.</v>
      </c>
    </row>
    <row r="28772">
      <c r="A28772" s="4" t="s">
        <v>36239</v>
      </c>
      <c r="B28772" s="4" t="s">
        <v>36240</v>
      </c>
      <c r="C28772" s="5" t="str">
        <f>IFERROR(__xludf.DUMMYFUNCTION("GOOGLETRANSLATE(B28772,""en"",""es-ES"")"),"Las personas en una piscina cubierta observan mientras múltiples buzos se turnan y están parados en el punto de buceo más alto con la palabra Indiana en él, ya que hacen múltiples volteretas antes de aterrizar en la piscina.")</f>
        <v>Las personas en una piscina cubierta observan mientras múltiples buzos se turnan y están parados en el punto de buceo más alto con la palabra Indiana en él, ya que hacen múltiples volteretas antes de aterrizar en la piscina.</v>
      </c>
    </row>
    <row r="28773">
      <c r="A28773" s="4" t="s">
        <v>36239</v>
      </c>
      <c r="B28773" s="4" t="s">
        <v>36241</v>
      </c>
      <c r="C28773" s="5" t="str">
        <f>IFERROR(__xludf.DUMMYFUNCTION("GOOGLETRANSLATE(B28773,""en"",""es-ES"")"),"Algunas mujeres toman sus turnos saltando del punto de buceo más alto a medida que comienzan de diferentes maneras, hacen múltiples volteretas y luego se sumergen en la piscina haciendo pequeñas salpicaduras mientras golpean el agua.")</f>
        <v>Algunas mujeres toman sus turnos saltando del punto de buceo más alto a medida que comienzan de diferentes maneras, hacen múltiples volteretas y luego se sumergen en la piscina haciendo pequeñas salpicaduras mientras golpean el agua.</v>
      </c>
    </row>
    <row r="28774">
      <c r="A28774" s="4" t="s">
        <v>36239</v>
      </c>
      <c r="B28774" s="4" t="s">
        <v>36242</v>
      </c>
      <c r="C28774" s="5" t="str">
        <f>IFERROR(__xludf.DUMMYFUNCTION("GOOGLETRANSLATE(B28774,""en"",""es-ES"")"),"Una mujer rubia hace una parada de manos muy lenta hacia la piscina, luego empuja y hace múltiples volteretas antes de sumergirse en la piscina creando un pequeño chapoteo.")</f>
        <v>Una mujer rubia hace una parada de manos muy lenta hacia la piscina, luego empuja y hace múltiples volteretas antes de sumergirse en la piscina creando un pequeño chapoteo.</v>
      </c>
    </row>
    <row r="28775">
      <c r="A28775" s="4" t="s">
        <v>36239</v>
      </c>
      <c r="B28775" s="4" t="s">
        <v>36243</v>
      </c>
      <c r="C28775" s="5" t="str">
        <f>IFERROR(__xludf.DUMMYFUNCTION("GOOGLETRANSLATE(B28775,""en"",""es-ES"")"),"Cuando las mujeres terminan de bucear, los hombres también se vuelven buceos desde el punto más alto y también hacen múltiples volteretas antes de golpear el agua creando un pequeño chapoteo.")</f>
        <v>Cuando las mujeres terminan de bucear, los hombres también se vuelven buceos desde el punto más alto y también hacen múltiples volteretas antes de golpear el agua creando un pequeño chapoteo.</v>
      </c>
    </row>
    <row r="28776">
      <c r="A28776" s="4" t="s">
        <v>36244</v>
      </c>
      <c r="B28776" s="4" t="s">
        <v>36245</v>
      </c>
      <c r="C28776" s="5" t="str">
        <f>IFERROR(__xludf.DUMMYFUNCTION("GOOGLETRANSLATE(B28776,""en"",""es-ES"")"),"Una persona con equipo de invierno oscuro está usando una pala para palear la pasarela de un estacionamiento.")</f>
        <v>Una persona con equipo de invierno oscuro está usando una pala para palear la pasarela de un estacionamiento.</v>
      </c>
    </row>
    <row r="28777">
      <c r="A28777" s="4" t="s">
        <v>36244</v>
      </c>
      <c r="B28777" s="4" t="s">
        <v>36246</v>
      </c>
      <c r="C28777" s="5" t="str">
        <f>IFERROR(__xludf.DUMMYFUNCTION("GOOGLETRANSLATE(B28777,""en"",""es-ES"")"),"Es de noche y la calle está tenuemente iluminada con las luces de la calle.")</f>
        <v>Es de noche y la calle está tenuemente iluminada con las luces de la calle.</v>
      </c>
    </row>
    <row r="28778">
      <c r="A28778" s="4" t="s">
        <v>36244</v>
      </c>
      <c r="B28778" s="4" t="s">
        <v>36247</v>
      </c>
      <c r="C28778" s="5" t="str">
        <f>IFERROR(__xludf.DUMMYFUNCTION("GOOGLETRANSLATE(B28778,""en"",""es-ES"")"),"Continúa paleando todo el camino mientras varios autos conducen en la carretera principal cercana.")</f>
        <v>Continúa paleando todo el camino mientras varios autos conducen en la carretera principal cercana.</v>
      </c>
    </row>
    <row r="28779">
      <c r="A28779" s="4" t="s">
        <v>36244</v>
      </c>
      <c r="B28779" s="4" t="s">
        <v>36248</v>
      </c>
      <c r="C28779" s="5" t="str">
        <f>IFERROR(__xludf.DUMMYFUNCTION("GOOGLETRANSLATE(B28779,""en"",""es-ES"")"),"Recoge la nieve arriba y la acumula en la esquina.")</f>
        <v>Recoge la nieve arriba y la acumula en la esquina.</v>
      </c>
    </row>
    <row r="28780">
      <c r="A28780" s="4" t="s">
        <v>36244</v>
      </c>
      <c r="B28780" s="4" t="s">
        <v>36249</v>
      </c>
      <c r="C28780" s="5" t="str">
        <f>IFERROR(__xludf.DUMMYFUNCTION("GOOGLETRANSLATE(B28780,""en"",""es-ES"")"),"Después de que termina, se aleja.")</f>
        <v>Después de que termina, se aleja.</v>
      </c>
    </row>
    <row r="28781">
      <c r="A28781" s="4" t="s">
        <v>36250</v>
      </c>
      <c r="B28781" s="4" t="s">
        <v>36251</v>
      </c>
      <c r="C28781" s="5" t="str">
        <f>IFERROR(__xludf.DUMMYFUNCTION("GOOGLETRANSLATE(B28781,""en"",""es-ES"")"),"Una persona se sienta en una colchoneta en un gimnasio y se sienta mientras sostiene las piernas.")</f>
        <v>Una persona se sienta en una colchoneta en un gimnasio y se sienta mientras sostiene las piernas.</v>
      </c>
    </row>
    <row r="28782">
      <c r="A28782" s="4" t="s">
        <v>36250</v>
      </c>
      <c r="B28782" s="4" t="s">
        <v>36252</v>
      </c>
      <c r="C28782" s="5" t="str">
        <f>IFERROR(__xludf.DUMMYFUNCTION("GOOGLETRANSLATE(B28782,""en"",""es-ES"")"),"La persona termina la rutina de ejercicios y se toma un descanso.")</f>
        <v>La persona termina la rutina de ejercicios y se toma un descanso.</v>
      </c>
    </row>
    <row r="28783">
      <c r="A28783" s="4" t="s">
        <v>36250</v>
      </c>
      <c r="B28783" s="4" t="s">
        <v>36253</v>
      </c>
      <c r="C28783" s="5" t="str">
        <f>IFERROR(__xludf.DUMMYFUNCTION("GOOGLETRANSLATE(B28783,""en"",""es-ES"")"),"Se ve un gráfico con una pluma cayendo.")</f>
        <v>Se ve un gráfico con una pluma cayendo.</v>
      </c>
    </row>
    <row r="28784">
      <c r="A28784" s="4" t="s">
        <v>36254</v>
      </c>
      <c r="B28784" s="4" t="s">
        <v>36255</v>
      </c>
      <c r="C28784" s="5" t="str">
        <f>IFERROR(__xludf.DUMMYFUNCTION("GOOGLETRANSLATE(B28784,""en"",""es-ES"")"),"Se muestran varios clips de personas que juegan en la playa y también ponen protector solar y llevan objetos.")</f>
        <v>Se muestran varios clips de personas que juegan en la playa y también ponen protector solar y llevan objetos.</v>
      </c>
    </row>
    <row r="28785">
      <c r="A28785" s="4" t="s">
        <v>36254</v>
      </c>
      <c r="B28785" s="4" t="s">
        <v>36256</v>
      </c>
      <c r="C28785" s="5" t="str">
        <f>IFERROR(__xludf.DUMMYFUNCTION("GOOGLETRANSLATE(B28785,""en"",""es-ES"")"),"Se muestra una gran explosión seguida por los niños que pescan con un hombre y más clips de personas que juegan en la playa.")</f>
        <v>Se muestra una gran explosión seguida por los niños que pescan con un hombre y más clips de personas que juegan en la playa.</v>
      </c>
    </row>
    <row r="28786">
      <c r="A28786" s="4" t="s">
        <v>36257</v>
      </c>
      <c r="B28786" s="4" t="s">
        <v>36258</v>
      </c>
      <c r="C28786" s="5" t="str">
        <f>IFERROR(__xludf.DUMMYFUNCTION("GOOGLETRANSLATE(B28786,""en"",""es-ES"")"),"Tres hombres caminan hacia un edificio.")</f>
        <v>Tres hombres caminan hacia un edificio.</v>
      </c>
    </row>
    <row r="28787">
      <c r="A28787" s="4" t="s">
        <v>36257</v>
      </c>
      <c r="B28787" s="4" t="s">
        <v>36259</v>
      </c>
      <c r="C28787" s="5" t="str">
        <f>IFERROR(__xludf.DUMMYFUNCTION("GOOGLETRANSLATE(B28787,""en"",""es-ES"")"),"Comienzan a jugar un juego de curling.")</f>
        <v>Comienzan a jugar un juego de curling.</v>
      </c>
    </row>
    <row r="28788">
      <c r="A28788" s="4" t="s">
        <v>36257</v>
      </c>
      <c r="B28788" s="4" t="s">
        <v>36260</v>
      </c>
      <c r="C28788" s="5" t="str">
        <f>IFERROR(__xludf.DUMMYFUNCTION("GOOGLETRANSLATE(B28788,""en"",""es-ES"")"),"Se muestra a las personas disfrutándose en la sala de curling y se muestran los trofeos que se han ganado.")</f>
        <v>Se muestra a las personas disfrutándose en la sala de curling y se muestran los trofeos que se han ganado.</v>
      </c>
    </row>
    <row r="28789">
      <c r="A28789" s="4" t="s">
        <v>36257</v>
      </c>
      <c r="B28789" s="4" t="s">
        <v>36261</v>
      </c>
      <c r="C28789" s="5" t="str">
        <f>IFERROR(__xludf.DUMMYFUNCTION("GOOGLETRANSLATE(B28789,""en"",""es-ES"")"),"Los hombres se muestran en el casillero que se prepara para rizar.")</f>
        <v>Los hombres se muestran en el casillero que se prepara para rizar.</v>
      </c>
    </row>
    <row r="28790">
      <c r="A28790" s="4" t="s">
        <v>36257</v>
      </c>
      <c r="B28790" s="4" t="s">
        <v>36262</v>
      </c>
      <c r="C28790" s="5" t="str">
        <f>IFERROR(__xludf.DUMMYFUNCTION("GOOGLETRANSLATE(B28790,""en"",""es-ES"")"),"Los hombres se muestran todos juntos posando en el hielo.")</f>
        <v>Los hombres se muestran todos juntos posando en el hielo.</v>
      </c>
    </row>
    <row r="28791">
      <c r="A28791" s="4" t="s">
        <v>36263</v>
      </c>
      <c r="B28791" s="4" t="s">
        <v>36264</v>
      </c>
      <c r="C28791" s="5" t="str">
        <f>IFERROR(__xludf.DUMMYFUNCTION("GOOGLETRANSLATE(B28791,""en"",""es-ES"")"),"Muchos jueces se sientan alrededor de un campo, esperando el rendimiento de un atleta.")</f>
        <v>Muchos jueces se sientan alrededor de un campo, esperando el rendimiento de un atleta.</v>
      </c>
    </row>
    <row r="28792">
      <c r="A28792" s="4" t="s">
        <v>36263</v>
      </c>
      <c r="B28792" s="4" t="s">
        <v>36265</v>
      </c>
      <c r="C28792" s="5" t="str">
        <f>IFERROR(__xludf.DUMMYFUNCTION("GOOGLETRANSLATE(B28792,""en"",""es-ES"")"),"Un atleta se acerca al área de campo.")</f>
        <v>Un atleta se acerca al área de campo.</v>
      </c>
    </row>
    <row r="28793">
      <c r="A28793" s="4" t="s">
        <v>36263</v>
      </c>
      <c r="B28793" s="4" t="s">
        <v>36266</v>
      </c>
      <c r="C28793" s="5" t="str">
        <f>IFERROR(__xludf.DUMMYFUNCTION("GOOGLETRANSLATE(B28793,""en"",""es-ES"")"),"El atleta gira su cuerpo y arroja un disco con la máxima fuerza.")</f>
        <v>El atleta gira su cuerpo y arroja un disco con la máxima fuerza.</v>
      </c>
    </row>
    <row r="28794">
      <c r="A28794" s="4" t="s">
        <v>36267</v>
      </c>
      <c r="B28794" s="4" t="s">
        <v>36268</v>
      </c>
      <c r="C28794" s="5" t="str">
        <f>IFERROR(__xludf.DUMMYFUNCTION("GOOGLETRANSLATE(B28794,""en"",""es-ES"")"),"Una persona está recostada en una cama.")</f>
        <v>Una persona está recostada en una cama.</v>
      </c>
    </row>
    <row r="28795">
      <c r="A28795" s="4" t="s">
        <v>36267</v>
      </c>
      <c r="B28795" s="4" t="s">
        <v>36269</v>
      </c>
      <c r="C28795" s="5" t="str">
        <f>IFERROR(__xludf.DUMMYFUNCTION("GOOGLETRANSLATE(B28795,""en"",""es-ES"")"),"Una persona pone cera en la pierna.")</f>
        <v>Una persona pone cera en la pierna.</v>
      </c>
    </row>
    <row r="28796">
      <c r="A28796" s="4" t="s">
        <v>36267</v>
      </c>
      <c r="B28796" s="4" t="s">
        <v>36270</v>
      </c>
      <c r="C28796" s="5" t="str">
        <f>IFERROR(__xludf.DUMMYFUNCTION("GOOGLETRANSLATE(B28796,""en"",""es-ES"")"),"Pusieron papel y estafan el cabello.")</f>
        <v>Pusieron papel y estafan el cabello.</v>
      </c>
    </row>
    <row r="28797">
      <c r="A28797" s="4" t="s">
        <v>36271</v>
      </c>
      <c r="B28797" s="4" t="s">
        <v>36272</v>
      </c>
      <c r="C28797" s="5" t="str">
        <f>IFERROR(__xludf.DUMMYFUNCTION("GOOGLETRANSLATE(B28797,""en"",""es-ES"")"),"Vemos a un hombre preparando y lanzando disparos.")</f>
        <v>Vemos a un hombre preparando y lanzando disparos.</v>
      </c>
    </row>
    <row r="28798">
      <c r="A28798" s="4" t="s">
        <v>36271</v>
      </c>
      <c r="B28798" s="4" t="s">
        <v>36273</v>
      </c>
      <c r="C28798" s="5" t="str">
        <f>IFERROR(__xludf.DUMMYFUNCTION("GOOGLETRANSLATE(B28798,""en"",""es-ES"")"),"Vemos a un hombre corriendo para medir la distancia.")</f>
        <v>Vemos a un hombre corriendo para medir la distancia.</v>
      </c>
    </row>
    <row r="28799">
      <c r="A28799" s="4" t="s">
        <v>36271</v>
      </c>
      <c r="B28799" s="4" t="s">
        <v>36274</v>
      </c>
      <c r="C28799" s="5" t="str">
        <f>IFERROR(__xludf.DUMMYFUNCTION("GOOGLETRANSLATE(B28799,""en"",""es-ES"")"),"Vemos a un hombre parado y medido.")</f>
        <v>Vemos a un hombre parado y medido.</v>
      </c>
    </row>
    <row r="28800">
      <c r="A28800" s="4" t="s">
        <v>36271</v>
      </c>
      <c r="B28800" s="4" t="s">
        <v>36275</v>
      </c>
      <c r="C28800" s="5" t="str">
        <f>IFERROR(__xludf.DUMMYFUNCTION("GOOGLETRANSLATE(B28800,""en"",""es-ES"")"),"Vemos gente en la multitud animando.")</f>
        <v>Vemos gente en la multitud animando.</v>
      </c>
    </row>
    <row r="28801">
      <c r="A28801" s="4" t="s">
        <v>36271</v>
      </c>
      <c r="B28801" s="4" t="s">
        <v>36276</v>
      </c>
      <c r="C28801" s="5" t="str">
        <f>IFERROR(__xludf.DUMMYFUNCTION("GOOGLETRANSLATE(B28801,""en"",""es-ES"")"),"Vemos a la gente en las gradas nuevamente.")</f>
        <v>Vemos a la gente en las gradas nuevamente.</v>
      </c>
    </row>
    <row r="28802">
      <c r="A28802" s="4" t="s">
        <v>36271</v>
      </c>
      <c r="B28802" s="4" t="s">
        <v>36277</v>
      </c>
      <c r="C28802" s="5" t="str">
        <f>IFERROR(__xludf.DUMMYFUNCTION("GOOGLETRANSLATE(B28802,""en"",""es-ES"")"),"Actuamos mientras el jugador se aleja.")</f>
        <v>Actuamos mientras el jugador se aleja.</v>
      </c>
    </row>
    <row r="28803">
      <c r="A28803" s="4" t="s">
        <v>36278</v>
      </c>
      <c r="B28803" s="4" t="s">
        <v>36279</v>
      </c>
      <c r="C28803" s="5" t="str">
        <f>IFERROR(__xludf.DUMMYFUNCTION("GOOGLETRANSLATE(B28803,""en"",""es-ES"")"),"Dos mujeres y un hombre bailan música pop mientras hacen diferentes pasos.")</f>
        <v>Dos mujeres y un hombre bailan música pop mientras hacen diferentes pasos.</v>
      </c>
    </row>
    <row r="28804">
      <c r="A28804" s="4" t="s">
        <v>36278</v>
      </c>
      <c r="B28804" s="4" t="s">
        <v>36280</v>
      </c>
      <c r="C28804" s="5" t="str">
        <f>IFERROR(__xludf.DUMMYFUNCTION("GOOGLETRANSLATE(B28804,""en"",""es-ES"")"),"Las mujeres y el hombre levantan los brazos mientras bailan, luego continúan bailando y girando.")</f>
        <v>Las mujeres y el hombre levantan los brazos mientras bailan, luego continúan bailando y girando.</v>
      </c>
    </row>
    <row r="28805">
      <c r="A28805" s="4" t="s">
        <v>36281</v>
      </c>
      <c r="B28805" s="4" t="s">
        <v>20672</v>
      </c>
      <c r="C28805" s="5" t="str">
        <f>IFERROR(__xludf.DUMMYFUNCTION("GOOGLETRANSLATE(B28805,""en"",""es-ES"")"),"Una niña salta a un rayo de equilibrio.")</f>
        <v>Una niña salta a un rayo de equilibrio.</v>
      </c>
    </row>
    <row r="28806">
      <c r="A28806" s="4" t="s">
        <v>36281</v>
      </c>
      <c r="B28806" s="4" t="s">
        <v>36282</v>
      </c>
      <c r="C28806" s="5" t="str">
        <f>IFERROR(__xludf.DUMMYFUNCTION("GOOGLETRANSLATE(B28806,""en"",""es-ES"")"),"Ella hace una rutina de gimnasia en la viga de equilibrio.")</f>
        <v>Ella hace una rutina de gimnasia en la viga de equilibrio.</v>
      </c>
    </row>
    <row r="28807">
      <c r="A28807" s="4" t="s">
        <v>36281</v>
      </c>
      <c r="B28807" s="4" t="s">
        <v>36283</v>
      </c>
      <c r="C28807" s="5" t="str">
        <f>IFERROR(__xludf.DUMMYFUNCTION("GOOGLETRANSLATE(B28807,""en"",""es-ES"")"),"Ella salta de la viga y aterriza en la colchoneta con las manos en alto.")</f>
        <v>Ella salta de la viga y aterriza en la colchoneta con las manos en alto.</v>
      </c>
    </row>
    <row r="28808">
      <c r="A28808" s="4" t="s">
        <v>36281</v>
      </c>
      <c r="B28808" s="4" t="s">
        <v>36284</v>
      </c>
      <c r="C28808" s="5" t="str">
        <f>IFERROR(__xludf.DUMMYFUNCTION("GOOGLETRANSLATE(B28808,""en"",""es-ES"")"),"Se acerca una mujer con una camisa azul y la abraza.")</f>
        <v>Se acerca una mujer con una camisa azul y la abraza.</v>
      </c>
    </row>
    <row r="28809">
      <c r="A28809" s="4" t="s">
        <v>36285</v>
      </c>
      <c r="B28809" s="4" t="s">
        <v>36286</v>
      </c>
      <c r="C28809" s="5" t="str">
        <f>IFERROR(__xludf.DUMMYFUNCTION("GOOGLETRANSLATE(B28809,""en"",""es-ES"")"),"Una mujer entra en un garaje con un papel enrollado en la mano.")</f>
        <v>Una mujer entra en un garaje con un papel enrollado en la mano.</v>
      </c>
    </row>
    <row r="28810">
      <c r="A28810" s="4" t="s">
        <v>36285</v>
      </c>
      <c r="B28810" s="4" t="s">
        <v>36287</v>
      </c>
      <c r="C28810" s="5" t="str">
        <f>IFERROR(__xludf.DUMMYFUNCTION("GOOGLETRANSLATE(B28810,""en"",""es-ES"")"),"Una vez que se va, se muestra un gato negro y comienza a gatear sobre todo y luego la señora viene y lo mordida.")</f>
        <v>Una vez que se va, se muestra un gato negro y comienza a gatear sobre todo y luego la señora viene y lo mordida.</v>
      </c>
    </row>
    <row r="28811">
      <c r="A28811" s="4" t="s">
        <v>36285</v>
      </c>
      <c r="B28811" s="4" t="s">
        <v>36288</v>
      </c>
      <c r="C28811" s="5" t="str">
        <f>IFERROR(__xludf.DUMMYFUNCTION("GOOGLETRANSLATE(B28811,""en"",""es-ES"")"),"La hembra se va y entra en una habitación y comienza a cubrir la habitación en papel de pared.")</f>
        <v>La hembra se va y entra en una habitación y comienza a cubrir la habitación en papel de pared.</v>
      </c>
    </row>
    <row r="28812">
      <c r="A28812" s="4" t="s">
        <v>36285</v>
      </c>
      <c r="B28812" s="4" t="s">
        <v>36289</v>
      </c>
      <c r="C28812" s="5" t="str">
        <f>IFERROR(__xludf.DUMMYFUNCTION("GOOGLETRANSLATE(B28812,""en"",""es-ES"")"),"Ella olvida las tijeras y sale para agarrarlas y regresa para aplicar más papel en la pared.")</f>
        <v>Ella olvida las tijeras y sale para agarrarlas y regresa para aplicar más papel en la pared.</v>
      </c>
    </row>
    <row r="28813">
      <c r="A28813" s="4" t="s">
        <v>36285</v>
      </c>
      <c r="B28813" s="4" t="s">
        <v>36290</v>
      </c>
      <c r="C28813" s="5" t="str">
        <f>IFERROR(__xludf.DUMMYFUNCTION("GOOGLETRANSLATE(B28813,""en"",""es-ES"")"),"Se necesita un descanso y la mujer toma una copa de la cocina.")</f>
        <v>Se necesita un descanso y la mujer toma una copa de la cocina.</v>
      </c>
    </row>
    <row r="28814">
      <c r="A28814" s="4" t="s">
        <v>36285</v>
      </c>
      <c r="B28814" s="4" t="s">
        <v>36291</v>
      </c>
      <c r="C28814" s="5" t="str">
        <f>IFERROR(__xludf.DUMMYFUNCTION("GOOGLETRANSLATE(B28814,""en"",""es-ES"")"),"Poco después, la señora continúa sus tareas y luego camina afuera para sacar a su gato.")</f>
        <v>Poco después, la señora continúa sus tareas y luego camina afuera para sacar a su gato.</v>
      </c>
    </row>
    <row r="28815">
      <c r="A28815" s="4" t="s">
        <v>36285</v>
      </c>
      <c r="B28815" s="4" t="s">
        <v>36292</v>
      </c>
      <c r="C28815" s="5" t="str">
        <f>IFERROR(__xludf.DUMMYFUNCTION("GOOGLETRANSLATE(B28815,""en"",""es-ES"")"),"La pared todavía no está terminada y ella regresa a la habitación para terminar en rodar el exterior para garantizar su suavidad.")</f>
        <v>La pared todavía no está terminada y ella regresa a la habitación para terminar en rodar el exterior para garantizar su suavidad.</v>
      </c>
    </row>
    <row r="28816">
      <c r="A28816" s="4" t="s">
        <v>36285</v>
      </c>
      <c r="B28816" s="4" t="s">
        <v>36293</v>
      </c>
      <c r="C28816" s="5" t="str">
        <f>IFERROR(__xludf.DUMMYFUNCTION("GOOGLETRANSLATE(B28816,""en"",""es-ES"")"),"Cuando termina, el gato entra en la habitación y comienza a jugar con una pelota antes de regresar afuera.")</f>
        <v>Cuando termina, el gato entra en la habitación y comienza a jugar con una pelota antes de regresar afuera.</v>
      </c>
    </row>
    <row r="28817">
      <c r="A28817" s="4" t="s">
        <v>36285</v>
      </c>
      <c r="B28817" s="4" t="s">
        <v>36294</v>
      </c>
      <c r="C28817" s="5" t="str">
        <f>IFERROR(__xludf.DUMMYFUNCTION("GOOGLETRANSLATE(B28817,""en"",""es-ES"")"),"La mujer reaparece en otro juego de ropa para terminar la pared, finalmente termina y comienza a levantar las manos y se derrumba en la cama.")</f>
        <v>La mujer reaparece en otro juego de ropa para terminar la pared, finalmente termina y comienza a levantar las manos y se derrumba en la cama.</v>
      </c>
    </row>
    <row r="28818">
      <c r="A28818" s="4" t="s">
        <v>36295</v>
      </c>
      <c r="B28818" s="4" t="s">
        <v>36296</v>
      </c>
      <c r="C28818" s="5" t="str">
        <f>IFERROR(__xludf.DUMMYFUNCTION("GOOGLETRANSLATE(B28818,""en"",""es-ES"")"),"La gente juega al golf en la hierba.")</f>
        <v>La gente juega al golf en la hierba.</v>
      </c>
    </row>
    <row r="28819">
      <c r="A28819" s="4" t="s">
        <v>36295</v>
      </c>
      <c r="B28819" s="4" t="s">
        <v>36297</v>
      </c>
      <c r="C28819" s="5" t="str">
        <f>IFERROR(__xludf.DUMMYFUNCTION("GOOGLETRANSLATE(B28819,""en"",""es-ES"")"),"Un hombre golpea la pelota con un club.")</f>
        <v>Un hombre golpea la pelota con un club.</v>
      </c>
    </row>
    <row r="28820">
      <c r="A28820" s="4" t="s">
        <v>36295</v>
      </c>
      <c r="B28820" s="4" t="s">
        <v>36298</v>
      </c>
      <c r="C28820" s="5" t="str">
        <f>IFERROR(__xludf.DUMMYFUNCTION("GOOGLETRANSLATE(B28820,""en"",""es-ES"")"),"Un hombre con un sombrero blanco camina detrás de él.")</f>
        <v>Un hombre con un sombrero blanco camina detrás de él.</v>
      </c>
    </row>
    <row r="28821">
      <c r="A28821" s="4" t="s">
        <v>36299</v>
      </c>
      <c r="B28821" s="4" t="s">
        <v>36300</v>
      </c>
      <c r="C28821" s="5" t="str">
        <f>IFERROR(__xludf.DUMMYFUNCTION("GOOGLETRANSLATE(B28821,""en"",""es-ES"")"),"Se muestran el producto final y los créditos.")</f>
        <v>Se muestran el producto final y los créditos.</v>
      </c>
    </row>
    <row r="28822">
      <c r="A28822" s="4" t="s">
        <v>36299</v>
      </c>
      <c r="B28822" s="4" t="s">
        <v>36301</v>
      </c>
      <c r="C28822" s="5" t="str">
        <f>IFERROR(__xludf.DUMMYFUNCTION("GOOGLETRANSLATE(B28822,""en"",""es-ES"")"),"Los ingredientes son mezclados y salteados.")</f>
        <v>Los ingredientes son mezclados y salteados.</v>
      </c>
    </row>
    <row r="28823">
      <c r="A28823" s="4" t="s">
        <v>36299</v>
      </c>
      <c r="B28823" s="4" t="s">
        <v>36302</v>
      </c>
      <c r="C28823" s="5" t="str">
        <f>IFERROR(__xludf.DUMMYFUNCTION("GOOGLETRANSLATE(B28823,""en"",""es-ES"")"),"La pasta se agrega a la sartén.")</f>
        <v>La pasta se agrega a la sartén.</v>
      </c>
    </row>
    <row r="28824">
      <c r="A28824" s="4" t="s">
        <v>36299</v>
      </c>
      <c r="B28824" s="4" t="s">
        <v>36303</v>
      </c>
      <c r="C28824" s="5" t="str">
        <f>IFERROR(__xludf.DUMMYFUNCTION("GOOGLETRANSLATE(B28824,""en"",""es-ES"")"),"Se agrega pasta de tomate e ingredientes secos a la sartén.")</f>
        <v>Se agrega pasta de tomate e ingredientes secos a la sartén.</v>
      </c>
    </row>
    <row r="28825">
      <c r="A28825" s="4" t="s">
        <v>36299</v>
      </c>
      <c r="B28825" s="4" t="s">
        <v>36304</v>
      </c>
      <c r="C28825" s="5" t="str">
        <f>IFERROR(__xludf.DUMMYFUNCTION("GOOGLETRANSLATE(B28825,""en"",""es-ES"")"),"El producto final se toma de la sartén y se coloca en una placa blanca.")</f>
        <v>El producto final se toma de la sartén y se coloca en una placa blanca.</v>
      </c>
    </row>
    <row r="28826">
      <c r="A28826" s="4" t="s">
        <v>36299</v>
      </c>
      <c r="B28826" s="4" t="s">
        <v>36305</v>
      </c>
      <c r="C28826" s="5" t="str">
        <f>IFERROR(__xludf.DUMMYFUNCTION("GOOGLETRANSLATE(B28826,""en"",""es-ES"")"),"Se muestran el producto final y los créditos del clip.")</f>
        <v>Se muestran el producto final y los créditos del clip.</v>
      </c>
    </row>
    <row r="28827">
      <c r="A28827" s="4" t="s">
        <v>36306</v>
      </c>
      <c r="B28827" s="4" t="s">
        <v>36307</v>
      </c>
      <c r="C28827" s="5" t="str">
        <f>IFERROR(__xludf.DUMMYFUNCTION("GOOGLETRANSLATE(B28827,""en"",""es-ES"")"),"La gente se pone de pie de estas máquinas Qloja.")</f>
        <v>La gente se pone de pie de estas máquinas Qloja.</v>
      </c>
    </row>
    <row r="28828">
      <c r="A28828" s="4" t="s">
        <v>36306</v>
      </c>
      <c r="B28828" s="4" t="s">
        <v>36308</v>
      </c>
      <c r="C28828" s="5" t="str">
        <f>IFERROR(__xludf.DUMMYFUNCTION("GOOGLETRANSLATE(B28828,""en"",""es-ES"")"),"Lleva mucho tiempo conseguirlos y luego comienzan a caminar.")</f>
        <v>Lleva mucho tiempo conseguirlos y luego comienzan a caminar.</v>
      </c>
    </row>
    <row r="28829">
      <c r="A28829" s="4" t="s">
        <v>36306</v>
      </c>
      <c r="B28829" s="4" t="s">
        <v>36309</v>
      </c>
      <c r="C28829" s="5" t="str">
        <f>IFERROR(__xludf.DUMMYFUNCTION("GOOGLETRANSLATE(B28829,""en"",""es-ES"")"),"Aumentan un poco de velocidad y comienzan a correr en una línea.")</f>
        <v>Aumentan un poco de velocidad y comienzan a correr en una línea.</v>
      </c>
    </row>
    <row r="28830">
      <c r="A28830" s="4" t="s">
        <v>36306</v>
      </c>
      <c r="B28830" s="4" t="s">
        <v>36310</v>
      </c>
      <c r="C28830" s="5" t="str">
        <f>IFERROR(__xludf.DUMMYFUNCTION("GOOGLETRANSLATE(B28830,""en"",""es-ES"")"),"Una línea de aproximadamente 15 personas que usan estos anticoncepciones se están ejecutando sobre ellos, luego un grupo más pequeño de tres está rebotando hacia arriba y hacia abajo.")</f>
        <v>Una línea de aproximadamente 15 personas que usan estos anticoncepciones se están ejecutando sobre ellos, luego un grupo más pequeño de tres está rebotando hacia arriba y hacia abajo.</v>
      </c>
    </row>
    <row r="28831">
      <c r="A28831" s="4" t="s">
        <v>36311</v>
      </c>
      <c r="B28831" s="4" t="s">
        <v>13870</v>
      </c>
      <c r="C28831" s="5" t="str">
        <f>IFERROR(__xludf.DUMMYFUNCTION("GOOGLETRANSLATE(B28831,""en"",""es-ES"")"),"Un hombre con una camisa blanca está hablando con la cámara.")</f>
        <v>Un hombre con una camisa blanca está hablando con la cámara.</v>
      </c>
    </row>
    <row r="28832">
      <c r="A28832" s="4" t="s">
        <v>36311</v>
      </c>
      <c r="B28832" s="4" t="s">
        <v>36312</v>
      </c>
      <c r="C28832" s="5" t="str">
        <f>IFERROR(__xludf.DUMMYFUNCTION("GOOGLETRANSLATE(B28832,""en"",""es-ES"")"),"La gente está jugando un juego de voleibol uno contra el otro.")</f>
        <v>La gente está jugando un juego de voleibol uno contra el otro.</v>
      </c>
    </row>
    <row r="28833">
      <c r="A28833" s="4" t="s">
        <v>36313</v>
      </c>
      <c r="B28833" s="4" t="s">
        <v>36314</v>
      </c>
      <c r="C28833" s="5" t="str">
        <f>IFERROR(__xludf.DUMMYFUNCTION("GOOGLETRANSLATE(B28833,""en"",""es-ES"")"),"Dos personas coreografían una rutina con Nunchucks.")</f>
        <v>Dos personas coreografían una rutina con Nunchucks.</v>
      </c>
    </row>
    <row r="28834">
      <c r="A28834" s="4" t="s">
        <v>36313</v>
      </c>
      <c r="B28834" s="4" t="s">
        <v>36315</v>
      </c>
      <c r="C28834" s="5" t="str">
        <f>IFERROR(__xludf.DUMMYFUNCTION("GOOGLETRANSLATE(B28834,""en"",""es-ES"")"),"Las chicas dejan caer a los nunchucks y luego bailan.")</f>
        <v>Las chicas dejan caer a los nunchucks y luego bailan.</v>
      </c>
    </row>
    <row r="28835">
      <c r="A28835" s="4" t="s">
        <v>36313</v>
      </c>
      <c r="B28835" s="4" t="s">
        <v>36316</v>
      </c>
      <c r="C28835" s="5" t="str">
        <f>IFERROR(__xludf.DUMMYFUNCTION("GOOGLETRANSLATE(B28835,""en"",""es-ES"")"),"Una tercera persona se une y luego se va.")</f>
        <v>Una tercera persona se une y luego se va.</v>
      </c>
    </row>
    <row r="28836">
      <c r="A28836" s="4" t="s">
        <v>36317</v>
      </c>
      <c r="B28836" s="4" t="s">
        <v>36318</v>
      </c>
      <c r="C28836" s="5" t="str">
        <f>IFERROR(__xludf.DUMMYFUNCTION("GOOGLETRANSLATE(B28836,""en"",""es-ES"")"),"Una sierra para la mano se encuentra en la parte superior de un techo.")</f>
        <v>Una sierra para la mano se encuentra en la parte superior de un techo.</v>
      </c>
    </row>
    <row r="28837">
      <c r="A28837" s="4" t="s">
        <v>36317</v>
      </c>
      <c r="B28837" s="4" t="s">
        <v>36319</v>
      </c>
      <c r="C28837" s="5" t="str">
        <f>IFERROR(__xludf.DUMMYFUNCTION("GOOGLETRANSLATE(B28837,""en"",""es-ES"")"),"Una escalera se apoya en ella.")</f>
        <v>Una escalera se apoya en ella.</v>
      </c>
    </row>
    <row r="28838">
      <c r="A28838" s="4" t="s">
        <v>36317</v>
      </c>
      <c r="B28838" s="4" t="s">
        <v>36320</v>
      </c>
      <c r="C28838" s="5" t="str">
        <f>IFERROR(__xludf.DUMMYFUNCTION("GOOGLETRANSLATE(B28838,""en"",""es-ES"")"),"El techo es viejo y en ruinas.")</f>
        <v>El techo es viejo y en ruinas.</v>
      </c>
    </row>
    <row r="28839">
      <c r="A28839" s="4" t="s">
        <v>36317</v>
      </c>
      <c r="B28839" s="4" t="s">
        <v>36321</v>
      </c>
      <c r="C28839" s="5" t="str">
        <f>IFERROR(__xludf.DUMMYFUNCTION("GOOGLETRANSLATE(B28839,""en"",""es-ES"")"),"La cámara luego se apaga.")</f>
        <v>La cámara luego se apaga.</v>
      </c>
    </row>
    <row r="28840">
      <c r="A28840" s="4" t="s">
        <v>36322</v>
      </c>
      <c r="B28840" s="4" t="s">
        <v>36323</v>
      </c>
      <c r="C28840" s="5" t="str">
        <f>IFERROR(__xludf.DUMMYFUNCTION("GOOGLETRANSLATE(B28840,""en"",""es-ES"")"),"Un levantador de pesas abre su boca de par en par.")</f>
        <v>Un levantador de pesas abre su boca de par en par.</v>
      </c>
    </row>
    <row r="28841">
      <c r="A28841" s="4" t="s">
        <v>36322</v>
      </c>
      <c r="B28841" s="4" t="s">
        <v>36324</v>
      </c>
      <c r="C28841" s="5" t="str">
        <f>IFERROR(__xludf.DUMMYFUNCTION("GOOGLETRANSLATE(B28841,""en"",""es-ES"")"),"Levanta una barra gigante con todas sus fuerzas.")</f>
        <v>Levanta una barra gigante con todas sus fuerzas.</v>
      </c>
    </row>
    <row r="28842">
      <c r="A28842" s="4" t="s">
        <v>36322</v>
      </c>
      <c r="B28842" s="4" t="s">
        <v>36325</v>
      </c>
      <c r="C28842" s="5" t="str">
        <f>IFERROR(__xludf.DUMMYFUNCTION("GOOGLETRANSLATE(B28842,""en"",""es-ES"")"),"Lo levanta en su pecho, luego sobre su cabeza.")</f>
        <v>Lo levanta en su pecho, luego sobre su cabeza.</v>
      </c>
    </row>
    <row r="28843">
      <c r="A28843" s="4" t="s">
        <v>36326</v>
      </c>
      <c r="B28843" s="4" t="s">
        <v>36327</v>
      </c>
      <c r="C28843" s="5" t="str">
        <f>IFERROR(__xludf.DUMMYFUNCTION("GOOGLETRANSLATE(B28843,""en"",""es-ES"")"),"Se ve a una mujer parada en un patio con una cortadora de césped frente a ella.")</f>
        <v>Se ve a una mujer parada en un patio con una cortadora de césped frente a ella.</v>
      </c>
    </row>
    <row r="28844">
      <c r="A28844" s="4" t="s">
        <v>36326</v>
      </c>
      <c r="B28844" s="4" t="s">
        <v>36328</v>
      </c>
      <c r="C28844" s="5" t="str">
        <f>IFERROR(__xludf.DUMMYFUNCTION("GOOGLETRANSLATE(B28844,""en"",""es-ES"")"),"La niña luego empuja el cortacésped a lo largo del patio.")</f>
        <v>La niña luego empuja el cortacésped a lo largo del patio.</v>
      </c>
    </row>
    <row r="28845">
      <c r="A28845" s="4" t="s">
        <v>36326</v>
      </c>
      <c r="B28845" s="4" t="s">
        <v>36329</v>
      </c>
      <c r="C28845" s="5" t="str">
        <f>IFERROR(__xludf.DUMMYFUNCTION("GOOGLETRANSLATE(B28845,""en"",""es-ES"")"),"La cámara se acerca más a la mujer que todavía empuja al cortacésped y hablando con la cámara.")</f>
        <v>La cámara se acerca más a la mujer que todavía empuja al cortacésped y hablando con la cámara.</v>
      </c>
    </row>
    <row r="28846">
      <c r="A28846" s="4" t="s">
        <v>36330</v>
      </c>
      <c r="B28846" s="4" t="s">
        <v>36331</v>
      </c>
      <c r="C28846" s="5" t="str">
        <f>IFERROR(__xludf.DUMMYFUNCTION("GOOGLETRANSLATE(B28846,""en"",""es-ES"")"),"Un hombre está parado afuera debajo de una carpa que golpea una piñata con un palo.")</f>
        <v>Un hombre está parado afuera debajo de una carpa que golpea una piñata con un palo.</v>
      </c>
    </row>
    <row r="28847">
      <c r="A28847" s="4" t="s">
        <v>36330</v>
      </c>
      <c r="B28847" s="4" t="s">
        <v>36332</v>
      </c>
      <c r="C28847" s="5" t="str">
        <f>IFERROR(__xludf.DUMMYFUNCTION("GOOGLETRANSLATE(B28847,""en"",""es-ES"")"),"Después de unas tres cuerdas, se mueve y le da el palo a una niña con un vestido gris y negro.")</f>
        <v>Después de unas tres cuerdas, se mueve y le da el palo a una niña con un vestido gris y negro.</v>
      </c>
    </row>
    <row r="28848">
      <c r="A28848" s="4" t="s">
        <v>36330</v>
      </c>
      <c r="B28848" s="4" t="s">
        <v>36333</v>
      </c>
      <c r="C28848" s="5" t="str">
        <f>IFERROR(__xludf.DUMMYFUNCTION("GOOGLETRANSLATE(B28848,""en"",""es-ES"")"),"Una vez que tiene el palo, está bateando en la dirección equivocada y luego se redirige hacia la piñata y aún termina perdiéndolo.")</f>
        <v>Una vez que tiene el palo, está bateando en la dirección equivocada y luego se redirige hacia la piñata y aún termina perdiéndolo.</v>
      </c>
    </row>
    <row r="28849">
      <c r="A28849" s="4" t="s">
        <v>36334</v>
      </c>
      <c r="B28849" s="4" t="s">
        <v>36335</v>
      </c>
      <c r="C28849" s="5" t="str">
        <f>IFERROR(__xludf.DUMMYFUNCTION("GOOGLETRANSLATE(B28849,""en"",""es-ES"")"),"Un hombre y una mujer están bailando haciendo una coreogapia de Zumba en el medio del escenario.")</f>
        <v>Un hombre y una mujer están bailando haciendo una coreogapia de Zumba en el medio del escenario.</v>
      </c>
    </row>
    <row r="28850">
      <c r="A28850" s="4" t="s">
        <v>36334</v>
      </c>
      <c r="B28850" s="4" t="s">
        <v>36336</v>
      </c>
      <c r="C28850" s="5" t="str">
        <f>IFERROR(__xludf.DUMMYFUNCTION("GOOGLETRANSLATE(B28850,""en"",""es-ES"")"),"Hombre con un enfoque de camisas grises para el escenario y sigue bailando.")</f>
        <v>Hombre con un enfoque de camisas grises para el escenario y sigue bailando.</v>
      </c>
    </row>
    <row r="28851">
      <c r="A28851" s="4" t="s">
        <v>36334</v>
      </c>
      <c r="B28851" s="4" t="s">
        <v>36337</v>
      </c>
      <c r="C28851" s="5" t="str">
        <f>IFERROR(__xludf.DUMMYFUNCTION("GOOGLETRANSLATE(B28851,""en"",""es-ES"")"),"La mujer que lleva una camisa rosa está en el fondo sosteniendo un teléfono celular blanco y tomando fotos.")</f>
        <v>La mujer que lleva una camisa rosa está en el fondo sosteniendo un teléfono celular blanco y tomando fotos.</v>
      </c>
    </row>
    <row r="28852">
      <c r="A28852" s="4" t="s">
        <v>36338</v>
      </c>
      <c r="B28852" s="4" t="s">
        <v>36339</v>
      </c>
      <c r="C28852" s="5" t="str">
        <f>IFERROR(__xludf.DUMMYFUNCTION("GOOGLETRANSLATE(B28852,""en"",""es-ES"")"),"Un par de ruedas un pequeño vagón y refrigerador en un área del parque.")</f>
        <v>Un par de ruedas un pequeño vagón y refrigerador en un área del parque.</v>
      </c>
    </row>
    <row r="28853">
      <c r="A28853" s="4" t="s">
        <v>36338</v>
      </c>
      <c r="B28853" s="4" t="s">
        <v>36340</v>
      </c>
      <c r="C28853" s="5" t="str">
        <f>IFERROR(__xludf.DUMMYFUNCTION("GOOGLETRANSLATE(B28853,""en"",""es-ES"")"),"Se recogen palos y luego se construye un anillo de piedras con los palos apilados con ramitas en el interior.")</f>
        <v>Se recogen palos y luego se construye un anillo de piedras con los palos apilados con ramitas en el interior.</v>
      </c>
    </row>
    <row r="28854">
      <c r="A28854" s="4" t="s">
        <v>36338</v>
      </c>
      <c r="B28854" s="4" t="s">
        <v>36341</v>
      </c>
      <c r="C28854" s="5" t="str">
        <f>IFERROR(__xludf.DUMMYFUNCTION("GOOGLETRANSLATE(B28854,""en"",""es-ES"")"),"El paquete de bosque está encendido y se agregan más palos para mantenerlo en funcionamiento.")</f>
        <v>El paquete de bosque está encendido y se agregan más palos para mantenerlo en funcionamiento.</v>
      </c>
    </row>
    <row r="28855">
      <c r="A28855" s="4" t="s">
        <v>36338</v>
      </c>
      <c r="B28855" s="4" t="s">
        <v>36342</v>
      </c>
      <c r="C28855" s="5" t="str">
        <f>IFERROR(__xludf.DUMMYFUNCTION("GOOGLETRANSLATE(B28855,""en"",""es-ES"")"),"El hombre se sienta en una silla de jardín y disfruta el día.")</f>
        <v>El hombre se sienta en una silla de jardín y disfruta el día.</v>
      </c>
    </row>
    <row r="28856">
      <c r="A28856" s="4" t="s">
        <v>36338</v>
      </c>
      <c r="B28856" s="4" t="s">
        <v>36343</v>
      </c>
      <c r="C28856" s="5" t="str">
        <f>IFERROR(__xludf.DUMMYFUNCTION("GOOGLETRANSLATE(B28856,""en"",""es-ES"")"),"El hombre atornilla una boquilla en un tanque de propano y alimenta el fuego con él.")</f>
        <v>El hombre atornilla una boquilla en un tanque de propano y alimenta el fuego con él.</v>
      </c>
    </row>
    <row r="28857">
      <c r="A28857" s="4" t="s">
        <v>36338</v>
      </c>
      <c r="B28857" s="4" t="s">
        <v>36344</v>
      </c>
      <c r="C28857" s="5" t="str">
        <f>IFERROR(__xludf.DUMMYFUNCTION("GOOGLETRANSLATE(B28857,""en"",""es-ES"")"),"El fuego se apaga con un cubo de agua y se cubre en la tierra.")</f>
        <v>El fuego se apaga con un cubo de agua y se cubre en la tierra.</v>
      </c>
    </row>
    <row r="28858">
      <c r="A28858" s="4" t="s">
        <v>36345</v>
      </c>
      <c r="B28858" s="4" t="s">
        <v>36346</v>
      </c>
      <c r="C28858" s="5" t="str">
        <f>IFERROR(__xludf.DUMMYFUNCTION("GOOGLETRANSLATE(B28858,""en"",""es-ES"")"),"Un hombre está quitando un neumático de un centro con una herramienta.")</f>
        <v>Un hombre está quitando un neumático de un centro con una herramienta.</v>
      </c>
    </row>
    <row r="28859">
      <c r="A28859" s="4" t="s">
        <v>36345</v>
      </c>
      <c r="B28859" s="4" t="s">
        <v>36347</v>
      </c>
      <c r="C28859" s="5" t="str">
        <f>IFERROR(__xludf.DUMMYFUNCTION("GOOGLETRANSLATE(B28859,""en"",""es-ES"")"),"Luego pone el neumático encima de la herramienta para terminar de quitarse.")</f>
        <v>Luego pone el neumático encima de la herramienta para terminar de quitarse.</v>
      </c>
    </row>
    <row r="28860">
      <c r="A28860" s="4" t="s">
        <v>36348</v>
      </c>
      <c r="B28860" s="4" t="s">
        <v>36349</v>
      </c>
      <c r="C28860" s="5" t="str">
        <f>IFERROR(__xludf.DUMMYFUNCTION("GOOGLETRANSLATE(B28860,""en"",""es-ES"")"),"Un equipo de jugadores corre en un campo.")</f>
        <v>Un equipo de jugadores corre en un campo.</v>
      </c>
    </row>
    <row r="28861">
      <c r="A28861" s="4" t="s">
        <v>36348</v>
      </c>
      <c r="B28861" s="4" t="s">
        <v>36350</v>
      </c>
      <c r="C28861" s="5" t="str">
        <f>IFERROR(__xludf.DUMMYFUNCTION("GOOGLETRANSLATE(B28861,""en"",""es-ES"")"),"Están sosteniendo algún tipo de raquetas.")</f>
        <v>Están sosteniendo algún tipo de raquetas.</v>
      </c>
    </row>
    <row r="28862">
      <c r="A28862" s="4" t="s">
        <v>36348</v>
      </c>
      <c r="B28862" s="4" t="s">
        <v>36351</v>
      </c>
      <c r="C28862" s="5" t="str">
        <f>IFERROR(__xludf.DUMMYFUNCTION("GOOGLETRANSLATE(B28862,""en"",""es-ES"")"),"Los se balancearon el uno al otro.")</f>
        <v>Los se balancearon el uno al otro.</v>
      </c>
    </row>
    <row r="28863">
      <c r="A28863" s="4" t="s">
        <v>36348</v>
      </c>
      <c r="B28863" s="4" t="s">
        <v>36352</v>
      </c>
      <c r="C28863" s="5" t="str">
        <f>IFERROR(__xludf.DUMMYFUNCTION("GOOGLETRANSLATE(B28863,""en"",""es-ES"")"),"Algunos jugadores corren más allá de una línea amarilla.")</f>
        <v>Algunos jugadores corren más allá de una línea amarilla.</v>
      </c>
    </row>
    <row r="28864">
      <c r="A28864" s="4" t="s">
        <v>36353</v>
      </c>
      <c r="B28864" s="4" t="s">
        <v>36354</v>
      </c>
      <c r="C28864" s="5" t="str">
        <f>IFERROR(__xludf.DUMMYFUNCTION("GOOGLETRANSLATE(B28864,""en"",""es-ES"")"),"Los créditos de apertura muestran las próximas actividades.")</f>
        <v>Los créditos de apertura muestran las próximas actividades.</v>
      </c>
    </row>
    <row r="28865">
      <c r="A28865" s="4" t="s">
        <v>36353</v>
      </c>
      <c r="B28865" s="4" t="s">
        <v>36355</v>
      </c>
      <c r="C28865" s="5" t="str">
        <f>IFERROR(__xludf.DUMMYFUNCTION("GOOGLETRANSLATE(B28865,""en"",""es-ES"")"),"Un hombre en cuadros está parado en un micrófono reconociendo a la multitud.")</f>
        <v>Un hombre en cuadros está parado en un micrófono reconociendo a la multitud.</v>
      </c>
    </row>
    <row r="28866">
      <c r="A28866" s="4" t="s">
        <v>36353</v>
      </c>
      <c r="B28866" s="4" t="s">
        <v>36356</v>
      </c>
      <c r="C28866" s="5" t="str">
        <f>IFERROR(__xludf.DUMMYFUNCTION("GOOGLETRANSLATE(B28866,""en"",""es-ES"")"),"Comienza a tocar la armónica.")</f>
        <v>Comienza a tocar la armónica.</v>
      </c>
    </row>
    <row r="28867">
      <c r="A28867" s="4" t="s">
        <v>36353</v>
      </c>
      <c r="B28867" s="4" t="s">
        <v>36357</v>
      </c>
      <c r="C28867" s="5" t="str">
        <f>IFERROR(__xludf.DUMMYFUNCTION("GOOGLETRANSLATE(B28867,""en"",""es-ES"")"),"El hombre deja de jugar y baila en su lugar.")</f>
        <v>El hombre deja de jugar y baila en su lugar.</v>
      </c>
    </row>
    <row r="28868">
      <c r="A28868" s="4" t="s">
        <v>36353</v>
      </c>
      <c r="B28868" s="4" t="s">
        <v>36358</v>
      </c>
      <c r="C28868" s="5" t="str">
        <f>IFERROR(__xludf.DUMMYFUNCTION("GOOGLETRANSLATE(B28868,""en"",""es-ES"")"),"El hombre continúa jugando su armónica.")</f>
        <v>El hombre continúa jugando su armónica.</v>
      </c>
    </row>
    <row r="28869">
      <c r="A28869" s="4" t="s">
        <v>36353</v>
      </c>
      <c r="B28869" s="4" t="s">
        <v>36359</v>
      </c>
      <c r="C28869" s="5" t="str">
        <f>IFERROR(__xludf.DUMMYFUNCTION("GOOGLETRANSLATE(B28869,""en"",""es-ES"")"),"El hombre deja de extender y agradece a la multitud cuando aparecen los créditos finales.")</f>
        <v>El hombre deja de extender y agradece a la multitud cuando aparecen los créditos finales.</v>
      </c>
    </row>
    <row r="28870">
      <c r="A28870" s="4" t="s">
        <v>36360</v>
      </c>
      <c r="B28870" s="4" t="s">
        <v>36361</v>
      </c>
      <c r="C28870" s="5" t="str">
        <f>IFERROR(__xludf.DUMMYFUNCTION("GOOGLETRANSLATE(B28870,""en"",""es-ES"")"),"Hay un niño vestido con una camisa roja y jeans azules sentados en un sillón reclinable de cuero negro.")</f>
        <v>Hay un niño vestido con una camisa roja y jeans azules sentados en un sillón reclinable de cuero negro.</v>
      </c>
    </row>
    <row r="28871">
      <c r="A28871" s="4" t="s">
        <v>36360</v>
      </c>
      <c r="B28871" s="4" t="s">
        <v>36362</v>
      </c>
      <c r="C28871" s="5" t="str">
        <f>IFERROR(__xludf.DUMMYFUNCTION("GOOGLETRANSLATE(B28871,""en"",""es-ES"")"),"Está sentado con las manos estiradas.")</f>
        <v>Está sentado con las manos estiradas.</v>
      </c>
    </row>
    <row r="28872">
      <c r="A28872" s="4" t="s">
        <v>36360</v>
      </c>
      <c r="B28872" s="4" t="s">
        <v>36363</v>
      </c>
      <c r="C28872" s="5" t="str">
        <f>IFERROR(__xludf.DUMMYFUNCTION("GOOGLETRANSLATE(B28872,""en"",""es-ES"")"),"Un hombre de pie junto a él con un pequeño palo es hacer cosquillas en la mano del niño con el palo.")</f>
        <v>Un hombre de pie junto a él con un pequeño palo es hacer cosquillas en la mano del niño con el palo.</v>
      </c>
    </row>
    <row r="28873">
      <c r="A28873" s="4" t="s">
        <v>36360</v>
      </c>
      <c r="B28873" s="4" t="s">
        <v>36364</v>
      </c>
      <c r="C28873" s="5" t="str">
        <f>IFERROR(__xludf.DUMMYFUNCTION("GOOGLETRANSLATE(B28873,""en"",""es-ES"")"),"Al niño parece gustarle y le pide que lo haga en su otra mano también.")</f>
        <v>Al niño parece gustarle y le pide que lo haga en su otra mano también.</v>
      </c>
    </row>
    <row r="28874">
      <c r="A28874" s="4" t="s">
        <v>36360</v>
      </c>
      <c r="B28874" s="4" t="s">
        <v>36365</v>
      </c>
      <c r="C28874" s="5" t="str">
        <f>IFERROR(__xludf.DUMMYFUNCTION("GOOGLETRANSLATE(B28874,""en"",""es-ES"")"),"El hombre también le hace cosquillas en la otra mano del niño.")</f>
        <v>El hombre también le hace cosquillas en la otra mano del niño.</v>
      </c>
    </row>
    <row r="28875">
      <c r="A28875" s="4" t="s">
        <v>36360</v>
      </c>
      <c r="B28875" s="4" t="s">
        <v>36366</v>
      </c>
      <c r="C28875" s="5" t="str">
        <f>IFERROR(__xludf.DUMMYFUNCTION("GOOGLETRANSLATE(B28875,""en"",""es-ES"")"),"El niño sonríe y pide más.")</f>
        <v>El niño sonríe y pide más.</v>
      </c>
    </row>
    <row r="28876">
      <c r="A28876" s="4" t="s">
        <v>36367</v>
      </c>
      <c r="B28876" s="4" t="s">
        <v>36368</v>
      </c>
      <c r="C28876" s="5" t="str">
        <f>IFERROR(__xludf.DUMMYFUNCTION("GOOGLETRANSLATE(B28876,""en"",""es-ES"")"),"Una cámara se mueve alrededor de la hierba y conduce a una cerca.")</f>
        <v>Una cámara se mueve alrededor de la hierba y conduce a una cerca.</v>
      </c>
    </row>
    <row r="28877">
      <c r="A28877" s="4" t="s">
        <v>36367</v>
      </c>
      <c r="B28877" s="4" t="s">
        <v>36369</v>
      </c>
      <c r="C28877" s="5" t="str">
        <f>IFERROR(__xludf.DUMMYFUNCTION("GOOGLETRANSLATE(B28877,""en"",""es-ES"")"),"La cámara se desplaza alrededor de la cerca con flores a un lado.")</f>
        <v>La cámara se desplaza alrededor de la cerca con flores a un lado.</v>
      </c>
    </row>
    <row r="28878">
      <c r="A28878" s="4" t="s">
        <v>36367</v>
      </c>
      <c r="B28878" s="4" t="s">
        <v>36370</v>
      </c>
      <c r="C28878" s="5" t="str">
        <f>IFERROR(__xludf.DUMMYFUNCTION("GOOGLETRANSLATE(B28878,""en"",""es-ES"")"),"La cámara continúa frando por la cerca y los diferentes colores.")</f>
        <v>La cámara continúa frando por la cerca y los diferentes colores.</v>
      </c>
    </row>
    <row r="28879">
      <c r="A28879" s="4" t="s">
        <v>36371</v>
      </c>
      <c r="B28879" s="4" t="s">
        <v>36372</v>
      </c>
      <c r="C28879" s="5" t="str">
        <f>IFERROR(__xludf.DUMMYFUNCTION("GOOGLETRANSLATE(B28879,""en"",""es-ES"")"),"Un hombre toma una cachimba y exhala anillos de humo.")</f>
        <v>Un hombre toma una cachimba y exhala anillos de humo.</v>
      </c>
    </row>
    <row r="28880">
      <c r="A28880" s="4" t="s">
        <v>36371</v>
      </c>
      <c r="B28880" s="4" t="s">
        <v>36373</v>
      </c>
      <c r="C28880" s="5" t="str">
        <f>IFERROR(__xludf.DUMMYFUNCTION("GOOGLETRANSLATE(B28880,""en"",""es-ES"")"),"Inhala y lo hace de nuevo.")</f>
        <v>Inhala y lo hace de nuevo.</v>
      </c>
    </row>
    <row r="28881">
      <c r="A28881" s="4" t="s">
        <v>36374</v>
      </c>
      <c r="B28881" s="4" t="s">
        <v>36375</v>
      </c>
      <c r="C28881" s="5" t="str">
        <f>IFERROR(__xludf.DUMMYFUNCTION("GOOGLETRANSLATE(B28881,""en"",""es-ES"")"),"Ocho hombres blancos de mediana edad están en una de las cuerdas que intenta ganar un juego de tira y afloja afuera en un campo en lo que parece ser un torneo.")</f>
        <v>Ocho hombres blancos de mediana edad están en una de las cuerdas que intenta ganar un juego de tira y afloja afuera en un campo en lo que parece ser un torneo.</v>
      </c>
    </row>
    <row r="28882">
      <c r="A28882" s="4" t="s">
        <v>36374</v>
      </c>
      <c r="B28882" s="4" t="s">
        <v>36376</v>
      </c>
      <c r="C28882" s="5" t="str">
        <f>IFERROR(__xludf.DUMMYFUNCTION("GOOGLETRANSLATE(B28882,""en"",""es-ES"")"),"Cuando comienza el juego, todos los hombres caen en una posición inclinada mientras luchan por tirar de la cuerda.")</f>
        <v>Cuando comienza el juego, todos los hombres caen en una posición inclinada mientras luchan por tirar de la cuerda.</v>
      </c>
    </row>
    <row r="28883">
      <c r="A28883" s="4" t="s">
        <v>36374</v>
      </c>
      <c r="B28883" s="4" t="s">
        <v>36377</v>
      </c>
      <c r="C28883" s="5" t="str">
        <f>IFERROR(__xludf.DUMMYFUNCTION("GOOGLETRANSLATE(B28883,""en"",""es-ES"")"),"De repente, un hombre de los lados comienza a hablar con el hombre en el frente y se mete en la cara como si le estuviera dando una charla para mantenerse fuerte, ganar y no dejar que el otro equipo lo mejore.")</f>
        <v>De repente, un hombre de los lados comienza a hablar con el hombre en el frente y se mete en la cara como si le estuviera dando una charla para mantenerse fuerte, ganar y no dejar que el otro equipo lo mejore.</v>
      </c>
    </row>
    <row r="28884">
      <c r="A28884" s="4" t="s">
        <v>36374</v>
      </c>
      <c r="B28884" s="4" t="s">
        <v>36378</v>
      </c>
      <c r="C28884" s="5" t="str">
        <f>IFERROR(__xludf.DUMMYFUNCTION("GOOGLETRANSLATE(B28884,""en"",""es-ES"")"),"El juego continúa y puedes ver que el equipo está siendo drogas, pero de repente ganan fuerza y ​​tiran de la cuerda de regreso a su lado, luego todos se ponen de pie cuando el juego está terminado.")</f>
        <v>El juego continúa y puedes ver que el equipo está siendo drogas, pero de repente ganan fuerza y ​​tiran de la cuerda de regreso a su lado, luego todos se ponen de pie cuando el juego está terminado.</v>
      </c>
    </row>
    <row r="28885">
      <c r="A28885" s="4" t="s">
        <v>36379</v>
      </c>
      <c r="B28885" s="4" t="s">
        <v>36380</v>
      </c>
      <c r="C28885" s="5" t="str">
        <f>IFERROR(__xludf.DUMMYFUNCTION("GOOGLETRANSLATE(B28885,""en"",""es-ES"")"),"Dos personas entran en un camión.")</f>
        <v>Dos personas entran en un camión.</v>
      </c>
    </row>
    <row r="28886">
      <c r="A28886" s="4" t="s">
        <v>36379</v>
      </c>
      <c r="B28886" s="4" t="s">
        <v>36381</v>
      </c>
      <c r="C28886" s="5" t="str">
        <f>IFERROR(__xludf.DUMMYFUNCTION("GOOGLETRANSLATE(B28886,""en"",""es-ES"")"),"Conducen a la calle.")</f>
        <v>Conducen a la calle.</v>
      </c>
    </row>
    <row r="28887">
      <c r="A28887" s="4" t="s">
        <v>36379</v>
      </c>
      <c r="B28887" s="4" t="s">
        <v>36382</v>
      </c>
      <c r="C28887" s="5" t="str">
        <f>IFERROR(__xludf.DUMMYFUNCTION("GOOGLETRANSLATE(B28887,""en"",""es-ES"")"),"Un hombre que lleva una escalera lo coloca contra una casa.")</f>
        <v>Un hombre que lleva una escalera lo coloca contra una casa.</v>
      </c>
    </row>
    <row r="28888">
      <c r="A28888" s="4" t="s">
        <v>36379</v>
      </c>
      <c r="B28888" s="4" t="s">
        <v>36383</v>
      </c>
      <c r="C28888" s="5" t="str">
        <f>IFERROR(__xludf.DUMMYFUNCTION("GOOGLETRANSLATE(B28888,""en"",""es-ES"")"),"La mujer mira al hombre.")</f>
        <v>La mujer mira al hombre.</v>
      </c>
    </row>
    <row r="28889">
      <c r="A28889" s="4" t="s">
        <v>36379</v>
      </c>
      <c r="B28889" s="4" t="s">
        <v>36384</v>
      </c>
      <c r="C28889" s="5" t="str">
        <f>IFERROR(__xludf.DUMMYFUNCTION("GOOGLETRANSLATE(B28889,""en"",""es-ES"")"),"El hombre mira el techo de la casa en la escalera.")</f>
        <v>El hombre mira el techo de la casa en la escalera.</v>
      </c>
    </row>
    <row r="28890">
      <c r="A28890" s="4" t="s">
        <v>36379</v>
      </c>
      <c r="B28890" s="4" t="s">
        <v>36385</v>
      </c>
      <c r="C28890" s="5" t="str">
        <f>IFERROR(__xludf.DUMMYFUNCTION("GOOGLETRANSLATE(B28890,""en"",""es-ES"")"),"Él le muestra algo y ella lo sostiene en su mano.")</f>
        <v>Él le muestra algo y ella lo sostiene en su mano.</v>
      </c>
    </row>
    <row r="28891">
      <c r="A28891" s="4" t="s">
        <v>36379</v>
      </c>
      <c r="B28891" s="4" t="s">
        <v>36386</v>
      </c>
      <c r="C28891" s="5" t="str">
        <f>IFERROR(__xludf.DUMMYFUNCTION("GOOGLETRANSLATE(B28891,""en"",""es-ES"")"),"Un hombre habla frente a una casa.")</f>
        <v>Un hombre habla frente a una casa.</v>
      </c>
    </row>
    <row r="28892">
      <c r="A28892" s="4" t="s">
        <v>36379</v>
      </c>
      <c r="B28892" s="4" t="s">
        <v>36387</v>
      </c>
      <c r="C28892" s="5" t="str">
        <f>IFERROR(__xludf.DUMMYFUNCTION("GOOGLETRANSLATE(B28892,""en"",""es-ES"")"),"Un hombre sube una escalera y mira un techo.")</f>
        <v>Un hombre sube una escalera y mira un techo.</v>
      </c>
    </row>
    <row r="28893">
      <c r="A28893" s="4" t="s">
        <v>36379</v>
      </c>
      <c r="B28893" s="4" t="s">
        <v>36388</v>
      </c>
      <c r="C28893" s="5" t="str">
        <f>IFERROR(__xludf.DUMMYFUNCTION("GOOGLETRANSLATE(B28893,""en"",""es-ES"")"),"Un hombre pasa por una pila de papeles.")</f>
        <v>Un hombre pasa por una pila de papeles.</v>
      </c>
    </row>
    <row r="28894">
      <c r="A28894" s="4" t="s">
        <v>36379</v>
      </c>
      <c r="B28894" s="4" t="s">
        <v>36389</v>
      </c>
      <c r="C28894" s="5" t="str">
        <f>IFERROR(__xludf.DUMMYFUNCTION("GOOGLETRANSLATE(B28894,""en"",""es-ES"")"),"Muestra los papeles en la pantalla.")</f>
        <v>Muestra los papeles en la pantalla.</v>
      </c>
    </row>
    <row r="28895">
      <c r="A28895" s="4" t="s">
        <v>36390</v>
      </c>
      <c r="B28895" s="4" t="s">
        <v>36391</v>
      </c>
      <c r="C28895" s="5" t="str">
        <f>IFERROR(__xludf.DUMMYFUNCTION("GOOGLETRANSLATE(B28895,""en"",""es-ES"")"),"Se ve a una gimnasta parada antes de que un rayo levantara los brazos y otros mirando a un lado.")</f>
        <v>Se ve a una gimnasta parada antes de que un rayo levantara los brazos y otros mirando a un lado.</v>
      </c>
    </row>
    <row r="28896">
      <c r="A28896" s="4" t="s">
        <v>36390</v>
      </c>
      <c r="B28896" s="4" t="s">
        <v>36392</v>
      </c>
      <c r="C28896" s="5" t="str">
        <f>IFERROR(__xludf.DUMMYFUNCTION("GOOGLETRANSLATE(B28896,""en"",""es-ES"")"),"Luego, la mujer realiza una rutina de gimnastas frente a un gran grupo de personas.")</f>
        <v>Luego, la mujer realiza una rutina de gimnastas frente a un gran grupo de personas.</v>
      </c>
    </row>
    <row r="28897">
      <c r="A28897" s="4" t="s">
        <v>36390</v>
      </c>
      <c r="B28897" s="4" t="s">
        <v>36393</v>
      </c>
      <c r="C28897" s="5" t="str">
        <f>IFERROR(__xludf.DUMMYFUNCTION("GOOGLETRANSLATE(B28897,""en"",""es-ES"")"),"Se cae en un punto y vuelve a subir para terminar su rutina y termina saltando del costado.")</f>
        <v>Se cae en un punto y vuelve a subir para terminar su rutina y termina saltando del costado.</v>
      </c>
    </row>
    <row r="28898">
      <c r="A28898" s="4" t="s">
        <v>36394</v>
      </c>
      <c r="B28898" s="4" t="s">
        <v>36395</v>
      </c>
      <c r="C28898" s="5" t="str">
        <f>IFERROR(__xludf.DUMMYFUNCTION("GOOGLETRANSLATE(B28898,""en"",""es-ES"")"),"Un hombre está explicando cómo tocar la batería en Bongos.")</f>
        <v>Un hombre está explicando cómo tocar la batería en Bongos.</v>
      </c>
    </row>
    <row r="28899">
      <c r="A28899" s="4" t="s">
        <v>36394</v>
      </c>
      <c r="B28899" s="4" t="s">
        <v>36396</v>
      </c>
      <c r="C28899" s="5" t="str">
        <f>IFERROR(__xludf.DUMMYFUNCTION("GOOGLETRANSLATE(B28899,""en"",""es-ES"")"),"Demuestra cómo alterna entre tres bongos.")</f>
        <v>Demuestra cómo alterna entre tres bongos.</v>
      </c>
    </row>
    <row r="28900">
      <c r="A28900" s="4" t="s">
        <v>36394</v>
      </c>
      <c r="B28900" s="4" t="s">
        <v>36397</v>
      </c>
      <c r="C28900" s="5" t="str">
        <f>IFERROR(__xludf.DUMMYFUNCTION("GOOGLETRANSLATE(B28900,""en"",""es-ES"")"),"Más tarde cambia a un ritmo y un ritmo mucho más lentos al tambalear en los bongos.")</f>
        <v>Más tarde cambia a un ritmo y un ritmo mucho más lentos al tambalear en los bongos.</v>
      </c>
    </row>
    <row r="28901">
      <c r="A28901" s="4" t="s">
        <v>36394</v>
      </c>
      <c r="B28901" s="4" t="s">
        <v>36398</v>
      </c>
      <c r="C28901" s="5" t="str">
        <f>IFERROR(__xludf.DUMMYFUNCTION("GOOGLETRANSLATE(B28901,""en"",""es-ES"")"),"Explica cómo cambia los ritmos en el tambor a medida que cambia el ritmo.")</f>
        <v>Explica cómo cambia los ritmos en el tambor a medida que cambia el ritmo.</v>
      </c>
    </row>
    <row r="28902">
      <c r="A28902" s="4" t="s">
        <v>36394</v>
      </c>
      <c r="B28902" s="4" t="s">
        <v>36399</v>
      </c>
      <c r="C28902" s="5" t="str">
        <f>IFERROR(__xludf.DUMMYFUNCTION("GOOGLETRANSLATE(B28902,""en"",""es-ES"")"),"Luego vuelve a un ritmo y un ritmo más rápido en la batería alternando entre dos tambores.")</f>
        <v>Luego vuelve a un ritmo y un ritmo más rápido en la batería alternando entre dos tambores.</v>
      </c>
    </row>
    <row r="28903">
      <c r="A28903" s="4" t="s">
        <v>36400</v>
      </c>
      <c r="B28903" s="4" t="s">
        <v>36401</v>
      </c>
      <c r="C28903" s="5" t="str">
        <f>IFERROR(__xludf.DUMMYFUNCTION("GOOGLETRANSLATE(B28903,""en"",""es-ES"")"),"Una mujer se encuentra al final de una tabla de buceo.")</f>
        <v>Una mujer se encuentra al final de una tabla de buceo.</v>
      </c>
    </row>
    <row r="28904">
      <c r="A28904" s="4" t="s">
        <v>36400</v>
      </c>
      <c r="B28904" s="4" t="s">
        <v>36402</v>
      </c>
      <c r="C28904" s="5" t="str">
        <f>IFERROR(__xludf.DUMMYFUNCTION("GOOGLETRANSLATE(B28904,""en"",""es-ES"")"),"Ella salta ligeramente hacia arriba y hacia abajo.")</f>
        <v>Ella salta ligeramente hacia arriba y hacia abajo.</v>
      </c>
    </row>
    <row r="28905">
      <c r="A28905" s="4" t="s">
        <v>36400</v>
      </c>
      <c r="B28905" s="4" t="s">
        <v>36403</v>
      </c>
      <c r="C28905" s="5" t="str">
        <f>IFERROR(__xludf.DUMMYFUNCTION("GOOGLETRANSLATE(B28905,""en"",""es-ES"")"),"Luego hace un retroceso al agua.")</f>
        <v>Luego hace un retroceso al agua.</v>
      </c>
    </row>
    <row r="28906">
      <c r="A28906" s="4" t="s">
        <v>36404</v>
      </c>
      <c r="B28906" s="4" t="s">
        <v>36405</v>
      </c>
      <c r="C28906" s="5" t="str">
        <f>IFERROR(__xludf.DUMMYFUNCTION("GOOGLETRANSLATE(B28906,""en"",""es-ES"")"),"Un grupo de mujeres se reúne en una habitación, luego vaya a la playa.")</f>
        <v>Un grupo de mujeres se reúne en una habitación, luego vaya a la playa.</v>
      </c>
    </row>
    <row r="28907">
      <c r="A28907" s="4" t="s">
        <v>36404</v>
      </c>
      <c r="B28907" s="4" t="s">
        <v>36406</v>
      </c>
      <c r="C28907" s="5" t="str">
        <f>IFERROR(__xludf.DUMMYFUNCTION("GOOGLETRANSLATE(B28907,""en"",""es-ES"")"),"Una mujer fotografia a los demás debajo del muelle.")</f>
        <v>Una mujer fotografia a los demás debajo del muelle.</v>
      </c>
    </row>
    <row r="28908">
      <c r="A28908" s="4" t="s">
        <v>36404</v>
      </c>
      <c r="B28908" s="4" t="s">
        <v>36407</v>
      </c>
      <c r="C28908" s="5" t="str">
        <f>IFERROR(__xludf.DUMMYFUNCTION("GOOGLETRANSLATE(B28908,""en"",""es-ES"")"),"Hablan con la cámara entre brotes.")</f>
        <v>Hablan con la cámara entre brotes.</v>
      </c>
    </row>
    <row r="28909">
      <c r="A28909" s="4" t="s">
        <v>36408</v>
      </c>
      <c r="B28909" s="4" t="s">
        <v>36409</v>
      </c>
      <c r="C28909" s="5" t="str">
        <f>IFERROR(__xludf.DUMMYFUNCTION("GOOGLETRANSLATE(B28909,""en"",""es-ES"")"),"Un hombre se toma un momento para sí mismo antes de comenzar a tocar la guitarra.")</f>
        <v>Un hombre se toma un momento para sí mismo antes de comenzar a tocar la guitarra.</v>
      </c>
    </row>
    <row r="28910">
      <c r="A28910" s="4" t="s">
        <v>36408</v>
      </c>
      <c r="B28910" s="4" t="s">
        <v>36410</v>
      </c>
      <c r="C28910" s="5" t="str">
        <f>IFERROR(__xludf.DUMMYFUNCTION("GOOGLETRANSLATE(B28910,""en"",""es-ES"")"),"El hombre toca la guitarra.")</f>
        <v>El hombre toca la guitarra.</v>
      </c>
    </row>
    <row r="28911">
      <c r="A28911" s="4" t="s">
        <v>36408</v>
      </c>
      <c r="B28911" s="4" t="s">
        <v>36411</v>
      </c>
      <c r="C28911" s="5" t="str">
        <f>IFERROR(__xludf.DUMMYFUNCTION("GOOGLETRANSLATE(B28911,""en"",""es-ES"")"),"El hombre deja de tocar la guitarra.")</f>
        <v>El hombre deja de tocar la guitarra.</v>
      </c>
    </row>
    <row r="28912">
      <c r="A28912" s="4" t="s">
        <v>36412</v>
      </c>
      <c r="B28912" s="4" t="s">
        <v>36413</v>
      </c>
      <c r="C28912" s="5" t="str">
        <f>IFERROR(__xludf.DUMMYFUNCTION("GOOGLETRANSLATE(B28912,""en"",""es-ES"")"),"Dos personas están jugando un juego de Ping Pong.")</f>
        <v>Dos personas están jugando un juego de Ping Pong.</v>
      </c>
    </row>
    <row r="28913">
      <c r="A28913" s="4" t="s">
        <v>36412</v>
      </c>
      <c r="B28913" s="4" t="s">
        <v>36414</v>
      </c>
      <c r="C28913" s="5" t="str">
        <f>IFERROR(__xludf.DUMMYFUNCTION("GOOGLETRANSLATE(B28913,""en"",""es-ES"")"),"La gente está jugando baloncesto detrás de ellos.")</f>
        <v>La gente está jugando baloncesto detrás de ellos.</v>
      </c>
    </row>
    <row r="28914">
      <c r="A28914" s="4" t="s">
        <v>36412</v>
      </c>
      <c r="B28914" s="4" t="s">
        <v>36415</v>
      </c>
      <c r="C28914" s="5" t="str">
        <f>IFERROR(__xludf.DUMMYFUNCTION("GOOGLETRANSLATE(B28914,""en"",""es-ES"")"),"El hombre agarra la pelota nuevamente y la sirve sobre la mesa.")</f>
        <v>El hombre agarra la pelota nuevamente y la sirve sobre la mesa.</v>
      </c>
    </row>
    <row r="28915">
      <c r="A28915" s="4" t="s">
        <v>36412</v>
      </c>
      <c r="B28915" s="4" t="s">
        <v>36416</v>
      </c>
      <c r="C28915" s="5" t="str">
        <f>IFERROR(__xludf.DUMMYFUNCTION("GOOGLETRANSLATE(B28915,""en"",""es-ES"")"),"El hombre sostiene un teléfono y toma una foto con la niña.")</f>
        <v>El hombre sostiene un teléfono y toma una foto con la niña.</v>
      </c>
    </row>
    <row r="28916">
      <c r="A28916" s="4" t="s">
        <v>36417</v>
      </c>
      <c r="B28916" s="4" t="s">
        <v>36418</v>
      </c>
      <c r="C28916" s="5" t="str">
        <f>IFERROR(__xludf.DUMMYFUNCTION("GOOGLETRANSLATE(B28916,""en"",""es-ES"")"),"Una anciana con una abrazadera de cuello grita a la cámara en una tienda de comestibles.")</f>
        <v>Una anciana con una abrazadera de cuello grita a la cámara en una tienda de comestibles.</v>
      </c>
    </row>
    <row r="28917">
      <c r="A28917" s="4" t="s">
        <v>36417</v>
      </c>
      <c r="B28917" s="4" t="s">
        <v>36419</v>
      </c>
      <c r="C28917" s="5" t="str">
        <f>IFERROR(__xludf.DUMMYFUNCTION("GOOGLETRANSLATE(B28917,""en"",""es-ES"")"),"La señora aspira el piso de la tienda.")</f>
        <v>La señora aspira el piso de la tienda.</v>
      </c>
    </row>
    <row r="28918">
      <c r="A28918" s="4" t="s">
        <v>36417</v>
      </c>
      <c r="B28918" s="4" t="s">
        <v>36420</v>
      </c>
      <c r="C28918" s="5" t="str">
        <f>IFERROR(__xludf.DUMMYFUNCTION("GOOGLETRANSLATE(B28918,""en"",""es-ES"")"),"La señora baila con la música y finge tocar una guitarra.")</f>
        <v>La señora baila con la música y finge tocar una guitarra.</v>
      </c>
    </row>
    <row r="28919">
      <c r="A28919" s="4" t="s">
        <v>36417</v>
      </c>
      <c r="B28919" s="4" t="s">
        <v>36421</v>
      </c>
      <c r="C28919" s="5" t="str">
        <f>IFERROR(__xludf.DUMMYFUNCTION("GOOGLETRANSLATE(B28919,""en"",""es-ES"")"),"La señora se quita las gafas de sol y habla con la cámara.")</f>
        <v>La señora se quita las gafas de sol y habla con la cámara.</v>
      </c>
    </row>
    <row r="28920">
      <c r="A28920" s="4" t="s">
        <v>36417</v>
      </c>
      <c r="B28920" s="4" t="s">
        <v>36422</v>
      </c>
      <c r="C28920" s="5" t="str">
        <f>IFERROR(__xludf.DUMMYFUNCTION("GOOGLETRANSLATE(B28920,""en"",""es-ES"")"),"Terminamos viéndola de pie en un pasillo.")</f>
        <v>Terminamos viéndola de pie en un pasillo.</v>
      </c>
    </row>
    <row r="28921">
      <c r="A28921" s="4" t="s">
        <v>36423</v>
      </c>
      <c r="B28921" s="4" t="s">
        <v>36424</v>
      </c>
      <c r="C28921" s="5" t="str">
        <f>IFERROR(__xludf.DUMMYFUNCTION("GOOGLETRANSLATE(B28921,""en"",""es-ES"")"),"Hay un grupo de cantantes pop coreanos que actúan en un escenario.")</f>
        <v>Hay un grupo de cantantes pop coreanos que actúan en un escenario.</v>
      </c>
    </row>
    <row r="28922">
      <c r="A28922" s="4" t="s">
        <v>36423</v>
      </c>
      <c r="B28922" s="4" t="s">
        <v>36425</v>
      </c>
      <c r="C28922" s="5" t="str">
        <f>IFERROR(__xludf.DUMMYFUNCTION("GOOGLETRANSLATE(B28922,""en"",""es-ES"")"),"Uno de los cantantes está tocando el violín mientras la audiencia anima y aplaude por él.")</f>
        <v>Uno de los cantantes está tocando el violín mientras la audiencia anima y aplaude por él.</v>
      </c>
    </row>
    <row r="28923">
      <c r="A28923" s="4" t="s">
        <v>36423</v>
      </c>
      <c r="B28923" s="4" t="s">
        <v>36426</v>
      </c>
      <c r="C28923" s="5" t="str">
        <f>IFERROR(__xludf.DUMMYFUNCTION("GOOGLETRANSLATE(B28923,""en"",""es-ES"")"),"Luego, otro cantante toma el micrófono y habla con la audiencia.")</f>
        <v>Luego, otro cantante toma el micrófono y habla con la audiencia.</v>
      </c>
    </row>
    <row r="28924">
      <c r="A28924" s="4" t="s">
        <v>36423</v>
      </c>
      <c r="B28924" s="4" t="s">
        <v>36427</v>
      </c>
      <c r="C28924" s="5" t="str">
        <f>IFERROR(__xludf.DUMMYFUNCTION("GOOGLETRANSLATE(B28924,""en"",""es-ES"")"),"El público aplaude y sonríe mientras miran.")</f>
        <v>El público aplaude y sonríe mientras miran.</v>
      </c>
    </row>
    <row r="28925">
      <c r="A28925" s="4" t="s">
        <v>36423</v>
      </c>
      <c r="B28925" s="4" t="s">
        <v>36428</v>
      </c>
      <c r="C28925" s="5" t="str">
        <f>IFERROR(__xludf.DUMMYFUNCTION("GOOGLETRANSLATE(B28925,""en"",""es-ES"")"),"El artista canta mientras toca el violín y luego se inclina frente a la audiencia.")</f>
        <v>El artista canta mientras toca el violín y luego se inclina frente a la audiencia.</v>
      </c>
    </row>
    <row r="28926">
      <c r="A28926" s="4" t="s">
        <v>36423</v>
      </c>
      <c r="B28926" s="4" t="s">
        <v>36429</v>
      </c>
      <c r="C28926" s="5" t="str">
        <f>IFERROR(__xludf.DUMMYFUNCTION("GOOGLETRANSLATE(B28926,""en"",""es-ES"")"),"La multitud anima y aplaude por él.")</f>
        <v>La multitud anima y aplaude por él.</v>
      </c>
    </row>
    <row r="28927">
      <c r="A28927" s="4" t="s">
        <v>36430</v>
      </c>
      <c r="B28927" s="4" t="s">
        <v>36431</v>
      </c>
      <c r="C28927" s="5" t="str">
        <f>IFERROR(__xludf.DUMMYFUNCTION("GOOGLETRANSLATE(B28927,""en"",""es-ES"")"),"Un hombre está de pie en un gimnasio preparándose para levantar un juego de pesas colocados en una barra.")</f>
        <v>Un hombre está de pie en un gimnasio preparándose para levantar un juego de pesas colocados en una barra.</v>
      </c>
    </row>
    <row r="28928">
      <c r="A28928" s="4" t="s">
        <v>36430</v>
      </c>
      <c r="B28928" s="4" t="s">
        <v>36432</v>
      </c>
      <c r="C28928" s="5" t="str">
        <f>IFERROR(__xludf.DUMMYFUNCTION("GOOGLETRANSLATE(B28928,""en"",""es-ES"")"),"A continuación, la pantalla fluye a un macho macho más joven y luego deja caer la barra en el suelo.")</f>
        <v>A continuación, la pantalla fluye a un macho macho más joven y luego deja caer la barra en el suelo.</v>
      </c>
    </row>
    <row r="28929">
      <c r="A28929" s="4" t="s">
        <v>36430</v>
      </c>
      <c r="B28929" s="4" t="s">
        <v>36433</v>
      </c>
      <c r="C28929" s="5" t="str">
        <f>IFERROR(__xludf.DUMMYFUNCTION("GOOGLETRANSLATE(B28929,""en"",""es-ES"")"),"Se muestran a varias personas más levantando pesas y dejando caerlos en el suelo.")</f>
        <v>Se muestran a varias personas más levantando pesas y dejando caerlos en el suelo.</v>
      </c>
    </row>
    <row r="28930">
      <c r="A28930" s="4" t="s">
        <v>36430</v>
      </c>
      <c r="B28930" s="4" t="s">
        <v>36434</v>
      </c>
      <c r="C28930" s="5" t="str">
        <f>IFERROR(__xludf.DUMMYFUNCTION("GOOGLETRANSLATE(B28930,""en"",""es-ES"")"),"El hombre comienza a bailar mientras levanta y deja caer la barra y se repite la continuación del levantamiento de pesas.")</f>
        <v>El hombre comienza a bailar mientras levanta y deja caer la barra y se repite la continuación del levantamiento de pesas.</v>
      </c>
    </row>
    <row r="28931">
      <c r="A28931" s="4" t="s">
        <v>36430</v>
      </c>
      <c r="B28931" s="4" t="s">
        <v>36435</v>
      </c>
      <c r="C28931" s="5" t="str">
        <f>IFERROR(__xludf.DUMMYFUNCTION("GOOGLETRANSLATE(B28931,""en"",""es-ES"")"),"Después, los hombres continúan caminando por el gimnasio comiendo una barra de proteínas.")</f>
        <v>Después, los hombres continúan caminando por el gimnasio comiendo una barra de proteínas.</v>
      </c>
    </row>
    <row r="28932">
      <c r="A28932" s="4" t="s">
        <v>36436</v>
      </c>
      <c r="B28932" s="4" t="s">
        <v>36437</v>
      </c>
      <c r="C28932" s="5" t="str">
        <f>IFERROR(__xludf.DUMMYFUNCTION("GOOGLETRANSLATE(B28932,""en"",""es-ES"")"),"Se ve a una persona apuntando una pistola de paintball a la distancia en un campo grande.")</f>
        <v>Se ve a una persona apuntando una pistola de paintball a la distancia en un campo grande.</v>
      </c>
    </row>
    <row r="28933">
      <c r="A28933" s="4" t="s">
        <v>36436</v>
      </c>
      <c r="B28933" s="4" t="s">
        <v>36438</v>
      </c>
      <c r="C28933" s="5" t="str">
        <f>IFERROR(__xludf.DUMMYFUNCTION("GOOGLETRANSLATE(B28933,""en"",""es-ES"")"),"Muchas personas miran a un lado mientras el hombre apunta.")</f>
        <v>Muchas personas miran a un lado mientras el hombre apunta.</v>
      </c>
    </row>
    <row r="28934">
      <c r="A28934" s="4" t="s">
        <v>36436</v>
      </c>
      <c r="B28934" s="4" t="s">
        <v>36439</v>
      </c>
      <c r="C28934" s="5" t="str">
        <f>IFERROR(__xludf.DUMMYFUNCTION("GOOGLETRANSLATE(B28934,""en"",""es-ES"")"),"De repente, otra persona entra en el marco y juega con el hombre.")</f>
        <v>De repente, otra persona entra en el marco y juega con el hombre.</v>
      </c>
    </row>
    <row r="28935">
      <c r="A28935" s="4" t="s">
        <v>36440</v>
      </c>
      <c r="B28935" s="4" t="s">
        <v>36441</v>
      </c>
      <c r="C28935" s="5" t="str">
        <f>IFERROR(__xludf.DUMMYFUNCTION("GOOGLETRANSLATE(B28935,""en"",""es-ES"")"),"Un niño levanta un rastrillo del suelo y lo lleva.")</f>
        <v>Un niño levanta un rastrillo del suelo y lo lleva.</v>
      </c>
    </row>
    <row r="28936">
      <c r="A28936" s="4" t="s">
        <v>36440</v>
      </c>
      <c r="B28936" s="4" t="s">
        <v>36442</v>
      </c>
      <c r="C28936" s="5" t="str">
        <f>IFERROR(__xludf.DUMMYFUNCTION("GOOGLETRANSLATE(B28936,""en"",""es-ES"")"),"Un hombre baja por un tobogán con un casco azul.")</f>
        <v>Un hombre baja por un tobogán con un casco azul.</v>
      </c>
    </row>
    <row r="28937">
      <c r="A28937" s="4" t="s">
        <v>36440</v>
      </c>
      <c r="B28937" s="4" t="s">
        <v>36443</v>
      </c>
      <c r="C28937" s="5" t="str">
        <f>IFERROR(__xludf.DUMMYFUNCTION("GOOGLETRANSLATE(B28937,""en"",""es-ES"")"),"Se cae al suelo después de bajar por el tobogán.")</f>
        <v>Se cae al suelo después de bajar por el tobogán.</v>
      </c>
    </row>
    <row r="28938">
      <c r="A28938" s="4" t="s">
        <v>36444</v>
      </c>
      <c r="B28938" s="4" t="s">
        <v>36445</v>
      </c>
      <c r="C28938" s="5" t="str">
        <f>IFERROR(__xludf.DUMMYFUNCTION("GOOGLETRANSLATE(B28938,""en"",""es-ES"")"),"Se ve a un pequeño grupo de niñas de pie preparados para sostener banderas y conducir a ellas realizando una rutina.")</f>
        <v>Se ve a un pequeño grupo de niñas de pie preparados para sostener banderas y conducir a ellas realizando una rutina.</v>
      </c>
    </row>
    <row r="28939">
      <c r="A28939" s="4" t="s">
        <v>36444</v>
      </c>
      <c r="B28939" s="4" t="s">
        <v>36446</v>
      </c>
      <c r="C28939" s="5" t="str">
        <f>IFERROR(__xludf.DUMMYFUNCTION("GOOGLETRANSLATE(B28939,""en"",""es-ES"")"),"Un hombre se sienta frente a ellos tocando un instrumento mientras continúan girando y muchos de los costados observan.")</f>
        <v>Un hombre se sienta frente a ellos tocando un instrumento mientras continúan girando y muchos de los costados observan.</v>
      </c>
    </row>
    <row r="28940">
      <c r="A28940" s="4" t="s">
        <v>36447</v>
      </c>
      <c r="B28940" s="4" t="s">
        <v>36448</v>
      </c>
      <c r="C28940" s="5" t="str">
        <f>IFERROR(__xludf.DUMMYFUNCTION("GOOGLETRANSLATE(B28940,""en"",""es-ES"")"),"Un jugador en el equipo de Orange patina con el disco hasta que lo tropezan y cae.")</f>
        <v>Un jugador en el equipo de Orange patina con el disco hasta que lo tropezan y cae.</v>
      </c>
    </row>
    <row r="28941">
      <c r="A28941" s="4" t="s">
        <v>36447</v>
      </c>
      <c r="B28941" s="4" t="s">
        <v>36449</v>
      </c>
      <c r="C28941" s="5" t="str">
        <f>IFERROR(__xludf.DUMMYFUNCTION("GOOGLETRANSLATE(B28941,""en"",""es-ES"")"),"El jugador 18 en el equipo gris recupera el disco y hace que los defensores establezcan el hielo.")</f>
        <v>El jugador 18 en el equipo gris recupera el disco y hace que los defensores establezcan el hielo.</v>
      </c>
    </row>
    <row r="28942">
      <c r="A28942" s="4" t="s">
        <v>36447</v>
      </c>
      <c r="B28942" s="4" t="s">
        <v>36450</v>
      </c>
      <c r="C28942" s="5" t="str">
        <f>IFERROR(__xludf.DUMMYFUNCTION("GOOGLETRANSLATE(B28942,""en"",""es-ES"")"),"El jugador 18 toma un tiro en la meta.")</f>
        <v>El jugador 18 toma un tiro en la meta.</v>
      </c>
    </row>
    <row r="28943">
      <c r="A28943" s="4" t="s">
        <v>36447</v>
      </c>
      <c r="B28943" s="4" t="s">
        <v>36451</v>
      </c>
      <c r="C28943" s="5" t="str">
        <f>IFERROR(__xludf.DUMMYFUNCTION("GOOGLETRANSLATE(B28943,""en"",""es-ES"")"),"El portero en el equipo de Orange bloquea el tiro y vuelve a jugar el disco.")</f>
        <v>El portero en el equipo de Orange bloquea el tiro y vuelve a jugar el disco.</v>
      </c>
    </row>
    <row r="28944">
      <c r="A28944" s="4" t="s">
        <v>36447</v>
      </c>
      <c r="B28944" s="4" t="s">
        <v>36452</v>
      </c>
      <c r="C28944" s="5" t="str">
        <f>IFERROR(__xludf.DUMMYFUNCTION("GOOGLETRANSLATE(B28944,""en"",""es-ES"")"),"El jugador 4 en el equipo naranja lleva el disco por el hielo que pasaba una vez para sí mismo pasó a los defensores.")</f>
        <v>El jugador 4 en el equipo naranja lleva el disco por el hielo que pasaba una vez para sí mismo pasó a los defensores.</v>
      </c>
    </row>
    <row r="28945">
      <c r="A28945" s="4" t="s">
        <v>36447</v>
      </c>
      <c r="B28945" s="4" t="s">
        <v>36453</v>
      </c>
      <c r="C28945" s="5" t="str">
        <f>IFERROR(__xludf.DUMMYFUNCTION("GOOGLETRANSLATE(B28945,""en"",""es-ES"")"),"El jugador 4 toma un tiro en la meta y anota.")</f>
        <v>El jugador 4 toma un tiro en la meta y anota.</v>
      </c>
    </row>
    <row r="28946">
      <c r="A28946" s="4" t="s">
        <v>36447</v>
      </c>
      <c r="B28946" s="4" t="s">
        <v>36454</v>
      </c>
      <c r="C28946" s="5" t="str">
        <f>IFERROR(__xludf.DUMMYFUNCTION("GOOGLETRANSLATE(B28946,""en"",""es-ES"")"),"El jugador 4 y los compañeros de equipo celebran y la victoria y patinan en el hielo.")</f>
        <v>El jugador 4 y los compañeros de equipo celebran y la victoria y patinan en el hielo.</v>
      </c>
    </row>
    <row r="28947">
      <c r="A28947" s="4" t="s">
        <v>36455</v>
      </c>
      <c r="B28947" s="4" t="s">
        <v>36456</v>
      </c>
      <c r="C28947" s="5" t="str">
        <f>IFERROR(__xludf.DUMMYFUNCTION("GOOGLETRANSLATE(B28947,""en"",""es-ES"")"),"Un hombre sentado limpia un zapato en un salón de clases con otras personas.")</f>
        <v>Un hombre sentado limpia un zapato en un salón de clases con otras personas.</v>
      </c>
    </row>
    <row r="28948">
      <c r="A28948" s="4" t="s">
        <v>36455</v>
      </c>
      <c r="B28948" s="4" t="s">
        <v>36457</v>
      </c>
      <c r="C28948" s="5" t="str">
        <f>IFERROR(__xludf.DUMMYFUNCTION("GOOGLETRANSLATE(B28948,""en"",""es-ES"")"),"El hombre se vuelve hacia la cámara y sonríe.")</f>
        <v>El hombre se vuelve hacia la cámara y sonríe.</v>
      </c>
    </row>
    <row r="28949">
      <c r="A28949" s="4" t="s">
        <v>36455</v>
      </c>
      <c r="B28949" s="4" t="s">
        <v>36458</v>
      </c>
      <c r="C28949" s="5" t="str">
        <f>IFERROR(__xludf.DUMMYFUNCTION("GOOGLETRANSLATE(B28949,""en"",""es-ES"")"),"El hombre se ríe mientras sostiene el zapato hacia abajo.")</f>
        <v>El hombre se ríe mientras sostiene el zapato hacia abajo.</v>
      </c>
    </row>
    <row r="28950">
      <c r="A28950" s="4" t="s">
        <v>36459</v>
      </c>
      <c r="B28950" s="4" t="s">
        <v>36460</v>
      </c>
      <c r="C28950" s="5" t="str">
        <f>IFERROR(__xludf.DUMMYFUNCTION("GOOGLETRANSLATE(B28950,""en"",""es-ES"")"),"Vemos balsas y personas en un edificio.")</f>
        <v>Vemos balsas y personas en un edificio.</v>
      </c>
    </row>
    <row r="28951">
      <c r="A28951" s="4" t="s">
        <v>36459</v>
      </c>
      <c r="B28951" s="4" t="s">
        <v>36461</v>
      </c>
      <c r="C28951" s="5" t="str">
        <f>IFERROR(__xludf.DUMMYFUNCTION("GOOGLETRANSLATE(B28951,""en"",""es-ES"")"),"Las personas abordan un autobús y salen en un parque acuático.")</f>
        <v>Las personas abordan un autobús y salen en un parque acuático.</v>
      </c>
    </row>
    <row r="28952">
      <c r="A28952" s="4" t="s">
        <v>36459</v>
      </c>
      <c r="B28952" s="4" t="s">
        <v>36462</v>
      </c>
      <c r="C28952" s="5" t="str">
        <f>IFERROR(__xludf.DUMMYFUNCTION("GOOGLETRANSLATE(B28952,""en"",""es-ES"")"),"La gente toma balsas, y la gente en balsas llena un río.")</f>
        <v>La gente toma balsas, y la gente en balsas llena un río.</v>
      </c>
    </row>
    <row r="28953">
      <c r="A28953" s="4" t="s">
        <v>36459</v>
      </c>
      <c r="B28953" s="4" t="s">
        <v>36463</v>
      </c>
      <c r="C28953" s="5" t="str">
        <f>IFERROR(__xludf.DUMMYFUNCTION("GOOGLETRANSLATE(B28953,""en"",""es-ES"")"),"Vemos una cascada artificial y personas que se deslizan a través de ella.")</f>
        <v>Vemos una cascada artificial y personas que se deslizan a través de ella.</v>
      </c>
    </row>
    <row r="28954">
      <c r="A28954" s="4" t="s">
        <v>36459</v>
      </c>
      <c r="B28954" s="4" t="s">
        <v>36464</v>
      </c>
      <c r="C28954" s="5" t="str">
        <f>IFERROR(__xludf.DUMMYFUNCTION("GOOGLETRANSLATE(B28954,""en"",""es-ES"")"),"Una persona se cae de su balsa.")</f>
        <v>Una persona se cae de su balsa.</v>
      </c>
    </row>
    <row r="28955">
      <c r="A28955" s="4" t="s">
        <v>36459</v>
      </c>
      <c r="B28955" s="4" t="s">
        <v>36465</v>
      </c>
      <c r="C28955" s="5" t="str">
        <f>IFERROR(__xludf.DUMMYFUNCTION("GOOGLETRANSLATE(B28955,""en"",""es-ES"")"),"Un hombre que sostiene un palo selfie está montando una balsa.")</f>
        <v>Un hombre que sostiene un palo selfie está montando una balsa.</v>
      </c>
    </row>
    <row r="28956">
      <c r="A28956" s="4" t="s">
        <v>36459</v>
      </c>
      <c r="B28956" s="4" t="s">
        <v>36466</v>
      </c>
      <c r="C28956" s="5" t="str">
        <f>IFERROR(__xludf.DUMMYFUNCTION("GOOGLETRANSLATE(B28956,""en"",""es-ES"")"),"Otro hombre sosteniendo un palo selfie.")</f>
        <v>Otro hombre sosteniendo un palo selfie.</v>
      </c>
    </row>
    <row r="28957">
      <c r="A28957" s="4" t="s">
        <v>36459</v>
      </c>
      <c r="B28957" s="4" t="s">
        <v>36467</v>
      </c>
      <c r="C28957" s="5" t="str">
        <f>IFERROR(__xludf.DUMMYFUNCTION("GOOGLETRANSLATE(B28957,""en"",""es-ES"")"),"Vemos el número de teléfono y los créditos para el video.")</f>
        <v>Vemos el número de teléfono y los créditos para el video.</v>
      </c>
    </row>
    <row r="28958">
      <c r="A28958" s="4" t="s">
        <v>36468</v>
      </c>
      <c r="B28958" s="4" t="s">
        <v>36469</v>
      </c>
      <c r="C28958" s="5" t="str">
        <f>IFERROR(__xludf.DUMMYFUNCTION("GOOGLETRANSLATE(B28958,""en"",""es-ES"")"),"Se ve a un pequeño grupo de personas parado afuera con uno con los ojos vendados y sosteniendo un bate.")</f>
        <v>Se ve a un pequeño grupo de personas parado afuera con uno con los ojos vendados y sosteniendo un bate.</v>
      </c>
    </row>
    <row r="28959">
      <c r="A28959" s="4" t="s">
        <v>36468</v>
      </c>
      <c r="B28959" s="4" t="s">
        <v>36470</v>
      </c>
      <c r="C28959" s="5" t="str">
        <f>IFERROR(__xludf.DUMMYFUNCTION("GOOGLETRANSLATE(B28959,""en"",""es-ES"")"),"Una persona luego levanta una piñata y comienza a balancearse hacia el objeto.")</f>
        <v>Una persona luego levanta una piñata y comienza a balancearse hacia el objeto.</v>
      </c>
    </row>
    <row r="28960">
      <c r="A28960" s="4" t="s">
        <v>36468</v>
      </c>
      <c r="B28960" s="4" t="s">
        <v>36471</v>
      </c>
      <c r="C28960" s="5" t="str">
        <f>IFERROR(__xludf.DUMMYFUNCTION("GOOGLETRANSLATE(B28960,""en"",""es-ES"")"),"El niño mueve sus manos y continúa balanceándose hacia el objeto.")</f>
        <v>El niño mueve sus manos y continúa balanceándose hacia el objeto.</v>
      </c>
    </row>
    <row r="28961">
      <c r="A28961" s="4" t="s">
        <v>36472</v>
      </c>
      <c r="B28961" s="4" t="s">
        <v>36473</v>
      </c>
      <c r="C28961" s="5" t="str">
        <f>IFERROR(__xludf.DUMMYFUNCTION("GOOGLETRANSLATE(B28961,""en"",""es-ES"")"),"La gente se reúne en una instalación de gira en el postre.")</f>
        <v>La gente se reúne en una instalación de gira en el postre.</v>
      </c>
    </row>
    <row r="28962">
      <c r="A28962" s="4" t="s">
        <v>36472</v>
      </c>
      <c r="B28962" s="4" t="s">
        <v>36474</v>
      </c>
      <c r="C28962" s="5" t="str">
        <f>IFERROR(__xludf.DUMMYFUNCTION("GOOGLETRANSLATE(B28962,""en"",""es-ES"")"),"Luego, la gente monta camellos tirados por hombres.")</f>
        <v>Luego, la gente monta camellos tirados por hombres.</v>
      </c>
    </row>
    <row r="28963">
      <c r="A28963" s="4" t="s">
        <v>36472</v>
      </c>
      <c r="B28963" s="4" t="s">
        <v>36475</v>
      </c>
      <c r="C28963" s="5" t="str">
        <f>IFERROR(__xludf.DUMMYFUNCTION("GOOGLETRANSLATE(B28963,""en"",""es-ES"")"),"La caravana avanza en el desierto, mientras los camellos caminan en la fila.")</f>
        <v>La caravana avanza en el desierto, mientras los camellos caminan en la fila.</v>
      </c>
    </row>
    <row r="28964">
      <c r="A28964" s="4" t="s">
        <v>36472</v>
      </c>
      <c r="B28964" s="4" t="s">
        <v>36476</v>
      </c>
      <c r="C28964" s="5" t="str">
        <f>IFERROR(__xludf.DUMMYFUNCTION("GOOGLETRANSLATE(B28964,""en"",""es-ES"")"),"Un automóvil blanco detrás de los camellos.")</f>
        <v>Un automóvil blanco detrás de los camellos.</v>
      </c>
    </row>
    <row r="28965">
      <c r="A28965" s="4" t="s">
        <v>36472</v>
      </c>
      <c r="B28965" s="4" t="s">
        <v>36477</v>
      </c>
      <c r="C28965" s="5" t="str">
        <f>IFERROR(__xludf.DUMMYFUNCTION("GOOGLETRANSLATE(B28965,""en"",""es-ES"")"),"Luego, el hombre hace arrodillarse los camellos y la gente baja por los camellos.")</f>
        <v>Luego, el hombre hace arrodillarse los camellos y la gente baja por los camellos.</v>
      </c>
    </row>
    <row r="28966">
      <c r="A28966" s="4" t="s">
        <v>36472</v>
      </c>
      <c r="B28966" s="4" t="s">
        <v>36478</v>
      </c>
      <c r="C28966" s="5" t="str">
        <f>IFERROR(__xludf.DUMMYFUNCTION("GOOGLETRANSLATE(B28966,""en"",""es-ES"")"),"Después, un grupo de turistas monta camellos y pasa al frente de las instalaciones del tour.")</f>
        <v>Después, un grupo de turistas monta camellos y pasa al frente de las instalaciones del tour.</v>
      </c>
    </row>
    <row r="28967">
      <c r="A28967" s="4" t="s">
        <v>36479</v>
      </c>
      <c r="B28967" s="4" t="s">
        <v>36480</v>
      </c>
      <c r="C28967" s="5" t="str">
        <f>IFERROR(__xludf.DUMMYFUNCTION("GOOGLETRANSLATE(B28967,""en"",""es-ES"")"),"Una introducción conduce a varios disparos de buzos que se mueven alrededor del océano y pasan varios peces y artículos bajo el agua.")</f>
        <v>Una introducción conduce a varios disparos de buzos que se mueven alrededor del océano y pasan varios peces y artículos bajo el agua.</v>
      </c>
    </row>
    <row r="28968">
      <c r="A28968" s="4" t="s">
        <v>36479</v>
      </c>
      <c r="B28968" s="4" t="s">
        <v>36481</v>
      </c>
      <c r="C28968" s="5" t="str">
        <f>IFERROR(__xludf.DUMMYFUNCTION("GOOGLETRANSLATE(B28968,""en"",""es-ES"")"),"El buzo se presenta por encima del agua que sostiene un tanque y gira mientras la cámara sigue.")</f>
        <v>El buzo se presenta por encima del agua que sostiene un tanque y gira mientras la cámara sigue.</v>
      </c>
    </row>
    <row r="28969">
      <c r="A28969" s="4" t="s">
        <v>36482</v>
      </c>
      <c r="B28969" s="4" t="s">
        <v>36483</v>
      </c>
      <c r="C28969" s="5" t="str">
        <f>IFERROR(__xludf.DUMMYFUNCTION("GOOGLETRANSLATE(B28969,""en"",""es-ES"")"),"Un hombre y una mujer bailan en una pista de baile frente a una multitud de personas.")</f>
        <v>Un hombre y una mujer bailan en una pista de baile frente a una multitud de personas.</v>
      </c>
    </row>
    <row r="28970">
      <c r="A28970" s="4" t="s">
        <v>36482</v>
      </c>
      <c r="B28970" s="4" t="s">
        <v>36484</v>
      </c>
      <c r="C28970" s="5" t="str">
        <f>IFERROR(__xludf.DUMMYFUNCTION("GOOGLETRANSLATE(B28970,""en"",""es-ES"")"),"La multitud aplaude por ellos.")</f>
        <v>La multitud aplaude por ellos.</v>
      </c>
    </row>
    <row r="28971">
      <c r="A28971" s="4" t="s">
        <v>36482</v>
      </c>
      <c r="B28971" s="4" t="s">
        <v>36485</v>
      </c>
      <c r="C28971" s="5" t="str">
        <f>IFERROR(__xludf.DUMMYFUNCTION("GOOGLETRANSLATE(B28971,""en"",""es-ES"")"),"La pareja abraza y se inclina para la multitud.")</f>
        <v>La pareja abraza y se inclina para la multitud.</v>
      </c>
    </row>
    <row r="28972">
      <c r="A28972" s="4" t="s">
        <v>36486</v>
      </c>
      <c r="B28972" s="4" t="s">
        <v>36487</v>
      </c>
      <c r="C28972" s="5" t="str">
        <f>IFERROR(__xludf.DUMMYFUNCTION("GOOGLETRANSLATE(B28972,""en"",""es-ES"")"),"Se ve a una persona sentada en un banco sosteniendo un cubo de Rubix.")</f>
        <v>Se ve a una persona sentada en un banco sosteniendo un cubo de Rubix.</v>
      </c>
    </row>
    <row r="28973">
      <c r="A28973" s="4" t="s">
        <v>36486</v>
      </c>
      <c r="B28973" s="4" t="s">
        <v>36488</v>
      </c>
      <c r="C28973" s="5" t="str">
        <f>IFERROR(__xludf.DUMMYFUNCTION("GOOGLETRANSLATE(B28973,""en"",""es-ES"")"),"La persona luego comienza a mover sus manos alrededor del resuelto del cubo.")</f>
        <v>La persona luego comienza a mover sus manos alrededor del resuelto del cubo.</v>
      </c>
    </row>
    <row r="28974">
      <c r="A28974" s="4" t="s">
        <v>36486</v>
      </c>
      <c r="B28974" s="4" t="s">
        <v>36489</v>
      </c>
      <c r="C28974" s="5" t="str">
        <f>IFERROR(__xludf.DUMMYFUNCTION("GOOGLETRANSLATE(B28974,""en"",""es-ES"")"),"La persona resuelve el cubo y luego apaga la cámara.")</f>
        <v>La persona resuelve el cubo y luego apaga la cámara.</v>
      </c>
    </row>
    <row r="28975">
      <c r="A28975" s="4" t="s">
        <v>36490</v>
      </c>
      <c r="B28975" s="4" t="s">
        <v>36491</v>
      </c>
      <c r="C28975" s="5" t="str">
        <f>IFERROR(__xludf.DUMMYFUNCTION("GOOGLETRANSLATE(B28975,""en"",""es-ES"")"),"Se ve a dos hombres balanceándose los brazos y las piernas mientras un grupo de personas se paran y los mira.")</f>
        <v>Se ve a dos hombres balanceándose los brazos y las piernas mientras un grupo de personas se paran y los mira.</v>
      </c>
    </row>
    <row r="28976">
      <c r="A28976" s="4" t="s">
        <v>36490</v>
      </c>
      <c r="B28976" s="4" t="s">
        <v>36492</v>
      </c>
      <c r="C28976" s="5" t="str">
        <f>IFERROR(__xludf.DUMMYFUNCTION("GOOGLETRANSLATE(B28976,""en"",""es-ES"")"),"Los hombres continúan girando alrededor de la gente de Wile y terminan con ellos estrechándose las manos.")</f>
        <v>Los hombres continúan girando alrededor de la gente de Wile y terminan con ellos estrechándose las manos.</v>
      </c>
    </row>
    <row r="28977">
      <c r="A28977" s="4" t="s">
        <v>36493</v>
      </c>
      <c r="B28977" s="4" t="s">
        <v>36494</v>
      </c>
      <c r="C28977" s="5" t="str">
        <f>IFERROR(__xludf.DUMMYFUNCTION("GOOGLETRANSLATE(B28977,""en"",""es-ES"")"),"Una persona está poniendo algo en una cadena de bicicleta.")</f>
        <v>Una persona está poniendo algo en una cadena de bicicleta.</v>
      </c>
    </row>
    <row r="28978">
      <c r="A28978" s="4" t="s">
        <v>36493</v>
      </c>
      <c r="B28978" s="4" t="s">
        <v>36495</v>
      </c>
      <c r="C28978" s="5" t="str">
        <f>IFERROR(__xludf.DUMMYFUNCTION("GOOGLETRANSLATE(B28978,""en"",""es-ES"")"),"Utilizan una herramienta azul para desarmar la cadena.")</f>
        <v>Utilizan una herramienta azul para desarmar la cadena.</v>
      </c>
    </row>
    <row r="28979">
      <c r="A28979" s="4" t="s">
        <v>36493</v>
      </c>
      <c r="B28979" s="4" t="s">
        <v>36496</v>
      </c>
      <c r="C28979" s="5" t="str">
        <f>IFERROR(__xludf.DUMMYFUNCTION("GOOGLETRANSLATE(B28979,""en"",""es-ES"")"),"Lo volvieron a reunir usando una herramienta.")</f>
        <v>Lo volvieron a reunir usando una herramienta.</v>
      </c>
    </row>
    <row r="28980">
      <c r="A28980" s="4" t="s">
        <v>36497</v>
      </c>
      <c r="B28980" s="4" t="s">
        <v>36498</v>
      </c>
      <c r="C28980" s="5" t="str">
        <f>IFERROR(__xludf.DUMMYFUNCTION("GOOGLETRANSLATE(B28980,""en"",""es-ES"")"),"Un hombre está haciendo una rutina de gimnasia en un rayo de equilibrio.")</f>
        <v>Un hombre está haciendo una rutina de gimnasia en un rayo de equilibrio.</v>
      </c>
    </row>
    <row r="28981">
      <c r="A28981" s="4" t="s">
        <v>36497</v>
      </c>
      <c r="B28981" s="4" t="s">
        <v>36499</v>
      </c>
      <c r="C28981" s="5" t="str">
        <f>IFERROR(__xludf.DUMMYFUNCTION("GOOGLETRANSLATE(B28981,""en"",""es-ES"")"),"Salta de la viga sobre una estera.")</f>
        <v>Salta de la viga sobre una estera.</v>
      </c>
    </row>
    <row r="28982">
      <c r="A28982" s="4" t="s">
        <v>36497</v>
      </c>
      <c r="B28982" s="4" t="s">
        <v>36500</v>
      </c>
      <c r="C28982" s="5" t="str">
        <f>IFERROR(__xludf.DUMMYFUNCTION("GOOGLETRANSLATE(B28982,""en"",""es-ES"")"),"Otro hombre salta a un rayo de equilibrio y hace una rutina.")</f>
        <v>Otro hombre salta a un rayo de equilibrio y hace una rutina.</v>
      </c>
    </row>
    <row r="28983">
      <c r="A28983" s="4" t="s">
        <v>36501</v>
      </c>
      <c r="B28983" s="4" t="s">
        <v>36502</v>
      </c>
      <c r="C28983" s="5" t="str">
        <f>IFERROR(__xludf.DUMMYFUNCTION("GOOGLETRANSLATE(B28983,""en"",""es-ES"")"),"Varios hombres vestidos para el frío esperan en una habitación fuera de la nieve.")</f>
        <v>Varios hombres vestidos para el frío esperan en una habitación fuera de la nieve.</v>
      </c>
    </row>
    <row r="28984">
      <c r="A28984" s="4" t="s">
        <v>36501</v>
      </c>
      <c r="B28984" s="4" t="s">
        <v>36503</v>
      </c>
      <c r="C28984" s="5" t="str">
        <f>IFERROR(__xludf.DUMMYFUNCTION("GOOGLETRANSLATE(B28984,""en"",""es-ES"")"),"Salen afuera, preparados para esquiar.")</f>
        <v>Salen afuera, preparados para esquiar.</v>
      </c>
    </row>
    <row r="28985">
      <c r="A28985" s="4" t="s">
        <v>36501</v>
      </c>
      <c r="B28985" s="4" t="s">
        <v>36504</v>
      </c>
      <c r="C28985" s="5" t="str">
        <f>IFERROR(__xludf.DUMMYFUNCTION("GOOGLETRANSLATE(B28985,""en"",""es-ES"")"),"Comienzan a esquiar, bajando por una colina empinada, moviéndose de lado a lado y inclinando a través de los árboles cubiertos de nieve.")</f>
        <v>Comienzan a esquiar, bajando por una colina empinada, moviéndose de lado a lado y inclinando a través de los árboles cubiertos de nieve.</v>
      </c>
    </row>
    <row r="28986">
      <c r="A28986" s="4" t="s">
        <v>36505</v>
      </c>
      <c r="B28986" s="4" t="s">
        <v>36506</v>
      </c>
      <c r="C28986" s="5" t="str">
        <f>IFERROR(__xludf.DUMMYFUNCTION("GOOGLETRANSLATE(B28986,""en"",""es-ES"")"),"Un grupo de personas está en una cancha al aire libre en la playa.")</f>
        <v>Un grupo de personas está en una cancha al aire libre en la playa.</v>
      </c>
    </row>
    <row r="28987">
      <c r="A28987" s="4" t="s">
        <v>36505</v>
      </c>
      <c r="B28987" s="4" t="s">
        <v>36507</v>
      </c>
      <c r="C28987" s="5" t="str">
        <f>IFERROR(__xludf.DUMMYFUNCTION("GOOGLETRANSLATE(B28987,""en"",""es-ES"")"),"Están jugando un juego de voleibol.")</f>
        <v>Están jugando un juego de voleibol.</v>
      </c>
    </row>
    <row r="28988">
      <c r="A28988" s="4" t="s">
        <v>36505</v>
      </c>
      <c r="B28988" s="4" t="s">
        <v>36508</v>
      </c>
      <c r="C28988" s="5" t="str">
        <f>IFERROR(__xludf.DUMMYFUNCTION("GOOGLETRANSLATE(B28988,""en"",""es-ES"")"),"Patan y golpearon la pelota de un lado a otro, celebrando cuando ganan cuando la multitud aplaude y aplaude.")</f>
        <v>Patan y golpearon la pelota de un lado a otro, celebrando cuando ganan cuando la multitud aplaude y aplaude.</v>
      </c>
    </row>
    <row r="28989">
      <c r="A28989" s="4" t="s">
        <v>36509</v>
      </c>
      <c r="B28989" s="4" t="s">
        <v>36510</v>
      </c>
      <c r="C28989" s="5" t="str">
        <f>IFERROR(__xludf.DUMMYFUNCTION("GOOGLETRANSLATE(B28989,""en"",""es-ES"")"),"Una niña está en un columpio junto a su hermanito.")</f>
        <v>Una niña está en un columpio junto a su hermanito.</v>
      </c>
    </row>
    <row r="28990">
      <c r="A28990" s="4" t="s">
        <v>36509</v>
      </c>
      <c r="B28990" s="4" t="s">
        <v>36511</v>
      </c>
      <c r="C28990" s="5" t="str">
        <f>IFERROR(__xludf.DUMMYFUNCTION("GOOGLETRANSLATE(B28990,""en"",""es-ES"")"),"Están siendo empujados mientras se balancean de un lado a otro.")</f>
        <v>Están siendo empujados mientras se balancean de un lado a otro.</v>
      </c>
    </row>
    <row r="28991">
      <c r="A28991" s="4" t="s">
        <v>36512</v>
      </c>
      <c r="B28991" s="4" t="s">
        <v>36513</v>
      </c>
      <c r="C28991" s="5" t="str">
        <f>IFERROR(__xludf.DUMMYFUNCTION("GOOGLETRANSLATE(B28991,""en"",""es-ES"")"),"La gente camina alrededor de los autos y las carpas y se sienta en sillas en el fondo haciendo cosas diferentes.")</f>
        <v>La gente camina alrededor de los autos y las carpas y se sienta en sillas en el fondo haciendo cosas diferentes.</v>
      </c>
    </row>
    <row r="28992">
      <c r="A28992" s="4" t="s">
        <v>36512</v>
      </c>
      <c r="B28992" s="4" t="s">
        <v>36514</v>
      </c>
      <c r="C28992" s="5" t="str">
        <f>IFERROR(__xludf.DUMMYFUNCTION("GOOGLETRANSLATE(B28992,""en"",""es-ES"")"),"Un hombre y un perro están en medio de un campo preparándose para jugar Frisbee.")</f>
        <v>Un hombre y un perro están en medio de un campo preparándose para jugar Frisbee.</v>
      </c>
    </row>
    <row r="28993">
      <c r="A28993" s="4" t="s">
        <v>36512</v>
      </c>
      <c r="B28993" s="4" t="s">
        <v>36515</v>
      </c>
      <c r="C28993" s="5" t="str">
        <f>IFERROR(__xludf.DUMMYFUNCTION("GOOGLETRANSLATE(B28993,""en"",""es-ES"")"),"El hombre arroja un frisbee y el perro corre, lo atrapa y lo trae de vuelta.")</f>
        <v>El hombre arroja un frisbee y el perro corre, lo atrapa y lo trae de vuelta.</v>
      </c>
    </row>
    <row r="28994">
      <c r="A28994" s="4" t="s">
        <v>36512</v>
      </c>
      <c r="B28994" s="4" t="s">
        <v>36516</v>
      </c>
      <c r="C28994" s="5" t="str">
        <f>IFERROR(__xludf.DUMMYFUNCTION("GOOGLETRANSLATE(B28994,""en"",""es-ES"")"),"El perro está muy emocionado preparándose para su próximo truco.")</f>
        <v>El perro está muy emocionado preparándose para su próximo truco.</v>
      </c>
    </row>
    <row r="28995">
      <c r="A28995" s="4" t="s">
        <v>36512</v>
      </c>
      <c r="B28995" s="4" t="s">
        <v>36517</v>
      </c>
      <c r="C28995" s="5" t="str">
        <f>IFERROR(__xludf.DUMMYFUNCTION("GOOGLETRANSLATE(B28995,""en"",""es-ES"")"),"El hombre se arrodilla y arroja frisbees para el perro mientras rueda, voltea y camina.")</f>
        <v>El hombre se arrodilla y arroja frisbees para el perro mientras rueda, voltea y camina.</v>
      </c>
    </row>
    <row r="28996">
      <c r="A28996" s="4" t="s">
        <v>36512</v>
      </c>
      <c r="B28996" s="4" t="s">
        <v>36518</v>
      </c>
      <c r="C28996" s="5" t="str">
        <f>IFERROR(__xludf.DUMMYFUNCTION("GOOGLETRANSLATE(B28996,""en"",""es-ES"")"),"Un segundo hombre se une al primer hombre en el campo y ambos levantan un brazo y luego se giran para alejarse.")</f>
        <v>Un segundo hombre se une al primer hombre en el campo y ambos levantan un brazo y luego se giran para alejarse.</v>
      </c>
    </row>
    <row r="28997">
      <c r="A28997" s="4" t="s">
        <v>36519</v>
      </c>
      <c r="B28997" s="4" t="s">
        <v>36520</v>
      </c>
      <c r="C28997" s="5" t="str">
        <f>IFERROR(__xludf.DUMMYFUNCTION("GOOGLETRANSLATE(B28997,""en"",""es-ES"")"),"Se ve a una mujer corriendo y cuarto en una pequeña pista y la lleva a poner un casco.")</f>
        <v>Se ve a una mujer corriendo y cuarto en una pequeña pista y la lleva a poner un casco.</v>
      </c>
    </row>
    <row r="28998">
      <c r="A28998" s="4" t="s">
        <v>36519</v>
      </c>
      <c r="B28998" s="4" t="s">
        <v>36521</v>
      </c>
      <c r="C28998" s="5" t="str">
        <f>IFERROR(__xludf.DUMMYFUNCTION("GOOGLETRANSLATE(B28998,""en"",""es-ES"")"),"Ella agarra un poste y corre por la pista saltando sobre una barra y sobre una colchoneta.")</f>
        <v>Ella agarra un poste y corre por la pista saltando sobre una barra y sobre una colchoneta.</v>
      </c>
    </row>
    <row r="28999">
      <c r="A28999" s="4" t="s">
        <v>36519</v>
      </c>
      <c r="B28999" s="4" t="s">
        <v>36522</v>
      </c>
      <c r="C28999" s="5" t="str">
        <f>IFERROR(__xludf.DUMMYFUNCTION("GOOGLETRANSLATE(B28999,""en"",""es-ES"")"),"Ella salta y camina hacia un grupo de personas que mantienen su puntaje.")</f>
        <v>Ella salta y camina hacia un grupo de personas que mantienen su puntaje.</v>
      </c>
    </row>
    <row r="29000">
      <c r="A29000" s="4" t="s">
        <v>36523</v>
      </c>
      <c r="B29000" s="4" t="s">
        <v>36524</v>
      </c>
      <c r="C29000" s="5" t="str">
        <f>IFERROR(__xludf.DUMMYFUNCTION("GOOGLETRANSLATE(B29000,""en"",""es-ES"")"),"Los niños conducen autos de parachoques en un parque de diversiones.")</f>
        <v>Los niños conducen autos de parachoques en un parque de diversiones.</v>
      </c>
    </row>
    <row r="29001">
      <c r="A29001" s="4" t="s">
        <v>36523</v>
      </c>
      <c r="B29001" s="4" t="s">
        <v>36525</v>
      </c>
      <c r="C29001" s="5" t="str">
        <f>IFERROR(__xludf.DUMMYFUNCTION("GOOGLETRANSLATE(B29001,""en"",""es-ES"")"),"Los padres están sentados en autos de parachoques con sus hijos.")</f>
        <v>Los padres están sentados en autos de parachoques con sus hijos.</v>
      </c>
    </row>
    <row r="29002">
      <c r="A29002" s="4" t="s">
        <v>36523</v>
      </c>
      <c r="B29002" s="4" t="s">
        <v>36526</v>
      </c>
      <c r="C29002" s="5" t="str">
        <f>IFERROR(__xludf.DUMMYFUNCTION("GOOGLETRANSLATE(B29002,""en"",""es-ES"")"),"El hombre que lleva un chaleco amarillo está sentado en el fondo.")</f>
        <v>El hombre que lleva un chaleco amarillo está sentado en el fondo.</v>
      </c>
    </row>
    <row r="29003">
      <c r="A29003" s="4" t="s">
        <v>36527</v>
      </c>
      <c r="B29003" s="4" t="s">
        <v>36528</v>
      </c>
      <c r="C29003" s="5" t="str">
        <f>IFERROR(__xludf.DUMMYFUNCTION("GOOGLETRANSLATE(B29003,""en"",""es-ES"")"),"Se ve a un gran grupo de personas usando escucha protectora y deambulando por un área hablando entre sí.")</f>
        <v>Se ve a un gran grupo de personas usando escucha protectora y deambulando por un área hablando entre sí.</v>
      </c>
    </row>
    <row r="29004">
      <c r="A29004" s="4" t="s">
        <v>36527</v>
      </c>
      <c r="B29004" s="4" t="s">
        <v>36529</v>
      </c>
      <c r="C29004" s="5" t="str">
        <f>IFERROR(__xludf.DUMMYFUNCTION("GOOGLETRANSLATE(B29004,""en"",""es-ES"")"),"Otra persona corre y habla con los demás mientras sostiene un arma y otras apuntando a los lados.")</f>
        <v>Otra persona corre y habla con los demás mientras sostiene un arma y otras apuntando a los lados.</v>
      </c>
    </row>
    <row r="29005">
      <c r="A29005" s="4" t="s">
        <v>36527</v>
      </c>
      <c r="B29005" s="4" t="s">
        <v>36530</v>
      </c>
      <c r="C29005" s="5" t="str">
        <f>IFERROR(__xludf.DUMMYFUNCTION("GOOGLETRANSLATE(B29005,""en"",""es-ES"")"),"Una mujer toma una jirafa de juguete mientras que otros reaccionan y otros miran a lo lejos.")</f>
        <v>Una mujer toma una jirafa de juguete mientras que otros reaccionan y otros miran a lo lejos.</v>
      </c>
    </row>
    <row r="29006">
      <c r="A29006" s="4" t="s">
        <v>36531</v>
      </c>
      <c r="B29006" s="4" t="s">
        <v>36532</v>
      </c>
      <c r="C29006" s="5" t="str">
        <f>IFERROR(__xludf.DUMMYFUNCTION("GOOGLETRANSLATE(B29006,""en"",""es-ES"")"),"Un hombre habla sobre cómo funcionan las cosas mientras una mujer trabaja en un caballo.")</f>
        <v>Un hombre habla sobre cómo funcionan las cosas mientras una mujer trabaja en un caballo.</v>
      </c>
    </row>
    <row r="29007">
      <c r="A29007" s="4" t="s">
        <v>36531</v>
      </c>
      <c r="B29007" s="4" t="s">
        <v>36533</v>
      </c>
      <c r="C29007" s="5" t="str">
        <f>IFERROR(__xludf.DUMMYFUNCTION("GOOGLETRANSLATE(B29007,""en"",""es-ES"")"),"Mientras habla, se lava las manos con un desinfectante para manos.")</f>
        <v>Mientras habla, se lava las manos con un desinfectante para manos.</v>
      </c>
    </row>
    <row r="29008">
      <c r="A29008" s="4" t="s">
        <v>36531</v>
      </c>
      <c r="B29008" s="4" t="s">
        <v>36534</v>
      </c>
      <c r="C29008" s="5" t="str">
        <f>IFERROR(__xludf.DUMMYFUNCTION("GOOGLETRANSLATE(B29008,""en"",""es-ES"")"),"Luego obtiene jabón y comienza a lavarse las manos de manera muy grande.")</f>
        <v>Luego obtiene jabón y comienza a lavarse las manos de manera muy grande.</v>
      </c>
    </row>
    <row r="29009">
      <c r="A29009" s="4" t="s">
        <v>36531</v>
      </c>
      <c r="B29009" s="4" t="s">
        <v>36535</v>
      </c>
      <c r="C29009" s="5" t="str">
        <f>IFERROR(__xludf.DUMMYFUNCTION("GOOGLETRANSLATE(B29009,""en"",""es-ES"")"),"Agarra una servilleta y se seca las manos aún continuando hablando.")</f>
        <v>Agarra una servilleta y se seca las manos aún continuando hablando.</v>
      </c>
    </row>
    <row r="29010">
      <c r="A29010" s="4" t="s">
        <v>36536</v>
      </c>
      <c r="B29010" s="4" t="s">
        <v>36537</v>
      </c>
      <c r="C29010" s="5" t="str">
        <f>IFERROR(__xludf.DUMMYFUNCTION("GOOGLETRANSLATE(B29010,""en"",""es-ES"")"),"Se ve a una persona sosteniendo el cabello largo de una mujer y un cepillo en sus manos.")</f>
        <v>Se ve a una persona sosteniendo el cabello largo de una mujer y un cepillo en sus manos.</v>
      </c>
    </row>
    <row r="29011">
      <c r="A29011" s="4" t="s">
        <v>36536</v>
      </c>
      <c r="B29011" s="4" t="s">
        <v>36538</v>
      </c>
      <c r="C29011" s="5" t="str">
        <f>IFERROR(__xludf.DUMMYFUNCTION("GOOGLETRANSLATE(B29011,""en"",""es-ES"")"),"El hombre continúa jugando con el cabello y lo lleva a cepillarse el cabello y trenzarlo.")</f>
        <v>El hombre continúa jugando con el cabello y lo lleva a cepillarse el cabello y trenzarlo.</v>
      </c>
    </row>
    <row r="29012">
      <c r="A29012" s="4" t="s">
        <v>36539</v>
      </c>
      <c r="B29012" s="4" t="s">
        <v>36540</v>
      </c>
      <c r="C29012" s="5" t="str">
        <f>IFERROR(__xludf.DUMMYFUNCTION("GOOGLETRANSLATE(B29012,""en"",""es-ES"")"),"Se ven dos personas sentadas en una mesa hablando con tazas de cafés en la mesa frente a ellos.")</f>
        <v>Se ven dos personas sentadas en una mesa hablando con tazas de cafés en la mesa frente a ellos.</v>
      </c>
    </row>
    <row r="29013">
      <c r="A29013" s="4" t="s">
        <v>36539</v>
      </c>
      <c r="B29013" s="4" t="s">
        <v>36541</v>
      </c>
      <c r="C29013" s="5" t="str">
        <f>IFERROR(__xludf.DUMMYFUNCTION("GOOGLETRANSLATE(B29013,""en"",""es-ES"")"),"Luego se ve al hombre sentado solo en varios lugares y luego comienza a bailar en una pared.")</f>
        <v>Luego se ve al hombre sentado solo en varios lugares y luego comienza a bailar en una pared.</v>
      </c>
    </row>
    <row r="29014">
      <c r="A29014" s="4" t="s">
        <v>36539</v>
      </c>
      <c r="B29014" s="4" t="s">
        <v>36542</v>
      </c>
      <c r="C29014" s="5" t="str">
        <f>IFERROR(__xludf.DUMMYFUNCTION("GOOGLETRANSLATE(B29014,""en"",""es-ES"")"),"Luego se le muestra despertando en su cama suponiendo que todo fuera un sueño.")</f>
        <v>Luego se le muestra despertando en su cama suponiendo que todo fuera un sueño.</v>
      </c>
    </row>
    <row r="29015">
      <c r="A29015" s="4" t="s">
        <v>36543</v>
      </c>
      <c r="B29015" s="4" t="s">
        <v>36544</v>
      </c>
      <c r="C29015" s="5" t="str">
        <f>IFERROR(__xludf.DUMMYFUNCTION("GOOGLETRANSLATE(B29015,""en"",""es-ES"")"),"Un niño sentado en una litera.")</f>
        <v>Un niño sentado en una litera.</v>
      </c>
    </row>
    <row r="29016">
      <c r="A29016" s="4" t="s">
        <v>36543</v>
      </c>
      <c r="B29016" s="4" t="s">
        <v>36545</v>
      </c>
      <c r="C29016" s="5" t="str">
        <f>IFERROR(__xludf.DUMMYFUNCTION("GOOGLETRANSLATE(B29016,""en"",""es-ES"")"),"Otro niño se acerca mientras envuelve sus piernas alrededor de su cuello.")</f>
        <v>Otro niño se acerca mientras envuelve sus piernas alrededor de su cuello.</v>
      </c>
    </row>
    <row r="29017">
      <c r="A29017" s="4" t="s">
        <v>36543</v>
      </c>
      <c r="B29017" s="4" t="s">
        <v>36546</v>
      </c>
      <c r="C29017" s="5" t="str">
        <f>IFERROR(__xludf.DUMMYFUNCTION("GOOGLETRANSLATE(B29017,""en"",""es-ES"")"),"El segundo niño lo gira y lo golpea al suelo.")</f>
        <v>El segundo niño lo gira y lo golpea al suelo.</v>
      </c>
    </row>
    <row r="29018">
      <c r="A29018" s="4" t="s">
        <v>36547</v>
      </c>
      <c r="B29018" s="4" t="s">
        <v>36548</v>
      </c>
      <c r="C29018" s="5" t="str">
        <f>IFERROR(__xludf.DUMMYFUNCTION("GOOGLETRANSLATE(B29018,""en"",""es-ES"")"),"Hay 4 personas que juegan bádminton y el niño con la camisa blanca es la primera en servir al hombre con la camisa negra.")</f>
        <v>Hay 4 personas que juegan bádminton y el niño con la camisa blanca es la primera en servir al hombre con la camisa negra.</v>
      </c>
    </row>
    <row r="29019">
      <c r="A29019" s="4" t="s">
        <v>36547</v>
      </c>
      <c r="B29019" s="4" t="s">
        <v>36549</v>
      </c>
      <c r="C29019" s="5" t="str">
        <f>IFERROR(__xludf.DUMMYFUNCTION("GOOGLETRANSLATE(B29019,""en"",""es-ES"")"),"Entonces el hombre que usa la camisa negra sirve al niño cuyo uso de la camisa dorada.")</f>
        <v>Entonces el hombre que usa la camisa negra sirve al niño cuyo uso de la camisa dorada.</v>
      </c>
    </row>
    <row r="29020">
      <c r="A29020" s="4" t="s">
        <v>36547</v>
      </c>
      <c r="B29020" s="4" t="s">
        <v>36550</v>
      </c>
      <c r="C29020" s="5" t="str">
        <f>IFERROR(__xludf.DUMMYFUNCTION("GOOGLETRANSLATE(B29020,""en"",""es-ES"")"),"Luego, el niño que lleva la camisa blanca golpea el Shuttlecock y sirve a la niña que lleva la camisa rosa y el juego continúa y todos siguen serviéndose entre sí y todos usan diferentes shuttlecocks.")</f>
        <v>Luego, el niño que lleva la camisa blanca golpea el Shuttlecock y sirve a la niña que lleva la camisa rosa y el juego continúa y todos siguen serviéndose entre sí y todos usan diferentes shuttlecocks.</v>
      </c>
    </row>
    <row r="29021">
      <c r="A29021" s="4" t="s">
        <v>36551</v>
      </c>
      <c r="B29021" s="4" t="s">
        <v>36552</v>
      </c>
      <c r="C29021" s="5" t="str">
        <f>IFERROR(__xludf.DUMMYFUNCTION("GOOGLETRANSLATE(B29021,""en"",""es-ES"")"),"Un niño está sentado en una mesa jugando con un cubo de Rubik y luego lo coloca sobre la mesa.")</f>
        <v>Un niño está sentado en una mesa jugando con un cubo de Rubik y luego lo coloca sobre la mesa.</v>
      </c>
    </row>
    <row r="29022">
      <c r="A29022" s="4" t="s">
        <v>36551</v>
      </c>
      <c r="B29022" s="4" t="s">
        <v>36553</v>
      </c>
      <c r="C29022" s="5" t="str">
        <f>IFERROR(__xludf.DUMMYFUNCTION("GOOGLETRANSLATE(B29022,""en"",""es-ES"")"),"El niño lo recoge y comienza a competir con otros cuatro hombres para resolverlo.")</f>
        <v>El niño lo recoge y comienza a competir con otros cuatro hombres para resolverlo.</v>
      </c>
    </row>
    <row r="29023">
      <c r="A29023" s="4" t="s">
        <v>36551</v>
      </c>
      <c r="B29023" s="4" t="s">
        <v>36554</v>
      </c>
      <c r="C29023" s="5" t="str">
        <f>IFERROR(__xludf.DUMMYFUNCTION("GOOGLETRANSLATE(B29023,""en"",""es-ES"")"),"Una vez resuelto, el niño golpea los brazos contra un bar negro que detiene el temporizador y el juez lo mueve a los 20 segundos.")</f>
        <v>Una vez resuelto, el niño golpea los brazos contra un bar negro que detiene el temporizador y el juez lo mueve a los 20 segundos.</v>
      </c>
    </row>
    <row r="29024">
      <c r="A29024" s="4" t="s">
        <v>36555</v>
      </c>
      <c r="B29024" s="4" t="s">
        <v>36556</v>
      </c>
      <c r="C29024" s="5" t="str">
        <f>IFERROR(__xludf.DUMMYFUNCTION("GOOGLETRANSLATE(B29024,""en"",""es-ES"")"),"Un grupo de asistentes a la playa juega un juego de voleos en una playa ocupada con trajes de baño.")</f>
        <v>Un grupo de asistentes a la playa juega un juego de voleos en una playa ocupada con trajes de baño.</v>
      </c>
    </row>
    <row r="29025">
      <c r="A29025" s="4" t="s">
        <v>36555</v>
      </c>
      <c r="B29025" s="4" t="s">
        <v>36557</v>
      </c>
      <c r="C29025" s="5" t="str">
        <f>IFERROR(__xludf.DUMMYFUNCTION("GOOGLETRANSLATE(B29025,""en"",""es-ES"")"),"Una mujer baila después de hacer un servicio y abraza a su amiga.")</f>
        <v>Una mujer baila después de hacer un servicio y abraza a su amiga.</v>
      </c>
    </row>
    <row r="29026">
      <c r="A29026" s="4" t="s">
        <v>36555</v>
      </c>
      <c r="B29026" s="4" t="s">
        <v>36558</v>
      </c>
      <c r="C29026" s="5" t="str">
        <f>IFERROR(__xludf.DUMMYFUNCTION("GOOGLETRANSLATE(B29026,""en"",""es-ES"")"),"Un jugador anota un punto y le da a su compañero de equipo un máximo.")</f>
        <v>Un jugador anota un punto y le da a su compañero de equipo un máximo.</v>
      </c>
    </row>
    <row r="29027">
      <c r="A29027" s="4" t="s">
        <v>36555</v>
      </c>
      <c r="B29027" s="4" t="s">
        <v>36559</v>
      </c>
      <c r="C29027" s="5" t="str">
        <f>IFERROR(__xludf.DUMMYFUNCTION("GOOGLETRANSLATE(B29027,""en"",""es-ES"")"),"Los asistentes a la playa se ven jugando en el agua.")</f>
        <v>Los asistentes a la playa se ven jugando en el agua.</v>
      </c>
    </row>
    <row r="29028">
      <c r="A29028" s="4" t="s">
        <v>36560</v>
      </c>
      <c r="B29028" s="4" t="s">
        <v>36561</v>
      </c>
      <c r="C29028" s="5" t="str">
        <f>IFERROR(__xludf.DUMMYFUNCTION("GOOGLETRANSLATE(B29028,""en"",""es-ES"")"),"Se muestra un primer plano de una gran inmersión seguida por personas que suben los escalones.")</f>
        <v>Se muestra un primer plano de una gran inmersión seguida por personas que suben los escalones.</v>
      </c>
    </row>
    <row r="29029">
      <c r="A29029" s="4" t="s">
        <v>36560</v>
      </c>
      <c r="B29029" s="4" t="s">
        <v>36562</v>
      </c>
      <c r="C29029" s="5" t="str">
        <f>IFERROR(__xludf.DUMMYFUNCTION("GOOGLETRANSLATE(B29029,""en"",""es-ES"")"),"De repente se ve a una persona saltando de la alta inmersión y hacia la piscina.")</f>
        <v>De repente se ve a una persona saltando de la alta inmersión y hacia la piscina.</v>
      </c>
    </row>
    <row r="29030">
      <c r="A29030" s="4" t="s">
        <v>36563</v>
      </c>
      <c r="B29030" s="4" t="s">
        <v>36564</v>
      </c>
      <c r="C29030" s="5" t="str">
        <f>IFERROR(__xludf.DUMMYFUNCTION("GOOGLETRANSLATE(B29030,""en"",""es-ES"")"),"Un primer plano de ingredientes se muestra seguido por un hombre lamiendo la cuchara y mezcla de ingredientes en una olla.")</f>
        <v>Un primer plano de ingredientes se muestra seguido por un hombre lamiendo la cuchara y mezcla de ingredientes en una olla.</v>
      </c>
    </row>
    <row r="29031">
      <c r="A29031" s="4" t="s">
        <v>36563</v>
      </c>
      <c r="B29031" s="4" t="s">
        <v>36565</v>
      </c>
      <c r="C29031" s="5" t="str">
        <f>IFERROR(__xludf.DUMMYFUNCTION("GOOGLETRANSLATE(B29031,""en"",""es-ES"")"),"Mezcla más ingredientes en una licuadora y los aplica a todos en bolas para poner en el horno.")</f>
        <v>Mezcla más ingredientes en una licuadora y los aplica a todos en bolas para poner en el horno.</v>
      </c>
    </row>
    <row r="29032">
      <c r="A29032" s="4" t="s">
        <v>36563</v>
      </c>
      <c r="B29032" s="4" t="s">
        <v>36566</v>
      </c>
      <c r="C29032" s="5" t="str">
        <f>IFERROR(__xludf.DUMMYFUNCTION("GOOGLETRANSLATE(B29032,""en"",""es-ES"")"),"Los saca y termina decorándolos.")</f>
        <v>Los saca y termina decorándolos.</v>
      </c>
    </row>
    <row r="29033">
      <c r="A29033" s="4" t="s">
        <v>36567</v>
      </c>
      <c r="B29033" s="4" t="s">
        <v>36568</v>
      </c>
      <c r="C29033" s="5" t="str">
        <f>IFERROR(__xludf.DUMMYFUNCTION("GOOGLETRANSLATE(B29033,""en"",""es-ES"")"),"Una introducción conduce a un primer plano de una pintura y un pincel girando alrededor y alrededor.")</f>
        <v>Una introducción conduce a un primer plano de una pintura y un pincel girando alrededor y alrededor.</v>
      </c>
    </row>
    <row r="29034">
      <c r="A29034" s="4" t="s">
        <v>36567</v>
      </c>
      <c r="B29034" s="4" t="s">
        <v>36569</v>
      </c>
      <c r="C29034" s="5" t="str">
        <f>IFERROR(__xludf.DUMMYFUNCTION("GOOGLETRANSLATE(B29034,""en"",""es-ES"")"),"La mano que sostiene el cepillo comienza a pintar hierba en la pintura lentamente en la imagen.")</f>
        <v>La mano que sostiene el cepillo comienza a pintar hierba en la pintura lentamente en la imagen.</v>
      </c>
    </row>
    <row r="29035">
      <c r="A29035" s="4" t="s">
        <v>36570</v>
      </c>
      <c r="B29035" s="4" t="s">
        <v>36571</v>
      </c>
      <c r="C29035" s="5" t="str">
        <f>IFERROR(__xludf.DUMMYFUNCTION("GOOGLETRANSLATE(B29035,""en"",""es-ES"")"),"Dos hombres están de pie en una habitación jugando un juego de tenis.")</f>
        <v>Dos hombres están de pie en una habitación jugando un juego de tenis.</v>
      </c>
    </row>
    <row r="29036">
      <c r="A29036" s="4" t="s">
        <v>36570</v>
      </c>
      <c r="B29036" s="4" t="s">
        <v>36572</v>
      </c>
      <c r="C29036" s="5" t="str">
        <f>IFERROR(__xludf.DUMMYFUNCTION("GOOGLETRANSLATE(B29036,""en"",""es-ES"")"),"Detrás del hombre, hay una hilera de niños sentados contra la pared donde una hilera de niños los está viendo jugar.")</f>
        <v>Detrás del hombre, hay una hilera de niños sentados contra la pared donde una hilera de niños los está viendo jugar.</v>
      </c>
    </row>
    <row r="29037">
      <c r="A29037" s="4" t="s">
        <v>36570</v>
      </c>
      <c r="B29037" s="4" t="s">
        <v>36573</v>
      </c>
      <c r="C29037" s="5" t="str">
        <f>IFERROR(__xludf.DUMMYFUNCTION("GOOGLETRANSLATE(B29037,""en"",""es-ES"")"),"El juego continúa, el niño se mantiene el suyo hasta que el adulto termina golpeándolo y el niño no puede devolver el balón.")</f>
        <v>El juego continúa, el niño se mantiene el suyo hasta que el adulto termina golpeándolo y el niño no puede devolver el balón.</v>
      </c>
    </row>
    <row r="29038">
      <c r="A29038" s="4" t="s">
        <v>36574</v>
      </c>
      <c r="B29038" s="4" t="s">
        <v>36575</v>
      </c>
      <c r="C29038" s="5" t="str">
        <f>IFERROR(__xludf.DUMMYFUNCTION("GOOGLETRANSLATE(B29038,""en"",""es-ES"")"),"Hay dos presentadores de noticias, una dama y un caballero vestidos de negro presentando una sección de noticias.")</f>
        <v>Hay dos presentadores de noticias, una dama y un caballero vestidos de negro presentando una sección de noticias.</v>
      </c>
    </row>
    <row r="29039">
      <c r="A29039" s="4" t="s">
        <v>36574</v>
      </c>
      <c r="B29039" s="4" t="s">
        <v>36576</v>
      </c>
      <c r="C29039" s="5" t="str">
        <f>IFERROR(__xludf.DUMMYFUNCTION("GOOGLETRANSLATE(B29039,""en"",""es-ES"")"),"La señora sostiene dos pequeñas cartas en sus manos mientras habla sobre el producto para los espectadores.")</f>
        <v>La señora sostiene dos pequeñas cartas en sus manos mientras habla sobre el producto para los espectadores.</v>
      </c>
    </row>
    <row r="29040">
      <c r="A29040" s="4" t="s">
        <v>36574</v>
      </c>
      <c r="B29040" s="4" t="s">
        <v>36577</v>
      </c>
      <c r="C29040" s="5" t="str">
        <f>IFERROR(__xludf.DUMMYFUNCTION("GOOGLETRANSLATE(B29040,""en"",""es-ES"")"),"Hay otra señora sentada en una mesa junto con otras dos mujeres, demostrando cómo usar lentes de colores en los ojos.")</f>
        <v>Hay otra señora sentada en una mesa junto con otras dos mujeres, demostrando cómo usar lentes de colores en los ojos.</v>
      </c>
    </row>
    <row r="29041">
      <c r="A29041" s="4" t="s">
        <v>36574</v>
      </c>
      <c r="B29041" s="4" t="s">
        <v>36578</v>
      </c>
      <c r="C29041" s="5" t="str">
        <f>IFERROR(__xludf.DUMMYFUNCTION("GOOGLETRANSLATE(B29041,""en"",""es-ES"")"),"Están hablando y discutiendo sobre las lentes y cómo funciona.")</f>
        <v>Están hablando y discutiendo sobre las lentes y cómo funciona.</v>
      </c>
    </row>
    <row r="29042">
      <c r="A29042" s="4" t="s">
        <v>36574</v>
      </c>
      <c r="B29042" s="4" t="s">
        <v>36579</v>
      </c>
      <c r="C29042" s="5" t="str">
        <f>IFERROR(__xludf.DUMMYFUNCTION("GOOGLETRANSLATE(B29042,""en"",""es-ES"")"),"Se muestra un comercial donde varias personas usan las mismas lentes para mostrar cómo se puede usar.")</f>
        <v>Se muestra un comercial donde varias personas usan las mismas lentes para mostrar cómo se puede usar.</v>
      </c>
    </row>
    <row r="29043">
      <c r="A29043" s="4" t="s">
        <v>36574</v>
      </c>
      <c r="B29043" s="4" t="s">
        <v>36580</v>
      </c>
      <c r="C29043" s="5" t="str">
        <f>IFERROR(__xludf.DUMMYFUNCTION("GOOGLETRANSLATE(B29043,""en"",""es-ES"")"),"Un médico en una bata de laboratorio también habla sobre las lentes, mientras que las personas muestran cómo usarlas.")</f>
        <v>Un médico en una bata de laboratorio también habla sobre las lentes, mientras que las personas muestran cómo usarlas.</v>
      </c>
    </row>
    <row r="29044">
      <c r="A29044" s="4" t="s">
        <v>36574</v>
      </c>
      <c r="B29044" s="4" t="s">
        <v>36581</v>
      </c>
      <c r="C29044" s="5" t="str">
        <f>IFERROR(__xludf.DUMMYFUNCTION("GOOGLETRANSLATE(B29044,""en"",""es-ES"")"),"Otro presentador de noticias también habla sobre las mismas lentes y cómo se ha convertido en una tendencia peligrosa entre los adolescentes.")</f>
        <v>Otro presentador de noticias también habla sobre las mismas lentes y cómo se ha convertido en una tendencia peligrosa entre los adolescentes.</v>
      </c>
    </row>
    <row r="29045">
      <c r="A29045" s="4" t="s">
        <v>36574</v>
      </c>
      <c r="B29045" s="4" t="s">
        <v>36582</v>
      </c>
      <c r="C29045" s="5" t="str">
        <f>IFERROR(__xludf.DUMMYFUNCTION("GOOGLETRANSLATE(B29045,""en"",""es-ES"")"),"El presentador de Lady News regresa con el presentador de noticias masculinas para continuar el programa.")</f>
        <v>El presentador de Lady News regresa con el presentador de noticias masculinas para continuar el programa.</v>
      </c>
    </row>
    <row r="29046">
      <c r="A29046" s="4" t="s">
        <v>36583</v>
      </c>
      <c r="B29046" s="4" t="s">
        <v>36584</v>
      </c>
      <c r="C29046" s="5" t="str">
        <f>IFERROR(__xludf.DUMMYFUNCTION("GOOGLETRANSLATE(B29046,""en"",""es-ES"")"),"Varios jugadores se muestran en una pista de hielo.")</f>
        <v>Varios jugadores se muestran en una pista de hielo.</v>
      </c>
    </row>
    <row r="29047">
      <c r="A29047" s="4" t="s">
        <v>36583</v>
      </c>
      <c r="B29047" s="4" t="s">
        <v>36585</v>
      </c>
      <c r="C29047" s="5" t="str">
        <f>IFERROR(__xludf.DUMMYFUNCTION("GOOGLETRANSLATE(B29047,""en"",""es-ES"")"),"Están involucrados en diferentes juegos de curling.")</f>
        <v>Están involucrados en diferentes juegos de curling.</v>
      </c>
    </row>
    <row r="29048">
      <c r="A29048" s="4" t="s">
        <v>36583</v>
      </c>
      <c r="B29048" s="4" t="s">
        <v>36586</v>
      </c>
      <c r="C29048" s="5" t="str">
        <f>IFERROR(__xludf.DUMMYFUNCTION("GOOGLETRANSLATE(B29048,""en"",""es-ES"")"),"Usan sus murciélagos para mover el disco, altamente fiving cuando terminan.")</f>
        <v>Usan sus murciélagos para mover el disco, altamente fiving cuando terminan.</v>
      </c>
    </row>
    <row r="29049">
      <c r="A29049" s="4" t="s">
        <v>36587</v>
      </c>
      <c r="B29049" s="4" t="s">
        <v>36588</v>
      </c>
      <c r="C29049" s="5" t="str">
        <f>IFERROR(__xludf.DUMMYFUNCTION("GOOGLETRANSLATE(B29049,""en"",""es-ES"")"),"Se reproduce un espectáculo de la red de dibujos animados.")</f>
        <v>Se reproduce un espectáculo de la red de dibujos animados.</v>
      </c>
    </row>
    <row r="29050">
      <c r="A29050" s="4" t="s">
        <v>36587</v>
      </c>
      <c r="B29050" s="4" t="s">
        <v>36589</v>
      </c>
      <c r="C29050" s="5" t="str">
        <f>IFERROR(__xludf.DUMMYFUNCTION("GOOGLETRANSLATE(B29050,""en"",""es-ES"")"),"Un personaje azul corta un bloque pero falla varias veces.")</f>
        <v>Un personaje azul corta un bloque pero falla varias veces.</v>
      </c>
    </row>
    <row r="29051">
      <c r="A29051" s="4" t="s">
        <v>36590</v>
      </c>
      <c r="B29051" s="4" t="s">
        <v>36591</v>
      </c>
      <c r="C29051" s="5" t="str">
        <f>IFERROR(__xludf.DUMMYFUNCTION("GOOGLETRANSLATE(B29051,""en"",""es-ES"")"),"El equipo de jugadores de bolos bolivianos se prepara para comenzar a jugar bolos practicando una técnica impartida por Jason Belmont colocando dos dedos en los agujeros y usando dos manos para girar la pelota.")</f>
        <v>El equipo de jugadores de bolos bolivianos se prepara para comenzar a jugar bolos practicando una técnica impartida por Jason Belmont colocando dos dedos en los agujeros y usando dos manos para girar la pelota.</v>
      </c>
    </row>
    <row r="29052">
      <c r="A29052" s="4" t="s">
        <v>36590</v>
      </c>
      <c r="B29052" s="4" t="s">
        <v>36592</v>
      </c>
      <c r="C29052" s="5" t="str">
        <f>IFERROR(__xludf.DUMMYFUNCTION("GOOGLETRANSLATE(B29052,""en"",""es-ES"")"),"Los jóvenes jugadores aficionados comienzan a jugar con la técnica de dos manos.")</f>
        <v>Los jóvenes jugadores aficionados comienzan a jugar con la técnica de dos manos.</v>
      </c>
    </row>
    <row r="29053">
      <c r="A29053" s="4" t="s">
        <v>36590</v>
      </c>
      <c r="B29053" s="4" t="s">
        <v>36593</v>
      </c>
      <c r="C29053" s="5" t="str">
        <f>IFERROR(__xludf.DUMMYFUNCTION("GOOGLETRANSLATE(B29053,""en"",""es-ES"")"),"Se introduce el presidente de la Federación de Bowling Marcelo Garafulic.")</f>
        <v>Se introduce el presidente de la Federación de Bowling Marcelo Garafulic.</v>
      </c>
    </row>
    <row r="29054">
      <c r="A29054" s="4" t="s">
        <v>36590</v>
      </c>
      <c r="B29054" s="4" t="s">
        <v>36594</v>
      </c>
      <c r="C29054" s="5" t="str">
        <f>IFERROR(__xludf.DUMMYFUNCTION("GOOGLETRANSLATE(B29054,""en"",""es-ES"")"),"El locutor comienza a explicar cómo el equipo de jugadores de bolos bolivianos está entrenando y se muestra más práctica.")</f>
        <v>El locutor comienza a explicar cómo el equipo de jugadores de bolos bolivianos está entrenando y se muestra más práctica.</v>
      </c>
    </row>
    <row r="29055">
      <c r="A29055" s="4" t="s">
        <v>36590</v>
      </c>
      <c r="B29055" s="4" t="s">
        <v>36595</v>
      </c>
      <c r="C29055" s="5" t="str">
        <f>IFERROR(__xludf.DUMMYFUNCTION("GOOGLETRANSLATE(B29055,""en"",""es-ES"")"),"Garafulic comienza a explicar las clínicas y las medallas que han ganado juegos perfectos.")</f>
        <v>Garafulic comienza a explicar las clínicas y las medallas que han ganado juegos perfectos.</v>
      </c>
    </row>
    <row r="29056">
      <c r="A29056" s="4" t="s">
        <v>36590</v>
      </c>
      <c r="B29056" s="4" t="s">
        <v>36596</v>
      </c>
      <c r="C29056" s="5" t="str">
        <f>IFERROR(__xludf.DUMMYFUNCTION("GOOGLETRANSLATE(B29056,""en"",""es-ES"")"),"Se muestra a los jugadores de bolos practicando una vez más.")</f>
        <v>Se muestra a los jugadores de bolos practicando una vez más.</v>
      </c>
    </row>
    <row r="29057">
      <c r="A29057" s="4" t="s">
        <v>36597</v>
      </c>
      <c r="B29057" s="4" t="s">
        <v>36598</v>
      </c>
      <c r="C29057" s="5" t="str">
        <f>IFERROR(__xludf.DUMMYFUNCTION("GOOGLETRANSLATE(B29057,""en"",""es-ES"")"),"Un niño está descalzo, empujando una cortadora de césped en su patio.")</f>
        <v>Un niño está descalzo, empujando una cortadora de césped en su patio.</v>
      </c>
    </row>
    <row r="29058">
      <c r="A29058" s="4" t="s">
        <v>36597</v>
      </c>
      <c r="B29058" s="4" t="s">
        <v>36599</v>
      </c>
      <c r="C29058" s="5" t="str">
        <f>IFERROR(__xludf.DUMMYFUNCTION("GOOGLETRANSLATE(B29058,""en"",""es-ES"")"),"Una niña corre mientras corta el corte.")</f>
        <v>Una niña corre mientras corta el corte.</v>
      </c>
    </row>
    <row r="29059">
      <c r="A29059" s="4" t="s">
        <v>36600</v>
      </c>
      <c r="B29059" s="4" t="s">
        <v>36601</v>
      </c>
      <c r="C29059" s="5" t="str">
        <f>IFERROR(__xludf.DUMMYFUNCTION("GOOGLETRANSLATE(B29059,""en"",""es-ES"")"),"Un hombre está en una habitación con una multitud de personas mirándolo mientras se prepara para actuar.")</f>
        <v>Un hombre está en una habitación con una multitud de personas mirándolo mientras se prepara para actuar.</v>
      </c>
    </row>
    <row r="29060">
      <c r="A29060" s="4" t="s">
        <v>36600</v>
      </c>
      <c r="B29060" s="4" t="s">
        <v>36602</v>
      </c>
      <c r="C29060" s="5" t="str">
        <f>IFERROR(__xludf.DUMMYFUNCTION("GOOGLETRANSLATE(B29060,""en"",""es-ES"")"),"El hombre se levanta a la derecha y pone una silla de plástico azul entre sus piernas y comienza a girar alrededor de su cabeza.")</f>
        <v>El hombre se levanta a la derecha y pone una silla de plástico azul entre sus piernas y comienza a girar alrededor de su cabeza.</v>
      </c>
    </row>
    <row r="29061">
      <c r="A29061" s="4" t="s">
        <v>36600</v>
      </c>
      <c r="B29061" s="4" t="s">
        <v>36603</v>
      </c>
      <c r="C29061" s="5" t="str">
        <f>IFERROR(__xludf.DUMMYFUNCTION("GOOGLETRANSLATE(B29061,""en"",""es-ES"")"),"Una vez que termina, aparece otra persona y comienza a girar sobre su cabeza cuando un colorido hula hoop comienza a girar alrededor de su cintura.")</f>
        <v>Una vez que termina, aparece otra persona y comienza a girar sobre su cabeza cuando un colorido hula hoop comienza a girar alrededor de su cintura.</v>
      </c>
    </row>
    <row r="29062">
      <c r="A29062" s="4" t="s">
        <v>36600</v>
      </c>
      <c r="B29062" s="4" t="s">
        <v>36604</v>
      </c>
      <c r="C29062" s="5" t="str">
        <f>IFERROR(__xludf.DUMMYFUNCTION("GOOGLETRANSLATE(B29062,""en"",""es-ES"")"),"Completa su actuación y la multitud salta y felicita al hombre.")</f>
        <v>Completa su actuación y la multitud salta y felicita al hombre.</v>
      </c>
    </row>
    <row r="29063">
      <c r="A29063" s="4" t="s">
        <v>36605</v>
      </c>
      <c r="B29063" s="4" t="s">
        <v>36606</v>
      </c>
      <c r="C29063" s="5" t="str">
        <f>IFERROR(__xludf.DUMMYFUNCTION("GOOGLETRANSLATE(B29063,""en"",""es-ES"")"),"Se une una máquina eléctrica al final de una mesa de ping pong y se mueve con los sentidos de movimiento de la mano de una persona.")</f>
        <v>Se une una máquina eléctrica al final de una mesa de ping pong y se mueve con los sentidos de movimiento de la mano de una persona.</v>
      </c>
    </row>
    <row r="29064">
      <c r="A29064" s="4" t="s">
        <v>36605</v>
      </c>
      <c r="B29064" s="4" t="s">
        <v>36607</v>
      </c>
      <c r="C29064" s="5" t="str">
        <f>IFERROR(__xludf.DUMMYFUNCTION("GOOGLETRANSLATE(B29064,""en"",""es-ES"")"),"Después, se arrojan varias bolas hacia la paleta y las devuelven por la máquina.")</f>
        <v>Después, se arrojan varias bolas hacia la paleta y las devuelven por la máquina.</v>
      </c>
    </row>
    <row r="29065">
      <c r="A29065" s="4" t="s">
        <v>36605</v>
      </c>
      <c r="B29065" s="4" t="s">
        <v>36608</v>
      </c>
      <c r="C29065" s="5" t="str">
        <f>IFERROR(__xludf.DUMMYFUNCTION("GOOGLETRANSLATE(B29065,""en"",""es-ES"")"),"La persona luego cruza la mesa y comienza a golpear las bolas más rápido y la máquina se acelera para golpear la pelota.")</f>
        <v>La persona luego cruza la mesa y comienza a golpear las bolas más rápido y la máquina se acelera para golpear la pelota.</v>
      </c>
    </row>
    <row r="29066">
      <c r="A29066" s="4" t="s">
        <v>36609</v>
      </c>
      <c r="B29066" s="4" t="s">
        <v>36610</v>
      </c>
      <c r="C29066" s="5" t="str">
        <f>IFERROR(__xludf.DUMMYFUNCTION("GOOGLETRANSLATE(B29066,""en"",""es-ES"")"),"Los adultos están jugando un juego de volea en una cancha.")</f>
        <v>Los adultos están jugando un juego de volea en una cancha.</v>
      </c>
    </row>
    <row r="29067">
      <c r="A29067" s="4" t="s">
        <v>36609</v>
      </c>
      <c r="B29067" s="4" t="s">
        <v>5896</v>
      </c>
      <c r="C29067" s="5" t="str">
        <f>IFERROR(__xludf.DUMMYFUNCTION("GOOGLETRANSLATE(B29067,""en"",""es-ES"")"),"Una multitud los está viendo jugar.")</f>
        <v>Una multitud los está viendo jugar.</v>
      </c>
    </row>
    <row r="29068">
      <c r="A29068" s="4" t="s">
        <v>36611</v>
      </c>
      <c r="B29068" s="4" t="s">
        <v>29742</v>
      </c>
      <c r="C29068" s="5" t="str">
        <f>IFERROR(__xludf.DUMMYFUNCTION("GOOGLETRANSLATE(B29068,""en"",""es-ES"")"),"La gente está haciendo ejercicio en un gimnasio.")</f>
        <v>La gente está haciendo ejercicio en un gimnasio.</v>
      </c>
    </row>
    <row r="29069">
      <c r="A29069" s="4" t="s">
        <v>36611</v>
      </c>
      <c r="B29069" s="4" t="s">
        <v>36612</v>
      </c>
      <c r="C29069" s="5" t="str">
        <f>IFERROR(__xludf.DUMMYFUNCTION("GOOGLETRANSLATE(B29069,""en"",""es-ES"")"),"La gente está trabajando en bicicletas giratorias.")</f>
        <v>La gente está trabajando en bicicletas giratorias.</v>
      </c>
    </row>
    <row r="29070">
      <c r="A29070" s="4" t="s">
        <v>36611</v>
      </c>
      <c r="B29070" s="4" t="s">
        <v>36613</v>
      </c>
      <c r="C29070" s="5" t="str">
        <f>IFERROR(__xludf.DUMMYFUNCTION("GOOGLETRANSLATE(B29070,""en"",""es-ES"")"),"Una mujer con una camiseta sin mangas amarilla habla con la cámara.")</f>
        <v>Una mujer con una camiseta sin mangas amarilla habla con la cámara.</v>
      </c>
    </row>
    <row r="29071">
      <c r="A29071" s="4" t="s">
        <v>36611</v>
      </c>
      <c r="B29071" s="4" t="s">
        <v>36614</v>
      </c>
      <c r="C29071" s="5" t="str">
        <f>IFERROR(__xludf.DUMMYFUNCTION("GOOGLETRANSLATE(B29071,""en"",""es-ES"")"),"Una mujer en una camiseta sin mangas verde habla con la cámara.")</f>
        <v>Una mujer en una camiseta sin mangas verde habla con la cámara.</v>
      </c>
    </row>
    <row r="29072">
      <c r="A29072" s="4" t="s">
        <v>36615</v>
      </c>
      <c r="B29072" s="4" t="s">
        <v>36616</v>
      </c>
      <c r="C29072" s="5" t="str">
        <f>IFERROR(__xludf.DUMMYFUNCTION("GOOGLETRANSLATE(B29072,""en"",""es-ES"")"),"Se ve a una mujer caminando hacia el marco y hablando con la cámara mientras sostiene varios objetos en sus manos.")</f>
        <v>Se ve a una mujer caminando hacia el marco y hablando con la cámara mientras sostiene varios objetos en sus manos.</v>
      </c>
    </row>
    <row r="29073">
      <c r="A29073" s="4" t="s">
        <v>36615</v>
      </c>
      <c r="B29073" s="4" t="s">
        <v>36617</v>
      </c>
      <c r="C29073" s="5" t="str">
        <f>IFERROR(__xludf.DUMMYFUNCTION("GOOGLETRANSLATE(B29073,""en"",""es-ES"")"),"Ella continúa sacando más objetos mientras sigue hablando con la cámara.")</f>
        <v>Ella continúa sacando más objetos mientras sigue hablando con la cámara.</v>
      </c>
    </row>
    <row r="29074">
      <c r="A29074" s="4" t="s">
        <v>36618</v>
      </c>
      <c r="B29074" s="4" t="s">
        <v>36619</v>
      </c>
      <c r="C29074" s="5" t="str">
        <f>IFERROR(__xludf.DUMMYFUNCTION("GOOGLETRANSLATE(B29074,""en"",""es-ES"")"),"Dos niños caminan por una acera cerca de una piscina.")</f>
        <v>Dos niños caminan por una acera cerca de una piscina.</v>
      </c>
    </row>
    <row r="29075">
      <c r="A29075" s="4" t="s">
        <v>36618</v>
      </c>
      <c r="B29075" s="4" t="s">
        <v>36620</v>
      </c>
      <c r="C29075" s="5" t="str">
        <f>IFERROR(__xludf.DUMMYFUNCTION("GOOGLETRANSLATE(B29075,""en"",""es-ES"")"),"Hay muchas personas que hacen cosas diferentes en la piscina y sus alrededores.")</f>
        <v>Hay muchas personas que hacen cosas diferentes en la piscina y sus alrededores.</v>
      </c>
    </row>
    <row r="29076">
      <c r="A29076" s="4" t="s">
        <v>36618</v>
      </c>
      <c r="B29076" s="4" t="s">
        <v>36621</v>
      </c>
      <c r="C29076" s="5" t="str">
        <f>IFERROR(__xludf.DUMMYFUNCTION("GOOGLETRANSLATE(B29076,""en"",""es-ES"")"),"Algunos chicos saltan de los tableros de buceo haciendo flips y otros trucos.")</f>
        <v>Algunos chicos saltan de los tableros de buceo haciendo flips y otros trucos.</v>
      </c>
    </row>
    <row r="29077">
      <c r="A29077" s="4" t="s">
        <v>36622</v>
      </c>
      <c r="B29077" s="4" t="s">
        <v>1251</v>
      </c>
      <c r="C29077" s="5" t="str">
        <f>IFERROR(__xludf.DUMMYFUNCTION("GOOGLETRANSLATE(B29077,""en"",""es-ES"")"),"Se muestran los créditos del clip.")</f>
        <v>Se muestran los créditos del clip.</v>
      </c>
    </row>
    <row r="29078">
      <c r="A29078" s="4" t="s">
        <v>36622</v>
      </c>
      <c r="B29078" s="4" t="s">
        <v>36623</v>
      </c>
      <c r="C29078" s="5" t="str">
        <f>IFERROR(__xludf.DUMMYFUNCTION("GOOGLETRANSLATE(B29078,""en"",""es-ES"")"),"La gente tiene sus manos en una mesa de casino.")</f>
        <v>La gente tiene sus manos en una mesa de casino.</v>
      </c>
    </row>
    <row r="29079">
      <c r="A29079" s="4" t="s">
        <v>36622</v>
      </c>
      <c r="B29079" s="4" t="s">
        <v>573</v>
      </c>
      <c r="C29079" s="5" t="str">
        <f>IFERROR(__xludf.DUMMYFUNCTION("GOOGLETRANSLATE(B29079,""en"",""es-ES"")"),"Se muestran los créditos del video.")</f>
        <v>Se muestran los créditos del video.</v>
      </c>
    </row>
    <row r="29080">
      <c r="A29080" s="4" t="s">
        <v>36624</v>
      </c>
      <c r="B29080" s="4" t="s">
        <v>36625</v>
      </c>
      <c r="C29080" s="5" t="str">
        <f>IFERROR(__xludf.DUMMYFUNCTION("GOOGLETRANSLATE(B29080,""en"",""es-ES"")"),"Una mujer está sentada detrás de un piano.")</f>
        <v>Una mujer está sentada detrás de un piano.</v>
      </c>
    </row>
    <row r="29081">
      <c r="A29081" s="4" t="s">
        <v>36624</v>
      </c>
      <c r="B29081" s="4" t="s">
        <v>36626</v>
      </c>
      <c r="C29081" s="5" t="str">
        <f>IFERROR(__xludf.DUMMYFUNCTION("GOOGLETRANSLATE(B29081,""en"",""es-ES"")"),"Un niño está sentado detrás de un teclado tocándolo.")</f>
        <v>Un niño está sentado detrás de un teclado tocándolo.</v>
      </c>
    </row>
    <row r="29082">
      <c r="A29082" s="4" t="s">
        <v>36624</v>
      </c>
      <c r="B29082" s="4" t="s">
        <v>36627</v>
      </c>
      <c r="C29082" s="5" t="str">
        <f>IFERROR(__xludf.DUMMYFUNCTION("GOOGLETRANSLATE(B29082,""en"",""es-ES"")"),"Las imágenes de pianos se muestran al final.")</f>
        <v>Las imágenes de pianos se muestran al final.</v>
      </c>
    </row>
    <row r="29083">
      <c r="A29083" s="4" t="s">
        <v>36628</v>
      </c>
      <c r="B29083" s="4" t="s">
        <v>36629</v>
      </c>
      <c r="C29083" s="5" t="str">
        <f>IFERROR(__xludf.DUMMYFUNCTION("GOOGLETRANSLATE(B29083,""en"",""es-ES"")"),"Una niña se muestra varias veces corriendo en una pista.")</f>
        <v>Una niña se muestra varias veces corriendo en una pista.</v>
      </c>
    </row>
    <row r="29084">
      <c r="A29084" s="4" t="s">
        <v>36628</v>
      </c>
      <c r="B29084" s="4" t="s">
        <v>36630</v>
      </c>
      <c r="C29084" s="5" t="str">
        <f>IFERROR(__xludf.DUMMYFUNCTION("GOOGLETRANSLATE(B29084,""en"",""es-ES"")"),"Ella usa un poste para saltar sobre un bar.")</f>
        <v>Ella usa un poste para saltar sobre un bar.</v>
      </c>
    </row>
    <row r="29085">
      <c r="A29085" s="4" t="s">
        <v>36628</v>
      </c>
      <c r="B29085" s="4" t="s">
        <v>36631</v>
      </c>
      <c r="C29085" s="5" t="str">
        <f>IFERROR(__xludf.DUMMYFUNCTION("GOOGLETRANSLATE(B29085,""en"",""es-ES"")"),"Ella aterriza en una estera al otro lado.")</f>
        <v>Ella aterriza en una estera al otro lado.</v>
      </c>
    </row>
    <row r="29086">
      <c r="A29086" s="4" t="s">
        <v>36632</v>
      </c>
      <c r="B29086" s="4" t="s">
        <v>36633</v>
      </c>
      <c r="C29086" s="5" t="str">
        <f>IFERROR(__xludf.DUMMYFUNCTION("GOOGLETRANSLATE(B29086,""en"",""es-ES"")"),"Un bote que tiene una vela azul con dos personas navega en un cuerpo de agua.")</f>
        <v>Un bote que tiene una vela azul con dos personas navega en un cuerpo de agua.</v>
      </c>
    </row>
    <row r="29087">
      <c r="A29087" s="4" t="s">
        <v>36632</v>
      </c>
      <c r="B29087" s="4" t="s">
        <v>36634</v>
      </c>
      <c r="C29087" s="5" t="str">
        <f>IFERROR(__xludf.DUMMYFUNCTION("GOOGLETRANSLATE(B29087,""en"",""es-ES"")"),"La persona en la parte delantera del bote se inclina hacia un lado y aparentemente está golpeando el agua.")</f>
        <v>La persona en la parte delantera del bote se inclina hacia un lado y aparentemente está golpeando el agua.</v>
      </c>
    </row>
    <row r="29088">
      <c r="A29088" s="4" t="s">
        <v>36632</v>
      </c>
      <c r="B29088" s="4" t="s">
        <v>36635</v>
      </c>
      <c r="C29088" s="5" t="str">
        <f>IFERROR(__xludf.DUMMYFUNCTION("GOOGLETRANSLATE(B29088,""en"",""es-ES"")"),"El agua comienza a volverse cada vez más entrecortada.")</f>
        <v>El agua comienza a volverse cada vez más entrecortada.</v>
      </c>
    </row>
    <row r="29089">
      <c r="A29089" s="4" t="s">
        <v>36632</v>
      </c>
      <c r="B29089" s="4" t="s">
        <v>36636</v>
      </c>
      <c r="C29089" s="5" t="str">
        <f>IFERROR(__xludf.DUMMYFUNCTION("GOOGLETRANSLATE(B29089,""en"",""es-ES"")"),"El bote gira a la derecha.")</f>
        <v>El bote gira a la derecha.</v>
      </c>
    </row>
    <row r="29090">
      <c r="A29090" s="4" t="s">
        <v>36632</v>
      </c>
      <c r="B29090" s="4" t="s">
        <v>36637</v>
      </c>
      <c r="C29090" s="5" t="str">
        <f>IFERROR(__xludf.DUMMYFUNCTION("GOOGLETRANSLATE(B29090,""en"",""es-ES"")"),"El bote comienza a dirigirse a la orilla.")</f>
        <v>El bote comienza a dirigirse a la orilla.</v>
      </c>
    </row>
    <row r="29091">
      <c r="A29091" s="4" t="s">
        <v>36638</v>
      </c>
      <c r="B29091" s="4" t="s">
        <v>36639</v>
      </c>
      <c r="C29091" s="5" t="str">
        <f>IFERROR(__xludf.DUMMYFUNCTION("GOOGLETRANSLATE(B29091,""en"",""es-ES"")"),"Vemos a dos personas bajo el agua en una piscina.")</f>
        <v>Vemos a dos personas bajo el agua en una piscina.</v>
      </c>
    </row>
    <row r="29092">
      <c r="A29092" s="4" t="s">
        <v>36638</v>
      </c>
      <c r="B29092" s="4" t="s">
        <v>36640</v>
      </c>
      <c r="C29092" s="5" t="str">
        <f>IFERROR(__xludf.DUMMYFUNCTION("GOOGLETRANSLATE(B29092,""en"",""es-ES"")"),"La gente intercambia una aleta.")</f>
        <v>La gente intercambia una aleta.</v>
      </c>
    </row>
    <row r="29093">
      <c r="A29093" s="4" t="s">
        <v>36638</v>
      </c>
      <c r="B29093" s="4" t="s">
        <v>36641</v>
      </c>
      <c r="C29093" s="5" t="str">
        <f>IFERROR(__xludf.DUMMYFUNCTION("GOOGLETRANSLATE(B29093,""en"",""es-ES"")"),"Los hombres comienzan a compartir un respiro.")</f>
        <v>Los hombres comienzan a compartir un respiro.</v>
      </c>
    </row>
    <row r="29094">
      <c r="A29094" s="4" t="s">
        <v>36638</v>
      </c>
      <c r="B29094" s="4" t="s">
        <v>36642</v>
      </c>
      <c r="C29094" s="5" t="str">
        <f>IFERROR(__xludf.DUMMYFUNCTION("GOOGLETRANSLATE(B29094,""en"",""es-ES"")"),"El intercambio de sus otras aletas.")</f>
        <v>El intercambio de sus otras aletas.</v>
      </c>
    </row>
    <row r="29095">
      <c r="A29095" s="4" t="s">
        <v>36638</v>
      </c>
      <c r="B29095" s="4" t="s">
        <v>36643</v>
      </c>
      <c r="C29095" s="5" t="str">
        <f>IFERROR(__xludf.DUMMYFUNCTION("GOOGLETRANSLATE(B29095,""en"",""es-ES"")"),"Los hombres cambian su equipo aéreo.")</f>
        <v>Los hombres cambian su equipo aéreo.</v>
      </c>
    </row>
    <row r="29096">
      <c r="A29096" s="4" t="s">
        <v>36638</v>
      </c>
      <c r="B29096" s="4" t="s">
        <v>36644</v>
      </c>
      <c r="C29096" s="5" t="str">
        <f>IFERROR(__xludf.DUMMYFUNCTION("GOOGLETRANSLATE(B29096,""en"",""es-ES"")"),"El hombre correcto no puede encontrar el agujero del brazo.")</f>
        <v>El hombre correcto no puede encontrar el agujero del brazo.</v>
      </c>
    </row>
    <row r="29097">
      <c r="A29097" s="4" t="s">
        <v>36645</v>
      </c>
      <c r="B29097" s="4" t="s">
        <v>36646</v>
      </c>
      <c r="C29097" s="5" t="str">
        <f>IFERROR(__xludf.DUMMYFUNCTION("GOOGLETRANSLATE(B29097,""en"",""es-ES"")"),"Primero se muestra a la gente nadando al revés.")</f>
        <v>Primero se muestra a la gente nadando al revés.</v>
      </c>
    </row>
    <row r="29098">
      <c r="A29098" s="4" t="s">
        <v>36645</v>
      </c>
      <c r="B29098" s="4" t="s">
        <v>36647</v>
      </c>
      <c r="C29098" s="5" t="str">
        <f>IFERROR(__xludf.DUMMYFUNCTION("GOOGLETRANSLATE(B29098,""en"",""es-ES"")"),"Luego se les muestra jugando voleibol en el agua.")</f>
        <v>Luego se les muestra jugando voleibol en el agua.</v>
      </c>
    </row>
    <row r="29099">
      <c r="A29099" s="4" t="s">
        <v>36648</v>
      </c>
      <c r="B29099" s="4" t="s">
        <v>36649</v>
      </c>
      <c r="C29099" s="5" t="str">
        <f>IFERROR(__xludf.DUMMYFUNCTION("GOOGLETRANSLATE(B29099,""en"",""es-ES"")"),"Una mujer está hablando frente a una imagen de dos ciervos en una llanura.")</f>
        <v>Una mujer está hablando frente a una imagen de dos ciervos en una llanura.</v>
      </c>
    </row>
    <row r="29100">
      <c r="A29100" s="4" t="s">
        <v>36648</v>
      </c>
      <c r="B29100" s="4" t="s">
        <v>36650</v>
      </c>
      <c r="C29100" s="5" t="str">
        <f>IFERROR(__xludf.DUMMYFUNCTION("GOOGLETRANSLATE(B29100,""en"",""es-ES"")"),"Luego vemos a un hombre hablando mientras perforan agujeros en el hielo.")</f>
        <v>Luego vemos a un hombre hablando mientras perforan agujeros en el hielo.</v>
      </c>
    </row>
    <row r="29101">
      <c r="A29101" s="4" t="s">
        <v>36648</v>
      </c>
      <c r="B29101" s="4" t="s">
        <v>36651</v>
      </c>
      <c r="C29101" s="5" t="str">
        <f>IFERROR(__xludf.DUMMYFUNCTION("GOOGLETRANSLATE(B29101,""en"",""es-ES"")"),"Algunos stand sirven perros calientes a la gente mientras pescan en hielo.")</f>
        <v>Algunos stand sirven perros calientes a la gente mientras pescan en hielo.</v>
      </c>
    </row>
    <row r="29102">
      <c r="A29102" s="4" t="s">
        <v>36648</v>
      </c>
      <c r="B29102" s="4" t="s">
        <v>36652</v>
      </c>
      <c r="C29102" s="5" t="str">
        <f>IFERROR(__xludf.DUMMYFUNCTION("GOOGLETRANSLATE(B29102,""en"",""es-ES"")"),"Un niño y una niña intentan atrapar un pez.")</f>
        <v>Un niño y una niña intentan atrapar un pez.</v>
      </c>
    </row>
    <row r="29103">
      <c r="A29103" s="4" t="s">
        <v>36648</v>
      </c>
      <c r="B29103" s="4" t="s">
        <v>36653</v>
      </c>
      <c r="C29103" s="5" t="str">
        <f>IFERROR(__xludf.DUMMYFUNCTION("GOOGLETRANSLATE(B29103,""en"",""es-ES"")"),"Son entrevistados mientras pescan.")</f>
        <v>Son entrevistados mientras pescan.</v>
      </c>
    </row>
    <row r="29104">
      <c r="A29104" s="4" t="s">
        <v>36654</v>
      </c>
      <c r="B29104" s="4" t="s">
        <v>36655</v>
      </c>
      <c r="C29104" s="5" t="str">
        <f>IFERROR(__xludf.DUMMYFUNCTION("GOOGLETRANSLATE(B29104,""en"",""es-ES"")"),"Los dedos están presionando las teclas negras.")</f>
        <v>Los dedos están presionando las teclas negras.</v>
      </c>
    </row>
    <row r="29105">
      <c r="A29105" s="4" t="s">
        <v>36654</v>
      </c>
      <c r="B29105" s="4" t="s">
        <v>36656</v>
      </c>
      <c r="C29105" s="5" t="str">
        <f>IFERROR(__xludf.DUMMYFUNCTION("GOOGLETRANSLATE(B29105,""en"",""es-ES"")"),"Un dedo está presionando una tecla.")</f>
        <v>Un dedo está presionando una tecla.</v>
      </c>
    </row>
    <row r="29106">
      <c r="A29106" s="4" t="s">
        <v>36654</v>
      </c>
      <c r="B29106" s="4" t="s">
        <v>36657</v>
      </c>
      <c r="C29106" s="5" t="str">
        <f>IFERROR(__xludf.DUMMYFUNCTION("GOOGLETRANSLATE(B29106,""en"",""es-ES"")"),"Los dedos se están moviendo a diferentes teclas y presionándolas.")</f>
        <v>Los dedos se están moviendo a diferentes teclas y presionándolas.</v>
      </c>
    </row>
    <row r="29107">
      <c r="A29107" s="4" t="s">
        <v>36658</v>
      </c>
      <c r="B29107" s="4" t="s">
        <v>36659</v>
      </c>
      <c r="C29107" s="5" t="str">
        <f>IFERROR(__xludf.DUMMYFUNCTION("GOOGLETRANSLATE(B29107,""en"",""es-ES"")"),"Se ve a una mujer hablando con la cámara usando sus manos y lo lleva a arrodillarse arrojando un cubo.")</f>
        <v>Se ve a una mujer hablando con la cámara usando sus manos y lo lleva a arrodillarse arrojando un cubo.</v>
      </c>
    </row>
    <row r="29108">
      <c r="A29108" s="4" t="s">
        <v>36658</v>
      </c>
      <c r="B29108" s="4" t="s">
        <v>36660</v>
      </c>
      <c r="C29108" s="5" t="str">
        <f>IFERROR(__xludf.DUMMYFUNCTION("GOOGLETRANSLATE(B29108,""en"",""es-ES"")"),"Luego usa un rastrillo para frotar toda la suciedad alrededor del árbol mientras se detiene para hablar con la cámara.")</f>
        <v>Luego usa un rastrillo para frotar toda la suciedad alrededor del árbol mientras se detiene para hablar con la cámara.</v>
      </c>
    </row>
    <row r="29109">
      <c r="A29109" s="4" t="s">
        <v>36661</v>
      </c>
      <c r="B29109" s="4" t="s">
        <v>36662</v>
      </c>
      <c r="C29109" s="5" t="str">
        <f>IFERROR(__xludf.DUMMYFUNCTION("GOOGLETRANSLATE(B29109,""en"",""es-ES"")"),"Se muestra a una mujer sosteniendo un lanzamiento de bala y hablando con la cámara mientras está de pie en un gran gimnasio.")</f>
        <v>Se muestra a una mujer sosteniendo un lanzamiento de bala y hablando con la cámara mientras está de pie en un gran gimnasio.</v>
      </c>
    </row>
    <row r="29110">
      <c r="A29110" s="4" t="s">
        <v>36661</v>
      </c>
      <c r="B29110" s="4" t="s">
        <v>36663</v>
      </c>
      <c r="C29110" s="5" t="str">
        <f>IFERROR(__xludf.DUMMYFUNCTION("GOOGLETRANSLATE(B29110,""en"",""es-ES"")"),"Ella demuestra cómo lanzar correctamente la herramienta y realiza varios lanzamientos para mostrar cómo es correctamente.")</f>
        <v>Ella demuestra cómo lanzar correctamente la herramienta y realiza varios lanzamientos para mostrar cómo es correctamente.</v>
      </c>
    </row>
    <row r="29111">
      <c r="A29111" s="4" t="s">
        <v>36664</v>
      </c>
      <c r="B29111" s="4" t="s">
        <v>36665</v>
      </c>
      <c r="C29111" s="5" t="str">
        <f>IFERROR(__xludf.DUMMYFUNCTION("GOOGLETRANSLATE(B29111,""en"",""es-ES"")"),"El exterior una tienda se ve desde el estacionamiento.")</f>
        <v>El exterior una tienda se ve desde el estacionamiento.</v>
      </c>
    </row>
    <row r="29112">
      <c r="A29112" s="4" t="s">
        <v>36664</v>
      </c>
      <c r="B29112" s="4" t="s">
        <v>36666</v>
      </c>
      <c r="C29112" s="5" t="str">
        <f>IFERROR(__xludf.DUMMYFUNCTION("GOOGLETRANSLATE(B29112,""en"",""es-ES"")"),"Un hombre se sienta en un banco de madera contra una ventana con trofeos.")</f>
        <v>Un hombre se sienta en un banco de madera contra una ventana con trofeos.</v>
      </c>
    </row>
    <row r="29113">
      <c r="A29113" s="4" t="s">
        <v>36664</v>
      </c>
      <c r="B29113" s="4" t="s">
        <v>36667</v>
      </c>
      <c r="C29113" s="5" t="str">
        <f>IFERROR(__xludf.DUMMYFUNCTION("GOOGLETRANSLATE(B29113,""en"",""es-ES"")"),"El hombre habla mientras está sentado con un artista de tatuajes trabajando en su hombro.")</f>
        <v>El hombre habla mientras está sentado con un artista de tatuajes trabajando en su hombro.</v>
      </c>
    </row>
    <row r="29114">
      <c r="A29114" s="4" t="s">
        <v>36664</v>
      </c>
      <c r="B29114" s="4" t="s">
        <v>36668</v>
      </c>
      <c r="C29114" s="5" t="str">
        <f>IFERROR(__xludf.DUMMYFUNCTION("GOOGLETRANSLATE(B29114,""en"",""es-ES"")"),"El artista del tatuaje limpia el área en la que está trabajando y continúa dibujando.")</f>
        <v>El artista del tatuaje limpia el área en la que está trabajando y continúa dibujando.</v>
      </c>
    </row>
    <row r="29115">
      <c r="A29115" s="4" t="s">
        <v>36664</v>
      </c>
      <c r="B29115" s="4" t="s">
        <v>36669</v>
      </c>
      <c r="C29115" s="5" t="str">
        <f>IFERROR(__xludf.DUMMYFUNCTION("GOOGLETRANSLATE(B29115,""en"",""es-ES"")"),"El artista del tatuaje apaga la luz y detiene su trabajo.")</f>
        <v>El artista del tatuaje apaga la luz y detiene su trabajo.</v>
      </c>
    </row>
    <row r="29116">
      <c r="A29116" s="4" t="s">
        <v>36664</v>
      </c>
      <c r="B29116" s="4" t="s">
        <v>36670</v>
      </c>
      <c r="C29116" s="5" t="str">
        <f>IFERROR(__xludf.DUMMYFUNCTION("GOOGLETRANSLATE(B29116,""en"",""es-ES"")"),"El hombre se levanta y muestra su tatuaje.")</f>
        <v>El hombre se levanta y muestra su tatuaje.</v>
      </c>
    </row>
    <row r="29117">
      <c r="A29117" s="4" t="s">
        <v>36671</v>
      </c>
      <c r="B29117" s="4" t="s">
        <v>36672</v>
      </c>
      <c r="C29117" s="5" t="str">
        <f>IFERROR(__xludf.DUMMYFUNCTION("GOOGLETRANSLATE(B29117,""en"",""es-ES"")"),"Los hombres están en los lados de un automóvil puliendo un automóvil azul en un lavado de autos de mano.")</f>
        <v>Los hombres están en los lados de un automóvil puliendo un automóvil azul en un lavado de autos de mano.</v>
      </c>
    </row>
    <row r="29118">
      <c r="A29118" s="4" t="s">
        <v>36671</v>
      </c>
      <c r="B29118" s="4" t="s">
        <v>36673</v>
      </c>
      <c r="C29118" s="5" t="str">
        <f>IFERROR(__xludf.DUMMYFUNCTION("GOOGLETRANSLATE(B29118,""en"",""es-ES"")"),"El coche azul está dentro de un lavado de autos azules y los hombres lo están puliendo.")</f>
        <v>El coche azul está dentro de un lavado de autos azules y los hombres lo están puliendo.</v>
      </c>
    </row>
    <row r="29119">
      <c r="A29119" s="4" t="s">
        <v>36671</v>
      </c>
      <c r="B29119" s="4" t="s">
        <v>36674</v>
      </c>
      <c r="C29119" s="5" t="str">
        <f>IFERROR(__xludf.DUMMYFUNCTION("GOOGLETRANSLATE(B29119,""en"",""es-ES"")"),"Los hombres les sostienen ropa en las manos limpiando el auto.")</f>
        <v>Los hombres les sostienen ropa en las manos limpiando el auto.</v>
      </c>
    </row>
    <row r="29120">
      <c r="A29120" s="4" t="s">
        <v>36675</v>
      </c>
      <c r="B29120" s="4" t="s">
        <v>36676</v>
      </c>
      <c r="C29120" s="5" t="str">
        <f>IFERROR(__xludf.DUMMYFUNCTION("GOOGLETRANSLATE(B29120,""en"",""es-ES"")"),"Una persona se aspira en un pasillo.")</f>
        <v>Una persona se aspira en un pasillo.</v>
      </c>
    </row>
    <row r="29121">
      <c r="A29121" s="4" t="s">
        <v>36675</v>
      </c>
      <c r="B29121" s="4" t="s">
        <v>36677</v>
      </c>
      <c r="C29121" s="5" t="str">
        <f>IFERROR(__xludf.DUMMYFUNCTION("GOOGLETRANSLATE(B29121,""en"",""es-ES"")"),"Un niño pequeño en pijama pasa frenéticamente, corre hacia otras habitaciones y saltando con entusiasmo porque quiere ser recogido.")</f>
        <v>Un niño pequeño en pijama pasa frenéticamente, corre hacia otras habitaciones y saltando con entusiasmo porque quiere ser recogido.</v>
      </c>
    </row>
    <row r="29122">
      <c r="A29122" s="4" t="s">
        <v>36675</v>
      </c>
      <c r="B29122" s="4" t="s">
        <v>36678</v>
      </c>
      <c r="C29122" s="5" t="str">
        <f>IFERROR(__xludf.DUMMYFUNCTION("GOOGLETRANSLATE(B29122,""en"",""es-ES"")"),"Está enojado cuando su madre entra al baño con el vacío.")</f>
        <v>Está enojado cuando su madre entra al baño con el vacío.</v>
      </c>
    </row>
    <row r="29123">
      <c r="A29123" s="4" t="s">
        <v>36675</v>
      </c>
      <c r="B29123" s="4" t="s">
        <v>36679</v>
      </c>
      <c r="C29123" s="5" t="str">
        <f>IFERROR(__xludf.DUMMYFUNCTION("GOOGLETRANSLATE(B29123,""en"",""es-ES"")"),"La mujer le da al niño el aspirador y él aspira los pisos.")</f>
        <v>La mujer le da al niño el aspirador y él aspira los pisos.</v>
      </c>
    </row>
    <row r="29124">
      <c r="A29124" s="4" t="s">
        <v>36680</v>
      </c>
      <c r="B29124" s="4" t="s">
        <v>36681</v>
      </c>
      <c r="C29124" s="5" t="str">
        <f>IFERROR(__xludf.DUMMYFUNCTION("GOOGLETRANSLATE(B29124,""en"",""es-ES"")"),"La gente está sentada en sillas en la piscina.")</f>
        <v>La gente está sentada en sillas en la piscina.</v>
      </c>
    </row>
    <row r="29125">
      <c r="A29125" s="4" t="s">
        <v>36680</v>
      </c>
      <c r="B29125" s="4" t="s">
        <v>36682</v>
      </c>
      <c r="C29125" s="5" t="str">
        <f>IFERROR(__xludf.DUMMYFUNCTION("GOOGLETRANSLATE(B29125,""en"",""es-ES"")"),"El hombre y la mujer están hablando y presentando al hombre que camina por la piscina.")</f>
        <v>El hombre y la mujer están hablando y presentando al hombre que camina por la piscina.</v>
      </c>
    </row>
    <row r="29126">
      <c r="A29126" s="4" t="s">
        <v>36680</v>
      </c>
      <c r="B29126" s="4" t="s">
        <v>36683</v>
      </c>
      <c r="C29126" s="5" t="str">
        <f>IFERROR(__xludf.DUMMYFUNCTION("GOOGLETRANSLATE(B29126,""en"",""es-ES"")"),"El hombre está levantando pesas y está haciendo un gran salto de un trampolín y hablando con la cámara.")</f>
        <v>El hombre está levantando pesas y está haciendo un gran salto de un trampolín y hablando con la cámara.</v>
      </c>
    </row>
    <row r="29127">
      <c r="A29127" s="4" t="s">
        <v>36680</v>
      </c>
      <c r="B29127" s="4" t="s">
        <v>36684</v>
      </c>
      <c r="C29127" s="5" t="str">
        <f>IFERROR(__xludf.DUMMYFUNCTION("GOOGLETRANSLATE(B29127,""en"",""es-ES"")"),"Se muestra un gran platfom y un hombre está siendo entrevistado por una mujer en la cima del trampolín.")</f>
        <v>Se muestra un gran platfom y un hombre está siendo entrevistado por una mujer en la cima del trampolín.</v>
      </c>
    </row>
    <row r="29128">
      <c r="A29128" s="4" t="s">
        <v>36680</v>
      </c>
      <c r="B29128" s="4" t="s">
        <v>36685</v>
      </c>
      <c r="C29128" s="5" t="str">
        <f>IFERROR(__xludf.DUMMYFUNCTION("GOOGLETRANSLATE(B29128,""en"",""es-ES"")"),"La mujer en la audiencia está gritando y arrojando besos.")</f>
        <v>La mujer en la audiencia está gritando y arrojando besos.</v>
      </c>
    </row>
    <row r="29129">
      <c r="A29129" s="4" t="s">
        <v>36680</v>
      </c>
      <c r="B29129" s="4" t="s">
        <v>36686</v>
      </c>
      <c r="C29129" s="5" t="str">
        <f>IFERROR(__xludf.DUMMYFUNCTION("GOOGLETRANSLATE(B29129,""en"",""es-ES"")"),"El hombre está en el trampolín de 10 M y pone un soporte para hacer el salto a la piscina.")</f>
        <v>El hombre está en el trampolín de 10 M y pone un soporte para hacer el salto a la piscina.</v>
      </c>
    </row>
    <row r="29130">
      <c r="A29130" s="4" t="s">
        <v>36680</v>
      </c>
      <c r="B29130" s="4" t="s">
        <v>36687</v>
      </c>
      <c r="C29130" s="5" t="str">
        <f>IFERROR(__xludf.DUMMYFUNCTION("GOOGLETRANSLATE(B29130,""en"",""es-ES"")"),"La mujer queda impresionada en la piscina y tiene sus manos en su rostro.")</f>
        <v>La mujer queda impresionada en la piscina y tiene sus manos en su rostro.</v>
      </c>
    </row>
    <row r="29131">
      <c r="A29131" s="4" t="s">
        <v>36680</v>
      </c>
      <c r="B29131" s="4" t="s">
        <v>36688</v>
      </c>
      <c r="C29131" s="5" t="str">
        <f>IFERROR(__xludf.DUMMYFUNCTION("GOOGLETRANSLATE(B29131,""en"",""es-ES"")"),"El presentador está entrevistando al hombre.")</f>
        <v>El presentador está entrevistando al hombre.</v>
      </c>
    </row>
    <row r="29132">
      <c r="A29132" s="4" t="s">
        <v>36689</v>
      </c>
      <c r="B29132" s="4" t="s">
        <v>36690</v>
      </c>
      <c r="C29132" s="5" t="str">
        <f>IFERROR(__xludf.DUMMYFUNCTION("GOOGLETRANSLATE(B29132,""en"",""es-ES"")"),"Un grupo de personas viajan en caballos en un campo.")</f>
        <v>Un grupo de personas viajan en caballos en un campo.</v>
      </c>
    </row>
    <row r="29133">
      <c r="A29133" s="4" t="s">
        <v>36689</v>
      </c>
      <c r="B29133" s="4" t="s">
        <v>36691</v>
      </c>
      <c r="C29133" s="5" t="str">
        <f>IFERROR(__xludf.DUMMYFUNCTION("GOOGLETRANSLATE(B29133,""en"",""es-ES"")"),"Comienzan un juego de polo.")</f>
        <v>Comienzan un juego de polo.</v>
      </c>
    </row>
    <row r="29134">
      <c r="A29134" s="4" t="s">
        <v>36689</v>
      </c>
      <c r="B29134" s="4" t="s">
        <v>36692</v>
      </c>
      <c r="C29134" s="5" t="str">
        <f>IFERROR(__xludf.DUMMYFUNCTION("GOOGLETRANSLATE(B29134,""en"",""es-ES"")"),"Corren sus caballos, tratando de obtener la pelota.")</f>
        <v>Corren sus caballos, tratando de obtener la pelota.</v>
      </c>
    </row>
    <row r="29135">
      <c r="A29135" s="4" t="s">
        <v>36693</v>
      </c>
      <c r="B29135" s="4" t="s">
        <v>36694</v>
      </c>
      <c r="C29135" s="5" t="str">
        <f>IFERROR(__xludf.DUMMYFUNCTION("GOOGLETRANSLATE(B29135,""en"",""es-ES"")"),"Las mujeres están de pie sobre la arena observando mientras algunas otras mujeres surfean.")</f>
        <v>Las mujeres están de pie sobre la arena observando mientras algunas otras mujeres surfean.</v>
      </c>
    </row>
    <row r="29136">
      <c r="A29136" s="4" t="s">
        <v>36693</v>
      </c>
      <c r="B29136" s="4" t="s">
        <v>36695</v>
      </c>
      <c r="C29136" s="5" t="str">
        <f>IFERROR(__xludf.DUMMYFUNCTION("GOOGLETRANSLATE(B29136,""en"",""es-ES"")"),"Algunos de ellos están en el océano que conduce en las olas disfrutando del viaje.")</f>
        <v>Algunos de ellos están en el océano que conduce en las olas disfrutando del viaje.</v>
      </c>
    </row>
    <row r="29137">
      <c r="A29137" s="4" t="s">
        <v>36693</v>
      </c>
      <c r="B29137" s="4" t="s">
        <v>36696</v>
      </c>
      <c r="C29137" s="5" t="str">
        <f>IFERROR(__xludf.DUMMYFUNCTION("GOOGLETRANSLATE(B29137,""en"",""es-ES"")"),"Uno de ellos solo tiene un brazo y ella surfe muy bien, es increíble.")</f>
        <v>Uno de ellos solo tiene un brazo y ella surfe muy bien, es increíble.</v>
      </c>
    </row>
    <row r="29138">
      <c r="A29138" s="4" t="s">
        <v>36693</v>
      </c>
      <c r="B29138" s="4" t="s">
        <v>36697</v>
      </c>
      <c r="C29138" s="5" t="str">
        <f>IFERROR(__xludf.DUMMYFUNCTION("GOOGLETRANSLATE(B29138,""en"",""es-ES"")"),"La llevan y luego 4 chicas se paran mientras reciben regalos para su actuación y la niña con una sola mano puede hablar de eso.")</f>
        <v>La llevan y luego 4 chicas se paran mientras reciben regalos para su actuación y la niña con una sola mano puede hablar de eso.</v>
      </c>
    </row>
    <row r="29139">
      <c r="A29139" s="4" t="s">
        <v>36698</v>
      </c>
      <c r="B29139" s="4" t="s">
        <v>1487</v>
      </c>
      <c r="C29139" s="5" t="str">
        <f>IFERROR(__xludf.DUMMYFUNCTION("GOOGLETRANSLATE(B29139,""en"",""es-ES"")"),"Vemos una pantalla de título de apertura.")</f>
        <v>Vemos una pantalla de título de apertura.</v>
      </c>
    </row>
    <row r="29140">
      <c r="A29140" s="4" t="s">
        <v>36698</v>
      </c>
      <c r="B29140" s="4" t="s">
        <v>36699</v>
      </c>
      <c r="C29140" s="5" t="str">
        <f>IFERROR(__xludf.DUMMYFUNCTION("GOOGLETRANSLATE(B29140,""en"",""es-ES"")"),"Una mujer en una habitación oscura toca la batería con la mano.")</f>
        <v>Una mujer en una habitación oscura toca la batería con la mano.</v>
      </c>
    </row>
    <row r="29141">
      <c r="A29141" s="4" t="s">
        <v>36698</v>
      </c>
      <c r="B29141" s="4" t="s">
        <v>36700</v>
      </c>
      <c r="C29141" s="5" t="str">
        <f>IFERROR(__xludf.DUMMYFUNCTION("GOOGLETRANSLATE(B29141,""en"",""es-ES"")"),"La cámara se inclina en su lado y luego vuelve a la posición vertical.")</f>
        <v>La cámara se inclina en su lado y luego vuelve a la posición vertical.</v>
      </c>
    </row>
    <row r="29142">
      <c r="A29142" s="4" t="s">
        <v>36698</v>
      </c>
      <c r="B29142" s="4" t="s">
        <v>36701</v>
      </c>
      <c r="C29142" s="5" t="str">
        <f>IFERROR(__xludf.DUMMYFUNCTION("GOOGLETRANSLATE(B29142,""en"",""es-ES"")"),"Vemos la habitación alrededor de la dama.")</f>
        <v>Vemos la habitación alrededor de la dama.</v>
      </c>
    </row>
    <row r="29143">
      <c r="A29143" s="4" t="s">
        <v>36698</v>
      </c>
      <c r="B29143" s="4" t="s">
        <v>777</v>
      </c>
      <c r="C29143" s="5" t="str">
        <f>IFERROR(__xludf.DUMMYFUNCTION("GOOGLETRANSLATE(B29143,""en"",""es-ES"")"),"Vemos la pantalla de título final.")</f>
        <v>Vemos la pantalla de título final.</v>
      </c>
    </row>
    <row r="29144">
      <c r="A29144" s="4" t="s">
        <v>36702</v>
      </c>
      <c r="B29144" s="4" t="s">
        <v>36703</v>
      </c>
      <c r="C29144" s="5" t="str">
        <f>IFERROR(__xludf.DUMMYFUNCTION("GOOGLETRANSLATE(B29144,""en"",""es-ES"")"),"Se ve a una mujer sentada en un equipo de ejercicio mirando hacia adelante.")</f>
        <v>Se ve a una mujer sentada en un equipo de ejercicio mirando hacia adelante.</v>
      </c>
    </row>
    <row r="29145">
      <c r="A29145" s="4" t="s">
        <v>36702</v>
      </c>
      <c r="B29145" s="4" t="s">
        <v>36704</v>
      </c>
      <c r="C29145" s="5" t="str">
        <f>IFERROR(__xludf.DUMMYFUNCTION("GOOGLETRANSLATE(B29145,""en"",""es-ES"")"),"Luego agarra la palanca en el frente y comienza a tirarse.")</f>
        <v>Luego agarra la palanca en el frente y comienza a tirarse.</v>
      </c>
    </row>
    <row r="29146">
      <c r="A29146" s="4" t="s">
        <v>36702</v>
      </c>
      <c r="B29146" s="4" t="s">
        <v>36705</v>
      </c>
      <c r="C29146" s="5" t="str">
        <f>IFERROR(__xludf.DUMMYFUNCTION("GOOGLETRANSLATE(B29146,""en"",""es-ES"")"),"Luego, la niña se detiene y cuarto en la máquina mientras la cámara captura sus movimientos.")</f>
        <v>Luego, la niña se detiene y cuarto en la máquina mientras la cámara captura sus movimientos.</v>
      </c>
    </row>
    <row r="29147">
      <c r="A29147" s="4" t="s">
        <v>36706</v>
      </c>
      <c r="B29147" s="4" t="s">
        <v>36707</v>
      </c>
      <c r="C29147" s="5" t="str">
        <f>IFERROR(__xludf.DUMMYFUNCTION("GOOGLETRANSLATE(B29147,""en"",""es-ES"")"),"Un hombre con Dreads está hablando y reuniendo sus instrumentos para hacer algo de música.")</f>
        <v>Un hombre con Dreads está hablando y reuniendo sus instrumentos para hacer algo de música.</v>
      </c>
    </row>
    <row r="29148">
      <c r="A29148" s="4" t="s">
        <v>36706</v>
      </c>
      <c r="B29148" s="4" t="s">
        <v>36708</v>
      </c>
      <c r="C29148" s="5" t="str">
        <f>IFERROR(__xludf.DUMMYFUNCTION("GOOGLETRANSLATE(B29148,""en"",""es-ES"")"),"Él está golpeando en el auto muy felizmente.")</f>
        <v>Él está golpeando en el auto muy felizmente.</v>
      </c>
    </row>
    <row r="29149">
      <c r="A29149" s="4" t="s">
        <v>36706</v>
      </c>
      <c r="B29149" s="4" t="s">
        <v>36709</v>
      </c>
      <c r="C29149" s="5" t="str">
        <f>IFERROR(__xludf.DUMMYFUNCTION("GOOGLETRANSLATE(B29149,""en"",""es-ES"")"),"También hay mucho tráfico y ambulencia conduciendo.")</f>
        <v>También hay mucho tráfico y ambulencia conduciendo.</v>
      </c>
    </row>
    <row r="29150">
      <c r="A29150" s="4" t="s">
        <v>36706</v>
      </c>
      <c r="B29150" s="4" t="s">
        <v>36710</v>
      </c>
      <c r="C29150" s="5" t="str">
        <f>IFERROR(__xludf.DUMMYFUNCTION("GOOGLETRANSLATE(B29150,""en"",""es-ES"")"),"Grabe toda la música en una computadora portátil.")</f>
        <v>Grabe toda la música en una computadora portátil.</v>
      </c>
    </row>
    <row r="29151">
      <c r="A29151" s="4" t="s">
        <v>36711</v>
      </c>
      <c r="B29151" s="4" t="s">
        <v>36712</v>
      </c>
      <c r="C29151" s="5" t="str">
        <f>IFERROR(__xludf.DUMMYFUNCTION("GOOGLETRANSLATE(B29151,""en"",""es-ES"")"),"El niño se para en el fondo de una pequeña escalera y luego camina hacia arriba para deslizarse por el tobogán azul.")</f>
        <v>El niño se para en el fondo de una pequeña escalera y luego camina hacia arriba para deslizarse por el tobogán azul.</v>
      </c>
    </row>
    <row r="29152">
      <c r="A29152" s="4" t="s">
        <v>36711</v>
      </c>
      <c r="B29152" s="4" t="s">
        <v>36713</v>
      </c>
      <c r="C29152" s="5" t="str">
        <f>IFERROR(__xludf.DUMMYFUNCTION("GOOGLETRANSLATE(B29152,""en"",""es-ES"")"),"Cuando termine de deslizarse hacia abajo, huye e intenta salir por la puerta.")</f>
        <v>Cuando termine de deslizarse hacia abajo, huye e intenta salir por la puerta.</v>
      </c>
    </row>
    <row r="29153">
      <c r="A29153" s="4" t="s">
        <v>36714</v>
      </c>
      <c r="B29153" s="4" t="s">
        <v>36715</v>
      </c>
      <c r="C29153" s="5" t="str">
        <f>IFERROR(__xludf.DUMMYFUNCTION("GOOGLETRANSLATE(B29153,""en"",""es-ES"")"),"El hombre está hablando con la cámara limpiando un cobertizo de madera y comienza a pintarlo.")</f>
        <v>El hombre está hablando con la cámara limpiando un cobertizo de madera y comienza a pintarlo.</v>
      </c>
    </row>
    <row r="29154">
      <c r="A29154" s="4" t="s">
        <v>36714</v>
      </c>
      <c r="B29154" s="4" t="s">
        <v>36716</v>
      </c>
      <c r="C29154" s="5" t="str">
        <f>IFERROR(__xludf.DUMMYFUNCTION("GOOGLETRANSLATE(B29154,""en"",""es-ES"")"),"El hombre mezcla la pintura y con un pincel barniz todo el cobertizo.")</f>
        <v>El hombre mezcla la pintura y con un pincel barniz todo el cobertizo.</v>
      </c>
    </row>
    <row r="29155">
      <c r="A29155" s="4" t="s">
        <v>36714</v>
      </c>
      <c r="B29155" s="4" t="s">
        <v>36717</v>
      </c>
      <c r="C29155" s="5" t="str">
        <f>IFERROR(__xludf.DUMMYFUNCTION("GOOGLETRANSLATE(B29155,""en"",""es-ES"")"),"Al final, el hombre habla con la cámara y muestra la lista de materiales.")</f>
        <v>Al final, el hombre habla con la cámara y muestra la lista de materiales.</v>
      </c>
    </row>
    <row r="29156">
      <c r="A29156" s="4" t="s">
        <v>36718</v>
      </c>
      <c r="B29156" s="4" t="s">
        <v>1487</v>
      </c>
      <c r="C29156" s="5" t="str">
        <f>IFERROR(__xludf.DUMMYFUNCTION("GOOGLETRANSLATE(B29156,""en"",""es-ES"")"),"Vemos una pantalla de título de apertura.")</f>
        <v>Vemos una pantalla de título de apertura.</v>
      </c>
    </row>
    <row r="29157">
      <c r="A29157" s="4" t="s">
        <v>36718</v>
      </c>
      <c r="B29157" s="4" t="s">
        <v>36719</v>
      </c>
      <c r="C29157" s="5" t="str">
        <f>IFERROR(__xludf.DUMMYFUNCTION("GOOGLETRANSLATE(B29157,""en"",""es-ES"")"),"Vemos una escena de la ciudad por la noche.")</f>
        <v>Vemos una escena de la ciudad por la noche.</v>
      </c>
    </row>
    <row r="29158">
      <c r="A29158" s="4" t="s">
        <v>36718</v>
      </c>
      <c r="B29158" s="4" t="s">
        <v>36720</v>
      </c>
      <c r="C29158" s="5" t="str">
        <f>IFERROR(__xludf.DUMMYFUNCTION("GOOGLETRANSLATE(B29158,""en"",""es-ES"")"),"Vemos gente jugando al fútbol al aire libre por la noche.")</f>
        <v>Vemos gente jugando al fútbol al aire libre por la noche.</v>
      </c>
    </row>
    <row r="29159">
      <c r="A29159" s="4" t="s">
        <v>36718</v>
      </c>
      <c r="B29159" s="4" t="s">
        <v>36721</v>
      </c>
      <c r="C29159" s="5" t="str">
        <f>IFERROR(__xludf.DUMMYFUNCTION("GOOGLETRANSLATE(B29159,""en"",""es-ES"")"),"Un hombre cae en el suelo.")</f>
        <v>Un hombre cae en el suelo.</v>
      </c>
    </row>
    <row r="29160">
      <c r="A29160" s="4" t="s">
        <v>36718</v>
      </c>
      <c r="B29160" s="4" t="s">
        <v>36722</v>
      </c>
      <c r="C29160" s="5" t="str">
        <f>IFERROR(__xludf.DUMMYFUNCTION("GOOGLETRANSLATE(B29160,""en"",""es-ES"")"),"Vemos a un hombre cambiando la pelota con los pies.")</f>
        <v>Vemos a un hombre cambiando la pelota con los pies.</v>
      </c>
    </row>
    <row r="29161">
      <c r="A29161" s="4" t="s">
        <v>36718</v>
      </c>
      <c r="B29161" s="4" t="s">
        <v>36723</v>
      </c>
      <c r="C29161" s="5" t="str">
        <f>IFERROR(__xludf.DUMMYFUNCTION("GOOGLETRANSLATE(B29161,""en"",""es-ES"")"),"Vemos a dos hombres altos cinco.")</f>
        <v>Vemos a dos hombres altos cinco.</v>
      </c>
    </row>
    <row r="29162">
      <c r="A29162" s="4" t="s">
        <v>36718</v>
      </c>
      <c r="B29162" s="4" t="s">
        <v>36724</v>
      </c>
      <c r="C29162" s="5" t="str">
        <f>IFERROR(__xludf.DUMMYFUNCTION("GOOGLETRANSLATE(B29162,""en"",""es-ES"")"),"Vemos la pantalla de mosaico de cierre.")</f>
        <v>Vemos la pantalla de mosaico de cierre.</v>
      </c>
    </row>
    <row r="29163">
      <c r="A29163" s="4" t="s">
        <v>36725</v>
      </c>
      <c r="B29163" s="4" t="s">
        <v>36726</v>
      </c>
      <c r="C29163" s="5" t="str">
        <f>IFERROR(__xludf.DUMMYFUNCTION("GOOGLETRANSLATE(B29163,""en"",""es-ES"")"),"Dos chicas están afuera en un patio.")</f>
        <v>Dos chicas están afuera en un patio.</v>
      </c>
    </row>
    <row r="29164">
      <c r="A29164" s="4" t="s">
        <v>36725</v>
      </c>
      <c r="B29164" s="4" t="s">
        <v>36727</v>
      </c>
      <c r="C29164" s="5" t="str">
        <f>IFERROR(__xludf.DUMMYFUNCTION("GOOGLETRANSLATE(B29164,""en"",""es-ES"")"),"Están rebotando y lanzándose una pelota el uno al otro.")</f>
        <v>Están rebotando y lanzándose una pelota el uno al otro.</v>
      </c>
    </row>
    <row r="29165">
      <c r="A29165" s="4" t="s">
        <v>36725</v>
      </c>
      <c r="B29165" s="4" t="s">
        <v>36728</v>
      </c>
      <c r="C29165" s="5" t="str">
        <f>IFERROR(__xludf.DUMMYFUNCTION("GOOGLETRANSLATE(B29165,""en"",""es-ES"")"),"Se persiguen con la pelota juguetonamente.")</f>
        <v>Se persiguen con la pelota juguetonamente.</v>
      </c>
    </row>
    <row r="29166">
      <c r="A29166" s="4" t="s">
        <v>36725</v>
      </c>
      <c r="B29166" s="4" t="s">
        <v>36729</v>
      </c>
      <c r="C29166" s="5" t="str">
        <f>IFERROR(__xludf.DUMMYFUNCTION("GOOGLETRANSLATE(B29166,""en"",""es-ES"")"),"Corren a la cámara y hablan por un tiempo.")</f>
        <v>Corren a la cámara y hablan por un tiempo.</v>
      </c>
    </row>
    <row r="29167">
      <c r="A29167" s="4" t="s">
        <v>36730</v>
      </c>
      <c r="B29167" s="4" t="s">
        <v>36731</v>
      </c>
      <c r="C29167" s="5" t="str">
        <f>IFERROR(__xludf.DUMMYFUNCTION("GOOGLETRANSLATE(B29167,""en"",""es-ES"")"),"Vemos una tienda de helado afuera.")</f>
        <v>Vemos una tienda de helado afuera.</v>
      </c>
    </row>
    <row r="29168">
      <c r="A29168" s="4" t="s">
        <v>36730</v>
      </c>
      <c r="B29168" s="4" t="s">
        <v>36732</v>
      </c>
      <c r="C29168" s="5" t="str">
        <f>IFERROR(__xludf.DUMMYFUNCTION("GOOGLETRANSLATE(B29168,""en"",""es-ES"")"),"Vemos una pantalla de título para un pastel.")</f>
        <v>Vemos una pantalla de título para un pastel.</v>
      </c>
    </row>
    <row r="29169">
      <c r="A29169" s="4" t="s">
        <v>36730</v>
      </c>
      <c r="B29169" s="4" t="s">
        <v>36733</v>
      </c>
      <c r="C29169" s="5" t="str">
        <f>IFERROR(__xludf.DUMMYFUNCTION("GOOGLETRANSLATE(B29169,""en"",""es-ES"")"),"Luego vemos a una dama cocinando.")</f>
        <v>Luego vemos a una dama cocinando.</v>
      </c>
    </row>
    <row r="29170">
      <c r="A29170" s="4" t="s">
        <v>36730</v>
      </c>
      <c r="B29170" s="4" t="s">
        <v>36734</v>
      </c>
      <c r="C29170" s="5" t="str">
        <f>IFERROR(__xludf.DUMMYFUNCTION("GOOGLETRANSLATE(B29170,""en"",""es-ES"")"),"La señora pone helado en un tazón.")</f>
        <v>La señora pone helado en un tazón.</v>
      </c>
    </row>
    <row r="29171">
      <c r="A29171" s="4" t="s">
        <v>36730</v>
      </c>
      <c r="B29171" s="4" t="s">
        <v>36735</v>
      </c>
      <c r="C29171" s="5" t="str">
        <f>IFERROR(__xludf.DUMMYFUNCTION("GOOGLETRANSLATE(B29171,""en"",""es-ES"")"),"La señora le pone crujientes de arroz.")</f>
        <v>La señora le pone crujientes de arroz.</v>
      </c>
    </row>
    <row r="29172">
      <c r="A29172" s="4" t="s">
        <v>36730</v>
      </c>
      <c r="B29172" s="4" t="s">
        <v>36736</v>
      </c>
      <c r="C29172" s="5" t="str">
        <f>IFERROR(__xludf.DUMMYFUNCTION("GOOGLETRANSLATE(B29172,""en"",""es-ES"")"),"La señora pone una cúpula en una cúpula de chocolate y le pone un círculo de crujientes.")</f>
        <v>La señora pone una cúpula en una cúpula de chocolate y le pone un círculo de crujientes.</v>
      </c>
    </row>
    <row r="29173">
      <c r="A29173" s="4" t="s">
        <v>36730</v>
      </c>
      <c r="B29173" s="4" t="s">
        <v>36737</v>
      </c>
      <c r="C29173" s="5" t="str">
        <f>IFERROR(__xludf.DUMMYFUNCTION("GOOGLETRANSLATE(B29173,""en"",""es-ES"")"),"La señora pone agujeros en una cúpula de chocolate.")</f>
        <v>La señora pone agujeros en una cúpula de chocolate.</v>
      </c>
    </row>
    <row r="29174">
      <c r="A29174" s="4" t="s">
        <v>36730</v>
      </c>
      <c r="B29174" s="4" t="s">
        <v>36738</v>
      </c>
      <c r="C29174" s="5" t="str">
        <f>IFERROR(__xludf.DUMMYFUNCTION("GOOGLETRANSLATE(B29174,""en"",""es-ES"")"),"La señora rocía las cúpulas.")</f>
        <v>La señora rocía las cúpulas.</v>
      </c>
    </row>
    <row r="29175">
      <c r="A29175" s="4" t="s">
        <v>36730</v>
      </c>
      <c r="B29175" s="4" t="s">
        <v>36739</v>
      </c>
      <c r="C29175" s="5" t="str">
        <f>IFERROR(__xludf.DUMMYFUNCTION("GOOGLETRANSLATE(B29175,""en"",""es-ES"")"),"La señora pone la cúpula roja encima de una negra y coloca la cúpula con agujeros encima.")</f>
        <v>La señora pone la cúpula roja encima de una negra y coloca la cúpula con agujeros encima.</v>
      </c>
    </row>
    <row r="29176">
      <c r="A29176" s="4" t="s">
        <v>36730</v>
      </c>
      <c r="B29176" s="4" t="s">
        <v>36740</v>
      </c>
      <c r="C29176" s="5" t="str">
        <f>IFERROR(__xludf.DUMMYFUNCTION("GOOGLETRANSLATE(B29176,""en"",""es-ES"")"),"La señora pone el pastel en una vitrina.")</f>
        <v>La señora pone el pastel en una vitrina.</v>
      </c>
    </row>
    <row r="29177">
      <c r="A29177" s="4" t="s">
        <v>36730</v>
      </c>
      <c r="B29177" s="4" t="s">
        <v>2486</v>
      </c>
      <c r="C29177" s="5" t="str">
        <f>IFERROR(__xludf.DUMMYFUNCTION("GOOGLETRANSLATE(B29177,""en"",""es-ES"")"),"Vemos la pantalla de cierre.")</f>
        <v>Vemos la pantalla de cierre.</v>
      </c>
    </row>
    <row r="29178">
      <c r="A29178" s="4" t="s">
        <v>36741</v>
      </c>
      <c r="B29178" s="4" t="s">
        <v>36742</v>
      </c>
      <c r="C29178" s="5" t="str">
        <f>IFERROR(__xludf.DUMMYFUNCTION("GOOGLETRANSLATE(B29178,""en"",""es-ES"")"),"Se ve a una persona pararse en la distancia con otra parada alrededor de un agujero.")</f>
        <v>Se ve a una persona pararse en la distancia con otra parada alrededor de un agujero.</v>
      </c>
    </row>
    <row r="29179">
      <c r="A29179" s="4" t="s">
        <v>36741</v>
      </c>
      <c r="B29179" s="4" t="s">
        <v>36743</v>
      </c>
      <c r="C29179" s="5" t="str">
        <f>IFERROR(__xludf.DUMMYFUNCTION("GOOGLETRANSLATE(B29179,""en"",""es-ES"")"),"La persona usa un poste de pesca en el agujero e intenta sacar un pez.")</f>
        <v>La persona usa un poste de pesca en el agujero e intenta sacar un pez.</v>
      </c>
    </row>
    <row r="29180">
      <c r="A29180" s="4" t="s">
        <v>36741</v>
      </c>
      <c r="B29180" s="4" t="s">
        <v>36744</v>
      </c>
      <c r="C29180" s="5" t="str">
        <f>IFERROR(__xludf.DUMMYFUNCTION("GOOGLETRANSLATE(B29180,""en"",""es-ES"")"),"La persona continúa tirando mientras el otro observa a un lado.")</f>
        <v>La persona continúa tirando mientras el otro observa a un lado.</v>
      </c>
    </row>
    <row r="29181">
      <c r="A29181" s="4" t="s">
        <v>36745</v>
      </c>
      <c r="B29181" s="4" t="s">
        <v>36746</v>
      </c>
      <c r="C29181" s="5" t="str">
        <f>IFERROR(__xludf.DUMMYFUNCTION("GOOGLETRANSLATE(B29181,""en"",""es-ES"")"),"Se ve a una mujer cepillando el cabello húmedo y frotando loción por todo el cabello.")</f>
        <v>Se ve a una mujer cepillando el cabello húmedo y frotando loción por todo el cabello.</v>
      </c>
    </row>
    <row r="29182">
      <c r="A29182" s="4" t="s">
        <v>36745</v>
      </c>
      <c r="B29182" s="4" t="s">
        <v>36747</v>
      </c>
      <c r="C29182" s="5" t="str">
        <f>IFERROR(__xludf.DUMMYFUNCTION("GOOGLETRANSLATE(B29182,""en"",""es-ES"")"),"Luego se seca el cabello y se lo ve nuevamente con su cabello clavado alrededor de la parte superior.")</f>
        <v>Luego se seca el cabello y se lo ve nuevamente con su cabello clavado alrededor de la parte superior.</v>
      </c>
    </row>
    <row r="29183">
      <c r="A29183" s="4" t="s">
        <v>36745</v>
      </c>
      <c r="B29183" s="4" t="s">
        <v>36748</v>
      </c>
      <c r="C29183" s="5" t="str">
        <f>IFERROR(__xludf.DUMMYFUNCTION("GOOGLETRANSLATE(B29183,""en"",""es-ES"")"),"Slies se seca el fondo de su cabello y luego se lo ve nuevamente con todo su cabello inmovilizado.")</f>
        <v>Slies se seca el fondo de su cabello y luego se lo ve nuevamente con todo su cabello inmovilizado.</v>
      </c>
    </row>
    <row r="29184">
      <c r="A29184" s="4" t="s">
        <v>36745</v>
      </c>
      <c r="B29184" s="4" t="s">
        <v>36749</v>
      </c>
      <c r="C29184" s="5" t="str">
        <f>IFERROR(__xludf.DUMMYFUNCTION("GOOGLETRANSLATE(B29184,""en"",""es-ES"")"),"Ella deshace los alfileres para mostrar su nuevo cabello.")</f>
        <v>Ella deshace los alfileres para mostrar su nuevo cabello.</v>
      </c>
    </row>
    <row r="29185">
      <c r="A29185" s="4" t="s">
        <v>36750</v>
      </c>
      <c r="B29185" s="4" t="s">
        <v>36751</v>
      </c>
      <c r="C29185" s="5" t="str">
        <f>IFERROR(__xludf.DUMMYFUNCTION("GOOGLETRANSLATE(B29185,""en"",""es-ES"")"),"Un niño pequeño juega con piano en una casa, entonces, se inclina hacia la izquierda y habla.")</f>
        <v>Un niño pequeño juega con piano en una casa, entonces, se inclina hacia la izquierda y habla.</v>
      </c>
    </row>
    <row r="29186">
      <c r="A29186" s="4" t="s">
        <v>36750</v>
      </c>
      <c r="B29186" s="4" t="s">
        <v>36752</v>
      </c>
      <c r="C29186" s="5" t="str">
        <f>IFERROR(__xludf.DUMMYFUNCTION("GOOGLETRANSLATE(B29186,""en"",""es-ES"")"),"Después, el niño continúa jugando el piano, luego descansa.")</f>
        <v>Después, el niño continúa jugando el piano, luego descansa.</v>
      </c>
    </row>
    <row r="29187">
      <c r="A29187" s="4" t="s">
        <v>36750</v>
      </c>
      <c r="B29187" s="4" t="s">
        <v>36753</v>
      </c>
      <c r="C29187" s="5" t="str">
        <f>IFERROR(__xludf.DUMMYFUNCTION("GOOGLETRANSLATE(B29187,""en"",""es-ES"")"),"El niño cambia de ropa y continúa jugando el piano.")</f>
        <v>El niño cambia de ropa y continúa jugando el piano.</v>
      </c>
    </row>
    <row r="29188">
      <c r="A29188" s="4" t="s">
        <v>36754</v>
      </c>
      <c r="B29188" s="4" t="s">
        <v>36755</v>
      </c>
      <c r="C29188" s="5" t="str">
        <f>IFERROR(__xludf.DUMMYFUNCTION("GOOGLETRANSLATE(B29188,""en"",""es-ES"")"),"Un perro peludo está bañando de un veterinario.")</f>
        <v>Un perro peludo está bañando de un veterinario.</v>
      </c>
    </row>
    <row r="29189">
      <c r="A29189" s="4" t="s">
        <v>36754</v>
      </c>
      <c r="B29189" s="4" t="s">
        <v>36756</v>
      </c>
      <c r="C29189" s="5" t="str">
        <f>IFERROR(__xludf.DUMMYFUNCTION("GOOGLETRANSLATE(B29189,""en"",""es-ES"")"),"El veterinario está secando al perro después de lavarlo.")</f>
        <v>El veterinario está secando al perro después de lavarlo.</v>
      </c>
    </row>
    <row r="29190">
      <c r="A29190" s="4" t="s">
        <v>36754</v>
      </c>
      <c r="B29190" s="4" t="s">
        <v>36757</v>
      </c>
      <c r="C29190" s="5" t="str">
        <f>IFERROR(__xludf.DUMMYFUNCTION("GOOGLETRANSLATE(B29190,""en"",""es-ES"")"),"Un veterinario diferente es acariciar y cepillar al perro.")</f>
        <v>Un veterinario diferente es acariciar y cepillar al perro.</v>
      </c>
    </row>
    <row r="29191">
      <c r="A29191" s="4" t="s">
        <v>36754</v>
      </c>
      <c r="B29191" s="4" t="s">
        <v>36758</v>
      </c>
      <c r="C29191" s="5" t="str">
        <f>IFERROR(__xludf.DUMMYFUNCTION("GOOGLETRANSLATE(B29191,""en"",""es-ES"")"),"Se reproduce un video montaje del perro y luego los acreditados.")</f>
        <v>Se reproduce un video montaje del perro y luego los acreditados.</v>
      </c>
    </row>
    <row r="29192">
      <c r="A29192" s="4" t="s">
        <v>36759</v>
      </c>
      <c r="B29192" s="4" t="s">
        <v>36760</v>
      </c>
      <c r="C29192" s="5" t="str">
        <f>IFERROR(__xludf.DUMMYFUNCTION("GOOGLETRANSLATE(B29192,""en"",""es-ES"")"),"Una niña está parada frente a un fregadero de cocina.")</f>
        <v>Una niña está parada frente a un fregadero de cocina.</v>
      </c>
    </row>
    <row r="29193">
      <c r="A29193" s="4" t="s">
        <v>36759</v>
      </c>
      <c r="B29193" s="4" t="s">
        <v>36761</v>
      </c>
      <c r="C29193" s="5" t="str">
        <f>IFERROR(__xludf.DUMMYFUNCTION("GOOGLETRANSLATE(B29193,""en"",""es-ES"")"),"Ella tiene un tazón y un cuchillo en la mano.")</f>
        <v>Ella tiene un tazón y un cuchillo en la mano.</v>
      </c>
    </row>
    <row r="29194">
      <c r="A29194" s="4" t="s">
        <v>36759</v>
      </c>
      <c r="B29194" s="4" t="s">
        <v>36762</v>
      </c>
      <c r="C29194" s="5" t="str">
        <f>IFERROR(__xludf.DUMMYFUNCTION("GOOGLETRANSLATE(B29194,""en"",""es-ES"")"),"Ella está pelando las papas con el cuchillo.")</f>
        <v>Ella está pelando las papas con el cuchillo.</v>
      </c>
    </row>
    <row r="29195">
      <c r="A29195" s="4" t="s">
        <v>36763</v>
      </c>
      <c r="B29195" s="4" t="s">
        <v>36764</v>
      </c>
      <c r="C29195" s="5" t="str">
        <f>IFERROR(__xludf.DUMMYFUNCTION("GOOGLETRANSLATE(B29195,""en"",""es-ES"")"),"Dos niños con camisas a juego se sientan en un sofá y hablan con un juguete de dulces en sus manos mientras sostienen los dulces hasta la cámara, juegan con los botones de juguete de dulces y hablan.")</f>
        <v>Dos niños con camisas a juego se sientan en un sofá y hablan con un juguete de dulces en sus manos mientras sostienen los dulces hasta la cámara, juegan con los botones de juguete de dulces y hablan.</v>
      </c>
    </row>
    <row r="29196">
      <c r="A29196" s="4" t="s">
        <v>36763</v>
      </c>
      <c r="B29196" s="4" t="s">
        <v>36765</v>
      </c>
      <c r="C29196" s="5" t="str">
        <f>IFERROR(__xludf.DUMMYFUNCTION("GOOGLETRANSLATE(B29196,""en"",""es-ES"")"),"Los dos muchachos se burlan de la pelea con el caramelo de juguete, que tiene la forma de una mano con dedos retráctiles, y la cámara se acelera cuando hacen esto.")</f>
        <v>Los dos muchachos se burlan de la pelea con el caramelo de juguete, que tiene la forma de una mano con dedos retráctiles, y la cámara se acelera cuando hacen esto.</v>
      </c>
    </row>
    <row r="29197">
      <c r="A29197" s="4" t="s">
        <v>36763</v>
      </c>
      <c r="B29197" s="4" t="s">
        <v>36766</v>
      </c>
      <c r="C29197" s="5" t="str">
        <f>IFERROR(__xludf.DUMMYFUNCTION("GOOGLETRANSLATE(B29197,""en"",""es-ES"")"),"Luego, los muchachos cambian de juguetes y abren los dulces de juguete en el que comienzan a comer los dulces y hablan mientras mastican.")</f>
        <v>Luego, los muchachos cambian de juguetes y abren los dulces de juguete en el que comienzan a comer los dulces y hablan mientras mastican.</v>
      </c>
    </row>
    <row r="29198">
      <c r="A29198" s="4" t="s">
        <v>36763</v>
      </c>
      <c r="B29198" s="4" t="s">
        <v>36767</v>
      </c>
      <c r="C29198" s="5" t="str">
        <f>IFERROR(__xludf.DUMMYFUNCTION("GOOGLETRANSLATE(B29198,""en"",""es-ES"")"),"Luego se muestra un primer plano de los dulces de juguete, con el dulce en un telón de fondo granate y posó.")</f>
        <v>Luego se muestra un primer plano de los dulces de juguete, con el dulce en un telón de fondo granate y posó.</v>
      </c>
    </row>
    <row r="29199">
      <c r="A29199" s="4" t="s">
        <v>36768</v>
      </c>
      <c r="B29199" s="4" t="s">
        <v>36769</v>
      </c>
      <c r="C29199" s="5" t="str">
        <f>IFERROR(__xludf.DUMMYFUNCTION("GOOGLETRANSLATE(B29199,""en"",""es-ES"")"),"Una persona está en un campamento que empuja en el bosque.")</f>
        <v>Una persona está en un campamento que empuja en el bosque.</v>
      </c>
    </row>
    <row r="29200">
      <c r="A29200" s="4" t="s">
        <v>36768</v>
      </c>
      <c r="B29200" s="4" t="s">
        <v>36770</v>
      </c>
      <c r="C29200" s="5" t="str">
        <f>IFERROR(__xludf.DUMMYFUNCTION("GOOGLETRANSLATE(B29200,""en"",""es-ES"")"),"La cámara se muda a un niño mientras habla con la persona de la cámara.")</f>
        <v>La cámara se muda a un niño mientras habla con la persona de la cámara.</v>
      </c>
    </row>
    <row r="29201">
      <c r="A29201" s="4" t="s">
        <v>36768</v>
      </c>
      <c r="B29201" s="4" t="s">
        <v>36771</v>
      </c>
      <c r="C29201" s="5" t="str">
        <f>IFERROR(__xludf.DUMMYFUNCTION("GOOGLETRANSLATE(B29201,""en"",""es-ES"")"),"La persona de la cámara continúa narando la situación mientras graba el fuego.")</f>
        <v>La persona de la cámara continúa narando la situación mientras graba el fuego.</v>
      </c>
    </row>
    <row r="29202">
      <c r="A29202" s="4" t="s">
        <v>36772</v>
      </c>
      <c r="B29202" s="4" t="s">
        <v>36773</v>
      </c>
      <c r="C29202" s="5" t="str">
        <f>IFERROR(__xludf.DUMMYFUNCTION("GOOGLETRANSLATE(B29202,""en"",""es-ES"")"),"Varias personas se ven desde la vista de un pájaro trabajando en condiciones difíciles a la intemperie.")</f>
        <v>Varias personas se ven desde la vista de un pájaro trabajando en condiciones difíciles a la intemperie.</v>
      </c>
    </row>
    <row r="29203">
      <c r="A29203" s="4" t="s">
        <v>36772</v>
      </c>
      <c r="B29203" s="4" t="s">
        <v>36774</v>
      </c>
      <c r="C29203" s="5" t="str">
        <f>IFERROR(__xludf.DUMMYFUNCTION("GOOGLETRANSLATE(B29203,""en"",""es-ES"")"),"Están frotando ropa y colgándolos mientras la cámara se desplaza y observa.")</f>
        <v>Están frotando ropa y colgándolos mientras la cámara se desplaza y observa.</v>
      </c>
    </row>
    <row r="29204">
      <c r="A29204" s="4" t="s">
        <v>36775</v>
      </c>
      <c r="B29204" s="4" t="s">
        <v>36776</v>
      </c>
      <c r="C29204" s="5" t="str">
        <f>IFERROR(__xludf.DUMMYFUNCTION("GOOGLETRANSLATE(B29204,""en"",""es-ES"")"),"La gente camina al lado de un toro.")</f>
        <v>La gente camina al lado de un toro.</v>
      </c>
    </row>
    <row r="29205">
      <c r="A29205" s="4" t="s">
        <v>36775</v>
      </c>
      <c r="B29205" s="4" t="s">
        <v>36777</v>
      </c>
      <c r="C29205" s="5" t="str">
        <f>IFERROR(__xludf.DUMMYFUNCTION("GOOGLETRANSLATE(B29205,""en"",""es-ES"")"),"Hay un gran grupo caminando detrás del toro.")</f>
        <v>Hay un gran grupo caminando detrás del toro.</v>
      </c>
    </row>
    <row r="29206">
      <c r="A29206" s="4" t="s">
        <v>36775</v>
      </c>
      <c r="B29206" s="4" t="s">
        <v>36778</v>
      </c>
      <c r="C29206" s="5" t="str">
        <f>IFERROR(__xludf.DUMMYFUNCTION("GOOGLETRANSLATE(B29206,""en"",""es-ES"")"),"Hay otro toro y comienzan a pelear.")</f>
        <v>Hay otro toro y comienzan a pelear.</v>
      </c>
    </row>
    <row r="29207">
      <c r="A29207" s="4" t="s">
        <v>36775</v>
      </c>
      <c r="B29207" s="4" t="s">
        <v>36779</v>
      </c>
      <c r="C29207" s="5" t="str">
        <f>IFERROR(__xludf.DUMMYFUNCTION("GOOGLETRANSLATE(B29207,""en"",""es-ES"")"),"La multitud se está reuniendo alrededor de los toros.")</f>
        <v>La multitud se está reuniendo alrededor de los toros.</v>
      </c>
    </row>
    <row r="29208">
      <c r="A29208" s="4" t="s">
        <v>36775</v>
      </c>
      <c r="B29208" s="4" t="s">
        <v>36780</v>
      </c>
      <c r="C29208" s="5" t="str">
        <f>IFERROR(__xludf.DUMMYFUNCTION("GOOGLETRANSLATE(B29208,""en"",""es-ES"")"),"Un hombre con una camisa roja está hablando con un micrófono.")</f>
        <v>Un hombre con una camisa roja está hablando con un micrófono.</v>
      </c>
    </row>
    <row r="29209">
      <c r="A29209" s="4" t="s">
        <v>36775</v>
      </c>
      <c r="B29209" s="4" t="s">
        <v>36781</v>
      </c>
      <c r="C29209" s="5" t="str">
        <f>IFERROR(__xludf.DUMMYFUNCTION("GOOGLETRANSLATE(B29209,""en"",""es-ES"")"),"Un hombre se está poniendo una camisa negra.")</f>
        <v>Un hombre se está poniendo una camisa negra.</v>
      </c>
    </row>
    <row r="29210">
      <c r="A29210" s="4" t="s">
        <v>36782</v>
      </c>
      <c r="B29210" s="4" t="s">
        <v>36783</v>
      </c>
      <c r="C29210" s="5" t="str">
        <f>IFERROR(__xludf.DUMMYFUNCTION("GOOGLETRANSLATE(B29210,""en"",""es-ES"")"),"Un hombre de mediana edad está parado en el campo preparándose para golpear una pelota.")</f>
        <v>Un hombre de mediana edad está parado en el campo preparándose para golpear una pelota.</v>
      </c>
    </row>
    <row r="29211">
      <c r="A29211" s="4" t="s">
        <v>36782</v>
      </c>
      <c r="B29211" s="4" t="s">
        <v>36784</v>
      </c>
      <c r="C29211" s="5" t="str">
        <f>IFERROR(__xludf.DUMMYFUNCTION("GOOGLETRANSLATE(B29211,""en"",""es-ES"")"),"Una vez que el hombre golpea la pelota, es atrapado y los otros equipos saltan y aplauden con emoción y hay repetición.")</f>
        <v>Una vez que el hombre golpea la pelota, es atrapado y los otros equipos saltan y aplauden con emoción y hay repetición.</v>
      </c>
    </row>
    <row r="29212">
      <c r="A29212" s="4" t="s">
        <v>36785</v>
      </c>
      <c r="B29212" s="4" t="s">
        <v>36786</v>
      </c>
      <c r="C29212" s="5" t="str">
        <f>IFERROR(__xludf.DUMMYFUNCTION("GOOGLETRANSLATE(B29212,""en"",""es-ES"")"),"Un hombre muestra cómo afilar un cuchillo con una máquina.")</f>
        <v>Un hombre muestra cómo afilar un cuchillo con una máquina.</v>
      </c>
    </row>
    <row r="29213">
      <c r="A29213" s="4" t="s">
        <v>36785</v>
      </c>
      <c r="B29213" s="4" t="s">
        <v>36787</v>
      </c>
      <c r="C29213" s="5" t="str">
        <f>IFERROR(__xludf.DUMMYFUNCTION("GOOGLETRANSLATE(B29213,""en"",""es-ES"")"),"Luego, agudiza los cuchillos uno contra el otro.")</f>
        <v>Luego, agudiza los cuchillos uno contra el otro.</v>
      </c>
    </row>
    <row r="29214">
      <c r="A29214" s="4" t="s">
        <v>36788</v>
      </c>
      <c r="B29214" s="4" t="s">
        <v>36789</v>
      </c>
      <c r="C29214" s="5" t="str">
        <f>IFERROR(__xludf.DUMMYFUNCTION("GOOGLETRANSLATE(B29214,""en"",""es-ES"")"),"Se muestra un primer plano del cabello de una niña seguido por una persona que trenza su cabello.")</f>
        <v>Se muestra un primer plano del cabello de una niña seguido por una persona que trenza su cabello.</v>
      </c>
    </row>
    <row r="29215">
      <c r="A29215" s="4" t="s">
        <v>36788</v>
      </c>
      <c r="B29215" s="4" t="s">
        <v>36790</v>
      </c>
      <c r="C29215" s="5" t="str">
        <f>IFERROR(__xludf.DUMMYFUNCTION("GOOGLETRANSLATE(B29215,""en"",""es-ES"")"),"La persona continúa trenzando el cabello y la cámara se aleja de su rostro.")</f>
        <v>La persona continúa trenzando el cabello y la cámara se aleja de su rostro.</v>
      </c>
    </row>
    <row r="29216">
      <c r="A29216" s="4" t="s">
        <v>36791</v>
      </c>
      <c r="B29216" s="4" t="s">
        <v>36792</v>
      </c>
      <c r="C29216" s="5" t="str">
        <f>IFERROR(__xludf.DUMMYFUNCTION("GOOGLETRANSLATE(B29216,""en"",""es-ES"")"),"Varias personas están afuera viendo a unos cuatro hombres corriendo toros con una capa.")</f>
        <v>Varias personas están afuera viendo a unos cuatro hombres corriendo toros con una capa.</v>
      </c>
    </row>
    <row r="29217">
      <c r="A29217" s="4" t="s">
        <v>36791</v>
      </c>
      <c r="B29217" s="4" t="s">
        <v>36793</v>
      </c>
      <c r="C29217" s="5" t="str">
        <f>IFERROR(__xludf.DUMMYFUNCTION("GOOGLETRANSLATE(B29217,""en"",""es-ES"")"),"Una vez que el toro es atrapado, comienzan a moverlo y tienen dificultades porque la multitud está de espaldas.")</f>
        <v>Una vez que el toro es atrapado, comienzan a moverlo y tienen dificultades porque la multitud está de espaldas.</v>
      </c>
    </row>
    <row r="29218">
      <c r="A29218" s="4" t="s">
        <v>36791</v>
      </c>
      <c r="B29218" s="4" t="s">
        <v>36794</v>
      </c>
      <c r="C29218" s="5" t="str">
        <f>IFERROR(__xludf.DUMMYFUNCTION("GOOGLETRANSLATE(B29218,""en"",""es-ES"")"),"Luego, un hombre sin camisa se acuesta en la tierra, es pisoteado por el toro y salta feliz por lo que acaba de pasar.")</f>
        <v>Luego, un hombre sin camisa se acuesta en la tierra, es pisoteado por el toro y salta feliz por lo que acaba de pasar.</v>
      </c>
    </row>
    <row r="29219">
      <c r="A29219" s="4" t="s">
        <v>36791</v>
      </c>
      <c r="B29219" s="4" t="s">
        <v>36795</v>
      </c>
      <c r="C29219" s="5" t="str">
        <f>IFERROR(__xludf.DUMMYFUNCTION("GOOGLETRANSLATE(B29219,""en"",""es-ES"")"),"Viene otro toro, atropella a una persona y la persona permanece en el suelo y una multitud de personas viene corriendo hacia él colocando una manta sobre su cuerpo.")</f>
        <v>Viene otro toro, atropella a una persona y la persona permanece en el suelo y una multitud de personas viene corriendo hacia él colocando una manta sobre su cuerpo.</v>
      </c>
    </row>
    <row r="29220">
      <c r="A29220" s="4" t="s">
        <v>36796</v>
      </c>
      <c r="B29220" s="4" t="s">
        <v>36797</v>
      </c>
      <c r="C29220" s="5" t="str">
        <f>IFERROR(__xludf.DUMMYFUNCTION("GOOGLETRANSLATE(B29220,""en"",""es-ES"")"),"Se ve a un niño hablando con otros mientras envuelve zapatos de ballet a su alrededor y pasando junto a los demás.")</f>
        <v>Se ve a un niño hablando con otros mientras envuelve zapatos de ballet a su alrededor y pasando junto a los demás.</v>
      </c>
    </row>
    <row r="29221">
      <c r="A29221" s="4" t="s">
        <v>36796</v>
      </c>
      <c r="B29221" s="4" t="s">
        <v>36798</v>
      </c>
      <c r="C29221" s="5" t="str">
        <f>IFERROR(__xludf.DUMMYFUNCTION("GOOGLETRANSLATE(B29221,""en"",""es-ES"")"),"El hombre luego entra en la clase de ballet e interactúa con los bailarines y termina bebiendo una cerveza.")</f>
        <v>El hombre luego entra en la clase de ballet e interactúa con los bailarines y termina bebiendo una cerveza.</v>
      </c>
    </row>
    <row r="29222">
      <c r="A29222" s="4" t="s">
        <v>36799</v>
      </c>
      <c r="B29222" s="4" t="s">
        <v>36800</v>
      </c>
      <c r="C29222" s="5" t="str">
        <f>IFERROR(__xludf.DUMMYFUNCTION("GOOGLETRANSLATE(B29222,""en"",""es-ES"")"),"Una dama y una niña están en la habitación con un árbol de Navidad.")</f>
        <v>Una dama y una niña están en la habitación con un árbol de Navidad.</v>
      </c>
    </row>
    <row r="29223">
      <c r="A29223" s="4" t="s">
        <v>36799</v>
      </c>
      <c r="B29223" s="4" t="s">
        <v>36801</v>
      </c>
      <c r="C29223" s="5" t="str">
        <f>IFERROR(__xludf.DUMMYFUNCTION("GOOGLETRANSLATE(B29223,""en"",""es-ES"")"),"Las luces están encendidas en el árbol y la niña baila frente a él.")</f>
        <v>Las luces están encendidas en el árbol y la niña baila frente a él.</v>
      </c>
    </row>
    <row r="29224">
      <c r="A29224" s="4" t="s">
        <v>36799</v>
      </c>
      <c r="B29224" s="4" t="s">
        <v>36802</v>
      </c>
      <c r="C29224" s="5" t="str">
        <f>IFERROR(__xludf.DUMMYFUNCTION("GOOGLETRANSLATE(B29224,""en"",""es-ES"")"),"Un niño juega y saca adornos del árbol y los muestra a la cámara.")</f>
        <v>Un niño juega y saca adornos del árbol y los muestra a la cámara.</v>
      </c>
    </row>
    <row r="29225">
      <c r="A29225" s="4" t="s">
        <v>36799</v>
      </c>
      <c r="B29225" s="4" t="s">
        <v>36803</v>
      </c>
      <c r="C29225" s="5" t="str">
        <f>IFERROR(__xludf.DUMMYFUNCTION("GOOGLETRANSLATE(B29225,""en"",""es-ES"")"),"El hombre lo toma y lo muestra a la cámara y luego lo vuelve a colocar.")</f>
        <v>El hombre lo toma y lo muestra a la cámara y luego lo vuelve a colocar.</v>
      </c>
    </row>
    <row r="29226">
      <c r="A29226" s="4" t="s">
        <v>36804</v>
      </c>
      <c r="B29226" s="4" t="s">
        <v>36805</v>
      </c>
      <c r="C29226" s="5" t="str">
        <f>IFERROR(__xludf.DUMMYFUNCTION("GOOGLETRANSLATE(B29226,""en"",""es-ES"")"),"Se ve a una niña hablando con la cámara en el piso.")</f>
        <v>Se ve a una niña hablando con la cámara en el piso.</v>
      </c>
    </row>
    <row r="29227">
      <c r="A29227" s="4" t="s">
        <v>36804</v>
      </c>
      <c r="B29227" s="4" t="s">
        <v>36806</v>
      </c>
      <c r="C29227" s="5" t="str">
        <f>IFERROR(__xludf.DUMMYFUNCTION("GOOGLETRANSLATE(B29227,""en"",""es-ES"")"),"Se ve a otra mujer sentada en un columpio mirando a la cámara.")</f>
        <v>Se ve a otra mujer sentada en un columpio mirando a la cámara.</v>
      </c>
    </row>
    <row r="29228">
      <c r="A29228" s="4" t="s">
        <v>36804</v>
      </c>
      <c r="B29228" s="4" t="s">
        <v>36807</v>
      </c>
      <c r="C29228" s="5" t="str">
        <f>IFERROR(__xludf.DUMMYFUNCTION("GOOGLETRANSLATE(B29228,""en"",""es-ES"")"),"La mujer regresa y cuarto mientras mira su mano.")</f>
        <v>La mujer regresa y cuarto mientras mira su mano.</v>
      </c>
    </row>
    <row r="29229">
      <c r="A29229" s="4" t="s">
        <v>36808</v>
      </c>
      <c r="B29229" s="4" t="s">
        <v>36809</v>
      </c>
      <c r="C29229" s="5" t="str">
        <f>IFERROR(__xludf.DUMMYFUNCTION("GOOGLETRANSLATE(B29229,""en"",""es-ES"")"),"Un hombre con traje está tocando un piano.")</f>
        <v>Un hombre con traje está tocando un piano.</v>
      </c>
    </row>
    <row r="29230">
      <c r="A29230" s="4" t="s">
        <v>36808</v>
      </c>
      <c r="B29230" s="4" t="s">
        <v>36810</v>
      </c>
      <c r="C29230" s="5" t="str">
        <f>IFERROR(__xludf.DUMMYFUNCTION("GOOGLETRANSLATE(B29230,""en"",""es-ES"")"),"La audiencia se levanta y aplaude para él.")</f>
        <v>La audiencia se levanta y aplaude para él.</v>
      </c>
    </row>
    <row r="29231">
      <c r="A29231" s="4" t="s">
        <v>36808</v>
      </c>
      <c r="B29231" s="4" t="s">
        <v>36811</v>
      </c>
      <c r="C29231" s="5" t="str">
        <f>IFERROR(__xludf.DUMMYFUNCTION("GOOGLETRANSLATE(B29231,""en"",""es-ES"")"),"La gente se abraza y se mezclan en un escenario.")</f>
        <v>La gente se abraza y se mezclan en un escenario.</v>
      </c>
    </row>
    <row r="29232">
      <c r="A29232" s="4" t="s">
        <v>36812</v>
      </c>
      <c r="B29232" s="4" t="s">
        <v>36813</v>
      </c>
      <c r="C29232" s="5" t="str">
        <f>IFERROR(__xludf.DUMMYFUNCTION("GOOGLETRANSLATE(B29232,""en"",""es-ES"")"),"Se ve a un pequeño grupo de personas cabalgando en autos de parachoques mientras se topan entre sí.")</f>
        <v>Se ve a un pequeño grupo de personas cabalgando en autos de parachoques mientras se topan entre sí.</v>
      </c>
    </row>
    <row r="29233">
      <c r="A29233" s="4" t="s">
        <v>36812</v>
      </c>
      <c r="B29233" s="4" t="s">
        <v>36814</v>
      </c>
      <c r="C29233" s="5" t="str">
        <f>IFERROR(__xludf.DUMMYFUNCTION("GOOGLETRANSLATE(B29233,""en"",""es-ES"")"),"Los niños continúan conduciendo los autos cuando un hombre entra y sale del marco asegurándose de que los niños y los padres estén a salvo.")</f>
        <v>Los niños continúan conduciendo los autos cuando un hombre entra y sale del marco asegurándose de que los niños y los padres estén a salvo.</v>
      </c>
    </row>
    <row r="29234">
      <c r="A29234" s="4" t="s">
        <v>36815</v>
      </c>
      <c r="B29234" s="4" t="s">
        <v>36816</v>
      </c>
      <c r="C29234" s="5" t="str">
        <f>IFERROR(__xludf.DUMMYFUNCTION("GOOGLETRANSLATE(B29234,""en"",""es-ES"")"),"Se ve un jardín al aire libre y un hombre con camiseta se encuentra con un par de visos.")</f>
        <v>Se ve un jardín al aire libre y un hombre con camiseta se encuentra con un par de visos.</v>
      </c>
    </row>
    <row r="29235">
      <c r="A29235" s="4" t="s">
        <v>36815</v>
      </c>
      <c r="B29235" s="4" t="s">
        <v>36817</v>
      </c>
      <c r="C29235" s="5" t="str">
        <f>IFERROR(__xludf.DUMMYFUNCTION("GOOGLETRANSLATE(B29235,""en"",""es-ES"")"),"Se ven mellones en todo el jardín.")</f>
        <v>Se ven mellones en todo el jardín.</v>
      </c>
    </row>
    <row r="29236">
      <c r="A29236" s="4" t="s">
        <v>36815</v>
      </c>
      <c r="B29236" s="4" t="s">
        <v>36818</v>
      </c>
      <c r="C29236" s="5" t="str">
        <f>IFERROR(__xludf.DUMMYFUNCTION("GOOGLETRANSLATE(B29236,""en"",""es-ES"")"),"El hombre apunta a los melones contra la pared y comienza a recortarlos con sus transparentes arrojándolos a un lado.")</f>
        <v>El hombre apunta a los melones contra la pared y comienza a recortarlos con sus transparentes arrojándolos a un lado.</v>
      </c>
    </row>
    <row r="29237">
      <c r="A29237" s="4" t="s">
        <v>36815</v>
      </c>
      <c r="B29237" s="4" t="s">
        <v>36819</v>
      </c>
      <c r="C29237" s="5" t="str">
        <f>IFERROR(__xludf.DUMMYFUNCTION("GOOGLETRANSLATE(B29237,""en"",""es-ES"")"),"El hombre camina hacia el borde exterior de las plantas de melón y recoge una vid grande en una mano, luego recorta las hojas con la otra mano.")</f>
        <v>El hombre camina hacia el borde exterior de las plantas de melón y recoge una vid grande en una mano, luego recorta las hojas con la otra mano.</v>
      </c>
    </row>
    <row r="29238">
      <c r="A29238" s="4" t="s">
        <v>36815</v>
      </c>
      <c r="B29238" s="4" t="s">
        <v>36820</v>
      </c>
      <c r="C29238" s="5" t="str">
        <f>IFERROR(__xludf.DUMMYFUNCTION("GOOGLETRANSLATE(B29238,""en"",""es-ES"")"),"El hombre hace movimientos circulares con las manos alrededor de sus desechos para demostrar el tamaño.")</f>
        <v>El hombre hace movimientos circulares con las manos alrededor de sus desechos para demostrar el tamaño.</v>
      </c>
    </row>
    <row r="29239">
      <c r="A29239" s="4" t="s">
        <v>36815</v>
      </c>
      <c r="B29239" s="4" t="s">
        <v>36821</v>
      </c>
      <c r="C29239" s="5" t="str">
        <f>IFERROR(__xludf.DUMMYFUNCTION("GOOGLETRANSLATE(B29239,""en"",""es-ES"")"),"Se ve un sitio web de jardín.")</f>
        <v>Se ve un sitio web de jardín.</v>
      </c>
    </row>
    <row r="29240">
      <c r="A29240" s="4" t="s">
        <v>36822</v>
      </c>
      <c r="B29240" s="4" t="s">
        <v>36823</v>
      </c>
      <c r="C29240" s="5" t="str">
        <f>IFERROR(__xludf.DUMMYFUNCTION("GOOGLETRANSLATE(B29240,""en"",""es-ES"")"),"Una pieza de papel de construcción pintada se encuentra en una mesa junto con una maleta de suministros.")</f>
        <v>Una pieza de papel de construcción pintada se encuentra en una mesa junto con una maleta de suministros.</v>
      </c>
    </row>
    <row r="29241">
      <c r="A29241" s="4" t="s">
        <v>36822</v>
      </c>
      <c r="B29241" s="4" t="s">
        <v>36824</v>
      </c>
      <c r="C29241" s="5" t="str">
        <f>IFERROR(__xludf.DUMMYFUNCTION("GOOGLETRANSLATE(B29241,""en"",""es-ES"")"),"Yo persona corta un trozo de papel de construcción.")</f>
        <v>Yo persona corta un trozo de papel de construcción.</v>
      </c>
    </row>
    <row r="29242">
      <c r="A29242" s="4" t="s">
        <v>36822</v>
      </c>
      <c r="B29242" s="4" t="s">
        <v>36825</v>
      </c>
      <c r="C29242" s="5" t="str">
        <f>IFERROR(__xludf.DUMMYFUNCTION("GOOGLETRANSLATE(B29242,""en"",""es-ES"")"),"Los diseños se dibujan en el papel con marcadores.")</f>
        <v>Los diseños se dibujan en el papel con marcadores.</v>
      </c>
    </row>
    <row r="29243">
      <c r="A29243" s="4" t="s">
        <v>36822</v>
      </c>
      <c r="B29243" s="4" t="s">
        <v>36826</v>
      </c>
      <c r="C29243" s="5" t="str">
        <f>IFERROR(__xludf.DUMMYFUNCTION("GOOGLETRANSLATE(B29243,""en"",""es-ES"")"),"El papel de construcción se dobla sobre un artículo y un trozo de cinta asegura el papel de construcción en el medio.")</f>
        <v>El papel de construcción se dobla sobre un artículo y un trozo de cinta asegura el papel de construcción en el medio.</v>
      </c>
    </row>
    <row r="29244">
      <c r="A29244" s="4" t="s">
        <v>36822</v>
      </c>
      <c r="B29244" s="4" t="s">
        <v>36827</v>
      </c>
      <c r="C29244" s="5" t="str">
        <f>IFERROR(__xludf.DUMMYFUNCTION("GOOGLETRANSLATE(B29244,""en"",""es-ES"")"),"Las esquinas se doblan como un presente y se usan pis de cinta para asegurar los extremos plegados del paquete.")</f>
        <v>Las esquinas se doblan como un presente y se usan pis de cinta para asegurar los extremos plegados del paquete.</v>
      </c>
    </row>
    <row r="29245">
      <c r="A29245" s="4" t="s">
        <v>36822</v>
      </c>
      <c r="B29245" s="4" t="s">
        <v>36828</v>
      </c>
      <c r="C29245" s="5" t="str">
        <f>IFERROR(__xludf.DUMMYFUNCTION("GOOGLETRANSLATE(B29245,""en"",""es-ES"")"),"Una cinta se desliza debajo del paquete y se ata en un arco.")</f>
        <v>Una cinta se desliza debajo del paquete y se ata en un arco.</v>
      </c>
    </row>
    <row r="29246">
      <c r="A29246" s="4" t="s">
        <v>36829</v>
      </c>
      <c r="B29246" s="4" t="s">
        <v>36830</v>
      </c>
      <c r="C29246" s="5" t="str">
        <f>IFERROR(__xludf.DUMMYFUNCTION("GOOGLETRANSLATE(B29246,""en"",""es-ES"")"),"Un grupo de personas está en un gimnasio jugando Dodgeball.")</f>
        <v>Un grupo de personas está en un gimnasio jugando Dodgeball.</v>
      </c>
    </row>
    <row r="29247">
      <c r="A29247" s="4" t="s">
        <v>36829</v>
      </c>
      <c r="B29247" s="4" t="s">
        <v>36831</v>
      </c>
      <c r="C29247" s="5" t="str">
        <f>IFERROR(__xludf.DUMMYFUNCTION("GOOGLETRANSLATE(B29247,""en"",""es-ES"")"),"Aparece un logotipo en la pantalla.")</f>
        <v>Aparece un logotipo en la pantalla.</v>
      </c>
    </row>
    <row r="29248">
      <c r="A29248" s="4" t="s">
        <v>36829</v>
      </c>
      <c r="B29248" s="4" t="s">
        <v>36832</v>
      </c>
      <c r="C29248" s="5" t="str">
        <f>IFERROR(__xludf.DUMMYFUNCTION("GOOGLETRANSLATE(B29248,""en"",""es-ES"")"),"Un hombre está hablando con la cámara mientras la gente juega Dodgeball detrás de él.")</f>
        <v>Un hombre está hablando con la cámara mientras la gente juega Dodgeball detrás de él.</v>
      </c>
    </row>
    <row r="29249">
      <c r="A29249" s="4" t="s">
        <v>36829</v>
      </c>
      <c r="B29249" s="4" t="s">
        <v>36833</v>
      </c>
      <c r="C29249" s="5" t="str">
        <f>IFERROR(__xludf.DUMMYFUNCTION("GOOGLETRANSLATE(B29249,""en"",""es-ES"")"),"El hombre y los jugadores demuestran técnicas de dodgeball.")</f>
        <v>El hombre y los jugadores demuestran técnicas de dodgeball.</v>
      </c>
    </row>
    <row r="29250">
      <c r="A29250" s="4" t="s">
        <v>36829</v>
      </c>
      <c r="B29250" s="4" t="s">
        <v>36834</v>
      </c>
      <c r="C29250" s="5" t="str">
        <f>IFERROR(__xludf.DUMMYFUNCTION("GOOGLETRANSLATE(B29250,""en"",""es-ES"")"),"Los subtítulos aparecen en la pantalla periódicamente que explican Dodgeball.")</f>
        <v>Los subtítulos aparecen en la pantalla periódicamente que explican Dodgeball.</v>
      </c>
    </row>
    <row r="29251">
      <c r="A29251" s="4" t="s">
        <v>36835</v>
      </c>
      <c r="B29251" s="4" t="s">
        <v>36836</v>
      </c>
      <c r="C29251" s="5" t="str">
        <f>IFERROR(__xludf.DUMMYFUNCTION("GOOGLETRANSLATE(B29251,""en"",""es-ES"")"),"Hay un hombre con una camisa verde que habla y es entrevistado por otro hombre vestido con una chaqueta negra y pantalones grises.")</f>
        <v>Hay un hombre con una camisa verde que habla y es entrevistado por otro hombre vestido con una chaqueta negra y pantalones grises.</v>
      </c>
    </row>
    <row r="29252">
      <c r="A29252" s="4" t="s">
        <v>36835</v>
      </c>
      <c r="B29252" s="4" t="s">
        <v>36837</v>
      </c>
      <c r="C29252" s="5" t="str">
        <f>IFERROR(__xludf.DUMMYFUNCTION("GOOGLETRANSLATE(B29252,""en"",""es-ES"")"),"Están sentados en sillas en una habitación grande con pisos de madera.")</f>
        <v>Están sentados en sillas en una habitación grande con pisos de madera.</v>
      </c>
    </row>
    <row r="29253">
      <c r="A29253" s="4" t="s">
        <v>36835</v>
      </c>
      <c r="B29253" s="4" t="s">
        <v>36838</v>
      </c>
      <c r="C29253" s="5" t="str">
        <f>IFERROR(__xludf.DUMMYFUNCTION("GOOGLETRANSLATE(B29253,""en"",""es-ES"")"),"Se muestra la entrada del Valqueire Tennis Club.")</f>
        <v>Se muestra la entrada del Valqueire Tennis Club.</v>
      </c>
    </row>
    <row r="29254">
      <c r="A29254" s="4" t="s">
        <v>36835</v>
      </c>
      <c r="B29254" s="4" t="s">
        <v>36839</v>
      </c>
      <c r="C29254" s="5" t="str">
        <f>IFERROR(__xludf.DUMMYFUNCTION("GOOGLETRANSLATE(B29254,""en"",""es-ES"")"),"También se muestra la tarjeta de identificación de la persona entrevistada.")</f>
        <v>También se muestra la tarjeta de identificación de la persona entrevistada.</v>
      </c>
    </row>
    <row r="29255">
      <c r="A29255" s="4" t="s">
        <v>36835</v>
      </c>
      <c r="B29255" s="4" t="s">
        <v>36840</v>
      </c>
      <c r="C29255" s="5" t="str">
        <f>IFERROR(__xludf.DUMMYFUNCTION("GOOGLETRANSLATE(B29255,""en"",""es-ES"")"),"El hombre de Green continúa hablando de fútbol con el entrevistador.")</f>
        <v>El hombre de Green continúa hablando de fútbol con el entrevistador.</v>
      </c>
    </row>
    <row r="29256">
      <c r="A29256" s="4" t="s">
        <v>36835</v>
      </c>
      <c r="B29256" s="4" t="s">
        <v>36841</v>
      </c>
      <c r="C29256" s="5" t="str">
        <f>IFERROR(__xludf.DUMMYFUNCTION("GOOGLETRANSLATE(B29256,""en"",""es-ES"")"),"Se muestra el juego de fútbol de Brasil versus Venezuela.")</f>
        <v>Se muestra el juego de fútbol de Brasil versus Venezuela.</v>
      </c>
    </row>
    <row r="29257">
      <c r="A29257" s="4" t="s">
        <v>36835</v>
      </c>
      <c r="B29257" s="4" t="s">
        <v>36842</v>
      </c>
      <c r="C29257" s="5" t="str">
        <f>IFERROR(__xludf.DUMMYFUNCTION("GOOGLETRANSLATE(B29257,""en"",""es-ES"")"),"El hombre en verde habla sobre un artículo periodístico relacionado con el fútbol a medida que se muestran clips del juego de fútbol.")</f>
        <v>El hombre en verde habla sobre un artículo periodístico relacionado con el fútbol a medida que se muestran clips del juego de fútbol.</v>
      </c>
    </row>
    <row r="29258">
      <c r="A29258" s="4" t="s">
        <v>36843</v>
      </c>
      <c r="B29258" s="4" t="s">
        <v>36844</v>
      </c>
      <c r="C29258" s="5" t="str">
        <f>IFERROR(__xludf.DUMMYFUNCTION("GOOGLETRANSLATE(B29258,""en"",""es-ES"")"),"Se ven dos personas paradas una al lado de la otra hablando con la cámara y conducen a las dos realizando una rutina de baile entre sí.")</f>
        <v>Se ven dos personas paradas una al lado de la otra hablando con la cámara y conducen a las dos realizando una rutina de baile entre sí.</v>
      </c>
    </row>
    <row r="29259">
      <c r="A29259" s="4" t="s">
        <v>36843</v>
      </c>
      <c r="B29259" s="4" t="s">
        <v>36845</v>
      </c>
      <c r="C29259" s="5" t="str">
        <f>IFERROR(__xludf.DUMMYFUNCTION("GOOGLETRANSLATE(B29259,""en"",""es-ES"")"),"La gente continúa bailando al costado de un camino y termina con ellos posando y riendo.")</f>
        <v>La gente continúa bailando al costado de un camino y termina con ellos posando y riendo.</v>
      </c>
    </row>
    <row r="29260">
      <c r="A29260" s="4" t="s">
        <v>36846</v>
      </c>
      <c r="B29260" s="4" t="s">
        <v>36847</v>
      </c>
      <c r="C29260" s="5" t="str">
        <f>IFERROR(__xludf.DUMMYFUNCTION("GOOGLETRANSLATE(B29260,""en"",""es-ES"")"),"Un hombre con una camisa blanca está hablando.")</f>
        <v>Un hombre con una camisa blanca está hablando.</v>
      </c>
    </row>
    <row r="29261">
      <c r="A29261" s="4" t="s">
        <v>36846</v>
      </c>
      <c r="B29261" s="4" t="s">
        <v>36848</v>
      </c>
      <c r="C29261" s="5" t="str">
        <f>IFERROR(__xludf.DUMMYFUNCTION("GOOGLETRANSLATE(B29261,""en"",""es-ES"")"),"Un arco y una flecha se instalan en la hierba.")</f>
        <v>Un arco y una flecha se instalan en la hierba.</v>
      </c>
    </row>
    <row r="29262">
      <c r="A29262" s="4" t="s">
        <v>36846</v>
      </c>
      <c r="B29262" s="4" t="s">
        <v>36849</v>
      </c>
      <c r="C29262" s="5" t="str">
        <f>IFERROR(__xludf.DUMMYFUNCTION("GOOGLETRANSLATE(B29262,""en"",""es-ES"")"),"Un hombre dispara un arco y una flecha mientras está en el agua.")</f>
        <v>Un hombre dispara un arco y una flecha mientras está en el agua.</v>
      </c>
    </row>
    <row r="29263">
      <c r="A29263" s="4" t="s">
        <v>36850</v>
      </c>
      <c r="B29263" s="4" t="s">
        <v>36851</v>
      </c>
      <c r="C29263" s="5" t="str">
        <f>IFERROR(__xludf.DUMMYFUNCTION("GOOGLETRANSLATE(B29263,""en"",""es-ES"")"),"Se coloca una mano en un cepillo y mueve el cabello para apilarse y vacunarse con la otra mano.")</f>
        <v>Se coloca una mano en un cepillo y mueve el cabello para apilarse y vacunarse con la otra mano.</v>
      </c>
    </row>
    <row r="29264">
      <c r="A29264" s="4" t="s">
        <v>36850</v>
      </c>
      <c r="B29264" s="4" t="s">
        <v>36852</v>
      </c>
      <c r="C29264" s="5" t="str">
        <f>IFERROR(__xludf.DUMMYFUNCTION("GOOGLETRANSLATE(B29264,""en"",""es-ES"")"),"La sección central está hecha y el caballo se queda quieto mientras se corta.")</f>
        <v>La sección central está hecha y el caballo se queda quieto mientras se corta.</v>
      </c>
    </row>
    <row r="29265">
      <c r="A29265" s="4" t="s">
        <v>36850</v>
      </c>
      <c r="B29265" s="4" t="s">
        <v>36853</v>
      </c>
      <c r="C29265" s="5" t="str">
        <f>IFERROR(__xludf.DUMMYFUNCTION("GOOGLETRANSLATE(B29265,""en"",""es-ES"")"),"Ahora, el medio está listo y la persona se mueve hacia la parte posterior del caballo hasta que todo el cuerpo del caballo se corta.")</f>
        <v>Ahora, el medio está listo y la persona se mueve hacia la parte posterior del caballo hasta que todo el cuerpo del caballo se corta.</v>
      </c>
    </row>
    <row r="29266">
      <c r="A29266" s="4" t="s">
        <v>36854</v>
      </c>
      <c r="B29266" s="4" t="s">
        <v>36855</v>
      </c>
      <c r="C29266" s="5" t="str">
        <f>IFERROR(__xludf.DUMMYFUNCTION("GOOGLETRANSLATE(B29266,""en"",""es-ES"")"),"Una persona toca una guitarra acústica mientras está sentada en un sofá beige con jeans y una camiseta.")</f>
        <v>Una persona toca una guitarra acústica mientras está sentada en un sofá beige con jeans y una camiseta.</v>
      </c>
    </row>
    <row r="29267">
      <c r="A29267" s="4" t="s">
        <v>36854</v>
      </c>
      <c r="B29267" s="4" t="s">
        <v>36856</v>
      </c>
      <c r="C29267" s="5" t="str">
        <f>IFERROR(__xludf.DUMMYFUNCTION("GOOGLETRANSLATE(B29267,""en"",""es-ES"")"),"Se muestra una habitación con una guitarra acústica que se encuentra en un sofá beige y una pieza de arte de piedra frente al sofá con rocas.")</f>
        <v>Se muestra una habitación con una guitarra acústica que se encuentra en un sofá beige y una pieza de arte de piedra frente al sofá con rocas.</v>
      </c>
    </row>
    <row r="29268">
      <c r="A29268" s="4" t="s">
        <v>36854</v>
      </c>
      <c r="B29268" s="4" t="s">
        <v>36857</v>
      </c>
      <c r="C29268" s="5" t="str">
        <f>IFERROR(__xludf.DUMMYFUNCTION("GOOGLETRANSLATE(B29268,""en"",""es-ES"")"),"Una persona, sin ser vista, se acerca al sofá y recoge la guitarra.")</f>
        <v>Una persona, sin ser vista, se acerca al sofá y recoge la guitarra.</v>
      </c>
    </row>
    <row r="29269">
      <c r="A29269" s="4" t="s">
        <v>36854</v>
      </c>
      <c r="B29269" s="4" t="s">
        <v>36858</v>
      </c>
      <c r="C29269" s="5" t="str">
        <f>IFERROR(__xludf.DUMMYFUNCTION("GOOGLETRANSLATE(B29269,""en"",""es-ES"")"),"La persona luego se sienta y toca la guitarra acústica, que tiene un capo en el cuello, y toca hasta que la escena se desvanece en un subtítulo español.")</f>
        <v>La persona luego se sienta y toca la guitarra acústica, que tiene un capo en el cuello, y toca hasta que la escena se desvanece en un subtítulo español.</v>
      </c>
    </row>
    <row r="29270">
      <c r="A29270" s="4" t="s">
        <v>36859</v>
      </c>
      <c r="B29270" s="4" t="s">
        <v>36860</v>
      </c>
      <c r="C29270" s="5" t="str">
        <f>IFERROR(__xludf.DUMMYFUNCTION("GOOGLETRANSLATE(B29270,""en"",""es-ES"")"),"Hay un hombre haciendo un experimento científico en su cocina usando una botella de litro Pepsi que está llena de espuma.")</f>
        <v>Hay un hombre haciendo un experimento científico en su cocina usando una botella de litro Pepsi que está llena de espuma.</v>
      </c>
    </row>
    <row r="29271">
      <c r="A29271" s="4" t="s">
        <v>36859</v>
      </c>
      <c r="B29271" s="4" t="s">
        <v>36861</v>
      </c>
      <c r="C29271" s="5" t="str">
        <f>IFERROR(__xludf.DUMMYFUNCTION("GOOGLETRANSLATE(B29271,""en"",""es-ES"")"),"Hay un niño acostado en el suelo con las piernas estiradas contra el gabinete.")</f>
        <v>Hay un niño acostado en el suelo con las piernas estiradas contra el gabinete.</v>
      </c>
    </row>
    <row r="29272">
      <c r="A29272" s="4" t="s">
        <v>36859</v>
      </c>
      <c r="B29272" s="4" t="s">
        <v>36862</v>
      </c>
      <c r="C29272" s="5" t="str">
        <f>IFERROR(__xludf.DUMMYFUNCTION("GOOGLETRANSLATE(B29272,""en"",""es-ES"")"),"El hombre sostiene una manguera en una mano y sopla aire en la botella simultáneamente.")</f>
        <v>El hombre sostiene una manguera en una mano y sopla aire en la botella simultáneamente.</v>
      </c>
    </row>
    <row r="29273">
      <c r="A29273" s="4" t="s">
        <v>36859</v>
      </c>
      <c r="B29273" s="4" t="s">
        <v>36863</v>
      </c>
      <c r="C29273" s="5" t="str">
        <f>IFERROR(__xludf.DUMMYFUNCTION("GOOGLETRANSLATE(B29273,""en"",""es-ES"")"),"Luego deja caer la enorme burbuja de la botella en la cara del niño.")</f>
        <v>Luego deja caer la enorme burbuja de la botella en la cara del niño.</v>
      </c>
    </row>
    <row r="29274">
      <c r="A29274" s="4" t="s">
        <v>36864</v>
      </c>
      <c r="B29274" s="4" t="s">
        <v>36865</v>
      </c>
      <c r="C29274" s="5" t="str">
        <f>IFERROR(__xludf.DUMMYFUNCTION("GOOGLETRANSLATE(B29274,""en"",""es-ES"")"),"Se muestra una dirección web en la diapositiva.")</f>
        <v>Se muestra una dirección web en la diapositiva.</v>
      </c>
    </row>
    <row r="29275">
      <c r="A29275" s="4" t="s">
        <v>36864</v>
      </c>
      <c r="B29275" s="4" t="s">
        <v>36866</v>
      </c>
      <c r="C29275" s="5" t="str">
        <f>IFERROR(__xludf.DUMMYFUNCTION("GOOGLETRANSLATE(B29275,""en"",""es-ES"")"),"Se muestra el nombre de un protector solar.")</f>
        <v>Se muestra el nombre de un protector solar.</v>
      </c>
    </row>
    <row r="29276">
      <c r="A29276" s="4" t="s">
        <v>36864</v>
      </c>
      <c r="B29276" s="4" t="s">
        <v>36867</v>
      </c>
      <c r="C29276" s="5" t="str">
        <f>IFERROR(__xludf.DUMMYFUNCTION("GOOGLETRANSLATE(B29276,""en"",""es-ES"")"),"Se muestra la botella de protector solar.")</f>
        <v>Se muestra la botella de protector solar.</v>
      </c>
    </row>
    <row r="29277">
      <c r="A29277" s="4" t="s">
        <v>36864</v>
      </c>
      <c r="B29277" s="4" t="s">
        <v>36868</v>
      </c>
      <c r="C29277" s="5" t="str">
        <f>IFERROR(__xludf.DUMMYFUNCTION("GOOGLETRANSLATE(B29277,""en"",""es-ES"")"),"Se muestra el precio del protector solar.")</f>
        <v>Se muestra el precio del protector solar.</v>
      </c>
    </row>
    <row r="29278">
      <c r="A29278" s="4" t="s">
        <v>36864</v>
      </c>
      <c r="B29278" s="4" t="s">
        <v>36869</v>
      </c>
      <c r="C29278" s="5" t="str">
        <f>IFERROR(__xludf.DUMMYFUNCTION("GOOGLETRANSLATE(B29278,""en"",""es-ES"")"),"Se presenta la botella de protector solar.")</f>
        <v>Se presenta la botella de protector solar.</v>
      </c>
    </row>
    <row r="29279">
      <c r="A29279" s="4" t="s">
        <v>36864</v>
      </c>
      <c r="B29279" s="4" t="s">
        <v>36870</v>
      </c>
      <c r="C29279" s="5" t="str">
        <f>IFERROR(__xludf.DUMMYFUNCTION("GOOGLETRANSLATE(B29279,""en"",""es-ES"")"),"Se muestra una guía de información.")</f>
        <v>Se muestra una guía de información.</v>
      </c>
    </row>
    <row r="29280">
      <c r="A29280" s="4" t="s">
        <v>36871</v>
      </c>
      <c r="B29280" s="4" t="s">
        <v>36872</v>
      </c>
      <c r="C29280" s="5" t="str">
        <f>IFERROR(__xludf.DUMMYFUNCTION("GOOGLETRANSLATE(B29280,""en"",""es-ES"")"),"El título está en la pantalla.")</f>
        <v>El título está en la pantalla.</v>
      </c>
    </row>
    <row r="29281">
      <c r="A29281" s="4" t="s">
        <v>36871</v>
      </c>
      <c r="B29281" s="4" t="s">
        <v>36873</v>
      </c>
      <c r="C29281" s="5" t="str">
        <f>IFERROR(__xludf.DUMMYFUNCTION("GOOGLETRANSLATE(B29281,""en"",""es-ES"")"),"La pantalla cambia al hombre que explica su arte.")</f>
        <v>La pantalla cambia al hombre que explica su arte.</v>
      </c>
    </row>
    <row r="29282">
      <c r="A29282" s="4" t="s">
        <v>36871</v>
      </c>
      <c r="B29282" s="4" t="s">
        <v>36874</v>
      </c>
      <c r="C29282" s="5" t="str">
        <f>IFERROR(__xludf.DUMMYFUNCTION("GOOGLETRANSLATE(B29282,""en"",""es-ES"")"),"Vemos la obra de arte del hombre.")</f>
        <v>Vemos la obra de arte del hombre.</v>
      </c>
    </row>
    <row r="29283">
      <c r="A29283" s="4" t="s">
        <v>36871</v>
      </c>
      <c r="B29283" s="4" t="s">
        <v>36875</v>
      </c>
      <c r="C29283" s="5" t="str">
        <f>IFERROR(__xludf.DUMMYFUNCTION("GOOGLETRANSLATE(B29283,""en"",""es-ES"")"),"Vemos al hombre hablando de nuevo.")</f>
        <v>Vemos al hombre hablando de nuevo.</v>
      </c>
    </row>
    <row r="29284">
      <c r="A29284" s="4" t="s">
        <v>36871</v>
      </c>
      <c r="B29284" s="4" t="s">
        <v>36876</v>
      </c>
      <c r="C29284" s="5" t="str">
        <f>IFERROR(__xludf.DUMMYFUNCTION("GOOGLETRANSLATE(B29284,""en"",""es-ES"")"),"Él agarra pintura en su cepillo.")</f>
        <v>Él agarra pintura en su cepillo.</v>
      </c>
    </row>
    <row r="29285">
      <c r="A29285" s="4" t="s">
        <v>36871</v>
      </c>
      <c r="B29285" s="4" t="s">
        <v>36877</v>
      </c>
      <c r="C29285" s="5" t="str">
        <f>IFERROR(__xludf.DUMMYFUNCTION("GOOGLETRANSLATE(B29285,""en"",""es-ES"")"),"Discute su técnica de pintura.")</f>
        <v>Discute su técnica de pintura.</v>
      </c>
    </row>
    <row r="29286">
      <c r="A29286" s="4" t="s">
        <v>36871</v>
      </c>
      <c r="B29286" s="4" t="s">
        <v>36878</v>
      </c>
      <c r="C29286" s="5" t="str">
        <f>IFERROR(__xludf.DUMMYFUNCTION("GOOGLETRANSLATE(B29286,""en"",""es-ES"")"),"Él está pintando en el arte.")</f>
        <v>Él está pintando en el arte.</v>
      </c>
    </row>
    <row r="29287">
      <c r="A29287" s="4" t="s">
        <v>36871</v>
      </c>
      <c r="B29287" s="4" t="s">
        <v>36879</v>
      </c>
      <c r="C29287" s="5" t="str">
        <f>IFERROR(__xludf.DUMMYFUNCTION("GOOGLETRANSLATE(B29287,""en"",""es-ES"")"),"Limpia su cepillo en papel.")</f>
        <v>Limpia su cepillo en papel.</v>
      </c>
    </row>
    <row r="29288">
      <c r="A29288" s="4" t="s">
        <v>36871</v>
      </c>
      <c r="B29288" s="4" t="s">
        <v>36880</v>
      </c>
      <c r="C29288" s="5" t="str">
        <f>IFERROR(__xludf.DUMMYFUNCTION("GOOGLETRANSLATE(B29288,""en"",""es-ES"")"),"Agrega más pintura al cepillo.")</f>
        <v>Agrega más pintura al cepillo.</v>
      </c>
    </row>
    <row r="29289">
      <c r="A29289" s="4" t="s">
        <v>36871</v>
      </c>
      <c r="B29289" s="4" t="s">
        <v>36881</v>
      </c>
      <c r="C29289" s="5" t="str">
        <f>IFERROR(__xludf.DUMMYFUNCTION("GOOGLETRANSLATE(B29289,""en"",""es-ES"")"),"Está pintando de nuevo en el arte.")</f>
        <v>Está pintando de nuevo en el arte.</v>
      </c>
    </row>
    <row r="29290">
      <c r="A29290" s="4" t="s">
        <v>36871</v>
      </c>
      <c r="B29290" s="4" t="s">
        <v>36882</v>
      </c>
      <c r="C29290" s="5" t="str">
        <f>IFERROR(__xludf.DUMMYFUNCTION("GOOGLETRANSLATE(B29290,""en"",""es-ES"")"),"Él limpia su cepillo en el papel nuevamente.")</f>
        <v>Él limpia su cepillo en el papel nuevamente.</v>
      </c>
    </row>
    <row r="29291">
      <c r="A29291" s="4" t="s">
        <v>36871</v>
      </c>
      <c r="B29291" s="4" t="s">
        <v>36883</v>
      </c>
      <c r="C29291" s="5" t="str">
        <f>IFERROR(__xludf.DUMMYFUNCTION("GOOGLETRANSLATE(B29291,""en"",""es-ES"")"),"Agrega pintura blanca al cepillo.")</f>
        <v>Agrega pintura blanca al cepillo.</v>
      </c>
    </row>
    <row r="29292">
      <c r="A29292" s="4" t="s">
        <v>36871</v>
      </c>
      <c r="B29292" s="4" t="s">
        <v>36884</v>
      </c>
      <c r="C29292" s="5" t="str">
        <f>IFERROR(__xludf.DUMMYFUNCTION("GOOGLETRANSLATE(B29292,""en"",""es-ES"")"),"Pinta blanco en la obra de arte.")</f>
        <v>Pinta blanco en la obra de arte.</v>
      </c>
    </row>
    <row r="29293">
      <c r="A29293" s="4" t="s">
        <v>36871</v>
      </c>
      <c r="B29293" s="4" t="s">
        <v>36885</v>
      </c>
      <c r="C29293" s="5" t="str">
        <f>IFERROR(__xludf.DUMMYFUNCTION("GOOGLETRANSLATE(B29293,""en"",""es-ES"")"),"Él cruza los brazos y habla.")</f>
        <v>Él cruza los brazos y habla.</v>
      </c>
    </row>
    <row r="29294">
      <c r="A29294" s="4" t="s">
        <v>36871</v>
      </c>
      <c r="B29294" s="4" t="s">
        <v>36886</v>
      </c>
      <c r="C29294" s="5" t="str">
        <f>IFERROR(__xludf.DUMMYFUNCTION("GOOGLETRANSLATE(B29294,""en"",""es-ES"")"),"Vemos la tarjeta de título.")</f>
        <v>Vemos la tarjeta de título.</v>
      </c>
    </row>
    <row r="29295">
      <c r="A29295" s="4" t="s">
        <v>36887</v>
      </c>
      <c r="B29295" s="4" t="s">
        <v>36888</v>
      </c>
      <c r="C29295" s="5" t="str">
        <f>IFERROR(__xludf.DUMMYFUNCTION("GOOGLETRANSLATE(B29295,""en"",""es-ES"")"),"La gente se sumerge en la piscina y comienza a nadar.")</f>
        <v>La gente se sumerge en la piscina y comienza a nadar.</v>
      </c>
    </row>
    <row r="29296">
      <c r="A29296" s="4" t="s">
        <v>36887</v>
      </c>
      <c r="B29296" s="4" t="s">
        <v>36889</v>
      </c>
      <c r="C29296" s="5" t="str">
        <f>IFERROR(__xludf.DUMMYFUNCTION("GOOGLETRANSLATE(B29296,""en"",""es-ES"")"),"Una persona llega al final y se quita las gafas.")</f>
        <v>Una persona llega al final y se quita las gafas.</v>
      </c>
    </row>
    <row r="29297">
      <c r="A29297" s="4" t="s">
        <v>36887</v>
      </c>
      <c r="B29297" s="4" t="s">
        <v>36890</v>
      </c>
      <c r="C29297" s="5" t="str">
        <f>IFERROR(__xludf.DUMMYFUNCTION("GOOGLETRANSLATE(B29297,""en"",""es-ES"")"),"Avanzan a la cámara y sonríen.")</f>
        <v>Avanzan a la cámara y sonríen.</v>
      </c>
    </row>
    <row r="29298">
      <c r="A29298" s="4" t="s">
        <v>36887</v>
      </c>
      <c r="B29298" s="4" t="s">
        <v>36891</v>
      </c>
      <c r="C29298" s="5" t="str">
        <f>IFERROR(__xludf.DUMMYFUNCTION("GOOGLETRANSLATE(B29298,""en"",""es-ES"")"),"Los otros nadadores llegan a la línea de meta.")</f>
        <v>Los otros nadadores llegan a la línea de meta.</v>
      </c>
    </row>
    <row r="29299">
      <c r="A29299" s="4" t="s">
        <v>36892</v>
      </c>
      <c r="B29299" s="4" t="s">
        <v>36893</v>
      </c>
      <c r="C29299" s="5" t="str">
        <f>IFERROR(__xludf.DUMMYFUNCTION("GOOGLETRANSLATE(B29299,""en"",""es-ES"")"),"Un hombre que lleva un casco y que lleva una patineta se acuesta en una patineta y baja un carril para bolos para derribar los alfileres.")</f>
        <v>Un hombre que lleva un casco y que lleva una patineta se acuesta en una patineta y baja un carril para bolos para derribar los alfileres.</v>
      </c>
    </row>
    <row r="29300">
      <c r="A29300" s="4" t="s">
        <v>36892</v>
      </c>
      <c r="B29300" s="4" t="s">
        <v>36894</v>
      </c>
      <c r="C29300" s="5" t="str">
        <f>IFERROR(__xludf.DUMMYFUNCTION("GOOGLETRANSLATE(B29300,""en"",""es-ES"")"),"La gente busca verlo bajar por el carril.")</f>
        <v>La gente busca verlo bajar por el carril.</v>
      </c>
    </row>
    <row r="29301">
      <c r="A29301" s="4" t="s">
        <v>36892</v>
      </c>
      <c r="B29301" s="4" t="s">
        <v>36895</v>
      </c>
      <c r="C29301" s="5" t="str">
        <f>IFERROR(__xludf.DUMMYFUNCTION("GOOGLETRANSLATE(B29301,""en"",""es-ES"")"),"Alguien empuja a alguien acostado en una patineta por un carril de bolos.")</f>
        <v>Alguien empuja a alguien acostado en una patineta por un carril de bolos.</v>
      </c>
    </row>
    <row r="29302">
      <c r="A29302" s="4" t="s">
        <v>36892</v>
      </c>
      <c r="B29302" s="4" t="s">
        <v>36896</v>
      </c>
      <c r="C29302" s="5" t="str">
        <f>IFERROR(__xludf.DUMMYFUNCTION("GOOGLETRANSLATE(B29302,""en"",""es-ES"")"),"La gente arroja bolas de bolos después de la persona.")</f>
        <v>La gente arroja bolas de bolos después de la persona.</v>
      </c>
    </row>
    <row r="29303">
      <c r="A29303" s="4" t="s">
        <v>36892</v>
      </c>
      <c r="B29303" s="4" t="s">
        <v>36897</v>
      </c>
      <c r="C29303" s="5" t="str">
        <f>IFERROR(__xludf.DUMMYFUNCTION("GOOGLETRANSLATE(B29303,""en"",""es-ES"")"),"Dos hombres se ríen mirando al hombre.")</f>
        <v>Dos hombres se ríen mirando al hombre.</v>
      </c>
    </row>
    <row r="29304">
      <c r="A29304" s="4" t="s">
        <v>36892</v>
      </c>
      <c r="B29304" s="4" t="s">
        <v>36898</v>
      </c>
      <c r="C29304" s="5" t="str">
        <f>IFERROR(__xludf.DUMMYFUNCTION("GOOGLETRANSLATE(B29304,""en"",""es-ES"")"),"Alguien empuja a otra persona tumbada en una patineta por un carril de bolos.")</f>
        <v>Alguien empuja a otra persona tumbada en una patineta por un carril de bolos.</v>
      </c>
    </row>
    <row r="29305">
      <c r="A29305" s="4" t="s">
        <v>36899</v>
      </c>
      <c r="B29305" s="4" t="s">
        <v>36900</v>
      </c>
      <c r="C29305" s="5" t="str">
        <f>IFERROR(__xludf.DUMMYFUNCTION("GOOGLETRANSLATE(B29305,""en"",""es-ES"")"),"Una persona vierte diferentes colores de pintura en una superficie.")</f>
        <v>Una persona vierte diferentes colores de pintura en una superficie.</v>
      </c>
    </row>
    <row r="29306">
      <c r="A29306" s="4" t="s">
        <v>36899</v>
      </c>
      <c r="B29306" s="4" t="s">
        <v>36901</v>
      </c>
      <c r="C29306" s="5" t="str">
        <f>IFERROR(__xludf.DUMMYFUNCTION("GOOGLETRANSLATE(B29306,""en"",""es-ES"")"),"Luego, la mujer pinta flores en la cabecera de una cama.")</f>
        <v>Luego, la mujer pinta flores en la cabecera de una cama.</v>
      </c>
    </row>
    <row r="29307">
      <c r="A29307" s="4" t="s">
        <v>36902</v>
      </c>
      <c r="B29307" s="4" t="s">
        <v>36903</v>
      </c>
      <c r="C29307" s="5" t="str">
        <f>IFERROR(__xludf.DUMMYFUNCTION("GOOGLETRANSLATE(B29307,""en"",""es-ES"")"),"Una niña se sienta en el frente una taza de helado, luego toma un trozo de comida de la taza y lo come.")</f>
        <v>Una niña se sienta en el frente una taza de helado, luego toma un trozo de comida de la taza y lo come.</v>
      </c>
    </row>
    <row r="29308">
      <c r="A29308" s="4" t="s">
        <v>36902</v>
      </c>
      <c r="B29308" s="4" t="s">
        <v>36904</v>
      </c>
      <c r="C29308" s="5" t="str">
        <f>IFERROR(__xludf.DUMMYFUNCTION("GOOGLETRANSLATE(B29308,""en"",""es-ES"")"),"Luego, la niña agarra la cuchara y come el helado.")</f>
        <v>Luego, la niña agarra la cuchara y come el helado.</v>
      </c>
    </row>
    <row r="29309">
      <c r="A29309" s="4" t="s">
        <v>36902</v>
      </c>
      <c r="B29309" s="4" t="s">
        <v>36905</v>
      </c>
      <c r="C29309" s="5" t="str">
        <f>IFERROR(__xludf.DUMMYFUNCTION("GOOGLETRANSLATE(B29309,""en"",""es-ES"")"),"Una mano toma nueces de la crama de hielo.")</f>
        <v>Una mano toma nueces de la crama de hielo.</v>
      </c>
    </row>
    <row r="29310">
      <c r="A29310" s="4" t="s">
        <v>36906</v>
      </c>
      <c r="B29310" s="4" t="s">
        <v>36907</v>
      </c>
      <c r="C29310" s="5" t="str">
        <f>IFERROR(__xludf.DUMMYFUNCTION("GOOGLETRANSLATE(B29310,""en"",""es-ES"")"),"Un hombre y una mujer se ven bailando alrededor de una sala de estar realizando una rutina de tango.")</f>
        <v>Un hombre y una mujer se ven bailando alrededor de una sala de estar realizando una rutina de tango.</v>
      </c>
    </row>
    <row r="29311">
      <c r="A29311" s="4" t="s">
        <v>36906</v>
      </c>
      <c r="B29311" s="4" t="s">
        <v>36908</v>
      </c>
      <c r="C29311" s="5" t="str">
        <f>IFERROR(__xludf.DUMMYFUNCTION("GOOGLETRANSLATE(B29311,""en"",""es-ES"")"),"Se giran entre sí y redondeados y terminan con créditos rodando.")</f>
        <v>Se giran entre sí y redondeados y terminan con créditos rodando.</v>
      </c>
    </row>
    <row r="29312">
      <c r="A29312" s="4" t="s">
        <v>36909</v>
      </c>
      <c r="B29312" s="4" t="s">
        <v>36910</v>
      </c>
      <c r="C29312" s="5" t="str">
        <f>IFERROR(__xludf.DUMMYFUNCTION("GOOGLETRANSLATE(B29312,""en"",""es-ES"")"),"Una persona mueve sus dedos alrededor del centro de la rueda de una bicicleta.")</f>
        <v>Una persona mueve sus dedos alrededor del centro de la rueda de una bicicleta.</v>
      </c>
    </row>
    <row r="29313">
      <c r="A29313" s="4" t="s">
        <v>36909</v>
      </c>
      <c r="B29313" s="4" t="s">
        <v>36911</v>
      </c>
      <c r="C29313" s="5" t="str">
        <f>IFERROR(__xludf.DUMMYFUNCTION("GOOGLETRANSLATE(B29313,""en"",""es-ES"")"),"La persona toma una parte negra y la agrega.")</f>
        <v>La persona toma una parte negra y la agrega.</v>
      </c>
    </row>
    <row r="29314">
      <c r="A29314" s="4" t="s">
        <v>36909</v>
      </c>
      <c r="B29314" s="4" t="s">
        <v>36912</v>
      </c>
      <c r="C29314" s="5" t="str">
        <f>IFERROR(__xludf.DUMMYFUNCTION("GOOGLETRANSLATE(B29314,""en"",""es-ES"")"),"La persona agrega una parte negra más pequeña y la sujeta.")</f>
        <v>La persona agrega una parte negra más pequeña y la sujeta.</v>
      </c>
    </row>
    <row r="29315">
      <c r="A29315" s="4" t="s">
        <v>36909</v>
      </c>
      <c r="B29315" s="4" t="s">
        <v>36913</v>
      </c>
      <c r="C29315" s="5" t="str">
        <f>IFERROR(__xludf.DUMMYFUNCTION("GOOGLETRANSLATE(B29315,""en"",""es-ES"")"),"La persona se quita las manos del centro de la rueda de la bicicleta.")</f>
        <v>La persona se quita las manos del centro de la rueda de la bicicleta.</v>
      </c>
    </row>
    <row r="29316">
      <c r="A29316" s="4" t="s">
        <v>36914</v>
      </c>
      <c r="B29316" s="4" t="s">
        <v>36915</v>
      </c>
      <c r="C29316" s="5" t="str">
        <f>IFERROR(__xludf.DUMMYFUNCTION("GOOGLETRANSLATE(B29316,""en"",""es-ES"")"),"Hay mucha gente en un parque y algunos están jugando mientras que otros solo están mirando.")</f>
        <v>Hay mucha gente en un parque y algunos están jugando mientras que otros solo están mirando.</v>
      </c>
    </row>
    <row r="29317">
      <c r="A29317" s="4" t="s">
        <v>36914</v>
      </c>
      <c r="B29317" s="4" t="s">
        <v>36916</v>
      </c>
      <c r="C29317" s="5" t="str">
        <f>IFERROR(__xludf.DUMMYFUNCTION("GOOGLETRANSLATE(B29317,""en"",""es-ES"")"),"Un hombre y una mujer están parados en la entrada del campo de juego y preparándose para jugar.")</f>
        <v>Un hombre y una mujer están parados en la entrada del campo de juego y preparándose para jugar.</v>
      </c>
    </row>
    <row r="29318">
      <c r="A29318" s="4" t="s">
        <v>36914</v>
      </c>
      <c r="B29318" s="4" t="s">
        <v>36917</v>
      </c>
      <c r="C29318" s="5" t="str">
        <f>IFERROR(__xludf.DUMMYFUNCTION("GOOGLETRANSLATE(B29318,""en"",""es-ES"")"),"Cuando la pelota rueda hacia ellos, el hombre la patea y corre mientras otros jugadores intentan ponerse en marcha para la jugada.")</f>
        <v>Cuando la pelota rueda hacia ellos, el hombre la patea y corre mientras otros jugadores intentan ponerse en marcha para la jugada.</v>
      </c>
    </row>
    <row r="29319">
      <c r="A29319" s="4" t="s">
        <v>36914</v>
      </c>
      <c r="B29319" s="4" t="s">
        <v>36918</v>
      </c>
      <c r="C29319" s="5" t="str">
        <f>IFERROR(__xludf.DUMMYFUNCTION("GOOGLETRANSLATE(B29319,""en"",""es-ES"")"),"Otro hombre corre hacia la base de operaciones y se sumerge en la tierra para tocar la base que están protegiendo y otro hombre está tratando de atrapar la pelota para sacar al hombre.")</f>
        <v>Otro hombre corre hacia la base de operaciones y se sumerge en la tierra para tocar la base que están protegiendo y otro hombre está tratando de atrapar la pelota para sacar al hombre.</v>
      </c>
    </row>
    <row r="29320">
      <c r="A29320" s="4" t="s">
        <v>36914</v>
      </c>
      <c r="B29320" s="4" t="s">
        <v>36919</v>
      </c>
      <c r="C29320" s="5" t="str">
        <f>IFERROR(__xludf.DUMMYFUNCTION("GOOGLETRANSLATE(B29320,""en"",""es-ES"")"),"El hombre intenta atrapar la pelota, se pierde, cae al suelo para atraparlo, lo arroja a la cabeza del hombre que ya está en la base y todos se ríen y el equipo que acaba de anotar se dan los cinco.")</f>
        <v>El hombre intenta atrapar la pelota, se pierde, cae al suelo para atraparlo, lo arroja a la cabeza del hombre que ya está en la base y todos se ríen y el equipo que acaba de anotar se dan los cinco.</v>
      </c>
    </row>
    <row r="29321">
      <c r="A29321" s="4" t="s">
        <v>36920</v>
      </c>
      <c r="B29321" s="4" t="s">
        <v>36921</v>
      </c>
      <c r="C29321" s="5" t="str">
        <f>IFERROR(__xludf.DUMMYFUNCTION("GOOGLETRANSLATE(B29321,""en"",""es-ES"")"),"Dos niños están afuera jugando juntos en un patio de recreo.")</f>
        <v>Dos niños están afuera jugando juntos en un patio de recreo.</v>
      </c>
    </row>
    <row r="29322">
      <c r="A29322" s="4" t="s">
        <v>36920</v>
      </c>
      <c r="B29322" s="4" t="s">
        <v>36922</v>
      </c>
      <c r="C29322" s="5" t="str">
        <f>IFERROR(__xludf.DUMMYFUNCTION("GOOGLETRANSLATE(B29322,""en"",""es-ES"")"),"Un niño salta y camina hacia el otro lado cuando el otro comienza a hacer las barras de mono.")</f>
        <v>Un niño salta y camina hacia el otro lado cuando el otro comienza a hacer las barras de mono.</v>
      </c>
    </row>
    <row r="29323">
      <c r="A29323" s="4" t="s">
        <v>36920</v>
      </c>
      <c r="B29323" s="4" t="s">
        <v>36923</v>
      </c>
      <c r="C29323" s="5" t="str">
        <f>IFERROR(__xludf.DUMMYFUNCTION("GOOGLETRANSLATE(B29323,""en"",""es-ES"")"),"Después de llegar al otro lado, se sube y corre a otro conjunto de bares de mono y los sigue también.")</f>
        <v>Después de llegar al otro lado, se sube y corre a otro conjunto de bares de mono y los sigue también.</v>
      </c>
    </row>
    <row r="29324">
      <c r="A29324" s="4" t="s">
        <v>36924</v>
      </c>
      <c r="B29324" s="4" t="s">
        <v>36925</v>
      </c>
      <c r="C29324" s="5" t="str">
        <f>IFERROR(__xludf.DUMMYFUNCTION("GOOGLETRANSLATE(B29324,""en"",""es-ES"")"),"Una piedra rizada se desliza por el hielo.")</f>
        <v>Una piedra rizada se desliza por el hielo.</v>
      </c>
    </row>
    <row r="29325">
      <c r="A29325" s="4" t="s">
        <v>36924</v>
      </c>
      <c r="B29325" s="4" t="s">
        <v>36926</v>
      </c>
      <c r="C29325" s="5" t="str">
        <f>IFERROR(__xludf.DUMMYFUNCTION("GOOGLETRANSLATE(B29325,""en"",""es-ES"")"),"El equipo azul discute su estrategia.")</f>
        <v>El equipo azul discute su estrategia.</v>
      </c>
    </row>
    <row r="29326">
      <c r="A29326" s="4" t="s">
        <v>36924</v>
      </c>
      <c r="B29326" s="4" t="s">
        <v>36927</v>
      </c>
      <c r="C29326" s="5" t="str">
        <f>IFERROR(__xludf.DUMMYFUNCTION("GOOGLETRANSLATE(B29326,""en"",""es-ES"")"),"El equipo blanco se dio cuenta entre sí.")</f>
        <v>El equipo blanco se dio cuenta entre sí.</v>
      </c>
    </row>
    <row r="29327">
      <c r="A29327" s="4" t="s">
        <v>36924</v>
      </c>
      <c r="B29327" s="4" t="s">
        <v>36928</v>
      </c>
      <c r="C29327" s="5" t="str">
        <f>IFERROR(__xludf.DUMMYFUNCTION("GOOGLETRANSLATE(B29327,""en"",""es-ES"")"),"El equipo azul discute mientras un miembro señala.")</f>
        <v>El equipo azul discute mientras un miembro señala.</v>
      </c>
    </row>
    <row r="29328">
      <c r="A29328" s="4" t="s">
        <v>36924</v>
      </c>
      <c r="B29328" s="4" t="s">
        <v>36929</v>
      </c>
      <c r="C29328" s="5" t="str">
        <f>IFERROR(__xludf.DUMMYFUNCTION("GOOGLETRANSLATE(B29328,""en"",""es-ES"")"),"Un jugador de equipo azul toma su turno y se enrolla su piedra en el centro.")</f>
        <v>Un jugador de equipo azul toma su turno y se enrolla su piedra en el centro.</v>
      </c>
    </row>
    <row r="29329">
      <c r="A29329" s="4" t="s">
        <v>36924</v>
      </c>
      <c r="B29329" s="4" t="s">
        <v>36930</v>
      </c>
      <c r="C29329" s="5" t="str">
        <f>IFERROR(__xludf.DUMMYFUNCTION("GOOGLETRANSLATE(B29329,""en"",""es-ES"")"),"El equipo azul viene y abraza al jugador mientras celebran.")</f>
        <v>El equipo azul viene y abraza al jugador mientras celebran.</v>
      </c>
    </row>
    <row r="29330">
      <c r="A29330" s="4" t="s">
        <v>36924</v>
      </c>
      <c r="B29330" s="4" t="s">
        <v>573</v>
      </c>
      <c r="C29330" s="5" t="str">
        <f>IFERROR(__xludf.DUMMYFUNCTION("GOOGLETRANSLATE(B29330,""en"",""es-ES"")"),"Se muestran los créditos del video.")</f>
        <v>Se muestran los créditos del video.</v>
      </c>
    </row>
    <row r="29331">
      <c r="A29331" s="4" t="s">
        <v>36931</v>
      </c>
      <c r="B29331" s="4" t="s">
        <v>36932</v>
      </c>
      <c r="C29331" s="5" t="str">
        <f>IFERROR(__xludf.DUMMYFUNCTION("GOOGLETRANSLATE(B29331,""en"",""es-ES"")"),"Se ve a una persona sentada en un caballo frente a una gran multitud.")</f>
        <v>Se ve a una persona sentada en un caballo frente a una gran multitud.</v>
      </c>
    </row>
    <row r="29332">
      <c r="A29332" s="4" t="s">
        <v>36931</v>
      </c>
      <c r="B29332" s="4" t="s">
        <v>36933</v>
      </c>
      <c r="C29332" s="5" t="str">
        <f>IFERROR(__xludf.DUMMYFUNCTION("GOOGLETRANSLATE(B29332,""en"",""es-ES"")"),"El hombre luego se mueve sobre el caballo y acumula un ternero.")</f>
        <v>El hombre luego se mueve sobre el caballo y acumula un ternero.</v>
      </c>
    </row>
    <row r="29333">
      <c r="A29333" s="4" t="s">
        <v>36931</v>
      </c>
      <c r="B29333" s="4" t="s">
        <v>36934</v>
      </c>
      <c r="C29333" s="5" t="str">
        <f>IFERROR(__xludf.DUMMYFUNCTION("GOOGLETRANSLATE(B29333,""en"",""es-ES"")"),"Él ata la pantorrilla mientras otros montan en caballos para ayudar.")</f>
        <v>Él ata la pantorrilla mientras otros montan en caballos para ayudar.</v>
      </c>
    </row>
    <row r="29334">
      <c r="A29334" s="4" t="s">
        <v>36935</v>
      </c>
      <c r="B29334" s="4" t="s">
        <v>36936</v>
      </c>
      <c r="C29334" s="5" t="str">
        <f>IFERROR(__xludf.DUMMYFUNCTION("GOOGLETRANSLATE(B29334,""en"",""es-ES"")"),"Un grupo de animadoras se encuentra en una línea en un gran auditorio en preparación.")</f>
        <v>Un grupo de animadoras se encuentra en una línea en un gran auditorio en preparación.</v>
      </c>
    </row>
    <row r="29335">
      <c r="A29335" s="4" t="s">
        <v>36935</v>
      </c>
      <c r="B29335" s="4" t="s">
        <v>36937</v>
      </c>
      <c r="C29335" s="5" t="str">
        <f>IFERROR(__xludf.DUMMYFUNCTION("GOOGLETRANSLATE(B29335,""en"",""es-ES"")"),"El grupo de animadoras hace una rutina de baile en todos los bailes al unísono.")</f>
        <v>El grupo de animadoras hace una rutina de baile en todos los bailes al unísono.</v>
      </c>
    </row>
    <row r="29336">
      <c r="A29336" s="4" t="s">
        <v>36935</v>
      </c>
      <c r="B29336" s="4" t="s">
        <v>36938</v>
      </c>
      <c r="C29336" s="5" t="str">
        <f>IFERROR(__xludf.DUMMYFUNCTION("GOOGLETRANSLATE(B29336,""en"",""es-ES"")"),"La mitad del grupo se arrodilla en el piso y el otro grupo en pie sale a los lados.")</f>
        <v>La mitad del grupo se arrodilla en el piso y el otro grupo en pie sale a los lados.</v>
      </c>
    </row>
    <row r="29337">
      <c r="A29337" s="4" t="s">
        <v>36935</v>
      </c>
      <c r="B29337" s="4" t="s">
        <v>36939</v>
      </c>
      <c r="C29337" s="5" t="str">
        <f>IFERROR(__xludf.DUMMYFUNCTION("GOOGLETRANSLATE(B29337,""en"",""es-ES"")"),"El grupo restante se repite y hace una segunda rutina de baile juntos.")</f>
        <v>El grupo restante se repite y hace una segunda rutina de baile juntos.</v>
      </c>
    </row>
    <row r="29338">
      <c r="A29338" s="4" t="s">
        <v>36935</v>
      </c>
      <c r="B29338" s="4" t="s">
        <v>36940</v>
      </c>
      <c r="C29338" s="5" t="str">
        <f>IFERROR(__xludf.DUMMYFUNCTION("GOOGLETRANSLATE(B29338,""en"",""es-ES"")"),"El grupo de porristas termina su rutina y salta hacia arriba y hacia abajo antes de inclinarse ante la multitud.")</f>
        <v>El grupo de porristas termina su rutina y salta hacia arriba y hacia abajo antes de inclinarse ante la multitud.</v>
      </c>
    </row>
    <row r="29339">
      <c r="A29339" s="4" t="s">
        <v>36941</v>
      </c>
      <c r="B29339" s="4" t="s">
        <v>36942</v>
      </c>
      <c r="C29339" s="5" t="str">
        <f>IFERROR(__xludf.DUMMYFUNCTION("GOOGLETRANSLATE(B29339,""en"",""es-ES"")"),"Se ven varios atletas de pie mientras uno salta en su lugar y se prepara.")</f>
        <v>Se ven varios atletas de pie mientras uno salta en su lugar y se prepara.</v>
      </c>
    </row>
    <row r="29340">
      <c r="A29340" s="4" t="s">
        <v>36941</v>
      </c>
      <c r="B29340" s="4" t="s">
        <v>36943</v>
      </c>
      <c r="C29340" s="5" t="str">
        <f>IFERROR(__xludf.DUMMYFUNCTION("GOOGLETRANSLATE(B29340,""en"",""es-ES"")"),"Luego pasa por una larga pista en un pozo de arena y pega las manos en el aire.")</f>
        <v>Luego pasa por una larga pista en un pozo de arena y pega las manos en el aire.</v>
      </c>
    </row>
    <row r="29341">
      <c r="A29341" s="4" t="s">
        <v>36941</v>
      </c>
      <c r="B29341" s="4" t="s">
        <v>36944</v>
      </c>
      <c r="C29341" s="5" t="str">
        <f>IFERROR(__xludf.DUMMYFUNCTION("GOOGLETRANSLATE(B29341,""en"",""es-ES"")"),"Un hombre sostiene un marica blanca mientras el atleta celebra y su salto y las reacciones de la gente en la audiencia se muestran nuevamente.")</f>
        <v>Un hombre sostiene un marica blanca mientras el atleta celebra y su salto y las reacciones de la gente en la audiencia se muestran nuevamente.</v>
      </c>
    </row>
    <row r="29342">
      <c r="A29342" s="4" t="s">
        <v>36945</v>
      </c>
      <c r="B29342" s="4" t="s">
        <v>36946</v>
      </c>
      <c r="C29342" s="5" t="str">
        <f>IFERROR(__xludf.DUMMYFUNCTION("GOOGLETRANSLATE(B29342,""en"",""es-ES"")"),"Una joven con un traje de baño colorido es nadando bajo el agua en una piscina.")</f>
        <v>Una joven con un traje de baño colorido es nadando bajo el agua en una piscina.</v>
      </c>
    </row>
    <row r="29343">
      <c r="A29343" s="4" t="s">
        <v>36945</v>
      </c>
      <c r="B29343" s="4" t="s">
        <v>36947</v>
      </c>
      <c r="C29343" s="5" t="str">
        <f>IFERROR(__xludf.DUMMYFUNCTION("GOOGLETRANSLATE(B29343,""en"",""es-ES"")"),"Una pantalla parpadea y muestra el paso dos, ya que la niña demuestra nadar con los pies muy juntos.")</f>
        <v>Una pantalla parpadea y muestra el paso dos, ya que la niña demuestra nadar con los pies muy juntos.</v>
      </c>
    </row>
    <row r="29344">
      <c r="A29344" s="4" t="s">
        <v>36945</v>
      </c>
      <c r="B29344" s="4" t="s">
        <v>36948</v>
      </c>
      <c r="C29344" s="5" t="str">
        <f>IFERROR(__xludf.DUMMYFUNCTION("GOOGLETRANSLATE(B29344,""en"",""es-ES"")"),"A continuación, aparece una pantalla de advertencia que dice no nadar sin gafas, ya que la niña hace exactamente lo contrario.")</f>
        <v>A continuación, aparece una pantalla de advertencia que dice no nadar sin gafas, ya que la niña hace exactamente lo contrario.</v>
      </c>
    </row>
    <row r="29345">
      <c r="A29345" s="4" t="s">
        <v>36945</v>
      </c>
      <c r="B29345" s="4" t="s">
        <v>36949</v>
      </c>
      <c r="C29345" s="5" t="str">
        <f>IFERROR(__xludf.DUMMYFUNCTION("GOOGLETRANSLATE(B29345,""en"",""es-ES"")"),"Después, la niña se muestra con una cola de sirena naranja en la natación bajo el agua mientras se une a otra ""sirena"".")</f>
        <v>Después, la niña se muestra con una cola de sirena naranja en la natación bajo el agua mientras se une a otra "sirena".</v>
      </c>
    </row>
    <row r="29346">
      <c r="A29346" s="4" t="s">
        <v>36950</v>
      </c>
      <c r="B29346" s="4" t="s">
        <v>36951</v>
      </c>
      <c r="C29346" s="5" t="str">
        <f>IFERROR(__xludf.DUMMYFUNCTION("GOOGLETRANSLATE(B29346,""en"",""es-ES"")"),"Un hombre en un pequeño tipo de kayak de bote está remando el bote.")</f>
        <v>Un hombre en un pequeño tipo de kayak de bote está remando el bote.</v>
      </c>
    </row>
    <row r="29347">
      <c r="A29347" s="4" t="s">
        <v>36950</v>
      </c>
      <c r="B29347" s="4" t="s">
        <v>36952</v>
      </c>
      <c r="C29347" s="5" t="str">
        <f>IFERROR(__xludf.DUMMYFUNCTION("GOOGLETRANSLATE(B29347,""en"",""es-ES"")"),"Él está sentado solo en él porque es tan pequeño que solo se ajusta a una persona realmente.")</f>
        <v>Él está sentado solo en él porque es tan pequeño que solo se ajusta a una persona realmente.</v>
      </c>
    </row>
    <row r="29348">
      <c r="A29348" s="4" t="s">
        <v>36950</v>
      </c>
      <c r="B29348" s="4" t="s">
        <v>36953</v>
      </c>
      <c r="C29348" s="5" t="str">
        <f>IFERROR(__xludf.DUMMYFUNCTION("GOOGLETRANSLATE(B29348,""en"",""es-ES"")"),"Él usa mucha energía en remar, yendo muy rápido.")</f>
        <v>Él usa mucha energía en remar, yendo muy rápido.</v>
      </c>
    </row>
    <row r="29349">
      <c r="A29349" s="4" t="s">
        <v>36950</v>
      </c>
      <c r="B29349" s="4" t="s">
        <v>36954</v>
      </c>
      <c r="C29349" s="5" t="str">
        <f>IFERROR(__xludf.DUMMYFUNCTION("GOOGLETRANSLATE(B29349,""en"",""es-ES"")"),"Creo que probablemente esté practicando para un evento tarde en el futuro.")</f>
        <v>Creo que probablemente esté practicando para un evento tarde en el futuro.</v>
      </c>
    </row>
    <row r="29350">
      <c r="A29350" s="4" t="s">
        <v>36955</v>
      </c>
      <c r="B29350" s="4" t="s">
        <v>36956</v>
      </c>
      <c r="C29350" s="5" t="str">
        <f>IFERROR(__xludf.DUMMYFUNCTION("GOOGLETRANSLATE(B29350,""en"",""es-ES"")"),"Una mujer está parada afuera frente a un edificio.")</f>
        <v>Una mujer está parada afuera frente a un edificio.</v>
      </c>
    </row>
    <row r="29351">
      <c r="A29351" s="4" t="s">
        <v>36955</v>
      </c>
      <c r="B29351" s="4" t="s">
        <v>36957</v>
      </c>
      <c r="C29351" s="5" t="str">
        <f>IFERROR(__xludf.DUMMYFUNCTION("GOOGLETRANSLATE(B29351,""en"",""es-ES"")"),"Ella comienza a bailar con hula hoops.")</f>
        <v>Ella comienza a bailar con hula hoops.</v>
      </c>
    </row>
    <row r="29352">
      <c r="A29352" s="4" t="s">
        <v>36955</v>
      </c>
      <c r="B29352" s="4" t="s">
        <v>36958</v>
      </c>
      <c r="C29352" s="5" t="str">
        <f>IFERROR(__xludf.DUMMYFUNCTION("GOOGLETRANSLATE(B29352,""en"",""es-ES"")"),"Ella termina y las palabras vienen en la pantalla.")</f>
        <v>Ella termina y las palabras vienen en la pantalla.</v>
      </c>
    </row>
    <row r="29353">
      <c r="A29353" s="4" t="s">
        <v>36959</v>
      </c>
      <c r="B29353" s="4" t="s">
        <v>36960</v>
      </c>
      <c r="C29353" s="5" t="str">
        <f>IFERROR(__xludf.DUMMYFUNCTION("GOOGLETRANSLATE(B29353,""en"",""es-ES"")"),"Se ve a un gran grupo de personas girando y girando bastones en la ciudad.")</f>
        <v>Se ve a un gran grupo de personas girando y girando bastones en la ciudad.</v>
      </c>
    </row>
    <row r="29354">
      <c r="A29354" s="4" t="s">
        <v>36959</v>
      </c>
      <c r="B29354" s="4" t="s">
        <v>36961</v>
      </c>
      <c r="C29354" s="5" t="str">
        <f>IFERROR(__xludf.DUMMYFUNCTION("GOOGLETRANSLATE(B29354,""en"",""es-ES"")"),"Se ve a un gran grupo de personas sentados en el grupo observando.")</f>
        <v>Se ve a un gran grupo de personas sentados en el grupo observando.</v>
      </c>
    </row>
    <row r="29355">
      <c r="A29355" s="4" t="s">
        <v>36959</v>
      </c>
      <c r="B29355" s="4" t="s">
        <v>36962</v>
      </c>
      <c r="C29355" s="5" t="str">
        <f>IFERROR(__xludf.DUMMYFUNCTION("GOOGLETRANSLATE(B29355,""en"",""es-ES"")"),"El grupo continúa bailando alrededor de la cuadra de la ciudad mientras la cámara se desplaza y las observa alejarse.")</f>
        <v>El grupo continúa bailando alrededor de la cuadra de la ciudad mientras la cámara se desplaza y las observa alejarse.</v>
      </c>
    </row>
    <row r="29356">
      <c r="A29356" s="4" t="s">
        <v>36963</v>
      </c>
      <c r="B29356" s="4" t="s">
        <v>36964</v>
      </c>
      <c r="C29356" s="5" t="str">
        <f>IFERROR(__xludf.DUMMYFUNCTION("GOOGLETRANSLATE(B29356,""en"",""es-ES"")"),"Un hombre se sienta en una bicicleta estacionaria en un escenario y comienza a hacer ejercicio.")</f>
        <v>Un hombre se sienta en una bicicleta estacionaria en un escenario y comienza a hacer ejercicio.</v>
      </c>
    </row>
    <row r="29357">
      <c r="A29357" s="4" t="s">
        <v>36963</v>
      </c>
      <c r="B29357" s="4" t="s">
        <v>36965</v>
      </c>
      <c r="C29357" s="5" t="str">
        <f>IFERROR(__xludf.DUMMYFUNCTION("GOOGLETRANSLATE(B29357,""en"",""es-ES"")"),"Él pega una pierna hacia un lado.")</f>
        <v>Él pega una pierna hacia un lado.</v>
      </c>
    </row>
    <row r="29358">
      <c r="A29358" s="4" t="s">
        <v>36963</v>
      </c>
      <c r="B29358" s="4" t="s">
        <v>36966</v>
      </c>
      <c r="C29358" s="5" t="str">
        <f>IFERROR(__xludf.DUMMYFUNCTION("GOOGLETRANSLATE(B29358,""en"",""es-ES"")"),"Se baja y hace una mano.")</f>
        <v>Se baja y hace una mano.</v>
      </c>
    </row>
    <row r="29359">
      <c r="A29359" s="4" t="s">
        <v>36967</v>
      </c>
      <c r="B29359" s="4" t="s">
        <v>36968</v>
      </c>
      <c r="C29359" s="5" t="str">
        <f>IFERROR(__xludf.DUMMYFUNCTION("GOOGLETRANSLATE(B29359,""en"",""es-ES"")"),"Hay un tablero de rayos hopas dibujado con tiza en el pavimento.")</f>
        <v>Hay un tablero de rayos hopas dibujado con tiza en el pavimento.</v>
      </c>
    </row>
    <row r="29360">
      <c r="A29360" s="4" t="s">
        <v>36967</v>
      </c>
      <c r="B29360" s="4" t="s">
        <v>36969</v>
      </c>
      <c r="C29360" s="5" t="str">
        <f>IFERROR(__xludf.DUMMYFUNCTION("GOOGLETRANSLATE(B29360,""en"",""es-ES"")"),"Una niña en verde toma su turno y luego más de sus amigos siguen después.")</f>
        <v>Una niña en verde toma su turno y luego más de sus amigos siguen después.</v>
      </c>
    </row>
    <row r="29361">
      <c r="A29361" s="4" t="s">
        <v>36967</v>
      </c>
      <c r="B29361" s="4" t="s">
        <v>36970</v>
      </c>
      <c r="C29361" s="5" t="str">
        <f>IFERROR(__xludf.DUMMYFUNCTION("GOOGLETRANSLATE(B29361,""en"",""es-ES"")"),"Las tres chicas se paran y luego dejan caer una tapa de la botella para avanzar con sus saltos.")</f>
        <v>Las tres chicas se paran y luego dejan caer una tapa de la botella para avanzar con sus saltos.</v>
      </c>
    </row>
    <row r="29362">
      <c r="A29362" s="4" t="s">
        <v>36967</v>
      </c>
      <c r="B29362" s="4" t="s">
        <v>36971</v>
      </c>
      <c r="C29362" s="5" t="str">
        <f>IFERROR(__xludf.DUMMYFUNCTION("GOOGLETRANSLATE(B29362,""en"",""es-ES"")"),"Juegan diferentes variaciones del juego solo divirtiéndose y cuando se trata de una de las chicas arroja sus manos al aire.")</f>
        <v>Juegan diferentes variaciones del juego solo divirtiéndose y cuando se trata de una de las chicas arroja sus manos al aire.</v>
      </c>
    </row>
    <row r="29363">
      <c r="A29363" s="4" t="s">
        <v>36972</v>
      </c>
      <c r="B29363" s="4" t="s">
        <v>36973</v>
      </c>
      <c r="C29363" s="5" t="str">
        <f>IFERROR(__xludf.DUMMYFUNCTION("GOOGLETRANSLATE(B29363,""en"",""es-ES"")"),"Se ve a un gran grupo de personas parados en un escenario con gente mirando al margen.")</f>
        <v>Se ve a un gran grupo de personas parados en un escenario con gente mirando al margen.</v>
      </c>
    </row>
    <row r="29364">
      <c r="A29364" s="4" t="s">
        <v>36972</v>
      </c>
      <c r="B29364" s="4" t="s">
        <v>36974</v>
      </c>
      <c r="C29364" s="5" t="str">
        <f>IFERROR(__xludf.DUMMYFUNCTION("GOOGLETRANSLATE(B29364,""en"",""es-ES"")"),"La gente se turna para saltar sobre una columna vertebral sobre una viga y animando a sus compañeros de equipo.")</f>
        <v>La gente se turna para saltar sobre una columna vertebral sobre una viga y animando a sus compañeros de equipo.</v>
      </c>
    </row>
    <row r="29365">
      <c r="A29365" s="4" t="s">
        <v>36972</v>
      </c>
      <c r="B29365" s="4" t="s">
        <v>36975</v>
      </c>
      <c r="C29365" s="5" t="str">
        <f>IFERROR(__xludf.DUMMYFUNCTION("GOOGLETRANSLATE(B29365,""en"",""es-ES"")"),"Se muestran más tomas de niños que se vuelven mientras miran y se ríen con la cámara.")</f>
        <v>Se muestran más tomas de niños que se vuelven mientras miran y se ríen con la cámara.</v>
      </c>
    </row>
    <row r="29366">
      <c r="A29366" s="4" t="s">
        <v>36976</v>
      </c>
      <c r="B29366" s="4" t="s">
        <v>36977</v>
      </c>
      <c r="C29366" s="5" t="str">
        <f>IFERROR(__xludf.DUMMYFUNCTION("GOOGLETRANSLATE(B29366,""en"",""es-ES"")"),"Un niño pequeño sube los escalones de un patio de recreo.")</f>
        <v>Un niño pequeño sube los escalones de un patio de recreo.</v>
      </c>
    </row>
    <row r="29367">
      <c r="A29367" s="4" t="s">
        <v>36976</v>
      </c>
      <c r="B29367" s="4" t="s">
        <v>36978</v>
      </c>
      <c r="C29367" s="5" t="str">
        <f>IFERROR(__xludf.DUMMYFUNCTION("GOOGLETRANSLATE(B29367,""en"",""es-ES"")"),"Luego, el niño se desliza hacia abajo hasta llegar al suelo.")</f>
        <v>Luego, el niño se desliza hacia abajo hasta llegar al suelo.</v>
      </c>
    </row>
    <row r="29368">
      <c r="A29368" s="4" t="s">
        <v>36979</v>
      </c>
      <c r="B29368" s="4" t="s">
        <v>36980</v>
      </c>
      <c r="C29368" s="5" t="str">
        <f>IFERROR(__xludf.DUMMYFUNCTION("GOOGLETRANSLATE(B29368,""en"",""es-ES"")"),"Se ve a un grupo de personas parados en un campo de fútbol y conduce a uno que se cae y se le ayuda a retroceder.")</f>
        <v>Se ve a un grupo de personas parados en un campo de fútbol y conduce a uno que se cae y se le ayuda a retroceder.</v>
      </c>
    </row>
    <row r="29369">
      <c r="A29369" s="4" t="s">
        <v>36979</v>
      </c>
      <c r="B29369" s="4" t="s">
        <v>36981</v>
      </c>
      <c r="C29369" s="5" t="str">
        <f>IFERROR(__xludf.DUMMYFUNCTION("GOOGLETRANSLATE(B29369,""en"",""es-ES"")"),"El mismo disparo se muestra nuevamente en cámara lenta y conduce a una anotación de un gol con otros que no prestan atención.")</f>
        <v>El mismo disparo se muestra nuevamente en cámara lenta y conduce a una anotación de un gol con otros que no prestan atención.</v>
      </c>
    </row>
    <row r="29370">
      <c r="A29370" s="4" t="s">
        <v>36979</v>
      </c>
      <c r="B29370" s="4" t="s">
        <v>36982</v>
      </c>
      <c r="C29370" s="5" t="str">
        <f>IFERROR(__xludf.DUMMYFUNCTION("GOOGLETRANSLATE(B29370,""en"",""es-ES"")"),"El mismo disparo se muestra nuevamente en cámara lenta varias veces y regresa a todos los jugadores.")</f>
        <v>El mismo disparo se muestra nuevamente en cámara lenta varias veces y regresa a todos los jugadores.</v>
      </c>
    </row>
    <row r="29371">
      <c r="A29371" s="4" t="s">
        <v>36983</v>
      </c>
      <c r="B29371" s="4" t="s">
        <v>36984</v>
      </c>
      <c r="C29371" s="5" t="str">
        <f>IFERROR(__xludf.DUMMYFUNCTION("GOOGLETRANSLATE(B29371,""en"",""es-ES"")"),"Una señora está filmando a una niña y un niño que están al aire libre en un parque de parques.")</f>
        <v>Una señora está filmando a una niña y un niño que están al aire libre en un parque de parques.</v>
      </c>
    </row>
    <row r="29372">
      <c r="A29372" s="4" t="s">
        <v>36983</v>
      </c>
      <c r="B29372" s="4" t="s">
        <v>36985</v>
      </c>
      <c r="C29372" s="5" t="str">
        <f>IFERROR(__xludf.DUMMYFUNCTION("GOOGLETRANSLATE(B29372,""en"",""es-ES"")"),"La joven cuelga y atraviesa las barras de mono usando sus brazos mientras el joven se encuentra detrás de los rieles y los relojes.")</f>
        <v>La joven cuelga y atraviesa las barras de mono usando sus brazos mientras el joven se encuentra detrás de los rieles y los relojes.</v>
      </c>
    </row>
    <row r="29373">
      <c r="A29373" s="4" t="s">
        <v>36983</v>
      </c>
      <c r="B29373" s="4" t="s">
        <v>36986</v>
      </c>
      <c r="C29373" s="5" t="str">
        <f>IFERROR(__xludf.DUMMYFUNCTION("GOOGLETRANSLATE(B29373,""en"",""es-ES"")"),"El salta hacia abajo al final de las barras de mono y luego salta de arriba abajo y le da un gran cinco a la mujer emocionada que la filma.")</f>
        <v>El salta hacia abajo al final de las barras de mono y luego salta de arriba abajo y le da un gran cinco a la mujer emocionada que la filma.</v>
      </c>
    </row>
    <row r="29374">
      <c r="A29374" s="4" t="s">
        <v>36983</v>
      </c>
      <c r="B29374" s="4" t="s">
        <v>36987</v>
      </c>
      <c r="C29374" s="5" t="str">
        <f>IFERROR(__xludf.DUMMYFUNCTION("GOOGLETRANSLATE(B29374,""en"",""es-ES"")"),"La señora detrás de la cámara se acerca y se acelera al niño que ahora está en los bares de mono y mantiene una conversación con él.")</f>
        <v>La señora detrás de la cámara se acerca y se acelera al niño que ahora está en los bares de mono y mantiene una conversación con él.</v>
      </c>
    </row>
    <row r="29375">
      <c r="A29375" s="4" t="s">
        <v>36988</v>
      </c>
      <c r="B29375" s="4" t="s">
        <v>36989</v>
      </c>
      <c r="C29375" s="5" t="str">
        <f>IFERROR(__xludf.DUMMYFUNCTION("GOOGLETRANSLATE(B29375,""en"",""es-ES"")"),"Se ve una bicicleta al revés en una tienda.")</f>
        <v>Se ve una bicicleta al revés en una tienda.</v>
      </c>
    </row>
    <row r="29376">
      <c r="A29376" s="4" t="s">
        <v>36988</v>
      </c>
      <c r="B29376" s="4" t="s">
        <v>36990</v>
      </c>
      <c r="C29376" s="5" t="str">
        <f>IFERROR(__xludf.DUMMYFUNCTION("GOOGLETRANSLATE(B29376,""en"",""es-ES"")"),"Un hombre muestra cómo quitar un neumático.")</f>
        <v>Un hombre muestra cómo quitar un neumático.</v>
      </c>
    </row>
    <row r="29377">
      <c r="A29377" s="4" t="s">
        <v>36988</v>
      </c>
      <c r="B29377" s="4" t="s">
        <v>36991</v>
      </c>
      <c r="C29377" s="5" t="str">
        <f>IFERROR(__xludf.DUMMYFUNCTION("GOOGLETRANSLATE(B29377,""en"",""es-ES"")"),"Luego lo reemplaza y lo aprieta nuevamente en su lugar.")</f>
        <v>Luego lo reemplaza y lo aprieta nuevamente en su lugar.</v>
      </c>
    </row>
    <row r="29378">
      <c r="A29378" s="4" t="s">
        <v>36992</v>
      </c>
      <c r="B29378" s="4" t="s">
        <v>36993</v>
      </c>
      <c r="C29378" s="5" t="str">
        <f>IFERROR(__xludf.DUMMYFUNCTION("GOOGLETRANSLATE(B29378,""en"",""es-ES"")"),"Se ve a un hombre hablando con la cámara y conduce a clips de ellos esquiando.")</f>
        <v>Se ve a un hombre hablando con la cámara y conduce a clips de ellos esquiando.</v>
      </c>
    </row>
    <row r="29379">
      <c r="A29379" s="4" t="s">
        <v>36992</v>
      </c>
      <c r="B29379" s="4" t="s">
        <v>36994</v>
      </c>
      <c r="C29379" s="5" t="str">
        <f>IFERROR(__xludf.DUMMYFUNCTION("GOOGLETRANSLATE(B29379,""en"",""es-ES"")"),"Los hombres se mueven a lo largo de la montaña, mientras que otros se muestran esquiando junto a ellos.")</f>
        <v>Los hombres se mueven a lo largo de la montaña, mientras que otros se muestran esquiando junto a ellos.</v>
      </c>
    </row>
    <row r="29380">
      <c r="A29380" s="4" t="s">
        <v>36992</v>
      </c>
      <c r="B29380" s="4" t="s">
        <v>36995</v>
      </c>
      <c r="C29380" s="5" t="str">
        <f>IFERROR(__xludf.DUMMYFUNCTION("GOOGLETRANSLATE(B29380,""en"",""es-ES"")"),"La gente continúa montando por la colina y terminan deteniéndose en el fondo.")</f>
        <v>La gente continúa montando por la colina y terminan deteniéndose en el fondo.</v>
      </c>
    </row>
    <row r="29381">
      <c r="A29381" s="4" t="s">
        <v>36996</v>
      </c>
      <c r="B29381" s="4" t="s">
        <v>36997</v>
      </c>
      <c r="C29381" s="5" t="str">
        <f>IFERROR(__xludf.DUMMYFUNCTION("GOOGLETRANSLATE(B29381,""en"",""es-ES"")"),"Un grupo de chicas en un equipo de salto de cuerda hace una rutina en una gran sala de música.")</f>
        <v>Un grupo de chicas en un equipo de salto de cuerda hace una rutina en una gran sala de música.</v>
      </c>
    </row>
    <row r="29382">
      <c r="A29382" s="4" t="s">
        <v>36996</v>
      </c>
      <c r="B29382" s="4" t="s">
        <v>36998</v>
      </c>
      <c r="C29382" s="5" t="str">
        <f>IFERROR(__xludf.DUMMYFUNCTION("GOOGLETRANSLATE(B29382,""en"",""es-ES"")"),"Un grupo de chicas salta de cuerda individualmente.")</f>
        <v>Un grupo de chicas salta de cuerda individualmente.</v>
      </c>
    </row>
    <row r="29383">
      <c r="A29383" s="4" t="s">
        <v>36996</v>
      </c>
      <c r="B29383" s="4" t="s">
        <v>36999</v>
      </c>
      <c r="C29383" s="5" t="str">
        <f>IFERROR(__xludf.DUMMYFUNCTION("GOOGLETRANSLATE(B29383,""en"",""es-ES"")"),"Tres chicas saltan de la cuerda con dos sosteniendo una sola cuerda en cada extremo.")</f>
        <v>Tres chicas saltan de la cuerda con dos sosteniendo una sola cuerda en cada extremo.</v>
      </c>
    </row>
    <row r="29384">
      <c r="A29384" s="4" t="s">
        <v>36996</v>
      </c>
      <c r="B29384" s="4" t="s">
        <v>37000</v>
      </c>
      <c r="C29384" s="5" t="str">
        <f>IFERROR(__xludf.DUMMYFUNCTION("GOOGLETRANSLATE(B29384,""en"",""es-ES"")"),"Tres chicas saltan juntas dentro de una sola cuerda.")</f>
        <v>Tres chicas saltan juntas dentro de una sola cuerda.</v>
      </c>
    </row>
    <row r="29385">
      <c r="A29385" s="4" t="s">
        <v>36996</v>
      </c>
      <c r="B29385" s="4" t="s">
        <v>37001</v>
      </c>
      <c r="C29385" s="5" t="str">
        <f>IFERROR(__xludf.DUMMYFUNCTION("GOOGLETRANSLATE(B29385,""en"",""es-ES"")"),"Un grupo de niñas tiene dos cuerdas y se turnan para hacer doble holandés mientras los miembros corren y saltan la cuerda.")</f>
        <v>Un grupo de niñas tiene dos cuerdas y se turnan para hacer doble holandés mientras los miembros corren y saltan la cuerda.</v>
      </c>
    </row>
    <row r="29386">
      <c r="A29386" s="4" t="s">
        <v>37002</v>
      </c>
      <c r="B29386" s="4" t="s">
        <v>37003</v>
      </c>
      <c r="C29386" s="5" t="str">
        <f>IFERROR(__xludf.DUMMYFUNCTION("GOOGLETRANSLATE(B29386,""en"",""es-ES"")"),"Se ve a un hombre moverse en cámara lenta sosteniendo una raqueta de tenis y arrojando una pelota hacia el aire.")</f>
        <v>Se ve a un hombre moverse en cámara lenta sosteniendo una raqueta de tenis y arrojando una pelota hacia el aire.</v>
      </c>
    </row>
    <row r="29387">
      <c r="A29387" s="4" t="s">
        <v>37002</v>
      </c>
      <c r="B29387" s="4" t="s">
        <v>37004</v>
      </c>
      <c r="C29387" s="5" t="str">
        <f>IFERROR(__xludf.DUMMYFUNCTION("GOOGLETRANSLATE(B29387,""en"",""es-ES"")"),"Las flechas apuntan alrededor de su cuerpo y muestran que golpea la pelota mientras detiene para mostrar los movimientos de su cuerpo.")</f>
        <v>Las flechas apuntan alrededor de su cuerpo y muestran que golpea la pelota mientras detiene para mostrar los movimientos de su cuerpo.</v>
      </c>
    </row>
    <row r="29388">
      <c r="A29388" s="4" t="s">
        <v>37005</v>
      </c>
      <c r="B29388" s="4" t="s">
        <v>37006</v>
      </c>
      <c r="C29388" s="5" t="str">
        <f>IFERROR(__xludf.DUMMYFUNCTION("GOOGLETRANSLATE(B29388,""en"",""es-ES"")"),"Una máquina elíptica de bicicleta está sentada en la sala de estar junto a un sofá.")</f>
        <v>Una máquina elíptica de bicicleta está sentada en la sala de estar junto a un sofá.</v>
      </c>
    </row>
    <row r="29389">
      <c r="A29389" s="4" t="s">
        <v>37005</v>
      </c>
      <c r="B29389" s="4" t="s">
        <v>37007</v>
      </c>
      <c r="C29389" s="5" t="str">
        <f>IFERROR(__xludf.DUMMYFUNCTION("GOOGLETRANSLATE(B29389,""en"",""es-ES"")"),"Un perro aparece en el sofá y de repente una persona se sienta en la máquina y lo enciende.")</f>
        <v>Un perro aparece en el sofá y de repente una persona se sienta en la máquina y lo enciende.</v>
      </c>
    </row>
    <row r="29390">
      <c r="A29390" s="4" t="s">
        <v>37005</v>
      </c>
      <c r="B29390" s="4" t="s">
        <v>37008</v>
      </c>
      <c r="C29390" s="5" t="str">
        <f>IFERROR(__xludf.DUMMYFUNCTION("GOOGLETRANSLATE(B29390,""en"",""es-ES"")"),"Una vez que la máquina está encendida, comienza a parpadear 30 minutos varias veces y la persona comienza a hacer ejercicio en la máquina empujando las barras de un lado a otro.")</f>
        <v>Una vez que la máquina está encendida, comienza a parpadear 30 minutos varias veces y la persona comienza a hacer ejercicio en la máquina empujando las barras de un lado a otro.</v>
      </c>
    </row>
    <row r="29391">
      <c r="A29391" s="4" t="s">
        <v>37009</v>
      </c>
      <c r="B29391" s="4" t="s">
        <v>37010</v>
      </c>
      <c r="C29391" s="5" t="str">
        <f>IFERROR(__xludf.DUMMYFUNCTION("GOOGLETRANSLATE(B29391,""en"",""es-ES"")"),"Un hombre con camisa negra levantó la barbilla y comenzó a llevarla hacia arriba y hacia abajo por pocas veces, mientras que detrás de él, dos hombres están quitando las placas de metal en otra barbilla.")</f>
        <v>Un hombre con camisa negra levantó la barbilla y comenzó a llevarla hacia arriba y hacia abajo por pocas veces, mientras que detrás de él, dos hombres están quitando las placas de metal en otra barbilla.</v>
      </c>
    </row>
    <row r="29392">
      <c r="A29392" s="4" t="s">
        <v>37009</v>
      </c>
      <c r="B29392" s="4" t="s">
        <v>37011</v>
      </c>
      <c r="C29392" s="5" t="str">
        <f>IFERROR(__xludf.DUMMYFUNCTION("GOOGLETRANSLATE(B29392,""en"",""es-ES"")"),"El hombre con camisa negra agregó más peso en la barbilla agregando placas amarillas en ambos lados, luego continúa levantando pesas.")</f>
        <v>El hombre con camisa negra agregó más peso en la barbilla agregando placas amarillas en ambos lados, luego continúa levantando pesas.</v>
      </c>
    </row>
    <row r="29393">
      <c r="A29393" s="4" t="s">
        <v>37012</v>
      </c>
      <c r="B29393" s="4" t="s">
        <v>37013</v>
      </c>
      <c r="C29393" s="5" t="str">
        <f>IFERROR(__xludf.DUMMYFUNCTION("GOOGLETRANSLATE(B29393,""en"",""es-ES"")"),"Un hombre y un niño están sentados en un sofá mientras el adulto fuma tabaco de narguile.")</f>
        <v>Un hombre y un niño están sentados en un sofá mientras el adulto fuma tabaco de narguile.</v>
      </c>
    </row>
    <row r="29394">
      <c r="A29394" s="4" t="s">
        <v>37012</v>
      </c>
      <c r="B29394" s="4" t="s">
        <v>37014</v>
      </c>
      <c r="C29394" s="5" t="str">
        <f>IFERROR(__xludf.DUMMYFUNCTION("GOOGLETRANSLATE(B29394,""en"",""es-ES"")"),"El niño lo agarra como si fume solo para que se lo aleje.")</f>
        <v>El niño lo agarra como si fume solo para que se lo aleje.</v>
      </c>
    </row>
    <row r="29395">
      <c r="A29395" s="4" t="s">
        <v>37012</v>
      </c>
      <c r="B29395" s="4" t="s">
        <v>37015</v>
      </c>
      <c r="C29395" s="5" t="str">
        <f>IFERROR(__xludf.DUMMYFUNCTION("GOOGLETRANSLATE(B29395,""en"",""es-ES"")"),"El niño puede meterlo en su propia boca pero no sabe qué hacer.")</f>
        <v>El niño puede meterlo en su propia boca pero no sabe qué hacer.</v>
      </c>
    </row>
    <row r="29396">
      <c r="A29396" s="4" t="s">
        <v>37012</v>
      </c>
      <c r="B29396" s="4" t="s">
        <v>37016</v>
      </c>
      <c r="C29396" s="5" t="str">
        <f>IFERROR(__xludf.DUMMYFUNCTION("GOOGLETRANSLATE(B29396,""en"",""es-ES"")"),"Él termina metiéndolo en la boca de los adultos y el adulto continúa fumando desde la tubería de narguile.")</f>
        <v>Él termina metiéndolo en la boca de los adultos y el adulto continúa fumando desde la tubería de narguile.</v>
      </c>
    </row>
    <row r="29397">
      <c r="A29397" s="4" t="s">
        <v>37017</v>
      </c>
      <c r="B29397" s="4" t="s">
        <v>37018</v>
      </c>
      <c r="C29397" s="5" t="str">
        <f>IFERROR(__xludf.DUMMYFUNCTION("GOOGLETRANSLATE(B29397,""en"",""es-ES"")"),"Los detalles del negocio están escritos en texto blanco sobre un fondo negro.")</f>
        <v>Los detalles del negocio están escritos en texto blanco sobre un fondo negro.</v>
      </c>
    </row>
    <row r="29398">
      <c r="A29398" s="4" t="s">
        <v>37017</v>
      </c>
      <c r="B29398" s="4" t="s">
        <v>37019</v>
      </c>
      <c r="C29398" s="5" t="str">
        <f>IFERROR(__xludf.DUMMYFUNCTION("GOOGLETRANSLATE(B29398,""en"",""es-ES"")"),"Los hombres que usan chaquetas la presión lavan un automóvil blanco en un estacionamiento.")</f>
        <v>Los hombres que usan chaquetas la presión lavan un automóvil blanco en un estacionamiento.</v>
      </c>
    </row>
    <row r="29399">
      <c r="A29399" s="4" t="s">
        <v>37017</v>
      </c>
      <c r="B29399" s="4" t="s">
        <v>37020</v>
      </c>
      <c r="C29399" s="5" t="str">
        <f>IFERROR(__xludf.DUMMYFUNCTION("GOOGLETRANSLATE(B29399,""en"",""es-ES"")"),"Dos hombres lavan un SUV negro con una manguera de lavado a presión.")</f>
        <v>Dos hombres lavan un SUV negro con una manguera de lavado a presión.</v>
      </c>
    </row>
    <row r="29400">
      <c r="A29400" s="4" t="s">
        <v>37017</v>
      </c>
      <c r="B29400" s="4" t="s">
        <v>37021</v>
      </c>
      <c r="C29400" s="5" t="str">
        <f>IFERROR(__xludf.DUMMYFUNCTION("GOOGLETRANSLATE(B29400,""en"",""es-ES"")"),"Los hombres lavan un automóvil blanco con toallas de mano.")</f>
        <v>Los hombres lavan un automóvil blanco con toallas de mano.</v>
      </c>
    </row>
    <row r="29401">
      <c r="A29401" s="4" t="s">
        <v>37017</v>
      </c>
      <c r="B29401" s="4" t="s">
        <v>37022</v>
      </c>
      <c r="C29401" s="5" t="str">
        <f>IFERROR(__xludf.DUMMYFUNCTION("GOOGLETRANSLATE(B29401,""en"",""es-ES"")"),"Los detalles del negocio se ven antes de los créditos finales para el video.")</f>
        <v>Los detalles del negocio se ven antes de los créditos finales para el video.</v>
      </c>
    </row>
    <row r="29402">
      <c r="A29402" s="4" t="s">
        <v>37023</v>
      </c>
      <c r="B29402" s="4" t="s">
        <v>37024</v>
      </c>
      <c r="C29402" s="5" t="str">
        <f>IFERROR(__xludf.DUMMYFUNCTION("GOOGLETRANSLATE(B29402,""en"",""es-ES"")"),"El video tiene lugar en un gimnasio de varios gimnastas.")</f>
        <v>El video tiene lugar en un gimnasio de varios gimnastas.</v>
      </c>
    </row>
    <row r="29403">
      <c r="A29403" s="4" t="s">
        <v>37023</v>
      </c>
      <c r="B29403" s="4" t="s">
        <v>37025</v>
      </c>
      <c r="C29403" s="5" t="str">
        <f>IFERROR(__xludf.DUMMYFUNCTION("GOOGLETRANSLATE(B29403,""en"",""es-ES"")"),"Una niña se encuentra encima del trampolín en preparación para saltar.")</f>
        <v>Una niña se encuentra encima del trampolín en preparación para saltar.</v>
      </c>
    </row>
    <row r="29404">
      <c r="A29404" s="4" t="s">
        <v>37023</v>
      </c>
      <c r="B29404" s="4" t="s">
        <v>37026</v>
      </c>
      <c r="C29404" s="5" t="str">
        <f>IFERROR(__xludf.DUMMYFUNCTION("GOOGLETRANSLATE(B29404,""en"",""es-ES"")"),"Ella salta sobre la barra y comienza a hacer varias volteretas entre dos barras.")</f>
        <v>Ella salta sobre la barra y comienza a hacer varias volteretas entre dos barras.</v>
      </c>
    </row>
    <row r="29405">
      <c r="A29405" s="4" t="s">
        <v>37023</v>
      </c>
      <c r="B29405" s="4" t="s">
        <v>37027</v>
      </c>
      <c r="C29405" s="5" t="str">
        <f>IFERROR(__xludf.DUMMYFUNCTION("GOOGLETRANSLATE(B29405,""en"",""es-ES"")"),"Luego salta al área acolchada y arroja sus manos, y un hombre le da un abrazo.")</f>
        <v>Luego salta al área acolchada y arroja sus manos, y un hombre le da un abrazo.</v>
      </c>
    </row>
    <row r="29406">
      <c r="A29406" s="4" t="s">
        <v>37028</v>
      </c>
      <c r="B29406" s="4" t="s">
        <v>37029</v>
      </c>
      <c r="C29406" s="5" t="str">
        <f>IFERROR(__xludf.DUMMYFUNCTION("GOOGLETRANSLATE(B29406,""en"",""es-ES"")"),"Se ve un gran bote con un viento que se ve en una gran tormenta con personas a bordo.")</f>
        <v>Se ve un gran bote con un viento que se ve en una gran tormenta con personas a bordo.</v>
      </c>
    </row>
    <row r="29407">
      <c r="A29407" s="4" t="s">
        <v>37028</v>
      </c>
      <c r="B29407" s="4" t="s">
        <v>37030</v>
      </c>
      <c r="C29407" s="5" t="str">
        <f>IFERROR(__xludf.DUMMYFUNCTION("GOOGLETRANSLATE(B29407,""en"",""es-ES"")"),"El bote se inclina en un momento cuando se presenta otro bote y también se cae.")</f>
        <v>El bote se inclina en un momento cuando se presenta otro bote y también se cae.</v>
      </c>
    </row>
    <row r="29408">
      <c r="A29408" s="4" t="s">
        <v>37031</v>
      </c>
      <c r="B29408" s="4" t="s">
        <v>37032</v>
      </c>
      <c r="C29408" s="5" t="str">
        <f>IFERROR(__xludf.DUMMYFUNCTION("GOOGLETRANSLATE(B29408,""en"",""es-ES"")"),"La mujer está sentada en un sofá con un gato en las piernas, él toma un escaso de la mesa junto a ella y comienza a cortar las uñas del gato delantero.")</f>
        <v>La mujer está sentada en un sofá con un gato en las piernas, él toma un escaso de la mesa junto a ella y comienza a cortar las uñas del gato delantero.</v>
      </c>
    </row>
    <row r="29409">
      <c r="A29409" s="4" t="s">
        <v>37031</v>
      </c>
      <c r="B29409" s="4" t="s">
        <v>37033</v>
      </c>
      <c r="C29409" s="5" t="str">
        <f>IFERROR(__xludf.DUMMYFUNCTION("GOOGLETRANSLATE(B29409,""en"",""es-ES"")"),"Ella mira sus patas traseras y le dio a su gato algo de comida para gatos.")</f>
        <v>Ella mira sus patas traseras y le dio a su gato algo de comida para gatos.</v>
      </c>
    </row>
    <row r="29410">
      <c r="A29410" s="4" t="s">
        <v>37031</v>
      </c>
      <c r="B29410" s="4" t="s">
        <v>37034</v>
      </c>
      <c r="C29410" s="5" t="str">
        <f>IFERROR(__xludf.DUMMYFUNCTION("GOOGLETRANSLATE(B29410,""en"",""es-ES"")"),"La niña felicita al gato y lo puso en el suelo.")</f>
        <v>La niña felicita al gato y lo puso en el suelo.</v>
      </c>
    </row>
    <row r="29411">
      <c r="A29411" s="4" t="s">
        <v>37035</v>
      </c>
      <c r="B29411" s="4" t="s">
        <v>37036</v>
      </c>
      <c r="C29411" s="5" t="str">
        <f>IFERROR(__xludf.DUMMYFUNCTION("GOOGLETRANSLATE(B29411,""en"",""es-ES"")"),"Un hombre sin camisa en los árboles se sienta afuera por los árboles y bebe de una taza de café.")</f>
        <v>Un hombre sin camisa en los árboles se sienta afuera por los árboles y bebe de una taza de café.</v>
      </c>
    </row>
    <row r="29412">
      <c r="A29412" s="4" t="s">
        <v>37035</v>
      </c>
      <c r="B29412" s="4" t="s">
        <v>37037</v>
      </c>
      <c r="C29412" s="5" t="str">
        <f>IFERROR(__xludf.DUMMYFUNCTION("GOOGLETRANSLATE(B29412,""en"",""es-ES"")"),"Se ve a una persona acariciar a un gato.")</f>
        <v>Se ve a una persona acariciar a un gato.</v>
      </c>
    </row>
    <row r="29413">
      <c r="A29413" s="4" t="s">
        <v>37038</v>
      </c>
      <c r="B29413" s="4" t="s">
        <v>37039</v>
      </c>
      <c r="C29413" s="5" t="str">
        <f>IFERROR(__xludf.DUMMYFUNCTION("GOOGLETRANSLATE(B29413,""en"",""es-ES"")"),"Un niño está construyendo un castillo de arena cerca del borde del océano.")</f>
        <v>Un niño está construyendo un castillo de arena cerca del borde del océano.</v>
      </c>
    </row>
    <row r="29414">
      <c r="A29414" s="4" t="s">
        <v>37038</v>
      </c>
      <c r="B29414" s="4" t="s">
        <v>37040</v>
      </c>
      <c r="C29414" s="5" t="str">
        <f>IFERROR(__xludf.DUMMYFUNCTION("GOOGLETRANSLATE(B29414,""en"",""es-ES"")"),"Forma enormes círculos y se pone de pie.")</f>
        <v>Forma enormes círculos y se pone de pie.</v>
      </c>
    </row>
    <row r="29415">
      <c r="A29415" s="4" t="s">
        <v>37041</v>
      </c>
      <c r="B29415" s="4" t="s">
        <v>37042</v>
      </c>
      <c r="C29415" s="5" t="str">
        <f>IFERROR(__xludf.DUMMYFUNCTION("GOOGLETRANSLATE(B29415,""en"",""es-ES"")"),"Un hombre besa a una chica en la playa.")</f>
        <v>Un hombre besa a una chica en la playa.</v>
      </c>
    </row>
    <row r="29416">
      <c r="A29416" s="4" t="s">
        <v>37041</v>
      </c>
      <c r="B29416" s="4" t="s">
        <v>37043</v>
      </c>
      <c r="C29416" s="5" t="str">
        <f>IFERROR(__xludf.DUMMYFUNCTION("GOOGLETRANSLATE(B29416,""en"",""es-ES"")"),"La gente toca unas tijeras de rock en la playa.")</f>
        <v>La gente toca unas tijeras de rock en la playa.</v>
      </c>
    </row>
    <row r="29417">
      <c r="A29417" s="4" t="s">
        <v>37041</v>
      </c>
      <c r="B29417" s="4" t="s">
        <v>37044</v>
      </c>
      <c r="C29417" s="5" t="str">
        <f>IFERROR(__xludf.DUMMYFUNCTION("GOOGLETRANSLATE(B29417,""en"",""es-ES"")"),"Un hombre con una camisa negra está de pie en la playa.")</f>
        <v>Un hombre con una camisa negra está de pie en la playa.</v>
      </c>
    </row>
    <row r="29418">
      <c r="A29418" s="4" t="s">
        <v>37045</v>
      </c>
      <c r="B29418" s="4" t="s">
        <v>37046</v>
      </c>
      <c r="C29418" s="5" t="str">
        <f>IFERROR(__xludf.DUMMYFUNCTION("GOOGLETRANSLATE(B29418,""en"",""es-ES"")"),"Un hombre conecta un cable a su guitarra.")</f>
        <v>Un hombre conecta un cable a su guitarra.</v>
      </c>
    </row>
    <row r="29419">
      <c r="A29419" s="4" t="s">
        <v>37045</v>
      </c>
      <c r="B29419" s="4" t="s">
        <v>37047</v>
      </c>
      <c r="C29419" s="5" t="str">
        <f>IFERROR(__xludf.DUMMYFUNCTION("GOOGLETRANSLATE(B29419,""en"",""es-ES"")"),"Comienza a tocar la guitarra.")</f>
        <v>Comienza a tocar la guitarra.</v>
      </c>
    </row>
    <row r="29420">
      <c r="A29420" s="4" t="s">
        <v>37045</v>
      </c>
      <c r="B29420" s="4" t="s">
        <v>37048</v>
      </c>
      <c r="C29420" s="5" t="str">
        <f>IFERROR(__xludf.DUMMYFUNCTION("GOOGLETRANSLATE(B29420,""en"",""es-ES"")"),"Él mira hacia arriba y habla.")</f>
        <v>Él mira hacia arriba y habla.</v>
      </c>
    </row>
    <row r="29421">
      <c r="A29421" s="4" t="s">
        <v>37045</v>
      </c>
      <c r="B29421" s="4" t="s">
        <v>37049</v>
      </c>
      <c r="C29421" s="5" t="str">
        <f>IFERROR(__xludf.DUMMYFUNCTION("GOOGLETRANSLATE(B29421,""en"",""es-ES"")"),"Vuelve a tocar su guitarra.")</f>
        <v>Vuelve a tocar su guitarra.</v>
      </c>
    </row>
    <row r="29422">
      <c r="A29422" s="4" t="s">
        <v>37045</v>
      </c>
      <c r="B29422" s="4" t="s">
        <v>37050</v>
      </c>
      <c r="C29422" s="5" t="str">
        <f>IFERROR(__xludf.DUMMYFUNCTION("GOOGLETRANSLATE(B29422,""en"",""es-ES"")"),"Él mira hacia arriba y habla mientras hace gestos con las manos.")</f>
        <v>Él mira hacia arriba y habla mientras hace gestos con las manos.</v>
      </c>
    </row>
    <row r="29423">
      <c r="A29423" s="4" t="s">
        <v>37045</v>
      </c>
      <c r="B29423" s="4" t="s">
        <v>37051</v>
      </c>
      <c r="C29423" s="5" t="str">
        <f>IFERROR(__xludf.DUMMYFUNCTION("GOOGLETRANSLATE(B29423,""en"",""es-ES"")"),"Comienza a tocar su guitarra nuevamente.")</f>
        <v>Comienza a tocar su guitarra nuevamente.</v>
      </c>
    </row>
    <row r="29424">
      <c r="A29424" s="4" t="s">
        <v>37045</v>
      </c>
      <c r="B29424" s="4" t="s">
        <v>37052</v>
      </c>
      <c r="C29424" s="5" t="str">
        <f>IFERROR(__xludf.DUMMYFUNCTION("GOOGLETRANSLATE(B29424,""en"",""es-ES"")"),"Se desliza su dedo a lo largo de su guitarra.")</f>
        <v>Se desliza su dedo a lo largo de su guitarra.</v>
      </c>
    </row>
    <row r="29425">
      <c r="A29425" s="4" t="s">
        <v>37053</v>
      </c>
      <c r="B29425" s="4" t="s">
        <v>37054</v>
      </c>
      <c r="C29425" s="5" t="str">
        <f>IFERROR(__xludf.DUMMYFUNCTION("GOOGLETRANSLATE(B29425,""en"",""es-ES"")"),"Una mujer está en una cocina, revolviendo comida en una olla.")</f>
        <v>Una mujer está en una cocina, revolviendo comida en una olla.</v>
      </c>
    </row>
    <row r="29426">
      <c r="A29426" s="4" t="s">
        <v>37053</v>
      </c>
      <c r="B29426" s="4" t="s">
        <v>37055</v>
      </c>
      <c r="C29426" s="5" t="str">
        <f>IFERROR(__xludf.DUMMYFUNCTION("GOOGLETRANSLATE(B29426,""en"",""es-ES"")"),"Ella agrega sus ingredientes reunidos una vez mientras habla, mostrando la pasta que está usando.")</f>
        <v>Ella agrega sus ingredientes reunidos una vez mientras habla, mostrando la pasta que está usando.</v>
      </c>
    </row>
    <row r="29427">
      <c r="A29427" s="4" t="s">
        <v>37053</v>
      </c>
      <c r="B29427" s="4" t="s">
        <v>37056</v>
      </c>
      <c r="C29427" s="5" t="str">
        <f>IFERROR(__xludf.DUMMYFUNCTION("GOOGLETRANSLATE(B29427,""en"",""es-ES"")"),"Luego agrega un tazón de verduras que ha mezclado.")</f>
        <v>Luego agrega un tazón de verduras que ha mezclado.</v>
      </c>
    </row>
    <row r="29428">
      <c r="A29428" s="4" t="s">
        <v>37057</v>
      </c>
      <c r="B29428" s="4" t="s">
        <v>37058</v>
      </c>
      <c r="C29428" s="5" t="str">
        <f>IFERROR(__xludf.DUMMYFUNCTION("GOOGLETRANSLATE(B29428,""en"",""es-ES"")"),"Se ve a una persona sentada frente a la cámara sosteniendo un instrumento.")</f>
        <v>Se ve a una persona sentada frente a la cámara sosteniendo un instrumento.</v>
      </c>
    </row>
    <row r="29429">
      <c r="A29429" s="4" t="s">
        <v>37057</v>
      </c>
      <c r="B29429" s="4" t="s">
        <v>37059</v>
      </c>
      <c r="C29429" s="5" t="str">
        <f>IFERROR(__xludf.DUMMYFUNCTION("GOOGLETRANSLATE(B29429,""en"",""es-ES"")"),"El hombre luego comienza a tocar el instrumento mientras la cámara captura es movimientos.")</f>
        <v>El hombre luego comienza a tocar el instrumento mientras la cámara captura es movimientos.</v>
      </c>
    </row>
    <row r="29430">
      <c r="A29430" s="4" t="s">
        <v>37057</v>
      </c>
      <c r="B29430" s="4" t="s">
        <v>37060</v>
      </c>
      <c r="C29430" s="5" t="str">
        <f>IFERROR(__xludf.DUMMYFUNCTION("GOOGLETRANSLATE(B29430,""en"",""es-ES"")"),"El hombre continúa jugando moviendo sus manos a lo largo del instrumento y finalmente apagando la cámara.")</f>
        <v>El hombre continúa jugando moviendo sus manos a lo largo del instrumento y finalmente apagando la cámara.</v>
      </c>
    </row>
    <row r="29431">
      <c r="A29431" s="4" t="s">
        <v>37061</v>
      </c>
      <c r="B29431" s="4" t="s">
        <v>37062</v>
      </c>
      <c r="C29431" s="5" t="str">
        <f>IFERROR(__xludf.DUMMYFUNCTION("GOOGLETRANSLATE(B29431,""en"",""es-ES"")"),"Un hombre está buscando por todas partes por su perro.")</f>
        <v>Un hombre está buscando por todas partes por su perro.</v>
      </c>
    </row>
    <row r="29432">
      <c r="A29432" s="4" t="s">
        <v>37061</v>
      </c>
      <c r="B29432" s="4" t="s">
        <v>37063</v>
      </c>
      <c r="C29432" s="5" t="str">
        <f>IFERROR(__xludf.DUMMYFUNCTION("GOOGLETRANSLATE(B29432,""en"",""es-ES"")"),"Dijo que le pagó a su perro 10 dólares para cortar la hierba y ahora se fue.")</f>
        <v>Dijo que le pagó a su perro 10 dólares para cortar la hierba y ahora se fue.</v>
      </c>
    </row>
    <row r="29433">
      <c r="A29433" s="4" t="s">
        <v>37061</v>
      </c>
      <c r="B29433" s="4" t="s">
        <v>37064</v>
      </c>
      <c r="C29433" s="5" t="str">
        <f>IFERROR(__xludf.DUMMYFUNCTION("GOOGLETRANSLATE(B29433,""en"",""es-ES"")"),"Finalmente encuentra al perro que conduce el cortacésped del césped.")</f>
        <v>Finalmente encuentra al perro que conduce el cortacésped del césped.</v>
      </c>
    </row>
    <row r="29434">
      <c r="A29434" s="4" t="s">
        <v>37061</v>
      </c>
      <c r="B29434" s="4" t="s">
        <v>37065</v>
      </c>
      <c r="C29434" s="5" t="str">
        <f>IFERROR(__xludf.DUMMYFUNCTION("GOOGLETRANSLATE(B29434,""en"",""es-ES"")"),"Según el propietario, el perro está pidiendo un aumento.")</f>
        <v>Según el propietario, el perro está pidiendo un aumento.</v>
      </c>
    </row>
    <row r="29435">
      <c r="A29435" s="4" t="s">
        <v>37061</v>
      </c>
      <c r="B29435" s="4" t="s">
        <v>37066</v>
      </c>
      <c r="C29435" s="5" t="str">
        <f>IFERROR(__xludf.DUMMYFUNCTION("GOOGLETRANSLATE(B29435,""en"",""es-ES"")"),"Continúa cortando las líneas no muy rectas mientras los otros perros miran.")</f>
        <v>Continúa cortando las líneas no muy rectas mientras los otros perros miran.</v>
      </c>
    </row>
    <row r="29436">
      <c r="A29436" s="4" t="s">
        <v>37067</v>
      </c>
      <c r="B29436" s="4" t="s">
        <v>37068</v>
      </c>
      <c r="C29436" s="5" t="str">
        <f>IFERROR(__xludf.DUMMYFUNCTION("GOOGLETRANSLATE(B29436,""en"",""es-ES"")"),"Se ve a dos niños sosteniendo postes con otro hombre y jugando un juego de tablero de barras en una colchoneta.")</f>
        <v>Se ve a dos niños sosteniendo postes con otro hombre y jugando un juego de tablero de barras en una colchoneta.</v>
      </c>
    </row>
    <row r="29437">
      <c r="A29437" s="4" t="s">
        <v>37067</v>
      </c>
      <c r="B29437" s="4" t="s">
        <v>37069</v>
      </c>
      <c r="C29437" s="5" t="str">
        <f>IFERROR(__xludf.DUMMYFUNCTION("GOOGLETRANSLATE(B29437,""en"",""es-ES"")"),"Los niños empujan el disco hacia atrás y el cuarto mientras caminan unos a otros y termina con una mujer que entran en el marco y un primer plano del niño.")</f>
        <v>Los niños empujan el disco hacia atrás y el cuarto mientras caminan unos a otros y termina con una mujer que entran en el marco y un primer plano del niño.</v>
      </c>
    </row>
    <row r="29438">
      <c r="A29438" s="4" t="s">
        <v>37070</v>
      </c>
      <c r="B29438" s="4" t="s">
        <v>37071</v>
      </c>
      <c r="C29438" s="5" t="str">
        <f>IFERROR(__xludf.DUMMYFUNCTION("GOOGLETRANSLATE(B29438,""en"",""es-ES"")"),"Una cámara se mueve alrededor de un edificio, así como a las personas adentro posando para fotos y poniendo el equipo de esgrima.")</f>
        <v>Una cámara se mueve alrededor de un edificio, así como a las personas adentro posando para fotos y poniendo el equipo de esgrima.</v>
      </c>
    </row>
    <row r="29439">
      <c r="A29439" s="4" t="s">
        <v>37070</v>
      </c>
      <c r="B29439" s="4" t="s">
        <v>37072</v>
      </c>
      <c r="C29439" s="5" t="str">
        <f>IFERROR(__xludf.DUMMYFUNCTION("GOOGLETRANSLATE(B29439,""en"",""es-ES"")"),"Se muestran más clips de objetos de esgrima, personas que miran en los lados y otros que se preparan para valorar.")</f>
        <v>Se muestran más clips de objetos de esgrima, personas que miran en los lados y otros que se preparan para valorar.</v>
      </c>
    </row>
    <row r="29440">
      <c r="A29440" s="4" t="s">
        <v>37070</v>
      </c>
      <c r="B29440" s="4" t="s">
        <v>37073</v>
      </c>
      <c r="C29440" s="5" t="str">
        <f>IFERROR(__xludf.DUMMYFUNCTION("GOOGLETRANSLATE(B29440,""en"",""es-ES"")"),"Luego se muestran varios clips de dos personas que se encuentran con una mujer que se refiere a los lados y a las personas que miran a los lados.")</f>
        <v>Luego se muestran varios clips de dos personas que se encuentran con una mujer que se refiere a los lados y a las personas que miran a los lados.</v>
      </c>
    </row>
    <row r="29441">
      <c r="A29441" s="4" t="s">
        <v>37074</v>
      </c>
      <c r="B29441" s="4" t="s">
        <v>37075</v>
      </c>
      <c r="C29441" s="5" t="str">
        <f>IFERROR(__xludf.DUMMYFUNCTION("GOOGLETRANSLATE(B29441,""en"",""es-ES"")"),"Un hombre está practicando frente a un espejo en un estudio mientras otro observa.")</f>
        <v>Un hombre está practicando frente a un espejo en un estudio mientras otro observa.</v>
      </c>
    </row>
    <row r="29442">
      <c r="A29442" s="4" t="s">
        <v>37074</v>
      </c>
      <c r="B29442" s="4" t="s">
        <v>37076</v>
      </c>
      <c r="C29442" s="5" t="str">
        <f>IFERROR(__xludf.DUMMYFUNCTION("GOOGLETRANSLATE(B29442,""en"",""es-ES"")"),"Comienzan a darse turnos frente al espejo tratando de perfeccionar sus movimientos.")</f>
        <v>Comienzan a darse turnos frente al espejo tratando de perfeccionar sus movimientos.</v>
      </c>
    </row>
    <row r="29443">
      <c r="A29443" s="4" t="s">
        <v>37074</v>
      </c>
      <c r="B29443" s="4" t="s">
        <v>37077</v>
      </c>
      <c r="C29443" s="5" t="str">
        <f>IFERROR(__xludf.DUMMYFUNCTION("GOOGLETRANSLATE(B29443,""en"",""es-ES"")"),"Están haciendo todo tipo de volteretas acrobáticas locas y otros movimientos.")</f>
        <v>Están haciendo todo tipo de volteretas acrobáticas locas y otros movimientos.</v>
      </c>
    </row>
    <row r="29444">
      <c r="A29444" s="4" t="s">
        <v>37074</v>
      </c>
      <c r="B29444" s="4" t="s">
        <v>37078</v>
      </c>
      <c r="C29444" s="5" t="str">
        <f>IFERROR(__xludf.DUMMYFUNCTION("GOOGLETRANSLATE(B29444,""en"",""es-ES"")"),"Hay unos seis o siete hombres sentados contra la pared observando cómo el otro voltea en el aire.")</f>
        <v>Hay unos seis o siete hombres sentados contra la pared observando cómo el otro voltea en el aire.</v>
      </c>
    </row>
    <row r="29445">
      <c r="A29445" s="4" t="s">
        <v>37079</v>
      </c>
      <c r="B29445" s="4" t="s">
        <v>37080</v>
      </c>
      <c r="C29445" s="5" t="str">
        <f>IFERROR(__xludf.DUMMYFUNCTION("GOOGLETRANSLATE(B29445,""en"",""es-ES"")"),"Se ve a una persona caminando a lo largo de una tabla de buceo mientras la cámara se acerca.")</f>
        <v>Se ve a una persona caminando a lo largo de una tabla de buceo mientras la cámara se acerca.</v>
      </c>
    </row>
    <row r="29446">
      <c r="A29446" s="4" t="s">
        <v>37079</v>
      </c>
      <c r="B29446" s="4" t="s">
        <v>37081</v>
      </c>
      <c r="C29446" s="5" t="str">
        <f>IFERROR(__xludf.DUMMYFUNCTION("GOOGLETRANSLATE(B29446,""en"",""es-ES"")"),"El hombre se da la vuelta y realiza una parte posterior del tablero hacia el agua.")</f>
        <v>El hombre se da la vuelta y realiza una parte posterior del tablero hacia el agua.</v>
      </c>
    </row>
    <row r="29447">
      <c r="A29447" s="4" t="s">
        <v>37082</v>
      </c>
      <c r="B29447" s="4" t="s">
        <v>37083</v>
      </c>
      <c r="C29447" s="5" t="str">
        <f>IFERROR(__xludf.DUMMYFUNCTION("GOOGLETRANSLATE(B29447,""en"",""es-ES"")"),"Una dama baila en una escalera aeróbica en un gimnasio de fitness.")</f>
        <v>Una dama baila en una escalera aeróbica en un gimnasio de fitness.</v>
      </c>
    </row>
    <row r="29448">
      <c r="A29448" s="4" t="s">
        <v>37082</v>
      </c>
      <c r="B29448" s="4" t="s">
        <v>37084</v>
      </c>
      <c r="C29448" s="5" t="str">
        <f>IFERROR(__xludf.DUMMYFUNCTION("GOOGLETRANSLATE(B29448,""en"",""es-ES"")"),"La señora gira del paso.")</f>
        <v>La señora gira del paso.</v>
      </c>
    </row>
    <row r="29449">
      <c r="A29449" s="4" t="s">
        <v>37082</v>
      </c>
      <c r="B29449" s="4" t="s">
        <v>37085</v>
      </c>
      <c r="C29449" s="5" t="str">
        <f>IFERROR(__xludf.DUMMYFUNCTION("GOOGLETRANSLATE(B29449,""en"",""es-ES"")"),"La señora toca sus dedos de los pies al paso.")</f>
        <v>La señora toca sus dedos de los pies al paso.</v>
      </c>
    </row>
    <row r="29450">
      <c r="A29450" s="4" t="s">
        <v>37082</v>
      </c>
      <c r="B29450" s="4" t="s">
        <v>37086</v>
      </c>
      <c r="C29450" s="5" t="str">
        <f>IFERROR(__xludf.DUMMYFUNCTION("GOOGLETRANSLATE(B29450,""en"",""es-ES"")"),"La señora repite la rutina repetidamente.")</f>
        <v>La señora repite la rutina repetidamente.</v>
      </c>
    </row>
    <row r="29451">
      <c r="A29451" s="4" t="s">
        <v>37082</v>
      </c>
      <c r="B29451" s="4" t="s">
        <v>37087</v>
      </c>
      <c r="C29451" s="5" t="str">
        <f>IFERROR(__xludf.DUMMYFUNCTION("GOOGLETRANSLATE(B29451,""en"",""es-ES"")"),"La señora se desprende de su paso frente a él y mira la cámara.")</f>
        <v>La señora se desprende de su paso frente a él y mira la cámara.</v>
      </c>
    </row>
    <row r="29452">
      <c r="A29452" s="4" t="s">
        <v>37088</v>
      </c>
      <c r="B29452" s="4" t="s">
        <v>37089</v>
      </c>
      <c r="C29452" s="5" t="str">
        <f>IFERROR(__xludf.DUMMYFUNCTION("GOOGLETRANSLATE(B29452,""en"",""es-ES"")"),"Una mujer mayor lanza una bola blanca hacia una taza verde.")</f>
        <v>Una mujer mayor lanza una bola blanca hacia una taza verde.</v>
      </c>
    </row>
    <row r="29453">
      <c r="A29453" s="4" t="s">
        <v>37088</v>
      </c>
      <c r="B29453" s="4" t="s">
        <v>37090</v>
      </c>
      <c r="C29453" s="5" t="str">
        <f>IFERROR(__xludf.DUMMYFUNCTION("GOOGLETRANSLATE(B29453,""en"",""es-ES"")"),"Un niño le devuelve la pelota.")</f>
        <v>Un niño le devuelve la pelota.</v>
      </c>
    </row>
    <row r="29454">
      <c r="A29454" s="4" t="s">
        <v>37088</v>
      </c>
      <c r="B29454" s="4" t="s">
        <v>37091</v>
      </c>
      <c r="C29454" s="5" t="str">
        <f>IFERROR(__xludf.DUMMYFUNCTION("GOOGLETRANSLATE(B29454,""en"",""es-ES"")"),"La mujer vuelve a lanzar la pelota.")</f>
        <v>La mujer vuelve a lanzar la pelota.</v>
      </c>
    </row>
    <row r="29455">
      <c r="A29455" s="4" t="s">
        <v>37088</v>
      </c>
      <c r="B29455" s="4" t="s">
        <v>37092</v>
      </c>
      <c r="C29455" s="5" t="str">
        <f>IFERROR(__xludf.DUMMYFUNCTION("GOOGLETRANSLATE(B29455,""en"",""es-ES"")"),"Ella baila y lo vuelve a lanzar.")</f>
        <v>Ella baila y lo vuelve a lanzar.</v>
      </c>
    </row>
    <row r="29456">
      <c r="A29456" s="4" t="s">
        <v>37088</v>
      </c>
      <c r="B29456" s="4" t="s">
        <v>37093</v>
      </c>
      <c r="C29456" s="5" t="str">
        <f>IFERROR(__xludf.DUMMYFUNCTION("GOOGLETRANSLATE(B29456,""en"",""es-ES"")"),"Ella nuevamente arroja la bola blanca.")</f>
        <v>Ella nuevamente arroja la bola blanca.</v>
      </c>
    </row>
    <row r="29457">
      <c r="A29457" s="4" t="s">
        <v>37088</v>
      </c>
      <c r="B29457" s="4" t="s">
        <v>37094</v>
      </c>
      <c r="C29457" s="5" t="str">
        <f>IFERROR(__xludf.DUMMYFUNCTION("GOOGLETRANSLATE(B29457,""en"",""es-ES"")"),"El joven le entrega a la mujer la pelota y ella lo arroja de nuevo.")</f>
        <v>El joven le entrega a la mujer la pelota y ella lo arroja de nuevo.</v>
      </c>
    </row>
    <row r="29458">
      <c r="A29458" s="4" t="s">
        <v>37088</v>
      </c>
      <c r="B29458" s="4" t="s">
        <v>37095</v>
      </c>
      <c r="C29458" s="5" t="str">
        <f>IFERROR(__xludf.DUMMYFUNCTION("GOOGLETRANSLATE(B29458,""en"",""es-ES"")"),"La mujer mayor comienza a reír.")</f>
        <v>La mujer mayor comienza a reír.</v>
      </c>
    </row>
    <row r="29459">
      <c r="A29459" s="4" t="s">
        <v>37096</v>
      </c>
      <c r="B29459" s="4" t="s">
        <v>37097</v>
      </c>
      <c r="C29459" s="5" t="str">
        <f>IFERROR(__xludf.DUMMYFUNCTION("GOOGLETRANSLATE(B29459,""en"",""es-ES"")"),"Un grupo de vigas remar allí balsa por un río con rápidos y obstáculos.")</f>
        <v>Un grupo de vigas remar allí balsa por un río con rápidos y obstáculos.</v>
      </c>
    </row>
    <row r="29460">
      <c r="A29460" s="4" t="s">
        <v>37096</v>
      </c>
      <c r="B29460" s="4" t="s">
        <v>37098</v>
      </c>
      <c r="C29460" s="5" t="str">
        <f>IFERROR(__xludf.DUMMYFUNCTION("GOOGLETRANSLATE(B29460,""en"",""es-ES"")"),"Un grupo de vigas salen de una roca y gira allí para enfrentar la corriente.")</f>
        <v>Un grupo de vigas salen de una roca y gira allí para enfrentar la corriente.</v>
      </c>
    </row>
    <row r="29461">
      <c r="A29461" s="4" t="s">
        <v>37096</v>
      </c>
      <c r="B29461" s="4" t="s">
        <v>37099</v>
      </c>
      <c r="C29461" s="5" t="str">
        <f>IFERROR(__xludf.DUMMYFUNCTION("GOOGLETRANSLATE(B29461,""en"",""es-ES"")"),"Las vigas maniobra a través de una estructura de concreto.")</f>
        <v>Las vigas maniobra a través de una estructura de concreto.</v>
      </c>
    </row>
    <row r="29462">
      <c r="A29462" s="4" t="s">
        <v>37096</v>
      </c>
      <c r="B29462" s="4" t="s">
        <v>37100</v>
      </c>
      <c r="C29462" s="5" t="str">
        <f>IFERROR(__xludf.DUMMYFUNCTION("GOOGLETRANSLATE(B29462,""en"",""es-ES"")"),"El grupo rema alrededor de una gran roca que se coloca en el medio del río.")</f>
        <v>El grupo rema alrededor de una gran roca que se coloca en el medio del río.</v>
      </c>
    </row>
    <row r="29463">
      <c r="A29463" s="4" t="s">
        <v>37096</v>
      </c>
      <c r="B29463" s="4" t="s">
        <v>37101</v>
      </c>
      <c r="C29463" s="5" t="str">
        <f>IFERROR(__xludf.DUMMYFUNCTION("GOOGLETRANSLATE(B29463,""en"",""es-ES"")"),"El grupo salta de una roca al río.")</f>
        <v>El grupo salta de una roca al río.</v>
      </c>
    </row>
    <row r="29464">
      <c r="A29464" s="4" t="s">
        <v>37102</v>
      </c>
      <c r="B29464" s="4" t="s">
        <v>37103</v>
      </c>
      <c r="C29464" s="5" t="str">
        <f>IFERROR(__xludf.DUMMYFUNCTION("GOOGLETRANSLATE(B29464,""en"",""es-ES"")"),"Aparece una pantalla azul claro y tiene varias palabras azules que no están en inglés y se desplazan de abajo hacia arriba.")</f>
        <v>Aparece una pantalla azul claro y tiene varias palabras azules que no están en inglés y se desplazan de abajo hacia arriba.</v>
      </c>
    </row>
    <row r="29465">
      <c r="A29465" s="4" t="s">
        <v>37102</v>
      </c>
      <c r="B29465" s="4" t="s">
        <v>37104</v>
      </c>
      <c r="C29465" s="5" t="str">
        <f>IFERROR(__xludf.DUMMYFUNCTION("GOOGLETRANSLATE(B29465,""en"",""es-ES"")"),"La dirección de las letras de desplazamiento cambia de abajo hacia arriba y ahora están en el medio.")</f>
        <v>La dirección de las letras de desplazamiento cambia de abajo hacia arriba y ahora están en el medio.</v>
      </c>
    </row>
    <row r="29466">
      <c r="A29466" s="4" t="s">
        <v>37102</v>
      </c>
      <c r="B29466" s="4" t="s">
        <v>37105</v>
      </c>
      <c r="C29466" s="5" t="str">
        <f>IFERROR(__xludf.DUMMYFUNCTION("GOOGLETRANSLATE(B29466,""en"",""es-ES"")"),"Un hombre que usa un botón blanco en una camisa de manga corta y pantalones largos negros está parado sobre hierba verde que está cerca del agua, con un gran arbusto detrás de él y está haciendo movimientos coordinados muy lentos.")</f>
        <v>Un hombre que usa un botón blanco en una camisa de manga corta y pantalones largos negros está parado sobre hierba verde que está cerca del agua, con un gran arbusto detrás de él y está haciendo movimientos coordinados muy lentos.</v>
      </c>
    </row>
    <row r="29467">
      <c r="A29467" s="4" t="s">
        <v>37106</v>
      </c>
      <c r="B29467" s="4" t="s">
        <v>37107</v>
      </c>
      <c r="C29467" s="5" t="str">
        <f>IFERROR(__xludf.DUMMYFUNCTION("GOOGLETRANSLATE(B29467,""en"",""es-ES"")"),"Un entrenador está entrenando a un niño y una niña para hacer kickboxing.")</f>
        <v>Un entrenador está entrenando a un niño y una niña para hacer kickboxing.</v>
      </c>
    </row>
    <row r="29468">
      <c r="A29468" s="4" t="s">
        <v>37106</v>
      </c>
      <c r="B29468" s="4" t="s">
        <v>37108</v>
      </c>
      <c r="C29468" s="5" t="str">
        <f>IFERROR(__xludf.DUMMYFUNCTION("GOOGLETRANSLATE(B29468,""en"",""es-ES"")"),"Hay una mujer parada en una camisa morada, filmando al entrenador enseñar a los niños.")</f>
        <v>Hay una mujer parada en una camisa morada, filmando al entrenador enseñar a los niños.</v>
      </c>
    </row>
    <row r="29469">
      <c r="A29469" s="4" t="s">
        <v>37106</v>
      </c>
      <c r="B29469" s="4" t="s">
        <v>37109</v>
      </c>
      <c r="C29469" s="5" t="str">
        <f>IFERROR(__xludf.DUMMYFUNCTION("GOOGLETRANSLATE(B29469,""en"",""es-ES"")"),"Tanto la niña como el niño se turnan para devolver los golpes y patadas al entrenador.")</f>
        <v>Tanto la niña como el niño se turnan para devolver los golpes y patadas al entrenador.</v>
      </c>
    </row>
    <row r="29470">
      <c r="A29470" s="4" t="s">
        <v>37106</v>
      </c>
      <c r="B29470" s="4" t="s">
        <v>37110</v>
      </c>
      <c r="C29470" s="5" t="str">
        <f>IFERROR(__xludf.DUMMYFUNCTION("GOOGLETRANSLATE(B29470,""en"",""es-ES"")"),"El entrenador está alentando a los estudiantes a golpear y devolver constantemente las patadas.")</f>
        <v>El entrenador está alentando a los estudiantes a golpear y devolver constantemente las patadas.</v>
      </c>
    </row>
    <row r="29471">
      <c r="A29471" s="4" t="s">
        <v>37111</v>
      </c>
      <c r="B29471" s="4" t="s">
        <v>37112</v>
      </c>
      <c r="C29471" s="5" t="str">
        <f>IFERROR(__xludf.DUMMYFUNCTION("GOOGLETRANSLATE(B29471,""en"",""es-ES"")"),"Se ve a un pequeño grupo de niños sentados alrededor de una piscina mientras la cámara se mueve alrededor de la piscina.")</f>
        <v>Se ve a un pequeño grupo de niños sentados alrededor de una piscina mientras la cámara se mueve alrededor de la piscina.</v>
      </c>
    </row>
    <row r="29472">
      <c r="A29472" s="4" t="s">
        <v>37111</v>
      </c>
      <c r="B29472" s="4" t="s">
        <v>37113</v>
      </c>
      <c r="C29472" s="5" t="str">
        <f>IFERROR(__xludf.DUMMYFUNCTION("GOOGLETRANSLATE(B29472,""en"",""es-ES"")"),"Los niños patean los pies y muestran a un instructor ayudando a un niño.")</f>
        <v>Los niños patean los pies y muestran a un instructor ayudando a un niño.</v>
      </c>
    </row>
    <row r="29473">
      <c r="A29473" s="4" t="s">
        <v>37111</v>
      </c>
      <c r="B29473" s="4" t="s">
        <v>37114</v>
      </c>
      <c r="C29473" s="5" t="str">
        <f>IFERROR(__xludf.DUMMYFUNCTION("GOOGLETRANSLATE(B29473,""en"",""es-ES"")"),"El hombre continúa nadando alrededor de la piscina con niños y primeros planos de niños.")</f>
        <v>El hombre continúa nadando alrededor de la piscina con niños y primeros planos de niños.</v>
      </c>
    </row>
    <row r="29474">
      <c r="A29474" s="4" t="s">
        <v>37115</v>
      </c>
      <c r="B29474" s="4" t="s">
        <v>37116</v>
      </c>
      <c r="C29474" s="5" t="str">
        <f>IFERROR(__xludf.DUMMYFUNCTION("GOOGLETRANSLATE(B29474,""en"",""es-ES"")"),"Un niño pequeño está empujando un trapeador.")</f>
        <v>Un niño pequeño está empujando un trapeador.</v>
      </c>
    </row>
    <row r="29475">
      <c r="A29475" s="4" t="s">
        <v>37115</v>
      </c>
      <c r="B29475" s="4" t="s">
        <v>37117</v>
      </c>
      <c r="C29475" s="5" t="str">
        <f>IFERROR(__xludf.DUMMYFUNCTION("GOOGLETRANSLATE(B29475,""en"",""es-ES"")"),"Cierra una puerta del horno que está abierta.")</f>
        <v>Cierra una puerta del horno que está abierta.</v>
      </c>
    </row>
    <row r="29476">
      <c r="A29476" s="4" t="s">
        <v>37115</v>
      </c>
      <c r="B29476" s="4" t="s">
        <v>37118</v>
      </c>
      <c r="C29476" s="5" t="str">
        <f>IFERROR(__xludf.DUMMYFUNCTION("GOOGLETRANSLATE(B29476,""en"",""es-ES"")"),"Continúa limpiando el piso.")</f>
        <v>Continúa limpiando el piso.</v>
      </c>
    </row>
    <row r="29477">
      <c r="A29477" s="4" t="s">
        <v>37115</v>
      </c>
      <c r="B29477" s="4" t="s">
        <v>37119</v>
      </c>
      <c r="C29477" s="5" t="str">
        <f>IFERROR(__xludf.DUMMYFUNCTION("GOOGLETRANSLATE(B29477,""en"",""es-ES"")"),"Él recoge el trapeador y lo pone en el aire.")</f>
        <v>Él recoge el trapeador y lo pone en el aire.</v>
      </c>
    </row>
    <row r="29478">
      <c r="A29478" s="4" t="s">
        <v>37115</v>
      </c>
      <c r="B29478" s="4" t="s">
        <v>37120</v>
      </c>
      <c r="C29478" s="5" t="str">
        <f>IFERROR(__xludf.DUMMYFUNCTION("GOOGLETRANSLATE(B29478,""en"",""es-ES"")"),"Lo establece y continúa trapando.")</f>
        <v>Lo establece y continúa trapando.</v>
      </c>
    </row>
    <row r="29479">
      <c r="A29479" s="4" t="s">
        <v>37121</v>
      </c>
      <c r="B29479" s="4" t="s">
        <v>37122</v>
      </c>
      <c r="C29479" s="5" t="str">
        <f>IFERROR(__xludf.DUMMYFUNCTION("GOOGLETRANSLATE(B29479,""en"",""es-ES"")"),"Se muestra a alguien conduciendo por una calle nevada en Ucrania.")</f>
        <v>Se muestra a alguien conduciendo por una calle nevada en Ucrania.</v>
      </c>
    </row>
    <row r="29480">
      <c r="A29480" s="4" t="s">
        <v>37121</v>
      </c>
      <c r="B29480" s="4" t="s">
        <v>37123</v>
      </c>
      <c r="C29480" s="5" t="str">
        <f>IFERROR(__xludf.DUMMYFUNCTION("GOOGLETRANSLATE(B29480,""en"",""es-ES"")"),"Varios esquiadores están esquiando por las laderas en el costado de una montaña.")</f>
        <v>Varios esquiadores están esquiando por las laderas en el costado de una montaña.</v>
      </c>
    </row>
    <row r="29481">
      <c r="A29481" s="4" t="s">
        <v>37121</v>
      </c>
      <c r="B29481" s="4" t="s">
        <v>37124</v>
      </c>
      <c r="C29481" s="5" t="str">
        <f>IFERROR(__xludf.DUMMYFUNCTION("GOOGLETRANSLATE(B29481,""en"",""es-ES"")"),"Se ve un primer plano de algunos de los esquiadores a medida que avanzan.")</f>
        <v>Se ve un primer plano de algunos de los esquiadores a medida que avanzan.</v>
      </c>
    </row>
    <row r="29482">
      <c r="A29482" s="4" t="s">
        <v>37125</v>
      </c>
      <c r="B29482" s="4" t="s">
        <v>37126</v>
      </c>
      <c r="C29482" s="5" t="str">
        <f>IFERROR(__xludf.DUMMYFUNCTION("GOOGLETRANSLATE(B29482,""en"",""es-ES"")"),"Se ve a una persona cabalgando en una bicicleta de tierra que lo lleva a hablar con la cámara.")</f>
        <v>Se ve a una persona cabalgando en una bicicleta de tierra que lo lleva a hablar con la cámara.</v>
      </c>
    </row>
    <row r="29483">
      <c r="A29483" s="4" t="s">
        <v>37125</v>
      </c>
      <c r="B29483" s="4" t="s">
        <v>37127</v>
      </c>
      <c r="C29483" s="5" t="str">
        <f>IFERROR(__xludf.DUMMYFUNCTION("GOOGLETRANSLATE(B29483,""en"",""es-ES"")"),"Muestra su bicicleta, así como la cámara y conduce a varios clips de él paseando.")</f>
        <v>Muestra su bicicleta, así como la cámara y conduce a varios clips de él paseando.</v>
      </c>
    </row>
    <row r="29484">
      <c r="A29484" s="4" t="s">
        <v>37125</v>
      </c>
      <c r="B29484" s="4" t="s">
        <v>37128</v>
      </c>
      <c r="C29484" s="5" t="str">
        <f>IFERROR(__xludf.DUMMYFUNCTION("GOOGLETRANSLATE(B29484,""en"",""es-ES"")"),"Continúa viajando en la pista y al mismo tiempo muestra cerca de sí mismo y de la cámara.")</f>
        <v>Continúa viajando en la pista y al mismo tiempo muestra cerca de sí mismo y de la cámara.</v>
      </c>
    </row>
    <row r="29485">
      <c r="A29485" s="4" t="s">
        <v>37129</v>
      </c>
      <c r="B29485" s="4" t="s">
        <v>37130</v>
      </c>
      <c r="C29485" s="5" t="str">
        <f>IFERROR(__xludf.DUMMYFUNCTION("GOOGLETRANSLATE(B29485,""en"",""es-ES"")"),"Se ve a un joven tocando un solo tambor junto a un grupo de personas que también tamborilan.")</f>
        <v>Se ve a un joven tocando un solo tambor junto a un grupo de personas que también tamborilan.</v>
      </c>
    </row>
    <row r="29486">
      <c r="A29486" s="4" t="s">
        <v>37129</v>
      </c>
      <c r="B29486" s="4" t="s">
        <v>37131</v>
      </c>
      <c r="C29486" s="5" t="str">
        <f>IFERROR(__xludf.DUMMYFUNCTION("GOOGLETRANSLATE(B29486,""en"",""es-ES"")"),"El niño continúa tocando con el grupo y la cámara con la gente que mira a los lados.")</f>
        <v>El niño continúa tocando con el grupo y la cámara con la gente que mira a los lados.</v>
      </c>
    </row>
    <row r="29487">
      <c r="A29487" s="4" t="s">
        <v>37132</v>
      </c>
      <c r="B29487" s="4" t="s">
        <v>37133</v>
      </c>
      <c r="C29487" s="5" t="str">
        <f>IFERROR(__xludf.DUMMYFUNCTION("GOOGLETRANSLATE(B29487,""en"",""es-ES"")"),"Un hombre se muestra en varios disparos que viajan en una patineta.")</f>
        <v>Un hombre se muestra en varios disparos que viajan en una patineta.</v>
      </c>
    </row>
    <row r="29488">
      <c r="A29488" s="4" t="s">
        <v>37132</v>
      </c>
      <c r="B29488" s="4" t="s">
        <v>37134</v>
      </c>
      <c r="C29488" s="5" t="str">
        <f>IFERROR(__xludf.DUMMYFUNCTION("GOOGLETRANSLATE(B29488,""en"",""es-ES"")"),"Se muestran los primeros planos de los objetos, así como la patineta y los lugares en los que puede comprarlos.")</f>
        <v>Se muestran los primeros planos de los objetos, así como la patineta y los lugares en los que puede comprarlos.</v>
      </c>
    </row>
    <row r="29489">
      <c r="A29489" s="4" t="s">
        <v>37132</v>
      </c>
      <c r="B29489" s="4" t="s">
        <v>37135</v>
      </c>
      <c r="C29489" s="5" t="str">
        <f>IFERROR(__xludf.DUMMYFUNCTION("GOOGLETRANSLATE(B29489,""en"",""es-ES"")"),"Se muestran más primeros planos de los productos.")</f>
        <v>Se muestran más primeros planos de los productos.</v>
      </c>
    </row>
    <row r="29490">
      <c r="A29490" s="4" t="s">
        <v>37136</v>
      </c>
      <c r="B29490" s="4" t="s">
        <v>37137</v>
      </c>
      <c r="C29490" s="5" t="str">
        <f>IFERROR(__xludf.DUMMYFUNCTION("GOOGLETRANSLATE(B29490,""en"",""es-ES"")"),"Vemos a una persona jet skiing.")</f>
        <v>Vemos a una persona jet skiing.</v>
      </c>
    </row>
    <row r="29491">
      <c r="A29491" s="4" t="s">
        <v>37136</v>
      </c>
      <c r="B29491" s="4" t="s">
        <v>37138</v>
      </c>
      <c r="C29491" s="5" t="str">
        <f>IFERROR(__xludf.DUMMYFUNCTION("GOOGLETRANSLATE(B29491,""en"",""es-ES"")"),"Vemos una vela roja y negra en una tabla de surf.")</f>
        <v>Vemos una vela roja y negra en una tabla de surf.</v>
      </c>
    </row>
    <row r="29492">
      <c r="A29492" s="4" t="s">
        <v>37136</v>
      </c>
      <c r="B29492" s="4" t="s">
        <v>37139</v>
      </c>
      <c r="C29492" s="5" t="str">
        <f>IFERROR(__xludf.DUMMYFUNCTION("GOOGLETRANSLATE(B29492,""en"",""es-ES"")"),"Luego vemos una vela amarilla y azul.")</f>
        <v>Luego vemos una vela amarilla y azul.</v>
      </c>
    </row>
    <row r="29493">
      <c r="A29493" s="4" t="s">
        <v>37136</v>
      </c>
      <c r="B29493" s="4" t="s">
        <v>37140</v>
      </c>
      <c r="C29493" s="5" t="str">
        <f>IFERROR(__xludf.DUMMYFUNCTION("GOOGLETRANSLATE(B29493,""en"",""es-ES"")"),"Un amarillo pasa uno negro y sigue adelante, luego el amarillo se da vuelta.")</f>
        <v>Un amarillo pasa uno negro y sigue adelante, luego el amarillo se da vuelta.</v>
      </c>
    </row>
    <row r="29494">
      <c r="A29494" s="4" t="s">
        <v>37136</v>
      </c>
      <c r="B29494" s="4" t="s">
        <v>37141</v>
      </c>
      <c r="C29494" s="5" t="str">
        <f>IFERROR(__xludf.DUMMYFUNCTION("GOOGLETRANSLATE(B29494,""en"",""es-ES"")"),"Aparece uno verde amarillento en la pantalla.")</f>
        <v>Aparece uno verde amarillento en la pantalla.</v>
      </c>
    </row>
    <row r="29495">
      <c r="A29495" s="4" t="s">
        <v>37136</v>
      </c>
      <c r="B29495" s="4" t="s">
        <v>37142</v>
      </c>
      <c r="C29495" s="5" t="str">
        <f>IFERROR(__xludf.DUMMYFUNCTION("GOOGLETRANSLATE(B29495,""en"",""es-ES"")"),"Tres pasan uno rojo y azul que va en direcciones opuestas.")</f>
        <v>Tres pasan uno rojo y azul que va en direcciones opuestas.</v>
      </c>
    </row>
    <row r="29496">
      <c r="A29496" s="4" t="s">
        <v>37136</v>
      </c>
      <c r="B29496" s="4" t="s">
        <v>37143</v>
      </c>
      <c r="C29496" s="5" t="str">
        <f>IFERROR(__xludf.DUMMYFUNCTION("GOOGLETRANSLATE(B29496,""en"",""es-ES"")"),"El piloto del rojo y el azul se cae de su tabla.")</f>
        <v>El piloto del rojo y el azul se cae de su tabla.</v>
      </c>
    </row>
    <row r="29497">
      <c r="A29497" s="4" t="s">
        <v>37144</v>
      </c>
      <c r="B29497" s="4" t="s">
        <v>37145</v>
      </c>
      <c r="C29497" s="5" t="str">
        <f>IFERROR(__xludf.DUMMYFUNCTION("GOOGLETRANSLATE(B29497,""en"",""es-ES"")"),"Un hombre está parado en una elíptica haciendo ejercicio.")</f>
        <v>Un hombre está parado en una elíptica haciendo ejercicio.</v>
      </c>
    </row>
    <row r="29498">
      <c r="A29498" s="4" t="s">
        <v>37144</v>
      </c>
      <c r="B29498" s="4" t="s">
        <v>37146</v>
      </c>
      <c r="C29498" s="5" t="str">
        <f>IFERROR(__xludf.DUMMYFUNCTION("GOOGLETRANSLATE(B29498,""en"",""es-ES"")"),"Mueve sus brazos de un lado a otro.")</f>
        <v>Mueve sus brazos de un lado a otro.</v>
      </c>
    </row>
    <row r="29499">
      <c r="A29499" s="4" t="s">
        <v>37144</v>
      </c>
      <c r="B29499" s="4" t="s">
        <v>37147</v>
      </c>
      <c r="C29499" s="5" t="str">
        <f>IFERROR(__xludf.DUMMYFUNCTION("GOOGLETRANSLATE(B29499,""en"",""es-ES"")"),"Hay un lago detrás de él.")</f>
        <v>Hay un lago detrás de él.</v>
      </c>
    </row>
    <row r="29500">
      <c r="A29500" s="4" t="s">
        <v>37148</v>
      </c>
      <c r="B29500" s="4" t="s">
        <v>37149</v>
      </c>
      <c r="C29500" s="5" t="str">
        <f>IFERROR(__xludf.DUMMYFUNCTION("GOOGLETRANSLATE(B29500,""en"",""es-ES"")"),"Se ve a tres niños que se destacan frente a una casa cuando uno juega escocés hop a una persona que viene en el cuadro.")</f>
        <v>Se ve a tres niños que se destacan frente a una casa cuando uno juega escocés hop a una persona que viene en el cuadro.</v>
      </c>
    </row>
    <row r="29501">
      <c r="A29501" s="4" t="s">
        <v>37148</v>
      </c>
      <c r="B29501" s="4" t="s">
        <v>37150</v>
      </c>
      <c r="C29501" s="5" t="str">
        <f>IFERROR(__xludf.DUMMYFUNCTION("GOOGLETRANSLATE(B29501,""en"",""es-ES"")"),"La cámara sigue a la misma chica saltando por un largo camino y continúa de regreso a donde comenzó.")</f>
        <v>La cámara sigue a la misma chica saltando por un largo camino y continúa de regreso a donde comenzó.</v>
      </c>
    </row>
    <row r="29502">
      <c r="A29502" s="4" t="s">
        <v>37151</v>
      </c>
      <c r="B29502" s="4" t="s">
        <v>37152</v>
      </c>
      <c r="C29502" s="5" t="str">
        <f>IFERROR(__xludf.DUMMYFUNCTION("GOOGLETRANSLATE(B29502,""en"",""es-ES"")"),"Un joven está sentado en su habitación.")</f>
        <v>Un joven está sentado en su habitación.</v>
      </c>
    </row>
    <row r="29503">
      <c r="A29503" s="4" t="s">
        <v>37151</v>
      </c>
      <c r="B29503" s="4" t="s">
        <v>37153</v>
      </c>
      <c r="C29503" s="5" t="str">
        <f>IFERROR(__xludf.DUMMYFUNCTION("GOOGLETRANSLATE(B29503,""en"",""es-ES"")"),"El joven comenzó a tocar su guitarra.")</f>
        <v>El joven comenzó a tocar su guitarra.</v>
      </c>
    </row>
    <row r="29504">
      <c r="A29504" s="4" t="s">
        <v>37151</v>
      </c>
      <c r="B29504" s="4" t="s">
        <v>37154</v>
      </c>
      <c r="C29504" s="5" t="str">
        <f>IFERROR(__xludf.DUMMYFUNCTION("GOOGLETRANSLATE(B29504,""en"",""es-ES"")"),"El joven está moviendo los dedos mientras presiona los hilos de la guitarra.")</f>
        <v>El joven está moviendo los dedos mientras presiona los hilos de la guitarra.</v>
      </c>
    </row>
    <row r="29505">
      <c r="A29505" s="4" t="s">
        <v>37155</v>
      </c>
      <c r="B29505" s="4" t="s">
        <v>37156</v>
      </c>
      <c r="C29505" s="5" t="str">
        <f>IFERROR(__xludf.DUMMYFUNCTION("GOOGLETRANSLATE(B29505,""en"",""es-ES"")"),"Un hombre con los ojos vendados está parado afuera con vehículos estacionados detrás de él y está jugando un pequeño conjunto de bongos, así como un gran conjunto de bongos justo al lado.")</f>
        <v>Un hombre con los ojos vendados está parado afuera con vehículos estacionados detrás de él y está jugando un pequeño conjunto de bongos, así como un gran conjunto de bongos justo al lado.</v>
      </c>
    </row>
    <row r="29506">
      <c r="A29506" s="4" t="s">
        <v>37155</v>
      </c>
      <c r="B29506" s="4" t="s">
        <v>37157</v>
      </c>
      <c r="C29506" s="5" t="str">
        <f>IFERROR(__xludf.DUMMYFUNCTION("GOOGLETRANSLATE(B29506,""en"",""es-ES"")"),"El hombre rápidamente solo golpea a los pequeños bongos y luego se mueve hacia los grandes bongos que van de su derecha a su izquierda.")</f>
        <v>El hombre rápidamente solo golpea a los pequeños bongos y luego se mueve hacia los grandes bongos que van de su derecha a su izquierda.</v>
      </c>
    </row>
    <row r="29507">
      <c r="A29507" s="4" t="s">
        <v>37155</v>
      </c>
      <c r="B29507" s="4" t="s">
        <v>37158</v>
      </c>
      <c r="C29507" s="5" t="str">
        <f>IFERROR(__xludf.DUMMYFUNCTION("GOOGLETRANSLATE(B29507,""en"",""es-ES"")"),"Al regresar yendo de su izquierda a su derecha, primero golpea a los grandes bongos, luego golpea a los bongos más pequeños.")</f>
        <v>Al regresar yendo de su izquierda a su derecha, primero golpea a los grandes bongos, luego golpea a los bongos más pequeños.</v>
      </c>
    </row>
    <row r="29508">
      <c r="A29508" s="4" t="s">
        <v>37159</v>
      </c>
      <c r="B29508" s="4" t="s">
        <v>37160</v>
      </c>
      <c r="C29508" s="5" t="str">
        <f>IFERROR(__xludf.DUMMYFUNCTION("GOOGLETRANSLATE(B29508,""en"",""es-ES"")"),"Se muestra un primer plano de una mujer con vasos.")</f>
        <v>Se muestra un primer plano de una mujer con vasos.</v>
      </c>
    </row>
    <row r="29509">
      <c r="A29509" s="4" t="s">
        <v>37159</v>
      </c>
      <c r="B29509" s="4" t="s">
        <v>37161</v>
      </c>
      <c r="C29509" s="5" t="str">
        <f>IFERROR(__xludf.DUMMYFUNCTION("GOOGLETRANSLATE(B29509,""en"",""es-ES"")"),"Ella comienza a fumar un cigarrillo, luego se inclina.")</f>
        <v>Ella comienza a fumar un cigarrillo, luego se inclina.</v>
      </c>
    </row>
    <row r="29510">
      <c r="A29510" s="4" t="s">
        <v>37159</v>
      </c>
      <c r="B29510" s="4" t="s">
        <v>37162</v>
      </c>
      <c r="C29510" s="5" t="str">
        <f>IFERROR(__xludf.DUMMYFUNCTION("GOOGLETRANSLATE(B29510,""en"",""es-ES"")"),"Una mujer en la cama se ríe mientras cae sobre su propia cama, todavía fumando.")</f>
        <v>Una mujer en la cama se ríe mientras cae sobre su propia cama, todavía fumando.</v>
      </c>
    </row>
    <row r="29511">
      <c r="A29511" s="4" t="s">
        <v>37163</v>
      </c>
      <c r="B29511" s="4" t="s">
        <v>37164</v>
      </c>
      <c r="C29511" s="5" t="str">
        <f>IFERROR(__xludf.DUMMYFUNCTION("GOOGLETRANSLATE(B29511,""en"",""es-ES"")"),"El hombre está parado frente a una mesa cortando vegetales y preparando un sándwich, puso un queso de mantequilla de pan, avoado y jamón y un sándwich enrollado.")</f>
        <v>El hombre está parado frente a una mesa cortando vegetales y preparando un sándwich, puso un queso de mantequilla de pan, avoado y jamón y un sándwich enrollado.</v>
      </c>
    </row>
    <row r="29512">
      <c r="A29512" s="4" t="s">
        <v>37163</v>
      </c>
      <c r="B29512" s="4" t="s">
        <v>37165</v>
      </c>
      <c r="C29512" s="5" t="str">
        <f>IFERROR(__xludf.DUMMYFUNCTION("GOOGLETRANSLATE(B29512,""en"",""es-ES"")"),"El hombre habla de la cámara y extiende la mantequilla en rebanadas de pan con un cuchillo, coloque queso cheddar, jamón y salsa de tomate y corte en cuatro rodajas y sirvan en un plato.")</f>
        <v>El hombre habla de la cámara y extiende la mantequilla en rebanadas de pan con un cuchillo, coloque queso cheddar, jamón y salsa de tomate y corte en cuatro rodajas y sirvan en un plato.</v>
      </c>
    </row>
    <row r="29513">
      <c r="A29513" s="4" t="s">
        <v>37166</v>
      </c>
      <c r="B29513" s="4" t="s">
        <v>37167</v>
      </c>
      <c r="C29513" s="5" t="str">
        <f>IFERROR(__xludf.DUMMYFUNCTION("GOOGLETRANSLATE(B29513,""en"",""es-ES"")"),"Un hombre con un abrigo azul está hablando afuera por una roca.")</f>
        <v>Un hombre con un abrigo azul está hablando afuera por una roca.</v>
      </c>
    </row>
    <row r="29514">
      <c r="A29514" s="4" t="s">
        <v>37166</v>
      </c>
      <c r="B29514" s="4" t="s">
        <v>37168</v>
      </c>
      <c r="C29514" s="5" t="str">
        <f>IFERROR(__xludf.DUMMYFUNCTION("GOOGLETRANSLATE(B29514,""en"",""es-ES"")"),"Lleva un arnés de escalada de roca.")</f>
        <v>Lleva un arnés de escalada de roca.</v>
      </c>
    </row>
    <row r="29515">
      <c r="A29515" s="4" t="s">
        <v>37166</v>
      </c>
      <c r="B29515" s="4" t="s">
        <v>37169</v>
      </c>
      <c r="C29515" s="5" t="str">
        <f>IFERROR(__xludf.DUMMYFUNCTION("GOOGLETRANSLATE(B29515,""en"",""es-ES"")"),"Comienza a subir la roca.")</f>
        <v>Comienza a subir la roca.</v>
      </c>
    </row>
    <row r="29516">
      <c r="A29516" s="4" t="s">
        <v>37166</v>
      </c>
      <c r="B29516" s="4" t="s">
        <v>37170</v>
      </c>
      <c r="C29516" s="5" t="str">
        <f>IFERROR(__xludf.DUMMYFUNCTION("GOOGLETRANSLATE(B29516,""en"",""es-ES"")"),"Tiene una cuerda alrededor de su cuello con diferentes herramientas de escalada de roca.")</f>
        <v>Tiene una cuerda alrededor de su cuello con diferentes herramientas de escalada de roca.</v>
      </c>
    </row>
    <row r="29517">
      <c r="A29517" s="4" t="s">
        <v>37166</v>
      </c>
      <c r="B29517" s="4" t="s">
        <v>37171</v>
      </c>
      <c r="C29517" s="5" t="str">
        <f>IFERROR(__xludf.DUMMYFUNCTION("GOOGLETRANSLATE(B29517,""en"",""es-ES"")"),"Le da a otra persona un máximo.")</f>
        <v>Le da a otra persona un máximo.</v>
      </c>
    </row>
    <row r="29518">
      <c r="A29518" s="4" t="s">
        <v>37172</v>
      </c>
      <c r="B29518" s="4" t="s">
        <v>37173</v>
      </c>
      <c r="C29518" s="5" t="str">
        <f>IFERROR(__xludf.DUMMYFUNCTION("GOOGLETRANSLATE(B29518,""en"",""es-ES"")"),"Se ven dos personas montando por una colina con uno en esquís y el otro en un trineo.")</f>
        <v>Se ven dos personas montando por una colina con uno en esquís y el otro en un trineo.</v>
      </c>
    </row>
    <row r="29519">
      <c r="A29519" s="4" t="s">
        <v>37172</v>
      </c>
      <c r="B29519" s="4" t="s">
        <v>37174</v>
      </c>
      <c r="C29519" s="5" t="str">
        <f>IFERROR(__xludf.DUMMYFUNCTION("GOOGLETRANSLATE(B29519,""en"",""es-ES"")"),"La persona luego pasa por un salto y se estrella en un banco de nieve, mostrando el mismo disparo nuevamente en cámara lenta.")</f>
        <v>La persona luego pasa por un salto y se estrella en un banco de nieve, mostrando el mismo disparo nuevamente en cámara lenta.</v>
      </c>
    </row>
    <row r="29520">
      <c r="A29520" s="4" t="s">
        <v>37175</v>
      </c>
      <c r="B29520" s="4" t="s">
        <v>37176</v>
      </c>
      <c r="C29520" s="5" t="str">
        <f>IFERROR(__xludf.DUMMYFUNCTION("GOOGLETRANSLATE(B29520,""en"",""es-ES"")"),"Un hombre y una mujer vestida con un vestido de noche negro y un traje negro bailan en un estilo de baile de sala en una habitación grande con pisos de piedra y ventanas ralladas.")</f>
        <v>Un hombre y una mujer vestida con un vestido de noche negro y un traje negro bailan en un estilo de baile de sala en una habitación grande con pisos de piedra y ventanas ralladas.</v>
      </c>
    </row>
    <row r="29521">
      <c r="A29521" s="4" t="s">
        <v>37175</v>
      </c>
      <c r="B29521" s="4" t="s">
        <v>37177</v>
      </c>
      <c r="C29521" s="5" t="str">
        <f>IFERROR(__xludf.DUMMYFUNCTION("GOOGLETRANSLATE(B29521,""en"",""es-ES"")"),"El hombre y la mujer comienzan con un baile rápido con mucho trabajo de pie girando por el piso.")</f>
        <v>El hombre y la mujer comienzan con un baile rápido con mucho trabajo de pie girando por el piso.</v>
      </c>
    </row>
    <row r="29522">
      <c r="A29522" s="4" t="s">
        <v>37175</v>
      </c>
      <c r="B29522" s="4" t="s">
        <v>37178</v>
      </c>
      <c r="C29522" s="5" t="str">
        <f>IFERROR(__xludf.DUMMYFUNCTION("GOOGLETRANSLATE(B29522,""en"",""es-ES"")"),"El hombre y la mujer comienzan un baile lento en el que se deslizan, acarician, giran y se giran por el suelo a veces persistentes en posturas ardientes que implican romance.")</f>
        <v>El hombre y la mujer comienzan un baile lento en el que se deslizan, acarician, giran y se giran por el suelo a veces persistentes en posturas ardientes que implican romance.</v>
      </c>
    </row>
    <row r="29523">
      <c r="A29523" s="4" t="s">
        <v>37175</v>
      </c>
      <c r="B29523" s="4" t="s">
        <v>37179</v>
      </c>
      <c r="C29523" s="5" t="str">
        <f>IFERROR(__xludf.DUMMYFUNCTION("GOOGLETRANSLATE(B29523,""en"",""es-ES"")"),"El hombre y la mujer comienzan a bailar rápido nuevamente utilizando giros rápidos y trabajos de los pies y con el hombre recogiendo a la mujer y girándola en el aire hasta una caída final.")</f>
        <v>El hombre y la mujer comienzan a bailar rápido nuevamente utilizando giros rápidos y trabajos de los pies y con el hombre recogiendo a la mujer y girándola en el aire hasta una caída final.</v>
      </c>
    </row>
    <row r="29524">
      <c r="A29524" s="4" t="s">
        <v>37180</v>
      </c>
      <c r="B29524" s="4" t="s">
        <v>37181</v>
      </c>
      <c r="C29524" s="5" t="str">
        <f>IFERROR(__xludf.DUMMYFUNCTION("GOOGLETRANSLATE(B29524,""en"",""es-ES"")"),"Se ve a un niño nadando con otra persona parada en el agua.")</f>
        <v>Se ve a un niño nadando con otra persona parada en el agua.</v>
      </c>
    </row>
    <row r="29525">
      <c r="A29525" s="4" t="s">
        <v>37180</v>
      </c>
      <c r="B29525" s="4" t="s">
        <v>37182</v>
      </c>
      <c r="C29525" s="5" t="str">
        <f>IFERROR(__xludf.DUMMYFUNCTION("GOOGLETRANSLATE(B29525,""en"",""es-ES"")"),"El niño continúa nadando con las otras personas, así como voltea bajo el agua.")</f>
        <v>El niño continúa nadando con las otras personas, así como voltea bajo el agua.</v>
      </c>
    </row>
    <row r="29526">
      <c r="A29526" s="4" t="s">
        <v>37180</v>
      </c>
      <c r="B29526" s="4" t="s">
        <v>37183</v>
      </c>
      <c r="C29526" s="5" t="str">
        <f>IFERROR(__xludf.DUMMYFUNCTION("GOOGLETRANSLATE(B29526,""en"",""es-ES"")"),"Los niños se mueven debajo y sobre el agua mientras la cámara continúa siguiéndolos.")</f>
        <v>Los niños se mueven debajo y sobre el agua mientras la cámara continúa siguiéndolos.</v>
      </c>
    </row>
    <row r="29527">
      <c r="A29527" s="4" t="s">
        <v>37184</v>
      </c>
      <c r="B29527" s="4" t="s">
        <v>37185</v>
      </c>
      <c r="C29527" s="5" t="str">
        <f>IFERROR(__xludf.DUMMYFUNCTION("GOOGLETRANSLATE(B29527,""en"",""es-ES"")"),"Un hombre canta una canción con alguien toca un acordeón en un restaurante.")</f>
        <v>Un hombre canta una canción con alguien toca un acordeón en un restaurante.</v>
      </c>
    </row>
    <row r="29528">
      <c r="A29528" s="4" t="s">
        <v>37184</v>
      </c>
      <c r="B29528" s="4" t="s">
        <v>37186</v>
      </c>
      <c r="C29528" s="5" t="str">
        <f>IFERROR(__xludf.DUMMYFUNCTION("GOOGLETRANSLATE(B29528,""en"",""es-ES"")"),"El hombre tocando acordeón rompe su instrumento por la mitad.")</f>
        <v>El hombre tocando acordeón rompe su instrumento por la mitad.</v>
      </c>
    </row>
    <row r="29529">
      <c r="A29529" s="4" t="s">
        <v>37184</v>
      </c>
      <c r="B29529" s="4" t="s">
        <v>37187</v>
      </c>
      <c r="C29529" s="5" t="str">
        <f>IFERROR(__xludf.DUMMYFUNCTION("GOOGLETRANSLATE(B29529,""en"",""es-ES"")"),"La gente está sorprendida pero continúa cantando la canción.")</f>
        <v>La gente está sorprendida pero continúa cantando la canción.</v>
      </c>
    </row>
    <row r="29530">
      <c r="A29530" s="4" t="s">
        <v>37188</v>
      </c>
      <c r="B29530" s="4" t="s">
        <v>37189</v>
      </c>
      <c r="C29530" s="5" t="str">
        <f>IFERROR(__xludf.DUMMYFUNCTION("GOOGLETRANSLATE(B29530,""en"",""es-ES"")"),"Un niño pequeño está parado en el estacionamiento, no lleva una camisa, habló con la cámara.")</f>
        <v>Un niño pequeño está parado en el estacionamiento, no lleva una camisa, habló con la cámara.</v>
      </c>
    </row>
    <row r="29531">
      <c r="A29531" s="4" t="s">
        <v>37188</v>
      </c>
      <c r="B29531" s="4" t="s">
        <v>37190</v>
      </c>
      <c r="C29531" s="5" t="str">
        <f>IFERROR(__xludf.DUMMYFUNCTION("GOOGLETRANSLATE(B29531,""en"",""es-ES"")"),"Luego caminó con ambos codos hacia el camino.")</f>
        <v>Luego caminó con ambos codos hacia el camino.</v>
      </c>
    </row>
    <row r="29532">
      <c r="A29532" s="4" t="s">
        <v>37188</v>
      </c>
      <c r="B29532" s="4" t="s">
        <v>37191</v>
      </c>
      <c r="C29532" s="5" t="str">
        <f>IFERROR(__xludf.DUMMYFUNCTION("GOOGLETRANSLATE(B29532,""en"",""es-ES"")"),"El niño está en el escenario tocando una guitarra marrón, no lleva una camisa, hay un micrófono frente a él, detrás de él hay un hombre tocando una guitarra también.")</f>
        <v>El niño está en el escenario tocando una guitarra marrón, no lleva una camisa, hay un micrófono frente a él, detrás de él hay un hombre tocando una guitarra también.</v>
      </c>
    </row>
    <row r="29533">
      <c r="A29533" s="4" t="s">
        <v>37192</v>
      </c>
      <c r="B29533" s="4" t="s">
        <v>37193</v>
      </c>
      <c r="C29533" s="5" t="str">
        <f>IFERROR(__xludf.DUMMYFUNCTION("GOOGLETRANSLATE(B29533,""en"",""es-ES"")"),"Un niño está corriendo por una pista.")</f>
        <v>Un niño está corriendo por una pista.</v>
      </c>
    </row>
    <row r="29534">
      <c r="A29534" s="4" t="s">
        <v>37192</v>
      </c>
      <c r="B29534" s="4" t="s">
        <v>37194</v>
      </c>
      <c r="C29534" s="5" t="str">
        <f>IFERROR(__xludf.DUMMYFUNCTION("GOOGLETRANSLATE(B29534,""en"",""es-ES"")"),"El niño levanta su cuerpo por encima de la altura de un poste.")</f>
        <v>El niño levanta su cuerpo por encima de la altura de un poste.</v>
      </c>
    </row>
    <row r="29535">
      <c r="A29535" s="4" t="s">
        <v>37192</v>
      </c>
      <c r="B29535" s="4" t="s">
        <v>37195</v>
      </c>
      <c r="C29535" s="5" t="str">
        <f>IFERROR(__xludf.DUMMYFUNCTION("GOOGLETRANSLATE(B29535,""en"",""es-ES"")"),"El niño aterriza sobre su espalda a una alfombra roja.")</f>
        <v>El niño aterriza sobre su espalda a una alfombra roja.</v>
      </c>
    </row>
    <row r="29536">
      <c r="A29536" s="4" t="s">
        <v>37192</v>
      </c>
      <c r="B29536" s="4" t="s">
        <v>37196</v>
      </c>
      <c r="C29536" s="5" t="str">
        <f>IFERROR(__xludf.DUMMYFUNCTION("GOOGLETRANSLATE(B29536,""en"",""es-ES"")"),"El niño se levanta de la colchoneta.")</f>
        <v>El niño se levanta de la colchoneta.</v>
      </c>
    </row>
    <row r="29537">
      <c r="A29537" s="4" t="s">
        <v>37192</v>
      </c>
      <c r="B29537" s="4" t="s">
        <v>37197</v>
      </c>
      <c r="C29537" s="5" t="str">
        <f>IFERROR(__xludf.DUMMYFUNCTION("GOOGLETRANSLATE(B29537,""en"",""es-ES"")"),"El niño celebra aplaudiendo y flexionando ambos brazos.")</f>
        <v>El niño celebra aplaudiendo y flexionando ambos brazos.</v>
      </c>
    </row>
    <row r="29538">
      <c r="A29538" s="4" t="s">
        <v>37192</v>
      </c>
      <c r="B29538" s="4" t="s">
        <v>37198</v>
      </c>
      <c r="C29538" s="5" t="str">
        <f>IFERROR(__xludf.DUMMYFUNCTION("GOOGLETRANSLATE(B29538,""en"",""es-ES"")"),"Un hombre se para y observa.")</f>
        <v>Un hombre se para y observa.</v>
      </c>
    </row>
    <row r="29539">
      <c r="A29539" s="4" t="s">
        <v>37199</v>
      </c>
      <c r="B29539" s="4" t="s">
        <v>17268</v>
      </c>
      <c r="C29539" s="5" t="str">
        <f>IFERROR(__xludf.DUMMYFUNCTION("GOOGLETRANSLATE(B29539,""en"",""es-ES"")"),"Un hombre habla con la cámara.")</f>
        <v>Un hombre habla con la cámara.</v>
      </c>
    </row>
    <row r="29540">
      <c r="A29540" s="4" t="s">
        <v>37199</v>
      </c>
      <c r="B29540" s="4" t="s">
        <v>37200</v>
      </c>
      <c r="C29540" s="5" t="str">
        <f>IFERROR(__xludf.DUMMYFUNCTION("GOOGLETRANSLATE(B29540,""en"",""es-ES"")"),"El hombre camina hacia un patio infantil.")</f>
        <v>El hombre camina hacia un patio infantil.</v>
      </c>
    </row>
    <row r="29541">
      <c r="A29541" s="4" t="s">
        <v>37199</v>
      </c>
      <c r="B29541" s="4" t="s">
        <v>37201</v>
      </c>
      <c r="C29541" s="5" t="str">
        <f>IFERROR(__xludf.DUMMYFUNCTION("GOOGLETRANSLATE(B29541,""en"",""es-ES"")"),"El hombre cuelga de dispositivos de tipo de barra montada en el patio de recreo.")</f>
        <v>El hombre cuelga de dispositivos de tipo de barra montada en el patio de recreo.</v>
      </c>
    </row>
    <row r="29542">
      <c r="A29542" s="4" t="s">
        <v>37199</v>
      </c>
      <c r="B29542" s="4" t="s">
        <v>37202</v>
      </c>
      <c r="C29542" s="5" t="str">
        <f>IFERROR(__xludf.DUMMYFUNCTION("GOOGLETRANSLATE(B29542,""en"",""es-ES"")"),"El hombre desmonta y camina de regreso a la cámara.")</f>
        <v>El hombre desmonta y camina de regreso a la cámara.</v>
      </c>
    </row>
    <row r="29543">
      <c r="A29543" s="4" t="s">
        <v>37203</v>
      </c>
      <c r="B29543" s="4" t="s">
        <v>37204</v>
      </c>
      <c r="C29543" s="5" t="str">
        <f>IFERROR(__xludf.DUMMYFUNCTION("GOOGLETRANSLATE(B29543,""en"",""es-ES"")"),"Un hombre habla con una cámara.")</f>
        <v>Un hombre habla con una cámara.</v>
      </c>
    </row>
    <row r="29544">
      <c r="A29544" s="4" t="s">
        <v>37203</v>
      </c>
      <c r="B29544" s="4" t="s">
        <v>37205</v>
      </c>
      <c r="C29544" s="5" t="str">
        <f>IFERROR(__xludf.DUMMYFUNCTION("GOOGLETRANSLATE(B29544,""en"",""es-ES"")"),"Otro hombre se afeita la cara que está cubierta de crema de afeitar.")</f>
        <v>Otro hombre se afeita la cara que está cubierta de crema de afeitar.</v>
      </c>
    </row>
    <row r="29545">
      <c r="A29545" s="4" t="s">
        <v>37203</v>
      </c>
      <c r="B29545" s="4" t="s">
        <v>37206</v>
      </c>
      <c r="C29545" s="5" t="str">
        <f>IFERROR(__xludf.DUMMYFUNCTION("GOOGLETRANSLATE(B29545,""en"",""es-ES"")"),"El hombre se afeita parte de su cuello.")</f>
        <v>El hombre se afeita parte de su cuello.</v>
      </c>
    </row>
    <row r="29546">
      <c r="A29546" s="4" t="s">
        <v>37203</v>
      </c>
      <c r="B29546" s="4" t="s">
        <v>37207</v>
      </c>
      <c r="C29546" s="5" t="str">
        <f>IFERROR(__xludf.DUMMYFUNCTION("GOOGLETRANSLATE(B29546,""en"",""es-ES"")"),"La maquinilla de afeitar del hombre está cubierta de crema de afeitar, por lo que enjuague la navaja de afeitar con agua.")</f>
        <v>La maquinilla de afeitar del hombre está cubierta de crema de afeitar, por lo que enjuague la navaja de afeitar con agua.</v>
      </c>
    </row>
    <row r="29547">
      <c r="A29547" s="4" t="s">
        <v>37203</v>
      </c>
      <c r="B29547" s="4" t="s">
        <v>37208</v>
      </c>
      <c r="C29547" s="5" t="str">
        <f>IFERROR(__xludf.DUMMYFUNCTION("GOOGLETRANSLATE(B29547,""en"",""es-ES"")"),"El hombre vuelve a hablar con la cámara.")</f>
        <v>El hombre vuelve a hablar con la cámara.</v>
      </c>
    </row>
    <row r="29548">
      <c r="A29548" s="4" t="s">
        <v>37203</v>
      </c>
      <c r="B29548" s="4" t="s">
        <v>37209</v>
      </c>
      <c r="C29548" s="5" t="str">
        <f>IFERROR(__xludf.DUMMYFUNCTION("GOOGLETRANSLATE(B29548,""en"",""es-ES"")"),"El hombre de afeitado nuevamente se afeita parte de su área de mejilla.")</f>
        <v>El hombre de afeitado nuevamente se afeita parte de su área de mejilla.</v>
      </c>
    </row>
    <row r="29549">
      <c r="A29549" s="4" t="s">
        <v>37203</v>
      </c>
      <c r="B29549" s="4" t="s">
        <v>2807</v>
      </c>
      <c r="C29549" s="5" t="str">
        <f>IFERROR(__xludf.DUMMYFUNCTION("GOOGLETRANSLATE(B29549,""en"",""es-ES"")"),"El hombre regresa para hablar con la cámara.")</f>
        <v>El hombre regresa para hablar con la cámara.</v>
      </c>
    </row>
    <row r="29550">
      <c r="A29550" s="4" t="s">
        <v>37203</v>
      </c>
      <c r="B29550" s="4" t="s">
        <v>37210</v>
      </c>
      <c r="C29550" s="5" t="str">
        <f>IFERROR(__xludf.DUMMYFUNCTION("GOOGLETRANSLATE(B29550,""en"",""es-ES"")"),"Se muestra una animación de afeitado.")</f>
        <v>Se muestra una animación de afeitado.</v>
      </c>
    </row>
    <row r="29551">
      <c r="A29551" s="4" t="s">
        <v>37203</v>
      </c>
      <c r="B29551" s="4" t="s">
        <v>37211</v>
      </c>
      <c r="C29551" s="5" t="str">
        <f>IFERROR(__xludf.DUMMYFUNCTION("GOOGLETRANSLATE(B29551,""en"",""es-ES"")"),"El hombre continúa hablando con la cámara.")</f>
        <v>El hombre continúa hablando con la cámara.</v>
      </c>
    </row>
    <row r="29552">
      <c r="A29552" s="4" t="s">
        <v>37203</v>
      </c>
      <c r="B29552" s="4" t="s">
        <v>37212</v>
      </c>
      <c r="C29552" s="5" t="str">
        <f>IFERROR(__xludf.DUMMYFUNCTION("GOOGLETRANSLATE(B29552,""en"",""es-ES"")"),"El hombre de afeitado se afeita más hacia su barbilla, incluida su mejilla superior.")</f>
        <v>El hombre de afeitado se afeita más hacia su barbilla, incluida su mejilla superior.</v>
      </c>
    </row>
    <row r="29553">
      <c r="A29553" s="4" t="s">
        <v>37203</v>
      </c>
      <c r="B29553" s="4" t="s">
        <v>37213</v>
      </c>
      <c r="C29553" s="5" t="str">
        <f>IFERROR(__xludf.DUMMYFUNCTION("GOOGLETRANSLATE(B29553,""en"",""es-ES"")"),"El hombre habla un poco más a la cámara.")</f>
        <v>El hombre habla un poco más a la cámara.</v>
      </c>
    </row>
    <row r="29554">
      <c r="A29554" s="4" t="s">
        <v>37214</v>
      </c>
      <c r="B29554" s="4" t="s">
        <v>37215</v>
      </c>
      <c r="C29554" s="5" t="str">
        <f>IFERROR(__xludf.DUMMYFUNCTION("GOOGLETRANSLATE(B29554,""en"",""es-ES"")"),"Un hombre está sentado detrás de dos Congas con un hombro enrollado.")</f>
        <v>Un hombre está sentado detrás de dos Congas con un hombro enrollado.</v>
      </c>
    </row>
    <row r="29555">
      <c r="A29555" s="4" t="s">
        <v>37214</v>
      </c>
      <c r="B29555" s="4" t="s">
        <v>37216</v>
      </c>
      <c r="C29555" s="5" t="str">
        <f>IFERROR(__xludf.DUMMYFUNCTION("GOOGLETRANSLATE(B29555,""en"",""es-ES"")"),"Después de que termina de hablar, comienza a golpear el conga.")</f>
        <v>Después de que termina de hablar, comienza a golpear el conga.</v>
      </c>
    </row>
    <row r="29556">
      <c r="A29556" s="4" t="s">
        <v>37214</v>
      </c>
      <c r="B29556" s="4" t="s">
        <v>37217</v>
      </c>
      <c r="C29556" s="5" t="str">
        <f>IFERROR(__xludf.DUMMYFUNCTION("GOOGLETRANSLATE(B29556,""en"",""es-ES"")"),"Después de varios hits, agrega en el otro conga y comienza a golpear al otro conga.")</f>
        <v>Después de varios hits, agrega en el otro conga y comienza a golpear al otro conga.</v>
      </c>
    </row>
    <row r="29557">
      <c r="A29557" s="4" t="s">
        <v>37218</v>
      </c>
      <c r="B29557" s="4" t="s">
        <v>37219</v>
      </c>
      <c r="C29557" s="5" t="str">
        <f>IFERROR(__xludf.DUMMYFUNCTION("GOOGLETRANSLATE(B29557,""en"",""es-ES"")"),"Un hombre baraja un mazo de cartas y les trata.")</f>
        <v>Un hombre baraja un mazo de cartas y les trata.</v>
      </c>
    </row>
    <row r="29558">
      <c r="A29558" s="4" t="s">
        <v>37218</v>
      </c>
      <c r="B29558" s="4" t="s">
        <v>37220</v>
      </c>
      <c r="C29558" s="5" t="str">
        <f>IFERROR(__xludf.DUMMYFUNCTION("GOOGLETRANSLATE(B29558,""en"",""es-ES"")"),"Se muestran cuatro ases en la mesa.")</f>
        <v>Se muestran cuatro ases en la mesa.</v>
      </c>
    </row>
    <row r="29559">
      <c r="A29559" s="4" t="s">
        <v>37218</v>
      </c>
      <c r="B29559" s="4" t="s">
        <v>37221</v>
      </c>
      <c r="C29559" s="5" t="str">
        <f>IFERROR(__xludf.DUMMYFUNCTION("GOOGLETRANSLATE(B29559,""en"",""es-ES"")"),"Un hombre se sienta en una mesa y interpreta al blackjack.")</f>
        <v>Un hombre se sienta en una mesa y interpreta al blackjack.</v>
      </c>
    </row>
    <row r="29560">
      <c r="A29560" s="4" t="s">
        <v>37222</v>
      </c>
      <c r="B29560" s="4" t="s">
        <v>37223</v>
      </c>
      <c r="C29560" s="5" t="str">
        <f>IFERROR(__xludf.DUMMYFUNCTION("GOOGLETRANSLATE(B29560,""en"",""es-ES"")"),"Un equipo se une en un autobús.")</f>
        <v>Un equipo se une en un autobús.</v>
      </c>
    </row>
    <row r="29561">
      <c r="A29561" s="4" t="s">
        <v>37222</v>
      </c>
      <c r="B29561" s="4" t="s">
        <v>37224</v>
      </c>
      <c r="C29561" s="5" t="str">
        <f>IFERROR(__xludf.DUMMYFUNCTION("GOOGLETRANSLATE(B29561,""en"",""es-ES"")"),"Los equipos juegan juegos de fútbol de playa.")</f>
        <v>Los equipos juegan juegos de fútbol de playa.</v>
      </c>
    </row>
    <row r="29562">
      <c r="A29562" s="4" t="s">
        <v>37222</v>
      </c>
      <c r="B29562" s="4" t="s">
        <v>37225</v>
      </c>
      <c r="C29562" s="5" t="str">
        <f>IFERROR(__xludf.DUMMYFUNCTION("GOOGLETRANSLATE(B29562,""en"",""es-ES"")"),"Un hombre hace una patada en bicicleta en la arena.")</f>
        <v>Un hombre hace una patada en bicicleta en la arena.</v>
      </c>
    </row>
    <row r="29563">
      <c r="A29563" s="4" t="s">
        <v>37222</v>
      </c>
      <c r="B29563" s="4" t="s">
        <v>37226</v>
      </c>
      <c r="C29563" s="5" t="str">
        <f>IFERROR(__xludf.DUMMYFUNCTION("GOOGLETRANSLATE(B29563,""en"",""es-ES"")"),"El equipo ganador sostiene un trofeo juntos y celebra.")</f>
        <v>El equipo ganador sostiene un trofeo juntos y celebra.</v>
      </c>
    </row>
    <row r="29564">
      <c r="A29564" s="4" t="s">
        <v>37222</v>
      </c>
      <c r="B29564" s="4" t="s">
        <v>37227</v>
      </c>
      <c r="C29564" s="5" t="str">
        <f>IFERROR(__xludf.DUMMYFUNCTION("GOOGLETRANSLATE(B29564,""en"",""es-ES"")"),"Los compañeros de equipo llaman desde el banco y alegría.")</f>
        <v>Los compañeros de equipo llaman desde el banco y alegría.</v>
      </c>
    </row>
    <row r="29565">
      <c r="A29565" s="4" t="s">
        <v>37228</v>
      </c>
      <c r="B29565" s="4" t="s">
        <v>37229</v>
      </c>
      <c r="C29565" s="5" t="str">
        <f>IFERROR(__xludf.DUMMYFUNCTION("GOOGLETRANSLATE(B29565,""en"",""es-ES"")"),"Dos hombres del ejército en sus uniformes están atados y se unen en dirección opuesta como parte de su entrenamiento.")</f>
        <v>Dos hombres del ejército en sus uniformes están atados y se unen en dirección opuesta como parte de su entrenamiento.</v>
      </c>
    </row>
    <row r="29566">
      <c r="A29566" s="4" t="s">
        <v>37228</v>
      </c>
      <c r="B29566" s="4" t="s">
        <v>37230</v>
      </c>
      <c r="C29566" s="5" t="str">
        <f>IFERROR(__xludf.DUMMYFUNCTION("GOOGLETRANSLATE(B29566,""en"",""es-ES"")"),"Hay una multitud de oficiales del ejército que los observan animándolos mientras hacen el ejercicio de entrenamiento de fuerza.")</f>
        <v>Hay una multitud de oficiales del ejército que los observan animándolos mientras hacen el ejercicio de entrenamiento de fuerza.</v>
      </c>
    </row>
    <row r="29567">
      <c r="A29567" s="4" t="s">
        <v>37228</v>
      </c>
      <c r="B29567" s="4" t="s">
        <v>37231</v>
      </c>
      <c r="C29567" s="5" t="str">
        <f>IFERROR(__xludf.DUMMYFUNCTION("GOOGLETRANSLATE(B29567,""en"",""es-ES"")"),"El juego termina después de que uno de los oficiales del ejército arrastra al otro oficial en el suelo y gana el juego.")</f>
        <v>El juego termina después de que uno de los oficiales del ejército arrastra al otro oficial en el suelo y gana el juego.</v>
      </c>
    </row>
    <row r="29568">
      <c r="A29568" s="4" t="s">
        <v>37232</v>
      </c>
      <c r="B29568" s="4" t="s">
        <v>37233</v>
      </c>
      <c r="C29568" s="5" t="str">
        <f>IFERROR(__xludf.DUMMYFUNCTION("GOOGLETRANSLATE(B29568,""en"",""es-ES"")"),"El hombre de camisa azul está tocando el tambor frente a él.")</f>
        <v>El hombre de camisa azul está tocando el tambor frente a él.</v>
      </c>
    </row>
    <row r="29569">
      <c r="A29569" s="4" t="s">
        <v>37232</v>
      </c>
      <c r="B29569" s="4" t="s">
        <v>37234</v>
      </c>
      <c r="C29569" s="5" t="str">
        <f>IFERROR(__xludf.DUMMYFUNCTION("GOOGLETRANSLATE(B29569,""en"",""es-ES"")"),"El joven rasgue el tambor frente a él y luego el siguiente tambor.")</f>
        <v>El joven rasgue el tambor frente a él y luego el siguiente tambor.</v>
      </c>
    </row>
    <row r="29570">
      <c r="A29570" s="4" t="s">
        <v>37232</v>
      </c>
      <c r="B29570" s="4" t="s">
        <v>37235</v>
      </c>
      <c r="C29570" s="5" t="str">
        <f>IFERROR(__xludf.DUMMYFUNCTION("GOOGLETRANSLATE(B29570,""en"",""es-ES"")"),"El joven rasguean los tambores frente a él.")</f>
        <v>El joven rasguean los tambores frente a él.</v>
      </c>
    </row>
    <row r="29571">
      <c r="A29571" s="4" t="s">
        <v>37236</v>
      </c>
      <c r="B29571" s="4" t="s">
        <v>37237</v>
      </c>
      <c r="C29571" s="5" t="str">
        <f>IFERROR(__xludf.DUMMYFUNCTION("GOOGLETRANSLATE(B29571,""en"",""es-ES"")"),"Una mujer abre el baúl de un coche.")</f>
        <v>Una mujer abre el baúl de un coche.</v>
      </c>
    </row>
    <row r="29572">
      <c r="A29572" s="4" t="s">
        <v>37236</v>
      </c>
      <c r="B29572" s="4" t="s">
        <v>37238</v>
      </c>
      <c r="C29572" s="5" t="str">
        <f>IFERROR(__xludf.DUMMYFUNCTION("GOOGLETRANSLATE(B29572,""en"",""es-ES"")"),"Ella saca una llanta de repuesto y la coloca en el suelo.")</f>
        <v>Ella saca una llanta de repuesto y la coloca en el suelo.</v>
      </c>
    </row>
    <row r="29573">
      <c r="A29573" s="4" t="s">
        <v>37236</v>
      </c>
      <c r="B29573" s="4" t="s">
        <v>37239</v>
      </c>
      <c r="C29573" s="5" t="str">
        <f>IFERROR(__xludf.DUMMYFUNCTION("GOOGLETRANSLATE(B29573,""en"",""es-ES"")"),"Ella quita el viejo neumático.")</f>
        <v>Ella quita el viejo neumático.</v>
      </c>
    </row>
    <row r="29574">
      <c r="A29574" s="4" t="s">
        <v>37236</v>
      </c>
      <c r="B29574" s="4" t="s">
        <v>37240</v>
      </c>
      <c r="C29574" s="5" t="str">
        <f>IFERROR(__xludf.DUMMYFUNCTION("GOOGLETRANSLATE(B29574,""en"",""es-ES"")"),"Ella se pone el neumático nuevo.")</f>
        <v>Ella se pone el neumático nuevo.</v>
      </c>
    </row>
    <row r="29575">
      <c r="A29575" s="4" t="s">
        <v>37236</v>
      </c>
      <c r="B29575" s="4" t="s">
        <v>37241</v>
      </c>
      <c r="C29575" s="5" t="str">
        <f>IFERROR(__xludf.DUMMYFUNCTION("GOOGLETRANSLATE(B29575,""en"",""es-ES"")"),"Ella se pone el centro del neumático.")</f>
        <v>Ella se pone el centro del neumático.</v>
      </c>
    </row>
    <row r="29576">
      <c r="A29576" s="4" t="s">
        <v>37242</v>
      </c>
      <c r="B29576" s="4" t="s">
        <v>37243</v>
      </c>
      <c r="C29576" s="5" t="str">
        <f>IFERROR(__xludf.DUMMYFUNCTION("GOOGLETRANSLATE(B29576,""en"",""es-ES"")"),"Un hombre con una camisa roja se aferra a un disco y patina por el hielo.")</f>
        <v>Un hombre con una camisa roja se aferra a un disco y patina por el hielo.</v>
      </c>
    </row>
    <row r="29577">
      <c r="A29577" s="4" t="s">
        <v>37242</v>
      </c>
      <c r="B29577" s="4" t="s">
        <v>37244</v>
      </c>
      <c r="C29577" s="5" t="str">
        <f>IFERROR(__xludf.DUMMYFUNCTION("GOOGLETRANSLATE(B29577,""en"",""es-ES"")"),"Él suelta el disco y regresa.")</f>
        <v>Él suelta el disco y regresa.</v>
      </c>
    </row>
    <row r="29578">
      <c r="A29578" s="4" t="s">
        <v>37245</v>
      </c>
      <c r="B29578" s="4" t="s">
        <v>37246</v>
      </c>
      <c r="C29578" s="5" t="str">
        <f>IFERROR(__xludf.DUMMYFUNCTION("GOOGLETRANSLATE(B29578,""en"",""es-ES"")"),"Una niña se presenta en los anillos.")</f>
        <v>Una niña se presenta en los anillos.</v>
      </c>
    </row>
    <row r="29579">
      <c r="A29579" s="4" t="s">
        <v>37245</v>
      </c>
      <c r="B29579" s="4" t="s">
        <v>37247</v>
      </c>
      <c r="C29579" s="5" t="str">
        <f>IFERROR(__xludf.DUMMYFUNCTION("GOOGLETRANSLATE(B29579,""en"",""es-ES"")"),"Un niño se encuentra a continuación, un hombre, luego levanta una mano y camina para actuar en los bardos paralelos.")</f>
        <v>Un niño se encuentra a continuación, un hombre, luego levanta una mano y camina para actuar en los bardos paralelos.</v>
      </c>
    </row>
    <row r="29580">
      <c r="A29580" s="4" t="s">
        <v>37245</v>
      </c>
      <c r="B29580" s="4" t="s">
        <v>37248</v>
      </c>
      <c r="C29580" s="5" t="str">
        <f>IFERROR(__xludf.DUMMYFUNCTION("GOOGLETRANSLATE(B29580,""en"",""es-ES"")"),"El niño se balancea en las barras y luego salta sobre la colchoneta.")</f>
        <v>El niño se balancea en las barras y luego salta sobre la colchoneta.</v>
      </c>
    </row>
    <row r="29581">
      <c r="A29581" s="4" t="s">
        <v>37249</v>
      </c>
      <c r="B29581" s="4" t="s">
        <v>37250</v>
      </c>
      <c r="C29581" s="5" t="str">
        <f>IFERROR(__xludf.DUMMYFUNCTION("GOOGLETRANSLATE(B29581,""en"",""es-ES"")"),"Hay una mujer con una camisa granate que se lava la cara en el fregadero.")</f>
        <v>Hay una mujer con una camisa granate que se lava la cara en el fregadero.</v>
      </c>
    </row>
    <row r="29582">
      <c r="A29582" s="4" t="s">
        <v>37249</v>
      </c>
      <c r="B29582" s="4" t="s">
        <v>37251</v>
      </c>
      <c r="C29582" s="5" t="str">
        <f>IFERROR(__xludf.DUMMYFUNCTION("GOOGLETRANSLATE(B29582,""en"",""es-ES"")"),"Un esteticista está hablando de rutinas de cuidado de la piel y dando consejos sobre cómo mantener limpia la piel facial.")</f>
        <v>Un esteticista está hablando de rutinas de cuidado de la piel y dando consejos sobre cómo mantener limpia la piel facial.</v>
      </c>
    </row>
    <row r="29583">
      <c r="A29583" s="4" t="s">
        <v>37249</v>
      </c>
      <c r="B29583" s="4" t="s">
        <v>37252</v>
      </c>
      <c r="C29583" s="5" t="str">
        <f>IFERROR(__xludf.DUMMYFUNCTION("GOOGLETRANSLATE(B29583,""en"",""es-ES"")"),"La modelo se lava la cara y luego la se seca suavemente con una toalla.")</f>
        <v>La modelo se lava la cara y luego la se seca suavemente con una toalla.</v>
      </c>
    </row>
    <row r="29584">
      <c r="A29584" s="4" t="s">
        <v>37253</v>
      </c>
      <c r="B29584" s="4" t="s">
        <v>37254</v>
      </c>
      <c r="C29584" s="5" t="str">
        <f>IFERROR(__xludf.DUMMYFUNCTION("GOOGLETRANSLATE(B29584,""en"",""es-ES"")"),"Tres chicas hacen ejercicio dentro de una casa.")</f>
        <v>Tres chicas hacen ejercicio dentro de una casa.</v>
      </c>
    </row>
    <row r="29585">
      <c r="A29585" s="4" t="s">
        <v>37253</v>
      </c>
      <c r="B29585" s="4" t="s">
        <v>37255</v>
      </c>
      <c r="C29585" s="5" t="str">
        <f>IFERROR(__xludf.DUMMYFUNCTION("GOOGLETRANSLATE(B29585,""en"",""es-ES"")"),"Las chicas bailan mientras saltan, giran y mueven las caderas.")</f>
        <v>Las chicas bailan mientras saltan, giran y mueven las caderas.</v>
      </c>
    </row>
    <row r="29586">
      <c r="A29586" s="4" t="s">
        <v>37253</v>
      </c>
      <c r="B29586" s="4" t="s">
        <v>37256</v>
      </c>
      <c r="C29586" s="5" t="str">
        <f>IFERROR(__xludf.DUMMYFUNCTION("GOOGLETRANSLATE(B29586,""en"",""es-ES"")"),"Luego, las chicas una por una arrojada al suelo, luego se paran y continúan bailando.")</f>
        <v>Luego, las chicas una por una arrojada al suelo, luego se paran y continúan bailando.</v>
      </c>
    </row>
    <row r="29587">
      <c r="A29587" s="4" t="s">
        <v>37253</v>
      </c>
      <c r="B29587" s="4" t="s">
        <v>37257</v>
      </c>
      <c r="C29587" s="5" t="str">
        <f>IFERROR(__xludf.DUMMYFUNCTION("GOOGLETRANSLATE(B29587,""en"",""es-ES"")"),"Después, dos niñas se arrodillan y un niño se para en las piernas y levanta los brazos, después de que las chicas finalizan su actuación.")</f>
        <v>Después, dos niñas se arrodillan y un niño se para en las piernas y levanta los brazos, después de que las chicas finalizan su actuación.</v>
      </c>
    </row>
    <row r="29588">
      <c r="A29588" s="4" t="s">
        <v>37258</v>
      </c>
      <c r="B29588" s="4" t="s">
        <v>37259</v>
      </c>
      <c r="C29588" s="5" t="str">
        <f>IFERROR(__xludf.DUMMYFUNCTION("GOOGLETRANSLATE(B29588,""en"",""es-ES"")"),"Dos perros caminan por la acera unida por una cuerda.")</f>
        <v>Dos perros caminan por la acera unida por una cuerda.</v>
      </c>
    </row>
    <row r="29589">
      <c r="A29589" s="4" t="s">
        <v>37258</v>
      </c>
      <c r="B29589" s="4" t="s">
        <v>37260</v>
      </c>
      <c r="C29589" s="5" t="str">
        <f>IFERROR(__xludf.DUMMYFUNCTION("GOOGLETRANSLATE(B29589,""en"",""es-ES"")"),"Dos personas caminan por la acera al lado de ellas.")</f>
        <v>Dos personas caminan por la acera al lado de ellas.</v>
      </c>
    </row>
    <row r="29590">
      <c r="A29590" s="4" t="s">
        <v>37258</v>
      </c>
      <c r="B29590" s="4" t="s">
        <v>37261</v>
      </c>
      <c r="C29590" s="5" t="str">
        <f>IFERROR(__xludf.DUMMYFUNCTION("GOOGLETRANSLATE(B29590,""en"",""es-ES"")"),"Una de las personas lleva una botella de agua.")</f>
        <v>Una de las personas lleva una botella de agua.</v>
      </c>
    </row>
    <row r="29591">
      <c r="A29591" s="4" t="s">
        <v>37262</v>
      </c>
      <c r="B29591" s="4" t="s">
        <v>37263</v>
      </c>
      <c r="C29591" s="5" t="str">
        <f>IFERROR(__xludf.DUMMYFUNCTION("GOOGLETRANSLATE(B29591,""en"",""es-ES"")"),"Una sombra está en el suelo, causada por un arbusto diseñado.")</f>
        <v>Una sombra está en el suelo, causada por un arbusto diseñado.</v>
      </c>
    </row>
    <row r="29592">
      <c r="A29592" s="4" t="s">
        <v>37262</v>
      </c>
      <c r="B29592" s="4" t="s">
        <v>37264</v>
      </c>
      <c r="C29592" s="5" t="str">
        <f>IFERROR(__xludf.DUMMYFUNCTION("GOOGLETRANSLATE(B29592,""en"",""es-ES"")"),"Se muestra a un hombre al aire libre, mostrando su multitud de arbustos decorativos en su patio.")</f>
        <v>Se muestra a un hombre al aire libre, mostrando su multitud de arbustos decorativos en su patio.</v>
      </c>
    </row>
    <row r="29593">
      <c r="A29593" s="4" t="s">
        <v>37262</v>
      </c>
      <c r="B29593" s="4" t="s">
        <v>37265</v>
      </c>
      <c r="C29593" s="5" t="str">
        <f>IFERROR(__xludf.DUMMYFUNCTION("GOOGLETRANSLATE(B29593,""en"",""es-ES"")"),"Él los clipa y los mide para asegurarse de que se vean lo mejor posible.")</f>
        <v>Él los clipa y los mide para asegurarse de que se vean lo mejor posible.</v>
      </c>
    </row>
    <row r="29594">
      <c r="A29594" s="4" t="s">
        <v>37262</v>
      </c>
      <c r="B29594" s="4" t="s">
        <v>37266</v>
      </c>
      <c r="C29594" s="5" t="str">
        <f>IFERROR(__xludf.DUMMYFUNCTION("GOOGLETRANSLATE(B29594,""en"",""es-ES"")"),"Encuentra dos que parecen boxeadores y fingen hacerlos pelear.")</f>
        <v>Encuentra dos que parecen boxeadores y fingen hacerlos pelear.</v>
      </c>
    </row>
    <row r="29595">
      <c r="A29595" s="4" t="s">
        <v>37267</v>
      </c>
      <c r="B29595" s="4" t="s">
        <v>37268</v>
      </c>
      <c r="C29595" s="5" t="str">
        <f>IFERROR(__xludf.DUMMYFUNCTION("GOOGLETRANSLATE(B29595,""en"",""es-ES"")"),"Se ve a una mujer hablando con la gente en público seguido de un hombre que lavaba la boca y besaba a otra chica.")</f>
        <v>Se ve a una mujer hablando con la gente en público seguido de un hombre que lavaba la boca y besaba a otra chica.</v>
      </c>
    </row>
    <row r="29596">
      <c r="A29596" s="4" t="s">
        <v>37267</v>
      </c>
      <c r="B29596" s="4" t="s">
        <v>37269</v>
      </c>
      <c r="C29596" s="5" t="str">
        <f>IFERROR(__xludf.DUMMYFUNCTION("GOOGLETRANSLATE(B29596,""en"",""es-ES"")"),"Luego presenta la boca a varias personas extendidas durante los días y hace que la gente hable con la cámara sobre su experiencia.")</f>
        <v>Luego presenta la boca a varias personas extendidas durante los días y hace que la gente hable con la cámara sobre su experiencia.</v>
      </c>
    </row>
    <row r="29597">
      <c r="A29597" s="4" t="s">
        <v>37270</v>
      </c>
      <c r="B29597" s="4" t="s">
        <v>37271</v>
      </c>
      <c r="C29597" s="5" t="str">
        <f>IFERROR(__xludf.DUMMYFUNCTION("GOOGLETRANSLATE(B29597,""en"",""es-ES"")"),"Vemos a Ellen jugando al tenis de mesa.")</f>
        <v>Vemos a Ellen jugando al tenis de mesa.</v>
      </c>
    </row>
    <row r="29598">
      <c r="A29598" s="4" t="s">
        <v>37270</v>
      </c>
      <c r="B29598" s="4" t="s">
        <v>37272</v>
      </c>
      <c r="C29598" s="5" t="str">
        <f>IFERROR(__xludf.DUMMYFUNCTION("GOOGLETRANSLATE(B29598,""en"",""es-ES"")"),"Sale un jugador de tenis de mesa.")</f>
        <v>Sale un jugador de tenis de mesa.</v>
      </c>
    </row>
    <row r="29599">
      <c r="A29599" s="4" t="s">
        <v>37270</v>
      </c>
      <c r="B29599" s="4" t="s">
        <v>37273</v>
      </c>
      <c r="C29599" s="5" t="str">
        <f>IFERROR(__xludf.DUMMYFUNCTION("GOOGLETRANSLATE(B29599,""en"",""es-ES"")"),"Se juega el nuevo partido.")</f>
        <v>Se juega el nuevo partido.</v>
      </c>
    </row>
    <row r="29600">
      <c r="A29600" s="4" t="s">
        <v>37270</v>
      </c>
      <c r="B29600" s="4" t="s">
        <v>37274</v>
      </c>
      <c r="C29600" s="5" t="str">
        <f>IFERROR(__xludf.DUMMYFUNCTION("GOOGLETRANSLATE(B29600,""en"",""es-ES"")"),"El hombre extiende sus brazos afuera.")</f>
        <v>El hombre extiende sus brazos afuera.</v>
      </c>
    </row>
    <row r="29601">
      <c r="A29601" s="4" t="s">
        <v>37270</v>
      </c>
      <c r="B29601" s="4" t="s">
        <v>37275</v>
      </c>
      <c r="C29601" s="5" t="str">
        <f>IFERROR(__xludf.DUMMYFUNCTION("GOOGLETRANSLATE(B29601,""en"",""es-ES"")"),"Ellen se agacha cerca de la mesa.")</f>
        <v>Ellen se agacha cerca de la mesa.</v>
      </c>
    </row>
    <row r="29602">
      <c r="A29602" s="4" t="s">
        <v>37270</v>
      </c>
      <c r="B29602" s="4" t="s">
        <v>37276</v>
      </c>
      <c r="C29602" s="5" t="str">
        <f>IFERROR(__xludf.DUMMYFUNCTION("GOOGLETRANSLATE(B29602,""en"",""es-ES"")"),"Los jugadores se dan la mano, la señora abraza a Ellen y se ríe.")</f>
        <v>Los jugadores se dan la mano, la señora abraza a Ellen y se ríe.</v>
      </c>
    </row>
    <row r="29603">
      <c r="A29603" s="4" t="s">
        <v>37270</v>
      </c>
      <c r="B29603" s="4" t="s">
        <v>37277</v>
      </c>
      <c r="C29603" s="5" t="str">
        <f>IFERROR(__xludf.DUMMYFUNCTION("GOOGLETRANSLATE(B29603,""en"",""es-ES"")"),"Vemos la pantalla final con Ellen en ella.")</f>
        <v>Vemos la pantalla final con Ellen en ella.</v>
      </c>
    </row>
    <row r="29604">
      <c r="A29604" s="4" t="s">
        <v>37278</v>
      </c>
      <c r="B29604" s="4" t="s">
        <v>37279</v>
      </c>
      <c r="C29604" s="5" t="str">
        <f>IFERROR(__xludf.DUMMYFUNCTION("GOOGLETRANSLATE(B29604,""en"",""es-ES"")"),"Un hombre está esquiando en una pendiente, rápidamente.")</f>
        <v>Un hombre está esquiando en una pendiente, rápidamente.</v>
      </c>
    </row>
    <row r="29605">
      <c r="A29605" s="4" t="s">
        <v>37278</v>
      </c>
      <c r="B29605" s="4" t="s">
        <v>37280</v>
      </c>
      <c r="C29605" s="5" t="str">
        <f>IFERROR(__xludf.DUMMYFUNCTION("GOOGLETRANSLATE(B29605,""en"",""es-ES"")"),"Gira mientras pasa entre otros esquiadores en el camino.")</f>
        <v>Gira mientras pasa entre otros esquiadores en el camino.</v>
      </c>
    </row>
    <row r="29606">
      <c r="A29606" s="4" t="s">
        <v>37278</v>
      </c>
      <c r="B29606" s="4" t="s">
        <v>37281</v>
      </c>
      <c r="C29606" s="5" t="str">
        <f>IFERROR(__xludf.DUMMYFUNCTION("GOOGLETRANSLATE(B29606,""en"",""es-ES"")"),"El hombre continúa hasta que termine, luego se retira al tablero y se une a otros esquiadores en el lugar de descanso.")</f>
        <v>El hombre continúa hasta que termine, luego se retira al tablero y se une a otros esquiadores en el lugar de descanso.</v>
      </c>
    </row>
    <row r="29607">
      <c r="A29607" s="4" t="s">
        <v>37282</v>
      </c>
      <c r="B29607" s="4" t="s">
        <v>37283</v>
      </c>
      <c r="C29607" s="5" t="str">
        <f>IFERROR(__xludf.DUMMYFUNCTION("GOOGLETRANSLATE(B29607,""en"",""es-ES"")"),"Se muestra un primer plano de las hojas que son voladas.")</f>
        <v>Se muestra un primer plano de las hojas que son voladas.</v>
      </c>
    </row>
    <row r="29608">
      <c r="A29608" s="4" t="s">
        <v>37282</v>
      </c>
      <c r="B29608" s="4" t="s">
        <v>37284</v>
      </c>
      <c r="C29608" s="5" t="str">
        <f>IFERROR(__xludf.DUMMYFUNCTION("GOOGLETRANSLATE(B29608,""en"",""es-ES"")"),"Una persona está soplando hojas con un soplador de hojas.")</f>
        <v>Una persona está soplando hojas con un soplador de hojas.</v>
      </c>
    </row>
    <row r="29609">
      <c r="A29609" s="4" t="s">
        <v>37282</v>
      </c>
      <c r="B29609" s="4" t="s">
        <v>37285</v>
      </c>
      <c r="C29609" s="5" t="str">
        <f>IFERROR(__xludf.DUMMYFUNCTION("GOOGLETRANSLATE(B29609,""en"",""es-ES"")"),"Continúan soplando las hojas a través del patio.")</f>
        <v>Continúan soplando las hojas a través del patio.</v>
      </c>
    </row>
    <row r="29610">
      <c r="A29610" s="4" t="s">
        <v>37286</v>
      </c>
      <c r="B29610" s="4" t="s">
        <v>37287</v>
      </c>
      <c r="C29610" s="5" t="str">
        <f>IFERROR(__xludf.DUMMYFUNCTION("GOOGLETRANSLATE(B29610,""en"",""es-ES"")"),"Una mujer está patinando por una acera afuera.")</f>
        <v>Una mujer está patinando por una acera afuera.</v>
      </c>
    </row>
    <row r="29611">
      <c r="A29611" s="4" t="s">
        <v>37286</v>
      </c>
      <c r="B29611" s="4" t="s">
        <v>37288</v>
      </c>
      <c r="C29611" s="5" t="str">
        <f>IFERROR(__xludf.DUMMYFUNCTION("GOOGLETRANSLATE(B29611,""en"",""es-ES"")"),"Ella rueda lentamente pasando la cámara.")</f>
        <v>Ella rueda lentamente pasando la cámara.</v>
      </c>
    </row>
    <row r="29612">
      <c r="A29612" s="4" t="s">
        <v>37286</v>
      </c>
      <c r="B29612" s="4" t="s">
        <v>37289</v>
      </c>
      <c r="C29612" s="5" t="str">
        <f>IFERROR(__xludf.DUMMYFUNCTION("GOOGLETRANSLATE(B29612,""en"",""es-ES"")"),"Ella sigue patinando por la acera más allá del borde del océano.")</f>
        <v>Ella sigue patinando por la acera más allá del borde del océano.</v>
      </c>
    </row>
    <row r="29613">
      <c r="A29613" s="4" t="s">
        <v>37290</v>
      </c>
      <c r="B29613" s="4" t="s">
        <v>37291</v>
      </c>
      <c r="C29613" s="5" t="str">
        <f>IFERROR(__xludf.DUMMYFUNCTION("GOOGLETRANSLATE(B29613,""en"",""es-ES"")"),"Una cámara se mueve alrededor de una aspiradora de cerca y muestra los pies de una persona.")</f>
        <v>Una cámara se mueve alrededor de una aspiradora de cerca y muestra los pies de una persona.</v>
      </c>
    </row>
    <row r="29614">
      <c r="A29614" s="4" t="s">
        <v>37290</v>
      </c>
      <c r="B29614" s="4" t="s">
        <v>37292</v>
      </c>
      <c r="C29614" s="5" t="str">
        <f>IFERROR(__xludf.DUMMYFUNCTION("GOOGLETRANSLATE(B29614,""en"",""es-ES"")"),"La persona camina con el vacío y lo empuja a lo largo de una alfombra.")</f>
        <v>La persona camina con el vacío y lo empuja a lo largo de una alfombra.</v>
      </c>
    </row>
    <row r="29615">
      <c r="A29615" s="4" t="s">
        <v>37290</v>
      </c>
      <c r="B29615" s="4" t="s">
        <v>37293</v>
      </c>
      <c r="C29615" s="5" t="str">
        <f>IFERROR(__xludf.DUMMYFUNCTION("GOOGLETRANSLATE(B29615,""en"",""es-ES"")"),"Se muestran más tomas de la persona que usa los accesorios en la cámara y que muestran cómo se hace.")</f>
        <v>Se muestran más tomas de la persona que usa los accesorios en la cámara y que muestran cómo se hace.</v>
      </c>
    </row>
    <row r="29616">
      <c r="A29616" s="4" t="s">
        <v>37294</v>
      </c>
      <c r="B29616" s="4" t="s">
        <v>37295</v>
      </c>
      <c r="C29616" s="5" t="str">
        <f>IFERROR(__xludf.DUMMYFUNCTION("GOOGLETRANSLATE(B29616,""en"",""es-ES"")"),"Se ve a dos jóvenes arrodilladas ante una bañera mientras hablan con la cámara.")</f>
        <v>Se ve a dos jóvenes arrodilladas ante una bañera mientras hablan con la cámara.</v>
      </c>
    </row>
    <row r="29617">
      <c r="A29617" s="4" t="s">
        <v>37294</v>
      </c>
      <c r="B29617" s="4" t="s">
        <v>37296</v>
      </c>
      <c r="C29617" s="5" t="str">
        <f>IFERROR(__xludf.DUMMYFUNCTION("GOOGLETRANSLATE(B29617,""en"",""es-ES"")"),"Las chicas sostienen un producto y lo miden seguido de ponerlo en la boca y girarlo.")</f>
        <v>Las chicas sostienen un producto y lo miden seguido de ponerlo en la boca y girarlo.</v>
      </c>
    </row>
    <row r="29618">
      <c r="A29618" s="4" t="s">
        <v>37294</v>
      </c>
      <c r="B29618" s="4" t="s">
        <v>37297</v>
      </c>
      <c r="C29618" s="5" t="str">
        <f>IFERROR(__xludf.DUMMYFUNCTION("GOOGLETRANSLATE(B29618,""en"",""es-ES"")"),"Luego, las chicas escupen el líquido y continúan hablando con la cámara.")</f>
        <v>Luego, las chicas escupen el líquido y continúan hablando con la cámara.</v>
      </c>
    </row>
    <row r="29619">
      <c r="A29619" s="4" t="s">
        <v>37298</v>
      </c>
      <c r="B29619" s="4" t="s">
        <v>37299</v>
      </c>
      <c r="C29619" s="5" t="str">
        <f>IFERROR(__xludf.DUMMYFUNCTION("GOOGLETRANSLATE(B29619,""en"",""es-ES"")"),"Un joven resuelve un rompecabezas de cubos mientras un hombre se pare al frente.")</f>
        <v>Un joven resuelve un rompecabezas de cubos mientras un hombre se pare al frente.</v>
      </c>
    </row>
    <row r="29620">
      <c r="A29620" s="4" t="s">
        <v>37298</v>
      </c>
      <c r="B29620" s="4" t="s">
        <v>37300</v>
      </c>
      <c r="C29620" s="5" t="str">
        <f>IFERROR(__xludf.DUMMYFUNCTION("GOOGLETRANSLATE(B29620,""en"",""es-ES"")"),"Luego, un hombre escribe en un periódico y muestra al joven.")</f>
        <v>Luego, un hombre escribe en un periódico y muestra al joven.</v>
      </c>
    </row>
    <row r="29621">
      <c r="A29621" s="4" t="s">
        <v>37298</v>
      </c>
      <c r="B29621" s="4" t="s">
        <v>37301</v>
      </c>
      <c r="C29621" s="5" t="str">
        <f>IFERROR(__xludf.DUMMYFUNCTION("GOOGLETRANSLATE(B29621,""en"",""es-ES"")"),"El joven resuelve nuevamente el rompecabezas es menos tiempo, y el hombre toma nota.")</f>
        <v>El joven resuelve nuevamente el rompecabezas es menos tiempo, y el hombre toma nota.</v>
      </c>
    </row>
    <row r="29622">
      <c r="A29622" s="4" t="s">
        <v>37298</v>
      </c>
      <c r="B29622" s="4" t="s">
        <v>37302</v>
      </c>
      <c r="C29622" s="5" t="str">
        <f>IFERROR(__xludf.DUMMYFUNCTION("GOOGLETRANSLATE(B29622,""en"",""es-ES"")"),"Después de que el joven resuelve nuevamente dos veces el rompecabezas en menos tiempo.")</f>
        <v>Después de que el joven resuelve nuevamente dos veces el rompecabezas en menos tiempo.</v>
      </c>
    </row>
    <row r="29623">
      <c r="A29623" s="4" t="s">
        <v>37298</v>
      </c>
      <c r="B29623" s="4" t="s">
        <v>37303</v>
      </c>
      <c r="C29623" s="5" t="str">
        <f>IFERROR(__xludf.DUMMYFUNCTION("GOOGLETRANSLATE(B29623,""en"",""es-ES"")"),"Al final, el joven resuelve el rompecabezas en menos tiempo que los tiempos anteriores, levanta feliz de su silla.")</f>
        <v>Al final, el joven resuelve el rompecabezas en menos tiempo que los tiempos anteriores, levanta feliz de su silla.</v>
      </c>
    </row>
    <row r="29624">
      <c r="A29624" s="4" t="s">
        <v>37304</v>
      </c>
      <c r="B29624" s="4" t="s">
        <v>37305</v>
      </c>
      <c r="C29624" s="5" t="str">
        <f>IFERROR(__xludf.DUMMYFUNCTION("GOOGLETRANSLATE(B29624,""en"",""es-ES"")"),"Una niña está sentada en una silla, esperando nerviosamente.")</f>
        <v>Una niña está sentada en una silla, esperando nerviosamente.</v>
      </c>
    </row>
    <row r="29625">
      <c r="A29625" s="4" t="s">
        <v>37304</v>
      </c>
      <c r="B29625" s="4" t="s">
        <v>37306</v>
      </c>
      <c r="C29625" s="5" t="str">
        <f>IFERROR(__xludf.DUMMYFUNCTION("GOOGLETRANSLATE(B29625,""en"",""es-ES"")"),"La artista penetrante pinta un punto sobre su labio.")</f>
        <v>La artista penetrante pinta un punto sobre su labio.</v>
      </c>
    </row>
    <row r="29626">
      <c r="A29626" s="4" t="s">
        <v>37304</v>
      </c>
      <c r="B29626" s="4" t="s">
        <v>37307</v>
      </c>
      <c r="C29626" s="5" t="str">
        <f>IFERROR(__xludf.DUMMYFUNCTION("GOOGLETRANSLATE(B29626,""en"",""es-ES"")"),"Él desinfecta sus herramientas y procede a perforar el labio de la joven.")</f>
        <v>Él desinfecta sus herramientas y procede a perforar el labio de la joven.</v>
      </c>
    </row>
    <row r="29627">
      <c r="A29627" s="4" t="s">
        <v>37304</v>
      </c>
      <c r="B29627" s="4" t="s">
        <v>37308</v>
      </c>
      <c r="C29627" s="5" t="str">
        <f>IFERROR(__xludf.DUMMYFUNCTION("GOOGLETRANSLATE(B29627,""en"",""es-ES"")"),"Él inserta un anillo en la perforación.")</f>
        <v>Él inserta un anillo en la perforación.</v>
      </c>
    </row>
    <row r="29628">
      <c r="A29628" s="4" t="s">
        <v>37304</v>
      </c>
      <c r="B29628" s="4" t="s">
        <v>37309</v>
      </c>
      <c r="C29628" s="5" t="str">
        <f>IFERROR(__xludf.DUMMYFUNCTION("GOOGLETRANSLATE(B29628,""en"",""es-ES"")"),"Aprieta la perforación y limpia alrededor de la perforación.")</f>
        <v>Aprieta la perforación y limpia alrededor de la perforación.</v>
      </c>
    </row>
    <row r="29629">
      <c r="A29629" s="4" t="s">
        <v>37304</v>
      </c>
      <c r="B29629" s="4" t="s">
        <v>37310</v>
      </c>
      <c r="C29629" s="5" t="str">
        <f>IFERROR(__xludf.DUMMYFUNCTION("GOOGLETRANSLATE(B29629,""en"",""es-ES"")"),"La niña mira a un espejo que le entregó el perforador artista y se ve complacida.")</f>
        <v>La niña mira a un espejo que le entregó el perforador artista y se ve complacida.</v>
      </c>
    </row>
    <row r="29630">
      <c r="A29630" s="4" t="s">
        <v>37311</v>
      </c>
      <c r="B29630" s="4" t="s">
        <v>37312</v>
      </c>
      <c r="C29630" s="5" t="str">
        <f>IFERROR(__xludf.DUMMYFUNCTION("GOOGLETRANSLATE(B29630,""en"",""es-ES"")"),"Se ve a un niño encendiendo un grifo y comienza a lavar los platos en un fregadero.")</f>
        <v>Se ve a un niño encendiendo un grifo y comienza a lavar los platos en un fregadero.</v>
      </c>
    </row>
    <row r="29631">
      <c r="A29631" s="4" t="s">
        <v>37311</v>
      </c>
      <c r="B29631" s="4" t="s">
        <v>37313</v>
      </c>
      <c r="C29631" s="5" t="str">
        <f>IFERROR(__xludf.DUMMYFUNCTION("GOOGLETRANSLATE(B29631,""en"",""es-ES"")"),"El niño apaga el agua nuevamente mientras frota los platos y otra persona que camina para ayudar.")</f>
        <v>El niño apaga el agua nuevamente mientras frota los platos y otra persona que camina para ayudar.</v>
      </c>
    </row>
    <row r="29632">
      <c r="A29632" s="4" t="s">
        <v>37314</v>
      </c>
      <c r="B29632" s="4" t="s">
        <v>37315</v>
      </c>
      <c r="C29632" s="5" t="str">
        <f>IFERROR(__xludf.DUMMYFUNCTION("GOOGLETRANSLATE(B29632,""en"",""es-ES"")"),"El equipo de Cherleader con uniformes morados está haciendo una coreografía en medio de una cancha de madera.")</f>
        <v>El equipo de Cherleader con uniformes morados está haciendo una coreografía en medio de una cancha de madera.</v>
      </c>
    </row>
    <row r="29633">
      <c r="A29633" s="4" t="s">
        <v>37314</v>
      </c>
      <c r="B29633" s="4" t="s">
        <v>37316</v>
      </c>
      <c r="C29633" s="5" t="str">
        <f>IFERROR(__xludf.DUMMYFUNCTION("GOOGLETRANSLATE(B29633,""en"",""es-ES"")"),"Mucha gente está sentada en los puestos en la cancha.")</f>
        <v>Mucha gente está sentada en los puestos en la cancha.</v>
      </c>
    </row>
    <row r="29634">
      <c r="A29634" s="4" t="s">
        <v>37314</v>
      </c>
      <c r="B29634" s="4" t="s">
        <v>37317</v>
      </c>
      <c r="C29634" s="5" t="str">
        <f>IFERROR(__xludf.DUMMYFUNCTION("GOOGLETRANSLATE(B29634,""en"",""es-ES"")"),"La gente camina por los lados de la cancha de madera en un gimnasio techo.")</f>
        <v>La gente camina por los lados de la cancha de madera en un gimnasio techo.</v>
      </c>
    </row>
    <row r="29635">
      <c r="A29635" s="4" t="s">
        <v>37318</v>
      </c>
      <c r="B29635" s="4" t="s">
        <v>37319</v>
      </c>
      <c r="C29635" s="5" t="str">
        <f>IFERROR(__xludf.DUMMYFUNCTION("GOOGLETRANSLATE(B29635,""en"",""es-ES"")"),"Vemos a una chica preparándose para bucear en una piscina interior.")</f>
        <v>Vemos a una chica preparándose para bucear en una piscina interior.</v>
      </c>
    </row>
    <row r="29636">
      <c r="A29636" s="4" t="s">
        <v>37318</v>
      </c>
      <c r="B29636" s="4" t="s">
        <v>37320</v>
      </c>
      <c r="C29636" s="5" t="str">
        <f>IFERROR(__xludf.DUMMYFUNCTION("GOOGLETRANSLATE(B29636,""en"",""es-ES"")"),"La niña salta y se queda con un aspecto asustado de la altura.")</f>
        <v>La niña salta y se queda con un aspecto asustado de la altura.</v>
      </c>
    </row>
    <row r="29637">
      <c r="A29637" s="4" t="s">
        <v>37318</v>
      </c>
      <c r="B29637" s="4" t="s">
        <v>37321</v>
      </c>
      <c r="C29637" s="5" t="str">
        <f>IFERROR(__xludf.DUMMYFUNCTION("GOOGLETRANSLATE(B29637,""en"",""es-ES"")"),"La niña se vuelve y se sumerge en el agua.")</f>
        <v>La niña se vuelve y se sumerge en el agua.</v>
      </c>
    </row>
    <row r="29638">
      <c r="A29638" s="4" t="s">
        <v>37318</v>
      </c>
      <c r="B29638" s="4" t="s">
        <v>37322</v>
      </c>
      <c r="C29638" s="5" t="str">
        <f>IFERROR(__xludf.DUMMYFUNCTION("GOOGLETRANSLATE(B29638,""en"",""es-ES"")"),"La niña aparece y nada al borde de la piscina.")</f>
        <v>La niña aparece y nada al borde de la piscina.</v>
      </c>
    </row>
    <row r="29639">
      <c r="A29639" s="4" t="s">
        <v>37323</v>
      </c>
      <c r="B29639" s="4" t="s">
        <v>37324</v>
      </c>
      <c r="C29639" s="5" t="str">
        <f>IFERROR(__xludf.DUMMYFUNCTION("GOOGLETRANSLATE(B29639,""en"",""es-ES"")"),"El video comienza con un logotipo de las catedrales de la luz.")</f>
        <v>El video comienza con un logotipo de las catedrales de la luz.</v>
      </c>
    </row>
    <row r="29640">
      <c r="A29640" s="4" t="s">
        <v>37323</v>
      </c>
      <c r="B29640" s="4" t="s">
        <v>37325</v>
      </c>
      <c r="C29640" s="5" t="str">
        <f>IFERROR(__xludf.DUMMYFUNCTION("GOOGLETRANSLATE(B29640,""en"",""es-ES"")"),"A continuación se muestra un grupo de personas.")</f>
        <v>A continuación se muestra un grupo de personas.</v>
      </c>
    </row>
    <row r="29641">
      <c r="A29641" s="4" t="s">
        <v>37323</v>
      </c>
      <c r="B29641" s="4" t="s">
        <v>37326</v>
      </c>
      <c r="C29641" s="5" t="str">
        <f>IFERROR(__xludf.DUMMYFUNCTION("GOOGLETRANSLATE(B29641,""en"",""es-ES"")"),"Luego se muestra a las personas nadando en un mundo submarino.")</f>
        <v>Luego se muestra a las personas nadando en un mundo submarino.</v>
      </c>
    </row>
    <row r="29642">
      <c r="A29642" s="4" t="s">
        <v>37323</v>
      </c>
      <c r="B29642" s="4" t="s">
        <v>37327</v>
      </c>
      <c r="C29642" s="5" t="str">
        <f>IFERROR(__xludf.DUMMYFUNCTION("GOOGLETRANSLATE(B29642,""en"",""es-ES"")"),"Los arrecifes y las rocas se muestran bajo el agua.")</f>
        <v>Los arrecifes y las rocas se muestran bajo el agua.</v>
      </c>
    </row>
    <row r="29643">
      <c r="A29643" s="4" t="s">
        <v>37323</v>
      </c>
      <c r="B29643" s="4" t="s">
        <v>37328</v>
      </c>
      <c r="C29643" s="5" t="str">
        <f>IFERROR(__xludf.DUMMYFUNCTION("GOOGLETRANSLATE(B29643,""en"",""es-ES"")"),"Los buceadores se muestran nadando en el agua explorando lo que hay alrededor.")</f>
        <v>Los buceadores se muestran nadando en el agua explorando lo que hay alrededor.</v>
      </c>
    </row>
    <row r="29644">
      <c r="A29644" s="4" t="s">
        <v>37329</v>
      </c>
      <c r="B29644" s="4" t="s">
        <v>37330</v>
      </c>
      <c r="C29644" s="5" t="str">
        <f>IFERROR(__xludf.DUMMYFUNCTION("GOOGLETRANSLATE(B29644,""en"",""es-ES"")"),"Dos hombres están al lado de la mesa con camisas azules y cascos de soldadura.")</f>
        <v>Dos hombres están al lado de la mesa con camisas azules y cascos de soldadura.</v>
      </c>
    </row>
    <row r="29645">
      <c r="A29645" s="4" t="s">
        <v>37329</v>
      </c>
      <c r="B29645" s="4" t="s">
        <v>37331</v>
      </c>
      <c r="C29645" s="5" t="str">
        <f>IFERROR(__xludf.DUMMYFUNCTION("GOOGLETRANSLATE(B29645,""en"",""es-ES"")"),"El hombre sostiene una máquina de soldadura y trabaja en un metal que causa chispas, a su lado hay otro hombre que observa estrechamente el metal.")</f>
        <v>El hombre sostiene una máquina de soldadura y trabaja en un metal que causa chispas, a su lado hay otro hombre que observa estrechamente el metal.</v>
      </c>
    </row>
    <row r="29646">
      <c r="A29646" s="4" t="s">
        <v>37329</v>
      </c>
      <c r="B29646" s="4" t="s">
        <v>37332</v>
      </c>
      <c r="C29646" s="5" t="str">
        <f>IFERROR(__xludf.DUMMYFUNCTION("GOOGLETRANSLATE(B29646,""en"",""es-ES"")"),"Las luces se iluminan, el hombre está empujando el metal.")</f>
        <v>Las luces se iluminan, el hombre está empujando el metal.</v>
      </c>
    </row>
    <row r="29647">
      <c r="A29647" s="4" t="s">
        <v>37333</v>
      </c>
      <c r="B29647" s="4" t="s">
        <v>37334</v>
      </c>
      <c r="C29647" s="5" t="str">
        <f>IFERROR(__xludf.DUMMYFUNCTION("GOOGLETRANSLATE(B29647,""en"",""es-ES"")"),"Una gimnasta se mantiene nerviosa esperando su comienzo.")</f>
        <v>Una gimnasta se mantiene nerviosa esperando su comienzo.</v>
      </c>
    </row>
    <row r="29648">
      <c r="A29648" s="4" t="s">
        <v>37333</v>
      </c>
      <c r="B29648" s="4" t="s">
        <v>37335</v>
      </c>
      <c r="C29648" s="5" t="str">
        <f>IFERROR(__xludf.DUMMYFUNCTION("GOOGLETRANSLATE(B29648,""en"",""es-ES"")"),"La multitud en la arena la mira.")</f>
        <v>La multitud en la arena la mira.</v>
      </c>
    </row>
    <row r="29649">
      <c r="A29649" s="4" t="s">
        <v>37333</v>
      </c>
      <c r="B29649" s="4" t="s">
        <v>37336</v>
      </c>
      <c r="C29649" s="5" t="str">
        <f>IFERROR(__xludf.DUMMYFUNCTION("GOOGLETRANSLATE(B29649,""en"",""es-ES"")"),"Ella sube a un bar y realiza varias flips, volteretas, además de hacer las divisiones a la mitad del aire.")</f>
        <v>Ella sube a un bar y realiza varias flips, volteretas, además de hacer las divisiones a la mitad del aire.</v>
      </c>
    </row>
    <row r="29650">
      <c r="A29650" s="4" t="s">
        <v>37333</v>
      </c>
      <c r="B29650" s="4" t="s">
        <v>37337</v>
      </c>
      <c r="C29650" s="5" t="str">
        <f>IFERROR(__xludf.DUMMYFUNCTION("GOOGLETRANSLATE(B29650,""en"",""es-ES"")"),"Ella salta del bar y aterriza en una alfombra azul.")</f>
        <v>Ella salta del bar y aterriza en una alfombra azul.</v>
      </c>
    </row>
    <row r="29651">
      <c r="A29651" s="4" t="s">
        <v>37338</v>
      </c>
      <c r="B29651" s="4" t="s">
        <v>37339</v>
      </c>
      <c r="C29651" s="5" t="str">
        <f>IFERROR(__xludf.DUMMYFUNCTION("GOOGLETRANSLATE(B29651,""en"",""es-ES"")"),"El automóvil de una persona se muestra desde varios ángulos con una persona adentro y conduce al automóvil conduciendo con personas adentro.")</f>
        <v>El automóvil de una persona se muestra desde varios ángulos con una persona adentro y conduce al automóvil conduciendo con personas adentro.</v>
      </c>
    </row>
    <row r="29652">
      <c r="A29652" s="4" t="s">
        <v>37338</v>
      </c>
      <c r="B29652" s="4" t="s">
        <v>37340</v>
      </c>
      <c r="C29652" s="5" t="str">
        <f>IFERROR(__xludf.DUMMYFUNCTION("GOOGLETRANSLATE(B29652,""en"",""es-ES"")"),"Luego, la gente se muestra en varios ángulos que suben por una montaña nevada y bajan por una colina.")</f>
        <v>Luego, la gente se muestra en varios ángulos que suben por una montaña nevada y bajan por una colina.</v>
      </c>
    </row>
    <row r="29653">
      <c r="A29653" s="4" t="s">
        <v>37338</v>
      </c>
      <c r="B29653" s="4" t="s">
        <v>37341</v>
      </c>
      <c r="C29653" s="5" t="str">
        <f>IFERROR(__xludf.DUMMYFUNCTION("GOOGLETRANSLATE(B29653,""en"",""es-ES"")"),"Los primeros planos de las caras de la gente se muestran a medida que suben y bajan la colina varias veces y aterrizan en la parte inferior de una colina.")</f>
        <v>Los primeros planos de las caras de la gente se muestran a medida que suben y bajan la colina varias veces y aterrizan en la parte inferior de una colina.</v>
      </c>
    </row>
    <row r="29654">
      <c r="A29654" s="4" t="s">
        <v>37342</v>
      </c>
      <c r="B29654" s="4" t="s">
        <v>37343</v>
      </c>
      <c r="C29654" s="5" t="str">
        <f>IFERROR(__xludf.DUMMYFUNCTION("GOOGLETRANSLATE(B29654,""en"",""es-ES"")"),"Un hombre está en un montículo, girando un disco en círculos.")</f>
        <v>Un hombre está en un montículo, girando un disco en círculos.</v>
      </c>
    </row>
    <row r="29655">
      <c r="A29655" s="4" t="s">
        <v>37342</v>
      </c>
      <c r="B29655" s="4" t="s">
        <v>37344</v>
      </c>
      <c r="C29655" s="5" t="str">
        <f>IFERROR(__xludf.DUMMYFUNCTION("GOOGLETRANSLATE(B29655,""en"",""es-ES"")"),"Él suelta el disco y lo ve volar.")</f>
        <v>Él suelta el disco y lo ve volar.</v>
      </c>
    </row>
    <row r="29656">
      <c r="A29656" s="4" t="s">
        <v>37342</v>
      </c>
      <c r="B29656" s="4" t="s">
        <v>37345</v>
      </c>
      <c r="C29656" s="5" t="str">
        <f>IFERROR(__xludf.DUMMYFUNCTION("GOOGLETRANSLATE(B29656,""en"",""es-ES"")"),"Se muestra una línea de discos ante un grupo de personas en el campo, eligiendo su propio disco.")</f>
        <v>Se muestra una línea de discos ante un grupo de personas en el campo, eligiendo su propio disco.</v>
      </c>
    </row>
    <row r="29657">
      <c r="A29657" s="4" t="s">
        <v>37342</v>
      </c>
      <c r="B29657" s="4" t="s">
        <v>37346</v>
      </c>
      <c r="C29657" s="5" t="str">
        <f>IFERROR(__xludf.DUMMYFUNCTION("GOOGLETRANSLATE(B29657,""en"",""es-ES"")"),"Se muestra a las personas, una a la vez, arrojando los discos.")</f>
        <v>Se muestra a las personas, una a la vez, arrojando los discos.</v>
      </c>
    </row>
    <row r="29658">
      <c r="A29658" s="4" t="s">
        <v>37342</v>
      </c>
      <c r="B29658" s="4" t="s">
        <v>37347</v>
      </c>
      <c r="C29658" s="5" t="str">
        <f>IFERROR(__xludf.DUMMYFUNCTION("GOOGLETRANSLATE(B29658,""en"",""es-ES"")"),"El ganador se encuentra con su trofeo, estrechando manos de personas que caminan hacia él.")</f>
        <v>El ganador se encuentra con su trofeo, estrechando manos de personas que caminan hacia él.</v>
      </c>
    </row>
    <row r="29659">
      <c r="A29659" s="4" t="s">
        <v>37348</v>
      </c>
      <c r="B29659" s="4" t="s">
        <v>37349</v>
      </c>
      <c r="C29659" s="5" t="str">
        <f>IFERROR(__xludf.DUMMYFUNCTION("GOOGLETRANSLATE(B29659,""en"",""es-ES"")"),"Se muestran varios clips de personas tocando lacrosse seguido de un hombre que sostiene el palo y hablando con la cámara.")</f>
        <v>Se muestran varios clips de personas tocando lacrosse seguido de un hombre que sostiene el palo y hablando con la cámara.</v>
      </c>
    </row>
    <row r="29660">
      <c r="A29660" s="4" t="s">
        <v>37348</v>
      </c>
      <c r="B29660" s="4" t="s">
        <v>37350</v>
      </c>
      <c r="C29660" s="5" t="str">
        <f>IFERROR(__xludf.DUMMYFUNCTION("GOOGLETRANSLATE(B29660,""en"",""es-ES"")"),"Él mueve el palo para demostrar cómo jugar correctamente.")</f>
        <v>Él mueve el palo para demostrar cómo jugar correctamente.</v>
      </c>
    </row>
    <row r="29661">
      <c r="A29661" s="4" t="s">
        <v>37351</v>
      </c>
      <c r="B29661" s="4" t="s">
        <v>37352</v>
      </c>
      <c r="C29661" s="5" t="str">
        <f>IFERROR(__xludf.DUMMYFUNCTION("GOOGLETRANSLATE(B29661,""en"",""es-ES"")"),"Una niña patea una gran pelota rosa a su madre, quien la atrapa y la retira.")</f>
        <v>Una niña patea una gran pelota rosa a su madre, quien la atrapa y la retira.</v>
      </c>
    </row>
    <row r="29662">
      <c r="A29662" s="4" t="s">
        <v>37351</v>
      </c>
      <c r="B29662" s="4" t="s">
        <v>37353</v>
      </c>
      <c r="C29662" s="5" t="str">
        <f>IFERROR(__xludf.DUMMYFUNCTION("GOOGLETRANSLATE(B29662,""en"",""es-ES"")"),"Continúan pateando y lanzándose la pelota el uno al otro, y un hombre se une.")</f>
        <v>Continúan pateando y lanzándose la pelota el uno al otro, y un hombre se une.</v>
      </c>
    </row>
    <row r="29663">
      <c r="A29663" s="4" t="s">
        <v>37351</v>
      </c>
      <c r="B29663" s="4" t="s">
        <v>37354</v>
      </c>
      <c r="C29663" s="5" t="str">
        <f>IFERROR(__xludf.DUMMYFUNCTION("GOOGLETRANSLATE(B29663,""en"",""es-ES"")"),"La niña persigue la pelota, trayéndola.")</f>
        <v>La niña persigue la pelota, trayéndola.</v>
      </c>
    </row>
    <row r="29664">
      <c r="A29664" s="4" t="s">
        <v>37355</v>
      </c>
      <c r="B29664" s="4" t="s">
        <v>37356</v>
      </c>
      <c r="C29664" s="5" t="str">
        <f>IFERROR(__xludf.DUMMYFUNCTION("GOOGLETRANSLATE(B29664,""en"",""es-ES"")"),"Una gimnasta femenina salta a una viga de equilibrio y hace muchos trucos y voltea y aterriza de pie.")</f>
        <v>Una gimnasta femenina salta a una viga de equilibrio y hace muchos trucos y voltea y aterriza de pie.</v>
      </c>
    </row>
    <row r="29665">
      <c r="A29665" s="4" t="s">
        <v>37355</v>
      </c>
      <c r="B29665" s="4" t="s">
        <v>37357</v>
      </c>
      <c r="C29665" s="5" t="str">
        <f>IFERROR(__xludf.DUMMYFUNCTION("GOOGLETRANSLATE(B29665,""en"",""es-ES"")"),"La gimnasta hace dos bonitas volteas hacia atrás mientras mantiene su equilibrio y aterriza prefecto en sus pies.")</f>
        <v>La gimnasta hace dos bonitas volteas hacia atrás mientras mantiene su equilibrio y aterriza prefecto en sus pies.</v>
      </c>
    </row>
    <row r="29666">
      <c r="A29666" s="4" t="s">
        <v>37355</v>
      </c>
      <c r="B29666" s="4" t="s">
        <v>37358</v>
      </c>
      <c r="C29666" s="5" t="str">
        <f>IFERROR(__xludf.DUMMYFUNCTION("GOOGLETRANSLATE(B29666,""en"",""es-ES"")"),"Finalmente, la gimnasta femenina termina con un alto dos veces del rayo de equilibrio en el aire y aterriza en el prefecto de la colchoneta.")</f>
        <v>Finalmente, la gimnasta femenina termina con un alto dos veces del rayo de equilibrio en el aire y aterriza en el prefecto de la colchoneta.</v>
      </c>
    </row>
    <row r="29667">
      <c r="A29667" s="4" t="s">
        <v>37359</v>
      </c>
      <c r="B29667" s="4" t="s">
        <v>37360</v>
      </c>
      <c r="C29667" s="5" t="str">
        <f>IFERROR(__xludf.DUMMYFUNCTION("GOOGLETRANSLATE(B29667,""en"",""es-ES"")"),"Una introducción aparece de una persona parada frente a los objetos en un mostrador, luego aparece una pantalla blanca con una imagen de un búho y las palabras en la pantalla que incluyen un sitio web y las palabras grises ""Samurai Pro Knife Skining"".")</f>
        <v>Una introducción aparece de una persona parada frente a los objetos en un mostrador, luego aparece una pantalla blanca con una imagen de un búho y las palabras en la pantalla que incluyen un sitio web y las palabras grises "Samurai Pro Knife Skining".</v>
      </c>
    </row>
    <row r="29668">
      <c r="A29668" s="4" t="s">
        <v>37359</v>
      </c>
      <c r="B29668" s="4" t="s">
        <v>37361</v>
      </c>
      <c r="C29668" s="5" t="str">
        <f>IFERROR(__xludf.DUMMYFUNCTION("GOOGLETRANSLATE(B29668,""en"",""es-ES"")"),"Luego, el hombre recoge los dos cuchillos cerca de su tabla de cortar y demuestra cómo cada uno corta un trozo de cebolla verde de la tabla de cortar, luego sujeta el afilador en el mostrador, pasa su cuchillo a través del afilador varias veces y luego vu"&amp;"elve a mostrar Cómo corta la cebolla verde y cómo se ven las cuchillas.")</f>
        <v>Luego, el hombre recoge los dos cuchillos cerca de su tabla de cortar y demuestra cómo cada uno corta un trozo de cebolla verde de la tabla de cortar, luego sujeta el afilador en el mostrador, pasa su cuchillo a través del afilador varias veces y luego vuelve a mostrar Cómo corta la cebolla verde y cómo se ven las cuchillas.</v>
      </c>
    </row>
    <row r="29669">
      <c r="A29669" s="4" t="s">
        <v>37359</v>
      </c>
      <c r="B29669" s="4" t="s">
        <v>37362</v>
      </c>
      <c r="C29669" s="5" t="str">
        <f>IFERROR(__xludf.DUMMYFUNCTION("GOOGLETRANSLATE(B29669,""en"",""es-ES"")"),"El hombre se toca, sostiene y muestra a la cámara un aspecto más cercano del afilador.")</f>
        <v>El hombre se toca, sostiene y muestra a la cámara un aspecto más cercano del afilador.</v>
      </c>
    </row>
    <row r="29670">
      <c r="A29670" s="4" t="s">
        <v>37359</v>
      </c>
      <c r="B29670" s="4" t="s">
        <v>37363</v>
      </c>
      <c r="C29670" s="5" t="str">
        <f>IFERROR(__xludf.DUMMYFUNCTION("GOOGLETRANSLATE(B29670,""en"",""es-ES"")"),"El outro es una persona que dibuja el búho y el sitio web en una gran hoja de papel con marcadores, da un pulgar hacia arriba cuando están terminados, luego la pantalla va a una pantalla blanca digital del mismo búho que acaba de dibujar y el sitio web Po"&amp;"r debajo de eso.")</f>
        <v>El outro es una persona que dibuja el búho y el sitio web en una gran hoja de papel con marcadores, da un pulgar hacia arriba cuando están terminados, luego la pantalla va a una pantalla blanca digital del mismo búho que acaba de dibujar y el sitio web Por debajo de eso.</v>
      </c>
    </row>
    <row r="29671">
      <c r="A29671" s="4" t="s">
        <v>37364</v>
      </c>
      <c r="B29671" s="4" t="s">
        <v>37365</v>
      </c>
      <c r="C29671" s="5" t="str">
        <f>IFERROR(__xludf.DUMMYFUNCTION("GOOGLETRANSLATE(B29671,""en"",""es-ES"")"),"Las mujeres sostienen una pelota y giran antes de tirarla al campo.")</f>
        <v>Las mujeres sostienen una pelota y giran antes de tirarla al campo.</v>
      </c>
    </row>
    <row r="29672">
      <c r="A29672" s="4" t="s">
        <v>37364</v>
      </c>
      <c r="B29672" s="4" t="s">
        <v>37366</v>
      </c>
      <c r="C29672" s="5" t="str">
        <f>IFERROR(__xludf.DUMMYFUNCTION("GOOGLETRANSLATE(B29672,""en"",""es-ES"")"),"Un hombre con una camisa roja está sosteniendo una escoba.")</f>
        <v>Un hombre con una camisa roja está sosteniendo una escoba.</v>
      </c>
    </row>
    <row r="29673">
      <c r="A29673" s="4" t="s">
        <v>37364</v>
      </c>
      <c r="B29673" s="4" t="s">
        <v>37367</v>
      </c>
      <c r="C29673" s="5" t="str">
        <f>IFERROR(__xludf.DUMMYFUNCTION("GOOGLETRANSLATE(B29673,""en"",""es-ES"")"),"La gente los está viendo lanzar las bolas.")</f>
        <v>La gente los está viendo lanzar las bolas.</v>
      </c>
    </row>
    <row r="29674">
      <c r="A29674" s="4" t="s">
        <v>37368</v>
      </c>
      <c r="B29674" s="4" t="s">
        <v>37369</v>
      </c>
      <c r="C29674" s="5" t="str">
        <f>IFERROR(__xludf.DUMMYFUNCTION("GOOGLETRANSLATE(B29674,""en"",""es-ES"")"),"Se muestran varias imágenes de un boliche de un hombre calvo y luego aparece y lanza una bola de curva.")</f>
        <v>Se muestran varias imágenes de un boliche de un hombre calvo y luego aparece y lanza una bola de curva.</v>
      </c>
    </row>
    <row r="29675">
      <c r="A29675" s="4" t="s">
        <v>37368</v>
      </c>
      <c r="B29675" s="4" t="s">
        <v>37370</v>
      </c>
      <c r="C29675" s="5" t="str">
        <f>IFERROR(__xludf.DUMMYFUNCTION("GOOGLETRANSLATE(B29675,""en"",""es-ES"")"),"Se muestran varios videos de diferentes ubicaciones de la bola de curva y la pelota casi va a la canaleta, pero se curva a unos dos o tres pies de los pasadores de bolos.")</f>
        <v>Se muestran varios videos de diferentes ubicaciones de la bola de curva y la pelota casi va a la canaleta, pero se curva a unos dos o tres pies de los pasadores de bolos.</v>
      </c>
    </row>
    <row r="29676">
      <c r="A29676" s="4" t="s">
        <v>37371</v>
      </c>
      <c r="B29676" s="4" t="s">
        <v>37372</v>
      </c>
      <c r="C29676" s="5" t="str">
        <f>IFERROR(__xludf.DUMMYFUNCTION("GOOGLETRANSLATE(B29676,""en"",""es-ES"")"),"Un hombre se lanza varias veces por un carril.")</f>
        <v>Un hombre se lanza varias veces por un carril.</v>
      </c>
    </row>
    <row r="29677">
      <c r="A29677" s="4" t="s">
        <v>37371</v>
      </c>
      <c r="B29677" s="4" t="s">
        <v>37373</v>
      </c>
      <c r="C29677" s="5" t="str">
        <f>IFERROR(__xludf.DUMMYFUNCTION("GOOGLETRANSLATE(B29677,""en"",""es-ES"")"),"Se muestra la pantalla del tablero de puntuación.")</f>
        <v>Se muestra la pantalla del tablero de puntuación.</v>
      </c>
    </row>
    <row r="29678">
      <c r="A29678" s="4" t="s">
        <v>37374</v>
      </c>
      <c r="B29678" s="4" t="s">
        <v>37375</v>
      </c>
      <c r="C29678" s="5" t="str">
        <f>IFERROR(__xludf.DUMMYFUNCTION("GOOGLETRANSLATE(B29678,""en"",""es-ES"")"),"Se ve un primer plano de un perro que procede a huir hacia otro perro.")</f>
        <v>Se ve un primer plano de un perro que procede a huir hacia otro perro.</v>
      </c>
    </row>
    <row r="29679">
      <c r="A29679" s="4" t="s">
        <v>37374</v>
      </c>
      <c r="B29679" s="4" t="s">
        <v>37376</v>
      </c>
      <c r="C29679" s="5" t="str">
        <f>IFERROR(__xludf.DUMMYFUNCTION("GOOGLETRANSLATE(B29679,""en"",""es-ES"")"),"El perro grande luego lleva al perro pequeño sobre una correa.")</f>
        <v>El perro grande luego lleva al perro pequeño sobre una correa.</v>
      </c>
    </row>
    <row r="29680">
      <c r="A29680" s="4" t="s">
        <v>37377</v>
      </c>
      <c r="B29680" s="4" t="s">
        <v>37378</v>
      </c>
      <c r="C29680" s="5" t="str">
        <f>IFERROR(__xludf.DUMMYFUNCTION("GOOGLETRANSLATE(B29680,""en"",""es-ES"")"),"Este es un video tutorial sobre la obtención de trenzas.")</f>
        <v>Este es un video tutorial sobre la obtención de trenzas.</v>
      </c>
    </row>
    <row r="29681">
      <c r="A29681" s="4" t="s">
        <v>37377</v>
      </c>
      <c r="B29681" s="4" t="s">
        <v>37379</v>
      </c>
      <c r="C29681" s="5" t="str">
        <f>IFERROR(__xludf.DUMMYFUNCTION("GOOGLETRANSLATE(B29681,""en"",""es-ES"")"),"Una pantalla aparece con varios sitios web y direcciones de redes sociales.")</f>
        <v>Una pantalla aparece con varios sitios web y direcciones de redes sociales.</v>
      </c>
    </row>
    <row r="29682">
      <c r="A29682" s="4" t="s">
        <v>37377</v>
      </c>
      <c r="B29682" s="4" t="s">
        <v>37380</v>
      </c>
      <c r="C29682" s="5" t="str">
        <f>IFERROR(__xludf.DUMMYFUNCTION("GOOGLETRANSLATE(B29682,""en"",""es-ES"")"),"Hay imágenes de los procesos para hacer que las trenzas se muestren en una chica con una chaqueta rosa.")</f>
        <v>Hay imágenes de los procesos para hacer que las trenzas se muestren en una chica con una chaqueta rosa.</v>
      </c>
    </row>
    <row r="29683">
      <c r="A29683" s="4" t="s">
        <v>37377</v>
      </c>
      <c r="B29683" s="4" t="s">
        <v>37381</v>
      </c>
      <c r="C29683" s="5" t="str">
        <f>IFERROR(__xludf.DUMMYFUNCTION("GOOGLETRANSLATE(B29683,""en"",""es-ES"")"),"Luego, un video muestra cómo el proceso se ve en el tiempo real usando un peine y la técnica de separar las trenzas mientras una mujer trenza el cabello a mano.")</f>
        <v>Luego, un video muestra cómo el proceso se ve en el tiempo real usando un peine y la técnica de separar las trenzas mientras una mujer trenza el cabello a mano.</v>
      </c>
    </row>
    <row r="29684">
      <c r="A29684" s="4" t="s">
        <v>37377</v>
      </c>
      <c r="B29684" s="4" t="s">
        <v>37382</v>
      </c>
      <c r="C29684" s="5" t="str">
        <f>IFERROR(__xludf.DUMMYFUNCTION("GOOGLETRANSLATE(B29684,""en"",""es-ES"")"),"Luego hay una vista frontal de la niña en rosa mientras la mujer detrás de ella termina el proceso de trenzado en la parte delantera de su cabeza.")</f>
        <v>Luego hay una vista frontal de la niña en rosa mientras la mujer detrás de ella termina el proceso de trenzado en la parte delantera de su cabeza.</v>
      </c>
    </row>
    <row r="29685">
      <c r="A29685" s="4" t="s">
        <v>37377</v>
      </c>
      <c r="B29685" s="4" t="s">
        <v>37383</v>
      </c>
      <c r="C29685" s="5" t="str">
        <f>IFERROR(__xludf.DUMMYFUNCTION("GOOGLETRANSLATE(B29685,""en"",""es-ES"")"),"Hay texto de pantalla que menciona cómo se ve el cabello seis horas después.")</f>
        <v>Hay texto de pantalla que menciona cómo se ve el cabello seis horas después.</v>
      </c>
    </row>
    <row r="29686">
      <c r="A29686" s="4" t="s">
        <v>37377</v>
      </c>
      <c r="B29686" s="4" t="s">
        <v>37384</v>
      </c>
      <c r="C29686" s="5" t="str">
        <f>IFERROR(__xludf.DUMMYFUNCTION("GOOGLETRANSLATE(B29686,""en"",""es-ES"")"),"Luego todavía hay tomas de los resultados de su cabello trenzado.")</f>
        <v>Luego todavía hay tomas de los resultados de su cabello trenzado.</v>
      </c>
    </row>
    <row r="29687">
      <c r="A29687" s="4" t="s">
        <v>37385</v>
      </c>
      <c r="B29687" s="4" t="s">
        <v>37386</v>
      </c>
      <c r="C29687" s="5" t="str">
        <f>IFERROR(__xludf.DUMMYFUNCTION("GOOGLETRANSLATE(B29687,""en"",""es-ES"")"),"Una cascada aparece en la pantalla al lado de un río con el título ""H20 Adventures SaveGre River"" superpuesto.")</f>
        <v>Una cascada aparece en la pantalla al lado de un río con el título "H20 Adventures SaveGre River" superpuesto.</v>
      </c>
    </row>
    <row r="29688">
      <c r="A29688" s="4" t="s">
        <v>37385</v>
      </c>
      <c r="B29688" s="4" t="s">
        <v>37387</v>
      </c>
      <c r="C29688" s="5" t="str">
        <f>IFERROR(__xludf.DUMMYFUNCTION("GOOGLETRANSLATE(B29688,""en"",""es-ES"")"),"Un grupo de personas camina por un puente de caminata de suspensión roja sobre el río.")</f>
        <v>Un grupo de personas camina por un puente de caminata de suspensión roja sobre el río.</v>
      </c>
    </row>
    <row r="29689">
      <c r="A29689" s="4" t="s">
        <v>37385</v>
      </c>
      <c r="B29689" s="4" t="s">
        <v>37388</v>
      </c>
      <c r="C29689" s="5" t="str">
        <f>IFERROR(__xludf.DUMMYFUNCTION("GOOGLETRANSLATE(B29689,""en"",""es-ES"")"),"Un grupo de personas que usan chalecos salvavidas y sosteniendo remeros escuchan instrucciones.")</f>
        <v>Un grupo de personas que usan chalecos salvavidas y sosteniendo remeros escuchan instrucciones.</v>
      </c>
    </row>
    <row r="29690">
      <c r="A29690" s="4" t="s">
        <v>37385</v>
      </c>
      <c r="B29690" s="4" t="s">
        <v>37389</v>
      </c>
      <c r="C29690" s="5" t="str">
        <f>IFERROR(__xludf.DUMMYFUNCTION("GOOGLETRANSLATE(B29690,""en"",""es-ES"")"),"Grupos de personas reman balsas inflables por el río rápido actual.")</f>
        <v>Grupos de personas reman balsas inflables por el río rápido actual.</v>
      </c>
    </row>
    <row r="29691">
      <c r="A29691" s="4" t="s">
        <v>37385</v>
      </c>
      <c r="B29691" s="4" t="s">
        <v>37390</v>
      </c>
      <c r="C29691" s="5" t="str">
        <f>IFERROR(__xludf.DUMMYFUNCTION("GOOGLETRANSLATE(B29691,""en"",""es-ES"")"),"La gente se encuentra en la costa hablando y bebiendo bebidas.")</f>
        <v>La gente se encuentra en la costa hablando y bebiendo bebidas.</v>
      </c>
    </row>
    <row r="29692">
      <c r="A29692" s="4" t="s">
        <v>37385</v>
      </c>
      <c r="B29692" s="4" t="s">
        <v>37391</v>
      </c>
      <c r="C29692" s="5" t="str">
        <f>IFERROR(__xludf.DUMMYFUNCTION("GOOGLETRANSLATE(B29692,""en"",""es-ES"")"),"Los créditos de video aparecen en la pantalla sobre el video de un lagarto en una roca.")</f>
        <v>Los créditos de video aparecen en la pantalla sobre el video de un lagarto en una roca.</v>
      </c>
    </row>
    <row r="29693">
      <c r="A29693" s="4" t="s">
        <v>37385</v>
      </c>
      <c r="B29693" s="4" t="s">
        <v>37392</v>
      </c>
      <c r="C29693" s="5" t="str">
        <f>IFERROR(__xludf.DUMMYFUNCTION("GOOGLETRANSLATE(B29693,""en"",""es-ES"")"),"La pantalla se vuelve completamente negra después de que terminan los créditos.")</f>
        <v>La pantalla se vuelve completamente negra después de que terminan los créditos.</v>
      </c>
    </row>
    <row r="29694">
      <c r="A29694" s="4" t="s">
        <v>37393</v>
      </c>
      <c r="B29694" s="4" t="s">
        <v>37394</v>
      </c>
      <c r="C29694" s="5" t="str">
        <f>IFERROR(__xludf.DUMMYFUNCTION("GOOGLETRANSLATE(B29694,""en"",""es-ES"")"),"Un par de hombres están en una cancha de tenis interior.")</f>
        <v>Un par de hombres están en una cancha de tenis interior.</v>
      </c>
    </row>
    <row r="29695">
      <c r="A29695" s="4" t="s">
        <v>37393</v>
      </c>
      <c r="B29695" s="4" t="s">
        <v>37395</v>
      </c>
      <c r="C29695" s="5" t="str">
        <f>IFERROR(__xludf.DUMMYFUNCTION("GOOGLETRANSLATE(B29695,""en"",""es-ES"")"),"Lanzan la pelota de un lado a otro por la red.")</f>
        <v>Lanzan la pelota de un lado a otro por la red.</v>
      </c>
    </row>
    <row r="29696">
      <c r="A29696" s="4" t="s">
        <v>37393</v>
      </c>
      <c r="B29696" s="4" t="s">
        <v>37396</v>
      </c>
      <c r="C29696" s="5" t="str">
        <f>IFERROR(__xludf.DUMMYFUNCTION("GOOGLETRANSLATE(B29696,""en"",""es-ES"")"),"Se golpearon la pelota entre sí.")</f>
        <v>Se golpearon la pelota entre sí.</v>
      </c>
    </row>
    <row r="29697">
      <c r="A29697" s="4" t="s">
        <v>37397</v>
      </c>
      <c r="B29697" s="4" t="s">
        <v>37398</v>
      </c>
      <c r="C29697" s="5" t="str">
        <f>IFERROR(__xludf.DUMMYFUNCTION("GOOGLETRANSLATE(B29697,""en"",""es-ES"")"),"Alternativamente, dos hombres bailan en la calle mientras pasan el tráfico peatonal y por carretera.")</f>
        <v>Alternativamente, dos hombres bailan en la calle mientras pasan el tráfico peatonal y por carretera.</v>
      </c>
    </row>
    <row r="29698">
      <c r="A29698" s="4" t="s">
        <v>37397</v>
      </c>
      <c r="B29698" s="4" t="s">
        <v>37399</v>
      </c>
      <c r="C29698" s="5" t="str">
        <f>IFERROR(__xludf.DUMMYFUNCTION("GOOGLETRANSLATE(B29698,""en"",""es-ES"")"),"Dos mujeres se detienen para ver a los bailarines.")</f>
        <v>Dos mujeres se detienen para ver a los bailarines.</v>
      </c>
    </row>
    <row r="29699">
      <c r="A29699" s="4" t="s">
        <v>37397</v>
      </c>
      <c r="B29699" s="4" t="s">
        <v>37400</v>
      </c>
      <c r="C29699" s="5" t="str">
        <f>IFERROR(__xludf.DUMMYFUNCTION("GOOGLETRANSLATE(B29699,""en"",""es-ES"")"),"Un hombre y una mujer se detienen para ver a los bailarines.")</f>
        <v>Un hombre y una mujer se detienen para ver a los bailarines.</v>
      </c>
    </row>
    <row r="29700">
      <c r="A29700" s="4" t="s">
        <v>37401</v>
      </c>
      <c r="B29700" s="4" t="s">
        <v>37402</v>
      </c>
      <c r="C29700" s="5" t="str">
        <f>IFERROR(__xludf.DUMMYFUNCTION("GOOGLETRANSLATE(B29700,""en"",""es-ES"")"),"Un niño está dentro de una red al aire libre.")</f>
        <v>Un niño está dentro de una red al aire libre.</v>
      </c>
    </row>
    <row r="29701">
      <c r="A29701" s="4" t="s">
        <v>37401</v>
      </c>
      <c r="B29701" s="4" t="s">
        <v>37403</v>
      </c>
      <c r="C29701" s="5" t="str">
        <f>IFERROR(__xludf.DUMMYFUNCTION("GOOGLETRANSLATE(B29701,""en"",""es-ES"")"),"Él balancea una pelota en una cuerda muy rápidamente.")</f>
        <v>Él balancea una pelota en una cuerda muy rápidamente.</v>
      </c>
    </row>
    <row r="29702">
      <c r="A29702" s="4" t="s">
        <v>37401</v>
      </c>
      <c r="B29702" s="4" t="s">
        <v>37404</v>
      </c>
      <c r="C29702" s="5" t="str">
        <f>IFERROR(__xludf.DUMMYFUNCTION("GOOGLETRANSLATE(B29702,""en"",""es-ES"")"),"Lo deja ir y observa mientras vuela por el campo.")</f>
        <v>Lo deja ir y observa mientras vuela por el campo.</v>
      </c>
    </row>
    <row r="29703">
      <c r="A29703" s="4" t="s">
        <v>37405</v>
      </c>
      <c r="B29703" s="4" t="s">
        <v>37406</v>
      </c>
      <c r="C29703" s="5" t="str">
        <f>IFERROR(__xludf.DUMMYFUNCTION("GOOGLETRANSLATE(B29703,""en"",""es-ES"")"),"Un niño bailando en el frente de un libro con créditos describiendo.")</f>
        <v>Un niño bailando en el frente de un libro con créditos describiendo.</v>
      </c>
    </row>
    <row r="29704">
      <c r="A29704" s="4" t="s">
        <v>37405</v>
      </c>
      <c r="B29704" s="4" t="s">
        <v>37407</v>
      </c>
      <c r="C29704" s="5" t="str">
        <f>IFERROR(__xludf.DUMMYFUNCTION("GOOGLETRANSLATE(B29704,""en"",""es-ES"")"),"El niño está sentado en una habitación vacía hablando de sus movimientos de baile.")</f>
        <v>El niño está sentado en una habitación vacía hablando de sus movimientos de baile.</v>
      </c>
    </row>
    <row r="29705">
      <c r="A29705" s="4" t="s">
        <v>37405</v>
      </c>
      <c r="B29705" s="4" t="s">
        <v>37408</v>
      </c>
      <c r="C29705" s="5" t="str">
        <f>IFERROR(__xludf.DUMMYFUNCTION("GOOGLETRANSLATE(B29705,""en"",""es-ES"")"),"El niño está de pie en la habitación mostrando un movimiento que comienza con patear el pie izquierdo mientras gira lentamente y muestra el resto del movimiento de baile actual.")</f>
        <v>El niño está de pie en la habitación mostrando un movimiento que comienza con patear el pie izquierdo mientras gira lentamente y muestra el resto del movimiento de baile actual.</v>
      </c>
    </row>
    <row r="29706">
      <c r="A29706" s="4" t="s">
        <v>37405</v>
      </c>
      <c r="B29706" s="4" t="s">
        <v>37409</v>
      </c>
      <c r="C29706" s="5" t="str">
        <f>IFERROR(__xludf.DUMMYFUNCTION("GOOGLETRANSLATE(B29706,""en"",""es-ES"")"),"Luego, el niño comienza con el mismo movimiento pero se mueve más rápido.")</f>
        <v>Luego, el niño comienza con el mismo movimiento pero se mueve más rápido.</v>
      </c>
    </row>
    <row r="29707">
      <c r="A29707" s="4" t="s">
        <v>37405</v>
      </c>
      <c r="B29707" s="4" t="s">
        <v>37410</v>
      </c>
      <c r="C29707" s="5" t="str">
        <f>IFERROR(__xludf.DUMMYFUNCTION("GOOGLETRANSLATE(B29707,""en"",""es-ES"")"),"Las instrucciones para practicar se muestran mientras el niño está bailando en la habitación casi vacía.")</f>
        <v>Las instrucciones para practicar se muestran mientras el niño está bailando en la habitación casi vacía.</v>
      </c>
    </row>
    <row r="29708">
      <c r="A29708" s="4" t="s">
        <v>37411</v>
      </c>
      <c r="B29708" s="4" t="s">
        <v>17353</v>
      </c>
      <c r="C29708" s="5" t="str">
        <f>IFERROR(__xludf.DUMMYFUNCTION("GOOGLETRANSLATE(B29708,""en"",""es-ES"")"),"La gente está flotando por un río en tubos.")</f>
        <v>La gente está flotando por un río en tubos.</v>
      </c>
    </row>
    <row r="29709">
      <c r="A29709" s="4" t="s">
        <v>37411</v>
      </c>
      <c r="B29709" s="4" t="s">
        <v>37412</v>
      </c>
      <c r="C29709" s="5" t="str">
        <f>IFERROR(__xludf.DUMMYFUNCTION("GOOGLETRANSLATE(B29709,""en"",""es-ES"")"),"Los árboles se muestran sobre el agua.")</f>
        <v>Los árboles se muestran sobre el agua.</v>
      </c>
    </row>
    <row r="29710">
      <c r="A29710" s="4" t="s">
        <v>37411</v>
      </c>
      <c r="B29710" s="4" t="s">
        <v>37413</v>
      </c>
      <c r="C29710" s="5" t="str">
        <f>IFERROR(__xludf.DUMMYFUNCTION("GOOGLETRANSLATE(B29710,""en"",""es-ES"")"),"Un hombre pone sus manos detrás de su cabeza.")</f>
        <v>Un hombre pone sus manos detrás de su cabeza.</v>
      </c>
    </row>
    <row r="29711">
      <c r="A29711" s="4" t="s">
        <v>37414</v>
      </c>
      <c r="B29711" s="4" t="s">
        <v>37415</v>
      </c>
      <c r="C29711" s="5" t="str">
        <f>IFERROR(__xludf.DUMMYFUNCTION("GOOGLETRANSLATE(B29711,""en"",""es-ES"")"),"Los niños monta autos para el parachoques en un carnaval.")</f>
        <v>Los niños monta autos para el parachoques en un carnaval.</v>
      </c>
    </row>
    <row r="29712">
      <c r="A29712" s="4" t="s">
        <v>37414</v>
      </c>
      <c r="B29712" s="4" t="s">
        <v>37416</v>
      </c>
      <c r="C29712" s="5" t="str">
        <f>IFERROR(__xludf.DUMMYFUNCTION("GOOGLETRANSLATE(B29712,""en"",""es-ES"")"),"Los niños se atascan en el centro, pero liberan y conducen.")</f>
        <v>Los niños se atascan en el centro, pero liberan y conducen.</v>
      </c>
    </row>
    <row r="29713">
      <c r="A29713" s="4" t="s">
        <v>37414</v>
      </c>
      <c r="B29713" s="4" t="s">
        <v>37417</v>
      </c>
      <c r="C29713" s="5" t="str">
        <f>IFERROR(__xludf.DUMMYFUNCTION("GOOGLETRANSLATE(B29713,""en"",""es-ES"")"),"Una mujer empuja un cochecito en la calle.")</f>
        <v>Una mujer empuja un cochecito en la calle.</v>
      </c>
    </row>
    <row r="29714">
      <c r="A29714" s="4" t="s">
        <v>37414</v>
      </c>
      <c r="B29714" s="4" t="s">
        <v>37418</v>
      </c>
      <c r="C29714" s="5" t="str">
        <f>IFERROR(__xludf.DUMMYFUNCTION("GOOGLETRANSLATE(B29714,""en"",""es-ES"")"),"Los niños golpearon los autos y viajan.")</f>
        <v>Los niños golpearon los autos y viajan.</v>
      </c>
    </row>
    <row r="29715">
      <c r="A29715" s="4" t="s">
        <v>37414</v>
      </c>
      <c r="B29715" s="4" t="s">
        <v>37419</v>
      </c>
      <c r="C29715" s="5" t="str">
        <f>IFERROR(__xludf.DUMMYFUNCTION("GOOGLETRANSLATE(B29715,""en"",""es-ES"")"),"Los niños se bajan del parachoques y caminan hasta la salida.")</f>
        <v>Los niños se bajan del parachoques y caminan hasta la salida.</v>
      </c>
    </row>
    <row r="29716">
      <c r="A29716" s="4" t="s">
        <v>37420</v>
      </c>
      <c r="B29716" s="4" t="s">
        <v>37421</v>
      </c>
      <c r="C29716" s="5" t="str">
        <f>IFERROR(__xludf.DUMMYFUNCTION("GOOGLETRANSLATE(B29716,""en"",""es-ES"")"),"Una persona desliza una pelota pesada en el piso mientras sostiene un cepillo en su mano izquierda.")</f>
        <v>Una persona desliza una pelota pesada en el piso mientras sostiene un cepillo en su mano izquierda.</v>
      </c>
    </row>
    <row r="29717">
      <c r="A29717" s="4" t="s">
        <v>37420</v>
      </c>
      <c r="B29717" s="4" t="s">
        <v>37422</v>
      </c>
      <c r="C29717" s="5" t="str">
        <f>IFERROR(__xludf.DUMMYFUNCTION("GOOGLETRANSLATE(B29717,""en"",""es-ES"")"),"Luego, dos hombres cepillan el piso en el frente de la pelota pesada sin tocarla.")</f>
        <v>Luego, dos hombres cepillan el piso en el frente de la pelota pesada sin tocarla.</v>
      </c>
    </row>
    <row r="29718">
      <c r="A29718" s="4" t="s">
        <v>37420</v>
      </c>
      <c r="B29718" s="4" t="s">
        <v>37423</v>
      </c>
      <c r="C29718" s="5" t="str">
        <f>IFERROR(__xludf.DUMMYFUNCTION("GOOGLETRANSLATE(B29718,""en"",""es-ES"")"),"La gente juega detrás de la persona.")</f>
        <v>La gente juega detrás de la persona.</v>
      </c>
    </row>
    <row r="29719">
      <c r="A29719" s="4" t="s">
        <v>37420</v>
      </c>
      <c r="B29719" s="4" t="s">
        <v>37424</v>
      </c>
      <c r="C29719" s="5" t="str">
        <f>IFERROR(__xludf.DUMMYFUNCTION("GOOGLETRANSLATE(B29719,""en"",""es-ES"")"),"La bola amarilla llega al centro del círculo rojo.")</f>
        <v>La bola amarilla llega al centro del círculo rojo.</v>
      </c>
    </row>
    <row r="29720">
      <c r="A29720" s="4" t="s">
        <v>37425</v>
      </c>
      <c r="B29720" s="4" t="s">
        <v>37426</v>
      </c>
      <c r="C29720" s="5" t="str">
        <f>IFERROR(__xludf.DUMMYFUNCTION("GOOGLETRANSLATE(B29720,""en"",""es-ES"")"),"Un hombre lleva un sombrero rojo y gafas de sol.")</f>
        <v>Un hombre lleva un sombrero rojo y gafas de sol.</v>
      </c>
    </row>
    <row r="29721">
      <c r="A29721" s="4" t="s">
        <v>37425</v>
      </c>
      <c r="B29721" s="4" t="s">
        <v>37427</v>
      </c>
      <c r="C29721" s="5" t="str">
        <f>IFERROR(__xludf.DUMMYFUNCTION("GOOGLETRANSLATE(B29721,""en"",""es-ES"")"),"Lanza un dardo frente a él.")</f>
        <v>Lanza un dardo frente a él.</v>
      </c>
    </row>
    <row r="29722">
      <c r="A29722" s="4" t="s">
        <v>37425</v>
      </c>
      <c r="B29722" s="4" t="s">
        <v>37428</v>
      </c>
      <c r="C29722" s="5" t="str">
        <f>IFERROR(__xludf.DUMMYFUNCTION("GOOGLETRANSLATE(B29722,""en"",""es-ES"")"),"Él hace un ojo de toros en el tablero de dardos.")</f>
        <v>Él hace un ojo de toros en el tablero de dardos.</v>
      </c>
    </row>
    <row r="29723">
      <c r="A29723" s="4" t="s">
        <v>37429</v>
      </c>
      <c r="B29723" s="4" t="s">
        <v>37430</v>
      </c>
      <c r="C29723" s="5" t="str">
        <f>IFERROR(__xludf.DUMMYFUNCTION("GOOGLETRANSLATE(B29723,""en"",""es-ES"")"),"Una cámara brotes con vasos de limonada seguido de una persona exprimiendo el jugo de los limones.")</f>
        <v>Una cámara brotes con vasos de limonada seguido de una persona exprimiendo el jugo de los limones.</v>
      </c>
    </row>
    <row r="29724">
      <c r="A29724" s="4" t="s">
        <v>37429</v>
      </c>
      <c r="B29724" s="4" t="s">
        <v>37431</v>
      </c>
      <c r="C29724" s="5" t="str">
        <f>IFERROR(__xludf.DUMMYFUNCTION("GOOGLETRANSLATE(B29724,""en"",""es-ES"")"),"La persona mezcla varios ingredientes en un tazón y lo verta en un vaso.")</f>
        <v>La persona mezcla varios ingredientes en un tazón y lo verta en un vaso.</v>
      </c>
    </row>
    <row r="29725">
      <c r="A29725" s="4" t="s">
        <v>37429</v>
      </c>
      <c r="B29725" s="4" t="s">
        <v>37432</v>
      </c>
      <c r="C29725" s="5" t="str">
        <f>IFERROR(__xludf.DUMMYFUNCTION("GOOGLETRANSLATE(B29725,""en"",""es-ES"")"),"Se muestran varias tomas de las gafas que se vierten y se presentan a la cámara.")</f>
        <v>Se muestran varias tomas de las gafas que se vierten y se presentan a la cámara.</v>
      </c>
    </row>
    <row r="29726">
      <c r="A29726" s="4" t="s">
        <v>37433</v>
      </c>
      <c r="B29726" s="4" t="s">
        <v>37434</v>
      </c>
      <c r="C29726" s="5" t="str">
        <f>IFERROR(__xludf.DUMMYFUNCTION("GOOGLETRANSLATE(B29726,""en"",""es-ES"")"),"Un hombre se sienta en una mesa y una mujer se mueve una caja de él.")</f>
        <v>Un hombre se sienta en una mesa y una mujer se mueve una caja de él.</v>
      </c>
    </row>
    <row r="29727">
      <c r="A29727" s="4" t="s">
        <v>37433</v>
      </c>
      <c r="B29727" s="4" t="s">
        <v>37435</v>
      </c>
      <c r="C29727" s="5" t="str">
        <f>IFERROR(__xludf.DUMMYFUNCTION("GOOGLETRANSLATE(B29727,""en"",""es-ES"")"),"Él pone sus manos sobre la mesa y luego comienza a resolver un cubo de Rubix.")</f>
        <v>Él pone sus manos sobre la mesa y luego comienza a resolver un cubo de Rubix.</v>
      </c>
    </row>
    <row r="29728">
      <c r="A29728" s="4" t="s">
        <v>37433</v>
      </c>
      <c r="B29728" s="4" t="s">
        <v>37436</v>
      </c>
      <c r="C29728" s="5" t="str">
        <f>IFERROR(__xludf.DUMMYFUNCTION("GOOGLETRANSLATE(B29728,""en"",""es-ES"")"),"El temporizador continúa mientras resuelve el cubo.")</f>
        <v>El temporizador continúa mientras resuelve el cubo.</v>
      </c>
    </row>
    <row r="29729">
      <c r="A29729" s="4" t="s">
        <v>37437</v>
      </c>
      <c r="B29729" s="4" t="s">
        <v>37438</v>
      </c>
      <c r="C29729" s="5" t="str">
        <f>IFERROR(__xludf.DUMMYFUNCTION("GOOGLETRANSLATE(B29729,""en"",""es-ES"")"),"Dos hombres están parados en un barco de vela en el mar.")</f>
        <v>Dos hombres están parados en un barco de vela en el mar.</v>
      </c>
    </row>
    <row r="29730">
      <c r="A29730" s="4" t="s">
        <v>37437</v>
      </c>
      <c r="B29730" s="4" t="s">
        <v>37439</v>
      </c>
      <c r="C29730" s="5" t="str">
        <f>IFERROR(__xludf.DUMMYFUNCTION("GOOGLETRANSLATE(B29730,""en"",""es-ES"")"),"El hombre está de pie en un muelle con una camisa Red Bull y luego está en el bote de saill.")</f>
        <v>El hombre está de pie en un muelle con una camisa Red Bull y luego está en el bote de saill.</v>
      </c>
    </row>
    <row r="29731">
      <c r="A29731" s="4" t="s">
        <v>37437</v>
      </c>
      <c r="B29731" s="4" t="s">
        <v>37440</v>
      </c>
      <c r="C29731" s="5" t="str">
        <f>IFERROR(__xludf.DUMMYFUNCTION("GOOGLETRANSLATE(B29731,""en"",""es-ES"")"),"Los delfines están nadando al lado del bote.")</f>
        <v>Los delfines están nadando al lado del bote.</v>
      </c>
    </row>
    <row r="29732">
      <c r="A29732" s="4" t="s">
        <v>37437</v>
      </c>
      <c r="B29732" s="4" t="s">
        <v>37441</v>
      </c>
      <c r="C29732" s="5" t="str">
        <f>IFERROR(__xludf.DUMMYFUNCTION("GOOGLETRANSLATE(B29732,""en"",""es-ES"")"),"La gente está parada en un día soleado en un muelle.")</f>
        <v>La gente está parada en un día soleado en un muelle.</v>
      </c>
    </row>
    <row r="29733">
      <c r="A29733" s="4" t="s">
        <v>37442</v>
      </c>
      <c r="B29733" s="4" t="s">
        <v>37443</v>
      </c>
      <c r="C29733" s="5" t="str">
        <f>IFERROR(__xludf.DUMMYFUNCTION("GOOGLETRANSLATE(B29733,""en"",""es-ES"")"),"Un hombre está arrodillado sobre el hielo con otro al lado de la escondia tirando de una cuerda de un agujero.")</f>
        <v>Un hombre está arrodillado sobre el hielo con otro al lado de la escondia tirando de una cuerda de un agujero.</v>
      </c>
    </row>
    <row r="29734">
      <c r="A29734" s="4" t="s">
        <v>37442</v>
      </c>
      <c r="B29734" s="4" t="s">
        <v>37444</v>
      </c>
      <c r="C29734" s="5" t="str">
        <f>IFERROR(__xludf.DUMMYFUNCTION("GOOGLETRANSLATE(B29734,""en"",""es-ES"")"),"Continúan tirando de la cuerda mientras el hombre a su lado agarra un gancho.")</f>
        <v>Continúan tirando de la cuerda mientras el hombre a su lado agarra un gancho.</v>
      </c>
    </row>
    <row r="29735">
      <c r="A29735" s="4" t="s">
        <v>37442</v>
      </c>
      <c r="B29735" s="4" t="s">
        <v>37445</v>
      </c>
      <c r="C29735" s="5" t="str">
        <f>IFERROR(__xludf.DUMMYFUNCTION("GOOGLETRANSLATE(B29735,""en"",""es-ES"")"),"Él coloca el gancho cerca del agujero pero el hombre agarra un pez en una cuerda.")</f>
        <v>Él coloca el gancho cerca del agujero pero el hombre agarra un pez en una cuerda.</v>
      </c>
    </row>
    <row r="29736">
      <c r="A29736" s="4" t="s">
        <v>37442</v>
      </c>
      <c r="B29736" s="4" t="s">
        <v>37446</v>
      </c>
      <c r="C29736" s="5" t="str">
        <f>IFERROR(__xludf.DUMMYFUNCTION("GOOGLETRANSLATE(B29736,""en"",""es-ES"")"),"El pez se vuelve y el hombre agarra el pez y lo sostiene.")</f>
        <v>El pez se vuelve y el hombre agarra el pez y lo sostiene.</v>
      </c>
    </row>
    <row r="29737">
      <c r="A29737" s="4" t="s">
        <v>37447</v>
      </c>
      <c r="B29737" s="4" t="s">
        <v>37448</v>
      </c>
      <c r="C29737" s="5" t="str">
        <f>IFERROR(__xludf.DUMMYFUNCTION("GOOGLETRANSLATE(B29737,""en"",""es-ES"")"),"La gente conduce autos de parachoques en un carnaval.")</f>
        <v>La gente conduce autos de parachoques en un carnaval.</v>
      </c>
    </row>
    <row r="29738">
      <c r="A29738" s="4" t="s">
        <v>37447</v>
      </c>
      <c r="B29738" s="4" t="s">
        <v>37449</v>
      </c>
      <c r="C29738" s="5" t="str">
        <f>IFERROR(__xludf.DUMMYFUNCTION("GOOGLETRANSLATE(B29738,""en"",""es-ES"")"),"Una niña sigue a un niño en un coche de parachoques amarillo.")</f>
        <v>Una niña sigue a un niño en un coche de parachoques amarillo.</v>
      </c>
    </row>
    <row r="29739">
      <c r="A29739" s="4" t="s">
        <v>37447</v>
      </c>
      <c r="B29739" s="4" t="s">
        <v>37450</v>
      </c>
      <c r="C29739" s="5" t="str">
        <f>IFERROR(__xludf.DUMMYFUNCTION("GOOGLETRANSLATE(B29739,""en"",""es-ES"")"),"Luego, el niño y la niña golpearon otros autos de parachoques.")</f>
        <v>Luego, el niño y la niña golpearon otros autos de parachoques.</v>
      </c>
    </row>
    <row r="29740">
      <c r="A29740" s="4" t="s">
        <v>37451</v>
      </c>
      <c r="B29740" s="4" t="s">
        <v>37452</v>
      </c>
      <c r="C29740" s="5" t="str">
        <f>IFERROR(__xludf.DUMMYFUNCTION("GOOGLETRANSLATE(B29740,""en"",""es-ES"")"),"Un grupo de personas está en balsas, rafting en aguas rocosas.")</f>
        <v>Un grupo de personas está en balsas, rafting en aguas rocosas.</v>
      </c>
    </row>
    <row r="29741">
      <c r="A29741" s="4" t="s">
        <v>37451</v>
      </c>
      <c r="B29741" s="4" t="s">
        <v>37453</v>
      </c>
      <c r="C29741" s="5" t="str">
        <f>IFERROR(__xludf.DUMMYFUNCTION("GOOGLETRANSLATE(B29741,""en"",""es-ES"")"),"Finalmente, viajan a través del agua y terminan golpeando una enorme roca y perdiendo sus paletas.")</f>
        <v>Finalmente, viajan a través del agua y terminan golpeando una enorme roca y perdiendo sus paletas.</v>
      </c>
    </row>
    <row r="29742">
      <c r="A29742" s="4" t="s">
        <v>37451</v>
      </c>
      <c r="B29742" s="4" t="s">
        <v>37454</v>
      </c>
      <c r="C29742" s="5" t="str">
        <f>IFERROR(__xludf.DUMMYFUNCTION("GOOGLETRANSLATE(B29742,""en"",""es-ES"")"),"Después, continúan atravesando partes rocosas del agua y se deslizan por las pequeñas colinas.")</f>
        <v>Después, continúan atravesando partes rocosas del agua y se deslizan por las pequeñas colinas.</v>
      </c>
    </row>
    <row r="29743">
      <c r="A29743" s="4" t="s">
        <v>37455</v>
      </c>
      <c r="B29743" s="4" t="s">
        <v>37456</v>
      </c>
      <c r="C29743" s="5" t="str">
        <f>IFERROR(__xludf.DUMMYFUNCTION("GOOGLETRANSLATE(B29743,""en"",""es-ES"")"),"Un reportero informa sobre una historia sobre amputados y no amputados utilizando extremidades de reemplazo con tecnología avanzada o como extensores de piernas y potenciadores del rendimiento para no amputados.")</f>
        <v>Un reportero informa sobre una historia sobre amputados y no amputados utilizando extremidades de reemplazo con tecnología avanzada o como extensores de piernas y potenciadores del rendimiento para no amputados.</v>
      </c>
    </row>
    <row r="29744">
      <c r="A29744" s="4" t="s">
        <v>37455</v>
      </c>
      <c r="B29744" s="4" t="s">
        <v>37457</v>
      </c>
      <c r="C29744" s="5" t="str">
        <f>IFERROR(__xludf.DUMMYFUNCTION("GOOGLETRANSLATE(B29744,""en"",""es-ES"")"),"Un reportero se sienta en una mesa de reporteros durante una transmisión de noticias antes de que el clip corta a las personas que usan tecnología de reemplazo de extremidades.")</f>
        <v>Un reportero se sienta en una mesa de reporteros durante una transmisión de noticias antes de que el clip corta a las personas que usan tecnología de reemplazo de extremidades.</v>
      </c>
    </row>
    <row r="29745">
      <c r="A29745" s="4" t="s">
        <v>37455</v>
      </c>
      <c r="B29745" s="4" t="s">
        <v>37458</v>
      </c>
      <c r="C29745" s="5" t="str">
        <f>IFERROR(__xludf.DUMMYFUNCTION("GOOGLETRANSLATE(B29745,""en"",""es-ES"")"),"Varios clips de hombres que no son amputados con patas de extensor de amputas se muestran con los sujetos corriendo y rebotados en la calle.")</f>
        <v>Varios clips de hombres que no son amputados con patas de extensor de amputas se muestran con los sujetos corriendo y rebotados en la calle.</v>
      </c>
    </row>
    <row r="29746">
      <c r="A29746" s="4" t="s">
        <v>37459</v>
      </c>
      <c r="B29746" s="4" t="s">
        <v>37460</v>
      </c>
      <c r="C29746" s="5" t="str">
        <f>IFERROR(__xludf.DUMMYFUNCTION("GOOGLETRANSLATE(B29746,""en"",""es-ES"")"),"Se ve a Hulk Hogan hablando con la cámara mientras se levanta los brazos y otro hombre se para en el fondo.")</f>
        <v>Se ve a Hulk Hogan hablando con la cámara mientras se levanta los brazos y otro hombre se para en el fondo.</v>
      </c>
    </row>
    <row r="29747">
      <c r="A29747" s="4" t="s">
        <v>37459</v>
      </c>
      <c r="B29747" s="4" t="s">
        <v>37461</v>
      </c>
      <c r="C29747" s="5" t="str">
        <f>IFERROR(__xludf.DUMMYFUNCTION("GOOGLETRANSLATE(B29747,""en"",""es-ES"")"),"El hombre continúa hablando con la cámara y conduce a clips de una lucha libre de brazos y otro hombre sosteniendo su brazo.")</f>
        <v>El hombre continúa hablando con la cámara y conduce a clips de una lucha libre de brazos y otro hombre sosteniendo su brazo.</v>
      </c>
    </row>
    <row r="29748">
      <c r="A29748" s="4" t="s">
        <v>37462</v>
      </c>
      <c r="B29748" s="4" t="s">
        <v>37463</v>
      </c>
      <c r="C29748" s="5" t="str">
        <f>IFERROR(__xludf.DUMMYFUNCTION("GOOGLETRANSLATE(B29748,""en"",""es-ES"")"),"Un hombre asiático está parado en un piso de madera dura y comienza a hablar y comienza a darle un giro en la cabeza.")</f>
        <v>Un hombre asiático está parado en un piso de madera dura y comienza a hablar y comienza a darle un giro en la cabeza.</v>
      </c>
    </row>
    <row r="29749">
      <c r="A29749" s="4" t="s">
        <v>37462</v>
      </c>
      <c r="B29749" s="4" t="s">
        <v>37464</v>
      </c>
      <c r="C29749" s="5" t="str">
        <f>IFERROR(__xludf.DUMMYFUNCTION("GOOGLETRANSLATE(B29749,""en"",""es-ES"")"),"Después del clip, regresa y muestra cómo colocar adecuadamente las manos en el piso.")</f>
        <v>Después del clip, regresa y muestra cómo colocar adecuadamente las manos en el piso.</v>
      </c>
    </row>
    <row r="29750">
      <c r="A29750" s="4" t="s">
        <v>37462</v>
      </c>
      <c r="B29750" s="4" t="s">
        <v>37465</v>
      </c>
      <c r="C29750" s="5" t="str">
        <f>IFERROR(__xludf.DUMMYFUNCTION("GOOGLETRANSLATE(B29750,""en"",""es-ES"")"),"Mientras continúa, agarra un gorro y lo pone en su mano para que se vuelva más fácil.")</f>
        <v>Mientras continúa, agarra un gorro y lo pone en su mano para que se vuelva más fácil.</v>
      </c>
    </row>
    <row r="29751">
      <c r="A29751" s="4" t="s">
        <v>37462</v>
      </c>
      <c r="B29751" s="4" t="s">
        <v>37466</v>
      </c>
      <c r="C29751" s="5" t="str">
        <f>IFERROR(__xludf.DUMMYFUNCTION("GOOGLETRANSLATE(B29751,""en"",""es-ES"")"),"El hombre luego hace el giro continuamente y muestra la posición de cricket antes de regresar para hablar nuevamente.")</f>
        <v>El hombre luego hace el giro continuamente y muestra la posición de cricket antes de regresar para hablar nuevamente.</v>
      </c>
    </row>
    <row r="29752">
      <c r="A29752" s="4" t="s">
        <v>37467</v>
      </c>
      <c r="B29752" s="4" t="s">
        <v>37468</v>
      </c>
      <c r="C29752" s="5" t="str">
        <f>IFERROR(__xludf.DUMMYFUNCTION("GOOGLETRANSLATE(B29752,""en"",""es-ES"")"),"El hombre está soldando una máquina de metal en una habitación.")</f>
        <v>El hombre está soldando una máquina de metal en una habitación.</v>
      </c>
    </row>
    <row r="29753">
      <c r="A29753" s="4" t="s">
        <v>37467</v>
      </c>
      <c r="B29753" s="4" t="s">
        <v>37469</v>
      </c>
      <c r="C29753" s="5" t="str">
        <f>IFERROR(__xludf.DUMMYFUNCTION("GOOGLETRANSLATE(B29753,""en"",""es-ES"")"),"El hombre está hablando de la cámara y sostiene una Emery en una sala de máquinas.")</f>
        <v>El hombre está hablando de la cámara y sostiene una Emery en una sala de máquinas.</v>
      </c>
    </row>
    <row r="29754">
      <c r="A29754" s="4" t="s">
        <v>37470</v>
      </c>
      <c r="B29754" s="4" t="s">
        <v>37471</v>
      </c>
      <c r="C29754" s="5" t="str">
        <f>IFERROR(__xludf.DUMMYFUNCTION("GOOGLETRANSLATE(B29754,""en"",""es-ES"")"),"Se ve a un grupo de hombres llenos de gente alrededor de una mesa donde más hombres están sentados y hablando.")</f>
        <v>Se ve a un grupo de hombres llenos de gente alrededor de una mesa donde más hombres están sentados y hablando.</v>
      </c>
    </row>
    <row r="29755">
      <c r="A29755" s="4" t="s">
        <v>37470</v>
      </c>
      <c r="B29755" s="4" t="s">
        <v>37472</v>
      </c>
      <c r="C29755" s="5" t="str">
        <f>IFERROR(__xludf.DUMMYFUNCTION("GOOGLETRANSLATE(B29755,""en"",""es-ES"")"),"Finalmente, dos hombres tomaban una cerveza siguieron una línea de más hombres bebiendo su cerveza.")</f>
        <v>Finalmente, dos hombres tomaban una cerveza siguieron una línea de más hombres bebiendo su cerveza.</v>
      </c>
    </row>
    <row r="29756">
      <c r="A29756" s="4" t="s">
        <v>37470</v>
      </c>
      <c r="B29756" s="4" t="s">
        <v>37473</v>
      </c>
      <c r="C29756" s="5" t="str">
        <f>IFERROR(__xludf.DUMMYFUNCTION("GOOGLETRANSLATE(B29756,""en"",""es-ES"")"),"Los hombres terminan sus cervezas y se ríen y se aplauden unos a otros mientras muchos miran a los lados.")</f>
        <v>Los hombres terminan sus cervezas y se ríen y se aplauden unos a otros mientras muchos miran a los lados.</v>
      </c>
    </row>
    <row r="29757">
      <c r="A29757" s="4" t="s">
        <v>37474</v>
      </c>
      <c r="B29757" s="4" t="s">
        <v>37475</v>
      </c>
      <c r="C29757" s="5" t="str">
        <f>IFERROR(__xludf.DUMMYFUNCTION("GOOGLETRANSLATE(B29757,""en"",""es-ES"")"),"Varias personas están en el agua jugando un juego y el hombre arroja una pelota naranja a una persona.")</f>
        <v>Varias personas están en el agua jugando un juego y el hombre arroja una pelota naranja a una persona.</v>
      </c>
    </row>
    <row r="29758">
      <c r="A29758" s="4" t="s">
        <v>37474</v>
      </c>
      <c r="B29758" s="4" t="s">
        <v>37476</v>
      </c>
      <c r="C29758" s="5" t="str">
        <f>IFERROR(__xludf.DUMMYFUNCTION("GOOGLETRANSLATE(B29758,""en"",""es-ES"")"),"La persona luego toma la pelota y la arroja al hombre sentado al lado de la portería.")</f>
        <v>La persona luego toma la pelota y la arroja al hombre sentado al lado de la portería.</v>
      </c>
    </row>
    <row r="29759">
      <c r="A29759" s="4" t="s">
        <v>37474</v>
      </c>
      <c r="B29759" s="4" t="s">
        <v>37477</v>
      </c>
      <c r="C29759" s="5" t="str">
        <f>IFERROR(__xludf.DUMMYFUNCTION("GOOGLETRANSLATE(B29759,""en"",""es-ES"")"),"Luego se mueve al otro lado de la piscina y agarra el gol.")</f>
        <v>Luego se mueve al otro lado de la piscina y agarra el gol.</v>
      </c>
    </row>
    <row r="29760">
      <c r="A29760" s="4" t="s">
        <v>37478</v>
      </c>
      <c r="B29760" s="4" t="s">
        <v>37479</v>
      </c>
      <c r="C29760" s="5" t="str">
        <f>IFERROR(__xludf.DUMMYFUNCTION("GOOGLETRANSLATE(B29760,""en"",""es-ES"")"),"Un hombre está sentado junto a un escritorio donde se coloca una pieza de equipo de fitness.")</f>
        <v>Un hombre está sentado junto a un escritorio donde se coloca una pieza de equipo de fitness.</v>
      </c>
    </row>
    <row r="29761">
      <c r="A29761" s="4" t="s">
        <v>37478</v>
      </c>
      <c r="B29761" s="4" t="s">
        <v>37480</v>
      </c>
      <c r="C29761" s="5" t="str">
        <f>IFERROR(__xludf.DUMMYFUNCTION("GOOGLETRANSLATE(B29761,""en"",""es-ES"")"),"El hombre muestra los pedales del equipo, así como un temporizador en el equipo.")</f>
        <v>El hombre muestra los pedales del equipo, así como un temporizador en el equipo.</v>
      </c>
    </row>
    <row r="29762">
      <c r="A29762" s="4" t="s">
        <v>37478</v>
      </c>
      <c r="B29762" s="4" t="s">
        <v>37481</v>
      </c>
      <c r="C29762" s="5" t="str">
        <f>IFERROR(__xludf.DUMMYFUNCTION("GOOGLETRANSLATE(B29762,""en"",""es-ES"")"),"Se ve a una mujer caminando sobre el equipo.")</f>
        <v>Se ve a una mujer caminando sobre el equipo.</v>
      </c>
    </row>
    <row r="29763">
      <c r="A29763" s="4" t="s">
        <v>37478</v>
      </c>
      <c r="B29763" s="4" t="s">
        <v>37482</v>
      </c>
      <c r="C29763" s="5" t="str">
        <f>IFERROR(__xludf.DUMMYFUNCTION("GOOGLETRANSLATE(B29763,""en"",""es-ES"")"),"Un hombre saca el equipo de fitness debajo de un escritorio.")</f>
        <v>Un hombre saca el equipo de fitness debajo de un escritorio.</v>
      </c>
    </row>
    <row r="29764">
      <c r="A29764" s="4" t="s">
        <v>37478</v>
      </c>
      <c r="B29764" s="4" t="s">
        <v>37483</v>
      </c>
      <c r="C29764" s="5" t="str">
        <f>IFERROR(__xludf.DUMMYFUNCTION("GOOGLETRANSLATE(B29764,""en"",""es-ES"")"),"El hombre es visto nuevamente por el escritorio, hablando sobre el equipo de fitness.")</f>
        <v>El hombre es visto nuevamente por el escritorio, hablando sobre el equipo de fitness.</v>
      </c>
    </row>
    <row r="29765">
      <c r="A29765" s="4" t="s">
        <v>37484</v>
      </c>
      <c r="B29765" s="4" t="s">
        <v>37485</v>
      </c>
      <c r="C29765" s="5" t="str">
        <f>IFERROR(__xludf.DUMMYFUNCTION("GOOGLETRANSLATE(B29765,""en"",""es-ES"")"),"Una captura de pantalla de una mujer que lleva un mono azul está parado en una pose con dos bastones y palabras blancas en el medio de la pantalla, dicen ""2 Baton Nicole"".")</f>
        <v>Una captura de pantalla de una mujer que lleva un mono azul está parado en una pose con dos bastones y palabras blancas en el medio de la pantalla, dicen "2 Baton Nicole".</v>
      </c>
    </row>
    <row r="29766">
      <c r="A29766" s="4" t="s">
        <v>37484</v>
      </c>
      <c r="B29766" s="4" t="s">
        <v>37486</v>
      </c>
      <c r="C29766" s="5" t="str">
        <f>IFERROR(__xludf.DUMMYFUNCTION("GOOGLETRANSLATE(B29766,""en"",""es-ES"")"),"La mujer ahora está parada en un piso con muchas líneas y guiones coloridos y comienza su rutina de 2 batones que incluye muchos giros, girando y lanzando y captando los bastones.")</f>
        <v>La mujer ahora está parada en un piso con muchas líneas y guiones coloridos y comienza su rutina de 2 batones que incluye muchos giros, girando y lanzando y captando los bastones.</v>
      </c>
    </row>
    <row r="29767">
      <c r="A29767" s="4" t="s">
        <v>37484</v>
      </c>
      <c r="B29767" s="4" t="s">
        <v>37487</v>
      </c>
      <c r="C29767" s="5" t="str">
        <f>IFERROR(__xludf.DUMMYFUNCTION("GOOGLETRANSLATE(B29767,""en"",""es-ES"")"),"Casi hasta el final de su rutina, la mujer deja caer el bastón dos veces, los recoge y continúa haciendo su rutina hasta el final.")</f>
        <v>Casi hasta el final de su rutina, la mujer deja caer el bastón dos veces, los recoge y continúa haciendo su rutina hasta el final.</v>
      </c>
    </row>
    <row r="29768">
      <c r="A29768" s="4" t="s">
        <v>37488</v>
      </c>
      <c r="B29768" s="4" t="s">
        <v>37489</v>
      </c>
      <c r="C29768" s="5" t="str">
        <f>IFERROR(__xludf.DUMMYFUNCTION("GOOGLETRANSLATE(B29768,""en"",""es-ES"")"),"Una señora habla con dos calabazas en una mesa.")</f>
        <v>Una señora habla con dos calabazas en una mesa.</v>
      </c>
    </row>
    <row r="29769">
      <c r="A29769" s="4" t="s">
        <v>37488</v>
      </c>
      <c r="B29769" s="4" t="s">
        <v>37490</v>
      </c>
      <c r="C29769" s="5" t="str">
        <f>IFERROR(__xludf.DUMMYFUNCTION("GOOGLETRANSLATE(B29769,""en"",""es-ES"")"),"Una mujer muestra su palma.")</f>
        <v>Una mujer muestra su palma.</v>
      </c>
    </row>
    <row r="29770">
      <c r="A29770" s="4" t="s">
        <v>37488</v>
      </c>
      <c r="B29770" s="4" t="s">
        <v>37491</v>
      </c>
      <c r="C29770" s="5" t="str">
        <f>IFERROR(__xludf.DUMMYFUNCTION("GOOGLETRANSLATE(B29770,""en"",""es-ES"")"),"Una persona talla una calabaza.")</f>
        <v>Una persona talla una calabaza.</v>
      </c>
    </row>
    <row r="29771">
      <c r="A29771" s="4" t="s">
        <v>37488</v>
      </c>
      <c r="B29771" s="4" t="s">
        <v>37492</v>
      </c>
      <c r="C29771" s="5" t="str">
        <f>IFERROR(__xludf.DUMMYFUNCTION("GOOGLETRANSLATE(B29771,""en"",""es-ES"")"),"Una mujer da una entrevista sobre el kit de talla.")</f>
        <v>Una mujer da una entrevista sobre el kit de talla.</v>
      </c>
    </row>
    <row r="29772">
      <c r="A29772" s="4" t="s">
        <v>37488</v>
      </c>
      <c r="B29772" s="4" t="s">
        <v>37493</v>
      </c>
      <c r="C29772" s="5" t="str">
        <f>IFERROR(__xludf.DUMMYFUNCTION("GOOGLETRANSLATE(B29772,""en"",""es-ES"")"),"Los niños tienen calabazas con sonrisas en sus rostros.")</f>
        <v>Los niños tienen calabazas con sonrisas en sus rostros.</v>
      </c>
    </row>
    <row r="29773">
      <c r="A29773" s="4" t="s">
        <v>37488</v>
      </c>
      <c r="B29773" s="4" t="s">
        <v>37494</v>
      </c>
      <c r="C29773" s="5" t="str">
        <f>IFERROR(__xludf.DUMMYFUNCTION("GOOGLETRANSLATE(B29773,""en"",""es-ES"")"),"Un hombre saca la parte superior de una calabaza.")</f>
        <v>Un hombre saca la parte superior de una calabaza.</v>
      </c>
    </row>
    <row r="29774">
      <c r="A29774" s="4" t="s">
        <v>37488</v>
      </c>
      <c r="B29774" s="4" t="s">
        <v>37495</v>
      </c>
      <c r="C29774" s="5" t="str">
        <f>IFERROR(__xludf.DUMMYFUNCTION("GOOGLETRANSLATE(B29774,""en"",""es-ES"")"),"La señora presenta un cuchillo y un cuchillo más pequeño.")</f>
        <v>La señora presenta un cuchillo y un cuchillo más pequeño.</v>
      </c>
    </row>
    <row r="29775">
      <c r="A29775" s="4" t="s">
        <v>37488</v>
      </c>
      <c r="B29775" s="4" t="s">
        <v>37496</v>
      </c>
      <c r="C29775" s="5" t="str">
        <f>IFERROR(__xludf.DUMMYFUNCTION("GOOGLETRANSLATE(B29775,""en"",""es-ES"")"),"Dos personas se sientan con papeles frente a ellos.")</f>
        <v>Dos personas se sientan con papeles frente a ellos.</v>
      </c>
    </row>
    <row r="29776">
      <c r="A29776" s="4" t="s">
        <v>37497</v>
      </c>
      <c r="B29776" s="4" t="s">
        <v>37498</v>
      </c>
      <c r="C29776" s="5" t="str">
        <f>IFERROR(__xludf.DUMMYFUNCTION("GOOGLETRANSLATE(B29776,""en"",""es-ES"")"),"Un hombre con camisa de sudor lava platos y tazas en un fregadero con agua jabonosa.")</f>
        <v>Un hombre con camisa de sudor lava platos y tazas en un fregadero con agua jabonosa.</v>
      </c>
    </row>
    <row r="29777">
      <c r="A29777" s="4" t="s">
        <v>37497</v>
      </c>
      <c r="B29777" s="4" t="s">
        <v>37499</v>
      </c>
      <c r="C29777" s="5" t="str">
        <f>IFERROR(__xludf.DUMMYFUNCTION("GOOGLETRANSLATE(B29777,""en"",""es-ES"")"),"El hombre recoge los cubiertos que se remoja en el fregadero y los lava.")</f>
        <v>El hombre recoge los cubiertos que se remoja en el fregadero y los lava.</v>
      </c>
    </row>
    <row r="29778">
      <c r="A29778" s="4" t="s">
        <v>37497</v>
      </c>
      <c r="B29778" s="4" t="s">
        <v>37500</v>
      </c>
      <c r="C29778" s="5" t="str">
        <f>IFERROR(__xludf.DUMMYFUNCTION("GOOGLETRANSLATE(B29778,""en"",""es-ES"")"),"El hombre lava macetas y una tabla de cortar.")</f>
        <v>El hombre lava macetas y una tabla de cortar.</v>
      </c>
    </row>
    <row r="29779">
      <c r="A29779" s="4" t="s">
        <v>37497</v>
      </c>
      <c r="B29779" s="4" t="s">
        <v>37501</v>
      </c>
      <c r="C29779" s="5" t="str">
        <f>IFERROR(__xludf.DUMMYFUNCTION("GOOGLETRANSLATE(B29779,""en"",""es-ES"")"),"El hombre lava un dispositivo de prensa de café.")</f>
        <v>El hombre lava un dispositivo de prensa de café.</v>
      </c>
    </row>
    <row r="29780">
      <c r="A29780" s="4" t="s">
        <v>37497</v>
      </c>
      <c r="B29780" s="4" t="s">
        <v>37502</v>
      </c>
      <c r="C29780" s="5" t="str">
        <f>IFERROR(__xludf.DUMMYFUNCTION("GOOGLETRANSLATE(B29780,""en"",""es-ES"")"),"El hombre apaga el agua y drena el fregadero.")</f>
        <v>El hombre apaga el agua y drena el fregadero.</v>
      </c>
    </row>
    <row r="29781">
      <c r="A29781" s="4" t="s">
        <v>37503</v>
      </c>
      <c r="B29781" s="4" t="s">
        <v>37504</v>
      </c>
      <c r="C29781" s="5" t="str">
        <f>IFERROR(__xludf.DUMMYFUNCTION("GOOGLETRANSLATE(B29781,""en"",""es-ES"")"),"La gente está sentada en el borde del agua.")</f>
        <v>La gente está sentada en el borde del agua.</v>
      </c>
    </row>
    <row r="29782">
      <c r="A29782" s="4" t="s">
        <v>37503</v>
      </c>
      <c r="B29782" s="4" t="s">
        <v>37505</v>
      </c>
      <c r="C29782" s="5" t="str">
        <f>IFERROR(__xludf.DUMMYFUNCTION("GOOGLETRANSLATE(B29782,""en"",""es-ES"")"),"Un chico está cortando algo en el suelo.")</f>
        <v>Un chico está cortando algo en el suelo.</v>
      </c>
    </row>
    <row r="29783">
      <c r="A29783" s="4" t="s">
        <v>37503</v>
      </c>
      <c r="B29783" s="4" t="s">
        <v>37506</v>
      </c>
      <c r="C29783" s="5" t="str">
        <f>IFERROR(__xludf.DUMMYFUNCTION("GOOGLETRANSLATE(B29783,""en"",""es-ES"")"),"Una mujer se levanta y se aleja.")</f>
        <v>Una mujer se levanta y se aleja.</v>
      </c>
    </row>
    <row r="29784">
      <c r="A29784" s="4" t="s">
        <v>37507</v>
      </c>
      <c r="B29784" s="4" t="s">
        <v>37508</v>
      </c>
      <c r="C29784" s="5" t="str">
        <f>IFERROR(__xludf.DUMMYFUNCTION("GOOGLETRANSLATE(B29784,""en"",""es-ES"")"),"Se muestra una sala de preparación y tres personas están lavando a diferentes perros.")</f>
        <v>Se muestra una sala de preparación y tres personas están lavando a diferentes perros.</v>
      </c>
    </row>
    <row r="29785">
      <c r="A29785" s="4" t="s">
        <v>37507</v>
      </c>
      <c r="B29785" s="4" t="s">
        <v>37509</v>
      </c>
      <c r="C29785" s="5" t="str">
        <f>IFERROR(__xludf.DUMMYFUNCTION("GOOGLETRANSLATE(B29785,""en"",""es-ES"")"),"Se muestran otras habitaciones y los perros continúan siendo preparados y acostados en el suelo esperando su turno.")</f>
        <v>Se muestran otras habitaciones y los perros continúan siendo preparados y acostados en el suelo esperando su turno.</v>
      </c>
    </row>
    <row r="29786">
      <c r="A29786" s="4" t="s">
        <v>37507</v>
      </c>
      <c r="B29786" s="4" t="s">
        <v>37510</v>
      </c>
      <c r="C29786" s="5" t="str">
        <f>IFERROR(__xludf.DUMMYFUNCTION("GOOGLETRANSLATE(B29786,""en"",""es-ES"")"),"Después, la cámara deja el fondo de la oficina y se muestra el área de recepción.")</f>
        <v>Después, la cámara deja el fondo de la oficina y se muestra el área de recepción.</v>
      </c>
    </row>
    <row r="29787">
      <c r="A29787" s="4" t="s">
        <v>37511</v>
      </c>
      <c r="B29787" s="4" t="s">
        <v>37512</v>
      </c>
      <c r="C29787" s="5" t="str">
        <f>IFERROR(__xludf.DUMMYFUNCTION("GOOGLETRANSLATE(B29787,""en"",""es-ES"")"),"La gente está remando remos en una balsa azul.")</f>
        <v>La gente está remando remos en una balsa azul.</v>
      </c>
    </row>
    <row r="29788">
      <c r="A29788" s="4" t="s">
        <v>37511</v>
      </c>
      <c r="B29788" s="4" t="s">
        <v>37513</v>
      </c>
      <c r="C29788" s="5" t="str">
        <f>IFERROR(__xludf.DUMMYFUNCTION("GOOGLETRANSLATE(B29788,""en"",""es-ES"")"),"Van por una ola en el agua.")</f>
        <v>Van por una ola en el agua.</v>
      </c>
    </row>
    <row r="29789">
      <c r="A29789" s="4" t="s">
        <v>37511</v>
      </c>
      <c r="B29789" s="4" t="s">
        <v>37514</v>
      </c>
      <c r="C29789" s="5" t="str">
        <f>IFERROR(__xludf.DUMMYFUNCTION("GOOGLETRANSLATE(B29789,""en"",""es-ES"")"),"Continúan yendo por el río.")</f>
        <v>Continúan yendo por el río.</v>
      </c>
    </row>
    <row r="29790">
      <c r="A29790" s="4" t="s">
        <v>37515</v>
      </c>
      <c r="B29790" s="4" t="s">
        <v>37516</v>
      </c>
      <c r="C29790" s="5" t="str">
        <f>IFERROR(__xludf.DUMMYFUNCTION("GOOGLETRANSLATE(B29790,""en"",""es-ES"")"),"Un hombre está sentado en una silla en una peluquería.")</f>
        <v>Un hombre está sentado en una silla en una peluquería.</v>
      </c>
    </row>
    <row r="29791">
      <c r="A29791" s="4" t="s">
        <v>37515</v>
      </c>
      <c r="B29791" s="4" t="s">
        <v>37517</v>
      </c>
      <c r="C29791" s="5" t="str">
        <f>IFERROR(__xludf.DUMMYFUNCTION("GOOGLETRANSLATE(B29791,""en"",""es-ES"")"),"Está recibiendo un corte de pelo de un peluquero que lleva un vestido azul.")</f>
        <v>Está recibiendo un corte de pelo de un peluquero que lleva un vestido azul.</v>
      </c>
    </row>
    <row r="29792">
      <c r="A29792" s="4" t="s">
        <v>37515</v>
      </c>
      <c r="B29792" s="4" t="s">
        <v>37518</v>
      </c>
      <c r="C29792" s="5" t="str">
        <f>IFERROR(__xludf.DUMMYFUNCTION("GOOGLETRANSLATE(B29792,""en"",""es-ES"")"),"El hombre está sentado con una cámara en la mano.")</f>
        <v>El hombre está sentado con una cámara en la mano.</v>
      </c>
    </row>
    <row r="29793">
      <c r="A29793" s="4" t="s">
        <v>37515</v>
      </c>
      <c r="B29793" s="4" t="s">
        <v>37519</v>
      </c>
      <c r="C29793" s="5" t="str">
        <f>IFERROR(__xludf.DUMMYFUNCTION("GOOGLETRANSLATE(B29793,""en"",""es-ES"")"),"El peluquero termina cortándose el cabello y luego retrocede.")</f>
        <v>El peluquero termina cortándose el cabello y luego retrocede.</v>
      </c>
    </row>
    <row r="29794">
      <c r="A29794" s="4" t="s">
        <v>37520</v>
      </c>
      <c r="B29794" s="4" t="s">
        <v>37521</v>
      </c>
      <c r="C29794" s="5" t="str">
        <f>IFERROR(__xludf.DUMMYFUNCTION("GOOGLETRANSLATE(B29794,""en"",""es-ES"")"),"Un hombre arrodillado intenta comenzar un fuego mientras varios otros observan.")</f>
        <v>Un hombre arrodillado intenta comenzar un fuego mientras varios otros observan.</v>
      </c>
    </row>
    <row r="29795">
      <c r="A29795" s="4" t="s">
        <v>37520</v>
      </c>
      <c r="B29795" s="4" t="s">
        <v>37522</v>
      </c>
      <c r="C29795" s="5" t="str">
        <f>IFERROR(__xludf.DUMMYFUNCTION("GOOGLETRANSLATE(B29795,""en"",""es-ES"")"),"Uno de los espectadores se aleja brevemente.")</f>
        <v>Uno de los espectadores se aleja brevemente.</v>
      </c>
    </row>
    <row r="29796">
      <c r="A29796" s="4" t="s">
        <v>37520</v>
      </c>
      <c r="B29796" s="4" t="s">
        <v>37523</v>
      </c>
      <c r="C29796" s="5" t="str">
        <f>IFERROR(__xludf.DUMMYFUNCTION("GOOGLETRANSLATE(B29796,""en"",""es-ES"")"),"El hombre arrodillado comienza un fuego.")</f>
        <v>El hombre arrodillado comienza un fuego.</v>
      </c>
    </row>
    <row r="29797">
      <c r="A29797" s="4" t="s">
        <v>37520</v>
      </c>
      <c r="B29797" s="4" t="s">
        <v>37524</v>
      </c>
      <c r="C29797" s="5" t="str">
        <f>IFERROR(__xludf.DUMMYFUNCTION("GOOGLETRANSLATE(B29797,""en"",""es-ES"")"),"Uno de los espectadores besa al hombre de la rodilla.")</f>
        <v>Uno de los espectadores besa al hombre de la rodilla.</v>
      </c>
    </row>
    <row r="29798">
      <c r="A29798" s="4" t="s">
        <v>37525</v>
      </c>
      <c r="B29798" s="4" t="s">
        <v>37526</v>
      </c>
      <c r="C29798" s="5" t="str">
        <f>IFERROR(__xludf.DUMMYFUNCTION("GOOGLETRANSLATE(B29798,""en"",""es-ES"")"),"Un grupo de hombres se sienta alrededor de un bar coqueteando con un cantinero detrás de la barra.")</f>
        <v>Un grupo de hombres se sienta alrededor de un bar coqueteando con un cantinero detrás de la barra.</v>
      </c>
    </row>
    <row r="29799">
      <c r="A29799" s="4" t="s">
        <v>37525</v>
      </c>
      <c r="B29799" s="4" t="s">
        <v>37527</v>
      </c>
      <c r="C29799" s="5" t="str">
        <f>IFERROR(__xludf.DUMMYFUNCTION("GOOGLETRANSLATE(B29799,""en"",""es-ES"")"),"La mujer continúa hablando con los hombres mientras la cámara se mueve alrededor de varios grupos de personas cerca del bar.")</f>
        <v>La mujer continúa hablando con los hombres mientras la cámara se mueve alrededor de varios grupos de personas cerca del bar.</v>
      </c>
    </row>
    <row r="29800">
      <c r="A29800" s="4" t="s">
        <v>37525</v>
      </c>
      <c r="B29800" s="4" t="s">
        <v>37528</v>
      </c>
      <c r="C29800" s="5" t="str">
        <f>IFERROR(__xludf.DUMMYFUNCTION("GOOGLETRANSLATE(B29800,""en"",""es-ES"")"),"La mujer se enciende con las manos mientras también trata tarjetas para personas en el bar.")</f>
        <v>La mujer se enciende con las manos mientras también trata tarjetas para personas en el bar.</v>
      </c>
    </row>
    <row r="29801">
      <c r="A29801" s="4" t="s">
        <v>37529</v>
      </c>
      <c r="B29801" s="4" t="s">
        <v>37530</v>
      </c>
      <c r="C29801" s="5" t="str">
        <f>IFERROR(__xludf.DUMMYFUNCTION("GOOGLETRANSLATE(B29801,""en"",""es-ES"")"),"Se ve a un hombre hablando con la cámara con un par de zapatos frente a él.")</f>
        <v>Se ve a un hombre hablando con la cámara con un par de zapatos frente a él.</v>
      </c>
    </row>
    <row r="29802">
      <c r="A29802" s="4" t="s">
        <v>37529</v>
      </c>
      <c r="B29802" s="4" t="s">
        <v>37531</v>
      </c>
      <c r="C29802" s="5" t="str">
        <f>IFERROR(__xludf.DUMMYFUNCTION("GOOGLETRANSLATE(B29802,""en"",""es-ES"")"),"Levanta los zapatos y los productos de limpieza y comienza a usarlos en los zapatos.")</f>
        <v>Levanta los zapatos y los productos de limpieza y comienza a usarlos en los zapatos.</v>
      </c>
    </row>
    <row r="29803">
      <c r="A29803" s="4" t="s">
        <v>37529</v>
      </c>
      <c r="B29803" s="4" t="s">
        <v>37532</v>
      </c>
      <c r="C29803" s="5" t="str">
        <f>IFERROR(__xludf.DUMMYFUNCTION("GOOGLETRANSLATE(B29803,""en"",""es-ES"")"),"Limpia los zapatos mientras muestra los productos de limpieza y habla con la cámara.")</f>
        <v>Limpia los zapatos mientras muestra los productos de limpieza y habla con la cámara.</v>
      </c>
    </row>
    <row r="29804">
      <c r="A29804" s="4" t="s">
        <v>37533</v>
      </c>
      <c r="B29804" s="4" t="s">
        <v>37534</v>
      </c>
      <c r="C29804" s="5" t="str">
        <f>IFERROR(__xludf.DUMMYFUNCTION("GOOGLETRANSLATE(B29804,""en"",""es-ES"")"),"El hombre está sentado a la fuente de una mesa hablando sobre cómo limpiar una zapatilla blanca.")</f>
        <v>El hombre está sentado a la fuente de una mesa hablando sobre cómo limpiar una zapatilla blanca.</v>
      </c>
    </row>
    <row r="29805">
      <c r="A29805" s="4" t="s">
        <v>37533</v>
      </c>
      <c r="B29805" s="4" t="s">
        <v>37535</v>
      </c>
      <c r="C29805" s="5" t="str">
        <f>IFERROR(__xludf.DUMMYFUNCTION("GOOGLETRANSLATE(B29805,""en"",""es-ES"")"),"El hombre vierte un líquido sobre el agua y limpia el zapato con un cepillo y con una toallita pulirlo.")</f>
        <v>El hombre vierte un líquido sobre el agua y limpia el zapato con un cepillo y con una toallita pulirlo.</v>
      </c>
    </row>
    <row r="29806">
      <c r="A29806" s="4" t="s">
        <v>37536</v>
      </c>
      <c r="B29806" s="4" t="s">
        <v>37537</v>
      </c>
      <c r="C29806" s="5" t="str">
        <f>IFERROR(__xludf.DUMMYFUNCTION("GOOGLETRANSLATE(B29806,""en"",""es-ES"")"),"Las chicas se muestran una a la vez, usando tuberías de PVC para saltar en un gimnasio interior en una estera.")</f>
        <v>Las chicas se muestran una a la vez, usando tuberías de PVC para saltar en un gimnasio interior en una estera.</v>
      </c>
    </row>
    <row r="29807">
      <c r="A29807" s="4" t="s">
        <v>37536</v>
      </c>
      <c r="B29807" s="4" t="s">
        <v>37538</v>
      </c>
      <c r="C29807" s="5" t="str">
        <f>IFERROR(__xludf.DUMMYFUNCTION("GOOGLETRANSLATE(B29807,""en"",""es-ES"")"),"Finalmente, a un niño también se muestra en bóveda.")</f>
        <v>Finalmente, a un niño también se muestra en bóveda.</v>
      </c>
    </row>
    <row r="29808">
      <c r="A29808" s="4" t="s">
        <v>37539</v>
      </c>
      <c r="B29808" s="4" t="s">
        <v>37540</v>
      </c>
      <c r="C29808" s="5" t="str">
        <f>IFERROR(__xludf.DUMMYFUNCTION("GOOGLETRANSLATE(B29808,""en"",""es-ES"")"),"Se muestra un primer plano de una tierra de dibujos animados, seguido de un hombre de dibujos animados con una jabalina.")</f>
        <v>Se muestra un primer plano de una tierra de dibujos animados, seguido de un hombre de dibujos animados con una jabalina.</v>
      </c>
    </row>
    <row r="29809">
      <c r="A29809" s="4" t="s">
        <v>37539</v>
      </c>
      <c r="B29809" s="4" t="s">
        <v>37541</v>
      </c>
      <c r="C29809" s="5" t="str">
        <f>IFERROR(__xludf.DUMMYFUNCTION("GOOGLETRANSLATE(B29809,""en"",""es-ES"")"),"Luego se muestra al hombre lanzando tres jabalinas diferentes en competencia, intercaladas con palabras en la pantalla.")</f>
        <v>Luego se muestra al hombre lanzando tres jabalinas diferentes en competencia, intercaladas con palabras en la pantalla.</v>
      </c>
    </row>
    <row r="29810">
      <c r="A29810" s="4" t="s">
        <v>37542</v>
      </c>
      <c r="B29810" s="4" t="s">
        <v>37543</v>
      </c>
      <c r="C29810" s="5" t="str">
        <f>IFERROR(__xludf.DUMMYFUNCTION("GOOGLETRANSLATE(B29810,""en"",""es-ES"")"),"Se ve a una mujer parada junto a un auto congelado mientras mira hacia otro lado de la cámara.")</f>
        <v>Se ve a una mujer parada junto a un auto congelado mientras mira hacia otro lado de la cámara.</v>
      </c>
    </row>
    <row r="29811">
      <c r="A29811" s="4" t="s">
        <v>37542</v>
      </c>
      <c r="B29811" s="4" t="s">
        <v>37544</v>
      </c>
      <c r="C29811" s="5" t="str">
        <f>IFERROR(__xludf.DUMMYFUNCTION("GOOGLETRANSLATE(B29811,""en"",""es-ES"")"),"La mujer luego comienza a usar un raspador para raspar los lados.")</f>
        <v>La mujer luego comienza a usar un raspador para raspar los lados.</v>
      </c>
    </row>
    <row r="29812">
      <c r="A29812" s="4" t="s">
        <v>37542</v>
      </c>
      <c r="B29812" s="4" t="s">
        <v>37545</v>
      </c>
      <c r="C29812" s="5" t="str">
        <f>IFERROR(__xludf.DUMMYFUNCTION("GOOGLETRANSLATE(B29812,""en"",""es-ES"")"),"La mujer continúa raspando el auto y mirando a lo lejos.")</f>
        <v>La mujer continúa raspando el auto y mirando a lo lejos.</v>
      </c>
    </row>
    <row r="29813">
      <c r="A29813" s="4" t="s">
        <v>37546</v>
      </c>
      <c r="B29813" s="4" t="s">
        <v>37547</v>
      </c>
      <c r="C29813" s="5" t="str">
        <f>IFERROR(__xludf.DUMMYFUNCTION("GOOGLETRANSLATE(B29813,""en"",""es-ES"")"),"Los atletas están dando entrevistas, y algunos muestran sus medallas de participación.")</f>
        <v>Los atletas están dando entrevistas, y algunos muestran sus medallas de participación.</v>
      </c>
    </row>
    <row r="29814">
      <c r="A29814" s="4" t="s">
        <v>37546</v>
      </c>
      <c r="B29814" s="4" t="s">
        <v>37548</v>
      </c>
      <c r="C29814" s="5" t="str">
        <f>IFERROR(__xludf.DUMMYFUNCTION("GOOGLETRANSLATE(B29814,""en"",""es-ES"")"),"Los atletas están abordando autobuses blancos.")</f>
        <v>Los atletas están abordando autobuses blancos.</v>
      </c>
    </row>
    <row r="29815">
      <c r="A29815" s="4" t="s">
        <v>37546</v>
      </c>
      <c r="B29815" s="4" t="s">
        <v>37549</v>
      </c>
      <c r="C29815" s="5" t="str">
        <f>IFERROR(__xludf.DUMMYFUNCTION("GOOGLETRANSLATE(B29815,""en"",""es-ES"")"),"Los autobuses se mueven por la carretera.")</f>
        <v>Los autobuses se mueven por la carretera.</v>
      </c>
    </row>
    <row r="29816">
      <c r="A29816" s="4" t="s">
        <v>37546</v>
      </c>
      <c r="B29816" s="4" t="s">
        <v>37550</v>
      </c>
      <c r="C29816" s="5" t="str">
        <f>IFERROR(__xludf.DUMMYFUNCTION("GOOGLETRANSLATE(B29816,""en"",""es-ES"")"),"Una persona apila camisetas.")</f>
        <v>Una persona apila camisetas.</v>
      </c>
    </row>
    <row r="29817">
      <c r="A29817" s="4" t="s">
        <v>37546</v>
      </c>
      <c r="B29817" s="4" t="s">
        <v>37551</v>
      </c>
      <c r="C29817" s="5" t="str">
        <f>IFERROR(__xludf.DUMMYFUNCTION("GOOGLETRANSLATE(B29817,""en"",""es-ES"")"),"Los atletas esperan en la línea de salida.")</f>
        <v>Los atletas esperan en la línea de salida.</v>
      </c>
    </row>
    <row r="29818">
      <c r="A29818" s="4" t="s">
        <v>37546</v>
      </c>
      <c r="B29818" s="4" t="s">
        <v>37552</v>
      </c>
      <c r="C29818" s="5" t="str">
        <f>IFERROR(__xludf.DUMMYFUNCTION("GOOGLETRANSLATE(B29818,""en"",""es-ES"")"),"Los atletas están corriendo por el camino.")</f>
        <v>Los atletas están corriendo por el camino.</v>
      </c>
    </row>
    <row r="29819">
      <c r="A29819" s="4" t="s">
        <v>37546</v>
      </c>
      <c r="B29819" s="4" t="s">
        <v>37553</v>
      </c>
      <c r="C29819" s="5" t="str">
        <f>IFERROR(__xludf.DUMMYFUNCTION("GOOGLETRANSLATE(B29819,""en"",""es-ES"")"),"Los atletas cruzan la línea de meta.")</f>
        <v>Los atletas cruzan la línea de meta.</v>
      </c>
    </row>
    <row r="29820">
      <c r="A29820" s="4" t="s">
        <v>37546</v>
      </c>
      <c r="B29820" s="4" t="s">
        <v>1251</v>
      </c>
      <c r="C29820" s="5" t="str">
        <f>IFERROR(__xludf.DUMMYFUNCTION("GOOGLETRANSLATE(B29820,""en"",""es-ES"")"),"Se muestran los créditos del clip.")</f>
        <v>Se muestran los créditos del clip.</v>
      </c>
    </row>
    <row r="29821">
      <c r="A29821" s="4" t="s">
        <v>37554</v>
      </c>
      <c r="B29821" s="4" t="s">
        <v>37555</v>
      </c>
      <c r="C29821" s="5" t="str">
        <f>IFERROR(__xludf.DUMMYFUNCTION("GOOGLETRANSLATE(B29821,""en"",""es-ES"")"),"Se ve a un atleta sentado en el suelo cuando un hombre se acerca y le entrega zapatos.")</f>
        <v>Se ve a un atleta sentado en el suelo cuando un hombre se acerca y le entrega zapatos.</v>
      </c>
    </row>
    <row r="29822">
      <c r="A29822" s="4" t="s">
        <v>37554</v>
      </c>
      <c r="B29822" s="4" t="s">
        <v>37556</v>
      </c>
      <c r="C29822" s="5" t="str">
        <f>IFERROR(__xludf.DUMMYFUNCTION("GOOGLETRANSLATE(B29822,""en"",""es-ES"")"),"El hombre luego se pone los zapatos y comienza a moverse alrededor del campo.")</f>
        <v>El hombre luego se pone los zapatos y comienza a moverse alrededor del campo.</v>
      </c>
    </row>
    <row r="29823">
      <c r="A29823" s="4" t="s">
        <v>37554</v>
      </c>
      <c r="B29823" s="4" t="s">
        <v>37557</v>
      </c>
      <c r="C29823" s="5" t="str">
        <f>IFERROR(__xludf.DUMMYFUNCTION("GOOGLETRANSLATE(B29823,""en"",""es-ES"")"),"El hombre patea una pelota mientras la cámara lo sigue desde atrás.")</f>
        <v>El hombre patea una pelota mientras la cámara lo sigue desde atrás.</v>
      </c>
    </row>
    <row r="29824">
      <c r="A29824" s="4" t="s">
        <v>37558</v>
      </c>
      <c r="B29824" s="4" t="s">
        <v>37559</v>
      </c>
      <c r="C29824" s="5" t="str">
        <f>IFERROR(__xludf.DUMMYFUNCTION("GOOGLETRANSLATE(B29824,""en"",""es-ES"")"),"Las personas que juegan un juego de béisbol se muestran en un gran campo con docenas de personas mirando a un lado.")</f>
        <v>Las personas que juegan un juego de béisbol se muestran en un gran campo con docenas de personas mirando a un lado.</v>
      </c>
    </row>
    <row r="29825">
      <c r="A29825" s="4" t="s">
        <v>37558</v>
      </c>
      <c r="B29825" s="4" t="s">
        <v>37560</v>
      </c>
      <c r="C29825" s="5" t="str">
        <f>IFERROR(__xludf.DUMMYFUNCTION("GOOGLETRANSLATE(B29825,""en"",""es-ES"")"),"La gente continúa jugando y termina con varios jugadores que al final al final.")</f>
        <v>La gente continúa jugando y termina con varios jugadores que al final al final.</v>
      </c>
    </row>
    <row r="29826">
      <c r="A29826" s="4" t="s">
        <v>37561</v>
      </c>
      <c r="B29826" s="4" t="s">
        <v>37562</v>
      </c>
      <c r="C29826" s="5" t="str">
        <f>IFERROR(__xludf.DUMMYFUNCTION("GOOGLETRANSLATE(B29826,""en"",""es-ES"")"),"Una persona está ayudando a un joven a saltar detrás de los rieles de un puente y revisar los cinturones.")</f>
        <v>Una persona está ayudando a un joven a saltar detrás de los rieles de un puente y revisar los cinturones.</v>
      </c>
    </row>
    <row r="29827">
      <c r="A29827" s="4" t="s">
        <v>37561</v>
      </c>
      <c r="B29827" s="4" t="s">
        <v>37563</v>
      </c>
      <c r="C29827" s="5" t="str">
        <f>IFERROR(__xludf.DUMMYFUNCTION("GOOGLETRANSLATE(B29827,""en"",""es-ES"")"),"Luego, el hombre salta por el puente.")</f>
        <v>Luego, el hombre salta por el puente.</v>
      </c>
    </row>
    <row r="29828">
      <c r="A29828" s="4" t="s">
        <v>37564</v>
      </c>
      <c r="B29828" s="4" t="s">
        <v>37565</v>
      </c>
      <c r="C29828" s="5" t="str">
        <f>IFERROR(__xludf.DUMMYFUNCTION("GOOGLETRANSLATE(B29828,""en"",""es-ES"")"),"Un juego de Croquette está en progreso.")</f>
        <v>Un juego de Croquette está en progreso.</v>
      </c>
    </row>
    <row r="29829">
      <c r="A29829" s="4" t="s">
        <v>37564</v>
      </c>
      <c r="B29829" s="4" t="s">
        <v>37566</v>
      </c>
      <c r="C29829" s="5" t="str">
        <f>IFERROR(__xludf.DUMMYFUNCTION("GOOGLETRANSLATE(B29829,""en"",""es-ES"")"),"Un hombre ha alineado numerosas bolas de colores.")</f>
        <v>Un hombre ha alineado numerosas bolas de colores.</v>
      </c>
    </row>
    <row r="29830">
      <c r="A29830" s="4" t="s">
        <v>37564</v>
      </c>
      <c r="B29830" s="4" t="s">
        <v>37567</v>
      </c>
      <c r="C29830" s="5" t="str">
        <f>IFERROR(__xludf.DUMMYFUNCTION("GOOGLETRANSLATE(B29830,""en"",""es-ES"")"),"Se mueve por la línea, golpeando cada pelota a través de la meta.")</f>
        <v>Se mueve por la línea, golpeando cada pelota a través de la meta.</v>
      </c>
    </row>
    <row r="29831">
      <c r="A29831" s="4" t="s">
        <v>37568</v>
      </c>
      <c r="B29831" s="4" t="s">
        <v>37569</v>
      </c>
      <c r="C29831" s="5" t="str">
        <f>IFERROR(__xludf.DUMMYFUNCTION("GOOGLETRANSLATE(B29831,""en"",""es-ES"")"),"Este video es un tutorial que muestra a las personas cómo esquiar correctamente.")</f>
        <v>Este video es un tutorial que muestra a las personas cómo esquiar correctamente.</v>
      </c>
    </row>
    <row r="29832">
      <c r="A29832" s="4" t="s">
        <v>37568</v>
      </c>
      <c r="B29832" s="4" t="s">
        <v>37570</v>
      </c>
      <c r="C29832" s="5" t="str">
        <f>IFERROR(__xludf.DUMMYFUNCTION("GOOGLETRANSLATE(B29832,""en"",""es-ES"")"),"Primero te dice en qué entorno debes esquiar.")</f>
        <v>Primero te dice en qué entorno debes esquiar.</v>
      </c>
    </row>
    <row r="29833">
      <c r="A29833" s="4" t="s">
        <v>37568</v>
      </c>
      <c r="B29833" s="4" t="s">
        <v>37571</v>
      </c>
      <c r="C29833" s="5" t="str">
        <f>IFERROR(__xludf.DUMMYFUNCTION("GOOGLETRANSLATE(B29833,""en"",""es-ES"")"),"También muestra a alguien esquiando en la nieve para acompañar los pasos dados.")</f>
        <v>También muestra a alguien esquiando en la nieve para acompañar los pasos dados.</v>
      </c>
    </row>
    <row r="29834">
      <c r="A29834" s="4" t="s">
        <v>37572</v>
      </c>
      <c r="B29834" s="4" t="s">
        <v>37573</v>
      </c>
      <c r="C29834" s="5" t="str">
        <f>IFERROR(__xludf.DUMMYFUNCTION("GOOGLETRANSLATE(B29834,""en"",""es-ES"")"),"Un hombre está trabajando en una máquina elíptica.")</f>
        <v>Un hombre está trabajando en una máquina elíptica.</v>
      </c>
    </row>
    <row r="29835">
      <c r="A29835" s="4" t="s">
        <v>37572</v>
      </c>
      <c r="B29835" s="4" t="s">
        <v>37574</v>
      </c>
      <c r="C29835" s="5" t="str">
        <f>IFERROR(__xludf.DUMMYFUNCTION("GOOGLETRANSLATE(B29835,""en"",""es-ES"")"),"Muestra la pantalla en la máquina.")</f>
        <v>Muestra la pantalla en la máquina.</v>
      </c>
    </row>
    <row r="29836">
      <c r="A29836" s="4" t="s">
        <v>37575</v>
      </c>
      <c r="B29836" s="4" t="s">
        <v>37576</v>
      </c>
      <c r="C29836" s="5" t="str">
        <f>IFERROR(__xludf.DUMMYFUNCTION("GOOGLETRANSLATE(B29836,""en"",""es-ES"")"),"Una introducción conduce a un bote lleno de personas que vuelan sobre el agua.")</f>
        <v>Una introducción conduce a un bote lleno de personas que vuelan sobre el agua.</v>
      </c>
    </row>
    <row r="29837">
      <c r="A29837" s="4" t="s">
        <v>37575</v>
      </c>
      <c r="B29837" s="4" t="s">
        <v>37577</v>
      </c>
      <c r="C29837" s="5" t="str">
        <f>IFERROR(__xludf.DUMMYFUNCTION("GOOGLETRANSLATE(B29837,""en"",""es-ES"")"),"La cámara muestra varios ángulos del bote que se mueven a lo largo del agua, así como los primeros planos de las personas a bordo.")</f>
        <v>La cámara muestra varios ángulos del bote que se mueven a lo largo del agua, así como los primeros planos de las personas a bordo.</v>
      </c>
    </row>
    <row r="29838">
      <c r="A29838" s="4" t="s">
        <v>37578</v>
      </c>
      <c r="B29838" s="4" t="s">
        <v>37579</v>
      </c>
      <c r="C29838" s="5" t="str">
        <f>IFERROR(__xludf.DUMMYFUNCTION("GOOGLETRANSLATE(B29838,""en"",""es-ES"")"),"Vemos hombres jugando un juego de fútbol y anotando repetidamente en interiores.")</f>
        <v>Vemos hombres jugando un juego de fútbol y anotando repetidamente en interiores.</v>
      </c>
    </row>
    <row r="29839">
      <c r="A29839" s="4" t="s">
        <v>37578</v>
      </c>
      <c r="B29839" s="4" t="s">
        <v>37580</v>
      </c>
      <c r="C29839" s="5" t="str">
        <f>IFERROR(__xludf.DUMMYFUNCTION("GOOGLETRANSLATE(B29839,""en"",""es-ES"")"),"Vemos a un portero saltando y un hombre dispara y anota.")</f>
        <v>Vemos a un portero saltando y un hombre dispara y anota.</v>
      </c>
    </row>
    <row r="29840">
      <c r="A29840" s="4" t="s">
        <v>37578</v>
      </c>
      <c r="B29840" s="4" t="s">
        <v>37581</v>
      </c>
      <c r="C29840" s="5" t="str">
        <f>IFERROR(__xludf.DUMMYFUNCTION("GOOGLETRANSLATE(B29840,""en"",""es-ES"")"),"Vemos a un joven feliz abarrotando su camisa.")</f>
        <v>Vemos a un joven feliz abarrotando su camisa.</v>
      </c>
    </row>
    <row r="29841">
      <c r="A29841" s="4" t="s">
        <v>37582</v>
      </c>
      <c r="B29841" s="4" t="s">
        <v>37583</v>
      </c>
      <c r="C29841" s="5" t="str">
        <f>IFERROR(__xludf.DUMMYFUNCTION("GOOGLETRANSLATE(B29841,""en"",""es-ES"")"),"Aplique los mosaicos en la misma dirección exacta.")</f>
        <v>Aplique los mosaicos en la misma dirección exacta.</v>
      </c>
    </row>
    <row r="29842">
      <c r="A29842" s="4" t="s">
        <v>37582</v>
      </c>
      <c r="B29842" s="4" t="s">
        <v>37584</v>
      </c>
      <c r="C29842" s="5" t="str">
        <f>IFERROR(__xludf.DUMMYFUNCTION("GOOGLETRANSLATE(B29842,""en"",""es-ES"")"),"El mosaico debe instalarse sobre el adhesivo.")</f>
        <v>El mosaico debe instalarse sobre el adhesivo.</v>
      </c>
    </row>
    <row r="29843">
      <c r="A29843" s="4" t="s">
        <v>37582</v>
      </c>
      <c r="B29843" s="4" t="s">
        <v>37585</v>
      </c>
      <c r="C29843" s="5" t="str">
        <f>IFERROR(__xludf.DUMMYFUNCTION("GOOGLETRANSLATE(B29843,""en"",""es-ES"")"),"Luego enrolle inmediatamente con un rodillo de cien puntos.")</f>
        <v>Luego enrolle inmediatamente con un rodillo de cien puntos.</v>
      </c>
    </row>
    <row r="29844">
      <c r="A29844" s="4" t="s">
        <v>37582</v>
      </c>
      <c r="B29844" s="4" t="s">
        <v>37586</v>
      </c>
      <c r="C29844" s="5" t="str">
        <f>IFERROR(__xludf.DUMMYFUNCTION("GOOGLETRANSLATE(B29844,""en"",""es-ES"")"),"Corte los azulejos cerca del perímetro para garantizar una instalación suave.")</f>
        <v>Corte los azulejos cerca del perímetro para garantizar una instalación suave.</v>
      </c>
    </row>
    <row r="29845">
      <c r="A29845" s="4" t="s">
        <v>37587</v>
      </c>
      <c r="B29845" s="4" t="s">
        <v>37588</v>
      </c>
      <c r="C29845" s="5" t="str">
        <f>IFERROR(__xludf.DUMMYFUNCTION("GOOGLETRANSLATE(B29845,""en"",""es-ES"")"),"Una persona muestra tocino en un plato, luego pone mayonesa en dos piezas de pan.")</f>
        <v>Una persona muestra tocino en un plato, luego pone mayonesa en dos piezas de pan.</v>
      </c>
    </row>
    <row r="29846">
      <c r="A29846" s="4" t="s">
        <v>37587</v>
      </c>
      <c r="B29846" s="4" t="s">
        <v>37589</v>
      </c>
      <c r="C29846" s="5" t="str">
        <f>IFERROR(__xludf.DUMMYFUNCTION("GOOGLETRANSLATE(B29846,""en"",""es-ES"")"),"Luego, la persona pone tocino en un pan y lechuga y tomate en el otro pan, luego extiende el peeper y forme el sándwich.")</f>
        <v>Luego, la persona pone tocino en un pan y lechuga y tomate en el otro pan, luego extiende el peeper y forme el sándwich.</v>
      </c>
    </row>
    <row r="29847">
      <c r="A29847" s="4" t="s">
        <v>37587</v>
      </c>
      <c r="B29847" s="4" t="s">
        <v>37590</v>
      </c>
      <c r="C29847" s="5" t="str">
        <f>IFERROR(__xludf.DUMMYFUNCTION("GOOGLETRANSLATE(B29847,""en"",""es-ES"")"),"Luego, la persona corta el sándwich por la mitad, luego toma una mitad y da un mordisco.")</f>
        <v>Luego, la persona corta el sándwich por la mitad, luego toma una mitad y da un mordisco.</v>
      </c>
    </row>
    <row r="29848">
      <c r="A29848" s="4" t="s">
        <v>37591</v>
      </c>
      <c r="B29848" s="4" t="s">
        <v>37592</v>
      </c>
      <c r="C29848" s="5" t="str">
        <f>IFERROR(__xludf.DUMMYFUNCTION("GOOGLETRANSLATE(B29848,""en"",""es-ES"")"),"Un hombre usa una herramienta para incluso sedo en una pared.")</f>
        <v>Un hombre usa una herramienta para incluso sedo en una pared.</v>
      </c>
    </row>
    <row r="29849">
      <c r="A29849" s="4" t="s">
        <v>37591</v>
      </c>
      <c r="B29849" s="4" t="s">
        <v>37593</v>
      </c>
      <c r="C29849" s="5" t="str">
        <f>IFERROR(__xludf.DUMMYFUNCTION("GOOGLETRANSLATE(B29849,""en"",""es-ES"")"),"El hombre trabaja en la pared debajo del marco visible de la cámara.")</f>
        <v>El hombre trabaja en la pared debajo del marco visible de la cámara.</v>
      </c>
    </row>
    <row r="29850">
      <c r="A29850" s="4" t="s">
        <v>37591</v>
      </c>
      <c r="B29850" s="4" t="s">
        <v>37594</v>
      </c>
      <c r="C29850" s="5" t="str">
        <f>IFERROR(__xludf.DUMMYFUNCTION("GOOGLETRANSLATE(B29850,""en"",""es-ES"")"),"El hombre se levanta frente a la cámara y pasa junto a ella.")</f>
        <v>El hombre se levanta frente a la cámara y pasa junto a ella.</v>
      </c>
    </row>
    <row r="29851">
      <c r="A29851" s="4" t="s">
        <v>37595</v>
      </c>
      <c r="B29851" s="4" t="s">
        <v>37596</v>
      </c>
      <c r="C29851" s="5" t="str">
        <f>IFERROR(__xludf.DUMMYFUNCTION("GOOGLETRANSLATE(B29851,""en"",""es-ES"")"),"La gente viaja en un bote en el agua.")</f>
        <v>La gente viaja en un bote en el agua.</v>
      </c>
    </row>
    <row r="29852">
      <c r="A29852" s="4" t="s">
        <v>37595</v>
      </c>
      <c r="B29852" s="4" t="s">
        <v>37597</v>
      </c>
      <c r="C29852" s="5" t="str">
        <f>IFERROR(__xludf.DUMMYFUNCTION("GOOGLETRANSLATE(B29852,""en"",""es-ES"")"),"El bote está tirando de un tubo con un hombre detrás.")</f>
        <v>El bote está tirando de un tubo con un hombre detrás.</v>
      </c>
    </row>
    <row r="29853">
      <c r="A29853" s="4" t="s">
        <v>37595</v>
      </c>
      <c r="B29853" s="4" t="s">
        <v>37598</v>
      </c>
      <c r="C29853" s="5" t="str">
        <f>IFERROR(__xludf.DUMMYFUNCTION("GOOGLETRANSLATE(B29853,""en"",""es-ES"")"),"La persona sale del tubo.")</f>
        <v>La persona sale del tubo.</v>
      </c>
    </row>
    <row r="29854">
      <c r="A29854" s="4" t="s">
        <v>37595</v>
      </c>
      <c r="B29854" s="4" t="s">
        <v>37599</v>
      </c>
      <c r="C29854" s="5" t="str">
        <f>IFERROR(__xludf.DUMMYFUNCTION("GOOGLETRANSLATE(B29854,""en"",""es-ES"")"),"El bote está tirando del mismo tubo con varios jóvenes.")</f>
        <v>El bote está tirando del mismo tubo con varios jóvenes.</v>
      </c>
    </row>
    <row r="29855">
      <c r="A29855" s="4" t="s">
        <v>37595</v>
      </c>
      <c r="B29855" s="4" t="s">
        <v>37600</v>
      </c>
      <c r="C29855" s="5" t="str">
        <f>IFERROR(__xludf.DUMMYFUNCTION("GOOGLETRANSLATE(B29855,""en"",""es-ES"")"),"Una persona es un esquí de agua detrás del bote.")</f>
        <v>Una persona es un esquí de agua detrás del bote.</v>
      </c>
    </row>
    <row r="29856">
      <c r="A29856" s="4" t="s">
        <v>37595</v>
      </c>
      <c r="B29856" s="4" t="s">
        <v>37601</v>
      </c>
      <c r="C29856" s="5" t="str">
        <f>IFERROR(__xludf.DUMMYFUNCTION("GOOGLETRANSLATE(B29856,""en"",""es-ES"")"),"Un jet ski pasa por el bote y luego vemos a los pasajeros.")</f>
        <v>Un jet ski pasa por el bote y luego vemos a los pasajeros.</v>
      </c>
    </row>
    <row r="29857">
      <c r="A29857" s="4" t="s">
        <v>37602</v>
      </c>
      <c r="B29857" s="4" t="s">
        <v>37603</v>
      </c>
      <c r="C29857" s="5" t="str">
        <f>IFERROR(__xludf.DUMMYFUNCTION("GOOGLETRANSLATE(B29857,""en"",""es-ES"")"),"Un hombre que sostiene una capa roja está parada frente a un toro.")</f>
        <v>Un hombre que sostiene una capa roja está parada frente a un toro.</v>
      </c>
    </row>
    <row r="29858">
      <c r="A29858" s="4" t="s">
        <v>37602</v>
      </c>
      <c r="B29858" s="4" t="s">
        <v>37604</v>
      </c>
      <c r="C29858" s="5" t="str">
        <f>IFERROR(__xludf.DUMMYFUNCTION("GOOGLETRANSLATE(B29858,""en"",""es-ES"")"),"El toro lo golpea y lo golpea al suelo.")</f>
        <v>El toro lo golpea y lo golpea al suelo.</v>
      </c>
    </row>
    <row r="29859">
      <c r="A29859" s="4" t="s">
        <v>37602</v>
      </c>
      <c r="B29859" s="4" t="s">
        <v>37605</v>
      </c>
      <c r="C29859" s="5" t="str">
        <f>IFERROR(__xludf.DUMMYFUNCTION("GOOGLETRANSLATE(B29859,""en"",""es-ES"")"),"La gente lleva al hombre de la arena.")</f>
        <v>La gente lleva al hombre de la arena.</v>
      </c>
    </row>
    <row r="29860">
      <c r="A29860" s="4" t="s">
        <v>37606</v>
      </c>
      <c r="B29860" s="4" t="s">
        <v>37607</v>
      </c>
      <c r="C29860" s="5" t="str">
        <f>IFERROR(__xludf.DUMMYFUNCTION("GOOGLETRANSLATE(B29860,""en"",""es-ES"")"),"Un barbero frota la crema de afeitado en la cabeza calva de un hombre.")</f>
        <v>Un barbero frota la crema de afeitado en la cabeza calva de un hombre.</v>
      </c>
    </row>
    <row r="29861">
      <c r="A29861" s="4" t="s">
        <v>37606</v>
      </c>
      <c r="B29861" s="4" t="s">
        <v>37608</v>
      </c>
      <c r="C29861" s="5" t="str">
        <f>IFERROR(__xludf.DUMMYFUNCTION("GOOGLETRANSLATE(B29861,""en"",""es-ES"")"),"El barbero se detiene para limpiar sus manos con una toalla.")</f>
        <v>El barbero se detiene para limpiar sus manos con una toalla.</v>
      </c>
    </row>
    <row r="29862">
      <c r="A29862" s="4" t="s">
        <v>37606</v>
      </c>
      <c r="B29862" s="4" t="s">
        <v>37609</v>
      </c>
      <c r="C29862" s="5" t="str">
        <f>IFERROR(__xludf.DUMMYFUNCTION("GOOGLETRANSLATE(B29862,""en"",""es-ES"")"),"El barbero agarra una maquinilla de afeitar y afeita lentamente la cabeza del hombre.")</f>
        <v>El barbero agarra una maquinilla de afeitar y afeita lentamente la cabeza del hombre.</v>
      </c>
    </row>
    <row r="29863">
      <c r="A29863" s="4" t="s">
        <v>37610</v>
      </c>
      <c r="B29863" s="4" t="s">
        <v>37611</v>
      </c>
      <c r="C29863" s="5" t="str">
        <f>IFERROR(__xludf.DUMMYFUNCTION("GOOGLETRANSLATE(B29863,""en"",""es-ES"")"),"Un joven se dobla para levantar un peso a los hombros, luego levanta el peso sobre su cabeza.")</f>
        <v>Un joven se dobla para levantar un peso a los hombros, luego levanta el peso sobre su cabeza.</v>
      </c>
    </row>
    <row r="29864">
      <c r="A29864" s="4" t="s">
        <v>37610</v>
      </c>
      <c r="B29864" s="4" t="s">
        <v>37612</v>
      </c>
      <c r="C29864" s="5" t="str">
        <f>IFERROR(__xludf.DUMMYFUNCTION("GOOGLETRANSLATE(B29864,""en"",""es-ES"")"),"El joven deja que el peso cae en el piso.")</f>
        <v>El joven deja que el peso cae en el piso.</v>
      </c>
    </row>
    <row r="29865">
      <c r="A29865" s="4" t="s">
        <v>37610</v>
      </c>
      <c r="B29865" s="4" t="s">
        <v>37613</v>
      </c>
      <c r="C29865" s="5" t="str">
        <f>IFERROR(__xludf.DUMMYFUNCTION("GOOGLETRANSLATE(B29865,""en"",""es-ES"")"),"Después, el hombre se voltea, y luego un hombre viene y abraza al joven.")</f>
        <v>Después, el hombre se voltea, y luego un hombre viene y abraza al joven.</v>
      </c>
    </row>
    <row r="29866">
      <c r="A29866" s="4" t="s">
        <v>37614</v>
      </c>
      <c r="B29866" s="4" t="s">
        <v>37615</v>
      </c>
      <c r="C29866" s="5" t="str">
        <f>IFERROR(__xludf.DUMMYFUNCTION("GOOGLETRANSLATE(B29866,""en"",""es-ES"")"),"Una introducción entra en la pantalla que da información para una empresa de percusión.")</f>
        <v>Una introducción entra en la pantalla que da información para una empresa de percusión.</v>
      </c>
    </row>
    <row r="29867">
      <c r="A29867" s="4" t="s">
        <v>37614</v>
      </c>
      <c r="B29867" s="4" t="s">
        <v>37616</v>
      </c>
      <c r="C29867" s="5" t="str">
        <f>IFERROR(__xludf.DUMMYFUNCTION("GOOGLETRANSLATE(B29867,""en"",""es-ES"")"),"Un hombre comienza a tocar un juego de batería con la cámara que lo muestra desde varios ángulos diferentes.")</f>
        <v>Un hombre comienza a tocar un juego de batería con la cámara que lo muestra desde varios ángulos diferentes.</v>
      </c>
    </row>
    <row r="29868">
      <c r="A29868" s="4" t="s">
        <v>37614</v>
      </c>
      <c r="B29868" s="4" t="s">
        <v>37617</v>
      </c>
      <c r="C29868" s="5" t="str">
        <f>IFERROR(__xludf.DUMMYFUNCTION("GOOGLETRANSLATE(B29868,""en"",""es-ES"")"),"La cámara muestra su pie usando un pedal para tocar la batería.")</f>
        <v>La cámara muestra su pie usando un pedal para tocar la batería.</v>
      </c>
    </row>
    <row r="29869">
      <c r="A29869" s="4" t="s">
        <v>37614</v>
      </c>
      <c r="B29869" s="4" t="s">
        <v>37618</v>
      </c>
      <c r="C29869" s="5" t="str">
        <f>IFERROR(__xludf.DUMMYFUNCTION("GOOGLETRANSLATE(B29869,""en"",""es-ES"")"),"A medida que finaliza el video, se muestran los créditos de cierre.")</f>
        <v>A medida que finaliza el video, se muestran los créditos de cierre.</v>
      </c>
    </row>
    <row r="29870">
      <c r="A29870" s="4" t="s">
        <v>37619</v>
      </c>
      <c r="B29870" s="4" t="s">
        <v>37620</v>
      </c>
      <c r="C29870" s="5" t="str">
        <f>IFERROR(__xludf.DUMMYFUNCTION("GOOGLETRANSLATE(B29870,""en"",""es-ES"")"),"Una mujer habla y sonríe mientras plancha una prenda de una lavandería.")</f>
        <v>Una mujer habla y sonríe mientras plancha una prenda de una lavandería.</v>
      </c>
    </row>
    <row r="29871">
      <c r="A29871" s="4" t="s">
        <v>37619</v>
      </c>
      <c r="B29871" s="4" t="s">
        <v>37621</v>
      </c>
      <c r="C29871" s="5" t="str">
        <f>IFERROR(__xludf.DUMMYFUNCTION("GOOGLETRANSLATE(B29871,""en"",""es-ES"")"),"Una mujer que lleva una camisa rosa y un delantal se encuentra en una lavandería frente a una lavadora y secadora y habla frente a la cámara.")</f>
        <v>Una mujer que lleva una camisa rosa y un delantal se encuentra en una lavandería frente a una lavadora y secadora y habla frente a la cámara.</v>
      </c>
    </row>
    <row r="29872">
      <c r="A29872" s="4" t="s">
        <v>37619</v>
      </c>
      <c r="B29872" s="4" t="s">
        <v>37622</v>
      </c>
      <c r="C29872" s="5" t="str">
        <f>IFERROR(__xludf.DUMMYFUNCTION("GOOGLETRANSLATE(B29872,""en"",""es-ES"")"),"La mujer se dobla para recoger una prenda y luego la extiende sobre una mesa de planchar.")</f>
        <v>La mujer se dobla para recoger una prenda y luego la extiende sobre una mesa de planchar.</v>
      </c>
    </row>
    <row r="29873">
      <c r="A29873" s="4" t="s">
        <v>37619</v>
      </c>
      <c r="B29873" s="4" t="s">
        <v>37623</v>
      </c>
      <c r="C29873" s="5" t="str">
        <f>IFERROR(__xludf.DUMMYFUNCTION("GOOGLETRANSLATE(B29873,""en"",""es-ES"")"),"La mujer procede a planchar la prenda, detenerse momentáneamente, rociar la prenda con un líquido de una botella de spray blanca, luego termina planchando la prenda y la sostiene en la cara y las mejillas y las sonrisas.")</f>
        <v>La mujer procede a planchar la prenda, detenerse momentáneamente, rociar la prenda con un líquido de una botella de spray blanca, luego termina planchando la prenda y la sostiene en la cara y las mejillas y las sonrisas.</v>
      </c>
    </row>
    <row r="29874">
      <c r="A29874" s="4" t="s">
        <v>37624</v>
      </c>
      <c r="B29874" s="4" t="s">
        <v>37625</v>
      </c>
      <c r="C29874" s="5" t="str">
        <f>IFERROR(__xludf.DUMMYFUNCTION("GOOGLETRANSLATE(B29874,""en"",""es-ES"")"),"Hay un hombre con una camisa rosa y una dama con una camiseta blanca que sostiene gaitas en la mano.")</f>
        <v>Hay un hombre con una camisa rosa y una dama con una camiseta blanca que sostiene gaitas en la mano.</v>
      </c>
    </row>
    <row r="29875">
      <c r="A29875" s="4" t="s">
        <v>37624</v>
      </c>
      <c r="B29875" s="4" t="s">
        <v>37626</v>
      </c>
      <c r="C29875" s="5" t="str">
        <f>IFERROR(__xludf.DUMMYFUNCTION("GOOGLETRANSLATE(B29875,""en"",""es-ES"")"),"Están de pie en un estacionamiento cerca de un auto plateado.")</f>
        <v>Están de pie en un estacionamiento cerca de un auto plateado.</v>
      </c>
    </row>
    <row r="29876">
      <c r="A29876" s="4" t="s">
        <v>37624</v>
      </c>
      <c r="B29876" s="4" t="s">
        <v>37627</v>
      </c>
      <c r="C29876" s="5" t="str">
        <f>IFERROR(__xludf.DUMMYFUNCTION("GOOGLETRANSLATE(B29876,""en"",""es-ES"")"),"La señora comienza a tocar sus gaitas mientras el hombre mira su juego.")</f>
        <v>La señora comienza a tocar sus gaitas mientras el hombre mira su juego.</v>
      </c>
    </row>
    <row r="29877">
      <c r="A29877" s="4" t="s">
        <v>37624</v>
      </c>
      <c r="B29877" s="4" t="s">
        <v>37628</v>
      </c>
      <c r="C29877" s="5" t="str">
        <f>IFERROR(__xludf.DUMMYFUNCTION("GOOGLETRANSLATE(B29877,""en"",""es-ES"")"),"Ella continúa jugando y después de haber terminado, el hombre aplaude por ella y le da un abrazo.")</f>
        <v>Ella continúa jugando y después de haber terminado, el hombre aplaude por ella y le da un abrazo.</v>
      </c>
    </row>
    <row r="29878">
      <c r="A29878" s="4" t="s">
        <v>37629</v>
      </c>
      <c r="B29878" s="4" t="s">
        <v>37630</v>
      </c>
      <c r="C29878" s="5" t="str">
        <f>IFERROR(__xludf.DUMMYFUNCTION("GOOGLETRANSLATE(B29878,""en"",""es-ES"")"),"El niño está parado en la cancha.")</f>
        <v>El niño está parado en la cancha.</v>
      </c>
    </row>
    <row r="29879">
      <c r="A29879" s="4" t="s">
        <v>37629</v>
      </c>
      <c r="B29879" s="4" t="s">
        <v>37631</v>
      </c>
      <c r="C29879" s="5" t="str">
        <f>IFERROR(__xludf.DUMMYFUNCTION("GOOGLETRANSLATE(B29879,""en"",""es-ES"")"),"La niña está sentada en el otro extremo de una estera.")</f>
        <v>La niña está sentada en el otro extremo de una estera.</v>
      </c>
    </row>
    <row r="29880">
      <c r="A29880" s="4" t="s">
        <v>37629</v>
      </c>
      <c r="B29880" s="4" t="s">
        <v>37632</v>
      </c>
      <c r="C29880" s="5" t="str">
        <f>IFERROR(__xludf.DUMMYFUNCTION("GOOGLETRANSLATE(B29880,""en"",""es-ES"")"),"El joven corre hacia la colchoneta y salta sobre el poste.")</f>
        <v>El joven corre hacia la colchoneta y salta sobre el poste.</v>
      </c>
    </row>
    <row r="29881">
      <c r="A29881" s="4" t="s">
        <v>37633</v>
      </c>
      <c r="B29881" s="4" t="s">
        <v>37634</v>
      </c>
      <c r="C29881" s="5" t="str">
        <f>IFERROR(__xludf.DUMMYFUNCTION("GOOGLETRANSLATE(B29881,""en"",""es-ES"")"),"Una mujer camarera está de pie detrás de una barra.")</f>
        <v>Una mujer camarera está de pie detrás de una barra.</v>
      </c>
    </row>
    <row r="29882">
      <c r="A29882" s="4" t="s">
        <v>37633</v>
      </c>
      <c r="B29882" s="4" t="s">
        <v>37635</v>
      </c>
      <c r="C29882" s="5" t="str">
        <f>IFERROR(__xludf.DUMMYFUNCTION("GOOGLETRANSLATE(B29882,""en"",""es-ES"")"),"Un vaso vacío está frente a ella mientras habla.")</f>
        <v>Un vaso vacío está frente a ella mientras habla.</v>
      </c>
    </row>
    <row r="29883">
      <c r="A29883" s="4" t="s">
        <v>37633</v>
      </c>
      <c r="B29883" s="4" t="s">
        <v>37636</v>
      </c>
      <c r="C29883" s="5" t="str">
        <f>IFERROR(__xludf.DUMMYFUNCTION("GOOGLETRANSLATE(B29883,""en"",""es-ES"")"),"Agrega hielo al vaso con una cucharada.")</f>
        <v>Agrega hielo al vaso con una cucharada.</v>
      </c>
    </row>
    <row r="29884">
      <c r="A29884" s="4" t="s">
        <v>37633</v>
      </c>
      <c r="B29884" s="4" t="s">
        <v>37637</v>
      </c>
      <c r="C29884" s="5" t="str">
        <f>IFERROR(__xludf.DUMMYFUNCTION("GOOGLETRANSLATE(B29884,""en"",""es-ES"")"),"Agrega tres líquidos diferentes de tres botellas al vidrio.")</f>
        <v>Agrega tres líquidos diferentes de tres botellas al vidrio.</v>
      </c>
    </row>
    <row r="29885">
      <c r="A29885" s="4" t="s">
        <v>37633</v>
      </c>
      <c r="B29885" s="4" t="s">
        <v>37638</v>
      </c>
      <c r="C29885" s="5" t="str">
        <f>IFERROR(__xludf.DUMMYFUNCTION("GOOGLETRANSLATE(B29885,""en"",""es-ES"")"),"Ella se agita y continúa hablando de la bebida.")</f>
        <v>Ella se agita y continúa hablando de la bebida.</v>
      </c>
    </row>
    <row r="29886">
      <c r="A29886" s="4" t="s">
        <v>37639</v>
      </c>
      <c r="B29886" s="4" t="s">
        <v>37640</v>
      </c>
      <c r="C29886" s="5" t="str">
        <f>IFERROR(__xludf.DUMMYFUNCTION("GOOGLETRANSLATE(B29886,""en"",""es-ES"")"),"Vemos personas en un bote y luego vemos fotos rápidas de personas en un bote en equipo de buceo.")</f>
        <v>Vemos personas en un bote y luego vemos fotos rápidas de personas en un bote en equipo de buceo.</v>
      </c>
    </row>
    <row r="29887">
      <c r="A29887" s="4" t="s">
        <v>37639</v>
      </c>
      <c r="B29887" s="4" t="s">
        <v>37641</v>
      </c>
      <c r="C29887" s="5" t="str">
        <f>IFERROR(__xludf.DUMMYFUNCTION("GOOGLETRANSLATE(B29887,""en"",""es-ES"")"),"Vemos personas bajo el buceo en el agua.")</f>
        <v>Vemos personas bajo el buceo en el agua.</v>
      </c>
    </row>
    <row r="29888">
      <c r="A29888" s="4" t="s">
        <v>37639</v>
      </c>
      <c r="B29888" s="4" t="s">
        <v>37642</v>
      </c>
      <c r="C29888" s="5" t="str">
        <f>IFERROR(__xludf.DUMMYFUNCTION("GOOGLETRANSLATE(B29888,""en"",""es-ES"")"),"Un hombre sostiene algo blanco y lo toca una y otra vez.")</f>
        <v>Un hombre sostiene algo blanco y lo toca una y otra vez.</v>
      </c>
    </row>
    <row r="29889">
      <c r="A29889" s="4" t="s">
        <v>37639</v>
      </c>
      <c r="B29889" s="4" t="s">
        <v>37643</v>
      </c>
      <c r="C29889" s="5" t="str">
        <f>IFERROR(__xludf.DUMMYFUNCTION("GOOGLETRANSLATE(B29889,""en"",""es-ES"")"),"Por encima del agua, las personas están en el bote y una persona cae en el agua, vemos a las personas bajo el buceo y mirando a Sealife por la noche.")</f>
        <v>Por encima del agua, las personas están en el bote y una persona cae en el agua, vemos a las personas bajo el buceo y mirando a Sealife por la noche.</v>
      </c>
    </row>
    <row r="29890">
      <c r="A29890" s="4" t="s">
        <v>37639</v>
      </c>
      <c r="B29890" s="4" t="s">
        <v>37644</v>
      </c>
      <c r="C29890" s="5" t="str">
        <f>IFERROR(__xludf.DUMMYFUNCTION("GOOGLETRANSLATE(B29890,""en"",""es-ES"")"),"Una persona vuelve al agua y estamos bajo el agua cerca de un naufragio durante el día.")</f>
        <v>Una persona vuelve al agua y estamos bajo el agua cerca de un naufragio durante el día.</v>
      </c>
    </row>
    <row r="29891">
      <c r="A29891" s="4" t="s">
        <v>37639</v>
      </c>
      <c r="B29891" s="4" t="s">
        <v>37645</v>
      </c>
      <c r="C29891" s="5" t="str">
        <f>IFERROR(__xludf.DUMMYFUNCTION("GOOGLETRANSLATE(B29891,""en"",""es-ES"")"),"Los hombres suben al bote después de que hayan terminado.")</f>
        <v>Los hombres suben al bote después de que hayan terminado.</v>
      </c>
    </row>
    <row r="29892">
      <c r="A29892" s="4" t="s">
        <v>37646</v>
      </c>
      <c r="B29892" s="4" t="s">
        <v>37647</v>
      </c>
      <c r="C29892" s="5" t="str">
        <f>IFERROR(__xludf.DUMMYFUNCTION("GOOGLETRANSLATE(B29892,""en"",""es-ES"")"),"Se ve a un hombre hablando con la cámara mientras sostiene varios objetos y afilando un palo.")</f>
        <v>Se ve a un hombre hablando con la cámara mientras sostiene varios objetos y afilando un palo.</v>
      </c>
    </row>
    <row r="29893">
      <c r="A29893" s="4" t="s">
        <v>37646</v>
      </c>
      <c r="B29893" s="4" t="s">
        <v>37648</v>
      </c>
      <c r="C29893" s="5" t="str">
        <f>IFERROR(__xludf.DUMMYFUNCTION("GOOGLETRANSLATE(B29893,""en"",""es-ES"")"),"El hombre luego pone un casco y unió el palo a un soporte, que conduce al hombre creando una chispa y cortando un objeto.")</f>
        <v>El hombre luego pone un casco y unió el palo a un soporte, que conduce al hombre creando una chispa y cortando un objeto.</v>
      </c>
    </row>
    <row r="29894">
      <c r="A29894" s="4" t="s">
        <v>37646</v>
      </c>
      <c r="B29894" s="4" t="s">
        <v>37649</v>
      </c>
      <c r="C29894" s="5" t="str">
        <f>IFERROR(__xludf.DUMMYFUNCTION("GOOGLETRANSLATE(B29894,""en"",""es-ES"")"),"Hace una pausa para hablar más con la cámara y mirando el objeto para ver cómo resultó.")</f>
        <v>Hace una pausa para hablar más con la cámara y mirando el objeto para ver cómo resultó.</v>
      </c>
    </row>
    <row r="29895">
      <c r="A29895" s="4" t="s">
        <v>37650</v>
      </c>
      <c r="B29895" s="4" t="s">
        <v>37651</v>
      </c>
      <c r="C29895" s="5" t="str">
        <f>IFERROR(__xludf.DUMMYFUNCTION("GOOGLETRANSLATE(B29895,""en"",""es-ES"")"),"Un hombre está cortando su césped, tiene gallinas en su gallinero.")</f>
        <v>Un hombre está cortando su césped, tiene gallinas en su gallinero.</v>
      </c>
    </row>
    <row r="29896">
      <c r="A29896" s="4" t="s">
        <v>37650</v>
      </c>
      <c r="B29896" s="4" t="s">
        <v>37652</v>
      </c>
      <c r="C29896" s="5" t="str">
        <f>IFERROR(__xludf.DUMMYFUNCTION("GOOGLETRANSLATE(B29896,""en"",""es-ES"")"),"El tiempo se acelera tan rápido, por lo que parece que está en doble tiempo.")</f>
        <v>El tiempo se acelera tan rápido, por lo que parece que está en doble tiempo.</v>
      </c>
    </row>
    <row r="29897">
      <c r="A29897" s="4" t="s">
        <v>37650</v>
      </c>
      <c r="B29897" s="4" t="s">
        <v>37653</v>
      </c>
      <c r="C29897" s="5" t="str">
        <f>IFERROR(__xludf.DUMMYFUNCTION("GOOGLETRANSLATE(B29897,""en"",""es-ES"")"),"Camina por el patio mirando a su alrededor.")</f>
        <v>Camina por el patio mirando a su alrededor.</v>
      </c>
    </row>
    <row r="29898">
      <c r="A29898" s="4" t="s">
        <v>37650</v>
      </c>
      <c r="B29898" s="4" t="s">
        <v>37654</v>
      </c>
      <c r="C29898" s="5" t="str">
        <f>IFERROR(__xludf.DUMMYFUNCTION("GOOGLETRANSLATE(B29898,""en"",""es-ES"")"),"El patio se ve muy verde y muy bien guardado.")</f>
        <v>El patio se ve muy verde y muy bien guardado.</v>
      </c>
    </row>
    <row r="29899">
      <c r="A29899" s="4" t="s">
        <v>37655</v>
      </c>
      <c r="B29899" s="4" t="s">
        <v>37656</v>
      </c>
      <c r="C29899" s="5" t="str">
        <f>IFERROR(__xludf.DUMMYFUNCTION("GOOGLETRANSLATE(B29899,""en"",""es-ES"")"),"Un vaquero en un caballo corre después de una vaca.")</f>
        <v>Un vaquero en un caballo corre después de una vaca.</v>
      </c>
    </row>
    <row r="29900">
      <c r="A29900" s="4" t="s">
        <v>37655</v>
      </c>
      <c r="B29900" s="4" t="s">
        <v>37657</v>
      </c>
      <c r="C29900" s="5" t="str">
        <f>IFERROR(__xludf.DUMMYFUNCTION("GOOGLETRANSLATE(B29900,""en"",""es-ES"")"),"El vaquero salta del caballo y corre después de la vaca.")</f>
        <v>El vaquero salta del caballo y corre después de la vaca.</v>
      </c>
    </row>
    <row r="29901">
      <c r="A29901" s="4" t="s">
        <v>37655</v>
      </c>
      <c r="B29901" s="4" t="s">
        <v>37658</v>
      </c>
      <c r="C29901" s="5" t="str">
        <f>IFERROR(__xludf.DUMMYFUNCTION("GOOGLETRANSLATE(B29901,""en"",""es-ES"")"),"El vaquero ata la vaca.")</f>
        <v>El vaquero ata la vaca.</v>
      </c>
    </row>
    <row r="29902">
      <c r="A29902" s="4" t="s">
        <v>37659</v>
      </c>
      <c r="B29902" s="4" t="s">
        <v>37660</v>
      </c>
      <c r="C29902" s="5" t="str">
        <f>IFERROR(__xludf.DUMMYFUNCTION("GOOGLETRANSLATE(B29902,""en"",""es-ES"")"),"Una persona está sentada en una balsa que baja por una corriente.")</f>
        <v>Una persona está sentada en una balsa que baja por una corriente.</v>
      </c>
    </row>
    <row r="29903">
      <c r="A29903" s="4" t="s">
        <v>37659</v>
      </c>
      <c r="B29903" s="4" t="s">
        <v>37661</v>
      </c>
      <c r="C29903" s="5" t="str">
        <f>IFERROR(__xludf.DUMMYFUNCTION("GOOGLETRANSLATE(B29903,""en"",""es-ES"")"),"Hay varias personas en una balsa en el río.")</f>
        <v>Hay varias personas en una balsa en el río.</v>
      </c>
    </row>
    <row r="29904">
      <c r="A29904" s="4" t="s">
        <v>37659</v>
      </c>
      <c r="B29904" s="4" t="s">
        <v>37662</v>
      </c>
      <c r="C29904" s="5" t="str">
        <f>IFERROR(__xludf.DUMMYFUNCTION("GOOGLETRANSLATE(B29904,""en"",""es-ES"")"),"Alguien cae en el agua y recibe ayuda de regresar.")</f>
        <v>Alguien cae en el agua y recibe ayuda de regresar.</v>
      </c>
    </row>
    <row r="29905">
      <c r="A29905" s="4" t="s">
        <v>37663</v>
      </c>
      <c r="B29905" s="4" t="s">
        <v>2837</v>
      </c>
      <c r="C29905" s="5" t="str">
        <f>IFERROR(__xludf.DUMMYFUNCTION("GOOGLETRANSLATE(B29905,""en"",""es-ES"")"),"La gente está haciendo ejercicio en una habitación.")</f>
        <v>La gente está haciendo ejercicio en una habitación.</v>
      </c>
    </row>
    <row r="29906">
      <c r="A29906" s="4" t="s">
        <v>37663</v>
      </c>
      <c r="B29906" s="4" t="s">
        <v>37664</v>
      </c>
      <c r="C29906" s="5" t="str">
        <f>IFERROR(__xludf.DUMMYFUNCTION("GOOGLETRANSLATE(B29906,""en"",""es-ES"")"),"Están pisando taburetes.")</f>
        <v>Están pisando taburetes.</v>
      </c>
    </row>
    <row r="29907">
      <c r="A29907" s="4" t="s">
        <v>37663</v>
      </c>
      <c r="B29907" s="4" t="s">
        <v>37665</v>
      </c>
      <c r="C29907" s="5" t="str">
        <f>IFERROR(__xludf.DUMMYFUNCTION("GOOGLETRANSLATE(B29907,""en"",""es-ES"")"),"Están bailando juntos mientras trabajan.")</f>
        <v>Están bailando juntos mientras trabajan.</v>
      </c>
    </row>
    <row r="29908">
      <c r="A29908" s="4" t="s">
        <v>37666</v>
      </c>
      <c r="B29908" s="4" t="s">
        <v>37667</v>
      </c>
      <c r="C29908" s="5" t="str">
        <f>IFERROR(__xludf.DUMMYFUNCTION("GOOGLETRANSLATE(B29908,""en"",""es-ES"")"),"Vemos un ojo de mujer y noes de cerca.")</f>
        <v>Vemos un ojo de mujer y noes de cerca.</v>
      </c>
    </row>
    <row r="29909">
      <c r="A29909" s="4" t="s">
        <v>37666</v>
      </c>
      <c r="B29909" s="4" t="s">
        <v>37668</v>
      </c>
      <c r="C29909" s="5" t="str">
        <f>IFERROR(__xludf.DUMMYFUNCTION("GOOGLETRANSLATE(B29909,""en"",""es-ES"")"),"Vemos a la dama en el desierto girando hula hoops y realizando trucos.")</f>
        <v>Vemos a la dama en el desierto girando hula hoops y realizando trucos.</v>
      </c>
    </row>
    <row r="29910">
      <c r="A29910" s="4" t="s">
        <v>37666</v>
      </c>
      <c r="B29910" s="4" t="s">
        <v>37669</v>
      </c>
      <c r="C29910" s="5" t="str">
        <f>IFERROR(__xludf.DUMMYFUNCTION("GOOGLETRANSLATE(B29910,""en"",""es-ES"")"),"La Lady Hula Hoops con más o menos 10 de oro Hula Hoops.")</f>
        <v>La Lady Hula Hoops con más o menos 10 de oro Hula Hoops.</v>
      </c>
    </row>
    <row r="29911">
      <c r="A29911" s="4" t="s">
        <v>37666</v>
      </c>
      <c r="B29911" s="4" t="s">
        <v>37670</v>
      </c>
      <c r="C29911" s="5" t="str">
        <f>IFERROR(__xludf.DUMMYFUNCTION("GOOGLETRANSLATE(B29911,""en"",""es-ES"")"),"La señora gira el aro en su mano y luego lo transfiere a su pierna estirada hacia arriba y la vemos en los aros de oro nuevamente.")</f>
        <v>La señora gira el aro en su mano y luego lo transfiere a su pierna estirada hacia arriba y la vemos en los aros de oro nuevamente.</v>
      </c>
    </row>
    <row r="29912">
      <c r="A29912" s="4" t="s">
        <v>37666</v>
      </c>
      <c r="B29912" s="4" t="s">
        <v>37671</v>
      </c>
      <c r="C29912" s="5" t="str">
        <f>IFERROR(__xludf.DUMMYFUNCTION("GOOGLETRANSLATE(B29912,""en"",""es-ES"")"),"La señora gira su cuerpo dentro y fuera de los aros y la vemos en una parada de manos con el hula hoop en sus pies.")</f>
        <v>La señora gira su cuerpo dentro y fuera de los aros y la vemos en una parada de manos con el hula hoop en sus pies.</v>
      </c>
    </row>
    <row r="29913">
      <c r="A29913" s="4" t="s">
        <v>37666</v>
      </c>
      <c r="B29913" s="4" t="s">
        <v>37672</v>
      </c>
      <c r="C29913" s="5" t="str">
        <f>IFERROR(__xludf.DUMMYFUNCTION("GOOGLETRANSLATE(B29913,""en"",""es-ES"")"),"Ella está en los aros de oro mientras caen al suelo, luego gira muchos aros rosados ​​de sus manos a sus pies y como falda.")</f>
        <v>Ella está en los aros de oro mientras caen al suelo, luego gira muchos aros rosados ​​de sus manos a sus pies y como falda.</v>
      </c>
    </row>
    <row r="29914">
      <c r="A29914" s="4" t="s">
        <v>37666</v>
      </c>
      <c r="B29914" s="4" t="s">
        <v>4513</v>
      </c>
      <c r="C29914" s="5" t="str">
        <f>IFERROR(__xludf.DUMMYFUNCTION("GOOGLETRANSLATE(B29914,""en"",""es-ES"")"),"Vemos los créditos finales.")</f>
        <v>Vemos los créditos finales.</v>
      </c>
    </row>
    <row r="29915">
      <c r="A29915" s="4" t="s">
        <v>37673</v>
      </c>
      <c r="B29915" s="4" t="s">
        <v>37674</v>
      </c>
      <c r="C29915" s="5" t="str">
        <f>IFERROR(__xludf.DUMMYFUNCTION("GOOGLETRANSLATE(B29915,""en"",""es-ES"")"),"Un hombre con una camisa blanca está de pie junto a una piscina.")</f>
        <v>Un hombre con una camisa blanca está de pie junto a una piscina.</v>
      </c>
    </row>
    <row r="29916">
      <c r="A29916" s="4" t="s">
        <v>37673</v>
      </c>
      <c r="B29916" s="4" t="s">
        <v>37675</v>
      </c>
      <c r="C29916" s="5" t="str">
        <f>IFERROR(__xludf.DUMMYFUNCTION("GOOGLETRANSLATE(B29916,""en"",""es-ES"")"),"Un hombre sostiene una cámara filmándolo subiendo las escaleras.")</f>
        <v>Un hombre sostiene una cámara filmándolo subiendo las escaleras.</v>
      </c>
    </row>
    <row r="29917">
      <c r="A29917" s="4" t="s">
        <v>37673</v>
      </c>
      <c r="B29917" s="4" t="s">
        <v>37676</v>
      </c>
      <c r="C29917" s="5" t="str">
        <f>IFERROR(__xludf.DUMMYFUNCTION("GOOGLETRANSLATE(B29917,""en"",""es-ES"")"),"Se para en un tablero de buceo y salta a la piscina debajo de él.")</f>
        <v>Se para en un tablero de buceo y salta a la piscina debajo de él.</v>
      </c>
    </row>
    <row r="29918">
      <c r="A29918" s="4" t="s">
        <v>37673</v>
      </c>
      <c r="B29918" s="4" t="s">
        <v>37677</v>
      </c>
      <c r="C29918" s="5" t="str">
        <f>IFERROR(__xludf.DUMMYFUNCTION("GOOGLETRANSLATE(B29918,""en"",""es-ES"")"),"Sale del agua y camina para abrazar a la gente.")</f>
        <v>Sale del agua y camina para abrazar a la gente.</v>
      </c>
    </row>
    <row r="29919">
      <c r="A29919" s="4" t="s">
        <v>37678</v>
      </c>
      <c r="B29919" s="4" t="s">
        <v>37679</v>
      </c>
      <c r="C29919" s="5" t="str">
        <f>IFERROR(__xludf.DUMMYFUNCTION("GOOGLETRANSLATE(B29919,""en"",""es-ES"")"),"Se ve a una mujer sentada en una bañera con una toalla envuelta alrededor de ella y afeitándose las piernas.")</f>
        <v>Se ve a una mujer sentada en una bañera con una toalla envuelta alrededor de ella y afeitándose las piernas.</v>
      </c>
    </row>
    <row r="29920">
      <c r="A29920" s="4" t="s">
        <v>37678</v>
      </c>
      <c r="B29920" s="4" t="s">
        <v>37680</v>
      </c>
      <c r="C29920" s="5" t="str">
        <f>IFERROR(__xludf.DUMMYFUNCTION("GOOGLETRANSLATE(B29920,""en"",""es-ES"")"),"Luego se ríe de la cámara y sale corriendo con un niño empujándola al suelo.")</f>
        <v>Luego se ríe de la cámara y sale corriendo con un niño empujándola al suelo.</v>
      </c>
    </row>
    <row r="29921">
      <c r="A29921" s="4" t="s">
        <v>37681</v>
      </c>
      <c r="B29921" s="4" t="s">
        <v>37682</v>
      </c>
      <c r="C29921" s="5" t="str">
        <f>IFERROR(__xludf.DUMMYFUNCTION("GOOGLETRANSLATE(B29921,""en"",""es-ES"")"),"Dos hombres están sentados en una mesa de picnic preparándose para luchar contra el brazo.")</f>
        <v>Dos hombres están sentados en una mesa de picnic preparándose para luchar contra el brazo.</v>
      </c>
    </row>
    <row r="29922">
      <c r="A29922" s="4" t="s">
        <v>37681</v>
      </c>
      <c r="B29922" s="4" t="s">
        <v>37683</v>
      </c>
      <c r="C29922" s="5" t="str">
        <f>IFERROR(__xludf.DUMMYFUNCTION("GOOGLETRANSLATE(B29922,""en"",""es-ES"")"),"Varias personas están mirando desde los lados y los hombres comienzan a luchar contra el brazo.")</f>
        <v>Varias personas están mirando desde los lados y los hombres comienzan a luchar contra el brazo.</v>
      </c>
    </row>
    <row r="29923">
      <c r="A29923" s="4" t="s">
        <v>37681</v>
      </c>
      <c r="B29923" s="4" t="s">
        <v>37684</v>
      </c>
      <c r="C29923" s="5" t="str">
        <f>IFERROR(__xludf.DUMMYFUNCTION("GOOGLETRANSLATE(B29923,""en"",""es-ES"")"),"Un hombre es entrevistado por el camarógrafo y muestra sus bíceps a la cámara.")</f>
        <v>Un hombre es entrevistado por el camarógrafo y muestra sus bíceps a la cámara.</v>
      </c>
    </row>
    <row r="29924">
      <c r="A29924" s="4" t="s">
        <v>37681</v>
      </c>
      <c r="B29924" s="4" t="s">
        <v>37685</v>
      </c>
      <c r="C29924" s="5" t="str">
        <f>IFERROR(__xludf.DUMMYFUNCTION("GOOGLETRANSLATE(B29924,""en"",""es-ES"")"),"Dos hombres continúan hablando con la cámara y finalmente comienzan a luchar contra el brazo nuevamente.")</f>
        <v>Dos hombres continúan hablando con la cámara y finalmente comienzan a luchar contra el brazo nuevamente.</v>
      </c>
    </row>
    <row r="29925">
      <c r="A29925" s="4" t="s">
        <v>37681</v>
      </c>
      <c r="B29925" s="4" t="s">
        <v>37686</v>
      </c>
      <c r="C29925" s="5" t="str">
        <f>IFERROR(__xludf.DUMMYFUNCTION("GOOGLETRANSLATE(B29925,""en"",""es-ES"")"),"Juegan varios partidos de lucha contra los brazos y entrevistan a una mujer que también quiere luchar contra el brazo.")</f>
        <v>Juegan varios partidos de lucha contra los brazos y entrevistan a una mujer que también quiere luchar contra el brazo.</v>
      </c>
    </row>
    <row r="29926">
      <c r="A29926" s="4" t="s">
        <v>37681</v>
      </c>
      <c r="B29926" s="4" t="s">
        <v>37687</v>
      </c>
      <c r="C29926" s="5" t="str">
        <f>IFERROR(__xludf.DUMMYFUNCTION("GOOGLETRANSLATE(B29926,""en"",""es-ES"")"),"El hombre la deja ganar su combate de lucha libre y la niña parece vertiginosa.")</f>
        <v>El hombre la deja ganar su combate de lucha libre y la niña parece vertiginosa.</v>
      </c>
    </row>
    <row r="29927">
      <c r="A29927" s="4" t="s">
        <v>37688</v>
      </c>
      <c r="B29927" s="4" t="s">
        <v>37689</v>
      </c>
      <c r="C29927" s="5" t="str">
        <f>IFERROR(__xludf.DUMMYFUNCTION("GOOGLETRANSLATE(B29927,""en"",""es-ES"")"),"Un chico está tatuando la parte superior del brazo de una dama.")</f>
        <v>Un chico está tatuando la parte superior del brazo de una dama.</v>
      </c>
    </row>
    <row r="29928">
      <c r="A29928" s="4" t="s">
        <v>37688</v>
      </c>
      <c r="B29928" s="4" t="s">
        <v>37690</v>
      </c>
      <c r="C29928" s="5" t="str">
        <f>IFERROR(__xludf.DUMMYFUNCTION("GOOGLETRANSLATE(B29928,""en"",""es-ES"")"),"La dama tiene dolor.")</f>
        <v>La dama tiene dolor.</v>
      </c>
    </row>
    <row r="29929">
      <c r="A29929" s="4" t="s">
        <v>37688</v>
      </c>
      <c r="B29929" s="4" t="s">
        <v>37691</v>
      </c>
      <c r="C29929" s="5" t="str">
        <f>IFERROR(__xludf.DUMMYFUNCTION("GOOGLETRANSLATE(B29929,""en"",""es-ES"")"),"El chico azota con una toalla de papel blanco.")</f>
        <v>El chico azota con una toalla de papel blanco.</v>
      </c>
    </row>
    <row r="29930">
      <c r="A29930" s="4" t="s">
        <v>37692</v>
      </c>
      <c r="B29930" s="4" t="s">
        <v>37693</v>
      </c>
      <c r="C29930" s="5" t="str">
        <f>IFERROR(__xludf.DUMMYFUNCTION("GOOGLETRANSLATE(B29930,""en"",""es-ES"")"),"Se ve a una gimnasta inclinándose en una viga larga y comienza a realizar una rutina de gimnasia.")</f>
        <v>Se ve a una gimnasta inclinándose en una viga larga y comienza a realizar una rutina de gimnasia.</v>
      </c>
    </row>
    <row r="29931">
      <c r="A29931" s="4" t="s">
        <v>37692</v>
      </c>
      <c r="B29931" s="4" t="s">
        <v>37694</v>
      </c>
      <c r="C29931" s="5" t="str">
        <f>IFERROR(__xludf.DUMMYFUNCTION("GOOGLETRANSLATE(B29931,""en"",""es-ES"")"),"La niña voltea y engaña a lo largo de la viga mientras otros miran a un lado.")</f>
        <v>La niña voltea y engaña a lo largo de la viga mientras otros miran a un lado.</v>
      </c>
    </row>
    <row r="29932">
      <c r="A29932" s="4" t="s">
        <v>37692</v>
      </c>
      <c r="B29932" s="4" t="s">
        <v>37695</v>
      </c>
      <c r="C29932" s="5" t="str">
        <f>IFERROR(__xludf.DUMMYFUNCTION("GOOGLETRANSLATE(B29932,""en"",""es-ES"")"),"La mujer continúa moviéndose a lo largo de la viga y termina saltando del costado y saliendo del escenario.")</f>
        <v>La mujer continúa moviéndose a lo largo de la viga y termina saltando del costado y saliendo del escenario.</v>
      </c>
    </row>
    <row r="29933">
      <c r="A29933" s="4" t="s">
        <v>37696</v>
      </c>
      <c r="B29933" s="4" t="s">
        <v>37697</v>
      </c>
      <c r="C29933" s="5" t="str">
        <f>IFERROR(__xludf.DUMMYFUNCTION("GOOGLETRANSLATE(B29933,""en"",""es-ES"")"),"El grifo que muestra es una mano unida la manguera y aprieta la manguera.")</f>
        <v>El grifo que muestra es una mano unida la manguera y aprieta la manguera.</v>
      </c>
    </row>
    <row r="29934">
      <c r="A29934" s="4" t="s">
        <v>37696</v>
      </c>
      <c r="B29934" s="4" t="s">
        <v>37698</v>
      </c>
      <c r="C29934" s="5" t="str">
        <f>IFERROR(__xludf.DUMMYFUNCTION("GOOGLETRANSLATE(B29934,""en"",""es-ES"")"),"Una pajita está unida a un tanque.")</f>
        <v>Una pajita está unida a un tanque.</v>
      </c>
    </row>
    <row r="29935">
      <c r="A29935" s="4" t="s">
        <v>37696</v>
      </c>
      <c r="B29935" s="4" t="s">
        <v>37699</v>
      </c>
      <c r="C29935" s="5" t="str">
        <f>IFERROR(__xludf.DUMMYFUNCTION("GOOGLETRANSLATE(B29935,""en"",""es-ES"")"),"La mujer está lavando al perro con la manguera en la bañera.")</f>
        <v>La mujer está lavando al perro con la manguera en la bañera.</v>
      </c>
    </row>
    <row r="29936">
      <c r="A29936" s="4" t="s">
        <v>37700</v>
      </c>
      <c r="B29936" s="4" t="s">
        <v>37701</v>
      </c>
      <c r="C29936" s="5" t="str">
        <f>IFERROR(__xludf.DUMMYFUNCTION("GOOGLETRANSLATE(B29936,""en"",""es-ES"")"),"Una bandeja de chips se muestra en una mesa.")</f>
        <v>Una bandeja de chips se muestra en una mesa.</v>
      </c>
    </row>
    <row r="29937">
      <c r="A29937" s="4" t="s">
        <v>37700</v>
      </c>
      <c r="B29937" s="4" t="s">
        <v>37702</v>
      </c>
      <c r="C29937" s="5" t="str">
        <f>IFERROR(__xludf.DUMMYFUNCTION("GOOGLETRANSLATE(B29937,""en"",""es-ES"")"),"Una persona está tratando tarjetas en la mesa.")</f>
        <v>Una persona está tratando tarjetas en la mesa.</v>
      </c>
    </row>
    <row r="29938">
      <c r="A29938" s="4" t="s">
        <v>37700</v>
      </c>
      <c r="B29938" s="4" t="s">
        <v>37703</v>
      </c>
      <c r="C29938" s="5" t="str">
        <f>IFERROR(__xludf.DUMMYFUNCTION("GOOGLETRANSLATE(B29938,""en"",""es-ES"")"),"Las personas sentadas en la mesa se dan altas cinco.")</f>
        <v>Las personas sentadas en la mesa se dan altas cinco.</v>
      </c>
    </row>
    <row r="29939">
      <c r="A29939" s="4" t="s">
        <v>37704</v>
      </c>
      <c r="B29939" s="4" t="s">
        <v>37705</v>
      </c>
      <c r="C29939" s="5" t="str">
        <f>IFERROR(__xludf.DUMMYFUNCTION("GOOGLETRANSLATE(B29939,""en"",""es-ES"")"),"Se muestra un disco giratorio con círculos de color, rastreando un carrete de película y las palabras Películas de la India.")</f>
        <v>Se muestra un disco giratorio con círculos de color, rastreando un carrete de película y las palabras Películas de la India.</v>
      </c>
    </row>
    <row r="29940">
      <c r="A29940" s="4" t="s">
        <v>37704</v>
      </c>
      <c r="B29940" s="4" t="s">
        <v>37706</v>
      </c>
      <c r="C29940" s="5" t="str">
        <f>IFERROR(__xludf.DUMMYFUNCTION("GOOGLETRANSLATE(B29940,""en"",""es-ES"")"),"Se muestra a un hombre estirarse antes de participar en un partido de tenis frente a una multitud.")</f>
        <v>Se muestra a un hombre estirarse antes de participar en un partido de tenis frente a una multitud.</v>
      </c>
    </row>
    <row r="29941">
      <c r="A29941" s="4" t="s">
        <v>37704</v>
      </c>
      <c r="B29941" s="4" t="s">
        <v>37707</v>
      </c>
      <c r="C29941" s="5" t="str">
        <f>IFERROR(__xludf.DUMMYFUNCTION("GOOGLETRANSLATE(B29941,""en"",""es-ES"")"),"Luego habla con la multitud entre las cámaras intermitentes a través de un micrófono.")</f>
        <v>Luego habla con la multitud entre las cámaras intermitentes a través de un micrófono.</v>
      </c>
    </row>
    <row r="29942">
      <c r="A29942" s="4" t="s">
        <v>37704</v>
      </c>
      <c r="B29942" s="4" t="s">
        <v>37708</v>
      </c>
      <c r="C29942" s="5" t="str">
        <f>IFERROR(__xludf.DUMMYFUNCTION("GOOGLETRANSLATE(B29942,""en"",""es-ES"")"),"Ocasionalmente se muestra al hombre jugando al tenis, luego vuelve a hablar con el grupo.")</f>
        <v>Ocasionalmente se muestra al hombre jugando al tenis, luego vuelve a hablar con el grupo.</v>
      </c>
    </row>
    <row r="29943">
      <c r="A29943" s="4" t="s">
        <v>37709</v>
      </c>
      <c r="B29943" s="4" t="s">
        <v>37710</v>
      </c>
      <c r="C29943" s="5" t="str">
        <f>IFERROR(__xludf.DUMMYFUNCTION("GOOGLETRANSLATE(B29943,""en"",""es-ES"")"),"Un hombre está parado al pie de una gran pared.")</f>
        <v>Un hombre está parado al pie de una gran pared.</v>
      </c>
    </row>
    <row r="29944">
      <c r="A29944" s="4" t="s">
        <v>37709</v>
      </c>
      <c r="B29944" s="4" t="s">
        <v>37711</v>
      </c>
      <c r="C29944" s="5" t="str">
        <f>IFERROR(__xludf.DUMMYFUNCTION("GOOGLETRANSLATE(B29944,""en"",""es-ES"")"),"Él se estira y mira con la mirada como si pudiera escalarlo.")</f>
        <v>Él se estira y mira con la mirada como si pudiera escalarlo.</v>
      </c>
    </row>
    <row r="29945">
      <c r="A29945" s="4" t="s">
        <v>37709</v>
      </c>
      <c r="B29945" s="4" t="s">
        <v>37712</v>
      </c>
      <c r="C29945" s="5" t="str">
        <f>IFERROR(__xludf.DUMMYFUNCTION("GOOGLETRANSLATE(B29945,""en"",""es-ES"")"),"Mira hacia arriba y hacia abajo antes de poner un pie en la base de la pared.")</f>
        <v>Mira hacia arriba y hacia abajo antes de poner un pie en la base de la pared.</v>
      </c>
    </row>
    <row r="29946">
      <c r="A29946" s="4" t="s">
        <v>37709</v>
      </c>
      <c r="B29946" s="4" t="s">
        <v>37713</v>
      </c>
      <c r="C29946" s="5" t="str">
        <f>IFERROR(__xludf.DUMMYFUNCTION("GOOGLETRANSLATE(B29946,""en"",""es-ES"")"),"Luego comienza a subir cada vez más.")</f>
        <v>Luego comienza a subir cada vez más.</v>
      </c>
    </row>
    <row r="29947">
      <c r="A29947" s="4" t="s">
        <v>37709</v>
      </c>
      <c r="B29947" s="4" t="s">
        <v>37714</v>
      </c>
      <c r="C29947" s="5" t="str">
        <f>IFERROR(__xludf.DUMMYFUNCTION("GOOGLETRANSLATE(B29947,""en"",""es-ES"")"),"Escala la pared muy metódicamente.")</f>
        <v>Escala la pared muy metódicamente.</v>
      </c>
    </row>
    <row r="29948">
      <c r="A29948" s="4" t="s">
        <v>37709</v>
      </c>
      <c r="B29948" s="4" t="s">
        <v>37715</v>
      </c>
      <c r="C29948" s="5" t="str">
        <f>IFERROR(__xludf.DUMMYFUNCTION("GOOGLETRANSLATE(B29948,""en"",""es-ES"")"),"Eventualmente llega a la cima con relativa facilidad.")</f>
        <v>Eventualmente llega a la cima con relativa facilidad.</v>
      </c>
    </row>
    <row r="29949">
      <c r="A29949" s="4" t="s">
        <v>37716</v>
      </c>
      <c r="B29949" s="4" t="s">
        <v>37717</v>
      </c>
      <c r="C29949" s="5" t="str">
        <f>IFERROR(__xludf.DUMMYFUNCTION("GOOGLETRANSLATE(B29949,""en"",""es-ES"")"),"Un niño adolescente está de pie en una cocina, sosteniendo una jarra y hablando.")</f>
        <v>Un niño adolescente está de pie en una cocina, sosteniendo una jarra y hablando.</v>
      </c>
    </row>
    <row r="29950">
      <c r="A29950" s="4" t="s">
        <v>37716</v>
      </c>
      <c r="B29950" s="4" t="s">
        <v>37718</v>
      </c>
      <c r="C29950" s="5" t="str">
        <f>IFERROR(__xludf.DUMMYFUNCTION("GOOGLETRANSLATE(B29950,""en"",""es-ES"")"),"Llena a la jarra con agua en el fregadero.")</f>
        <v>Llena a la jarra con agua en el fregadero.</v>
      </c>
    </row>
    <row r="29951">
      <c r="A29951" s="4" t="s">
        <v>37716</v>
      </c>
      <c r="B29951" s="4" t="s">
        <v>37719</v>
      </c>
      <c r="C29951" s="5" t="str">
        <f>IFERROR(__xludf.DUMMYFUNCTION("GOOGLETRANSLATE(B29951,""en"",""es-ES"")"),"Luego mezcla un polvo en el agua, creando una mezcla de bebidas.")</f>
        <v>Luego mezcla un polvo en el agua, creando una mezcla de bebidas.</v>
      </c>
    </row>
    <row r="29952">
      <c r="A29952" s="4" t="s">
        <v>37716</v>
      </c>
      <c r="B29952" s="4" t="s">
        <v>37720</v>
      </c>
      <c r="C29952" s="5" t="str">
        <f>IFERROR(__xludf.DUMMYFUNCTION("GOOGLETRANSLATE(B29952,""en"",""es-ES"")"),"Aumenta el alcohol, luego bebe de la jarra para probar el sabor.")</f>
        <v>Aumenta el alcohol, luego bebe de la jarra para probar el sabor.</v>
      </c>
    </row>
    <row r="29953">
      <c r="A29953" s="4" t="s">
        <v>37721</v>
      </c>
      <c r="B29953" s="4" t="s">
        <v>37722</v>
      </c>
      <c r="C29953" s="5" t="str">
        <f>IFERROR(__xludf.DUMMYFUNCTION("GOOGLETRANSLATE(B29953,""en"",""es-ES"")"),"Un grupo de personas está dentro de un edificio.")</f>
        <v>Un grupo de personas está dentro de un edificio.</v>
      </c>
    </row>
    <row r="29954">
      <c r="A29954" s="4" t="s">
        <v>37721</v>
      </c>
      <c r="B29954" s="4" t="s">
        <v>37723</v>
      </c>
      <c r="C29954" s="5" t="str">
        <f>IFERROR(__xludf.DUMMYFUNCTION("GOOGLETRANSLATE(B29954,""en"",""es-ES"")"),"Están jugando juntos un juego de Foosball.")</f>
        <v>Están jugando juntos un juego de Foosball.</v>
      </c>
    </row>
    <row r="29955">
      <c r="A29955" s="4" t="s">
        <v>37721</v>
      </c>
      <c r="B29955" s="4" t="s">
        <v>37724</v>
      </c>
      <c r="C29955" s="5" t="str">
        <f>IFERROR(__xludf.DUMMYFUNCTION("GOOGLETRANSLATE(B29955,""en"",""es-ES"")"),"Patan las cifras de un lado a otro, tratando de ganar el juego.")</f>
        <v>Patan las cifras de un lado a otro, tratando de ganar el juego.</v>
      </c>
    </row>
    <row r="29956">
      <c r="A29956" s="4" t="s">
        <v>37725</v>
      </c>
      <c r="B29956" s="4" t="s">
        <v>37726</v>
      </c>
      <c r="C29956" s="5" t="str">
        <f>IFERROR(__xludf.DUMMYFUNCTION("GOOGLETRANSLATE(B29956,""en"",""es-ES"")"),"Un hombre practica hockey sobre hielo lanzando un disco con un palo.")</f>
        <v>Un hombre practica hockey sobre hielo lanzando un disco con un palo.</v>
      </c>
    </row>
    <row r="29957">
      <c r="A29957" s="4" t="s">
        <v>37725</v>
      </c>
      <c r="B29957" s="4" t="s">
        <v>37727</v>
      </c>
      <c r="C29957" s="5" t="str">
        <f>IFERROR(__xludf.DUMMYFUNCTION("GOOGLETRANSLATE(B29957,""en"",""es-ES"")"),"Luego, el jugador anota en un juego y los compañeros de equipo lo felicitan.")</f>
        <v>Luego, el jugador anota en un juego y los compañeros de equipo lo felicitan.</v>
      </c>
    </row>
    <row r="29958">
      <c r="A29958" s="4" t="s">
        <v>37725</v>
      </c>
      <c r="B29958" s="4" t="s">
        <v>37728</v>
      </c>
      <c r="C29958" s="5" t="str">
        <f>IFERROR(__xludf.DUMMYFUNCTION("GOOGLETRANSLATE(B29958,""en"",""es-ES"")"),"Otros jugadores hablan y hablan cuando la puntuación mientras los hombres juegan hockey sobre hielo.")</f>
        <v>Otros jugadores hablan y hablan cuando la puntuación mientras los hombres juegan hockey sobre hielo.</v>
      </c>
    </row>
    <row r="29959">
      <c r="A29959" s="4" t="s">
        <v>37725</v>
      </c>
      <c r="B29959" s="4" t="s">
        <v>37729</v>
      </c>
      <c r="C29959" s="5" t="str">
        <f>IFERROR(__xludf.DUMMYFUNCTION("GOOGLETRANSLATE(B29959,""en"",""es-ES"")"),"Un jugador habla y los equipos están jugando en la cancha de hielo, y los jugadores anotan.")</f>
        <v>Un jugador habla y los equipos están jugando en la cancha de hielo, y los jugadores anotan.</v>
      </c>
    </row>
    <row r="29960">
      <c r="A29960" s="4" t="s">
        <v>37730</v>
      </c>
      <c r="B29960" s="4" t="s">
        <v>37731</v>
      </c>
      <c r="C29960" s="5" t="str">
        <f>IFERROR(__xludf.DUMMYFUNCTION("GOOGLETRANSLATE(B29960,""en"",""es-ES"")"),"Un hombre con camiseta se apoya en un mostrador de cocina junto a bolsas de ingredientes.")</f>
        <v>Un hombre con camiseta se apoya en un mostrador de cocina junto a bolsas de ingredientes.</v>
      </c>
    </row>
    <row r="29961">
      <c r="A29961" s="4" t="s">
        <v>37730</v>
      </c>
      <c r="B29961" s="4" t="s">
        <v>37732</v>
      </c>
      <c r="C29961" s="5" t="str">
        <f>IFERROR(__xludf.DUMMYFUNCTION("GOOGLETRANSLATE(B29961,""en"",""es-ES"")"),"El hombre presenta cada ingrediente separado y los sostiene mostrando cada uno.")</f>
        <v>El hombre presenta cada ingrediente separado y los sostiene mostrando cada uno.</v>
      </c>
    </row>
    <row r="29962">
      <c r="A29962" s="4" t="s">
        <v>37730</v>
      </c>
      <c r="B29962" s="4" t="s">
        <v>37733</v>
      </c>
      <c r="C29962" s="5" t="str">
        <f>IFERROR(__xludf.DUMMYFUNCTION("GOOGLETRANSLATE(B29962,""en"",""es-ES"")"),"Una sartén de salchicha en rodajas y pimientos se cocina en una estufa.")</f>
        <v>Una sartén de salchicha en rodajas y pimientos se cocina en una estufa.</v>
      </c>
    </row>
    <row r="29963">
      <c r="A29963" s="4" t="s">
        <v>37730</v>
      </c>
      <c r="B29963" s="4" t="s">
        <v>37734</v>
      </c>
      <c r="C29963" s="5" t="str">
        <f>IFERROR(__xludf.DUMMYFUNCTION("GOOGLETRANSLATE(B29963,""en"",""es-ES"")"),"Una olla de sopa hierve.")</f>
        <v>Una olla de sopa hierve.</v>
      </c>
    </row>
    <row r="29964">
      <c r="A29964" s="4" t="s">
        <v>37730</v>
      </c>
      <c r="B29964" s="4" t="s">
        <v>37735</v>
      </c>
      <c r="C29964" s="5" t="str">
        <f>IFERROR(__xludf.DUMMYFUNCTION("GOOGLETRANSLATE(B29964,""en"",""es-ES"")"),"Los ingredientes se sientan al lado de la estufa y se están utilizando para preparar la comida.")</f>
        <v>Los ingredientes se sientan al lado de la estufa y se están utilizando para preparar la comida.</v>
      </c>
    </row>
    <row r="29965">
      <c r="A29965" s="4" t="s">
        <v>37730</v>
      </c>
      <c r="B29965" s="4" t="s">
        <v>37736</v>
      </c>
      <c r="C29965" s="5" t="str">
        <f>IFERROR(__xludf.DUMMYFUNCTION("GOOGLETRANSLATE(B29965,""en"",""es-ES"")"),"Un tazón de verduras en rodajas tiene los ingredientes de las sartenes agregados.")</f>
        <v>Un tazón de verduras en rodajas tiene los ingredientes de las sartenes agregados.</v>
      </c>
    </row>
    <row r="29966">
      <c r="A29966" s="4" t="s">
        <v>37730</v>
      </c>
      <c r="B29966" s="4" t="s">
        <v>37737</v>
      </c>
      <c r="C29966" s="5" t="str">
        <f>IFERROR(__xludf.DUMMYFUNCTION("GOOGLETRANSLATE(B29966,""en"",""es-ES"")"),"Se agrega un tazón de colador de pasta al tazón y se sacude.")</f>
        <v>Se agrega un tazón de colador de pasta al tazón y se sacude.</v>
      </c>
    </row>
    <row r="29967">
      <c r="A29967" s="4" t="s">
        <v>37730</v>
      </c>
      <c r="B29967" s="4" t="s">
        <v>37738</v>
      </c>
      <c r="C29967" s="5" t="str">
        <f>IFERROR(__xludf.DUMMYFUNCTION("GOOGLETRANSLATE(B29967,""en"",""es-ES"")"),"Se sostiene una bolsa de queso.")</f>
        <v>Se sostiene una bolsa de queso.</v>
      </c>
    </row>
    <row r="29968">
      <c r="A29968" s="4" t="s">
        <v>37730</v>
      </c>
      <c r="B29968" s="4" t="s">
        <v>37739</v>
      </c>
      <c r="C29968" s="5" t="str">
        <f>IFERROR(__xludf.DUMMYFUNCTION("GOOGLETRANSLATE(B29968,""en"",""es-ES"")"),"El hombre habla cerca de la cámara.")</f>
        <v>El hombre habla cerca de la cámara.</v>
      </c>
    </row>
    <row r="29969">
      <c r="A29969" s="4" t="s">
        <v>37740</v>
      </c>
      <c r="B29969" s="4" t="s">
        <v>37741</v>
      </c>
      <c r="C29969" s="5" t="str">
        <f>IFERROR(__xludf.DUMMYFUNCTION("GOOGLETRANSLATE(B29969,""en"",""es-ES"")"),"Una mujer habla en una oficina.")</f>
        <v>Una mujer habla en una oficina.</v>
      </c>
    </row>
    <row r="29970">
      <c r="A29970" s="4" t="s">
        <v>37740</v>
      </c>
      <c r="B29970" s="4" t="s">
        <v>37742</v>
      </c>
      <c r="C29970" s="5" t="str">
        <f>IFERROR(__xludf.DUMMYFUNCTION("GOOGLETRANSLATE(B29970,""en"",""es-ES"")"),"La mujer explica cómo se acurruca su cabello.")</f>
        <v>La mujer explica cómo se acurruca su cabello.</v>
      </c>
    </row>
    <row r="29971">
      <c r="A29971" s="4" t="s">
        <v>37743</v>
      </c>
      <c r="B29971" s="4" t="s">
        <v>37744</v>
      </c>
      <c r="C29971" s="5" t="str">
        <f>IFERROR(__xludf.DUMMYFUNCTION("GOOGLETRANSLATE(B29971,""en"",""es-ES"")"),"Se ve a un gran grupo de personas de pie y sentado alrededor de un pozo de arena mientras un corredor salta dentro de él.")</f>
        <v>Se ve a un gran grupo de personas de pie y sentado alrededor de un pozo de arena mientras un corredor salta dentro de él.</v>
      </c>
    </row>
    <row r="29972">
      <c r="A29972" s="4" t="s">
        <v>37743</v>
      </c>
      <c r="B29972" s="4" t="s">
        <v>37745</v>
      </c>
      <c r="C29972" s="5" t="str">
        <f>IFERROR(__xludf.DUMMYFUNCTION("GOOGLETRANSLATE(B29972,""en"",""es-ES"")"),"El hombre se muestra varias veces saltando con personas que miden su salto después y rastrillando la arena.")</f>
        <v>El hombre se muestra varias veces saltando con personas que miden su salto después y rastrillando la arena.</v>
      </c>
    </row>
    <row r="29973">
      <c r="A29973" s="4" t="s">
        <v>37746</v>
      </c>
      <c r="B29973" s="4" t="s">
        <v>37747</v>
      </c>
      <c r="C29973" s="5" t="str">
        <f>IFERROR(__xludf.DUMMYFUNCTION("GOOGLETRANSLATE(B29973,""en"",""es-ES"")"),"Dos animadoras hacen ejercicio en un gimnasio mientras hablan.")</f>
        <v>Dos animadoras hacen ejercicio en un gimnasio mientras hablan.</v>
      </c>
    </row>
    <row r="29974">
      <c r="A29974" s="4" t="s">
        <v>37746</v>
      </c>
      <c r="B29974" s="4" t="s">
        <v>37748</v>
      </c>
      <c r="C29974" s="5" t="str">
        <f>IFERROR(__xludf.DUMMYFUNCTION("GOOGLETRANSLATE(B29974,""en"",""es-ES"")"),"Una animadora está en una habitación y luego levanta peso, mientras que la otra habla en su teléfono.")</f>
        <v>Una animadora está en una habitación y luego levanta peso, mientras que la otra habla en su teléfono.</v>
      </c>
    </row>
    <row r="29975">
      <c r="A29975" s="4" t="s">
        <v>37746</v>
      </c>
      <c r="B29975" s="4" t="s">
        <v>37749</v>
      </c>
      <c r="C29975" s="5" t="str">
        <f>IFERROR(__xludf.DUMMYFUNCTION("GOOGLETRANSLATE(B29975,""en"",""es-ES"")"),"Después, las animadoras hablan y hacen ejercicio.")</f>
        <v>Después, las animadoras hablan y hacen ejercicio.</v>
      </c>
    </row>
    <row r="29976">
      <c r="A29976" s="4" t="s">
        <v>37746</v>
      </c>
      <c r="B29976" s="4" t="s">
        <v>37750</v>
      </c>
      <c r="C29976" s="5" t="str">
        <f>IFERROR(__xludf.DUMMYFUNCTION("GOOGLETRANSLATE(B29976,""en"",""es-ES"")"),"Después, las animadoras hacen ejercicio y también hablan.")</f>
        <v>Después, las animadoras hacen ejercicio y también hablan.</v>
      </c>
    </row>
    <row r="29977">
      <c r="A29977" s="4" t="s">
        <v>37751</v>
      </c>
      <c r="B29977" s="4" t="s">
        <v>37752</v>
      </c>
      <c r="C29977" s="5" t="str">
        <f>IFERROR(__xludf.DUMMYFUNCTION("GOOGLETRANSLATE(B29977,""en"",""es-ES"")"),"Una mujer está en una cancha de concreto afuera.")</f>
        <v>Una mujer está en una cancha de concreto afuera.</v>
      </c>
    </row>
    <row r="29978">
      <c r="A29978" s="4" t="s">
        <v>37751</v>
      </c>
      <c r="B29978" s="4" t="s">
        <v>37753</v>
      </c>
      <c r="C29978" s="5" t="str">
        <f>IFERROR(__xludf.DUMMYFUNCTION("GOOGLETRANSLATE(B29978,""en"",""es-ES"")"),"Ella está saltando a través de un juego de rayas de lomo.")</f>
        <v>Ella está saltando a través de un juego de rayas de lomo.</v>
      </c>
    </row>
    <row r="29979">
      <c r="A29979" s="4" t="s">
        <v>37751</v>
      </c>
      <c r="B29979" s="4" t="s">
        <v>37754</v>
      </c>
      <c r="C29979" s="5" t="str">
        <f>IFERROR(__xludf.DUMMYFUNCTION("GOOGLETRANSLATE(B29979,""en"",""es-ES"")"),"Ella va y viene sobre el rompecabezas dos veces.")</f>
        <v>Ella va y viene sobre el rompecabezas dos veces.</v>
      </c>
    </row>
    <row r="29980">
      <c r="A29980" s="4" t="s">
        <v>37755</v>
      </c>
      <c r="B29980" s="4" t="s">
        <v>37756</v>
      </c>
      <c r="C29980" s="5" t="str">
        <f>IFERROR(__xludf.DUMMYFUNCTION("GOOGLETRANSLATE(B29980,""en"",""es-ES"")"),"Dos perros con ropa corren juntos por las escaleras.")</f>
        <v>Dos perros con ropa corren juntos por las escaleras.</v>
      </c>
    </row>
    <row r="29981">
      <c r="A29981" s="4" t="s">
        <v>37755</v>
      </c>
      <c r="B29981" s="4" t="s">
        <v>37757</v>
      </c>
      <c r="C29981" s="5" t="str">
        <f>IFERROR(__xludf.DUMMYFUNCTION("GOOGLETRANSLATE(B29981,""en"",""es-ES"")"),"Los dos perros se muestran corriendo juntos en medio de multitudes en varios lugares diferentes mientras siguen a un hombre.")</f>
        <v>Los dos perros se muestran corriendo juntos en medio de multitudes en varios lugares diferentes mientras siguen a un hombre.</v>
      </c>
    </row>
    <row r="29982">
      <c r="A29982" s="4" t="s">
        <v>37755</v>
      </c>
      <c r="B29982" s="4" t="s">
        <v>37758</v>
      </c>
      <c r="C29982" s="5" t="str">
        <f>IFERROR(__xludf.DUMMYFUNCTION("GOOGLETRANSLATE(B29982,""en"",""es-ES"")"),"El hombre enseña a un perro a tirar de otro por la correa.")</f>
        <v>El hombre enseña a un perro a tirar de otro por la correa.</v>
      </c>
    </row>
    <row r="29983">
      <c r="A29983" s="4" t="s">
        <v>37759</v>
      </c>
      <c r="B29983" s="4" t="s">
        <v>37760</v>
      </c>
      <c r="C29983" s="5" t="str">
        <f>IFERROR(__xludf.DUMMYFUNCTION("GOOGLETRANSLATE(B29983,""en"",""es-ES"")"),"Una dama con traje habla en una habitación blanca.")</f>
        <v>Una dama con traje habla en una habitación blanca.</v>
      </c>
    </row>
    <row r="29984">
      <c r="A29984" s="4" t="s">
        <v>37759</v>
      </c>
      <c r="B29984" s="4" t="s">
        <v>37761</v>
      </c>
      <c r="C29984" s="5" t="str">
        <f>IFERROR(__xludf.DUMMYFUNCTION("GOOGLETRANSLATE(B29984,""en"",""es-ES"")"),"Vemos a un hombre lavando un automóvil con una toalla.")</f>
        <v>Vemos a un hombre lavando un automóvil con una toalla.</v>
      </c>
    </row>
    <row r="29985">
      <c r="A29985" s="4" t="s">
        <v>37759</v>
      </c>
      <c r="B29985" s="4" t="s">
        <v>37762</v>
      </c>
      <c r="C29985" s="5" t="str">
        <f>IFERROR(__xludf.DUMMYFUNCTION("GOOGLETRANSLATE(B29985,""en"",""es-ES"")"),"Vemos que el automóvil se enjuaga con una lavadora a presión y la rueda se limpia.")</f>
        <v>Vemos que el automóvil se enjuaga con una lavadora a presión y la rueda se limpia.</v>
      </c>
    </row>
    <row r="29986">
      <c r="A29986" s="4" t="s">
        <v>37759</v>
      </c>
      <c r="B29986" s="4" t="s">
        <v>37763</v>
      </c>
      <c r="C29986" s="5" t="str">
        <f>IFERROR(__xludf.DUMMYFUNCTION("GOOGLETRANSLATE(B29986,""en"",""es-ES"")"),"El emblema aparece en la pantalla mientras la espuma se desliza por un automóvil.")</f>
        <v>El emblema aparece en la pantalla mientras la espuma se desliza por un automóvil.</v>
      </c>
    </row>
    <row r="29987">
      <c r="A29987" s="4" t="s">
        <v>37764</v>
      </c>
      <c r="B29987" s="4" t="s">
        <v>37765</v>
      </c>
      <c r="C29987" s="5" t="str">
        <f>IFERROR(__xludf.DUMMYFUNCTION("GOOGLETRANSLATE(B29987,""en"",""es-ES"")"),"Un hombre está de pie en una habitación con tres paredes y una pared de vidrio detrás de él golpeando una pelota con una raqueta.")</f>
        <v>Un hombre está de pie en una habitación con tres paredes y una pared de vidrio detrás de él golpeando una pelota con una raqueta.</v>
      </c>
    </row>
    <row r="29988">
      <c r="A29988" s="4" t="s">
        <v>37764</v>
      </c>
      <c r="B29988" s="4" t="s">
        <v>37766</v>
      </c>
      <c r="C29988" s="5" t="str">
        <f>IFERROR(__xludf.DUMMYFUNCTION("GOOGLETRANSLATE(B29988,""en"",""es-ES"")"),"Luego se muestra una serie de palabras, así como un video de YouTube.")</f>
        <v>Luego se muestra una serie de palabras, así como un video de YouTube.</v>
      </c>
    </row>
    <row r="29989">
      <c r="A29989" s="4" t="s">
        <v>37764</v>
      </c>
      <c r="B29989" s="4" t="s">
        <v>37767</v>
      </c>
      <c r="C29989" s="5" t="str">
        <f>IFERROR(__xludf.DUMMYFUNCTION("GOOGLETRANSLATE(B29989,""en"",""es-ES"")"),"La siguiente pantalla llega con un gran globo de aire caliente y autos animados.")</f>
        <v>La siguiente pantalla llega con un gran globo de aire caliente y autos animados.</v>
      </c>
    </row>
    <row r="29990">
      <c r="A29990" s="4" t="s">
        <v>37768</v>
      </c>
      <c r="B29990" s="4" t="s">
        <v>37769</v>
      </c>
      <c r="C29990" s="5" t="str">
        <f>IFERROR(__xludf.DUMMYFUNCTION("GOOGLETRANSLATE(B29990,""en"",""es-ES"")"),"Se muestra un objeto borrosa y se muestra un texto blanco que dice ""Fun Shoe Shine"".")</f>
        <v>Se muestra un objeto borrosa y se muestra un texto blanco que dice "Fun Shoe Shine".</v>
      </c>
    </row>
    <row r="29991">
      <c r="A29991" s="4" t="s">
        <v>37768</v>
      </c>
      <c r="B29991" s="4" t="s">
        <v>37770</v>
      </c>
      <c r="C29991" s="5" t="str">
        <f>IFERROR(__xludf.DUMMYFUNCTION("GOOGLETRANSLATE(B29991,""en"",""es-ES"")"),"A medida que la imagen se vuelve más clara, hay una pequeña lata de plata con un tornillo en la tapa y la escritura en el ""Dr. Martens Airwair"" de la lata.")</f>
        <v>A medida que la imagen se vuelve más clara, hay una pequeña lata de plata con un tornillo en la tapa y la escritura en el "Dr. Martens Airwair" de la lata.</v>
      </c>
    </row>
    <row r="29992">
      <c r="A29992" s="4" t="s">
        <v>37768</v>
      </c>
      <c r="B29992" s="4" t="s">
        <v>37771</v>
      </c>
      <c r="C29992" s="5" t="str">
        <f>IFERROR(__xludf.DUMMYFUNCTION("GOOGLETRANSLATE(B29992,""en"",""es-ES"")"),"Un par de botas negras brillantes están de pie y sus zapatos negros están atados y el texto ""después"" aparece en el área delantera izquierda de la bota.")</f>
        <v>Un par de botas negras brillantes están de pie y sus zapatos negros están atados y el texto "después" aparece en el área delantera izquierda de la bota.</v>
      </c>
    </row>
    <row r="29993">
      <c r="A29993" s="4" t="s">
        <v>37768</v>
      </c>
      <c r="B29993" s="4" t="s">
        <v>37772</v>
      </c>
      <c r="C29993" s="5" t="str">
        <f>IFERROR(__xludf.DUMMYFUNCTION("GOOGLETRANSLATE(B29993,""en"",""es-ES"")"),"Se muestran algunos ángulos de las botas y aparecen varias palabras frente a ellas.")</f>
        <v>Se muestran algunos ángulos de las botas y aparecen varias palabras frente a ellas.</v>
      </c>
    </row>
    <row r="29994">
      <c r="A29994" s="4" t="s">
        <v>37768</v>
      </c>
      <c r="B29994" s="4" t="s">
        <v>37773</v>
      </c>
      <c r="C29994" s="5" t="str">
        <f>IFERROR(__xludf.DUMMYFUNCTION("GOOGLETRANSLATE(B29994,""en"",""es-ES"")"),"Luego se ve a una persona limpiando el arranque con una tela y aparecen más textos.")</f>
        <v>Luego se ve a una persona limpiando el arranque con una tela y aparecen más textos.</v>
      </c>
    </row>
    <row r="29995">
      <c r="A29995" s="4" t="s">
        <v>37768</v>
      </c>
      <c r="B29995" s="4" t="s">
        <v>37774</v>
      </c>
      <c r="C29995" s="5" t="str">
        <f>IFERROR(__xludf.DUMMYFUNCTION("GOOGLETRANSLATE(B29995,""en"",""es-ES"")"),"Un primer plano de la plata puede abrirse con una mano está mostrando el contenido y cómo usar el contenido en una bota.")</f>
        <v>Un primer plano de la plata puede abrirse con una mano está mostrando el contenido y cómo usar el contenido en una bota.</v>
      </c>
    </row>
    <row r="29996">
      <c r="A29996" s="4" t="s">
        <v>37768</v>
      </c>
      <c r="B29996" s="4" t="s">
        <v>37775</v>
      </c>
      <c r="C29996" s="5" t="str">
        <f>IFERROR(__xludf.DUMMYFUNCTION("GOOGLETRANSLATE(B29996,""en"",""es-ES"")"),"La lata se atornilla nuevamente y los textos ""nos vemos la próxima vez"" finalizan el video.")</f>
        <v>La lata se atornilla nuevamente y los textos "nos vemos la próxima vez" finalizan el video.</v>
      </c>
    </row>
    <row r="29997">
      <c r="A29997" s="4" t="s">
        <v>37768</v>
      </c>
      <c r="B29997" s="4" t="s">
        <v>37776</v>
      </c>
      <c r="C29997" s="5" t="str">
        <f>IFERROR(__xludf.DUMMYFUNCTION("GOOGLETRANSLATE(B29997,""en"",""es-ES"")"),"Los textos emergentes ocurren durante todo el tiempo.")</f>
        <v>Los textos emergentes ocurren durante todo el tiempo.</v>
      </c>
    </row>
    <row r="29998">
      <c r="A29998" s="4" t="s">
        <v>37777</v>
      </c>
      <c r="B29998" s="4" t="s">
        <v>37778</v>
      </c>
      <c r="C29998" s="5" t="str">
        <f>IFERROR(__xludf.DUMMYFUNCTION("GOOGLETRANSLATE(B29998,""en"",""es-ES"")"),"Una persona está montando una bicicleta por un camino de tierra.")</f>
        <v>Una persona está montando una bicicleta por un camino de tierra.</v>
      </c>
    </row>
    <row r="29999">
      <c r="A29999" s="4" t="s">
        <v>37777</v>
      </c>
      <c r="B29999" s="4" t="s">
        <v>37779</v>
      </c>
      <c r="C29999" s="5" t="str">
        <f>IFERROR(__xludf.DUMMYFUNCTION("GOOGLETRANSLATE(B29999,""en"",""es-ES"")"),"Un niño pequeño con rojo está montando una pequeña bicicleta por la pista.")</f>
        <v>Un niño pequeño con rojo está montando una pequeña bicicleta por la pista.</v>
      </c>
    </row>
    <row r="30000">
      <c r="A30000" s="4" t="s">
        <v>37777</v>
      </c>
      <c r="B30000" s="4" t="s">
        <v>37780</v>
      </c>
      <c r="C30000" s="5" t="str">
        <f>IFERROR(__xludf.DUMMYFUNCTION("GOOGLETRANSLATE(B30000,""en"",""es-ES"")"),"Una persona se cae al final.")</f>
        <v>Una persona se cae al final.</v>
      </c>
    </row>
    <row r="30001">
      <c r="A30001" s="4" t="s">
        <v>37781</v>
      </c>
      <c r="B30001" s="4" t="s">
        <v>37782</v>
      </c>
      <c r="C30001" s="5" t="str">
        <f>IFERROR(__xludf.DUMMYFUNCTION("GOOGLETRANSLATE(B30001,""en"",""es-ES"")"),"Comida chisporroteando en aceite caliente en una sartén negra en la estufa, una cuchara de tallo largo se encuentra en la sartén.")</f>
        <v>Comida chisporroteando en aceite caliente en una sartén negra en la estufa, una cuchara de tallo largo se encuentra en la sartén.</v>
      </c>
    </row>
    <row r="30002">
      <c r="A30002" s="4" t="s">
        <v>37781</v>
      </c>
      <c r="B30002" s="4" t="s">
        <v>37783</v>
      </c>
      <c r="C30002" s="5" t="str">
        <f>IFERROR(__xludf.DUMMYFUNCTION("GOOGLETRANSLATE(B30002,""en"",""es-ES"")"),"Las cebollas se agregan a la sartén.")</f>
        <v>Las cebollas se agregan a la sartén.</v>
      </c>
    </row>
    <row r="30003">
      <c r="A30003" s="4" t="s">
        <v>37781</v>
      </c>
      <c r="B30003" s="4" t="s">
        <v>37784</v>
      </c>
      <c r="C30003" s="5" t="str">
        <f>IFERROR(__xludf.DUMMYFUNCTION("GOOGLETRANSLATE(B30003,""en"",""es-ES"")"),"La sartén se agita y se quita la cuchara.")</f>
        <v>La sartén se agita y se quita la cuchara.</v>
      </c>
    </row>
    <row r="30004">
      <c r="A30004" s="4" t="s">
        <v>37781</v>
      </c>
      <c r="B30004" s="4" t="s">
        <v>37785</v>
      </c>
      <c r="C30004" s="5" t="str">
        <f>IFERROR(__xludf.DUMMYFUNCTION("GOOGLETRANSLATE(B30004,""en"",""es-ES"")"),"La sal se agrega y se agita.")</f>
        <v>La sal se agrega y se agita.</v>
      </c>
    </row>
    <row r="30005">
      <c r="A30005" s="4" t="s">
        <v>37781</v>
      </c>
      <c r="B30005" s="4" t="s">
        <v>37786</v>
      </c>
      <c r="C30005" s="5" t="str">
        <f>IFERROR(__xludf.DUMMYFUNCTION("GOOGLETRANSLATE(B30005,""en"",""es-ES"")"),"La sartén chisporrotea suavemente mientras la mezcla se cocina.")</f>
        <v>La sartén chisporrotea suavemente mientras la mezcla se cocina.</v>
      </c>
    </row>
    <row r="30006">
      <c r="A30006" s="4" t="s">
        <v>37781</v>
      </c>
      <c r="B30006" s="4" t="s">
        <v>37787</v>
      </c>
      <c r="C30006" s="5" t="str">
        <f>IFERROR(__xludf.DUMMYFUNCTION("GOOGLETRANSLATE(B30006,""en"",""es-ES"")"),"Las especias se agregan a la sartén.")</f>
        <v>Las especias se agregan a la sartén.</v>
      </c>
    </row>
    <row r="30007">
      <c r="A30007" s="4" t="s">
        <v>37781</v>
      </c>
      <c r="B30007" s="4" t="s">
        <v>37788</v>
      </c>
      <c r="C30007" s="5" t="str">
        <f>IFERROR(__xludf.DUMMYFUNCTION("GOOGLETRANSLATE(B30007,""en"",""es-ES"")"),"La llama es visible ya que la sartén se araña más vigorosamente, la sartén se agita y la comida se dora.")</f>
        <v>La llama es visible ya que la sartén se araña más vigorosamente, la sartén se agita y la comida se dora.</v>
      </c>
    </row>
    <row r="30008">
      <c r="A30008" s="4" t="s">
        <v>37781</v>
      </c>
      <c r="B30008" s="4" t="s">
        <v>37789</v>
      </c>
      <c r="C30008" s="5" t="str">
        <f>IFERROR(__xludf.DUMMYFUNCTION("GOOGLETRANSLATE(B30008,""en"",""es-ES"")"),"4 huevos se dividen en la sartén.")</f>
        <v>4 huevos se dividen en la sartén.</v>
      </c>
    </row>
    <row r="30009">
      <c r="A30009" s="4" t="s">
        <v>37781</v>
      </c>
      <c r="B30009" s="4" t="s">
        <v>37790</v>
      </c>
      <c r="C30009" s="5" t="str">
        <f>IFERROR(__xludf.DUMMYFUNCTION("GOOGLETRANSLATE(B30009,""en"",""es-ES"")"),"La mezcla se agita y se deja para cocinar.")</f>
        <v>La mezcla se agita y se deja para cocinar.</v>
      </c>
    </row>
    <row r="30010">
      <c r="A30010" s="4" t="s">
        <v>37781</v>
      </c>
      <c r="B30010" s="4" t="s">
        <v>37791</v>
      </c>
      <c r="C30010" s="5" t="str">
        <f>IFERROR(__xludf.DUMMYFUNCTION("GOOGLETRANSLATE(B30010,""en"",""es-ES"")"),"La pasta se vierte y se agita en la mezcla de un tamiz.")</f>
        <v>La pasta se vierte y se agita en la mezcla de un tamiz.</v>
      </c>
    </row>
    <row r="30011">
      <c r="A30011" s="4" t="s">
        <v>37781</v>
      </c>
      <c r="B30011" s="4" t="s">
        <v>37792</v>
      </c>
      <c r="C30011" s="5" t="str">
        <f>IFERROR(__xludf.DUMMYFUNCTION("GOOGLETRANSLATE(B30011,""en"",""es-ES"")"),"Se deja cocinar más.")</f>
        <v>Se deja cocinar más.</v>
      </c>
    </row>
    <row r="30012">
      <c r="A30012" s="4" t="s">
        <v>37781</v>
      </c>
      <c r="B30012" s="4" t="s">
        <v>37793</v>
      </c>
      <c r="C30012" s="5" t="str">
        <f>IFERROR(__xludf.DUMMYFUNCTION("GOOGLETRANSLATE(B30012,""en"",""es-ES"")"),"Ahora está plateado y las hierbas frescas se rocían en la parte superior.")</f>
        <v>Ahora está plateado y las hierbas frescas se rocían en la parte superior.</v>
      </c>
    </row>
    <row r="30013">
      <c r="A30013" s="4" t="s">
        <v>37794</v>
      </c>
      <c r="B30013" s="4" t="s">
        <v>37795</v>
      </c>
      <c r="C30013" s="5" t="str">
        <f>IFERROR(__xludf.DUMMYFUNCTION("GOOGLETRANSLATE(B30013,""en"",""es-ES"")"),"Se ve a un hombre caminando por un área señalándose para sí mismo y hablando con la cámara.")</f>
        <v>Se ve a un hombre caminando por un área señalándose para sí mismo y hablando con la cámara.</v>
      </c>
    </row>
    <row r="30014">
      <c r="A30014" s="4" t="s">
        <v>37794</v>
      </c>
      <c r="B30014" s="4" t="s">
        <v>37796</v>
      </c>
      <c r="C30014" s="5" t="str">
        <f>IFERROR(__xludf.DUMMYFUNCTION("GOOGLETRANSLATE(B30014,""en"",""es-ES"")"),"El hombre luego comienza a realizar varios movimientos de artes marciales y pateando hacia la cámara.")</f>
        <v>El hombre luego comienza a realizar varios movimientos de artes marciales y pateando hacia la cámara.</v>
      </c>
    </row>
    <row r="30015">
      <c r="A30015" s="4" t="s">
        <v>37794</v>
      </c>
      <c r="B30015" s="4" t="s">
        <v>37797</v>
      </c>
      <c r="C30015" s="5" t="str">
        <f>IFERROR(__xludf.DUMMYFUNCTION("GOOGLETRANSLATE(B30015,""en"",""es-ES"")"),"El hombre continúa moviéndose mientras la cámara captura sus movimientos.")</f>
        <v>El hombre continúa moviéndose mientras la cámara captura sus movimientos.</v>
      </c>
    </row>
    <row r="30016">
      <c r="A30016" s="4" t="s">
        <v>37798</v>
      </c>
      <c r="B30016" s="4" t="s">
        <v>37799</v>
      </c>
      <c r="C30016" s="5" t="str">
        <f>IFERROR(__xludf.DUMMYFUNCTION("GOOGLETRANSLATE(B30016,""en"",""es-ES"")"),"Una gimnasta se inclina antes de caminar hasta la viga.")</f>
        <v>Una gimnasta se inclina antes de caminar hasta la viga.</v>
      </c>
    </row>
    <row r="30017">
      <c r="A30017" s="4" t="s">
        <v>37798</v>
      </c>
      <c r="B30017" s="4" t="s">
        <v>37800</v>
      </c>
      <c r="C30017" s="5" t="str">
        <f>IFERROR(__xludf.DUMMYFUNCTION("GOOGLETRANSLATE(B30017,""en"",""es-ES"")"),"Él monta la viga y comienza a actuar.")</f>
        <v>Él monta la viga y comienza a actuar.</v>
      </c>
    </row>
    <row r="30018">
      <c r="A30018" s="4" t="s">
        <v>37798</v>
      </c>
      <c r="B30018" s="4" t="s">
        <v>37801</v>
      </c>
      <c r="C30018" s="5" t="str">
        <f>IFERROR(__xludf.DUMMYFUNCTION("GOOGLETRANSLATE(B30018,""en"",""es-ES"")"),"Él gira alrededor del rayo varias veces.")</f>
        <v>Él gira alrededor del rayo varias veces.</v>
      </c>
    </row>
    <row r="30019">
      <c r="A30019" s="4" t="s">
        <v>37798</v>
      </c>
      <c r="B30019" s="4" t="s">
        <v>37802</v>
      </c>
      <c r="C30019" s="5" t="str">
        <f>IFERROR(__xludf.DUMMYFUNCTION("GOOGLETRANSLATE(B30019,""en"",""es-ES"")"),"Salta del rayo en un final.")</f>
        <v>Salta del rayo en un final.</v>
      </c>
    </row>
    <row r="30020">
      <c r="A30020" s="4" t="s">
        <v>37803</v>
      </c>
      <c r="B30020" s="4" t="s">
        <v>37804</v>
      </c>
      <c r="C30020" s="5" t="str">
        <f>IFERROR(__xludf.DUMMYFUNCTION("GOOGLETRANSLATE(B30020,""en"",""es-ES"")"),"Un grupo de hombres vestidos cuando Redcoats marchan a un escenario.")</f>
        <v>Un grupo de hombres vestidos cuando Redcoats marchan a un escenario.</v>
      </c>
    </row>
    <row r="30021">
      <c r="A30021" s="4" t="s">
        <v>37803</v>
      </c>
      <c r="B30021" s="4" t="s">
        <v>37805</v>
      </c>
      <c r="C30021" s="5" t="str">
        <f>IFERROR(__xludf.DUMMYFUNCTION("GOOGLETRANSLATE(B30021,""en"",""es-ES"")"),"Luego vemos a una mujer sosteniendo una bandera en el centro y muchas mujeres junto a ella mientras saltan sobre un enorme jumprope.")</f>
        <v>Luego vemos a una mujer sosteniendo una bandera en el centro y muchas mujeres junto a ella mientras saltan sobre un enorme jumprope.</v>
      </c>
    </row>
    <row r="30022">
      <c r="A30022" s="4" t="s">
        <v>37803</v>
      </c>
      <c r="B30022" s="4" t="s">
        <v>37806</v>
      </c>
      <c r="C30022" s="5" t="str">
        <f>IFERROR(__xludf.DUMMYFUNCTION("GOOGLETRANSLATE(B30022,""en"",""es-ES"")"),"Realizan muchos trucos de salto y volteo con las cuerdas, trayendo más cuerdas cada pocos minutos.")</f>
        <v>Realizan muchos trucos de salto y volteo con las cuerdas, trayendo más cuerdas cada pocos minutos.</v>
      </c>
    </row>
    <row r="30023">
      <c r="A30023" s="4" t="s">
        <v>37803</v>
      </c>
      <c r="B30023" s="4" t="s">
        <v>37807</v>
      </c>
      <c r="C30023" s="5" t="str">
        <f>IFERROR(__xludf.DUMMYFUNCTION("GOOGLETRANSLATE(B30023,""en"",""es-ES"")"),"Cuando terminan, se congelan en una pose y la pantalla se vuelve negra.")</f>
        <v>Cuando terminan, se congelan en una pose y la pantalla se vuelve negra.</v>
      </c>
    </row>
    <row r="30024">
      <c r="A30024" s="4" t="s">
        <v>37808</v>
      </c>
      <c r="B30024" s="4" t="s">
        <v>37809</v>
      </c>
      <c r="C30024" s="5" t="str">
        <f>IFERROR(__xludf.DUMMYFUNCTION("GOOGLETRANSLATE(B30024,""en"",""es-ES"")"),"Una mujer se está cepillando los dientes.")</f>
        <v>Una mujer se está cepillando los dientes.</v>
      </c>
    </row>
    <row r="30025">
      <c r="A30025" s="4" t="s">
        <v>37808</v>
      </c>
      <c r="B30025" s="4" t="s">
        <v>37810</v>
      </c>
      <c r="C30025" s="5" t="str">
        <f>IFERROR(__xludf.DUMMYFUNCTION("GOOGLETRANSLATE(B30025,""en"",""es-ES"")"),"Una mujer se acerca detrás de ella.")</f>
        <v>Una mujer se acerca detrás de ella.</v>
      </c>
    </row>
    <row r="30026">
      <c r="A30026" s="4" t="s">
        <v>37808</v>
      </c>
      <c r="B30026" s="4" t="s">
        <v>37811</v>
      </c>
      <c r="C30026" s="5" t="str">
        <f>IFERROR(__xludf.DUMMYFUNCTION("GOOGLETRANSLATE(B30026,""en"",""es-ES"")"),"La mujer deja de cepillarse los dientes.")</f>
        <v>La mujer deja de cepillarse los dientes.</v>
      </c>
    </row>
    <row r="30027">
      <c r="A30027" s="4" t="s">
        <v>37808</v>
      </c>
      <c r="B30027" s="4" t="s">
        <v>37812</v>
      </c>
      <c r="C30027" s="5" t="str">
        <f>IFERROR(__xludf.DUMMYFUNCTION("GOOGLETRANSLATE(B30027,""en"",""es-ES"")"),"Una mujer sonríe realmente grande.")</f>
        <v>Una mujer sonríe realmente grande.</v>
      </c>
    </row>
    <row r="30028">
      <c r="A30028" s="4" t="s">
        <v>37813</v>
      </c>
      <c r="B30028" s="4" t="s">
        <v>37814</v>
      </c>
      <c r="C30028" s="5" t="str">
        <f>IFERROR(__xludf.DUMMYFUNCTION("GOOGLETRANSLATE(B30028,""en"",""es-ES"")"),"Una niña que lleva un arco marrón está parado frente al fregadero cepillándose los dientes.")</f>
        <v>Una niña que lleva un arco marrón está parado frente al fregadero cepillándose los dientes.</v>
      </c>
    </row>
    <row r="30029">
      <c r="A30029" s="4" t="s">
        <v>37813</v>
      </c>
      <c r="B30029" s="4" t="s">
        <v>37815</v>
      </c>
      <c r="C30029" s="5" t="str">
        <f>IFERROR(__xludf.DUMMYFUNCTION("GOOGLETRANSLATE(B30029,""en"",""es-ES"")"),"La niña, luego enciende el agua y escupe varias veces en el fregadero.")</f>
        <v>La niña, luego enciende el agua y escupe varias veces en el fregadero.</v>
      </c>
    </row>
    <row r="30030">
      <c r="A30030" s="4" t="s">
        <v>37813</v>
      </c>
      <c r="B30030" s="4" t="s">
        <v>37816</v>
      </c>
      <c r="C30030" s="5" t="str">
        <f>IFERROR(__xludf.DUMMYFUNCTION("GOOGLETRANSLATE(B30030,""en"",""es-ES"")"),"Finalmente, ella pone el cepillo, enjuaga su boca y la seca con una toalla marrón.")</f>
        <v>Finalmente, ella pone el cepillo, enjuaga su boca y la seca con una toalla marrón.</v>
      </c>
    </row>
    <row r="30031">
      <c r="A30031" s="4" t="s">
        <v>37817</v>
      </c>
      <c r="B30031" s="4" t="s">
        <v>37818</v>
      </c>
      <c r="C30031" s="5" t="str">
        <f>IFERROR(__xludf.DUMMYFUNCTION("GOOGLETRANSLATE(B30031,""en"",""es-ES"")"),"Se ve a un niño pequeño sentado sobre un tobogán y mirando hacia la cámara.")</f>
        <v>Se ve a un niño pequeño sentado sobre un tobogán y mirando hacia la cámara.</v>
      </c>
    </row>
    <row r="30032">
      <c r="A30032" s="4" t="s">
        <v>37817</v>
      </c>
      <c r="B30032" s="4" t="s">
        <v>37819</v>
      </c>
      <c r="C30032" s="5" t="str">
        <f>IFERROR(__xludf.DUMMYFUNCTION("GOOGLETRANSLATE(B30032,""en"",""es-ES"")"),"El niño luego se empuja hacia atrás por el tobogán mientras gira al final y salta.")</f>
        <v>El niño luego se empuja hacia atrás por el tobogán mientras gira al final y salta.</v>
      </c>
    </row>
    <row r="30033">
      <c r="A30033" s="4" t="s">
        <v>37820</v>
      </c>
      <c r="B30033" s="4" t="s">
        <v>37821</v>
      </c>
      <c r="C30033" s="5" t="str">
        <f>IFERROR(__xludf.DUMMYFUNCTION("GOOGLETRANSLATE(B30033,""en"",""es-ES"")"),"Se ve a una niña hablando con la cámara y comienza a jugar con su cabello.")</f>
        <v>Se ve a una niña hablando con la cámara y comienza a jugar con su cabello.</v>
      </c>
    </row>
    <row r="30034">
      <c r="A30034" s="4" t="s">
        <v>37820</v>
      </c>
      <c r="B30034" s="4" t="s">
        <v>37822</v>
      </c>
      <c r="C30034" s="5" t="str">
        <f>IFERROR(__xludf.DUMMYFUNCTION("GOOGLETRANSLATE(B30034,""en"",""es-ES"")"),"Ella la ata y pone una diadema en su cabello.")</f>
        <v>Ella la ata y pone una diadema en su cabello.</v>
      </c>
    </row>
    <row r="30035">
      <c r="A30035" s="4" t="s">
        <v>37820</v>
      </c>
      <c r="B30035" s="4" t="s">
        <v>37823</v>
      </c>
      <c r="C30035" s="5" t="str">
        <f>IFERROR(__xludf.DUMMYFUNCTION("GOOGLETRANSLATE(B30035,""en"",""es-ES"")"),"Luego pone más el cabello falso y se hace de maquillaje.")</f>
        <v>Luego pone más el cabello falso y se hace de maquillaje.</v>
      </c>
    </row>
    <row r="30036">
      <c r="A30036" s="4" t="s">
        <v>37820</v>
      </c>
      <c r="B30036" s="4" t="s">
        <v>37824</v>
      </c>
      <c r="C30036" s="5" t="str">
        <f>IFERROR(__xludf.DUMMYFUNCTION("GOOGLETRANSLATE(B30036,""en"",""es-ES"")"),"Ella señala a la cámara al final y sonríe.")</f>
        <v>Ella señala a la cámara al final y sonríe.</v>
      </c>
    </row>
    <row r="30037">
      <c r="A30037" s="4" t="s">
        <v>37825</v>
      </c>
      <c r="B30037" s="4" t="s">
        <v>37826</v>
      </c>
      <c r="C30037" s="5" t="str">
        <f>IFERROR(__xludf.DUMMYFUNCTION("GOOGLETRANSLATE(B30037,""en"",""es-ES"")"),"Una niña está sentada en un tubo rodeado de un gran grupo de personas que también se sienta en los tubos.")</f>
        <v>Una niña está sentada en un tubo rodeado de un gran grupo de personas que también se sienta en los tubos.</v>
      </c>
    </row>
    <row r="30038">
      <c r="A30038" s="4" t="s">
        <v>37825</v>
      </c>
      <c r="B30038" s="4" t="s">
        <v>37827</v>
      </c>
      <c r="C30038" s="5" t="str">
        <f>IFERROR(__xludf.DUMMYFUNCTION("GOOGLETRANSLATE(B30038,""en"",""es-ES"")"),"La cámara se desplaza a las diversas personas sentadas en los tubos.")</f>
        <v>La cámara se desplaza a las diversas personas sentadas en los tubos.</v>
      </c>
    </row>
    <row r="30039">
      <c r="A30039" s="4" t="s">
        <v>37825</v>
      </c>
      <c r="B30039" s="4" t="s">
        <v>37828</v>
      </c>
      <c r="C30039" s="5" t="str">
        <f>IFERROR(__xludf.DUMMYFUNCTION("GOOGLETRANSLATE(B30039,""en"",""es-ES"")"),"La niña salta de su tubo y se encuentra nadando en el agua.")</f>
        <v>La niña salta de su tubo y se encuentra nadando en el agua.</v>
      </c>
    </row>
    <row r="30040">
      <c r="A30040" s="4" t="s">
        <v>37829</v>
      </c>
      <c r="B30040" s="4" t="s">
        <v>37830</v>
      </c>
      <c r="C30040" s="5" t="str">
        <f>IFERROR(__xludf.DUMMYFUNCTION("GOOGLETRANSLATE(B30040,""en"",""es-ES"")"),"Una mujer con una camisa de entrenamiento roja está hablando de los beneficios de un entrenador de cruz elíptico.")</f>
        <v>Una mujer con una camisa de entrenamiento roja está hablando de los beneficios de un entrenador de cruz elíptico.</v>
      </c>
    </row>
    <row r="30041">
      <c r="A30041" s="4" t="s">
        <v>37829</v>
      </c>
      <c r="B30041" s="4" t="s">
        <v>37831</v>
      </c>
      <c r="C30041" s="5" t="str">
        <f>IFERROR(__xludf.DUMMYFUNCTION("GOOGLETRANSLATE(B30041,""en"",""es-ES"")"),"Otra mujer en una camiseta sin mangas rosa está demostrando el uso de la elíptica.")</f>
        <v>Otra mujer en una camiseta sin mangas rosa está demostrando el uso de la elíptica.</v>
      </c>
    </row>
    <row r="30042">
      <c r="A30042" s="4" t="s">
        <v>37829</v>
      </c>
      <c r="B30042" s="4" t="s">
        <v>37832</v>
      </c>
      <c r="C30042" s="5" t="str">
        <f>IFERROR(__xludf.DUMMYFUNCTION("GOOGLETRANSLATE(B30042,""en"",""es-ES"")"),"La mujer de rojo continúa explicando el uso de la elíptica.")</f>
        <v>La mujer de rojo continúa explicando el uso de la elíptica.</v>
      </c>
    </row>
    <row r="30043">
      <c r="A30043" s="4" t="s">
        <v>37829</v>
      </c>
      <c r="B30043" s="4" t="s">
        <v>37833</v>
      </c>
      <c r="C30043" s="5" t="str">
        <f>IFERROR(__xludf.DUMMYFUNCTION("GOOGLETRANSLATE(B30043,""en"",""es-ES"")"),"Luego, se muestra una demostración de cómo se muestra las piernas sobre la elíptica.")</f>
        <v>Luego, se muestra una demostración de cómo se muestra las piernas sobre la elíptica.</v>
      </c>
    </row>
    <row r="30044">
      <c r="A30044" s="4" t="s">
        <v>37829</v>
      </c>
      <c r="B30044" s="4" t="s">
        <v>37834</v>
      </c>
      <c r="C30044" s="5" t="str">
        <f>IFERROR(__xludf.DUMMYFUNCTION("GOOGLETRANSLATE(B30044,""en"",""es-ES"")"),"La mujer de rojo explica aún más los beneficios del entrenamiento con una elíptica.")</f>
        <v>La mujer de rojo explica aún más los beneficios del entrenamiento con una elíptica.</v>
      </c>
    </row>
    <row r="30045">
      <c r="A30045" s="4" t="s">
        <v>37829</v>
      </c>
      <c r="B30045" s="4" t="s">
        <v>37835</v>
      </c>
      <c r="C30045" s="5" t="str">
        <f>IFERROR(__xludf.DUMMYFUNCTION("GOOGLETRANSLATE(B30045,""en"",""es-ES"")"),"La mujer en la máquina continúa mostrando a los espectadores la forma correcta de hacer ejercicio en la elíptica.")</f>
        <v>La mujer en la máquina continúa mostrando a los espectadores la forma correcta de hacer ejercicio en la elíptica.</v>
      </c>
    </row>
    <row r="30046">
      <c r="A30046" s="4" t="s">
        <v>37829</v>
      </c>
      <c r="B30046" s="4" t="s">
        <v>37836</v>
      </c>
      <c r="C30046" s="5" t="str">
        <f>IFERROR(__xludf.DUMMYFUNCTION("GOOGLETRANSLATE(B30046,""en"",""es-ES"")"),"El anfitrión luego concluye el tutorial.")</f>
        <v>El anfitrión luego concluye el tutorial.</v>
      </c>
    </row>
    <row r="30047">
      <c r="A30047" s="4" t="s">
        <v>37837</v>
      </c>
      <c r="B30047" s="4" t="s">
        <v>37838</v>
      </c>
      <c r="C30047" s="5" t="str">
        <f>IFERROR(__xludf.DUMMYFUNCTION("GOOGLETRANSLATE(B30047,""en"",""es-ES"")"),"Varias imágenes de diferentes individuos se muestran el rafting de aguas blancas como una introducción para un video.")</f>
        <v>Varias imágenes de diferentes individuos se muestran el rafting de aguas blancas como una introducción para un video.</v>
      </c>
    </row>
    <row r="30048">
      <c r="A30048" s="4" t="s">
        <v>37837</v>
      </c>
      <c r="B30048" s="4" t="s">
        <v>37839</v>
      </c>
      <c r="C30048" s="5" t="str">
        <f>IFERROR(__xludf.DUMMYFUNCTION("GOOGLETRANSLATE(B30048,""en"",""es-ES"")"),"Luego, los hombres llegan a un campo y sacan las balsas antes de que se muestren más imágenes.")</f>
        <v>Luego, los hombres llegan a un campo y sacan las balsas antes de que se muestren más imágenes.</v>
      </c>
    </row>
    <row r="30049">
      <c r="A30049" s="4" t="s">
        <v>37837</v>
      </c>
      <c r="B30049" s="4" t="s">
        <v>37840</v>
      </c>
      <c r="C30049" s="5" t="str">
        <f>IFERROR(__xludf.DUMMYFUNCTION("GOOGLETRANSLATE(B30049,""en"",""es-ES"")"),"Luego, los hombres se paran en el campo con sus paletas y realmente entran en la balsa demostrando la forma correcta de remar.")</f>
        <v>Luego, los hombres se paran en el campo con sus paletas y realmente entran en la balsa demostrando la forma correcta de remar.</v>
      </c>
    </row>
    <row r="30050">
      <c r="A30050" s="4" t="s">
        <v>37837</v>
      </c>
      <c r="B30050" s="4" t="s">
        <v>37841</v>
      </c>
      <c r="C30050" s="5" t="str">
        <f>IFERROR(__xludf.DUMMYFUNCTION("GOOGLETRANSLATE(B30050,""en"",""es-ES"")"),"Finalmente, están en el agua y todos comienzan a remar por todo el agua.")</f>
        <v>Finalmente, están en el agua y todos comienzan a remar por todo el agua.</v>
      </c>
    </row>
    <row r="30051">
      <c r="A30051" s="4" t="s">
        <v>37837</v>
      </c>
      <c r="B30051" s="4" t="s">
        <v>37842</v>
      </c>
      <c r="C30051" s="5" t="str">
        <f>IFERROR(__xludf.DUMMYFUNCTION("GOOGLETRANSLATE(B30051,""en"",""es-ES"")"),"Más personas se unen a ellos y eventualmente salen del agua y regresan a la tierra.")</f>
        <v>Más personas se unen a ellos y eventualmente salen del agua y regresan a la tierra.</v>
      </c>
    </row>
    <row r="30052">
      <c r="A30052" s="4" t="s">
        <v>37843</v>
      </c>
      <c r="B30052" s="4" t="s">
        <v>37844</v>
      </c>
      <c r="C30052" s="5" t="str">
        <f>IFERROR(__xludf.DUMMYFUNCTION("GOOGLETRANSLATE(B30052,""en"",""es-ES"")"),"Se muestra un video tutorial de una familia haciendo platos en un campamento.")</f>
        <v>Se muestra un video tutorial de una familia haciendo platos en un campamento.</v>
      </c>
    </row>
    <row r="30053">
      <c r="A30053" s="4" t="s">
        <v>37843</v>
      </c>
      <c r="B30053" s="4" t="s">
        <v>37845</v>
      </c>
      <c r="C30053" s="5" t="str">
        <f>IFERROR(__xludf.DUMMYFUNCTION("GOOGLETRANSLATE(B30053,""en"",""es-ES"")"),"Todo se arroja a dos cubos.")</f>
        <v>Todo se arroja a dos cubos.</v>
      </c>
    </row>
    <row r="30054">
      <c r="A30054" s="4" t="s">
        <v>37843</v>
      </c>
      <c r="B30054" s="4" t="s">
        <v>37846</v>
      </c>
      <c r="C30054" s="5" t="str">
        <f>IFERROR(__xludf.DUMMYFUNCTION("GOOGLETRANSLATE(B30054,""en"",""es-ES"")"),"Uno con jabón y el otro para enjuagar.")</f>
        <v>Uno con jabón y el otro para enjuagar.</v>
      </c>
    </row>
    <row r="30055">
      <c r="A30055" s="4" t="s">
        <v>37847</v>
      </c>
      <c r="B30055" s="4" t="s">
        <v>37848</v>
      </c>
      <c r="C30055" s="5" t="str">
        <f>IFERROR(__xludf.DUMMYFUNCTION("GOOGLETRANSLATE(B30055,""en"",""es-ES"")"),"Mujer arroja un cuchillo de lanzamiento en el tablero.")</f>
        <v>Mujer arroja un cuchillo de lanzamiento en el tablero.</v>
      </c>
    </row>
    <row r="30056">
      <c r="A30056" s="4" t="s">
        <v>37847</v>
      </c>
      <c r="B30056" s="4" t="s">
        <v>37849</v>
      </c>
      <c r="C30056" s="5" t="str">
        <f>IFERROR(__xludf.DUMMYFUNCTION("GOOGLETRANSLATE(B30056,""en"",""es-ES"")"),"Tres hombres arrojan cuchillos.")</f>
        <v>Tres hombres arrojan cuchillos.</v>
      </c>
    </row>
    <row r="30057">
      <c r="A30057" s="4" t="s">
        <v>37847</v>
      </c>
      <c r="B30057" s="4" t="s">
        <v>37850</v>
      </c>
      <c r="C30057" s="5" t="str">
        <f>IFERROR(__xludf.DUMMYFUNCTION("GOOGLETRANSLATE(B30057,""en"",""es-ES"")"),"Los cuchillos golpearon un tablero.")</f>
        <v>Los cuchillos golpearon un tablero.</v>
      </c>
    </row>
    <row r="30058">
      <c r="A30058" s="4" t="s">
        <v>37847</v>
      </c>
      <c r="B30058" s="4" t="s">
        <v>37851</v>
      </c>
      <c r="C30058" s="5" t="str">
        <f>IFERROR(__xludf.DUMMYFUNCTION("GOOGLETRANSLATE(B30058,""en"",""es-ES"")"),"Dos hombres arrojan cuchillos hacia atrás.")</f>
        <v>Dos hombres arrojan cuchillos hacia atrás.</v>
      </c>
    </row>
    <row r="30059">
      <c r="A30059" s="4" t="s">
        <v>37847</v>
      </c>
      <c r="B30059" s="4" t="s">
        <v>37852</v>
      </c>
      <c r="C30059" s="5" t="str">
        <f>IFERROR(__xludf.DUMMYFUNCTION("GOOGLETRANSLATE(B30059,""en"",""es-ES"")"),"El hombre lanza un cuchillo lanzando.")</f>
        <v>El hombre lanza un cuchillo lanzando.</v>
      </c>
    </row>
    <row r="30060">
      <c r="A30060" s="4" t="s">
        <v>37847</v>
      </c>
      <c r="B30060" s="4" t="s">
        <v>37853</v>
      </c>
      <c r="C30060" s="5" t="str">
        <f>IFERROR(__xludf.DUMMYFUNCTION("GOOGLETRANSLATE(B30060,""en"",""es-ES"")"),"Mujer lanza un cuchillo de lanzamiento.")</f>
        <v>Mujer lanza un cuchillo de lanzamiento.</v>
      </c>
    </row>
    <row r="30061">
      <c r="A30061" s="4" t="s">
        <v>37847</v>
      </c>
      <c r="B30061" s="4" t="s">
        <v>37854</v>
      </c>
      <c r="C30061" s="5" t="str">
        <f>IFERROR(__xludf.DUMMYFUNCTION("GOOGLETRANSLATE(B30061,""en"",""es-ES"")"),"Un hombre y una mujer lanzando cuchillos.")</f>
        <v>Un hombre y una mujer lanzando cuchillos.</v>
      </c>
    </row>
    <row r="30062">
      <c r="A30062" s="4" t="s">
        <v>37847</v>
      </c>
      <c r="B30062" s="4" t="s">
        <v>37855</v>
      </c>
      <c r="C30062" s="5" t="str">
        <f>IFERROR(__xludf.DUMMYFUNCTION("GOOGLETRANSLATE(B30062,""en"",""es-ES"")"),"El hombre arroja un cuchillo mientras se acuesta.")</f>
        <v>El hombre arroja un cuchillo mientras se acuesta.</v>
      </c>
    </row>
    <row r="30063">
      <c r="A30063" s="4" t="s">
        <v>37847</v>
      </c>
      <c r="B30063" s="4" t="s">
        <v>37856</v>
      </c>
      <c r="C30063" s="5" t="str">
        <f>IFERROR(__xludf.DUMMYFUNCTION("GOOGLETRANSLATE(B30063,""en"",""es-ES"")"),"El hombre demuestra técnicas a los estudiantes.")</f>
        <v>El hombre demuestra técnicas a los estudiantes.</v>
      </c>
    </row>
    <row r="30064">
      <c r="A30064" s="4" t="s">
        <v>37847</v>
      </c>
      <c r="B30064" s="4" t="s">
        <v>37857</v>
      </c>
      <c r="C30064" s="5" t="str">
        <f>IFERROR(__xludf.DUMMYFUNCTION("GOOGLETRANSLATE(B30064,""en"",""es-ES"")"),"Técnicas de práctica de los miembros del dojo.")</f>
        <v>Técnicas de práctica de los miembros del dojo.</v>
      </c>
    </row>
    <row r="30065">
      <c r="A30065" s="4" t="s">
        <v>37847</v>
      </c>
      <c r="B30065" s="4" t="s">
        <v>37858</v>
      </c>
      <c r="C30065" s="5" t="str">
        <f>IFERROR(__xludf.DUMMYFUNCTION("GOOGLETRANSLATE(B30065,""en"",""es-ES"")"),"Los miembros del dojo se inclinan al hombre.")</f>
        <v>Los miembros del dojo se inclinan al hombre.</v>
      </c>
    </row>
    <row r="30066">
      <c r="A30066" s="4" t="s">
        <v>37859</v>
      </c>
      <c r="B30066" s="4" t="s">
        <v>37860</v>
      </c>
      <c r="C30066" s="5" t="str">
        <f>IFERROR(__xludf.DUMMYFUNCTION("GOOGLETRANSLATE(B30066,""en"",""es-ES"")"),"Un niño camina por un patrón de rumbo.")</f>
        <v>Un niño camina por un patrón de rumbo.</v>
      </c>
    </row>
    <row r="30067">
      <c r="A30067" s="4" t="s">
        <v>37859</v>
      </c>
      <c r="B30067" s="4" t="s">
        <v>37861</v>
      </c>
      <c r="C30067" s="5" t="str">
        <f>IFERROR(__xludf.DUMMYFUNCTION("GOOGLETRANSLATE(B30067,""en"",""es-ES"")"),"La niña pone sus palmas en el patrón de rumbo.")</f>
        <v>La niña pone sus palmas en el patrón de rumbo.</v>
      </c>
    </row>
    <row r="30068">
      <c r="A30068" s="4" t="s">
        <v>37859</v>
      </c>
      <c r="B30068" s="4" t="s">
        <v>37862</v>
      </c>
      <c r="C30068" s="5" t="str">
        <f>IFERROR(__xludf.DUMMYFUNCTION("GOOGLETRANSLATE(B30068,""en"",""es-ES"")"),"El niño salta sobre el patrón de rumbo.")</f>
        <v>El niño salta sobre el patrón de rumbo.</v>
      </c>
    </row>
    <row r="30069">
      <c r="A30069" s="4" t="s">
        <v>37863</v>
      </c>
      <c r="B30069" s="4" t="s">
        <v>37864</v>
      </c>
      <c r="C30069" s="5" t="str">
        <f>IFERROR(__xludf.DUMMYFUNCTION("GOOGLETRANSLATE(B30069,""en"",""es-ES"")"),"Una mujer joven está de pie detrás de un mostrador con una sartén negra.")</f>
        <v>Una mujer joven está de pie detrás de un mostrador con una sartén negra.</v>
      </c>
    </row>
    <row r="30070">
      <c r="A30070" s="4" t="s">
        <v>37863</v>
      </c>
      <c r="B30070" s="4" t="s">
        <v>37865</v>
      </c>
      <c r="C30070" s="5" t="str">
        <f>IFERROR(__xludf.DUMMYFUNCTION("GOOGLETRANSLATE(B30070,""en"",""es-ES"")"),"En sus manos, está sosteniendo dos cebollas y luego el video la muestra rápidamente con un tomate, un rutabaga y una bolsa de cheddar maduro de la ciudad de la catedral.")</f>
        <v>En sus manos, está sosteniendo dos cebollas y luego el video la muestra rápidamente con un tomate, un rutabaga y una bolsa de cheddar maduro de la ciudad de la catedral.</v>
      </c>
    </row>
    <row r="30071">
      <c r="A30071" s="4" t="s">
        <v>37863</v>
      </c>
      <c r="B30071" s="4" t="s">
        <v>37866</v>
      </c>
      <c r="C30071" s="5" t="str">
        <f>IFERROR(__xludf.DUMMYFUNCTION("GOOGLETRANSLATE(B30071,""en"",""es-ES"")"),"Luego, ella comienza a cortar cada uno de los ingredientes y agrega mantequilla a una sartén.")</f>
        <v>Luego, ella comienza a cortar cada uno de los ingredientes y agrega mantequilla a una sartén.</v>
      </c>
    </row>
    <row r="30072">
      <c r="A30072" s="4" t="s">
        <v>37863</v>
      </c>
      <c r="B30072" s="4" t="s">
        <v>37867</v>
      </c>
      <c r="C30072" s="5" t="str">
        <f>IFERROR(__xludf.DUMMYFUNCTION("GOOGLETRANSLATE(B30072,""en"",""es-ES"")"),"Después de que se fríe durante cinco minutos, los champiñones entran en la olla y tres huevos se agrietan.")</f>
        <v>Después de que se fríe durante cinco minutos, los champiñones entran en la olla y tres huevos se agrietan.</v>
      </c>
    </row>
    <row r="30073">
      <c r="A30073" s="4" t="s">
        <v>37863</v>
      </c>
      <c r="B30073" s="4" t="s">
        <v>37868</v>
      </c>
      <c r="C30073" s="5" t="str">
        <f>IFERROR(__xludf.DUMMYFUNCTION("GOOGLETRANSLATE(B30073,""en"",""es-ES"")"),"El resto del contenido se agrega a una taza de medición y eventualmente todos los contenidos se vierten en una sartén.")</f>
        <v>El resto del contenido se agrega a una taza de medición y eventualmente todos los contenidos se vierten en una sartén.</v>
      </c>
    </row>
    <row r="30074">
      <c r="A30074" s="4" t="s">
        <v>37863</v>
      </c>
      <c r="B30074" s="4" t="s">
        <v>37869</v>
      </c>
      <c r="C30074" s="5" t="str">
        <f>IFERROR(__xludf.DUMMYFUNCTION("GOOGLETRANSLATE(B30074,""en"",""es-ES"")"),"Después de algún tiempo, se crea una tortilla y se coloca en un plato junto con dos rebanadas de tostadas.")</f>
        <v>Después de algún tiempo, se crea una tortilla y se coloca en un plato junto con dos rebanadas de tostadas.</v>
      </c>
    </row>
    <row r="30075">
      <c r="A30075" s="4" t="s">
        <v>37870</v>
      </c>
      <c r="B30075" s="4" t="s">
        <v>37871</v>
      </c>
      <c r="C30075" s="5" t="str">
        <f>IFERROR(__xludf.DUMMYFUNCTION("GOOGLETRANSLATE(B30075,""en"",""es-ES"")"),"Una cámara se aleja de un letrero y conduce a personas empujando material alrededor de un piso.")</f>
        <v>Una cámara se aleja de un letrero y conduce a personas empujando material alrededor de un piso.</v>
      </c>
    </row>
    <row r="30076">
      <c r="A30076" s="4" t="s">
        <v>37870</v>
      </c>
      <c r="B30076" s="4" t="s">
        <v>37872</v>
      </c>
      <c r="C30076" s="5" t="str">
        <f>IFERROR(__xludf.DUMMYFUNCTION("GOOGLETRANSLATE(B30076,""en"",""es-ES"")"),"Una curva se dobla alrededor de un piso y empuja el material alrededor de la habitación.")</f>
        <v>Una curva se dobla alrededor de un piso y empuja el material alrededor de la habitación.</v>
      </c>
    </row>
    <row r="30077">
      <c r="A30077" s="4" t="s">
        <v>37870</v>
      </c>
      <c r="B30077" s="4" t="s">
        <v>37873</v>
      </c>
      <c r="C30077" s="5" t="str">
        <f>IFERROR(__xludf.DUMMYFUNCTION("GOOGLETRANSLATE(B30077,""en"",""es-ES"")"),"Al final, las bandejas de la cámara alrededor del piso terminado.")</f>
        <v>Al final, las bandejas de la cámara alrededor del piso terminado.</v>
      </c>
    </row>
    <row r="30078">
      <c r="A30078" s="4" t="s">
        <v>37874</v>
      </c>
      <c r="B30078" s="4" t="s">
        <v>37875</v>
      </c>
      <c r="C30078" s="5" t="str">
        <f>IFERROR(__xludf.DUMMYFUNCTION("GOOGLETRANSLATE(B30078,""en"",""es-ES"")"),"Las mujeres del equipo de EE. UU. Están en los Juegos Olímpicos.")</f>
        <v>Las mujeres del equipo de EE. UU. Están en los Juegos Olímpicos.</v>
      </c>
    </row>
    <row r="30079">
      <c r="A30079" s="4" t="s">
        <v>37874</v>
      </c>
      <c r="B30079" s="4" t="s">
        <v>37876</v>
      </c>
      <c r="C30079" s="5" t="str">
        <f>IFERROR(__xludf.DUMMYFUNCTION("GOOGLETRANSLATE(B30079,""en"",""es-ES"")"),"Tracy, Natalie, Nicole, Allison y Debbie son grupales fotografiados en múltiples escenas.")</f>
        <v>Tracy, Natalie, Nicole, Allison y Debbie son grupales fotografiados en múltiples escenas.</v>
      </c>
    </row>
    <row r="30080">
      <c r="A30080" s="4" t="s">
        <v>37874</v>
      </c>
      <c r="B30080" s="4" t="s">
        <v>37877</v>
      </c>
      <c r="C30080" s="5" t="str">
        <f>IFERROR(__xludf.DUMMYFUNCTION("GOOGLETRANSLATE(B30080,""en"",""es-ES"")"),"A medida que el Equipo de EE. UU. Anote, los compañeros de equipo se abrazan.")</f>
        <v>A medida que el Equipo de EE. UU. Anote, los compañeros de equipo se abrazan.</v>
      </c>
    </row>
    <row r="30081">
      <c r="A30081" s="4" t="s">
        <v>37878</v>
      </c>
      <c r="B30081" s="4" t="s">
        <v>37879</v>
      </c>
      <c r="C30081" s="5" t="str">
        <f>IFERROR(__xludf.DUMMYFUNCTION("GOOGLETRANSLATE(B30081,""en"",""es-ES"")"),"La gente montando camellos en el desierto.")</f>
        <v>La gente montando camellos en el desierto.</v>
      </c>
    </row>
    <row r="30082">
      <c r="A30082" s="4" t="s">
        <v>37878</v>
      </c>
      <c r="B30082" s="4" t="s">
        <v>37880</v>
      </c>
      <c r="C30082" s="5" t="str">
        <f>IFERROR(__xludf.DUMMYFUNCTION("GOOGLETRANSLATE(B30082,""en"",""es-ES"")"),"La gente camina junto a los camellos.")</f>
        <v>La gente camina junto a los camellos.</v>
      </c>
    </row>
    <row r="30083">
      <c r="A30083" s="4" t="s">
        <v>37878</v>
      </c>
      <c r="B30083" s="4" t="s">
        <v>37881</v>
      </c>
      <c r="C30083" s="5" t="str">
        <f>IFERROR(__xludf.DUMMYFUNCTION("GOOGLETRANSLATE(B30083,""en"",""es-ES"")"),"Una señora mira hacia abajo y hacia el lado de su camello.")</f>
        <v>Una señora mira hacia abajo y hacia el lado de su camello.</v>
      </c>
    </row>
    <row r="30084">
      <c r="A30084" s="4" t="s">
        <v>37882</v>
      </c>
      <c r="B30084" s="4" t="s">
        <v>37883</v>
      </c>
      <c r="C30084" s="5" t="str">
        <f>IFERROR(__xludf.DUMMYFUNCTION("GOOGLETRANSLATE(B30084,""en"",""es-ES"")"),"Una gran multitud se sienta en un teatro aplaudiendo y observando.")</f>
        <v>Una gran multitud se sienta en un teatro aplaudiendo y observando.</v>
      </c>
    </row>
    <row r="30085">
      <c r="A30085" s="4" t="s">
        <v>37882</v>
      </c>
      <c r="B30085" s="4" t="s">
        <v>37884</v>
      </c>
      <c r="C30085" s="5" t="str">
        <f>IFERROR(__xludf.DUMMYFUNCTION("GOOGLETRANSLATE(B30085,""en"",""es-ES"")"),"Se ven dos mujeres en el escenario bailando.")</f>
        <v>Se ven dos mujeres en el escenario bailando.</v>
      </c>
    </row>
    <row r="30086">
      <c r="A30086" s="4" t="s">
        <v>37882</v>
      </c>
      <c r="B30086" s="4" t="s">
        <v>37885</v>
      </c>
      <c r="C30086" s="5" t="str">
        <f>IFERROR(__xludf.DUMMYFUNCTION("GOOGLETRANSLATE(B30086,""en"",""es-ES"")"),"Una de las mujeres muestra su talento equilibrando espadas en sus diferentes partes de su cuerpo.")</f>
        <v>Una de las mujeres muestra su talento equilibrando espadas en sus diferentes partes de su cuerpo.</v>
      </c>
    </row>
    <row r="30087">
      <c r="A30087" s="4" t="s">
        <v>37886</v>
      </c>
      <c r="B30087" s="4" t="s">
        <v>37887</v>
      </c>
      <c r="C30087" s="5" t="str">
        <f>IFERROR(__xludf.DUMMYFUNCTION("GOOGLETRANSLATE(B30087,""en"",""es-ES"")"),"Se muestran varios disparos de playas y conducen a mujeres en bikinis jugando un juego de voleos.")</f>
        <v>Se muestran varios disparos de playas y conducen a mujeres en bikinis jugando un juego de voleos.</v>
      </c>
    </row>
    <row r="30088">
      <c r="A30088" s="4" t="s">
        <v>37886</v>
      </c>
      <c r="B30088" s="4" t="s">
        <v>37888</v>
      </c>
      <c r="C30088" s="5" t="str">
        <f>IFERROR(__xludf.DUMMYFUNCTION("GOOGLETRANSLATE(B30088,""en"",""es-ES"")"),"Las chicas continúan jugando y luego se sientan en los lados y tocan las piernas del otro.")</f>
        <v>Las chicas continúan jugando y luego se sientan en los lados y tocan las piernas del otro.</v>
      </c>
    </row>
    <row r="30089">
      <c r="A30089" s="4" t="s">
        <v>37886</v>
      </c>
      <c r="B30089" s="4" t="s">
        <v>37889</v>
      </c>
      <c r="C30089" s="5" t="str">
        <f>IFERROR(__xludf.DUMMYFUNCTION("GOOGLETRANSLATE(B30089,""en"",""es-ES"")"),"Luego ponen loción por todas las piernas y comienzan a afeitarse las piernas y sosteniendo la pelota riendo al final.")</f>
        <v>Luego ponen loción por todas las piernas y comienzan a afeitarse las piernas y sosteniendo la pelota riendo al final.</v>
      </c>
    </row>
    <row r="30090">
      <c r="A30090" s="4" t="s">
        <v>37890</v>
      </c>
      <c r="B30090" s="4" t="s">
        <v>37891</v>
      </c>
      <c r="C30090" s="5" t="str">
        <f>IFERROR(__xludf.DUMMYFUNCTION("GOOGLETRANSLATE(B30090,""en"",""es-ES"")"),"Un hombre camina sobre zancos en un parque.")</f>
        <v>Un hombre camina sobre zancos en un parque.</v>
      </c>
    </row>
    <row r="30091">
      <c r="A30091" s="4" t="s">
        <v>37890</v>
      </c>
      <c r="B30091" s="4" t="s">
        <v>37892</v>
      </c>
      <c r="C30091" s="5" t="str">
        <f>IFERROR(__xludf.DUMMYFUNCTION("GOOGLETRANSLATE(B30091,""en"",""es-ES"")"),"Gira a su derecha y camina pase una fila de bancos.")</f>
        <v>Gira a su derecha y camina pase una fila de bancos.</v>
      </c>
    </row>
    <row r="30092">
      <c r="A30092" s="4" t="s">
        <v>37890</v>
      </c>
      <c r="B30092" s="4" t="s">
        <v>37893</v>
      </c>
      <c r="C30092" s="5" t="str">
        <f>IFERROR(__xludf.DUMMYFUNCTION("GOOGLETRANSLATE(B30092,""en"",""es-ES"")"),"El hombre se acelera y luego vuelve a su velocidad inicial.")</f>
        <v>El hombre se acelera y luego vuelve a su velocidad inicial.</v>
      </c>
    </row>
    <row r="30093">
      <c r="A30093" s="4" t="s">
        <v>37890</v>
      </c>
      <c r="B30093" s="4" t="s">
        <v>37894</v>
      </c>
      <c r="C30093" s="5" t="str">
        <f>IFERROR(__xludf.DUMMYFUNCTION("GOOGLETRANSLATE(B30093,""en"",""es-ES"")"),"El hombre llega a la señal del parque y se detiene.")</f>
        <v>El hombre llega a la señal del parque y se detiene.</v>
      </c>
    </row>
    <row r="30094">
      <c r="A30094" s="4" t="s">
        <v>37895</v>
      </c>
      <c r="B30094" s="4" t="s">
        <v>37896</v>
      </c>
      <c r="C30094" s="5" t="str">
        <f>IFERROR(__xludf.DUMMYFUNCTION("GOOGLETRANSLATE(B30094,""en"",""es-ES"")"),"Un hombre con un bigote grueso está vestido con ropa de invierno se sienta sobre un cubo blanco que se pone al revés en un cuerpo de agua congelado mientras bebe una cerveza de una lata azul y habla.")</f>
        <v>Un hombre con un bigote grueso está vestido con ropa de invierno se sienta sobre un cubo blanco que se pone al revés en un cuerpo de agua congelado mientras bebe una cerveza de una lata azul y habla.</v>
      </c>
    </row>
    <row r="30095">
      <c r="A30095" s="4" t="s">
        <v>37895</v>
      </c>
      <c r="B30095" s="4" t="s">
        <v>37897</v>
      </c>
      <c r="C30095" s="5" t="str">
        <f>IFERROR(__xludf.DUMMYFUNCTION("GOOGLETRANSLATE(B30095,""en"",""es-ES"")"),"Luego, el hombre levanta su poste de pesca y tira del alambre de pesca que está en el agujero de pesca frente a él, sostiene el cable hacia arriba y luego lo vuelve a colocar en el agujero mientras todavía habla.")</f>
        <v>Luego, el hombre levanta su poste de pesca y tira del alambre de pesca que está en el agujero de pesca frente a él, sostiene el cable hacia arriba y luego lo vuelve a colocar en el agujero mientras todavía habla.</v>
      </c>
    </row>
    <row r="30096">
      <c r="A30096" s="4" t="s">
        <v>37895</v>
      </c>
      <c r="B30096" s="4" t="s">
        <v>37898</v>
      </c>
      <c r="C30096" s="5" t="str">
        <f>IFERROR(__xludf.DUMMYFUNCTION("GOOGLETRANSLATE(B30096,""en"",""es-ES"")"),"El hombre luego se baja de su cubo y mientras está de rodillas, pone sus dedos dentro y fuera del agujero de pesca y sigue hablando.")</f>
        <v>El hombre luego se baja de su cubo y mientras está de rodillas, pone sus dedos dentro y fuera del agujero de pesca y sigue hablando.</v>
      </c>
    </row>
    <row r="30097">
      <c r="A30097" s="4" t="s">
        <v>37899</v>
      </c>
      <c r="B30097" s="4" t="s">
        <v>37900</v>
      </c>
      <c r="C30097" s="5" t="str">
        <f>IFERROR(__xludf.DUMMYFUNCTION("GOOGLETRANSLATE(B30097,""en"",""es-ES"")"),"Se ve a un hombre sentado en una ocupada plaza de la ciudad jugando un acordeón mientras otros miran.")</f>
        <v>Se ve a un hombre sentado en una ocupada plaza de la ciudad jugando un acordeón mientras otros miran.</v>
      </c>
    </row>
    <row r="30098">
      <c r="A30098" s="4" t="s">
        <v>37899</v>
      </c>
      <c r="B30098" s="4" t="s">
        <v>37901</v>
      </c>
      <c r="C30098" s="5" t="str">
        <f>IFERROR(__xludf.DUMMYFUNCTION("GOOGLETRANSLATE(B30098,""en"",""es-ES"")"),"El hombre continúa jugando mientras la gente camina y se da cuenta.")</f>
        <v>El hombre continúa jugando mientras la gente camina y se da cuenta.</v>
      </c>
    </row>
    <row r="30099">
      <c r="A30099" s="4" t="s">
        <v>37902</v>
      </c>
      <c r="B30099" s="4" t="s">
        <v>37903</v>
      </c>
      <c r="C30099" s="5" t="str">
        <f>IFERROR(__xludf.DUMMYFUNCTION("GOOGLETRANSLATE(B30099,""en"",""es-ES"")"),"Un hombre está frente a un espejo.")</f>
        <v>Un hombre está frente a un espejo.</v>
      </c>
    </row>
    <row r="30100">
      <c r="A30100" s="4" t="s">
        <v>37902</v>
      </c>
      <c r="B30100" s="4" t="s">
        <v>37904</v>
      </c>
      <c r="C30100" s="5" t="str">
        <f>IFERROR(__xludf.DUMMYFUNCTION("GOOGLETRANSLATE(B30100,""en"",""es-ES"")"),"Se está cubriendo la cara en una sustancia líquida blanca.")</f>
        <v>Se está cubriendo la cara en una sustancia líquida blanca.</v>
      </c>
    </row>
    <row r="30101">
      <c r="A30101" s="4" t="s">
        <v>37902</v>
      </c>
      <c r="B30101" s="4" t="s">
        <v>37905</v>
      </c>
      <c r="C30101" s="5" t="str">
        <f>IFERROR(__xludf.DUMMYFUNCTION("GOOGLETRANSLATE(B30101,""en"",""es-ES"")"),"Luego desaparece por un tiempo y regresa con una cara húmeda pero limpia.")</f>
        <v>Luego desaparece por un tiempo y regresa con una cara húmeda pero limpia.</v>
      </c>
    </row>
    <row r="30102">
      <c r="A30102" s="4" t="s">
        <v>37906</v>
      </c>
      <c r="B30102" s="4" t="s">
        <v>16436</v>
      </c>
      <c r="C30102" s="5" t="str">
        <f>IFERROR(__xludf.DUMMYFUNCTION("GOOGLETRANSLATE(B30102,""en"",""es-ES"")"),"Una mujer está arrodillada sobre una alfombra azul.")</f>
        <v>Una mujer está arrodillada sobre una alfombra azul.</v>
      </c>
    </row>
    <row r="30103">
      <c r="A30103" s="4" t="s">
        <v>37906</v>
      </c>
      <c r="B30103" s="4" t="s">
        <v>37907</v>
      </c>
      <c r="C30103" s="5" t="str">
        <f>IFERROR(__xludf.DUMMYFUNCTION("GOOGLETRANSLATE(B30103,""en"",""es-ES"")"),"Ella agarra un rato y la sostiene a su lado.")</f>
        <v>Ella agarra un rato y la sostiene a su lado.</v>
      </c>
    </row>
    <row r="30104">
      <c r="A30104" s="4" t="s">
        <v>37906</v>
      </c>
      <c r="B30104" s="4" t="s">
        <v>37908</v>
      </c>
      <c r="C30104" s="5" t="str">
        <f>IFERROR(__xludf.DUMMYFUNCTION("GOOGLETRANSLATE(B30104,""en"",""es-ES"")"),"Ella baja la barra y recoge una campana de tetera.")</f>
        <v>Ella baja la barra y recoge una campana de tetera.</v>
      </c>
    </row>
    <row r="30105">
      <c r="A30105" s="4" t="s">
        <v>37906</v>
      </c>
      <c r="B30105" s="4" t="s">
        <v>37909</v>
      </c>
      <c r="C30105" s="5" t="str">
        <f>IFERROR(__xludf.DUMMYFUNCTION("GOOGLETRANSLATE(B30105,""en"",""es-ES"")"),"Ella levanta la tetera y la vuelve a bajar.")</f>
        <v>Ella levanta la tetera y la vuelve a bajar.</v>
      </c>
    </row>
    <row r="30106">
      <c r="A30106" s="4" t="s">
        <v>37906</v>
      </c>
      <c r="B30106" s="4" t="s">
        <v>37910</v>
      </c>
      <c r="C30106" s="5" t="str">
        <f>IFERROR(__xludf.DUMMYFUNCTION("GOOGLETRANSLATE(B30106,""en"",""es-ES"")"),"Luego lo recoge y lo levanta hacia arriba y hacia abajo varias veces frente a ella.")</f>
        <v>Luego lo recoge y lo levanta hacia arriba y hacia abajo varias veces frente a ella.</v>
      </c>
    </row>
    <row r="30107">
      <c r="A30107" s="4" t="s">
        <v>37911</v>
      </c>
      <c r="B30107" s="4" t="s">
        <v>37912</v>
      </c>
      <c r="C30107" s="5" t="str">
        <f>IFERROR(__xludf.DUMMYFUNCTION("GOOGLETRANSLATE(B30107,""en"",""es-ES"")"),"Una mujer se presenta a la cámara y comienza a hablar sobre el tema del video, Pasta.")</f>
        <v>Una mujer se presenta a la cámara y comienza a hablar sobre el tema del video, Pasta.</v>
      </c>
    </row>
    <row r="30108">
      <c r="A30108" s="4" t="s">
        <v>37911</v>
      </c>
      <c r="B30108" s="4" t="s">
        <v>37913</v>
      </c>
      <c r="C30108" s="5" t="str">
        <f>IFERROR(__xludf.DUMMYFUNCTION("GOOGLETRANSLATE(B30108,""en"",""es-ES"")"),"La cámara muestra los ingredientes que van a cocinar pasta.")</f>
        <v>La cámara muestra los ingredientes que van a cocinar pasta.</v>
      </c>
    </row>
    <row r="30109">
      <c r="A30109" s="4" t="s">
        <v>37911</v>
      </c>
      <c r="B30109" s="4" t="s">
        <v>37914</v>
      </c>
      <c r="C30109" s="5" t="str">
        <f>IFERROR(__xludf.DUMMYFUNCTION("GOOGLETRANSLATE(B30109,""en"",""es-ES"")"),"La mujer deja caer sal en una olla de agua y enciende los quemadores.")</f>
        <v>La mujer deja caer sal en una olla de agua y enciende los quemadores.</v>
      </c>
    </row>
    <row r="30110">
      <c r="A30110" s="4" t="s">
        <v>37911</v>
      </c>
      <c r="B30110" s="4" t="s">
        <v>37915</v>
      </c>
      <c r="C30110" s="5" t="str">
        <f>IFERROR(__xludf.DUMMYFUNCTION("GOOGLETRANSLATE(B30110,""en"",""es-ES"")"),"Una vez, hirviendo, agrega la pasta en la olla.")</f>
        <v>Una vez, hirviendo, agrega la pasta en la olla.</v>
      </c>
    </row>
    <row r="30111">
      <c r="A30111" s="4" t="s">
        <v>37911</v>
      </c>
      <c r="B30111" s="4" t="s">
        <v>37916</v>
      </c>
      <c r="C30111" s="5" t="str">
        <f>IFERROR(__xludf.DUMMYFUNCTION("GOOGLETRANSLATE(B30111,""en"",""es-ES"")"),"Ella agita la pasta y luego vacía la olla en un colador una vez que la pasta es al dente.")</f>
        <v>Ella agita la pasta y luego vacía la olla en un colador una vez que la pasta es al dente.</v>
      </c>
    </row>
    <row r="30112">
      <c r="A30112" s="4" t="s">
        <v>37911</v>
      </c>
      <c r="B30112" s="4" t="s">
        <v>37917</v>
      </c>
      <c r="C30112" s="5" t="str">
        <f>IFERROR(__xludf.DUMMYFUNCTION("GOOGLETRANSLATE(B30112,""en"",""es-ES"")"),"Ella devuelve la pasta a la olla y agrega aceite de oliva.")</f>
        <v>Ella devuelve la pasta a la olla y agrega aceite de oliva.</v>
      </c>
    </row>
    <row r="30113">
      <c r="A30113" s="4" t="s">
        <v>37918</v>
      </c>
      <c r="B30113" s="4" t="s">
        <v>37919</v>
      </c>
      <c r="C30113" s="5" t="str">
        <f>IFERROR(__xludf.DUMMYFUNCTION("GOOGLETRANSLATE(B30113,""en"",""es-ES"")"),"Un reportero de noticias deportivas de mujer y masculino, informa, durante un noticiero en vivo, desde detrás de una mesa de noticias, en una historia sobre los peligros del dodgeball en las escuelas y si una bola de esquivación duele o no más que una pel"&amp;"ota de fútbol cuando se golpean con uno o el otro.")</f>
        <v>Un reportero de noticias deportivas de mujer y masculino, informa, durante un noticiero en vivo, desde detrás de una mesa de noticias, en una historia sobre los peligros del dodgeball en las escuelas y si una bola de esquivación duele o no más que una pelota de fútbol cuando se golpean con uno o el otro.</v>
      </c>
    </row>
    <row r="30114">
      <c r="A30114" s="4" t="s">
        <v>37918</v>
      </c>
      <c r="B30114" s="4" t="s">
        <v>37920</v>
      </c>
      <c r="C30114" s="5" t="str">
        <f>IFERROR(__xludf.DUMMYFUNCTION("GOOGLETRANSLATE(B30114,""en"",""es-ES"")"),"Dos presentadores de noticias hablan entre sí desde detrás de una mesa de noticias.")</f>
        <v>Dos presentadores de noticias hablan entre sí desde detrás de una mesa de noticias.</v>
      </c>
    </row>
    <row r="30115">
      <c r="A30115" s="4" t="s">
        <v>37918</v>
      </c>
      <c r="B30115" s="4" t="s">
        <v>37921</v>
      </c>
      <c r="C30115" s="5" t="str">
        <f>IFERROR(__xludf.DUMMYFUNCTION("GOOGLETRANSLATE(B30115,""en"",""es-ES"")"),"El clip cambia para mostrar una serie de videoclips de diferentes niños que juegan Dodgeball en gimnasios y son golpeados por el Dodgeball.")</f>
        <v>El clip cambia para mostrar una serie de videoclips de diferentes niños que juegan Dodgeball en gimnasios y son golpeados por el Dodgeball.</v>
      </c>
    </row>
    <row r="30116">
      <c r="A30116" s="4" t="s">
        <v>37918</v>
      </c>
      <c r="B30116" s="4" t="s">
        <v>37922</v>
      </c>
      <c r="C30116" s="5" t="str">
        <f>IFERROR(__xludf.DUMMYFUNCTION("GOOGLETRANSLATE(B30116,""en"",""es-ES"")"),"La reportera de la mujer lleva a un grupo de hombres a un área cerrada y pavimentada, al aire libre, y procede a lanzarles un dodgeball y un balón de fútbol, ​​momento en el cual varios de los hombres muestran que han sido golpeados y heridos por ambas bo"&amp;"las .")</f>
        <v>La reportera de la mujer lleva a un grupo de hombres a un área cerrada y pavimentada, al aire libre, y procede a lanzarles un dodgeball y un balón de fútbol, ​​momento en el cual varios de los hombres muestran que han sido golpeados y heridos por ambas bolas .</v>
      </c>
    </row>
    <row r="30117">
      <c r="A30117" s="4" t="s">
        <v>37923</v>
      </c>
      <c r="B30117" s="4" t="s">
        <v>37924</v>
      </c>
      <c r="C30117" s="5" t="str">
        <f>IFERROR(__xludf.DUMMYFUNCTION("GOOGLETRANSLATE(B30117,""en"",""es-ES"")"),"Se ve a un gran grupo de mujeres de pie en un escenario que golpea la batería mientras otro grupo de hombres toca detrás de ellas.")</f>
        <v>Se ve a un gran grupo de mujeres de pie en un escenario que golpea la batería mientras otro grupo de hombres toca detrás de ellas.</v>
      </c>
    </row>
    <row r="30118">
      <c r="A30118" s="4" t="s">
        <v>37923</v>
      </c>
      <c r="B30118" s="4" t="s">
        <v>37925</v>
      </c>
      <c r="C30118" s="5" t="str">
        <f>IFERROR(__xludf.DUMMYFUNCTION("GOOGLETRANSLATE(B30118,""en"",""es-ES"")"),"El grupo juega continuamente frente a una gran multitud y termina con créditos rodando a lo largo de la pantalla.")</f>
        <v>El grupo juega continuamente frente a una gran multitud y termina con créditos rodando a lo largo de la pantalla.</v>
      </c>
    </row>
    <row r="30119">
      <c r="A30119" s="4" t="s">
        <v>37926</v>
      </c>
      <c r="B30119" s="4" t="s">
        <v>37927</v>
      </c>
      <c r="C30119" s="5" t="str">
        <f>IFERROR(__xludf.DUMMYFUNCTION("GOOGLETRANSLATE(B30119,""en"",""es-ES"")"),"Se muestra a una mujer joven haciendo ejercicio sobre una elíptica negra.")</f>
        <v>Se muestra a una mujer joven haciendo ejercicio sobre una elíptica negra.</v>
      </c>
    </row>
    <row r="30120">
      <c r="A30120" s="4" t="s">
        <v>37926</v>
      </c>
      <c r="B30120" s="4" t="s">
        <v>37928</v>
      </c>
      <c r="C30120" s="5" t="str">
        <f>IFERROR(__xludf.DUMMYFUNCTION("GOOGLETRANSLATE(B30120,""en"",""es-ES"")"),"Ella continúa haciendo ejercicio y se muestra un primer plano de la máquina.")</f>
        <v>Ella continúa haciendo ejercicio y se muestra un primer plano de la máquina.</v>
      </c>
    </row>
    <row r="30121">
      <c r="A30121" s="4" t="s">
        <v>37926</v>
      </c>
      <c r="B30121" s="4" t="s">
        <v>37929</v>
      </c>
      <c r="C30121" s="5" t="str">
        <f>IFERROR(__xludf.DUMMYFUNCTION("GOOGLETRANSLATE(B30121,""en"",""es-ES"")"),"Finalmente, toma un sorbo de su agua cuando termina su entrenamiento rápido y luego Golds Gym aparece en el medio de la pantalla.")</f>
        <v>Finalmente, toma un sorbo de su agua cuando termina su entrenamiento rápido y luego Golds Gym aparece en el medio de la pantalla.</v>
      </c>
    </row>
    <row r="30122">
      <c r="A30122" s="4" t="s">
        <v>37930</v>
      </c>
      <c r="B30122" s="4" t="s">
        <v>37931</v>
      </c>
      <c r="C30122" s="5" t="str">
        <f>IFERROR(__xludf.DUMMYFUNCTION("GOOGLETRANSLATE(B30122,""en"",""es-ES"")"),"Se ve a un hombre hablando con la cámara y lo lleva con crema de afeitar.")</f>
        <v>Se ve a un hombre hablando con la cámara y lo lleva con crema de afeitar.</v>
      </c>
    </row>
    <row r="30123">
      <c r="A30123" s="4" t="s">
        <v>37930</v>
      </c>
      <c r="B30123" s="4" t="s">
        <v>37932</v>
      </c>
      <c r="C30123" s="5" t="str">
        <f>IFERROR(__xludf.DUMMYFUNCTION("GOOGLETRANSLATE(B30123,""en"",""es-ES"")"),"Luego levanta una maquinilla de afeitar y comienza a afeitarse la cara mientras se muestran viejas tomas de películas.")</f>
        <v>Luego levanta una maquinilla de afeitar y comienza a afeitarse la cara mientras se muestran viejas tomas de películas.</v>
      </c>
    </row>
    <row r="30124">
      <c r="A30124" s="4" t="s">
        <v>37930</v>
      </c>
      <c r="B30124" s="4" t="s">
        <v>37933</v>
      </c>
      <c r="C30124" s="5" t="str">
        <f>IFERROR(__xludf.DUMMYFUNCTION("GOOGLETRANSLATE(B30124,""en"",""es-ES"")"),"Los hombres continúan afeitándose y termina con texto en la pantalla.")</f>
        <v>Los hombres continúan afeitándose y termina con texto en la pantalla.</v>
      </c>
    </row>
    <row r="30125">
      <c r="A30125" s="4" t="s">
        <v>37934</v>
      </c>
      <c r="B30125" s="4" t="s">
        <v>37935</v>
      </c>
      <c r="C30125" s="5" t="str">
        <f>IFERROR(__xludf.DUMMYFUNCTION("GOOGLETRANSLATE(B30125,""en"",""es-ES"")"),"Una paciente sentada en una silla de hospital en una habitación de hospital se hace las uñas por un manicurista que lleva una blusa verde.")</f>
        <v>Una paciente sentada en una silla de hospital en una habitación de hospital se hace las uñas por un manicurista que lleva una blusa verde.</v>
      </c>
    </row>
    <row r="30126">
      <c r="A30126" s="4" t="s">
        <v>37934</v>
      </c>
      <c r="B30126" s="4" t="s">
        <v>37936</v>
      </c>
      <c r="C30126" s="5" t="str">
        <f>IFERROR(__xludf.DUMMYFUNCTION("GOOGLETRANSLATE(B30126,""en"",""es-ES"")"),"La paciente está escuchando música mientras mueve los pies al ritmo de algo de música.")</f>
        <v>La paciente está escuchando música mientras mueve los pies al ritmo de algo de música.</v>
      </c>
    </row>
    <row r="30127">
      <c r="A30127" s="4" t="s">
        <v>37937</v>
      </c>
      <c r="B30127" s="4" t="s">
        <v>37938</v>
      </c>
      <c r="C30127" s="5" t="str">
        <f>IFERROR(__xludf.DUMMYFUNCTION("GOOGLETRANSLATE(B30127,""en"",""es-ES"")"),"Vemos un juego de Foosball que se juega.")</f>
        <v>Vemos un juego de Foosball que se juega.</v>
      </c>
    </row>
    <row r="30128">
      <c r="A30128" s="4" t="s">
        <v>37937</v>
      </c>
      <c r="B30128" s="4" t="s">
        <v>37939</v>
      </c>
      <c r="C30128" s="5" t="str">
        <f>IFERROR(__xludf.DUMMYFUNCTION("GOOGLETRANSLATE(B30128,""en"",""es-ES"")"),"Salimos y vemos a los jugadores.")</f>
        <v>Salimos y vemos a los jugadores.</v>
      </c>
    </row>
    <row r="30129">
      <c r="A30129" s="4" t="s">
        <v>37937</v>
      </c>
      <c r="B30129" s="4" t="s">
        <v>37940</v>
      </c>
      <c r="C30129" s="5" t="str">
        <f>IFERROR(__xludf.DUMMYFUNCTION("GOOGLETRANSLATE(B30129,""en"",""es-ES"")"),"Vemos a los jugadores de la izquierda.")</f>
        <v>Vemos a los jugadores de la izquierda.</v>
      </c>
    </row>
    <row r="30130">
      <c r="A30130" s="4" t="s">
        <v>37937</v>
      </c>
      <c r="B30130" s="4" t="s">
        <v>37941</v>
      </c>
      <c r="C30130" s="5" t="str">
        <f>IFERROR(__xludf.DUMMYFUNCTION("GOOGLETRANSLATE(B30130,""en"",""es-ES"")"),"Una persona gira la segunda desde el bar correcto.")</f>
        <v>Una persona gira la segunda desde el bar correcto.</v>
      </c>
    </row>
    <row r="30131">
      <c r="A30131" s="4" t="s">
        <v>37942</v>
      </c>
      <c r="B30131" s="4" t="s">
        <v>37943</v>
      </c>
      <c r="C30131" s="5" t="str">
        <f>IFERROR(__xludf.DUMMYFUNCTION("GOOGLETRANSLATE(B30131,""en"",""es-ES"")"),"Un video de rápido movimiento muestra a un niño que comienza a subir a través de un conjunto de barras de mono.")</f>
        <v>Un video de rápido movimiento muestra a un niño que comienza a subir a través de un conjunto de barras de mono.</v>
      </c>
    </row>
    <row r="30132">
      <c r="A30132" s="4" t="s">
        <v>37942</v>
      </c>
      <c r="B30132" s="4" t="s">
        <v>37944</v>
      </c>
      <c r="C30132" s="5" t="str">
        <f>IFERROR(__xludf.DUMMYFUNCTION("GOOGLETRANSLATE(B30132,""en"",""es-ES"")"),"El niño cruza y salta hacia abajo mientras otra persona intenta justo detrás de él.")</f>
        <v>El niño cruza y salta hacia abajo mientras otra persona intenta justo detrás de él.</v>
      </c>
    </row>
    <row r="30133">
      <c r="A30133" s="4" t="s">
        <v>37945</v>
      </c>
      <c r="B30133" s="4" t="s">
        <v>37946</v>
      </c>
      <c r="C30133" s="5" t="str">
        <f>IFERROR(__xludf.DUMMYFUNCTION("GOOGLETRANSLATE(B30133,""en"",""es-ES"")"),"Un hombre de mediana edad está palpitando nieve en una acera, mientras que un perro marrón de tamaño mediano persigue la pala.")</f>
        <v>Un hombre de mediana edad está palpitando nieve en una acera, mientras que un perro marrón de tamaño mediano persigue la pala.</v>
      </c>
    </row>
    <row r="30134">
      <c r="A30134" s="4" t="s">
        <v>37945</v>
      </c>
      <c r="B30134" s="4" t="s">
        <v>37947</v>
      </c>
      <c r="C30134" s="5" t="str">
        <f>IFERROR(__xludf.DUMMYFUNCTION("GOOGLETRANSLATE(B30134,""en"",""es-ES"")"),"El hombre arroja la nieve y gira la otra forma para repetir la pala mientras el perro continúa persiguiendo la pala.")</f>
        <v>El hombre arroja la nieve y gira la otra forma para repetir la pala mientras el perro continúa persiguiendo la pala.</v>
      </c>
    </row>
    <row r="30135">
      <c r="A30135" s="4" t="s">
        <v>37945</v>
      </c>
      <c r="B30135" s="4" t="s">
        <v>37948</v>
      </c>
      <c r="C30135" s="5" t="str">
        <f>IFERROR(__xludf.DUMMYFUNCTION("GOOGLETRANSLATE(B30135,""en"",""es-ES"")"),"Al final de la acera cerca de un camino de entrada, una mujer joven con traje de nieve negro que se encuentra en el estómago ve al perro persiguiendo la pala y se ríe.")</f>
        <v>Al final de la acera cerca de un camino de entrada, una mujer joven con traje de nieve negro que se encuentra en el estómago ve al perro persiguiendo la pala y se ríe.</v>
      </c>
    </row>
    <row r="30136">
      <c r="A30136" s="4" t="s">
        <v>37945</v>
      </c>
      <c r="B30136" s="4" t="s">
        <v>37949</v>
      </c>
      <c r="C30136" s="5" t="str">
        <f>IFERROR(__xludf.DUMMYFUNCTION("GOOGLETRANSLATE(B30136,""en"",""es-ES"")"),"El hombre ahora se da vuelta y corre por la acera que empuja la nieve nuevamente y el perro corre junto con él.")</f>
        <v>El hombre ahora se da vuelta y corre por la acera que empuja la nieve nuevamente y el perro corre junto con él.</v>
      </c>
    </row>
    <row r="30137">
      <c r="A30137" s="4" t="s">
        <v>37945</v>
      </c>
      <c r="B30137" s="4" t="s">
        <v>37950</v>
      </c>
      <c r="C30137" s="5" t="str">
        <f>IFERROR(__xludf.DUMMYFUNCTION("GOOGLETRANSLATE(B30137,""en"",""es-ES"")"),"El hombre no se da la vuelta y empuja la acera nuevamente, sino que lleva la nieve en la pala y se aleja del perro.")</f>
        <v>El hombre no se da la vuelta y empuja la acera nuevamente, sino que lleva la nieve en la pala y se aleja del perro.</v>
      </c>
    </row>
    <row r="30138">
      <c r="A30138" s="4" t="s">
        <v>37945</v>
      </c>
      <c r="B30138" s="4" t="s">
        <v>37951</v>
      </c>
      <c r="C30138" s="5" t="str">
        <f>IFERROR(__xludf.DUMMYFUNCTION("GOOGLETRANSLATE(B30138,""en"",""es-ES"")"),"El perro se arrastra por detrás como cansado.")</f>
        <v>El perro se arrastra por detrás como cansado.</v>
      </c>
    </row>
    <row r="30139">
      <c r="A30139" s="4" t="s">
        <v>37952</v>
      </c>
      <c r="B30139" s="4" t="s">
        <v>37953</v>
      </c>
      <c r="C30139" s="5" t="str">
        <f>IFERROR(__xludf.DUMMYFUNCTION("GOOGLETRANSLATE(B30139,""en"",""es-ES"")"),"La gente está parada en un escenario.")</f>
        <v>La gente está parada en un escenario.</v>
      </c>
    </row>
    <row r="30140">
      <c r="A30140" s="4" t="s">
        <v>37952</v>
      </c>
      <c r="B30140" s="4" t="s">
        <v>37954</v>
      </c>
      <c r="C30140" s="5" t="str">
        <f>IFERROR(__xludf.DUMMYFUNCTION("GOOGLETRANSLATE(B30140,""en"",""es-ES"")"),"Comienzan a jugar un juego de tijeras de papel rock.")</f>
        <v>Comienzan a jugar un juego de tijeras de papel rock.</v>
      </c>
    </row>
    <row r="30141">
      <c r="A30141" s="4" t="s">
        <v>37952</v>
      </c>
      <c r="B30141" s="4" t="s">
        <v>37955</v>
      </c>
      <c r="C30141" s="5" t="str">
        <f>IFERROR(__xludf.DUMMYFUNCTION("GOOGLETRANSLATE(B30141,""en"",""es-ES"")"),"Los hombres de pie en las camisas de los árbitros están de pie detrás de ellas.")</f>
        <v>Los hombres de pie en las camisas de los árbitros están de pie detrás de ellas.</v>
      </c>
    </row>
    <row r="30142">
      <c r="A30142" s="4" t="s">
        <v>37956</v>
      </c>
      <c r="B30142" s="4" t="s">
        <v>37957</v>
      </c>
      <c r="C30142" s="5" t="str">
        <f>IFERROR(__xludf.DUMMYFUNCTION("GOOGLETRANSLATE(B30142,""en"",""es-ES"")"),"La mujer que usa una camisa roja es Holdgina Ball y está tratando de tirar la pelota a alguien cuando alguien le arroja una pelota y ahora tiene dos y los tiza.")</f>
        <v>La mujer que usa una camisa roja es Holdgina Ball y está tratando de tirar la pelota a alguien cuando alguien le arroja una pelota y ahora tiene dos y los tiza.</v>
      </c>
    </row>
    <row r="30143">
      <c r="A30143" s="4" t="s">
        <v>37956</v>
      </c>
      <c r="B30143" s="4" t="s">
        <v>37958</v>
      </c>
      <c r="C30143" s="5" t="str">
        <f>IFERROR(__xludf.DUMMYFUNCTION("GOOGLETRANSLATE(B30143,""en"",""es-ES"")"),"El hombre sostiene una bola roja y camina en una cancha de madera y tira la pelota.")</f>
        <v>El hombre sostiene una bola roja y camina en una cancha de madera y tira la pelota.</v>
      </c>
    </row>
    <row r="30144">
      <c r="A30144" s="4" t="s">
        <v>37956</v>
      </c>
      <c r="B30144" s="4" t="s">
        <v>37959</v>
      </c>
      <c r="C30144" s="5" t="str">
        <f>IFERROR(__xludf.DUMMYFUNCTION("GOOGLETRANSLATE(B30144,""en"",""es-ES"")"),"La gente juega Dodgeball en un gimnasio de Roofedwooden.")</f>
        <v>La gente juega Dodgeball en un gimnasio de Roofedwooden.</v>
      </c>
    </row>
    <row r="30145">
      <c r="A30145" s="4" t="s">
        <v>37960</v>
      </c>
      <c r="B30145" s="4" t="s">
        <v>37961</v>
      </c>
      <c r="C30145" s="5" t="str">
        <f>IFERROR(__xludf.DUMMYFUNCTION("GOOGLETRANSLATE(B30145,""en"",""es-ES"")"),"Una niña está parada afuera en el medio del camino haciendo trucos con un hula hoop, moviéndolo alrededor de sus caderas y sus brazos.")</f>
        <v>Una niña está parada afuera en el medio del camino haciendo trucos con un hula hoop, moviéndolo alrededor de sus caderas y sus brazos.</v>
      </c>
    </row>
    <row r="30146">
      <c r="A30146" s="4" t="s">
        <v>37960</v>
      </c>
      <c r="B30146" s="4" t="s">
        <v>37962</v>
      </c>
      <c r="C30146" s="5" t="str">
        <f>IFERROR(__xludf.DUMMYFUNCTION("GOOGLETRANSLATE(B30146,""en"",""es-ES"")"),"Mientras actúa, una mujer está sentada detrás de ella con sus maletas en el suelo.")</f>
        <v>Mientras actúa, una mujer está sentada detrás de ella con sus maletas en el suelo.</v>
      </c>
    </row>
    <row r="30147">
      <c r="A30147" s="4" t="s">
        <v>37960</v>
      </c>
      <c r="B30147" s="4" t="s">
        <v>37963</v>
      </c>
      <c r="C30147" s="5" t="str">
        <f>IFERROR(__xludf.DUMMYFUNCTION("GOOGLETRANSLATE(B30147,""en"",""es-ES"")"),"Cuando la niña termina de actuar, agarra un gorro, lo sostiene y luego comienza a pedir dinero a la multitud de personas que la estaban mirando.")</f>
        <v>Cuando la niña termina de actuar, agarra un gorro, lo sostiene y luego comienza a pedir dinero a la multitud de personas que la estaban mirando.</v>
      </c>
    </row>
    <row r="30148">
      <c r="A30148" s="4" t="s">
        <v>37964</v>
      </c>
      <c r="B30148" s="4" t="s">
        <v>37965</v>
      </c>
      <c r="C30148" s="5" t="str">
        <f>IFERROR(__xludf.DUMMYFUNCTION("GOOGLETRANSLATE(B30148,""en"",""es-ES"")"),"Dos luchadores de sumo se muestran en un anillo como espectadores y un reloj de árbitro.")</f>
        <v>Dos luchadores de sumo se muestran en un anillo como espectadores y un reloj de árbitro.</v>
      </c>
    </row>
    <row r="30149">
      <c r="A30149" s="4" t="s">
        <v>37964</v>
      </c>
      <c r="B30149" s="4" t="s">
        <v>37966</v>
      </c>
      <c r="C30149" s="5" t="str">
        <f>IFERROR(__xludf.DUMMYFUNCTION("GOOGLETRANSLATE(B30149,""en"",""es-ES"")"),"Los luchadores se agachan y se topan entre sí.")</f>
        <v>Los luchadores se agachan y se topan entre sí.</v>
      </c>
    </row>
    <row r="30150">
      <c r="A30150" s="4" t="s">
        <v>37964</v>
      </c>
      <c r="B30150" s="4" t="s">
        <v>37967</v>
      </c>
      <c r="C30150" s="5" t="str">
        <f>IFERROR(__xludf.DUMMYFUNCTION("GOOGLETRANSLATE(B30150,""en"",""es-ES"")"),"Luchan brevemente mientras un hombre es arrojado del ring.")</f>
        <v>Luchan brevemente mientras un hombre es arrojado del ring.</v>
      </c>
    </row>
    <row r="30151">
      <c r="A30151" s="4" t="s">
        <v>37964</v>
      </c>
      <c r="B30151" s="4" t="s">
        <v>37968</v>
      </c>
      <c r="C30151" s="5" t="str">
        <f>IFERROR(__xludf.DUMMYFUNCTION("GOOGLETRANSLATE(B30151,""en"",""es-ES"")"),"El ganador realiza una señal de mano con el árbitro.")</f>
        <v>El ganador realiza una señal de mano con el árbitro.</v>
      </c>
    </row>
    <row r="30152">
      <c r="A30152" s="4" t="s">
        <v>37964</v>
      </c>
      <c r="B30152" s="4" t="s">
        <v>37969</v>
      </c>
      <c r="C30152" s="5" t="str">
        <f>IFERROR(__xludf.DUMMYFUNCTION("GOOGLETRANSLATE(B30152,""en"",""es-ES"")"),"El perdedor camina por la parte de atrás mientras muestran una repetición de la victoria.")</f>
        <v>El perdedor camina por la parte de atrás mientras muestran una repetición de la victoria.</v>
      </c>
    </row>
    <row r="30153">
      <c r="A30153" s="4" t="s">
        <v>37964</v>
      </c>
      <c r="B30153" s="4" t="s">
        <v>37970</v>
      </c>
      <c r="C30153" s="5" t="str">
        <f>IFERROR(__xludf.DUMMYFUNCTION("GOOGLETRANSLATE(B30153,""en"",""es-ES"")"),"El video termina con el anfitrión entrevistando al perdedor y mostrando el anillo de sumo.")</f>
        <v>El video termina con el anfitrión entrevistando al perdedor y mostrando el anillo de sumo.</v>
      </c>
    </row>
    <row r="30154">
      <c r="A30154" s="4" t="s">
        <v>37971</v>
      </c>
      <c r="B30154" s="4" t="s">
        <v>1251</v>
      </c>
      <c r="C30154" s="5" t="str">
        <f>IFERROR(__xludf.DUMMYFUNCTION("GOOGLETRANSLATE(B30154,""en"",""es-ES"")"),"Se muestran los créditos del clip.")</f>
        <v>Se muestran los créditos del clip.</v>
      </c>
    </row>
    <row r="30155">
      <c r="A30155" s="4" t="s">
        <v>37971</v>
      </c>
      <c r="B30155" s="4" t="s">
        <v>37972</v>
      </c>
      <c r="C30155" s="5" t="str">
        <f>IFERROR(__xludf.DUMMYFUNCTION("GOOGLETRANSLATE(B30155,""en"",""es-ES"")"),"Los hombres están trabajando en un techo.")</f>
        <v>Los hombres están trabajando en un techo.</v>
      </c>
    </row>
    <row r="30156">
      <c r="A30156" s="4" t="s">
        <v>37971</v>
      </c>
      <c r="B30156" s="4" t="s">
        <v>37973</v>
      </c>
      <c r="C30156" s="5" t="str">
        <f>IFERROR(__xludf.DUMMYFUNCTION("GOOGLETRANSLATE(B30156,""en"",""es-ES"")"),"Un hombre está rociando la pasta en el techo, un macho está entregando las piezas y un chico agrega las piezas al área pegada en el techo.")</f>
        <v>Un hombre está rociando la pasta en el techo, un macho está entregando las piezas y un chico agrega las piezas al área pegada en el techo.</v>
      </c>
    </row>
    <row r="30157">
      <c r="A30157" s="4" t="s">
        <v>37971</v>
      </c>
      <c r="B30157" s="4" t="s">
        <v>37974</v>
      </c>
      <c r="C30157" s="5" t="str">
        <f>IFERROR(__xludf.DUMMYFUNCTION("GOOGLETRANSLATE(B30157,""en"",""es-ES"")"),"Una persona está rociando la pasta en las piezas del techo.")</f>
        <v>Una persona está rociando la pasta en las piezas del techo.</v>
      </c>
    </row>
    <row r="30158">
      <c r="A30158" s="4" t="s">
        <v>37971</v>
      </c>
      <c r="B30158" s="4" t="s">
        <v>573</v>
      </c>
      <c r="C30158" s="5" t="str">
        <f>IFERROR(__xludf.DUMMYFUNCTION("GOOGLETRANSLATE(B30158,""en"",""es-ES"")"),"Se muestran los créditos del video.")</f>
        <v>Se muestran los créditos del video.</v>
      </c>
    </row>
    <row r="30159">
      <c r="A30159" s="4" t="s">
        <v>37975</v>
      </c>
      <c r="B30159" s="4" t="s">
        <v>37976</v>
      </c>
      <c r="C30159" s="5" t="str">
        <f>IFERROR(__xludf.DUMMYFUNCTION("GOOGLETRANSLATE(B30159,""en"",""es-ES"")"),"Un joven asiático está de pie en una sala de estar con un trapeador en la mano.")</f>
        <v>Un joven asiático está de pie en una sala de estar con un trapeador en la mano.</v>
      </c>
    </row>
    <row r="30160">
      <c r="A30160" s="4" t="s">
        <v>37975</v>
      </c>
      <c r="B30160" s="4" t="s">
        <v>37977</v>
      </c>
      <c r="C30160" s="5" t="str">
        <f>IFERROR(__xludf.DUMMYFUNCTION("GOOGLETRANSLATE(B30160,""en"",""es-ES"")"),"El niño se dobla, recoge una botella de spray y la arroja en el piso.")</f>
        <v>El niño se dobla, recoge una botella de spray y la arroja en el piso.</v>
      </c>
    </row>
    <row r="30161">
      <c r="A30161" s="4" t="s">
        <v>37975</v>
      </c>
      <c r="B30161" s="4" t="s">
        <v>37978</v>
      </c>
      <c r="C30161" s="5" t="str">
        <f>IFERROR(__xludf.DUMMYFUNCTION("GOOGLETRANSLATE(B30161,""en"",""es-ES"")"),"Luego mueve la escoba de un lado a otro y limpia el piso.")</f>
        <v>Luego mueve la escoba de un lado a otro y limpia el piso.</v>
      </c>
    </row>
    <row r="30162">
      <c r="A30162" s="4" t="s">
        <v>37979</v>
      </c>
      <c r="B30162" s="4" t="s">
        <v>37980</v>
      </c>
      <c r="C30162" s="5" t="str">
        <f>IFERROR(__xludf.DUMMYFUNCTION("GOOGLETRANSLATE(B30162,""en"",""es-ES"")"),"Una mujer se sienta frente a una gran multitud mientras sostiene la crema de afeitar y una maquinilla de afeitar.")</f>
        <v>Una mujer se sienta frente a una gran multitud mientras sostiene la crema de afeitar y una maquinilla de afeitar.</v>
      </c>
    </row>
    <row r="30163">
      <c r="A30163" s="4" t="s">
        <v>37979</v>
      </c>
      <c r="B30163" s="4" t="s">
        <v>37981</v>
      </c>
      <c r="C30163" s="5" t="str">
        <f>IFERROR(__xludf.DUMMYFUNCTION("GOOGLETRANSLATE(B30163,""en"",""es-ES"")"),"Se ve a otro hombre en el escenario afeitándose la cara y la mujer comienza a afeitarse las piernas.")</f>
        <v>Se ve a otro hombre en el escenario afeitándose la cara y la mujer comienza a afeitarse las piernas.</v>
      </c>
    </row>
    <row r="30164">
      <c r="A30164" s="4" t="s">
        <v>37979</v>
      </c>
      <c r="B30164" s="4" t="s">
        <v>37982</v>
      </c>
      <c r="C30164" s="5" t="str">
        <f>IFERROR(__xludf.DUMMYFUNCTION("GOOGLETRANSLATE(B30164,""en"",""es-ES"")"),"La multitud los anima a la competencia de afeitar.")</f>
        <v>La multitud los anima a la competencia de afeitar.</v>
      </c>
    </row>
    <row r="30165">
      <c r="A30165" s="4" t="s">
        <v>37983</v>
      </c>
      <c r="B30165" s="4" t="s">
        <v>37984</v>
      </c>
      <c r="C30165" s="5" t="str">
        <f>IFERROR(__xludf.DUMMYFUNCTION("GOOGLETRANSLATE(B30165,""en"",""es-ES"")"),"Se ve a un pequeño grupo de personas parados uno al lado del otro con una bolsa una tras otra.")</f>
        <v>Se ve a un pequeño grupo de personas parados uno al lado del otro con una bolsa una tras otra.</v>
      </c>
    </row>
    <row r="30166">
      <c r="A30166" s="4" t="s">
        <v>37983</v>
      </c>
      <c r="B30166" s="4" t="s">
        <v>37985</v>
      </c>
      <c r="C30166" s="5" t="str">
        <f>IFERROR(__xludf.DUMMYFUNCTION("GOOGLETRANSLATE(B30166,""en"",""es-ES"")"),"Luego se muestra a muchas personas pateando las bolsas una al lado de la otra.")</f>
        <v>Luego se muestra a muchas personas pateando las bolsas una al lado de la otra.</v>
      </c>
    </row>
    <row r="30167">
      <c r="A30167" s="4" t="s">
        <v>37986</v>
      </c>
      <c r="B30167" s="4" t="s">
        <v>37987</v>
      </c>
      <c r="C30167" s="5" t="str">
        <f>IFERROR(__xludf.DUMMYFUNCTION("GOOGLETRANSLATE(B30167,""en"",""es-ES"")"),"Un hombre se para iluminar un palo con los campistas en el fondo y un fuego ardiendo.")</f>
        <v>Un hombre se para iluminar un palo con los campistas en el fondo y un fuego ardiendo.</v>
      </c>
    </row>
    <row r="30168">
      <c r="A30168" s="4" t="s">
        <v>37986</v>
      </c>
      <c r="B30168" s="4" t="s">
        <v>37988</v>
      </c>
      <c r="C30168" s="5" t="str">
        <f>IFERROR(__xludf.DUMMYFUNCTION("GOOGLETRANSLATE(B30168,""en"",""es-ES"")"),"Peque el cono en el fuego y el extremo del palo comienza a incendiarse.")</f>
        <v>Peque el cono en el fuego y el extremo del palo comienza a incendiarse.</v>
      </c>
    </row>
    <row r="30169">
      <c r="A30169" s="4" t="s">
        <v>37989</v>
      </c>
      <c r="B30169" s="4" t="s">
        <v>37990</v>
      </c>
      <c r="C30169" s="5" t="str">
        <f>IFERROR(__xludf.DUMMYFUNCTION("GOOGLETRANSLATE(B30169,""en"",""es-ES"")"),"Se muestra un primer plano de una mesa de fooseball, así como a las personas que juegan sobre la mesa.")</f>
        <v>Se muestra un primer plano de una mesa de fooseball, así como a las personas que juegan sobre la mesa.</v>
      </c>
    </row>
    <row r="30170">
      <c r="A30170" s="4" t="s">
        <v>37989</v>
      </c>
      <c r="B30170" s="4" t="s">
        <v>37991</v>
      </c>
      <c r="C30170" s="5" t="str">
        <f>IFERROR(__xludf.DUMMYFUNCTION("GOOGLETRANSLATE(B30170,""en"",""es-ES"")"),"El juego continúa mientras las personas usan las barras para mover el juego a medida que la pelota retrocede y cuarto.")</f>
        <v>El juego continúa mientras las personas usan las barras para mover el juego a medida que la pelota retrocede y cuarto.</v>
      </c>
    </row>
    <row r="30171">
      <c r="A30171" s="4" t="s">
        <v>37992</v>
      </c>
      <c r="B30171" s="4" t="s">
        <v>37993</v>
      </c>
      <c r="C30171" s="5" t="str">
        <f>IFERROR(__xludf.DUMMYFUNCTION("GOOGLETRANSLATE(B30171,""en"",""es-ES"")"),"Un grupo de personas usa equipo de snorkel en el borde del agua del océano.")</f>
        <v>Un grupo de personas usa equipo de snorkel en el borde del agua del océano.</v>
      </c>
    </row>
    <row r="30172">
      <c r="A30172" s="4" t="s">
        <v>37992</v>
      </c>
      <c r="B30172" s="4" t="s">
        <v>37994</v>
      </c>
      <c r="C30172" s="5" t="str">
        <f>IFERROR(__xludf.DUMMYFUNCTION("GOOGLETRANSLATE(B30172,""en"",""es-ES"")"),"Luego son vistos debajo del agua, explorando y mirando peces.")</f>
        <v>Luego son vistos debajo del agua, explorando y mirando peces.</v>
      </c>
    </row>
    <row r="30173">
      <c r="A30173" s="4" t="s">
        <v>37992</v>
      </c>
      <c r="B30173" s="4" t="s">
        <v>37995</v>
      </c>
      <c r="C30173" s="5" t="str">
        <f>IFERROR(__xludf.DUMMYFUNCTION("GOOGLETRANSLATE(B30173,""en"",""es-ES"")"),"Se extienden para tocar el pez mientras nadan.")</f>
        <v>Se extienden para tocar el pez mientras nadan.</v>
      </c>
    </row>
    <row r="30174">
      <c r="A30174" s="4" t="s">
        <v>37996</v>
      </c>
      <c r="B30174" s="4" t="s">
        <v>37997</v>
      </c>
      <c r="C30174" s="5" t="str">
        <f>IFERROR(__xludf.DUMMYFUNCTION("GOOGLETRANSLATE(B30174,""en"",""es-ES"")"),"Una niña está jugando en un patio de recreo.")</f>
        <v>Una niña está jugando en un patio de recreo.</v>
      </c>
    </row>
    <row r="30175">
      <c r="A30175" s="4" t="s">
        <v>37996</v>
      </c>
      <c r="B30175" s="4" t="s">
        <v>37998</v>
      </c>
      <c r="C30175" s="5" t="str">
        <f>IFERROR(__xludf.DUMMYFUNCTION("GOOGLETRANSLATE(B30175,""en"",""es-ES"")"),"Ella retrocede en los bares de mono.")</f>
        <v>Ella retrocede en los bares de mono.</v>
      </c>
    </row>
    <row r="30176">
      <c r="A30176" s="4" t="s">
        <v>37996</v>
      </c>
      <c r="B30176" s="4" t="s">
        <v>37999</v>
      </c>
      <c r="C30176" s="5" t="str">
        <f>IFERROR(__xludf.DUMMYFUNCTION("GOOGLETRANSLATE(B30176,""en"",""es-ES"")"),"Ella muestra sus manos a la cámara y continúa hablando.")</f>
        <v>Ella muestra sus manos a la cámara y continúa hablando.</v>
      </c>
    </row>
    <row r="30177">
      <c r="A30177" s="4" t="s">
        <v>38000</v>
      </c>
      <c r="B30177" s="4" t="s">
        <v>38001</v>
      </c>
      <c r="C30177" s="5" t="str">
        <f>IFERROR(__xludf.DUMMYFUNCTION("GOOGLETRANSLATE(B30177,""en"",""es-ES"")"),"Una mujer está tocando una canción clásica en el piano en una película en blanco y negro.")</f>
        <v>Una mujer está tocando una canción clásica en el piano en una película en blanco y negro.</v>
      </c>
    </row>
    <row r="30178">
      <c r="A30178" s="4" t="s">
        <v>38000</v>
      </c>
      <c r="B30178" s="4" t="s">
        <v>38002</v>
      </c>
      <c r="C30178" s="5" t="str">
        <f>IFERROR(__xludf.DUMMYFUNCTION("GOOGLETRANSLATE(B30178,""en"",""es-ES"")"),"Ella comienza a acelerar el ritmo de la música que está tocando.")</f>
        <v>Ella comienza a acelerar el ritmo de la música que está tocando.</v>
      </c>
    </row>
    <row r="30179">
      <c r="A30179" s="4" t="s">
        <v>38000</v>
      </c>
      <c r="B30179" s="4" t="s">
        <v>38003</v>
      </c>
      <c r="C30179" s="5" t="str">
        <f>IFERROR(__xludf.DUMMYFUNCTION("GOOGLETRANSLATE(B30179,""en"",""es-ES"")"),"La cámara la muestra tocando el piano desde arriba.")</f>
        <v>La cámara la muestra tocando el piano desde arriba.</v>
      </c>
    </row>
    <row r="30180">
      <c r="A30180" s="4" t="s">
        <v>38000</v>
      </c>
      <c r="B30180" s="4" t="s">
        <v>38004</v>
      </c>
      <c r="C30180" s="5" t="str">
        <f>IFERROR(__xludf.DUMMYFUNCTION("GOOGLETRANSLATE(B30180,""en"",""es-ES"")"),"El público aplaude por la mujer y el video termina.")</f>
        <v>El público aplaude por la mujer y el video termina.</v>
      </c>
    </row>
    <row r="30181">
      <c r="A30181" s="4" t="s">
        <v>38005</v>
      </c>
      <c r="B30181" s="4" t="s">
        <v>38006</v>
      </c>
      <c r="C30181" s="5" t="str">
        <f>IFERROR(__xludf.DUMMYFUNCTION("GOOGLETRANSLATE(B30181,""en"",""es-ES"")"),"Una pose de grupo sonriendo para la cámara.")</f>
        <v>Una pose de grupo sonriendo para la cámara.</v>
      </c>
    </row>
    <row r="30182">
      <c r="A30182" s="4" t="s">
        <v>38005</v>
      </c>
      <c r="B30182" s="4" t="s">
        <v>38007</v>
      </c>
      <c r="C30182" s="5" t="str">
        <f>IFERROR(__xludf.DUMMYFUNCTION("GOOGLETRANSLATE(B30182,""en"",""es-ES"")"),"Un grupo de la cámara mientras más personas en el fondo caminan por el agua.")</f>
        <v>Un grupo de la cámara mientras más personas en el fondo caminan por el agua.</v>
      </c>
    </row>
    <row r="30183">
      <c r="A30183" s="4" t="s">
        <v>38005</v>
      </c>
      <c r="B30183" s="4" t="s">
        <v>38008</v>
      </c>
      <c r="C30183" s="5" t="str">
        <f>IFERROR(__xludf.DUMMYFUNCTION("GOOGLETRANSLATE(B30183,""en"",""es-ES"")"),"El grupo va rafting en el agua.")</f>
        <v>El grupo va rafting en el agua.</v>
      </c>
    </row>
    <row r="30184">
      <c r="A30184" s="4" t="s">
        <v>38005</v>
      </c>
      <c r="B30184" s="4" t="s">
        <v>38009</v>
      </c>
      <c r="C30184" s="5" t="str">
        <f>IFERROR(__xludf.DUMMYFUNCTION("GOOGLETRANSLATE(B30184,""en"",""es-ES"")"),"Vuelven a saludar a la cámara.")</f>
        <v>Vuelven a saludar a la cámara.</v>
      </c>
    </row>
    <row r="30185">
      <c r="A30185" s="4" t="s">
        <v>38005</v>
      </c>
      <c r="B30185" s="4" t="s">
        <v>38010</v>
      </c>
      <c r="C30185" s="5" t="str">
        <f>IFERROR(__xludf.DUMMYFUNCTION("GOOGLETRANSLATE(B30185,""en"",""es-ES"")"),"El grupo se muestra en su balsa mientras navegan por el río.")</f>
        <v>El grupo se muestra en su balsa mientras navegan por el río.</v>
      </c>
    </row>
    <row r="30186">
      <c r="A30186" s="4" t="s">
        <v>38005</v>
      </c>
      <c r="B30186" s="4" t="s">
        <v>38011</v>
      </c>
      <c r="C30186" s="5" t="str">
        <f>IFERROR(__xludf.DUMMYFUNCTION("GOOGLETRANSLATE(B30186,""en"",""es-ES"")"),"Se muestran tomando un descanso en el río.")</f>
        <v>Se muestran tomando un descanso en el río.</v>
      </c>
    </row>
    <row r="30187">
      <c r="A30187" s="4" t="s">
        <v>38005</v>
      </c>
      <c r="B30187" s="4" t="s">
        <v>38012</v>
      </c>
      <c r="C30187" s="5" t="str">
        <f>IFERROR(__xludf.DUMMYFUNCTION("GOOGLETRANSLATE(B30187,""en"",""es-ES"")"),"Imágenes de POV de una de las vigas.")</f>
        <v>Imágenes de POV de una de las vigas.</v>
      </c>
    </row>
    <row r="30188">
      <c r="A30188" s="4" t="s">
        <v>38005</v>
      </c>
      <c r="B30188" s="4" t="s">
        <v>38013</v>
      </c>
      <c r="C30188" s="5" t="str">
        <f>IFERROR(__xludf.DUMMYFUNCTION("GOOGLETRANSLATE(B30188,""en"",""es-ES"")"),"El grupo está fuera del río y camina.")</f>
        <v>El grupo está fuera del río y camina.</v>
      </c>
    </row>
    <row r="30189">
      <c r="A30189" s="4" t="s">
        <v>38014</v>
      </c>
      <c r="B30189" s="4" t="s">
        <v>38015</v>
      </c>
      <c r="C30189" s="5" t="str">
        <f>IFERROR(__xludf.DUMMYFUNCTION("GOOGLETRANSLATE(B30189,""en"",""es-ES"")"),"Los hombres están frente a un espejo en una habitación.")</f>
        <v>Los hombres están frente a un espejo en una habitación.</v>
      </c>
    </row>
    <row r="30190">
      <c r="A30190" s="4" t="s">
        <v>38014</v>
      </c>
      <c r="B30190" s="4" t="s">
        <v>38016</v>
      </c>
      <c r="C30190" s="5" t="str">
        <f>IFERROR(__xludf.DUMMYFUNCTION("GOOGLETRANSLATE(B30190,""en"",""es-ES"")"),"El hombre está solo practicando patadas y golpes.")</f>
        <v>El hombre está solo practicando patadas y golpes.</v>
      </c>
    </row>
    <row r="30191">
      <c r="A30191" s="4" t="s">
        <v>38014</v>
      </c>
      <c r="B30191" s="4" t="s">
        <v>38017</v>
      </c>
      <c r="C30191" s="5" t="str">
        <f>IFERROR(__xludf.DUMMYFUNCTION("GOOGLETRANSLATE(B30191,""en"",""es-ES"")"),"El hombre con camisa blanca está estirando las piernas ata al otro hombre.")</f>
        <v>El hombre con camisa blanca está estirando las piernas ata al otro hombre.</v>
      </c>
    </row>
    <row r="30192">
      <c r="A30192" s="4" t="s">
        <v>38018</v>
      </c>
      <c r="B30192" s="4" t="s">
        <v>38019</v>
      </c>
      <c r="C30192" s="5" t="str">
        <f>IFERROR(__xludf.DUMMYFUNCTION("GOOGLETRANSLATE(B30192,""en"",""es-ES"")"),"Se ve a un gran grupo de personas deambulando por una plaza de la ciudad con un niño pequeño en el medio tocando un instrumento.")</f>
        <v>Se ve a un gran grupo de personas deambulando por una plaza de la ciudad con un niño pequeño en el medio tocando un instrumento.</v>
      </c>
    </row>
    <row r="30193">
      <c r="A30193" s="4" t="s">
        <v>38018</v>
      </c>
      <c r="B30193" s="4" t="s">
        <v>38020</v>
      </c>
      <c r="C30193" s="5" t="str">
        <f>IFERROR(__xludf.DUMMYFUNCTION("GOOGLETRANSLATE(B30193,""en"",""es-ES"")"),"El niño toca un saxofón mientras la gente pasa junto a él y baja el dinero.")</f>
        <v>El niño toca un saxofón mientras la gente pasa junto a él y baja el dinero.</v>
      </c>
    </row>
    <row r="30194">
      <c r="A30194" s="4" t="s">
        <v>38018</v>
      </c>
      <c r="B30194" s="4" t="s">
        <v>38021</v>
      </c>
      <c r="C30194" s="5" t="str">
        <f>IFERROR(__xludf.DUMMYFUNCTION("GOOGLETRANSLATE(B30194,""en"",""es-ES"")"),"El niño continúa jugando mientras la cámara captura sus movimientos y otros se detienen para ver.")</f>
        <v>El niño continúa jugando mientras la cámara captura sus movimientos y otros se detienen para ver.</v>
      </c>
    </row>
    <row r="30195">
      <c r="A30195" s="4" t="s">
        <v>38022</v>
      </c>
      <c r="B30195" s="4" t="s">
        <v>38023</v>
      </c>
      <c r="C30195" s="5" t="str">
        <f>IFERROR(__xludf.DUMMYFUNCTION("GOOGLETRANSLATE(B30195,""en"",""es-ES"")"),"La gente salta de las tablas de buceo a la piscina debajo de ellos.")</f>
        <v>La gente salta de las tablas de buceo a la piscina debajo de ellos.</v>
      </c>
    </row>
    <row r="30196">
      <c r="A30196" s="4" t="s">
        <v>38022</v>
      </c>
      <c r="B30196" s="4" t="s">
        <v>38024</v>
      </c>
      <c r="C30196" s="5" t="str">
        <f>IFERROR(__xludf.DUMMYFUNCTION("GOOGLETRANSLATE(B30196,""en"",""es-ES"")"),"Están subiendo un juego de escaleras para llegar al tablero de buceo.")</f>
        <v>Están subiendo un juego de escaleras para llegar al tablero de buceo.</v>
      </c>
    </row>
    <row r="30197">
      <c r="A30197" s="4" t="s">
        <v>38022</v>
      </c>
      <c r="B30197" s="4" t="s">
        <v>38025</v>
      </c>
      <c r="C30197" s="5" t="str">
        <f>IFERROR(__xludf.DUMMYFUNCTION("GOOGLETRANSLATE(B30197,""en"",""es-ES"")"),"Una persona hace una espalda al agua.")</f>
        <v>Una persona hace una espalda al agua.</v>
      </c>
    </row>
    <row r="30198">
      <c r="A30198" s="4" t="s">
        <v>38026</v>
      </c>
      <c r="B30198" s="4" t="s">
        <v>38027</v>
      </c>
      <c r="C30198" s="5" t="str">
        <f>IFERROR(__xludf.DUMMYFUNCTION("GOOGLETRANSLATE(B30198,""en"",""es-ES"")"),"La niña se desliza por el tobogán amarillo y cayó sobre la piscina de bolas.")</f>
        <v>La niña se desliza por el tobogán amarillo y cayó sobre la piscina de bolas.</v>
      </c>
    </row>
    <row r="30199">
      <c r="A30199" s="4" t="s">
        <v>38026</v>
      </c>
      <c r="B30199" s="4" t="s">
        <v>38028</v>
      </c>
      <c r="C30199" s="5" t="str">
        <f>IFERROR(__xludf.DUMMYFUNCTION("GOOGLETRANSLATE(B30199,""en"",""es-ES"")"),"La niña extiende la mano mientras sube en la parte superior del tobogán.")</f>
        <v>La niña extiende la mano mientras sube en la parte superior del tobogán.</v>
      </c>
    </row>
    <row r="30200">
      <c r="A30200" s="4" t="s">
        <v>38026</v>
      </c>
      <c r="B30200" s="4" t="s">
        <v>38029</v>
      </c>
      <c r="C30200" s="5" t="str">
        <f>IFERROR(__xludf.DUMMYFUNCTION("GOOGLETRANSLATE(B30200,""en"",""es-ES"")"),"La niña se desliza hacia abajo nuevamente y cayó sobre la piscina de pelota pero en su estómago.")</f>
        <v>La niña se desliza hacia abajo nuevamente y cayó sobre la piscina de pelota pero en su estómago.</v>
      </c>
    </row>
    <row r="30201">
      <c r="A30201" s="4" t="s">
        <v>38030</v>
      </c>
      <c r="B30201" s="4" t="s">
        <v>38031</v>
      </c>
      <c r="C30201" s="5" t="str">
        <f>IFERROR(__xludf.DUMMYFUNCTION("GOOGLETRANSLATE(B30201,""en"",""es-ES"")"),"Las chicas están bajando por un pequeño tobogán rojo.")</f>
        <v>Las chicas están bajando por un pequeño tobogán rojo.</v>
      </c>
    </row>
    <row r="30202">
      <c r="A30202" s="4" t="s">
        <v>38030</v>
      </c>
      <c r="B30202" s="4" t="s">
        <v>38032</v>
      </c>
      <c r="C30202" s="5" t="str">
        <f>IFERROR(__xludf.DUMMYFUNCTION("GOOGLETRANSLATE(B30202,""en"",""es-ES"")"),"Un hombre con una camisa roja está de pie detrás de ellos.")</f>
        <v>Un hombre con una camisa roja está de pie detrás de ellos.</v>
      </c>
    </row>
    <row r="30203">
      <c r="A30203" s="4" t="s">
        <v>38030</v>
      </c>
      <c r="B30203" s="4" t="s">
        <v>38033</v>
      </c>
      <c r="C30203" s="5" t="str">
        <f>IFERROR(__xludf.DUMMYFUNCTION("GOOGLETRANSLATE(B30203,""en"",""es-ES"")"),"Se aleja hacia la casa.")</f>
        <v>Se aleja hacia la casa.</v>
      </c>
    </row>
    <row r="30204">
      <c r="A30204" s="4" t="s">
        <v>38034</v>
      </c>
      <c r="B30204" s="4" t="s">
        <v>38035</v>
      </c>
      <c r="C30204" s="5" t="str">
        <f>IFERROR(__xludf.DUMMYFUNCTION("GOOGLETRANSLATE(B30204,""en"",""es-ES"")"),"Una niña está afuera corriendo por el camino entre un bosque y luego termina en el aeropuerto.")</f>
        <v>Una niña está afuera corriendo por el camino entre un bosque y luego termina en el aeropuerto.</v>
      </c>
    </row>
    <row r="30205">
      <c r="A30205" s="4" t="s">
        <v>38034</v>
      </c>
      <c r="B30205" s="4" t="s">
        <v>38036</v>
      </c>
      <c r="C30205" s="5" t="str">
        <f>IFERROR(__xludf.DUMMYFUNCTION("GOOGLETRANSLATE(B30205,""en"",""es-ES"")"),"Ella está sentada jugando en su iPad y luego comienza a abordar un avión.")</f>
        <v>Ella está sentada jugando en su iPad y luego comienza a abordar un avión.</v>
      </c>
    </row>
    <row r="30206">
      <c r="A30206" s="4" t="s">
        <v>38034</v>
      </c>
      <c r="B30206" s="4" t="s">
        <v>38037</v>
      </c>
      <c r="C30206" s="5" t="str">
        <f>IFERROR(__xludf.DUMMYFUNCTION("GOOGLETRANSLATE(B30206,""en"",""es-ES"")"),"El avión aterriza y ella está en una cabaña y comienza a esquiar en un resort.")</f>
        <v>El avión aterriza y ella está en una cabaña y comienza a esquiar en un resort.</v>
      </c>
    </row>
    <row r="30207">
      <c r="A30207" s="4" t="s">
        <v>38034</v>
      </c>
      <c r="B30207" s="4" t="s">
        <v>38038</v>
      </c>
      <c r="C30207" s="5" t="str">
        <f>IFERROR(__xludf.DUMMYFUNCTION("GOOGLETRANSLATE(B30207,""en"",""es-ES"")"),"Mientras está patinando, cambia sus esquís y la pantalla está cubierta con una película estática gris y la persona continúa con sus actividades de nieve.")</f>
        <v>Mientras está patinando, cambia sus esquís y la pantalla está cubierta con una película estática gris y la persona continúa con sus actividades de nieve.</v>
      </c>
    </row>
    <row r="30208">
      <c r="A30208" s="4" t="s">
        <v>38039</v>
      </c>
      <c r="B30208" s="4" t="s">
        <v>38040</v>
      </c>
      <c r="C30208" s="5" t="str">
        <f>IFERROR(__xludf.DUMMYFUNCTION("GOOGLETRANSLATE(B30208,""en"",""es-ES"")"),"Un hombre está flotando en el agua del océano hablando.")</f>
        <v>Un hombre está flotando en el agua del océano hablando.</v>
      </c>
    </row>
    <row r="30209">
      <c r="A30209" s="4" t="s">
        <v>38039</v>
      </c>
      <c r="B30209" s="4" t="s">
        <v>38041</v>
      </c>
      <c r="C30209" s="5" t="str">
        <f>IFERROR(__xludf.DUMMYFUNCTION("GOOGLETRANSLATE(B30209,""en"",""es-ES"")"),"Luego habla con un grupo de personas mientras bebe una bebida energética.")</f>
        <v>Luego habla con un grupo de personas mientras bebe una bebida energética.</v>
      </c>
    </row>
    <row r="30210">
      <c r="A30210" s="4" t="s">
        <v>38039</v>
      </c>
      <c r="B30210" s="4" t="s">
        <v>38042</v>
      </c>
      <c r="C30210" s="5" t="str">
        <f>IFERROR(__xludf.DUMMYFUNCTION("GOOGLETRANSLATE(B30210,""en"",""es-ES"")"),"Él salta del costado de un puente.")</f>
        <v>Él salta del costado de un puente.</v>
      </c>
    </row>
    <row r="30211">
      <c r="A30211" s="4" t="s">
        <v>38039</v>
      </c>
      <c r="B30211" s="4" t="s">
        <v>38043</v>
      </c>
      <c r="C30211" s="5" t="str">
        <f>IFERROR(__xludf.DUMMYFUNCTION("GOOGLETRANSLATE(B30211,""en"",""es-ES"")"),"Está hablando con la cámara mientras se balancea sobre el agua.")</f>
        <v>Está hablando con la cámara mientras se balancea sobre el agua.</v>
      </c>
    </row>
    <row r="30212">
      <c r="A30212" s="4" t="s">
        <v>38044</v>
      </c>
      <c r="B30212" s="4" t="s">
        <v>38045</v>
      </c>
      <c r="C30212" s="5" t="str">
        <f>IFERROR(__xludf.DUMMYFUNCTION("GOOGLETRANSLATE(B30212,""en"",""es-ES"")"),"Vemos un vestuario y la pantalla del título.")</f>
        <v>Vemos un vestuario y la pantalla del título.</v>
      </c>
    </row>
    <row r="30213">
      <c r="A30213" s="4" t="s">
        <v>38044</v>
      </c>
      <c r="B30213" s="4" t="s">
        <v>38046</v>
      </c>
      <c r="C30213" s="5" t="str">
        <f>IFERROR(__xludf.DUMMYFUNCTION("GOOGLETRANSLATE(B30213,""en"",""es-ES"")"),"Vemos a un hombre terminando para lanzar el martillo en atletismo en su tercer intento.")</f>
        <v>Vemos a un hombre terminando para lanzar el martillo en atletismo en su tercer intento.</v>
      </c>
    </row>
    <row r="30214">
      <c r="A30214" s="4" t="s">
        <v>38044</v>
      </c>
      <c r="B30214" s="4" t="s">
        <v>38047</v>
      </c>
      <c r="C30214" s="5" t="str">
        <f>IFERROR(__xludf.DUMMYFUNCTION("GOOGLETRANSLATE(B30214,""en"",""es-ES"")"),"Después de que se lanza, vemos hombres midiendo la distancia.")</f>
        <v>Después de que se lanza, vemos hombres midiendo la distancia.</v>
      </c>
    </row>
    <row r="30215">
      <c r="A30215" s="4" t="s">
        <v>38044</v>
      </c>
      <c r="B30215" s="4" t="s">
        <v>38048</v>
      </c>
      <c r="C30215" s="5" t="str">
        <f>IFERROR(__xludf.DUMMYFUNCTION("GOOGLETRANSLATE(B30215,""en"",""es-ES"")"),"Luego vemos su quinto intento y la medición.")</f>
        <v>Luego vemos su quinto intento y la medición.</v>
      </c>
    </row>
    <row r="30216">
      <c r="A30216" s="4" t="s">
        <v>38044</v>
      </c>
      <c r="B30216" s="4" t="s">
        <v>38049</v>
      </c>
      <c r="C30216" s="5" t="str">
        <f>IFERROR(__xludf.DUMMYFUNCTION("GOOGLETRANSLATE(B30216,""en"",""es-ES"")"),"Luego vemos su sexto intento y medición.")</f>
        <v>Luego vemos su sexto intento y medición.</v>
      </c>
    </row>
    <row r="30217">
      <c r="A30217" s="4" t="s">
        <v>38044</v>
      </c>
      <c r="B30217" s="4" t="s">
        <v>38050</v>
      </c>
      <c r="C30217" s="5" t="str">
        <f>IFERROR(__xludf.DUMMYFUNCTION("GOOGLETRANSLATE(B30217,""en"",""es-ES"")"),"La cámara se acerca al hombre mientras sacude la mano de otro hombre.")</f>
        <v>La cámara se acerca al hombre mientras sacude la mano de otro hombre.</v>
      </c>
    </row>
    <row r="30218">
      <c r="A30218" s="4" t="s">
        <v>38044</v>
      </c>
      <c r="B30218" s="4" t="s">
        <v>38051</v>
      </c>
      <c r="C30218" s="5" t="str">
        <f>IFERROR(__xludf.DUMMYFUNCTION("GOOGLETRANSLATE(B30218,""en"",""es-ES"")"),"Luego vemos a 8 hombres parados en plataformas con placas.")</f>
        <v>Luego vemos a 8 hombres parados en plataformas con placas.</v>
      </c>
    </row>
    <row r="30219">
      <c r="A30219" s="4" t="s">
        <v>38052</v>
      </c>
      <c r="B30219" s="4" t="s">
        <v>38053</v>
      </c>
      <c r="C30219" s="5" t="str">
        <f>IFERROR(__xludf.DUMMYFUNCTION("GOOGLETRANSLATE(B30219,""en"",""es-ES"")"),"Una niña toca el clarinete.")</f>
        <v>Una niña toca el clarinete.</v>
      </c>
    </row>
    <row r="30220">
      <c r="A30220" s="4" t="s">
        <v>38052</v>
      </c>
      <c r="B30220" s="4" t="s">
        <v>38054</v>
      </c>
      <c r="C30220" s="5" t="str">
        <f>IFERROR(__xludf.DUMMYFUNCTION("GOOGLETRANSLATE(B30220,""en"",""es-ES"")"),"La niña se detiene por un segundo para voltear su hoja de música parada frente a ella.")</f>
        <v>La niña se detiene por un segundo para voltear su hoja de música parada frente a ella.</v>
      </c>
    </row>
    <row r="30221">
      <c r="A30221" s="4" t="s">
        <v>38052</v>
      </c>
      <c r="B30221" s="4" t="s">
        <v>38055</v>
      </c>
      <c r="C30221" s="5" t="str">
        <f>IFERROR(__xludf.DUMMYFUNCTION("GOOGLETRANSLATE(B30221,""en"",""es-ES"")"),"La joven reanuda tocando su clarinete.")</f>
        <v>La joven reanuda tocando su clarinete.</v>
      </c>
    </row>
    <row r="30222">
      <c r="A30222" s="4" t="s">
        <v>38052</v>
      </c>
      <c r="B30222" s="4" t="s">
        <v>38056</v>
      </c>
      <c r="C30222" s="5" t="str">
        <f>IFERROR(__xludf.DUMMYFUNCTION("GOOGLETRANSLATE(B30222,""en"",""es-ES"")"),"La niña se detiene y luce satisfecha con su actuación.")</f>
        <v>La niña se detiene y luce satisfecha con su actuación.</v>
      </c>
    </row>
    <row r="30223">
      <c r="A30223" s="4" t="s">
        <v>38057</v>
      </c>
      <c r="B30223" s="4" t="s">
        <v>38058</v>
      </c>
      <c r="C30223" s="5" t="str">
        <f>IFERROR(__xludf.DUMMYFUNCTION("GOOGLETRANSLATE(B30223,""en"",""es-ES"")"),"Varias introducciones conducen a una carrera de bicicletas entre 3 hombres en bicicletas.")</f>
        <v>Varias introducciones conducen a una carrera de bicicletas entre 3 hombres en bicicletas.</v>
      </c>
    </row>
    <row r="30224">
      <c r="A30224" s="4" t="s">
        <v>38057</v>
      </c>
      <c r="B30224" s="4" t="s">
        <v>38059</v>
      </c>
      <c r="C30224" s="5" t="str">
        <f>IFERROR(__xludf.DUMMYFUNCTION("GOOGLETRANSLATE(B30224,""en"",""es-ES"")"),"Uno se estrella duro mientras los otros pasan y continúan la carrera.")</f>
        <v>Uno se estrella duro mientras los otros pasan y continúan la carrera.</v>
      </c>
    </row>
    <row r="30225">
      <c r="A30225" s="4" t="s">
        <v>38057</v>
      </c>
      <c r="B30225" s="4" t="s">
        <v>38060</v>
      </c>
      <c r="C30225" s="5" t="str">
        <f>IFERROR(__xludf.DUMMYFUNCTION("GOOGLETRANSLATE(B30225,""en"",""es-ES"")"),"Todos los hombres continúan pasando por la pista hasta que uno finalmente gana mientras uno lo persigue.")</f>
        <v>Todos los hombres continúan pasando por la pista hasta que uno finalmente gana mientras uno lo persigue.</v>
      </c>
    </row>
    <row r="30226">
      <c r="A30226" s="4" t="s">
        <v>38061</v>
      </c>
      <c r="B30226" s="4" t="s">
        <v>38062</v>
      </c>
      <c r="C30226" s="5" t="str">
        <f>IFERROR(__xludf.DUMMYFUNCTION("GOOGLETRANSLATE(B30226,""en"",""es-ES"")"),"Una niña está limpiando el fregadero.")</f>
        <v>Una niña está limpiando el fregadero.</v>
      </c>
    </row>
    <row r="30227">
      <c r="A30227" s="4" t="s">
        <v>38061</v>
      </c>
      <c r="B30227" s="4" t="s">
        <v>38063</v>
      </c>
      <c r="C30227" s="5" t="str">
        <f>IFERROR(__xludf.DUMMYFUNCTION("GOOGLETRANSLATE(B30227,""en"",""es-ES"")"),"La niña se moja la camisa.")</f>
        <v>La niña se moja la camisa.</v>
      </c>
    </row>
    <row r="30228">
      <c r="A30228" s="4" t="s">
        <v>38061</v>
      </c>
      <c r="B30228" s="4" t="s">
        <v>38064</v>
      </c>
      <c r="C30228" s="5" t="str">
        <f>IFERROR(__xludf.DUMMYFUNCTION("GOOGLETRANSLATE(B30228,""en"",""es-ES"")"),"La niña apunta al drenaje del fregadero.")</f>
        <v>La niña apunta al drenaje del fregadero.</v>
      </c>
    </row>
    <row r="30229">
      <c r="A30229" s="4" t="s">
        <v>38065</v>
      </c>
      <c r="B30229" s="4" t="s">
        <v>38066</v>
      </c>
      <c r="C30229" s="5" t="str">
        <f>IFERROR(__xludf.DUMMYFUNCTION("GOOGLETRANSLATE(B30229,""en"",""es-ES"")"),"Se muestra a un niño pequeño frotando brillo en todos los labios y caminando hacia un espejo.")</f>
        <v>Se muestra a un niño pequeño frotando brillo en todos los labios y caminando hacia un espejo.</v>
      </c>
    </row>
    <row r="30230">
      <c r="A30230" s="4" t="s">
        <v>38065</v>
      </c>
      <c r="B30230" s="4" t="s">
        <v>38067</v>
      </c>
      <c r="C30230" s="5" t="str">
        <f>IFERROR(__xludf.DUMMYFUNCTION("GOOGLETRANSLATE(B30230,""en"",""es-ES"")"),"Continúa poniendo el brillo en sus labios y golpeando sus labios y finalmente girando hacia la cámara para hablar.")</f>
        <v>Continúa poniendo el brillo en sus labios y golpeando sus labios y finalmente girando hacia la cámara para hablar.</v>
      </c>
    </row>
    <row r="30231">
      <c r="A30231" s="4" t="s">
        <v>38068</v>
      </c>
      <c r="B30231" s="4" t="s">
        <v>38069</v>
      </c>
      <c r="C30231" s="5" t="str">
        <f>IFERROR(__xludf.DUMMYFUNCTION("GOOGLETRANSLATE(B30231,""en"",""es-ES"")"),"Un hombre y una mujer trabajan en la máquina cardiovascular.")</f>
        <v>Un hombre y una mujer trabajan en la máquina cardiovascular.</v>
      </c>
    </row>
    <row r="30232">
      <c r="A30232" s="4" t="s">
        <v>38068</v>
      </c>
      <c r="B30232" s="4" t="s">
        <v>38070</v>
      </c>
      <c r="C30232" s="5" t="str">
        <f>IFERROR(__xludf.DUMMYFUNCTION("GOOGLETRANSLATE(B30232,""en"",""es-ES"")"),"La longitud de zancada del pedal se muestra en la pantalla.")</f>
        <v>La longitud de zancada del pedal se muestra en la pantalla.</v>
      </c>
    </row>
    <row r="30233">
      <c r="A30233" s="4" t="s">
        <v>38068</v>
      </c>
      <c r="B30233" s="4" t="s">
        <v>38071</v>
      </c>
      <c r="C30233" s="5" t="str">
        <f>IFERROR(__xludf.DUMMYFUNCTION("GOOGLETRANSLATE(B30233,""en"",""es-ES"")"),"Entonces, el hombre viene a conocer a la mujer que hace ejercicio.")</f>
        <v>Entonces, el hombre viene a conocer a la mujer que hace ejercicio.</v>
      </c>
    </row>
    <row r="30234">
      <c r="A30234" s="4" t="s">
        <v>38068</v>
      </c>
      <c r="B30234" s="4" t="s">
        <v>38072</v>
      </c>
      <c r="C30234" s="5" t="str">
        <f>IFERROR(__xludf.DUMMYFUNCTION("GOOGLETRANSLATE(B30234,""en"",""es-ES"")"),"Luego, el hombre hace ejercicio, y se muestran los músculos del abdomen.")</f>
        <v>Luego, el hombre hace ejercicio, y se muestran los músculos del abdomen.</v>
      </c>
    </row>
    <row r="30235">
      <c r="A30235" s="4" t="s">
        <v>38068</v>
      </c>
      <c r="B30235" s="4" t="s">
        <v>38073</v>
      </c>
      <c r="C30235" s="5" t="str">
        <f>IFERROR(__xludf.DUMMYFUNCTION("GOOGLETRANSLATE(B30235,""en"",""es-ES"")"),"Se muestran los pasos de la máquina y el panel de la pantalla.")</f>
        <v>Se muestran los pasos de la máquina y el panel de la pantalla.</v>
      </c>
    </row>
    <row r="30236">
      <c r="A30236" s="4" t="s">
        <v>38074</v>
      </c>
      <c r="B30236" s="4" t="s">
        <v>38075</v>
      </c>
      <c r="C30236" s="5" t="str">
        <f>IFERROR(__xludf.DUMMYFUNCTION("GOOGLETRANSLATE(B30236,""en"",""es-ES"")"),"Una niña y un niño juegan ping pong en una habitación tipo sótano con una mesa de ping pong y luces fluorescentes para iluminar.")</f>
        <v>Una niña y un niño juegan ping pong en una habitación tipo sótano con una mesa de ping pong y luces fluorescentes para iluminar.</v>
      </c>
    </row>
    <row r="30237">
      <c r="A30237" s="4" t="s">
        <v>38074</v>
      </c>
      <c r="B30237" s="4" t="s">
        <v>38076</v>
      </c>
      <c r="C30237" s="5" t="str">
        <f>IFERROR(__xludf.DUMMYFUNCTION("GOOGLETRANSLATE(B30237,""en"",""es-ES"")"),"El niño se acerca a la cámara por un primer plano.")</f>
        <v>El niño se acerca a la cámara por un primer plano.</v>
      </c>
    </row>
    <row r="30238">
      <c r="A30238" s="4" t="s">
        <v>38074</v>
      </c>
      <c r="B30238" s="4" t="s">
        <v>38077</v>
      </c>
      <c r="C30238" s="5" t="str">
        <f>IFERROR(__xludf.DUMMYFUNCTION("GOOGLETRANSLATE(B30238,""en"",""es-ES"")"),"El niño y la niña comienzan a jugar a Ping Pong nuevamente.")</f>
        <v>El niño y la niña comienzan a jugar a Ping Pong nuevamente.</v>
      </c>
    </row>
    <row r="30239">
      <c r="A30239" s="4" t="s">
        <v>38078</v>
      </c>
      <c r="B30239" s="4" t="s">
        <v>38079</v>
      </c>
      <c r="C30239" s="5" t="str">
        <f>IFERROR(__xludf.DUMMYFUNCTION("GOOGLETRANSLATE(B30239,""en"",""es-ES"")"),"La joven con camisa gris está cepillando la tanga, mientras que la hembra con camiseta azul está lavando las sartenes, y la otra niña sostiene una esponja.")</f>
        <v>La joven con camisa gris está cepillando la tanga, mientras que la hembra con camiseta azul está lavando las sartenes, y la otra niña sostiene una esponja.</v>
      </c>
    </row>
    <row r="30240">
      <c r="A30240" s="4" t="s">
        <v>38078</v>
      </c>
      <c r="B30240" s="4" t="s">
        <v>38080</v>
      </c>
      <c r="C30240" s="5" t="str">
        <f>IFERROR(__xludf.DUMMYFUNCTION("GOOGLETRANSLATE(B30240,""en"",""es-ES"")"),"La niña mayor de azul está lavando el cuchillo, mientras que la otra está limpiando el tazón.")</f>
        <v>La niña mayor de azul está lavando el cuchillo, mientras que la otra está limpiando el tazón.</v>
      </c>
    </row>
    <row r="30241">
      <c r="A30241" s="4" t="s">
        <v>38078</v>
      </c>
      <c r="B30241" s="4" t="s">
        <v>38081</v>
      </c>
      <c r="C30241" s="5" t="str">
        <f>IFERROR(__xludf.DUMMYFUNCTION("GOOGLETRANSLATE(B30241,""en"",""es-ES"")"),"Las chicas pusieron los platos limpios en la rejilla para que se seque.")</f>
        <v>Las chicas pusieron los platos limpios en la rejilla para que se seque.</v>
      </c>
    </row>
    <row r="30242">
      <c r="A30242" s="4" t="s">
        <v>38082</v>
      </c>
      <c r="B30242" s="4" t="s">
        <v>38083</v>
      </c>
      <c r="C30242" s="5" t="str">
        <f>IFERROR(__xludf.DUMMYFUNCTION("GOOGLETRANSLATE(B30242,""en"",""es-ES"")"),"Una mujer sonríe a la cámara.")</f>
        <v>Una mujer sonríe a la cámara.</v>
      </c>
    </row>
    <row r="30243">
      <c r="A30243" s="4" t="s">
        <v>38082</v>
      </c>
      <c r="B30243" s="4" t="s">
        <v>38084</v>
      </c>
      <c r="C30243" s="5" t="str">
        <f>IFERROR(__xludf.DUMMYFUNCTION("GOOGLETRANSLATE(B30243,""en"",""es-ES"")"),"La mujer enjuague un cepillo de dientes bajo el agua.")</f>
        <v>La mujer enjuague un cepillo de dientes bajo el agua.</v>
      </c>
    </row>
    <row r="30244">
      <c r="A30244" s="4" t="s">
        <v>38082</v>
      </c>
      <c r="B30244" s="4" t="s">
        <v>38085</v>
      </c>
      <c r="C30244" s="5" t="str">
        <f>IFERROR(__xludf.DUMMYFUNCTION("GOOGLETRANSLATE(B30244,""en"",""es-ES"")"),"La mujer aplica la pasta de dientes al cepillo de dientes.")</f>
        <v>La mujer aplica la pasta de dientes al cepillo de dientes.</v>
      </c>
    </row>
    <row r="30245">
      <c r="A30245" s="4" t="s">
        <v>38082</v>
      </c>
      <c r="B30245" s="4" t="s">
        <v>38086</v>
      </c>
      <c r="C30245" s="5" t="str">
        <f>IFERROR(__xludf.DUMMYFUNCTION("GOOGLETRANSLATE(B30245,""en"",""es-ES"")"),"La mujer demuestra cepillarse los dientes.")</f>
        <v>La mujer demuestra cepillarse los dientes.</v>
      </c>
    </row>
    <row r="30246">
      <c r="A30246" s="4" t="s">
        <v>38082</v>
      </c>
      <c r="B30246" s="4" t="s">
        <v>38087</v>
      </c>
      <c r="C30246" s="5" t="str">
        <f>IFERROR(__xludf.DUMMYFUNCTION("GOOGLETRANSLATE(B30246,""en"",""es-ES"")"),"La mujer enjuague el cepillo de dientes bajo el agua nuevamente.")</f>
        <v>La mujer enjuague el cepillo de dientes bajo el agua nuevamente.</v>
      </c>
    </row>
    <row r="30247">
      <c r="A30247" s="4" t="s">
        <v>38082</v>
      </c>
      <c r="B30247" s="4" t="s">
        <v>38088</v>
      </c>
      <c r="C30247" s="5" t="str">
        <f>IFERROR(__xludf.DUMMYFUNCTION("GOOGLETRANSLATE(B30247,""en"",""es-ES"")"),"La mujer enjuague su boca con un vaso de agua.")</f>
        <v>La mujer enjuague su boca con un vaso de agua.</v>
      </c>
    </row>
    <row r="30248">
      <c r="A30248" s="4" t="s">
        <v>38082</v>
      </c>
      <c r="B30248" s="4" t="s">
        <v>38089</v>
      </c>
      <c r="C30248" s="5" t="str">
        <f>IFERROR(__xludf.DUMMYFUNCTION("GOOGLETRANSLATE(B30248,""en"",""es-ES"")"),"La mujer toques la boca y muestra los dientes.")</f>
        <v>La mujer toques la boca y muestra los dientes.</v>
      </c>
    </row>
    <row r="30249">
      <c r="A30249" s="4" t="s">
        <v>38090</v>
      </c>
      <c r="B30249" s="4" t="s">
        <v>38091</v>
      </c>
      <c r="C30249" s="5" t="str">
        <f>IFERROR(__xludf.DUMMYFUNCTION("GOOGLETRANSLATE(B30249,""en"",""es-ES"")"),"Se muestra a un grupo de atletas parados en un montículo, mientras que uno lanza una pelota a otro jugador.")</f>
        <v>Se muestra a un grupo de atletas parados en un montículo, mientras que uno lanza una pelota a otro jugador.</v>
      </c>
    </row>
    <row r="30250">
      <c r="A30250" s="4" t="s">
        <v>38090</v>
      </c>
      <c r="B30250" s="4" t="s">
        <v>38092</v>
      </c>
      <c r="C30250" s="5" t="str">
        <f>IFERROR(__xludf.DUMMYFUNCTION("GOOGLETRANSLATE(B30250,""en"",""es-ES"")"),"El bateador golpea la pelota en las gradas y el momento se recaptura en 3-D.")</f>
        <v>El bateador golpea la pelota en las gradas y el momento se recaptura en 3-D.</v>
      </c>
    </row>
    <row r="30251">
      <c r="A30251" s="4" t="s">
        <v>38090</v>
      </c>
      <c r="B30251" s="4" t="s">
        <v>38093</v>
      </c>
      <c r="C30251" s="5" t="str">
        <f>IFERROR(__xludf.DUMMYFUNCTION("GOOGLETRANSLATE(B30251,""en"",""es-ES"")"),"Un reportero comenta cuán increíble fue el éxito y lo reproduce desde varios ángulos.")</f>
        <v>Un reportero comenta cuán increíble fue el éxito y lo reproduce desde varios ángulos.</v>
      </c>
    </row>
    <row r="30252">
      <c r="A30252" s="4" t="s">
        <v>38090</v>
      </c>
      <c r="B30252" s="4" t="s">
        <v>38094</v>
      </c>
      <c r="C30252" s="5" t="str">
        <f>IFERROR(__xludf.DUMMYFUNCTION("GOOGLETRANSLATE(B30252,""en"",""es-ES"")"),"El reportero entrevistado y una vez más se muestra su momento en la televisión.")</f>
        <v>El reportero entrevistado y una vez más se muestra su momento en la televisión.</v>
      </c>
    </row>
    <row r="30253">
      <c r="A30253" s="4" t="s">
        <v>38095</v>
      </c>
      <c r="B30253" s="4" t="s">
        <v>38096</v>
      </c>
      <c r="C30253" s="5" t="str">
        <f>IFERROR(__xludf.DUMMYFUNCTION("GOOGLETRANSLATE(B30253,""en"",""es-ES"")"),"Dentro de una tienda de escalada de roca, los hombres se reúnen alrededor de un salto sobre una cuerda.")</f>
        <v>Dentro de una tienda de escalada de roca, los hombres se reúnen alrededor de un salto sobre una cuerda.</v>
      </c>
    </row>
    <row r="30254">
      <c r="A30254" s="4" t="s">
        <v>38095</v>
      </c>
      <c r="B30254" s="4" t="s">
        <v>38097</v>
      </c>
      <c r="C30254" s="5" t="str">
        <f>IFERROR(__xludf.DUMMYFUNCTION("GOOGLETRANSLATE(B30254,""en"",""es-ES"")"),"El hombre en el green hace algunos trucos y luego un hombre en una sudadera con capucha salta y camina sobre él.")</f>
        <v>El hombre en el green hace algunos trucos y luego un hombre en una sudadera con capucha salta y camina sobre él.</v>
      </c>
    </row>
    <row r="30255">
      <c r="A30255" s="4" t="s">
        <v>38095</v>
      </c>
      <c r="B30255" s="4" t="s">
        <v>38098</v>
      </c>
      <c r="C30255" s="5" t="str">
        <f>IFERROR(__xludf.DUMMYFUNCTION("GOOGLETRANSLATE(B30255,""en"",""es-ES"")"),"Alguien tiene una cámara y todos están dispersos haciendo lo suyo.")</f>
        <v>Alguien tiene una cámara y todos están dispersos haciendo lo suyo.</v>
      </c>
    </row>
    <row r="30256">
      <c r="A30256" s="4" t="s">
        <v>38095</v>
      </c>
      <c r="B30256" s="4" t="s">
        <v>38099</v>
      </c>
      <c r="C30256" s="5" t="str">
        <f>IFERROR(__xludf.DUMMYFUNCTION("GOOGLETRANSLATE(B30256,""en"",""es-ES"")"),"El hombre en el green continúa saltando sobre la cuerda hasta que la derriba.")</f>
        <v>El hombre en el green continúa saltando sobre la cuerda hasta que la derriba.</v>
      </c>
    </row>
    <row r="30257">
      <c r="A30257" s="4" t="s">
        <v>38100</v>
      </c>
      <c r="B30257" s="4" t="s">
        <v>38101</v>
      </c>
      <c r="C30257" s="5" t="str">
        <f>IFERROR(__xludf.DUMMYFUNCTION("GOOGLETRANSLATE(B30257,""en"",""es-ES"")"),"Un saltador largo de atletismo de los Gators de Florida se prepara con azul y naranja para hacer su carrera, mientras que otros participantes, entrenadores y funcionarios se congregan alrededor del curso de atletismo.")</f>
        <v>Un saltador largo de atletismo de los Gators de Florida se prepara con azul y naranja para hacer su carrera, mientras que otros participantes, entrenadores y funcionarios se congregan alrededor del curso de atletismo.</v>
      </c>
    </row>
    <row r="30258">
      <c r="A30258" s="4" t="s">
        <v>38100</v>
      </c>
      <c r="B30258" s="4" t="s">
        <v>38102</v>
      </c>
      <c r="C30258" s="5" t="str">
        <f>IFERROR(__xludf.DUMMYFUNCTION("GOOGLETRANSLATE(B30258,""en"",""es-ES"")"),"El jersey de Florida Gator Long comienza su carrera con una caminata gradual delantero y luego un salto y un rápido sprint al marcador de salto de arena.")</f>
        <v>El jersey de Florida Gator Long comienza su carrera con una caminata gradual delantero y luego un salto y un rápido sprint al marcador de salto de arena.</v>
      </c>
    </row>
    <row r="30259">
      <c r="A30259" s="4" t="s">
        <v>38100</v>
      </c>
      <c r="B30259" s="4" t="s">
        <v>38103</v>
      </c>
      <c r="C30259" s="5" t="str">
        <f>IFERROR(__xludf.DUMMYFUNCTION("GOOGLETRANSLATE(B30259,""en"",""es-ES"")"),"El jersey de Florida Gator salta y vuela por el aire y aterriza en la arena.")</f>
        <v>El jersey de Florida Gator salta y vuela por el aire y aterriza en la arena.</v>
      </c>
    </row>
    <row r="30260">
      <c r="A30260" s="4" t="s">
        <v>38100</v>
      </c>
      <c r="B30260" s="4" t="s">
        <v>38104</v>
      </c>
      <c r="C30260" s="5" t="str">
        <f>IFERROR(__xludf.DUMMYFUNCTION("GOOGLETRANSLATE(B30260,""en"",""es-ES"")"),"La cámara se dirige al tablero de puntuación que muestra los resultados de los saltadores de larga.")</f>
        <v>La cámara se dirige al tablero de puntuación que muestra los resultados de los saltadores de larga.</v>
      </c>
    </row>
    <row r="30261">
      <c r="A30261" s="4" t="s">
        <v>38105</v>
      </c>
      <c r="B30261" s="4" t="s">
        <v>38106</v>
      </c>
      <c r="C30261" s="5" t="str">
        <f>IFERROR(__xludf.DUMMYFUNCTION("GOOGLETRANSLATE(B30261,""en"",""es-ES"")"),"Una introducción comienza y conduce a una mujer de pie junto a un sheppard alemán sobre una mesa.")</f>
        <v>Una introducción comienza y conduce a una mujer de pie junto a un sheppard alemán sobre una mesa.</v>
      </c>
    </row>
    <row r="30262">
      <c r="A30262" s="4" t="s">
        <v>38105</v>
      </c>
      <c r="B30262" s="4" t="s">
        <v>38107</v>
      </c>
      <c r="C30262" s="5" t="str">
        <f>IFERROR(__xludf.DUMMYFUNCTION("GOOGLETRANSLATE(B30262,""en"",""es-ES"")"),"Un reloj de movimiento rápido de la tienda ocurre y luego muestra a la mujer cepillando al perro con varios instrumentos.")</f>
        <v>Un reloj de movimiento rápido de la tienda ocurre y luego muestra a la mujer cepillando al perro con varios instrumentos.</v>
      </c>
    </row>
    <row r="30263">
      <c r="A30263" s="4" t="s">
        <v>38105</v>
      </c>
      <c r="B30263" s="4" t="s">
        <v>38108</v>
      </c>
      <c r="C30263" s="5" t="str">
        <f>IFERROR(__xludf.DUMMYFUNCTION("GOOGLETRANSLATE(B30263,""en"",""es-ES"")"),"Ella recorre un poco al perro mientras continúa cepillándolo y hablando con la cámara.")</f>
        <v>Ella recorre un poco al perro mientras continúa cepillándolo y hablando con la cámara.</v>
      </c>
    </row>
    <row r="30264">
      <c r="A30264" s="4" t="s">
        <v>38109</v>
      </c>
      <c r="B30264" s="4" t="s">
        <v>38110</v>
      </c>
      <c r="C30264" s="5" t="str">
        <f>IFERROR(__xludf.DUMMYFUNCTION("GOOGLETRANSLATE(B30264,""en"",""es-ES"")"),"Las niñas actúan con palos que se mueven alrededor de un giro de los palos.")</f>
        <v>Las niñas actúan con palos que se mueven alrededor de un giro de los palos.</v>
      </c>
    </row>
    <row r="30265">
      <c r="A30265" s="4" t="s">
        <v>38109</v>
      </c>
      <c r="B30265" s="4" t="s">
        <v>38111</v>
      </c>
      <c r="C30265" s="5" t="str">
        <f>IFERROR(__xludf.DUMMYFUNCTION("GOOGLETRANSLATE(B30265,""en"",""es-ES"")"),"Las niñas sostienen los palos y saltan girando.")</f>
        <v>Las niñas sostienen los palos y saltan girando.</v>
      </c>
    </row>
    <row r="30266">
      <c r="A30266" s="4" t="s">
        <v>38109</v>
      </c>
      <c r="B30266" s="4" t="s">
        <v>38112</v>
      </c>
      <c r="C30266" s="5" t="str">
        <f>IFERROR(__xludf.DUMMYFUNCTION("GOOGLETRANSLATE(B30266,""en"",""es-ES"")"),"Dos mujeres caminan hacia la puerta.")</f>
        <v>Dos mujeres caminan hacia la puerta.</v>
      </c>
    </row>
    <row r="30267">
      <c r="A30267" s="4" t="s">
        <v>38109</v>
      </c>
      <c r="B30267" s="4" t="s">
        <v>38113</v>
      </c>
      <c r="C30267" s="5" t="str">
        <f>IFERROR(__xludf.DUMMYFUNCTION("GOOGLETRANSLATE(B30267,""en"",""es-ES"")"),"Después, las niñas giran en el piso, luego continúan saltando y girando.")</f>
        <v>Después, las niñas giran en el piso, luego continúan saltando y girando.</v>
      </c>
    </row>
    <row r="30268">
      <c r="A30268" s="4" t="s">
        <v>38109</v>
      </c>
      <c r="B30268" s="4" t="s">
        <v>38114</v>
      </c>
      <c r="C30268" s="5" t="str">
        <f>IFERROR(__xludf.DUMMYFUNCTION("GOOGLETRANSLATE(B30268,""en"",""es-ES"")"),"Luego, las chicas se reúnen para saludar.")</f>
        <v>Luego, las chicas se reúnen para saludar.</v>
      </c>
    </row>
    <row r="30269">
      <c r="A30269" s="4" t="s">
        <v>38115</v>
      </c>
      <c r="B30269" s="4" t="s">
        <v>38116</v>
      </c>
      <c r="C30269" s="5" t="str">
        <f>IFERROR(__xludf.DUMMYFUNCTION("GOOGLETRANSLATE(B30269,""en"",""es-ES"")"),"Un hombre interpreta a Tam-Tam, y luego habla con manos cruzadas en un bronceado.")</f>
        <v>Un hombre interpreta a Tam-Tam, y luego habla con manos cruzadas en un bronceado.</v>
      </c>
    </row>
    <row r="30270">
      <c r="A30270" s="4" t="s">
        <v>38115</v>
      </c>
      <c r="B30270" s="4" t="s">
        <v>38117</v>
      </c>
      <c r="C30270" s="5" t="str">
        <f>IFERROR(__xludf.DUMMYFUNCTION("GOOGLETRANSLATE(B30270,""en"",""es-ES"")"),"Luego, el hombre juega a Tam-Tam con su mano derecha y juega con palos con la mano izquierda.")</f>
        <v>Luego, el hombre juega a Tam-Tam con su mano derecha y juega con palos con la mano izquierda.</v>
      </c>
    </row>
    <row r="30271">
      <c r="A30271" s="4" t="s">
        <v>38118</v>
      </c>
      <c r="B30271" s="4" t="s">
        <v>38119</v>
      </c>
      <c r="C30271" s="5" t="str">
        <f>IFERROR(__xludf.DUMMYFUNCTION("GOOGLETRANSLATE(B30271,""en"",""es-ES"")"),"Un hombre sale a un campo de juego con un gran dálmata.")</f>
        <v>Un hombre sale a un campo de juego con un gran dálmata.</v>
      </c>
    </row>
    <row r="30272">
      <c r="A30272" s="4" t="s">
        <v>38118</v>
      </c>
      <c r="B30272" s="4" t="s">
        <v>38120</v>
      </c>
      <c r="C30272" s="5" t="str">
        <f>IFERROR(__xludf.DUMMYFUNCTION("GOOGLETRANSLATE(B30272,""en"",""es-ES"")"),"El hombre se detiene y lanza el frisbee y se lo devuelve al hombre.")</f>
        <v>El hombre se detiene y lanza el frisbee y se lo devuelve al hombre.</v>
      </c>
    </row>
    <row r="30273">
      <c r="A30273" s="4" t="s">
        <v>38118</v>
      </c>
      <c r="B30273" s="4" t="s">
        <v>38121</v>
      </c>
      <c r="C30273" s="5" t="str">
        <f>IFERROR(__xludf.DUMMYFUNCTION("GOOGLETRANSLATE(B30273,""en"",""es-ES"")"),"El perro corre en círculos en el campo con el Frisbee.")</f>
        <v>El perro corre en círculos en el campo con el Frisbee.</v>
      </c>
    </row>
    <row r="30274">
      <c r="A30274" s="4" t="s">
        <v>38122</v>
      </c>
      <c r="B30274" s="4" t="s">
        <v>38123</v>
      </c>
      <c r="C30274" s="5" t="str">
        <f>IFERROR(__xludf.DUMMYFUNCTION("GOOGLETRANSLATE(B30274,""en"",""es-ES"")"),"Una persona está cortando la madera de cordón usando un divisor de registro.")</f>
        <v>Una persona está cortando la madera de cordón usando un divisor de registro.</v>
      </c>
    </row>
    <row r="30275">
      <c r="A30275" s="4" t="s">
        <v>38122</v>
      </c>
      <c r="B30275" s="4" t="s">
        <v>38124</v>
      </c>
      <c r="C30275" s="5" t="str">
        <f>IFERROR(__xludf.DUMMYFUNCTION("GOOGLETRANSLATE(B30275,""en"",""es-ES"")"),"Se muestra la madera restante y los tocones se cortan.")</f>
        <v>Se muestra la madera restante y los tocones se cortan.</v>
      </c>
    </row>
    <row r="30276">
      <c r="A30276" s="4" t="s">
        <v>38125</v>
      </c>
      <c r="B30276" s="4" t="s">
        <v>38126</v>
      </c>
      <c r="C30276" s="5" t="str">
        <f>IFERROR(__xludf.DUMMYFUNCTION("GOOGLETRANSLATE(B30276,""en"",""es-ES"")"),"Una cámara se mueve alrededor de un lago y muestra a una persona que cabalga en una canoa.")</f>
        <v>Una cámara se mueve alrededor de un lago y muestra a una persona que cabalga en una canoa.</v>
      </c>
    </row>
    <row r="30277">
      <c r="A30277" s="4" t="s">
        <v>38125</v>
      </c>
      <c r="B30277" s="4" t="s">
        <v>38127</v>
      </c>
      <c r="C30277" s="5" t="str">
        <f>IFERROR(__xludf.DUMMYFUNCTION("GOOGLETRANSLATE(B30277,""en"",""es-ES"")"),"La persona se atasca ante una roca y finalmente se remonta a sí misma.")</f>
        <v>La persona se atasca ante una roca y finalmente se remonta a sí misma.</v>
      </c>
    </row>
    <row r="30278">
      <c r="A30278" s="4" t="s">
        <v>38125</v>
      </c>
      <c r="B30278" s="4" t="s">
        <v>38128</v>
      </c>
      <c r="C30278" s="5" t="str">
        <f>IFERROR(__xludf.DUMMYFUNCTION("GOOGLETRANSLATE(B30278,""en"",""es-ES"")"),"La persona continúa atascada en el área, pero se mueve con éxito.")</f>
        <v>La persona continúa atascada en el área, pero se mueve con éxito.</v>
      </c>
    </row>
    <row r="30279">
      <c r="A30279" s="4" t="s">
        <v>38129</v>
      </c>
      <c r="B30279" s="4" t="s">
        <v>38130</v>
      </c>
      <c r="C30279" s="5" t="str">
        <f>IFERROR(__xludf.DUMMYFUNCTION("GOOGLETRANSLATE(B30279,""en"",""es-ES"")"),"El hombre de traje está hablando con la cámara mientras la gente está detrás de él.")</f>
        <v>El hombre de traje está hablando con la cámara mientras la gente está detrás de él.</v>
      </c>
    </row>
    <row r="30280">
      <c r="A30280" s="4" t="s">
        <v>38129</v>
      </c>
      <c r="B30280" s="4" t="s">
        <v>38131</v>
      </c>
      <c r="C30280" s="5" t="str">
        <f>IFERROR(__xludf.DUMMYFUNCTION("GOOGLETRANSLATE(B30280,""en"",""es-ES"")"),"El hombre mayor arroja sus dardos en el tablero de dardos y tres dardos aterrizaron en un solo lugar.")</f>
        <v>El hombre mayor arroja sus dardos en el tablero de dardos y tres dardos aterrizaron en un solo lugar.</v>
      </c>
    </row>
    <row r="30281">
      <c r="A30281" s="4" t="s">
        <v>38129</v>
      </c>
      <c r="B30281" s="4" t="s">
        <v>38132</v>
      </c>
      <c r="C30281" s="5" t="str">
        <f>IFERROR(__xludf.DUMMYFUNCTION("GOOGLETRANSLATE(B30281,""en"",""es-ES"")"),"El hombre se colocó y luego arrojó los dardos en el tablero y los dardos están lejos el uno del otro.")</f>
        <v>El hombre se colocó y luego arrojó los dardos en el tablero y los dardos están lejos el uno del otro.</v>
      </c>
    </row>
    <row r="30282">
      <c r="A30282" s="4" t="s">
        <v>38129</v>
      </c>
      <c r="B30282" s="4" t="s">
        <v>38133</v>
      </c>
      <c r="C30282" s="5" t="str">
        <f>IFERROR(__xludf.DUMMYFUNCTION("GOOGLETRANSLATE(B30282,""en"",""es-ES"")"),"El hombre continúa golpeando el tablero con dardos.")</f>
        <v>El hombre continúa golpeando el tablero con dardos.</v>
      </c>
    </row>
    <row r="30283">
      <c r="A30283" s="4" t="s">
        <v>38134</v>
      </c>
      <c r="B30283" s="4" t="s">
        <v>38135</v>
      </c>
      <c r="C30283" s="5" t="str">
        <f>IFERROR(__xludf.DUMMYFUNCTION("GOOGLETRANSLATE(B30283,""en"",""es-ES"")"),"La cámara se mueve alrededor de un gran grupo de mujeres sentadas en la silla tejiendo y hablando entre sí.")</f>
        <v>La cámara se mueve alrededor de un gran grupo de mujeres sentadas en la silla tejiendo y hablando entre sí.</v>
      </c>
    </row>
    <row r="30284">
      <c r="A30284" s="4" t="s">
        <v>38134</v>
      </c>
      <c r="B30284" s="4" t="s">
        <v>38136</v>
      </c>
      <c r="C30284" s="5" t="str">
        <f>IFERROR(__xludf.DUMMYFUNCTION("GOOGLETRANSLATE(B30284,""en"",""es-ES"")"),"Se muestran varias tomas de mujeres tejiendo y de regreso a personas que se ayudan mutuamente a tejer y se muestran más imágenes.")</f>
        <v>Se muestran varias tomas de mujeres tejiendo y de regreso a personas que se ayudan mutuamente a tejer y se muestran más imágenes.</v>
      </c>
    </row>
    <row r="30285">
      <c r="A30285" s="4" t="s">
        <v>38137</v>
      </c>
      <c r="B30285" s="4" t="s">
        <v>38138</v>
      </c>
      <c r="C30285" s="5" t="str">
        <f>IFERROR(__xludf.DUMMYFUNCTION("GOOGLETRANSLATE(B30285,""en"",""es-ES"")"),"Un grupo de compañeros de equipo están montando caballos en el campo.")</f>
        <v>Un grupo de compañeros de equipo están montando caballos en el campo.</v>
      </c>
    </row>
    <row r="30286">
      <c r="A30286" s="4" t="s">
        <v>38137</v>
      </c>
      <c r="B30286" s="4" t="s">
        <v>38139</v>
      </c>
      <c r="C30286" s="5" t="str">
        <f>IFERROR(__xludf.DUMMYFUNCTION("GOOGLETRANSLATE(B30286,""en"",""es-ES"")"),"Están jugando un juego de polo.")</f>
        <v>Están jugando un juego de polo.</v>
      </c>
    </row>
    <row r="30287">
      <c r="A30287" s="4" t="s">
        <v>38137</v>
      </c>
      <c r="B30287" s="4" t="s">
        <v>38140</v>
      </c>
      <c r="C30287" s="5" t="str">
        <f>IFERROR(__xludf.DUMMYFUNCTION("GOOGLETRANSLATE(B30287,""en"",""es-ES"")"),"La gente corre en sus caballos, tratando de golpear la pelota.")</f>
        <v>La gente corre en sus caballos, tratando de golpear la pelota.</v>
      </c>
    </row>
    <row r="30288">
      <c r="A30288" s="4" t="s">
        <v>38141</v>
      </c>
      <c r="B30288" s="4" t="s">
        <v>38142</v>
      </c>
      <c r="C30288" s="5" t="str">
        <f>IFERROR(__xludf.DUMMYFUNCTION("GOOGLETRANSLATE(B30288,""en"",""es-ES"")"),"Un hombre está hablando frente a una pared de escalada de roca.")</f>
        <v>Un hombre está hablando frente a una pared de escalada de roca.</v>
      </c>
    </row>
    <row r="30289">
      <c r="A30289" s="4" t="s">
        <v>38141</v>
      </c>
      <c r="B30289" s="4" t="s">
        <v>38143</v>
      </c>
      <c r="C30289" s="5" t="str">
        <f>IFERROR(__xludf.DUMMYFUNCTION("GOOGLETRANSLATE(B30289,""en"",""es-ES"")"),"Comienza a escalar la pared de escalada de roca.")</f>
        <v>Comienza a escalar la pared de escalada de roca.</v>
      </c>
    </row>
    <row r="30290">
      <c r="A30290" s="4" t="s">
        <v>38141</v>
      </c>
      <c r="B30290" s="4" t="s">
        <v>38144</v>
      </c>
      <c r="C30290" s="5" t="str">
        <f>IFERROR(__xludf.DUMMYFUNCTION("GOOGLETRANSLATE(B30290,""en"",""es-ES"")"),"Un hombre con un sombrero amarillo está hablando.")</f>
        <v>Un hombre con un sombrero amarillo está hablando.</v>
      </c>
    </row>
    <row r="30291">
      <c r="A30291" s="4" t="s">
        <v>38141</v>
      </c>
      <c r="B30291" s="4" t="s">
        <v>38145</v>
      </c>
      <c r="C30291" s="5" t="str">
        <f>IFERROR(__xludf.DUMMYFUNCTION("GOOGLETRANSLATE(B30291,""en"",""es-ES"")"),"Él sube por la pared.")</f>
        <v>Él sube por la pared.</v>
      </c>
    </row>
    <row r="30292">
      <c r="A30292" s="4" t="s">
        <v>38141</v>
      </c>
      <c r="B30292" s="4" t="s">
        <v>38146</v>
      </c>
      <c r="C30292" s="5" t="str">
        <f>IFERROR(__xludf.DUMMYFUNCTION("GOOGLETRANSLATE(B30292,""en"",""es-ES"")"),"Varias personas están subiendo por el muro de escalada.")</f>
        <v>Varias personas están subiendo por el muro de escalada.</v>
      </c>
    </row>
    <row r="30293">
      <c r="A30293" s="4" t="s">
        <v>38147</v>
      </c>
      <c r="B30293" s="4" t="s">
        <v>38148</v>
      </c>
      <c r="C30293" s="5" t="str">
        <f>IFERROR(__xludf.DUMMYFUNCTION("GOOGLETRANSLATE(B30293,""en"",""es-ES"")"),"Un hombre que usa troncos de baño negros sentados en un tubo interior mientras se desliza por un tobogán.")</f>
        <v>Un hombre que usa troncos de baño negros sentados en un tubo interior mientras se desliza por un tobogán.</v>
      </c>
    </row>
    <row r="30294">
      <c r="A30294" s="4" t="s">
        <v>38147</v>
      </c>
      <c r="B30294" s="4" t="s">
        <v>38149</v>
      </c>
      <c r="C30294" s="5" t="str">
        <f>IFERROR(__xludf.DUMMYFUNCTION("GOOGLETRANSLATE(B30294,""en"",""es-ES"")"),"Un hombre que usa troncos oscuros se para en un paseo por el tobogán de agua cerrado en un parque acuático.")</f>
        <v>Un hombre que usa troncos oscuros se para en un paseo por el tobogán de agua cerrado en un parque acuático.</v>
      </c>
    </row>
    <row r="30295">
      <c r="A30295" s="4" t="s">
        <v>38147</v>
      </c>
      <c r="B30295" s="4" t="s">
        <v>38150</v>
      </c>
      <c r="C30295" s="5" t="str">
        <f>IFERROR(__xludf.DUMMYFUNCTION("GOOGLETRANSLATE(B30295,""en"",""es-ES"")"),"Dos hombres se deslizan por un tobogán de agua azul en un parque acuático y terminan en una enorme piscina.")</f>
        <v>Dos hombres se deslizan por un tobogán de agua azul en un parque acuático y terminan en una enorme piscina.</v>
      </c>
    </row>
    <row r="30296">
      <c r="A30296" s="4" t="s">
        <v>38147</v>
      </c>
      <c r="B30296" s="4" t="s">
        <v>38151</v>
      </c>
      <c r="C30296" s="5" t="str">
        <f>IFERROR(__xludf.DUMMYFUNCTION("GOOGLETRANSLATE(B30296,""en"",""es-ES"")"),"Diferentes escenas de un grupo de personas que nadan en diferentes partes de un parque acuático.")</f>
        <v>Diferentes escenas de un grupo de personas que nadan en diferentes partes de un parque acuático.</v>
      </c>
    </row>
    <row r="30297">
      <c r="A30297" s="4" t="s">
        <v>38152</v>
      </c>
      <c r="B30297" s="4" t="s">
        <v>38153</v>
      </c>
      <c r="C30297" s="5" t="str">
        <f>IFERROR(__xludf.DUMMYFUNCTION("GOOGLETRANSLATE(B30297,""en"",""es-ES"")"),"Un hombre vestido con equipo de rizado blanco está participando en el deporte.")</f>
        <v>Un hombre vestido con equipo de rizado blanco está participando en el deporte.</v>
      </c>
    </row>
    <row r="30298">
      <c r="A30298" s="4" t="s">
        <v>38152</v>
      </c>
      <c r="B30298" s="4" t="s">
        <v>38154</v>
      </c>
      <c r="C30298" s="5" t="str">
        <f>IFERROR(__xludf.DUMMYFUNCTION("GOOGLETRANSLATE(B30298,""en"",""es-ES"")"),"Sube a la pista de curling con su palo y roca.")</f>
        <v>Sube a la pista de curling con su palo y roca.</v>
      </c>
    </row>
    <row r="30299">
      <c r="A30299" s="4" t="s">
        <v>38152</v>
      </c>
      <c r="B30299" s="4" t="s">
        <v>38155</v>
      </c>
      <c r="C30299" s="5" t="str">
        <f>IFERROR(__xludf.DUMMYFUNCTION("GOOGLETRANSLATE(B30299,""en"",""es-ES"")"),"Está practicando el deporte mientras en otro lugar hay dos músicos actuando.")</f>
        <v>Está practicando el deporte mientras en otro lugar hay dos músicos actuando.</v>
      </c>
    </row>
    <row r="30300">
      <c r="A30300" s="4" t="s">
        <v>38152</v>
      </c>
      <c r="B30300" s="4" t="s">
        <v>38156</v>
      </c>
      <c r="C30300" s="5" t="str">
        <f>IFERROR(__xludf.DUMMYFUNCTION("GOOGLETRANSLATE(B30300,""en"",""es-ES"")"),"Ambos cantan mientras un músico toca una guitarra y el otro está tamborilando una pandereta.")</f>
        <v>Ambos cantan mientras un músico toca una guitarra y el otro está tamborilando una pandereta.</v>
      </c>
    </row>
    <row r="30301">
      <c r="A30301" s="4" t="s">
        <v>38152</v>
      </c>
      <c r="B30301" s="4" t="s">
        <v>38157</v>
      </c>
      <c r="C30301" s="5" t="str">
        <f>IFERROR(__xludf.DUMMYFUNCTION("GOOGLETRANSLATE(B30301,""en"",""es-ES"")"),"El hombre continúa jugando rizando en la pista de hielo mientras empuja la roca con su palo rizado.")</f>
        <v>El hombre continúa jugando rizando en la pista de hielo mientras empuja la roca con su palo rizado.</v>
      </c>
    </row>
    <row r="30302">
      <c r="A30302" s="4" t="s">
        <v>38152</v>
      </c>
      <c r="B30302" s="4" t="s">
        <v>38158</v>
      </c>
      <c r="C30302" s="5" t="str">
        <f>IFERROR(__xludf.DUMMYFUNCTION("GOOGLETRANSLATE(B30302,""en"",""es-ES"")"),"Se le muestra en la foto con otro joven.")</f>
        <v>Se le muestra en la foto con otro joven.</v>
      </c>
    </row>
    <row r="30303">
      <c r="A30303" s="4" t="s">
        <v>38152</v>
      </c>
      <c r="B30303" s="4" t="s">
        <v>38159</v>
      </c>
      <c r="C30303" s="5" t="str">
        <f>IFERROR(__xludf.DUMMYFUNCTION("GOOGLETRANSLATE(B30303,""en"",""es-ES"")"),"Está posando para fotos con diferentes personas mientras sostiene una escoba en la mano.")</f>
        <v>Está posando para fotos con diferentes personas mientras sostiene una escoba en la mano.</v>
      </c>
    </row>
    <row r="30304">
      <c r="A30304" s="4" t="s">
        <v>38152</v>
      </c>
      <c r="B30304" s="4" t="s">
        <v>38160</v>
      </c>
      <c r="C30304" s="5" t="str">
        <f>IFERROR(__xludf.DUMMYFUNCTION("GOOGLETRANSLATE(B30304,""en"",""es-ES"")"),"Está de vuelta en la pista de curling, cantando y girando el palo de curling en sus manos.")</f>
        <v>Está de vuelta en la pista de curling, cantando y girando el palo de curling en sus manos.</v>
      </c>
    </row>
    <row r="30305">
      <c r="A30305" s="4" t="s">
        <v>38161</v>
      </c>
      <c r="B30305" s="4" t="s">
        <v>38162</v>
      </c>
      <c r="C30305" s="5" t="str">
        <f>IFERROR(__xludf.DUMMYFUNCTION("GOOGLETRANSLATE(B30305,""en"",""es-ES"")"),"Un hombre está de pie en una mesa sosteniendo un arco en la mano hablando.")</f>
        <v>Un hombre está de pie en una mesa sosteniendo un arco en la mano hablando.</v>
      </c>
    </row>
    <row r="30306">
      <c r="A30306" s="4" t="s">
        <v>38161</v>
      </c>
      <c r="B30306" s="4" t="s">
        <v>38163</v>
      </c>
      <c r="C30306" s="5" t="str">
        <f>IFERROR(__xludf.DUMMYFUNCTION("GOOGLETRANSLATE(B30306,""en"",""es-ES"")"),"Luego sale y dispara una flecha a un objetivo.")</f>
        <v>Luego sale y dispara una flecha a un objetivo.</v>
      </c>
    </row>
    <row r="30307">
      <c r="A30307" s="4" t="s">
        <v>38161</v>
      </c>
      <c r="B30307" s="4" t="s">
        <v>38164</v>
      </c>
      <c r="C30307" s="5" t="str">
        <f>IFERROR(__xludf.DUMMYFUNCTION("GOOGLETRANSLATE(B30307,""en"",""es-ES"")"),"Se muestra un primer plano del arco.")</f>
        <v>Se muestra un primer plano del arco.</v>
      </c>
    </row>
    <row r="30308">
      <c r="A30308" s="4" t="s">
        <v>38165</v>
      </c>
      <c r="B30308" s="4" t="s">
        <v>7411</v>
      </c>
      <c r="C30308" s="5" t="str">
        <f>IFERROR(__xludf.DUMMYFUNCTION("GOOGLETRANSLATE(B30308,""en"",""es-ES"")"),"Vemos una pantalla de apertura azul.")</f>
        <v>Vemos una pantalla de apertura azul.</v>
      </c>
    </row>
    <row r="30309">
      <c r="A30309" s="4" t="s">
        <v>38165</v>
      </c>
      <c r="B30309" s="4" t="s">
        <v>38166</v>
      </c>
      <c r="C30309" s="5" t="str">
        <f>IFERROR(__xludf.DUMMYFUNCTION("GOOGLETRANSLATE(B30309,""en"",""es-ES"")"),"Luego vemos personas resolviendo cubos de Rubiks en una competencia.")</f>
        <v>Luego vemos personas resolviendo cubos de Rubiks en una competencia.</v>
      </c>
    </row>
    <row r="30310">
      <c r="A30310" s="4" t="s">
        <v>38165</v>
      </c>
      <c r="B30310" s="4" t="s">
        <v>38167</v>
      </c>
      <c r="C30310" s="5" t="str">
        <f>IFERROR(__xludf.DUMMYFUNCTION("GOOGLETRANSLATE(B30310,""en"",""es-ES"")"),"Un niño termina, levanta los brazos y gira en su silla.")</f>
        <v>Un niño termina, levanta los brazos y gira en su silla.</v>
      </c>
    </row>
    <row r="30311">
      <c r="A30311" s="4" t="s">
        <v>38165</v>
      </c>
      <c r="B30311" s="4" t="s">
        <v>38168</v>
      </c>
      <c r="C30311" s="5" t="str">
        <f>IFERROR(__xludf.DUMMYFUNCTION("GOOGLETRANSLATE(B30311,""en"",""es-ES"")"),"Vemos a un niño tirar los brazos y grita.")</f>
        <v>Vemos a un niño tirar los brazos y grita.</v>
      </c>
    </row>
    <row r="30312">
      <c r="A30312" s="4" t="s">
        <v>38169</v>
      </c>
      <c r="B30312" s="4" t="s">
        <v>38170</v>
      </c>
      <c r="C30312" s="5" t="str">
        <f>IFERROR(__xludf.DUMMYFUNCTION("GOOGLETRANSLATE(B30312,""en"",""es-ES"")"),"Un equipo se prepara para jugar un juego llamado Hurling.")</f>
        <v>Un equipo se prepara para jugar un juego llamado Hurling.</v>
      </c>
    </row>
    <row r="30313">
      <c r="A30313" s="4" t="s">
        <v>38169</v>
      </c>
      <c r="B30313" s="4" t="s">
        <v>38171</v>
      </c>
      <c r="C30313" s="5" t="str">
        <f>IFERROR(__xludf.DUMMYFUNCTION("GOOGLETRANSLATE(B30313,""en"",""es-ES"")"),"Se muestran lo más destacado de un juego y se entrevistan a los jugadores.")</f>
        <v>Se muestran lo más destacado de un juego y se entrevistan a los jugadores.</v>
      </c>
    </row>
    <row r="30314">
      <c r="A30314" s="4" t="s">
        <v>38169</v>
      </c>
      <c r="B30314" s="4" t="s">
        <v>38172</v>
      </c>
      <c r="C30314" s="5" t="str">
        <f>IFERROR(__xludf.DUMMYFUNCTION("GOOGLETRANSLATE(B30314,""en"",""es-ES"")"),"Los compañeros de equipo animan desde el costado.")</f>
        <v>Los compañeros de equipo animan desde el costado.</v>
      </c>
    </row>
    <row r="30315">
      <c r="A30315" s="4" t="s">
        <v>38173</v>
      </c>
      <c r="B30315" s="4" t="s">
        <v>38174</v>
      </c>
      <c r="C30315" s="5" t="str">
        <f>IFERROR(__xludf.DUMMYFUNCTION("GOOGLETRANSLATE(B30315,""en"",""es-ES"")"),"Un hombre con un abrigo azul está parado en la nieve hablando.")</f>
        <v>Un hombre con un abrigo azul está parado en la nieve hablando.</v>
      </c>
    </row>
    <row r="30316">
      <c r="A30316" s="4" t="s">
        <v>38173</v>
      </c>
      <c r="B30316" s="4" t="s">
        <v>38175</v>
      </c>
      <c r="C30316" s="5" t="str">
        <f>IFERROR(__xludf.DUMMYFUNCTION("GOOGLETRANSLATE(B30316,""en"",""es-ES"")"),"Comienza a esquiar por una colina de nieve.")</f>
        <v>Comienza a esquiar por una colina de nieve.</v>
      </c>
    </row>
    <row r="30317">
      <c r="A30317" s="4" t="s">
        <v>38173</v>
      </c>
      <c r="B30317" s="4" t="s">
        <v>6460</v>
      </c>
      <c r="C30317" s="5" t="str">
        <f>IFERROR(__xludf.DUMMYFUNCTION("GOOGLETRANSLATE(B30317,""en"",""es-ES"")"),"Continúa hablando con la cámara.")</f>
        <v>Continúa hablando con la cámara.</v>
      </c>
    </row>
    <row r="30318">
      <c r="A30318" s="4" t="s">
        <v>38176</v>
      </c>
      <c r="B30318" s="4" t="s">
        <v>38177</v>
      </c>
      <c r="C30318" s="5" t="str">
        <f>IFERROR(__xludf.DUMMYFUNCTION("GOOGLETRANSLATE(B30318,""en"",""es-ES"")"),"Se ve a un hombre caminando en círculo y mirando a lo lejos.")</f>
        <v>Se ve a un hombre caminando en círculo y mirando a lo lejos.</v>
      </c>
    </row>
    <row r="30319">
      <c r="A30319" s="4" t="s">
        <v>38176</v>
      </c>
      <c r="B30319" s="4" t="s">
        <v>38178</v>
      </c>
      <c r="C30319" s="5" t="str">
        <f>IFERROR(__xludf.DUMMYFUNCTION("GOOGLETRANSLATE(B30319,""en"",""es-ES"")"),"El hombre se estira un poco y comienza a girar a sí mismo.")</f>
        <v>El hombre se estira un poco y comienza a girar a sí mismo.</v>
      </c>
    </row>
    <row r="30320">
      <c r="A30320" s="4" t="s">
        <v>38176</v>
      </c>
      <c r="B30320" s="4" t="s">
        <v>38179</v>
      </c>
      <c r="C30320" s="5" t="str">
        <f>IFERROR(__xludf.DUMMYFUNCTION("GOOGLETRANSLATE(B30320,""en"",""es-ES"")"),"Él continúa girando y termina alejándose.")</f>
        <v>Él continúa girando y termina alejándose.</v>
      </c>
    </row>
    <row r="30321">
      <c r="A30321" s="4" t="s">
        <v>38180</v>
      </c>
      <c r="B30321" s="4" t="s">
        <v>38181</v>
      </c>
      <c r="C30321" s="5" t="str">
        <f>IFERROR(__xludf.DUMMYFUNCTION("GOOGLETRANSLATE(B30321,""en"",""es-ES"")"),"El hombre de camisa azul sostiene una botella de spray blanca con tapa verde y negra.")</f>
        <v>El hombre de camisa azul sostiene una botella de spray blanca con tapa verde y negra.</v>
      </c>
    </row>
    <row r="30322">
      <c r="A30322" s="4" t="s">
        <v>38180</v>
      </c>
      <c r="B30322" s="4" t="s">
        <v>38182</v>
      </c>
      <c r="C30322" s="5" t="str">
        <f>IFERROR(__xludf.DUMMYFUNCTION("GOOGLETRANSLATE(B30322,""en"",""es-ES"")"),"Comenzó a rociar el contenido de la botella en la capucha del auto blanco.")</f>
        <v>Comenzó a rociar el contenido de la botella en la capucha del auto blanco.</v>
      </c>
    </row>
    <row r="30323">
      <c r="A30323" s="4" t="s">
        <v>38180</v>
      </c>
      <c r="B30323" s="4" t="s">
        <v>38183</v>
      </c>
      <c r="C30323" s="5" t="str">
        <f>IFERROR(__xludf.DUMMYFUNCTION("GOOGLETRANSLATE(B30323,""en"",""es-ES"")"),"Tiró la capucha y la parte posterior del auto blanco con un paño amarillo.")</f>
        <v>Tiró la capucha y la parte posterior del auto blanco con un paño amarillo.</v>
      </c>
    </row>
    <row r="30324">
      <c r="A30324" s="4" t="s">
        <v>38180</v>
      </c>
      <c r="B30324" s="4" t="s">
        <v>38184</v>
      </c>
      <c r="C30324" s="5" t="str">
        <f>IFERROR(__xludf.DUMMYFUNCTION("GOOGLETRANSLATE(B30324,""en"",""es-ES"")"),"Vio al piso del automóvil en el lado del conductor, limpia la tierra del volante con el paño amarillo.")</f>
        <v>Vio al piso del automóvil en el lado del conductor, limpia la tierra del volante con el paño amarillo.</v>
      </c>
    </row>
    <row r="30325">
      <c r="A30325" s="4" t="s">
        <v>38180</v>
      </c>
      <c r="B30325" s="4" t="s">
        <v>38185</v>
      </c>
      <c r="C30325" s="5" t="str">
        <f>IFERROR(__xludf.DUMMYFUNCTION("GOOGLETRANSLATE(B30325,""en"",""es-ES"")"),"Tiró los medidores, la ventana lateral y el vidrio y la rueda.")</f>
        <v>Tiró los medidores, la ventana lateral y el vidrio y la rueda.</v>
      </c>
    </row>
    <row r="30326">
      <c r="A30326" s="4" t="s">
        <v>38180</v>
      </c>
      <c r="B30326" s="4" t="s">
        <v>38186</v>
      </c>
      <c r="C30326" s="5" t="str">
        <f>IFERROR(__xludf.DUMMYFUNCTION("GOOGLETRANSLATE(B30326,""en"",""es-ES"")"),"Está mostrando una botella de spray blanca con tapa negra, mientras sostiene una tela amarilla.")</f>
        <v>Está mostrando una botella de spray blanca con tapa negra, mientras sostiene una tela amarilla.</v>
      </c>
    </row>
    <row r="30327">
      <c r="A30327" s="4" t="s">
        <v>38180</v>
      </c>
      <c r="B30327" s="4" t="s">
        <v>38187</v>
      </c>
      <c r="C30327" s="5" t="str">
        <f>IFERROR(__xludf.DUMMYFUNCTION("GOOGLETRANSLATE(B30327,""en"",""es-ES"")"),"Él está limpiando el borde del automóvil y luego mostró la botella de spray blanca.")</f>
        <v>Él está limpiando el borde del automóvil y luego mostró la botella de spray blanca.</v>
      </c>
    </row>
    <row r="30328">
      <c r="A30328" s="4" t="s">
        <v>38180</v>
      </c>
      <c r="B30328" s="4" t="s">
        <v>38188</v>
      </c>
      <c r="C30328" s="5" t="str">
        <f>IFERROR(__xludf.DUMMYFUNCTION("GOOGLETRANSLATE(B30328,""en"",""es-ES"")"),"Se muestra un auto blanco que está sucio y luego después de donde está limpio y brillante.")</f>
        <v>Se muestra un auto blanco que está sucio y luego después de donde está limpio y brillante.</v>
      </c>
    </row>
    <row r="30329">
      <c r="A30329" s="4" t="s">
        <v>38189</v>
      </c>
      <c r="B30329" s="4" t="s">
        <v>38190</v>
      </c>
      <c r="C30329" s="5" t="str">
        <f>IFERROR(__xludf.DUMMYFUNCTION("GOOGLETRANSLATE(B30329,""en"",""es-ES"")"),"Se ve un arma moviéndose alrededor de varias esquinas y golpear a las personas en varios lugares.")</f>
        <v>Se ve un arma moviéndose alrededor de varias esquinas y golpear a las personas en varios lugares.</v>
      </c>
    </row>
    <row r="30330">
      <c r="A30330" s="4" t="s">
        <v>38189</v>
      </c>
      <c r="B30330" s="4" t="s">
        <v>38191</v>
      </c>
      <c r="C30330" s="5" t="str">
        <f>IFERROR(__xludf.DUMMYFUNCTION("GOOGLETRANSLATE(B30330,""en"",""es-ES"")"),"Más disparos de una persona corriendo alrededor de un campo de paintball como se muestra, además de señalar a otros, disparar a otros y escondirse detrás de los objetos.")</f>
        <v>Más disparos de una persona corriendo alrededor de un campo de paintball como se muestra, además de señalar a otros, disparar a otros y escondirse detrás de los objetos.</v>
      </c>
    </row>
    <row r="30331">
      <c r="A30331" s="4" t="s">
        <v>38189</v>
      </c>
      <c r="B30331" s="4" t="s">
        <v>38192</v>
      </c>
      <c r="C30331" s="5" t="str">
        <f>IFERROR(__xludf.DUMMYFUNCTION("GOOGLETRANSLATE(B30331,""en"",""es-ES"")"),"Los hombres se agrupan juntos al final, dan un pulgar hacia arriba y muestran más fotos de personas disparando.")</f>
        <v>Los hombres se agrupan juntos al final, dan un pulgar hacia arriba y muestran más fotos de personas disparando.</v>
      </c>
    </row>
    <row r="30332">
      <c r="A30332" s="4" t="s">
        <v>38193</v>
      </c>
      <c r="B30332" s="4" t="s">
        <v>38194</v>
      </c>
      <c r="C30332" s="5" t="str">
        <f>IFERROR(__xludf.DUMMYFUNCTION("GOOGLETRANSLATE(B30332,""en"",""es-ES"")"),"Un cómic de un hombre que dice cómo lavarse con un detergente.")</f>
        <v>Un cómic de un hombre que dice cómo lavarse con un detergente.</v>
      </c>
    </row>
    <row r="30333">
      <c r="A30333" s="4" t="s">
        <v>38193</v>
      </c>
      <c r="B30333" s="4" t="s">
        <v>38195</v>
      </c>
      <c r="C30333" s="5" t="str">
        <f>IFERROR(__xludf.DUMMYFUNCTION("GOOGLETRANSLATE(B30333,""en"",""es-ES"")"),"Se muestra una casa con una oración de cómo lavar la azotea.")</f>
        <v>Se muestra una casa con una oración de cómo lavar la azotea.</v>
      </c>
    </row>
    <row r="30334">
      <c r="A30334" s="4" t="s">
        <v>38193</v>
      </c>
      <c r="B30334" s="4" t="s">
        <v>38196</v>
      </c>
      <c r="C30334" s="5" t="str">
        <f>IFERROR(__xludf.DUMMYFUNCTION("GOOGLETRANSLATE(B30334,""en"",""es-ES"")"),"Los números y la dirección se muestran en la publicidad.")</f>
        <v>Los números y la dirección se muestran en la publicidad.</v>
      </c>
    </row>
    <row r="30335">
      <c r="A30335" s="4" t="s">
        <v>38197</v>
      </c>
      <c r="B30335" s="4" t="s">
        <v>38198</v>
      </c>
      <c r="C30335" s="5" t="str">
        <f>IFERROR(__xludf.DUMMYFUNCTION("GOOGLETRANSLATE(B30335,""en"",""es-ES"")"),"Se muestran varias tomas de letreros y edificios, así como imágenes de buzos.")</f>
        <v>Se muestran varias tomas de letreros y edificios, así como imágenes de buzos.</v>
      </c>
    </row>
    <row r="30336">
      <c r="A30336" s="4" t="s">
        <v>38197</v>
      </c>
      <c r="B30336" s="4" t="s">
        <v>38199</v>
      </c>
      <c r="C30336" s="5" t="str">
        <f>IFERROR(__xludf.DUMMYFUNCTION("GOOGLETRANSLATE(B30336,""en"",""es-ES"")"),"Se ve a muchas personas hablando con la cámara mientras se vuelven bucear en un tablero.")</f>
        <v>Se ve a muchas personas hablando con la cámara mientras se vuelven bucear en un tablero.</v>
      </c>
    </row>
    <row r="30337">
      <c r="A30337" s="4" t="s">
        <v>38197</v>
      </c>
      <c r="B30337" s="4" t="s">
        <v>38200</v>
      </c>
      <c r="C30337" s="5" t="str">
        <f>IFERROR(__xludf.DUMMYFUNCTION("GOOGLETRANSLATE(B30337,""en"",""es-ES"")"),"Se muestran más clips de personas que se bucean y saludan a la cámara, además de hablar entre sí y sostener un puntaje.")</f>
        <v>Se muestran más clips de personas que se bucean y saludan a la cámara, además de hablar entre sí y sostener un puntaje.</v>
      </c>
    </row>
    <row r="30338">
      <c r="A30338" s="4" t="s">
        <v>38201</v>
      </c>
      <c r="B30338" s="4" t="s">
        <v>38202</v>
      </c>
      <c r="C30338" s="5" t="str">
        <f>IFERROR(__xludf.DUMMYFUNCTION("GOOGLETRANSLATE(B30338,""en"",""es-ES"")"),"Un grupo de personas está dentro de un gimnasio.")</f>
        <v>Un grupo de personas está dentro de un gimnasio.</v>
      </c>
    </row>
    <row r="30339">
      <c r="A30339" s="4" t="s">
        <v>38201</v>
      </c>
      <c r="B30339" s="4" t="s">
        <v>38203</v>
      </c>
      <c r="C30339" s="5" t="str">
        <f>IFERROR(__xludf.DUMMYFUNCTION("GOOGLETRANSLATE(B30339,""en"",""es-ES"")"),"Están levantando pesas y bailando.")</f>
        <v>Están levantando pesas y bailando.</v>
      </c>
    </row>
    <row r="30340">
      <c r="A30340" s="4" t="s">
        <v>38201</v>
      </c>
      <c r="B30340" s="4" t="s">
        <v>38204</v>
      </c>
      <c r="C30340" s="5" t="str">
        <f>IFERROR(__xludf.DUMMYFUNCTION("GOOGLETRANSLATE(B30340,""en"",""es-ES"")"),"Otros están utilizando bicicletas reclinadas y pedaleo rápidamente.")</f>
        <v>Otros están utilizando bicicletas reclinadas y pedaleo rápidamente.</v>
      </c>
    </row>
    <row r="30341">
      <c r="A30341" s="4" t="s">
        <v>38205</v>
      </c>
      <c r="B30341" s="4" t="s">
        <v>38206</v>
      </c>
      <c r="C30341" s="5" t="str">
        <f>IFERROR(__xludf.DUMMYFUNCTION("GOOGLETRANSLATE(B30341,""en"",""es-ES"")"),"Un hombre patea una pelota de fútbol, ​​luego juega con otros hombres jóvenes en la calle, el hombre anota.")</f>
        <v>Un hombre patea una pelota de fútbol, ​​luego juega con otros hombres jóvenes en la calle, el hombre anota.</v>
      </c>
    </row>
    <row r="30342">
      <c r="A30342" s="4" t="s">
        <v>38205</v>
      </c>
      <c r="B30342" s="4" t="s">
        <v>38207</v>
      </c>
      <c r="C30342" s="5" t="str">
        <f>IFERROR(__xludf.DUMMYFUNCTION("GOOGLETRANSLATE(B30342,""en"",""es-ES"")"),"Luego, continúan jugando y el joven anota, así como el hombre anota.")</f>
        <v>Luego, continúan jugando y el joven anota, así como el hombre anota.</v>
      </c>
    </row>
    <row r="30343">
      <c r="A30343" s="4" t="s">
        <v>38205</v>
      </c>
      <c r="B30343" s="4" t="s">
        <v>38208</v>
      </c>
      <c r="C30343" s="5" t="str">
        <f>IFERROR(__xludf.DUMMYFUNCTION("GOOGLETRANSLATE(B30343,""en"",""es-ES"")"),"Los equipos están jugando fútbol interior y el hombre con una camiseta amarilla jugando con varios equipos.")</f>
        <v>Los equipos están jugando fútbol interior y el hombre con una camiseta amarilla jugando con varios equipos.</v>
      </c>
    </row>
    <row r="30344">
      <c r="A30344" s="4" t="s">
        <v>38205</v>
      </c>
      <c r="B30344" s="4" t="s">
        <v>38209</v>
      </c>
      <c r="C30344" s="5" t="str">
        <f>IFERROR(__xludf.DUMMYFUNCTION("GOOGLETRANSLATE(B30344,""en"",""es-ES"")"),"El hombre disputa la pelota con otro jugador y lo patea a un compañero de juego, el hombre continúa jugando un marcador para su equipo.")</f>
        <v>El hombre disputa la pelota con otro jugador y lo patea a un compañero de juego, el hombre continúa jugando un marcador para su equipo.</v>
      </c>
    </row>
    <row r="30345">
      <c r="A30345" s="4" t="s">
        <v>38210</v>
      </c>
      <c r="B30345" s="4" t="s">
        <v>38211</v>
      </c>
      <c r="C30345" s="5" t="str">
        <f>IFERROR(__xludf.DUMMYFUNCTION("GOOGLETRANSLATE(B30345,""en"",""es-ES"")"),"Hay un hombre con una camisa negra que representa el paintball de Pev hablando sobre el juego recreativo.")</f>
        <v>Hay un hombre con una camisa negra que representa el paintball de Pev hablando sobre el juego recreativo.</v>
      </c>
    </row>
    <row r="30346">
      <c r="A30346" s="4" t="s">
        <v>38210</v>
      </c>
      <c r="B30346" s="4" t="s">
        <v>38212</v>
      </c>
      <c r="C30346" s="5" t="str">
        <f>IFERROR(__xludf.DUMMYFUNCTION("GOOGLETRANSLATE(B30346,""en"",""es-ES"")"),"Está sosteniendo una pistola de paintball en la mano mientras habla sobre cómo se juega el deporte.")</f>
        <v>Está sosteniendo una pistola de paintball en la mano mientras habla sobre cómo se juega el deporte.</v>
      </c>
    </row>
    <row r="30347">
      <c r="A30347" s="4" t="s">
        <v>38210</v>
      </c>
      <c r="B30347" s="4" t="s">
        <v>38213</v>
      </c>
      <c r="C30347" s="5" t="str">
        <f>IFERROR(__xludf.DUMMYFUNCTION("GOOGLETRANSLATE(B30347,""en"",""es-ES"")"),"Un hombre vestido con un atuendo de estampado de camuflaje se esconde y corre con una pistola de paintball.")</f>
        <v>Un hombre vestido con un atuendo de estampado de camuflaje se esconde y corre con una pistola de paintball.</v>
      </c>
    </row>
    <row r="30348">
      <c r="A30348" s="4" t="s">
        <v>38210</v>
      </c>
      <c r="B30348" s="4" t="s">
        <v>38214</v>
      </c>
      <c r="C30348" s="5" t="str">
        <f>IFERROR(__xludf.DUMMYFUNCTION("GOOGLETRANSLATE(B30348,""en"",""es-ES"")"),"El representante de PEV está explicando las características de la pistola de paintball y cómo usarlo de manera efectiva.")</f>
        <v>El representante de PEV está explicando las características de la pistola de paintball y cómo usarlo de manera efectiva.</v>
      </c>
    </row>
    <row r="30349">
      <c r="A30349" s="4" t="s">
        <v>38215</v>
      </c>
      <c r="B30349" s="4" t="s">
        <v>38216</v>
      </c>
      <c r="C30349" s="5" t="str">
        <f>IFERROR(__xludf.DUMMYFUNCTION("GOOGLETRANSLATE(B30349,""en"",""es-ES"")"),"Vemos a un hombre preparándose para lanzar la discusión.")</f>
        <v>Vemos a un hombre preparándose para lanzar la discusión.</v>
      </c>
    </row>
    <row r="30350">
      <c r="A30350" s="4" t="s">
        <v>38215</v>
      </c>
      <c r="B30350" s="4" t="s">
        <v>38217</v>
      </c>
      <c r="C30350" s="5" t="str">
        <f>IFERROR(__xludf.DUMMYFUNCTION("GOOGLETRANSLATE(B30350,""en"",""es-ES"")"),"Él tira y se aleja y lo vemos en cámara lenta.")</f>
        <v>Él tira y se aleja y lo vemos en cámara lenta.</v>
      </c>
    </row>
    <row r="30351">
      <c r="A30351" s="4" t="s">
        <v>38215</v>
      </c>
      <c r="B30351" s="4" t="s">
        <v>38218</v>
      </c>
      <c r="C30351" s="5" t="str">
        <f>IFERROR(__xludf.DUMMYFUNCTION("GOOGLETRANSLATE(B30351,""en"",""es-ES"")"),"Vemos al próximo hombre caminar y lanzar y lo vemos de nuevo.")</f>
        <v>Vemos al próximo hombre caminar y lanzar y lo vemos de nuevo.</v>
      </c>
    </row>
    <row r="30352">
      <c r="A30352" s="4" t="s">
        <v>38215</v>
      </c>
      <c r="B30352" s="4" t="s">
        <v>38219</v>
      </c>
      <c r="C30352" s="5" t="str">
        <f>IFERROR(__xludf.DUMMYFUNCTION("GOOGLETRANSLATE(B30352,""en"",""es-ES"")"),"Un chico con pantalones cortos amarillos lanza y lo vemos de nuevo.")</f>
        <v>Un chico con pantalones cortos amarillos lanza y lo vemos de nuevo.</v>
      </c>
    </row>
    <row r="30353">
      <c r="A30353" s="4" t="s">
        <v>38220</v>
      </c>
      <c r="B30353" s="4" t="s">
        <v>38221</v>
      </c>
      <c r="C30353" s="5" t="str">
        <f>IFERROR(__xludf.DUMMYFUNCTION("GOOGLETRANSLATE(B30353,""en"",""es-ES"")"),"Se ve a una mujer joven realizando varios movimientos de artes marciales en medio de una gran estera.")</f>
        <v>Se ve a una mujer joven realizando varios movimientos de artes marciales en medio de una gran estera.</v>
      </c>
    </row>
    <row r="30354">
      <c r="A30354" s="4" t="s">
        <v>38220</v>
      </c>
      <c r="B30354" s="4" t="s">
        <v>38222</v>
      </c>
      <c r="C30354" s="5" t="str">
        <f>IFERROR(__xludf.DUMMYFUNCTION("GOOGLETRANSLATE(B30354,""en"",""es-ES"")"),"La niña continúa moviéndose y luego lo lleva a luchar contra un niño.")</f>
        <v>La niña continúa moviéndose y luego lo lleva a luchar contra un niño.</v>
      </c>
    </row>
    <row r="30355">
      <c r="A30355" s="4" t="s">
        <v>38220</v>
      </c>
      <c r="B30355" s="4" t="s">
        <v>38223</v>
      </c>
      <c r="C30355" s="5" t="str">
        <f>IFERROR(__xludf.DUMMYFUNCTION("GOOGLETRANSLATE(B30355,""en"",""es-ES"")"),"Se muestran más fotos de ella y su lucha.")</f>
        <v>Se muestran más fotos de ella y su lucha.</v>
      </c>
    </row>
    <row r="30356">
      <c r="A30356" s="4" t="s">
        <v>38224</v>
      </c>
      <c r="B30356" s="4" t="s">
        <v>38225</v>
      </c>
      <c r="C30356" s="5" t="str">
        <f>IFERROR(__xludf.DUMMYFUNCTION("GOOGLETRANSLATE(B30356,""en"",""es-ES"")"),"Un hombre se levanta en una balsa.")</f>
        <v>Un hombre se levanta en una balsa.</v>
      </c>
    </row>
    <row r="30357">
      <c r="A30357" s="4" t="s">
        <v>38224</v>
      </c>
      <c r="B30357" s="4" t="s">
        <v>38226</v>
      </c>
      <c r="C30357" s="5" t="str">
        <f>IFERROR(__xludf.DUMMYFUNCTION("GOOGLETRANSLATE(B30357,""en"",""es-ES"")"),"Varias balsas están en el suelo, llenas de personas.")</f>
        <v>Varias balsas están en el suelo, llenas de personas.</v>
      </c>
    </row>
    <row r="30358">
      <c r="A30358" s="4" t="s">
        <v>38224</v>
      </c>
      <c r="B30358" s="4" t="s">
        <v>38227</v>
      </c>
      <c r="C30358" s="5" t="str">
        <f>IFERROR(__xludf.DUMMYFUNCTION("GOOGLETRANSLATE(B30358,""en"",""es-ES"")"),"Escuchan a un instructor decirles lo que necesitan hacer.")</f>
        <v>Escuchan a un instructor decirles lo que necesitan hacer.</v>
      </c>
    </row>
    <row r="30359">
      <c r="A30359" s="4" t="s">
        <v>38224</v>
      </c>
      <c r="B30359" s="4" t="s">
        <v>38228</v>
      </c>
      <c r="C30359" s="5" t="str">
        <f>IFERROR(__xludf.DUMMYFUNCTION("GOOGLETRANSLATE(B30359,""en"",""es-ES"")"),"Se atraviesan a través de los rápidos de un río fuertemente fluido.")</f>
        <v>Se atraviesan a través de los rápidos de un río fuertemente fluido.</v>
      </c>
    </row>
    <row r="30360">
      <c r="A30360" s="4" t="s">
        <v>38224</v>
      </c>
      <c r="B30360" s="4" t="s">
        <v>38229</v>
      </c>
      <c r="C30360" s="5" t="str">
        <f>IFERROR(__xludf.DUMMYFUNCTION("GOOGLETRANSLATE(B30360,""en"",""es-ES"")"),"Una de las balsas volcea al final.")</f>
        <v>Una de las balsas volcea al final.</v>
      </c>
    </row>
    <row r="30361">
      <c r="A30361" s="4" t="s">
        <v>38230</v>
      </c>
      <c r="B30361" s="4" t="s">
        <v>38231</v>
      </c>
      <c r="C30361" s="5" t="str">
        <f>IFERROR(__xludf.DUMMYFUNCTION("GOOGLETRANSLATE(B30361,""en"",""es-ES"")"),"Un hombre flota en agua tranquila y se aferra a una cuerda mientras espera que el bote conduzca.")</f>
        <v>Un hombre flota en agua tranquila y se aferra a una cuerda mientras espera que el bote conduzca.</v>
      </c>
    </row>
    <row r="30362">
      <c r="A30362" s="4" t="s">
        <v>38230</v>
      </c>
      <c r="B30362" s="4" t="s">
        <v>38232</v>
      </c>
      <c r="C30362" s="5" t="str">
        <f>IFERROR(__xludf.DUMMYFUNCTION("GOOGLETRANSLATE(B30362,""en"",""es-ES"")"),"El hombre descalzo es un esquisto en una cuerda del costado de un bote que intentaba ponerse de pie.")</f>
        <v>El hombre descalzo es un esquisto en una cuerda del costado de un bote que intentaba ponerse de pie.</v>
      </c>
    </row>
    <row r="30363">
      <c r="A30363" s="4" t="s">
        <v>38230</v>
      </c>
      <c r="B30363" s="4" t="s">
        <v>38233</v>
      </c>
      <c r="C30363" s="5" t="str">
        <f>IFERROR(__xludf.DUMMYFUNCTION("GOOGLETRANSLATE(B30363,""en"",""es-ES"")"),"El hombre se pone de pie e inmediatamente cae al agua a alta velocidad.")</f>
        <v>El hombre se pone de pie e inmediatamente cae al agua a alta velocidad.</v>
      </c>
    </row>
    <row r="30364">
      <c r="A30364" s="4" t="s">
        <v>38234</v>
      </c>
      <c r="B30364" s="4" t="s">
        <v>38235</v>
      </c>
      <c r="C30364" s="5" t="str">
        <f>IFERROR(__xludf.DUMMYFUNCTION("GOOGLETRANSLATE(B30364,""en"",""es-ES"")"),"La gente está jugando en el fútbol sala en un gimnasio techo.")</f>
        <v>La gente está jugando en el fútbol sala en un gimnasio techo.</v>
      </c>
    </row>
    <row r="30365">
      <c r="A30365" s="4" t="s">
        <v>38234</v>
      </c>
      <c r="B30365" s="4" t="s">
        <v>38236</v>
      </c>
      <c r="C30365" s="5" t="str">
        <f>IFERROR(__xludf.DUMMYFUNCTION("GOOGLETRANSLATE(B30365,""en"",""es-ES"")"),"El árbitro está viendo el juego corriendo de lado a lado.")</f>
        <v>El árbitro está viendo el juego corriendo de lado a lado.</v>
      </c>
    </row>
    <row r="30366">
      <c r="A30366" s="4" t="s">
        <v>38237</v>
      </c>
      <c r="B30366" s="4" t="s">
        <v>38238</v>
      </c>
      <c r="C30366" s="5" t="str">
        <f>IFERROR(__xludf.DUMMYFUNCTION("GOOGLETRANSLATE(B30366,""en"",""es-ES"")"),"Dos hombres están decorando un árbol de Navidad.")</f>
        <v>Dos hombres están decorando un árbol de Navidad.</v>
      </c>
    </row>
    <row r="30367">
      <c r="A30367" s="4" t="s">
        <v>38237</v>
      </c>
      <c r="B30367" s="4" t="s">
        <v>38239</v>
      </c>
      <c r="C30367" s="5" t="str">
        <f>IFERROR(__xludf.DUMMYFUNCTION("GOOGLETRANSLATE(B30367,""en"",""es-ES"")"),"Están poniendo cinta roja alrededor del árbol.")</f>
        <v>Están poniendo cinta roja alrededor del árbol.</v>
      </c>
    </row>
    <row r="30368">
      <c r="A30368" s="4" t="s">
        <v>38237</v>
      </c>
      <c r="B30368" s="4" t="s">
        <v>38240</v>
      </c>
      <c r="C30368" s="5" t="str">
        <f>IFERROR(__xludf.DUMMYFUNCTION("GOOGLETRANSLATE(B30368,""en"",""es-ES"")"),"Se muestra un tocador al final.")</f>
        <v>Se muestra un tocador al final.</v>
      </c>
    </row>
    <row r="30369">
      <c r="A30369" s="4" t="s">
        <v>38241</v>
      </c>
      <c r="B30369" s="4" t="s">
        <v>38242</v>
      </c>
      <c r="C30369" s="5" t="str">
        <f>IFERROR(__xludf.DUMMYFUNCTION("GOOGLETRANSLATE(B30369,""en"",""es-ES"")"),"Se ven dos personas sentadas en los columpios afuera.")</f>
        <v>Se ven dos personas sentadas en los columpios afuera.</v>
      </c>
    </row>
    <row r="30370">
      <c r="A30370" s="4" t="s">
        <v>38241</v>
      </c>
      <c r="B30370" s="4" t="s">
        <v>38243</v>
      </c>
      <c r="C30370" s="5" t="str">
        <f>IFERROR(__xludf.DUMMYFUNCTION("GOOGLETRANSLATE(B30370,""en"",""es-ES"")"),"La gente luego comienza a mudarse y cuarto.")</f>
        <v>La gente luego comienza a mudarse y cuarto.</v>
      </c>
    </row>
    <row r="30371">
      <c r="A30371" s="4" t="s">
        <v>38241</v>
      </c>
      <c r="B30371" s="4" t="s">
        <v>38244</v>
      </c>
      <c r="C30371" s="5" t="str">
        <f>IFERROR(__xludf.DUMMYFUNCTION("GOOGLETRANSLATE(B30371,""en"",""es-ES"")"),"La gente continuamente se balancea y cuarto en el columpio.")</f>
        <v>La gente continuamente se balancea y cuarto en el columpio.</v>
      </c>
    </row>
    <row r="30372">
      <c r="A30372" s="4" t="s">
        <v>38245</v>
      </c>
      <c r="B30372" s="4" t="s">
        <v>38246</v>
      </c>
      <c r="C30372" s="5" t="str">
        <f>IFERROR(__xludf.DUMMYFUNCTION("GOOGLETRANSLATE(B30372,""en"",""es-ES"")"),"Hay un hombre con una camisa azul que usa la máquina LAT Pull en un gimnasio.")</f>
        <v>Hay un hombre con una camisa azul que usa la máquina LAT Pull en un gimnasio.</v>
      </c>
    </row>
    <row r="30373">
      <c r="A30373" s="4" t="s">
        <v>38245</v>
      </c>
      <c r="B30373" s="4" t="s">
        <v>38247</v>
      </c>
      <c r="C30373" s="5" t="str">
        <f>IFERROR(__xludf.DUMMYFUNCTION("GOOGLETRANSLATE(B30373,""en"",""es-ES"")"),"Hay algunas otras personas corriendo en la cinta de correr detrás del hombre.")</f>
        <v>Hay algunas otras personas corriendo en la cinta de correr detrás del hombre.</v>
      </c>
    </row>
    <row r="30374">
      <c r="A30374" s="4" t="s">
        <v>38245</v>
      </c>
      <c r="B30374" s="4" t="s">
        <v>38248</v>
      </c>
      <c r="C30374" s="5" t="str">
        <f>IFERROR(__xludf.DUMMYFUNCTION("GOOGLETRANSLATE(B30374,""en"",""es-ES"")"),"Comienza tirando los mangos de la máquina y luego va y viene para hacer ejercicio.")</f>
        <v>Comienza tirando los mangos de la máquina y luego va y viene para hacer ejercicio.</v>
      </c>
    </row>
    <row r="30375">
      <c r="A30375" s="4" t="s">
        <v>38249</v>
      </c>
      <c r="B30375" s="4" t="s">
        <v>38250</v>
      </c>
      <c r="C30375" s="5" t="str">
        <f>IFERROR(__xludf.DUMMYFUNCTION("GOOGLETRANSLATE(B30375,""en"",""es-ES"")"),"Se muestra a un niño bajando por una diapositiva.")</f>
        <v>Se muestra a un niño bajando por una diapositiva.</v>
      </c>
    </row>
    <row r="30376">
      <c r="A30376" s="4" t="s">
        <v>38249</v>
      </c>
      <c r="B30376" s="4" t="s">
        <v>38251</v>
      </c>
      <c r="C30376" s="5" t="str">
        <f>IFERROR(__xludf.DUMMYFUNCTION("GOOGLETRANSLATE(B30376,""en"",""es-ES"")"),"Una mujer está hablando con la cámara del parque.")</f>
        <v>Una mujer está hablando con la cámara del parque.</v>
      </c>
    </row>
    <row r="30377">
      <c r="A30377" s="4" t="s">
        <v>38249</v>
      </c>
      <c r="B30377" s="4" t="s">
        <v>38252</v>
      </c>
      <c r="C30377" s="5" t="str">
        <f>IFERROR(__xludf.DUMMYFUNCTION("GOOGLETRANSLATE(B30377,""en"",""es-ES"")"),"Se muestra a los niños jugando en varios equipos.")</f>
        <v>Se muestra a los niños jugando en varios equipos.</v>
      </c>
    </row>
    <row r="30378">
      <c r="A30378" s="4" t="s">
        <v>38253</v>
      </c>
      <c r="B30378" s="4" t="s">
        <v>38254</v>
      </c>
      <c r="C30378" s="5" t="str">
        <f>IFERROR(__xludf.DUMMYFUNCTION("GOOGLETRANSLATE(B30378,""en"",""es-ES"")"),"El video muestra una cámara lenta de tres personas que juegan con Foosball.")</f>
        <v>El video muestra una cámara lenta de tres personas que juegan con Foosball.</v>
      </c>
    </row>
    <row r="30379">
      <c r="A30379" s="4" t="s">
        <v>38253</v>
      </c>
      <c r="B30379" s="4" t="s">
        <v>38255</v>
      </c>
      <c r="C30379" s="5" t="str">
        <f>IFERROR(__xludf.DUMMYFUNCTION("GOOGLETRANSLATE(B30379,""en"",""es-ES"")"),"Hay dos personas paradas en un lado y un solo jugador en el otro lado.")</f>
        <v>Hay dos personas paradas en un lado y un solo jugador en el otro lado.</v>
      </c>
    </row>
    <row r="30380">
      <c r="A30380" s="4" t="s">
        <v>38253</v>
      </c>
      <c r="B30380" s="4" t="s">
        <v>38256</v>
      </c>
      <c r="C30380" s="5" t="str">
        <f>IFERROR(__xludf.DUMMYFUNCTION("GOOGLETRANSLATE(B30380,""en"",""es-ES"")"),"Continúan jugando con Foosball el uno con el otro.")</f>
        <v>Continúan jugando con Foosball el uno con el otro.</v>
      </c>
    </row>
    <row r="30381">
      <c r="A30381" s="4" t="s">
        <v>38257</v>
      </c>
      <c r="B30381" s="4" t="s">
        <v>38258</v>
      </c>
      <c r="C30381" s="5" t="str">
        <f>IFERROR(__xludf.DUMMYFUNCTION("GOOGLETRANSLATE(B30381,""en"",""es-ES"")"),"Un pequeño grupo de chicas que usan trajes se ven caminando al piso de un gimnasio y sosteniendo una pose frente a una gran audiencia.")</f>
        <v>Un pequeño grupo de chicas que usan trajes se ven caminando al piso de un gimnasio y sosteniendo una pose frente a una gran audiencia.</v>
      </c>
    </row>
    <row r="30382">
      <c r="A30382" s="4" t="s">
        <v>38257</v>
      </c>
      <c r="B30382" s="4" t="s">
        <v>38259</v>
      </c>
      <c r="C30382" s="5" t="str">
        <f>IFERROR(__xludf.DUMMYFUNCTION("GOOGLETRANSLATE(B30382,""en"",""es-ES"")"),"Las chicas realizan una rutina de baile con bastones en la mano y terminan alineando y alejándose.")</f>
        <v>Las chicas realizan una rutina de baile con bastones en la mano y terminan alineando y alejándose.</v>
      </c>
    </row>
    <row r="30383">
      <c r="A30383" s="4" t="s">
        <v>38260</v>
      </c>
      <c r="B30383" s="4" t="s">
        <v>38261</v>
      </c>
      <c r="C30383" s="5" t="str">
        <f>IFERROR(__xludf.DUMMYFUNCTION("GOOGLETRANSLATE(B30383,""en"",""es-ES"")"),"Una mujer llamada Sapna aparece en una foto.")</f>
        <v>Una mujer llamada Sapna aparece en una foto.</v>
      </c>
    </row>
    <row r="30384">
      <c r="A30384" s="4" t="s">
        <v>38260</v>
      </c>
      <c r="B30384" s="4" t="s">
        <v>38262</v>
      </c>
      <c r="C30384" s="5" t="str">
        <f>IFERROR(__xludf.DUMMYFUNCTION("GOOGLETRANSLATE(B30384,""en"",""es-ES"")"),"Luego se la ve demostrando una variedad de movimientos de cuerda de salto.")</f>
        <v>Luego se la ve demostrando una variedad de movimientos de cuerda de salto.</v>
      </c>
    </row>
    <row r="30385">
      <c r="A30385" s="4" t="s">
        <v>38260</v>
      </c>
      <c r="B30385" s="4" t="s">
        <v>38263</v>
      </c>
      <c r="C30385" s="5" t="str">
        <f>IFERROR(__xludf.DUMMYFUNCTION("GOOGLETRANSLATE(B30385,""en"",""es-ES"")"),"Ella salta hacia adelante y de regreso, y de lado a lado.")</f>
        <v>Ella salta hacia adelante y de regreso, y de lado a lado.</v>
      </c>
    </row>
    <row r="30386">
      <c r="A30386" s="4" t="s">
        <v>38264</v>
      </c>
      <c r="B30386" s="4" t="s">
        <v>38265</v>
      </c>
      <c r="C30386" s="5" t="str">
        <f>IFERROR(__xludf.DUMMYFUNCTION("GOOGLETRANSLATE(B30386,""en"",""es-ES"")"),"Un hombre que lleva un sombrero duro de construcción aplica yeso a una pared con un borde plano que se suena a mano.")</f>
        <v>Un hombre que lleva un sombrero duro de construcción aplica yeso a una pared con un borde plano que se suena a mano.</v>
      </c>
    </row>
    <row r="30387">
      <c r="A30387" s="4" t="s">
        <v>38264</v>
      </c>
      <c r="B30387" s="4" t="s">
        <v>38266</v>
      </c>
      <c r="C30387" s="5" t="str">
        <f>IFERROR(__xludf.DUMMYFUNCTION("GOOGLETRANSLATE(B30387,""en"",""es-ES"")"),"El hombre hace una pausa para explicar su procedimiento.")</f>
        <v>El hombre hace una pausa para explicar su procedimiento.</v>
      </c>
    </row>
    <row r="30388">
      <c r="A30388" s="4" t="s">
        <v>38264</v>
      </c>
      <c r="B30388" s="4" t="s">
        <v>38267</v>
      </c>
      <c r="C30388" s="5" t="str">
        <f>IFERROR(__xludf.DUMMYFUNCTION("GOOGLETRANSLATE(B30388,""en"",""es-ES"")"),"El nombre y el lema de una empresa se ven en texto blanco.")</f>
        <v>El nombre y el lema de una empresa se ven en texto blanco.</v>
      </c>
    </row>
    <row r="30389">
      <c r="A30389" s="4" t="s">
        <v>38268</v>
      </c>
      <c r="B30389" s="4" t="s">
        <v>38269</v>
      </c>
      <c r="C30389" s="5" t="str">
        <f>IFERROR(__xludf.DUMMYFUNCTION("GOOGLETRANSLATE(B30389,""en"",""es-ES"")"),"Una banda de rock está tocando una canción de rock en un entorno negro y blanco.")</f>
        <v>Una banda de rock está tocando una canción de rock en un entorno negro y blanco.</v>
      </c>
    </row>
    <row r="30390">
      <c r="A30390" s="4" t="s">
        <v>38268</v>
      </c>
      <c r="B30390" s="4" t="s">
        <v>38270</v>
      </c>
      <c r="C30390" s="5" t="str">
        <f>IFERROR(__xludf.DUMMYFUNCTION("GOOGLETRANSLATE(B30390,""en"",""es-ES"")"),"Varios rizadores se están preparando para un partido de curling mientras la banda toca.")</f>
        <v>Varios rizadores se están preparando para un partido de curling mientras la banda toca.</v>
      </c>
    </row>
    <row r="30391">
      <c r="A30391" s="4" t="s">
        <v>38268</v>
      </c>
      <c r="B30391" s="4" t="s">
        <v>38271</v>
      </c>
      <c r="C30391" s="5" t="str">
        <f>IFERROR(__xludf.DUMMYFUNCTION("GOOGLETRANSLATE(B30391,""en"",""es-ES"")"),"La banda y los rizadores están en el hielo interactuando entre sí.")</f>
        <v>La banda y los rizadores están en el hielo interactuando entre sí.</v>
      </c>
    </row>
    <row r="30392">
      <c r="A30392" s="4" t="s">
        <v>38268</v>
      </c>
      <c r="B30392" s="4" t="s">
        <v>38272</v>
      </c>
      <c r="C30392" s="5" t="str">
        <f>IFERROR(__xludf.DUMMYFUNCTION("GOOGLETRANSLATE(B30392,""en"",""es-ES"")"),"El video regresa al entorno blanco y negro donde el curler y los miembros de la banda están cantando.")</f>
        <v>El video regresa al entorno blanco y negro donde el curler y los miembros de la banda están cantando.</v>
      </c>
    </row>
    <row r="30393">
      <c r="A30393" s="4" t="s">
        <v>38268</v>
      </c>
      <c r="B30393" s="4" t="s">
        <v>38273</v>
      </c>
      <c r="C30393" s="5" t="str">
        <f>IFERROR(__xludf.DUMMYFUNCTION("GOOGLETRANSLATE(B30393,""en"",""es-ES"")"),"El video se centra en una mujer que se prepara para rizarse mientras los demás miran.")</f>
        <v>El video se centra en una mujer que se prepara para rizarse mientras los demás miran.</v>
      </c>
    </row>
    <row r="30394">
      <c r="A30394" s="4" t="s">
        <v>38268</v>
      </c>
      <c r="B30394" s="4" t="s">
        <v>4761</v>
      </c>
      <c r="C30394" s="5" t="str">
        <f>IFERROR(__xludf.DUMMYFUNCTION("GOOGLETRANSLATE(B30394,""en"",""es-ES"")"),"El video termina con los créditos de cierre que se muestran en la pantalla.")</f>
        <v>El video termina con los créditos de cierre que se muestran en la pantalla.</v>
      </c>
    </row>
    <row r="30395">
      <c r="A30395" s="4" t="s">
        <v>38274</v>
      </c>
      <c r="B30395" s="4" t="s">
        <v>38275</v>
      </c>
      <c r="C30395" s="5" t="str">
        <f>IFERROR(__xludf.DUMMYFUNCTION("GOOGLETRANSLATE(B30395,""en"",""es-ES"")"),"Se ve a una mujer joven cepillándose el diente seguido de primeros planos de un cepillo de dientes.")</f>
        <v>Se ve a una mujer joven cepillándose el diente seguido de primeros planos de un cepillo de dientes.</v>
      </c>
    </row>
    <row r="30396">
      <c r="A30396" s="4" t="s">
        <v>38274</v>
      </c>
      <c r="B30396" s="4" t="s">
        <v>38276</v>
      </c>
      <c r="C30396" s="5" t="str">
        <f>IFERROR(__xludf.DUMMYFUNCTION("GOOGLETRANSLATE(B30396,""en"",""es-ES"")"),"Los disparos se muestran de sus dientes de cerca, así como a su cepillado.")</f>
        <v>Los disparos se muestran de sus dientes de cerca, así como a su cepillado.</v>
      </c>
    </row>
    <row r="30397">
      <c r="A30397" s="4" t="s">
        <v>38274</v>
      </c>
      <c r="B30397" s="4" t="s">
        <v>38277</v>
      </c>
      <c r="C30397" s="5" t="str">
        <f>IFERROR(__xludf.DUMMYFUNCTION("GOOGLETRANSLATE(B30397,""en"",""es-ES"")"),"Ella continúa cepillándose a lo largo de sus dientes para demostrar cómo se hace.")</f>
        <v>Ella continúa cepillándose a lo largo de sus dientes para demostrar cómo se hace.</v>
      </c>
    </row>
    <row r="30398">
      <c r="A30398" s="4" t="s">
        <v>38278</v>
      </c>
      <c r="B30398" s="4" t="s">
        <v>38279</v>
      </c>
      <c r="C30398" s="5" t="str">
        <f>IFERROR(__xludf.DUMMYFUNCTION("GOOGLETRANSLATE(B30398,""en"",""es-ES"")"),"Aparece un anuncio de GoPro en la pantalla.")</f>
        <v>Aparece un anuncio de GoPro en la pantalla.</v>
      </c>
    </row>
    <row r="30399">
      <c r="A30399" s="4" t="s">
        <v>38278</v>
      </c>
      <c r="B30399" s="4" t="s">
        <v>38280</v>
      </c>
      <c r="C30399" s="5" t="str">
        <f>IFERROR(__xludf.DUMMYFUNCTION("GOOGLETRANSLATE(B30399,""en"",""es-ES"")"),"Alguien usa el dispositivo mientras usa un cortacésped para cortar el césped.")</f>
        <v>Alguien usa el dispositivo mientras usa un cortacésped para cortar el césped.</v>
      </c>
    </row>
    <row r="30400">
      <c r="A30400" s="4" t="s">
        <v>38278</v>
      </c>
      <c r="B30400" s="4" t="s">
        <v>38281</v>
      </c>
      <c r="C30400" s="5" t="str">
        <f>IFERROR(__xludf.DUMMYFUNCTION("GOOGLETRANSLATE(B30400,""en"",""es-ES"")"),"Se acelera, ya que muestra todos los ángulos mientras completa cortar el césped, de ida y vuelta y sobre los mismos puntos hasta que sea perfecto.")</f>
        <v>Se acelera, ya que muestra todos los ángulos mientras completa cortar el césped, de ida y vuelta y sobre los mismos puntos hasta que sea perfecto.</v>
      </c>
    </row>
    <row r="30401">
      <c r="A30401" s="4" t="s">
        <v>38282</v>
      </c>
      <c r="B30401" s="4" t="s">
        <v>38283</v>
      </c>
      <c r="C30401" s="5" t="str">
        <f>IFERROR(__xludf.DUMMYFUNCTION("GOOGLETRANSLATE(B30401,""en"",""es-ES"")"),"Se muestran varios clips de personas que realizan volteretas y trucos en el medio de un piso, mientras que una luz brilla en el medio.")</f>
        <v>Se muestran varios clips de personas que realizan volteretas y trucos en el medio de un piso, mientras que una luz brilla en el medio.</v>
      </c>
    </row>
    <row r="30402">
      <c r="A30402" s="4" t="s">
        <v>38282</v>
      </c>
      <c r="B30402" s="4" t="s">
        <v>38284</v>
      </c>
      <c r="C30402" s="5" t="str">
        <f>IFERROR(__xludf.DUMMYFUNCTION("GOOGLETRANSLATE(B30402,""en"",""es-ES"")"),"Los niños continúan girando entre sí y terminan parados juntos y cayendo.")</f>
        <v>Los niños continúan girando entre sí y terminan parados juntos y cayendo.</v>
      </c>
    </row>
    <row r="30403">
      <c r="A30403" s="4" t="s">
        <v>38285</v>
      </c>
      <c r="B30403" s="4" t="s">
        <v>38286</v>
      </c>
      <c r="C30403" s="5" t="str">
        <f>IFERROR(__xludf.DUMMYFUNCTION("GOOGLETRANSLATE(B30403,""en"",""es-ES"")"),"Dos mujeres están en una habitación hablando.")</f>
        <v>Dos mujeres están en una habitación hablando.</v>
      </c>
    </row>
    <row r="30404">
      <c r="A30404" s="4" t="s">
        <v>38285</v>
      </c>
      <c r="B30404" s="4" t="s">
        <v>38287</v>
      </c>
      <c r="C30404" s="5" t="str">
        <f>IFERROR(__xludf.DUMMYFUNCTION("GOOGLETRANSLATE(B30404,""en"",""es-ES"")"),"Una mujer comienza a maquillarse a la otra mujer.")</f>
        <v>Una mujer comienza a maquillarse a la otra mujer.</v>
      </c>
    </row>
    <row r="30405">
      <c r="A30405" s="4" t="s">
        <v>38285</v>
      </c>
      <c r="B30405" s="4" t="s">
        <v>38288</v>
      </c>
      <c r="C30405" s="5" t="str">
        <f>IFERROR(__xludf.DUMMYFUNCTION("GOOGLETRANSLATE(B30405,""en"",""es-ES"")"),"Ella llama la cara de la mujer con una esponja.")</f>
        <v>Ella llama la cara de la mujer con una esponja.</v>
      </c>
    </row>
    <row r="30406">
      <c r="A30406" s="4" t="s">
        <v>38289</v>
      </c>
      <c r="B30406" s="4" t="s">
        <v>38290</v>
      </c>
      <c r="C30406" s="5" t="str">
        <f>IFERROR(__xludf.DUMMYFUNCTION("GOOGLETRANSLATE(B30406,""en"",""es-ES"")"),"Una mujer con el pelo arriba en una toalla presenta su video que muestra cómo se lava la cara.")</f>
        <v>Una mujer con el pelo arriba en una toalla presenta su video que muestra cómo se lava la cara.</v>
      </c>
    </row>
    <row r="30407">
      <c r="A30407" s="4" t="s">
        <v>38289</v>
      </c>
      <c r="B30407" s="4" t="s">
        <v>38291</v>
      </c>
      <c r="C30407" s="5" t="str">
        <f>IFERROR(__xludf.DUMMYFUNCTION("GOOGLETRANSLATE(B30407,""en"",""es-ES"")"),"Ella aplica una crema hidratante en su rostro mientras baila.")</f>
        <v>Ella aplica una crema hidratante en su rostro mientras baila.</v>
      </c>
    </row>
    <row r="30408">
      <c r="A30408" s="4" t="s">
        <v>38289</v>
      </c>
      <c r="B30408" s="4" t="s">
        <v>38292</v>
      </c>
      <c r="C30408" s="5" t="str">
        <f>IFERROR(__xludf.DUMMYFUNCTION("GOOGLETRANSLATE(B30408,""en"",""es-ES"")"),"Luego baila en la sala de estar con la crema hidratante.")</f>
        <v>Luego baila en la sala de estar con la crema hidratante.</v>
      </c>
    </row>
    <row r="30409">
      <c r="A30409" s="4" t="s">
        <v>38289</v>
      </c>
      <c r="B30409" s="4" t="s">
        <v>38293</v>
      </c>
      <c r="C30409" s="5" t="str">
        <f>IFERROR(__xludf.DUMMYFUNCTION("GOOGLETRANSLATE(B30409,""en"",""es-ES"")"),"Finalmente, ella regresa al baño y se lava la cara.")</f>
        <v>Finalmente, ella regresa al baño y se lava la cara.</v>
      </c>
    </row>
    <row r="30410">
      <c r="A30410" s="4" t="s">
        <v>38294</v>
      </c>
      <c r="B30410" s="4" t="s">
        <v>38295</v>
      </c>
      <c r="C30410" s="5" t="str">
        <f>IFERROR(__xludf.DUMMYFUNCTION("GOOGLETRANSLATE(B30410,""en"",""es-ES"")"),"El hombre está parado en el lado del auto atrapado en el tráfico.")</f>
        <v>El hombre está parado en el lado del auto atrapado en el tráfico.</v>
      </c>
    </row>
    <row r="30411">
      <c r="A30411" s="4" t="s">
        <v>38294</v>
      </c>
      <c r="B30411" s="4" t="s">
        <v>38296</v>
      </c>
      <c r="C30411" s="5" t="str">
        <f>IFERROR(__xludf.DUMMYFUNCTION("GOOGLETRANSLATE(B30411,""en"",""es-ES"")"),"El hombre sosteniendo gaitas camina por la calle entre los autos.")</f>
        <v>El hombre sosteniendo gaitas camina por la calle entre los autos.</v>
      </c>
    </row>
    <row r="30412">
      <c r="A30412" s="4" t="s">
        <v>38297</v>
      </c>
      <c r="B30412" s="4" t="s">
        <v>38298</v>
      </c>
      <c r="C30412" s="5" t="str">
        <f>IFERROR(__xludf.DUMMYFUNCTION("GOOGLETRANSLATE(B30412,""en"",""es-ES"")"),"Un reportero de televisión habla mientras muestra una pantalla de una persona que toca hockey en hielo.")</f>
        <v>Un reportero de televisión habla mientras muestra una pantalla de una persona que toca hockey en hielo.</v>
      </c>
    </row>
    <row r="30413">
      <c r="A30413" s="4" t="s">
        <v>38297</v>
      </c>
      <c r="B30413" s="4" t="s">
        <v>38299</v>
      </c>
      <c r="C30413" s="5" t="str">
        <f>IFERROR(__xludf.DUMMYFUNCTION("GOOGLETRANSLATE(B30413,""en"",""es-ES"")"),"Luego, los periodistas se hablan y se comentan, mientras que uno de los hombres está al frente de una computadora portátil.")</f>
        <v>Luego, los periodistas se hablan y se comentan, mientras que uno de los hombres está al frente de una computadora portátil.</v>
      </c>
    </row>
    <row r="30414">
      <c r="A30414" s="4" t="s">
        <v>38300</v>
      </c>
      <c r="B30414" s="4" t="s">
        <v>38301</v>
      </c>
      <c r="C30414" s="5" t="str">
        <f>IFERROR(__xludf.DUMMYFUNCTION("GOOGLETRANSLATE(B30414,""en"",""es-ES"")"),"Se ve a una gimnasta corriendo hacia un conjunto de barras desiguales y realizando una rutina en las barras.")</f>
        <v>Se ve a una gimnasta corriendo hacia un conjunto de barras desiguales y realizando una rutina en las barras.</v>
      </c>
    </row>
    <row r="30415">
      <c r="A30415" s="4" t="s">
        <v>38300</v>
      </c>
      <c r="B30415" s="4" t="s">
        <v>38302</v>
      </c>
      <c r="C30415" s="5" t="str">
        <f>IFERROR(__xludf.DUMMYFUNCTION("GOOGLETRANSLATE(B30415,""en"",""es-ES"")"),"Ella se balancea y salta sobre la colchoneta para terminar su rutina.")</f>
        <v>Ella se balancea y salta sobre la colchoneta para terminar su rutina.</v>
      </c>
    </row>
    <row r="30416">
      <c r="A30416" s="4" t="s">
        <v>38303</v>
      </c>
      <c r="B30416" s="4" t="s">
        <v>38304</v>
      </c>
      <c r="C30416" s="5" t="str">
        <f>IFERROR(__xludf.DUMMYFUNCTION("GOOGLETRANSLATE(B30416,""en"",""es-ES"")"),"La gente juega fútbol en una arena de fútbol interior.")</f>
        <v>La gente juega fútbol en una arena de fútbol interior.</v>
      </c>
    </row>
    <row r="30417">
      <c r="A30417" s="4" t="s">
        <v>38303</v>
      </c>
      <c r="B30417" s="4" t="s">
        <v>38305</v>
      </c>
      <c r="C30417" s="5" t="str">
        <f>IFERROR(__xludf.DUMMYFUNCTION("GOOGLETRANSLATE(B30417,""en"",""es-ES"")"),"Dos de los hombres se abrazan en la cancha.")</f>
        <v>Dos de los hombres se abrazan en la cancha.</v>
      </c>
    </row>
    <row r="30418">
      <c r="A30418" s="4" t="s">
        <v>38303</v>
      </c>
      <c r="B30418" s="4" t="s">
        <v>38306</v>
      </c>
      <c r="C30418" s="5" t="str">
        <f>IFERROR(__xludf.DUMMYFUNCTION("GOOGLETRANSLATE(B30418,""en"",""es-ES"")"),"Una persona patea una pelota en la meta.")</f>
        <v>Una persona patea una pelota en la meta.</v>
      </c>
    </row>
    <row r="30419">
      <c r="A30419" s="4" t="s">
        <v>38307</v>
      </c>
      <c r="B30419" s="4" t="s">
        <v>38308</v>
      </c>
      <c r="C30419" s="5" t="str">
        <f>IFERROR(__xludf.DUMMYFUNCTION("GOOGLETRANSLATE(B30419,""en"",""es-ES"")"),"Una mujer rocía loción y se cepilla el cabello.")</f>
        <v>Una mujer rocía loción y se cepilla el cabello.</v>
      </c>
    </row>
    <row r="30420">
      <c r="A30420" s="4" t="s">
        <v>38307</v>
      </c>
      <c r="B30420" s="4" t="s">
        <v>38309</v>
      </c>
      <c r="C30420" s="5" t="str">
        <f>IFERROR(__xludf.DUMMYFUNCTION("GOOGLETRANSLATE(B30420,""en"",""es-ES"")"),"Luego, la mujer hace una trenza con el cabello delantero y la sujeta con un alfiler.")</f>
        <v>Luego, la mujer hace una trenza con el cabello delantero y la sujeta con un alfiler.</v>
      </c>
    </row>
    <row r="30421">
      <c r="A30421" s="4" t="s">
        <v>38307</v>
      </c>
      <c r="B30421" s="4" t="s">
        <v>38310</v>
      </c>
      <c r="C30421" s="5" t="str">
        <f>IFERROR(__xludf.DUMMYFUNCTION("GOOGLETRANSLATE(B30421,""en"",""es-ES"")"),"Después, la mujer hace una cola de pony y una loción rociadora en su cabello.")</f>
        <v>Después, la mujer hace una cola de pony y una loción rociadora en su cabello.</v>
      </c>
    </row>
    <row r="30422">
      <c r="A30422" s="4" t="s">
        <v>38311</v>
      </c>
      <c r="B30422" s="4" t="s">
        <v>38312</v>
      </c>
      <c r="C30422" s="5" t="str">
        <f>IFERROR(__xludf.DUMMYFUNCTION("GOOGLETRANSLATE(B30422,""en"",""es-ES"")"),"Se muestra el logotipo inicial y una página web.")</f>
        <v>Se muestra el logotipo inicial y una página web.</v>
      </c>
    </row>
    <row r="30423">
      <c r="A30423" s="4" t="s">
        <v>38311</v>
      </c>
      <c r="B30423" s="4" t="s">
        <v>38313</v>
      </c>
      <c r="C30423" s="5" t="str">
        <f>IFERROR(__xludf.DUMMYFUNCTION("GOOGLETRANSLATE(B30423,""en"",""es-ES"")"),"El hombre está en un parque de patinaje con patines blancos.")</f>
        <v>El hombre está en un parque de patinaje con patines blancos.</v>
      </c>
    </row>
    <row r="30424">
      <c r="A30424" s="4" t="s">
        <v>38311</v>
      </c>
      <c r="B30424" s="4" t="s">
        <v>38314</v>
      </c>
      <c r="C30424" s="5" t="str">
        <f>IFERROR(__xludf.DUMMYFUNCTION("GOOGLETRANSLATE(B30424,""en"",""es-ES"")"),"El hombre está sentado en un tubo y hace trucos en un parque de patinaje, otro hombre está sentado mirándolo.")</f>
        <v>El hombre está sentado en un tubo y hace trucos en un parque de patinaje, otro hombre está sentado mirándolo.</v>
      </c>
    </row>
    <row r="30425">
      <c r="A30425" s="4" t="s">
        <v>38311</v>
      </c>
      <c r="B30425" s="4" t="s">
        <v>38315</v>
      </c>
      <c r="C30425" s="5" t="str">
        <f>IFERROR(__xludf.DUMMYFUNCTION("GOOGLETRANSLATE(B30425,""en"",""es-ES"")"),"Little Kid está hablando con alguien y mira al hombre en patines haciendo los trucos en Skate Park.")</f>
        <v>Little Kid está hablando con alguien y mira al hombre en patines haciendo los trucos en Skate Park.</v>
      </c>
    </row>
    <row r="30426">
      <c r="A30426" s="4" t="s">
        <v>38316</v>
      </c>
      <c r="B30426" s="4" t="s">
        <v>38317</v>
      </c>
      <c r="C30426" s="5" t="str">
        <f>IFERROR(__xludf.DUMMYFUNCTION("GOOGLETRANSLATE(B30426,""en"",""es-ES"")"),"Una mujer mayor está usando una señal para jugar al billar.")</f>
        <v>Una mujer mayor está usando una señal para jugar al billar.</v>
      </c>
    </row>
    <row r="30427">
      <c r="A30427" s="4" t="s">
        <v>38316</v>
      </c>
      <c r="B30427" s="4" t="s">
        <v>38318</v>
      </c>
      <c r="C30427" s="5" t="str">
        <f>IFERROR(__xludf.DUMMYFUNCTION("GOOGLETRANSLATE(B30427,""en"",""es-ES"")"),"Ella dispara la pelota y se aleja.")</f>
        <v>Ella dispara la pelota y se aleja.</v>
      </c>
    </row>
    <row r="30428">
      <c r="A30428" s="4" t="s">
        <v>38316</v>
      </c>
      <c r="B30428" s="4" t="s">
        <v>38319</v>
      </c>
      <c r="C30428" s="5" t="str">
        <f>IFERROR(__xludf.DUMMYFUNCTION("GOOGLETRANSLATE(B30428,""en"",""es-ES"")"),"Luego golpea las señales con otra persona.")</f>
        <v>Luego golpea las señales con otra persona.</v>
      </c>
    </row>
    <row r="30429">
      <c r="A30429" s="4" t="s">
        <v>38320</v>
      </c>
      <c r="B30429" s="4" t="s">
        <v>9420</v>
      </c>
      <c r="C30429" s="5" t="str">
        <f>IFERROR(__xludf.DUMMYFUNCTION("GOOGLETRANSLATE(B30429,""en"",""es-ES"")"),"La gente está bailando en un escenario.")</f>
        <v>La gente está bailando en un escenario.</v>
      </c>
    </row>
    <row r="30430">
      <c r="A30430" s="4" t="s">
        <v>38320</v>
      </c>
      <c r="B30430" s="4" t="s">
        <v>38321</v>
      </c>
      <c r="C30430" s="5" t="str">
        <f>IFERROR(__xludf.DUMMYFUNCTION("GOOGLETRANSLATE(B30430,""en"",""es-ES"")"),"Dos personas están hablando con una cámara afuera.")</f>
        <v>Dos personas están hablando con una cámara afuera.</v>
      </c>
    </row>
    <row r="30431">
      <c r="A30431" s="4" t="s">
        <v>38320</v>
      </c>
      <c r="B30431" s="4" t="s">
        <v>38322</v>
      </c>
      <c r="C30431" s="5" t="str">
        <f>IFERROR(__xludf.DUMMYFUNCTION("GOOGLETRANSLATE(B30431,""en"",""es-ES"")"),"Una bailarina hace varios giros en el escenario.")</f>
        <v>Una bailarina hace varios giros en el escenario.</v>
      </c>
    </row>
    <row r="30432">
      <c r="A30432" s="4" t="s">
        <v>38323</v>
      </c>
      <c r="B30432" s="4" t="s">
        <v>38324</v>
      </c>
      <c r="C30432" s="5" t="str">
        <f>IFERROR(__xludf.DUMMYFUNCTION("GOOGLETRANSLATE(B30432,""en"",""es-ES"")"),"El hombre está fumando una cigarrette en una calle oscura.")</f>
        <v>El hombre está fumando una cigarrette en una calle oscura.</v>
      </c>
    </row>
    <row r="30433">
      <c r="A30433" s="4" t="s">
        <v>38323</v>
      </c>
      <c r="B30433" s="4" t="s">
        <v>38325</v>
      </c>
      <c r="C30433" s="5" t="str">
        <f>IFERROR(__xludf.DUMMYFUNCTION("GOOGLETRANSLATE(B30433,""en"",""es-ES"")"),"El hombre lleva una camiseta blanca fumando una cigarreta y mirando a la cámara.")</f>
        <v>El hombre lleva una camiseta blanca fumando una cigarreta y mirando a la cámara.</v>
      </c>
    </row>
    <row r="30434">
      <c r="A30434" s="4" t="s">
        <v>38323</v>
      </c>
      <c r="B30434" s="4" t="s">
        <v>38326</v>
      </c>
      <c r="C30434" s="5" t="str">
        <f>IFERROR(__xludf.DUMMYFUNCTION("GOOGLETRANSLATE(B30434,""en"",""es-ES"")"),"El hombre está en la noche en un campo oscuro fumar.")</f>
        <v>El hombre está en la noche en un campo oscuro fumar.</v>
      </c>
    </row>
    <row r="30435">
      <c r="A30435" s="4" t="s">
        <v>38327</v>
      </c>
      <c r="B30435" s="4" t="s">
        <v>38328</v>
      </c>
      <c r="C30435" s="5" t="str">
        <f>IFERROR(__xludf.DUMMYFUNCTION("GOOGLETRANSLATE(B30435,""en"",""es-ES"")"),"Un chico está abordando agua en un cuerpo de agua.")</f>
        <v>Un chico está abordando agua en un cuerpo de agua.</v>
      </c>
    </row>
    <row r="30436">
      <c r="A30436" s="4" t="s">
        <v>38327</v>
      </c>
      <c r="B30436" s="4" t="s">
        <v>38329</v>
      </c>
      <c r="C30436" s="5" t="str">
        <f>IFERROR(__xludf.DUMMYFUNCTION("GOOGLETRANSLATE(B30436,""en"",""es-ES"")"),"El tipo se mete con su cabello.")</f>
        <v>El tipo se mete con su cabello.</v>
      </c>
    </row>
    <row r="30437">
      <c r="A30437" s="4" t="s">
        <v>38327</v>
      </c>
      <c r="B30437" s="4" t="s">
        <v>38330</v>
      </c>
      <c r="C30437" s="5" t="str">
        <f>IFERROR(__xludf.DUMMYFUNCTION("GOOGLETRANSLATE(B30437,""en"",""es-ES"")"),"El chico da gesto de manos.")</f>
        <v>El chico da gesto de manos.</v>
      </c>
    </row>
    <row r="30438">
      <c r="A30438" s="4" t="s">
        <v>38331</v>
      </c>
      <c r="B30438" s="4" t="s">
        <v>38332</v>
      </c>
      <c r="C30438" s="5" t="str">
        <f>IFERROR(__xludf.DUMMYFUNCTION("GOOGLETRANSLATE(B30438,""en"",""es-ES"")"),"Se ve a una mujer atlética correr por una pista con un gran grupo de personas que la miran al margen.")</f>
        <v>Se ve a una mujer atlética correr por una pista con un gran grupo de personas que la miran al margen.</v>
      </c>
    </row>
    <row r="30439">
      <c r="A30439" s="4" t="s">
        <v>38331</v>
      </c>
      <c r="B30439" s="4" t="s">
        <v>38333</v>
      </c>
      <c r="C30439" s="5" t="str">
        <f>IFERROR(__xludf.DUMMYFUNCTION("GOOGLETRANSLATE(B30439,""en"",""es-ES"")"),"Ella continúa corriendo y termina la carrera mientras se derrumba en el suelo al final y respirando fuertemente mientras llora.")</f>
        <v>Ella continúa corriendo y termina la carrera mientras se derrumba en el suelo al final y respirando fuertemente mientras llora.</v>
      </c>
    </row>
    <row r="30440">
      <c r="A30440" s="4" t="s">
        <v>38331</v>
      </c>
      <c r="B30440" s="4" t="s">
        <v>38334</v>
      </c>
      <c r="C30440" s="5" t="str">
        <f>IFERROR(__xludf.DUMMYFUNCTION("GOOGLETRANSLATE(B30440,""en"",""es-ES"")"),"Se sienta de nuevo llorando y otra mujer la ayuda, terminando con un breve clip de una niña corriendo.")</f>
        <v>Se sienta de nuevo llorando y otra mujer la ayuda, terminando con un breve clip de una niña corriendo.</v>
      </c>
    </row>
    <row r="30441">
      <c r="A30441" s="4" t="s">
        <v>38335</v>
      </c>
      <c r="B30441" s="4" t="s">
        <v>38336</v>
      </c>
      <c r="C30441" s="5" t="str">
        <f>IFERROR(__xludf.DUMMYFUNCTION("GOOGLETRANSLATE(B30441,""en"",""es-ES"")"),"Un hombre está corriendo por la pista en una competencia de atletismo.")</f>
        <v>Un hombre está corriendo por la pista en una competencia de atletismo.</v>
      </c>
    </row>
    <row r="30442">
      <c r="A30442" s="4" t="s">
        <v>38335</v>
      </c>
      <c r="B30442" s="4" t="s">
        <v>38337</v>
      </c>
      <c r="C30442" s="5" t="str">
        <f>IFERROR(__xludf.DUMMYFUNCTION("GOOGLETRANSLATE(B30442,""en"",""es-ES"")"),"Comienza a dar algunos pasos rápidos para darse un palo para un salto que está tratando de hacer.")</f>
        <v>Comienza a dar algunos pasos rápidos para darse un palo para un salto que está tratando de hacer.</v>
      </c>
    </row>
    <row r="30443">
      <c r="A30443" s="4" t="s">
        <v>38335</v>
      </c>
      <c r="B30443" s="4" t="s">
        <v>38338</v>
      </c>
      <c r="C30443" s="5" t="str">
        <f>IFERROR(__xludf.DUMMYFUNCTION("GOOGLETRANSLATE(B30443,""en"",""es-ES"")"),"Se va al aire cuando comienza el salto.")</f>
        <v>Se va al aire cuando comienza el salto.</v>
      </c>
    </row>
    <row r="30444">
      <c r="A30444" s="4" t="s">
        <v>38335</v>
      </c>
      <c r="B30444" s="4" t="s">
        <v>38339</v>
      </c>
      <c r="C30444" s="5" t="str">
        <f>IFERROR(__xludf.DUMMYFUNCTION("GOOGLETRANSLATE(B30444,""en"",""es-ES"")"),"Él aterriza en el suelo mientras completa el salto.")</f>
        <v>Él aterriza en el suelo mientras completa el salto.</v>
      </c>
    </row>
    <row r="30445">
      <c r="A30445" s="4" t="s">
        <v>38340</v>
      </c>
      <c r="B30445" s="4" t="s">
        <v>38341</v>
      </c>
      <c r="C30445" s="5" t="str">
        <f>IFERROR(__xludf.DUMMYFUNCTION("GOOGLETRANSLATE(B30445,""en"",""es-ES"")"),"Un hombre con barba larga está hablando en la cámara mientras una mano se está cepillando el costado de la barba, luego continúa hablando mientras, en su espalda, la televisión está corriendo, luego cerró la barba, mostró a un hombre de verde y el niño se"&amp;"ntado al lado de él.")</f>
        <v>Un hombre con barba larga está hablando en la cámara mientras una mano se está cepillando el costado de la barba, luego continúa hablando mientras, en su espalda, la televisión está corriendo, luego cerró la barba, mostró a un hombre de verde y el niño sentado al lado de él.</v>
      </c>
    </row>
    <row r="30446">
      <c r="A30446" s="4" t="s">
        <v>38340</v>
      </c>
      <c r="B30446" s="4" t="s">
        <v>38342</v>
      </c>
      <c r="C30446" s="5" t="str">
        <f>IFERROR(__xludf.DUMMYFUNCTION("GOOGLETRANSLATE(B30446,""en"",""es-ES"")"),"El hombre de verde afeita la barba del hombre en el costado y luego la cepilló y luego continuó afeitando la larga barba dejando el rastrojo.")</f>
        <v>El hombre de verde afeita la barba del hombre en el costado y luego la cepilló y luego continuó afeitando la larga barba dejando el rastrojo.</v>
      </c>
    </row>
    <row r="30447">
      <c r="A30447" s="4" t="s">
        <v>38343</v>
      </c>
      <c r="B30447" s="4" t="s">
        <v>38344</v>
      </c>
      <c r="C30447" s="5" t="str">
        <f>IFERROR(__xludf.DUMMYFUNCTION("GOOGLETRANSLATE(B30447,""en"",""es-ES"")"),"Se muestra un primer plano de una mesa de billar seguido por un hombre que golpea la pelota.")</f>
        <v>Se muestra un primer plano de una mesa de billar seguido por un hombre que golpea la pelota.</v>
      </c>
    </row>
    <row r="30448">
      <c r="A30448" s="4" t="s">
        <v>38343</v>
      </c>
      <c r="B30448" s="4" t="s">
        <v>38345</v>
      </c>
      <c r="C30448" s="5" t="str">
        <f>IFERROR(__xludf.DUMMYFUNCTION("GOOGLETRANSLATE(B30448,""en"",""es-ES"")"),"El hombre que celebra y sacude las manos del oponente.")</f>
        <v>El hombre que celebra y sacude las manos del oponente.</v>
      </c>
    </row>
    <row r="30449">
      <c r="A30449" s="4" t="s">
        <v>38343</v>
      </c>
      <c r="B30449" s="4" t="s">
        <v>38346</v>
      </c>
      <c r="C30449" s="5" t="str">
        <f>IFERROR(__xludf.DUMMYFUNCTION("GOOGLETRANSLATE(B30449,""en"",""es-ES"")"),"Camina por la audiencia celebrando con ellos y regresa a su bolso.")</f>
        <v>Camina por la audiencia celebrando con ellos y regresa a su bolso.</v>
      </c>
    </row>
    <row r="30450">
      <c r="A30450" s="4" t="s">
        <v>38347</v>
      </c>
      <c r="B30450" s="4" t="s">
        <v>38348</v>
      </c>
      <c r="C30450" s="5" t="str">
        <f>IFERROR(__xludf.DUMMYFUNCTION("GOOGLETRANSLATE(B30450,""en"",""es-ES"")"),"Un hombre está hablando con la cámara mientras se prepara para montar los autos de parachoques.")</f>
        <v>Un hombre está hablando con la cámara mientras se prepara para montar los autos de parachoques.</v>
      </c>
    </row>
    <row r="30451">
      <c r="A30451" s="4" t="s">
        <v>38347</v>
      </c>
      <c r="B30451" s="4" t="s">
        <v>38349</v>
      </c>
      <c r="C30451" s="5" t="str">
        <f>IFERROR(__xludf.DUMMYFUNCTION("GOOGLETRANSLATE(B30451,""en"",""es-ES"")"),"El hombre se mueve en el parachoques que sube a las otras personas mientras la cámara observa.")</f>
        <v>El hombre se mueve en el parachoques que sube a las otras personas mientras la cámara observa.</v>
      </c>
    </row>
    <row r="30452">
      <c r="A30452" s="4" t="s">
        <v>38347</v>
      </c>
      <c r="B30452" s="4" t="s">
        <v>38350</v>
      </c>
      <c r="C30452" s="5" t="str">
        <f>IFERROR(__xludf.DUMMYFUNCTION("GOOGLETRANSLATE(B30452,""en"",""es-ES"")"),"La cámara se acerca a la gente para ver más de cerca.")</f>
        <v>La cámara se acerca a la gente para ver más de cerca.</v>
      </c>
    </row>
    <row r="30453">
      <c r="A30453" s="4" t="s">
        <v>38347</v>
      </c>
      <c r="B30453" s="4" t="s">
        <v>38351</v>
      </c>
      <c r="C30453" s="5" t="str">
        <f>IFERROR(__xludf.DUMMYFUNCTION("GOOGLETRANSLATE(B30453,""en"",""es-ES"")"),"El viaje termina y la gente sale de los autos de parachoques.")</f>
        <v>El viaje termina y la gente sale de los autos de parachoques.</v>
      </c>
    </row>
    <row r="30454">
      <c r="A30454" s="4" t="s">
        <v>38352</v>
      </c>
      <c r="B30454" s="4" t="s">
        <v>38353</v>
      </c>
      <c r="C30454" s="5" t="str">
        <f>IFERROR(__xludf.DUMMYFUNCTION("GOOGLETRANSLATE(B30454,""en"",""es-ES"")"),"Un hombre lanza un objeto en un evento de atletismo en los Juegos Olímpicos.")</f>
        <v>Un hombre lanza un objeto en un evento de atletismo en los Juegos Olímpicos.</v>
      </c>
    </row>
    <row r="30455">
      <c r="A30455" s="4" t="s">
        <v>38352</v>
      </c>
      <c r="B30455" s="4" t="s">
        <v>38354</v>
      </c>
      <c r="C30455" s="5" t="str">
        <f>IFERROR(__xludf.DUMMYFUNCTION("GOOGLETRANSLATE(B30455,""en"",""es-ES"")"),"Esto se muestra en cámara lenta y luego se aceleran.")</f>
        <v>Esto se muestra en cámara lenta y luego se aceleran.</v>
      </c>
    </row>
    <row r="30456">
      <c r="A30456" s="4" t="s">
        <v>38352</v>
      </c>
      <c r="B30456" s="4" t="s">
        <v>38355</v>
      </c>
      <c r="C30456" s="5" t="str">
        <f>IFERROR(__xludf.DUMMYFUNCTION("GOOGLETRANSLATE(B30456,""en"",""es-ES"")"),"El entrenador reacciona y aplaude.")</f>
        <v>El entrenador reacciona y aplaude.</v>
      </c>
    </row>
    <row r="30457">
      <c r="A30457" s="4" t="s">
        <v>38352</v>
      </c>
      <c r="B30457" s="4" t="s">
        <v>38356</v>
      </c>
      <c r="C30457" s="5" t="str">
        <f>IFERROR(__xludf.DUMMYFUNCTION("GOOGLETRANSLATE(B30457,""en"",""es-ES"")"),"El atleta recibe una medalla y saluda a la multitud.")</f>
        <v>El atleta recibe una medalla y saluda a la multitud.</v>
      </c>
    </row>
    <row r="30458">
      <c r="A30458" s="4" t="s">
        <v>38357</v>
      </c>
      <c r="B30458" s="4" t="s">
        <v>38358</v>
      </c>
      <c r="C30458" s="5" t="str">
        <f>IFERROR(__xludf.DUMMYFUNCTION("GOOGLETRANSLATE(B30458,""en"",""es-ES"")"),"Un hombre está al aire libre, cortando los cables de una pila de placas.")</f>
        <v>Un hombre está al aire libre, cortando los cables de una pila de placas.</v>
      </c>
    </row>
    <row r="30459">
      <c r="A30459" s="4" t="s">
        <v>38357</v>
      </c>
      <c r="B30459" s="4" t="s">
        <v>38359</v>
      </c>
      <c r="C30459" s="5" t="str">
        <f>IFERROR(__xludf.DUMMYFUNCTION("GOOGLETRANSLATE(B30459,""en"",""es-ES"")"),"Él mueve las sábanas, luego se encarga de los pisos antes de colocarlas.")</f>
        <v>Él mueve las sábanas, luego se encarga de los pisos antes de colocarlas.</v>
      </c>
    </row>
    <row r="30460">
      <c r="A30460" s="4" t="s">
        <v>38357</v>
      </c>
      <c r="B30460" s="4" t="s">
        <v>38360</v>
      </c>
      <c r="C30460" s="5" t="str">
        <f>IFERROR(__xludf.DUMMYFUNCTION("GOOGLETRANSLATE(B30460,""en"",""es-ES"")"),"El hombre presiona las grandes hojas en el suelo.")</f>
        <v>El hombre presiona las grandes hojas en el suelo.</v>
      </c>
    </row>
    <row r="30461">
      <c r="A30461" s="4" t="s">
        <v>38361</v>
      </c>
      <c r="B30461" s="4" t="s">
        <v>38362</v>
      </c>
      <c r="C30461" s="5" t="str">
        <f>IFERROR(__xludf.DUMMYFUNCTION("GOOGLETRANSLATE(B30461,""en"",""es-ES"")"),"Un hombre sostiene un frisbee al lado de un perro, luego el perro salta sobre la parte posterior del hombre y toma un frisbee.")</f>
        <v>Un hombre sostiene un frisbee al lado de un perro, luego el perro salta sobre la parte posterior del hombre y toma un frisbee.</v>
      </c>
    </row>
    <row r="30462">
      <c r="A30462" s="4" t="s">
        <v>38361</v>
      </c>
      <c r="B30462" s="4" t="s">
        <v>38363</v>
      </c>
      <c r="C30462" s="5" t="str">
        <f>IFERROR(__xludf.DUMMYFUNCTION("GOOGLETRANSLATE(B30462,""en"",""es-ES"")"),"El hombre lanza un frisbee y el perro corre para conseguirlo, después de que el hombre hace trucos con el perro.")</f>
        <v>El hombre lanza un frisbee y el perro corre para conseguirlo, después de que el hombre hace trucos con el perro.</v>
      </c>
    </row>
    <row r="30463">
      <c r="A30463" s="4" t="s">
        <v>38361</v>
      </c>
      <c r="B30463" s="4" t="s">
        <v>38364</v>
      </c>
      <c r="C30463" s="5" t="str">
        <f>IFERROR(__xludf.DUMMYFUNCTION("GOOGLETRANSLATE(B30463,""en"",""es-ES"")"),"Una persona se acuesta con los pies hacia arriba, luego el perro se para sobre sus pies y juega con el Frisbee.")</f>
        <v>Una persona se acuesta con los pies hacia arriba, luego el perro se para sobre sus pies y juega con el Frisbee.</v>
      </c>
    </row>
    <row r="30464">
      <c r="A30464" s="4" t="s">
        <v>38361</v>
      </c>
      <c r="B30464" s="4" t="s">
        <v>38365</v>
      </c>
      <c r="C30464" s="5" t="str">
        <f>IFERROR(__xludf.DUMMYFUNCTION("GOOGLETRANSLATE(B30464,""en"",""es-ES"")"),"El hombre juega con el perro frisbee haciendo trucos y lanzando el frisbee.")</f>
        <v>El hombre juega con el perro frisbee haciendo trucos y lanzando el frisbee.</v>
      </c>
    </row>
    <row r="30465">
      <c r="A30465" s="4" t="s">
        <v>38366</v>
      </c>
      <c r="B30465" s="4" t="s">
        <v>38367</v>
      </c>
      <c r="C30465" s="5" t="str">
        <f>IFERROR(__xludf.DUMMYFUNCTION("GOOGLETRANSLATE(B30465,""en"",""es-ES"")"),"Se muestra el exterior de una caja que contiene una pistola.")</f>
        <v>Se muestra el exterior de una caja que contiene una pistola.</v>
      </c>
    </row>
    <row r="30466">
      <c r="A30466" s="4" t="s">
        <v>38366</v>
      </c>
      <c r="B30466" s="4" t="s">
        <v>38368</v>
      </c>
      <c r="C30466" s="5" t="str">
        <f>IFERROR(__xludf.DUMMYFUNCTION("GOOGLETRANSLATE(B30466,""en"",""es-ES"")"),"Un hombre se une a otros dos frente a una exhibición de armas.")</f>
        <v>Un hombre se une a otros dos frente a una exhibición de armas.</v>
      </c>
    </row>
    <row r="30467">
      <c r="A30467" s="4" t="s">
        <v>38366</v>
      </c>
      <c r="B30467" s="4" t="s">
        <v>38369</v>
      </c>
      <c r="C30467" s="5" t="str">
        <f>IFERROR(__xludf.DUMMYFUNCTION("GOOGLETRANSLATE(B30467,""en"",""es-ES"")"),"Hablan de las armas, luego se unen a un juego de paintball al aire libre, escondiéndose detrás de los obstáculos mientras se disparan el uno al otro.")</f>
        <v>Hablan de las armas, luego se unen a un juego de paintball al aire libre, escondiéndose detrás de los obstáculos mientras se disparan el uno al otro.</v>
      </c>
    </row>
    <row r="30468">
      <c r="A30468" s="4" t="s">
        <v>38370</v>
      </c>
      <c r="B30468" s="4" t="s">
        <v>38371</v>
      </c>
      <c r="C30468" s="5" t="str">
        <f>IFERROR(__xludf.DUMMYFUNCTION("GOOGLETRANSLATE(B30468,""en"",""es-ES"")"),"Una señora de pie junto al tobogán está sosteniendo a un niño pequeño sobre el tobogán.")</f>
        <v>Una señora de pie junto al tobogán está sosteniendo a un niño pequeño sobre el tobogán.</v>
      </c>
    </row>
    <row r="30469">
      <c r="A30469" s="4" t="s">
        <v>38370</v>
      </c>
      <c r="B30469" s="4" t="s">
        <v>38372</v>
      </c>
      <c r="C30469" s="5" t="str">
        <f>IFERROR(__xludf.DUMMYFUNCTION("GOOGLETRANSLATE(B30469,""en"",""es-ES"")"),"Miró dentro del túnel y movió al niño para mostrarlo y saludar a la persona.")</f>
        <v>Miró dentro del túnel y movió al niño para mostrarlo y saludar a la persona.</v>
      </c>
    </row>
    <row r="30470">
      <c r="A30470" s="4" t="s">
        <v>38370</v>
      </c>
      <c r="B30470" s="4" t="s">
        <v>38373</v>
      </c>
      <c r="C30470" s="5" t="str">
        <f>IFERROR(__xludf.DUMMYFUNCTION("GOOGLETRANSLATE(B30470,""en"",""es-ES"")"),"La señora sostiene a la niña mientras ella lo empuja por el tobogán.")</f>
        <v>La señora sostiene a la niña mientras ella lo empuja por el tobogán.</v>
      </c>
    </row>
    <row r="30471">
      <c r="A30471" s="4" t="s">
        <v>38370</v>
      </c>
      <c r="B30471" s="4" t="s">
        <v>38374</v>
      </c>
      <c r="C30471" s="5" t="str">
        <f>IFERROR(__xludf.DUMMYFUNCTION("GOOGLETRANSLATE(B30471,""en"",""es-ES"")"),"La señora desliza al niño de regreso a la cima.")</f>
        <v>La señora desliza al niño de regreso a la cima.</v>
      </c>
    </row>
    <row r="30472">
      <c r="A30472" s="4" t="s">
        <v>38370</v>
      </c>
      <c r="B30472" s="4" t="s">
        <v>38375</v>
      </c>
      <c r="C30472" s="5" t="str">
        <f>IFERROR(__xludf.DUMMYFUNCTION("GOOGLETRANSLATE(B30472,""en"",""es-ES"")"),"La señora sostiene al niño y lo empujó por el tobogán.")</f>
        <v>La señora sostiene al niño y lo empujó por el tobogán.</v>
      </c>
    </row>
    <row r="30473">
      <c r="A30473" s="4" t="s">
        <v>38370</v>
      </c>
      <c r="B30473" s="4" t="s">
        <v>38376</v>
      </c>
      <c r="C30473" s="5" t="str">
        <f>IFERROR(__xludf.DUMMYFUNCTION("GOOGLETRANSLATE(B30473,""en"",""es-ES"")"),"El niño se sentó en la parte inferior del tobogán mientras miraba hacia otro lado.")</f>
        <v>El niño se sentó en la parte inferior del tobogán mientras miraba hacia otro lado.</v>
      </c>
    </row>
    <row r="30474">
      <c r="A30474" s="4" t="s">
        <v>38377</v>
      </c>
      <c r="B30474" s="4" t="s">
        <v>38378</v>
      </c>
      <c r="C30474" s="5" t="str">
        <f>IFERROR(__xludf.DUMMYFUNCTION("GOOGLETRANSLATE(B30474,""en"",""es-ES"")"),"Dos personas saltan acariciando en un patio.")</f>
        <v>Dos personas saltan acariciando en un patio.</v>
      </c>
    </row>
    <row r="30475">
      <c r="A30475" s="4" t="s">
        <v>38377</v>
      </c>
      <c r="B30475" s="4" t="s">
        <v>38379</v>
      </c>
      <c r="C30475" s="5" t="str">
        <f>IFERROR(__xludf.DUMMYFUNCTION("GOOGLETRANSLATE(B30475,""en"",""es-ES"")"),"El niño se va y las chicas comienzan a saltar sola.")</f>
        <v>El niño se va y las chicas comienzan a saltar sola.</v>
      </c>
    </row>
    <row r="30476">
      <c r="A30476" s="4" t="s">
        <v>38377</v>
      </c>
      <c r="B30476" s="4" t="s">
        <v>38380</v>
      </c>
      <c r="C30476" s="5" t="str">
        <f>IFERROR(__xludf.DUMMYFUNCTION("GOOGLETRANSLATE(B30476,""en"",""es-ES"")"),"La niña hace un soporte para la mano.")</f>
        <v>La niña hace un soporte para la mano.</v>
      </c>
    </row>
    <row r="30477">
      <c r="A30477" s="4" t="s">
        <v>38377</v>
      </c>
      <c r="B30477" s="4" t="s">
        <v>38381</v>
      </c>
      <c r="C30477" s="5" t="str">
        <f>IFERROR(__xludf.DUMMYFUNCTION("GOOGLETRANSLATE(B30477,""en"",""es-ES"")"),"El niño comienza a saltar por sí mismo.")</f>
        <v>El niño comienza a saltar por sí mismo.</v>
      </c>
    </row>
    <row r="30478">
      <c r="A30478" s="4" t="s">
        <v>38377</v>
      </c>
      <c r="B30478" s="4" t="s">
        <v>38382</v>
      </c>
      <c r="C30478" s="5" t="str">
        <f>IFERROR(__xludf.DUMMYFUNCTION("GOOGLETRANSLATE(B30478,""en"",""es-ES"")"),"La niña hace un volteo en el aire.")</f>
        <v>La niña hace un volteo en el aire.</v>
      </c>
    </row>
    <row r="30479">
      <c r="A30479" s="4" t="s">
        <v>38377</v>
      </c>
      <c r="B30479" s="4" t="s">
        <v>38383</v>
      </c>
      <c r="C30479" s="5" t="str">
        <f>IFERROR(__xludf.DUMMYFUNCTION("GOOGLETRANSLATE(B30479,""en"",""es-ES"")"),"El niño hace un volteo en el aire.")</f>
        <v>El niño hace un volteo en el aire.</v>
      </c>
    </row>
    <row r="30480">
      <c r="A30480" s="4" t="s">
        <v>38384</v>
      </c>
      <c r="B30480" s="4" t="s">
        <v>38385</v>
      </c>
      <c r="C30480" s="5" t="str">
        <f>IFERROR(__xludf.DUMMYFUNCTION("GOOGLETRANSLATE(B30480,""en"",""es-ES"")"),"Varias personas se muestran en un fondo de láseres se retratan como miembros en un equipo.")</f>
        <v>Varias personas se muestran en un fondo de láseres se retratan como miembros en un equipo.</v>
      </c>
    </row>
    <row r="30481">
      <c r="A30481" s="4" t="s">
        <v>38384</v>
      </c>
      <c r="B30481" s="4" t="s">
        <v>38386</v>
      </c>
      <c r="C30481" s="5" t="str">
        <f>IFERROR(__xludf.DUMMYFUNCTION("GOOGLETRANSLATE(B30481,""en"",""es-ES"")"),"Un hombre del equipo luego viene y comienza a patinar en el camino en un entorno comunitario.")</f>
        <v>Un hombre del equipo luego viene y comienza a patinar en el camino en un entorno comunitario.</v>
      </c>
    </row>
    <row r="30482">
      <c r="A30482" s="4" t="s">
        <v>38384</v>
      </c>
      <c r="B30482" s="4" t="s">
        <v>38387</v>
      </c>
      <c r="C30482" s="5" t="str">
        <f>IFERROR(__xludf.DUMMYFUNCTION("GOOGLETRANSLATE(B30482,""en"",""es-ES"")"),"A medida que continúa patinando, se mueve a una zona más rural con grandes montañas y campo al aire libre y los puntos comienzan a acumularse en la esquina de la pantalla.")</f>
        <v>A medida que continúa patinando, se mueve a una zona más rural con grandes montañas y campo al aire libre y los puntos comienzan a acumularse en la esquina de la pantalla.</v>
      </c>
    </row>
    <row r="30483">
      <c r="A30483" s="4" t="s">
        <v>38388</v>
      </c>
      <c r="B30483" s="4" t="s">
        <v>38389</v>
      </c>
      <c r="C30483" s="5" t="str">
        <f>IFERROR(__xludf.DUMMYFUNCTION("GOOGLETRANSLATE(B30483,""en"",""es-ES"")"),"Una mujer está sentada tomando un trago.")</f>
        <v>Una mujer está sentada tomando un trago.</v>
      </c>
    </row>
    <row r="30484">
      <c r="A30484" s="4" t="s">
        <v>38388</v>
      </c>
      <c r="B30484" s="4" t="s">
        <v>38390</v>
      </c>
      <c r="C30484" s="5" t="str">
        <f>IFERROR(__xludf.DUMMYFUNCTION("GOOGLETRANSLATE(B30484,""en"",""es-ES"")"),"Ella coloca la bebida y comienza a hablar.")</f>
        <v>Ella coloca la bebida y comienza a hablar.</v>
      </c>
    </row>
    <row r="30485">
      <c r="A30485" s="4" t="s">
        <v>38391</v>
      </c>
      <c r="B30485" s="4" t="s">
        <v>38392</v>
      </c>
      <c r="C30485" s="5" t="str">
        <f>IFERROR(__xludf.DUMMYFUNCTION("GOOGLETRANSLATE(B30485,""en"",""es-ES"")"),"Un pequeño niño está caminando por la calle sosteniendo su perro con correa.")</f>
        <v>Un pequeño niño está caminando por la calle sosteniendo su perro con correa.</v>
      </c>
    </row>
    <row r="30486">
      <c r="A30486" s="4" t="s">
        <v>38391</v>
      </c>
      <c r="B30486" s="4" t="s">
        <v>38393</v>
      </c>
      <c r="C30486" s="5" t="str">
        <f>IFERROR(__xludf.DUMMYFUNCTION("GOOGLETRANSLATE(B30486,""en"",""es-ES"")"),"El perro está caminando por delante de ella sin tirar de ella, él es muy gentil.")</f>
        <v>El perro está caminando por delante de ella sin tirar de ella, él es muy gentil.</v>
      </c>
    </row>
    <row r="30487">
      <c r="A30487" s="4" t="s">
        <v>38391</v>
      </c>
      <c r="B30487" s="4" t="s">
        <v>38394</v>
      </c>
      <c r="C30487" s="5" t="str">
        <f>IFERROR(__xludf.DUMMYFUNCTION("GOOGLETRANSLATE(B30487,""en"",""es-ES"")"),"El perro se detiene para oler y luego comienza a caminar nuevamente.")</f>
        <v>El perro se detiene para oler y luego comienza a caminar nuevamente.</v>
      </c>
    </row>
    <row r="30488">
      <c r="A30488" s="4" t="s">
        <v>38391</v>
      </c>
      <c r="B30488" s="4" t="s">
        <v>38395</v>
      </c>
      <c r="C30488" s="5" t="str">
        <f>IFERROR(__xludf.DUMMYFUNCTION("GOOGLETRANSLATE(B30488,""en"",""es-ES"")"),"La niña que intenta seguir de cerca detrás de él.")</f>
        <v>La niña que intenta seguir de cerca detrás de él.</v>
      </c>
    </row>
    <row r="30489">
      <c r="A30489" s="4" t="s">
        <v>38396</v>
      </c>
      <c r="B30489" s="4" t="s">
        <v>38397</v>
      </c>
      <c r="C30489" s="5" t="str">
        <f>IFERROR(__xludf.DUMMYFUNCTION("GOOGLETRANSLATE(B30489,""en"",""es-ES"")"),"Un hombre se estira frente a la cámara.")</f>
        <v>Un hombre se estira frente a la cámara.</v>
      </c>
    </row>
    <row r="30490">
      <c r="A30490" s="4" t="s">
        <v>38396</v>
      </c>
      <c r="B30490" s="4" t="s">
        <v>38398</v>
      </c>
      <c r="C30490" s="5" t="str">
        <f>IFERROR(__xludf.DUMMYFUNCTION("GOOGLETRANSLATE(B30490,""en"",""es-ES"")"),"La cámara corta las escenas del hombre en un pequeño bote remando.")</f>
        <v>La cámara corta las escenas del hombre en un pequeño bote remando.</v>
      </c>
    </row>
    <row r="30491">
      <c r="A30491" s="4" t="s">
        <v>38396</v>
      </c>
      <c r="B30491" s="4" t="s">
        <v>38399</v>
      </c>
      <c r="C30491" s="5" t="str">
        <f>IFERROR(__xludf.DUMMYFUNCTION("GOOGLETRANSLATE(B30491,""en"",""es-ES"")"),"La cámara corta a escenas de varios hombres remando barcos desde varios ángulos, con diferentes fondos.")</f>
        <v>La cámara corta a escenas de varios hombres remando barcos desde varios ángulos, con diferentes fondos.</v>
      </c>
    </row>
    <row r="30492">
      <c r="A30492" s="4" t="s">
        <v>38396</v>
      </c>
      <c r="B30492" s="4" t="s">
        <v>38400</v>
      </c>
      <c r="C30492" s="5" t="str">
        <f>IFERROR(__xludf.DUMMYFUNCTION("GOOGLETRANSLATE(B30492,""en"",""es-ES"")"),"La cámara muestra a los hombres guardando botes.")</f>
        <v>La cámara muestra a los hombres guardando botes.</v>
      </c>
    </row>
    <row r="30493">
      <c r="A30493" s="4" t="s">
        <v>38396</v>
      </c>
      <c r="B30493" s="4" t="s">
        <v>38401</v>
      </c>
      <c r="C30493" s="5" t="str">
        <f>IFERROR(__xludf.DUMMYFUNCTION("GOOGLETRANSLATE(B30493,""en"",""es-ES"")"),"La cámara muestra a varios hombres en un automóvil.")</f>
        <v>La cámara muestra a varios hombres en un automóvil.</v>
      </c>
    </row>
    <row r="30494">
      <c r="A30494" s="4" t="s">
        <v>38396</v>
      </c>
      <c r="B30494" s="4" t="s">
        <v>38402</v>
      </c>
      <c r="C30494" s="5" t="str">
        <f>IFERROR(__xludf.DUMMYFUNCTION("GOOGLETRANSLATE(B30494,""en"",""es-ES"")"),"La cámara muestra clips rápidos de hombres que hacen ejercicio en un gimnasio.")</f>
        <v>La cámara muestra clips rápidos de hombres que hacen ejercicio en un gimnasio.</v>
      </c>
    </row>
    <row r="30495">
      <c r="A30495" s="4" t="s">
        <v>38396</v>
      </c>
      <c r="B30495" s="4" t="s">
        <v>38403</v>
      </c>
      <c r="C30495" s="5" t="str">
        <f>IFERROR(__xludf.DUMMYFUNCTION("GOOGLETRANSLATE(B30495,""en"",""es-ES"")"),"La cámara vuelve a escenas de hombres remando en botes.")</f>
        <v>La cámara vuelve a escenas de hombres remando en botes.</v>
      </c>
    </row>
    <row r="30496">
      <c r="A30496" s="4" t="s">
        <v>38396</v>
      </c>
      <c r="B30496" s="4" t="s">
        <v>38404</v>
      </c>
      <c r="C30496" s="5" t="str">
        <f>IFERROR(__xludf.DUMMYFUNCTION("GOOGLETRANSLATE(B30496,""en"",""es-ES"")"),"La cámara corta a las imágenes aceleradas de un automóvil conduciendo.")</f>
        <v>La cámara corta a las imágenes aceleradas de un automóvil conduciendo.</v>
      </c>
    </row>
    <row r="30497">
      <c r="A30497" s="4" t="s">
        <v>38396</v>
      </c>
      <c r="B30497" s="4" t="s">
        <v>38405</v>
      </c>
      <c r="C30497" s="5" t="str">
        <f>IFERROR(__xludf.DUMMYFUNCTION("GOOGLETRANSLATE(B30497,""en"",""es-ES"")"),"La cámara corta a escenas de hombres que se relajan y arrojan una pelota.")</f>
        <v>La cámara corta a escenas de hombres que se relajan y arrojan una pelota.</v>
      </c>
    </row>
    <row r="30498">
      <c r="A30498" s="4" t="s">
        <v>38396</v>
      </c>
      <c r="B30498" s="4" t="s">
        <v>38406</v>
      </c>
      <c r="C30498" s="5" t="str">
        <f>IFERROR(__xludf.DUMMYFUNCTION("GOOGLETRANSLATE(B30498,""en"",""es-ES"")"),"La cámara corta una escena de un hombre sentado relajándose.")</f>
        <v>La cámara corta una escena de un hombre sentado relajándose.</v>
      </c>
    </row>
    <row r="30499">
      <c r="A30499" s="4" t="s">
        <v>38407</v>
      </c>
      <c r="B30499" s="4" t="s">
        <v>38408</v>
      </c>
      <c r="C30499" s="5" t="str">
        <f>IFERROR(__xludf.DUMMYFUNCTION("GOOGLETRANSLATE(B30499,""en"",""es-ES"")"),"Una persona está sentada detrás de una mesa haciendo un ciego de Cube Rubiks doblado.")</f>
        <v>Una persona está sentada detrás de una mesa haciendo un ciego de Cube Rubiks doblado.</v>
      </c>
    </row>
    <row r="30500">
      <c r="A30500" s="4" t="s">
        <v>38407</v>
      </c>
      <c r="B30500" s="4" t="s">
        <v>38409</v>
      </c>
      <c r="C30500" s="5" t="str">
        <f>IFERROR(__xludf.DUMMYFUNCTION("GOOGLETRANSLATE(B30500,""en"",""es-ES"")"),"Un temporizador está en el escritorio frente a ellos.")</f>
        <v>Un temporizador está en el escritorio frente a ellos.</v>
      </c>
    </row>
    <row r="30501">
      <c r="A30501" s="4" t="s">
        <v>38407</v>
      </c>
      <c r="B30501" s="4" t="s">
        <v>38410</v>
      </c>
      <c r="C30501" s="5" t="str">
        <f>IFERROR(__xludf.DUMMYFUNCTION("GOOGLETRANSLATE(B30501,""en"",""es-ES"")"),"La persona completa el cubo Rubiks y lo coloca sobre la mesa.")</f>
        <v>La persona completa el cubo Rubiks y lo coloca sobre la mesa.</v>
      </c>
    </row>
    <row r="30502">
      <c r="A30502" s="4" t="s">
        <v>38411</v>
      </c>
      <c r="B30502" s="4" t="s">
        <v>38412</v>
      </c>
      <c r="C30502" s="5" t="str">
        <f>IFERROR(__xludf.DUMMYFUNCTION("GOOGLETRANSLATE(B30502,""en"",""es-ES"")"),"Vemos a una dama sentada en un sofá hablando.")</f>
        <v>Vemos a una dama sentada en un sofá hablando.</v>
      </c>
    </row>
    <row r="30503">
      <c r="A30503" s="4" t="s">
        <v>38411</v>
      </c>
      <c r="B30503" s="4" t="s">
        <v>38413</v>
      </c>
      <c r="C30503" s="5" t="str">
        <f>IFERROR(__xludf.DUMMYFUNCTION("GOOGLETRANSLATE(B30503,""en"",""es-ES"")"),"La señora hace caras y aplaude las manos.")</f>
        <v>La señora hace caras y aplaude las manos.</v>
      </c>
    </row>
    <row r="30504">
      <c r="A30504" s="4" t="s">
        <v>38411</v>
      </c>
      <c r="B30504" s="4" t="s">
        <v>38414</v>
      </c>
      <c r="C30504" s="5" t="str">
        <f>IFERROR(__xludf.DUMMYFUNCTION("GOOGLETRANSLATE(B30504,""en"",""es-ES"")"),"Vemos a la dama sacar los rodillos de sus trenzas.")</f>
        <v>Vemos a la dama sacar los rodillos de sus trenzas.</v>
      </c>
    </row>
    <row r="30505">
      <c r="A30505" s="4" t="s">
        <v>38411</v>
      </c>
      <c r="B30505" s="4" t="s">
        <v>38415</v>
      </c>
      <c r="C30505" s="5" t="str">
        <f>IFERROR(__xludf.DUMMYFUNCTION("GOOGLETRANSLATE(B30505,""en"",""es-ES"")"),"Vemos su cabello de cerca.")</f>
        <v>Vemos su cabello de cerca.</v>
      </c>
    </row>
    <row r="30506">
      <c r="A30506" s="4" t="s">
        <v>38411</v>
      </c>
      <c r="B30506" s="4" t="s">
        <v>38416</v>
      </c>
      <c r="C30506" s="5" t="str">
        <f>IFERROR(__xludf.DUMMYFUNCTION("GOOGLETRANSLATE(B30506,""en"",""es-ES"")"),"La señora hace un letrero de cita con sus dedos.")</f>
        <v>La señora hace un letrero de cita con sus dedos.</v>
      </c>
    </row>
    <row r="30507">
      <c r="A30507" s="4" t="s">
        <v>38417</v>
      </c>
      <c r="B30507" s="4" t="s">
        <v>38418</v>
      </c>
      <c r="C30507" s="5" t="str">
        <f>IFERROR(__xludf.DUMMYFUNCTION("GOOGLETRANSLATE(B30507,""en"",""es-ES"")"),"La gimnasta recopila su enfoque y monta el caballo de pomo para comenzar su evento.")</f>
        <v>La gimnasta recopila su enfoque y monta el caballo de pomo para comenzar su evento.</v>
      </c>
    </row>
    <row r="30508">
      <c r="A30508" s="4" t="s">
        <v>38417</v>
      </c>
      <c r="B30508" s="4" t="s">
        <v>38419</v>
      </c>
      <c r="C30508" s="5" t="str">
        <f>IFERROR(__xludf.DUMMYFUNCTION("GOOGLETRANSLATE(B30508,""en"",""es-ES"")"),"La audiencia observa y aplaude cuando los locutores dan sus comentarios.")</f>
        <v>La audiencia observa y aplaude cuando los locutores dan sus comentarios.</v>
      </c>
    </row>
    <row r="30509">
      <c r="A30509" s="4" t="s">
        <v>38417</v>
      </c>
      <c r="B30509" s="4" t="s">
        <v>38420</v>
      </c>
      <c r="C30509" s="5" t="str">
        <f>IFERROR(__xludf.DUMMYFUNCTION("GOOGLETRANSLATE(B30509,""en"",""es-ES"")"),"Él sube a un soporte de mano.")</f>
        <v>Él sube a un soporte de mano.</v>
      </c>
    </row>
    <row r="30510">
      <c r="A30510" s="4" t="s">
        <v>38417</v>
      </c>
      <c r="B30510" s="4" t="s">
        <v>38421</v>
      </c>
      <c r="C30510" s="5" t="str">
        <f>IFERROR(__xludf.DUMMYFUNCTION("GOOGLETRANSLATE(B30510,""en"",""es-ES"")"),"Recoge su velocidad una vez que vuelve a bajar del soporte de la mano.")</f>
        <v>Recoge su velocidad una vez que vuelve a bajar del soporte de la mano.</v>
      </c>
    </row>
    <row r="30511">
      <c r="A30511" s="4" t="s">
        <v>38417</v>
      </c>
      <c r="B30511" s="4" t="s">
        <v>38422</v>
      </c>
      <c r="C30511" s="5" t="str">
        <f>IFERROR(__xludf.DUMMYFUNCTION("GOOGLETRANSLATE(B30511,""en"",""es-ES"")"),"La gimnasta tiene un buen desmontaje.")</f>
        <v>La gimnasta tiene un buen desmontaje.</v>
      </c>
    </row>
    <row r="30512">
      <c r="A30512" s="4" t="s">
        <v>38417</v>
      </c>
      <c r="B30512" s="4" t="s">
        <v>38423</v>
      </c>
      <c r="C30512" s="5" t="str">
        <f>IFERROR(__xludf.DUMMYFUNCTION("GOOGLETRANSLATE(B30512,""en"",""es-ES"")"),"Vemos la actuación nuevamente en cámara lenta y luego vemos su sonrisa mientras está sentado después de la palabra.")</f>
        <v>Vemos la actuación nuevamente en cámara lenta y luego vemos su sonrisa mientras está sentado después de la palabra.</v>
      </c>
    </row>
    <row r="30513">
      <c r="A30513" s="4" t="s">
        <v>38424</v>
      </c>
      <c r="B30513" s="4" t="s">
        <v>38425</v>
      </c>
      <c r="C30513" s="5" t="str">
        <f>IFERROR(__xludf.DUMMYFUNCTION("GOOGLETRANSLATE(B30513,""en"",""es-ES"")"),"La mujer está hablando con la cámara y sosteniendo pinceles de maquillaje.")</f>
        <v>La mujer está hablando con la cámara y sosteniendo pinceles de maquillaje.</v>
      </c>
    </row>
    <row r="30514">
      <c r="A30514" s="4" t="s">
        <v>38424</v>
      </c>
      <c r="B30514" s="4" t="s">
        <v>38426</v>
      </c>
      <c r="C30514" s="5" t="str">
        <f>IFERROR(__xludf.DUMMYFUNCTION("GOOGLETRANSLATE(B30514,""en"",""es-ES"")"),"La mujer está sacudiendo una trenza en su cabello y se muestra cómo hacer la trenza.")</f>
        <v>La mujer está sacudiendo una trenza en su cabello y se muestra cómo hacer la trenza.</v>
      </c>
    </row>
    <row r="30515">
      <c r="A30515" s="4" t="s">
        <v>38427</v>
      </c>
      <c r="B30515" s="4" t="s">
        <v>38428</v>
      </c>
      <c r="C30515" s="5" t="str">
        <f>IFERROR(__xludf.DUMMYFUNCTION("GOOGLETRANSLATE(B30515,""en"",""es-ES"")"),"Una niña viaja en un auto mientras habla.")</f>
        <v>Una niña viaja en un auto mientras habla.</v>
      </c>
    </row>
    <row r="30516">
      <c r="A30516" s="4" t="s">
        <v>38427</v>
      </c>
      <c r="B30516" s="4" t="s">
        <v>38429</v>
      </c>
      <c r="C30516" s="5" t="str">
        <f>IFERROR(__xludf.DUMMYFUNCTION("GOOGLETRANSLATE(B30516,""en"",""es-ES"")"),"La niña está en una tienda penetrante, luego un hombre se frota la nariz con un pañuelo y pone una marca.")</f>
        <v>La niña está en una tienda penetrante, luego un hombre se frota la nariz con un pañuelo y pone una marca.</v>
      </c>
    </row>
    <row r="30517">
      <c r="A30517" s="4" t="s">
        <v>38427</v>
      </c>
      <c r="B30517" s="4" t="s">
        <v>38430</v>
      </c>
      <c r="C30517" s="5" t="str">
        <f>IFERROR(__xludf.DUMMYFUNCTION("GOOGLETRANSLATE(B30517,""en"",""es-ES"")"),"Después, el hombre perfora la nariz de la niña y pone una propina.")</f>
        <v>Después, el hombre perfora la nariz de la niña y pone una propina.</v>
      </c>
    </row>
    <row r="30518">
      <c r="A30518" s="4" t="s">
        <v>38427</v>
      </c>
      <c r="B30518" s="4" t="s">
        <v>38431</v>
      </c>
      <c r="C30518" s="5" t="str">
        <f>IFERROR(__xludf.DUMMYFUNCTION("GOOGLETRANSLATE(B30518,""en"",""es-ES"")"),"Después, el hombre limpia el área, y la niña se seca algunas lágrimas en su rostro.")</f>
        <v>Después, el hombre limpia el área, y la niña se seca algunas lágrimas en su rostro.</v>
      </c>
    </row>
    <row r="30519">
      <c r="A30519" s="4" t="s">
        <v>38427</v>
      </c>
      <c r="B30519" s="4" t="s">
        <v>38432</v>
      </c>
      <c r="C30519" s="5" t="str">
        <f>IFERROR(__xludf.DUMMYFUNCTION("GOOGLETRANSLATE(B30519,""en"",""es-ES"")"),"Después, la niña sostiene una cámara en la cara y habla, también muestra su perforación.")</f>
        <v>Después, la niña sostiene una cámara en la cara y habla, también muestra su perforación.</v>
      </c>
    </row>
    <row r="30520">
      <c r="A30520" s="4" t="s">
        <v>38433</v>
      </c>
      <c r="B30520" s="4" t="s">
        <v>38434</v>
      </c>
      <c r="C30520" s="5" t="str">
        <f>IFERROR(__xludf.DUMMYFUNCTION("GOOGLETRANSLATE(B30520,""en"",""es-ES"")"),"Un equipo de ejercicio gira en un panel cuando una mujer aparece repentinamente.")</f>
        <v>Un equipo de ejercicio gira en un panel cuando una mujer aparece repentinamente.</v>
      </c>
    </row>
    <row r="30521">
      <c r="A30521" s="4" t="s">
        <v>38433</v>
      </c>
      <c r="B30521" s="4" t="s">
        <v>38435</v>
      </c>
      <c r="C30521" s="5" t="str">
        <f>IFERROR(__xludf.DUMMYFUNCTION("GOOGLETRANSLATE(B30521,""en"",""es-ES"")"),"Se sube a la máquina y comienza a hacer ejercicio mientras la cámara se mueve alrededor de sus movimientos.")</f>
        <v>Se sube a la máquina y comienza a hacer ejercicio mientras la cámara se mueve alrededor de sus movimientos.</v>
      </c>
    </row>
    <row r="30522">
      <c r="A30522" s="4" t="s">
        <v>38433</v>
      </c>
      <c r="B30522" s="4" t="s">
        <v>38436</v>
      </c>
      <c r="C30522" s="5" t="str">
        <f>IFERROR(__xludf.DUMMYFUNCTION("GOOGLETRANSLATE(B30522,""en"",""es-ES"")"),"Ella continúa usando el equipo y finalmente muestra una imagen del equipo.")</f>
        <v>Ella continúa usando el equipo y finalmente muestra una imagen del equipo.</v>
      </c>
    </row>
    <row r="30523">
      <c r="A30523" s="4" t="s">
        <v>38437</v>
      </c>
      <c r="B30523" s="4" t="s">
        <v>38438</v>
      </c>
      <c r="C30523" s="5" t="str">
        <f>IFERROR(__xludf.DUMMYFUNCTION("GOOGLETRANSLATE(B30523,""en"",""es-ES"")"),"Boy está poniendo un casco y está arreglando su patineta.")</f>
        <v>Boy está poniendo un casco y está arreglando su patineta.</v>
      </c>
    </row>
    <row r="30524">
      <c r="A30524" s="4" t="s">
        <v>38437</v>
      </c>
      <c r="B30524" s="4" t="s">
        <v>38439</v>
      </c>
      <c r="C30524" s="5" t="str">
        <f>IFERROR(__xludf.DUMMYFUNCTION("GOOGLETRANSLATE(B30524,""en"",""es-ES"")"),"El chico está bajando una pendiente que pasa por las casas hasta que esté oscuro.")</f>
        <v>El chico está bajando una pendiente que pasa por las casas hasta que esté oscuro.</v>
      </c>
    </row>
    <row r="30525">
      <c r="A30525" s="4" t="s">
        <v>38440</v>
      </c>
      <c r="B30525" s="4" t="s">
        <v>38441</v>
      </c>
      <c r="C30525" s="5" t="str">
        <f>IFERROR(__xludf.DUMMYFUNCTION("GOOGLETRANSLATE(B30525,""en"",""es-ES"")"),"Un chico está afuera de cortar madera.")</f>
        <v>Un chico está afuera de cortar madera.</v>
      </c>
    </row>
    <row r="30526">
      <c r="A30526" s="4" t="s">
        <v>38440</v>
      </c>
      <c r="B30526" s="4" t="s">
        <v>38442</v>
      </c>
      <c r="C30526" s="5" t="str">
        <f>IFERROR(__xludf.DUMMYFUNCTION("GOOGLETRANSLATE(B30526,""en"",""es-ES"")"),"El hacha se atasca en la madera en su primer intento.")</f>
        <v>El hacha se atasca en la madera en su primer intento.</v>
      </c>
    </row>
    <row r="30527">
      <c r="A30527" s="4" t="s">
        <v>38440</v>
      </c>
      <c r="B30527" s="4" t="s">
        <v>38443</v>
      </c>
      <c r="C30527" s="5" t="str">
        <f>IFERROR(__xludf.DUMMYFUNCTION("GOOGLETRANSLATE(B30527,""en"",""es-ES"")"),"El tipo saca el hacha.")</f>
        <v>El tipo saca el hacha.</v>
      </c>
    </row>
    <row r="30528">
      <c r="A30528" s="4" t="s">
        <v>38440</v>
      </c>
      <c r="B30528" s="4" t="s">
        <v>38444</v>
      </c>
      <c r="C30528" s="5" t="str">
        <f>IFERROR(__xludf.DUMMYFUNCTION("GOOGLETRANSLATE(B30528,""en"",""es-ES"")"),"El tipo sigue cortando la madera cada vez más pequeña.")</f>
        <v>El tipo sigue cortando la madera cada vez más pequeña.</v>
      </c>
    </row>
    <row r="30529">
      <c r="A30529" s="4" t="s">
        <v>38445</v>
      </c>
      <c r="B30529" s="4" t="s">
        <v>38446</v>
      </c>
      <c r="C30529" s="5" t="str">
        <f>IFERROR(__xludf.DUMMYFUNCTION("GOOGLETRANSLATE(B30529,""en"",""es-ES"")"),"Un hombre y una mujer están hablando en un establo.")</f>
        <v>Un hombre y una mujer están hablando en un establo.</v>
      </c>
    </row>
    <row r="30530">
      <c r="A30530" s="4" t="s">
        <v>38445</v>
      </c>
      <c r="B30530" s="4" t="s">
        <v>38447</v>
      </c>
      <c r="C30530" s="5" t="str">
        <f>IFERROR(__xludf.DUMMYFUNCTION("GOOGLETRANSLATE(B30530,""en"",""es-ES"")"),"El hombre ayuda a la mujer del caballo y ella lo lleva por la arena.")</f>
        <v>El hombre ayuda a la mujer del caballo y ella lo lleva por la arena.</v>
      </c>
    </row>
    <row r="30531">
      <c r="A30531" s="4" t="s">
        <v>38445</v>
      </c>
      <c r="B30531" s="4" t="s">
        <v>38448</v>
      </c>
      <c r="C30531" s="5" t="str">
        <f>IFERROR(__xludf.DUMMYFUNCTION("GOOGLETRANSLATE(B30531,""en"",""es-ES"")"),"La mujer se sale del caballo y habla con la cámara.")</f>
        <v>La mujer se sale del caballo y habla con la cámara.</v>
      </c>
    </row>
    <row r="30532">
      <c r="A30532" s="4" t="s">
        <v>38449</v>
      </c>
      <c r="B30532" s="4" t="s">
        <v>38450</v>
      </c>
      <c r="C30532" s="5" t="str">
        <f>IFERROR(__xludf.DUMMYFUNCTION("GOOGLETRANSLATE(B30532,""en"",""es-ES"")"),"Se ve a dos hombres sentados en un sofá viendo televisión y hablando y cuarto uno al otro.")</f>
        <v>Se ve a dos hombres sentados en un sofá viendo televisión y hablando y cuarto uno al otro.</v>
      </c>
    </row>
    <row r="30533">
      <c r="A30533" s="4" t="s">
        <v>38449</v>
      </c>
      <c r="B30533" s="4" t="s">
        <v>38451</v>
      </c>
      <c r="C30533" s="5" t="str">
        <f>IFERROR(__xludf.DUMMYFUNCTION("GOOGLETRANSLATE(B30533,""en"",""es-ES"")"),"Otro entra al marco hablando y sosteniendo una bebida y los dos hombres continúan hablando entre ellos.")</f>
        <v>Otro entra al marco hablando y sosteniendo una bebida y los dos hombres continúan hablando entre ellos.</v>
      </c>
    </row>
    <row r="30534">
      <c r="A30534" s="4" t="s">
        <v>38452</v>
      </c>
      <c r="B30534" s="4" t="s">
        <v>38453</v>
      </c>
      <c r="C30534" s="5" t="str">
        <f>IFERROR(__xludf.DUMMYFUNCTION("GOOGLETRANSLATE(B30534,""en"",""es-ES"")"),"Una mano sostiene un trapeador húmedo registrado en la cámara.")</f>
        <v>Una mano sostiene un trapeador húmedo registrado en la cámara.</v>
      </c>
    </row>
    <row r="30535">
      <c r="A30535" s="4" t="s">
        <v>38452</v>
      </c>
      <c r="B30535" s="4" t="s">
        <v>38454</v>
      </c>
      <c r="C30535" s="5" t="str">
        <f>IFERROR(__xludf.DUMMYFUNCTION("GOOGLETRANSLATE(B30535,""en"",""es-ES"")"),"Una persona traza un piso, con la cámara solo recogiendo parte de la persona y el trapeador.")</f>
        <v>Una persona traza un piso, con la cámara solo recogiendo parte de la persona y el trapeador.</v>
      </c>
    </row>
    <row r="30536">
      <c r="A30536" s="4" t="s">
        <v>38452</v>
      </c>
      <c r="B30536" s="4" t="s">
        <v>38455</v>
      </c>
      <c r="C30536" s="5" t="str">
        <f>IFERROR(__xludf.DUMMYFUNCTION("GOOGLETRANSLATE(B30536,""en"",""es-ES"")"),"La cámara muestra un primer plano de la cabeza del trapeador.")</f>
        <v>La cámara muestra un primer plano de la cabeza del trapeador.</v>
      </c>
    </row>
    <row r="30537">
      <c r="A30537" s="4" t="s">
        <v>38456</v>
      </c>
      <c r="B30537" s="4" t="s">
        <v>38457</v>
      </c>
      <c r="C30537" s="5" t="str">
        <f>IFERROR(__xludf.DUMMYFUNCTION("GOOGLETRANSLATE(B30537,""en"",""es-ES"")"),"Se muestra a un hombre girando en círculos mientras arroja un disparo a lo lejos.")</f>
        <v>Se muestra a un hombre girando en círculos mientras arroja un disparo a lo lejos.</v>
      </c>
    </row>
    <row r="30538">
      <c r="A30538" s="4" t="s">
        <v>38456</v>
      </c>
      <c r="B30538" s="4" t="s">
        <v>38458</v>
      </c>
      <c r="C30538" s="5" t="str">
        <f>IFERROR(__xludf.DUMMYFUNCTION("GOOGLETRANSLATE(B30538,""en"",""es-ES"")"),"Varios hombres se muestran una y otra vez arrojando el objeto a la distancia en varios lugares.")</f>
        <v>Varios hombres se muestran una y otra vez arrojando el objeto a la distancia en varios lugares.</v>
      </c>
    </row>
    <row r="30539">
      <c r="A30539" s="4" t="s">
        <v>38459</v>
      </c>
      <c r="B30539" s="4" t="s">
        <v>38460</v>
      </c>
      <c r="C30539" s="5" t="str">
        <f>IFERROR(__xludf.DUMMYFUNCTION("GOOGLETRANSLATE(B30539,""en"",""es-ES"")"),"Se reproduce una introducción con el texto ""Cómo cambiar un neumático"".")</f>
        <v>Se reproduce una introducción con el texto "Cómo cambiar un neumático".</v>
      </c>
    </row>
    <row r="30540">
      <c r="A30540" s="4" t="s">
        <v>38459</v>
      </c>
      <c r="B30540" s="4" t="s">
        <v>38461</v>
      </c>
      <c r="C30540" s="5" t="str">
        <f>IFERROR(__xludf.DUMMYFUNCTION("GOOGLETRANSLATE(B30540,""en"",""es-ES"")"),"Una mujer tiene una herramienta que te permite poner el neumático en un borde mientras un hombre sostiene la herramienta.")</f>
        <v>Una mujer tiene una herramienta que te permite poner el neumático en un borde mientras un hombre sostiene la herramienta.</v>
      </c>
    </row>
    <row r="30541">
      <c r="A30541" s="4" t="s">
        <v>38459</v>
      </c>
      <c r="B30541" s="4" t="s">
        <v>38462</v>
      </c>
      <c r="C30541" s="5" t="str">
        <f>IFERROR(__xludf.DUMMYFUNCTION("GOOGLETRANSLATE(B30541,""en"",""es-ES"")"),"Luego, la mujer usa la misma herramienta para eliminar el neumático del borde.")</f>
        <v>Luego, la mujer usa la misma herramienta para eliminar el neumático del borde.</v>
      </c>
    </row>
    <row r="30542">
      <c r="A30542" s="4" t="s">
        <v>38459</v>
      </c>
      <c r="B30542" s="4" t="s">
        <v>38463</v>
      </c>
      <c r="C30542" s="5" t="str">
        <f>IFERROR(__xludf.DUMMYFUNCTION("GOOGLETRANSLATE(B30542,""en"",""es-ES"")"),"La persona que filma muestra el temporizador de un iPhone en varios puntos para mostrar cuánto tiempo debe dar un paso.")</f>
        <v>La persona que filma muestra el temporizador de un iPhone en varios puntos para mostrar cuánto tiempo debe dar un paso.</v>
      </c>
    </row>
    <row r="30543">
      <c r="A30543" s="4" t="s">
        <v>38459</v>
      </c>
      <c r="B30543" s="4" t="s">
        <v>38464</v>
      </c>
      <c r="C30543" s="5" t="str">
        <f>IFERROR(__xludf.DUMMYFUNCTION("GOOGLETRANSLATE(B30543,""en"",""es-ES"")"),"Se muestra la herramienta que elimina el nivel del borde y cómo funciona.")</f>
        <v>Se muestra la herramienta que elimina el nivel del borde y cómo funciona.</v>
      </c>
    </row>
    <row r="30544">
      <c r="A30544" s="4" t="s">
        <v>38459</v>
      </c>
      <c r="B30544" s="4" t="s">
        <v>38465</v>
      </c>
      <c r="C30544" s="5" t="str">
        <f>IFERROR(__xludf.DUMMYFUNCTION("GOOGLETRANSLATE(B30544,""en"",""es-ES"")"),"Un hombre abre un casillero o máquina Bridgestone para mostrar el interior.")</f>
        <v>Un hombre abre un casillero o máquina Bridgestone para mostrar el interior.</v>
      </c>
    </row>
    <row r="30545">
      <c r="A30545" s="4" t="s">
        <v>38459</v>
      </c>
      <c r="B30545" s="4" t="s">
        <v>38466</v>
      </c>
      <c r="C30545" s="5" t="str">
        <f>IFERROR(__xludf.DUMMYFUNCTION("GOOGLETRANSLATE(B30545,""en"",""es-ES"")"),"El video termina con una imagen de un vehículo con energía solar.")</f>
        <v>El video termina con una imagen de un vehículo con energía solar.</v>
      </c>
    </row>
    <row r="30546">
      <c r="A30546" s="4" t="s">
        <v>38467</v>
      </c>
      <c r="B30546" s="4" t="s">
        <v>38468</v>
      </c>
      <c r="C30546" s="5" t="str">
        <f>IFERROR(__xludf.DUMMYFUNCTION("GOOGLETRANSLATE(B30546,""en"",""es-ES"")"),"People Skateboard por el camino de una ciudad.")</f>
        <v>People Skateboard por el camino de una ciudad.</v>
      </c>
    </row>
    <row r="30547">
      <c r="A30547" s="4" t="s">
        <v>38467</v>
      </c>
      <c r="B30547" s="4" t="s">
        <v>38469</v>
      </c>
      <c r="C30547" s="5" t="str">
        <f>IFERROR(__xludf.DUMMYFUNCTION("GOOGLETRANSLATE(B30547,""en"",""es-ES"")"),"Un grupo de adolescentes se reúne en el camino y mira una patineta adolescente.")</f>
        <v>Un grupo de adolescentes se reúne en el camino y mira una patineta adolescente.</v>
      </c>
    </row>
    <row r="30548">
      <c r="A30548" s="4" t="s">
        <v>38467</v>
      </c>
      <c r="B30548" s="4" t="s">
        <v>38470</v>
      </c>
      <c r="C30548" s="5" t="str">
        <f>IFERROR(__xludf.DUMMYFUNCTION("GOOGLETRANSLATE(B30548,""en"",""es-ES"")"),"Un adolescente entra en una rampa para patinetas y un patineta.")</f>
        <v>Un adolescente entra en una rampa para patinetas y un patineta.</v>
      </c>
    </row>
    <row r="30549">
      <c r="A30549" s="4" t="s">
        <v>38467</v>
      </c>
      <c r="B30549" s="4" t="s">
        <v>38471</v>
      </c>
      <c r="C30549" s="5" t="str">
        <f>IFERROR(__xludf.DUMMYFUNCTION("GOOGLETRANSLATE(B30549,""en"",""es-ES"")"),"Un niño patineta en una carretera que pasa una ciudad y un campo.")</f>
        <v>Un niño patineta en una carretera que pasa una ciudad y un campo.</v>
      </c>
    </row>
    <row r="30550">
      <c r="A30550" s="4" t="s">
        <v>38467</v>
      </c>
      <c r="B30550" s="4" t="s">
        <v>38472</v>
      </c>
      <c r="C30550" s="5" t="str">
        <f>IFERROR(__xludf.DUMMYFUNCTION("GOOGLETRANSLATE(B30550,""en"",""es-ES"")"),"Dos adolescentes patineta en una carretera.")</f>
        <v>Dos adolescentes patineta en una carretera.</v>
      </c>
    </row>
    <row r="30551">
      <c r="A30551" s="4" t="s">
        <v>38473</v>
      </c>
      <c r="B30551" s="4" t="s">
        <v>38474</v>
      </c>
      <c r="C30551" s="5" t="str">
        <f>IFERROR(__xludf.DUMMYFUNCTION("GOOGLETRANSLATE(B30551,""en"",""es-ES"")"),"Ocho personas están paradas en el estudio, una mujer caminó en la parte trasera del grupo.")</f>
        <v>Ocho personas están paradas en el estudio, una mujer caminó en la parte trasera del grupo.</v>
      </c>
    </row>
    <row r="30552">
      <c r="A30552" s="4" t="s">
        <v>38473</v>
      </c>
      <c r="B30552" s="4" t="s">
        <v>38475</v>
      </c>
      <c r="C30552" s="5" t="str">
        <f>IFERROR(__xludf.DUMMYFUNCTION("GOOGLETRANSLATE(B30552,""en"",""es-ES"")"),"El grupo comenzó a bailar, girarse, sacudiendo las caderas, girando, los brazos y las manos se mueven de lado a lado, delante.")</f>
        <v>El grupo comenzó a bailar, girarse, sacudiendo las caderas, girando, los brazos y las manos se mueven de lado a lado, delante.</v>
      </c>
    </row>
    <row r="30553">
      <c r="A30553" s="4" t="s">
        <v>38476</v>
      </c>
      <c r="B30553" s="4" t="s">
        <v>38477</v>
      </c>
      <c r="C30553" s="5" t="str">
        <f>IFERROR(__xludf.DUMMYFUNCTION("GOOGLETRANSLATE(B30553,""en"",""es-ES"")"),"Una mujer se para frente a un espejo sonriendo y comienza a cepillarse el cabello.")</f>
        <v>Una mujer se para frente a un espejo sonriendo y comienza a cepillarse el cabello.</v>
      </c>
    </row>
    <row r="30554">
      <c r="A30554" s="4" t="s">
        <v>38476</v>
      </c>
      <c r="B30554" s="4" t="s">
        <v>38478</v>
      </c>
      <c r="C30554" s="5" t="str">
        <f>IFERROR(__xludf.DUMMYFUNCTION("GOOGLETRANSLATE(B30554,""en"",""es-ES"")"),"Ella continúa cepillándose el cabello y mirándose en el espejo.")</f>
        <v>Ella continúa cepillándose el cabello y mirándose en el espejo.</v>
      </c>
    </row>
    <row r="30555">
      <c r="A30555" s="4" t="s">
        <v>38479</v>
      </c>
      <c r="B30555" s="4" t="s">
        <v>38480</v>
      </c>
      <c r="C30555" s="5" t="str">
        <f>IFERROR(__xludf.DUMMYFUNCTION("GOOGLETRANSLATE(B30555,""en"",""es-ES"")"),"Un hombre está parado afuera en una acera con una cámara plateada en la mano filmando algo.")</f>
        <v>Un hombre está parado afuera en una acera con una cámara plateada en la mano filmando algo.</v>
      </c>
    </row>
    <row r="30556">
      <c r="A30556" s="4" t="s">
        <v>38479</v>
      </c>
      <c r="B30556" s="4" t="s">
        <v>38481</v>
      </c>
      <c r="C30556" s="5" t="str">
        <f>IFERROR(__xludf.DUMMYFUNCTION("GOOGLETRANSLATE(B30556,""en"",""es-ES"")"),"A medida que la cámara gira, el hombre está filmando a alguien en un remo de una plaza mientras toca una bolsa de tuberías.")</f>
        <v>A medida que la cámara gira, el hombre está filmando a alguien en un remo de una plaza mientras toca una bolsa de tuberías.</v>
      </c>
    </row>
    <row r="30557">
      <c r="A30557" s="4" t="s">
        <v>38479</v>
      </c>
      <c r="B30557" s="4" t="s">
        <v>38482</v>
      </c>
      <c r="C30557" s="5" t="str">
        <f>IFERROR(__xludf.DUMMYFUNCTION("GOOGLETRANSLATE(B30557,""en"",""es-ES"")"),"El hombre continúa, y un gruop de personas se apiñan a su alrededor y lo mira hasta que se cae del volante.")</f>
        <v>El hombre continúa, y un gruop de personas se apiñan a su alrededor y lo mira hasta que se cae del volante.</v>
      </c>
    </row>
    <row r="30558">
      <c r="A30558" s="4" t="s">
        <v>38483</v>
      </c>
      <c r="B30558" s="4" t="s">
        <v>38484</v>
      </c>
      <c r="C30558" s="5" t="str">
        <f>IFERROR(__xludf.DUMMYFUNCTION("GOOGLETRANSLATE(B30558,""en"",""es-ES"")"),"El hombre se acerca a los pesos delante de él.")</f>
        <v>El hombre se acerca a los pesos delante de él.</v>
      </c>
    </row>
    <row r="30559">
      <c r="A30559" s="4" t="s">
        <v>38483</v>
      </c>
      <c r="B30559" s="4" t="s">
        <v>38485</v>
      </c>
      <c r="C30559" s="5" t="str">
        <f>IFERROR(__xludf.DUMMYFUNCTION("GOOGLETRANSLATE(B30559,""en"",""es-ES"")"),"El hombre levanta pesas y los deja caer al piso.")</f>
        <v>El hombre levanta pesas y los deja caer al piso.</v>
      </c>
    </row>
    <row r="30560">
      <c r="A30560" s="4" t="s">
        <v>38483</v>
      </c>
      <c r="B30560" s="4" t="s">
        <v>38486</v>
      </c>
      <c r="C30560" s="5" t="str">
        <f>IFERROR(__xludf.DUMMYFUNCTION("GOOGLETRANSLATE(B30560,""en"",""es-ES"")"),"El hombre levanta pesas y los sostiene por un tiempo.")</f>
        <v>El hombre levanta pesas y los sostiene por un tiempo.</v>
      </c>
    </row>
    <row r="30561">
      <c r="A30561" s="4" t="s">
        <v>38483</v>
      </c>
      <c r="B30561" s="4" t="s">
        <v>38487</v>
      </c>
      <c r="C30561" s="5" t="str">
        <f>IFERROR(__xludf.DUMMYFUNCTION("GOOGLETRANSLATE(B30561,""en"",""es-ES"")"),"El hombre da la mano en celebración.")</f>
        <v>El hombre da la mano en celebración.</v>
      </c>
    </row>
    <row r="30562">
      <c r="A30562" s="4" t="s">
        <v>38483</v>
      </c>
      <c r="B30562" s="4" t="s">
        <v>38488</v>
      </c>
      <c r="C30562" s="5" t="str">
        <f>IFERROR(__xludf.DUMMYFUNCTION("GOOGLETRANSLATE(B30562,""en"",""es-ES"")"),"El hombre grita en celebración.")</f>
        <v>El hombre grita en celebración.</v>
      </c>
    </row>
    <row r="30563">
      <c r="A30563" s="4" t="s">
        <v>38489</v>
      </c>
      <c r="B30563" s="4" t="s">
        <v>38490</v>
      </c>
      <c r="C30563" s="5" t="str">
        <f>IFERROR(__xludf.DUMMYFUNCTION("GOOGLETRANSLATE(B30563,""en"",""es-ES"")"),"Un bote navega en las aguas entrecortadas de un océano.")</f>
        <v>Un bote navega en las aguas entrecortadas de un océano.</v>
      </c>
    </row>
    <row r="30564">
      <c r="A30564" s="4" t="s">
        <v>38489</v>
      </c>
      <c r="B30564" s="4" t="s">
        <v>38491</v>
      </c>
      <c r="C30564" s="5" t="str">
        <f>IFERROR(__xludf.DUMMYFUNCTION("GOOGLETRANSLATE(B30564,""en"",""es-ES"")"),"Las grandes olas mueven el bote hacia arriba y hacia abajo.")</f>
        <v>Las grandes olas mueven el bote hacia arriba y hacia abajo.</v>
      </c>
    </row>
    <row r="30565">
      <c r="A30565" s="4" t="s">
        <v>38489</v>
      </c>
      <c r="B30565" s="4" t="s">
        <v>38492</v>
      </c>
      <c r="C30565" s="5" t="str">
        <f>IFERROR(__xludf.DUMMYFUNCTION("GOOGLETRANSLATE(B30565,""en"",""es-ES"")"),"Una persona se encuentra en el frente del bote con ropa oscura.")</f>
        <v>Una persona se encuentra en el frente del bote con ropa oscura.</v>
      </c>
    </row>
    <row r="30566">
      <c r="A30566" s="4" t="s">
        <v>38493</v>
      </c>
      <c r="B30566" s="4" t="s">
        <v>38494</v>
      </c>
      <c r="C30566" s="5" t="str">
        <f>IFERROR(__xludf.DUMMYFUNCTION("GOOGLETRANSLATE(B30566,""en"",""es-ES"")"),"Se ve a un gran grupo de personas deambulando por una arena cuando un hombre pasa a un peso.")</f>
        <v>Se ve a un gran grupo de personas deambulando por una arena cuando un hombre pasa a un peso.</v>
      </c>
    </row>
    <row r="30567">
      <c r="A30567" s="4" t="s">
        <v>38493</v>
      </c>
      <c r="B30567" s="4" t="s">
        <v>38495</v>
      </c>
      <c r="C30567" s="5" t="str">
        <f>IFERROR(__xludf.DUMMYFUNCTION("GOOGLETRANSLATE(B30567,""en"",""es-ES"")"),"El hombre levanta el peso sobre su cabeza y lo arroja al suelo.")</f>
        <v>El hombre levanta el peso sobre su cabeza y lo arroja al suelo.</v>
      </c>
    </row>
    <row r="30568">
      <c r="A30568" s="4" t="s">
        <v>38493</v>
      </c>
      <c r="B30568" s="4" t="s">
        <v>38496</v>
      </c>
      <c r="C30568" s="5" t="str">
        <f>IFERROR(__xludf.DUMMYFUNCTION("GOOGLETRANSLATE(B30568,""en"",""es-ES"")"),"Se ve a varios hombres más intentando levantar el peso con otros triunfando y animando y otros que dejan caer el peso.")</f>
        <v>Se ve a varios hombres más intentando levantar el peso con otros triunfando y animando y otros que dejan caer el peso.</v>
      </c>
    </row>
    <row r="30569">
      <c r="A30569" s="4" t="s">
        <v>38497</v>
      </c>
      <c r="B30569" s="4" t="s">
        <v>38498</v>
      </c>
      <c r="C30569" s="5" t="str">
        <f>IFERROR(__xludf.DUMMYFUNCTION("GOOGLETRANSLATE(B30569,""en"",""es-ES"")"),"Los gráficos con ""FCC Presents"" seguidos de ""The Great Indoors with Tracy Briggs"" aparecen en la pantalla.")</f>
        <v>Los gráficos con "FCC Presents" seguidos de "The Great Indoors with Tracy Briggs" aparecen en la pantalla.</v>
      </c>
    </row>
    <row r="30570">
      <c r="A30570" s="4" t="s">
        <v>38497</v>
      </c>
      <c r="B30570" s="4" t="s">
        <v>38499</v>
      </c>
      <c r="C30570" s="5" t="str">
        <f>IFERROR(__xludf.DUMMYFUNCTION("GOOGLETRANSLATE(B30570,""en"",""es-ES"")"),"Briggs habla con la cámara desde una cocina.")</f>
        <v>Briggs habla con la cámara desde una cocina.</v>
      </c>
    </row>
    <row r="30571">
      <c r="A30571" s="4" t="s">
        <v>38497</v>
      </c>
      <c r="B30571" s="4" t="s">
        <v>38500</v>
      </c>
      <c r="C30571" s="5" t="str">
        <f>IFERROR(__xludf.DUMMYFUNCTION("GOOGLETRANSLATE(B30571,""en"",""es-ES"")"),"Ella comienza a preparar una papa y tomtatos para comer.")</f>
        <v>Ella comienza a preparar una papa y tomtatos para comer.</v>
      </c>
    </row>
    <row r="30572">
      <c r="A30572" s="4" t="s">
        <v>38501</v>
      </c>
      <c r="B30572" s="4" t="s">
        <v>38502</v>
      </c>
      <c r="C30572" s="5" t="str">
        <f>IFERROR(__xludf.DUMMYFUNCTION("GOOGLETRANSLATE(B30572,""en"",""es-ES"")"),"Se ve a una mujer sentada en una silla de ruedas mirando a la cámara y se acerca a un lado.")</f>
        <v>Se ve a una mujer sentada en una silla de ruedas mirando a la cámara y se acerca a un lado.</v>
      </c>
    </row>
    <row r="30573">
      <c r="A30573" s="4" t="s">
        <v>38501</v>
      </c>
      <c r="B30573" s="4" t="s">
        <v>38503</v>
      </c>
      <c r="C30573" s="5" t="str">
        <f>IFERROR(__xludf.DUMMYFUNCTION("GOOGLETRANSLATE(B30573,""en"",""es-ES"")"),"Luego se pone los zapatos con la ayuda de otro hombre mientras sigue sonriendo a la cámara.")</f>
        <v>Luego se pone los zapatos con la ayuda de otro hombre mientras sigue sonriendo a la cámara.</v>
      </c>
    </row>
    <row r="30574">
      <c r="A30574" s="4" t="s">
        <v>38501</v>
      </c>
      <c r="B30574" s="4" t="s">
        <v>38504</v>
      </c>
      <c r="C30574" s="5" t="str">
        <f>IFERROR(__xludf.DUMMYFUNCTION("GOOGLETRANSLATE(B30574,""en"",""es-ES"")"),"Ella se aleja y aplaude al final.")</f>
        <v>Ella se aleja y aplaude al final.</v>
      </c>
    </row>
    <row r="30575">
      <c r="A30575" s="4" t="s">
        <v>38505</v>
      </c>
      <c r="B30575" s="4" t="s">
        <v>38506</v>
      </c>
      <c r="C30575" s="5" t="str">
        <f>IFERROR(__xludf.DUMMYFUNCTION("GOOGLETRANSLATE(B30575,""en"",""es-ES"")"),"El chef comienza quitando y cortando el Endive.")</f>
        <v>El chef comienza quitando y cortando el Endive.</v>
      </c>
    </row>
    <row r="30576">
      <c r="A30576" s="4" t="s">
        <v>38505</v>
      </c>
      <c r="B30576" s="4" t="s">
        <v>38507</v>
      </c>
      <c r="C30576" s="5" t="str">
        <f>IFERROR(__xludf.DUMMYFUNCTION("GOOGLETRANSLATE(B30576,""en"",""es-ES"")"),"El chef los coloca en un contenedor, luego corta y se despide más.")</f>
        <v>El chef los coloca en un contenedor, luego corta y se despide más.</v>
      </c>
    </row>
    <row r="30577">
      <c r="A30577" s="4" t="s">
        <v>38505</v>
      </c>
      <c r="B30577" s="4" t="s">
        <v>38508</v>
      </c>
      <c r="C30577" s="5" t="str">
        <f>IFERROR(__xludf.DUMMYFUNCTION("GOOGLETRANSLATE(B30577,""en"",""es-ES"")"),"El chef luego corta a Romaine y los coloca en un contenedor de plata y mezcla endive con el romano.")</f>
        <v>El chef luego corta a Romaine y los coloca en un contenedor de plata y mezcla endive con el romano.</v>
      </c>
    </row>
    <row r="30578">
      <c r="A30578" s="4" t="s">
        <v>38505</v>
      </c>
      <c r="B30578" s="4" t="s">
        <v>38509</v>
      </c>
      <c r="C30578" s="5" t="str">
        <f>IFERROR(__xludf.DUMMYFUNCTION("GOOGLETRANSLATE(B30578,""en"",""es-ES"")"),"Finalmente, quita la mezcla de ensalada con un aderezo de un tazón de plata redondo y coloca la ensalada en un plato blanco.")</f>
        <v>Finalmente, quita la mezcla de ensalada con un aderezo de un tazón de plata redondo y coloca la ensalada en un plato blanco.</v>
      </c>
    </row>
    <row r="30579">
      <c r="A30579" s="4" t="s">
        <v>38510</v>
      </c>
      <c r="B30579" s="4" t="s">
        <v>38511</v>
      </c>
      <c r="C30579" s="5" t="str">
        <f>IFERROR(__xludf.DUMMYFUNCTION("GOOGLETRANSLATE(B30579,""en"",""es-ES"")"),"Varias personas navegan en una gran ola en el agua.")</f>
        <v>Varias personas navegan en una gran ola en el agua.</v>
      </c>
    </row>
    <row r="30580">
      <c r="A30580" s="4" t="s">
        <v>38510</v>
      </c>
      <c r="B30580" s="4" t="s">
        <v>38512</v>
      </c>
      <c r="C30580" s="5" t="str">
        <f>IFERROR(__xludf.DUMMYFUNCTION("GOOGLETRANSLATE(B30580,""en"",""es-ES"")"),"Un hombre y una niña están nadando en el agua.")</f>
        <v>Un hombre y una niña están nadando en el agua.</v>
      </c>
    </row>
    <row r="30581">
      <c r="A30581" s="4" t="s">
        <v>38513</v>
      </c>
      <c r="B30581" s="4" t="s">
        <v>38514</v>
      </c>
      <c r="C30581" s="5" t="str">
        <f>IFERROR(__xludf.DUMMYFUNCTION("GOOGLETRANSLATE(B30581,""en"",""es-ES"")"),"Se ve a un niño pequeño dando vueltas en medio de una habitación.")</f>
        <v>Se ve a un niño pequeño dando vueltas en medio de una habitación.</v>
      </c>
    </row>
    <row r="30582">
      <c r="A30582" s="4" t="s">
        <v>38513</v>
      </c>
      <c r="B30582" s="4" t="s">
        <v>38515</v>
      </c>
      <c r="C30582" s="5" t="str">
        <f>IFERROR(__xludf.DUMMYFUNCTION("GOOGLETRANSLATE(B30582,""en"",""es-ES"")"),"El niño patea ambas piernas mientras la cámara se aplica.")</f>
        <v>El niño patea ambas piernas mientras la cámara se aplica.</v>
      </c>
    </row>
    <row r="30583">
      <c r="A30583" s="4" t="s">
        <v>38513</v>
      </c>
      <c r="B30583" s="4" t="s">
        <v>38516</v>
      </c>
      <c r="C30583" s="5" t="str">
        <f>IFERROR(__xludf.DUMMYFUNCTION("GOOGLETRANSLATE(B30583,""en"",""es-ES"")"),"Se ve a otro niño pateando a un lado mientras un perro entra y sale del marco.")</f>
        <v>Se ve a otro niño pateando a un lado mientras un perro entra y sale del marco.</v>
      </c>
    </row>
    <row r="30584">
      <c r="A30584" s="4" t="s">
        <v>38517</v>
      </c>
      <c r="B30584" s="4" t="s">
        <v>38518</v>
      </c>
      <c r="C30584" s="5" t="str">
        <f>IFERROR(__xludf.DUMMYFUNCTION("GOOGLETRANSLATE(B30584,""en"",""es-ES"")"),"Se ve a un niño pequeño que lleva una peluca sosteniendo un violín y hablando con la cámara.")</f>
        <v>Se ve a un niño pequeño que lleva una peluca sosteniendo un violín y hablando con la cámara.</v>
      </c>
    </row>
    <row r="30585">
      <c r="A30585" s="4" t="s">
        <v>38517</v>
      </c>
      <c r="B30585" s="4" t="s">
        <v>38519</v>
      </c>
      <c r="C30585" s="5" t="str">
        <f>IFERROR(__xludf.DUMMYFUNCTION("GOOGLETRANSLATE(B30585,""en"",""es-ES"")"),"Luego toca una canción en el violín que mueve los brazos y las manos hacia atrás y el cuarto y termina hablando a lo lejos.")</f>
        <v>Luego toca una canción en el violín que mueve los brazos y las manos hacia atrás y el cuarto y termina hablando a lo lejos.</v>
      </c>
    </row>
    <row r="30586">
      <c r="A30586" s="4" t="s">
        <v>38520</v>
      </c>
      <c r="B30586" s="4" t="s">
        <v>38521</v>
      </c>
      <c r="C30586" s="5" t="str">
        <f>IFERROR(__xludf.DUMMYFUNCTION("GOOGLETRANSLATE(B30586,""en"",""es-ES"")"),"Se ve a un hombre hablando con la cámara y presenta su cuchillo y afilador.")</f>
        <v>Se ve a un hombre hablando con la cámara y presenta su cuchillo y afilador.</v>
      </c>
    </row>
    <row r="30587">
      <c r="A30587" s="4" t="s">
        <v>38520</v>
      </c>
      <c r="B30587" s="4" t="s">
        <v>38522</v>
      </c>
      <c r="C30587" s="5" t="str">
        <f>IFERROR(__xludf.DUMMYFUNCTION("GOOGLETRANSLATE(B30587,""en"",""es-ES"")"),"Luego desliza el cuchillo por el afilador y muestra cómo funcionan otros cuchillos con diferentes afiladores.")</f>
        <v>Luego desliza el cuchillo por el afilador y muestra cómo funcionan otros cuchillos con diferentes afiladores.</v>
      </c>
    </row>
    <row r="30588">
      <c r="A30588" s="4" t="s">
        <v>38520</v>
      </c>
      <c r="B30588" s="4" t="s">
        <v>38523</v>
      </c>
      <c r="C30588" s="5" t="str">
        <f>IFERROR(__xludf.DUMMYFUNCTION("GOOGLETRANSLATE(B30588,""en"",""es-ES"")"),"Él presenta el cuchillo por última vez mientras sigue hablando con la cámara.")</f>
        <v>Él presenta el cuchillo por última vez mientras sigue hablando con la cámara.</v>
      </c>
    </row>
    <row r="30589">
      <c r="A30589" s="4" t="s">
        <v>38524</v>
      </c>
      <c r="B30589" s="4" t="s">
        <v>38525</v>
      </c>
      <c r="C30589" s="5" t="str">
        <f>IFERROR(__xludf.DUMMYFUNCTION("GOOGLETRANSLATE(B30589,""en"",""es-ES"")"),"Un hombre está limpiando un piso.")</f>
        <v>Un hombre está limpiando un piso.</v>
      </c>
    </row>
    <row r="30590">
      <c r="A30590" s="4" t="s">
        <v>38524</v>
      </c>
      <c r="B30590" s="4" t="s">
        <v>38526</v>
      </c>
      <c r="C30590" s="5" t="str">
        <f>IFERROR(__xludf.DUMMYFUNCTION("GOOGLETRANSLATE(B30590,""en"",""es-ES"")"),"Una mujer está comiendo.")</f>
        <v>Una mujer está comiendo.</v>
      </c>
    </row>
    <row r="30591">
      <c r="A30591" s="4" t="s">
        <v>38527</v>
      </c>
      <c r="B30591" s="4" t="s">
        <v>38528</v>
      </c>
      <c r="C30591" s="5" t="str">
        <f>IFERROR(__xludf.DUMMYFUNCTION("GOOGLETRANSLATE(B30591,""en"",""es-ES"")"),"Una persona lava las manos y cierra un desagüe del fregadero.")</f>
        <v>Una persona lava las manos y cierra un desagüe del fregadero.</v>
      </c>
    </row>
    <row r="30592">
      <c r="A30592" s="4" t="s">
        <v>38527</v>
      </c>
      <c r="B30592" s="4" t="s">
        <v>38529</v>
      </c>
      <c r="C30592" s="5" t="str">
        <f>IFERROR(__xludf.DUMMYFUNCTION("GOOGLETRANSLATE(B30592,""en"",""es-ES"")"),"La persona elimina un contacto del contenedor y coloca en la punta de su dedo.")</f>
        <v>La persona elimina un contacto del contenedor y coloca en la punta de su dedo.</v>
      </c>
    </row>
    <row r="30593">
      <c r="A30593" s="4" t="s">
        <v>38527</v>
      </c>
      <c r="B30593" s="4" t="s">
        <v>38530</v>
      </c>
      <c r="C30593" s="5" t="str">
        <f>IFERROR(__xludf.DUMMYFUNCTION("GOOGLETRANSLATE(B30593,""en"",""es-ES"")"),"La persona sostiene un párpado a la vez e inserta el contacto en sus ojos.")</f>
        <v>La persona sostiene un párpado a la vez e inserta el contacto en sus ojos.</v>
      </c>
    </row>
    <row r="30594">
      <c r="A30594" s="4" t="s">
        <v>38527</v>
      </c>
      <c r="B30594" s="4" t="s">
        <v>38531</v>
      </c>
      <c r="C30594" s="5" t="str">
        <f>IFERROR(__xludf.DUMMYFUNCTION("GOOGLETRANSLATE(B30594,""en"",""es-ES"")"),"Se rocía una solución más limpia en el recipiente para limpiarlo.")</f>
        <v>Se rocía una solución más limpia en el recipiente para limpiarlo.</v>
      </c>
    </row>
    <row r="30595">
      <c r="A30595" s="4" t="s">
        <v>38527</v>
      </c>
      <c r="B30595" s="4" t="s">
        <v>38532</v>
      </c>
      <c r="C30595" s="5" t="str">
        <f>IFERROR(__xludf.DUMMYFUNCTION("GOOGLETRANSLATE(B30595,""en"",""es-ES"")"),"La lente de contacto se retira del ojo.")</f>
        <v>La lente de contacto se retira del ojo.</v>
      </c>
    </row>
    <row r="30596">
      <c r="A30596" s="4" t="s">
        <v>38527</v>
      </c>
      <c r="B30596" s="4" t="s">
        <v>38533</v>
      </c>
      <c r="C30596" s="5" t="str">
        <f>IFERROR(__xludf.DUMMYFUNCTION("GOOGLETRANSLATE(B30596,""en"",""es-ES"")"),"La solución se rocía en la lente de contacto que descansa en la palma de una mano antes de ser colocada en el mostrador.")</f>
        <v>La solución se rocía en la lente de contacto que descansa en la palma de una mano antes de ser colocada en el mostrador.</v>
      </c>
    </row>
    <row r="30597">
      <c r="A30597" s="4" t="s">
        <v>38534</v>
      </c>
      <c r="B30597" s="4" t="s">
        <v>38535</v>
      </c>
      <c r="C30597" s="5" t="str">
        <f>IFERROR(__xludf.DUMMYFUNCTION("GOOGLETRANSLATE(B30597,""en"",""es-ES"")"),"Una serie de máscaras se muestran en una tabla.")</f>
        <v>Una serie de máscaras se muestran en una tabla.</v>
      </c>
    </row>
    <row r="30598">
      <c r="A30598" s="4" t="s">
        <v>38534</v>
      </c>
      <c r="B30598" s="4" t="s">
        <v>38536</v>
      </c>
      <c r="C30598" s="5" t="str">
        <f>IFERROR(__xludf.DUMMYFUNCTION("GOOGLETRANSLATE(B30598,""en"",""es-ES"")"),"Un perro Yorkie se muestra desde varios ángulos.")</f>
        <v>Un perro Yorkie se muestra desde varios ángulos.</v>
      </c>
    </row>
    <row r="30599">
      <c r="A30599" s="4" t="s">
        <v>38534</v>
      </c>
      <c r="B30599" s="4" t="s">
        <v>38537</v>
      </c>
      <c r="C30599" s="5" t="str">
        <f>IFERROR(__xludf.DUMMYFUNCTION("GOOGLETRANSLATE(B30599,""en"",""es-ES"")"),"Luego vemos las competiciones ganadoras de los perros y nos preparan.")</f>
        <v>Luego vemos las competiciones ganadoras de los perros y nos preparan.</v>
      </c>
    </row>
    <row r="30600">
      <c r="A30600" s="4" t="s">
        <v>38538</v>
      </c>
      <c r="B30600" s="4" t="s">
        <v>1487</v>
      </c>
      <c r="C30600" s="5" t="str">
        <f>IFERROR(__xludf.DUMMYFUNCTION("GOOGLETRANSLATE(B30600,""en"",""es-ES"")"),"Vemos una pantalla de título de apertura.")</f>
        <v>Vemos una pantalla de título de apertura.</v>
      </c>
    </row>
    <row r="30601">
      <c r="A30601" s="4" t="s">
        <v>38538</v>
      </c>
      <c r="B30601" s="4" t="s">
        <v>38539</v>
      </c>
      <c r="C30601" s="5" t="str">
        <f>IFERROR(__xludf.DUMMYFUNCTION("GOOGLETRANSLATE(B30601,""en"",""es-ES"")"),"Vemos una rasuradora eléctrica desde varios ángulos.")</f>
        <v>Vemos una rasuradora eléctrica desde varios ángulos.</v>
      </c>
    </row>
    <row r="30602">
      <c r="A30602" s="4" t="s">
        <v>38538</v>
      </c>
      <c r="B30602" s="4" t="s">
        <v>38540</v>
      </c>
      <c r="C30602" s="5" t="str">
        <f>IFERROR(__xludf.DUMMYFUNCTION("GOOGLETRANSLATE(B30602,""en"",""es-ES"")"),"El hombre desenvuelve el producto y lo saca de la bolsa.")</f>
        <v>El hombre desenvuelve el producto y lo saca de la bolsa.</v>
      </c>
    </row>
    <row r="30603">
      <c r="A30603" s="4" t="s">
        <v>38538</v>
      </c>
      <c r="B30603" s="4" t="s">
        <v>38541</v>
      </c>
      <c r="C30603" s="5" t="str">
        <f>IFERROR(__xludf.DUMMYFUNCTION("GOOGLETRANSLATE(B30603,""en"",""es-ES"")"),"El producto se está sacando de su embalaje.")</f>
        <v>El producto se está sacando de su embalaje.</v>
      </c>
    </row>
    <row r="30604">
      <c r="A30604" s="4" t="s">
        <v>38538</v>
      </c>
      <c r="B30604" s="4" t="s">
        <v>38542</v>
      </c>
      <c r="C30604" s="5" t="str">
        <f>IFERROR(__xludf.DUMMYFUNCTION("GOOGLETRANSLATE(B30604,""en"",""es-ES"")"),"El hombre afeita su mano y luego agrega un guardia y se afeita la barba y la línea del cabello en la espalda.")</f>
        <v>El hombre afeita su mano y luego agrega un guardia y se afeita la barba y la línea del cabello en la espalda.</v>
      </c>
    </row>
    <row r="30605">
      <c r="A30605" s="4" t="s">
        <v>38538</v>
      </c>
      <c r="B30605" s="4" t="s">
        <v>38543</v>
      </c>
      <c r="C30605" s="5" t="str">
        <f>IFERROR(__xludf.DUMMYFUNCTION("GOOGLETRANSLATE(B30605,""en"",""es-ES"")"),"El hombre enjuague la rasca y trabaja en su cuello.")</f>
        <v>El hombre enjuague la rasca y trabaja en su cuello.</v>
      </c>
    </row>
    <row r="30606">
      <c r="A30606" s="4" t="s">
        <v>38538</v>
      </c>
      <c r="B30606" s="4" t="s">
        <v>4452</v>
      </c>
      <c r="C30606" s="5" t="str">
        <f>IFERROR(__xludf.DUMMYFUNCTION("GOOGLETRANSLATE(B30606,""en"",""es-ES"")"),"Luego vemos la pantalla final.")</f>
        <v>Luego vemos la pantalla final.</v>
      </c>
    </row>
    <row r="30607">
      <c r="A30607" s="4" t="s">
        <v>38544</v>
      </c>
      <c r="B30607" s="4" t="s">
        <v>38545</v>
      </c>
      <c r="C30607" s="5" t="str">
        <f>IFERROR(__xludf.DUMMYFUNCTION("GOOGLETRANSLATE(B30607,""en"",""es-ES"")"),"Un hombre y una mujer vestida con ropa de nieve caminan en la nieve y comienzan a perforar en el suelo de hielo con ejercicios de manivela roja a mano.")</f>
        <v>Un hombre y una mujer vestida con ropa de nieve caminan en la nieve y comienzan a perforar en el suelo de hielo con ejercicios de manivela roja a mano.</v>
      </c>
    </row>
    <row r="30608">
      <c r="A30608" s="4" t="s">
        <v>38544</v>
      </c>
      <c r="B30608" s="4" t="s">
        <v>38546</v>
      </c>
      <c r="C30608" s="5" t="str">
        <f>IFERROR(__xludf.DUMMYFUNCTION("GOOGLETRANSLATE(B30608,""en"",""es-ES"")"),"Cuando hacen un agujero en el hielo, ponen su alambre de pesca unido con cebo en el agujero y comienzan a pescar en el hielo hasta que la mujer atrapa un pez.")</f>
        <v>Cuando hacen un agujero en el hielo, ponen su alambre de pesca unido con cebo en el agujero y comienzan a pescar en el hielo hasta que la mujer atrapa un pez.</v>
      </c>
    </row>
    <row r="30609">
      <c r="A30609" s="4" t="s">
        <v>38544</v>
      </c>
      <c r="B30609" s="4" t="s">
        <v>38547</v>
      </c>
      <c r="C30609" s="5" t="str">
        <f>IFERROR(__xludf.DUMMYFUNCTION("GOOGLETRANSLATE(B30609,""en"",""es-ES"")"),"Después de que terminan de pescar, ahora están en un fuego de madera y el pescado está cocinando en la madera.")</f>
        <v>Después de que terminan de pescar, ahora están en un fuego de madera y el pescado está cocinando en la madera.</v>
      </c>
    </row>
    <row r="30610">
      <c r="A30610" s="4" t="s">
        <v>38548</v>
      </c>
      <c r="B30610" s="4" t="s">
        <v>38549</v>
      </c>
      <c r="C30610" s="5" t="str">
        <f>IFERROR(__xludf.DUMMYFUNCTION("GOOGLETRANSLATE(B30610,""en"",""es-ES"")"),"Una mujer hace ejercicio cortando un palo en la mano en un archivo.")</f>
        <v>Una mujer hace ejercicio cortando un palo en la mano en un archivo.</v>
      </c>
    </row>
    <row r="30611">
      <c r="A30611" s="4" t="s">
        <v>38548</v>
      </c>
      <c r="B30611" s="4" t="s">
        <v>38550</v>
      </c>
      <c r="C30611" s="5" t="str">
        <f>IFERROR(__xludf.DUMMYFUNCTION("GOOGLETRANSLATE(B30611,""en"",""es-ES"")"),"La mujer hace ejercicio en el frente del océano girando el palo en su cuello.")</f>
        <v>La mujer hace ejercicio en el frente del océano girando el palo en su cuello.</v>
      </c>
    </row>
    <row r="30612">
      <c r="A30612" s="4" t="s">
        <v>38548</v>
      </c>
      <c r="B30612" s="4" t="s">
        <v>38551</v>
      </c>
      <c r="C30612" s="5" t="str">
        <f>IFERROR(__xludf.DUMMYFUNCTION("GOOGLETRANSLATE(B30612,""en"",""es-ES"")"),"Luego, la mujer arroja el palo al aire.")</f>
        <v>Luego, la mujer arroja el palo al aire.</v>
      </c>
    </row>
    <row r="30613">
      <c r="A30613" s="4" t="s">
        <v>38548</v>
      </c>
      <c r="B30613" s="4" t="s">
        <v>38552</v>
      </c>
      <c r="C30613" s="5" t="str">
        <f>IFERROR(__xludf.DUMMYFUNCTION("GOOGLETRANSLATE(B30613,""en"",""es-ES"")"),"Después, la mujer pasa el palo de mano a otro en su brazo doblado.")</f>
        <v>Después, la mujer pasa el palo de mano a otro en su brazo doblado.</v>
      </c>
    </row>
    <row r="30614">
      <c r="A30614" s="4" t="s">
        <v>38553</v>
      </c>
      <c r="B30614" s="4" t="s">
        <v>38554</v>
      </c>
      <c r="C30614" s="5" t="str">
        <f>IFERROR(__xludf.DUMMYFUNCTION("GOOGLETRANSLATE(B30614,""en"",""es-ES"")"),"Dos hombres con trajes de sumo acolchados son arrastrados por una cuerda de remolcador en una pendiente de esquí.")</f>
        <v>Dos hombres con trajes de sumo acolchados son arrastrados por una cuerda de remolcador en una pendiente de esquí.</v>
      </c>
    </row>
    <row r="30615">
      <c r="A30615" s="4" t="s">
        <v>38553</v>
      </c>
      <c r="B30615" s="4" t="s">
        <v>38555</v>
      </c>
      <c r="C30615" s="5" t="str">
        <f>IFERROR(__xludf.DUMMYFUNCTION("GOOGLETRANSLATE(B30615,""en"",""es-ES"")"),"Dos hombres con trajes de sumo acolchados amarillos saltan sobre su snowboard en un curso de descenso.")</f>
        <v>Dos hombres con trajes de sumo acolchados amarillos saltan sobre su snowboard en un curso de descenso.</v>
      </c>
    </row>
    <row r="30616">
      <c r="A30616" s="4" t="s">
        <v>38553</v>
      </c>
      <c r="B30616" s="4" t="s">
        <v>38556</v>
      </c>
      <c r="C30616" s="5" t="str">
        <f>IFERROR(__xludf.DUMMYFUNCTION("GOOGLETRANSLATE(B30616,""en"",""es-ES"")"),"Un filtro renuncia a la cámara.")</f>
        <v>Un filtro renuncia a la cámara.</v>
      </c>
    </row>
    <row r="30617">
      <c r="A30617" s="4" t="s">
        <v>38553</v>
      </c>
      <c r="B30617" s="4" t="s">
        <v>38557</v>
      </c>
      <c r="C30617" s="5" t="str">
        <f>IFERROR(__xludf.DUMMYFUNCTION("GOOGLETRANSLATE(B30617,""en"",""es-ES"")"),"El hombre gira mientras se desliza a través de una plataforma en el traje de sumo.")</f>
        <v>El hombre gira mientras se desliza a través de una plataforma en el traje de sumo.</v>
      </c>
    </row>
    <row r="30618">
      <c r="A30618" s="4" t="s">
        <v>38553</v>
      </c>
      <c r="B30618" s="4" t="s">
        <v>38558</v>
      </c>
      <c r="C30618" s="5" t="str">
        <f>IFERROR(__xludf.DUMMYFUNCTION("GOOGLETRANSLATE(B30618,""en"",""es-ES"")"),"Los dos hombres se dan unos a otros cinco.")</f>
        <v>Los dos hombres se dan unos a otros cinco.</v>
      </c>
    </row>
    <row r="30619">
      <c r="A30619" s="4" t="s">
        <v>38553</v>
      </c>
      <c r="B30619" s="4" t="s">
        <v>38559</v>
      </c>
      <c r="C30619" s="5" t="str">
        <f>IFERROR(__xludf.DUMMYFUNCTION("GOOGLETRANSLATE(B30619,""en"",""es-ES"")"),"El hombre con traje de sumo pasa por un pequeño obstáculo triangular.")</f>
        <v>El hombre con traje de sumo pasa por un pequeño obstáculo triangular.</v>
      </c>
    </row>
    <row r="30620">
      <c r="A30620" s="4" t="s">
        <v>38553</v>
      </c>
      <c r="B30620" s="4" t="s">
        <v>38560</v>
      </c>
      <c r="C30620" s="5" t="str">
        <f>IFERROR(__xludf.DUMMYFUNCTION("GOOGLETRANSLATE(B30620,""en"",""es-ES"")"),"Un hombre con pequeños esquís se bloquea mientras intenta saltar.")</f>
        <v>Un hombre con pequeños esquís se bloquea mientras intenta saltar.</v>
      </c>
    </row>
    <row r="30621">
      <c r="A30621" s="4" t="s">
        <v>38553</v>
      </c>
      <c r="B30621" s="4" t="s">
        <v>38561</v>
      </c>
      <c r="C30621" s="5" t="str">
        <f>IFERROR(__xludf.DUMMYFUNCTION("GOOGLETRANSLATE(B30621,""en"",""es-ES"")"),"El hombre salta y se desliza por una plataforma mientras usa un traje de sumo.")</f>
        <v>El hombre salta y se desliza por una plataforma mientras usa un traje de sumo.</v>
      </c>
    </row>
    <row r="30622">
      <c r="A30622" s="4" t="s">
        <v>38553</v>
      </c>
      <c r="B30622" s="4" t="s">
        <v>38562</v>
      </c>
      <c r="C30622" s="5" t="str">
        <f>IFERROR(__xludf.DUMMYFUNCTION("GOOGLETRANSLATE(B30622,""en"",""es-ES"")"),"El hombre rebota sobre una barandilla baja.")</f>
        <v>El hombre rebota sobre una barandilla baja.</v>
      </c>
    </row>
    <row r="30623">
      <c r="A30623" s="4" t="s">
        <v>38563</v>
      </c>
      <c r="B30623" s="4" t="s">
        <v>38564</v>
      </c>
      <c r="C30623" s="5" t="str">
        <f>IFERROR(__xludf.DUMMYFUNCTION("GOOGLETRANSLATE(B30623,""en"",""es-ES"")"),"Un niño está sentado en una silla detrás de un mostrador.")</f>
        <v>Un niño está sentado en una silla detrás de un mostrador.</v>
      </c>
    </row>
    <row r="30624">
      <c r="A30624" s="4" t="s">
        <v>38563</v>
      </c>
      <c r="B30624" s="4" t="s">
        <v>38565</v>
      </c>
      <c r="C30624" s="5" t="str">
        <f>IFERROR(__xludf.DUMMYFUNCTION("GOOGLETRANSLATE(B30624,""en"",""es-ES"")"),"Una niña aparece a su lado y trata de alimentarlo con cereal.")</f>
        <v>Una niña aparece a su lado y trata de alimentarlo con cereal.</v>
      </c>
    </row>
    <row r="30625">
      <c r="A30625" s="4" t="s">
        <v>38563</v>
      </c>
      <c r="B30625" s="4" t="s">
        <v>38566</v>
      </c>
      <c r="C30625" s="5" t="str">
        <f>IFERROR(__xludf.DUMMYFUNCTION("GOOGLETRANSLATE(B30625,""en"",""es-ES"")"),"Comienza a lanzar dardos en un tablero de dardos.")</f>
        <v>Comienza a lanzar dardos en un tablero de dardos.</v>
      </c>
    </row>
    <row r="30626">
      <c r="A30626" s="4" t="s">
        <v>38567</v>
      </c>
      <c r="B30626" s="4" t="s">
        <v>38568</v>
      </c>
      <c r="C30626" s="5" t="str">
        <f>IFERROR(__xludf.DUMMYFUNCTION("GOOGLETRANSLATE(B30626,""en"",""es-ES"")"),"Se muestra un primer plano de un piso muy sucio que se limpia con un vacío grande.")</f>
        <v>Se muestra un primer plano de un piso muy sucio que se limpia con un vacío grande.</v>
      </c>
    </row>
    <row r="30627">
      <c r="A30627" s="4" t="s">
        <v>38567</v>
      </c>
      <c r="B30627" s="4" t="s">
        <v>38569</v>
      </c>
      <c r="C30627" s="5" t="str">
        <f>IFERROR(__xludf.DUMMYFUNCTION("GOOGLETRANSLATE(B30627,""en"",""es-ES"")"),"Las palabras en la pantalla explican la fuerza del vacío a medida que la persona continúa.")</f>
        <v>Las palabras en la pantalla explican la fuerza del vacío a medida que la persona continúa.</v>
      </c>
    </row>
    <row r="30628">
      <c r="A30628" s="4" t="s">
        <v>38567</v>
      </c>
      <c r="B30628" s="4" t="s">
        <v>38570</v>
      </c>
      <c r="C30628" s="5" t="str">
        <f>IFERROR(__xludf.DUMMYFUNCTION("GOOGLETRANSLATE(B30628,""en"",""es-ES"")"),"El piso se está limpiando a velocidad de caminar.")</f>
        <v>El piso se está limpiando a velocidad de caminar.</v>
      </c>
    </row>
    <row r="30629">
      <c r="A30629" s="4" t="s">
        <v>38567</v>
      </c>
      <c r="B30629" s="4" t="s">
        <v>38571</v>
      </c>
      <c r="C30629" s="5" t="str">
        <f>IFERROR(__xludf.DUMMYFUNCTION("GOOGLETRANSLATE(B30629,""en"",""es-ES"")"),"El hombre continúa demostrando el uso hasta que aparezca un anuncio para la compañía al final.")</f>
        <v>El hombre continúa demostrando el uso hasta que aparezca un anuncio para la compañía al final.</v>
      </c>
    </row>
    <row r="30630">
      <c r="A30630" s="4" t="s">
        <v>38572</v>
      </c>
      <c r="B30630" s="4" t="s">
        <v>38573</v>
      </c>
      <c r="C30630" s="5" t="str">
        <f>IFERROR(__xludf.DUMMYFUNCTION("GOOGLETRANSLATE(B30630,""en"",""es-ES"")"),"Se ve una vista sobre el exterior de un aeropuerto, luego el ala del avión volador.")</f>
        <v>Se ve una vista sobre el exterior de un aeropuerto, luego el ala del avión volador.</v>
      </c>
    </row>
    <row r="30631">
      <c r="A30631" s="4" t="s">
        <v>38572</v>
      </c>
      <c r="B30631" s="4" t="s">
        <v>38574</v>
      </c>
      <c r="C30631" s="5" t="str">
        <f>IFERROR(__xludf.DUMMYFUNCTION("GOOGLETRANSLATE(B30631,""en"",""es-ES"")"),"Un hombre está en el avión con una máscara.")</f>
        <v>Un hombre está en el avión con una máscara.</v>
      </c>
    </row>
    <row r="30632">
      <c r="A30632" s="4" t="s">
        <v>38572</v>
      </c>
      <c r="B30632" s="4" t="s">
        <v>38575</v>
      </c>
      <c r="C30632" s="5" t="str">
        <f>IFERROR(__xludf.DUMMYFUNCTION("GOOGLETRANSLATE(B30632,""en"",""es-ES"")"),"Varias personas están durmiendo en los cuartos oscuros.")</f>
        <v>Varias personas están durmiendo en los cuartos oscuros.</v>
      </c>
    </row>
    <row r="30633">
      <c r="A30633" s="4" t="s">
        <v>38572</v>
      </c>
      <c r="B30633" s="4" t="s">
        <v>38576</v>
      </c>
      <c r="C30633" s="5" t="str">
        <f>IFERROR(__xludf.DUMMYFUNCTION("GOOGLETRANSLATE(B30633,""en"",""es-ES"")"),"Llegan a una estación de esquí y montan los ascensores antes de ponerse esquís y esquiar por las traicioneras colinas.")</f>
        <v>Llegan a una estación de esquí y montan los ascensores antes de ponerse esquís y esquiar por las traicioneras colinas.</v>
      </c>
    </row>
    <row r="30634">
      <c r="A30634" s="4" t="s">
        <v>38577</v>
      </c>
      <c r="B30634" s="4" t="s">
        <v>38578</v>
      </c>
      <c r="C30634" s="5" t="str">
        <f>IFERROR(__xludf.DUMMYFUNCTION("GOOGLETRANSLATE(B30634,""en"",""es-ES"")"),"Un hombre sostiene el brazo de una aspiradora de bote en una sala de exposición de vacío.")</f>
        <v>Un hombre sostiene el brazo de una aspiradora de bote en una sala de exposición de vacío.</v>
      </c>
    </row>
    <row r="30635">
      <c r="A30635" s="4" t="s">
        <v>38577</v>
      </c>
      <c r="B30635" s="4" t="s">
        <v>38579</v>
      </c>
      <c r="C30635" s="5" t="str">
        <f>IFERROR(__xludf.DUMMYFUNCTION("GOOGLETRANSLATE(B30635,""en"",""es-ES"")"),"El hombre levanta el brazo y lo muestra a la cámara.")</f>
        <v>El hombre levanta el brazo y lo muestra a la cámara.</v>
      </c>
    </row>
    <row r="30636">
      <c r="A30636" s="4" t="s">
        <v>38577</v>
      </c>
      <c r="B30636" s="4" t="s">
        <v>38580</v>
      </c>
      <c r="C30636" s="5" t="str">
        <f>IFERROR(__xludf.DUMMYFUNCTION("GOOGLETRANSLATE(B30636,""en"",""es-ES"")"),"Luego, el hombre finge, luego aspira el piso de linóleo con el vacío.")</f>
        <v>Luego, el hombre finge, luego aspira el piso de linóleo con el vacío.</v>
      </c>
    </row>
    <row r="30637">
      <c r="A30637" s="4" t="s">
        <v>38581</v>
      </c>
      <c r="B30637" s="4" t="s">
        <v>38582</v>
      </c>
      <c r="C30637" s="5" t="str">
        <f>IFERROR(__xludf.DUMMYFUNCTION("GOOGLETRANSLATE(B30637,""en"",""es-ES"")"),"Los puntajes se muestran en una pantalla frente al agua de la piscina.")</f>
        <v>Los puntajes se muestran en una pantalla frente al agua de la piscina.</v>
      </c>
    </row>
    <row r="30638">
      <c r="A30638" s="4" t="s">
        <v>38581</v>
      </c>
      <c r="B30638" s="4" t="s">
        <v>38583</v>
      </c>
      <c r="C30638" s="5" t="str">
        <f>IFERROR(__xludf.DUMMYFUNCTION("GOOGLETRANSLATE(B30638,""en"",""es-ES"")"),"Un hombre toallas en una habitación.")</f>
        <v>Un hombre toallas en una habitación.</v>
      </c>
    </row>
    <row r="30639">
      <c r="A30639" s="4" t="s">
        <v>38581</v>
      </c>
      <c r="B30639" s="4" t="s">
        <v>38584</v>
      </c>
      <c r="C30639" s="5" t="str">
        <f>IFERROR(__xludf.DUMMYFUNCTION("GOOGLETRANSLATE(B30639,""en"",""es-ES"")"),"Entra en la competencia, dándose la mano después de su inmersión.")</f>
        <v>Entra en la competencia, dándose la mano después de su inmersión.</v>
      </c>
    </row>
    <row r="30640">
      <c r="A30640" s="4" t="s">
        <v>38581</v>
      </c>
      <c r="B30640" s="4" t="s">
        <v>38585</v>
      </c>
      <c r="C30640" s="5" t="str">
        <f>IFERROR(__xludf.DUMMYFUNCTION("GOOGLETRANSLATE(B30640,""en"",""es-ES"")"),"Entre las inmersiones, el marcador se muestra nuevamente.")</f>
        <v>Entre las inmersiones, el marcador se muestra nuevamente.</v>
      </c>
    </row>
    <row r="30641">
      <c r="A30641" s="4" t="s">
        <v>38581</v>
      </c>
      <c r="B30641" s="4" t="s">
        <v>38586</v>
      </c>
      <c r="C30641" s="5" t="str">
        <f>IFERROR(__xludf.DUMMYFUNCTION("GOOGLETRANSLATE(B30641,""en"",""es-ES"")"),"La escena final es del hombre que se quita el tablero de buceo.")</f>
        <v>La escena final es del hombre que se quita el tablero de buceo.</v>
      </c>
    </row>
    <row r="30642">
      <c r="A30642" s="4" t="s">
        <v>38587</v>
      </c>
      <c r="B30642" s="4" t="s">
        <v>38588</v>
      </c>
      <c r="C30642" s="5" t="str">
        <f>IFERROR(__xludf.DUMMYFUNCTION("GOOGLETRANSLATE(B30642,""en"",""es-ES"")"),"Se ve a una mujer sonriendo a la cámara sosteniendo un secador de soplado y varios accesorios.")</f>
        <v>Se ve a una mujer sonriendo a la cámara sosteniendo un secador de soplado y varios accesorios.</v>
      </c>
    </row>
    <row r="30643">
      <c r="A30643" s="4" t="s">
        <v>38587</v>
      </c>
      <c r="B30643" s="4" t="s">
        <v>38589</v>
      </c>
      <c r="C30643" s="5" t="str">
        <f>IFERROR(__xludf.DUMMYFUNCTION("GOOGLETRANSLATE(B30643,""en"",""es-ES"")"),"Luego se la ve de nuevo con el cabello mojado y luego rocía líquido en su cabello y luego se seca más su cabello.")</f>
        <v>Luego se la ve de nuevo con el cabello mojado y luego rocía líquido en su cabello y luego se seca más su cabello.</v>
      </c>
    </row>
    <row r="30644">
      <c r="A30644" s="4" t="s">
        <v>38587</v>
      </c>
      <c r="B30644" s="4" t="s">
        <v>38590</v>
      </c>
      <c r="C30644" s="5" t="str">
        <f>IFERROR(__xludf.DUMMYFUNCTION("GOOGLETRANSLATE(B30644,""en"",""es-ES"")"),"Luego se mueve el cabello, se adhiere y se une al secador, y se seca el cabello por todas partes, girando hacia la cámara al final.")</f>
        <v>Luego se mueve el cabello, se adhiere y se une al secador, y se seca el cabello por todas partes, girando hacia la cámara al final.</v>
      </c>
    </row>
    <row r="30645">
      <c r="A30645" s="4" t="s">
        <v>38591</v>
      </c>
      <c r="B30645" s="4" t="s">
        <v>38592</v>
      </c>
      <c r="C30645" s="5" t="str">
        <f>IFERROR(__xludf.DUMMYFUNCTION("GOOGLETRANSLATE(B30645,""en"",""es-ES"")"),"Un hombre usa un gran murciélago de plástico.")</f>
        <v>Un hombre usa un gran murciélago de plástico.</v>
      </c>
    </row>
    <row r="30646">
      <c r="A30646" s="4" t="s">
        <v>38591</v>
      </c>
      <c r="B30646" s="4" t="s">
        <v>38593</v>
      </c>
      <c r="C30646" s="5" t="str">
        <f>IFERROR(__xludf.DUMMYFUNCTION("GOOGLETRANSLATE(B30646,""en"",""es-ES"")"),"Lo balancea en una piñata con forma de bobina de bob Espone.")</f>
        <v>Lo balancea en una piñata con forma de bobina de bob Espone.</v>
      </c>
    </row>
    <row r="30647">
      <c r="A30647" s="4" t="s">
        <v>38591</v>
      </c>
      <c r="B30647" s="4" t="s">
        <v>38594</v>
      </c>
      <c r="C30647" s="5" t="str">
        <f>IFERROR(__xludf.DUMMYFUNCTION("GOOGLETRANSLATE(B30647,""en"",""es-ES"")"),"Se pierde varias veces y sigue balanceándose.")</f>
        <v>Se pierde varias veces y sigue balanceándose.</v>
      </c>
    </row>
    <row r="30648">
      <c r="A30648" s="4" t="s">
        <v>38595</v>
      </c>
      <c r="B30648" s="4" t="s">
        <v>38596</v>
      </c>
      <c r="C30648" s="5" t="str">
        <f>IFERROR(__xludf.DUMMYFUNCTION("GOOGLETRANSLATE(B30648,""en"",""es-ES"")"),"Vemos un dedo en la lente y un hombro.")</f>
        <v>Vemos un dedo en la lente y un hombro.</v>
      </c>
    </row>
    <row r="30649">
      <c r="A30649" s="4" t="s">
        <v>38595</v>
      </c>
      <c r="B30649" s="4" t="s">
        <v>38597</v>
      </c>
      <c r="C30649" s="5" t="str">
        <f>IFERROR(__xludf.DUMMYFUNCTION("GOOGLETRANSLATE(B30649,""en"",""es-ES"")"),"Una mujer empuja una cortadora de césped a través de la hierba.")</f>
        <v>Una mujer empuja una cortadora de césped a través de la hierba.</v>
      </c>
    </row>
    <row r="30650">
      <c r="A30650" s="4" t="s">
        <v>38595</v>
      </c>
      <c r="B30650" s="4" t="s">
        <v>38598</v>
      </c>
      <c r="C30650" s="5" t="str">
        <f>IFERROR(__xludf.DUMMYFUNCTION("GOOGLETRANSLATE(B30650,""en"",""es-ES"")"),"La señora levanta el cortacésped y retrocede.")</f>
        <v>La señora levanta el cortacésped y retrocede.</v>
      </c>
    </row>
    <row r="30651">
      <c r="A30651" s="4" t="s">
        <v>38595</v>
      </c>
      <c r="B30651" s="4" t="s">
        <v>38599</v>
      </c>
      <c r="C30651" s="5" t="str">
        <f>IFERROR(__xludf.DUMMYFUNCTION("GOOGLETRANSLATE(B30651,""en"",""es-ES"")"),"La señora gira el cortacésped.")</f>
        <v>La señora gira el cortacésped.</v>
      </c>
    </row>
    <row r="30652">
      <c r="A30652" s="4" t="s">
        <v>38600</v>
      </c>
      <c r="B30652" s="4" t="s">
        <v>38601</v>
      </c>
      <c r="C30652" s="5" t="str">
        <f>IFERROR(__xludf.DUMMYFUNCTION("GOOGLETRANSLATE(B30652,""en"",""es-ES"")"),"La mujer está de pie en la fuente de un mostrador y está hablando con la cámara.")</f>
        <v>La mujer está de pie en la fuente de un mostrador y está hablando con la cámara.</v>
      </c>
    </row>
    <row r="30653">
      <c r="A30653" s="4" t="s">
        <v>38600</v>
      </c>
      <c r="B30653" s="4" t="s">
        <v>38602</v>
      </c>
      <c r="C30653" s="5" t="str">
        <f>IFERROR(__xludf.DUMMYFUNCTION("GOOGLETRANSLATE(B30653,""en"",""es-ES"")"),"Se muestra un fregadero limpio y una mujer que clava la superficie del agua y el vino con una tela y luego con una esponja.")</f>
        <v>Se muestra un fregadero limpio y una mujer que clava la superficie del agua y el vino con una tela y luego con una esponja.</v>
      </c>
    </row>
    <row r="30654">
      <c r="A30654" s="4" t="s">
        <v>38600</v>
      </c>
      <c r="B30654" s="4" t="s">
        <v>38603</v>
      </c>
      <c r="C30654" s="5" t="str">
        <f>IFERROR(__xludf.DUMMYFUNCTION("GOOGLETRANSLATE(B30654,""en"",""es-ES"")"),"La mujer puso un limpiador en un paño y limpia el fregadero, luego la mujer habla y una mesa blanca cubre el fregadero.")</f>
        <v>La mujer puso un limpiador en un paño y limpia el fregadero, luego la mujer habla y una mesa blanca cubre el fregadero.</v>
      </c>
    </row>
    <row r="30655">
      <c r="A30655" s="4" t="s">
        <v>38604</v>
      </c>
      <c r="B30655" s="4" t="s">
        <v>38605</v>
      </c>
      <c r="C30655" s="5" t="str">
        <f>IFERROR(__xludf.DUMMYFUNCTION("GOOGLETRANSLATE(B30655,""en"",""es-ES"")"),"Se ve a un gran grupo de personas sentados alrededor de un auditorio con un hombre volando cometas en el medio.")</f>
        <v>Se ve a un gran grupo de personas sentados alrededor de un auditorio con un hombre volando cometas en el medio.</v>
      </c>
    </row>
    <row r="30656">
      <c r="A30656" s="4" t="s">
        <v>38604</v>
      </c>
      <c r="B30656" s="4" t="s">
        <v>38606</v>
      </c>
      <c r="C30656" s="5" t="str">
        <f>IFERROR(__xludf.DUMMYFUNCTION("GOOGLETRANSLATE(B30656,""en"",""es-ES"")"),"La persona continúa moviéndose con las cometas y se aleja al final con una mujer que habla con la multitud.")</f>
        <v>La persona continúa moviéndose con las cometas y se aleja al final con una mujer que habla con la multitud.</v>
      </c>
    </row>
    <row r="30657">
      <c r="A30657" s="4" t="s">
        <v>38607</v>
      </c>
      <c r="B30657" s="4" t="s">
        <v>38608</v>
      </c>
      <c r="C30657" s="5" t="str">
        <f>IFERROR(__xludf.DUMMYFUNCTION("GOOGLETRANSLATE(B30657,""en"",""es-ES"")"),"Vemos gente en un campo sosteniendo banderas.")</f>
        <v>Vemos gente en un campo sosteniendo banderas.</v>
      </c>
    </row>
    <row r="30658">
      <c r="A30658" s="4" t="s">
        <v>38607</v>
      </c>
      <c r="B30658" s="4" t="s">
        <v>38609</v>
      </c>
      <c r="C30658" s="5" t="str">
        <f>IFERROR(__xludf.DUMMYFUNCTION("GOOGLETRANSLATE(B30658,""en"",""es-ES"")"),"Vemos gente jugando paintball en el bosque.")</f>
        <v>Vemos gente jugando paintball en el bosque.</v>
      </c>
    </row>
    <row r="30659">
      <c r="A30659" s="4" t="s">
        <v>38607</v>
      </c>
      <c r="B30659" s="4" t="s">
        <v>38610</v>
      </c>
      <c r="C30659" s="5" t="str">
        <f>IFERROR(__xludf.DUMMYFUNCTION("GOOGLETRANSLATE(B30659,""en"",""es-ES"")"),"Vemos personas en líneas como soldados.")</f>
        <v>Vemos personas en líneas como soldados.</v>
      </c>
    </row>
    <row r="30660">
      <c r="A30660" s="4" t="s">
        <v>38607</v>
      </c>
      <c r="B30660" s="4" t="s">
        <v>38611</v>
      </c>
      <c r="C30660" s="5" t="str">
        <f>IFERROR(__xludf.DUMMYFUNCTION("GOOGLETRANSLATE(B30660,""en"",""es-ES"")"),"Vemos a la gente en el bosque en equipo de bola de pintura.")</f>
        <v>Vemos a la gente en el bosque en equipo de bola de pintura.</v>
      </c>
    </row>
    <row r="30661">
      <c r="A30661" s="4" t="s">
        <v>38607</v>
      </c>
      <c r="B30661" s="4" t="s">
        <v>38612</v>
      </c>
      <c r="C30661" s="5" t="str">
        <f>IFERROR(__xludf.DUMMYFUNCTION("GOOGLETRANSLATE(B30661,""en"",""es-ES"")"),"Vemos un tanque de metal vacío.")</f>
        <v>Vemos un tanque de metal vacío.</v>
      </c>
    </row>
    <row r="30662">
      <c r="A30662" s="4" t="s">
        <v>38607</v>
      </c>
      <c r="B30662" s="4" t="s">
        <v>38613</v>
      </c>
      <c r="C30662" s="5" t="str">
        <f>IFERROR(__xludf.DUMMYFUNCTION("GOOGLETRANSLATE(B30662,""en"",""es-ES"")"),"Vemos a la gente en el bosque de nuevo.")</f>
        <v>Vemos a la gente en el bosque de nuevo.</v>
      </c>
    </row>
    <row r="30663">
      <c r="A30663" s="4" t="s">
        <v>38607</v>
      </c>
      <c r="B30663" s="4" t="s">
        <v>38614</v>
      </c>
      <c r="C30663" s="5" t="str">
        <f>IFERROR(__xludf.DUMMYFUNCTION("GOOGLETRANSLATE(B30663,""en"",""es-ES"")"),"Vemos dentro del tanque.")</f>
        <v>Vemos dentro del tanque.</v>
      </c>
    </row>
    <row r="30664">
      <c r="A30664" s="4" t="s">
        <v>38607</v>
      </c>
      <c r="B30664" s="4" t="s">
        <v>38615</v>
      </c>
      <c r="C30664" s="5" t="str">
        <f>IFERROR(__xludf.DUMMYFUNCTION("GOOGLETRANSLATE(B30664,""en"",""es-ES"")"),"Vemos a la gente caminando por el campo.")</f>
        <v>Vemos a la gente caminando por el campo.</v>
      </c>
    </row>
    <row r="30665">
      <c r="A30665" s="4" t="s">
        <v>38607</v>
      </c>
      <c r="B30665" s="4" t="s">
        <v>38616</v>
      </c>
      <c r="C30665" s="5" t="str">
        <f>IFERROR(__xludf.DUMMYFUNCTION("GOOGLETRANSLATE(B30665,""en"",""es-ES"")"),"Vemos gente corriendo con humo.")</f>
        <v>Vemos gente corriendo con humo.</v>
      </c>
    </row>
    <row r="30666">
      <c r="A30666" s="4" t="s">
        <v>38607</v>
      </c>
      <c r="B30666" s="4" t="s">
        <v>38617</v>
      </c>
      <c r="C30666" s="5" t="str">
        <f>IFERROR(__xludf.DUMMYFUNCTION("GOOGLETRANSLATE(B30666,""en"",""es-ES"")"),"Vemos una pantalla de título final.")</f>
        <v>Vemos una pantalla de título final.</v>
      </c>
    </row>
    <row r="30667">
      <c r="A30667" s="4" t="s">
        <v>38618</v>
      </c>
      <c r="B30667" s="4" t="s">
        <v>38619</v>
      </c>
      <c r="C30667" s="5" t="str">
        <f>IFERROR(__xludf.DUMMYFUNCTION("GOOGLETRANSLATE(B30667,""en"",""es-ES"")"),"Un hombre se arrodilla junto a un árbol en un patio.")</f>
        <v>Un hombre se arrodilla junto a un árbol en un patio.</v>
      </c>
    </row>
    <row r="30668">
      <c r="A30668" s="4" t="s">
        <v>38618</v>
      </c>
      <c r="B30668" s="4" t="s">
        <v>38620</v>
      </c>
      <c r="C30668" s="5" t="str">
        <f>IFERROR(__xludf.DUMMYFUNCTION("GOOGLETRANSLATE(B30668,""en"",""es-ES"")"),"Habla mientras cava con las manos.")</f>
        <v>Habla mientras cava con las manos.</v>
      </c>
    </row>
    <row r="30669">
      <c r="A30669" s="4" t="s">
        <v>38618</v>
      </c>
      <c r="B30669" s="4" t="s">
        <v>38621</v>
      </c>
      <c r="C30669" s="5" t="str">
        <f>IFERROR(__xludf.DUMMYFUNCTION("GOOGLETRANSLATE(B30669,""en"",""es-ES"")"),"Muestra e instruye sobre cómo aplicar y empacar mulch alrededor de la base del árbol.")</f>
        <v>Muestra e instruye sobre cómo aplicar y empacar mulch alrededor de la base del árbol.</v>
      </c>
    </row>
    <row r="30670">
      <c r="A30670" s="4" t="s">
        <v>38622</v>
      </c>
      <c r="B30670" s="4" t="s">
        <v>38623</v>
      </c>
      <c r="C30670" s="5" t="str">
        <f>IFERROR(__xludf.DUMMYFUNCTION("GOOGLETRANSLATE(B30670,""en"",""es-ES"")"),"Una persona corre y salta con zapatos que rebotan, y un hombre hace una cara sorprendida.")</f>
        <v>Una persona corre y salta con zapatos que rebotan, y un hombre hace una cara sorprendida.</v>
      </c>
    </row>
    <row r="30671">
      <c r="A30671" s="4" t="s">
        <v>38622</v>
      </c>
      <c r="B30671" s="4" t="s">
        <v>38624</v>
      </c>
      <c r="C30671" s="5" t="str">
        <f>IFERROR(__xludf.DUMMYFUNCTION("GOOGLETRANSLATE(B30671,""en"",""es-ES"")"),"La gente que lleva zapatos rebotando rebota y salta en un gimnasio, un presentador habla y también intenta los zapatos que rebotan.")</f>
        <v>La gente que lleva zapatos rebotando rebota y salta en un gimnasio, un presentador habla y también intenta los zapatos que rebotan.</v>
      </c>
    </row>
    <row r="30672">
      <c r="A30672" s="4" t="s">
        <v>38622</v>
      </c>
      <c r="B30672" s="4" t="s">
        <v>38625</v>
      </c>
      <c r="C30672" s="5" t="str">
        <f>IFERROR(__xludf.DUMMYFUNCTION("GOOGLETRANSLATE(B30672,""en"",""es-ES"")"),"Un hombre rebota y salta en la playa, en la calle.")</f>
        <v>Un hombre rebota y salta en la playa, en la calle.</v>
      </c>
    </row>
    <row r="30673">
      <c r="A30673" s="4" t="s">
        <v>38622</v>
      </c>
      <c r="B30673" s="4" t="s">
        <v>38626</v>
      </c>
      <c r="C30673" s="5" t="str">
        <f>IFERROR(__xludf.DUMMYFUNCTION("GOOGLETRANSLATE(B30673,""en"",""es-ES"")"),"Luego, los hombres se voltean con zapatos que rebotan, después de que un hombre juega baloncesto con zapatos que rebotan en un gimnasio.")</f>
        <v>Luego, los hombres se voltean con zapatos que rebotan, después de que un hombre juega baloncesto con zapatos que rebotan en un gimnasio.</v>
      </c>
    </row>
    <row r="30674">
      <c r="A30674" s="4" t="s">
        <v>38622</v>
      </c>
      <c r="B30674" s="4" t="s">
        <v>38627</v>
      </c>
      <c r="C30674" s="5" t="str">
        <f>IFERROR(__xludf.DUMMYFUNCTION("GOOGLETRANSLATE(B30674,""en"",""es-ES"")"),"Una persona monta una bicicleta en el gimnasio.")</f>
        <v>Una persona monta una bicicleta en el gimnasio.</v>
      </c>
    </row>
    <row r="30675">
      <c r="A30675" s="4" t="s">
        <v>38622</v>
      </c>
      <c r="B30675" s="4" t="s">
        <v>38628</v>
      </c>
      <c r="C30675" s="5" t="str">
        <f>IFERROR(__xludf.DUMMYFUNCTION("GOOGLETRANSLATE(B30675,""en"",""es-ES"")"),"Dos hombres con zapatos que rebotan se paran de frente a la parte delantera en un televisor.")</f>
        <v>Dos hombres con zapatos que rebotan se paran de frente a la parte delantera en un televisor.</v>
      </c>
    </row>
    <row r="30676">
      <c r="A30676" s="4" t="s">
        <v>38629</v>
      </c>
      <c r="B30676" s="4" t="s">
        <v>38630</v>
      </c>
      <c r="C30676" s="5" t="str">
        <f>IFERROR(__xludf.DUMMYFUNCTION("GOOGLETRANSLATE(B30676,""en"",""es-ES"")"),"Se ve a una mujer hablando con la cámara y lo lleva a vertiendo hielo en un vaso seguido de varios líquidos.")</f>
        <v>Se ve a una mujer hablando con la cámara y lo lleva a vertiendo hielo en un vaso seguido de varios líquidos.</v>
      </c>
    </row>
    <row r="30677">
      <c r="A30677" s="4" t="s">
        <v>38629</v>
      </c>
      <c r="B30677" s="4" t="s">
        <v>38631</v>
      </c>
      <c r="C30677" s="5" t="str">
        <f>IFERROR(__xludf.DUMMYFUNCTION("GOOGLETRANSLATE(B30677,""en"",""es-ES"")"),"Mezcla los líquidos hacia atrás y el cuarto y termina presentando la bebida y poniendo un limón con paja.")</f>
        <v>Mezcla los líquidos hacia atrás y el cuarto y termina presentando la bebida y poniendo un limón con paja.</v>
      </c>
    </row>
    <row r="30678">
      <c r="A30678" s="4" t="s">
        <v>38632</v>
      </c>
      <c r="B30678" s="4" t="s">
        <v>38633</v>
      </c>
      <c r="C30678" s="5" t="str">
        <f>IFERROR(__xludf.DUMMYFUNCTION("GOOGLETRANSLATE(B30678,""en"",""es-ES"")"),"Una mujer sale a la hierba.")</f>
        <v>Una mujer sale a la hierba.</v>
      </c>
    </row>
    <row r="30679">
      <c r="A30679" s="4" t="s">
        <v>38632</v>
      </c>
      <c r="B30679" s="4" t="s">
        <v>38634</v>
      </c>
      <c r="C30679" s="5" t="str">
        <f>IFERROR(__xludf.DUMMYFUNCTION("GOOGLETRANSLATE(B30679,""en"",""es-ES"")"),"Dos perros pequeños la siguen con correas.")</f>
        <v>Dos perros pequeños la siguen con correas.</v>
      </c>
    </row>
    <row r="30680">
      <c r="A30680" s="4" t="s">
        <v>38632</v>
      </c>
      <c r="B30680" s="4" t="s">
        <v>38635</v>
      </c>
      <c r="C30680" s="5" t="str">
        <f>IFERROR(__xludf.DUMMYFUNCTION("GOOGLETRANSLATE(B30680,""en"",""es-ES"")"),"Ella se dobla y los perros se acercan a ella.")</f>
        <v>Ella se dobla y los perros se acercan a ella.</v>
      </c>
    </row>
    <row r="30681">
      <c r="A30681" s="4" t="s">
        <v>38636</v>
      </c>
      <c r="B30681" s="4" t="s">
        <v>38637</v>
      </c>
      <c r="C30681" s="5" t="str">
        <f>IFERROR(__xludf.DUMMYFUNCTION("GOOGLETRANSLATE(B30681,""en"",""es-ES"")"),"Se ve a un niño pequeño estar listo antes de un juego de escocés HOP.")</f>
        <v>Se ve a un niño pequeño estar listo antes de un juego de escocés HOP.</v>
      </c>
    </row>
    <row r="30682">
      <c r="A30682" s="4" t="s">
        <v>38636</v>
      </c>
      <c r="B30682" s="4" t="s">
        <v>38638</v>
      </c>
      <c r="C30682" s="5" t="str">
        <f>IFERROR(__xludf.DUMMYFUNCTION("GOOGLETRANSLATE(B30682,""en"",""es-ES"")"),"La niña comienza a saltar sobre la tiza.")</f>
        <v>La niña comienza a saltar sobre la tiza.</v>
      </c>
    </row>
    <row r="30683">
      <c r="A30683" s="4" t="s">
        <v>38636</v>
      </c>
      <c r="B30683" s="4" t="s">
        <v>38639</v>
      </c>
      <c r="C30683" s="5" t="str">
        <f>IFERROR(__xludf.DUMMYFUNCTION("GOOGLETRANSLATE(B30683,""en"",""es-ES"")"),"La niña salta hasta el final y regresa a la pantalla.")</f>
        <v>La niña salta hasta el final y regresa a la pantalla.</v>
      </c>
    </row>
    <row r="30684">
      <c r="A30684" s="4" t="s">
        <v>38640</v>
      </c>
      <c r="B30684" s="4" t="s">
        <v>38641</v>
      </c>
      <c r="C30684" s="5" t="str">
        <f>IFERROR(__xludf.DUMMYFUNCTION("GOOGLETRANSLATE(B30684,""en"",""es-ES"")"),"Un grupo de hombres está en un kayak que va por la orilla del río.")</f>
        <v>Un grupo de hombres está en un kayak que va por la orilla del río.</v>
      </c>
    </row>
    <row r="30685">
      <c r="A30685" s="4" t="s">
        <v>38640</v>
      </c>
      <c r="B30685" s="4" t="s">
        <v>38642</v>
      </c>
      <c r="C30685" s="5" t="str">
        <f>IFERROR(__xludf.DUMMYFUNCTION("GOOGLETRANSLATE(B30685,""en"",""es-ES"")"),"Están remando y mirando los árboles en la distancia disfrutando de su día.")</f>
        <v>Están remando y mirando los árboles en la distancia disfrutando de su día.</v>
      </c>
    </row>
    <row r="30686">
      <c r="A30686" s="4" t="s">
        <v>38640</v>
      </c>
      <c r="B30686" s="4" t="s">
        <v>38643</v>
      </c>
      <c r="C30686" s="5" t="str">
        <f>IFERROR(__xludf.DUMMYFUNCTION("GOOGLETRANSLATE(B30686,""en"",""es-ES"")"),"Uno de los hombres sale del bote para ir a nadar en el agua, todos entran y comienzan a salpicar agua, nadando y disfrutando el día antes de volver para volver.")</f>
        <v>Uno de los hombres sale del bote para ir a nadar en el agua, todos entran y comienzan a salpicar agua, nadando y disfrutando el día antes de volver para volver.</v>
      </c>
    </row>
    <row r="30687">
      <c r="A30687" s="4" t="s">
        <v>38640</v>
      </c>
      <c r="B30687" s="4" t="s">
        <v>38644</v>
      </c>
      <c r="C30687" s="5" t="str">
        <f>IFERROR(__xludf.DUMMYFUNCTION("GOOGLETRANSLATE(B30687,""en"",""es-ES"")"),"Una vez que comienzan a regresar a la tierra y a prepararse para subir al muelle.")</f>
        <v>Una vez que comienzan a regresar a la tierra y a prepararse para subir al muelle.</v>
      </c>
    </row>
    <row r="30688">
      <c r="A30688" s="4" t="s">
        <v>38645</v>
      </c>
      <c r="B30688" s="4" t="s">
        <v>38646</v>
      </c>
      <c r="C30688" s="5" t="str">
        <f>IFERROR(__xludf.DUMMYFUNCTION("GOOGLETRANSLATE(B30688,""en"",""es-ES"")"),"La gente está rafting en balsas por un río entrecortado.")</f>
        <v>La gente está rafting en balsas por un río entrecortado.</v>
      </c>
    </row>
    <row r="30689">
      <c r="A30689" s="4" t="s">
        <v>38645</v>
      </c>
      <c r="B30689" s="4" t="s">
        <v>38647</v>
      </c>
      <c r="C30689" s="5" t="str">
        <f>IFERROR(__xludf.DUMMYFUNCTION("GOOGLETRANSLATE(B30689,""en"",""es-ES"")"),"La gente salta de una roca al agua.")</f>
        <v>La gente salta de una roca al agua.</v>
      </c>
    </row>
    <row r="30690">
      <c r="A30690" s="4" t="s">
        <v>38645</v>
      </c>
      <c r="B30690" s="4" t="s">
        <v>38648</v>
      </c>
      <c r="C30690" s="5" t="str">
        <f>IFERROR(__xludf.DUMMYFUNCTION("GOOGLETRANSLATE(B30690,""en"",""es-ES"")"),"La gente está haciendo volteos desde la parte delantera de la balsa.")</f>
        <v>La gente está haciendo volteos desde la parte delantera de la balsa.</v>
      </c>
    </row>
    <row r="30691">
      <c r="A30691" s="4" t="s">
        <v>38645</v>
      </c>
      <c r="B30691" s="4" t="s">
        <v>38649</v>
      </c>
      <c r="C30691" s="5" t="str">
        <f>IFERROR(__xludf.DUMMYFUNCTION("GOOGLETRANSLATE(B30691,""en"",""es-ES"")"),"La gente está sentada en un bote tirando de las balsas.")</f>
        <v>La gente está sentada en un bote tirando de las balsas.</v>
      </c>
    </row>
    <row r="30692">
      <c r="A30692" s="4" t="s">
        <v>38650</v>
      </c>
      <c r="B30692" s="4" t="s">
        <v>38651</v>
      </c>
      <c r="C30692" s="5" t="str">
        <f>IFERROR(__xludf.DUMMYFUNCTION("GOOGLETRANSLATE(B30692,""en"",""es-ES"")"),"Un atleta camina frente a una multitud frotándose las manos en polvo y agarrando un juego de peso.")</f>
        <v>Un atleta camina frente a una multitud frotándose las manos en polvo y agarrando un juego de peso.</v>
      </c>
    </row>
    <row r="30693">
      <c r="A30693" s="4" t="s">
        <v>38650</v>
      </c>
      <c r="B30693" s="4" t="s">
        <v>38652</v>
      </c>
      <c r="C30693" s="5" t="str">
        <f>IFERROR(__xludf.DUMMYFUNCTION("GOOGLETRANSLATE(B30693,""en"",""es-ES"")"),"Levanta los pesos sobre su cabeza y lo arroja después, levantando las manos con su entrenador.")</f>
        <v>Levanta los pesos sobre su cabeza y lo arroja después, levantando las manos con su entrenador.</v>
      </c>
    </row>
    <row r="30694">
      <c r="A30694" s="4" t="s">
        <v>38653</v>
      </c>
      <c r="B30694" s="4" t="s">
        <v>38654</v>
      </c>
      <c r="C30694" s="5" t="str">
        <f>IFERROR(__xludf.DUMMYFUNCTION("GOOGLETRANSLATE(B30694,""en"",""es-ES"")"),"Una piñata de unicornio se balancea en el viento desde una línea.")</f>
        <v>Una piñata de unicornio se balancea en el viento desde una línea.</v>
      </c>
    </row>
    <row r="30695">
      <c r="A30695" s="4" t="s">
        <v>38653</v>
      </c>
      <c r="B30695" s="4" t="s">
        <v>38655</v>
      </c>
      <c r="C30695" s="5" t="str">
        <f>IFERROR(__xludf.DUMMYFUNCTION("GOOGLETRANSLATE(B30695,""en"",""es-ES"")"),"Una mujer lo balancea salvajemente con un bate, ya que tiene los ojos vendados.")</f>
        <v>Una mujer lo balancea salvajemente con un bate, ya que tiene los ojos vendados.</v>
      </c>
    </row>
    <row r="30696">
      <c r="A30696" s="4" t="s">
        <v>38656</v>
      </c>
      <c r="B30696" s="4" t="s">
        <v>38657</v>
      </c>
      <c r="C30696" s="5" t="str">
        <f>IFERROR(__xludf.DUMMYFUNCTION("GOOGLETRANSLATE(B30696,""en"",""es-ES"")"),"Se ve a un hombre organizando un segmento de noticias y hablando con la cámara.")</f>
        <v>Se ve a un hombre organizando un segmento de noticias y hablando con la cámara.</v>
      </c>
    </row>
    <row r="30697">
      <c r="A30697" s="4" t="s">
        <v>38656</v>
      </c>
      <c r="B30697" s="4" t="s">
        <v>38658</v>
      </c>
      <c r="C30697" s="5" t="str">
        <f>IFERROR(__xludf.DUMMYFUNCTION("GOOGLETRANSLATE(B30697,""en"",""es-ES"")"),"Luego se ve al hombre ayudando a otro yeño.")</f>
        <v>Luego se ve al hombre ayudando a otro yeño.</v>
      </c>
    </row>
    <row r="30698">
      <c r="A30698" s="4" t="s">
        <v>38656</v>
      </c>
      <c r="B30698" s="4" t="s">
        <v>38659</v>
      </c>
      <c r="C30698" s="5" t="str">
        <f>IFERROR(__xludf.DUMMYFUNCTION("GOOGLETRANSLATE(B30698,""en"",""es-ES"")"),"El anfitrión continúa ayudando a los hombres a desgarrar el piso, así como a dejarlo y hablar con la cámara.")</f>
        <v>El anfitrión continúa ayudando a los hombres a desgarrar el piso, así como a dejarlo y hablar con la cámara.</v>
      </c>
    </row>
    <row r="30699">
      <c r="A30699" s="4" t="s">
        <v>38660</v>
      </c>
      <c r="B30699" s="4" t="s">
        <v>38661</v>
      </c>
      <c r="C30699" s="5" t="str">
        <f>IFERROR(__xludf.DUMMYFUNCTION("GOOGLETRANSLATE(B30699,""en"",""es-ES"")"),"Vemos a un niño que usa JumpStilts en una calle residencial.")</f>
        <v>Vemos a un niño que usa JumpStilts en una calle residencial.</v>
      </c>
    </row>
    <row r="30700">
      <c r="A30700" s="4" t="s">
        <v>38660</v>
      </c>
      <c r="B30700" s="4" t="s">
        <v>38662</v>
      </c>
      <c r="C30700" s="5" t="str">
        <f>IFERROR(__xludf.DUMMYFUNCTION("GOOGLETRANSLATE(B30700,""en"",""es-ES"")"),"El hombre deja de saltar la primera vez.")</f>
        <v>El hombre deja de saltar la primera vez.</v>
      </c>
    </row>
    <row r="30701">
      <c r="A30701" s="4" t="s">
        <v>38660</v>
      </c>
      <c r="B30701" s="4" t="s">
        <v>38663</v>
      </c>
      <c r="C30701" s="5" t="str">
        <f>IFERROR(__xludf.DUMMYFUNCTION("GOOGLETRANSLATE(B30701,""en"",""es-ES"")"),"Vemos a una persona salir y luego entrar.")</f>
        <v>Vemos a una persona salir y luego entrar.</v>
      </c>
    </row>
    <row r="30702">
      <c r="A30702" s="4" t="s">
        <v>38660</v>
      </c>
      <c r="B30702" s="4" t="s">
        <v>38664</v>
      </c>
      <c r="C30702" s="5" t="str">
        <f>IFERROR(__xludf.DUMMYFUNCTION("GOOGLETRANSLATE(B30702,""en"",""es-ES"")"),"El hombre saltador se enfrenta y camina hacia la cámara.")</f>
        <v>El hombre saltador se enfrenta y camina hacia la cámara.</v>
      </c>
    </row>
    <row r="30703">
      <c r="A30703" s="4" t="s">
        <v>38665</v>
      </c>
      <c r="B30703" s="4" t="s">
        <v>38666</v>
      </c>
      <c r="C30703" s="5" t="str">
        <f>IFERROR(__xludf.DUMMYFUNCTION("GOOGLETRANSLATE(B30703,""en"",""es-ES"")"),"Vemos la pantalla del título en White A Lady se sienta en una silla hablando.")</f>
        <v>Vemos la pantalla del título en White A Lady se sienta en una silla hablando.</v>
      </c>
    </row>
    <row r="30704">
      <c r="A30704" s="4" t="s">
        <v>38665</v>
      </c>
      <c r="B30704" s="4" t="s">
        <v>38667</v>
      </c>
      <c r="C30704" s="5" t="str">
        <f>IFERROR(__xludf.DUMMYFUNCTION("GOOGLETRANSLATE(B30704,""en"",""es-ES"")"),"La señora comienza a pintar en su mano.")</f>
        <v>La señora comienza a pintar en su mano.</v>
      </c>
    </row>
    <row r="30705">
      <c r="A30705" s="4" t="s">
        <v>38665</v>
      </c>
      <c r="B30705" s="4" t="s">
        <v>38668</v>
      </c>
      <c r="C30705" s="5" t="str">
        <f>IFERROR(__xludf.DUMMYFUNCTION("GOOGLETRANSLATE(B30705,""en"",""es-ES"")"),"Vemos los créditos de cierre en una pantalla blanca.")</f>
        <v>Vemos los créditos de cierre en una pantalla blanca.</v>
      </c>
    </row>
    <row r="30706">
      <c r="A30706" s="4" t="s">
        <v>38669</v>
      </c>
      <c r="B30706" s="4" t="s">
        <v>38670</v>
      </c>
      <c r="C30706" s="5" t="str">
        <f>IFERROR(__xludf.DUMMYFUNCTION("GOOGLETRANSLATE(B30706,""en"",""es-ES"")"),"Se ve a un hombre joven empujando un disco por una mesa a otro hombre parado al otro lado.")</f>
        <v>Se ve a un hombre joven empujando un disco por una mesa a otro hombre parado al otro lado.</v>
      </c>
    </row>
    <row r="30707">
      <c r="A30707" s="4" t="s">
        <v>38669</v>
      </c>
      <c r="B30707" s="4" t="s">
        <v>38671</v>
      </c>
      <c r="C30707" s="5" t="str">
        <f>IFERROR(__xludf.DUMMYFUNCTION("GOOGLETRANSLATE(B30707,""en"",""es-ES"")"),"El otro hombre empuja un disco y los muchachos continúan jugando el juego y cuarto.")</f>
        <v>El otro hombre empuja un disco y los muchachos continúan jugando el juego y cuarto.</v>
      </c>
    </row>
    <row r="30708">
      <c r="A30708" s="4" t="s">
        <v>38669</v>
      </c>
      <c r="B30708" s="4" t="s">
        <v>38672</v>
      </c>
      <c r="C30708" s="5" t="str">
        <f>IFERROR(__xludf.DUMMYFUNCTION("GOOGLETRANSLATE(B30708,""en"",""es-ES"")"),"La cámara se acerca a los hombres al final, así como a otras personas de pie alrededor de la habitación.")</f>
        <v>La cámara se acerca a los hombres al final, así como a otras personas de pie alrededor de la habitación.</v>
      </c>
    </row>
    <row r="30709">
      <c r="A30709" s="4" t="s">
        <v>38673</v>
      </c>
      <c r="B30709" s="4" t="s">
        <v>38674</v>
      </c>
      <c r="C30709" s="5" t="str">
        <f>IFERROR(__xludf.DUMMYFUNCTION("GOOGLETRANSLATE(B30709,""en"",""es-ES"")"),"La gente está jugando un juego de lacrosse en un campo.")</f>
        <v>La gente está jugando un juego de lacrosse en un campo.</v>
      </c>
    </row>
    <row r="30710">
      <c r="A30710" s="4" t="s">
        <v>38673</v>
      </c>
      <c r="B30710" s="4" t="s">
        <v>38675</v>
      </c>
      <c r="C30710" s="5" t="str">
        <f>IFERROR(__xludf.DUMMYFUNCTION("GOOGLETRANSLATE(B30710,""en"",""es-ES"")"),"Los equipos se alinean y se dan la mano.")</f>
        <v>Los equipos se alinean y se dan la mano.</v>
      </c>
    </row>
    <row r="30711">
      <c r="A30711" s="4" t="s">
        <v>38673</v>
      </c>
      <c r="B30711" s="4" t="s">
        <v>38676</v>
      </c>
      <c r="C30711" s="5" t="str">
        <f>IFERROR(__xludf.DUMMYFUNCTION("GOOGLETRANSLATE(B30711,""en"",""es-ES"")"),"Una mujer con un abrigo azul está hablando con la cámara.")</f>
        <v>Una mujer con un abrigo azul está hablando con la cámara.</v>
      </c>
    </row>
    <row r="30712">
      <c r="A30712" s="4" t="s">
        <v>38673</v>
      </c>
      <c r="B30712" s="4" t="s">
        <v>38677</v>
      </c>
      <c r="C30712" s="5" t="str">
        <f>IFERROR(__xludf.DUMMYFUNCTION("GOOGLETRANSLATE(B30712,""en"",""es-ES"")"),"Un hombre con traje de marrón está hablando en un micrófono.")</f>
        <v>Un hombre con traje de marrón está hablando en un micrófono.</v>
      </c>
    </row>
    <row r="30713">
      <c r="A30713" s="4" t="s">
        <v>38678</v>
      </c>
      <c r="B30713" s="4" t="s">
        <v>38679</v>
      </c>
      <c r="C30713" s="5" t="str">
        <f>IFERROR(__xludf.DUMMYFUNCTION("GOOGLETRANSLATE(B30713,""en"",""es-ES"")"),"Una banda de marcha toca en un desfile mientras la gente mira en la acera.")</f>
        <v>Una banda de marcha toca en un desfile mientras la gente mira en la acera.</v>
      </c>
    </row>
    <row r="30714">
      <c r="A30714" s="4" t="s">
        <v>38678</v>
      </c>
      <c r="B30714" s="4" t="s">
        <v>38680</v>
      </c>
      <c r="C30714" s="5" t="str">
        <f>IFERROR(__xludf.DUMMYFUNCTION("GOOGLETRANSLATE(B30714,""en"",""es-ES"")"),"La banda de marcha pasa en el frente un carnaval y un campo verde.")</f>
        <v>La banda de marcha pasa en el frente un carnaval y un campo verde.</v>
      </c>
    </row>
    <row r="30715">
      <c r="A30715" s="4" t="s">
        <v>38678</v>
      </c>
      <c r="B30715" s="4" t="s">
        <v>38681</v>
      </c>
      <c r="C30715" s="5" t="str">
        <f>IFERROR(__xludf.DUMMYFUNCTION("GOOGLETRANSLATE(B30715,""en"",""es-ES"")"),"Luego, la banda de música llega a una ciudad.")</f>
        <v>Luego, la banda de música llega a una ciudad.</v>
      </c>
    </row>
    <row r="30716">
      <c r="A30716" s="4" t="s">
        <v>38678</v>
      </c>
      <c r="B30716" s="4" t="s">
        <v>38682</v>
      </c>
      <c r="C30716" s="5" t="str">
        <f>IFERROR(__xludf.DUMMYFUNCTION("GOOGLETRANSLATE(B30716,""en"",""es-ES"")"),"Un viejo que sostiene un trofeo camina en el frente de la banda de música.")</f>
        <v>Un viejo que sostiene un trofeo camina en el frente de la banda de música.</v>
      </c>
    </row>
    <row r="30717">
      <c r="A30717" s="4" t="s">
        <v>38678</v>
      </c>
      <c r="B30717" s="4" t="s">
        <v>38683</v>
      </c>
      <c r="C30717" s="5" t="str">
        <f>IFERROR(__xludf.DUMMYFUNCTION("GOOGLETRANSLATE(B30717,""en"",""es-ES"")"),"Después, la banda de música llega a una estación de autobuses.")</f>
        <v>Después, la banda de música llega a una estación de autobuses.</v>
      </c>
    </row>
    <row r="30718">
      <c r="A30718" s="4" t="s">
        <v>38678</v>
      </c>
      <c r="B30718" s="4" t="s">
        <v>38684</v>
      </c>
      <c r="C30718" s="5" t="str">
        <f>IFERROR(__xludf.DUMMYFUNCTION("GOOGLETRANSLATE(B30718,""en"",""es-ES"")"),"Una dama de Bond aplaude, abraza a la gente y habla.")</f>
        <v>Una dama de Bond aplaude, abraza a la gente y habla.</v>
      </c>
    </row>
    <row r="30719">
      <c r="A30719" s="4" t="s">
        <v>38685</v>
      </c>
      <c r="B30719" s="4" t="s">
        <v>38686</v>
      </c>
      <c r="C30719" s="5" t="str">
        <f>IFERROR(__xludf.DUMMYFUNCTION("GOOGLETRANSLATE(B30719,""en"",""es-ES"")"),"Se muestra una introducción con una bebida vertida en un vaso y una leyenda sobre la mezcla de bebidas.")</f>
        <v>Se muestra una introducción con una bebida vertida en un vaso y una leyenda sobre la mezcla de bebidas.</v>
      </c>
    </row>
    <row r="30720">
      <c r="A30720" s="4" t="s">
        <v>38685</v>
      </c>
      <c r="B30720" s="4" t="s">
        <v>38687</v>
      </c>
      <c r="C30720" s="5" t="str">
        <f>IFERROR(__xludf.DUMMYFUNCTION("GOOGLETRANSLATE(B30720,""en"",""es-ES"")"),"Una niña comienza a hacer una copa llamada Mai Tai.")</f>
        <v>Una niña comienza a hacer una copa llamada Mai Tai.</v>
      </c>
    </row>
    <row r="30721">
      <c r="A30721" s="4" t="s">
        <v>38685</v>
      </c>
      <c r="B30721" s="4" t="s">
        <v>38688</v>
      </c>
      <c r="C30721" s="5" t="str">
        <f>IFERROR(__xludf.DUMMYFUNCTION("GOOGLETRANSLATE(B30721,""en"",""es-ES"")"),"Ella saca todas las cosas que necesitará para hacer la bebida.")</f>
        <v>Ella saca todas las cosas que necesitará para hacer la bebida.</v>
      </c>
    </row>
    <row r="30722">
      <c r="A30722" s="4" t="s">
        <v>38685</v>
      </c>
      <c r="B30722" s="4" t="s">
        <v>38689</v>
      </c>
      <c r="C30722" s="5" t="str">
        <f>IFERROR(__xludf.DUMMYFUNCTION("GOOGLETRANSLATE(B30722,""en"",""es-ES"")"),"Ella pone un poco de hielo en un vaso y en el agitador.")</f>
        <v>Ella pone un poco de hielo en un vaso y en el agitador.</v>
      </c>
    </row>
    <row r="30723">
      <c r="A30723" s="4" t="s">
        <v>38685</v>
      </c>
      <c r="B30723" s="4" t="s">
        <v>38690</v>
      </c>
      <c r="C30723" s="5" t="str">
        <f>IFERROR(__xludf.DUMMYFUNCTION("GOOGLETRANSLATE(B30723,""en"",""es-ES"")"),"Ella agrega en el ron, triple sec, jarabe, mezcla agria, y pone la tapa en el agitador.")</f>
        <v>Ella agrega en el ron, triple sec, jarabe, mezcla agria, y pone la tapa en el agitador.</v>
      </c>
    </row>
    <row r="30724">
      <c r="A30724" s="4" t="s">
        <v>38685</v>
      </c>
      <c r="B30724" s="4" t="s">
        <v>38691</v>
      </c>
      <c r="C30724" s="5" t="str">
        <f>IFERROR(__xludf.DUMMYFUNCTION("GOOGLETRANSLATE(B30724,""en"",""es-ES"")"),"Ella sacude el agitador un poco hasta que se enfría y vierte la bebida en el vaso sobre el hielo.")</f>
        <v>Ella sacude el agitador un poco hasta que se enfría y vierte la bebida en el vaso sobre el hielo.</v>
      </c>
    </row>
    <row r="30725">
      <c r="A30725" s="4" t="s">
        <v>38685</v>
      </c>
      <c r="B30725" s="4" t="s">
        <v>38692</v>
      </c>
      <c r="C30725" s="5" t="str">
        <f>IFERROR(__xludf.DUMMYFUNCTION("GOOGLETRANSLATE(B30725,""en"",""es-ES"")"),"Ella lo remata con un poco de mezcla agria y cerezas, así como una pajita.")</f>
        <v>Ella lo remata con un poco de mezcla agria y cerezas, así como una pajita.</v>
      </c>
    </row>
    <row r="30726">
      <c r="A30726" s="4" t="s">
        <v>38685</v>
      </c>
      <c r="B30726" s="4" t="s">
        <v>38693</v>
      </c>
      <c r="C30726" s="5" t="str">
        <f>IFERROR(__xludf.DUMMYFUNCTION("GOOGLETRANSLATE(B30726,""en"",""es-ES"")"),"El video termina con el título de cierre.")</f>
        <v>El video termina con el título de cierre.</v>
      </c>
    </row>
    <row r="30727">
      <c r="A30727" s="4" t="s">
        <v>38694</v>
      </c>
      <c r="B30727" s="4" t="s">
        <v>38695</v>
      </c>
      <c r="C30727" s="5" t="str">
        <f>IFERROR(__xludf.DUMMYFUNCTION("GOOGLETRANSLATE(B30727,""en"",""es-ES"")"),"Un gran grupo de personas está en un área caminando, hablando y pasando el rato.")</f>
        <v>Un gran grupo de personas está en un área caminando, hablando y pasando el rato.</v>
      </c>
    </row>
    <row r="30728">
      <c r="A30728" s="4" t="s">
        <v>38694</v>
      </c>
      <c r="B30728" s="4" t="s">
        <v>38696</v>
      </c>
      <c r="C30728" s="5" t="str">
        <f>IFERROR(__xludf.DUMMYFUNCTION("GOOGLETRANSLATE(B30728,""en"",""es-ES"")"),"Dos hombres con un árbitro en el medio aparecen en un escenario y están en un intenso partido de lucha libre.")</f>
        <v>Dos hombres con un árbitro en el medio aparecen en un escenario y están en un intenso partido de lucha libre.</v>
      </c>
    </row>
    <row r="30729">
      <c r="A30729" s="4" t="s">
        <v>38694</v>
      </c>
      <c r="B30729" s="4" t="s">
        <v>38697</v>
      </c>
      <c r="C30729" s="5" t="str">
        <f>IFERROR(__xludf.DUMMYFUNCTION("GOOGLETRANSLATE(B30729,""en"",""es-ES"")"),"El hombre sin sombrero gana el partido y es entrevistado brevemente donde está sonriendo y hablando.")</f>
        <v>El hombre sin sombrero gana el partido y es entrevistado brevemente donde está sonriendo y hablando.</v>
      </c>
    </row>
    <row r="30730">
      <c r="A30730" s="4" t="s">
        <v>38694</v>
      </c>
      <c r="B30730" s="4" t="s">
        <v>38698</v>
      </c>
      <c r="C30730" s="5" t="str">
        <f>IFERROR(__xludf.DUMMYFUNCTION("GOOGLETRANSLATE(B30730,""en"",""es-ES"")"),"Comienza otro partido entre dos hombres y nuevamente el mismo hombre que ganó el primer partido gana nuevamente.")</f>
        <v>Comienza otro partido entre dos hombres y nuevamente el mismo hombre que ganó el primer partido gana nuevamente.</v>
      </c>
    </row>
    <row r="30731">
      <c r="A30731" s="4" t="s">
        <v>38694</v>
      </c>
      <c r="B30731" s="4" t="s">
        <v>38699</v>
      </c>
      <c r="C30731" s="5" t="str">
        <f>IFERROR(__xludf.DUMMYFUNCTION("GOOGLETRANSLATE(B30731,""en"",""es-ES"")"),"Él sostiene su brazo derecho flexionándolo mientras sonríe y su nombre Allen Fisher aparece en la pantalla y una pantalla negra con las palabras 25 veces campeón mundial termina el video.")</f>
        <v>Él sostiene su brazo derecho flexionándolo mientras sonríe y su nombre Allen Fisher aparece en la pantalla y una pantalla negra con las palabras 25 veces campeón mundial termina el video.</v>
      </c>
    </row>
    <row r="30732">
      <c r="A30732" s="4" t="s">
        <v>38700</v>
      </c>
      <c r="B30732" s="4" t="s">
        <v>38701</v>
      </c>
      <c r="C30732" s="5" t="str">
        <f>IFERROR(__xludf.DUMMYFUNCTION("GOOGLETRANSLATE(B30732,""en"",""es-ES"")"),"Los hombres están parados en un gran campo verde jugando lacrosse.")</f>
        <v>Los hombres están parados en un gran campo verde jugando lacrosse.</v>
      </c>
    </row>
    <row r="30733">
      <c r="A30733" s="4" t="s">
        <v>38700</v>
      </c>
      <c r="B30733" s="4" t="s">
        <v>38702</v>
      </c>
      <c r="C30733" s="5" t="str">
        <f>IFERROR(__xludf.DUMMYFUNCTION("GOOGLETRANSLATE(B30733,""en"",""es-ES"")"),"La gente está alrededor del campo mirando el juego.")</f>
        <v>La gente está alrededor del campo mirando el juego.</v>
      </c>
    </row>
    <row r="30734">
      <c r="A30734" s="4" t="s">
        <v>38700</v>
      </c>
      <c r="B30734" s="4" t="s">
        <v>38703</v>
      </c>
      <c r="C30734" s="5" t="str">
        <f>IFERROR(__xludf.DUMMYFUNCTION("GOOGLETRANSLATE(B30734,""en"",""es-ES"")"),"Los hombres están corriendo de lado a lado del Ield jugando lacrosse tratando de anotar.")</f>
        <v>Los hombres están corriendo de lado a lado del Ield jugando lacrosse tratando de anotar.</v>
      </c>
    </row>
    <row r="30735">
      <c r="A30735" s="4" t="s">
        <v>38704</v>
      </c>
      <c r="B30735" s="4" t="s">
        <v>38705</v>
      </c>
      <c r="C30735" s="5" t="str">
        <f>IFERROR(__xludf.DUMMYFUNCTION("GOOGLETRANSLATE(B30735,""en"",""es-ES"")"),"Una mano sostiene una cabeza de ducha cerca de un perro.")</f>
        <v>Una mano sostiene una cabeza de ducha cerca de un perro.</v>
      </c>
    </row>
    <row r="30736">
      <c r="A30736" s="4" t="s">
        <v>38704</v>
      </c>
      <c r="B30736" s="4" t="s">
        <v>38706</v>
      </c>
      <c r="C30736" s="5" t="str">
        <f>IFERROR(__xludf.DUMMYFUNCTION("GOOGLETRANSLATE(B30736,""en"",""es-ES"")"),"El perro se mueve alrededor de la bañera mientras intenta morder el agua que se salpica sobre él.")</f>
        <v>El perro se mueve alrededor de la bañera mientras intenta morder el agua que se salpica sobre él.</v>
      </c>
    </row>
    <row r="30737">
      <c r="A30737" s="4" t="s">
        <v>38707</v>
      </c>
      <c r="B30737" s="4" t="s">
        <v>38708</v>
      </c>
      <c r="C30737" s="5" t="str">
        <f>IFERROR(__xludf.DUMMYFUNCTION("GOOGLETRANSLATE(B30737,""en"",""es-ES"")"),"Una cámara se mueve alrededor de un juego de escaleras y conduce a personas que trabajan en una clase.")</f>
        <v>Una cámara se mueve alrededor de un juego de escaleras y conduce a personas que trabajan en una clase.</v>
      </c>
    </row>
    <row r="30738">
      <c r="A30738" s="4" t="s">
        <v>38707</v>
      </c>
      <c r="B30738" s="4" t="s">
        <v>38709</v>
      </c>
      <c r="C30738" s="5" t="str">
        <f>IFERROR(__xludf.DUMMYFUNCTION("GOOGLETRANSLATE(B30738,""en"",""es-ES"")"),"Se muestran varias tomas de personas que trabajan juntas mientras un hombre habla con la cámara.")</f>
        <v>Se muestran varias tomas de personas que trabajan juntas mientras un hombre habla con la cámara.</v>
      </c>
    </row>
    <row r="30739">
      <c r="A30739" s="4" t="s">
        <v>38707</v>
      </c>
      <c r="B30739" s="4" t="s">
        <v>38710</v>
      </c>
      <c r="C30739" s="5" t="str">
        <f>IFERROR(__xludf.DUMMYFUNCTION("GOOGLETRANSLATE(B30739,""en"",""es-ES"")"),"El hombre continúa hablando mientras se muestra a más personas trabajando juntas.")</f>
        <v>El hombre continúa hablando mientras se muestra a más personas trabajando juntas.</v>
      </c>
    </row>
    <row r="30740">
      <c r="A30740" s="4" t="s">
        <v>38711</v>
      </c>
      <c r="B30740" s="4" t="s">
        <v>38712</v>
      </c>
      <c r="C30740" s="5" t="str">
        <f>IFERROR(__xludf.DUMMYFUNCTION("GOOGLETRANSLATE(B30740,""en"",""es-ES"")"),"Una mujer está levantando papel tapiz mientras intenta suavizarlo sin burbujas con una herramienta.")</f>
        <v>Una mujer está levantando papel tapiz mientras intenta suavizarlo sin burbujas con una herramienta.</v>
      </c>
    </row>
    <row r="30741">
      <c r="A30741" s="4" t="s">
        <v>38711</v>
      </c>
      <c r="B30741" s="4" t="s">
        <v>38713</v>
      </c>
      <c r="C30741" s="5" t="str">
        <f>IFERROR(__xludf.DUMMYFUNCTION("GOOGLETRANSLATE(B30741,""en"",""es-ES"")"),"Ella aplica la herramienta suavemente, asegurándose de repeler y corregir cualquier error a medida que avanza.")</f>
        <v>Ella aplica la herramienta suavemente, asegurándose de repeler y corregir cualquier error a medida que avanza.</v>
      </c>
    </row>
    <row r="30742">
      <c r="A30742" s="4" t="s">
        <v>38714</v>
      </c>
      <c r="B30742" s="4" t="s">
        <v>38715</v>
      </c>
      <c r="C30742" s="5" t="str">
        <f>IFERROR(__xludf.DUMMYFUNCTION("GOOGLETRANSLATE(B30742,""en"",""es-ES"")"),"Se ve a un pequeño grupo de personas de pie alrededor de un campo que conduce a un juego de kickball.")</f>
        <v>Se ve a un pequeño grupo de personas de pie alrededor de un campo que conduce a un juego de kickball.</v>
      </c>
    </row>
    <row r="30743">
      <c r="A30743" s="4" t="s">
        <v>38714</v>
      </c>
      <c r="B30743" s="4" t="s">
        <v>38716</v>
      </c>
      <c r="C30743" s="5" t="str">
        <f>IFERROR(__xludf.DUMMYFUNCTION("GOOGLETRANSLATE(B30743,""en"",""es-ES"")"),"La gente patea la pelota y anime entre sí mientras anotan puntos de su lado.")</f>
        <v>La gente patea la pelota y anime entre sí mientras anotan puntos de su lado.</v>
      </c>
    </row>
    <row r="30744">
      <c r="A30744" s="4" t="s">
        <v>38714</v>
      </c>
      <c r="B30744" s="4" t="s">
        <v>38717</v>
      </c>
      <c r="C30744" s="5" t="str">
        <f>IFERROR(__xludf.DUMMYFUNCTION("GOOGLETRANSLATE(B30744,""en"",""es-ES"")"),"Otro miembro del equipo anota un gol y sus compañeros de equipo corren con los brazos hacia arriba.")</f>
        <v>Otro miembro del equipo anota un gol y sus compañeros de equipo corren con los brazos hacia arriba.</v>
      </c>
    </row>
    <row r="30745">
      <c r="A30745" s="4" t="s">
        <v>38718</v>
      </c>
      <c r="B30745" s="4" t="s">
        <v>38719</v>
      </c>
      <c r="C30745" s="5" t="str">
        <f>IFERROR(__xludf.DUMMYFUNCTION("GOOGLETRANSLATE(B30745,""en"",""es-ES"")"),"Un hombre atlético que usa un traje de pista y un babero número 171 camina sobre una pista y se calienta.")</f>
        <v>Un hombre atlético que usa un traje de pista y un babero número 171 camina sobre una pista y se calienta.</v>
      </c>
    </row>
    <row r="30746">
      <c r="A30746" s="4" t="s">
        <v>38718</v>
      </c>
      <c r="B30746" s="4" t="s">
        <v>38720</v>
      </c>
      <c r="C30746" s="5" t="str">
        <f>IFERROR(__xludf.DUMMYFUNCTION("GOOGLETRANSLATE(B30746,""en"",""es-ES"")"),"El hombre luego agarra su collar, se lo pone en la boca y comienza a aplaudir sobre su cabeza y aparece un nombre a continuación y, por ejemplo, es Irving Saladino.")</f>
        <v>El hombre luego agarra su collar, se lo pone en la boca y comienza a aplaudir sobre su cabeza y aparece un nombre a continuación y, por ejemplo, es Irving Saladino.</v>
      </c>
    </row>
    <row r="30747">
      <c r="A30747" s="4" t="s">
        <v>38718</v>
      </c>
      <c r="B30747" s="4" t="s">
        <v>38721</v>
      </c>
      <c r="C30747" s="5" t="str">
        <f>IFERROR(__xludf.DUMMYFUNCTION("GOOGLETRANSLATE(B30747,""en"",""es-ES"")"),"El hombre deja caer el collar de su boca e inmediatamente comienza a correr y salta, salta y salta.")</f>
        <v>El hombre deja caer el collar de su boca e inmediatamente comienza a correr y salta, salta y salta.</v>
      </c>
    </row>
    <row r="30748">
      <c r="A30748" s="4" t="s">
        <v>38718</v>
      </c>
      <c r="B30748" s="4" t="s">
        <v>38722</v>
      </c>
      <c r="C30748" s="5" t="str">
        <f>IFERROR(__xludf.DUMMYFUNCTION("GOOGLETRANSLATE(B30748,""en"",""es-ES"")"),"Repeticiones del juego de carrera y salto del hombre y se muestra al hombre celebrándose a sí mismo, y con otros en el campo.")</f>
        <v>Repeticiones del juego de carrera y salto del hombre y se muestra al hombre celebrándose a sí mismo, y con otros en el campo.</v>
      </c>
    </row>
    <row r="30749">
      <c r="A30749" s="4" t="s">
        <v>38723</v>
      </c>
      <c r="B30749" s="4" t="s">
        <v>38724</v>
      </c>
      <c r="C30749" s="5" t="str">
        <f>IFERROR(__xludf.DUMMYFUNCTION("GOOGLETRANSLATE(B30749,""en"",""es-ES"")"),"Un hombre está cuidatamente detrás de un bote mientras sostiene una cuerda.")</f>
        <v>Un hombre está cuidatamente detrás de un bote mientras sostiene una cuerda.</v>
      </c>
    </row>
    <row r="30750">
      <c r="A30750" s="4" t="s">
        <v>38723</v>
      </c>
      <c r="B30750" s="4" t="s">
        <v>38725</v>
      </c>
      <c r="C30750" s="5" t="str">
        <f>IFERROR(__xludf.DUMMYFUNCTION("GOOGLETRANSLATE(B30750,""en"",""es-ES"")"),"Intenta aferrarse mientras se extiende a un lado.")</f>
        <v>Intenta aferrarse mientras se extiende a un lado.</v>
      </c>
    </row>
    <row r="30751">
      <c r="A30751" s="4" t="s">
        <v>38723</v>
      </c>
      <c r="B30751" s="4" t="s">
        <v>38726</v>
      </c>
      <c r="C30751" s="5" t="str">
        <f>IFERROR(__xludf.DUMMYFUNCTION("GOOGLETRANSLATE(B30751,""en"",""es-ES"")"),"Se desliza, se divide y cae al agua.")</f>
        <v>Se desliza, se divide y cae al agua.</v>
      </c>
    </row>
    <row r="30752">
      <c r="A30752" s="4" t="s">
        <v>38727</v>
      </c>
      <c r="B30752" s="4" t="s">
        <v>38728</v>
      </c>
      <c r="C30752" s="5" t="str">
        <f>IFERROR(__xludf.DUMMYFUNCTION("GOOGLETRANSLATE(B30752,""en"",""es-ES"")"),"Se ve a un pequeño grupo de personas parados juntos en un escenario y conducir a ellas tocando los instrumentos y dos hombres arrodillándose al frente.")</f>
        <v>Se ve a un pequeño grupo de personas parados juntos en un escenario y conducir a ellas tocando los instrumentos y dos hombres arrodillándose al frente.</v>
      </c>
    </row>
    <row r="30753">
      <c r="A30753" s="4" t="s">
        <v>38727</v>
      </c>
      <c r="B30753" s="4" t="s">
        <v>38729</v>
      </c>
      <c r="C30753" s="5" t="str">
        <f>IFERROR(__xludf.DUMMYFUNCTION("GOOGLETRANSLATE(B30753,""en"",""es-ES"")"),"Luego, los hombres realizan varias artes marciales entre sí mientras las personas se paran y miran.")</f>
        <v>Luego, los hombres realizan varias artes marciales entre sí mientras las personas se paran y miran.</v>
      </c>
    </row>
    <row r="30754">
      <c r="A30754" s="4" t="s">
        <v>38730</v>
      </c>
      <c r="B30754" s="4" t="s">
        <v>38731</v>
      </c>
      <c r="C30754" s="5" t="str">
        <f>IFERROR(__xludf.DUMMYFUNCTION("GOOGLETRANSLATE(B30754,""en"",""es-ES"")"),"Un hombre está montando una máquina de remo en un gimnasio.")</f>
        <v>Un hombre está montando una máquina de remo en un gimnasio.</v>
      </c>
    </row>
    <row r="30755">
      <c r="A30755" s="4" t="s">
        <v>38730</v>
      </c>
      <c r="B30755" s="4" t="s">
        <v>38732</v>
      </c>
      <c r="C30755" s="5" t="str">
        <f>IFERROR(__xludf.DUMMYFUNCTION("GOOGLETRANSLATE(B30755,""en"",""es-ES"")"),"Un dedo cubre brevemente parte de la lente de la cámara.")</f>
        <v>Un dedo cubre brevemente parte de la lente de la cámara.</v>
      </c>
    </row>
    <row r="30756">
      <c r="A30756" s="4" t="s">
        <v>38730</v>
      </c>
      <c r="B30756" s="4" t="s">
        <v>38733</v>
      </c>
      <c r="C30756" s="5" t="str">
        <f>IFERROR(__xludf.DUMMYFUNCTION("GOOGLETRANSLATE(B30756,""en"",""es-ES"")"),"El hombre continúa remando mientras la gente camina en el gimnasio.")</f>
        <v>El hombre continúa remando mientras la gente camina en el gimnasio.</v>
      </c>
    </row>
    <row r="30757">
      <c r="A30757" s="4" t="s">
        <v>38734</v>
      </c>
      <c r="B30757" s="4" t="s">
        <v>38735</v>
      </c>
      <c r="C30757" s="5" t="str">
        <f>IFERROR(__xludf.DUMMYFUNCTION("GOOGLETRANSLATE(B30757,""en"",""es-ES"")"),"Una persona mueve un neumático hacia la puerta.")</f>
        <v>Una persona mueve un neumático hacia la puerta.</v>
      </c>
    </row>
    <row r="30758">
      <c r="A30758" s="4" t="s">
        <v>38734</v>
      </c>
      <c r="B30758" s="4" t="s">
        <v>38736</v>
      </c>
      <c r="C30758" s="5" t="str">
        <f>IFERROR(__xludf.DUMMYFUNCTION("GOOGLETRANSLATE(B30758,""en"",""es-ES"")"),"Las puertas se cierran en sus carriles.")</f>
        <v>Las puertas se cierran en sus carriles.</v>
      </c>
    </row>
    <row r="30759">
      <c r="A30759" s="4" t="s">
        <v>38734</v>
      </c>
      <c r="B30759" s="4" t="s">
        <v>38737</v>
      </c>
      <c r="C30759" s="5" t="str">
        <f>IFERROR(__xludf.DUMMYFUNCTION("GOOGLETRANSLATE(B30759,""en"",""es-ES"")"),"La gente está sentada sobre neumáticos detrás de Gates.")</f>
        <v>La gente está sentada sobre neumáticos detrás de Gates.</v>
      </c>
    </row>
    <row r="30760">
      <c r="A30760" s="4" t="s">
        <v>38734</v>
      </c>
      <c r="B30760" s="4" t="s">
        <v>38738</v>
      </c>
      <c r="C30760" s="5" t="str">
        <f>IFERROR(__xludf.DUMMYFUNCTION("GOOGLETRANSLATE(B30760,""en"",""es-ES"")"),"Una persona se mueve los pies.")</f>
        <v>Una persona se mueve los pies.</v>
      </c>
    </row>
    <row r="30761">
      <c r="A30761" s="4" t="s">
        <v>38734</v>
      </c>
      <c r="B30761" s="4" t="s">
        <v>38739</v>
      </c>
      <c r="C30761" s="5" t="str">
        <f>IFERROR(__xludf.DUMMYFUNCTION("GOOGLETRANSLATE(B30761,""en"",""es-ES"")"),"Cuando se libera la puerta, las personas se deslizan por el hielo sobre neumáticos.")</f>
        <v>Cuando se libera la puerta, las personas se deslizan por el hielo sobre neumáticos.</v>
      </c>
    </row>
    <row r="30762">
      <c r="A30762" s="4" t="s">
        <v>38734</v>
      </c>
      <c r="B30762" s="4" t="s">
        <v>38740</v>
      </c>
      <c r="C30762" s="5" t="str">
        <f>IFERROR(__xludf.DUMMYFUNCTION("GOOGLETRANSLATE(B30762,""en"",""es-ES"")"),"Una persona celebra y levanta las manos.")</f>
        <v>Una persona celebra y levanta las manos.</v>
      </c>
    </row>
    <row r="30763">
      <c r="A30763" s="4" t="s">
        <v>38741</v>
      </c>
      <c r="B30763" s="4" t="s">
        <v>38742</v>
      </c>
      <c r="C30763" s="5" t="str">
        <f>IFERROR(__xludf.DUMMYFUNCTION("GOOGLETRANSLATE(B30763,""en"",""es-ES"")"),"Muchas personas se reúnen en la línea de meta de un maratón, esperando que entren los corredores.")</f>
        <v>Muchas personas se reúnen en la línea de meta de un maratón, esperando que entren los corredores.</v>
      </c>
    </row>
    <row r="30764">
      <c r="A30764" s="4" t="s">
        <v>38741</v>
      </c>
      <c r="B30764" s="4" t="s">
        <v>38743</v>
      </c>
      <c r="C30764" s="5" t="str">
        <f>IFERROR(__xludf.DUMMYFUNCTION("GOOGLETRANSLATE(B30764,""en"",""es-ES"")"),"Muchos corredores comienzan a ingresar y disminuyen la velocidad de detenerse una vez que llegan a ese punto.")</f>
        <v>Muchos corredores comienzan a ingresar y disminuyen la velocidad de detenerse una vez que llegan a ese punto.</v>
      </c>
    </row>
    <row r="30765">
      <c r="A30765" s="4" t="s">
        <v>38741</v>
      </c>
      <c r="B30765" s="4" t="s">
        <v>38744</v>
      </c>
      <c r="C30765" s="5" t="str">
        <f>IFERROR(__xludf.DUMMYFUNCTION("GOOGLETRANSLATE(B30765,""en"",""es-ES"")"),"Hay muchos corredores y algunas personas en los lados, pero las gradas están completamente vacías en ese lado.")</f>
        <v>Hay muchos corredores y algunas personas en los lados, pero las gradas están completamente vacías en ese lado.</v>
      </c>
    </row>
    <row r="30766">
      <c r="A30766" s="4" t="s">
        <v>38741</v>
      </c>
      <c r="B30766" s="4" t="s">
        <v>38745</v>
      </c>
      <c r="C30766" s="5" t="str">
        <f>IFERROR(__xludf.DUMMYFUNCTION("GOOGLETRANSLATE(B30766,""en"",""es-ES"")"),"Cada vez más hombres siguen corriendo poco a poco.")</f>
        <v>Cada vez más hombres siguen corriendo poco a poco.</v>
      </c>
    </row>
    <row r="30767">
      <c r="A30767" s="4" t="s">
        <v>38746</v>
      </c>
      <c r="B30767" s="4" t="s">
        <v>38747</v>
      </c>
      <c r="C30767" s="5" t="str">
        <f>IFERROR(__xludf.DUMMYFUNCTION("GOOGLETRANSLATE(B30767,""en"",""es-ES"")"),"Algunas personas son vistas en esquís acuáticos en el lago.")</f>
        <v>Algunas personas son vistas en esquís acuáticos en el lago.</v>
      </c>
    </row>
    <row r="30768">
      <c r="A30768" s="4" t="s">
        <v>38746</v>
      </c>
      <c r="B30768" s="4" t="s">
        <v>38748</v>
      </c>
      <c r="C30768" s="5" t="str">
        <f>IFERROR(__xludf.DUMMYFUNCTION("GOOGLETRANSLATE(B30768,""en"",""es-ES"")"),"Un hombre habla con la cámara, demostrando cómo esquiar en agua.")</f>
        <v>Un hombre habla con la cámara, demostrando cómo esquiar en agua.</v>
      </c>
    </row>
    <row r="30769">
      <c r="A30769" s="4" t="s">
        <v>38746</v>
      </c>
      <c r="B30769" s="4" t="s">
        <v>38749</v>
      </c>
      <c r="C30769" s="5" t="str">
        <f>IFERROR(__xludf.DUMMYFUNCTION("GOOGLETRANSLATE(B30769,""en"",""es-ES"")"),"Se muestran varios movimientos y posiciones mientras habla.")</f>
        <v>Se muestran varios movimientos y posiciones mientras habla.</v>
      </c>
    </row>
    <row r="30770">
      <c r="A30770" s="4" t="s">
        <v>38750</v>
      </c>
      <c r="B30770" s="4" t="s">
        <v>38751</v>
      </c>
      <c r="C30770" s="5" t="str">
        <f>IFERROR(__xludf.DUMMYFUNCTION("GOOGLETRANSLATE(B30770,""en"",""es-ES"")"),"Una mujer está tomando una taza de café.")</f>
        <v>Una mujer está tomando una taza de café.</v>
      </c>
    </row>
    <row r="30771">
      <c r="A30771" s="4" t="s">
        <v>38750</v>
      </c>
      <c r="B30771" s="4" t="s">
        <v>38752</v>
      </c>
      <c r="C30771" s="5" t="str">
        <f>IFERROR(__xludf.DUMMYFUNCTION("GOOGLETRANSLATE(B30771,""en"",""es-ES"")"),"Los granos de café se muestran en una taza.")</f>
        <v>Los granos de café se muestran en una taza.</v>
      </c>
    </row>
    <row r="30772">
      <c r="A30772" s="4" t="s">
        <v>38750</v>
      </c>
      <c r="B30772" s="4" t="s">
        <v>38753</v>
      </c>
      <c r="C30772" s="5" t="str">
        <f>IFERROR(__xludf.DUMMYFUNCTION("GOOGLETRANSLATE(B30772,""en"",""es-ES"")"),"Se muestran artículos web.")</f>
        <v>Se muestran artículos web.</v>
      </c>
    </row>
    <row r="30773">
      <c r="A30773" s="4" t="s">
        <v>38750</v>
      </c>
      <c r="B30773" s="4" t="s">
        <v>38754</v>
      </c>
      <c r="C30773" s="5" t="str">
        <f>IFERROR(__xludf.DUMMYFUNCTION("GOOGLETRANSLATE(B30773,""en"",""es-ES"")"),"Una taza de taza está llena de café.")</f>
        <v>Una taza de taza está llena de café.</v>
      </c>
    </row>
    <row r="30774">
      <c r="A30774" s="4" t="s">
        <v>38750</v>
      </c>
      <c r="B30774" s="4" t="s">
        <v>38755</v>
      </c>
      <c r="C30774" s="5" t="str">
        <f>IFERROR(__xludf.DUMMYFUNCTION("GOOGLETRANSLATE(B30774,""en"",""es-ES"")"),"La gente montaba bicicletas por la calle.")</f>
        <v>La gente montaba bicicletas por la calle.</v>
      </c>
    </row>
    <row r="30775">
      <c r="A30775" s="4" t="s">
        <v>38756</v>
      </c>
      <c r="B30775" s="4" t="s">
        <v>38757</v>
      </c>
      <c r="C30775" s="5" t="str">
        <f>IFERROR(__xludf.DUMMYFUNCTION("GOOGLETRANSLATE(B30775,""en"",""es-ES"")"),"Los motociclistas corren alrededor de una pista de tierra durante una competencia.")</f>
        <v>Los motociclistas corren alrededor de una pista de tierra durante una competencia.</v>
      </c>
    </row>
    <row r="30776">
      <c r="A30776" s="4" t="s">
        <v>38756</v>
      </c>
      <c r="B30776" s="4" t="s">
        <v>38758</v>
      </c>
      <c r="C30776" s="5" t="str">
        <f>IFERROR(__xludf.DUMMYFUNCTION("GOOGLETRANSLATE(B30776,""en"",""es-ES"")"),"Un jinete se estrella en un salto y se cae de su bicicleta.")</f>
        <v>Un jinete se estrella en un salto y se cae de su bicicleta.</v>
      </c>
    </row>
    <row r="30777">
      <c r="A30777" s="4" t="s">
        <v>38756</v>
      </c>
      <c r="B30777" s="4" t="s">
        <v>38759</v>
      </c>
      <c r="C30777" s="5" t="str">
        <f>IFERROR(__xludf.DUMMYFUNCTION("GOOGLETRANSLATE(B30777,""en"",""es-ES"")"),"El otro jinete se ralentiza y sale de la pista.")</f>
        <v>El otro jinete se ralentiza y sale de la pista.</v>
      </c>
    </row>
    <row r="30778">
      <c r="A30778" s="4" t="s">
        <v>38756</v>
      </c>
      <c r="B30778" s="4" t="s">
        <v>38760</v>
      </c>
      <c r="C30778" s="5" t="str">
        <f>IFERROR(__xludf.DUMMYFUNCTION("GOOGLETRANSLATE(B30778,""en"",""es-ES"")"),"El jinete estrellado se arrastra en el suelo y es ayudado por otro.")</f>
        <v>El jinete estrellado se arrastra en el suelo y es ayudado por otro.</v>
      </c>
    </row>
    <row r="30779">
      <c r="A30779" s="4" t="s">
        <v>38756</v>
      </c>
      <c r="B30779" s="4" t="s">
        <v>38761</v>
      </c>
      <c r="C30779" s="5" t="str">
        <f>IFERROR(__xludf.DUMMYFUNCTION("GOOGLETRANSLATE(B30779,""en"",""es-ES"")"),"El jinete agita los brazos para indicar a los demás y quita la bicicleta estrellada del curso.")</f>
        <v>El jinete agita los brazos para indicar a los demás y quita la bicicleta estrellada del curso.</v>
      </c>
    </row>
    <row r="30780">
      <c r="A30780" s="4" t="s">
        <v>38756</v>
      </c>
      <c r="B30780" s="4" t="s">
        <v>38762</v>
      </c>
      <c r="C30780" s="5" t="str">
        <f>IFERROR(__xludf.DUMMYFUNCTION("GOOGLETRANSLATE(B30780,""en"",""es-ES"")"),"Se ve al jinete chocando en cámara lenta.")</f>
        <v>Se ve al jinete chocando en cámara lenta.</v>
      </c>
    </row>
    <row r="30781">
      <c r="A30781" s="4" t="s">
        <v>38763</v>
      </c>
      <c r="B30781" s="4" t="s">
        <v>38764</v>
      </c>
      <c r="C30781" s="5" t="str">
        <f>IFERROR(__xludf.DUMMYFUNCTION("GOOGLETRANSLATE(B30781,""en"",""es-ES"")"),"Se ve a un grupo de personas de pie alrededor de una habitación con algunos que se aferran a los instrumentos.")</f>
        <v>Se ve a un grupo de personas de pie alrededor de una habitación con algunos que se aferran a los instrumentos.</v>
      </c>
    </row>
    <row r="30782">
      <c r="A30782" s="4" t="s">
        <v>38763</v>
      </c>
      <c r="B30782" s="4" t="s">
        <v>38765</v>
      </c>
      <c r="C30782" s="5" t="str">
        <f>IFERROR(__xludf.DUMMYFUNCTION("GOOGLETRANSLATE(B30782,""en"",""es-ES"")"),"La gente está sentada en una mesa jugando con tazas.")</f>
        <v>La gente está sentada en una mesa jugando con tazas.</v>
      </c>
    </row>
    <row r="30783">
      <c r="A30783" s="4" t="s">
        <v>38763</v>
      </c>
      <c r="B30783" s="4" t="s">
        <v>38766</v>
      </c>
      <c r="C30783" s="5" t="str">
        <f>IFERROR(__xludf.DUMMYFUNCTION("GOOGLETRANSLATE(B30783,""en"",""es-ES"")"),"Se ve a más personas tambores de un lado mientras las personas continúan jugando con tazas.")</f>
        <v>Se ve a más personas tambores de un lado mientras las personas continúan jugando con tazas.</v>
      </c>
    </row>
    <row r="30784">
      <c r="A30784" s="4" t="s">
        <v>38763</v>
      </c>
      <c r="B30784" s="4" t="s">
        <v>38767</v>
      </c>
      <c r="C30784" s="5" t="str">
        <f>IFERROR(__xludf.DUMMYFUNCTION("GOOGLETRANSLATE(B30784,""en"",""es-ES"")"),"Finalmente, la gente toca con una guitarra y termina saliendo del escenario.")</f>
        <v>Finalmente, la gente toca con una guitarra y termina saliendo del escenario.</v>
      </c>
    </row>
    <row r="30785">
      <c r="A30785" s="4" t="s">
        <v>38768</v>
      </c>
      <c r="B30785" s="4" t="s">
        <v>38769</v>
      </c>
      <c r="C30785" s="5" t="str">
        <f>IFERROR(__xludf.DUMMYFUNCTION("GOOGLETRANSLATE(B30785,""en"",""es-ES"")"),"Un joven está sentado en una silla con la cabeza hacia abajo afeitándose la pierna con una navaja eléctrica.")</f>
        <v>Un joven está sentado en una silla con la cabeza hacia abajo afeitándose la pierna con una navaja eléctrica.</v>
      </c>
    </row>
    <row r="30786">
      <c r="A30786" s="4" t="s">
        <v>38768</v>
      </c>
      <c r="B30786" s="4" t="s">
        <v>38770</v>
      </c>
      <c r="C30786" s="5" t="str">
        <f>IFERROR(__xludf.DUMMYFUNCTION("GOOGLETRANSLATE(B30786,""en"",""es-ES"")"),"El hombre se detiene y limpia la maquinilla de afeitar.")</f>
        <v>El hombre se detiene y limpia la maquinilla de afeitar.</v>
      </c>
    </row>
    <row r="30787">
      <c r="A30787" s="4" t="s">
        <v>38768</v>
      </c>
      <c r="B30787" s="4" t="s">
        <v>38771</v>
      </c>
      <c r="C30787" s="5" t="str">
        <f>IFERROR(__xludf.DUMMYFUNCTION("GOOGLETRANSLATE(B30787,""en"",""es-ES"")"),"El hombre sacude la maquinilla de afeitar cuando deja de funcionar hasta que comienza de nuevo y continúa afeitándose la pierna.")</f>
        <v>El hombre sacude la maquinilla de afeitar cuando deja de funcionar hasta que comienza de nuevo y continúa afeitándose la pierna.</v>
      </c>
    </row>
    <row r="30788">
      <c r="A30788" s="4" t="s">
        <v>38772</v>
      </c>
      <c r="B30788" s="4" t="s">
        <v>38773</v>
      </c>
      <c r="C30788" s="5" t="str">
        <f>IFERROR(__xludf.DUMMYFUNCTION("GOOGLETRANSLATE(B30788,""en"",""es-ES"")"),"Un perro está afuera en un gran campo y corre hacia un hombre que sostiene un frisbee amarillo.")</f>
        <v>Un perro está afuera en un gran campo y corre hacia un hombre que sostiene un frisbee amarillo.</v>
      </c>
    </row>
    <row r="30789">
      <c r="A30789" s="4" t="s">
        <v>38772</v>
      </c>
      <c r="B30789" s="4" t="s">
        <v>38774</v>
      </c>
      <c r="C30789" s="5" t="str">
        <f>IFERROR(__xludf.DUMMYFUNCTION("GOOGLETRANSLATE(B30789,""en"",""es-ES"")"),"El hombre luego comienza a caminar y lanza el frisbee para que el perro la atrapa.")</f>
        <v>El hombre luego comienza a caminar y lanza el frisbee para que el perro la atrapa.</v>
      </c>
    </row>
    <row r="30790">
      <c r="A30790" s="4" t="s">
        <v>38772</v>
      </c>
      <c r="B30790" s="4" t="s">
        <v>38775</v>
      </c>
      <c r="C30790" s="5" t="str">
        <f>IFERROR(__xludf.DUMMYFUNCTION("GOOGLETRANSLATE(B30790,""en"",""es-ES"")"),"Lo tira varias veces y el perro atrapa a todos y cada uno.")</f>
        <v>Lo tira varias veces y el perro atrapa a todos y cada uno.</v>
      </c>
    </row>
    <row r="30791">
      <c r="A30791" s="4" t="s">
        <v>38776</v>
      </c>
      <c r="B30791" s="4" t="s">
        <v>38777</v>
      </c>
      <c r="C30791" s="5" t="str">
        <f>IFERROR(__xludf.DUMMYFUNCTION("GOOGLETRANSLATE(B30791,""en"",""es-ES"")"),"Los niños juegan fútbol de playa en un campo polvoriento.")</f>
        <v>Los niños juegan fútbol de playa en un campo polvoriento.</v>
      </c>
    </row>
    <row r="30792">
      <c r="A30792" s="4" t="s">
        <v>38776</v>
      </c>
      <c r="B30792" s="4" t="s">
        <v>38778</v>
      </c>
      <c r="C30792" s="5" t="str">
        <f>IFERROR(__xludf.DUMMYFUNCTION("GOOGLETRANSLATE(B30792,""en"",""es-ES"")"),"La gente está parada alrededor del campo en las gradas.")</f>
        <v>La gente está parada alrededor del campo en las gradas.</v>
      </c>
    </row>
    <row r="30793">
      <c r="A30793" s="4" t="s">
        <v>38776</v>
      </c>
      <c r="B30793" s="4" t="s">
        <v>38779</v>
      </c>
      <c r="C30793" s="5" t="str">
        <f>IFERROR(__xludf.DUMMYFUNCTION("GOOGLETRANSLATE(B30793,""en"",""es-ES"")"),"El hombre hace un objetivo y el equipo y las personas en las gradas están celebrando.")</f>
        <v>El hombre hace un objetivo y el equipo y las personas en las gradas están celebrando.</v>
      </c>
    </row>
    <row r="30794">
      <c r="A30794" s="4" t="s">
        <v>38776</v>
      </c>
      <c r="B30794" s="4" t="s">
        <v>38780</v>
      </c>
      <c r="C30794" s="5" t="str">
        <f>IFERROR(__xludf.DUMMYFUNCTION("GOOGLETRANSLATE(B30794,""en"",""es-ES"")"),"El hombre está haciendo una esquina y anota un gol y Ruun a sus compañeros de equipo para celebrar.")</f>
        <v>El hombre está haciendo una esquina y anota un gol y Ruun a sus compañeros de equipo para celebrar.</v>
      </c>
    </row>
    <row r="30795">
      <c r="A30795" s="4" t="s">
        <v>38776</v>
      </c>
      <c r="B30795" s="4" t="s">
        <v>38781</v>
      </c>
      <c r="C30795" s="5" t="str">
        <f>IFERROR(__xludf.DUMMYFUNCTION("GOOGLETRANSLATE(B30795,""en"",""es-ES"")"),"El juego comienza el juego y los hombres siguen corriendo y anota otro gol y celebra mientras hay una repetición.")</f>
        <v>El juego comienza el juego y los hombres siguen corriendo y anota otro gol y celebra mientras hay una repetición.</v>
      </c>
    </row>
    <row r="30796">
      <c r="A30796" s="4" t="s">
        <v>38782</v>
      </c>
      <c r="B30796" s="4" t="s">
        <v>38783</v>
      </c>
      <c r="C30796" s="5" t="str">
        <f>IFERROR(__xludf.DUMMYFUNCTION("GOOGLETRANSLATE(B30796,""en"",""es-ES"")"),"Un adolescente en un caballo girando una cuerda en el aire persigue una pequeña vaca.")</f>
        <v>Un adolescente en un caballo girando una cuerda en el aire persigue una pequeña vaca.</v>
      </c>
    </row>
    <row r="30797">
      <c r="A30797" s="4" t="s">
        <v>38782</v>
      </c>
      <c r="B30797" s="4" t="s">
        <v>38784</v>
      </c>
      <c r="C30797" s="5" t="str">
        <f>IFERROR(__xludf.DUMMYFUNCTION("GOOGLETRANSLATE(B30797,""en"",""es-ES"")"),"La vaca está corriendo y el niño arroja la cuerda alrededor de su cuello.")</f>
        <v>La vaca está corriendo y el niño arroja la cuerda alrededor de su cuello.</v>
      </c>
    </row>
    <row r="30798">
      <c r="A30798" s="4" t="s">
        <v>38782</v>
      </c>
      <c r="B30798" s="4" t="s">
        <v>38785</v>
      </c>
      <c r="C30798" s="5" t="str">
        <f>IFERROR(__xludf.DUMMYFUNCTION("GOOGLETRANSLATE(B30798,""en"",""es-ES"")"),"Hace que la vaca se caiga después de ser retirada por la cuerda.")</f>
        <v>Hace que la vaca se caiga después de ser retirada por la cuerda.</v>
      </c>
    </row>
    <row r="30799">
      <c r="A30799" s="4" t="s">
        <v>38782</v>
      </c>
      <c r="B30799" s="4" t="s">
        <v>38786</v>
      </c>
      <c r="C30799" s="5" t="str">
        <f>IFERROR(__xludf.DUMMYFUNCTION("GOOGLETRANSLATE(B30799,""en"",""es-ES"")"),"El niño sale corriendo del caballo después de él y atrapa a la pequeña vaca.")</f>
        <v>El niño sale corriendo del caballo después de él y atrapa a la pequeña vaca.</v>
      </c>
    </row>
    <row r="30800">
      <c r="A30800" s="4" t="s">
        <v>38787</v>
      </c>
      <c r="B30800" s="4" t="s">
        <v>38788</v>
      </c>
      <c r="C30800" s="5" t="str">
        <f>IFERROR(__xludf.DUMMYFUNCTION("GOOGLETRANSLATE(B30800,""en"",""es-ES"")"),"Vemos carne y queso en un mostrador.")</f>
        <v>Vemos carne y queso en un mostrador.</v>
      </c>
    </row>
    <row r="30801">
      <c r="A30801" s="4" t="s">
        <v>38787</v>
      </c>
      <c r="B30801" s="4" t="s">
        <v>38789</v>
      </c>
      <c r="C30801" s="5" t="str">
        <f>IFERROR(__xludf.DUMMYFUNCTION("GOOGLETRANSLATE(B30801,""en"",""es-ES"")"),"Un hombre habla con la cámara en una cocina.")</f>
        <v>Un hombre habla con la cámara en una cocina.</v>
      </c>
    </row>
    <row r="30802">
      <c r="A30802" s="4" t="s">
        <v>38787</v>
      </c>
      <c r="B30802" s="4" t="s">
        <v>38790</v>
      </c>
      <c r="C30802" s="5" t="str">
        <f>IFERROR(__xludf.DUMMYFUNCTION("GOOGLETRANSLATE(B30802,""en"",""es-ES"")"),"El hombre extiende la mostaza sobre el pan.")</f>
        <v>El hombre extiende la mostaza sobre el pan.</v>
      </c>
    </row>
    <row r="30803">
      <c r="A30803" s="4" t="s">
        <v>38787</v>
      </c>
      <c r="B30803" s="4" t="s">
        <v>38791</v>
      </c>
      <c r="C30803" s="5" t="str">
        <f>IFERROR(__xludf.DUMMYFUNCTION("GOOGLETRANSLATE(B30803,""en"",""es-ES"")"),"El hombre ensambla el sándwich.")</f>
        <v>El hombre ensambla el sándwich.</v>
      </c>
    </row>
    <row r="30804">
      <c r="A30804" s="4" t="s">
        <v>38787</v>
      </c>
      <c r="B30804" s="4" t="s">
        <v>38792</v>
      </c>
      <c r="C30804" s="5" t="str">
        <f>IFERROR(__xludf.DUMMYFUNCTION("GOOGLETRANSLATE(B30804,""en"",""es-ES"")"),"El sándwich está presionado.")</f>
        <v>El sándwich está presionado.</v>
      </c>
    </row>
    <row r="30805">
      <c r="A30805" s="4" t="s">
        <v>38787</v>
      </c>
      <c r="B30805" s="4" t="s">
        <v>38793</v>
      </c>
      <c r="C30805" s="5" t="str">
        <f>IFERROR(__xludf.DUMMYFUNCTION("GOOGLETRANSLATE(B30805,""en"",""es-ES"")"),"El hombre corta el sándwich.")</f>
        <v>El hombre corta el sándwich.</v>
      </c>
    </row>
    <row r="30806">
      <c r="A30806" s="4" t="s">
        <v>38787</v>
      </c>
      <c r="B30806" s="4" t="s">
        <v>38794</v>
      </c>
      <c r="C30806" s="5" t="str">
        <f>IFERROR(__xludf.DUMMYFUNCTION("GOOGLETRANSLATE(B30806,""en"",""es-ES"")"),"El hombre plantea toda la comida.")</f>
        <v>El hombre plantea toda la comida.</v>
      </c>
    </row>
    <row r="30807">
      <c r="A30807" s="4" t="s">
        <v>38795</v>
      </c>
      <c r="B30807" s="4" t="s">
        <v>38796</v>
      </c>
      <c r="C30807" s="5" t="str">
        <f>IFERROR(__xludf.DUMMYFUNCTION("GOOGLETRANSLATE(B30807,""en"",""es-ES"")"),"Una dama está soplando hojas de un techo.")</f>
        <v>Una dama está soplando hojas de un techo.</v>
      </c>
    </row>
    <row r="30808">
      <c r="A30808" s="4" t="s">
        <v>38795</v>
      </c>
      <c r="B30808" s="4" t="s">
        <v>38797</v>
      </c>
      <c r="C30808" s="5" t="str">
        <f>IFERROR(__xludf.DUMMYFUNCTION("GOOGLETRANSLATE(B30808,""en"",""es-ES"")"),"La señora camina hacia la derecha luego hacia la cima.")</f>
        <v>La señora camina hacia la derecha luego hacia la cima.</v>
      </c>
    </row>
    <row r="30809">
      <c r="A30809" s="4" t="s">
        <v>38795</v>
      </c>
      <c r="B30809" s="4" t="s">
        <v>38798</v>
      </c>
      <c r="C30809" s="5" t="str">
        <f>IFERROR(__xludf.DUMMYFUNCTION("GOOGLETRANSLATE(B30809,""en"",""es-ES"")"),"La cámara se tambalea y vemos a un niño pequeño en el suelo de abajo.")</f>
        <v>La cámara se tambalea y vemos a un niño pequeño en el suelo de abajo.</v>
      </c>
    </row>
    <row r="30810">
      <c r="A30810" s="4" t="s">
        <v>38799</v>
      </c>
      <c r="B30810" s="4" t="s">
        <v>38800</v>
      </c>
      <c r="C30810" s="5" t="str">
        <f>IFERROR(__xludf.DUMMYFUNCTION("GOOGLETRANSLATE(B30810,""en"",""es-ES"")"),"Una persona arroja una pelota a un adolescente que corre y patea la pelota.")</f>
        <v>Una persona arroja una pelota a un adolescente que corre y patea la pelota.</v>
      </c>
    </row>
    <row r="30811">
      <c r="A30811" s="4" t="s">
        <v>38799</v>
      </c>
      <c r="B30811" s="4" t="s">
        <v>38801</v>
      </c>
      <c r="C30811" s="5" t="str">
        <f>IFERROR(__xludf.DUMMYFUNCTION("GOOGLETRANSLATE(B30811,""en"",""es-ES"")"),"Un adolescente agarra la pelota en el aire y se lanza a otra chica.")</f>
        <v>Un adolescente agarra la pelota en el aire y se lanza a otra chica.</v>
      </c>
    </row>
    <row r="30812">
      <c r="A30812" s="4" t="s">
        <v>38799</v>
      </c>
      <c r="B30812" s="4" t="s">
        <v>38802</v>
      </c>
      <c r="C30812" s="5" t="str">
        <f>IFERROR(__xludf.DUMMYFUNCTION("GOOGLETRANSLATE(B30812,""en"",""es-ES"")"),"Las caídas en el suelo y la niña lo toma.")</f>
        <v>Las caídas en el suelo y la niña lo toma.</v>
      </c>
    </row>
    <row r="30813">
      <c r="A30813" s="4" t="s">
        <v>38803</v>
      </c>
      <c r="B30813" s="4" t="s">
        <v>38804</v>
      </c>
      <c r="C30813" s="5" t="str">
        <f>IFERROR(__xludf.DUMMYFUNCTION("GOOGLETRANSLATE(B30813,""en"",""es-ES"")"),"Se ve a una mujer con cuchillas de rodillos y hablando con la cámara.")</f>
        <v>Se ve a una mujer con cuchillas de rodillos y hablando con la cámara.</v>
      </c>
    </row>
    <row r="30814">
      <c r="A30814" s="4" t="s">
        <v>38803</v>
      </c>
      <c r="B30814" s="4" t="s">
        <v>38805</v>
      </c>
      <c r="C30814" s="5" t="str">
        <f>IFERROR(__xludf.DUMMYFUNCTION("GOOGLETRANSLATE(B30814,""en"",""es-ES"")"),"Luego se mueve sobre sus cuchillas mientras mira a la cámara y habla.")</f>
        <v>Luego se mueve sobre sus cuchillas mientras mira a la cámara y habla.</v>
      </c>
    </row>
    <row r="30815">
      <c r="A30815" s="4" t="s">
        <v>38803</v>
      </c>
      <c r="B30815" s="4" t="s">
        <v>38806</v>
      </c>
      <c r="C30815" s="5" t="str">
        <f>IFERROR(__xludf.DUMMYFUNCTION("GOOGLETRANSLATE(B30815,""en"",""es-ES"")"),"Ella continúa demostrando cómo usar adecuadamente las cuchillas y moverse.")</f>
        <v>Ella continúa demostrando cómo usar adecuadamente las cuchillas y moverse.</v>
      </c>
    </row>
    <row r="30816">
      <c r="A30816" s="4" t="s">
        <v>38807</v>
      </c>
      <c r="B30816" s="4" t="s">
        <v>38808</v>
      </c>
      <c r="C30816" s="5" t="str">
        <f>IFERROR(__xludf.DUMMYFUNCTION("GOOGLETRANSLATE(B30816,""en"",""es-ES"")"),"Vemos a un hombre correr y hacer un salto de altura 6'11 y ver la repetición.")</f>
        <v>Vemos a un hombre correr y hacer un salto de altura 6'11 y ver la repetición.</v>
      </c>
    </row>
    <row r="30817">
      <c r="A30817" s="4" t="s">
        <v>38807</v>
      </c>
      <c r="B30817" s="4" t="s">
        <v>38809</v>
      </c>
      <c r="C30817" s="5" t="str">
        <f>IFERROR(__xludf.DUMMYFUNCTION("GOOGLETRANSLATE(B30817,""en"",""es-ES"")"),"Luego vemos al hombre saltar a 6'9 y ver la repetición.")</f>
        <v>Luego vemos al hombre saltar a 6'9 y ver la repetición.</v>
      </c>
    </row>
    <row r="30818">
      <c r="A30818" s="4" t="s">
        <v>38807</v>
      </c>
      <c r="B30818" s="4" t="s">
        <v>38810</v>
      </c>
      <c r="C30818" s="5" t="str">
        <f>IFERROR(__xludf.DUMMYFUNCTION("GOOGLETRANSLATE(B30818,""en"",""es-ES"")"),"El hombre salta a 6'11 de nuevo y vemos la repetición.")</f>
        <v>El hombre salta a 6'11 de nuevo y vemos la repetición.</v>
      </c>
    </row>
    <row r="30819">
      <c r="A30819" s="4" t="s">
        <v>38807</v>
      </c>
      <c r="B30819" s="4" t="s">
        <v>38811</v>
      </c>
      <c r="C30819" s="5" t="str">
        <f>IFERROR(__xludf.DUMMYFUNCTION("GOOGLETRANSLATE(B30819,""en"",""es-ES"")"),"Vemos al hombre saltar a 7'2 y vemos la repetición.")</f>
        <v>Vemos al hombre saltar a 7'2 y vemos la repetición.</v>
      </c>
    </row>
    <row r="30820">
      <c r="A30820" s="4" t="s">
        <v>38807</v>
      </c>
      <c r="B30820" s="4" t="s">
        <v>38812</v>
      </c>
      <c r="C30820" s="5" t="str">
        <f>IFERROR(__xludf.DUMMYFUNCTION("GOOGLETRANSLATE(B30820,""en"",""es-ES"")"),"Vemos al hombre saltar a 8'3 usando un trampolín y vemos la repetición.")</f>
        <v>Vemos al hombre saltar a 8'3 usando un trampolín y vemos la repetición.</v>
      </c>
    </row>
    <row r="30821">
      <c r="A30821" s="4" t="s">
        <v>38813</v>
      </c>
      <c r="B30821" s="4" t="s">
        <v>38814</v>
      </c>
      <c r="C30821" s="5" t="str">
        <f>IFERROR(__xludf.DUMMYFUNCTION("GOOGLETRANSLATE(B30821,""en"",""es-ES"")"),"Hay algunos levantadores de pesas en el escenario que participan en eventos de levantamiento de pesas.")</f>
        <v>Hay algunos levantadores de pesas en el escenario que participan en eventos de levantamiento de pesas.</v>
      </c>
    </row>
    <row r="30822">
      <c r="A30822" s="4" t="s">
        <v>38813</v>
      </c>
      <c r="B30822" s="4" t="s">
        <v>38815</v>
      </c>
      <c r="C30822" s="5" t="str">
        <f>IFERROR(__xludf.DUMMYFUNCTION("GOOGLETRANSLATE(B30822,""en"",""es-ES"")"),"Hay varios espectadores que miran el evento.")</f>
        <v>Hay varios espectadores que miran el evento.</v>
      </c>
    </row>
    <row r="30823">
      <c r="A30823" s="4" t="s">
        <v>38813</v>
      </c>
      <c r="B30823" s="4" t="s">
        <v>38816</v>
      </c>
      <c r="C30823" s="5" t="str">
        <f>IFERROR(__xludf.DUMMYFUNCTION("GOOGLETRANSLATE(B30823,""en"",""es-ES"")"),"Uno de los levantadores de pesas levanta con éxito la barra de peso en alto y luego la deja caer.")</f>
        <v>Uno de los levantadores de pesas levanta con éxito la barra de peso en alto y luego la deja caer.</v>
      </c>
    </row>
    <row r="30824">
      <c r="A30824" s="4" t="s">
        <v>38813</v>
      </c>
      <c r="B30824" s="4" t="s">
        <v>38817</v>
      </c>
      <c r="C30824" s="5" t="str">
        <f>IFERROR(__xludf.DUMMYFUNCTION("GOOGLETRANSLATE(B30824,""en"",""es-ES"")"),"Levanta su mano derecha sintiéndose triunfante.")</f>
        <v>Levanta su mano derecha sintiéndose triunfante.</v>
      </c>
    </row>
    <row r="30825">
      <c r="A30825" s="4" t="s">
        <v>38818</v>
      </c>
      <c r="B30825" s="4" t="s">
        <v>38819</v>
      </c>
      <c r="C30825" s="5" t="str">
        <f>IFERROR(__xludf.DUMMYFUNCTION("GOOGLETRANSLATE(B30825,""en"",""es-ES"")"),"Hay un primer plano de varios hombres y niños que sudan.")</f>
        <v>Hay un primer plano de varios hombres y niños que sudan.</v>
      </c>
    </row>
    <row r="30826">
      <c r="A30826" s="4" t="s">
        <v>38818</v>
      </c>
      <c r="B30826" s="4" t="s">
        <v>38820</v>
      </c>
      <c r="C30826" s="5" t="str">
        <f>IFERROR(__xludf.DUMMYFUNCTION("GOOGLETRANSLATE(B30826,""en"",""es-ES"")"),"Tocan tijeras de papel rock y el perdedor se enfurece.")</f>
        <v>Tocan tijeras de papel rock y el perdedor se enfurece.</v>
      </c>
    </row>
    <row r="30827">
      <c r="A30827" s="4" t="s">
        <v>38818</v>
      </c>
      <c r="B30827" s="4" t="s">
        <v>38821</v>
      </c>
      <c r="C30827" s="5" t="str">
        <f>IFERROR(__xludf.DUMMYFUNCTION("GOOGLETRANSLATE(B30827,""en"",""es-ES"")"),"Corre por el edificio y al aire libre, gritando y golpeando el aire.")</f>
        <v>Corre por el edificio y al aire libre, gritando y golpeando el aire.</v>
      </c>
    </row>
    <row r="30828">
      <c r="A30828" s="4" t="s">
        <v>38818</v>
      </c>
      <c r="B30828" s="4" t="s">
        <v>38822</v>
      </c>
      <c r="C30828" s="5" t="str">
        <f>IFERROR(__xludf.DUMMYFUNCTION("GOOGLETRANSLATE(B30828,""en"",""es-ES"")"),"Se muestra al hombre sentado en una silla, hablando.")</f>
        <v>Se muestra al hombre sentado en una silla, hablando.</v>
      </c>
    </row>
    <row r="30829">
      <c r="A30829" s="4" t="s">
        <v>38818</v>
      </c>
      <c r="B30829" s="4" t="s">
        <v>38823</v>
      </c>
      <c r="C30829" s="5" t="str">
        <f>IFERROR(__xludf.DUMMYFUNCTION("GOOGLETRANSLATE(B30829,""en"",""es-ES"")"),"Sacude una botella y toma una copa antes de ahogarse.")</f>
        <v>Sacude una botella y toma una copa antes de ahogarse.</v>
      </c>
    </row>
    <row r="30830">
      <c r="A30830" s="4" t="s">
        <v>38818</v>
      </c>
      <c r="B30830" s="4" t="s">
        <v>38824</v>
      </c>
      <c r="C30830" s="5" t="str">
        <f>IFERROR(__xludf.DUMMYFUNCTION("GOOGLETRANSLATE(B30830,""en"",""es-ES"")"),"Replazan el juego, terminando con él nuevamente hablando mientras está sentado en la silla.")</f>
        <v>Replazan el juego, terminando con él nuevamente hablando mientras está sentado en la silla.</v>
      </c>
    </row>
    <row r="30831">
      <c r="A30831" s="4" t="s">
        <v>38825</v>
      </c>
      <c r="B30831" s="4" t="s">
        <v>38826</v>
      </c>
      <c r="C30831" s="5" t="str">
        <f>IFERROR(__xludf.DUMMYFUNCTION("GOOGLETRANSLATE(B30831,""en"",""es-ES"")"),"Un hombre está sentado en un cubo de pesca en hielo.")</f>
        <v>Un hombre está sentado en un cubo de pesca en hielo.</v>
      </c>
    </row>
    <row r="30832">
      <c r="A30832" s="4" t="s">
        <v>38825</v>
      </c>
      <c r="B30832" s="4" t="s">
        <v>38827</v>
      </c>
      <c r="C30832" s="5" t="str">
        <f>IFERROR(__xludf.DUMMYFUNCTION("GOOGLETRANSLATE(B30832,""en"",""es-ES"")"),"Se levanta y saca un pez del agujero.")</f>
        <v>Se levanta y saca un pez del agujero.</v>
      </c>
    </row>
    <row r="30833">
      <c r="A30833" s="4" t="s">
        <v>38825</v>
      </c>
      <c r="B30833" s="4" t="s">
        <v>38828</v>
      </c>
      <c r="C30833" s="5" t="str">
        <f>IFERROR(__xludf.DUMMYFUNCTION("GOOGLETRANSLATE(B30833,""en"",""es-ES"")"),"Él corta el gancho del pez y arroja el pez sobre el hielo.")</f>
        <v>Él corta el gancho del pez y arroja el pez sobre el hielo.</v>
      </c>
    </row>
    <row r="30834">
      <c r="A30834" s="4" t="s">
        <v>38825</v>
      </c>
      <c r="B30834" s="4" t="s">
        <v>38829</v>
      </c>
      <c r="C30834" s="5" t="str">
        <f>IFERROR(__xludf.DUMMYFUNCTION("GOOGLETRANSLATE(B30834,""en"",""es-ES"")"),"Se sienta de nuevo en el balde.")</f>
        <v>Se sienta de nuevo en el balde.</v>
      </c>
    </row>
    <row r="30835">
      <c r="A30835" s="4" t="s">
        <v>38830</v>
      </c>
      <c r="B30835" s="4" t="s">
        <v>38831</v>
      </c>
      <c r="C30835" s="5" t="str">
        <f>IFERROR(__xludf.DUMMYFUNCTION("GOOGLETRANSLATE(B30835,""en"",""es-ES"")"),"Se muestra una foto de un hombre en esquís acuáticos.")</f>
        <v>Se muestra una foto de un hombre en esquís acuáticos.</v>
      </c>
    </row>
    <row r="30836">
      <c r="A30836" s="4" t="s">
        <v>38830</v>
      </c>
      <c r="B30836" s="4" t="s">
        <v>38832</v>
      </c>
      <c r="C30836" s="5" t="str">
        <f>IFERROR(__xludf.DUMMYFUNCTION("GOOGLETRANSLATE(B30836,""en"",""es-ES"")"),"Luego salta al mismo hombre de esquí acuático con mucha atención.")</f>
        <v>Luego salta al mismo hombre de esquí acuático con mucha atención.</v>
      </c>
    </row>
    <row r="30837">
      <c r="A30837" s="4" t="s">
        <v>38830</v>
      </c>
      <c r="B30837" s="4" t="s">
        <v>38833</v>
      </c>
      <c r="C30837" s="5" t="str">
        <f>IFERROR(__xludf.DUMMYFUNCTION("GOOGLETRANSLATE(B30837,""en"",""es-ES"")"),"Se cae varias veces y hace todo lo posible para mantenerse en posición vertical.")</f>
        <v>Se cae varias veces y hace todo lo posible para mantenerse en posición vertical.</v>
      </c>
    </row>
    <row r="30838">
      <c r="A30838" s="4" t="s">
        <v>38830</v>
      </c>
      <c r="B30838" s="4" t="s">
        <v>38834</v>
      </c>
      <c r="C30838" s="5" t="str">
        <f>IFERROR(__xludf.DUMMYFUNCTION("GOOGLETRANSLATE(B30838,""en"",""es-ES"")"),"Luego, el video muestra a otras personas haciendo todo lo posible, pero cayendo cada vez.")</f>
        <v>Luego, el video muestra a otras personas haciendo todo lo posible, pero cayendo cada vez.</v>
      </c>
    </row>
    <row r="30839">
      <c r="A30839" s="4" t="s">
        <v>38830</v>
      </c>
      <c r="B30839" s="4" t="s">
        <v>38835</v>
      </c>
      <c r="C30839" s="5" t="str">
        <f>IFERROR(__xludf.DUMMYFUNCTION("GOOGLETRANSLATE(B30839,""en"",""es-ES"")"),"El video continúa mostrando a la gente cayendo una y otra vez.")</f>
        <v>El video continúa mostrando a la gente cayendo una y otra vez.</v>
      </c>
    </row>
    <row r="30840">
      <c r="A30840" s="4" t="s">
        <v>38830</v>
      </c>
      <c r="B30840" s="4" t="s">
        <v>38836</v>
      </c>
      <c r="C30840" s="5" t="str">
        <f>IFERROR(__xludf.DUMMYFUNCTION("GOOGLETRANSLATE(B30840,""en"",""es-ES"")"),"Al final, se muestran créditos sobre quién filmó y protagonizó el video.")</f>
        <v>Al final, se muestran créditos sobre quién filmó y protagonizó el video.</v>
      </c>
    </row>
    <row r="30841">
      <c r="A30841" s="4" t="s">
        <v>38837</v>
      </c>
      <c r="B30841" s="4" t="s">
        <v>38838</v>
      </c>
      <c r="C30841" s="5" t="str">
        <f>IFERROR(__xludf.DUMMYFUNCTION("GOOGLETRANSLATE(B30841,""en"",""es-ES"")"),"Un hombre está jugando las gaitas.")</f>
        <v>Un hombre está jugando las gaitas.</v>
      </c>
    </row>
    <row r="30842">
      <c r="A30842" s="4" t="s">
        <v>38837</v>
      </c>
      <c r="B30842" s="4" t="s">
        <v>38839</v>
      </c>
      <c r="C30842" s="5" t="str">
        <f>IFERROR(__xludf.DUMMYFUNCTION("GOOGLETRANSLATE(B30842,""en"",""es-ES"")"),"La gente está jugando un juego de lacrosse afuera.")</f>
        <v>La gente está jugando un juego de lacrosse afuera.</v>
      </c>
    </row>
    <row r="30843">
      <c r="A30843" s="4" t="s">
        <v>38837</v>
      </c>
      <c r="B30843" s="4" t="s">
        <v>21371</v>
      </c>
      <c r="C30843" s="5" t="str">
        <f>IFERROR(__xludf.DUMMYFUNCTION("GOOGLETRANSLATE(B30843,""en"",""es-ES"")"),"Un hombre con una camisa azul está hablando con la cámara.")</f>
        <v>Un hombre con una camisa azul está hablando con la cámara.</v>
      </c>
    </row>
    <row r="30844">
      <c r="A30844" s="4" t="s">
        <v>38840</v>
      </c>
      <c r="B30844" s="4" t="s">
        <v>38841</v>
      </c>
      <c r="C30844" s="5" t="str">
        <f>IFERROR(__xludf.DUMMYFUNCTION("GOOGLETRANSLATE(B30844,""en"",""es-ES"")"),"Un niño corta un patio trasero con un cortacésped que tiene una bolsa de recolección en la espalda.")</f>
        <v>Un niño corta un patio trasero con un cortacésped que tiene una bolsa de recolección en la espalda.</v>
      </c>
    </row>
    <row r="30845">
      <c r="A30845" s="4" t="s">
        <v>38840</v>
      </c>
      <c r="B30845" s="4" t="s">
        <v>38842</v>
      </c>
      <c r="C30845" s="5" t="str">
        <f>IFERROR(__xludf.DUMMYFUNCTION("GOOGLETRANSLATE(B30845,""en"",""es-ES"")"),"El niño pasa la acera y gira hacia el patio para continuar cortando la hierba.")</f>
        <v>El niño pasa la acera y gira hacia el patio para continuar cortando la hierba.</v>
      </c>
    </row>
    <row r="30846">
      <c r="A30846" s="4" t="s">
        <v>38843</v>
      </c>
      <c r="B30846" s="4" t="s">
        <v>38844</v>
      </c>
      <c r="C30846" s="5" t="str">
        <f>IFERROR(__xludf.DUMMYFUNCTION("GOOGLETRANSLATE(B30846,""en"",""es-ES"")"),"La gente montando en caballos en un campo.")</f>
        <v>La gente montando en caballos en un campo.</v>
      </c>
    </row>
    <row r="30847">
      <c r="A30847" s="4" t="s">
        <v>38843</v>
      </c>
      <c r="B30847" s="4" t="s">
        <v>38845</v>
      </c>
      <c r="C30847" s="5" t="str">
        <f>IFERROR(__xludf.DUMMYFUNCTION("GOOGLETRANSLATE(B30847,""en"",""es-ES"")"),"Una persona con una camisa roja está de pie al lado del caballo.")</f>
        <v>Una persona con una camisa roja está de pie al lado del caballo.</v>
      </c>
    </row>
    <row r="30848">
      <c r="A30848" s="4" t="s">
        <v>38843</v>
      </c>
      <c r="B30848" s="4" t="s">
        <v>38846</v>
      </c>
      <c r="C30848" s="5" t="str">
        <f>IFERROR(__xludf.DUMMYFUNCTION("GOOGLETRANSLATE(B30848,""en"",""es-ES"")"),"Un hombre con un sombrero negro está al lado del caballo.")</f>
        <v>Un hombre con un sombrero negro está al lado del caballo.</v>
      </c>
    </row>
    <row r="30849">
      <c r="A30849" s="4" t="s">
        <v>38847</v>
      </c>
      <c r="B30849" s="4" t="s">
        <v>38848</v>
      </c>
      <c r="C30849" s="5" t="str">
        <f>IFERROR(__xludf.DUMMYFUNCTION("GOOGLETRANSLATE(B30849,""en"",""es-ES"")"),"Se ve a una mujer afeitarse por el pelaje de un perro, mientras que la cámara muestra a muchos perros sentados en cajas.")</f>
        <v>Se ve a una mujer afeitarse por el pelaje de un perro, mientras que la cámara muestra a muchos perros sentados en cajas.</v>
      </c>
    </row>
    <row r="30850">
      <c r="A30850" s="4" t="s">
        <v>38847</v>
      </c>
      <c r="B30850" s="4" t="s">
        <v>38849</v>
      </c>
      <c r="C30850" s="5" t="str">
        <f>IFERROR(__xludf.DUMMYFUNCTION("GOOGLETRANSLATE(B30850,""en"",""es-ES"")"),"Se ve a una mujer hablando con la cámara y mostrando a varios perros con el pelo largo y luego.")</f>
        <v>Se ve a una mujer hablando con la cámara y mostrando a varios perros con el pelo largo y luego.</v>
      </c>
    </row>
    <row r="30851">
      <c r="A30851" s="4" t="s">
        <v>38847</v>
      </c>
      <c r="B30851" s="4" t="s">
        <v>38850</v>
      </c>
      <c r="C30851" s="5" t="str">
        <f>IFERROR(__xludf.DUMMYFUNCTION("GOOGLETRANSLATE(B30851,""en"",""es-ES"")"),"La mujer continúa afeitándose por los lados del perro mientras se detiene para hablar con la cámara y mostrando al perro afeitado.")</f>
        <v>La mujer continúa afeitándose por los lados del perro mientras se detiene para hablar con la cámara y mostrando al perro afeitado.</v>
      </c>
    </row>
    <row r="30852">
      <c r="A30852" s="4" t="s">
        <v>38851</v>
      </c>
      <c r="B30852" s="4" t="s">
        <v>38852</v>
      </c>
      <c r="C30852" s="5" t="str">
        <f>IFERROR(__xludf.DUMMYFUNCTION("GOOGLETRANSLATE(B30852,""en"",""es-ES"")"),"Una persona con un abrigo negro está raspando el hielo de una ventana.")</f>
        <v>Una persona con un abrigo negro está raspando el hielo de una ventana.</v>
      </c>
    </row>
    <row r="30853">
      <c r="A30853" s="4" t="s">
        <v>38851</v>
      </c>
      <c r="B30853" s="4" t="s">
        <v>38853</v>
      </c>
      <c r="C30853" s="5" t="str">
        <f>IFERROR(__xludf.DUMMYFUNCTION("GOOGLETRANSLATE(B30853,""en"",""es-ES"")"),"Un niño con un abrigo amarillo está sonriendo a la cámara.")</f>
        <v>Un niño con un abrigo amarillo está sonriendo a la cámara.</v>
      </c>
    </row>
    <row r="30854">
      <c r="A30854" s="4" t="s">
        <v>38851</v>
      </c>
      <c r="B30854" s="4" t="s">
        <v>38854</v>
      </c>
      <c r="C30854" s="5" t="str">
        <f>IFERROR(__xludf.DUMMYFUNCTION("GOOGLETRANSLATE(B30854,""en"",""es-ES"")"),"Un niño con una chaqueta verde está raspando el hielo de otro automóvil.")</f>
        <v>Un niño con una chaqueta verde está raspando el hielo de otro automóvil.</v>
      </c>
    </row>
    <row r="30855">
      <c r="A30855" s="4" t="s">
        <v>38855</v>
      </c>
      <c r="B30855" s="4" t="s">
        <v>38856</v>
      </c>
      <c r="C30855" s="5" t="str">
        <f>IFERROR(__xludf.DUMMYFUNCTION("GOOGLETRANSLATE(B30855,""en"",""es-ES"")"),"Las noticias muestran una foto de un hombre con el nombre de Albertinho Gazio, mientras que una mujer que sale de su casa con equipo de nieve hacia su auto estacionado.")</f>
        <v>Las noticias muestran una foto de un hombre con el nombre de Albertinho Gazio, mientras que una mujer que sale de su casa con equipo de nieve hacia su auto estacionado.</v>
      </c>
    </row>
    <row r="30856">
      <c r="A30856" s="4" t="s">
        <v>38855</v>
      </c>
      <c r="B30856" s="4" t="s">
        <v>38857</v>
      </c>
      <c r="C30856" s="5" t="str">
        <f>IFERROR(__xludf.DUMMYFUNCTION("GOOGLETRANSLATE(B30856,""en"",""es-ES"")"),"El hombre detrás de la cámara parece ser Albertinho, está caminando por la nieve y hablando, él y su esposa y quitándose la nieve de los autos en el estacionamiento.")</f>
        <v>El hombre detrás de la cámara parece ser Albertinho, está caminando por la nieve y hablando, él y su esposa y quitándose la nieve de los autos en el estacionamiento.</v>
      </c>
    </row>
    <row r="30857">
      <c r="A30857" s="4" t="s">
        <v>38855</v>
      </c>
      <c r="B30857" s="4" t="s">
        <v>38858</v>
      </c>
      <c r="C30857" s="5" t="str">
        <f>IFERROR(__xludf.DUMMYFUNCTION("GOOGLETRANSLATE(B30857,""en"",""es-ES"")"),"Sus manos son extremadamente rojas por la nieve, pero su esposa usa guantes, por lo que no se ve afectada.")</f>
        <v>Sus manos son extremadamente rojas por la nieve, pero su esposa usa guantes, por lo que no se ve afectada.</v>
      </c>
    </row>
    <row r="30858">
      <c r="A30858" s="4" t="s">
        <v>38855</v>
      </c>
      <c r="B30858" s="4" t="s">
        <v>38859</v>
      </c>
      <c r="C30858" s="5" t="str">
        <f>IFERROR(__xludf.DUMMYFUNCTION("GOOGLETRANSLATE(B30858,""en"",""es-ES"")"),"Saca un papel de su bolsillo y lo lee, mientras su esposa se ríe de él antes de comenzar a caminar de regreso.")</f>
        <v>Saca un papel de su bolsillo y lo lee, mientras su esposa se ríe de él antes de comenzar a caminar de regreso.</v>
      </c>
    </row>
    <row r="30859">
      <c r="A30859" s="4" t="s">
        <v>38860</v>
      </c>
      <c r="B30859" s="4" t="s">
        <v>38861</v>
      </c>
      <c r="C30859" s="5" t="str">
        <f>IFERROR(__xludf.DUMMYFUNCTION("GOOGLETRANSLATE(B30859,""en"",""es-ES"")"),"Una niña puso su pie en una línea y luego se levanta.")</f>
        <v>Una niña puso su pie en una línea y luego se levanta.</v>
      </c>
    </row>
    <row r="30860">
      <c r="A30860" s="4" t="s">
        <v>38860</v>
      </c>
      <c r="B30860" s="4" t="s">
        <v>38862</v>
      </c>
      <c r="C30860" s="5" t="str">
        <f>IFERROR(__xludf.DUMMYFUNCTION("GOOGLETRANSLATE(B30860,""en"",""es-ES"")"),"Sus pies están sucios pero está tratando de equilibrarse en la cuerda.")</f>
        <v>Sus pies están sucios pero está tratando de equilibrarse en la cuerda.</v>
      </c>
    </row>
    <row r="30861">
      <c r="A30861" s="4" t="s">
        <v>38860</v>
      </c>
      <c r="B30861" s="4" t="s">
        <v>38863</v>
      </c>
      <c r="C30861" s="5" t="str">
        <f>IFERROR(__xludf.DUMMYFUNCTION("GOOGLETRANSLATE(B30861,""en"",""es-ES"")"),"Un hombre se levanta en la cuerda tratando de equilibrarse también, tiene problemas para mantener su equilibrio haciendo que casi caiga bastante.")</f>
        <v>Un hombre se levanta en la cuerda tratando de equilibrarse también, tiene problemas para mantener su equilibrio haciendo que casi caiga bastante.</v>
      </c>
    </row>
    <row r="30862">
      <c r="A30862" s="4" t="s">
        <v>38860</v>
      </c>
      <c r="B30862" s="4" t="s">
        <v>38864</v>
      </c>
      <c r="C30862" s="5" t="str">
        <f>IFERROR(__xludf.DUMMYFUNCTION("GOOGLETRANSLATE(B30862,""en"",""es-ES"")"),"Intentó esto sobre el agua y luego observa a una mujer tratar de equilibrarse.")</f>
        <v>Intentó esto sobre el agua y luego observa a una mujer tratar de equilibrarse.</v>
      </c>
    </row>
    <row r="30863">
      <c r="A30863" s="4" t="s">
        <v>38865</v>
      </c>
      <c r="B30863" s="4" t="s">
        <v>38866</v>
      </c>
      <c r="C30863" s="5" t="str">
        <f>IFERROR(__xludf.DUMMYFUNCTION("GOOGLETRANSLATE(B30863,""en"",""es-ES"")"),"Una persona toma las manos un cepillo pequeño y grande y un com, y señala una jarra de detergente y una botella de spray.")</f>
        <v>Una persona toma las manos un cepillo pequeño y grande y un com, y señala una jarra de detergente y una botella de spray.</v>
      </c>
    </row>
    <row r="30864">
      <c r="A30864" s="4" t="s">
        <v>38865</v>
      </c>
      <c r="B30864" s="4" t="s">
        <v>38867</v>
      </c>
      <c r="C30864" s="5" t="str">
        <f>IFERROR(__xludf.DUMMYFUNCTION("GOOGLETRANSLATE(B30864,""en"",""es-ES"")"),"La persona toma el cepillo grande y cepilla la pierna trasera del perro de arriba a abajo.")</f>
        <v>La persona toma el cepillo grande y cepilla la pierna trasera del perro de arriba a abajo.</v>
      </c>
    </row>
    <row r="30865">
      <c r="A30865" s="4" t="s">
        <v>38865</v>
      </c>
      <c r="B30865" s="4" t="s">
        <v>38868</v>
      </c>
      <c r="C30865" s="5" t="str">
        <f>IFERROR(__xludf.DUMMYFUNCTION("GOOGLETRANSLATE(B30865,""en"",""es-ES"")"),"Después, la persona cepilla la pierna trasera del perro usando el cepillo grande, luego ella pequeña y el peine.")</f>
        <v>Después, la persona cepilla la pierna trasera del perro usando el cepillo grande, luego ella pequeña y el peine.</v>
      </c>
    </row>
    <row r="30866">
      <c r="A30866" s="4" t="s">
        <v>38865</v>
      </c>
      <c r="B30866" s="4" t="s">
        <v>38869</v>
      </c>
      <c r="C30866" s="5" t="str">
        <f>IFERROR(__xludf.DUMMYFUNCTION("GOOGLETRANSLATE(B30866,""en"",""es-ES"")"),"Luego, la persona rocía la pierna del perro y los peines.")</f>
        <v>Luego, la persona rocía la pierna del perro y los peines.</v>
      </c>
    </row>
    <row r="30867">
      <c r="A30867" s="4" t="s">
        <v>38870</v>
      </c>
      <c r="B30867" s="4" t="s">
        <v>38871</v>
      </c>
      <c r="C30867" s="5" t="str">
        <f>IFERROR(__xludf.DUMMYFUNCTION("GOOGLETRANSLATE(B30867,""en"",""es-ES"")"),"Una persona juega gaita en las calles mientras la gente pasa.")</f>
        <v>Una persona juega gaita en las calles mientras la gente pasa.</v>
      </c>
    </row>
    <row r="30868">
      <c r="A30868" s="4" t="s">
        <v>38870</v>
      </c>
      <c r="B30868" s="4" t="s">
        <v>38872</v>
      </c>
      <c r="C30868" s="5" t="str">
        <f>IFERROR(__xludf.DUMMYFUNCTION("GOOGLETRANSLATE(B30868,""en"",""es-ES"")"),"Se muestra a la multitud y alguien toma una foto con la mujer.")</f>
        <v>Se muestra a la multitud y alguien toma una foto con la mujer.</v>
      </c>
    </row>
    <row r="30869">
      <c r="A30869" s="4" t="s">
        <v>38873</v>
      </c>
      <c r="B30869" s="4" t="s">
        <v>38874</v>
      </c>
      <c r="C30869" s="5" t="str">
        <f>IFERROR(__xludf.DUMMYFUNCTION("GOOGLETRANSLATE(B30869,""en"",""es-ES"")"),"Hay una gimnasta con leotardos rojos que realizan gimnasia en una barra de caballos en un gran estadio con espectadores y un panel de jueces.")</f>
        <v>Hay una gimnasta con leotardos rojos que realizan gimnasia en una barra de caballos en un gran estadio con espectadores y un panel de jueces.</v>
      </c>
    </row>
    <row r="30870">
      <c r="A30870" s="4" t="s">
        <v>38873</v>
      </c>
      <c r="B30870" s="4" t="s">
        <v>38875</v>
      </c>
      <c r="C30870" s="5" t="str">
        <f>IFERROR(__xludf.DUMMYFUNCTION("GOOGLETRANSLATE(B30870,""en"",""es-ES"")"),"Ella comienza subiendo a la barra de caballos y hace un volteo delantero y un par de volteos traseros.")</f>
        <v>Ella comienza subiendo a la barra de caballos y hace un volteo delantero y un par de volteos traseros.</v>
      </c>
    </row>
    <row r="30871">
      <c r="A30871" s="4" t="s">
        <v>38873</v>
      </c>
      <c r="B30871" s="4" t="s">
        <v>38876</v>
      </c>
      <c r="C30871" s="5" t="str">
        <f>IFERROR(__xludf.DUMMYFUNCTION("GOOGLETRANSLATE(B30871,""en"",""es-ES"")"),"Luego continúa retorciendo sus piernas y hace otro lado voltea girando su cuerpo.")</f>
        <v>Luego continúa retorciendo sus piernas y hace otro lado voltea girando su cuerpo.</v>
      </c>
    </row>
    <row r="30872">
      <c r="A30872" s="4" t="s">
        <v>38873</v>
      </c>
      <c r="B30872" s="4" t="s">
        <v>38877</v>
      </c>
      <c r="C30872" s="5" t="str">
        <f>IFERROR(__xludf.DUMMYFUNCTION("GOOGLETRANSLATE(B30872,""en"",""es-ES"")"),"Luego, con gracia, hace pocas flips de espalda más continuas y salta del bar y se aleja.")</f>
        <v>Luego, con gracia, hace pocas flips de espalda más continuas y salta del bar y se aleja.</v>
      </c>
    </row>
    <row r="30873">
      <c r="A30873" s="4" t="s">
        <v>38878</v>
      </c>
      <c r="B30873" s="4" t="s">
        <v>38879</v>
      </c>
      <c r="C30873" s="5" t="str">
        <f>IFERROR(__xludf.DUMMYFUNCTION("GOOGLETRANSLATE(B30873,""en"",""es-ES"")"),"Dos sumos se paran cara a cara en el frente de una mujer.")</f>
        <v>Dos sumos se paran cara a cara en el frente de una mujer.</v>
      </c>
    </row>
    <row r="30874">
      <c r="A30874" s="4" t="s">
        <v>38878</v>
      </c>
      <c r="B30874" s="4" t="s">
        <v>38880</v>
      </c>
      <c r="C30874" s="5" t="str">
        <f>IFERROR(__xludf.DUMMYFUNCTION("GOOGLETRANSLATE(B30874,""en"",""es-ES"")"),"Luego, los sumos se empujan mientras la mujer los mira.")</f>
        <v>Luego, los sumos se empujan mientras la mujer los mira.</v>
      </c>
    </row>
    <row r="30875">
      <c r="A30875" s="4" t="s">
        <v>38878</v>
      </c>
      <c r="B30875" s="4" t="s">
        <v>38881</v>
      </c>
      <c r="C30875" s="5" t="str">
        <f>IFERROR(__xludf.DUMMYFUNCTION("GOOGLETRANSLATE(B30875,""en"",""es-ES"")"),"Después, un sumo cae en el suelo fuertemente, luego se para.")</f>
        <v>Después, un sumo cae en el suelo fuertemente, luego se para.</v>
      </c>
    </row>
    <row r="30876">
      <c r="A30876" s="4" t="s">
        <v>38878</v>
      </c>
      <c r="B30876" s="4" t="s">
        <v>38882</v>
      </c>
      <c r="C30876" s="5" t="str">
        <f>IFERROR(__xludf.DUMMYFUNCTION("GOOGLETRANSLATE(B30876,""en"",""es-ES"")"),"Un hombre con ropa amarilla se acerca al anillo.")</f>
        <v>Un hombre con ropa amarilla se acerca al anillo.</v>
      </c>
    </row>
    <row r="30877">
      <c r="A30877" s="4" t="s">
        <v>38883</v>
      </c>
      <c r="B30877" s="4" t="s">
        <v>38884</v>
      </c>
      <c r="C30877" s="5" t="str">
        <f>IFERROR(__xludf.DUMMYFUNCTION("GOOGLETRANSLATE(B30877,""en"",""es-ES"")"),"Cinco productos están alineados en una mesa, ilustrando los productos necesarios para afeitarse.")</f>
        <v>Cinco productos están alineados en una mesa, ilustrando los productos necesarios para afeitarse.</v>
      </c>
    </row>
    <row r="30878">
      <c r="A30878" s="4" t="s">
        <v>38883</v>
      </c>
      <c r="B30878" s="4" t="s">
        <v>38885</v>
      </c>
      <c r="C30878" s="5" t="str">
        <f>IFERROR(__xludf.DUMMYFUNCTION("GOOGLETRANSLATE(B30878,""en"",""es-ES"")"),"Un joven hombre blanco entra al baño, enciende el agua y comienza a frotar su barba.")</f>
        <v>Un joven hombre blanco entra al baño, enciende el agua y comienza a frotar su barba.</v>
      </c>
    </row>
    <row r="30879">
      <c r="A30879" s="4" t="s">
        <v>38883</v>
      </c>
      <c r="B30879" s="4" t="s">
        <v>38886</v>
      </c>
      <c r="C30879" s="5" t="str">
        <f>IFERROR(__xludf.DUMMYFUNCTION("GOOGLETRANSLATE(B30879,""en"",""es-ES"")"),"Se muestra una serie de formas diferentes del producto y luego el hombre prepara su piel con aceite y la pone alrededor de su barba.")</f>
        <v>Se muestra una serie de formas diferentes del producto y luego el hombre prepara su piel con aceite y la pone alrededor de su barba.</v>
      </c>
    </row>
    <row r="30880">
      <c r="A30880" s="4" t="s">
        <v>38883</v>
      </c>
      <c r="B30880" s="4" t="s">
        <v>38887</v>
      </c>
      <c r="C30880" s="5" t="str">
        <f>IFERROR(__xludf.DUMMYFUNCTION("GOOGLETRANSLATE(B30880,""en"",""es-ES"")"),"Luego viene el cepillo y le agrega un poco de crema blanca para enjabardar su cabello.")</f>
        <v>Luego viene el cepillo y le agrega un poco de crema blanca para enjabardar su cabello.</v>
      </c>
    </row>
    <row r="30881">
      <c r="A30881" s="4" t="s">
        <v>38883</v>
      </c>
      <c r="B30881" s="4" t="s">
        <v>38888</v>
      </c>
      <c r="C30881" s="5" t="str">
        <f>IFERROR(__xludf.DUMMYFUNCTION("GOOGLETRANSLATE(B30881,""en"",""es-ES"")"),"Finalmente, es hora de afeitarse y la barba se retira por completo.")</f>
        <v>Finalmente, es hora de afeitarse y la barba se retira por completo.</v>
      </c>
    </row>
    <row r="30882">
      <c r="A30882" s="4" t="s">
        <v>38883</v>
      </c>
      <c r="B30882" s="4" t="s">
        <v>38889</v>
      </c>
      <c r="C30882" s="5" t="str">
        <f>IFERROR(__xludf.DUMMYFUNCTION("GOOGLETRANSLATE(B30882,""en"",""es-ES"")"),"Para los toques finales, se agrega la loción y el hombre ahora está vestido con un traje listo para funcionar.")</f>
        <v>Para los toques finales, se agrega la loción y el hombre ahora está vestido con un traje listo para funcionar.</v>
      </c>
    </row>
    <row r="30883">
      <c r="A30883" s="4" t="s">
        <v>38890</v>
      </c>
      <c r="B30883" s="4" t="s">
        <v>38891</v>
      </c>
      <c r="C30883" s="5" t="str">
        <f>IFERROR(__xludf.DUMMYFUNCTION("GOOGLETRANSLATE(B30883,""en"",""es-ES"")"),"Se ve a un hombre que usa un sombrero hablando con la cámara y sosteniendo varios productos de limpieza.")</f>
        <v>Se ve a un hombre que usa un sombrero hablando con la cámara y sosteniendo varios productos de limpieza.</v>
      </c>
    </row>
    <row r="30884">
      <c r="A30884" s="4" t="s">
        <v>38890</v>
      </c>
      <c r="B30884" s="4" t="s">
        <v>38892</v>
      </c>
      <c r="C30884" s="5" t="str">
        <f>IFERROR(__xludf.DUMMYFUNCTION("GOOGLETRANSLATE(B30884,""en"",""es-ES"")"),"Luego levanta una botella y un trapo y comienza a limpiarse una puerta de clase.")</f>
        <v>Luego levanta una botella y un trapo y comienza a limpiarse una puerta de clase.</v>
      </c>
    </row>
    <row r="30885">
      <c r="A30885" s="4" t="s">
        <v>38890</v>
      </c>
      <c r="B30885" s="4" t="s">
        <v>38893</v>
      </c>
      <c r="C30885" s="5" t="str">
        <f>IFERROR(__xludf.DUMMYFUNCTION("GOOGLETRANSLATE(B30885,""en"",""es-ES"")"),"Continúa limpiando una puerta y hablando con la cámara.")</f>
        <v>Continúa limpiando una puerta y hablando con la cámara.</v>
      </c>
    </row>
    <row r="30886">
      <c r="A30886" s="4" t="s">
        <v>38894</v>
      </c>
      <c r="B30886" s="4" t="s">
        <v>38895</v>
      </c>
      <c r="C30886" s="5" t="str">
        <f>IFERROR(__xludf.DUMMYFUNCTION("GOOGLETRANSLATE(B30886,""en"",""es-ES"")"),"Un hombre está hablando con la cámara mientras diseña el cabello de una mujer.")</f>
        <v>Un hombre está hablando con la cámara mientras diseña el cabello de una mujer.</v>
      </c>
    </row>
    <row r="30887">
      <c r="A30887" s="4" t="s">
        <v>38894</v>
      </c>
      <c r="B30887" s="4" t="s">
        <v>38896</v>
      </c>
      <c r="C30887" s="5" t="str">
        <f>IFERROR(__xludf.DUMMYFUNCTION("GOOGLETRANSLATE(B30887,""en"",""es-ES"")"),"El hombre muestra varios productos para el cuidado del cabello.")</f>
        <v>El hombre muestra varios productos para el cuidado del cabello.</v>
      </c>
    </row>
    <row r="30888">
      <c r="A30888" s="4" t="s">
        <v>38894</v>
      </c>
      <c r="B30888" s="4" t="s">
        <v>38897</v>
      </c>
      <c r="C30888" s="5" t="str">
        <f>IFERROR(__xludf.DUMMYFUNCTION("GOOGLETRANSLATE(B30888,""en"",""es-ES"")"),"El hombre está secando el cabello de la mujer con un secador.")</f>
        <v>El hombre está secando el cabello de la mujer con un secador.</v>
      </c>
    </row>
    <row r="30889">
      <c r="A30889" s="4" t="s">
        <v>38894</v>
      </c>
      <c r="B30889" s="4" t="s">
        <v>38898</v>
      </c>
      <c r="C30889" s="5" t="str">
        <f>IFERROR(__xludf.DUMMYFUNCTION("GOOGLETRANSLATE(B30889,""en"",""es-ES"")"),"El hombre muestra un cepillo para el cabello.")</f>
        <v>El hombre muestra un cepillo para el cabello.</v>
      </c>
    </row>
    <row r="30890">
      <c r="A30890" s="4" t="s">
        <v>38894</v>
      </c>
      <c r="B30890" s="4" t="s">
        <v>38899</v>
      </c>
      <c r="C30890" s="5" t="str">
        <f>IFERROR(__xludf.DUMMYFUNCTION("GOOGLETRANSLATE(B30890,""en"",""es-ES"")"),"El hombre le entrega a la mujer el cepillo y el secador.")</f>
        <v>El hombre le entrega a la mujer el cepillo y el secador.</v>
      </c>
    </row>
    <row r="30891">
      <c r="A30891" s="4" t="s">
        <v>38894</v>
      </c>
      <c r="B30891" s="4" t="s">
        <v>38900</v>
      </c>
      <c r="C30891" s="5" t="str">
        <f>IFERROR(__xludf.DUMMYFUNCTION("GOOGLETRANSLATE(B30891,""en"",""es-ES"")"),"La mujer procede a secar su propio cabello.")</f>
        <v>La mujer procede a secar su propio cabello.</v>
      </c>
    </row>
    <row r="30892">
      <c r="A30892" s="4" t="s">
        <v>38894</v>
      </c>
      <c r="B30892" s="4" t="s">
        <v>38901</v>
      </c>
      <c r="C30892" s="5" t="str">
        <f>IFERROR(__xludf.DUMMYFUNCTION("GOOGLETRANSLATE(B30892,""en"",""es-ES"")"),"El hombre se reanuda a secar el cabello de la mujer.")</f>
        <v>El hombre se reanuda a secar el cabello de la mujer.</v>
      </c>
    </row>
    <row r="30893">
      <c r="A30893" s="4" t="s">
        <v>38894</v>
      </c>
      <c r="B30893" s="4" t="s">
        <v>38902</v>
      </c>
      <c r="C30893" s="5" t="str">
        <f>IFERROR(__xludf.DUMMYFUNCTION("GOOGLETRANSLATE(B30893,""en"",""es-ES"")"),"El hombre rocía el cabello de la mujer con laca para el cabello.")</f>
        <v>El hombre rocía el cabello de la mujer con laca para el cabello.</v>
      </c>
    </row>
    <row r="30894">
      <c r="A30894" s="4" t="s">
        <v>38894</v>
      </c>
      <c r="B30894" s="4" t="s">
        <v>38903</v>
      </c>
      <c r="C30894" s="5" t="str">
        <f>IFERROR(__xludf.DUMMYFUNCTION("GOOGLETRANSLATE(B30894,""en"",""es-ES"")"),"Se muestra una fila de productos para el cuidado del cabello.")</f>
        <v>Se muestra una fila de productos para el cuidado del cabello.</v>
      </c>
    </row>
    <row r="30895">
      <c r="A30895" s="4" t="s">
        <v>38894</v>
      </c>
      <c r="B30895" s="4" t="s">
        <v>38904</v>
      </c>
      <c r="C30895" s="5" t="str">
        <f>IFERROR(__xludf.DUMMYFUNCTION("GOOGLETRANSLATE(B30895,""en"",""es-ES"")"),"Se muestra un logotipo para productos para el cuidado del cabello.")</f>
        <v>Se muestra un logotipo para productos para el cuidado del cabello.</v>
      </c>
    </row>
    <row r="30896">
      <c r="A30896" s="4" t="s">
        <v>38905</v>
      </c>
      <c r="B30896" s="4" t="s">
        <v>38906</v>
      </c>
      <c r="C30896" s="5" t="str">
        <f>IFERROR(__xludf.DUMMYFUNCTION("GOOGLETRANSLATE(B30896,""en"",""es-ES"")"),"Un grupo de personas está en el patio trasero de una casa, jugando a Croquette.")</f>
        <v>Un grupo de personas está en el patio trasero de una casa, jugando a Croquette.</v>
      </c>
    </row>
    <row r="30897">
      <c r="A30897" s="4" t="s">
        <v>38905</v>
      </c>
      <c r="B30897" s="4" t="s">
        <v>38907</v>
      </c>
      <c r="C30897" s="5" t="str">
        <f>IFERROR(__xludf.DUMMYFUNCTION("GOOGLETRANSLATE(B30897,""en"",""es-ES"")"),"Una mujer usa el mazo para golpear la pelota, luego otros se unen.")</f>
        <v>Una mujer usa el mazo para golpear la pelota, luego otros se unen.</v>
      </c>
    </row>
    <row r="30898">
      <c r="A30898" s="4" t="s">
        <v>38905</v>
      </c>
      <c r="B30898" s="4" t="s">
        <v>38908</v>
      </c>
      <c r="C30898" s="5" t="str">
        <f>IFERROR(__xludf.DUMMYFUNCTION("GOOGLETRANSLATE(B30898,""en"",""es-ES"")"),"Un hombre que sostiene un mazo y una pelota habla sobre el proceso de cómo jugar el juego, jugar y golpear la pelota y lo explica.")</f>
        <v>Un hombre que sostiene un mazo y una pelota habla sobre el proceso de cómo jugar el juego, jugar y golpear la pelota y lo explica.</v>
      </c>
    </row>
    <row r="30899">
      <c r="A30899" s="4" t="s">
        <v>38905</v>
      </c>
      <c r="B30899" s="4" t="s">
        <v>38909</v>
      </c>
      <c r="C30899" s="5" t="str">
        <f>IFERROR(__xludf.DUMMYFUNCTION("GOOGLETRANSLATE(B30899,""en"",""es-ES"")"),"Luego saca los brazos a los costados.")</f>
        <v>Luego saca los brazos a los costados.</v>
      </c>
    </row>
    <row r="30900">
      <c r="A30900" s="4" t="s">
        <v>38910</v>
      </c>
      <c r="B30900" s="4" t="s">
        <v>38911</v>
      </c>
      <c r="C30900" s="5" t="str">
        <f>IFERROR(__xludf.DUMMYFUNCTION("GOOGLETRANSLATE(B30900,""en"",""es-ES"")"),"Un círculo está formado por varios niños que hablan y se golpean en la cabeza con mazos de espuma.")</f>
        <v>Un círculo está formado por varios niños que hablan y se golpean en la cabeza con mazos de espuma.</v>
      </c>
    </row>
    <row r="30901">
      <c r="A30901" s="4" t="s">
        <v>38910</v>
      </c>
      <c r="B30901" s="4" t="s">
        <v>38912</v>
      </c>
      <c r="C30901" s="5" t="str">
        <f>IFERROR(__xludf.DUMMYFUNCTION("GOOGLETRANSLATE(B30901,""en"",""es-ES"")"),"Las otras personas se ríen mientras miran.")</f>
        <v>Las otras personas se ríen mientras miran.</v>
      </c>
    </row>
    <row r="30902">
      <c r="A30902" s="4" t="s">
        <v>38913</v>
      </c>
      <c r="B30902" s="4" t="s">
        <v>38914</v>
      </c>
      <c r="C30902" s="5" t="str">
        <f>IFERROR(__xludf.DUMMYFUNCTION("GOOGLETRANSLATE(B30902,""en"",""es-ES"")"),"Vemos una pista con gente de pie.")</f>
        <v>Vemos una pista con gente de pie.</v>
      </c>
    </row>
    <row r="30903">
      <c r="A30903" s="4" t="s">
        <v>38913</v>
      </c>
      <c r="B30903" s="4" t="s">
        <v>38915</v>
      </c>
      <c r="C30903" s="5" t="str">
        <f>IFERROR(__xludf.DUMMYFUNCTION("GOOGLETRANSLATE(B30903,""en"",""es-ES"")"),"Vemos a un hombre con una carrera de jabalina.")</f>
        <v>Vemos a un hombre con una carrera de jabalina.</v>
      </c>
    </row>
    <row r="30904">
      <c r="A30904" s="4" t="s">
        <v>38913</v>
      </c>
      <c r="B30904" s="4" t="s">
        <v>38916</v>
      </c>
      <c r="C30904" s="5" t="str">
        <f>IFERROR(__xludf.DUMMYFUNCTION("GOOGLETRANSLATE(B30904,""en"",""es-ES"")"),"El hombre regresa y vemos otro lanzador de jabalina con él.")</f>
        <v>El hombre regresa y vemos otro lanzador de jabalina con él.</v>
      </c>
    </row>
    <row r="30905">
      <c r="A30905" s="4" t="s">
        <v>38913</v>
      </c>
      <c r="B30905" s="4" t="s">
        <v>38917</v>
      </c>
      <c r="C30905" s="5" t="str">
        <f>IFERROR(__xludf.DUMMYFUNCTION("GOOGLETRANSLATE(B30905,""en"",""es-ES"")"),"Un hombre de rojo y blanco corre por una pista y realiza un salto de altura.")</f>
        <v>Un hombre de rojo y blanco corre por una pista y realiza un salto de altura.</v>
      </c>
    </row>
    <row r="30906">
      <c r="A30906" s="4" t="s">
        <v>38913</v>
      </c>
      <c r="B30906" s="4" t="s">
        <v>38918</v>
      </c>
      <c r="C30906" s="5" t="str">
        <f>IFERROR(__xludf.DUMMYFUNCTION("GOOGLETRANSLATE(B30906,""en"",""es-ES"")"),"La cámara se baja y cubre por una mano.")</f>
        <v>La cámara se baja y cubre por una mano.</v>
      </c>
    </row>
    <row r="30907">
      <c r="A30907" s="4" t="s">
        <v>38919</v>
      </c>
      <c r="B30907" s="4" t="s">
        <v>38920</v>
      </c>
      <c r="C30907" s="5" t="str">
        <f>IFERROR(__xludf.DUMMYFUNCTION("GOOGLETRANSLATE(B30907,""en"",""es-ES"")"),"Se muestra a un hombre haciendo un salto en cámara lenta en una pista varias veces consecutiva.")</f>
        <v>Se muestra a un hombre haciendo un salto en cámara lenta en una pista varias veces consecutiva.</v>
      </c>
    </row>
    <row r="30908">
      <c r="A30908" s="4" t="s">
        <v>38919</v>
      </c>
      <c r="B30908" s="4" t="s">
        <v>38921</v>
      </c>
      <c r="C30908" s="5" t="str">
        <f>IFERROR(__xludf.DUMMYFUNCTION("GOOGLETRANSLATE(B30908,""en"",""es-ES"")"),"La cámara muestra varios ángulos diferentes del atleta saltando en una línea y en el pozo de arena.")</f>
        <v>La cámara muestra varios ángulos diferentes del atleta saltando en una línea y en el pozo de arena.</v>
      </c>
    </row>
    <row r="30909">
      <c r="A30909" s="4" t="s">
        <v>38919</v>
      </c>
      <c r="B30909" s="4" t="s">
        <v>38922</v>
      </c>
      <c r="C30909" s="5" t="str">
        <f>IFERROR(__xludf.DUMMYFUNCTION("GOOGLETRANSLATE(B30909,""en"",""es-ES"")"),"Realiza varios saltos de larga duración y muestra su distancia adquirida.")</f>
        <v>Realiza varios saltos de larga duración y muestra su distancia adquirida.</v>
      </c>
    </row>
    <row r="30910">
      <c r="A30910" s="4" t="s">
        <v>38923</v>
      </c>
      <c r="B30910" s="4" t="s">
        <v>38924</v>
      </c>
      <c r="C30910" s="5" t="str">
        <f>IFERROR(__xludf.DUMMYFUNCTION("GOOGLETRANSLATE(B30910,""en"",""es-ES"")"),"Una niña enciende un cigarrillo y sopla humo.")</f>
        <v>Una niña enciende un cigarrillo y sopla humo.</v>
      </c>
    </row>
    <row r="30911">
      <c r="A30911" s="4" t="s">
        <v>38923</v>
      </c>
      <c r="B30911" s="4" t="s">
        <v>38925</v>
      </c>
      <c r="C30911" s="5" t="str">
        <f>IFERROR(__xludf.DUMMYFUNCTION("GOOGLETRANSLATE(B30911,""en"",""es-ES"")"),"Un brazo aparece a la vista y la niña lo huele.")</f>
        <v>Un brazo aparece a la vista y la niña lo huele.</v>
      </c>
    </row>
    <row r="30912">
      <c r="A30912" s="4" t="s">
        <v>38923</v>
      </c>
      <c r="B30912" s="4" t="s">
        <v>38926</v>
      </c>
      <c r="C30912" s="5" t="str">
        <f>IFERROR(__xludf.DUMMYFUNCTION("GOOGLETRANSLATE(B30912,""en"",""es-ES"")"),"Ella fuma un poco más y sopla humo mientras juega con su cabello.")</f>
        <v>Ella fuma un poco más y sopla humo mientras juega con su cabello.</v>
      </c>
    </row>
    <row r="30913">
      <c r="A30913" s="4" t="s">
        <v>38923</v>
      </c>
      <c r="B30913" s="4" t="s">
        <v>38927</v>
      </c>
      <c r="C30913" s="5" t="str">
        <f>IFERROR(__xludf.DUMMYFUNCTION("GOOGLETRANSLATE(B30913,""en"",""es-ES"")"),"Ella está diciendo algo a la cámara mientras fuma.")</f>
        <v>Ella está diciendo algo a la cámara mientras fuma.</v>
      </c>
    </row>
    <row r="30914">
      <c r="A30914" s="4" t="s">
        <v>38923</v>
      </c>
      <c r="B30914" s="4" t="s">
        <v>38928</v>
      </c>
      <c r="C30914" s="5" t="str">
        <f>IFERROR(__xludf.DUMMYFUNCTION("GOOGLETRANSLATE(B30914,""en"",""es-ES"")"),"Ella golpea sus cenizas y continúa fumando.")</f>
        <v>Ella golpea sus cenizas y continúa fumando.</v>
      </c>
    </row>
    <row r="30915">
      <c r="A30915" s="4" t="s">
        <v>38923</v>
      </c>
      <c r="B30915" s="4" t="s">
        <v>38929</v>
      </c>
      <c r="C30915" s="5" t="str">
        <f>IFERROR(__xludf.DUMMYFUNCTION("GOOGLETRANSLATE(B30915,""en"",""es-ES"")"),"Ella se da vuelta y luego de regreso a fumar.")</f>
        <v>Ella se da vuelta y luego de regreso a fumar.</v>
      </c>
    </row>
    <row r="30916">
      <c r="A30916" s="4" t="s">
        <v>38923</v>
      </c>
      <c r="B30916" s="4" t="s">
        <v>38930</v>
      </c>
      <c r="C30916" s="5" t="str">
        <f>IFERROR(__xludf.DUMMYFUNCTION("GOOGLETRANSLATE(B30916,""en"",""es-ES"")"),"Ella saca la lengua.")</f>
        <v>Ella saca la lengua.</v>
      </c>
    </row>
    <row r="30917">
      <c r="A30917" s="4" t="s">
        <v>38923</v>
      </c>
      <c r="B30917" s="4" t="s">
        <v>38931</v>
      </c>
      <c r="C30917" s="5" t="str">
        <f>IFERROR(__xludf.DUMMYFUNCTION("GOOGLETRANSLATE(B30917,""en"",""es-ES"")"),"Se acerca a una foto de una mujer loca e intenta imitarla.")</f>
        <v>Se acerca a una foto de una mujer loca e intenta imitarla.</v>
      </c>
    </row>
    <row r="30918">
      <c r="A30918" s="4" t="s">
        <v>38923</v>
      </c>
      <c r="B30918" s="4" t="s">
        <v>38932</v>
      </c>
      <c r="C30918" s="5" t="str">
        <f>IFERROR(__xludf.DUMMYFUNCTION("GOOGLETRANSLATE(B30918,""en"",""es-ES"")"),"Ella continúa fumando y hablando con la cámara.")</f>
        <v>Ella continúa fumando y hablando con la cámara.</v>
      </c>
    </row>
    <row r="30919">
      <c r="A30919" s="4" t="s">
        <v>38923</v>
      </c>
      <c r="B30919" s="4" t="s">
        <v>38933</v>
      </c>
      <c r="C30919" s="5" t="str">
        <f>IFERROR(__xludf.DUMMYFUNCTION("GOOGLETRANSLATE(B30919,""en"",""es-ES"")"),"Ella hace caras en la cámara.")</f>
        <v>Ella hace caras en la cámara.</v>
      </c>
    </row>
    <row r="30920">
      <c r="A30920" s="4" t="s">
        <v>38923</v>
      </c>
      <c r="B30920" s="4" t="s">
        <v>38934</v>
      </c>
      <c r="C30920" s="5" t="str">
        <f>IFERROR(__xludf.DUMMYFUNCTION("GOOGLETRANSLATE(B30920,""en"",""es-ES"")"),"Ella se acerca a la cámara mientras alguien camina detrás de ella.")</f>
        <v>Ella se acerca a la cámara mientras alguien camina detrás de ella.</v>
      </c>
    </row>
    <row r="30921">
      <c r="A30921" s="4" t="s">
        <v>38935</v>
      </c>
      <c r="B30921" s="4" t="s">
        <v>38936</v>
      </c>
      <c r="C30921" s="5" t="str">
        <f>IFERROR(__xludf.DUMMYFUNCTION("GOOGLETRANSLATE(B30921,""en"",""es-ES"")"),"Las manos de una persona se ven trabajando en la cabeza de un humano y colocando piezas de cabello en la cabeza.")</f>
        <v>Las manos de una persona se ven trabajando en la cabeza de un humano y colocando piezas de cabello en la cabeza.</v>
      </c>
    </row>
    <row r="30922">
      <c r="A30922" s="4" t="s">
        <v>38935</v>
      </c>
      <c r="B30922" s="4" t="s">
        <v>38937</v>
      </c>
      <c r="C30922" s="5" t="str">
        <f>IFERROR(__xludf.DUMMYFUNCTION("GOOGLETRANSLATE(B30922,""en"",""es-ES"")"),"La persona ata el cabello en varias trenzas y luego hace transiciones a imágenes del cabello en un updo.")</f>
        <v>La persona ata el cabello en varias trenzas y luego hace transiciones a imágenes del cabello en un updo.</v>
      </c>
    </row>
    <row r="30923">
      <c r="A30923" s="4" t="s">
        <v>38938</v>
      </c>
      <c r="B30923" s="4" t="s">
        <v>38939</v>
      </c>
      <c r="C30923" s="5" t="str">
        <f>IFERROR(__xludf.DUMMYFUNCTION("GOOGLETRANSLATE(B30923,""en"",""es-ES"")"),"Una mujer hace hula hoops afuera y luego en la oscuridad alternando.")</f>
        <v>Una mujer hace hula hoops afuera y luego en la oscuridad alternando.</v>
      </c>
    </row>
    <row r="30924">
      <c r="A30924" s="4" t="s">
        <v>38938</v>
      </c>
      <c r="B30924" s="4" t="s">
        <v>38940</v>
      </c>
      <c r="C30924" s="5" t="str">
        <f>IFERROR(__xludf.DUMMYFUNCTION("GOOGLETRANSLATE(B30924,""en"",""es-ES"")"),"Un hombre toma un hula hoop y lo describe antes de recortar a la mujer.")</f>
        <v>Un hombre toma un hula hoop y lo describe antes de recortar a la mujer.</v>
      </c>
    </row>
    <row r="30925">
      <c r="A30925" s="4" t="s">
        <v>38941</v>
      </c>
      <c r="B30925" s="4" t="s">
        <v>38942</v>
      </c>
      <c r="C30925" s="5" t="str">
        <f>IFERROR(__xludf.DUMMYFUNCTION("GOOGLETRANSLATE(B30925,""en"",""es-ES"")"),"Se ve a un hombre doblando sobre un bloque de madera y lijándola propia.")</f>
        <v>Se ve a un hombre doblando sobre un bloque de madera y lijándola propia.</v>
      </c>
    </row>
    <row r="30926">
      <c r="A30926" s="4" t="s">
        <v>38941</v>
      </c>
      <c r="B30926" s="4" t="s">
        <v>38943</v>
      </c>
      <c r="C30926" s="5" t="str">
        <f>IFERROR(__xludf.DUMMYFUNCTION("GOOGLETRANSLATE(B30926,""en"",""es-ES"")"),"Vierta más líquidos frente a un grupo de personas y lo frota a lo largo del bloque de madera.")</f>
        <v>Vierta más líquidos frente a un grupo de personas y lo frota a lo largo del bloque de madera.</v>
      </c>
    </row>
    <row r="30927">
      <c r="A30927" s="4" t="s">
        <v>38941</v>
      </c>
      <c r="B30927" s="4" t="s">
        <v>38944</v>
      </c>
      <c r="C30927" s="5" t="str">
        <f>IFERROR(__xludf.DUMMYFUNCTION("GOOGLETRANSLATE(B30927,""en"",""es-ES"")"),"Continúa frotándolo mientras la gente al margen observa.")</f>
        <v>Continúa frotándolo mientras la gente al margen observa.</v>
      </c>
    </row>
    <row r="30928">
      <c r="A30928" s="4" t="s">
        <v>38945</v>
      </c>
      <c r="B30928" s="4" t="s">
        <v>38946</v>
      </c>
      <c r="C30928" s="5" t="str">
        <f>IFERROR(__xludf.DUMMYFUNCTION("GOOGLETRANSLATE(B30928,""en"",""es-ES"")"),"Un primer plano de un árbol de Navidad se muestra seguido por un niño pequeño colgando adornos.")</f>
        <v>Un primer plano de un árbol de Navidad se muestra seguido por un niño pequeño colgando adornos.</v>
      </c>
    </row>
    <row r="30929">
      <c r="A30929" s="4" t="s">
        <v>38945</v>
      </c>
      <c r="B30929" s="4" t="s">
        <v>38947</v>
      </c>
      <c r="C30929" s="5" t="str">
        <f>IFERROR(__xludf.DUMMYFUNCTION("GOOGLETRANSLATE(B30929,""en"",""es-ES"")"),"La niña regresa y la cuarta colgando adornos en todo un árbol.")</f>
        <v>La niña regresa y la cuarta colgando adornos en todo un árbol.</v>
      </c>
    </row>
    <row r="30930">
      <c r="A30930" s="4" t="s">
        <v>38945</v>
      </c>
      <c r="B30930" s="4" t="s">
        <v>38948</v>
      </c>
      <c r="C30930" s="5" t="str">
        <f>IFERROR(__xludf.DUMMYFUNCTION("GOOGLETRANSLATE(B30930,""en"",""es-ES"")"),"La niña continúa colgando adornos mientras la cámara captura sus movimientos.")</f>
        <v>La niña continúa colgando adornos mientras la cámara captura sus movimientos.</v>
      </c>
    </row>
    <row r="30931">
      <c r="A30931" s="4" t="s">
        <v>38949</v>
      </c>
      <c r="B30931" s="4" t="s">
        <v>38950</v>
      </c>
      <c r="C30931" s="5" t="str">
        <f>IFERROR(__xludf.DUMMYFUNCTION("GOOGLETRANSLATE(B30931,""en"",""es-ES"")"),"Un hombre pelea una papa mientras los ojos vendados y dos niñas pequeñas miran.")</f>
        <v>Un hombre pelea una papa mientras los ojos vendados y dos niñas pequeñas miran.</v>
      </c>
    </row>
    <row r="30932">
      <c r="A30932" s="4" t="s">
        <v>38949</v>
      </c>
      <c r="B30932" s="4" t="s">
        <v>38951</v>
      </c>
      <c r="C30932" s="5" t="str">
        <f>IFERROR(__xludf.DUMMYFUNCTION("GOOGLETRANSLATE(B30932,""en"",""es-ES"")"),"El hombre termina y levanta la papa a la cámara.")</f>
        <v>El hombre termina y levanta la papa a la cámara.</v>
      </c>
    </row>
    <row r="30933">
      <c r="A30933" s="4" t="s">
        <v>38949</v>
      </c>
      <c r="B30933" s="4" t="s">
        <v>38952</v>
      </c>
      <c r="C30933" s="5" t="str">
        <f>IFERROR(__xludf.DUMMYFUNCTION("GOOGLETRANSLATE(B30933,""en"",""es-ES"")"),"El hombre recoge una cáscara de la mesa.")</f>
        <v>El hombre recoge una cáscara de la mesa.</v>
      </c>
    </row>
    <row r="30934">
      <c r="A30934" s="4" t="s">
        <v>38949</v>
      </c>
      <c r="B30934" s="4" t="s">
        <v>38953</v>
      </c>
      <c r="C30934" s="5" t="str">
        <f>IFERROR(__xludf.DUMMYFUNCTION("GOOGLETRANSLATE(B30934,""en"",""es-ES"")"),"El hombre se quita los ojos vendados.")</f>
        <v>El hombre se quita los ojos vendados.</v>
      </c>
    </row>
    <row r="30935">
      <c r="A30935" s="4" t="s">
        <v>38954</v>
      </c>
      <c r="B30935" s="4" t="s">
        <v>38955</v>
      </c>
      <c r="C30935" s="5" t="str">
        <f>IFERROR(__xludf.DUMMYFUNCTION("GOOGLETRANSLATE(B30935,""en"",""es-ES"")"),"El video comienza con varias personas tocando ShuffleBoard en una cancha de shuffleboard.")</f>
        <v>El video comienza con varias personas tocando ShuffleBoard en una cancha de shuffleboard.</v>
      </c>
    </row>
    <row r="30936">
      <c r="A30936" s="4" t="s">
        <v>38954</v>
      </c>
      <c r="B30936" s="4" t="s">
        <v>38956</v>
      </c>
      <c r="C30936" s="5" t="str">
        <f>IFERROR(__xludf.DUMMYFUNCTION("GOOGLETRANSLATE(B30936,""en"",""es-ES"")"),"Una persona hace un tiro con un disco negro.")</f>
        <v>Una persona hace un tiro con un disco negro.</v>
      </c>
    </row>
    <row r="30937">
      <c r="A30937" s="4" t="s">
        <v>38954</v>
      </c>
      <c r="B30937" s="4" t="s">
        <v>38957</v>
      </c>
      <c r="C30937" s="5" t="str">
        <f>IFERROR(__xludf.DUMMYFUNCTION("GOOGLETRANSLATE(B30937,""en"",""es-ES"")"),"La siguiente persona hace un tiro con un disco amarillo.")</f>
        <v>La siguiente persona hace un tiro con un disco amarillo.</v>
      </c>
    </row>
    <row r="30938">
      <c r="A30938" s="4" t="s">
        <v>38954</v>
      </c>
      <c r="B30938" s="4" t="s">
        <v>38958</v>
      </c>
      <c r="C30938" s="5" t="str">
        <f>IFERROR(__xludf.DUMMYFUNCTION("GOOGLETRANSLATE(B30938,""en"",""es-ES"")"),"La gente continúa alternando los disparos entre un disco amarillo y un negro.")</f>
        <v>La gente continúa alternando los disparos entre un disco amarillo y un negro.</v>
      </c>
    </row>
    <row r="30939">
      <c r="A30939" s="4" t="s">
        <v>38959</v>
      </c>
      <c r="B30939" s="4" t="s">
        <v>38960</v>
      </c>
      <c r="C30939" s="5" t="str">
        <f>IFERROR(__xludf.DUMMYFUNCTION("GOOGLETRANSLATE(B30939,""en"",""es-ES"")"),"Un anciano está sentado en la sala de estar.")</f>
        <v>Un anciano está sentado en la sala de estar.</v>
      </c>
    </row>
    <row r="30940">
      <c r="A30940" s="4" t="s">
        <v>38959</v>
      </c>
      <c r="B30940" s="4" t="s">
        <v>38961</v>
      </c>
      <c r="C30940" s="5" t="str">
        <f>IFERROR(__xludf.DUMMYFUNCTION("GOOGLETRANSLATE(B30940,""en"",""es-ES"")"),"Él está jugando un Accordian.")</f>
        <v>Él está jugando un Accordian.</v>
      </c>
    </row>
    <row r="30941">
      <c r="A30941" s="4" t="s">
        <v>38959</v>
      </c>
      <c r="B30941" s="4" t="s">
        <v>38962</v>
      </c>
      <c r="C30941" s="5" t="str">
        <f>IFERROR(__xludf.DUMMYFUNCTION("GOOGLETRANSLATE(B30941,""en"",""es-ES"")"),"Continúa tocando el Accordian para la cámara.")</f>
        <v>Continúa tocando el Accordian para la cámara.</v>
      </c>
    </row>
    <row r="30942">
      <c r="A30942" s="4" t="s">
        <v>38963</v>
      </c>
      <c r="B30942" s="4" t="s">
        <v>38964</v>
      </c>
      <c r="C30942" s="5" t="str">
        <f>IFERROR(__xludf.DUMMYFUNCTION("GOOGLETRANSLATE(B30942,""en"",""es-ES"")"),"Una mujer está tocando una guitarra acústica.")</f>
        <v>Una mujer está tocando una guitarra acústica.</v>
      </c>
    </row>
    <row r="30943">
      <c r="A30943" s="4" t="s">
        <v>38963</v>
      </c>
      <c r="B30943" s="4" t="s">
        <v>38965</v>
      </c>
      <c r="C30943" s="5" t="str">
        <f>IFERROR(__xludf.DUMMYFUNCTION("GOOGLETRANSLATE(B30943,""en"",""es-ES"")"),"Una mujer de pie a su lado es bailar y girar un bastón.")</f>
        <v>Una mujer de pie a su lado es bailar y girar un bastón.</v>
      </c>
    </row>
    <row r="30944">
      <c r="A30944" s="4" t="s">
        <v>38963</v>
      </c>
      <c r="B30944" s="4" t="s">
        <v>14926</v>
      </c>
      <c r="C30944" s="5" t="str">
        <f>IFERROR(__xludf.DUMMYFUNCTION("GOOGLETRANSLATE(B30944,""en"",""es-ES"")"),"Las palabras se muestran en la pantalla.")</f>
        <v>Las palabras se muestran en la pantalla.</v>
      </c>
    </row>
    <row r="30945">
      <c r="A30945" s="4" t="s">
        <v>38966</v>
      </c>
      <c r="B30945" s="4" t="s">
        <v>38967</v>
      </c>
      <c r="C30945" s="5" t="str">
        <f>IFERROR(__xludf.DUMMYFUNCTION("GOOGLETRANSLATE(B30945,""en"",""es-ES"")"),"Se muestra a una persona mirando alrededor de una ciudad y comienza a lavar ventanas con sus herramientas.")</f>
        <v>Se muestra a una persona mirando alrededor de una ciudad y comienza a lavar ventanas con sus herramientas.</v>
      </c>
    </row>
    <row r="30946">
      <c r="A30946" s="4" t="s">
        <v>38966</v>
      </c>
      <c r="B30946" s="4" t="s">
        <v>38968</v>
      </c>
      <c r="C30946" s="5" t="str">
        <f>IFERROR(__xludf.DUMMYFUNCTION("GOOGLETRANSLATE(B30946,""en"",""es-ES"")"),"Él sube y baja por las ventanas a un ritmo rápido y continúa filmándose a través del vidrio.")</f>
        <v>Él sube y baja por las ventanas a un ritmo rápido y continúa filmándose a través del vidrio.</v>
      </c>
    </row>
    <row r="30947">
      <c r="A30947" s="4" t="s">
        <v>38966</v>
      </c>
      <c r="B30947" s="4" t="s">
        <v>38969</v>
      </c>
      <c r="C30947" s="5" t="str">
        <f>IFERROR(__xludf.DUMMYFUNCTION("GOOGLETRANSLATE(B30947,""en"",""es-ES"")"),"Termina el vidrio en el tiempo de registro y apaga la cámara.")</f>
        <v>Termina el vidrio en el tiempo de registro y apaga la cámara.</v>
      </c>
    </row>
    <row r="30948">
      <c r="A30948" s="4" t="s">
        <v>38970</v>
      </c>
      <c r="B30948" s="4" t="s">
        <v>38971</v>
      </c>
      <c r="C30948" s="5" t="str">
        <f>IFERROR(__xludf.DUMMYFUNCTION("GOOGLETRANSLATE(B30948,""en"",""es-ES"")"),"Un hombre le explica a otro hombre cómo usar una máquina de remo.")</f>
        <v>Un hombre le explica a otro hombre cómo usar una máquina de remo.</v>
      </c>
    </row>
    <row r="30949">
      <c r="A30949" s="4" t="s">
        <v>38970</v>
      </c>
      <c r="B30949" s="4" t="s">
        <v>38972</v>
      </c>
      <c r="C30949" s="5" t="str">
        <f>IFERROR(__xludf.DUMMYFUNCTION("GOOGLETRANSLATE(B30949,""en"",""es-ES"")"),"Uno de los principales comienza a remar en la máquina de remo antes que la otra.")</f>
        <v>Uno de los principales comienza a remar en la máquina de remo antes que la otra.</v>
      </c>
    </row>
    <row r="30950">
      <c r="A30950" s="4" t="s">
        <v>38970</v>
      </c>
      <c r="B30950" s="4" t="s">
        <v>38973</v>
      </c>
      <c r="C30950" s="5" t="str">
        <f>IFERROR(__xludf.DUMMYFUNCTION("GOOGLETRANSLATE(B30950,""en"",""es-ES"")"),"Luego, el otro hombre se une al primer hombre y comienza a remar.")</f>
        <v>Luego, el otro hombre se une al primer hombre y comienza a remar.</v>
      </c>
    </row>
    <row r="30951">
      <c r="A30951" s="4" t="s">
        <v>38974</v>
      </c>
      <c r="B30951" s="4" t="s">
        <v>38975</v>
      </c>
      <c r="C30951" s="5" t="str">
        <f>IFERROR(__xludf.DUMMYFUNCTION("GOOGLETRANSLATE(B30951,""en"",""es-ES"")"),"Un hombre en pantalones cortos se muestra frente a algunos arbustos y los recorta con un recortador manual.")</f>
        <v>Un hombre en pantalones cortos se muestra frente a algunos arbustos y los recorta con un recortador manual.</v>
      </c>
    </row>
    <row r="30952">
      <c r="A30952" s="4" t="s">
        <v>38974</v>
      </c>
      <c r="B30952" s="4" t="s">
        <v>38976</v>
      </c>
      <c r="C30952" s="5" t="str">
        <f>IFERROR(__xludf.DUMMYFUNCTION("GOOGLETRANSLATE(B30952,""en"",""es-ES"")"),"Está siendo muy preciso y está haciendo un trabajo muy detallado.")</f>
        <v>Está siendo muy preciso y está haciendo un trabajo muy detallado.</v>
      </c>
    </row>
    <row r="30953">
      <c r="A30953" s="4" t="s">
        <v>38974</v>
      </c>
      <c r="B30953" s="4" t="s">
        <v>38977</v>
      </c>
      <c r="C30953" s="5" t="str">
        <f>IFERROR(__xludf.DUMMYFUNCTION("GOOGLETRANSLATE(B30953,""en"",""es-ES"")"),"Él sube y baja la longitud de los arbustos y está prestando atención a cada parte de ellos.")</f>
        <v>Él sube y baja la longitud de los arbustos y está prestando atención a cada parte de ellos.</v>
      </c>
    </row>
    <row r="30954">
      <c r="A30954" s="4" t="s">
        <v>38974</v>
      </c>
      <c r="B30954" s="4" t="s">
        <v>38978</v>
      </c>
      <c r="C30954" s="5" t="str">
        <f>IFERROR(__xludf.DUMMYFUNCTION("GOOGLETRANSLATE(B30954,""en"",""es-ES"")"),"Luego se mueve cada vez más, obteniendo la parte superior del arbusto.")</f>
        <v>Luego se mueve cada vez más, obteniendo la parte superior del arbusto.</v>
      </c>
    </row>
    <row r="30955">
      <c r="A30955" s="4" t="s">
        <v>38979</v>
      </c>
      <c r="B30955" s="4" t="s">
        <v>38980</v>
      </c>
      <c r="C30955" s="5" t="str">
        <f>IFERROR(__xludf.DUMMYFUNCTION("GOOGLETRANSLATE(B30955,""en"",""es-ES"")"),"Los niños están en un parque alrededor de una esponja de bob bob piñata tirando hilos.")</f>
        <v>Los niños están en un parque alrededor de una esponja de bob bob piñata tirando hilos.</v>
      </c>
    </row>
    <row r="30956">
      <c r="A30956" s="4" t="s">
        <v>38979</v>
      </c>
      <c r="B30956" s="4" t="s">
        <v>38981</v>
      </c>
      <c r="C30956" s="5" t="str">
        <f>IFERROR(__xludf.DUMMYFUNCTION("GOOGLETRANSLATE(B30956,""en"",""es-ES"")"),"La mujer está detrás del patio de recreo sosteniendo una bolsa y mirando a los niños.")</f>
        <v>La mujer está detrás del patio de recreo sosteniendo una bolsa y mirando a los niños.</v>
      </c>
    </row>
    <row r="30957">
      <c r="A30957" s="4" t="s">
        <v>38979</v>
      </c>
      <c r="B30957" s="4" t="s">
        <v>38982</v>
      </c>
      <c r="C30957" s="5" t="str">
        <f>IFERROR(__xludf.DUMMYFUNCTION("GOOGLETRANSLATE(B30957,""en"",""es-ES"")"),"La mujer sostiene la piñata mientras los niños siguen sacando de la piñata.")</f>
        <v>La mujer sostiene la piñata mientras los niños siguen sacando de la piñata.</v>
      </c>
    </row>
    <row r="30958">
      <c r="A30958" s="4" t="s">
        <v>38979</v>
      </c>
      <c r="B30958" s="4" t="s">
        <v>38983</v>
      </c>
      <c r="C30958" s="5" t="str">
        <f>IFERROR(__xludf.DUMMYFUNCTION("GOOGLETRANSLATE(B30958,""en"",""es-ES"")"),"El niño tira del hilo y opna la piñata y se arrodilla en el piso recogiendo dulces.")</f>
        <v>El niño tira del hilo y opna la piñata y se arrodilla en el piso recogiendo dulces.</v>
      </c>
    </row>
    <row r="30959">
      <c r="A30959" s="4" t="s">
        <v>38984</v>
      </c>
      <c r="B30959" s="4" t="s">
        <v>38985</v>
      </c>
      <c r="C30959" s="5" t="str">
        <f>IFERROR(__xludf.DUMMYFUNCTION("GOOGLETRANSLATE(B30959,""en"",""es-ES"")"),"Varias personas se ven saltando de cuerda entre sí, así como solas mientras otras miran a un lado.")</f>
        <v>Varias personas se ven saltando de cuerda entre sí, así como solas mientras otras miran a un lado.</v>
      </c>
    </row>
    <row r="30960">
      <c r="A30960" s="4" t="s">
        <v>38984</v>
      </c>
      <c r="B30960" s="4" t="s">
        <v>38986</v>
      </c>
      <c r="C30960" s="5" t="str">
        <f>IFERROR(__xludf.DUMMYFUNCTION("GOOGLETRANSLATE(B30960,""en"",""es-ES"")"),"Las personas que realizan varios saltos y giros con la cuerda de salto, así como disparos que se muestran en cámara lenta.")</f>
        <v>Las personas que realizan varios saltos y giros con la cuerda de salto, así como disparos que se muestran en cámara lenta.</v>
      </c>
    </row>
    <row r="30961">
      <c r="A30961" s="4" t="s">
        <v>38987</v>
      </c>
      <c r="B30961" s="4" t="s">
        <v>38988</v>
      </c>
      <c r="C30961" s="5" t="str">
        <f>IFERROR(__xludf.DUMMYFUNCTION("GOOGLETRANSLATE(B30961,""en"",""es-ES"")"),"Se ve a una persona sentada en una bicicleta sentada antes de que una pista comience con otros y lo lleva a completar una carrera.")</f>
        <v>Se ve a una persona sentada en una bicicleta sentada antes de que una pista comience con otros y lo lleva a completar una carrera.</v>
      </c>
    </row>
    <row r="30962">
      <c r="A30962" s="4" t="s">
        <v>38987</v>
      </c>
      <c r="B30962" s="4" t="s">
        <v>38989</v>
      </c>
      <c r="C30962" s="5" t="str">
        <f>IFERROR(__xludf.DUMMYFUNCTION("GOOGLETRANSLATE(B30962,""en"",""es-ES"")"),"Se muestran varios disparos más de personas que corren todas las juntas, así como el hombre que conduce y otros lo registran.")</f>
        <v>Se muestran varios disparos más de personas que corren todas las juntas, así como el hombre que conduce y otros lo registran.</v>
      </c>
    </row>
    <row r="30963">
      <c r="A30963" s="4" t="s">
        <v>38990</v>
      </c>
      <c r="B30963" s="4" t="s">
        <v>38991</v>
      </c>
      <c r="C30963" s="5" t="str">
        <f>IFERROR(__xludf.DUMMYFUNCTION("GOOGLETRANSLATE(B30963,""en"",""es-ES"")"),"Un surfista de viento surfea contra ondas pesadas.")</f>
        <v>Un surfista de viento surfea contra ondas pesadas.</v>
      </c>
    </row>
    <row r="30964">
      <c r="A30964" s="4" t="s">
        <v>38990</v>
      </c>
      <c r="B30964" s="4" t="s">
        <v>38992</v>
      </c>
      <c r="C30964" s="5" t="str">
        <f>IFERROR(__xludf.DUMMYFUNCTION("GOOGLETRANSLATE(B30964,""en"",""es-ES"")"),"El surfista arroja su tabla contra una ola, volando en el aire.")</f>
        <v>El surfista arroja su tabla contra una ola, volando en el aire.</v>
      </c>
    </row>
    <row r="30965">
      <c r="A30965" s="4" t="s">
        <v>38990</v>
      </c>
      <c r="B30965" s="4" t="s">
        <v>38993</v>
      </c>
      <c r="C30965" s="5" t="str">
        <f>IFERROR(__xludf.DUMMYFUNCTION("GOOGLETRANSLATE(B30965,""en"",""es-ES"")"),"El surfista aterriza en las aguas y reanuda sus olas.")</f>
        <v>El surfista aterriza en las aguas y reanuda sus olas.</v>
      </c>
    </row>
    <row r="30966">
      <c r="A30966" s="4" t="s">
        <v>38994</v>
      </c>
      <c r="B30966" s="4" t="s">
        <v>38995</v>
      </c>
      <c r="C30966" s="5" t="str">
        <f>IFERROR(__xludf.DUMMYFUNCTION("GOOGLETRANSLATE(B30966,""en"",""es-ES"")"),"Una mujer está haciendo kickboxing frente a una pared reflejada.")</f>
        <v>Una mujer está haciendo kickboxing frente a una pared reflejada.</v>
      </c>
    </row>
    <row r="30967">
      <c r="A30967" s="4" t="s">
        <v>38994</v>
      </c>
      <c r="B30967" s="4" t="s">
        <v>38996</v>
      </c>
      <c r="C30967" s="5" t="str">
        <f>IFERROR(__xludf.DUMMYFUNCTION("GOOGLETRANSLATE(B30967,""en"",""es-ES"")"),"Ella le patean las piernas en el aire.")</f>
        <v>Ella le patean las piernas en el aire.</v>
      </c>
    </row>
    <row r="30968">
      <c r="A30968" s="4" t="s">
        <v>38994</v>
      </c>
      <c r="B30968" s="4" t="s">
        <v>38997</v>
      </c>
      <c r="C30968" s="5" t="str">
        <f>IFERROR(__xludf.DUMMYFUNCTION("GOOGLETRANSLATE(B30968,""en"",""es-ES"")"),"Ella alterna las patadas con golpes.")</f>
        <v>Ella alterna las patadas con golpes.</v>
      </c>
    </row>
    <row r="30969">
      <c r="A30969" s="4" t="s">
        <v>38998</v>
      </c>
      <c r="B30969" s="4" t="s">
        <v>38999</v>
      </c>
      <c r="C30969" s="5" t="str">
        <f>IFERROR(__xludf.DUMMYFUNCTION("GOOGLETRANSLATE(B30969,""en"",""es-ES"")"),"Un hombre está afuera con una gran caja de metal.")</f>
        <v>Un hombre está afuera con una gran caja de metal.</v>
      </c>
    </row>
    <row r="30970">
      <c r="A30970" s="4" t="s">
        <v>38998</v>
      </c>
      <c r="B30970" s="4" t="s">
        <v>39000</v>
      </c>
      <c r="C30970" s="5" t="str">
        <f>IFERROR(__xludf.DUMMYFUNCTION("GOOGLETRANSLATE(B30970,""en"",""es-ES"")"),"Otro hombre está lijar una pared y un techo dentro de un edificio.")</f>
        <v>Otro hombre está lijar una pared y un techo dentro de un edificio.</v>
      </c>
    </row>
    <row r="30971">
      <c r="A30971" s="4" t="s">
        <v>38998</v>
      </c>
      <c r="B30971" s="4" t="s">
        <v>39001</v>
      </c>
      <c r="C30971" s="5" t="str">
        <f>IFERROR(__xludf.DUMMYFUNCTION("GOOGLETRANSLATE(B30971,""en"",""es-ES"")"),"Luego lijan los pisos.")</f>
        <v>Luego lijan los pisos.</v>
      </c>
    </row>
    <row r="30972">
      <c r="A30972" s="4" t="s">
        <v>39002</v>
      </c>
      <c r="B30972" s="4" t="s">
        <v>39003</v>
      </c>
      <c r="C30972" s="5" t="str">
        <f>IFERROR(__xludf.DUMMYFUNCTION("GOOGLETRANSLATE(B30972,""en"",""es-ES"")"),"Un jugador de cricket golpea una pelota que se lanza.")</f>
        <v>Un jugador de cricket golpea una pelota que se lanza.</v>
      </c>
    </row>
    <row r="30973">
      <c r="A30973" s="4" t="s">
        <v>39002</v>
      </c>
      <c r="B30973" s="4" t="s">
        <v>39004</v>
      </c>
      <c r="C30973" s="5" t="str">
        <f>IFERROR(__xludf.DUMMYFUNCTION("GOOGLETRANSLATE(B30973,""en"",""es-ES"")"),"Un jugador hace una captura de buceo en el jardín.")</f>
        <v>Un jugador hace una captura de buceo en el jardín.</v>
      </c>
    </row>
    <row r="30974">
      <c r="A30974" s="4" t="s">
        <v>39002</v>
      </c>
      <c r="B30974" s="4" t="s">
        <v>39005</v>
      </c>
      <c r="C30974" s="5" t="str">
        <f>IFERROR(__xludf.DUMMYFUNCTION("GOOGLETRANSLATE(B30974,""en"",""es-ES"")"),"El jugador sonríe y es un buen deporte.")</f>
        <v>El jugador sonríe y es un buen deporte.</v>
      </c>
    </row>
    <row r="30975">
      <c r="A30975" s="4" t="s">
        <v>39006</v>
      </c>
      <c r="B30975" s="4" t="s">
        <v>39007</v>
      </c>
      <c r="C30975" s="5" t="str">
        <f>IFERROR(__xludf.DUMMYFUNCTION("GOOGLETRANSLATE(B30975,""en"",""es-ES"")"),"Se ve a un joven rociando a un perro con agua en medio de un callejón mientras el perro se aleja del agua.")</f>
        <v>Se ve a un joven rociando a un perro con agua en medio de un callejón mientras el perro se aleja del agua.</v>
      </c>
    </row>
    <row r="30976">
      <c r="A30976" s="4" t="s">
        <v>39006</v>
      </c>
      <c r="B30976" s="4" t="s">
        <v>39008</v>
      </c>
      <c r="C30976" s="5" t="str">
        <f>IFERROR(__xludf.DUMMYFUNCTION("GOOGLETRANSLATE(B30976,""en"",""es-ES"")"),"La persona continúa rociando al perro con la manguera y de pie esperando al perro.")</f>
        <v>La persona continúa rociando al perro con la manguera y de pie esperando al perro.</v>
      </c>
    </row>
    <row r="30977">
      <c r="A30977" s="4" t="s">
        <v>39009</v>
      </c>
      <c r="B30977" s="4" t="s">
        <v>39010</v>
      </c>
      <c r="C30977" s="5" t="str">
        <f>IFERROR(__xludf.DUMMYFUNCTION("GOOGLETRANSLATE(B30977,""en"",""es-ES"")"),"El brazo de dos personas lucha en una competencia.")</f>
        <v>El brazo de dos personas lucha en una competencia.</v>
      </c>
    </row>
    <row r="30978">
      <c r="A30978" s="4" t="s">
        <v>39009</v>
      </c>
      <c r="B30978" s="4" t="s">
        <v>39011</v>
      </c>
      <c r="C30978" s="5" t="str">
        <f>IFERROR(__xludf.DUMMYFUNCTION("GOOGLETRANSLATE(B30978,""en"",""es-ES"")"),"El brazo de los perdedores está herido.")</f>
        <v>El brazo de los perdedores está herido.</v>
      </c>
    </row>
    <row r="30979">
      <c r="A30979" s="4" t="s">
        <v>39012</v>
      </c>
      <c r="B30979" s="4" t="s">
        <v>39013</v>
      </c>
      <c r="C30979" s="5" t="str">
        <f>IFERROR(__xludf.DUMMYFUNCTION("GOOGLETRANSLATE(B30979,""en"",""es-ES"")"),"Se ve a un grupo de personas subiendo y bajando montañas nevadas en esquís y en autos de esquí.")</f>
        <v>Se ve a un grupo de personas subiendo y bajando montañas nevadas en esquís y en autos de esquí.</v>
      </c>
    </row>
    <row r="30980">
      <c r="A30980" s="4" t="s">
        <v>39012</v>
      </c>
      <c r="B30980" s="4" t="s">
        <v>39014</v>
      </c>
      <c r="C30980" s="5" t="str">
        <f>IFERROR(__xludf.DUMMYFUNCTION("GOOGLETRANSLATE(B30980,""en"",""es-ES"")"),"Luego se ve una vista de las montañas nevadas con un puente en el frente.")</f>
        <v>Luego se ve una vista de las montañas nevadas con un puente en el frente.</v>
      </c>
    </row>
    <row r="30981">
      <c r="A30981" s="4" t="s">
        <v>39015</v>
      </c>
      <c r="B30981" s="4" t="s">
        <v>39016</v>
      </c>
      <c r="C30981" s="5" t="str">
        <f>IFERROR(__xludf.DUMMYFUNCTION("GOOGLETRANSLATE(B30981,""en"",""es-ES"")"),"Se ve a un hombre arrodillado junto a un automóvil mientras habla con la cámara.")</f>
        <v>Se ve a un hombre arrodillado junto a un automóvil mientras habla con la cámara.</v>
      </c>
    </row>
    <row r="30982">
      <c r="A30982" s="4" t="s">
        <v>39015</v>
      </c>
      <c r="B30982" s="4" t="s">
        <v>39017</v>
      </c>
      <c r="C30982" s="5" t="str">
        <f>IFERROR(__xludf.DUMMYFUNCTION("GOOGLETRANSLATE(B30982,""en"",""es-ES"")"),"La cámara se desplaza por todo el automóvil, así como el neumático, mientras el hombre continúa hablando con la cámara.")</f>
        <v>La cámara se desplaza por todo el automóvil, así como el neumático, mientras el hombre continúa hablando con la cámara.</v>
      </c>
    </row>
    <row r="30983">
      <c r="A30983" s="4" t="s">
        <v>39018</v>
      </c>
      <c r="B30983" s="4" t="s">
        <v>39019</v>
      </c>
      <c r="C30983" s="5" t="str">
        <f>IFERROR(__xludf.DUMMYFUNCTION("GOOGLETRANSLATE(B30983,""en"",""es-ES"")"),"Un hombre sirve una pelota en un juego de voleibol de playa, luego corre al frente de la red para recibir la pelota mientras la gente mira el juego en una playa.")</f>
        <v>Un hombre sirve una pelota en un juego de voleibol de playa, luego corre al frente de la red para recibir la pelota mientras la gente mira el juego en una playa.</v>
      </c>
    </row>
    <row r="30984">
      <c r="A30984" s="4" t="s">
        <v>39018</v>
      </c>
      <c r="B30984" s="4" t="s">
        <v>39020</v>
      </c>
      <c r="C30984" s="5" t="str">
        <f>IFERROR(__xludf.DUMMYFUNCTION("GOOGLETRANSLATE(B30984,""en"",""es-ES"")"),"A sirve una pelota y juega mientras la gente ve el juego en una playa.")</f>
        <v>A sirve una pelota y juega mientras la gente ve el juego en una playa.</v>
      </c>
    </row>
    <row r="30985">
      <c r="A30985" s="4" t="s">
        <v>39021</v>
      </c>
      <c r="B30985" s="4" t="s">
        <v>39022</v>
      </c>
      <c r="C30985" s="5" t="str">
        <f>IFERROR(__xludf.DUMMYFUNCTION("GOOGLETRANSLATE(B30985,""en"",""es-ES"")"),"Se muestra un par de puertas francesas en una casa.")</f>
        <v>Se muestra un par de puertas francesas en una casa.</v>
      </c>
    </row>
    <row r="30986">
      <c r="A30986" s="4" t="s">
        <v>39021</v>
      </c>
      <c r="B30986" s="4" t="s">
        <v>39023</v>
      </c>
      <c r="C30986" s="5" t="str">
        <f>IFERROR(__xludf.DUMMYFUNCTION("GOOGLETRANSLATE(B30986,""en"",""es-ES"")"),"Un hombre demuestra cómo limpiar el vidrio en las ventanas de las puertas.")</f>
        <v>Un hombre demuestra cómo limpiar el vidrio en las ventanas de las puertas.</v>
      </c>
    </row>
    <row r="30987">
      <c r="A30987" s="4" t="s">
        <v>39021</v>
      </c>
      <c r="B30987" s="4" t="s">
        <v>39024</v>
      </c>
      <c r="C30987" s="5" t="str">
        <f>IFERROR(__xludf.DUMMYFUNCTION("GOOGLETRANSLATE(B30987,""en"",""es-ES"")"),"Los frota con un paño, limpiándolos.")</f>
        <v>Los frota con un paño, limpiándolos.</v>
      </c>
    </row>
    <row r="30988">
      <c r="A30988" s="4" t="s">
        <v>39021</v>
      </c>
      <c r="B30988" s="4" t="s">
        <v>39025</v>
      </c>
      <c r="C30988" s="5" t="str">
        <f>IFERROR(__xludf.DUMMYFUNCTION("GOOGLETRANSLATE(B30988,""en"",""es-ES"")"),"Continúa bajando una puerta, limpiando cada ventana individual.")</f>
        <v>Continúa bajando una puerta, limpiando cada ventana individual.</v>
      </c>
    </row>
    <row r="30989">
      <c r="A30989" s="4" t="s">
        <v>39026</v>
      </c>
      <c r="B30989" s="4" t="s">
        <v>39027</v>
      </c>
      <c r="C30989" s="5" t="str">
        <f>IFERROR(__xludf.DUMMYFUNCTION("GOOGLETRANSLATE(B30989,""en"",""es-ES"")"),"Una mujer está cortando un césped, empujando a la cortacésped de un lado a otro.")</f>
        <v>Una mujer está cortando un césped, empujando a la cortacésped de un lado a otro.</v>
      </c>
    </row>
    <row r="30990">
      <c r="A30990" s="4" t="s">
        <v>39026</v>
      </c>
      <c r="B30990" s="4" t="s">
        <v>39028</v>
      </c>
      <c r="C30990" s="5" t="str">
        <f>IFERROR(__xludf.DUMMYFUNCTION("GOOGLETRANSLATE(B30990,""en"",""es-ES"")"),"Ella cubre la mitad del césped y la entrada antes de que termine el video.")</f>
        <v>Ella cubre la mitad del césped y la entrada antes de que termine el video.</v>
      </c>
    </row>
    <row r="30991">
      <c r="A30991" s="4" t="s">
        <v>39029</v>
      </c>
      <c r="B30991" s="4" t="s">
        <v>39030</v>
      </c>
      <c r="C30991" s="5" t="str">
        <f>IFERROR(__xludf.DUMMYFUNCTION("GOOGLETRANSLATE(B30991,""en"",""es-ES"")"),"Un grupo de hombres juega fútbol en un área de arena.")</f>
        <v>Un grupo de hombres juega fútbol en un área de arena.</v>
      </c>
    </row>
    <row r="30992">
      <c r="A30992" s="4" t="s">
        <v>39029</v>
      </c>
      <c r="B30992" s="4" t="s">
        <v>39031</v>
      </c>
      <c r="C30992" s="5" t="str">
        <f>IFERROR(__xludf.DUMMYFUNCTION("GOOGLETRANSLATE(B30992,""en"",""es-ES"")"),"Una multitud observa desde las gradas.")</f>
        <v>Una multitud observa desde las gradas.</v>
      </c>
    </row>
    <row r="30993">
      <c r="A30993" s="4" t="s">
        <v>39029</v>
      </c>
      <c r="B30993" s="4" t="s">
        <v>39032</v>
      </c>
      <c r="C30993" s="5" t="str">
        <f>IFERROR(__xludf.DUMMYFUNCTION("GOOGLETRANSLATE(B30993,""en"",""es-ES"")"),"Un portero intenta bloquear una pelota y hace las divisiones, pero pierde la pelota.")</f>
        <v>Un portero intenta bloquear una pelota y hace las divisiones, pero pierde la pelota.</v>
      </c>
    </row>
    <row r="30994">
      <c r="A30994" s="4" t="s">
        <v>39033</v>
      </c>
      <c r="B30994" s="4" t="s">
        <v>39034</v>
      </c>
      <c r="C30994" s="5" t="str">
        <f>IFERROR(__xludf.DUMMYFUNCTION("GOOGLETRANSLATE(B30994,""en"",""es-ES"")"),"Dos hombres entran en la sala de racquetball.")</f>
        <v>Dos hombres entran en la sala de racquetball.</v>
      </c>
    </row>
    <row r="30995">
      <c r="A30995" s="4" t="s">
        <v>39033</v>
      </c>
      <c r="B30995" s="4" t="s">
        <v>39035</v>
      </c>
      <c r="C30995" s="5" t="str">
        <f>IFERROR(__xludf.DUMMYFUNCTION("GOOGLETRANSLATE(B30995,""en"",""es-ES"")"),"Los dos hombres comienzan a jugar racquetball, corriendo por la habitación tratando de golpear la pelota.")</f>
        <v>Los dos hombres comienzan a jugar racquetball, corriendo por la habitación tratando de golpear la pelota.</v>
      </c>
    </row>
    <row r="30996">
      <c r="A30996" s="4" t="s">
        <v>39033</v>
      </c>
      <c r="B30996" s="4" t="s">
        <v>39036</v>
      </c>
      <c r="C30996" s="5" t="str">
        <f>IFERROR(__xludf.DUMMYFUNCTION("GOOGLETRANSLATE(B30996,""en"",""es-ES"")"),"Un hombre saltó la habitación y miró a la cámara.")</f>
        <v>Un hombre saltó la habitación y miró a la cámara.</v>
      </c>
    </row>
    <row r="30997">
      <c r="A30997" s="4" t="s">
        <v>39037</v>
      </c>
      <c r="B30997" s="4" t="s">
        <v>39038</v>
      </c>
      <c r="C30997" s="5" t="str">
        <f>IFERROR(__xludf.DUMMYFUNCTION("GOOGLETRANSLATE(B30997,""en"",""es-ES"")"),"La mujer está de pie en una cocina y está comiendo un pastel lleno de crema.")</f>
        <v>La mujer está de pie en una cocina y está comiendo un pastel lleno de crema.</v>
      </c>
    </row>
    <row r="30998">
      <c r="A30998" s="4" t="s">
        <v>39037</v>
      </c>
      <c r="B30998" s="4" t="s">
        <v>39039</v>
      </c>
      <c r="C30998" s="5" t="str">
        <f>IFERROR(__xludf.DUMMYFUNCTION("GOOGLETRANSLATE(B30998,""en"",""es-ES"")"),"Un pastel está en una olla en el mostrador, la mujer está hablando con la cámara en la cocina.")</f>
        <v>Un pastel está en una olla en el mostrador, la mujer está hablando con la cámara en la cocina.</v>
      </c>
    </row>
    <row r="30999">
      <c r="A30999" s="4" t="s">
        <v>39037</v>
      </c>
      <c r="B30999" s="4" t="s">
        <v>39040</v>
      </c>
      <c r="C30999" s="5" t="str">
        <f>IFERROR(__xludf.DUMMYFUNCTION("GOOGLETRANSLATE(B30999,""en"",""es-ES"")"),"La mezcla de pastel es batida con una batidora, la mujer sigue hablando y mezclando el pastel.")</f>
        <v>La mezcla de pastel es batida con una batidora, la mujer sigue hablando y mezclando el pastel.</v>
      </c>
    </row>
    <row r="31000">
      <c r="A31000" s="4" t="s">
        <v>39037</v>
      </c>
      <c r="B31000" s="4" t="s">
        <v>39041</v>
      </c>
      <c r="C31000" s="5" t="str">
        <f>IFERROR(__xludf.DUMMYFUNCTION("GOOGLETRANSLATE(B31000,""en"",""es-ES"")"),"El aceite está en una olla.")</f>
        <v>El aceite está en una olla.</v>
      </c>
    </row>
    <row r="31001">
      <c r="A31001" s="4" t="s">
        <v>39037</v>
      </c>
      <c r="B31001" s="4" t="s">
        <v>39042</v>
      </c>
      <c r="C31001" s="5" t="str">
        <f>IFERROR(__xludf.DUMMYFUNCTION("GOOGLETRANSLATE(B31001,""en"",""es-ES"")"),"La mujer sostiene una olla verde llena de arena y se coloca en la olla a presión.")</f>
        <v>La mujer sostiene una olla verde llena de arena y se coloca en la olla a presión.</v>
      </c>
    </row>
    <row r="31002">
      <c r="A31002" s="4" t="s">
        <v>39037</v>
      </c>
      <c r="B31002" s="4" t="s">
        <v>39043</v>
      </c>
      <c r="C31002" s="5" t="str">
        <f>IFERROR(__xludf.DUMMYFUNCTION("GOOGLETRANSLATE(B31002,""en"",""es-ES"")"),"Pon la batidora en la olla aceitosa.")</f>
        <v>Pon la batidora en la olla aceitosa.</v>
      </c>
    </row>
    <row r="31003">
      <c r="A31003" s="4" t="s">
        <v>39037</v>
      </c>
      <c r="B31003" s="4" t="s">
        <v>39044</v>
      </c>
      <c r="C31003" s="5" t="str">
        <f>IFERROR(__xludf.DUMMYFUNCTION("GOOGLETRANSLATE(B31003,""en"",""es-ES"")"),"La mezcla de presión está abierta y luego se cerra mientras la mujer sigue hablando en la cocina, después de un IME, abre la olla y el pastel está listo.")</f>
        <v>La mezcla de presión está abierta y luego se cerra mientras la mujer sigue hablando en la cocina, después de un IME, abre la olla y el pastel está listo.</v>
      </c>
    </row>
    <row r="31004">
      <c r="A31004" s="4" t="s">
        <v>39037</v>
      </c>
      <c r="B31004" s="4" t="s">
        <v>39045</v>
      </c>
      <c r="C31004" s="5" t="str">
        <f>IFERROR(__xludf.DUMMYFUNCTION("GOOGLETRANSLATE(B31004,""en"",""es-ES"")"),"Se muestra un pastel decorado y los pasteles a lo largo de la olla de presión.")</f>
        <v>Se muestra un pastel decorado y los pasteles a lo largo de la olla de presión.</v>
      </c>
    </row>
    <row r="31005">
      <c r="A31005" s="4" t="s">
        <v>39046</v>
      </c>
      <c r="B31005" s="4" t="s">
        <v>39047</v>
      </c>
      <c r="C31005" s="5" t="str">
        <f>IFERROR(__xludf.DUMMYFUNCTION("GOOGLETRANSLATE(B31005,""en"",""es-ES"")"),"Un video en blanco y negro muestra a dos personas en un dormitorio, tocando guitarras.")</f>
        <v>Un video en blanco y negro muestra a dos personas en un dormitorio, tocando guitarras.</v>
      </c>
    </row>
    <row r="31006">
      <c r="A31006" s="4" t="s">
        <v>39046</v>
      </c>
      <c r="B31006" s="4" t="s">
        <v>39048</v>
      </c>
      <c r="C31006" s="5" t="str">
        <f>IFERROR(__xludf.DUMMYFUNCTION("GOOGLETRANSLATE(B31006,""en"",""es-ES"")"),"Continúan durante todo el video, temblando un poco mientras juegan.")</f>
        <v>Continúan durante todo el video, temblando un poco mientras juegan.</v>
      </c>
    </row>
    <row r="31007">
      <c r="A31007" s="4" t="s">
        <v>39049</v>
      </c>
      <c r="B31007" s="4" t="s">
        <v>39050</v>
      </c>
      <c r="C31007" s="5" t="str">
        <f>IFERROR(__xludf.DUMMYFUNCTION("GOOGLETRANSLATE(B31007,""en"",""es-ES"")"),"Un grupo de corredores camina por un camino de tierra.")</f>
        <v>Un grupo de corredores camina por un camino de tierra.</v>
      </c>
    </row>
    <row r="31008">
      <c r="A31008" s="4" t="s">
        <v>39049</v>
      </c>
      <c r="B31008" s="4" t="s">
        <v>39051</v>
      </c>
      <c r="C31008" s="5" t="str">
        <f>IFERROR(__xludf.DUMMYFUNCTION("GOOGLETRANSLATE(B31008,""en"",""es-ES"")"),"Comienzan a correr, pasados ​​por autos a medida que avanzan.")</f>
        <v>Comienzan a correr, pasados ​​por autos a medida que avanzan.</v>
      </c>
    </row>
    <row r="31009">
      <c r="A31009" s="4" t="s">
        <v>39049</v>
      </c>
      <c r="B31009" s="4" t="s">
        <v>39052</v>
      </c>
      <c r="C31009" s="5" t="str">
        <f>IFERROR(__xludf.DUMMYFUNCTION("GOOGLETRANSLATE(B31009,""en"",""es-ES"")"),"Continúan corriendo juntos por la ciudad.")</f>
        <v>Continúan corriendo juntos por la ciudad.</v>
      </c>
    </row>
    <row r="31010">
      <c r="A31010" s="4" t="s">
        <v>39053</v>
      </c>
      <c r="B31010" s="4" t="s">
        <v>39054</v>
      </c>
      <c r="C31010" s="5" t="str">
        <f>IFERROR(__xludf.DUMMYFUNCTION("GOOGLETRANSLATE(B31010,""en"",""es-ES"")"),"Se muestra un primer plano de una pelota seguido por una persona que golpea la pelota en varios lugares.")</f>
        <v>Se muestra un primer plano de una pelota seguido por una persona que golpea la pelota en varios lugares.</v>
      </c>
    </row>
    <row r="31011">
      <c r="A31011" s="4" t="s">
        <v>39053</v>
      </c>
      <c r="B31011" s="4" t="s">
        <v>39055</v>
      </c>
      <c r="C31011" s="5" t="str">
        <f>IFERROR(__xludf.DUMMYFUNCTION("GOOGLETRANSLATE(B31011,""en"",""es-ES"")"),"El hombre continúa demostrando cómo golpear la pelota en varios ángulos, así como arrodillarse en el suelo para disparar.")</f>
        <v>El hombre continúa demostrando cómo golpear la pelota en varios ángulos, así como arrodillarse en el suelo para disparar.</v>
      </c>
    </row>
    <row r="31012">
      <c r="A31012" s="4" t="s">
        <v>39056</v>
      </c>
      <c r="B31012" s="4" t="s">
        <v>39057</v>
      </c>
      <c r="C31012" s="5" t="str">
        <f>IFERROR(__xludf.DUMMYFUNCTION("GOOGLETRANSLATE(B31012,""en"",""es-ES"")"),"Hay una chica con cabello largo y castaño que juega con la armónica en un ascensor del hospital.")</f>
        <v>Hay una chica con cabello largo y castaño que juega con la armónica en un ascensor del hospital.</v>
      </c>
    </row>
    <row r="31013">
      <c r="A31013" s="4" t="s">
        <v>39056</v>
      </c>
      <c r="B31013" s="4" t="s">
        <v>39058</v>
      </c>
      <c r="C31013" s="5" t="str">
        <f>IFERROR(__xludf.DUMMYFUNCTION("GOOGLETRANSLATE(B31013,""en"",""es-ES"")"),"La puerta del ascensor se abre y varias personas entran en el ascensor.")</f>
        <v>La puerta del ascensor se abre y varias personas entran en el ascensor.</v>
      </c>
    </row>
    <row r="31014">
      <c r="A31014" s="4" t="s">
        <v>39056</v>
      </c>
      <c r="B31014" s="4" t="s">
        <v>39059</v>
      </c>
      <c r="C31014" s="5" t="str">
        <f>IFERROR(__xludf.DUMMYFUNCTION("GOOGLETRANSLATE(B31014,""en"",""es-ES"")"),"Ella continúa jugando su armónica.")</f>
        <v>Ella continúa jugando su armónica.</v>
      </c>
    </row>
    <row r="31015">
      <c r="A31015" s="4" t="s">
        <v>39056</v>
      </c>
      <c r="B31015" s="4" t="s">
        <v>39060</v>
      </c>
      <c r="C31015" s="5" t="str">
        <f>IFERROR(__xludf.DUMMYFUNCTION("GOOGLETRANSLATE(B31015,""en"",""es-ES"")"),"Hay un niño y su madre que sonríen a la dama mientras juega.")</f>
        <v>Hay un niño y su madre que sonríen a la dama mientras juega.</v>
      </c>
    </row>
    <row r="31016">
      <c r="A31016" s="4" t="s">
        <v>39056</v>
      </c>
      <c r="B31016" s="4" t="s">
        <v>39061</v>
      </c>
      <c r="C31016" s="5" t="str">
        <f>IFERROR(__xludf.DUMMYFUNCTION("GOOGLETRANSLATE(B31016,""en"",""es-ES"")"),"Luego se bajan del ascensor cuando alcanzan su nivel.")</f>
        <v>Luego se bajan del ascensor cuando alcanzan su nivel.</v>
      </c>
    </row>
    <row r="31017">
      <c r="A31017" s="4" t="s">
        <v>39056</v>
      </c>
      <c r="B31017" s="4" t="s">
        <v>39062</v>
      </c>
      <c r="C31017" s="5" t="str">
        <f>IFERROR(__xludf.DUMMYFUNCTION("GOOGLETRANSLATE(B31017,""en"",""es-ES"")"),"La señora continúa jugando la armónica a medida que el ascensor se mueve más y se detiene en otros niveles y más personas entran.")</f>
        <v>La señora continúa jugando la armónica a medida que el ascensor se mueve más y se detiene en otros niveles y más personas entran.</v>
      </c>
    </row>
    <row r="31018">
      <c r="A31018" s="4" t="s">
        <v>39056</v>
      </c>
      <c r="B31018" s="4" t="s">
        <v>39063</v>
      </c>
      <c r="C31018" s="5" t="str">
        <f>IFERROR(__xludf.DUMMYFUNCTION("GOOGLETRANSLATE(B31018,""en"",""es-ES"")"),"La gente continúa subiendo y saliendo del ascensor, pero ella continúa jugando su armónica.")</f>
        <v>La gente continúa subiendo y saliendo del ascensor, pero ella continúa jugando su armónica.</v>
      </c>
    </row>
    <row r="31019">
      <c r="A31019" s="4" t="s">
        <v>39056</v>
      </c>
      <c r="B31019" s="4" t="s">
        <v>39064</v>
      </c>
      <c r="C31019" s="5" t="str">
        <f>IFERROR(__xludf.DUMMYFUNCTION("GOOGLETRANSLATE(B31019,""en"",""es-ES"")"),"Una persona ingresa al ascensor con un hombre en una camilla junto con otras personas.")</f>
        <v>Una persona ingresa al ascensor con un hombre en una camilla junto con otras personas.</v>
      </c>
    </row>
    <row r="31020">
      <c r="A31020" s="4" t="s">
        <v>39056</v>
      </c>
      <c r="B31020" s="4" t="s">
        <v>39065</v>
      </c>
      <c r="C31020" s="5" t="str">
        <f>IFERROR(__xludf.DUMMYFUNCTION("GOOGLETRANSLATE(B31020,""en"",""es-ES"")"),"La sonríen y la felicitan.")</f>
        <v>La sonríen y la felicitan.</v>
      </c>
    </row>
    <row r="31021">
      <c r="A31021" s="4" t="s">
        <v>39056</v>
      </c>
      <c r="B31021" s="4" t="s">
        <v>39066</v>
      </c>
      <c r="C31021" s="5" t="str">
        <f>IFERROR(__xludf.DUMMYFUNCTION("GOOGLETRANSLATE(B31021,""en"",""es-ES"")"),"Salen del ascensor cuando alcanzan el nivel deseado en el hospital.")</f>
        <v>Salen del ascensor cuando alcanzan el nivel deseado en el hospital.</v>
      </c>
    </row>
    <row r="31022">
      <c r="A31022" s="4" t="s">
        <v>39067</v>
      </c>
      <c r="B31022" s="4" t="s">
        <v>39068</v>
      </c>
      <c r="C31022" s="5" t="str">
        <f>IFERROR(__xludf.DUMMYFUNCTION("GOOGLETRANSLATE(B31022,""en"",""es-ES"")"),"Un niño pequeño se lavó las manos en el fregadero.")</f>
        <v>Un niño pequeño se lavó las manos en el fregadero.</v>
      </c>
    </row>
    <row r="31023">
      <c r="A31023" s="4" t="s">
        <v>39067</v>
      </c>
      <c r="B31023" s="4" t="s">
        <v>39069</v>
      </c>
      <c r="C31023" s="5" t="str">
        <f>IFERROR(__xludf.DUMMYFUNCTION("GOOGLETRANSLATE(B31023,""en"",""es-ES"")"),"Luego, el niño salpica agua en su rostro y sonríe.")</f>
        <v>Luego, el niño salpica agua en su rostro y sonríe.</v>
      </c>
    </row>
    <row r="31024">
      <c r="A31024" s="4" t="s">
        <v>39067</v>
      </c>
      <c r="B31024" s="4" t="s">
        <v>39070</v>
      </c>
      <c r="C31024" s="5" t="str">
        <f>IFERROR(__xludf.DUMMYFUNCTION("GOOGLETRANSLATE(B31024,""en"",""es-ES"")"),"El niño se pone agua en su rostro y luego mueve la cabeza.")</f>
        <v>El niño se pone agua en su rostro y luego mueve la cabeza.</v>
      </c>
    </row>
    <row r="31025">
      <c r="A31025" s="4" t="s">
        <v>39071</v>
      </c>
      <c r="B31025" s="4" t="s">
        <v>39072</v>
      </c>
      <c r="C31025" s="5" t="str">
        <f>IFERROR(__xludf.DUMMYFUNCTION("GOOGLETRANSLATE(B31025,""en"",""es-ES"")"),"Se ve a dos personas luchando entre sí mientras un hombre tome sus manos.")</f>
        <v>Se ve a dos personas luchando entre sí mientras un hombre tome sus manos.</v>
      </c>
    </row>
    <row r="31026">
      <c r="A31026" s="4" t="s">
        <v>39071</v>
      </c>
      <c r="B31026" s="4" t="s">
        <v>39073</v>
      </c>
      <c r="C31026" s="5" t="str">
        <f>IFERROR(__xludf.DUMMYFUNCTION("GOOGLETRANSLATE(B31026,""en"",""es-ES"")"),"Luego, los hombres continúan luchando con uno golpeando la mano del otro.")</f>
        <v>Luego, los hombres continúan luchando con uno golpeando la mano del otro.</v>
      </c>
    </row>
    <row r="31027">
      <c r="A31027" s="4" t="s">
        <v>39074</v>
      </c>
      <c r="B31027" s="4" t="s">
        <v>39075</v>
      </c>
      <c r="C31027" s="5" t="str">
        <f>IFERROR(__xludf.DUMMYFUNCTION("GOOGLETRANSLATE(B31027,""en"",""es-ES"")"),"Se ve a un grupo de personas acurrucados y conduce a un grupo de ellas montando por un río con la ayuda de un hombre.")</f>
        <v>Se ve a un grupo de personas acurrucados y conduce a un grupo de ellas montando por un río con la ayuda de un hombre.</v>
      </c>
    </row>
    <row r="31028">
      <c r="A31028" s="4" t="s">
        <v>39074</v>
      </c>
      <c r="B31028" s="4" t="s">
        <v>39076</v>
      </c>
      <c r="C31028" s="5" t="str">
        <f>IFERROR(__xludf.DUMMYFUNCTION("GOOGLETRANSLATE(B31028,""en"",""es-ES"")"),"El viaje continuamente río abajo se topa con rocas en el camino y las lleva a caminar a un lado.")</f>
        <v>El viaje continuamente río abajo se topa con rocas en el camino y las lleva a caminar a un lado.</v>
      </c>
    </row>
    <row r="31029">
      <c r="A31029" s="4" t="s">
        <v>39074</v>
      </c>
      <c r="B31029" s="4" t="s">
        <v>39077</v>
      </c>
      <c r="C31029" s="5" t="str">
        <f>IFERROR(__xludf.DUMMYFUNCTION("GOOGLETRANSLATE(B31029,""en"",""es-ES"")"),"Finalmente, una imagen de todos ellos juntos se muestran al final.")</f>
        <v>Finalmente, una imagen de todos ellos juntos se muestran al final.</v>
      </c>
    </row>
    <row r="31030">
      <c r="A31030" s="4" t="s">
        <v>39078</v>
      </c>
      <c r="B31030" s="4" t="s">
        <v>39079</v>
      </c>
      <c r="C31030" s="5" t="str">
        <f>IFERROR(__xludf.DUMMYFUNCTION("GOOGLETRANSLATE(B31030,""en"",""es-ES"")"),"Se ve a una mujer mayor sentada en una silla tejiendo mientras sostiene dos agujas y lo lleva a mostrar su canasta de tejer y hablar con la cámara.")</f>
        <v>Se ve a una mujer mayor sentada en una silla tejiendo mientras sostiene dos agujas y lo lleva a mostrar su canasta de tejer y hablar con la cámara.</v>
      </c>
    </row>
    <row r="31031">
      <c r="A31031" s="4" t="s">
        <v>39078</v>
      </c>
      <c r="B31031" s="4" t="s">
        <v>39080</v>
      </c>
      <c r="C31031" s="5" t="str">
        <f>IFERROR(__xludf.DUMMYFUNCTION("GOOGLETRANSLATE(B31031,""en"",""es-ES"")"),"La mujer continúa hablando mientras sostiene las herramientas de tejer y los extremos se desvanecían a negro.")</f>
        <v>La mujer continúa hablando mientras sostiene las herramientas de tejer y los extremos se desvanecían a negro.</v>
      </c>
    </row>
    <row r="31032">
      <c r="A31032" s="4" t="s">
        <v>39081</v>
      </c>
      <c r="B31032" s="4" t="s">
        <v>39082</v>
      </c>
      <c r="C31032" s="5" t="str">
        <f>IFERROR(__xludf.DUMMYFUNCTION("GOOGLETRANSLATE(B31032,""en"",""es-ES"")"),"Un grupo de dos mujeres y dos hombres posan juntos.")</f>
        <v>Un grupo de dos mujeres y dos hombres posan juntos.</v>
      </c>
    </row>
    <row r="31033">
      <c r="A31033" s="4" t="s">
        <v>39081</v>
      </c>
      <c r="B31033" s="4" t="s">
        <v>39083</v>
      </c>
      <c r="C31033" s="5" t="str">
        <f>IFERROR(__xludf.DUMMYFUNCTION("GOOGLETRANSLATE(B31033,""en"",""es-ES"")"),"Luego se muestran realizando un ejercicio de arte llamado Zumba dentro de un edificio.")</f>
        <v>Luego se muestran realizando un ejercicio de arte llamado Zumba dentro de un edificio.</v>
      </c>
    </row>
    <row r="31034">
      <c r="A31034" s="4" t="s">
        <v>39081</v>
      </c>
      <c r="B31034" s="4" t="s">
        <v>39084</v>
      </c>
      <c r="C31034" s="5" t="str">
        <f>IFERROR(__xludf.DUMMYFUNCTION("GOOGLETRANSLATE(B31034,""en"",""es-ES"")"),"Bailan de un lado a otro al unísono, luego se muestran posando juntos al final mientras las notas musicales flotan en la pantalla.")</f>
        <v>Bailan de un lado a otro al unísono, luego se muestran posando juntos al final mientras las notas musicales flotan en la pantalla.</v>
      </c>
    </row>
    <row r="31035">
      <c r="A31035" s="4" t="s">
        <v>39085</v>
      </c>
      <c r="B31035" s="4" t="s">
        <v>39086</v>
      </c>
      <c r="C31035" s="5" t="str">
        <f>IFERROR(__xludf.DUMMYFUNCTION("GOOGLETRANSLATE(B31035,""en"",""es-ES"")"),"Un hombre con un abrigo y sombrero marrones está palpitando la nieve de su camino de entrada.")</f>
        <v>Un hombre con un abrigo y sombrero marrones está palpitando la nieve de su camino de entrada.</v>
      </c>
    </row>
    <row r="31036">
      <c r="A31036" s="4" t="s">
        <v>39085</v>
      </c>
      <c r="B31036" s="4" t="s">
        <v>39087</v>
      </c>
      <c r="C31036" s="5" t="str">
        <f>IFERROR(__xludf.DUMMYFUNCTION("GOOGLETRANSLATE(B31036,""en"",""es-ES"")"),"Se muestran imágenes del hombre.")</f>
        <v>Se muestran imágenes del hombre.</v>
      </c>
    </row>
    <row r="31037">
      <c r="A31037" s="4" t="s">
        <v>39085</v>
      </c>
      <c r="B31037" s="4" t="s">
        <v>39088</v>
      </c>
      <c r="C31037" s="5" t="str">
        <f>IFERROR(__xludf.DUMMYFUNCTION("GOOGLETRANSLATE(B31037,""en"",""es-ES"")"),"El hombre saca un soplador de nieve y comienza a bloquear su camino de nieve.")</f>
        <v>El hombre saca un soplador de nieve y comienza a bloquear su camino de nieve.</v>
      </c>
    </row>
    <row r="31038">
      <c r="A31038" s="4" t="s">
        <v>39085</v>
      </c>
      <c r="B31038" s="4" t="s">
        <v>39089</v>
      </c>
      <c r="C31038" s="5" t="str">
        <f>IFERROR(__xludf.DUMMYFUNCTION("GOOGLETRANSLATE(B31038,""en"",""es-ES"")"),"Una mujer con un abrigo azul está hablando.")</f>
        <v>Una mujer con un abrigo azul está hablando.</v>
      </c>
    </row>
    <row r="31039">
      <c r="A31039" s="4" t="s">
        <v>39085</v>
      </c>
      <c r="B31039" s="4" t="s">
        <v>39090</v>
      </c>
      <c r="C31039" s="5" t="str">
        <f>IFERROR(__xludf.DUMMYFUNCTION("GOOGLETRANSLATE(B31039,""en"",""es-ES"")"),"El hombre continúa con la nieve antes de hablar con la cámara.")</f>
        <v>El hombre continúa con la nieve antes de hablar con la cámara.</v>
      </c>
    </row>
    <row r="31040">
      <c r="A31040" s="4" t="s">
        <v>39091</v>
      </c>
      <c r="B31040" s="4" t="s">
        <v>39092</v>
      </c>
      <c r="C31040" s="5" t="str">
        <f>IFERROR(__xludf.DUMMYFUNCTION("GOOGLETRANSLATE(B31040,""en"",""es-ES"")"),"Una persona suelda una costura de una gran tubería de metal con máscara protectora.")</f>
        <v>Una persona suelda una costura de una gran tubería de metal con máscara protectora.</v>
      </c>
    </row>
    <row r="31041">
      <c r="A31041" s="4" t="s">
        <v>39091</v>
      </c>
      <c r="B31041" s="4" t="s">
        <v>39093</v>
      </c>
      <c r="C31041" s="5" t="str">
        <f>IFERROR(__xludf.DUMMYFUNCTION("GOOGLETRANSLATE(B31041,""en"",""es-ES"")"),"La persona mira a través de un pequeño agujero en un trozo de metal.")</f>
        <v>La persona mira a través de un pequeño agujero en un trozo de metal.</v>
      </c>
    </row>
    <row r="31042">
      <c r="A31042" s="4" t="s">
        <v>39091</v>
      </c>
      <c r="B31042" s="4" t="s">
        <v>39094</v>
      </c>
      <c r="C31042" s="5" t="str">
        <f>IFERROR(__xludf.DUMMYFUNCTION("GOOGLETRANSLATE(B31042,""en"",""es-ES"")"),"El hombre termina la soldadura y la costura se ve brillante en rojo.")</f>
        <v>El hombre termina la soldadura y la costura se ve brillante en rojo.</v>
      </c>
    </row>
    <row r="31043">
      <c r="A31043" s="4" t="s">
        <v>39091</v>
      </c>
      <c r="B31043" s="4" t="s">
        <v>39095</v>
      </c>
      <c r="C31043" s="5" t="str">
        <f>IFERROR(__xludf.DUMMYFUNCTION("GOOGLETRANSLATE(B31043,""en"",""es-ES"")"),"Un hombre golpea al acelerado con un archivo de metal.")</f>
        <v>Un hombre golpea al acelerado con un archivo de metal.</v>
      </c>
    </row>
    <row r="31044">
      <c r="A31044" s="4" t="s">
        <v>39096</v>
      </c>
      <c r="B31044" s="4" t="s">
        <v>39097</v>
      </c>
      <c r="C31044" s="5" t="str">
        <f>IFERROR(__xludf.DUMMYFUNCTION("GOOGLETRANSLATE(B31044,""en"",""es-ES"")"),"El video muestra la mano de una persona sosteniendo una guitarra acústica.")</f>
        <v>El video muestra la mano de una persona sosteniendo una guitarra acústica.</v>
      </c>
    </row>
    <row r="31045">
      <c r="A31045" s="4" t="s">
        <v>39096</v>
      </c>
      <c r="B31045" s="4" t="s">
        <v>39098</v>
      </c>
      <c r="C31045" s="5" t="str">
        <f>IFERROR(__xludf.DUMMYFUNCTION("GOOGLETRANSLATE(B31045,""en"",""es-ES"")"),"También se muestra el caso Yamaha de la guitarra.")</f>
        <v>También se muestra el caso Yamaha de la guitarra.</v>
      </c>
    </row>
    <row r="31046">
      <c r="A31046" s="4" t="s">
        <v>39096</v>
      </c>
      <c r="B31046" s="4" t="s">
        <v>39099</v>
      </c>
      <c r="C31046" s="5" t="str">
        <f>IFERROR(__xludf.DUMMYFUNCTION("GOOGLETRANSLATE(B31046,""en"",""es-ES"")"),"Se ve a un joven tocando su guitarra acústica.")</f>
        <v>Se ve a un joven tocando su guitarra acústica.</v>
      </c>
    </row>
    <row r="31047">
      <c r="A31047" s="4" t="s">
        <v>39096</v>
      </c>
      <c r="B31047" s="4" t="s">
        <v>39100</v>
      </c>
      <c r="C31047" s="5" t="str">
        <f>IFERROR(__xludf.DUMMYFUNCTION("GOOGLETRANSLATE(B31047,""en"",""es-ES"")"),"Él está rasgando su guitarra a una melodía.")</f>
        <v>Él está rasgando su guitarra a una melodía.</v>
      </c>
    </row>
    <row r="31048">
      <c r="A31048" s="4" t="s">
        <v>39101</v>
      </c>
      <c r="B31048" s="4" t="s">
        <v>39102</v>
      </c>
      <c r="C31048" s="5" t="str">
        <f>IFERROR(__xludf.DUMMYFUNCTION("GOOGLETRANSLATE(B31048,""en"",""es-ES"")"),"Se ve a un hombre en varios lugares caminando a lo largo de una larga cuerda atada a dos árboles.")</f>
        <v>Se ve a un hombre en varios lugares caminando a lo largo de una larga cuerda atada a dos árboles.</v>
      </c>
    </row>
    <row r="31049">
      <c r="A31049" s="4" t="s">
        <v>39101</v>
      </c>
      <c r="B31049" s="4" t="s">
        <v>39103</v>
      </c>
      <c r="C31049" s="5" t="str">
        <f>IFERROR(__xludf.DUMMYFUNCTION("GOOGLETRANSLATE(B31049,""en"",""es-ES"")"),"El hombre continúa realizando varias variaciones sobre cómo caminar sobre la cuerda, así como saltar arriba y abajo y continuar caminando.")</f>
        <v>El hombre continúa realizando varias variaciones sobre cómo caminar sobre la cuerda, así como saltar arriba y abajo y continuar caminando.</v>
      </c>
    </row>
    <row r="31050">
      <c r="A31050" s="4" t="s">
        <v>39104</v>
      </c>
      <c r="B31050" s="4" t="s">
        <v>39105</v>
      </c>
      <c r="C31050" s="5" t="str">
        <f>IFERROR(__xludf.DUMMYFUNCTION("GOOGLETRANSLATE(B31050,""en"",""es-ES"")"),"Varios gatos se muestran sentados seguidos por un hombre que habla con la cámara.")</f>
        <v>Varios gatos se muestran sentados seguidos por un hombre que habla con la cámara.</v>
      </c>
    </row>
    <row r="31051">
      <c r="A31051" s="4" t="s">
        <v>39104</v>
      </c>
      <c r="B31051" s="4" t="s">
        <v>39106</v>
      </c>
      <c r="C31051" s="5" t="str">
        <f>IFERROR(__xludf.DUMMYFUNCTION("GOOGLETRANSLATE(B31051,""en"",""es-ES"")"),"Se muestran más disparos de autos y conducen a una mujer que corta las garras de un gato.")</f>
        <v>Se muestran más disparos de autos y conducen a una mujer que corta las garras de un gato.</v>
      </c>
    </row>
    <row r="31052">
      <c r="A31052" s="4" t="s">
        <v>39104</v>
      </c>
      <c r="B31052" s="4" t="s">
        <v>39107</v>
      </c>
      <c r="C31052" s="5" t="str">
        <f>IFERROR(__xludf.DUMMYFUNCTION("GOOGLETRANSLATE(B31052,""en"",""es-ES"")"),"Se muestran varios productos, así como varias personas que sostienen gatos y se cortan las uñas.")</f>
        <v>Se muestran varios productos, así como varias personas que sostienen gatos y se cortan las uñas.</v>
      </c>
    </row>
    <row r="31053">
      <c r="A31053" s="4" t="s">
        <v>39108</v>
      </c>
      <c r="B31053" s="4" t="s">
        <v>39109</v>
      </c>
      <c r="C31053" s="5" t="str">
        <f>IFERROR(__xludf.DUMMYFUNCTION("GOOGLETRANSLATE(B31053,""en"",""es-ES"")"),"Los hombres sostienen un cubo y está parado en el oof de una casa y está trabajando en ello.")</f>
        <v>Los hombres sostienen un cubo y está parado en el oof de una casa y está trabajando en ello.</v>
      </c>
    </row>
    <row r="31054">
      <c r="A31054" s="4" t="s">
        <v>39108</v>
      </c>
      <c r="B31054" s="4" t="s">
        <v>39110</v>
      </c>
      <c r="C31054" s="5" t="str">
        <f>IFERROR(__xludf.DUMMYFUNCTION("GOOGLETRANSLATE(B31054,""en"",""es-ES"")"),"El hombre está haciendo la mezcla en un cubo en un piso y en el techo nuevamente.")</f>
        <v>El hombre está haciendo la mezcla en un cubo en un piso y en el techo nuevamente.</v>
      </c>
    </row>
    <row r="31055">
      <c r="A31055" s="4" t="s">
        <v>39111</v>
      </c>
      <c r="B31055" s="4" t="s">
        <v>39112</v>
      </c>
      <c r="C31055" s="5" t="str">
        <f>IFERROR(__xludf.DUMMYFUNCTION("GOOGLETRANSLATE(B31055,""en"",""es-ES"")"),"El texto se muestra en la pantalla que conduce a dos mujeres que hablan entre sí.")</f>
        <v>El texto se muestra en la pantalla que conduce a dos mujeres que hablan entre sí.</v>
      </c>
    </row>
    <row r="31056">
      <c r="A31056" s="4" t="s">
        <v>39111</v>
      </c>
      <c r="B31056" s="4" t="s">
        <v>39113</v>
      </c>
      <c r="C31056" s="5" t="str">
        <f>IFERROR(__xludf.DUMMYFUNCTION("GOOGLETRANSLATE(B31056,""en"",""es-ES"")"),"Uno toma un sorbo de lavado de boca y lo escupe en el fregadero.")</f>
        <v>Uno toma un sorbo de lavado de boca y lo escupe en el fregadero.</v>
      </c>
    </row>
    <row r="31057">
      <c r="A31057" s="4" t="s">
        <v>39111</v>
      </c>
      <c r="B31057" s="4" t="s">
        <v>39114</v>
      </c>
      <c r="C31057" s="5" t="str">
        <f>IFERROR(__xludf.DUMMYFUNCTION("GOOGLETRANSLATE(B31057,""en"",""es-ES"")"),"Ella le devuelve el contenedor a la mujer que se vuelve para hablar con la cámara.")</f>
        <v>Ella le devuelve el contenedor a la mujer que se vuelve para hablar con la cámara.</v>
      </c>
    </row>
    <row r="31058">
      <c r="A31058" s="4" t="s">
        <v>39115</v>
      </c>
      <c r="B31058" s="4" t="s">
        <v>39116</v>
      </c>
      <c r="C31058" s="5" t="str">
        <f>IFERROR(__xludf.DUMMYFUNCTION("GOOGLETRANSLATE(B31058,""en"",""es-ES"")"),"Tres atletas realizan lanzamientos de martillo en un evento deportivo profesional frente a una audiencia en gradas y guardianes de puntuación.")</f>
        <v>Tres atletas realizan lanzamientos de martillo en un evento deportivo profesional frente a una audiencia en gradas y guardianes de puntuación.</v>
      </c>
    </row>
    <row r="31059">
      <c r="A31059" s="4" t="s">
        <v>39115</v>
      </c>
      <c r="B31059" s="4" t="s">
        <v>39117</v>
      </c>
      <c r="C31059" s="5" t="str">
        <f>IFERROR(__xludf.DUMMYFUNCTION("GOOGLETRANSLATE(B31059,""en"",""es-ES"")"),"Un hombre gira un martillo de lanzamiento de martillo de nuevo y vuelve a un evento deportivo profesional y luego lo deja volar a un campo rodeado de una audiencia en gradas.")</f>
        <v>Un hombre gira un martillo de lanzamiento de martillo de nuevo y vuelve a un evento deportivo profesional y luego lo deja volar a un campo rodeado de una audiencia en gradas.</v>
      </c>
    </row>
    <row r="31060">
      <c r="A31060" s="4" t="s">
        <v>39115</v>
      </c>
      <c r="B31060" s="4" t="s">
        <v>39118</v>
      </c>
      <c r="C31060" s="5" t="str">
        <f>IFERROR(__xludf.DUMMYFUNCTION("GOOGLETRANSLATE(B31060,""en"",""es-ES"")"),"El atleta se aleja y se ve decepcionado cuando un marcador revela el puntaje.")</f>
        <v>El atleta se aleja y se ve decepcionado cuando un marcador revela el puntaje.</v>
      </c>
    </row>
    <row r="31061">
      <c r="A31061" s="4" t="s">
        <v>39115</v>
      </c>
      <c r="B31061" s="4" t="s">
        <v>39119</v>
      </c>
      <c r="C31061" s="5" t="str">
        <f>IFERROR(__xludf.DUMMYFUNCTION("GOOGLETRANSLATE(B31061,""en"",""es-ES"")"),"Dos atletas más realizan el mismo deporte de la misma manera que ambos dejan que el martillo se vuelva en el aire.")</f>
        <v>Dos atletas más realizan el mismo deporte de la misma manera que ambos dejan que el martillo se vuelva en el aire.</v>
      </c>
    </row>
    <row r="31062">
      <c r="A31062" s="4" t="s">
        <v>39115</v>
      </c>
      <c r="B31062" s="4" t="s">
        <v>39120</v>
      </c>
      <c r="C31062" s="5" t="str">
        <f>IFERROR(__xludf.DUMMYFUNCTION("GOOGLETRANSLATE(B31062,""en"",""es-ES"")"),"Un marcador final muestra los puntajes de lanzamiento de martillo.")</f>
        <v>Un marcador final muestra los puntajes de lanzamiento de martillo.</v>
      </c>
    </row>
    <row r="31063">
      <c r="A31063" s="4" t="s">
        <v>39121</v>
      </c>
      <c r="B31063" s="4" t="s">
        <v>39122</v>
      </c>
      <c r="C31063" s="5" t="str">
        <f>IFERROR(__xludf.DUMMYFUNCTION("GOOGLETRANSLATE(B31063,""en"",""es-ES"")"),"Un hombre lleva un chaleco amarillo.")</f>
        <v>Un hombre lleva un chaleco amarillo.</v>
      </c>
    </row>
    <row r="31064">
      <c r="A31064" s="4" t="s">
        <v>39121</v>
      </c>
      <c r="B31064" s="4" t="s">
        <v>39123</v>
      </c>
      <c r="C31064" s="5" t="str">
        <f>IFERROR(__xludf.DUMMYFUNCTION("GOOGLETRANSLATE(B31064,""en"",""es-ES"")"),"Está parado frente a un edificio limpiando una ventana.")</f>
        <v>Está parado frente a un edificio limpiando una ventana.</v>
      </c>
    </row>
    <row r="31065">
      <c r="A31065" s="4" t="s">
        <v>39121</v>
      </c>
      <c r="B31065" s="4" t="s">
        <v>39124</v>
      </c>
      <c r="C31065" s="5" t="str">
        <f>IFERROR(__xludf.DUMMYFUNCTION("GOOGLETRANSLATE(B31065,""en"",""es-ES"")"),"Se ve a una persona mirando una de las ventanas.")</f>
        <v>Se ve a una persona mirando una de las ventanas.</v>
      </c>
    </row>
    <row r="31066">
      <c r="A31066" s="4" t="s">
        <v>39125</v>
      </c>
      <c r="B31066" s="4" t="s">
        <v>39126</v>
      </c>
      <c r="C31066" s="5" t="str">
        <f>IFERROR(__xludf.DUMMYFUNCTION("GOOGLETRANSLATE(B31066,""en"",""es-ES"")"),"Se ve a un chef de pie frente a una mesa con varios objetos establecidos y sacando un trozo de comida de la olla.")</f>
        <v>Se ve a un chef de pie frente a una mesa con varios objetos establecidos y sacando un trozo de comida de la olla.</v>
      </c>
    </row>
    <row r="31067">
      <c r="A31067" s="4" t="s">
        <v>39125</v>
      </c>
      <c r="B31067" s="4" t="s">
        <v>39127</v>
      </c>
      <c r="C31067" s="5" t="str">
        <f>IFERROR(__xludf.DUMMYFUNCTION("GOOGLETRANSLATE(B31067,""en"",""es-ES"")"),"Muestra el objeto a la cámara y comienza a despegarlo en un tazón.")</f>
        <v>Muestra el objeto a la cámara y comienza a despegarlo en un tazón.</v>
      </c>
    </row>
    <row r="31068">
      <c r="A31068" s="4" t="s">
        <v>39125</v>
      </c>
      <c r="B31068" s="4" t="s">
        <v>39128</v>
      </c>
      <c r="C31068" s="5" t="str">
        <f>IFERROR(__xludf.DUMMYFUNCTION("GOOGLETRANSLATE(B31068,""en"",""es-ES"")"),"Luego, la persona corta la comida y continúa peleando más en una olla.")</f>
        <v>Luego, la persona corta la comida y continúa peleando más en una olla.</v>
      </c>
    </row>
    <row r="31069">
      <c r="A31069" s="4" t="s">
        <v>39129</v>
      </c>
      <c r="B31069" s="4" t="s">
        <v>39130</v>
      </c>
      <c r="C31069" s="5" t="str">
        <f>IFERROR(__xludf.DUMMYFUNCTION("GOOGLETRANSLATE(B31069,""en"",""es-ES"")"),"Hay una mujer haciendo un tutorial sobre cómo usar un rizado de hierro en el cabello de una modelo.")</f>
        <v>Hay una mujer haciendo un tutorial sobre cómo usar un rizado de hierro en el cabello de una modelo.</v>
      </c>
    </row>
    <row r="31070">
      <c r="A31070" s="4" t="s">
        <v>39129</v>
      </c>
      <c r="B31070" s="4" t="s">
        <v>39131</v>
      </c>
      <c r="C31070" s="5" t="str">
        <f>IFERROR(__xludf.DUMMYFUNCTION("GOOGLETRANSLATE(B31070,""en"",""es-ES"")"),"Ella toma secciones del cabello de la modelo a la vez y lo coloca en el rizado de hierro y luego lo libera gradualmente para sacar los rizos.")</f>
        <v>Ella toma secciones del cabello de la modelo a la vez y lo coloca en el rizado de hierro y luego lo libera gradualmente para sacar los rizos.</v>
      </c>
    </row>
    <row r="31071">
      <c r="A31071" s="4" t="s">
        <v>39129</v>
      </c>
      <c r="B31071" s="4" t="s">
        <v>39132</v>
      </c>
      <c r="C31071" s="5" t="str">
        <f>IFERROR(__xludf.DUMMYFUNCTION("GOOGLETRANSLATE(B31071,""en"",""es-ES"")"),"Ella continúa el proceso hasta que toda la cabeza del cabello se riza con el hierro.")</f>
        <v>Ella continúa el proceso hasta que toda la cabeza del cabello se riza con el hierro.</v>
      </c>
    </row>
    <row r="31072">
      <c r="A31072" s="4" t="s">
        <v>39129</v>
      </c>
      <c r="B31072" s="4" t="s">
        <v>39133</v>
      </c>
      <c r="C31072" s="5" t="str">
        <f>IFERROR(__xludf.DUMMYFUNCTION("GOOGLETRANSLATE(B31072,""en"",""es-ES"")"),"El modelo luego sonríe y se toma una selfie mientras se mira en el espejo.")</f>
        <v>El modelo luego sonríe y se toma una selfie mientras se mira en el espejo.</v>
      </c>
    </row>
    <row r="31073">
      <c r="A31073" s="4" t="s">
        <v>39134</v>
      </c>
      <c r="B31073" s="4" t="s">
        <v>39135</v>
      </c>
      <c r="C31073" s="5" t="str">
        <f>IFERROR(__xludf.DUMMYFUNCTION("GOOGLETRANSLATE(B31073,""en"",""es-ES"")"),"Una cámara muestra los pies de una persona montando por una montaña de nieve mientras gira en círculos.")</f>
        <v>Una cámara muestra los pies de una persona montando por una montaña de nieve mientras gira en círculos.</v>
      </c>
    </row>
    <row r="31074">
      <c r="A31074" s="4" t="s">
        <v>39134</v>
      </c>
      <c r="B31074" s="4" t="s">
        <v>39136</v>
      </c>
      <c r="C31074" s="5" t="str">
        <f>IFERROR(__xludf.DUMMYFUNCTION("GOOGLETRANSLATE(B31074,""en"",""es-ES"")"),"La persona continúa girando por la colina mientras una gran multitud observa a un lado y un niño salta en la parte inferior.")</f>
        <v>La persona continúa girando por la colina mientras una gran multitud observa a un lado y un niño salta en la parte inferior.</v>
      </c>
    </row>
    <row r="31075">
      <c r="A31075" s="4" t="s">
        <v>39137</v>
      </c>
      <c r="B31075" s="4" t="s">
        <v>39138</v>
      </c>
      <c r="C31075" s="5" t="str">
        <f>IFERROR(__xludf.DUMMYFUNCTION("GOOGLETRANSLATE(B31075,""en"",""es-ES"")"),"Una persona en una patineta se mueve y ataca y sube en una esquina.")</f>
        <v>Una persona en una patineta se mueve y ataca y sube en una esquina.</v>
      </c>
    </row>
    <row r="31076">
      <c r="A31076" s="4" t="s">
        <v>39137</v>
      </c>
      <c r="B31076" s="4" t="s">
        <v>39139</v>
      </c>
      <c r="C31076" s="5" t="str">
        <f>IFERROR(__xludf.DUMMYFUNCTION("GOOGLETRANSLATE(B31076,""en"",""es-ES"")"),"La cámara lo muestra haciendo varios movimientos y entrevistando a la cámara.")</f>
        <v>La cámara lo muestra haciendo varios movimientos y entrevistando a la cámara.</v>
      </c>
    </row>
    <row r="31077">
      <c r="A31077" s="4" t="s">
        <v>39137</v>
      </c>
      <c r="B31077" s="4" t="s">
        <v>39140</v>
      </c>
      <c r="C31077" s="5" t="str">
        <f>IFERROR(__xludf.DUMMYFUNCTION("GOOGLETRANSLATE(B31077,""en"",""es-ES"")"),"Otro hombre monta un wakeboard y trucos y finalmente cae.")</f>
        <v>Otro hombre monta un wakeboard y trucos y finalmente cae.</v>
      </c>
    </row>
    <row r="31078">
      <c r="A31078" s="4" t="s">
        <v>39137</v>
      </c>
      <c r="B31078" s="4" t="s">
        <v>39141</v>
      </c>
      <c r="C31078" s="5" t="str">
        <f>IFERROR(__xludf.DUMMYFUNCTION("GOOGLETRANSLATE(B31078,""en"",""es-ES"")"),"Se muestran varios otros clips de personas en kayak en varias acrobacias mientras la cámara registra.")</f>
        <v>Se muestran varios otros clips de personas en kayak en varias acrobacias mientras la cámara registra.</v>
      </c>
    </row>
    <row r="31079">
      <c r="A31079" s="4" t="s">
        <v>39142</v>
      </c>
      <c r="B31079" s="4" t="s">
        <v>39143</v>
      </c>
      <c r="C31079" s="5" t="str">
        <f>IFERROR(__xludf.DUMMYFUNCTION("GOOGLETRANSLATE(B31079,""en"",""es-ES"")"),"Se muestra a un hombre haciendo varios saltos de longitud diferentes mientras la cámara lo captura.")</f>
        <v>Se muestra a un hombre haciendo varios saltos de longitud diferentes mientras la cámara lo captura.</v>
      </c>
    </row>
    <row r="31080">
      <c r="A31080" s="4" t="s">
        <v>39142</v>
      </c>
      <c r="B31080" s="4" t="s">
        <v>39144</v>
      </c>
      <c r="C31080" s="5" t="str">
        <f>IFERROR(__xludf.DUMMYFUNCTION("GOOGLETRANSLATE(B31080,""en"",""es-ES"")"),"Él gira los brazos para demostrar un movimiento apropiado seguido de varios saltos más.")</f>
        <v>Él gira los brazos para demostrar un movimiento apropiado seguido de varios saltos más.</v>
      </c>
    </row>
    <row r="31081">
      <c r="A31081" s="4" t="s">
        <v>39145</v>
      </c>
      <c r="B31081" s="4" t="s">
        <v>39146</v>
      </c>
      <c r="C31081" s="5" t="str">
        <f>IFERROR(__xludf.DUMMYFUNCTION("GOOGLETRANSLATE(B31081,""en"",""es-ES"")"),"Un hombre se muestra junto a un anuncio para el yoga.")</f>
        <v>Un hombre se muestra junto a un anuncio para el yoga.</v>
      </c>
    </row>
    <row r="31082">
      <c r="A31082" s="4" t="s">
        <v>39145</v>
      </c>
      <c r="B31082" s="4" t="s">
        <v>39147</v>
      </c>
      <c r="C31082" s="5" t="str">
        <f>IFERROR(__xludf.DUMMYFUNCTION("GOOGLETRANSLATE(B31082,""en"",""es-ES"")"),"Está parado en un bosque, haciendo movimientos de yoga lentos y elegantes.")</f>
        <v>Está parado en un bosque, haciendo movimientos de yoga lentos y elegantes.</v>
      </c>
    </row>
    <row r="31083">
      <c r="A31083" s="4" t="s">
        <v>39145</v>
      </c>
      <c r="B31083" s="4" t="s">
        <v>39148</v>
      </c>
      <c r="C31083" s="5" t="str">
        <f>IFERROR(__xludf.DUMMYFUNCTION("GOOGLETRANSLATE(B31083,""en"",""es-ES"")"),"Se encuentra en una plataforma, continuando los elegantes movimientos.")</f>
        <v>Se encuentra en una plataforma, continuando los elegantes movimientos.</v>
      </c>
    </row>
    <row r="31084">
      <c r="A31084" s="4" t="s">
        <v>39145</v>
      </c>
      <c r="B31084" s="4" t="s">
        <v>39149</v>
      </c>
      <c r="C31084" s="5" t="str">
        <f>IFERROR(__xludf.DUMMYFUNCTION("GOOGLETRANSLATE(B31084,""en"",""es-ES"")"),"Luego lo vemos nuevamente en el bosque, todavía realizando yoga en silencio.")</f>
        <v>Luego lo vemos nuevamente en el bosque, todavía realizando yoga en silencio.</v>
      </c>
    </row>
    <row r="31085">
      <c r="A31085" s="4" t="s">
        <v>39150</v>
      </c>
      <c r="B31085" s="4" t="s">
        <v>39151</v>
      </c>
      <c r="C31085" s="5" t="str">
        <f>IFERROR(__xludf.DUMMYFUNCTION("GOOGLETRANSLATE(B31085,""en"",""es-ES"")"),"Se muestra a estos dos hombres rociando el exterior del automóvil negro con jabón.")</f>
        <v>Se muestra a estos dos hombres rociando el exterior del automóvil negro con jabón.</v>
      </c>
    </row>
    <row r="31086">
      <c r="A31086" s="4" t="s">
        <v>39150</v>
      </c>
      <c r="B31086" s="4" t="s">
        <v>39152</v>
      </c>
      <c r="C31086" s="5" t="str">
        <f>IFERROR(__xludf.DUMMYFUNCTION("GOOGLETRANSLATE(B31086,""en"",""es-ES"")"),"Luego comenzaron a lavar a mano el auto con sus manos y una toalla.")</f>
        <v>Luego comenzaron a lavar a mano el auto con sus manos y una toalla.</v>
      </c>
    </row>
    <row r="31087">
      <c r="A31087" s="4" t="s">
        <v>39150</v>
      </c>
      <c r="B31087" s="4" t="s">
        <v>39153</v>
      </c>
      <c r="C31087" s="5" t="str">
        <f>IFERROR(__xludf.DUMMYFUNCTION("GOOGLETRANSLATE(B31087,""en"",""es-ES"")"),"Frotaron casi en todas partes para que el negro se convierta en brillar.")</f>
        <v>Frotaron casi en todas partes para que el negro se convierta en brillar.</v>
      </c>
    </row>
    <row r="31088">
      <c r="A31088" s="4" t="s">
        <v>39154</v>
      </c>
      <c r="B31088" s="4" t="s">
        <v>39155</v>
      </c>
      <c r="C31088" s="5" t="str">
        <f>IFERROR(__xludf.DUMMYFUNCTION("GOOGLETRANSLATE(B31088,""en"",""es-ES"")"),"Una persona está cortando una papa.")</f>
        <v>Una persona está cortando una papa.</v>
      </c>
    </row>
    <row r="31089">
      <c r="A31089" s="4" t="s">
        <v>39154</v>
      </c>
      <c r="B31089" s="4" t="s">
        <v>39156</v>
      </c>
      <c r="C31089" s="5" t="str">
        <f>IFERROR(__xludf.DUMMYFUNCTION("GOOGLETRANSLATE(B31089,""en"",""es-ES"")"),"Apilan las rodajas de papa y comienzan a cortarlas en trozos pequeños.")</f>
        <v>Apilan las rodajas de papa y comienzan a cortarlas en trozos pequeños.</v>
      </c>
    </row>
    <row r="31090">
      <c r="A31090" s="4" t="s">
        <v>39154</v>
      </c>
      <c r="B31090" s="4" t="s">
        <v>39157</v>
      </c>
      <c r="C31090" s="5" t="str">
        <f>IFERROR(__xludf.DUMMYFUNCTION("GOOGLETRANSLATE(B31090,""en"",""es-ES"")"),"Pone las piezas en un plato sentado en un fregadero.")</f>
        <v>Pone las piezas en un plato sentado en un fregadero.</v>
      </c>
    </row>
    <row r="31091">
      <c r="A31091" s="4" t="s">
        <v>39154</v>
      </c>
      <c r="B31091" s="4" t="s">
        <v>39158</v>
      </c>
      <c r="C31091" s="5" t="str">
        <f>IFERROR(__xludf.DUMMYFUNCTION("GOOGLETRANSLATE(B31091,""en"",""es-ES"")"),"Hay platos de comida en el fregadero.")</f>
        <v>Hay platos de comida en el fregadero.</v>
      </c>
    </row>
    <row r="31092">
      <c r="A31092" s="4" t="s">
        <v>39154</v>
      </c>
      <c r="B31092" s="4" t="s">
        <v>39159</v>
      </c>
      <c r="C31092" s="5" t="str">
        <f>IFERROR(__xludf.DUMMYFUNCTION("GOOGLETRANSLATE(B31092,""en"",""es-ES"")"),"Empaca las placas en una olla.")</f>
        <v>Empaca las placas en una olla.</v>
      </c>
    </row>
    <row r="31093">
      <c r="A31093" s="4" t="s">
        <v>39154</v>
      </c>
      <c r="B31093" s="4" t="s">
        <v>39160</v>
      </c>
      <c r="C31093" s="5" t="str">
        <f>IFERROR(__xludf.DUMMYFUNCTION("GOOGLETRANSLATE(B31093,""en"",""es-ES"")"),"Él revuelve todo en la olla juntos.")</f>
        <v>Él revuelve todo en la olla juntos.</v>
      </c>
    </row>
    <row r="31094">
      <c r="A31094" s="4" t="s">
        <v>39154</v>
      </c>
      <c r="B31094" s="4" t="s">
        <v>39161</v>
      </c>
      <c r="C31094" s="5" t="str">
        <f>IFERROR(__xludf.DUMMYFUNCTION("GOOGLETRANSLATE(B31094,""en"",""es-ES"")"),"Luego toma una cucharada de eso y la pone en un plato con verduras.")</f>
        <v>Luego toma una cucharada de eso y la pone en un plato con verduras.</v>
      </c>
    </row>
    <row r="31095">
      <c r="A31095" s="4" t="s">
        <v>39154</v>
      </c>
      <c r="B31095" s="4" t="s">
        <v>39162</v>
      </c>
      <c r="C31095" s="5" t="str">
        <f>IFERROR(__xludf.DUMMYFUNCTION("GOOGLETRANSLATE(B31095,""en"",""es-ES"")"),"Lo cubre con guarniciones.")</f>
        <v>Lo cubre con guarniciones.</v>
      </c>
    </row>
    <row r="31096">
      <c r="A31096" s="4" t="s">
        <v>39163</v>
      </c>
      <c r="B31096" s="4" t="s">
        <v>39164</v>
      </c>
      <c r="C31096" s="5" t="str">
        <f>IFERROR(__xludf.DUMMYFUNCTION("GOOGLETRANSLATE(B31096,""en"",""es-ES"")"),"Los hombres están hablando con la cámara sentada en una silla.")</f>
        <v>Los hombres están hablando con la cámara sentada en una silla.</v>
      </c>
    </row>
    <row r="31097">
      <c r="A31097" s="4" t="s">
        <v>39163</v>
      </c>
      <c r="B31097" s="4" t="s">
        <v>39165</v>
      </c>
      <c r="C31097" s="5" t="str">
        <f>IFERROR(__xludf.DUMMYFUNCTION("GOOGLETRANSLATE(B31097,""en"",""es-ES"")"),"Los hombres se quitan las gafas y se afeitan la mitad de sus caras mientras una mujer se maquilla sobre ellos, hace las cejas y pone unas delineador y pestañas.")</f>
        <v>Los hombres se quitan las gafas y se afeitan la mitad de sus caras mientras una mujer se maquilla sobre ellos, hace las cejas y pone unas delineador y pestañas.</v>
      </c>
    </row>
    <row r="31098">
      <c r="A31098" s="4" t="s">
        <v>39163</v>
      </c>
      <c r="B31098" s="4" t="s">
        <v>39166</v>
      </c>
      <c r="C31098" s="5" t="str">
        <f>IFERROR(__xludf.DUMMYFUNCTION("GOOGLETRANSLATE(B31098,""en"",""es-ES"")"),"Los hombres los miran en el espejo con la mitad de la cara con maquillaje y la mitad de Oher sin maquillaje y están hablando con la cámara.")</f>
        <v>Los hombres los miran en el espejo con la mitad de la cara con maquillaje y la mitad de Oher sin maquillaje y están hablando con la cámara.</v>
      </c>
    </row>
    <row r="31099">
      <c r="A31099" s="4" t="s">
        <v>39167</v>
      </c>
      <c r="B31099" s="4" t="s">
        <v>39168</v>
      </c>
      <c r="C31099" s="5" t="str">
        <f>IFERROR(__xludf.DUMMYFUNCTION("GOOGLETRANSLATE(B31099,""en"",""es-ES"")"),"La gente pala la nieve con una pala de nieve con ruedas.")</f>
        <v>La gente pala la nieve con una pala de nieve con ruedas.</v>
      </c>
    </row>
    <row r="31100">
      <c r="A31100" s="4" t="s">
        <v>39167</v>
      </c>
      <c r="B31100" s="4" t="s">
        <v>39169</v>
      </c>
      <c r="C31100" s="5" t="str">
        <f>IFERROR(__xludf.DUMMYFUNCTION("GOOGLETRANSLATE(B31100,""en"",""es-ES"")"),"Luego, un hombre demuestra cómo palear la nieve, él usa una bolsa.")</f>
        <v>Luego, un hombre demuestra cómo palear la nieve, él usa una bolsa.</v>
      </c>
    </row>
    <row r="31101">
      <c r="A31101" s="4" t="s">
        <v>39170</v>
      </c>
      <c r="B31101" s="4" t="s">
        <v>39171</v>
      </c>
      <c r="C31101" s="5" t="str">
        <f>IFERROR(__xludf.DUMMYFUNCTION("GOOGLETRANSLATE(B31101,""en"",""es-ES"")"),"Un grupo de personas está montando a caballo y jugando polo.")</f>
        <v>Un grupo de personas está montando a caballo y jugando polo.</v>
      </c>
    </row>
    <row r="31102">
      <c r="A31102" s="4" t="s">
        <v>39170</v>
      </c>
      <c r="B31102" s="4" t="s">
        <v>39172</v>
      </c>
      <c r="C31102" s="5" t="str">
        <f>IFERROR(__xludf.DUMMYFUNCTION("GOOGLETRANSLATE(B31102,""en"",""es-ES"")"),"Luchan por la pelota frente a la multitud de observación.")</f>
        <v>Luchan por la pelota frente a la multitud de observación.</v>
      </c>
    </row>
    <row r="31103">
      <c r="A31103" s="4" t="s">
        <v>39170</v>
      </c>
      <c r="B31103" s="4" t="s">
        <v>39173</v>
      </c>
      <c r="C31103" s="5" t="str">
        <f>IFERROR(__xludf.DUMMYFUNCTION("GOOGLETRANSLATE(B31103,""en"",""es-ES"")"),"Cuando termina, posan para fotos fuera del rodeo y el estadio.")</f>
        <v>Cuando termina, posan para fotos fuera del rodeo y el estadio.</v>
      </c>
    </row>
    <row r="31104">
      <c r="A31104" s="4" t="s">
        <v>39174</v>
      </c>
      <c r="B31104" s="4" t="s">
        <v>39175</v>
      </c>
      <c r="C31104" s="5" t="str">
        <f>IFERROR(__xludf.DUMMYFUNCTION("GOOGLETRANSLATE(B31104,""en"",""es-ES"")"),"Una dama con una camisa rosa se encuentra en una lavandería que habla con la cámara.")</f>
        <v>Una dama con una camisa rosa se encuentra en una lavandería que habla con la cámara.</v>
      </c>
    </row>
    <row r="31105">
      <c r="A31105" s="4" t="s">
        <v>39174</v>
      </c>
      <c r="B31105" s="4" t="s">
        <v>39176</v>
      </c>
      <c r="C31105" s="5" t="str">
        <f>IFERROR(__xludf.DUMMYFUNCTION("GOOGLETRANSLATE(B31105,""en"",""es-ES"")"),"La cámara se acerca para mostrarnos toda la habitación.")</f>
        <v>La cámara se acerca para mostrarnos toda la habitación.</v>
      </c>
    </row>
    <row r="31106">
      <c r="A31106" s="4" t="s">
        <v>39174</v>
      </c>
      <c r="B31106" s="4" t="s">
        <v>39177</v>
      </c>
      <c r="C31106" s="5" t="str">
        <f>IFERROR(__xludf.DUMMYFUNCTION("GOOGLETRANSLATE(B31106,""en"",""es-ES"")"),"La señora nos muestra una botella de spray y la sacude.")</f>
        <v>La señora nos muestra una botella de spray y la sacude.</v>
      </c>
    </row>
    <row r="31107">
      <c r="A31107" s="4" t="s">
        <v>39174</v>
      </c>
      <c r="B31107" s="4" t="s">
        <v>39178</v>
      </c>
      <c r="C31107" s="5" t="str">
        <f>IFERROR(__xludf.DUMMYFUNCTION("GOOGLETRANSLATE(B31107,""en"",""es-ES"")"),"La señora luego habla con la cámara.")</f>
        <v>La señora luego habla con la cámara.</v>
      </c>
    </row>
    <row r="31108">
      <c r="A31108" s="4" t="s">
        <v>39179</v>
      </c>
      <c r="B31108" s="4" t="s">
        <v>39180</v>
      </c>
      <c r="C31108" s="5" t="str">
        <f>IFERROR(__xludf.DUMMYFUNCTION("GOOGLETRANSLATE(B31108,""en"",""es-ES"")"),"Se muestra un primer plano de una pared, seguido de varios clips de hombres que abren una ventana.")</f>
        <v>Se muestra un primer plano de una pared, seguido de varios clips de hombres que abren una ventana.</v>
      </c>
    </row>
    <row r="31109">
      <c r="A31109" s="4" t="s">
        <v>39179</v>
      </c>
      <c r="B31109" s="4" t="s">
        <v>39181</v>
      </c>
      <c r="C31109" s="5" t="str">
        <f>IFERROR(__xludf.DUMMYFUNCTION("GOOGLETRANSLATE(B31109,""en"",""es-ES"")"),"También se ven trabajando en un techo y colocando fichas hacia un lado.")</f>
        <v>También se ven trabajando en un techo y colocando fichas hacia un lado.</v>
      </c>
    </row>
    <row r="31110">
      <c r="A31110" s="4" t="s">
        <v>39179</v>
      </c>
      <c r="B31110" s="4" t="s">
        <v>39182</v>
      </c>
      <c r="C31110" s="5" t="str">
        <f>IFERROR(__xludf.DUMMYFUNCTION("GOOGLETRANSLATE(B31110,""en"",""es-ES"")"),"Pusieron en una ventana y terminan cerrando.")</f>
        <v>Pusieron en una ventana y terminan cerrando.</v>
      </c>
    </row>
    <row r="31111">
      <c r="A31111" s="4" t="s">
        <v>39183</v>
      </c>
      <c r="B31111" s="4" t="s">
        <v>39184</v>
      </c>
      <c r="C31111" s="5" t="str">
        <f>IFERROR(__xludf.DUMMYFUNCTION("GOOGLETRANSLATE(B31111,""en"",""es-ES"")"),"Un hombre está limpiando deja una acera con una escoba y una pala.")</f>
        <v>Un hombre está limpiando deja una acera con una escoba y una pala.</v>
      </c>
    </row>
    <row r="31112">
      <c r="A31112" s="4" t="s">
        <v>39183</v>
      </c>
      <c r="B31112" s="4" t="s">
        <v>39185</v>
      </c>
      <c r="C31112" s="5" t="str">
        <f>IFERROR(__xludf.DUMMYFUNCTION("GOOGLETRANSLATE(B31112,""en"",""es-ES"")"),"El hombre barre las hojas en un círculo y las pone en el contenedor.")</f>
        <v>El hombre barre las hojas en un círculo y las pone en el contenedor.</v>
      </c>
    </row>
    <row r="31113">
      <c r="A31113" s="4" t="s">
        <v>39183</v>
      </c>
      <c r="B31113" s="4" t="s">
        <v>39186</v>
      </c>
      <c r="C31113" s="5" t="str">
        <f>IFERROR(__xludf.DUMMYFUNCTION("GOOGLETRANSLATE(B31113,""en"",""es-ES"")"),"Un autobús amarillo pasa al hombre.")</f>
        <v>Un autobús amarillo pasa al hombre.</v>
      </c>
    </row>
    <row r="31114">
      <c r="A31114" s="4" t="s">
        <v>39183</v>
      </c>
      <c r="B31114" s="4" t="s">
        <v>39187</v>
      </c>
      <c r="C31114" s="5" t="str">
        <f>IFERROR(__xludf.DUMMYFUNCTION("GOOGLETRANSLATE(B31114,""en"",""es-ES"")"),"El hombre barre de nuevo y pone las hojas en el contenedor.")</f>
        <v>El hombre barre de nuevo y pone las hojas en el contenedor.</v>
      </c>
    </row>
    <row r="31115">
      <c r="A31115" s="4" t="s">
        <v>39188</v>
      </c>
      <c r="B31115" s="4" t="s">
        <v>39189</v>
      </c>
      <c r="C31115" s="5" t="str">
        <f>IFERROR(__xludf.DUMMYFUNCTION("GOOGLETRANSLATE(B31115,""en"",""es-ES"")"),"Se presenta un tutorial sobre cómo hacer movimientos simples de ballet.")</f>
        <v>Se presenta un tutorial sobre cómo hacer movimientos simples de ballet.</v>
      </c>
    </row>
    <row r="31116">
      <c r="A31116" s="4" t="s">
        <v>39188</v>
      </c>
      <c r="B31116" s="4" t="s">
        <v>39190</v>
      </c>
      <c r="C31116" s="5" t="str">
        <f>IFERROR(__xludf.DUMMYFUNCTION("GOOGLETRANSLATE(B31116,""en"",""es-ES"")"),"Después de mostrar los materiales, el maestro toca al alumno para mostrar una forma perfecta.")</f>
        <v>Después de mostrar los materiales, el maestro toca al alumno para mostrar una forma perfecta.</v>
      </c>
    </row>
    <row r="31117">
      <c r="A31117" s="4" t="s">
        <v>39191</v>
      </c>
      <c r="B31117" s="4" t="s">
        <v>39192</v>
      </c>
      <c r="C31117" s="5" t="str">
        <f>IFERROR(__xludf.DUMMYFUNCTION("GOOGLETRANSLATE(B31117,""en"",""es-ES"")"),"Vemos a un hombre y un bebé decorando un árbol de Navidad.")</f>
        <v>Vemos a un hombre y un bebé decorando un árbol de Navidad.</v>
      </c>
    </row>
    <row r="31118">
      <c r="A31118" s="4" t="s">
        <v>39191</v>
      </c>
      <c r="B31118" s="4" t="s">
        <v>39193</v>
      </c>
      <c r="C31118" s="5" t="str">
        <f>IFERROR(__xludf.DUMMYFUNCTION("GOOGLETRANSLATE(B31118,""en"",""es-ES"")"),"El bebé quita una bombilla azul del árbol.")</f>
        <v>El bebé quita una bombilla azul del árbol.</v>
      </c>
    </row>
    <row r="31119">
      <c r="A31119" s="4" t="s">
        <v>39191</v>
      </c>
      <c r="B31119" s="4" t="s">
        <v>39194</v>
      </c>
      <c r="C31119" s="5" t="str">
        <f>IFERROR(__xludf.DUMMYFUNCTION("GOOGLETRANSLATE(B31119,""en"",""es-ES"")"),"El papá lo devuelve y el bebé lo toma nuevamente.")</f>
        <v>El papá lo devuelve y el bebé lo toma nuevamente.</v>
      </c>
    </row>
    <row r="31120">
      <c r="A31120" s="4" t="s">
        <v>39191</v>
      </c>
      <c r="B31120" s="4" t="s">
        <v>39195</v>
      </c>
      <c r="C31120" s="5" t="str">
        <f>IFERROR(__xludf.DUMMYFUNCTION("GOOGLETRANSLATE(B31120,""en"",""es-ES"")"),"El niño se vuelve hacia la cámara y el papá camina hacia un mostrador.")</f>
        <v>El niño se vuelve hacia la cámara y el papá camina hacia un mostrador.</v>
      </c>
    </row>
    <row r="31121">
      <c r="A31121" s="4" t="s">
        <v>39191</v>
      </c>
      <c r="B31121" s="4" t="s">
        <v>39196</v>
      </c>
      <c r="C31121" s="5" t="str">
        <f>IFERROR(__xludf.DUMMYFUNCTION("GOOGLETRANSLATE(B31121,""en"",""es-ES"")"),"El niño deja caer la bombilla azul y va por otra.")</f>
        <v>El niño deja caer la bombilla azul y va por otra.</v>
      </c>
    </row>
    <row r="31122">
      <c r="A31122" s="4" t="s">
        <v>39191</v>
      </c>
      <c r="B31122" s="4" t="s">
        <v>39197</v>
      </c>
      <c r="C31122" s="5" t="str">
        <f>IFERROR(__xludf.DUMMYFUNCTION("GOOGLETRANSLATE(B31122,""en"",""es-ES"")"),"El niño agrega otra bombilla azul al árbol.")</f>
        <v>El niño agrega otra bombilla azul al árbol.</v>
      </c>
    </row>
    <row r="31123">
      <c r="A31123" s="4" t="s">
        <v>39191</v>
      </c>
      <c r="B31123" s="4" t="s">
        <v>39198</v>
      </c>
      <c r="C31123" s="5" t="str">
        <f>IFERROR(__xludf.DUMMYFUNCTION("GOOGLETRANSLATE(B31123,""en"",""es-ES"")"),"La cámara se desplaza para mostrar el árbol y luego muestra las medias.")</f>
        <v>La cámara se desplaza para mostrar el árbol y luego muestra las medias.</v>
      </c>
    </row>
    <row r="31124">
      <c r="A31124" s="4" t="s">
        <v>39199</v>
      </c>
      <c r="B31124" s="4" t="s">
        <v>39200</v>
      </c>
      <c r="C31124" s="5" t="str">
        <f>IFERROR(__xludf.DUMMYFUNCTION("GOOGLETRANSLATE(B31124,""en"",""es-ES"")"),"Se ve a un hombre hablando con la cámara y trabajando en una bicicleta seguido de él tirando de cadenas y ruedas girando en la bicicleta.")</f>
        <v>Se ve a un hombre hablando con la cámara y trabajando en una bicicleta seguido de él tirando de cadenas y ruedas girando en la bicicleta.</v>
      </c>
    </row>
    <row r="31125">
      <c r="A31125" s="4" t="s">
        <v>39199</v>
      </c>
      <c r="B31125" s="4" t="s">
        <v>39201</v>
      </c>
      <c r="C31125" s="5" t="str">
        <f>IFERROR(__xludf.DUMMYFUNCTION("GOOGLETRANSLATE(B31125,""en"",""es-ES"")"),"Vedia a la bicicleta y muestra que el neumático gira nuevamente, terminando con él apretando el neumático y girando una vez más.")</f>
        <v>Vedia a la bicicleta y muestra que el neumático gira nuevamente, terminando con él apretando el neumático y girando una vez más.</v>
      </c>
    </row>
    <row r="31126">
      <c r="A31126" s="4" t="s">
        <v>39202</v>
      </c>
      <c r="B31126" s="4" t="s">
        <v>39203</v>
      </c>
      <c r="C31126" s="5" t="str">
        <f>IFERROR(__xludf.DUMMYFUNCTION("GOOGLETRANSLATE(B31126,""en"",""es-ES"")"),"Un especialista en soldadura de la escuela de soldadura de Tulsa está demostrando cómo soldar.")</f>
        <v>Un especialista en soldadura de la escuela de soldadura de Tulsa está demostrando cómo soldar.</v>
      </c>
    </row>
    <row r="31127">
      <c r="A31127" s="4" t="s">
        <v>39202</v>
      </c>
      <c r="B31127" s="4" t="s">
        <v>39204</v>
      </c>
      <c r="C31127" s="5" t="str">
        <f>IFERROR(__xludf.DUMMYFUNCTION("GOOGLETRANSLATE(B31127,""en"",""es-ES"")"),"Explica las técnicas de soldadura con la ayuda de un soldador que usa equipo de protección y máscara, usando la antorcha de soplado.")</f>
        <v>Explica las técnicas de soldadura con la ayuda de un soldador que usa equipo de protección y máscara, usando la antorcha de soplado.</v>
      </c>
    </row>
    <row r="31128">
      <c r="A31128" s="4" t="s">
        <v>39205</v>
      </c>
      <c r="B31128" s="4" t="s">
        <v>39206</v>
      </c>
      <c r="C31128" s="5" t="str">
        <f>IFERROR(__xludf.DUMMYFUNCTION("GOOGLETRANSLATE(B31128,""en"",""es-ES"")"),"Una persona corta una pimienta y pone un tazón.")</f>
        <v>Una persona corta una pimienta y pone un tazón.</v>
      </c>
    </row>
    <row r="31129">
      <c r="A31129" s="4" t="s">
        <v>39205</v>
      </c>
      <c r="B31129" s="4" t="s">
        <v>39207</v>
      </c>
      <c r="C31129" s="5" t="str">
        <f>IFERROR(__xludf.DUMMYFUNCTION("GOOGLETRANSLATE(B31129,""en"",""es-ES"")"),"Además, la persona cocina fideos en una olla.")</f>
        <v>Además, la persona cocina fideos en una olla.</v>
      </c>
    </row>
    <row r="31130">
      <c r="A31130" s="4" t="s">
        <v>39205</v>
      </c>
      <c r="B31130" s="4" t="s">
        <v>39208</v>
      </c>
      <c r="C31130" s="5" t="str">
        <f>IFERROR(__xludf.DUMMYFUNCTION("GOOGLETRANSLATE(B31130,""en"",""es-ES"")"),"Luego, la persona fríe los champiñones en una sartén, agregue sal, ajo, tomates y raíces.")</f>
        <v>Luego, la persona fríe los champiñones en una sartén, agregue sal, ajo, tomates y raíces.</v>
      </c>
    </row>
    <row r="31131">
      <c r="A31131" s="4" t="s">
        <v>39205</v>
      </c>
      <c r="B31131" s="4" t="s">
        <v>39209</v>
      </c>
      <c r="C31131" s="5" t="str">
        <f>IFERROR(__xludf.DUMMYFUNCTION("GOOGLETRANSLATE(B31131,""en"",""es-ES"")"),"Después, la persona agrega la pimienta y los fideos, mezcla y sirve.")</f>
        <v>Después, la persona agrega la pimienta y los fideos, mezcla y sirve.</v>
      </c>
    </row>
    <row r="31132">
      <c r="A31132" s="4" t="s">
        <v>39210</v>
      </c>
      <c r="B31132" s="4" t="s">
        <v>39211</v>
      </c>
      <c r="C31132" s="5" t="str">
        <f>IFERROR(__xludf.DUMMYFUNCTION("GOOGLETRANSLATE(B31132,""en"",""es-ES"")"),"Se ve a una mujer doblando sobre una mesa con un tatuaje artista frotándola por detrás y agarrando una aguja de tatuaje.")</f>
        <v>Se ve a una mujer doblando sobre una mesa con un tatuaje artista frotándola por detrás y agarrando una aguja de tatuaje.</v>
      </c>
    </row>
    <row r="31133">
      <c r="A31133" s="4" t="s">
        <v>39210</v>
      </c>
      <c r="B31133" s="4" t="s">
        <v>39212</v>
      </c>
      <c r="C31133" s="5" t="str">
        <f>IFERROR(__xludf.DUMMYFUNCTION("GOOGLETRANSLATE(B31133,""en"",""es-ES"")"),"La mujer luego comienza a tatuar la parte posterior de la mujer mientras la cámara se desplaza desde varios ángulos.")</f>
        <v>La mujer luego comienza a tatuar la parte posterior de la mujer mientras la cámara se desplaza desde varios ángulos.</v>
      </c>
    </row>
    <row r="31134">
      <c r="A31134" s="4" t="s">
        <v>39213</v>
      </c>
      <c r="B31134" s="4" t="s">
        <v>39214</v>
      </c>
      <c r="C31134" s="5" t="str">
        <f>IFERROR(__xludf.DUMMYFUNCTION("GOOGLETRANSLATE(B31134,""en"",""es-ES"")"),"Una vista de un soplador de hojas se encuentra en el suelo en un patio.")</f>
        <v>Una vista de un soplador de hojas se encuentra en el suelo en un patio.</v>
      </c>
    </row>
    <row r="31135">
      <c r="A31135" s="4" t="s">
        <v>39213</v>
      </c>
      <c r="B31135" s="4" t="s">
        <v>39215</v>
      </c>
      <c r="C31135" s="5" t="str">
        <f>IFERROR(__xludf.DUMMYFUNCTION("GOOGLETRANSLATE(B31135,""en"",""es-ES"")"),"El soplador de la hoja sopla hojas secas marrones con el soplador de la hoja.")</f>
        <v>El soplador de la hoja sopla hojas secas marrones con el soplador de la hoja.</v>
      </c>
    </row>
    <row r="31136">
      <c r="A31136" s="4" t="s">
        <v>39213</v>
      </c>
      <c r="B31136" s="4" t="s">
        <v>39216</v>
      </c>
      <c r="C31136" s="5" t="str">
        <f>IFERROR(__xludf.DUMMYFUNCTION("GOOGLETRANSLATE(B31136,""en"",""es-ES"")"),"Las hojas se alejan de algunos muebles de césped y se volan hacia la mitad del patio.")</f>
        <v>Las hojas se alejan de algunos muebles de césped y se volan hacia la mitad del patio.</v>
      </c>
    </row>
    <row r="31137">
      <c r="A31137" s="4" t="s">
        <v>39217</v>
      </c>
      <c r="B31137" s="4" t="s">
        <v>39218</v>
      </c>
      <c r="C31137" s="5" t="str">
        <f>IFERROR(__xludf.DUMMYFUNCTION("GOOGLETRANSLATE(B31137,""en"",""es-ES"")"),"Se dibuja un artículo negro grande en una larga hoja de papel blanco.")</f>
        <v>Se dibuja un artículo negro grande en una larga hoja de papel blanco.</v>
      </c>
    </row>
    <row r="31138">
      <c r="A31138" s="4" t="s">
        <v>39217</v>
      </c>
      <c r="B31138" s="4" t="s">
        <v>39219</v>
      </c>
      <c r="C31138" s="5" t="str">
        <f>IFERROR(__xludf.DUMMYFUNCTION("GOOGLETRANSLATE(B31138,""en"",""es-ES"")"),"Una persona usa un cepillo para continuar la pintura.")</f>
        <v>Una persona usa un cepillo para continuar la pintura.</v>
      </c>
    </row>
    <row r="31139">
      <c r="A31139" s="4" t="s">
        <v>39217</v>
      </c>
      <c r="B31139" s="4" t="s">
        <v>39220</v>
      </c>
      <c r="C31139" s="5" t="str">
        <f>IFERROR(__xludf.DUMMYFUNCTION("GOOGLETRANSLATE(B31139,""en"",""es-ES"")"),"Agregan hojas, creando una planta negra.")</f>
        <v>Agregan hojas, creando una planta negra.</v>
      </c>
    </row>
    <row r="31140">
      <c r="A31140" s="4" t="s">
        <v>39221</v>
      </c>
      <c r="B31140" s="4" t="s">
        <v>39222</v>
      </c>
      <c r="C31140" s="5" t="str">
        <f>IFERROR(__xludf.DUMMYFUNCTION("GOOGLETRANSLATE(B31140,""en"",""es-ES"")"),"Se ve a un joven sosteniendo el ojo abierto frente a un espejo e intentando poner una lente de contacto.")</f>
        <v>Se ve a un joven sosteniendo el ojo abierto frente a un espejo e intentando poner una lente de contacto.</v>
      </c>
    </row>
    <row r="31141">
      <c r="A31141" s="4" t="s">
        <v>39221</v>
      </c>
      <c r="B31141" s="4" t="s">
        <v>39223</v>
      </c>
      <c r="C31141" s="5" t="str">
        <f>IFERROR(__xludf.DUMMYFUNCTION("GOOGLETRANSLATE(B31141,""en"",""es-ES"")"),"Deja caer la lente en el fregadero y nuevamente trata de poner el contacto en su ojo.")</f>
        <v>Deja caer la lente en el fregadero y nuevamente trata de poner el contacto en su ojo.</v>
      </c>
    </row>
    <row r="31142">
      <c r="A31142" s="4" t="s">
        <v>39221</v>
      </c>
      <c r="B31142" s="4" t="s">
        <v>39224</v>
      </c>
      <c r="C31142" s="5" t="str">
        <f>IFERROR(__xludf.DUMMYFUNCTION("GOOGLETRANSLATE(B31142,""en"",""es-ES"")"),"Deja caer la lente nuevamente y continúa tratando de ponerlo en su ojo y la cámara se mueve al final.")</f>
        <v>Deja caer la lente nuevamente y continúa tratando de ponerlo en su ojo y la cámara se mueve al final.</v>
      </c>
    </row>
    <row r="31143">
      <c r="A31143" s="4" t="s">
        <v>39225</v>
      </c>
      <c r="B31143" s="4" t="s">
        <v>39226</v>
      </c>
      <c r="C31143" s="5" t="str">
        <f>IFERROR(__xludf.DUMMYFUNCTION("GOOGLETRANSLATE(B31143,""en"",""es-ES"")"),"El video es un tutorial sobre cómo hacer pasta de salsa Alfredo.")</f>
        <v>El video es un tutorial sobre cómo hacer pasta de salsa Alfredo.</v>
      </c>
    </row>
    <row r="31144">
      <c r="A31144" s="4" t="s">
        <v>39225</v>
      </c>
      <c r="B31144" s="4" t="s">
        <v>39227</v>
      </c>
      <c r="C31144" s="5" t="str">
        <f>IFERROR(__xludf.DUMMYFUNCTION("GOOGLETRANSLATE(B31144,""en"",""es-ES"")"),"Una dama con cabello rubio con una camiseta sin mangas marrón está demostrando cómo hervir agua para hacer pasta de corbata.")</f>
        <v>Una dama con cabello rubio con una camiseta sin mangas marrón está demostrando cómo hervir agua para hacer pasta de corbata.</v>
      </c>
    </row>
    <row r="31145">
      <c r="A31145" s="4" t="s">
        <v>39225</v>
      </c>
      <c r="B31145" s="4" t="s">
        <v>39228</v>
      </c>
      <c r="C31145" s="5" t="str">
        <f>IFERROR(__xludf.DUMMYFUNCTION("GOOGLETRANSLATE(B31145,""en"",""es-ES"")"),"Luego se detiene la pasta en un tazón tirando el exceso de agua.")</f>
        <v>Luego se detiene la pasta en un tazón tirando el exceso de agua.</v>
      </c>
    </row>
    <row r="31146">
      <c r="A31146" s="4" t="s">
        <v>39225</v>
      </c>
      <c r="B31146" s="4" t="s">
        <v>39229</v>
      </c>
      <c r="C31146" s="5" t="str">
        <f>IFERROR(__xludf.DUMMYFUNCTION("GOOGLETRANSLATE(B31146,""en"",""es-ES"")"),"Luego toma un palo de mantequilla y lo corta y se suma a una cacerola.")</f>
        <v>Luego toma un palo de mantequilla y lo corta y se suma a una cacerola.</v>
      </c>
    </row>
    <row r="31147">
      <c r="A31147" s="4" t="s">
        <v>39225</v>
      </c>
      <c r="B31147" s="4" t="s">
        <v>39230</v>
      </c>
      <c r="C31147" s="5" t="str">
        <f>IFERROR(__xludf.DUMMYFUNCTION("GOOGLETRANSLATE(B31147,""en"",""es-ES"")"),"Luego le agrega un poco de leche y queso y lo abarca con la pasta cocida.")</f>
        <v>Luego le agrega un poco de leche y queso y lo abarca con la pasta cocida.</v>
      </c>
    </row>
    <row r="31148">
      <c r="A31148" s="4" t="s">
        <v>39225</v>
      </c>
      <c r="B31148" s="4" t="s">
        <v>39231</v>
      </c>
      <c r="C31148" s="5" t="str">
        <f>IFERROR(__xludf.DUMMYFUNCTION("GOOGLETRANSLATE(B31148,""en"",""es-ES"")"),"Agrega un poco más de leche y queso a la pasta para hacer la salsa.")</f>
        <v>Agrega un poco más de leche y queso a la pasta para hacer la salsa.</v>
      </c>
    </row>
    <row r="31149">
      <c r="A31149" s="4" t="s">
        <v>39225</v>
      </c>
      <c r="B31149" s="4" t="s">
        <v>39232</v>
      </c>
      <c r="C31149" s="5" t="str">
        <f>IFERROR(__xludf.DUMMYFUNCTION("GOOGLETRANSLATE(B31149,""en"",""es-ES"")"),"Ella continúa revolviendo la pasta en la cacerola.")</f>
        <v>Ella continúa revolviendo la pasta en la cacerola.</v>
      </c>
    </row>
    <row r="31150">
      <c r="A31150" s="4" t="s">
        <v>39225</v>
      </c>
      <c r="B31150" s="4" t="s">
        <v>39233</v>
      </c>
      <c r="C31150" s="5" t="str">
        <f>IFERROR(__xludf.DUMMYFUNCTION("GOOGLETRANSLATE(B31150,""en"",""es-ES"")"),"Ella sirve la pasta en un plato marrón cuadrado y toma una cucharada de la pasta para probarla.")</f>
        <v>Ella sirve la pasta en un plato marrón cuadrado y toma una cucharada de la pasta para probarla.</v>
      </c>
    </row>
    <row r="31151">
      <c r="A31151" s="4" t="s">
        <v>39225</v>
      </c>
      <c r="B31151" s="4" t="s">
        <v>39234</v>
      </c>
      <c r="C31151" s="5" t="str">
        <f>IFERROR(__xludf.DUMMYFUNCTION("GOOGLETRANSLATE(B31151,""en"",""es-ES"")"),"Ella está contenta con la forma en que resultó.")</f>
        <v>Ella está contenta con la forma en que resultó.</v>
      </c>
    </row>
    <row r="31152">
      <c r="A31152" s="4" t="s">
        <v>39235</v>
      </c>
      <c r="B31152" s="4" t="s">
        <v>39236</v>
      </c>
      <c r="C31152" s="5" t="str">
        <f>IFERROR(__xludf.DUMMYFUNCTION("GOOGLETRANSLATE(B31152,""en"",""es-ES"")"),"Una mujer que lleva un vestido está bailando en un escenario.")</f>
        <v>Una mujer que lleva un vestido está bailando en un escenario.</v>
      </c>
    </row>
    <row r="31153">
      <c r="A31153" s="4" t="s">
        <v>39235</v>
      </c>
      <c r="B31153" s="4" t="s">
        <v>39237</v>
      </c>
      <c r="C31153" s="5" t="str">
        <f>IFERROR(__xludf.DUMMYFUNCTION("GOOGLETRANSLATE(B31153,""en"",""es-ES"")"),"Se bombea humo al escenario detrás de ella.")</f>
        <v>Se bombea humo al escenario detrás de ella.</v>
      </c>
    </row>
    <row r="31154">
      <c r="A31154" s="4" t="s">
        <v>39235</v>
      </c>
      <c r="B31154" s="4" t="s">
        <v>39238</v>
      </c>
      <c r="C31154" s="5" t="str">
        <f>IFERROR(__xludf.DUMMYFUNCTION("GOOGLETRANSLATE(B31154,""en"",""es-ES"")"),"Ella se inclina al final y retrocede.")</f>
        <v>Ella se inclina al final y retrocede.</v>
      </c>
    </row>
    <row r="31155">
      <c r="A31155" s="4" t="s">
        <v>39239</v>
      </c>
      <c r="B31155" s="4" t="s">
        <v>39240</v>
      </c>
      <c r="C31155" s="5" t="str">
        <f>IFERROR(__xludf.DUMMYFUNCTION("GOOGLETRANSLATE(B31155,""en"",""es-ES"")"),"Un hombre que lleva un abrigo negro está cortando un trozo de madera con un hacha.")</f>
        <v>Un hombre que lleva un abrigo negro está cortando un trozo de madera con un hacha.</v>
      </c>
    </row>
    <row r="31156">
      <c r="A31156" s="4" t="s">
        <v>39239</v>
      </c>
      <c r="B31156" s="4" t="s">
        <v>39241</v>
      </c>
      <c r="C31156" s="5" t="str">
        <f>IFERROR(__xludf.DUMMYFUNCTION("GOOGLETRANSLATE(B31156,""en"",""es-ES"")"),"Él lo intenta de nuevo y lo vuelve a ver.")</f>
        <v>Él lo intenta de nuevo y lo vuelve a ver.</v>
      </c>
    </row>
    <row r="31157">
      <c r="A31157" s="4" t="s">
        <v>39239</v>
      </c>
      <c r="B31157" s="4" t="s">
        <v>39242</v>
      </c>
      <c r="C31157" s="5" t="str">
        <f>IFERROR(__xludf.DUMMYFUNCTION("GOOGLETRANSLATE(B31157,""en"",""es-ES"")"),"Mueve el tocón e intenta volver a cortarlo.")</f>
        <v>Mueve el tocón e intenta volver a cortarlo.</v>
      </c>
    </row>
    <row r="31158">
      <c r="A31158" s="4" t="s">
        <v>39239</v>
      </c>
      <c r="B31158" s="4" t="s">
        <v>39243</v>
      </c>
      <c r="C31158" s="5" t="str">
        <f>IFERROR(__xludf.DUMMYFUNCTION("GOOGLETRANSLATE(B31158,""en"",""es-ES"")"),"Él continúa cortando la madera.")</f>
        <v>Él continúa cortando la madera.</v>
      </c>
    </row>
    <row r="31159">
      <c r="A31159" s="4" t="s">
        <v>39244</v>
      </c>
      <c r="B31159" s="4" t="s">
        <v>39245</v>
      </c>
      <c r="C31159" s="5" t="str">
        <f>IFERROR(__xludf.DUMMYFUNCTION("GOOGLETRANSLATE(B31159,""en"",""es-ES"")"),"Los nadadores están nadando hacia un lado de la piscina y luego se detienen brevemente.")</f>
        <v>Los nadadores están nadando hacia un lado de la piscina y luego se detienen brevemente.</v>
      </c>
    </row>
    <row r="31160">
      <c r="A31160" s="4" t="s">
        <v>39244</v>
      </c>
      <c r="B31160" s="4" t="s">
        <v>39246</v>
      </c>
      <c r="C31160" s="5" t="str">
        <f>IFERROR(__xludf.DUMMYFUNCTION("GOOGLETRANSLATE(B31160,""en"",""es-ES"")"),"Algunos nadadores en las líneas laterales los están mirando.")</f>
        <v>Algunos nadadores en las líneas laterales los están mirando.</v>
      </c>
    </row>
    <row r="31161">
      <c r="A31161" s="4" t="s">
        <v>39244</v>
      </c>
      <c r="B31161" s="4" t="s">
        <v>39247</v>
      </c>
      <c r="C31161" s="5" t="str">
        <f>IFERROR(__xludf.DUMMYFUNCTION("GOOGLETRANSLATE(B31161,""en"",""es-ES"")"),"Comienzan a lanzar una pelota de un lado a otro.")</f>
        <v>Comienzan a lanzar una pelota de un lado a otro.</v>
      </c>
    </row>
    <row r="31162">
      <c r="A31162" s="4" t="s">
        <v>39244</v>
      </c>
      <c r="B31162" s="4" t="s">
        <v>39248</v>
      </c>
      <c r="C31162" s="5" t="str">
        <f>IFERROR(__xludf.DUMMYFUNCTION("GOOGLETRANSLATE(B31162,""en"",""es-ES"")"),"Un hombre en la esquina de la piscina intenta atrapar la pelota y perderla.")</f>
        <v>Un hombre en la esquina de la piscina intenta atrapar la pelota y perderla.</v>
      </c>
    </row>
    <row r="31163">
      <c r="A31163" s="4" t="s">
        <v>39249</v>
      </c>
      <c r="B31163" s="4" t="s">
        <v>39250</v>
      </c>
      <c r="C31163" s="5" t="str">
        <f>IFERROR(__xludf.DUMMYFUNCTION("GOOGLETRANSLATE(B31163,""en"",""es-ES"")"),"Una mujer habla, frente a la cámara mientras sostiene dos pesas y luego demuestra un ejercicio de ciclo de giro frente a una clase en un gimnasio.")</f>
        <v>Una mujer habla, frente a la cámara mientras sostiene dos pesas y luego demuestra un ejercicio de ciclo de giro frente a una clase en un gimnasio.</v>
      </c>
    </row>
    <row r="31164">
      <c r="A31164" s="4" t="s">
        <v>39249</v>
      </c>
      <c r="B31164" s="4" t="s">
        <v>39251</v>
      </c>
      <c r="C31164" s="5" t="str">
        <f>IFERROR(__xludf.DUMMYFUNCTION("GOOGLETRANSLATE(B31164,""en"",""es-ES"")"),"Una mujer se para y habla mientras mira a la cámara, en un gimnasio, con una pared de espejos a un lado y varias personas detrás de ella paradas cerca de varias piezas de equipo de gimnasio.")</f>
        <v>Una mujer se para y habla mientras mira a la cámara, en un gimnasio, con una pared de espejos a un lado y varias personas detrás de ella paradas cerca de varias piezas de equipo de gimnasio.</v>
      </c>
    </row>
    <row r="31165">
      <c r="A31165" s="4" t="s">
        <v>39249</v>
      </c>
      <c r="B31165" s="4" t="s">
        <v>39252</v>
      </c>
      <c r="C31165" s="5" t="str">
        <f>IFERROR(__xludf.DUMMYFUNCTION("GOOGLETRANSLATE(B31165,""en"",""es-ES"")"),"La mujer, que ahora usa un auricular con un micrófono unido a la boquilla, comienza a andar en bicicleta muy rápido en una máquina de ciclo de giro frente a un espejo con una clase de personas detrás de ella que también están en máquinas de ciclo de espín"&amp;".")</f>
        <v>La mujer, que ahora usa un auricular con un micrófono unido a la boquilla, comienza a andar en bicicleta muy rápido en una máquina de ciclo de giro frente a un espejo con una clase de personas detrás de ella que también están en máquinas de ciclo de espín.</v>
      </c>
    </row>
    <row r="31166">
      <c r="A31166" s="4" t="s">
        <v>39249</v>
      </c>
      <c r="B31166" s="4" t="s">
        <v>39253</v>
      </c>
      <c r="C31166" s="5" t="str">
        <f>IFERROR(__xludf.DUMMYFUNCTION("GOOGLETRANSLATE(B31166,""en"",""es-ES"")"),"Luego, la mujer levanta las pesas con los brazos mientras está de pie, levanta las pesas mientras está sentada en el piso y luego regresa a la máquina del ciclo de giro antes de que la escena se desvanezca a las negras.")</f>
        <v>Luego, la mujer levanta las pesas con los brazos mientras está de pie, levanta las pesas mientras está sentada en el piso y luego regresa a la máquina del ciclo de giro antes de que la escena se desvanezca a las negras.</v>
      </c>
    </row>
    <row r="31167">
      <c r="A31167" s="4" t="s">
        <v>39254</v>
      </c>
      <c r="B31167" s="4" t="s">
        <v>39255</v>
      </c>
      <c r="C31167" s="5" t="str">
        <f>IFERROR(__xludf.DUMMYFUNCTION("GOOGLETRANSLATE(B31167,""en"",""es-ES"")"),"Cuatro hombres están afuera en un campo lanzándose una pelota de béisbol.")</f>
        <v>Cuatro hombres están afuera en un campo lanzándose una pelota de béisbol.</v>
      </c>
    </row>
    <row r="31168">
      <c r="A31168" s="4" t="s">
        <v>39254</v>
      </c>
      <c r="B31168" s="4" t="s">
        <v>39256</v>
      </c>
      <c r="C31168" s="5" t="str">
        <f>IFERROR(__xludf.DUMMYFUNCTION("GOOGLETRANSLATE(B31168,""en"",""es-ES"")"),"Una pelota luego rueda en un estanque y un niño la agarra y la arroja.")</f>
        <v>Una pelota luego rueda en un estanque y un niño la agarra y la arroja.</v>
      </c>
    </row>
    <row r="31169">
      <c r="A31169" s="4" t="s">
        <v>39254</v>
      </c>
      <c r="B31169" s="4" t="s">
        <v>39257</v>
      </c>
      <c r="C31169" s="5" t="str">
        <f>IFERROR(__xludf.DUMMYFUNCTION("GOOGLETRANSLATE(B31169,""en"",""es-ES"")"),"La escena se mueve a un patio de recreo y los muchachos comienzan a bajar por el tobogán.")</f>
        <v>La escena se mueve a un patio de recreo y los muchachos comienzan a bajar por el tobogán.</v>
      </c>
    </row>
    <row r="31170">
      <c r="A31170" s="4" t="s">
        <v>39254</v>
      </c>
      <c r="B31170" s="4" t="s">
        <v>39258</v>
      </c>
      <c r="C31170" s="5" t="str">
        <f>IFERROR(__xludf.DUMMYFUNCTION("GOOGLETRANSLATE(B31170,""en"",""es-ES"")"),"Se muestran más niños y están haciendo diversas actividades mientras juegan, como la sierra ver, bares de mono y columpios.")</f>
        <v>Se muestran más niños y están haciendo diversas actividades mientras juegan, como la sierra ver, bares de mono y columpios.</v>
      </c>
    </row>
    <row r="31171">
      <c r="A31171" s="4" t="s">
        <v>39254</v>
      </c>
      <c r="B31171" s="4" t="s">
        <v>39259</v>
      </c>
      <c r="C31171" s="5" t="str">
        <f>IFERROR(__xludf.DUMMYFUNCTION("GOOGLETRANSLATE(B31171,""en"",""es-ES"")"),"En el costado, un niño comienza a bombear su neumático y se muestra a un bebé pequeño bañándose en una cuenca.")</f>
        <v>En el costado, un niño comienza a bombear su neumático y se muestra a un bebé pequeño bañándose en una cuenca.</v>
      </c>
    </row>
    <row r="31172">
      <c r="A31172" s="4" t="s">
        <v>39260</v>
      </c>
      <c r="B31172" s="4" t="s">
        <v>39261</v>
      </c>
      <c r="C31172" s="5" t="str">
        <f>IFERROR(__xludf.DUMMYFUNCTION("GOOGLETRANSLATE(B31172,""en"",""es-ES"")"),"Un instructor de ejercicios está explicando el paso.")</f>
        <v>Un instructor de ejercicios está explicando el paso.</v>
      </c>
    </row>
    <row r="31173">
      <c r="A31173" s="4" t="s">
        <v>39260</v>
      </c>
      <c r="B31173" s="4" t="s">
        <v>39262</v>
      </c>
      <c r="C31173" s="5" t="str">
        <f>IFERROR(__xludf.DUMMYFUNCTION("GOOGLETRANSLATE(B31173,""en"",""es-ES"")"),"Ella lo pisa y comienza a mostrar los ejercicios.")</f>
        <v>Ella lo pisa y comienza a mostrar los ejercicios.</v>
      </c>
    </row>
    <row r="31174">
      <c r="A31174" s="4" t="s">
        <v>39260</v>
      </c>
      <c r="B31174" s="4" t="s">
        <v>39263</v>
      </c>
      <c r="C31174" s="5" t="str">
        <f>IFERROR(__xludf.DUMMYFUNCTION("GOOGLETRANSLATE(B31174,""en"",""es-ES"")"),"Ella va frente a él y muestra más ejercicios, bajando y bajando y levantando los brazos mientras pasa.")</f>
        <v>Ella va frente a él y muestra más ejercicios, bajando y bajando y levantando los brazos mientras pasa.</v>
      </c>
    </row>
    <row r="31175">
      <c r="A31175" s="4" t="s">
        <v>39260</v>
      </c>
      <c r="B31175" s="4" t="s">
        <v>39264</v>
      </c>
      <c r="C31175" s="5" t="str">
        <f>IFERROR(__xludf.DUMMYFUNCTION("GOOGLETRANSLATE(B31175,""en"",""es-ES"")"),"Ella se detiene y explica más.")</f>
        <v>Ella se detiene y explica más.</v>
      </c>
    </row>
    <row r="31176">
      <c r="A31176" s="4" t="s">
        <v>39260</v>
      </c>
      <c r="B31176" s="4" t="s">
        <v>39265</v>
      </c>
      <c r="C31176" s="5" t="str">
        <f>IFERROR(__xludf.DUMMYFUNCTION("GOOGLETRANSLATE(B31176,""en"",""es-ES"")"),"Ella vuelve al paso y comienza más pasos de avances.")</f>
        <v>Ella vuelve al paso y comienza más pasos de avances.</v>
      </c>
    </row>
    <row r="31177">
      <c r="A31177" s="4" t="s">
        <v>39260</v>
      </c>
      <c r="B31177" s="4" t="s">
        <v>39266</v>
      </c>
      <c r="C31177" s="5" t="str">
        <f>IFERROR(__xludf.DUMMYFUNCTION("GOOGLETRANSLATE(B31177,""en"",""es-ES"")"),"Ella se detiene por el momento y muestra el paso rápido nuevamente.")</f>
        <v>Ella se detiene por el momento y muestra el paso rápido nuevamente.</v>
      </c>
    </row>
    <row r="31178">
      <c r="A31178" s="4" t="s">
        <v>39267</v>
      </c>
      <c r="B31178" s="4" t="s">
        <v>39268</v>
      </c>
      <c r="C31178" s="5" t="str">
        <f>IFERROR(__xludf.DUMMYFUNCTION("GOOGLETRANSLATE(B31178,""en"",""es-ES"")"),"Dos hombres tocan una canción en una guitarra juntos en una habitación con poca luz.")</f>
        <v>Dos hombres tocan una canción en una guitarra juntos en una habitación con poca luz.</v>
      </c>
    </row>
    <row r="31179">
      <c r="A31179" s="4" t="s">
        <v>39267</v>
      </c>
      <c r="B31179" s="4" t="s">
        <v>39269</v>
      </c>
      <c r="C31179" s="5" t="str">
        <f>IFERROR(__xludf.DUMMYFUNCTION("GOOGLETRANSLATE(B31179,""en"",""es-ES"")"),"Unos para tocar la guitarra acústica.")</f>
        <v>Unos para tocar la guitarra acústica.</v>
      </c>
    </row>
    <row r="31180">
      <c r="A31180" s="4" t="s">
        <v>39270</v>
      </c>
      <c r="B31180" s="4" t="s">
        <v>39271</v>
      </c>
      <c r="C31180" s="5" t="str">
        <f>IFERROR(__xludf.DUMMYFUNCTION("GOOGLETRANSLATE(B31180,""en"",""es-ES"")"),"En un modo acelerado, un hombre mayor camina hacia la parte delantera de una casa y toma un arado de nieve azul.")</f>
        <v>En un modo acelerado, un hombre mayor camina hacia la parte delantera de una casa y toma un arado de nieve azul.</v>
      </c>
    </row>
    <row r="31181">
      <c r="A31181" s="4" t="s">
        <v>39270</v>
      </c>
      <c r="B31181" s="4" t="s">
        <v>39272</v>
      </c>
      <c r="C31181" s="5" t="str">
        <f>IFERROR(__xludf.DUMMYFUNCTION("GOOGLETRANSLATE(B31181,""en"",""es-ES"")"),"Continuando en el modo acelerado, el hombre comienza a arar la nieve para hacer un camino.")</f>
        <v>Continuando en el modo acelerado, el hombre comienza a arar la nieve para hacer un camino.</v>
      </c>
    </row>
    <row r="31182">
      <c r="A31182" s="4" t="s">
        <v>39270</v>
      </c>
      <c r="B31182" s="4" t="s">
        <v>39273</v>
      </c>
      <c r="C31182" s="5" t="str">
        <f>IFERROR(__xludf.DUMMYFUNCTION("GOOGLETRANSLATE(B31182,""en"",""es-ES"")"),"Luego, el hombre mueve la vista de la cámara y arranca la nieve en un área diferente que está cercada.")</f>
        <v>Luego, el hombre mueve la vista de la cámara y arranca la nieve en un área diferente que está cercada.</v>
      </c>
    </row>
    <row r="31183">
      <c r="A31183" s="4" t="s">
        <v>39270</v>
      </c>
      <c r="B31183" s="4" t="s">
        <v>39274</v>
      </c>
      <c r="C31183" s="5" t="str">
        <f>IFERROR(__xludf.DUMMYFUNCTION("GOOGLETRANSLATE(B31183,""en"",""es-ES"")"),"El hombre agarra la cámara, señala el arado y luego se desplaza a las diferentes áreas del patio.")</f>
        <v>El hombre agarra la cámara, señala el arado y luego se desplaza a las diferentes áreas del patio.</v>
      </c>
    </row>
    <row r="31184">
      <c r="A31184" s="4" t="s">
        <v>39270</v>
      </c>
      <c r="B31184" s="4" t="s">
        <v>39275</v>
      </c>
      <c r="C31184" s="5" t="str">
        <f>IFERROR(__xludf.DUMMYFUNCTION("GOOGLETRANSLATE(B31184,""en"",""es-ES"")"),"El hombre luego va en interiores para mostrar un taller desordenado y desordenado lleno de herramientas y suministros.")</f>
        <v>El hombre luego va en interiores para mostrar un taller desordenado y desordenado lleno de herramientas y suministros.</v>
      </c>
    </row>
    <row r="31185">
      <c r="A31185" s="4" t="s">
        <v>39270</v>
      </c>
      <c r="B31185" s="4" t="s">
        <v>39276</v>
      </c>
      <c r="C31185" s="5" t="str">
        <f>IFERROR(__xludf.DUMMYFUNCTION("GOOGLETRANSLATE(B31185,""en"",""es-ES"")"),"El hombre regresa, muestra a su perro y camina alrededor de su patio, baja a su perro y el perro corre de regreso al taller y empuja la puerta.")</f>
        <v>El hombre regresa, muestra a su perro y camina alrededor de su patio, baja a su perro y el perro corre de regreso al taller y empuja la puerta.</v>
      </c>
    </row>
    <row r="31186">
      <c r="A31186" s="4" t="s">
        <v>39277</v>
      </c>
      <c r="B31186" s="4" t="s">
        <v>573</v>
      </c>
      <c r="C31186" s="5" t="str">
        <f>IFERROR(__xludf.DUMMYFUNCTION("GOOGLETRANSLATE(B31186,""en"",""es-ES"")"),"Se muestran los créditos del video.")</f>
        <v>Se muestran los créditos del video.</v>
      </c>
    </row>
    <row r="31187">
      <c r="A31187" s="4" t="s">
        <v>39277</v>
      </c>
      <c r="B31187" s="4" t="s">
        <v>39278</v>
      </c>
      <c r="C31187" s="5" t="str">
        <f>IFERROR(__xludf.DUMMYFUNCTION("GOOGLETRANSLATE(B31187,""en"",""es-ES"")"),"Una dama se sienta, habla y bebe café.")</f>
        <v>Una dama se sienta, habla y bebe café.</v>
      </c>
    </row>
    <row r="31188">
      <c r="A31188" s="4" t="s">
        <v>39277</v>
      </c>
      <c r="B31188" s="4" t="s">
        <v>39279</v>
      </c>
      <c r="C31188" s="5" t="str">
        <f>IFERROR(__xludf.DUMMYFUNCTION("GOOGLETRANSLATE(B31188,""en"",""es-ES"")"),"Se muestran créditos del clip.")</f>
        <v>Se muestran créditos del clip.</v>
      </c>
    </row>
    <row r="31189">
      <c r="A31189" s="4" t="s">
        <v>39280</v>
      </c>
      <c r="B31189" s="4" t="s">
        <v>39281</v>
      </c>
      <c r="C31189" s="5" t="str">
        <f>IFERROR(__xludf.DUMMYFUNCTION("GOOGLETRANSLATE(B31189,""en"",""es-ES"")"),"Un anciano pone sal a agua de bolos en una olla, luego agrega pasta y deja cocinar por un minuto.")</f>
        <v>Un anciano pone sal a agua de bolos en una olla, luego agrega pasta y deja cocinar por un minuto.</v>
      </c>
    </row>
    <row r="31190">
      <c r="A31190" s="4" t="s">
        <v>39280</v>
      </c>
      <c r="B31190" s="4" t="s">
        <v>39282</v>
      </c>
      <c r="C31190" s="5" t="str">
        <f>IFERROR(__xludf.DUMMYFUNCTION("GOOGLETRANSLATE(B31190,""en"",""es-ES"")"),"Luego, el hombre apaga la estufa y pone una tela y una tapa y la deja durante 10 minutos.")</f>
        <v>Luego, el hombre apaga la estufa y pone una tela y una tapa y la deja durante 10 minutos.</v>
      </c>
    </row>
    <row r="31191">
      <c r="A31191" s="4" t="s">
        <v>39280</v>
      </c>
      <c r="B31191" s="4" t="s">
        <v>39283</v>
      </c>
      <c r="C31191" s="5" t="str">
        <f>IFERROR(__xludf.DUMMYFUNCTION("GOOGLETRANSLATE(B31191,""en"",""es-ES"")"),"Después, el hombre drena la pasta en el fregadero.")</f>
        <v>Después, el hombre drena la pasta en el fregadero.</v>
      </c>
    </row>
    <row r="31192">
      <c r="A31192" s="4" t="s">
        <v>39280</v>
      </c>
      <c r="B31192" s="4" t="s">
        <v>39284</v>
      </c>
      <c r="C31192" s="5" t="str">
        <f>IFERROR(__xludf.DUMMYFUNCTION("GOOGLETRANSLATE(B31192,""en"",""es-ES"")"),"Una mujer viene y prueba la pasta cocinada y le da un golpe.")</f>
        <v>Una mujer viene y prueba la pasta cocinada y le da un golpe.</v>
      </c>
    </row>
    <row r="31193">
      <c r="A31193" s="4" t="s">
        <v>39285</v>
      </c>
      <c r="B31193" s="4" t="s">
        <v>39286</v>
      </c>
      <c r="C31193" s="5" t="str">
        <f>IFERROR(__xludf.DUMMYFUNCTION("GOOGLETRANSLATE(B31193,""en"",""es-ES"")"),"Se ve a un hombre sentado en un tubo que habla y conduce a personas que caminan por llevar tubos.")</f>
        <v>Se ve a un hombre sentado en un tubo que habla y conduce a personas que caminan por llevar tubos.</v>
      </c>
    </row>
    <row r="31194">
      <c r="A31194" s="4" t="s">
        <v>39285</v>
      </c>
      <c r="B31194" s="4" t="s">
        <v>39287</v>
      </c>
      <c r="C31194" s="5" t="str">
        <f>IFERROR(__xludf.DUMMYFUNCTION("GOOGLETRANSLATE(B31194,""en"",""es-ES"")"),"Las tomas del agua se muestran seguidas de personas que montan por un río en los tubos.")</f>
        <v>Las tomas del agua se muestran seguidas de personas que montan por un río en los tubos.</v>
      </c>
    </row>
    <row r="31195">
      <c r="A31195" s="4" t="s">
        <v>39285</v>
      </c>
      <c r="B31195" s="4" t="s">
        <v>39288</v>
      </c>
      <c r="C31195" s="5" t="str">
        <f>IFERROR(__xludf.DUMMYFUNCTION("GOOGLETRANSLATE(B31195,""en"",""es-ES"")"),"La gente continúa bajando uno tras otro mientras la gente mira a un lado.")</f>
        <v>La gente continúa bajando uno tras otro mientras la gente mira a un lado.</v>
      </c>
    </row>
    <row r="31196">
      <c r="A31196" s="4" t="s">
        <v>39289</v>
      </c>
      <c r="B31196" s="4" t="s">
        <v>39290</v>
      </c>
      <c r="C31196" s="5" t="str">
        <f>IFERROR(__xludf.DUMMYFUNCTION("GOOGLETRANSLATE(B31196,""en"",""es-ES"")"),"Una niña golpea una piñata con un bate de juguete naranja.")</f>
        <v>Una niña golpea una piñata con un bate de juguete naranja.</v>
      </c>
    </row>
    <row r="31197">
      <c r="A31197" s="4" t="s">
        <v>39289</v>
      </c>
      <c r="B31197" s="4" t="s">
        <v>39291</v>
      </c>
      <c r="C31197" s="5" t="str">
        <f>IFERROR(__xludf.DUMMYFUNCTION("GOOGLETRANSLATE(B31197,""en"",""es-ES"")"),"El murciélago cae y la niña lo recoge.")</f>
        <v>El murciélago cae y la niña lo recoge.</v>
      </c>
    </row>
    <row r="31198">
      <c r="A31198" s="4" t="s">
        <v>39289</v>
      </c>
      <c r="B31198" s="4" t="s">
        <v>39292</v>
      </c>
      <c r="C31198" s="5" t="str">
        <f>IFERROR(__xludf.DUMMYFUNCTION("GOOGLETRANSLATE(B31198,""en"",""es-ES"")"),"Detrás de ella, un niño demuestra cómo debería golpearla y la anima.")</f>
        <v>Detrás de ella, un niño demuestra cómo debería golpearla y la anima.</v>
      </c>
    </row>
    <row r="31199">
      <c r="A31199" s="4" t="s">
        <v>39293</v>
      </c>
      <c r="B31199" s="4" t="s">
        <v>39294</v>
      </c>
      <c r="C31199" s="5" t="str">
        <f>IFERROR(__xludf.DUMMYFUNCTION("GOOGLETRANSLATE(B31199,""en"",""es-ES"")"),"En una corte interior de los equipos de hombres están jugando fútbol mientras la audiencia se encuentra en el estadio.")</f>
        <v>En una corte interior de los equipos de hombres están jugando fútbol mientras la audiencia se encuentra en el estadio.</v>
      </c>
    </row>
    <row r="31200">
      <c r="A31200" s="4" t="s">
        <v>39293</v>
      </c>
      <c r="B31200" s="4" t="s">
        <v>39295</v>
      </c>
      <c r="C31200" s="5" t="str">
        <f>IFERROR(__xludf.DUMMYFUNCTION("GOOGLETRANSLATE(B31200,""en"",""es-ES"")"),"El equipo de Black está tratando de evitar que el otro equipo en rojo anote, el portero bloquea el puntaje.")</f>
        <v>El equipo de Black está tratando de evitar que el otro equipo en rojo anote, el portero bloquea el puntaje.</v>
      </c>
    </row>
    <row r="31201">
      <c r="A31201" s="4" t="s">
        <v>39293</v>
      </c>
      <c r="B31201" s="4" t="s">
        <v>39296</v>
      </c>
      <c r="C31201" s="5" t="str">
        <f>IFERROR(__xludf.DUMMYFUNCTION("GOOGLETRANSLATE(B31201,""en"",""es-ES"")"),"Corren por la cancha tratando de anotar y evitar que el otro anote.")</f>
        <v>Corren por la cancha tratando de anotar y evitar que el otro anote.</v>
      </c>
    </row>
    <row r="31202">
      <c r="A31202" s="4" t="s">
        <v>39293</v>
      </c>
      <c r="B31202" s="4" t="s">
        <v>39297</v>
      </c>
      <c r="C31202" s="5" t="str">
        <f>IFERROR(__xludf.DUMMYFUNCTION("GOOGLETRANSLATE(B31202,""en"",""es-ES"")"),"El equipo rojo anota y es 1-1, continúan de regreso a la cancha hasta que el juego haya terminado.")</f>
        <v>El equipo rojo anota y es 1-1, continúan de regreso a la cancha hasta que el juego haya terminado.</v>
      </c>
    </row>
    <row r="31203">
      <c r="A31203" s="4" t="s">
        <v>39298</v>
      </c>
      <c r="B31203" s="4" t="s">
        <v>39299</v>
      </c>
      <c r="C31203" s="5" t="str">
        <f>IFERROR(__xludf.DUMMYFUNCTION("GOOGLETRANSLATE(B31203,""en"",""es-ES"")"),"Una banda toca en un escenario.")</f>
        <v>Una banda toca en un escenario.</v>
      </c>
    </row>
    <row r="31204">
      <c r="A31204" s="4" t="s">
        <v>39298</v>
      </c>
      <c r="B31204" s="4" t="s">
        <v>39300</v>
      </c>
      <c r="C31204" s="5" t="str">
        <f>IFERROR(__xludf.DUMMYFUNCTION("GOOGLETRANSLATE(B31204,""en"",""es-ES"")"),"Un hombre con traje toca el saxofón en la parte delantera con gafas de sol.")</f>
        <v>Un hombre con traje toca el saxofón en la parte delantera con gafas de sol.</v>
      </c>
    </row>
    <row r="31205">
      <c r="A31205" s="4" t="s">
        <v>39301</v>
      </c>
      <c r="B31205" s="4" t="s">
        <v>39302</v>
      </c>
      <c r="C31205" s="5" t="str">
        <f>IFERROR(__xludf.DUMMYFUNCTION("GOOGLETRANSLATE(B31205,""en"",""es-ES"")"),"Se muestran varios clips de un montón de estaciones de un hombre y realizando flips seguidos por él sentado en un bote y hablando con la cámara.")</f>
        <v>Se muestran varios clips de un montón de estaciones de un hombre y realizando flips seguidos por él sentado en un bote y hablando con la cámara.</v>
      </c>
    </row>
    <row r="31206">
      <c r="A31206" s="4" t="s">
        <v>39301</v>
      </c>
      <c r="B31206" s="4" t="s">
        <v>39303</v>
      </c>
      <c r="C31206" s="5" t="str">
        <f>IFERROR(__xludf.DUMMYFUNCTION("GOOGLETRANSLATE(B31206,""en"",""es-ES"")"),"Se muestran varias tomas más de él montando y hablando, así como a una mujer rubia también despierta.")</f>
        <v>Se muestran varias tomas más de él montando y hablando, así como a una mujer rubia también despierta.</v>
      </c>
    </row>
    <row r="31207">
      <c r="A31207" s="4" t="s">
        <v>39301</v>
      </c>
      <c r="B31207" s="4" t="s">
        <v>39304</v>
      </c>
      <c r="C31207" s="5" t="str">
        <f>IFERROR(__xludf.DUMMYFUNCTION("GOOGLETRANSLATE(B31207,""en"",""es-ES"")"),"Los dos viajan juntos por el agua mientras el hombre continúa hablando con la cámara.")</f>
        <v>Los dos viajan juntos por el agua mientras el hombre continúa hablando con la cámara.</v>
      </c>
    </row>
    <row r="31208">
      <c r="A31208" s="4" t="s">
        <v>39305</v>
      </c>
      <c r="B31208" s="4" t="s">
        <v>31981</v>
      </c>
      <c r="C31208" s="5" t="str">
        <f>IFERROR(__xludf.DUMMYFUNCTION("GOOGLETRANSLATE(B31208,""en"",""es-ES"")"),"Aparece un emblema en la pantalla.")</f>
        <v>Aparece un emblema en la pantalla.</v>
      </c>
    </row>
    <row r="31209">
      <c r="A31209" s="4" t="s">
        <v>39305</v>
      </c>
      <c r="B31209" s="4" t="s">
        <v>39306</v>
      </c>
      <c r="C31209" s="5" t="str">
        <f>IFERROR(__xludf.DUMMYFUNCTION("GOOGLETRANSLATE(B31209,""en"",""es-ES"")"),"Aparece una banda, caminando por la calle y cruzando un campo mientras tocan para una multitud.")</f>
        <v>Aparece una banda, caminando por la calle y cruzando un campo mientras tocan para una multitud.</v>
      </c>
    </row>
    <row r="31210">
      <c r="A31210" s="4" t="s">
        <v>39305</v>
      </c>
      <c r="B31210" s="4" t="s">
        <v>39307</v>
      </c>
      <c r="C31210" s="5" t="str">
        <f>IFERROR(__xludf.DUMMYFUNCTION("GOOGLETRANSLATE(B31210,""en"",""es-ES"")"),"Las palabras aparecen en la pantalla hablando de celebrar el 4 de marzo con un desfile.")</f>
        <v>Las palabras aparecen en la pantalla hablando de celebrar el 4 de marzo con un desfile.</v>
      </c>
    </row>
    <row r="31211">
      <c r="A31211" s="4" t="s">
        <v>39308</v>
      </c>
      <c r="B31211" s="4" t="s">
        <v>39309</v>
      </c>
      <c r="C31211" s="5" t="str">
        <f>IFERROR(__xludf.DUMMYFUNCTION("GOOGLETRANSLATE(B31211,""en"",""es-ES"")"),"Una introducción llega a la pantalla para un video sobre una gira para una banda.")</f>
        <v>Una introducción llega a la pantalla para un video sobre una gira para una banda.</v>
      </c>
    </row>
    <row r="31212">
      <c r="A31212" s="4" t="s">
        <v>39308</v>
      </c>
      <c r="B31212" s="4" t="s">
        <v>39310</v>
      </c>
      <c r="C31212" s="5" t="str">
        <f>IFERROR(__xludf.DUMMYFUNCTION("GOOGLETRANSLATE(B31212,""en"",""es-ES"")"),"Se muestran cortes de pelo en una barbería y comentan sobre el corte de pelo.")</f>
        <v>Se muestran cortes de pelo en una barbería y comentan sobre el corte de pelo.</v>
      </c>
    </row>
    <row r="31213">
      <c r="A31213" s="4" t="s">
        <v>39308</v>
      </c>
      <c r="B31213" s="4" t="s">
        <v>39311</v>
      </c>
      <c r="C31213" s="5" t="str">
        <f>IFERROR(__xludf.DUMMYFUNCTION("GOOGLETRANSLATE(B31213,""en"",""es-ES"")"),"También se muestran en una sesión con varias personas bailando y pasando un buen rato.")</f>
        <v>También se muestran en una sesión con varias personas bailando y pasando un buen rato.</v>
      </c>
    </row>
    <row r="31214">
      <c r="A31214" s="4" t="s">
        <v>39308</v>
      </c>
      <c r="B31214" s="4" t="s">
        <v>4761</v>
      </c>
      <c r="C31214" s="5" t="str">
        <f>IFERROR(__xludf.DUMMYFUNCTION("GOOGLETRANSLATE(B31214,""en"",""es-ES"")"),"El video termina con los créditos de cierre que se muestran en la pantalla.")</f>
        <v>El video termina con los créditos de cierre que se muestran en la pantalla.</v>
      </c>
    </row>
    <row r="31215">
      <c r="A31215" s="4" t="s">
        <v>39312</v>
      </c>
      <c r="B31215" s="4" t="s">
        <v>14047</v>
      </c>
      <c r="C31215" s="5" t="str">
        <f>IFERROR(__xludf.DUMMYFUNCTION("GOOGLETRANSLATE(B31215,""en"",""es-ES"")"),"Se muestran los créditos del video.")</f>
        <v>Se muestran los créditos del video.</v>
      </c>
    </row>
    <row r="31216">
      <c r="A31216" s="4" t="s">
        <v>39312</v>
      </c>
      <c r="B31216" s="4" t="s">
        <v>39313</v>
      </c>
      <c r="C31216" s="5" t="str">
        <f>IFERROR(__xludf.DUMMYFUNCTION("GOOGLETRANSLATE(B31216,""en"",""es-ES"")"),"Un hombre raspa las hojas marrones en un césped.")</f>
        <v>Un hombre raspa las hojas marrones en un césped.</v>
      </c>
    </row>
    <row r="31217">
      <c r="A31217" s="4" t="s">
        <v>39312</v>
      </c>
      <c r="B31217" s="4" t="s">
        <v>39314</v>
      </c>
      <c r="C31217" s="5" t="str">
        <f>IFERROR(__xludf.DUMMYFUNCTION("GOOGLETRANSLATE(B31217,""en"",""es-ES"")"),"El hombre pone las hojas en un basurero.")</f>
        <v>El hombre pone las hojas en un basurero.</v>
      </c>
    </row>
    <row r="31218">
      <c r="A31218" s="4" t="s">
        <v>39312</v>
      </c>
      <c r="B31218" s="4" t="s">
        <v>39315</v>
      </c>
      <c r="C31218" s="5" t="str">
        <f>IFERROR(__xludf.DUMMYFUNCTION("GOOGLETRANSLATE(B31218,""en"",""es-ES"")"),"El hombre se detiene y mueve el basura.")</f>
        <v>El hombre se detiene y mueve el basura.</v>
      </c>
    </row>
    <row r="31219">
      <c r="A31219" s="4" t="s">
        <v>39312</v>
      </c>
      <c r="B31219" s="4" t="s">
        <v>39316</v>
      </c>
      <c r="C31219" s="5" t="str">
        <f>IFERROR(__xludf.DUMMYFUNCTION("GOOGLETRANSLATE(B31219,""en"",""es-ES"")"),"El hombre saca un objeto negro de su bolsillo y lo presenta.")</f>
        <v>El hombre saca un objeto negro de su bolsillo y lo presenta.</v>
      </c>
    </row>
    <row r="31220">
      <c r="A31220" s="4" t="s">
        <v>39312</v>
      </c>
      <c r="B31220" s="4" t="s">
        <v>39317</v>
      </c>
      <c r="C31220" s="5" t="str">
        <f>IFERROR(__xludf.DUMMYFUNCTION("GOOGLETRANSLATE(B31220,""en"",""es-ES"")"),"El hombre atornilla el objeto negro al final del mango del rastrillo.")</f>
        <v>El hombre atornilla el objeto negro al final del mango del rastrillo.</v>
      </c>
    </row>
    <row r="31221">
      <c r="A31221" s="4" t="s">
        <v>39312</v>
      </c>
      <c r="B31221" s="4" t="s">
        <v>39318</v>
      </c>
      <c r="C31221" s="5" t="str">
        <f>IFERROR(__xludf.DUMMYFUNCTION("GOOGLETRANSLATE(B31221,""en"",""es-ES"")"),"El hombre mueve el basurero y los rastrillos.")</f>
        <v>El hombre mueve el basurero y los rastrillos.</v>
      </c>
    </row>
    <row r="31222">
      <c r="A31222" s="4" t="s">
        <v>39312</v>
      </c>
      <c r="B31222" s="4" t="s">
        <v>39319</v>
      </c>
      <c r="C31222" s="5" t="str">
        <f>IFERROR(__xludf.DUMMYFUNCTION("GOOGLETRANSLATE(B31222,""en"",""es-ES"")"),"El hombre deja de rastrillar, camina hacia un árbol y cuelga el rastrillo del árbol.")</f>
        <v>El hombre deja de rastrillar, camina hacia un árbol y cuelga el rastrillo del árbol.</v>
      </c>
    </row>
    <row r="31223">
      <c r="A31223" s="4" t="s">
        <v>39312</v>
      </c>
      <c r="B31223" s="4" t="s">
        <v>39320</v>
      </c>
      <c r="C31223" s="5" t="str">
        <f>IFERROR(__xludf.DUMMYFUNCTION("GOOGLETRANSLATE(B31223,""en"",""es-ES"")"),"El hombre quita un par de rastrillos para el árbol y lo levanta por encima de su cabeza.")</f>
        <v>El hombre quita un par de rastrillos para el árbol y lo levanta por encima de su cabeza.</v>
      </c>
    </row>
    <row r="31224">
      <c r="A31224" s="4" t="s">
        <v>39312</v>
      </c>
      <c r="B31224" s="4" t="s">
        <v>39321</v>
      </c>
      <c r="C31224" s="5" t="str">
        <f>IFERROR(__xludf.DUMMYFUNCTION("GOOGLETRANSLATE(B31224,""en"",""es-ES"")"),"El hombre usa los rastrillos duales para recoger las hojas y colocarlas en el basurero.")</f>
        <v>El hombre usa los rastrillos duales para recoger las hojas y colocarlas en el basurero.</v>
      </c>
    </row>
    <row r="31225">
      <c r="A31225" s="4" t="s">
        <v>39312</v>
      </c>
      <c r="B31225" s="4" t="s">
        <v>39322</v>
      </c>
      <c r="C31225" s="5" t="str">
        <f>IFERROR(__xludf.DUMMYFUNCTION("GOOGLETRANSLATE(B31225,""en"",""es-ES"")"),"El hombre levanta los rastrillos duales sobre su cabeza y luego los combina.")</f>
        <v>El hombre levanta los rastrillos duales sobre su cabeza y luego los combina.</v>
      </c>
    </row>
    <row r="31226">
      <c r="A31226" s="4" t="s">
        <v>39312</v>
      </c>
      <c r="B31226" s="4" t="s">
        <v>39323</v>
      </c>
      <c r="C31226" s="5" t="str">
        <f>IFERROR(__xludf.DUMMYFUNCTION("GOOGLETRANSLATE(B31226,""en"",""es-ES"")"),"El hombre lleva los rastrillos emparejados al árbol donde los cuelga en una rama.")</f>
        <v>El hombre lleva los rastrillos emparejados al árbol donde los cuelga en una rama.</v>
      </c>
    </row>
    <row r="31227">
      <c r="A31227" s="4" t="s">
        <v>39312</v>
      </c>
      <c r="B31227" s="4" t="s">
        <v>25249</v>
      </c>
      <c r="C31227" s="5" t="str">
        <f>IFERROR(__xludf.DUMMYFUNCTION("GOOGLETRANSLATE(B31227,""en"",""es-ES"")"),"Se muestran los créditos de los clips.")</f>
        <v>Se muestran los créditos de los clips.</v>
      </c>
    </row>
    <row r="31228">
      <c r="A31228" s="4" t="s">
        <v>39324</v>
      </c>
      <c r="B31228" s="4" t="s">
        <v>39325</v>
      </c>
      <c r="C31228" s="5" t="str">
        <f>IFERROR(__xludf.DUMMYFUNCTION("GOOGLETRANSLATE(B31228,""en"",""es-ES"")"),"Una mujer en un delantal blanco está cortando lechuga en un tablero.")</f>
        <v>Una mujer en un delantal blanco está cortando lechuga en un tablero.</v>
      </c>
    </row>
    <row r="31229">
      <c r="A31229" s="4" t="s">
        <v>39324</v>
      </c>
      <c r="B31229" s="4" t="s">
        <v>39326</v>
      </c>
      <c r="C31229" s="5" t="str">
        <f>IFERROR(__xludf.DUMMYFUNCTION("GOOGLETRANSLATE(B31229,""en"",""es-ES"")"),"Ella se seca y corta algunos pepinos para poner un tazón de ensalada.")</f>
        <v>Ella se seca y corta algunos pepinos para poner un tazón de ensalada.</v>
      </c>
    </row>
    <row r="31230">
      <c r="A31230" s="4" t="s">
        <v>39324</v>
      </c>
      <c r="B31230" s="4" t="s">
        <v>39327</v>
      </c>
      <c r="C31230" s="5" t="str">
        <f>IFERROR(__xludf.DUMMYFUNCTION("GOOGLETRANSLATE(B31230,""en"",""es-ES"")"),"Ella arroja la ensalada con las manos.")</f>
        <v>Ella arroja la ensalada con las manos.</v>
      </c>
    </row>
    <row r="31231">
      <c r="A31231" s="4" t="s">
        <v>39324</v>
      </c>
      <c r="B31231" s="4" t="s">
        <v>39328</v>
      </c>
      <c r="C31231" s="5" t="str">
        <f>IFERROR(__xludf.DUMMYFUNCTION("GOOGLETRANSLATE(B31231,""en"",""es-ES"")"),"Ella agarra una botella de vinagre y la vierte encima de la ensalada.")</f>
        <v>Ella agarra una botella de vinagre y la vierte encima de la ensalada.</v>
      </c>
    </row>
    <row r="31232">
      <c r="A31232" s="4" t="s">
        <v>39324</v>
      </c>
      <c r="B31232" s="4" t="s">
        <v>39329</v>
      </c>
      <c r="C31232" s="5" t="str">
        <f>IFERROR(__xludf.DUMMYFUNCTION("GOOGLETRANSLATE(B31232,""en"",""es-ES"")"),"Ella abre una botella con los dientes y también la vierte en la ensalada.")</f>
        <v>Ella abre una botella con los dientes y también la vierte en la ensalada.</v>
      </c>
    </row>
    <row r="31233">
      <c r="A31233" s="4" t="s">
        <v>39324</v>
      </c>
      <c r="B31233" s="4" t="s">
        <v>39330</v>
      </c>
      <c r="C31233" s="5" t="str">
        <f>IFERROR(__xludf.DUMMYFUNCTION("GOOGLETRANSLATE(B31233,""en"",""es-ES"")"),"Ella pone más aderezo en la ensalada.")</f>
        <v>Ella pone más aderezo en la ensalada.</v>
      </c>
    </row>
    <row r="31234">
      <c r="A31234" s="4" t="s">
        <v>39324</v>
      </c>
      <c r="B31234" s="4" t="s">
        <v>39331</v>
      </c>
      <c r="C31234" s="5" t="str">
        <f>IFERROR(__xludf.DUMMYFUNCTION("GOOGLETRANSLATE(B31234,""en"",""es-ES"")"),"Una dama en el fondo está sacando a Saran.")</f>
        <v>Una dama en el fondo está sacando a Saran.</v>
      </c>
    </row>
    <row r="31235">
      <c r="A31235" s="4" t="s">
        <v>39324</v>
      </c>
      <c r="B31235" s="4" t="s">
        <v>39332</v>
      </c>
      <c r="C31235" s="5" t="str">
        <f>IFERROR(__xludf.DUMMYFUNCTION("GOOGLETRANSLATE(B31235,""en"",""es-ES"")"),"Ella continúa lanzando la ensalada y mezclando el aderezo.")</f>
        <v>Ella continúa lanzando la ensalada y mezclando el aderezo.</v>
      </c>
    </row>
    <row r="31236">
      <c r="A31236" s="4" t="s">
        <v>39324</v>
      </c>
      <c r="B31236" s="4" t="s">
        <v>39333</v>
      </c>
      <c r="C31236" s="5" t="str">
        <f>IFERROR(__xludf.DUMMYFUNCTION("GOOGLETRANSLATE(B31236,""en"",""es-ES"")"),"Una mujer detrás de ella vierte sazonándose en la ensalada.")</f>
        <v>Una mujer detrás de ella vierte sazonándose en la ensalada.</v>
      </c>
    </row>
    <row r="31237">
      <c r="A31237" s="4" t="s">
        <v>39324</v>
      </c>
      <c r="B31237" s="4" t="s">
        <v>39334</v>
      </c>
      <c r="C31237" s="5" t="str">
        <f>IFERROR(__xludf.DUMMYFUNCTION("GOOGLETRANSLATE(B31237,""en"",""es-ES"")"),"Una mujer sostiene el tazón y muestra la ensalada mientras sonríe.")</f>
        <v>Una mujer sostiene el tazón y muestra la ensalada mientras sonríe.</v>
      </c>
    </row>
    <row r="31238">
      <c r="A31238" s="4" t="s">
        <v>39324</v>
      </c>
      <c r="B31238" s="4" t="s">
        <v>39335</v>
      </c>
      <c r="C31238" s="5" t="str">
        <f>IFERROR(__xludf.DUMMYFUNCTION("GOOGLETRANSLATE(B31238,""en"",""es-ES"")"),"La mujer que arrojó la ensalada se lave las manos sobre una toalla.")</f>
        <v>La mujer que arrojó la ensalada se lave las manos sobre una toalla.</v>
      </c>
    </row>
    <row r="31239">
      <c r="A31239" s="4" t="s">
        <v>39336</v>
      </c>
      <c r="B31239" s="4" t="s">
        <v>39337</v>
      </c>
      <c r="C31239" s="5" t="str">
        <f>IFERROR(__xludf.DUMMYFUNCTION("GOOGLETRANSLATE(B31239,""en"",""es-ES"")"),"Se reproduce un gráfico que dice ""acrobacias"" con un enlace a su página de Facebook.")</f>
        <v>Se reproduce un gráfico que dice "acrobacias" con un enlace a su página de Facebook.</v>
      </c>
    </row>
    <row r="31240">
      <c r="A31240" s="4" t="s">
        <v>39336</v>
      </c>
      <c r="B31240" s="4" t="s">
        <v>39338</v>
      </c>
      <c r="C31240" s="5" t="str">
        <f>IFERROR(__xludf.DUMMYFUNCTION("GOOGLETRANSLATE(B31240,""en"",""es-ES"")"),"Un hombre muestra una variedad de trucos de piscina en su mesa de billar en su casa.")</f>
        <v>Un hombre muestra una variedad de trucos de piscina en su mesa de billar en su casa.</v>
      </c>
    </row>
    <row r="31241">
      <c r="A31241" s="4" t="s">
        <v>39336</v>
      </c>
      <c r="B31241" s="4" t="s">
        <v>39339</v>
      </c>
      <c r="C31241" s="5" t="str">
        <f>IFERROR(__xludf.DUMMYFUNCTION("GOOGLETRANSLATE(B31241,""en"",""es-ES"")"),"Se reproduce un gráfico que dice ""suscripción"" y el video termina.")</f>
        <v>Se reproduce un gráfico que dice "suscripción" y el video termina.</v>
      </c>
    </row>
    <row r="31242">
      <c r="A31242" s="4" t="s">
        <v>39340</v>
      </c>
      <c r="B31242" s="4" t="s">
        <v>39341</v>
      </c>
      <c r="C31242" s="5" t="str">
        <f>IFERROR(__xludf.DUMMYFUNCTION("GOOGLETRANSLATE(B31242,""en"",""es-ES"")"),"Se muestra una habitación con una mesa sin pintura y una Emery está encima.")</f>
        <v>Se muestra una habitación con una mesa sin pintura y una Emery está encima.</v>
      </c>
    </row>
    <row r="31243">
      <c r="A31243" s="4" t="s">
        <v>39340</v>
      </c>
      <c r="B31243" s="4" t="s">
        <v>39342</v>
      </c>
      <c r="C31243" s="5" t="str">
        <f>IFERROR(__xludf.DUMMYFUNCTION("GOOGLETRANSLATE(B31243,""en"",""es-ES"")"),"El hombre entra en una habitación y usa la Emery en la parte superior de la mesa.")</f>
        <v>El hombre entra en una habitación y usa la Emery en la parte superior de la mesa.</v>
      </c>
    </row>
    <row r="31244">
      <c r="A31244" s="4" t="s">
        <v>39340</v>
      </c>
      <c r="B31244" s="4" t="s">
        <v>39343</v>
      </c>
      <c r="C31244" s="5" t="str">
        <f>IFERROR(__xludf.DUMMYFUNCTION("GOOGLETRANSLATE(B31244,""en"",""es-ES"")"),"El hombre saca las gafas y limpia el disco de la Emery.")</f>
        <v>El hombre saca las gafas y limpia el disco de la Emery.</v>
      </c>
    </row>
    <row r="31245">
      <c r="A31245" s="4" t="s">
        <v>39344</v>
      </c>
      <c r="B31245" s="4" t="s">
        <v>39345</v>
      </c>
      <c r="C31245" s="5" t="str">
        <f>IFERROR(__xludf.DUMMYFUNCTION("GOOGLETRANSLATE(B31245,""en"",""es-ES"")"),"Vemos a una persona con la mano sobre la cámara.")</f>
        <v>Vemos a una persona con la mano sobre la cámara.</v>
      </c>
    </row>
    <row r="31246">
      <c r="A31246" s="4" t="s">
        <v>39344</v>
      </c>
      <c r="B31246" s="4" t="s">
        <v>39346</v>
      </c>
      <c r="C31246" s="5" t="str">
        <f>IFERROR(__xludf.DUMMYFUNCTION("GOOGLETRANSLATE(B31246,""en"",""es-ES"")"),"Una chica nos muestra su pincel.")</f>
        <v>Una chica nos muestra su pincel.</v>
      </c>
    </row>
    <row r="31247">
      <c r="A31247" s="4" t="s">
        <v>39344</v>
      </c>
      <c r="B31247" s="4" t="s">
        <v>39347</v>
      </c>
      <c r="C31247" s="5" t="str">
        <f>IFERROR(__xludf.DUMMYFUNCTION("GOOGLETRANSLATE(B31247,""en"",""es-ES"")"),"La niña usa el cepillo para cepillarse el cabello.")</f>
        <v>La niña usa el cepillo para cepillarse el cabello.</v>
      </c>
    </row>
    <row r="31248">
      <c r="A31248" s="4" t="s">
        <v>39344</v>
      </c>
      <c r="B31248" s="4" t="s">
        <v>39348</v>
      </c>
      <c r="C31248" s="5" t="str">
        <f>IFERROR(__xludf.DUMMYFUNCTION("GOOGLETRANSLATE(B31248,""en"",""es-ES"")"),"Ella nos muestra su pincel nuevamente.")</f>
        <v>Ella nos muestra su pincel nuevamente.</v>
      </c>
    </row>
    <row r="31249">
      <c r="A31249" s="4" t="s">
        <v>39344</v>
      </c>
      <c r="B31249" s="4" t="s">
        <v>39349</v>
      </c>
      <c r="C31249" s="5" t="str">
        <f>IFERROR(__xludf.DUMMYFUNCTION("GOOGLETRANSLATE(B31249,""en"",""es-ES"")"),"Su mano luego cubre la cámara.")</f>
        <v>Su mano luego cubre la cámara.</v>
      </c>
    </row>
    <row r="31250">
      <c r="A31250" s="4" t="s">
        <v>39350</v>
      </c>
      <c r="B31250" s="4" t="s">
        <v>39351</v>
      </c>
      <c r="C31250" s="5" t="str">
        <f>IFERROR(__xludf.DUMMYFUNCTION("GOOGLETRANSLATE(B31250,""en"",""es-ES"")"),"Se ve a una mujer asiática arrodillada en el suelo.")</f>
        <v>Se ve a una mujer asiática arrodillada en el suelo.</v>
      </c>
    </row>
    <row r="31251">
      <c r="A31251" s="4" t="s">
        <v>39350</v>
      </c>
      <c r="B31251" s="4" t="s">
        <v>39352</v>
      </c>
      <c r="C31251" s="5" t="str">
        <f>IFERROR(__xludf.DUMMYFUNCTION("GOOGLETRANSLATE(B31251,""en"",""es-ES"")"),"Ella se levanta muy lentamente, los brazos primero.")</f>
        <v>Ella se levanta muy lentamente, los brazos primero.</v>
      </c>
    </row>
    <row r="31252">
      <c r="A31252" s="4" t="s">
        <v>39350</v>
      </c>
      <c r="B31252" s="4" t="s">
        <v>39353</v>
      </c>
      <c r="C31252" s="5" t="str">
        <f>IFERROR(__xludf.DUMMYFUNCTION("GOOGLETRANSLATE(B31252,""en"",""es-ES"")"),"Ella hace varios movimientos de artes marciales para la cámara.")</f>
        <v>Ella hace varios movimientos de artes marciales para la cámara.</v>
      </c>
    </row>
    <row r="31253">
      <c r="A31253" s="4" t="s">
        <v>39354</v>
      </c>
      <c r="B31253" s="4" t="s">
        <v>39355</v>
      </c>
      <c r="C31253" s="5" t="str">
        <f>IFERROR(__xludf.DUMMYFUNCTION("GOOGLETRANSLATE(B31253,""en"",""es-ES"")"),"Se ve a un hombre entrando en un baño y mirando a través de cepillos de dientes sucios.")</f>
        <v>Se ve a un hombre entrando en un baño y mirando a través de cepillos de dientes sucios.</v>
      </c>
    </row>
    <row r="31254">
      <c r="A31254" s="4" t="s">
        <v>39354</v>
      </c>
      <c r="B31254" s="4" t="s">
        <v>39356</v>
      </c>
      <c r="C31254" s="5" t="str">
        <f>IFERROR(__xludf.DUMMYFUNCTION("GOOGLETRANSLATE(B31254,""en"",""es-ES"")"),"La persona vierte la pasta de dientes sobre un cepillo y cepilla continuamente sus dientes.")</f>
        <v>La persona vierte la pasta de dientes sobre un cepillo y cepilla continuamente sus dientes.</v>
      </c>
    </row>
    <row r="31255">
      <c r="A31255" s="4" t="s">
        <v>39354</v>
      </c>
      <c r="B31255" s="4" t="s">
        <v>39357</v>
      </c>
      <c r="C31255" s="5" t="str">
        <f>IFERROR(__xludf.DUMMYFUNCTION("GOOGLETRANSLATE(B31255,""en"",""es-ES"")"),"Luego cepilla más y termina enjuagando su boca con la lavado de boca y mostrando el fregadero.")</f>
        <v>Luego cepilla más y termina enjuagando su boca con la lavado de boca y mostrando el fregadero.</v>
      </c>
    </row>
    <row r="31256">
      <c r="A31256" s="4" t="s">
        <v>39358</v>
      </c>
      <c r="B31256" s="4" t="s">
        <v>39359</v>
      </c>
      <c r="C31256" s="5" t="str">
        <f>IFERROR(__xludf.DUMMYFUNCTION("GOOGLETRANSLATE(B31256,""en"",""es-ES"")"),"Un tipo de chico camina sobre una cuerda mientras sostiene un palo selfie grabándose.")</f>
        <v>Un tipo de chico camina sobre una cuerda mientras sostiene un palo selfie grabándose.</v>
      </c>
    </row>
    <row r="31257">
      <c r="A31257" s="4" t="s">
        <v>39358</v>
      </c>
      <c r="B31257" s="4" t="s">
        <v>39360</v>
      </c>
      <c r="C31257" s="5" t="str">
        <f>IFERROR(__xludf.DUMMYFUNCTION("GOOGLETRANSLATE(B31257,""en"",""es-ES"")"),"El tipo de chico camina por el agua en una cuerda que tiene una corta distancia desde el muelle hasta el borde del bote mientras la gente mira.")</f>
        <v>El tipo de chico camina por el agua en una cuerda que tiene una corta distancia desde el muelle hasta el borde del bote mientras la gente mira.</v>
      </c>
    </row>
    <row r="31258">
      <c r="A31258" s="4" t="s">
        <v>39358</v>
      </c>
      <c r="B31258" s="4" t="s">
        <v>39361</v>
      </c>
      <c r="C31258" s="5" t="str">
        <f>IFERROR(__xludf.DUMMYFUNCTION("GOOGLETRANSLATE(B31258,""en"",""es-ES"")"),"Guy también rebota y también hace trucos en una cuerda de tipo rosa.")</f>
        <v>Guy también rebota y también hace trucos en una cuerda de tipo rosa.</v>
      </c>
    </row>
    <row r="31259">
      <c r="A31259" s="4" t="s">
        <v>39358</v>
      </c>
      <c r="B31259" s="4" t="s">
        <v>39362</v>
      </c>
      <c r="C31259" s="5" t="str">
        <f>IFERROR(__xludf.DUMMYFUNCTION("GOOGLETRANSLATE(B31259,""en"",""es-ES"")"),"El tipo intenta escribir por el agua, pero se encuentra y algunos cruzan.")</f>
        <v>El tipo intenta escribir por el agua, pero se encuentra y algunos cruzan.</v>
      </c>
    </row>
    <row r="31260">
      <c r="A31260" s="4" t="s">
        <v>39363</v>
      </c>
      <c r="B31260" s="4" t="s">
        <v>39364</v>
      </c>
      <c r="C31260" s="5" t="str">
        <f>IFERROR(__xludf.DUMMYFUNCTION("GOOGLETRANSLATE(B31260,""en"",""es-ES"")"),"Se muestra a dos chicas rastrillando las hojas en un patio mientras continuamente hablan con la cámara.")</f>
        <v>Se muestra a dos chicas rastrillando las hojas en un patio mientras continuamente hablan con la cámara.</v>
      </c>
    </row>
    <row r="31261">
      <c r="A31261" s="4" t="s">
        <v>39363</v>
      </c>
      <c r="B31261" s="4" t="s">
        <v>39365</v>
      </c>
      <c r="C31261" s="5" t="str">
        <f>IFERROR(__xludf.DUMMYFUNCTION("GOOGLETRANSLATE(B31261,""en"",""es-ES"")"),"La niña mayor muestra a la más joven cómo rastrillar mientras otra niña se queda y mira en un tobogán cercano.")</f>
        <v>La niña mayor muestra a la más joven cómo rastrillar mientras otra niña se queda y mira en un tobogán cercano.</v>
      </c>
    </row>
    <row r="31262">
      <c r="A31262" s="4" t="s">
        <v>39363</v>
      </c>
      <c r="B31262" s="4" t="s">
        <v>39366</v>
      </c>
      <c r="C31262" s="5" t="str">
        <f>IFERROR(__xludf.DUMMYFUNCTION("GOOGLETRANSLATE(B31262,""en"",""es-ES"")"),"La cámara se acerca a la niña más joven y la mira rastrillando las hojas.")</f>
        <v>La cámara se acerca a la niña más joven y la mira rastrillando las hojas.</v>
      </c>
    </row>
    <row r="31263">
      <c r="A31263" s="4" t="s">
        <v>39367</v>
      </c>
      <c r="B31263" s="4" t="s">
        <v>39368</v>
      </c>
      <c r="C31263" s="5" t="str">
        <f>IFERROR(__xludf.DUMMYFUNCTION("GOOGLETRANSLATE(B31263,""en"",""es-ES"")"),"Dos niños están arrodillados en la hierba cortando la hierba con un par de tijeras.")</f>
        <v>Dos niños están arrodillados en la hierba cortando la hierba con un par de tijeras.</v>
      </c>
    </row>
    <row r="31264">
      <c r="A31264" s="4" t="s">
        <v>39367</v>
      </c>
      <c r="B31264" s="4" t="s">
        <v>39369</v>
      </c>
      <c r="C31264" s="5" t="str">
        <f>IFERROR(__xludf.DUMMYFUNCTION("GOOGLETRANSLATE(B31264,""en"",""es-ES"")"),"Toman algunas piezas y usan las tijeras para cortarlo.")</f>
        <v>Toman algunas piezas y usan las tijeras para cortarlo.</v>
      </c>
    </row>
    <row r="31265">
      <c r="A31265" s="4" t="s">
        <v>39367</v>
      </c>
      <c r="B31265" s="4" t="s">
        <v>39370</v>
      </c>
      <c r="C31265" s="5" t="str">
        <f>IFERROR(__xludf.DUMMYFUNCTION("GOOGLETRANSLATE(B31265,""en"",""es-ES"")"),"Luego arroje la hierba que cortan detrás de ellos.")</f>
        <v>Luego arroje la hierba que cortan detrás de ellos.</v>
      </c>
    </row>
    <row r="31266">
      <c r="A31266" s="4" t="s">
        <v>39367</v>
      </c>
      <c r="B31266" s="4" t="s">
        <v>39371</v>
      </c>
      <c r="C31266" s="5" t="str">
        <f>IFERROR(__xludf.DUMMYFUNCTION("GOOGLETRANSLATE(B31266,""en"",""es-ES"")"),"Van a hacerlo un poco rápidamente, parecen niños pequeños muy aburridos sin nada más que hacer.")</f>
        <v>Van a hacerlo un poco rápidamente, parecen niños pequeños muy aburridos sin nada más que hacer.</v>
      </c>
    </row>
    <row r="31267">
      <c r="A31267" s="4" t="s">
        <v>39372</v>
      </c>
      <c r="B31267" s="4" t="s">
        <v>39373</v>
      </c>
      <c r="C31267" s="5" t="str">
        <f>IFERROR(__xludf.DUMMYFUNCTION("GOOGLETRANSLATE(B31267,""en"",""es-ES"")"),"Se muestra un logotipo rojo y azul Triple-A en una pantalla blanca y luego la pantalla se destaca en un gran camión de nieve.")</f>
        <v>Se muestra un logotipo rojo y azul Triple-A en una pantalla blanca y luego la pantalla se destaca en un gran camión de nieve.</v>
      </c>
    </row>
    <row r="31268">
      <c r="A31268" s="4" t="s">
        <v>39372</v>
      </c>
      <c r="B31268" s="4" t="s">
        <v>39374</v>
      </c>
      <c r="C31268" s="5" t="str">
        <f>IFERROR(__xludf.DUMMYFUNCTION("GOOGLETRANSLATE(B31268,""en"",""es-ES"")"),"Una vez que el camión se ha ido, hay varias personas que atraviesan la nieve en un intento de sacarlo de las carreteras y despejar una pasarela.")</f>
        <v>Una vez que el camión se ha ido, hay varias personas que atraviesan la nieve en un intento de sacarlo de las carreteras y despejar una pasarela.</v>
      </c>
    </row>
    <row r="31269">
      <c r="A31269" s="4" t="s">
        <v>39372</v>
      </c>
      <c r="B31269" s="4" t="s">
        <v>39375</v>
      </c>
      <c r="C31269" s="5" t="str">
        <f>IFERROR(__xludf.DUMMYFUNCTION("GOOGLETRANSLATE(B31269,""en"",""es-ES"")"),"Después, un joven hombre negro comienza a hablar e ilustrar la nieve en los autos, ya que representa el aspecto de relaciones públicas de Triple A.")</f>
        <v>Después, un joven hombre negro comienza a hablar e ilustrar la nieve en los autos, ya que representa el aspecto de relaciones públicas de Triple A.</v>
      </c>
    </row>
    <row r="31270">
      <c r="A31270" s="4" t="s">
        <v>39372</v>
      </c>
      <c r="B31270" s="4" t="s">
        <v>39376</v>
      </c>
      <c r="C31270" s="5" t="str">
        <f>IFERROR(__xludf.DUMMYFUNCTION("GOOGLETRANSLATE(B31270,""en"",""es-ES"")"),"A medida que el hombre continúa hablando, se muestra un hombre con cubo de agua y ya no hay agua en su automóvil.")</f>
        <v>A medida que el hombre continúa hablando, se muestra un hombre con cubo de agua y ya no hay agua en su automóvil.</v>
      </c>
    </row>
    <row r="31271">
      <c r="A31271" s="4" t="s">
        <v>39372</v>
      </c>
      <c r="B31271" s="4" t="s">
        <v>39377</v>
      </c>
      <c r="C31271" s="5" t="str">
        <f>IFERROR(__xludf.DUMMYFUNCTION("GOOGLETRANSLATE(B31271,""en"",""es-ES"")"),"Después de un tiempo, se muestra a otro hombre sacando nieve de su automóvil y luego entrar para ajustar la radio, de repente, el hombre está de vuelta afuera y está raspando la nieve de todos los aspectos del automóvil, incluidas, ventanas, tubos de esca"&amp;"pe, parabrisas y Luces traseras luego el hombre negro regresa y continúa hablando.")</f>
        <v>Después de un tiempo, se muestra a otro hombre sacando nieve de su automóvil y luego entrar para ajustar la radio, de repente, el hombre está de vuelta afuera y está raspando la nieve de todos los aspectos del automóvil, incluidas, ventanas, tubos de escape, parabrisas y Luces traseras luego el hombre negro regresa y continúa hablando.</v>
      </c>
    </row>
    <row r="31272">
      <c r="A31272" s="4" t="s">
        <v>39378</v>
      </c>
      <c r="B31272" s="4" t="s">
        <v>39379</v>
      </c>
      <c r="C31272" s="5" t="str">
        <f>IFERROR(__xludf.DUMMYFUNCTION("GOOGLETRANSLATE(B31272,""en"",""es-ES"")"),"Una niña salta a la rumba en la calle.")</f>
        <v>Una niña salta a la rumba en la calle.</v>
      </c>
    </row>
    <row r="31273">
      <c r="A31273" s="4" t="s">
        <v>39378</v>
      </c>
      <c r="B31273" s="4" t="s">
        <v>39380</v>
      </c>
      <c r="C31273" s="5" t="str">
        <f>IFERROR(__xludf.DUMMYFUNCTION("GOOGLETRANSLATE(B31273,""en"",""es-ES"")"),"La niña se da vuelta y salta a la raya.")</f>
        <v>La niña se da vuelta y salta a la raya.</v>
      </c>
    </row>
    <row r="31274">
      <c r="A31274" s="4" t="s">
        <v>39381</v>
      </c>
      <c r="B31274" s="4" t="s">
        <v>39382</v>
      </c>
      <c r="C31274" s="5" t="str">
        <f>IFERROR(__xludf.DUMMYFUNCTION("GOOGLETRANSLATE(B31274,""en"",""es-ES"")"),"Hay varios pasajeros que viajan en un tren de metro.")</f>
        <v>Hay varios pasajeros que viajan en un tren de metro.</v>
      </c>
    </row>
    <row r="31275">
      <c r="A31275" s="4" t="s">
        <v>39381</v>
      </c>
      <c r="B31275" s="4" t="s">
        <v>39383</v>
      </c>
      <c r="C31275" s="5" t="str">
        <f>IFERROR(__xludf.DUMMYFUNCTION("GOOGLETRANSLATE(B31275,""en"",""es-ES"")"),"Dos de los pasajeros están sentados en sillas plegables y están tocando tambores en bongos.")</f>
        <v>Dos de los pasajeros están sentados en sillas plegables y están tocando tambores en bongos.</v>
      </c>
    </row>
    <row r="31276">
      <c r="A31276" s="4" t="s">
        <v>39381</v>
      </c>
      <c r="B31276" s="4" t="s">
        <v>39384</v>
      </c>
      <c r="C31276" s="5" t="str">
        <f>IFERROR(__xludf.DUMMYFUNCTION("GOOGLETRANSLATE(B31276,""en"",""es-ES"")"),"Continúan jugando a los bongos mientras los otros pasajeros están ocupados haciendo lo suyo.")</f>
        <v>Continúan jugando a los bongos mientras los otros pasajeros están ocupados haciendo lo suyo.</v>
      </c>
    </row>
    <row r="31277">
      <c r="A31277" s="4" t="s">
        <v>39381</v>
      </c>
      <c r="B31277" s="4" t="s">
        <v>39385</v>
      </c>
      <c r="C31277" s="5" t="str">
        <f>IFERROR(__xludf.DUMMYFUNCTION("GOOGLETRANSLATE(B31277,""en"",""es-ES"")"),"Un niño que está sentado cerca de los jugadores los está viendo jugar.")</f>
        <v>Un niño que está sentado cerca de los jugadores los está viendo jugar.</v>
      </c>
    </row>
    <row r="31278">
      <c r="A31278" s="4" t="s">
        <v>39381</v>
      </c>
      <c r="B31278" s="4" t="s">
        <v>39386</v>
      </c>
      <c r="C31278" s="5" t="str">
        <f>IFERROR(__xludf.DUMMYFUNCTION("GOOGLETRANSLATE(B31278,""en"",""es-ES"")"),"Los jugadores continúan jugando a los bongos y tocando sobre ellos.")</f>
        <v>Los jugadores continúan jugando a los bongos y tocando sobre ellos.</v>
      </c>
    </row>
    <row r="31279">
      <c r="A31279" s="4" t="s">
        <v>39381</v>
      </c>
      <c r="B31279" s="4" t="s">
        <v>39387</v>
      </c>
      <c r="C31279" s="5" t="str">
        <f>IFERROR(__xludf.DUMMYFUNCTION("GOOGLETRANSLATE(B31279,""en"",""es-ES"")"),"Después de que dejan de jugar, una persona los aplaude.")</f>
        <v>Después de que dejan de jugar, una persona los aplaude.</v>
      </c>
    </row>
    <row r="31280">
      <c r="A31280" s="4" t="s">
        <v>39388</v>
      </c>
      <c r="B31280" s="4" t="s">
        <v>39389</v>
      </c>
      <c r="C31280" s="5" t="str">
        <f>IFERROR(__xludf.DUMMYFUNCTION("GOOGLETRANSLATE(B31280,""en"",""es-ES"")"),"Un hombre está rastrillando hojas en un gran patio.")</f>
        <v>Un hombre está rastrillando hojas en un gran patio.</v>
      </c>
    </row>
    <row r="31281">
      <c r="A31281" s="4" t="s">
        <v>39388</v>
      </c>
      <c r="B31281" s="4" t="s">
        <v>39390</v>
      </c>
      <c r="C31281" s="5" t="str">
        <f>IFERROR(__xludf.DUMMYFUNCTION("GOOGLETRANSLATE(B31281,""en"",""es-ES"")"),"Él usa el rastrillo para empujar las hojas en pilas.")</f>
        <v>Él usa el rastrillo para empujar las hojas en pilas.</v>
      </c>
    </row>
    <row r="31282">
      <c r="A31282" s="4" t="s">
        <v>39388</v>
      </c>
      <c r="B31282" s="4" t="s">
        <v>39391</v>
      </c>
      <c r="C31282" s="5" t="str">
        <f>IFERROR(__xludf.DUMMYFUNCTION("GOOGLETRANSLATE(B31282,""en"",""es-ES"")"),"Él continúa rastrillando, limpiando un camino de tierra debajo.")</f>
        <v>Él continúa rastrillando, limpiando un camino de tierra debajo.</v>
      </c>
    </row>
    <row r="31283">
      <c r="A31283" s="4" t="s">
        <v>39392</v>
      </c>
      <c r="B31283" s="4" t="s">
        <v>39393</v>
      </c>
      <c r="C31283" s="5" t="str">
        <f>IFERROR(__xludf.DUMMYFUNCTION("GOOGLETRANSLATE(B31283,""en"",""es-ES"")"),"Un equipo en el campo corriendo jugando lacrosse.")</f>
        <v>Un equipo en el campo corriendo jugando lacrosse.</v>
      </c>
    </row>
    <row r="31284">
      <c r="A31284" s="4" t="s">
        <v>39392</v>
      </c>
      <c r="B31284" s="4" t="s">
        <v>39394</v>
      </c>
      <c r="C31284" s="5" t="str">
        <f>IFERROR(__xludf.DUMMYFUNCTION("GOOGLETRANSLATE(B31284,""en"",""es-ES"")"),"Todos corren entre sí tratando de alcanzar el objetivo.")</f>
        <v>Todos corren entre sí tratando de alcanzar el objetivo.</v>
      </c>
    </row>
    <row r="31285">
      <c r="A31285" s="4" t="s">
        <v>39392</v>
      </c>
      <c r="B31285" s="4" t="s">
        <v>39395</v>
      </c>
      <c r="C31285" s="5" t="str">
        <f>IFERROR(__xludf.DUMMYFUNCTION("GOOGLETRANSLATE(B31285,""en"",""es-ES"")"),"Todos corren mucho tratando de evitar que el otro equipo anote.")</f>
        <v>Todos corren mucho tratando de evitar que el otro equipo anote.</v>
      </c>
    </row>
    <row r="31286">
      <c r="A31286" s="4" t="s">
        <v>39392</v>
      </c>
      <c r="B31286" s="4" t="s">
        <v>39396</v>
      </c>
      <c r="C31286" s="5" t="str">
        <f>IFERROR(__xludf.DUMMYFUNCTION("GOOGLETRANSLATE(B31286,""en"",""es-ES"")"),"Parece que la chica en rojo casi lo hace antes de salir corriendo.")</f>
        <v>Parece que la chica en rojo casi lo hace antes de salir corriendo.</v>
      </c>
    </row>
    <row r="31287">
      <c r="A31287" s="4" t="s">
        <v>39397</v>
      </c>
      <c r="B31287" s="4" t="s">
        <v>39398</v>
      </c>
      <c r="C31287" s="5" t="str">
        <f>IFERROR(__xludf.DUMMYFUNCTION("GOOGLETRANSLATE(B31287,""en"",""es-ES"")"),"Gran rascacielos con una gran vista.")</f>
        <v>Gran rascacielos con una gran vista.</v>
      </c>
    </row>
    <row r="31288">
      <c r="A31288" s="4" t="s">
        <v>39397</v>
      </c>
      <c r="B31288" s="4" t="s">
        <v>39399</v>
      </c>
      <c r="C31288" s="5" t="str">
        <f>IFERROR(__xludf.DUMMYFUNCTION("GOOGLETRANSLATE(B31288,""en"",""es-ES"")"),"Los hombres están limpiando la ventana en el exterior colgando del andamio.")</f>
        <v>Los hombres están limpiando la ventana en el exterior colgando del andamio.</v>
      </c>
    </row>
    <row r="31289">
      <c r="A31289" s="4" t="s">
        <v>39400</v>
      </c>
      <c r="B31289" s="4" t="s">
        <v>39401</v>
      </c>
      <c r="C31289" s="5" t="str">
        <f>IFERROR(__xludf.DUMMYFUNCTION("GOOGLETRANSLATE(B31289,""en"",""es-ES"")"),"Se ve a un hombre atlético sosteniendo un equipo de ejercicio y arrodillado mientras habla con la cámara.")</f>
        <v>Se ve a un hombre atlético sosteniendo un equipo de ejercicio y arrodillado mientras habla con la cámara.</v>
      </c>
    </row>
    <row r="31290">
      <c r="A31290" s="4" t="s">
        <v>39400</v>
      </c>
      <c r="B31290" s="4" t="s">
        <v>39402</v>
      </c>
      <c r="C31290" s="5" t="str">
        <f>IFERROR(__xludf.DUMMYFUNCTION("GOOGLETRANSLATE(B31290,""en"",""es-ES"")"),"Continúa hablando y comienza a mover los brazos y el cuerpo hacia atrás y cuarto.")</f>
        <v>Continúa hablando y comienza a mover los brazos y el cuerpo hacia atrás y cuarto.</v>
      </c>
    </row>
    <row r="31291">
      <c r="A31291" s="4" t="s">
        <v>39403</v>
      </c>
      <c r="B31291" s="4" t="s">
        <v>39404</v>
      </c>
      <c r="C31291" s="5" t="str">
        <f>IFERROR(__xludf.DUMMYFUNCTION("GOOGLETRANSLATE(B31291,""en"",""es-ES"")"),"El hombre surge en las olas y cae en el agua.")</f>
        <v>El hombre surge en las olas y cae en el agua.</v>
      </c>
    </row>
    <row r="31292">
      <c r="A31292" s="4" t="s">
        <v>39403</v>
      </c>
      <c r="B31292" s="4" t="s">
        <v>39405</v>
      </c>
      <c r="C31292" s="5" t="str">
        <f>IFERROR(__xludf.DUMMYFUNCTION("GOOGLETRANSLATE(B31292,""en"",""es-ES"")"),"El hombre está surfeando mientras otros surfistas están detrás de él.")</f>
        <v>El hombre está surfeando mientras otros surfistas están detrás de él.</v>
      </c>
    </row>
    <row r="31293">
      <c r="A31293" s="4" t="s">
        <v>39403</v>
      </c>
      <c r="B31293" s="4" t="s">
        <v>39406</v>
      </c>
      <c r="C31293" s="5" t="str">
        <f>IFERROR(__xludf.DUMMYFUNCTION("GOOGLETRANSLATE(B31293,""en"",""es-ES"")"),"El surfista surfeando sobre el agua y cayó cerca de las rocas.")</f>
        <v>El surfista surfeando sobre el agua y cayó cerca de las rocas.</v>
      </c>
    </row>
    <row r="31294">
      <c r="A31294" s="4" t="s">
        <v>39407</v>
      </c>
      <c r="B31294" s="4" t="s">
        <v>39408</v>
      </c>
      <c r="C31294" s="5" t="str">
        <f>IFERROR(__xludf.DUMMYFUNCTION("GOOGLETRANSLATE(B31294,""en"",""es-ES"")"),"Los hombres están vestidos con equipo de fútbol que tienen el logotipo de Pepsi en sus camisas y están jugando en un campo cubierto de hierba.")</f>
        <v>Los hombres están vestidos con equipo de fútbol que tienen el logotipo de Pepsi en sus camisas y están jugando en un campo cubierto de hierba.</v>
      </c>
    </row>
    <row r="31295">
      <c r="A31295" s="4" t="s">
        <v>39407</v>
      </c>
      <c r="B31295" s="4" t="s">
        <v>39409</v>
      </c>
      <c r="C31295" s="5" t="str">
        <f>IFERROR(__xludf.DUMMYFUNCTION("GOOGLETRANSLATE(B31295,""en"",""es-ES"")"),"Los sumos muy grandes comienzan a caminar en el campo con su propia pelota de fútbol en la mano, y los hombres de fútbol se acercan a ellos y el sumo apunta al enfriador de Pepsi lleno de refrescos.")</f>
        <v>Los sumos muy grandes comienzan a caminar en el campo con su propia pelota de fútbol en la mano, y los hombres de fútbol se acercan a ellos y el sumo apunta al enfriador de Pepsi lleno de refrescos.</v>
      </c>
    </row>
    <row r="31296">
      <c r="A31296" s="4" t="s">
        <v>39407</v>
      </c>
      <c r="B31296" s="4" t="s">
        <v>39410</v>
      </c>
      <c r="C31296" s="5" t="str">
        <f>IFERROR(__xludf.DUMMYFUNCTION("GOOGLETRANSLATE(B31296,""en"",""es-ES"")"),"Los hombres y los sumos comienzan un juego de fútbol uno contra el otro y cuando un hombre intenta marcar un gol, un sumo bloquea todo el gol y en varios otros movimientos las victorias de sumo, incluido un gol cuando un sumo cayó y la pelota de fútbol vo"&amp;"ló a la red.")</f>
        <v>Los hombres y los sumos comienzan un juego de fútbol uno contra el otro y cuando un hombre intenta marcar un gol, un sumo bloquea todo el gol y en varios otros movimientos las victorias de sumo, incluido un gol cuando un sumo cayó y la pelota de fútbol voló a la red.</v>
      </c>
    </row>
    <row r="31297">
      <c r="A31297" s="4" t="s">
        <v>39407</v>
      </c>
      <c r="B31297" s="4" t="s">
        <v>39411</v>
      </c>
      <c r="C31297" s="5" t="str">
        <f>IFERROR(__xludf.DUMMYFUNCTION("GOOGLETRANSLATE(B31297,""en"",""es-ES"")"),"Un hombre toma una lata de Pepsi y la arroja a un sumo y todos los sumos corren hacia el refrigerador, bebe un Pepsi, luego se muestran caminando con el enfriador de Pepsi.")</f>
        <v>Un hombre toma una lata de Pepsi y la arroja a un sumo y todos los sumos corren hacia el refrigerador, bebe un Pepsi, luego se muestran caminando con el enfriador de Pepsi.</v>
      </c>
    </row>
    <row r="31298">
      <c r="A31298" s="4" t="s">
        <v>39412</v>
      </c>
      <c r="B31298" s="4" t="s">
        <v>39413</v>
      </c>
      <c r="C31298" s="5" t="str">
        <f>IFERROR(__xludf.DUMMYFUNCTION("GOOGLETRANSLATE(B31298,""en"",""es-ES"")"),"Se ve a un hombre hablando con la cámara mientras sostiene varios juegos de Ping Pong.")</f>
        <v>Se ve a un hombre hablando con la cámara mientras sostiene varios juegos de Ping Pong.</v>
      </c>
    </row>
    <row r="31299">
      <c r="A31299" s="4" t="s">
        <v>39412</v>
      </c>
      <c r="B31299" s="4" t="s">
        <v>39414</v>
      </c>
      <c r="C31299" s="5" t="str">
        <f>IFERROR(__xludf.DUMMYFUNCTION("GOOGLETRANSLATE(B31299,""en"",""es-ES"")"),"El hombre continúa golpeando la pelota mientras habla con la cámara y sostiene las herramientas de ping pong.")</f>
        <v>El hombre continúa golpeando la pelota mientras habla con la cámara y sostiene las herramientas de ping pong.</v>
      </c>
    </row>
    <row r="31300">
      <c r="A31300" s="4" t="s">
        <v>39412</v>
      </c>
      <c r="B31300" s="4" t="s">
        <v>39415</v>
      </c>
      <c r="C31300" s="5" t="str">
        <f>IFERROR(__xludf.DUMMYFUNCTION("GOOGLETRANSLATE(B31300,""en"",""es-ES"")"),"El hombre demuestra cómo golpear correctamente la pelota y mover su cuerpo y aún golpear la pelota.")</f>
        <v>El hombre demuestra cómo golpear correctamente la pelota y mover su cuerpo y aún golpear la pelota.</v>
      </c>
    </row>
    <row r="31301">
      <c r="A31301" s="4" t="s">
        <v>39416</v>
      </c>
      <c r="B31301" s="4" t="s">
        <v>39417</v>
      </c>
      <c r="C31301" s="5" t="str">
        <f>IFERROR(__xludf.DUMMYFUNCTION("GOOGLETRANSLATE(B31301,""en"",""es-ES"")"),"Hay un soldador en una camisa azul con un casco protector amarillo, soldando una gran tubería de metal en un taller.")</f>
        <v>Hay un soldador en una camisa azul con un casco protector amarillo, soldando una gran tubería de metal en un taller.</v>
      </c>
    </row>
    <row r="31302">
      <c r="A31302" s="4" t="s">
        <v>39416</v>
      </c>
      <c r="B31302" s="4" t="s">
        <v>39418</v>
      </c>
      <c r="C31302" s="5" t="str">
        <f>IFERROR(__xludf.DUMMYFUNCTION("GOOGLETRANSLATE(B31302,""en"",""es-ES"")"),"Hay otro soldador que lleva un traje protector azul y un casco blanco que solía una pieza de metal en una mesa de taller.")</f>
        <v>Hay otro soldador que lleva un traje protector azul y un casco blanco que solía una pieza de metal en una mesa de taller.</v>
      </c>
    </row>
    <row r="31303">
      <c r="A31303" s="4" t="s">
        <v>39416</v>
      </c>
      <c r="B31303" s="4" t="s">
        <v>39419</v>
      </c>
      <c r="C31303" s="5" t="str">
        <f>IFERROR(__xludf.DUMMYFUNCTION("GOOGLETRANSLATE(B31303,""en"",""es-ES"")"),"Está soldando la pieza de metal con precisión de manera horizontal.")</f>
        <v>Está soldando la pieza de metal con precisión de manera horizontal.</v>
      </c>
    </row>
    <row r="31304">
      <c r="A31304" s="4" t="s">
        <v>39416</v>
      </c>
      <c r="B31304" s="4" t="s">
        <v>39420</v>
      </c>
      <c r="C31304" s="5" t="str">
        <f>IFERROR(__xludf.DUMMYFUNCTION("GOOGLETRANSLATE(B31304,""en"",""es-ES"")"),"Hay una máquina de soldadura que muestra cómo funciona en la fusión de metal a alta temperatura.")</f>
        <v>Hay una máquina de soldadura que muestra cómo funciona en la fusión de metal a alta temperatura.</v>
      </c>
    </row>
    <row r="31305">
      <c r="A31305" s="4" t="s">
        <v>39421</v>
      </c>
      <c r="B31305" s="4" t="s">
        <v>39422</v>
      </c>
      <c r="C31305" s="5" t="str">
        <f>IFERROR(__xludf.DUMMYFUNCTION("GOOGLETRANSLATE(B31305,""en"",""es-ES"")"),"Se ve a una niña sentada en una cama hablando con la cámara y lo lleva a realizar trucos de gimnasia en un trampolín.")</f>
        <v>Se ve a una niña sentada en una cama hablando con la cámara y lo lleva a realizar trucos de gimnasia en un trampolín.</v>
      </c>
    </row>
    <row r="31306">
      <c r="A31306" s="4" t="s">
        <v>39421</v>
      </c>
      <c r="B31306" s="4" t="s">
        <v>39423</v>
      </c>
      <c r="C31306" s="5" t="str">
        <f>IFERROR(__xludf.DUMMYFUNCTION("GOOGLETRANSLATE(B31306,""en"",""es-ES"")"),"Se muestran más tomas de varias chicas que realizan varias flips y trucos en el piso de un gimnasio y terminan con un grupo de niñas haciendo ascensores de porristas.")</f>
        <v>Se muestran más tomas de varias chicas que realizan varias flips y trucos en el piso de un gimnasio y terminan con un grupo de niñas haciendo ascensores de porristas.</v>
      </c>
    </row>
    <row r="31307">
      <c r="A31307" s="4" t="s">
        <v>39424</v>
      </c>
      <c r="B31307" s="4" t="s">
        <v>39425</v>
      </c>
      <c r="C31307" s="5" t="str">
        <f>IFERROR(__xludf.DUMMYFUNCTION("GOOGLETRANSLATE(B31307,""en"",""es-ES"")"),"Una niña sostiene un cepillo de dientes hasta la cámara.")</f>
        <v>Una niña sostiene un cepillo de dientes hasta la cámara.</v>
      </c>
    </row>
    <row r="31308">
      <c r="A31308" s="4" t="s">
        <v>39424</v>
      </c>
      <c r="B31308" s="4" t="s">
        <v>39426</v>
      </c>
      <c r="C31308" s="5" t="str">
        <f>IFERROR(__xludf.DUMMYFUNCTION("GOOGLETRANSLATE(B31308,""en"",""es-ES"")"),"Ella usa el cepillo para cepillarse los dientes.")</f>
        <v>Ella usa el cepillo para cepillarse los dientes.</v>
      </c>
    </row>
    <row r="31309">
      <c r="A31309" s="4" t="s">
        <v>39424</v>
      </c>
      <c r="B31309" s="4" t="s">
        <v>39427</v>
      </c>
      <c r="C31309" s="5" t="str">
        <f>IFERROR(__xludf.DUMMYFUNCTION("GOOGLETRANSLATE(B31309,""en"",""es-ES"")"),"Ella frota los dientes de un lado a otro durante mucho tiempo.")</f>
        <v>Ella frota los dientes de un lado a otro durante mucho tiempo.</v>
      </c>
    </row>
    <row r="31310">
      <c r="A31310" s="4" t="s">
        <v>39428</v>
      </c>
      <c r="B31310" s="4" t="s">
        <v>39429</v>
      </c>
      <c r="C31310" s="5" t="str">
        <f>IFERROR(__xludf.DUMMYFUNCTION("GOOGLETRANSLATE(B31310,""en"",""es-ES"")"),"Una persona en la pantalla muestra una caja que contiene juguetes de lucha de sumo.")</f>
        <v>Una persona en la pantalla muestra una caja que contiene juguetes de lucha de sumo.</v>
      </c>
    </row>
    <row r="31311">
      <c r="A31311" s="4" t="s">
        <v>39428</v>
      </c>
      <c r="B31311" s="4" t="s">
        <v>39430</v>
      </c>
      <c r="C31311" s="5" t="str">
        <f>IFERROR(__xludf.DUMMYFUNCTION("GOOGLETRANSLATE(B31311,""en"",""es-ES"")"),"La persona da una demostración sobre cómo usar los juguetes.")</f>
        <v>La persona da una demostración sobre cómo usar los juguetes.</v>
      </c>
    </row>
    <row r="31312">
      <c r="A31312" s="4" t="s">
        <v>39428</v>
      </c>
      <c r="B31312" s="4" t="s">
        <v>39431</v>
      </c>
      <c r="C31312" s="5" t="str">
        <f>IFERROR(__xludf.DUMMYFUNCTION("GOOGLETRANSLATE(B31312,""en"",""es-ES"")"),"A continuación, la persona hace varias demostraciones del conjunto de juguetes de lucha de sumo usando juguetes que han hecho, así como juguetes del set.")</f>
        <v>A continuación, la persona hace varias demostraciones del conjunto de juguetes de lucha de sumo usando juguetes que han hecho, así como juguetes del set.</v>
      </c>
    </row>
    <row r="31313">
      <c r="A31313" s="4" t="s">
        <v>39428</v>
      </c>
      <c r="B31313" s="4" t="s">
        <v>15945</v>
      </c>
      <c r="C31313" s="5" t="str">
        <f>IFERROR(__xludf.DUMMYFUNCTION("GOOGLETRANSLATE(B31313,""en"",""es-ES"")"),"Al final del video se muestran los créditos de cierre.")</f>
        <v>Al final del video se muestran los créditos de cierre.</v>
      </c>
    </row>
    <row r="31314">
      <c r="A31314" s="4" t="s">
        <v>39432</v>
      </c>
      <c r="B31314" s="4" t="s">
        <v>39433</v>
      </c>
      <c r="C31314" s="5" t="str">
        <f>IFERROR(__xludf.DUMMYFUNCTION("GOOGLETRANSLATE(B31314,""en"",""es-ES"")"),"La gente ve a una gimnasta realizar su rutina.")</f>
        <v>La gente ve a una gimnasta realizar su rutina.</v>
      </c>
    </row>
    <row r="31315">
      <c r="A31315" s="4" t="s">
        <v>39432</v>
      </c>
      <c r="B31315" s="4" t="s">
        <v>39434</v>
      </c>
      <c r="C31315" s="5" t="str">
        <f>IFERROR(__xludf.DUMMYFUNCTION("GOOGLETRANSLATE(B31315,""en"",""es-ES"")"),"La gimnasta se encuentra al costado del haz de equilibrio.")</f>
        <v>La gimnasta se encuentra al costado del haz de equilibrio.</v>
      </c>
    </row>
    <row r="31316">
      <c r="A31316" s="4" t="s">
        <v>39432</v>
      </c>
      <c r="B31316" s="4" t="s">
        <v>39435</v>
      </c>
      <c r="C31316" s="5" t="str">
        <f>IFERROR(__xludf.DUMMYFUNCTION("GOOGLETRANSLATE(B31316,""en"",""es-ES"")"),"El gyjmnast monta la viga.")</f>
        <v>El gyjmnast monta la viga.</v>
      </c>
    </row>
    <row r="31317">
      <c r="A31317" s="4" t="s">
        <v>39432</v>
      </c>
      <c r="B31317" s="4" t="s">
        <v>39436</v>
      </c>
      <c r="C31317" s="5" t="str">
        <f>IFERROR(__xludf.DUMMYFUNCTION("GOOGLETRANSLATE(B31317,""en"",""es-ES"")"),"La gimnasta realiza su rutina en la viga.")</f>
        <v>La gimnasta realiza su rutina en la viga.</v>
      </c>
    </row>
    <row r="31318">
      <c r="A31318" s="4" t="s">
        <v>39432</v>
      </c>
      <c r="B31318" s="4" t="s">
        <v>39437</v>
      </c>
      <c r="C31318" s="5" t="str">
        <f>IFERROR(__xludf.DUMMYFUNCTION("GOOGLETRANSLATE(B31318,""en"",""es-ES"")"),"La gimnasta casi cae, pero se atrapa.")</f>
        <v>La gimnasta casi cae, pero se atrapa.</v>
      </c>
    </row>
    <row r="31319">
      <c r="A31319" s="4" t="s">
        <v>39432</v>
      </c>
      <c r="B31319" s="4" t="s">
        <v>39438</v>
      </c>
      <c r="C31319" s="5" t="str">
        <f>IFERROR(__xludf.DUMMYFUNCTION("GOOGLETRANSLATE(B31319,""en"",""es-ES"")"),"La gimnasta desmonta y aterriza en la alfombra azul.")</f>
        <v>La gimnasta desmonta y aterriza en la alfombra azul.</v>
      </c>
    </row>
    <row r="31320">
      <c r="A31320" s="4" t="s">
        <v>39439</v>
      </c>
      <c r="B31320" s="4" t="s">
        <v>39440</v>
      </c>
      <c r="C31320" s="5" t="str">
        <f>IFERROR(__xludf.DUMMYFUNCTION("GOOGLETRANSLATE(B31320,""en"",""es-ES"")"),"Varios clips de personas que se muestran jugando kickball uno contra el otro en un campo grande.")</f>
        <v>Varios clips de personas que se muestran jugando kickball uno contra el otro en un campo grande.</v>
      </c>
    </row>
    <row r="31321">
      <c r="A31321" s="4" t="s">
        <v>39439</v>
      </c>
      <c r="B31321" s="4" t="s">
        <v>39441</v>
      </c>
      <c r="C31321" s="5" t="str">
        <f>IFERROR(__xludf.DUMMYFUNCTION("GOOGLETRANSLATE(B31321,""en"",""es-ES"")"),"Se muestran varios clips de personas corriendo, atrapando y lanzando la pelota, además de festejar a un lado.")</f>
        <v>Se muestran varios clips de personas corriendo, atrapando y lanzando la pelota, además de festejar a un lado.</v>
      </c>
    </row>
    <row r="31322">
      <c r="A31322" s="4" t="s">
        <v>39442</v>
      </c>
      <c r="B31322" s="4" t="s">
        <v>39443</v>
      </c>
      <c r="C31322" s="5" t="str">
        <f>IFERROR(__xludf.DUMMYFUNCTION("GOOGLETRANSLATE(B31322,""en"",""es-ES"")"),"Se ve a un hombre colocando objetos en una pared y coloca un tablero a lo largo de la pared.")</f>
        <v>Se ve a un hombre colocando objetos en una pared y coloca un tablero a lo largo de la pared.</v>
      </c>
    </row>
    <row r="31323">
      <c r="A31323" s="4" t="s">
        <v>39442</v>
      </c>
      <c r="B31323" s="4" t="s">
        <v>39444</v>
      </c>
      <c r="C31323" s="5" t="str">
        <f>IFERROR(__xludf.DUMMYFUNCTION("GOOGLETRANSLATE(B31323,""en"",""es-ES"")"),"Continúa moviendo los objetos en la pared y luego los clava con una pistola de clavos y presenta los estantes que ha hecho.")</f>
        <v>Continúa moviendo los objetos en la pared y luego los clava con una pistola de clavos y presenta los estantes que ha hecho.</v>
      </c>
    </row>
    <row r="31324">
      <c r="A31324" s="4" t="s">
        <v>39445</v>
      </c>
      <c r="B31324" s="4" t="s">
        <v>39446</v>
      </c>
      <c r="C31324" s="5" t="str">
        <f>IFERROR(__xludf.DUMMYFUNCTION("GOOGLETRANSLATE(B31324,""en"",""es-ES"")"),"Se ve a un hombre tocando un tambor de bongo rápidamente moviendo sus manos alrededor del instrumento.")</f>
        <v>Se ve a un hombre tocando un tambor de bongo rápidamente moviendo sus manos alrededor del instrumento.</v>
      </c>
    </row>
    <row r="31325">
      <c r="A31325" s="4" t="s">
        <v>39445</v>
      </c>
      <c r="B31325" s="4" t="s">
        <v>39447</v>
      </c>
      <c r="C31325" s="5" t="str">
        <f>IFERROR(__xludf.DUMMYFUNCTION("GOOGLETRANSLATE(B31325,""en"",""es-ES"")"),"Continuamente toca el tambor mientras cierra los ojos en concentración y termina golpeando sus manos más rápido.")</f>
        <v>Continuamente toca el tambor mientras cierra los ojos en concentración y termina golpeando sus manos más rápido.</v>
      </c>
    </row>
    <row r="31326">
      <c r="A31326" s="4" t="s">
        <v>39448</v>
      </c>
      <c r="B31326" s="4" t="s">
        <v>39449</v>
      </c>
      <c r="C31326" s="5" t="str">
        <f>IFERROR(__xludf.DUMMYFUNCTION("GOOGLETRANSLATE(B31326,""en"",""es-ES"")"),"Se muestra un par de zapatos en una mesa mientras un hombre y una mujer tienen una conversación.")</f>
        <v>Se muestra un par de zapatos en una mesa mientras un hombre y una mujer tienen una conversación.</v>
      </c>
    </row>
    <row r="31327">
      <c r="A31327" s="4" t="s">
        <v>39448</v>
      </c>
      <c r="B31327" s="4" t="s">
        <v>39450</v>
      </c>
      <c r="C31327" s="5" t="str">
        <f>IFERROR(__xludf.DUMMYFUNCTION("GOOGLETRANSLATE(B31327,""en"",""es-ES"")"),"Una mujer desafía a un hombre a la lucha libre.")</f>
        <v>Una mujer desafía a un hombre a la lucha libre.</v>
      </c>
    </row>
    <row r="31328">
      <c r="A31328" s="4" t="s">
        <v>39448</v>
      </c>
      <c r="B31328" s="4" t="s">
        <v>39451</v>
      </c>
      <c r="C31328" s="5" t="str">
        <f>IFERROR(__xludf.DUMMYFUNCTION("GOOGLETRANSLATE(B31328,""en"",""es-ES"")"),"El hombre quita los zapatos de la mesa.")</f>
        <v>El hombre quita los zapatos de la mesa.</v>
      </c>
    </row>
    <row r="31329">
      <c r="A31329" s="4" t="s">
        <v>39448</v>
      </c>
      <c r="B31329" s="4" t="s">
        <v>39452</v>
      </c>
      <c r="C31329" s="5" t="str">
        <f>IFERROR(__xludf.DUMMYFUNCTION("GOOGLETRANSLATE(B31329,""en"",""es-ES"")"),"La mujer y el brazo del hombre luchan.")</f>
        <v>La mujer y el brazo del hombre luchan.</v>
      </c>
    </row>
    <row r="31330">
      <c r="A31330" s="4" t="s">
        <v>39448</v>
      </c>
      <c r="B31330" s="4" t="s">
        <v>39453</v>
      </c>
      <c r="C31330" s="5" t="str">
        <f>IFERROR(__xludf.DUMMYFUNCTION("GOOGLETRANSLATE(B31330,""en"",""es-ES"")"),"El hombre golpea a la mujer.")</f>
        <v>El hombre golpea a la mujer.</v>
      </c>
    </row>
    <row r="31331">
      <c r="A31331" s="4" t="s">
        <v>39448</v>
      </c>
      <c r="B31331" s="4" t="s">
        <v>39454</v>
      </c>
      <c r="C31331" s="5" t="str">
        <f>IFERROR(__xludf.DUMMYFUNCTION("GOOGLETRANSLATE(B31331,""en"",""es-ES"")"),"Él saca los zapatos y los muestra sobre la mesa.")</f>
        <v>Él saca los zapatos y los muestra sobre la mesa.</v>
      </c>
    </row>
    <row r="31332">
      <c r="A31332" s="4" t="s">
        <v>39448</v>
      </c>
      <c r="B31332" s="4" t="s">
        <v>39455</v>
      </c>
      <c r="C31332" s="5" t="str">
        <f>IFERROR(__xludf.DUMMYFUNCTION("GOOGLETRANSLATE(B31332,""en"",""es-ES"")"),"La mujer y el hombre se ríen mientras continúan una conversación.")</f>
        <v>La mujer y el hombre se ríen mientras continúan una conversación.</v>
      </c>
    </row>
    <row r="31333">
      <c r="A31333" s="4" t="s">
        <v>39456</v>
      </c>
      <c r="B31333" s="4" t="s">
        <v>39457</v>
      </c>
      <c r="C31333" s="5" t="str">
        <f>IFERROR(__xludf.DUMMYFUNCTION("GOOGLETRANSLATE(B31333,""en"",""es-ES"")"),"Una mujer habla en un gimnasio.")</f>
        <v>Una mujer habla en un gimnasio.</v>
      </c>
    </row>
    <row r="31334">
      <c r="A31334" s="4" t="s">
        <v>39456</v>
      </c>
      <c r="B31334" s="4" t="s">
        <v>39458</v>
      </c>
      <c r="C31334" s="5" t="str">
        <f>IFERROR(__xludf.DUMMYFUNCTION("GOOGLETRANSLATE(B31334,""en"",""es-ES"")"),"La mujer se para en un carril, luego corre para realizar un salto de longitud que aterriza en la arena.")</f>
        <v>La mujer se para en un carril, luego corre para realizar un salto de longitud que aterriza en la arena.</v>
      </c>
    </row>
    <row r="31335">
      <c r="A31335" s="4" t="s">
        <v>39456</v>
      </c>
      <c r="B31335" s="4" t="s">
        <v>39459</v>
      </c>
      <c r="C31335" s="5" t="str">
        <f>IFERROR(__xludf.DUMMYFUNCTION("GOOGLETRANSLATE(B31335,""en"",""es-ES"")"),"El salto de la mujer se repite varias veces.")</f>
        <v>El salto de la mujer se repite varias veces.</v>
      </c>
    </row>
    <row r="31336">
      <c r="A31336" s="4" t="s">
        <v>39460</v>
      </c>
      <c r="B31336" s="4" t="s">
        <v>39461</v>
      </c>
      <c r="C31336" s="5" t="str">
        <f>IFERROR(__xludf.DUMMYFUNCTION("GOOGLETRANSLATE(B31336,""en"",""es-ES"")"),"Se ve a varias personas navegando por cometas a lo largo del agua y uno realizando trucos.")</f>
        <v>Se ve a varias personas navegando por cometas a lo largo del agua y uno realizando trucos.</v>
      </c>
    </row>
    <row r="31337">
      <c r="A31337" s="4" t="s">
        <v>39460</v>
      </c>
      <c r="B31337" s="4" t="s">
        <v>39462</v>
      </c>
      <c r="C31337" s="5" t="str">
        <f>IFERROR(__xludf.DUMMYFUNCTION("GOOGLETRANSLATE(B31337,""en"",""es-ES"")"),"Más personas realizan trucos y uno cae del costado, inmediatamente subiendo.")</f>
        <v>Más personas realizan trucos y uno cae del costado, inmediatamente subiendo.</v>
      </c>
    </row>
    <row r="31338">
      <c r="A31338" s="4" t="s">
        <v>39463</v>
      </c>
      <c r="B31338" s="4" t="s">
        <v>39464</v>
      </c>
      <c r="C31338" s="5" t="str">
        <f>IFERROR(__xludf.DUMMYFUNCTION("GOOGLETRANSLATE(B31338,""en"",""es-ES"")"),"Un niño pinta sus uñas con esmalte blanco en el frente un niño pequeño.")</f>
        <v>Un niño pinta sus uñas con esmalte blanco en el frente un niño pequeño.</v>
      </c>
    </row>
    <row r="31339">
      <c r="A31339" s="4" t="s">
        <v>39463</v>
      </c>
      <c r="B31339" s="4" t="s">
        <v>39465</v>
      </c>
      <c r="C31339" s="5" t="str">
        <f>IFERROR(__xludf.DUMMYFUNCTION("GOOGLETRANSLATE(B31339,""en"",""es-ES"")"),"Una persona entra en la habitación y camina al frente de los niños.")</f>
        <v>Una persona entra en la habitación y camina al frente de los niños.</v>
      </c>
    </row>
    <row r="31340">
      <c r="A31340" s="4" t="s">
        <v>39463</v>
      </c>
      <c r="B31340" s="4" t="s">
        <v>39466</v>
      </c>
      <c r="C31340" s="5" t="str">
        <f>IFERROR(__xludf.DUMMYFUNCTION("GOOGLETRANSLATE(B31340,""en"",""es-ES"")"),"Luego, el niño se vuelve para escuchar a alguien por un segundo y continúa pintando sus uñas de los pies.")</f>
        <v>Luego, el niño se vuelve para escuchar a alguien por un segundo y continúa pintando sus uñas de los pies.</v>
      </c>
    </row>
    <row r="31341">
      <c r="A31341" s="4" t="s">
        <v>39463</v>
      </c>
      <c r="B31341" s="4" t="s">
        <v>39467</v>
      </c>
      <c r="C31341" s="5" t="str">
        <f>IFERROR(__xludf.DUMMYFUNCTION("GOOGLETRANSLATE(B31341,""en"",""es-ES"")"),"Después, una mano toca la parte posterior del niño dos veces que se da vuelta y luego continúa pintando sus uñas de los pies.")</f>
        <v>Después, una mano toca la parte posterior del niño dos veces que se da vuelta y luego continúa pintando sus uñas de los pies.</v>
      </c>
    </row>
    <row r="31342">
      <c r="A31342" s="4" t="s">
        <v>39468</v>
      </c>
      <c r="B31342" s="4" t="s">
        <v>39469</v>
      </c>
      <c r="C31342" s="5" t="str">
        <f>IFERROR(__xludf.DUMMYFUNCTION("GOOGLETRANSLATE(B31342,""en"",""es-ES"")"),"Una persona vierte vinagre en un fregadero en una toalla.")</f>
        <v>Una persona vierte vinagre en un fregadero en una toalla.</v>
      </c>
    </row>
    <row r="31343">
      <c r="A31343" s="4" t="s">
        <v>39468</v>
      </c>
      <c r="B31343" s="4" t="s">
        <v>39470</v>
      </c>
      <c r="C31343" s="5" t="str">
        <f>IFERROR(__xludf.DUMMYFUNCTION("GOOGLETRANSLATE(B31343,""en"",""es-ES"")"),"La persona luego usa la toalla para frotar la superficie del fregadero.")</f>
        <v>La persona luego usa la toalla para frotar la superficie del fregadero.</v>
      </c>
    </row>
    <row r="31344">
      <c r="A31344" s="4" t="s">
        <v>39468</v>
      </c>
      <c r="B31344" s="4" t="s">
        <v>39471</v>
      </c>
      <c r="C31344" s="5" t="str">
        <f>IFERROR(__xludf.DUMMYFUNCTION("GOOGLETRANSLATE(B31344,""en"",""es-ES"")"),"La persona deja caer la toalla y la recoge.")</f>
        <v>La persona deja caer la toalla y la recoge.</v>
      </c>
    </row>
    <row r="31345">
      <c r="A31345" s="4" t="s">
        <v>39472</v>
      </c>
      <c r="B31345" s="4" t="s">
        <v>39473</v>
      </c>
      <c r="C31345" s="5" t="str">
        <f>IFERROR(__xludf.DUMMYFUNCTION("GOOGLETRANSLATE(B31345,""en"",""es-ES"")"),"Se ve a una mujer hablando con la cámara mientras muestra sus uñas y la lleva a sostener una lente de contacto.")</f>
        <v>Se ve a una mujer hablando con la cámara mientras muestra sus uñas y la lleva a sostener una lente de contacto.</v>
      </c>
    </row>
    <row r="31346">
      <c r="A31346" s="4" t="s">
        <v>39472</v>
      </c>
      <c r="B31346" s="4" t="s">
        <v>39474</v>
      </c>
      <c r="C31346" s="5" t="str">
        <f>IFERROR(__xludf.DUMMYFUNCTION("GOOGLETRANSLATE(B31346,""en"",""es-ES"")"),"Luego, la niña vierte líquido en un recipiente y demuestra cómo colocar adecuadamente y asumir una lente de contacto.")</f>
        <v>Luego, la niña vierte líquido en un recipiente y demuestra cómo colocar adecuadamente y asumir una lente de contacto.</v>
      </c>
    </row>
    <row r="31347">
      <c r="A31347" s="4" t="s">
        <v>39475</v>
      </c>
      <c r="B31347" s="4" t="s">
        <v>39476</v>
      </c>
      <c r="C31347" s="5" t="str">
        <f>IFERROR(__xludf.DUMMYFUNCTION("GOOGLETRANSLATE(B31347,""en"",""es-ES"")"),"La mujer está hablando con la cámara sosteniendo un gran gato en las piernas que está sentada en un cojín de gatos y su cabeza acariciando la cabeza.")</f>
        <v>La mujer está hablando con la cámara sosteniendo un gran gato en las piernas que está sentada en un cojín de gatos y su cabeza acariciando la cabeza.</v>
      </c>
    </row>
    <row r="31348">
      <c r="A31348" s="4" t="s">
        <v>39475</v>
      </c>
      <c r="B31348" s="4" t="s">
        <v>39477</v>
      </c>
      <c r="C31348" s="5" t="str">
        <f>IFERROR(__xludf.DUMMYFUNCTION("GOOGLETRANSLATE(B31348,""en"",""es-ES"")"),"La mujer sostiene un cortador de uñas y corta las uñas del gato explicando la forma correcta de hacerlo.")</f>
        <v>La mujer sostiene un cortador de uñas y corta las uñas del gato explicando la forma correcta de hacerlo.</v>
      </c>
    </row>
    <row r="31349">
      <c r="A31349" s="4" t="s">
        <v>39478</v>
      </c>
      <c r="B31349" s="4" t="s">
        <v>39479</v>
      </c>
      <c r="C31349" s="5" t="str">
        <f>IFERROR(__xludf.DUMMYFUNCTION("GOOGLETRANSLATE(B31349,""en"",""es-ES"")"),"Una persona es esquiar en el agua en el agua sosteniendo una cuerda unida a un bote en el río.")</f>
        <v>Una persona es esquiar en el agua en el agua sosteniendo una cuerda unida a un bote en el río.</v>
      </c>
    </row>
    <row r="31350">
      <c r="A31350" s="4" t="s">
        <v>39478</v>
      </c>
      <c r="B31350" s="4" t="s">
        <v>39480</v>
      </c>
      <c r="C31350" s="5" t="str">
        <f>IFERROR(__xludf.DUMMYFUNCTION("GOOGLETRANSLATE(B31350,""en"",""es-ES"")"),"La persona pasa en el frente de un bote en el río mientras es aguas.")</f>
        <v>La persona pasa en el frente de un bote en el río mientras es aguas.</v>
      </c>
    </row>
    <row r="31351">
      <c r="A31351" s="4" t="s">
        <v>39478</v>
      </c>
      <c r="B31351" s="4" t="s">
        <v>39481</v>
      </c>
      <c r="C31351" s="5" t="str">
        <f>IFERROR(__xludf.DUMMYFUNCTION("GOOGLETRANSLATE(B31351,""en"",""es-ES"")"),"Luego, la persona da un pulgar mientras realiza Waterskii, después de que la persona continúa Waterskiing.")</f>
        <v>Luego, la persona da un pulgar mientras realiza Waterskii, después de que la persona continúa Waterskiing.</v>
      </c>
    </row>
    <row r="31352">
      <c r="A31352" s="4" t="s">
        <v>39478</v>
      </c>
      <c r="B31352" s="4" t="s">
        <v>39482</v>
      </c>
      <c r="C31352" s="5" t="str">
        <f>IFERROR(__xludf.DUMMYFUNCTION("GOOGLETRANSLATE(B31352,""en"",""es-ES"")"),"Luego, la tabla de surf flota en el frente una estructura de metal.")</f>
        <v>Luego, la tabla de surf flota en el frente una estructura de metal.</v>
      </c>
    </row>
    <row r="31353">
      <c r="A31353" s="4" t="s">
        <v>39483</v>
      </c>
      <c r="B31353" s="4" t="s">
        <v>39484</v>
      </c>
      <c r="C31353" s="5" t="str">
        <f>IFERROR(__xludf.DUMMYFUNCTION("GOOGLETRANSLATE(B31353,""en"",""es-ES"")"),"Un entrenador que lleva un traje húmedo da golosinas de morsa y la morsa asiente con la cabeza en la ciudad con entusiasmo al comienzo de un espectáculo.")</f>
        <v>Un entrenador que lleva un traje húmedo da golosinas de morsa y la morsa asiente con la cabeza en la ciudad con entusiasmo al comienzo de un espectáculo.</v>
      </c>
    </row>
    <row r="31354">
      <c r="A31354" s="4" t="s">
        <v>39483</v>
      </c>
      <c r="B31354" s="4" t="s">
        <v>39485</v>
      </c>
      <c r="C31354" s="5" t="str">
        <f>IFERROR(__xludf.DUMMYFUNCTION("GOOGLETRANSLATE(B31354,""en"",""es-ES"")"),"El entrenador juega un pequeño saxofón y la morsa asiente y se le da un regalo.")</f>
        <v>El entrenador juega un pequeño saxofón y la morsa asiente y se le da un regalo.</v>
      </c>
    </row>
    <row r="31355">
      <c r="A31355" s="4" t="s">
        <v>39483</v>
      </c>
      <c r="B31355" s="4" t="s">
        <v>39486</v>
      </c>
      <c r="C31355" s="5" t="str">
        <f>IFERROR(__xludf.DUMMYFUNCTION("GOOGLETRANSLATE(B31355,""en"",""es-ES"")"),"La morsa se le entrega el saxofón y lo juega mientras bailan con el entrenador.")</f>
        <v>La morsa se le entrega el saxofón y lo juega mientras bailan con el entrenador.</v>
      </c>
    </row>
    <row r="31356">
      <c r="A31356" s="4" t="s">
        <v>39487</v>
      </c>
      <c r="B31356" s="4" t="s">
        <v>39488</v>
      </c>
      <c r="C31356" s="5" t="str">
        <f>IFERROR(__xludf.DUMMYFUNCTION("GOOGLETRANSLATE(B31356,""en"",""es-ES"")"),"Las manos de una persona demuestran cómo perjudicar y peinar una muñeca de cabello rubio.")</f>
        <v>Las manos de una persona demuestran cómo perjudicar y peinar una muñeca de cabello rubio.</v>
      </c>
    </row>
    <row r="31357">
      <c r="A31357" s="4" t="s">
        <v>39487</v>
      </c>
      <c r="B31357" s="4" t="s">
        <v>39489</v>
      </c>
      <c r="C31357" s="5" t="str">
        <f>IFERROR(__xludf.DUMMYFUNCTION("GOOGLETRANSLATE(B31357,""en"",""es-ES"")"),"La mano de la persona comienza a cepillar el cabello de la muñeca con un cepillo de cerdas rosa antes de sostener una botella de producto para peinar el cabello.")</f>
        <v>La mano de la persona comienza a cepillar el cabello de la muñeca con un cepillo de cerdas rosa antes de sostener una botella de producto para peinar el cabello.</v>
      </c>
    </row>
    <row r="31358">
      <c r="A31358" s="4" t="s">
        <v>39487</v>
      </c>
      <c r="B31358" s="4" t="s">
        <v>39490</v>
      </c>
      <c r="C31358" s="5" t="str">
        <f>IFERROR(__xludf.DUMMYFUNCTION("GOOGLETRANSLATE(B31358,""en"",""es-ES"")"),"La mano rocía parte del producto de peinado en el cabello de la muñeca y luego procede a cepillar el cabello nuevamente.")</f>
        <v>La mano rocía parte del producto de peinado en el cabello de la muñeca y luego procede a cepillar el cabello nuevamente.</v>
      </c>
    </row>
    <row r="31359">
      <c r="A31359" s="4" t="s">
        <v>39487</v>
      </c>
      <c r="B31359" s="4" t="s">
        <v>39491</v>
      </c>
      <c r="C31359" s="5" t="str">
        <f>IFERROR(__xludf.DUMMYFUNCTION("GOOGLETRANSLATE(B31359,""en"",""es-ES"")"),"La mano luego gira la muñeca para mostrar el estilo terminado, la mano también gestica a áreas alrededor del cabello de las muñecas.")</f>
        <v>La mano luego gira la muñeca para mostrar el estilo terminado, la mano también gestica a áreas alrededor del cabello de las muñecas.</v>
      </c>
    </row>
    <row r="31360">
      <c r="A31360" s="4" t="s">
        <v>39492</v>
      </c>
      <c r="B31360" s="4" t="s">
        <v>39493</v>
      </c>
      <c r="C31360" s="5" t="str">
        <f>IFERROR(__xludf.DUMMYFUNCTION("GOOGLETRANSLATE(B31360,""en"",""es-ES"")"),"Un velero con velas de color rojo oscuro está montando en el océano.")</f>
        <v>Un velero con velas de color rojo oscuro está montando en el océano.</v>
      </c>
    </row>
    <row r="31361">
      <c r="A31361" s="4" t="s">
        <v>39492</v>
      </c>
      <c r="B31361" s="4" t="s">
        <v>39494</v>
      </c>
      <c r="C31361" s="5" t="str">
        <f>IFERROR(__xludf.DUMMYFUNCTION("GOOGLETRANSLATE(B31361,""en"",""es-ES"")"),"El bote gira y lo vemos desde atrás mientras nos movemos hacia el lado izquierdo.")</f>
        <v>El bote gira y lo vemos desde atrás mientras nos movemos hacia el lado izquierdo.</v>
      </c>
    </row>
    <row r="31362">
      <c r="A31362" s="4" t="s">
        <v>39492</v>
      </c>
      <c r="B31362" s="4" t="s">
        <v>39495</v>
      </c>
      <c r="C31362" s="5" t="str">
        <f>IFERROR(__xludf.DUMMYFUNCTION("GOOGLETRANSLATE(B31362,""en"",""es-ES"")"),"La cámara se acerca y sale y luego se mueve a otro ángulo.")</f>
        <v>La cámara se acerca y sale y luego se mueve a otro ángulo.</v>
      </c>
    </row>
    <row r="31363">
      <c r="A31363" s="4" t="s">
        <v>39492</v>
      </c>
      <c r="B31363" s="4" t="s">
        <v>39496</v>
      </c>
      <c r="C31363" s="5" t="str">
        <f>IFERROR(__xludf.DUMMYFUNCTION("GOOGLETRANSLATE(B31363,""en"",""es-ES"")"),"Vemos los créditos ejecutados sobre el video.")</f>
        <v>Vemos los créditos ejecutados sobre el video.</v>
      </c>
    </row>
    <row r="31364">
      <c r="A31364" s="4" t="s">
        <v>39497</v>
      </c>
      <c r="B31364" s="4" t="s">
        <v>39498</v>
      </c>
      <c r="C31364" s="5" t="str">
        <f>IFERROR(__xludf.DUMMYFUNCTION("GOOGLETRANSLATE(B31364,""en"",""es-ES"")"),"Un hombre balancea sus brazos sobre su cabeza.")</f>
        <v>Un hombre balancea sus brazos sobre su cabeza.</v>
      </c>
    </row>
    <row r="31365">
      <c r="A31365" s="4" t="s">
        <v>39497</v>
      </c>
      <c r="B31365" s="4" t="s">
        <v>39499</v>
      </c>
      <c r="C31365" s="5" t="str">
        <f>IFERROR(__xludf.DUMMYFUNCTION("GOOGLETRANSLATE(B31365,""en"",""es-ES"")"),"El adelgazamiento gira todo su cuerpo.")</f>
        <v>El adelgazamiento gira todo su cuerpo.</v>
      </c>
    </row>
    <row r="31366">
      <c r="A31366" s="4" t="s">
        <v>39497</v>
      </c>
      <c r="B31366" s="4" t="s">
        <v>39500</v>
      </c>
      <c r="C31366" s="5" t="str">
        <f>IFERROR(__xludf.DUMMYFUNCTION("GOOGLETRANSLATE(B31366,""en"",""es-ES"")"),"El hombre libera el martillo y baja los brazos.")</f>
        <v>El hombre libera el martillo y baja los brazos.</v>
      </c>
    </row>
    <row r="31367">
      <c r="A31367" s="4" t="s">
        <v>39501</v>
      </c>
      <c r="B31367" s="4" t="s">
        <v>39502</v>
      </c>
      <c r="C31367" s="5" t="str">
        <f>IFERROR(__xludf.DUMMYFUNCTION("GOOGLETRANSLATE(B31367,""en"",""es-ES"")"),"Un hombre y una mujer decoran un árbol de Navidad de las decoraciones alrededor de la habitación en video acelerado.")</f>
        <v>Un hombre y una mujer decoran un árbol de Navidad de las decoraciones alrededor de la habitación en video acelerado.</v>
      </c>
    </row>
    <row r="31368">
      <c r="A31368" s="4" t="s">
        <v>39501</v>
      </c>
      <c r="B31368" s="4" t="s">
        <v>39503</v>
      </c>
      <c r="C31368" s="5" t="str">
        <f>IFERROR(__xludf.DUMMYFUNCTION("GOOGLETRANSLATE(B31368,""en"",""es-ES"")"),"Un perro camina por el marco de la cámara.")</f>
        <v>Un perro camina por el marco de la cámara.</v>
      </c>
    </row>
    <row r="31369">
      <c r="A31369" s="4" t="s">
        <v>39501</v>
      </c>
      <c r="B31369" s="4" t="s">
        <v>39504</v>
      </c>
      <c r="C31369" s="5" t="str">
        <f>IFERROR(__xludf.DUMMYFUNCTION("GOOGLETRANSLATE(B31369,""en"",""es-ES"")"),"El hombre deja el marco de la cámara.")</f>
        <v>El hombre deja el marco de la cámara.</v>
      </c>
    </row>
    <row r="31370">
      <c r="A31370" s="4" t="s">
        <v>39501</v>
      </c>
      <c r="B31370" s="4" t="s">
        <v>39505</v>
      </c>
      <c r="C31370" s="5" t="str">
        <f>IFERROR(__xludf.DUMMYFUNCTION("GOOGLETRANSLATE(B31370,""en"",""es-ES"")"),"El hombre vuelve a decorar con un sombrero de Santa.")</f>
        <v>El hombre vuelve a decorar con un sombrero de Santa.</v>
      </c>
    </row>
    <row r="31371">
      <c r="A31371" s="4" t="s">
        <v>39501</v>
      </c>
      <c r="B31371" s="4" t="s">
        <v>39506</v>
      </c>
      <c r="C31371" s="5" t="str">
        <f>IFERROR(__xludf.DUMMYFUNCTION("GOOGLETRANSLATE(B31371,""en"",""es-ES"")"),"El hombre se para en una silla para poner una decoración en la parte superior del árbol.")</f>
        <v>El hombre se para en una silla para poner una decoración en la parte superior del árbol.</v>
      </c>
    </row>
    <row r="31372">
      <c r="A31372" s="4" t="s">
        <v>39501</v>
      </c>
      <c r="B31372" s="4" t="s">
        <v>39507</v>
      </c>
      <c r="C31372" s="5" t="str">
        <f>IFERROR(__xludf.DUMMYFUNCTION("GOOGLETRANSLATE(B31372,""en"",""es-ES"")"),"El árbol completo se muestra por sí mismo.")</f>
        <v>El árbol completo se muestra por sí mismo.</v>
      </c>
    </row>
    <row r="31373">
      <c r="A31373" s="4" t="s">
        <v>39508</v>
      </c>
      <c r="B31373" s="4" t="s">
        <v>39509</v>
      </c>
      <c r="C31373" s="5" t="str">
        <f>IFERROR(__xludf.DUMMYFUNCTION("GOOGLETRANSLATE(B31373,""en"",""es-ES"")"),"Dos personas están de pie junto al agua, uno de los captillas.")</f>
        <v>Dos personas están de pie junto al agua, uno de los captillas.</v>
      </c>
    </row>
    <row r="31374">
      <c r="A31374" s="4" t="s">
        <v>39508</v>
      </c>
      <c r="B31374" s="4" t="s">
        <v>39510</v>
      </c>
      <c r="C31374" s="5" t="str">
        <f>IFERROR(__xludf.DUMMYFUNCTION("GOOGLETRANSLATE(B31374,""en"",""es-ES"")"),"Lo pone en el agua y lo monta, va bastante rápido.")</f>
        <v>Lo pone en el agua y lo monta, va bastante rápido.</v>
      </c>
    </row>
    <row r="31375">
      <c r="A31375" s="4" t="s">
        <v>39508</v>
      </c>
      <c r="B31375" s="4" t="s">
        <v>39511</v>
      </c>
      <c r="C31375" s="5" t="str">
        <f>IFERROR(__xludf.DUMMYFUNCTION("GOOGLETRANSLATE(B31375,""en"",""es-ES"")"),"Lo gira varias veces y pasa por otra persona en otro.")</f>
        <v>Lo gira varias veces y pasa por otra persona en otro.</v>
      </c>
    </row>
    <row r="31376">
      <c r="A31376" s="4" t="s">
        <v>39508</v>
      </c>
      <c r="B31376" s="4" t="s">
        <v>39512</v>
      </c>
      <c r="C31376" s="5" t="str">
        <f>IFERROR(__xludf.DUMMYFUNCTION("GOOGLETRANSLATE(B31376,""en"",""es-ES"")"),"Se baja y camina hacia un campo con él sobre su cabeza.")</f>
        <v>Se baja y camina hacia un campo con él sobre su cabeza.</v>
      </c>
    </row>
    <row r="31377">
      <c r="A31377" s="4" t="s">
        <v>39513</v>
      </c>
      <c r="B31377" s="4" t="s">
        <v>39514</v>
      </c>
      <c r="C31377" s="5" t="str">
        <f>IFERROR(__xludf.DUMMYFUNCTION("GOOGLETRANSLATE(B31377,""en"",""es-ES"")"),"Un hombre que usa guantes está dentro de un edificio.")</f>
        <v>Un hombre que usa guantes está dentro de un edificio.</v>
      </c>
    </row>
    <row r="31378">
      <c r="A31378" s="4" t="s">
        <v>39513</v>
      </c>
      <c r="B31378" s="4" t="s">
        <v>39515</v>
      </c>
      <c r="C31378" s="5" t="str">
        <f>IFERROR(__xludf.DUMMYFUNCTION("GOOGLETRANSLATE(B31378,""en"",""es-ES"")"),"Él enrolla una alfombra y la deja a un lado.")</f>
        <v>Él enrolla una alfombra y la deja a un lado.</v>
      </c>
    </row>
    <row r="31379">
      <c r="A31379" s="4" t="s">
        <v>39513</v>
      </c>
      <c r="B31379" s="4" t="s">
        <v>39516</v>
      </c>
      <c r="C31379" s="5" t="str">
        <f>IFERROR(__xludf.DUMMYFUNCTION("GOOGLETRANSLATE(B31379,""en"",""es-ES"")"),"Luego barre y traza los pisos hasta que estén limpios.")</f>
        <v>Luego barre y traza los pisos hasta que estén limpios.</v>
      </c>
    </row>
    <row r="31380">
      <c r="A31380" s="4" t="s">
        <v>39517</v>
      </c>
      <c r="B31380" s="4" t="s">
        <v>39518</v>
      </c>
      <c r="C31380" s="5" t="str">
        <f>IFERROR(__xludf.DUMMYFUNCTION("GOOGLETRANSLATE(B31380,""en"",""es-ES"")"),"Un logotipo aparece brevemente en la pantalla.")</f>
        <v>Un logotipo aparece brevemente en la pantalla.</v>
      </c>
    </row>
    <row r="31381">
      <c r="A31381" s="4" t="s">
        <v>39517</v>
      </c>
      <c r="B31381" s="4" t="s">
        <v>39519</v>
      </c>
      <c r="C31381" s="5" t="str">
        <f>IFERROR(__xludf.DUMMYFUNCTION("GOOGLETRANSLATE(B31381,""en"",""es-ES"")"),"Un hombre habla con un grupo mientras está de pie en una balsa.")</f>
        <v>Un hombre habla con un grupo mientras está de pie en una balsa.</v>
      </c>
    </row>
    <row r="31382">
      <c r="A31382" s="4" t="s">
        <v>39517</v>
      </c>
      <c r="B31382" s="4" t="s">
        <v>39520</v>
      </c>
      <c r="C31382" s="5" t="str">
        <f>IFERROR(__xludf.DUMMYFUNCTION("GOOGLETRANSLATE(B31382,""en"",""es-ES"")"),"Un grupo de personas está rafting por los ríos con rápidos.")</f>
        <v>Un grupo de personas está rafting por los ríos con rápidos.</v>
      </c>
    </row>
    <row r="31383">
      <c r="A31383" s="4" t="s">
        <v>39517</v>
      </c>
      <c r="B31383" s="4" t="s">
        <v>39521</v>
      </c>
      <c r="C31383" s="5" t="str">
        <f>IFERROR(__xludf.DUMMYFUNCTION("GOOGLETRANSLATE(B31383,""en"",""es-ES"")"),"Animan levantando sus paletas.")</f>
        <v>Animan levantando sus paletas.</v>
      </c>
    </row>
    <row r="31384">
      <c r="A31384" s="4" t="s">
        <v>39517</v>
      </c>
      <c r="B31384" s="4" t="s">
        <v>39522</v>
      </c>
      <c r="C31384" s="5" t="str">
        <f>IFERROR(__xludf.DUMMYFUNCTION("GOOGLETRANSLATE(B31384,""en"",""es-ES"")"),"Continúan balsando por el río.")</f>
        <v>Continúan balsando por el río.</v>
      </c>
    </row>
    <row r="31385">
      <c r="A31385" s="4" t="s">
        <v>39517</v>
      </c>
      <c r="B31385" s="4" t="s">
        <v>39523</v>
      </c>
      <c r="C31385" s="5" t="str">
        <f>IFERROR(__xludf.DUMMYFUNCTION("GOOGLETRANSLATE(B31385,""en"",""es-ES"")"),"Corta a las personas en el banco en un campamento.")</f>
        <v>Corta a las personas en el banco en un campamento.</v>
      </c>
    </row>
    <row r="31386">
      <c r="A31386" s="4" t="s">
        <v>39517</v>
      </c>
      <c r="B31386" s="4" t="s">
        <v>39524</v>
      </c>
      <c r="C31386" s="5" t="str">
        <f>IFERROR(__xludf.DUMMYFUNCTION("GOOGLETRANSLATE(B31386,""en"",""es-ES"")"),"La gente una vez más está rafting por el río.")</f>
        <v>La gente una vez más está rafting por el río.</v>
      </c>
    </row>
    <row r="31387">
      <c r="A31387" s="4" t="s">
        <v>39517</v>
      </c>
      <c r="B31387" s="4" t="s">
        <v>39525</v>
      </c>
      <c r="C31387" s="5" t="str">
        <f>IFERROR(__xludf.DUMMYFUNCTION("GOOGLETRANSLATE(B31387,""en"",""es-ES"")"),"Una persona kayaks río abajo.")</f>
        <v>Una persona kayaks río abajo.</v>
      </c>
    </row>
    <row r="31388">
      <c r="A31388" s="4" t="s">
        <v>39517</v>
      </c>
      <c r="B31388" s="4" t="s">
        <v>39526</v>
      </c>
      <c r="C31388" s="5" t="str">
        <f>IFERROR(__xludf.DUMMYFUNCTION("GOOGLETRANSLATE(B31388,""en"",""es-ES"")"),"Otra persona kayaks río abajo.")</f>
        <v>Otra persona kayaks río abajo.</v>
      </c>
    </row>
    <row r="31389">
      <c r="A31389" s="4" t="s">
        <v>39517</v>
      </c>
      <c r="B31389" s="4" t="s">
        <v>39527</v>
      </c>
      <c r="C31389" s="5" t="str">
        <f>IFERROR(__xludf.DUMMYFUNCTION("GOOGLETRANSLATE(B31389,""en"",""es-ES"")"),"Otro grupo balsas río abajo.")</f>
        <v>Otro grupo balsas río abajo.</v>
      </c>
    </row>
    <row r="31390">
      <c r="A31390" s="4" t="s">
        <v>39517</v>
      </c>
      <c r="B31390" s="4" t="s">
        <v>39528</v>
      </c>
      <c r="C31390" s="5" t="str">
        <f>IFERROR(__xludf.DUMMYFUNCTION("GOOGLETRANSLATE(B31390,""en"",""es-ES"")"),"Muestra monos en el banco.")</f>
        <v>Muestra monos en el banco.</v>
      </c>
    </row>
    <row r="31391">
      <c r="A31391" s="4" t="s">
        <v>39517</v>
      </c>
      <c r="B31391" s="4" t="s">
        <v>39529</v>
      </c>
      <c r="C31391" s="5" t="str">
        <f>IFERROR(__xludf.DUMMYFUNCTION("GOOGLETRANSLATE(B31391,""en"",""es-ES"")"),"La gente es salpicada por una cascada.")</f>
        <v>La gente es salpicada por una cascada.</v>
      </c>
    </row>
    <row r="31392">
      <c r="A31392" s="4" t="s">
        <v>39517</v>
      </c>
      <c r="B31392" s="4" t="s">
        <v>39530</v>
      </c>
      <c r="C31392" s="5" t="str">
        <f>IFERROR(__xludf.DUMMYFUNCTION("GOOGLETRANSLATE(B31392,""en"",""es-ES"")"),"Corta el logotipo y la información.")</f>
        <v>Corta el logotipo y la información.</v>
      </c>
    </row>
    <row r="31393">
      <c r="A31393" s="4" t="s">
        <v>39531</v>
      </c>
      <c r="B31393" s="4" t="s">
        <v>39532</v>
      </c>
      <c r="C31393" s="5" t="str">
        <f>IFERROR(__xludf.DUMMYFUNCTION("GOOGLETRANSLATE(B31393,""en"",""es-ES"")"),"También se ven dos mujeres de pie ante un árbol de Navidad con niños pequeños presentes.")</f>
        <v>También se ven dos mujeres de pie ante un árbol de Navidad con niños pequeños presentes.</v>
      </c>
    </row>
    <row r="31394">
      <c r="A31394" s="4" t="s">
        <v>39531</v>
      </c>
      <c r="B31394" s="4" t="s">
        <v>39533</v>
      </c>
      <c r="C31394" s="5" t="str">
        <f>IFERROR(__xludf.DUMMYFUNCTION("GOOGLETRANSLATE(B31394,""en"",""es-ES"")"),"La gente luego se mueve unos a otros colocando adornos en el árbol en movimiento rápido.")</f>
        <v>La gente luego se mueve unos a otros colocando adornos en el árbol en movimiento rápido.</v>
      </c>
    </row>
    <row r="31395">
      <c r="A31395" s="4" t="s">
        <v>39531</v>
      </c>
      <c r="B31395" s="4" t="s">
        <v>39534</v>
      </c>
      <c r="C31395" s="5" t="str">
        <f>IFERROR(__xludf.DUMMYFUNCTION("GOOGLETRANSLATE(B31395,""en"",""es-ES"")"),"Las chicas continúan poniendo artículos en el árbol y terminan sonriendo a la cámara.")</f>
        <v>Las chicas continúan poniendo artículos en el árbol y terminan sonriendo a la cámara.</v>
      </c>
    </row>
    <row r="31396">
      <c r="A31396" s="4" t="s">
        <v>39535</v>
      </c>
      <c r="B31396" s="4" t="s">
        <v>39536</v>
      </c>
      <c r="C31396" s="5" t="str">
        <f>IFERROR(__xludf.DUMMYFUNCTION("GOOGLETRANSLATE(B31396,""en"",""es-ES"")"),"Un hombre está sentado en una silla junto a un presentador de programas de entrevistas.")</f>
        <v>Un hombre está sentado en una silla junto a un presentador de programas de entrevistas.</v>
      </c>
    </row>
    <row r="31397">
      <c r="A31397" s="4" t="s">
        <v>39535</v>
      </c>
      <c r="B31397" s="4" t="s">
        <v>39537</v>
      </c>
      <c r="C31397" s="5" t="str">
        <f>IFERROR(__xludf.DUMMYFUNCTION("GOOGLETRANSLATE(B31397,""en"",""es-ES"")"),"Una mujer está organizando un torneo de cerveza pong, y los dos hombres van a la mesa.")</f>
        <v>Una mujer está organizando un torneo de cerveza pong, y los dos hombres van a la mesa.</v>
      </c>
    </row>
    <row r="31398">
      <c r="A31398" s="4" t="s">
        <v>39535</v>
      </c>
      <c r="B31398" s="4" t="s">
        <v>39538</v>
      </c>
      <c r="C31398" s="5" t="str">
        <f>IFERROR(__xludf.DUMMYFUNCTION("GOOGLETRANSLATE(B31398,""en"",""es-ES"")"),"Beben e intentan tirar las bolas en las tazas.")</f>
        <v>Beben e intentan tirar las bolas en las tazas.</v>
      </c>
    </row>
    <row r="31399">
      <c r="A31399" s="4" t="s">
        <v>39535</v>
      </c>
      <c r="B31399" s="4" t="s">
        <v>39539</v>
      </c>
      <c r="C31399" s="5" t="str">
        <f>IFERROR(__xludf.DUMMYFUNCTION("GOOGLETRANSLATE(B31399,""en"",""es-ES"")"),"La banda toca en el fondo mientras tocan los hombres.")</f>
        <v>La banda toca en el fondo mientras tocan los hombres.</v>
      </c>
    </row>
    <row r="31400">
      <c r="A31400" s="4" t="s">
        <v>39540</v>
      </c>
      <c r="B31400" s="4" t="s">
        <v>39541</v>
      </c>
      <c r="C31400" s="5" t="str">
        <f>IFERROR(__xludf.DUMMYFUNCTION("GOOGLETRANSLATE(B31400,""en"",""es-ES"")"),"Se ve a un gran grupo de personas de pie alrededor de una mesa con una que habla con la cámara.")</f>
        <v>Se ve a un gran grupo de personas de pie alrededor de una mesa con una que habla con la cámara.</v>
      </c>
    </row>
    <row r="31401">
      <c r="A31401" s="4" t="s">
        <v>39540</v>
      </c>
      <c r="B31401" s="4" t="s">
        <v>39542</v>
      </c>
      <c r="C31401" s="5" t="str">
        <f>IFERROR(__xludf.DUMMYFUNCTION("GOOGLETRANSLATE(B31401,""en"",""es-ES"")"),"Luego, la gente se ayude mutuamente a poner ingredientes en sartenes y voltearlos.")</f>
        <v>Luego, la gente se ayude mutuamente a poner ingredientes en sartenes y voltearlos.</v>
      </c>
    </row>
    <row r="31402">
      <c r="A31402" s="4" t="s">
        <v>39540</v>
      </c>
      <c r="B31402" s="4" t="s">
        <v>39543</v>
      </c>
      <c r="C31402" s="5" t="str">
        <f>IFERROR(__xludf.DUMMYFUNCTION("GOOGLETRANSLATE(B31402,""en"",""es-ES"")"),"La gente continúa mezclando la comida y termina presentándola en un plato.")</f>
        <v>La gente continúa mezclando la comida y termina presentándola en un plato.</v>
      </c>
    </row>
    <row r="31403">
      <c r="A31403" s="4" t="s">
        <v>39544</v>
      </c>
      <c r="B31403" s="4" t="s">
        <v>39545</v>
      </c>
      <c r="C31403" s="5" t="str">
        <f>IFERROR(__xludf.DUMMYFUNCTION("GOOGLETRANSLATE(B31403,""en"",""es-ES"")"),"Una mujer está sentada en una silla mientras una mujer detrás de ella sostiene un secador de pelo.")</f>
        <v>Una mujer está sentada en una silla mientras una mujer detrás de ella sostiene un secador de pelo.</v>
      </c>
    </row>
    <row r="31404">
      <c r="A31404" s="4" t="s">
        <v>39544</v>
      </c>
      <c r="B31404" s="4" t="s">
        <v>39546</v>
      </c>
      <c r="C31404" s="5" t="str">
        <f>IFERROR(__xludf.DUMMYFUNCTION("GOOGLETRANSLATE(B31404,""en"",""es-ES"")"),"Ella comienza a secarse el cabello de la mujer.")</f>
        <v>Ella comienza a secarse el cabello de la mujer.</v>
      </c>
    </row>
    <row r="31405">
      <c r="A31405" s="4" t="s">
        <v>39544</v>
      </c>
      <c r="B31405" s="4" t="s">
        <v>39547</v>
      </c>
      <c r="C31405" s="5" t="str">
        <f>IFERROR(__xludf.DUMMYFUNCTION("GOOGLETRANSLATE(B31405,""en"",""es-ES"")"),"La mujer está hablando con la cámara apuntando a un secador de pelo.")</f>
        <v>La mujer está hablando con la cámara apuntando a un secador de pelo.</v>
      </c>
    </row>
    <row r="31406">
      <c r="A31406" s="4" t="s">
        <v>39548</v>
      </c>
      <c r="B31406" s="4" t="s">
        <v>39549</v>
      </c>
      <c r="C31406" s="5" t="str">
        <f>IFERROR(__xludf.DUMMYFUNCTION("GOOGLETRANSLATE(B31406,""en"",""es-ES"")"),"Una mujer está sentada detrás de una mesa de madera.")</f>
        <v>Una mujer está sentada detrás de una mesa de madera.</v>
      </c>
    </row>
    <row r="31407">
      <c r="A31407" s="4" t="s">
        <v>39548</v>
      </c>
      <c r="B31407" s="4" t="s">
        <v>39550</v>
      </c>
      <c r="C31407" s="5" t="str">
        <f>IFERROR(__xludf.DUMMYFUNCTION("GOOGLETRANSLATE(B31407,""en"",""es-ES"")"),"Rápidamente mueve bloques de color en un rompecabezas, tratando de resolverlo.")</f>
        <v>Rápidamente mueve bloques de color en un rompecabezas, tratando de resolverlo.</v>
      </c>
    </row>
    <row r="31408">
      <c r="A31408" s="4" t="s">
        <v>39548</v>
      </c>
      <c r="B31408" s="4" t="s">
        <v>39551</v>
      </c>
      <c r="C31408" s="5" t="str">
        <f>IFERROR(__xludf.DUMMYFUNCTION("GOOGLETRANSLATE(B31408,""en"",""es-ES"")"),"Ella resuelve el rompecabezas y lo muestra a la cámara.")</f>
        <v>Ella resuelve el rompecabezas y lo muestra a la cámara.</v>
      </c>
    </row>
    <row r="31409">
      <c r="A31409" s="4" t="s">
        <v>39552</v>
      </c>
      <c r="B31409" s="4" t="s">
        <v>39553</v>
      </c>
      <c r="C31409" s="5" t="str">
        <f>IFERROR(__xludf.DUMMYFUNCTION("GOOGLETRANSLATE(B31409,""en"",""es-ES"")"),"Se ve a un pequeño grupo de hombres caminando por un camino de tierra seguido de varias tomas de ellos montando en tubos y riendo a la cámara.")</f>
        <v>Se ve a un pequeño grupo de hombres caminando por un camino de tierra seguido de varias tomas de ellos montando en tubos y riendo a la cámara.</v>
      </c>
    </row>
    <row r="31410">
      <c r="A31410" s="4" t="s">
        <v>39552</v>
      </c>
      <c r="B31410" s="4" t="s">
        <v>39554</v>
      </c>
      <c r="C31410" s="5" t="str">
        <f>IFERROR(__xludf.DUMMYFUNCTION("GOOGLETRANSLATE(B31410,""en"",""es-ES"")"),"Continúan montando por el río debajo de los árboles y tiene más personas sosteniendo la cámara.")</f>
        <v>Continúan montando por el río debajo de los árboles y tiene más personas sosteniendo la cámara.</v>
      </c>
    </row>
    <row r="31411">
      <c r="A31411" s="4" t="s">
        <v>39555</v>
      </c>
      <c r="B31411" s="4" t="s">
        <v>39556</v>
      </c>
      <c r="C31411" s="5" t="str">
        <f>IFERROR(__xludf.DUMMYFUNCTION("GOOGLETRANSLATE(B31411,""en"",""es-ES"")"),"Un chico te muestra cómo hacer una copa, el chico vierte hielo en un vaso alto, agrega media taza de cierto tipo de licor y verterlo en la taza con el hielo.")</f>
        <v>Un chico te muestra cómo hacer una copa, el chico vierte hielo en un vaso alto, agrega media taza de cierto tipo de licor y verterlo en la taza con el hielo.</v>
      </c>
    </row>
    <row r="31412">
      <c r="A31412" s="4" t="s">
        <v>39555</v>
      </c>
      <c r="B31412" s="4" t="s">
        <v>39557</v>
      </c>
      <c r="C31412" s="5" t="str">
        <f>IFERROR(__xludf.DUMMYFUNCTION("GOOGLETRANSLATE(B31412,""en"",""es-ES"")"),"Luego agrega refresco a la taza que hace que la taza se llene de la parte superior y comience a agitarla con una herramienta de metal.")</f>
        <v>Luego agrega refresco a la taza que hace que la taza se llene de la parte superior y comience a agitarla con una herramienta de metal.</v>
      </c>
    </row>
    <row r="31413">
      <c r="A31413" s="4" t="s">
        <v>39555</v>
      </c>
      <c r="B31413" s="4" t="s">
        <v>39558</v>
      </c>
      <c r="C31413" s="5" t="str">
        <f>IFERROR(__xludf.DUMMYFUNCTION("GOOGLETRANSLATE(B31413,""en"",""es-ES"")"),"El tipo luego aprieta tres medias limas en la taza y empuja las tres lima al fondo de la taza con la herramienta de metal que usa para revolver la bebida.")</f>
        <v>El tipo luego aprieta tres medias limas en la taza y empuja las tres lima al fondo de la taza con la herramienta de metal que usa para revolver la bebida.</v>
      </c>
    </row>
    <row r="31414">
      <c r="A31414" s="4" t="s">
        <v>39555</v>
      </c>
      <c r="B31414" s="4" t="s">
        <v>39559</v>
      </c>
      <c r="C31414" s="5" t="str">
        <f>IFERROR(__xludf.DUMMYFUNCTION("GOOGLETRANSLATE(B31414,""en"",""es-ES"")"),"Finalmente, vierte la bebida del vaso alto a un vaso más corto, agrega un tipo diferente de licor con una pajita para terminar.")</f>
        <v>Finalmente, vierte la bebida del vaso alto a un vaso más corto, agrega un tipo diferente de licor con una pajita para terminar.</v>
      </c>
    </row>
    <row r="31415">
      <c r="A31415" s="4" t="s">
        <v>39560</v>
      </c>
      <c r="B31415" s="4" t="s">
        <v>6935</v>
      </c>
      <c r="C31415" s="5" t="str">
        <f>IFERROR(__xludf.DUMMYFUNCTION("GOOGLETRANSLATE(B31415,""en"",""es-ES"")"),"El texto aparece en la pantalla brevemente.")</f>
        <v>El texto aparece en la pantalla brevemente.</v>
      </c>
    </row>
    <row r="31416">
      <c r="A31416" s="4" t="s">
        <v>39560</v>
      </c>
      <c r="B31416" s="4" t="s">
        <v>39561</v>
      </c>
      <c r="C31416" s="5" t="str">
        <f>IFERROR(__xludf.DUMMYFUNCTION("GOOGLETRANSLATE(B31416,""en"",""es-ES"")"),"Dos personas se paran frente a un pastel y hablan.")</f>
        <v>Dos personas se paran frente a un pastel y hablan.</v>
      </c>
    </row>
    <row r="31417">
      <c r="A31417" s="4" t="s">
        <v>39560</v>
      </c>
      <c r="B31417" s="4" t="s">
        <v>39562</v>
      </c>
      <c r="C31417" s="5" t="str">
        <f>IFERROR(__xludf.DUMMYFUNCTION("GOOGLETRANSLATE(B31417,""en"",""es-ES"")"),"El texto aparece en la pantalla mientras hablan.")</f>
        <v>El texto aparece en la pantalla mientras hablan.</v>
      </c>
    </row>
    <row r="31418">
      <c r="A31418" s="4" t="s">
        <v>39560</v>
      </c>
      <c r="B31418" s="4" t="s">
        <v>39563</v>
      </c>
      <c r="C31418" s="5" t="str">
        <f>IFERROR(__xludf.DUMMYFUNCTION("GOOGLETRANSLATE(B31418,""en"",""es-ES"")"),"Una mujer combina ingredientes en una olla en la estufa.")</f>
        <v>Una mujer combina ingredientes en una olla en la estufa.</v>
      </c>
    </row>
    <row r="31419">
      <c r="A31419" s="4" t="s">
        <v>39560</v>
      </c>
      <c r="B31419" s="4" t="s">
        <v>39564</v>
      </c>
      <c r="C31419" s="5" t="str">
        <f>IFERROR(__xludf.DUMMYFUNCTION("GOOGLETRANSLATE(B31419,""en"",""es-ES"")"),"Un hombre vierte ron en la olla y lo revuelve.")</f>
        <v>Un hombre vierte ron en la olla y lo revuelve.</v>
      </c>
    </row>
    <row r="31420">
      <c r="A31420" s="4" t="s">
        <v>39560</v>
      </c>
      <c r="B31420" s="4" t="s">
        <v>39565</v>
      </c>
      <c r="C31420" s="5" t="str">
        <f>IFERROR(__xludf.DUMMYFUNCTION("GOOGLETRANSLATE(B31420,""en"",""es-ES"")"),"Hacen agujeros en el pastel con cuchillos y vierten la mezcla sobre él.")</f>
        <v>Hacen agujeros en el pastel con cuchillos y vierten la mezcla sobre él.</v>
      </c>
    </row>
    <row r="31421">
      <c r="A31421" s="4" t="s">
        <v>39560</v>
      </c>
      <c r="B31421" s="4" t="s">
        <v>39566</v>
      </c>
      <c r="C31421" s="5" t="str">
        <f>IFERROR(__xludf.DUMMYFUNCTION("GOOGLETRANSLATE(B31421,""en"",""es-ES"")"),"Se paran delante del pastel nuevamente y hablan.")</f>
        <v>Se paran delante del pastel nuevamente y hablan.</v>
      </c>
    </row>
    <row r="31422">
      <c r="A31422" s="4" t="s">
        <v>39560</v>
      </c>
      <c r="B31422" s="4" t="s">
        <v>39567</v>
      </c>
      <c r="C31422" s="5" t="str">
        <f>IFERROR(__xludf.DUMMYFUNCTION("GOOGLETRANSLATE(B31422,""en"",""es-ES"")"),"Comen el pastel mientras hablan.")</f>
        <v>Comen el pastel mientras hablan.</v>
      </c>
    </row>
    <row r="31423">
      <c r="A31423" s="4" t="s">
        <v>39568</v>
      </c>
      <c r="B31423" s="4" t="s">
        <v>39569</v>
      </c>
      <c r="C31423" s="5" t="str">
        <f>IFERROR(__xludf.DUMMYFUNCTION("GOOGLETRANSLATE(B31423,""en"",""es-ES"")"),"Un hombre llena una cachimba con agua y la coloca en una mesa.")</f>
        <v>Un hombre llena una cachimba con agua y la coloca en una mesa.</v>
      </c>
    </row>
    <row r="31424">
      <c r="A31424" s="4" t="s">
        <v>39568</v>
      </c>
      <c r="B31424" s="4" t="s">
        <v>39570</v>
      </c>
      <c r="C31424" s="5" t="str">
        <f>IFERROR(__xludf.DUMMYFUNCTION("GOOGLETRANSLATE(B31424,""en"",""es-ES"")"),"Pone el tabaco en un dispositivo y lo cubre con papel de aluminio.")</f>
        <v>Pone el tabaco en un dispositivo y lo cubre con papel de aluminio.</v>
      </c>
    </row>
    <row r="31425">
      <c r="A31425" s="4" t="s">
        <v>39568</v>
      </c>
      <c r="B31425" s="4" t="s">
        <v>39571</v>
      </c>
      <c r="C31425" s="5" t="str">
        <f>IFERROR(__xludf.DUMMYFUNCTION("GOOGLETRANSLATE(B31425,""en"",""es-ES"")"),"Él empuja un agujero en la parte superior del papel de aluminio varias veces.")</f>
        <v>Él empuja un agujero en la parte superior del papel de aluminio varias veces.</v>
      </c>
    </row>
    <row r="31426">
      <c r="A31426" s="4" t="s">
        <v>39568</v>
      </c>
      <c r="B31426" s="4" t="s">
        <v>39572</v>
      </c>
      <c r="C31426" s="5" t="str">
        <f>IFERROR(__xludf.DUMMYFUNCTION("GOOGLETRANSLATE(B31426,""en"",""es-ES"")"),"Él pone eso en la parte superior de la cachimba.")</f>
        <v>Él pone eso en la parte superior de la cachimba.</v>
      </c>
    </row>
    <row r="31427">
      <c r="A31427" s="4" t="s">
        <v>39568</v>
      </c>
      <c r="B31427" s="4" t="s">
        <v>39573</v>
      </c>
      <c r="C31427" s="5" t="str">
        <f>IFERROR(__xludf.DUMMYFUNCTION("GOOGLETRANSLATE(B31427,""en"",""es-ES"")"),"Quita un humo de la narguile y sopla el humo.")</f>
        <v>Quita un humo de la narguile y sopla el humo.</v>
      </c>
    </row>
    <row r="31428">
      <c r="A31428" s="4" t="s">
        <v>39574</v>
      </c>
      <c r="B31428" s="4" t="s">
        <v>39575</v>
      </c>
      <c r="C31428" s="5" t="str">
        <f>IFERROR(__xludf.DUMMYFUNCTION("GOOGLETRANSLATE(B31428,""en"",""es-ES"")"),"Un grupo de personas viaja en un bote a la isla Catalina.")</f>
        <v>Un grupo de personas viaja en un bote a la isla Catalina.</v>
      </c>
    </row>
    <row r="31429">
      <c r="A31429" s="4" t="s">
        <v>39574</v>
      </c>
      <c r="B31429" s="4" t="s">
        <v>39576</v>
      </c>
      <c r="C31429" s="5" t="str">
        <f>IFERROR(__xludf.DUMMYFUNCTION("GOOGLETRANSLATE(B31429,""en"",""es-ES"")"),"Un hombre que usa una camiseta gris se filtra con un palo selfie mientras conduce en un bote.")</f>
        <v>Un hombre que usa una camiseta gris se filtra con un palo selfie mientras conduce en un bote.</v>
      </c>
    </row>
    <row r="31430">
      <c r="A31430" s="4" t="s">
        <v>39574</v>
      </c>
      <c r="B31430" s="4" t="s">
        <v>39577</v>
      </c>
      <c r="C31430" s="5" t="str">
        <f>IFERROR(__xludf.DUMMYFUNCTION("GOOGLETRANSLATE(B31430,""en"",""es-ES"")"),"El grupo de personas en el bote está vestida con equipo de buceo.")</f>
        <v>El grupo de personas en el bote está vestida con equipo de buceo.</v>
      </c>
    </row>
    <row r="31431">
      <c r="A31431" s="4" t="s">
        <v>39574</v>
      </c>
      <c r="B31431" s="4" t="s">
        <v>39578</v>
      </c>
      <c r="C31431" s="5" t="str">
        <f>IFERROR(__xludf.DUMMYFUNCTION("GOOGLETRANSLATE(B31431,""en"",""es-ES"")"),"Un hombre con equipo de buceo ingresa al agua mientras se filma mientras sostiene un palo selfie.")</f>
        <v>Un hombre con equipo de buceo ingresa al agua mientras se filma mientras sostiene un palo selfie.</v>
      </c>
    </row>
    <row r="31432">
      <c r="A31432" s="4" t="s">
        <v>39574</v>
      </c>
      <c r="B31432" s="4" t="s">
        <v>39579</v>
      </c>
      <c r="C31432" s="5" t="str">
        <f>IFERROR(__xludf.DUMMYFUNCTION("GOOGLETRANSLATE(B31432,""en"",""es-ES"")"),"El buzo se filtra mientras se buceo bajo el agua.")</f>
        <v>El buzo se filtra mientras se buceo bajo el agua.</v>
      </c>
    </row>
    <row r="31433">
      <c r="A31433" s="4" t="s">
        <v>39574</v>
      </c>
      <c r="B31433" s="4" t="s">
        <v>39580</v>
      </c>
      <c r="C31433" s="5" t="str">
        <f>IFERROR(__xludf.DUMMYFUNCTION("GOOGLETRANSLATE(B31433,""en"",""es-ES"")"),"Ddiver filma una escuela de peces y peces tropicales amarillos brillantes.")</f>
        <v>Ddiver filma una escuela de peces y peces tropicales amarillos brillantes.</v>
      </c>
    </row>
    <row r="31434">
      <c r="A31434" s="4" t="s">
        <v>39574</v>
      </c>
      <c r="B31434" s="4" t="s">
        <v>39581</v>
      </c>
      <c r="C31434" s="5" t="str">
        <f>IFERROR(__xludf.DUMMYFUNCTION("GOOGLETRANSLATE(B31434,""en"",""es-ES"")"),"El camarógrafo del buzo camina hacia atrás hacia los escalones que salen del agua.")</f>
        <v>El camarógrafo del buzo camina hacia atrás hacia los escalones que salen del agua.</v>
      </c>
    </row>
    <row r="31435">
      <c r="A31435" s="4" t="s">
        <v>39574</v>
      </c>
      <c r="B31435" s="4" t="s">
        <v>39582</v>
      </c>
      <c r="C31435" s="5" t="str">
        <f>IFERROR(__xludf.DUMMYFUNCTION("GOOGLETRANSLATE(B31435,""en"",""es-ES"")"),"Un grupo de buzos vestidos con ropa de calle en un carrito de golf.")</f>
        <v>Un grupo de buzos vestidos con ropa de calle en un carrito de golf.</v>
      </c>
    </row>
    <row r="31436">
      <c r="A31436" s="4" t="s">
        <v>39583</v>
      </c>
      <c r="B31436" s="4" t="s">
        <v>39584</v>
      </c>
      <c r="C31436" s="5" t="str">
        <f>IFERROR(__xludf.DUMMYFUNCTION("GOOGLETRANSLATE(B31436,""en"",""es-ES"")"),"La mujer está de pie en una cocina frente a una cámara y muestra ingredientes en la parte superior de la mesa.")</f>
        <v>La mujer está de pie en una cocina frente a una cámara y muestra ingredientes en la parte superior de la mesa.</v>
      </c>
    </row>
    <row r="31437">
      <c r="A31437" s="4" t="s">
        <v>39583</v>
      </c>
      <c r="B31437" s="4" t="s">
        <v>39585</v>
      </c>
      <c r="C31437" s="5" t="str">
        <f>IFERROR(__xludf.DUMMYFUNCTION("GOOGLETRANSLATE(B31437,""en"",""es-ES"")"),"La mujer está vertiendo los ingredientes dentro de la ayuda de una cocina y mezclándolos y explicando a la cámara cómo hacer la pasta.")</f>
        <v>La mujer está vertiendo los ingredientes dentro de la ayuda de una cocina y mezclándolos y explicando a la cámara cómo hacer la pasta.</v>
      </c>
    </row>
    <row r="31438">
      <c r="A31438" s="4" t="s">
        <v>39586</v>
      </c>
      <c r="B31438" s="4" t="s">
        <v>39587</v>
      </c>
      <c r="C31438" s="5" t="str">
        <f>IFERROR(__xludf.DUMMYFUNCTION("GOOGLETRANSLATE(B31438,""en"",""es-ES"")"),"Una mujer detrás de la barra que habla, tiene una botella de corona.")</f>
        <v>Una mujer detrás de la barra que habla, tiene una botella de corona.</v>
      </c>
    </row>
    <row r="31439">
      <c r="A31439" s="4" t="s">
        <v>39586</v>
      </c>
      <c r="B31439" s="4" t="s">
        <v>39588</v>
      </c>
      <c r="C31439" s="5" t="str">
        <f>IFERROR(__xludf.DUMMYFUNCTION("GOOGLETRANSLATE(B31439,""en"",""es-ES"")"),"Ella chupa la botella de varias veces.")</f>
        <v>Ella chupa la botella de varias veces.</v>
      </c>
    </row>
    <row r="31440">
      <c r="A31440" s="4" t="s">
        <v>39586</v>
      </c>
      <c r="B31440" s="4" t="s">
        <v>39589</v>
      </c>
      <c r="C31440" s="5" t="str">
        <f>IFERROR(__xludf.DUMMYFUNCTION("GOOGLETRANSLATE(B31440,""en"",""es-ES"")"),"Luego, lo agarra solo con la boca y la sostiene tomando la cerveza.")</f>
        <v>Luego, lo agarra solo con la boca y la sostiene tomando la cerveza.</v>
      </c>
    </row>
    <row r="31441">
      <c r="A31441" s="4" t="s">
        <v>39586</v>
      </c>
      <c r="B31441" s="4" t="s">
        <v>39590</v>
      </c>
      <c r="C31441" s="5" t="str">
        <f>IFERROR(__xludf.DUMMYFUNCTION("GOOGLETRANSLATE(B31441,""en"",""es-ES"")"),"Ella empuja y toma hasta que esté completamente vacía.")</f>
        <v>Ella empuja y toma hasta que esté completamente vacía.</v>
      </c>
    </row>
    <row r="31442">
      <c r="A31442" s="4" t="s">
        <v>39591</v>
      </c>
      <c r="B31442" s="4" t="s">
        <v>39592</v>
      </c>
      <c r="C31442" s="5" t="str">
        <f>IFERROR(__xludf.DUMMYFUNCTION("GOOGLETRANSLATE(B31442,""en"",""es-ES"")"),"Un hombre caucásico está afuera sosteniendo una patineta.")</f>
        <v>Un hombre caucásico está afuera sosteniendo una patineta.</v>
      </c>
    </row>
    <row r="31443">
      <c r="A31443" s="4" t="s">
        <v>39591</v>
      </c>
      <c r="B31443" s="4" t="s">
        <v>39593</v>
      </c>
      <c r="C31443" s="5" t="str">
        <f>IFERROR(__xludf.DUMMYFUNCTION("GOOGLETRANSLATE(B31443,""en"",""es-ES"")"),"Luego baja por un camino sinuoso y baja por el skate y la imagen está quieta hasta que se desliza en un truco y luego se detiene nuevamente.")</f>
        <v>Luego baja por un camino sinuoso y baja por el skate y la imagen está quieta hasta que se desliza en un truco y luego se detiene nuevamente.</v>
      </c>
    </row>
    <row r="31444">
      <c r="A31444" s="4" t="s">
        <v>39591</v>
      </c>
      <c r="B31444" s="4" t="s">
        <v>39594</v>
      </c>
      <c r="C31444" s="5" t="str">
        <f>IFERROR(__xludf.DUMMYFUNCTION("GOOGLETRANSLATE(B31444,""en"",""es-ES"")"),"La rutina continúa y luego el jugador se pone de pie mientras continúa avanzando por el camino.")</f>
        <v>La rutina continúa y luego el jugador se pone de pie mientras continúa avanzando por el camino.</v>
      </c>
    </row>
    <row r="31445">
      <c r="A31445" s="4" t="s">
        <v>39591</v>
      </c>
      <c r="B31445" s="4" t="s">
        <v>39595</v>
      </c>
      <c r="C31445" s="5" t="str">
        <f>IFERROR(__xludf.DUMMYFUNCTION("GOOGLETRANSLATE(B31445,""en"",""es-ES"")"),"Una vez que está completamente terminado, regresa a donde comenzó originalmente y sigue hablando con la cámara mientras sostiene su patineta en su mano izquierda.")</f>
        <v>Una vez que está completamente terminado, regresa a donde comenzó originalmente y sigue hablando con la cámara mientras sostiene su patineta en su mano izquierda.</v>
      </c>
    </row>
    <row r="31446">
      <c r="A31446" s="4" t="s">
        <v>39591</v>
      </c>
      <c r="B31446" s="4" t="s">
        <v>39596</v>
      </c>
      <c r="C31446" s="5" t="str">
        <f>IFERROR(__xludf.DUMMYFUNCTION("GOOGLETRANSLATE(B31446,""en"",""es-ES"")"),"Después, el hombre se da vuelta y muestra cómo sus pantalones cortos de carga marrones están parcheados con cinta adhesiva.")</f>
        <v>Después, el hombre se da vuelta y muestra cómo sus pantalones cortos de carga marrones están parcheados con cinta adhesiva.</v>
      </c>
    </row>
    <row r="31447">
      <c r="A31447" s="4" t="s">
        <v>39597</v>
      </c>
      <c r="B31447" s="4" t="s">
        <v>39598</v>
      </c>
      <c r="C31447" s="5" t="str">
        <f>IFERROR(__xludf.DUMMYFUNCTION("GOOGLETRANSLATE(B31447,""en"",""es-ES"")"),"Se muestra un primer plano de una persona que se pone un estante, seguido de varias mujeres que levantan grandes cantidades de peso.")</f>
        <v>Se muestra un primer plano de una persona que se pone un estante, seguido de varias mujeres que levantan grandes cantidades de peso.</v>
      </c>
    </row>
    <row r="31448">
      <c r="A31448" s="4" t="s">
        <v>39597</v>
      </c>
      <c r="B31448" s="4" t="s">
        <v>39599</v>
      </c>
      <c r="C31448" s="5" t="str">
        <f>IFERROR(__xludf.DUMMYFUNCTION("GOOGLETRANSLATE(B31448,""en"",""es-ES"")"),"Se ve a más personas levantando los pesados ​​pesos sobre su cabeza y arrojándolo cuando hayan terminado.")</f>
        <v>Se ve a más personas levantando los pesados ​​pesos sobre su cabeza y arrojándolo cuando hayan terminado.</v>
      </c>
    </row>
    <row r="31449">
      <c r="A31449" s="4" t="s">
        <v>39600</v>
      </c>
      <c r="B31449" s="4" t="s">
        <v>39601</v>
      </c>
      <c r="C31449" s="5" t="str">
        <f>IFERROR(__xludf.DUMMYFUNCTION("GOOGLETRANSLATE(B31449,""en"",""es-ES"")"),"Se ve a varias personas sentadas afuera en una mesa de picnic y conduce a dos personas que atan una cuerda alrededor de un árbol.")</f>
        <v>Se ve a varias personas sentadas afuera en una mesa de picnic y conduce a dos personas que atan una cuerda alrededor de un árbol.</v>
      </c>
    </row>
    <row r="31450">
      <c r="A31450" s="4" t="s">
        <v>39600</v>
      </c>
      <c r="B31450" s="4" t="s">
        <v>39602</v>
      </c>
      <c r="C31450" s="5" t="str">
        <f>IFERROR(__xludf.DUMMYFUNCTION("GOOGLETRANSLATE(B31450,""en"",""es-ES"")"),"Más personas vienen a ayudar y conducir a un niño caminando por la cuerda con la ayuda de un hombre.")</f>
        <v>Más personas vienen a ayudar y conducir a un niño caminando por la cuerda con la ayuda de un hombre.</v>
      </c>
    </row>
    <row r="31451">
      <c r="A31451" s="4" t="s">
        <v>39600</v>
      </c>
      <c r="B31451" s="4" t="s">
        <v>39603</v>
      </c>
      <c r="C31451" s="5" t="str">
        <f>IFERROR(__xludf.DUMMYFUNCTION("GOOGLETRANSLATE(B31451,""en"",""es-ES"")"),"Más personas intentan caminar por la cuerda con la ayuda de otros, así como por sí mismas.")</f>
        <v>Más personas intentan caminar por la cuerda con la ayuda de otros, así como por sí mismas.</v>
      </c>
    </row>
    <row r="31452">
      <c r="A31452" s="4" t="s">
        <v>39604</v>
      </c>
      <c r="B31452" s="4" t="s">
        <v>39605</v>
      </c>
      <c r="C31452" s="5" t="str">
        <f>IFERROR(__xludf.DUMMYFUNCTION("GOOGLETRANSLATE(B31452,""en"",""es-ES"")"),"Las palabras Freestyle Swimming flotan en la pantalla.")</f>
        <v>Las palabras Freestyle Swimming flotan en la pantalla.</v>
      </c>
    </row>
    <row r="31453">
      <c r="A31453" s="4" t="s">
        <v>39604</v>
      </c>
      <c r="B31453" s="4" t="s">
        <v>39606</v>
      </c>
      <c r="C31453" s="5" t="str">
        <f>IFERROR(__xludf.DUMMYFUNCTION("GOOGLETRANSLATE(B31453,""en"",""es-ES"")"),"Un hombre salta a la piscina y nada de estilo libre.")</f>
        <v>Un hombre salta a la piscina y nada de estilo libre.</v>
      </c>
    </row>
    <row r="31454">
      <c r="A31454" s="4" t="s">
        <v>39604</v>
      </c>
      <c r="B31454" s="4" t="s">
        <v>39607</v>
      </c>
      <c r="C31454" s="5" t="str">
        <f>IFERROR(__xludf.DUMMYFUNCTION("GOOGLETRANSLATE(B31454,""en"",""es-ES"")"),"Las palabras estilo de espalda flotan en la pantalla.")</f>
        <v>Las palabras estilo de espalda flotan en la pantalla.</v>
      </c>
    </row>
    <row r="31455">
      <c r="A31455" s="4" t="s">
        <v>39604</v>
      </c>
      <c r="B31455" s="4" t="s">
        <v>39608</v>
      </c>
      <c r="C31455" s="5" t="str">
        <f>IFERROR(__xludf.DUMMYFUNCTION("GOOGLETRANSLATE(B31455,""en"",""es-ES"")"),"El mismo hombre nada hacia atrás por el carril desde donde vino.")</f>
        <v>El mismo hombre nada hacia atrás por el carril desde donde vino.</v>
      </c>
    </row>
    <row r="31456">
      <c r="A31456" s="4" t="s">
        <v>39604</v>
      </c>
      <c r="B31456" s="4" t="s">
        <v>39609</v>
      </c>
      <c r="C31456" s="5" t="str">
        <f>IFERROR(__xludf.DUMMYFUNCTION("GOOGLETRANSLATE(B31456,""en"",""es-ES"")"),"Las palabras de pecho aparecen en la pantalla.")</f>
        <v>Las palabras de pecho aparecen en la pantalla.</v>
      </c>
    </row>
    <row r="31457">
      <c r="A31457" s="4" t="s">
        <v>39604</v>
      </c>
      <c r="B31457" s="4" t="s">
        <v>39610</v>
      </c>
      <c r="C31457" s="5" t="str">
        <f>IFERROR(__xludf.DUMMYFUNCTION("GOOGLETRANSLATE(B31457,""en"",""es-ES"")"),"El hombre hace la braza de regreso a través de la piscina.")</f>
        <v>El hombre hace la braza de regreso a través de la piscina.</v>
      </c>
    </row>
    <row r="31458">
      <c r="A31458" s="4" t="s">
        <v>39611</v>
      </c>
      <c r="B31458" s="4" t="s">
        <v>39612</v>
      </c>
      <c r="C31458" s="5" t="str">
        <f>IFERROR(__xludf.DUMMYFUNCTION("GOOGLETRANSLATE(B31458,""en"",""es-ES"")"),"Un reportero de noticias de hombre y mujer está sentado frente a una pantalla de televisión mientras hablan.")</f>
        <v>Un reportero de noticias de hombre y mujer está sentado frente a una pantalla de televisión mientras hablan.</v>
      </c>
    </row>
    <row r="31459">
      <c r="A31459" s="4" t="s">
        <v>39611</v>
      </c>
      <c r="B31459" s="4" t="s">
        <v>39613</v>
      </c>
      <c r="C31459" s="5" t="str">
        <f>IFERROR(__xludf.DUMMYFUNCTION("GOOGLETRANSLATE(B31459,""en"",""es-ES"")"),"Luego muestran clips de un juego de voleibol al aire libre.")</f>
        <v>Luego muestran clips de un juego de voleibol al aire libre.</v>
      </c>
    </row>
    <row r="31460">
      <c r="A31460" s="4" t="s">
        <v>39611</v>
      </c>
      <c r="B31460" s="4" t="s">
        <v>39614</v>
      </c>
      <c r="C31460" s="5" t="str">
        <f>IFERROR(__xludf.DUMMYFUNCTION("GOOGLETRANSLATE(B31460,""en"",""es-ES"")"),"Los compañeros de equipo golpearon la pelota de un lado a otro por la red.")</f>
        <v>Los compañeros de equipo golpearon la pelota de un lado a otro por la red.</v>
      </c>
    </row>
    <row r="31461">
      <c r="A31461" s="4" t="s">
        <v>39611</v>
      </c>
      <c r="B31461" s="4" t="s">
        <v>39615</v>
      </c>
      <c r="C31461" s="5" t="str">
        <f>IFERROR(__xludf.DUMMYFUNCTION("GOOGLETRANSLATE(B31461,""en"",""es-ES"")"),"Después, se dan la mano con sus oponentes.")</f>
        <v>Después, se dan la mano con sus oponentes.</v>
      </c>
    </row>
    <row r="31462">
      <c r="A31462" s="4" t="s">
        <v>39616</v>
      </c>
      <c r="B31462" s="4" t="s">
        <v>39617</v>
      </c>
      <c r="C31462" s="5" t="str">
        <f>IFERROR(__xludf.DUMMYFUNCTION("GOOGLETRANSLATE(B31462,""en"",""es-ES"")"),"Se ve a dos personas hablando con la cámara y conduce a una regla que se muestra y a la mujer que sostiene una esponja.")</f>
        <v>Se ve a dos personas hablando con la cámara y conduce a una regla que se muestra y a la mujer que sostiene una esponja.</v>
      </c>
    </row>
    <row r="31463">
      <c r="A31463" s="4" t="s">
        <v>39616</v>
      </c>
      <c r="B31463" s="4" t="s">
        <v>39618</v>
      </c>
      <c r="C31463" s="5" t="str">
        <f>IFERROR(__xludf.DUMMYFUNCTION("GOOGLETRANSLATE(B31463,""en"",""es-ES"")"),"Ella limpia una pared mientras el hombre lo lanza y luego se ve midiendo la longitud de la pared.")</f>
        <v>Ella limpia una pared mientras el hombre lo lanza y luego se ve midiendo la longitud de la pared.</v>
      </c>
    </row>
    <row r="31464">
      <c r="A31464" s="4" t="s">
        <v>39616</v>
      </c>
      <c r="B31464" s="4" t="s">
        <v>39619</v>
      </c>
      <c r="C31464" s="5" t="str">
        <f>IFERROR(__xludf.DUMMYFUNCTION("GOOGLETRANSLATE(B31464,""en"",""es-ES"")"),"Luego colocaron papel hacia abajo, cortan el papel y lo alinean en la pared.")</f>
        <v>Luego colocaron papel hacia abajo, cortan el papel y lo alinean en la pared.</v>
      </c>
    </row>
    <row r="31465">
      <c r="A31465" s="4" t="s">
        <v>39616</v>
      </c>
      <c r="B31465" s="4" t="s">
        <v>39620</v>
      </c>
      <c r="C31465" s="5" t="str">
        <f>IFERROR(__xludf.DUMMYFUNCTION("GOOGLETRANSLATE(B31465,""en"",""es-ES"")"),"Se frotan en el papel, lo presionan a lo largo de la pared y sonríen hacia la cámara.")</f>
        <v>Se frotan en el papel, lo presionan a lo largo de la pared y sonríen hacia la cámara.</v>
      </c>
    </row>
    <row r="31466">
      <c r="A31466" s="4" t="s">
        <v>39621</v>
      </c>
      <c r="B31466" s="4" t="s">
        <v>39622</v>
      </c>
      <c r="C31466" s="5" t="str">
        <f>IFERROR(__xludf.DUMMYFUNCTION("GOOGLETRANSLATE(B31466,""en"",""es-ES"")"),"La gente participa en un tira y afloja en un gimnasio.")</f>
        <v>La gente participa en un tira y afloja en un gimnasio.</v>
      </c>
    </row>
    <row r="31467">
      <c r="A31467" s="4" t="s">
        <v>39621</v>
      </c>
      <c r="B31467" s="4" t="s">
        <v>39623</v>
      </c>
      <c r="C31467" s="5" t="str">
        <f>IFERROR(__xludf.DUMMYFUNCTION("GOOGLETRANSLATE(B31467,""en"",""es-ES"")"),"El equipo amarillo en el lado izquierdo tira la cuerda principalmente hacia la izquierda o gana.")</f>
        <v>El equipo amarillo en el lado izquierdo tira la cuerda principalmente hacia la izquierda o gana.</v>
      </c>
    </row>
    <row r="31468">
      <c r="A31468" s="4" t="s">
        <v>39621</v>
      </c>
      <c r="B31468" s="4" t="s">
        <v>39624</v>
      </c>
      <c r="C31468" s="5" t="str">
        <f>IFERROR(__xludf.DUMMYFUNCTION("GOOGLETRANSLATE(B31468,""en"",""es-ES"")"),"Un adulto agarra el brazo de un miembro del equipo azul.")</f>
        <v>Un adulto agarra el brazo de un miembro del equipo azul.</v>
      </c>
    </row>
    <row r="31469">
      <c r="A31469" s="4" t="s">
        <v>39625</v>
      </c>
      <c r="B31469" s="4" t="s">
        <v>39626</v>
      </c>
      <c r="C31469" s="5" t="str">
        <f>IFERROR(__xludf.DUMMYFUNCTION("GOOGLETRANSLATE(B31469,""en"",""es-ES"")"),"Las palabras ""Gran Maestro Huang Sheng Shyan"" y ""Taiji Push Hands"" aparecen en la pantalla.")</f>
        <v>Las palabras "Gran Maestro Huang Sheng Shyan" y "Taiji Push Hands" aparecen en la pantalla.</v>
      </c>
    </row>
    <row r="31470">
      <c r="A31470" s="4" t="s">
        <v>39625</v>
      </c>
      <c r="B31470" s="4" t="s">
        <v>39627</v>
      </c>
      <c r="C31470" s="5" t="str">
        <f>IFERROR(__xludf.DUMMYFUNCTION("GOOGLETRANSLATE(B31470,""en"",""es-ES"")"),"Varios estudiantes se acercan individualmente al Gran Maestro que intenta luchar contra él y son retrocedidos rápidamente.")</f>
        <v>Varios estudiantes se acercan individualmente al Gran Maestro que intenta luchar contra él y son retrocedidos rápidamente.</v>
      </c>
    </row>
    <row r="31471">
      <c r="A31471" s="4" t="s">
        <v>39625</v>
      </c>
      <c r="B31471" s="4" t="s">
        <v>39628</v>
      </c>
      <c r="C31471" s="5" t="str">
        <f>IFERROR(__xludf.DUMMYFUNCTION("GOOGLETRANSLATE(B31471,""en"",""es-ES"")"),"El Gran Maestro toca a un estudiante en la cabeza y rápidamente cae al suelo.")</f>
        <v>El Gran Maestro toca a un estudiante en la cabeza y rápidamente cae al suelo.</v>
      </c>
    </row>
    <row r="31472">
      <c r="A31472" s="4" t="s">
        <v>39629</v>
      </c>
      <c r="B31472" s="4" t="s">
        <v>39630</v>
      </c>
      <c r="C31472" s="5" t="str">
        <f>IFERROR(__xludf.DUMMYFUNCTION("GOOGLETRANSLATE(B31472,""en"",""es-ES"")"),"Se ve a una persona caminando por el patio que conduce a una larga cuerda.")</f>
        <v>Se ve a una persona caminando por el patio que conduce a una larga cuerda.</v>
      </c>
    </row>
    <row r="31473">
      <c r="A31473" s="4" t="s">
        <v>39629</v>
      </c>
      <c r="B31473" s="4" t="s">
        <v>39631</v>
      </c>
      <c r="C31473" s="5" t="str">
        <f>IFERROR(__xludf.DUMMYFUNCTION("GOOGLETRANSLATE(B31473,""en"",""es-ES"")"),"El hombre salta sobre la cuerda e intenta cruzarla.")</f>
        <v>El hombre salta sobre la cuerda e intenta cruzarla.</v>
      </c>
    </row>
    <row r="31474">
      <c r="A31474" s="4" t="s">
        <v>39629</v>
      </c>
      <c r="B31474" s="4" t="s">
        <v>39632</v>
      </c>
      <c r="C31474" s="5" t="str">
        <f>IFERROR(__xludf.DUMMYFUNCTION("GOOGLETRANSLATE(B31474,""en"",""es-ES"")"),"Continúa caminando y lo lleva a caer.")</f>
        <v>Continúa caminando y lo lleva a caer.</v>
      </c>
    </row>
    <row r="31475">
      <c r="A31475" s="4" t="s">
        <v>39633</v>
      </c>
      <c r="B31475" s="4" t="s">
        <v>39634</v>
      </c>
      <c r="C31475" s="5" t="str">
        <f>IFERROR(__xludf.DUMMYFUNCTION("GOOGLETRANSLATE(B31475,""en"",""es-ES"")"),"Cat está durmiendo en una mesa peluda y un hombre lo sostiene y muestra una corta de clavos y comienza a cortar las uñas de los gatos sentados en un sofá.")</f>
        <v>Cat está durmiendo en una mesa peluda y un hombre lo sostiene y muestra una corta de clavos y comienza a cortar las uñas de los gatos sentados en un sofá.</v>
      </c>
    </row>
    <row r="31476">
      <c r="A31476" s="4" t="s">
        <v>39633</v>
      </c>
      <c r="B31476" s="4" t="s">
        <v>39635</v>
      </c>
      <c r="C31476" s="5" t="str">
        <f>IFERROR(__xludf.DUMMYFUNCTION("GOOGLETRANSLATE(B31476,""en"",""es-ES"")"),"Cat está sentado en una alfombra roja.")</f>
        <v>Cat está sentado en una alfombra roja.</v>
      </c>
    </row>
    <row r="31477">
      <c r="A31477" s="4" t="s">
        <v>39636</v>
      </c>
      <c r="B31477" s="4" t="s">
        <v>39637</v>
      </c>
      <c r="C31477" s="5" t="str">
        <f>IFERROR(__xludf.DUMMYFUNCTION("GOOGLETRANSLATE(B31477,""en"",""es-ES"")"),"Se muestra un video de vodka en un vaso de martini.")</f>
        <v>Se muestra un video de vodka en un vaso de martini.</v>
      </c>
    </row>
    <row r="31478">
      <c r="A31478" s="4" t="s">
        <v>39636</v>
      </c>
      <c r="B31478" s="4" t="s">
        <v>39638</v>
      </c>
      <c r="C31478" s="5" t="str">
        <f>IFERROR(__xludf.DUMMYFUNCTION("GOOGLETRANSLATE(B31478,""en"",""es-ES"")"),"Una mujer se encuentra detrás de una barra con botellas e ingredientes.")</f>
        <v>Una mujer se encuentra detrás de una barra con botellas e ingredientes.</v>
      </c>
    </row>
    <row r="31479">
      <c r="A31479" s="4" t="s">
        <v>39636</v>
      </c>
      <c r="B31479" s="4" t="s">
        <v>39639</v>
      </c>
      <c r="C31479" s="5" t="str">
        <f>IFERROR(__xludf.DUMMYFUNCTION("GOOGLETRANSLATE(B31479,""en"",""es-ES"")"),"Mezcla los alcoholes en un vaso, luego los sacude antes de decorar y mostrar la bebida.")</f>
        <v>Mezcla los alcoholes en un vaso, luego los sacude antes de decorar y mostrar la bebida.</v>
      </c>
    </row>
    <row r="31480">
      <c r="A31480" s="4" t="s">
        <v>39640</v>
      </c>
      <c r="B31480" s="4" t="s">
        <v>39641</v>
      </c>
      <c r="C31480" s="5" t="str">
        <f>IFERROR(__xludf.DUMMYFUNCTION("GOOGLETRANSLATE(B31480,""en"",""es-ES"")"),"Se muestra una gran montaña nevada, así como personas que conducen y personas de pie a lo largo de una montaña.")</f>
        <v>Se muestra una gran montaña nevada, así como personas que conducen y personas de pie a lo largo de una montaña.</v>
      </c>
    </row>
    <row r="31481">
      <c r="A31481" s="4" t="s">
        <v>39640</v>
      </c>
      <c r="B31481" s="4" t="s">
        <v>39642</v>
      </c>
      <c r="C31481" s="5" t="str">
        <f>IFERROR(__xludf.DUMMYFUNCTION("GOOGLETRANSLATE(B31481,""en"",""es-ES"")"),"Se muestran varias tomas de personas en tablas de snowboard, realizando trucos y señalando a la cámara.")</f>
        <v>Se muestran varias tomas de personas en tablas de snowboard, realizando trucos y señalando a la cámara.</v>
      </c>
    </row>
    <row r="31482">
      <c r="A31482" s="4" t="s">
        <v>39640</v>
      </c>
      <c r="B31482" s="4" t="s">
        <v>39643</v>
      </c>
      <c r="C31482" s="5" t="str">
        <f>IFERROR(__xludf.DUMMYFUNCTION("GOOGLETRANSLATE(B31482,""en"",""es-ES"")"),"El video continúa con impresionantes clips de personas que hacen acrobacias, así como primeros planos de las personas que conducen.")</f>
        <v>El video continúa con impresionantes clips de personas que hacen acrobacias, así como primeros planos de las personas que conducen.</v>
      </c>
    </row>
    <row r="31483">
      <c r="A31483" s="4" t="s">
        <v>39644</v>
      </c>
      <c r="B31483" s="4" t="s">
        <v>39645</v>
      </c>
      <c r="C31483" s="5" t="str">
        <f>IFERROR(__xludf.DUMMYFUNCTION("GOOGLETRANSLATE(B31483,""en"",""es-ES"")"),"Una mujer se pone un arnés.")</f>
        <v>Una mujer se pone un arnés.</v>
      </c>
    </row>
    <row r="31484">
      <c r="A31484" s="4" t="s">
        <v>39644</v>
      </c>
      <c r="B31484" s="4" t="s">
        <v>39646</v>
      </c>
      <c r="C31484" s="5" t="str">
        <f>IFERROR(__xludf.DUMMYFUNCTION("GOOGLETRANSLATE(B31484,""en"",""es-ES"")"),"Un hombre aclara una cuerda al frente del arnés de la mujer.")</f>
        <v>Un hombre aclara una cuerda al frente del arnés de la mujer.</v>
      </c>
    </row>
    <row r="31485">
      <c r="A31485" s="4" t="s">
        <v>39644</v>
      </c>
      <c r="B31485" s="4" t="s">
        <v>39647</v>
      </c>
      <c r="C31485" s="5" t="str">
        <f>IFERROR(__xludf.DUMMYFUNCTION("GOOGLETRANSLATE(B31485,""en"",""es-ES"")"),"Él ata la cuerda en un nudo.")</f>
        <v>Él ata la cuerda en un nudo.</v>
      </c>
    </row>
    <row r="31486">
      <c r="A31486" s="4" t="s">
        <v>39648</v>
      </c>
      <c r="B31486" s="4" t="s">
        <v>39649</v>
      </c>
      <c r="C31486" s="5" t="str">
        <f>IFERROR(__xludf.DUMMYFUNCTION("GOOGLETRANSLATE(B31486,""en"",""es-ES"")"),"Una persona se encuentra junto a un río.")</f>
        <v>Una persona se encuentra junto a un río.</v>
      </c>
    </row>
    <row r="31487">
      <c r="A31487" s="4" t="s">
        <v>39648</v>
      </c>
      <c r="B31487" s="4" t="s">
        <v>39650</v>
      </c>
      <c r="C31487" s="5" t="str">
        <f>IFERROR(__xludf.DUMMYFUNCTION("GOOGLETRANSLATE(B31487,""en"",""es-ES"")"),"Un grupo de personas con chalecos kayak por un río.")</f>
        <v>Un grupo de personas con chalecos kayak por un río.</v>
      </c>
    </row>
    <row r="31488">
      <c r="A31488" s="4" t="s">
        <v>39648</v>
      </c>
      <c r="B31488" s="4" t="s">
        <v>39651</v>
      </c>
      <c r="C31488" s="5" t="str">
        <f>IFERROR(__xludf.DUMMYFUNCTION("GOOGLETRANSLATE(B31488,""en"",""es-ES"")"),"Una persona sostiene su paleta sobre su cabeza.")</f>
        <v>Una persona sostiene su paleta sobre su cabeza.</v>
      </c>
    </row>
    <row r="31489">
      <c r="A31489" s="4" t="s">
        <v>39648</v>
      </c>
      <c r="B31489" s="4" t="s">
        <v>39652</v>
      </c>
      <c r="C31489" s="5" t="str">
        <f>IFERROR(__xludf.DUMMYFUNCTION("GOOGLETRANSLATE(B31489,""en"",""es-ES"")"),"Un par de personas están sentadas junto al río en una zona cubierta de hierba.")</f>
        <v>Un par de personas están sentadas junto al río en una zona cubierta de hierba.</v>
      </c>
    </row>
    <row r="31490">
      <c r="A31490" s="4" t="s">
        <v>39648</v>
      </c>
      <c r="B31490" s="4" t="s">
        <v>39653</v>
      </c>
      <c r="C31490" s="5" t="str">
        <f>IFERROR(__xludf.DUMMYFUNCTION("GOOGLETRANSLATE(B31490,""en"",""es-ES"")"),"La gente de kayak se acerca a un puente.")</f>
        <v>La gente de kayak se acerca a un puente.</v>
      </c>
    </row>
    <row r="31491">
      <c r="A31491" s="4" t="s">
        <v>39648</v>
      </c>
      <c r="B31491" s="4" t="s">
        <v>39654</v>
      </c>
      <c r="C31491" s="5" t="str">
        <f>IFERROR(__xludf.DUMMYFUNCTION("GOOGLETRANSLATE(B31491,""en"",""es-ES"")"),"Un par de personas se sientan cerca de algunos autos al lado del río.")</f>
        <v>Un par de personas se sientan cerca de algunos autos al lado del río.</v>
      </c>
    </row>
    <row r="31492">
      <c r="A31492" s="4" t="s">
        <v>39655</v>
      </c>
      <c r="B31492" s="4" t="s">
        <v>39656</v>
      </c>
      <c r="C31492" s="5" t="str">
        <f>IFERROR(__xludf.DUMMYFUNCTION("GOOGLETRANSLATE(B31492,""en"",""es-ES"")"),"Un hombre está en kayak en agua y mueve los brazos hacia atrás y el cuarto rápidamente.")</f>
        <v>Un hombre está en kayak en agua y mueve los brazos hacia atrás y el cuarto rápidamente.</v>
      </c>
    </row>
    <row r="31493">
      <c r="A31493" s="4" t="s">
        <v>39655</v>
      </c>
      <c r="B31493" s="4" t="s">
        <v>39657</v>
      </c>
      <c r="C31493" s="5" t="str">
        <f>IFERROR(__xludf.DUMMYFUNCTION("GOOGLETRANSLATE(B31493,""en"",""es-ES"")"),"La cámara lo sigue moviéndose a través del agua y finalmente se abre camino hacia un puente.")</f>
        <v>La cámara lo sigue moviéndose a través del agua y finalmente se abre camino hacia un puente.</v>
      </c>
    </row>
    <row r="31494">
      <c r="A31494" s="4" t="s">
        <v>39658</v>
      </c>
      <c r="B31494" s="4" t="s">
        <v>39659</v>
      </c>
      <c r="C31494" s="5" t="str">
        <f>IFERROR(__xludf.DUMMYFUNCTION("GOOGLETRANSLATE(B31494,""en"",""es-ES"")"),"Se muestran los créditos del clip junto con un cubo de pintura.")</f>
        <v>Se muestran los créditos del clip junto con un cubo de pintura.</v>
      </c>
    </row>
    <row r="31495">
      <c r="A31495" s="4" t="s">
        <v>39658</v>
      </c>
      <c r="B31495" s="4" t="s">
        <v>39660</v>
      </c>
      <c r="C31495" s="5" t="str">
        <f>IFERROR(__xludf.DUMMYFUNCTION("GOOGLETRANSLATE(B31495,""en"",""es-ES"")"),"Una mano pinta un armario blanco con un pincel.")</f>
        <v>Una mano pinta un armario blanco con un pincel.</v>
      </c>
    </row>
    <row r="31496">
      <c r="A31496" s="4" t="s">
        <v>39658</v>
      </c>
      <c r="B31496" s="4" t="s">
        <v>39661</v>
      </c>
      <c r="C31496" s="5" t="str">
        <f>IFERROR(__xludf.DUMMYFUNCTION("GOOGLETRANSLATE(B31496,""en"",""es-ES"")"),"La mano recoge una alfombra blanca.")</f>
        <v>La mano recoge una alfombra blanca.</v>
      </c>
    </row>
    <row r="31497">
      <c r="A31497" s="4" t="s">
        <v>39658</v>
      </c>
      <c r="B31497" s="4" t="s">
        <v>39662</v>
      </c>
      <c r="C31497" s="5" t="str">
        <f>IFERROR(__xludf.DUMMYFUNCTION("GOOGLETRANSLATE(B31497,""en"",""es-ES"")"),"La mano coloca dos dedos dentro de la alfombra y procede a azotar el armario pintado.")</f>
        <v>La mano coloca dos dedos dentro de la alfombra y procede a azotar el armario pintado.</v>
      </c>
    </row>
    <row r="31498">
      <c r="A31498" s="4" t="s">
        <v>39658</v>
      </c>
      <c r="B31498" s="4" t="s">
        <v>39663</v>
      </c>
      <c r="C31498" s="5" t="str">
        <f>IFERROR(__xludf.DUMMYFUNCTION("GOOGLETRANSLATE(B31498,""en"",""es-ES"")"),"Se muestra el producto final del armario pintado.")</f>
        <v>Se muestra el producto final del armario pintado.</v>
      </c>
    </row>
    <row r="31499">
      <c r="A31499" s="4" t="s">
        <v>39658</v>
      </c>
      <c r="B31499" s="4" t="s">
        <v>573</v>
      </c>
      <c r="C31499" s="5" t="str">
        <f>IFERROR(__xludf.DUMMYFUNCTION("GOOGLETRANSLATE(B31499,""en"",""es-ES"")"),"Se muestran los créditos del video.")</f>
        <v>Se muestran los créditos del video.</v>
      </c>
    </row>
    <row r="31500">
      <c r="A31500" s="4" t="s">
        <v>39664</v>
      </c>
      <c r="B31500" s="4" t="s">
        <v>39665</v>
      </c>
      <c r="C31500" s="5" t="str">
        <f>IFERROR(__xludf.DUMMYFUNCTION("GOOGLETRANSLATE(B31500,""en"",""es-ES"")"),"Los brazos de una persona se ven retrocediendo y cuarto en el agua que controla un kayak debajo de algunas tumbas que sobresalen del agua.")</f>
        <v>Los brazos de una persona se ven retrocediendo y cuarto en el agua que controla un kayak debajo de algunas tumbas que sobresalen del agua.</v>
      </c>
    </row>
    <row r="31501">
      <c r="A31501" s="4" t="s">
        <v>39664</v>
      </c>
      <c r="B31501" s="4" t="s">
        <v>39666</v>
      </c>
      <c r="C31501" s="5" t="str">
        <f>IFERROR(__xludf.DUMMYFUNCTION("GOOGLETRANSLATE(B31501,""en"",""es-ES"")"),"El hombre continúa abriéndose camino y termina con él metiendo su poste en el agua.")</f>
        <v>El hombre continúa abriéndose camino y termina con él metiendo su poste en el agua.</v>
      </c>
    </row>
    <row r="31502">
      <c r="A31502" s="4" t="s">
        <v>39667</v>
      </c>
      <c r="B31502" s="4" t="s">
        <v>39668</v>
      </c>
      <c r="C31502" s="5" t="str">
        <f>IFERROR(__xludf.DUMMYFUNCTION("GOOGLETRANSLATE(B31502,""en"",""es-ES"")"),"Se muestran varias tomas de una tienda de tatuajes seguidas por una mujer sentada en una silla y un hombre preparando los artículos.")</f>
        <v>Se muestran varias tomas de una tienda de tatuajes seguidas por una mujer sentada en una silla y un hombre preparando los artículos.</v>
      </c>
    </row>
    <row r="31503">
      <c r="A31503" s="4" t="s">
        <v>39667</v>
      </c>
      <c r="B31503" s="4" t="s">
        <v>39669</v>
      </c>
      <c r="C31503" s="5" t="str">
        <f>IFERROR(__xludf.DUMMYFUNCTION("GOOGLETRANSLATE(B31503,""en"",""es-ES"")"),"Ella toma un sorbo de agua y el hombre luego le atraviesa el labio con una aguja.")</f>
        <v>Ella toma un sorbo de agua y el hombre luego le atraviesa el labio con una aguja.</v>
      </c>
    </row>
    <row r="31504">
      <c r="A31504" s="4" t="s">
        <v>39667</v>
      </c>
      <c r="B31504" s="4" t="s">
        <v>39670</v>
      </c>
      <c r="C31504" s="5" t="str">
        <f>IFERROR(__xludf.DUMMYFUNCTION("GOOGLETRANSLATE(B31504,""en"",""es-ES"")"),"Ella se muestra nuevamente en una foto de su nuevo perforación.")</f>
        <v>Ella se muestra nuevamente en una foto de su nuevo perforación.</v>
      </c>
    </row>
    <row r="31505">
      <c r="A31505" s="4" t="s">
        <v>39671</v>
      </c>
      <c r="B31505" s="4" t="s">
        <v>39672</v>
      </c>
      <c r="C31505" s="5" t="str">
        <f>IFERROR(__xludf.DUMMYFUNCTION("GOOGLETRANSLATE(B31505,""en"",""es-ES"")"),"Un hombre está tocando un acordeo mientras mira ocasionalmente a la cámara.")</f>
        <v>Un hombre está tocando un acordeo mientras mira ocasionalmente a la cámara.</v>
      </c>
    </row>
    <row r="31506">
      <c r="A31506" s="4" t="s">
        <v>39671</v>
      </c>
      <c r="B31506" s="4" t="s">
        <v>39673</v>
      </c>
      <c r="C31506" s="5" t="str">
        <f>IFERROR(__xludf.DUMMYFUNCTION("GOOGLETRANSLATE(B31506,""en"",""es-ES"")"),"El hombre cambia las puntas de los dedos constantemente y mira a la distancia mientras juega.")</f>
        <v>El hombre cambia las puntas de los dedos constantemente y mira a la distancia mientras juega.</v>
      </c>
    </row>
    <row r="31507">
      <c r="A31507" s="4" t="s">
        <v>39671</v>
      </c>
      <c r="B31507" s="4" t="s">
        <v>39674</v>
      </c>
      <c r="C31507" s="5" t="str">
        <f>IFERROR(__xludf.DUMMYFUNCTION("GOOGLETRANSLATE(B31507,""en"",""es-ES"")"),"El hombre continúa su canción y finalmente termina sonriendo en la cámara.")</f>
        <v>El hombre continúa su canción y finalmente termina sonriendo en la cámara.</v>
      </c>
    </row>
    <row r="31508">
      <c r="A31508" s="4" t="s">
        <v>39675</v>
      </c>
      <c r="B31508" s="4" t="s">
        <v>39676</v>
      </c>
      <c r="C31508" s="5" t="str">
        <f>IFERROR(__xludf.DUMMYFUNCTION("GOOGLETRANSLATE(B31508,""en"",""es-ES"")"),"Un hombre en el patio delantero que muestra cómo cortar el césped.")</f>
        <v>Un hombre en el patio delantero que muestra cómo cortar el césped.</v>
      </c>
    </row>
    <row r="31509">
      <c r="A31509" s="4" t="s">
        <v>39675</v>
      </c>
      <c r="B31509" s="4" t="s">
        <v>39677</v>
      </c>
      <c r="C31509" s="5" t="str">
        <f>IFERROR(__xludf.DUMMYFUNCTION("GOOGLETRANSLATE(B31509,""en"",""es-ES"")"),"Primero mueve todos los escombros fuera del camino para que nada quede atrapado en el cortacésped antes de cortar.")</f>
        <v>Primero mueve todos los escombros fuera del camino para que nada quede atrapado en el cortacésped antes de cortar.</v>
      </c>
    </row>
    <row r="31510">
      <c r="A31510" s="4" t="s">
        <v>39675</v>
      </c>
      <c r="B31510" s="4" t="s">
        <v>39678</v>
      </c>
      <c r="C31510" s="5" t="str">
        <f>IFERROR(__xludf.DUMMYFUNCTION("GOOGLETRANSLATE(B31510,""en"",""es-ES"")"),"Luego usa un estetoscopio para escuchar al cortacésped mientras pone aceite en él.")</f>
        <v>Luego usa un estetoscopio para escuchar al cortacésped mientras pone aceite en él.</v>
      </c>
    </row>
    <row r="31511">
      <c r="A31511" s="4" t="s">
        <v>39675</v>
      </c>
      <c r="B31511" s="4" t="s">
        <v>39679</v>
      </c>
      <c r="C31511" s="5" t="str">
        <f>IFERROR(__xludf.DUMMYFUNCTION("GOOGLETRANSLATE(B31511,""en"",""es-ES"")"),"Él le sugiere que termine de cortar el atardecer y si está utilizando un cortacésped, debe mantener su espalda estrayos y brazos doblados.")</f>
        <v>Él le sugiere que termine de cortar el atardecer y si está utilizando un cortacésped, debe mantener su espalda estrayos y brazos doblados.</v>
      </c>
    </row>
    <row r="31512">
      <c r="A31512" s="4" t="s">
        <v>39680</v>
      </c>
      <c r="B31512" s="4" t="s">
        <v>39681</v>
      </c>
      <c r="C31512" s="5" t="str">
        <f>IFERROR(__xludf.DUMMYFUNCTION("GOOGLETRANSLATE(B31512,""en"",""es-ES"")"),"Una niña está parada en una cocina frente a un tazón y una mezcla de galletas de azúcar.")</f>
        <v>Una niña está parada en una cocina frente a un tazón y una mezcla de galletas de azúcar.</v>
      </c>
    </row>
    <row r="31513">
      <c r="A31513" s="4" t="s">
        <v>39680</v>
      </c>
      <c r="B31513" s="4" t="s">
        <v>39682</v>
      </c>
      <c r="C31513" s="5" t="str">
        <f>IFERROR(__xludf.DUMMYFUNCTION("GOOGLETRANSLATE(B31513,""en"",""es-ES"")"),"La niña comienza a mostrar los ingredientes a su audiencia, antes de verter la mezcla de galletas en un tazón.")</f>
        <v>La niña comienza a mostrar los ingredientes a su audiencia, antes de verter la mezcla de galletas en un tazón.</v>
      </c>
    </row>
    <row r="31514">
      <c r="A31514" s="4" t="s">
        <v>39680</v>
      </c>
      <c r="B31514" s="4" t="s">
        <v>39683</v>
      </c>
      <c r="C31514" s="5" t="str">
        <f>IFERROR(__xludf.DUMMYFUNCTION("GOOGLETRANSLATE(B31514,""en"",""es-ES"")"),"Luego agrega mantequilla y yemas de huevo, y revuelve todo con una batidora de mano.")</f>
        <v>Luego agrega mantequilla y yemas de huevo, y revuelve todo con una batidora de mano.</v>
      </c>
    </row>
    <row r="31515">
      <c r="A31515" s="4" t="s">
        <v>39680</v>
      </c>
      <c r="B31515" s="4" t="s">
        <v>39684</v>
      </c>
      <c r="C31515" s="5" t="str">
        <f>IFERROR(__xludf.DUMMYFUNCTION("GOOGLETRANSLATE(B31515,""en"",""es-ES"")"),"Ella rueda la masa en una envoltura de plástico antes de extenderla y cortar formas con cortadores de galletas.")</f>
        <v>Ella rueda la masa en una envoltura de plástico antes de extenderla y cortar formas con cortadores de galletas.</v>
      </c>
    </row>
    <row r="31516">
      <c r="A31516" s="4" t="s">
        <v>39680</v>
      </c>
      <c r="B31516" s="4" t="s">
        <v>39685</v>
      </c>
      <c r="C31516" s="5" t="str">
        <f>IFERROR(__xludf.DUMMYFUNCTION("GOOGLETRANSLATE(B31516,""en"",""es-ES"")"),"Las galletas están horneadas y listas para helarse con chispas y glaseado.")</f>
        <v>Las galletas están horneadas y listas para helarse con chispas y glaseado.</v>
      </c>
    </row>
    <row r="31517">
      <c r="A31517" s="4" t="s">
        <v>39686</v>
      </c>
      <c r="B31517" s="4" t="s">
        <v>1251</v>
      </c>
      <c r="C31517" s="5" t="str">
        <f>IFERROR(__xludf.DUMMYFUNCTION("GOOGLETRANSLATE(B31517,""en"",""es-ES"")"),"Se muestran los créditos del clip.")</f>
        <v>Se muestran los créditos del clip.</v>
      </c>
    </row>
    <row r="31518">
      <c r="A31518" s="4" t="s">
        <v>39686</v>
      </c>
      <c r="B31518" s="4" t="s">
        <v>39687</v>
      </c>
      <c r="C31518" s="5" t="str">
        <f>IFERROR(__xludf.DUMMYFUNCTION("GOOGLETRANSLATE(B31518,""en"",""es-ES"")"),"Una mano pulida toma un trozo de cinta.")</f>
        <v>Una mano pulida toma un trozo de cinta.</v>
      </c>
    </row>
    <row r="31519">
      <c r="A31519" s="4" t="s">
        <v>39686</v>
      </c>
      <c r="B31519" s="4" t="s">
        <v>39688</v>
      </c>
      <c r="C31519" s="5" t="str">
        <f>IFERROR(__xludf.DUMMYFUNCTION("GOOGLETRANSLATE(B31519,""en"",""es-ES"")"),"Las manos pulidas ponen un trozo de cinta en el borde de un objeto marrón.")</f>
        <v>Las manos pulidas ponen un trozo de cinta en el borde de un objeto marrón.</v>
      </c>
    </row>
    <row r="31520">
      <c r="A31520" s="4" t="s">
        <v>39686</v>
      </c>
      <c r="B31520" s="4" t="s">
        <v>39689</v>
      </c>
      <c r="C31520" s="5" t="str">
        <f>IFERROR(__xludf.DUMMYFUNCTION("GOOGLETRANSLATE(B31520,""en"",""es-ES"")"),"La mano pinta el esmalte turquesa en la cinta.")</f>
        <v>La mano pinta el esmalte turquesa en la cinta.</v>
      </c>
    </row>
    <row r="31521">
      <c r="A31521" s="4" t="s">
        <v>39686</v>
      </c>
      <c r="B31521" s="4" t="s">
        <v>39690</v>
      </c>
      <c r="C31521" s="5" t="str">
        <f>IFERROR(__xludf.DUMMYFUNCTION("GOOGLETRANSLATE(B31521,""en"",""es-ES"")"),"La mano corta la cinta pulida en tiras.")</f>
        <v>La mano corta la cinta pulida en tiras.</v>
      </c>
    </row>
    <row r="31522">
      <c r="A31522" s="4" t="s">
        <v>39686</v>
      </c>
      <c r="B31522" s="4" t="s">
        <v>39691</v>
      </c>
      <c r="C31522" s="5" t="str">
        <f>IFERROR(__xludf.DUMMYFUNCTION("GOOGLETRANSLATE(B31522,""en"",""es-ES"")"),"La mano pone la tira en una uña pulida.")</f>
        <v>La mano pone la tira en una uña pulida.</v>
      </c>
    </row>
    <row r="31523">
      <c r="A31523" s="4" t="s">
        <v>39686</v>
      </c>
      <c r="B31523" s="4" t="s">
        <v>39692</v>
      </c>
      <c r="C31523" s="5" t="str">
        <f>IFERROR(__xludf.DUMMYFUNCTION("GOOGLETRANSLATE(B31523,""en"",""es-ES"")"),"La mano pinta la uña con esmalte de uñas transparente.")</f>
        <v>La mano pinta la uña con esmalte de uñas transparente.</v>
      </c>
    </row>
    <row r="31524">
      <c r="A31524" s="4" t="s">
        <v>39686</v>
      </c>
      <c r="B31524" s="4" t="s">
        <v>39693</v>
      </c>
      <c r="C31524" s="5" t="str">
        <f>IFERROR(__xludf.DUMMYFUNCTION("GOOGLETRANSLATE(B31524,""en"",""es-ES"")"),"La mano frota una bola de algodón empapada en una uña para que se quite el esmalte.")</f>
        <v>La mano frota una bola de algodón empapada en una uña para que se quite el esmalte.</v>
      </c>
    </row>
    <row r="31525">
      <c r="A31525" s="4" t="s">
        <v>39686</v>
      </c>
      <c r="B31525" s="4" t="s">
        <v>573</v>
      </c>
      <c r="C31525" s="5" t="str">
        <f>IFERROR(__xludf.DUMMYFUNCTION("GOOGLETRANSLATE(B31525,""en"",""es-ES"")"),"Se muestran los créditos del video.")</f>
        <v>Se muestran los créditos del video.</v>
      </c>
    </row>
    <row r="31526">
      <c r="A31526" s="4" t="s">
        <v>39694</v>
      </c>
      <c r="B31526" s="4" t="s">
        <v>39695</v>
      </c>
      <c r="C31526" s="5" t="str">
        <f>IFERROR(__xludf.DUMMYFUNCTION("GOOGLETRANSLATE(B31526,""en"",""es-ES"")"),"Un hombre estira camisas en una tabla de planchar en un área de taller y utiliza una plancha plana para presionarlo.")</f>
        <v>Un hombre estira camisas en una tabla de planchar en un área de taller y utiliza una plancha plana para presionarlo.</v>
      </c>
    </row>
    <row r="31527">
      <c r="A31527" s="4" t="s">
        <v>39694</v>
      </c>
      <c r="B31527" s="4" t="s">
        <v>39696</v>
      </c>
      <c r="C31527" s="5" t="str">
        <f>IFERROR(__xludf.DUMMYFUNCTION("GOOGLETRANSLATE(B31527,""en"",""es-ES"")"),"El hombre quita la camisa planchada y la coloca en una percha.")</f>
        <v>El hombre quita la camisa planchada y la coloca en una percha.</v>
      </c>
    </row>
    <row r="31528">
      <c r="A31528" s="4" t="s">
        <v>39694</v>
      </c>
      <c r="B31528" s="4" t="s">
        <v>39697</v>
      </c>
      <c r="C31528" s="5" t="str">
        <f>IFERROR(__xludf.DUMMYFUNCTION("GOOGLETRANSLATE(B31528,""en"",""es-ES"")"),"El hombre le da a la camisa una plancha más rápida en un solo lugar y luego cuelga la camisa en un estante.")</f>
        <v>El hombre le da a la camisa una plancha más rápida en un solo lugar y luego cuelga la camisa en un estante.</v>
      </c>
    </row>
    <row r="31529">
      <c r="A31529" s="4" t="s">
        <v>39698</v>
      </c>
      <c r="B31529" s="4" t="s">
        <v>39699</v>
      </c>
      <c r="C31529" s="5" t="str">
        <f>IFERROR(__xludf.DUMMYFUNCTION("GOOGLETRANSLATE(B31529,""en"",""es-ES"")"),"Un hombre salta de un tablero de buceo a una piscina varias veces.")</f>
        <v>Un hombre salta de un tablero de buceo a una piscina varias veces.</v>
      </c>
    </row>
    <row r="31530">
      <c r="A31530" s="4" t="s">
        <v>39698</v>
      </c>
      <c r="B31530" s="4" t="s">
        <v>39700</v>
      </c>
      <c r="C31530" s="5" t="str">
        <f>IFERROR(__xludf.DUMMYFUNCTION("GOOGLETRANSLATE(B31530,""en"",""es-ES"")"),"Otra persona está nadando en la piscina.")</f>
        <v>Otra persona está nadando en la piscina.</v>
      </c>
    </row>
    <row r="31531">
      <c r="A31531" s="4" t="s">
        <v>39698</v>
      </c>
      <c r="B31531" s="4" t="s">
        <v>39701</v>
      </c>
      <c r="C31531" s="5" t="str">
        <f>IFERROR(__xludf.DUMMYFUNCTION("GOOGLETRANSLATE(B31531,""en"",""es-ES"")"),"Él hace un volteo y aterriza en el agua antes de surgir.")</f>
        <v>Él hace un volteo y aterriza en el agua antes de surgir.</v>
      </c>
    </row>
    <row r="31532">
      <c r="A31532" s="4" t="s">
        <v>39702</v>
      </c>
      <c r="B31532" s="4" t="s">
        <v>1487</v>
      </c>
      <c r="C31532" s="5" t="str">
        <f>IFERROR(__xludf.DUMMYFUNCTION("GOOGLETRANSLATE(B31532,""en"",""es-ES"")"),"Vemos una pantalla de título de apertura.")</f>
        <v>Vemos una pantalla de título de apertura.</v>
      </c>
    </row>
    <row r="31533">
      <c r="A31533" s="4" t="s">
        <v>39702</v>
      </c>
      <c r="B31533" s="4" t="s">
        <v>39703</v>
      </c>
      <c r="C31533" s="5" t="str">
        <f>IFERROR(__xludf.DUMMYFUNCTION("GOOGLETRANSLATE(B31533,""en"",""es-ES"")"),"Vemos a una dama sentada en una mesa con zapatos y suministros hablando con la cámara.")</f>
        <v>Vemos a una dama sentada en una mesa con zapatos y suministros hablando con la cámara.</v>
      </c>
    </row>
    <row r="31534">
      <c r="A31534" s="4" t="s">
        <v>39702</v>
      </c>
      <c r="B31534" s="4" t="s">
        <v>39704</v>
      </c>
      <c r="C31534" s="5" t="str">
        <f>IFERROR(__xludf.DUMMYFUNCTION("GOOGLETRANSLATE(B31534,""en"",""es-ES"")"),"Vemos pantallas con zapatos.")</f>
        <v>Vemos pantallas con zapatos.</v>
      </c>
    </row>
    <row r="31535">
      <c r="A31535" s="4" t="s">
        <v>39702</v>
      </c>
      <c r="B31535" s="4" t="s">
        <v>39705</v>
      </c>
      <c r="C31535" s="5" t="str">
        <f>IFERROR(__xludf.DUMMYFUNCTION("GOOGLETRANSLATE(B31535,""en"",""es-ES"")"),"La señora nos muestra varios zapatos.")</f>
        <v>La señora nos muestra varios zapatos.</v>
      </c>
    </row>
    <row r="31536">
      <c r="A31536" s="4" t="s">
        <v>39702</v>
      </c>
      <c r="B31536" s="4" t="s">
        <v>39706</v>
      </c>
      <c r="C31536" s="5" t="str">
        <f>IFERROR(__xludf.DUMMYFUNCTION("GOOGLETRANSLATE(B31536,""en"",""es-ES"")"),"La señora nos muestra los suministros de zapatos.")</f>
        <v>La señora nos muestra los suministros de zapatos.</v>
      </c>
    </row>
    <row r="31537">
      <c r="A31537" s="4" t="s">
        <v>39702</v>
      </c>
      <c r="B31537" s="4" t="s">
        <v>39707</v>
      </c>
      <c r="C31537" s="5" t="str">
        <f>IFERROR(__xludf.DUMMYFUNCTION("GOOGLETRANSLATE(B31537,""en"",""es-ES"")"),"La señora agrega un producto a los zapatos.")</f>
        <v>La señora agrega un producto a los zapatos.</v>
      </c>
    </row>
    <row r="31538">
      <c r="A31538" s="4" t="s">
        <v>39702</v>
      </c>
      <c r="B31538" s="4" t="s">
        <v>39708</v>
      </c>
      <c r="C31538" s="5" t="str">
        <f>IFERROR(__xludf.DUMMYFUNCTION("GOOGLETRANSLATE(B31538,""en"",""es-ES"")"),"La señora luego limpia el producto con una toalla.")</f>
        <v>La señora luego limpia el producto con una toalla.</v>
      </c>
    </row>
    <row r="31539">
      <c r="A31539" s="4" t="s">
        <v>39702</v>
      </c>
      <c r="B31539" s="4" t="s">
        <v>39709</v>
      </c>
      <c r="C31539" s="5" t="str">
        <f>IFERROR(__xludf.DUMMYFUNCTION("GOOGLETRANSLATE(B31539,""en"",""es-ES"")"),"La señora luego agrega cera de los zapatos al zapato y lo limpia.")</f>
        <v>La señora luego agrega cera de los zapatos al zapato y lo limpia.</v>
      </c>
    </row>
    <row r="31540">
      <c r="A31540" s="4" t="s">
        <v>39702</v>
      </c>
      <c r="B31540" s="4" t="s">
        <v>2892</v>
      </c>
      <c r="C31540" s="5" t="str">
        <f>IFERROR(__xludf.DUMMYFUNCTION("GOOGLETRANSLATE(B31540,""en"",""es-ES"")"),"Vemos la pantalla de título de cierre.")</f>
        <v>Vemos la pantalla de título de cierre.</v>
      </c>
    </row>
    <row r="31541">
      <c r="A31541" s="4" t="s">
        <v>39710</v>
      </c>
      <c r="B31541" s="4" t="s">
        <v>39711</v>
      </c>
      <c r="C31541" s="5" t="str">
        <f>IFERROR(__xludf.DUMMYFUNCTION("GOOGLETRANSLATE(B31541,""en"",""es-ES"")"),"Un hombre limpia la nieve de un automóvil en estacionamiento cubierto de nieve.")</f>
        <v>Un hombre limpia la nieve de un automóvil en estacionamiento cubierto de nieve.</v>
      </c>
    </row>
    <row r="31542">
      <c r="A31542" s="4" t="s">
        <v>39710</v>
      </c>
      <c r="B31542" s="4" t="s">
        <v>39712</v>
      </c>
      <c r="C31542" s="5" t="str">
        <f>IFERROR(__xludf.DUMMYFUNCTION("GOOGLETRANSLATE(B31542,""en"",""es-ES"")"),"Un hombre en un pasillo estrecho contiene y dirige una cámara en el pasillo, presiona un botón en el pasillo, luego sale por la puerta del pasillo y sale.")</f>
        <v>Un hombre en un pasillo estrecho contiene y dirige una cámara en el pasillo, presiona un botón en el pasillo, luego sale por la puerta del pasillo y sale.</v>
      </c>
    </row>
    <row r="31543">
      <c r="A31543" s="4" t="s">
        <v>39710</v>
      </c>
      <c r="B31543" s="4" t="s">
        <v>39713</v>
      </c>
      <c r="C31543" s="5" t="str">
        <f>IFERROR(__xludf.DUMMYFUNCTION("GOOGLETRANSLATE(B31543,""en"",""es-ES"")"),"Una vez fuera de la cámara, recoge un estacionamiento cubierto de nieve lleno de autos cubiertos de nieve y una niña con pantalones rosados.")</f>
        <v>Una vez fuera de la cámara, recoge un estacionamiento cubierto de nieve lleno de autos cubiertos de nieve y una niña con pantalones rosados.</v>
      </c>
    </row>
    <row r="31544">
      <c r="A31544" s="4" t="s">
        <v>39710</v>
      </c>
      <c r="B31544" s="4" t="s">
        <v>39714</v>
      </c>
      <c r="C31544" s="5" t="str">
        <f>IFERROR(__xludf.DUMMYFUNCTION("GOOGLETRANSLATE(B31544,""en"",""es-ES"")"),"Un hombre que sostiene una larga nieve que se quita el cepillo se acerca a un automóvil y comienza a limpiar la nieve del automóvil a veces gestamente gestamente con sus brazos.")</f>
        <v>Un hombre que sostiene una larga nieve que se quita el cepillo se acerca a un automóvil y comienza a limpiar la nieve del automóvil a veces gestamente gestamente con sus brazos.</v>
      </c>
    </row>
    <row r="31545">
      <c r="A31545" s="4" t="s">
        <v>39710</v>
      </c>
      <c r="B31545" s="4" t="s">
        <v>39715</v>
      </c>
      <c r="C31545" s="5" t="str">
        <f>IFERROR(__xludf.DUMMYFUNCTION("GOOGLETRANSLATE(B31545,""en"",""es-ES"")"),"El hombre despeja todo el automóvil con nieve, con el cepillo y una pala antes de que la escena se corte a un vehículo que conduce por la calle en la nieve.")</f>
        <v>El hombre despeja todo el automóvil con nieve, con el cepillo y una pala antes de que la escena se corte a un vehículo que conduce por la calle en la nieve.</v>
      </c>
    </row>
    <row r="31546">
      <c r="A31546" s="4" t="s">
        <v>39716</v>
      </c>
      <c r="B31546" s="4" t="s">
        <v>39717</v>
      </c>
      <c r="C31546" s="5" t="str">
        <f>IFERROR(__xludf.DUMMYFUNCTION("GOOGLETRANSLATE(B31546,""en"",""es-ES"")"),"Vemos hombres parados en un casino con cervezas.")</f>
        <v>Vemos hombres parados en un casino con cervezas.</v>
      </c>
    </row>
    <row r="31547">
      <c r="A31547" s="4" t="s">
        <v>39716</v>
      </c>
      <c r="B31547" s="4" t="s">
        <v>39718</v>
      </c>
      <c r="C31547" s="5" t="str">
        <f>IFERROR(__xludf.DUMMYFUNCTION("GOOGLETRANSLATE(B31547,""en"",""es-ES"")"),"Vemos a un hombre y ponemos dinero en la mesa.")</f>
        <v>Vemos a un hombre y ponemos dinero en la mesa.</v>
      </c>
    </row>
    <row r="31548">
      <c r="A31548" s="4" t="s">
        <v>39716</v>
      </c>
      <c r="B31548" s="4" t="s">
        <v>39719</v>
      </c>
      <c r="C31548" s="5" t="str">
        <f>IFERROR(__xludf.DUMMYFUNCTION("GOOGLETRANSLATE(B31548,""en"",""es-ES"")"),"El concesionario cuenta el dinero y le da a las papas fritas al hombre.")</f>
        <v>El concesionario cuenta el dinero y le da a las papas fritas al hombre.</v>
      </c>
    </row>
    <row r="31549">
      <c r="A31549" s="4" t="s">
        <v>39716</v>
      </c>
      <c r="B31549" s="4" t="s">
        <v>39720</v>
      </c>
      <c r="C31549" s="5" t="str">
        <f>IFERROR(__xludf.DUMMYFUNCTION("GOOGLETRANSLATE(B31549,""en"",""es-ES"")"),"El concesionario trata de manos de blackjack y vemos a los hombres aplaudiendo y al concesionario riendo.")</f>
        <v>El concesionario trata de manos de blackjack y vemos a los hombres aplaudiendo y al concesionario riendo.</v>
      </c>
    </row>
    <row r="31550">
      <c r="A31550" s="4" t="s">
        <v>39716</v>
      </c>
      <c r="B31550" s="4" t="s">
        <v>39721</v>
      </c>
      <c r="C31550" s="5" t="str">
        <f>IFERROR(__xludf.DUMMYFUNCTION("GOOGLETRANSLATE(B31550,""en"",""es-ES"")"),"Vemos al concesionario dar al hombre chips y el hombre se para en su grupo mostrando a sus amigos su pila de papas fritas.")</f>
        <v>Vemos al concesionario dar al hombre chips y el hombre se para en su grupo mostrando a sus amigos su pila de papas fritas.</v>
      </c>
    </row>
    <row r="31551">
      <c r="A31551" s="4" t="s">
        <v>39716</v>
      </c>
      <c r="B31551" s="4" t="s">
        <v>39722</v>
      </c>
      <c r="C31551" s="5" t="str">
        <f>IFERROR(__xludf.DUMMYFUNCTION("GOOGLETRANSLATE(B31551,""en"",""es-ES"")"),"Dos hombres animan y arrojan sus puños al aire y el yo se ríe, anima y camina.")</f>
        <v>Dos hombres animan y arrojan sus puños al aire y el yo se ríe, anima y camina.</v>
      </c>
    </row>
    <row r="31552">
      <c r="A31552" s="4" t="s">
        <v>39723</v>
      </c>
      <c r="B31552" s="4" t="s">
        <v>31448</v>
      </c>
      <c r="C31552" s="5" t="str">
        <f>IFERROR(__xludf.DUMMYFUNCTION("GOOGLETRANSLATE(B31552,""en"",""es-ES"")"),"Un niño se desliza por una diapositiva.")</f>
        <v>Un niño se desliza por una diapositiva.</v>
      </c>
    </row>
    <row r="31553">
      <c r="A31553" s="4" t="s">
        <v>39723</v>
      </c>
      <c r="B31553" s="4" t="s">
        <v>39724</v>
      </c>
      <c r="C31553" s="5" t="str">
        <f>IFERROR(__xludf.DUMMYFUNCTION("GOOGLETRANSLATE(B31553,""en"",""es-ES"")"),"Hace una pausa cuando otro se desliza hacia abajo.")</f>
        <v>Hace una pausa cuando otro se desliza hacia abajo.</v>
      </c>
    </row>
    <row r="31554">
      <c r="A31554" s="4" t="s">
        <v>39723</v>
      </c>
      <c r="B31554" s="4" t="s">
        <v>39725</v>
      </c>
      <c r="C31554" s="5" t="str">
        <f>IFERROR(__xludf.DUMMYFUNCTION("GOOGLETRANSLATE(B31554,""en"",""es-ES"")"),"Él se desliza hacia abajo mientras ella se detiene.")</f>
        <v>Él se desliza hacia abajo mientras ella se detiene.</v>
      </c>
    </row>
    <row r="31555">
      <c r="A31555" s="4" t="s">
        <v>39723</v>
      </c>
      <c r="B31555" s="4" t="s">
        <v>39726</v>
      </c>
      <c r="C31555" s="5" t="str">
        <f>IFERROR(__xludf.DUMMYFUNCTION("GOOGLETRANSLATE(B31555,""en"",""es-ES"")"),"Él corre hacia ella y ella se desliza hasta el final.")</f>
        <v>Él corre hacia ella y ella se desliza hasta el final.</v>
      </c>
    </row>
    <row r="31556">
      <c r="A31556" s="4" t="s">
        <v>39727</v>
      </c>
      <c r="B31556" s="4" t="s">
        <v>39728</v>
      </c>
      <c r="C31556" s="5" t="str">
        <f>IFERROR(__xludf.DUMMYFUNCTION("GOOGLETRANSLATE(B31556,""en"",""es-ES"")"),"Vemos el título sobre un paisaje.")</f>
        <v>Vemos el título sobre un paisaje.</v>
      </c>
    </row>
    <row r="31557">
      <c r="A31557" s="4" t="s">
        <v>39727</v>
      </c>
      <c r="B31557" s="4" t="s">
        <v>39729</v>
      </c>
      <c r="C31557" s="5" t="str">
        <f>IFERROR(__xludf.DUMMYFUNCTION("GOOGLETRANSLATE(B31557,""en"",""es-ES"")"),"La gente toca instrumentos en un campo.")</f>
        <v>La gente toca instrumentos en un campo.</v>
      </c>
    </row>
    <row r="31558">
      <c r="A31558" s="4" t="s">
        <v>39727</v>
      </c>
      <c r="B31558" s="4" t="s">
        <v>39730</v>
      </c>
      <c r="C31558" s="5" t="str">
        <f>IFERROR(__xludf.DUMMYFUNCTION("GOOGLETRANSLATE(B31558,""en"",""es-ES"")"),"Luego vemos hombres practicando artes marciales.")</f>
        <v>Luego vemos hombres practicando artes marciales.</v>
      </c>
    </row>
    <row r="31559">
      <c r="A31559" s="4" t="s">
        <v>39727</v>
      </c>
      <c r="B31559" s="4" t="s">
        <v>39731</v>
      </c>
      <c r="C31559" s="5" t="str">
        <f>IFERROR(__xludf.DUMMYFUNCTION("GOOGLETRANSLATE(B31559,""en"",""es-ES"")"),"Un hombre patea a otro hombre al suelo.")</f>
        <v>Un hombre patea a otro hombre al suelo.</v>
      </c>
    </row>
    <row r="31560">
      <c r="A31560" s="4" t="s">
        <v>39727</v>
      </c>
      <c r="B31560" s="4" t="s">
        <v>39732</v>
      </c>
      <c r="C31560" s="5" t="str">
        <f>IFERROR(__xludf.DUMMYFUNCTION("GOOGLETRANSLATE(B31560,""en"",""es-ES"")"),"Vemos a un hombre arrojar a otro hombre sobre su espalda.")</f>
        <v>Vemos a un hombre arrojar a otro hombre sobre su espalda.</v>
      </c>
    </row>
    <row r="31561">
      <c r="A31561" s="4" t="s">
        <v>39727</v>
      </c>
      <c r="B31561" s="4" t="s">
        <v>39733</v>
      </c>
      <c r="C31561" s="5" t="str">
        <f>IFERROR(__xludf.DUMMYFUNCTION("GOOGLETRANSLATE(B31561,""en"",""es-ES"")"),"Un hombre hace un volteo, luego hace un volteo de espalda.")</f>
        <v>Un hombre hace un volteo, luego hace un volteo de espalda.</v>
      </c>
    </row>
    <row r="31562">
      <c r="A31562" s="4" t="s">
        <v>39727</v>
      </c>
      <c r="B31562" s="4" t="s">
        <v>39734</v>
      </c>
      <c r="C31562" s="5" t="str">
        <f>IFERROR(__xludf.DUMMYFUNCTION("GOOGLETRANSLATE(B31562,""en"",""es-ES"")"),"Vemos a la gente tocando instrumentos nuevamente.")</f>
        <v>Vemos a la gente tocando instrumentos nuevamente.</v>
      </c>
    </row>
    <row r="31563">
      <c r="A31563" s="4" t="s">
        <v>39727</v>
      </c>
      <c r="B31563" s="4" t="s">
        <v>39735</v>
      </c>
      <c r="C31563" s="5" t="str">
        <f>IFERROR(__xludf.DUMMYFUNCTION("GOOGLETRANSLATE(B31563,""en"",""es-ES"")"),"130 Vemos que aparecen palabras en la pantalla, y los créditos finales aparecen.")</f>
        <v>130 Vemos que aparecen palabras en la pantalla, y los créditos finales aparecen.</v>
      </c>
    </row>
    <row r="31564">
      <c r="A31564" s="4" t="s">
        <v>39736</v>
      </c>
      <c r="B31564" s="4" t="s">
        <v>39737</v>
      </c>
      <c r="C31564" s="5" t="str">
        <f>IFERROR(__xludf.DUMMYFUNCTION("GOOGLETRANSLATE(B31564,""en"",""es-ES"")"),"Se ve a un niño pequeño jugando con un juguete y poniéndose los labios en los labios.")</f>
        <v>Se ve a un niño pequeño jugando con un juguete y poniéndose los labios en los labios.</v>
      </c>
    </row>
    <row r="31565">
      <c r="A31565" s="4" t="s">
        <v>39736</v>
      </c>
      <c r="B31565" s="4" t="s">
        <v>39738</v>
      </c>
      <c r="C31565" s="5" t="str">
        <f>IFERROR(__xludf.DUMMYFUNCTION("GOOGLETRANSLATE(B31565,""en"",""es-ES"")"),"Luego se ve a la cámara moviéndose alrededor de una habitación, bajando las escaleras y siguiendo a la joven.")</f>
        <v>Luego se ve a la cámara moviéndose alrededor de una habitación, bajando las escaleras y siguiendo a la joven.</v>
      </c>
    </row>
    <row r="31566">
      <c r="A31566" s="4" t="s">
        <v>39736</v>
      </c>
      <c r="B31566" s="4" t="s">
        <v>39739</v>
      </c>
      <c r="C31566" s="5" t="str">
        <f>IFERROR(__xludf.DUMMYFUNCTION("GOOGLETRANSLATE(B31566,""en"",""es-ES"")"),"La niña regresa a su habitación para jugar con su juguete mientras la cámara sigue.")</f>
        <v>La niña regresa a su habitación para jugar con su juguete mientras la cámara sigue.</v>
      </c>
    </row>
    <row r="31567">
      <c r="A31567" s="4" t="s">
        <v>39740</v>
      </c>
      <c r="B31567" s="4" t="s">
        <v>39741</v>
      </c>
      <c r="C31567" s="5" t="str">
        <f>IFERROR(__xludf.DUMMYFUNCTION("GOOGLETRANSLATE(B31567,""en"",""es-ES"")"),"Dos hombres juegan juegos de tijeras de papel rock frente a un árbitro.")</f>
        <v>Dos hombres juegan juegos de tijeras de papel rock frente a un árbitro.</v>
      </c>
    </row>
    <row r="31568">
      <c r="A31568" s="4" t="s">
        <v>39740</v>
      </c>
      <c r="B31568" s="4" t="s">
        <v>39742</v>
      </c>
      <c r="C31568" s="5" t="str">
        <f>IFERROR(__xludf.DUMMYFUNCTION("GOOGLETRANSLATE(B31568,""en"",""es-ES"")"),"Una mujer golpea a una de ellas en la espalda.")</f>
        <v>Una mujer golpea a una de ellas en la espalda.</v>
      </c>
    </row>
    <row r="31569">
      <c r="A31569" s="4" t="s">
        <v>39740</v>
      </c>
      <c r="B31569" s="4" t="s">
        <v>39743</v>
      </c>
      <c r="C31569" s="5" t="str">
        <f>IFERROR(__xludf.DUMMYFUNCTION("GOOGLETRANSLATE(B31569,""en"",""es-ES"")"),"Juegan un juego final y un hombre celebra su victoria.")</f>
        <v>Juegan un juego final y un hombre celebra su victoria.</v>
      </c>
    </row>
    <row r="31570">
      <c r="A31570" s="4" t="s">
        <v>39744</v>
      </c>
      <c r="B31570" s="4" t="s">
        <v>39745</v>
      </c>
      <c r="C31570" s="5" t="str">
        <f>IFERROR(__xludf.DUMMYFUNCTION("GOOGLETRANSLATE(B31570,""en"",""es-ES"")"),"Un hombre está sentado detrás de una mesa.")</f>
        <v>Un hombre está sentado detrás de una mesa.</v>
      </c>
    </row>
    <row r="31571">
      <c r="A31571" s="4" t="s">
        <v>39744</v>
      </c>
      <c r="B31571" s="4" t="s">
        <v>39746</v>
      </c>
      <c r="C31571" s="5" t="str">
        <f>IFERROR(__xludf.DUMMYFUNCTION("GOOGLETRANSLATE(B31571,""en"",""es-ES"")"),"Él recoge un cubo de Rubiks y lo completa.")</f>
        <v>Él recoge un cubo de Rubiks y lo completa.</v>
      </c>
    </row>
    <row r="31572">
      <c r="A31572" s="4" t="s">
        <v>39744</v>
      </c>
      <c r="B31572" s="4" t="s">
        <v>39747</v>
      </c>
      <c r="C31572" s="5" t="str">
        <f>IFERROR(__xludf.DUMMYFUNCTION("GOOGLETRANSLATE(B31572,""en"",""es-ES"")"),"Un hombre se para junto a él y escribe algo en un papel.")</f>
        <v>Un hombre se para junto a él y escribe algo en un papel.</v>
      </c>
    </row>
    <row r="31573">
      <c r="A31573" s="4" t="s">
        <v>39748</v>
      </c>
      <c r="B31573" s="4" t="s">
        <v>39749</v>
      </c>
      <c r="C31573" s="5" t="str">
        <f>IFERROR(__xludf.DUMMYFUNCTION("GOOGLETRANSLATE(B31573,""en"",""es-ES"")"),"Se ve a un hombre hablando con la cámara y comienza a sostener cuchillos.")</f>
        <v>Se ve a un hombre hablando con la cámara y comienza a sostener cuchillos.</v>
      </c>
    </row>
    <row r="31574">
      <c r="A31574" s="4" t="s">
        <v>39748</v>
      </c>
      <c r="B31574" s="4" t="s">
        <v>39750</v>
      </c>
      <c r="C31574" s="5" t="str">
        <f>IFERROR(__xludf.DUMMYFUNCTION("GOOGLETRANSLATE(B31574,""en"",""es-ES"")"),"Señaliza sus herramientas y muestra un kit.")</f>
        <v>Señaliza sus herramientas y muestra un kit.</v>
      </c>
    </row>
    <row r="31575">
      <c r="A31575" s="4" t="s">
        <v>39748</v>
      </c>
      <c r="B31575" s="4" t="s">
        <v>39751</v>
      </c>
      <c r="C31575" s="5" t="str">
        <f>IFERROR(__xludf.DUMMYFUNCTION("GOOGLETRANSLATE(B31575,""en"",""es-ES"")"),"Luego conduce a afilar un cuchillo con varios tableros y palos mientras todavía habla con la cámara.")</f>
        <v>Luego conduce a afilar un cuchillo con varios tableros y palos mientras todavía habla con la cámara.</v>
      </c>
    </row>
    <row r="31576">
      <c r="A31576" s="4" t="s">
        <v>39752</v>
      </c>
      <c r="B31576" s="4" t="s">
        <v>39753</v>
      </c>
      <c r="C31576" s="5" t="str">
        <f>IFERROR(__xludf.DUMMYFUNCTION("GOOGLETRANSLATE(B31576,""en"",""es-ES"")"),"Un grupo de nadadores está listo en una plataforma y se inclina hasta sus pies.")</f>
        <v>Un grupo de nadadores está listo en una plataforma y se inclina hasta sus pies.</v>
      </c>
    </row>
    <row r="31577">
      <c r="A31577" s="4" t="s">
        <v>39752</v>
      </c>
      <c r="B31577" s="4" t="s">
        <v>39754</v>
      </c>
      <c r="C31577" s="5" t="str">
        <f>IFERROR(__xludf.DUMMYFUNCTION("GOOGLETRANSLATE(B31577,""en"",""es-ES"")"),"Varios hombres se respaldan cuando todos saltan al mismo tiempo.")</f>
        <v>Varios hombres se respaldan cuando todos saltan al mismo tiempo.</v>
      </c>
    </row>
    <row r="31578">
      <c r="A31578" s="4" t="s">
        <v>39752</v>
      </c>
      <c r="B31578" s="4" t="s">
        <v>39755</v>
      </c>
      <c r="C31578" s="5" t="str">
        <f>IFERROR(__xludf.DUMMYFUNCTION("GOOGLETRANSLATE(B31578,""en"",""es-ES"")"),"Los hombres corren de regreso y cuarto haciendo un movimiento de mariposa hacia atrás y cuarto hasta que todos llegan al final.")</f>
        <v>Los hombres corren de regreso y cuarto haciendo un movimiento de mariposa hacia atrás y cuarto hasta que todos llegan al final.</v>
      </c>
    </row>
    <row r="31579">
      <c r="A31579" s="4" t="s">
        <v>39756</v>
      </c>
      <c r="B31579" s="4" t="s">
        <v>39757</v>
      </c>
      <c r="C31579" s="5" t="str">
        <f>IFERROR(__xludf.DUMMYFUNCTION("GOOGLETRANSLATE(B31579,""en"",""es-ES"")"),"Una adolescente se cepilla el cabello.")</f>
        <v>Una adolescente se cepilla el cabello.</v>
      </c>
    </row>
    <row r="31580">
      <c r="A31580" s="4" t="s">
        <v>39756</v>
      </c>
      <c r="B31580" s="4" t="s">
        <v>39758</v>
      </c>
      <c r="C31580" s="5" t="str">
        <f>IFERROR(__xludf.DUMMYFUNCTION("GOOGLETRANSLATE(B31580,""en"",""es-ES"")"),"La niña mira hacia abajo como si estuviera confundida.")</f>
        <v>La niña mira hacia abajo como si estuviera confundida.</v>
      </c>
    </row>
    <row r="31581">
      <c r="A31581" s="4" t="s">
        <v>39756</v>
      </c>
      <c r="B31581" s="4" t="s">
        <v>32637</v>
      </c>
      <c r="C31581" s="5" t="str">
        <f>IFERROR(__xludf.DUMMYFUNCTION("GOOGLETRANSLATE(B31581,""en"",""es-ES"")"),"La niña habla con la cámara.")</f>
        <v>La niña habla con la cámara.</v>
      </c>
    </row>
    <row r="31582">
      <c r="A31582" s="4" t="s">
        <v>39759</v>
      </c>
      <c r="B31582" s="4" t="s">
        <v>39760</v>
      </c>
      <c r="C31582" s="5" t="str">
        <f>IFERROR(__xludf.DUMMYFUNCTION("GOOGLETRANSLATE(B31582,""en"",""es-ES"")"),"Varias personas se muestran al principio en un gran gimnasio que realiza varios resbalones y trucos en un trampolín a la vez.")</f>
        <v>Varias personas se muestran al principio en un gran gimnasio que realiza varios resbalones y trucos en un trampolín a la vez.</v>
      </c>
    </row>
    <row r="31583">
      <c r="A31583" s="4" t="s">
        <v>39759</v>
      </c>
      <c r="B31583" s="4" t="s">
        <v>39761</v>
      </c>
      <c r="C31583" s="5" t="str">
        <f>IFERROR(__xludf.DUMMYFUNCTION("GOOGLETRANSLATE(B31583,""en"",""es-ES"")"),"La gente continúa saltando y volteando el gimnasio con un solo final en un gran pozo al final.")</f>
        <v>La gente continúa saltando y volteando el gimnasio con un solo final en un gran pozo al final.</v>
      </c>
    </row>
    <row r="31584">
      <c r="A31584" s="4" t="s">
        <v>39762</v>
      </c>
      <c r="B31584" s="4" t="s">
        <v>39763</v>
      </c>
      <c r="C31584" s="5" t="str">
        <f>IFERROR(__xludf.DUMMYFUNCTION("GOOGLETRANSLATE(B31584,""en"",""es-ES"")"),"El peluquero rocía el perro marrón.")</f>
        <v>El peluquero rocía el perro marrón.</v>
      </c>
    </row>
    <row r="31585">
      <c r="A31585" s="4" t="s">
        <v>39762</v>
      </c>
      <c r="B31585" s="4" t="s">
        <v>39764</v>
      </c>
      <c r="C31585" s="5" t="str">
        <f>IFERROR(__xludf.DUMMYFUNCTION("GOOGLETRANSLATE(B31585,""en"",""es-ES"")"),"El perro corre por la tienda.")</f>
        <v>El perro corre por la tienda.</v>
      </c>
    </row>
    <row r="31586">
      <c r="A31586" s="4" t="s">
        <v>39762</v>
      </c>
      <c r="B31586" s="4" t="s">
        <v>39765</v>
      </c>
      <c r="C31586" s="5" t="str">
        <f>IFERROR(__xludf.DUMMYFUNCTION("GOOGLETRANSLATE(B31586,""en"",""es-ES"")"),"El peluquero busca al perro marrón.")</f>
        <v>El peluquero busca al perro marrón.</v>
      </c>
    </row>
    <row r="31587">
      <c r="A31587" s="4" t="s">
        <v>39766</v>
      </c>
      <c r="B31587" s="4" t="s">
        <v>39767</v>
      </c>
      <c r="C31587" s="5" t="str">
        <f>IFERROR(__xludf.DUMMYFUNCTION("GOOGLETRANSLATE(B31587,""en"",""es-ES"")"),"Se ve a una persona sosteniendo varios alimentos mientras se ríe y habla con otros.")</f>
        <v>Se ve a una persona sosteniendo varios alimentos mientras se ríe y habla con otros.</v>
      </c>
    </row>
    <row r="31588">
      <c r="A31588" s="4" t="s">
        <v>39766</v>
      </c>
      <c r="B31588" s="4" t="s">
        <v>39768</v>
      </c>
      <c r="C31588" s="5" t="str">
        <f>IFERROR(__xludf.DUMMYFUNCTION("GOOGLETRANSLATE(B31588,""en"",""es-ES"")"),"Luego, los hombres comienzan a cocinar juntos mezclando varios ingredientes y presentándolos en un plato.")</f>
        <v>Luego, los hombres comienzan a cocinar juntos mezclando varios ingredientes y presentándolos en un plato.</v>
      </c>
    </row>
    <row r="31589">
      <c r="A31589" s="4" t="s">
        <v>39766</v>
      </c>
      <c r="B31589" s="4" t="s">
        <v>39769</v>
      </c>
      <c r="C31589" s="5" t="str">
        <f>IFERROR(__xludf.DUMMYFUNCTION("GOOGLETRANSLATE(B31589,""en"",""es-ES"")"),"Luego se muestra la receta sobre cómo cocinar la comida y conduce a los clips de la comida que se cocina y se presenta con los hombres que comen juntos.")</f>
        <v>Luego se muestra la receta sobre cómo cocinar la comida y conduce a los clips de la comida que se cocina y se presenta con los hombres que comen juntos.</v>
      </c>
    </row>
    <row r="31590">
      <c r="A31590" s="4" t="s">
        <v>39770</v>
      </c>
      <c r="B31590" s="4" t="s">
        <v>39771</v>
      </c>
      <c r="C31590" s="5" t="str">
        <f>IFERROR(__xludf.DUMMYFUNCTION("GOOGLETRANSLATE(B31590,""en"",""es-ES"")"),"Una introducción conduce a varios disparos de agua humeante y una mujer joven nadando hacia atrás y cuarto en el agua.")</f>
        <v>Una introducción conduce a varios disparos de agua humeante y una mujer joven nadando hacia atrás y cuarto en el agua.</v>
      </c>
    </row>
    <row r="31591">
      <c r="A31591" s="4" t="s">
        <v>39770</v>
      </c>
      <c r="B31591" s="4" t="s">
        <v>39772</v>
      </c>
      <c r="C31591" s="5" t="str">
        <f>IFERROR(__xludf.DUMMYFUNCTION("GOOGLETRANSLATE(B31591,""en"",""es-ES"")"),"Ella sube a la superficie y habla con la cámara, mientras que se muestran varias tomas más de agua.")</f>
        <v>Ella sube a la superficie y habla con la cámara, mientras que se muestran varias tomas más de agua.</v>
      </c>
    </row>
    <row r="31592">
      <c r="A31592" s="4" t="s">
        <v>39773</v>
      </c>
      <c r="B31592" s="4" t="s">
        <v>39774</v>
      </c>
      <c r="C31592" s="5" t="str">
        <f>IFERROR(__xludf.DUMMYFUNCTION("GOOGLETRANSLATE(B31592,""en"",""es-ES"")"),"Se ve a un hombre sentado en un camello seguido de bajarse y otro hombre subiendo.")</f>
        <v>Se ve a un hombre sentado en un camello seguido de bajarse y otro hombre subiendo.</v>
      </c>
    </row>
    <row r="31593">
      <c r="A31593" s="4" t="s">
        <v>39773</v>
      </c>
      <c r="B31593" s="4" t="s">
        <v>39775</v>
      </c>
      <c r="C31593" s="5" t="str">
        <f>IFERROR(__xludf.DUMMYFUNCTION("GOOGLETRANSLATE(B31593,""en"",""es-ES"")"),"El hombre luego conduce al otro en el camello.")</f>
        <v>El hombre luego conduce al otro en el camello.</v>
      </c>
    </row>
    <row r="31594">
      <c r="A31594" s="4" t="s">
        <v>39773</v>
      </c>
      <c r="B31594" s="4" t="s">
        <v>39776</v>
      </c>
      <c r="C31594" s="5" t="str">
        <f>IFERROR(__xludf.DUMMYFUNCTION("GOOGLETRANSLATE(B31594,""en"",""es-ES"")"),"El hombre detiene el camello y saca a la otra persona mientras vuelve a subir.")</f>
        <v>El hombre detiene el camello y saca a la otra persona mientras vuelve a subir.</v>
      </c>
    </row>
    <row r="31595">
      <c r="A31595" s="4" t="s">
        <v>39777</v>
      </c>
      <c r="B31595" s="4" t="s">
        <v>39778</v>
      </c>
      <c r="C31595" s="5" t="str">
        <f>IFERROR(__xludf.DUMMYFUNCTION("GOOGLETRANSLATE(B31595,""en"",""es-ES"")"),"Varios artistas salen de una caja y termina siendo un hombre y una mujer.")</f>
        <v>Varios artistas salen de una caja y termina siendo un hombre y una mujer.</v>
      </c>
    </row>
    <row r="31596">
      <c r="A31596" s="4" t="s">
        <v>39777</v>
      </c>
      <c r="B31596" s="4" t="s">
        <v>39779</v>
      </c>
      <c r="C31596" s="5" t="str">
        <f>IFERROR(__xludf.DUMMYFUNCTION("GOOGLETRANSLATE(B31596,""en"",""es-ES"")"),"Luego, la señora comienza a moverse de manera extraña y continuando contando una historia en forma de bailarina.")</f>
        <v>Luego, la señora comienza a moverse de manera extraña y continuando contando una historia en forma de bailarina.</v>
      </c>
    </row>
    <row r="31597">
      <c r="A31597" s="4" t="s">
        <v>39777</v>
      </c>
      <c r="B31597" s="4" t="s">
        <v>39780</v>
      </c>
      <c r="C31597" s="5" t="str">
        <f>IFERROR(__xludf.DUMMYFUNCTION("GOOGLETRANSLATE(B31597,""en"",""es-ES"")"),"Después de unos minutos, el hombre se une a ellos y continúan bailando junto con piernas fuertes y brazos firmes.")</f>
        <v>Después de unos minutos, el hombre se une a ellos y continúan bailando junto con piernas fuertes y brazos firmes.</v>
      </c>
    </row>
    <row r="31598">
      <c r="A31598" s="4" t="s">
        <v>39781</v>
      </c>
      <c r="B31598" s="4" t="s">
        <v>39782</v>
      </c>
      <c r="C31598" s="5" t="str">
        <f>IFERROR(__xludf.DUMMYFUNCTION("GOOGLETRANSLATE(B31598,""en"",""es-ES"")"),"Un hombre sostiene un hierro amarillo sentado encima de una caja.")</f>
        <v>Un hombre sostiene un hierro amarillo sentado encima de una caja.</v>
      </c>
    </row>
    <row r="31599">
      <c r="A31599" s="4" t="s">
        <v>39781</v>
      </c>
      <c r="B31599" s="4" t="s">
        <v>39783</v>
      </c>
      <c r="C31599" s="5" t="str">
        <f>IFERROR(__xludf.DUMMYFUNCTION("GOOGLETRANSLATE(B31599,""en"",""es-ES"")"),"Él derrite una barra de estaba en el fondo del hierro caliente.")</f>
        <v>Él derrite una barra de estaba en el fondo del hierro caliente.</v>
      </c>
    </row>
    <row r="31600">
      <c r="A31600" s="4" t="s">
        <v>39781</v>
      </c>
      <c r="B31600" s="4" t="s">
        <v>39784</v>
      </c>
      <c r="C31600" s="5" t="str">
        <f>IFERROR(__xludf.DUMMYFUNCTION("GOOGLETRANSLATE(B31600,""en"",""es-ES"")"),"Luego hierva la cera que goteó sobre un esquí.")</f>
        <v>Luego hierva la cera que goteó sobre un esquí.</v>
      </c>
    </row>
    <row r="31601">
      <c r="A31601" s="4" t="s">
        <v>39781</v>
      </c>
      <c r="B31601" s="4" t="s">
        <v>39785</v>
      </c>
      <c r="C31601" s="5" t="str">
        <f>IFERROR(__xludf.DUMMYFUNCTION("GOOGLETRANSLATE(B31601,""en"",""es-ES"")"),"Termina y coloca el hierro hacia abajo.")</f>
        <v>Termina y coloca el hierro hacia abajo.</v>
      </c>
    </row>
    <row r="31602">
      <c r="A31602" s="4" t="s">
        <v>39786</v>
      </c>
      <c r="B31602" s="4" t="s">
        <v>39787</v>
      </c>
      <c r="C31602" s="5" t="str">
        <f>IFERROR(__xludf.DUMMYFUNCTION("GOOGLETRANSLATE(B31602,""en"",""es-ES"")"),"Un logotipo de una compañía aparece en una pantalla negra.")</f>
        <v>Un logotipo de una compañía aparece en una pantalla negra.</v>
      </c>
    </row>
    <row r="31603">
      <c r="A31603" s="4" t="s">
        <v>39786</v>
      </c>
      <c r="B31603" s="4" t="s">
        <v>39788</v>
      </c>
      <c r="C31603" s="5" t="str">
        <f>IFERROR(__xludf.DUMMYFUNCTION("GOOGLETRANSLATE(B31603,""en"",""es-ES"")"),"Un hombre con una chaqueta amarilla y un casco de naranja se muestra en kayak en el océano.")</f>
        <v>Un hombre con una chaqueta amarilla y un casco de naranja se muestra en kayak en el océano.</v>
      </c>
    </row>
    <row r="31604">
      <c r="A31604" s="4" t="s">
        <v>39786</v>
      </c>
      <c r="B31604" s="4" t="s">
        <v>39789</v>
      </c>
      <c r="C31604" s="5" t="str">
        <f>IFERROR(__xludf.DUMMYFUNCTION("GOOGLETRANSLATE(B31604,""en"",""es-ES"")"),"Otros kayakistas se muestran luchando a través de olas y montándolos.")</f>
        <v>Otros kayakistas se muestran luchando a través de olas y montándolos.</v>
      </c>
    </row>
    <row r="31605">
      <c r="A31605" s="4" t="s">
        <v>39786</v>
      </c>
      <c r="B31605" s="4" t="s">
        <v>39790</v>
      </c>
      <c r="C31605" s="5" t="str">
        <f>IFERROR(__xludf.DUMMYFUNCTION("GOOGLETRANSLATE(B31605,""en"",""es-ES"")"),"Un conjunto de fotos muestra a los kayakistas que navegan por el océano y chocan contra olas.")</f>
        <v>Un conjunto de fotos muestra a los kayakistas que navegan por el océano y chocan contra olas.</v>
      </c>
    </row>
    <row r="31606">
      <c r="A31606" s="4" t="s">
        <v>39791</v>
      </c>
      <c r="B31606" s="4" t="s">
        <v>39792</v>
      </c>
      <c r="C31606" s="5" t="str">
        <f>IFERROR(__xludf.DUMMYFUNCTION("GOOGLETRANSLATE(B31606,""en"",""es-ES"")"),"Una mujer está parada dentro de una cancha de racquetball.")</f>
        <v>Una mujer está parada dentro de una cancha de racquetball.</v>
      </c>
    </row>
    <row r="31607">
      <c r="A31607" s="4" t="s">
        <v>39791</v>
      </c>
      <c r="B31607" s="4" t="s">
        <v>39793</v>
      </c>
      <c r="C31607" s="5" t="str">
        <f>IFERROR(__xludf.DUMMYFUNCTION("GOOGLETRANSLATE(B31607,""en"",""es-ES"")"),"Ella comienza a golpear la pelota, corriendo tras ella.")</f>
        <v>Ella comienza a golpear la pelota, corriendo tras ella.</v>
      </c>
    </row>
    <row r="31608">
      <c r="A31608" s="4" t="s">
        <v>39791</v>
      </c>
      <c r="B31608" s="4" t="s">
        <v>39794</v>
      </c>
      <c r="C31608" s="5" t="str">
        <f>IFERROR(__xludf.DUMMYFUNCTION("GOOGLETRANSLATE(B31608,""en"",""es-ES"")"),"Ella tropieza y cae, golpeando el suelo cuando un hombre rescata el balón.")</f>
        <v>Ella tropieza y cae, golpeando el suelo cuando un hombre rescata el balón.</v>
      </c>
    </row>
    <row r="31609">
      <c r="A31609" s="4" t="s">
        <v>39795</v>
      </c>
      <c r="B31609" s="4" t="s">
        <v>39796</v>
      </c>
      <c r="C31609" s="5" t="str">
        <f>IFERROR(__xludf.DUMMYFUNCTION("GOOGLETRANSLATE(B31609,""en"",""es-ES"")"),"Un hombre se para afuera de una tienda de campaña.")</f>
        <v>Un hombre se para afuera de una tienda de campaña.</v>
      </c>
    </row>
    <row r="31610">
      <c r="A31610" s="4" t="s">
        <v>39795</v>
      </c>
      <c r="B31610" s="4" t="s">
        <v>39797</v>
      </c>
      <c r="C31610" s="5" t="str">
        <f>IFERROR(__xludf.DUMMYFUNCTION("GOOGLETRANSLATE(B31610,""en"",""es-ES"")"),"Mira dentro de la tienda a un grupo de niños jugando a las cartas y a una mujer sentada afuera.")</f>
        <v>Mira dentro de la tienda a un grupo de niños jugando a las cartas y a una mujer sentada afuera.</v>
      </c>
    </row>
    <row r="31611">
      <c r="A31611" s="4" t="s">
        <v>39795</v>
      </c>
      <c r="B31611" s="4" t="s">
        <v>39798</v>
      </c>
      <c r="C31611" s="5" t="str">
        <f>IFERROR(__xludf.DUMMYFUNCTION("GOOGLETRANSLATE(B31611,""en"",""es-ES"")"),"Un niño camina por autos estacionados, sonriendo.")</f>
        <v>Un niño camina por autos estacionados, sonriendo.</v>
      </c>
    </row>
    <row r="31612">
      <c r="A31612" s="4" t="s">
        <v>39795</v>
      </c>
      <c r="B31612" s="4" t="s">
        <v>39799</v>
      </c>
      <c r="C31612" s="5" t="str">
        <f>IFERROR(__xludf.DUMMYFUNCTION("GOOGLETRANSLATE(B31612,""en"",""es-ES"")"),"Luego se le muestra en un kayak en un lago.")</f>
        <v>Luego se le muestra en un kayak en un lago.</v>
      </c>
    </row>
    <row r="31613">
      <c r="A31613" s="4" t="s">
        <v>39795</v>
      </c>
      <c r="B31613" s="4" t="s">
        <v>39800</v>
      </c>
      <c r="C31613" s="5" t="str">
        <f>IFERROR(__xludf.DUMMYFUNCTION("GOOGLETRANSLATE(B31613,""en"",""es-ES"")"),"El resto de la familia pronto se une a él.")</f>
        <v>El resto de la familia pronto se une a él.</v>
      </c>
    </row>
    <row r="31614">
      <c r="A31614" s="4" t="s">
        <v>39801</v>
      </c>
      <c r="B31614" s="4" t="s">
        <v>39802</v>
      </c>
      <c r="C31614" s="5" t="str">
        <f>IFERROR(__xludf.DUMMYFUNCTION("GOOGLETRANSLATE(B31614,""en"",""es-ES"")"),"Un niño está en una fiesta que sostiene un palo y golpeando una piñata.")</f>
        <v>Un niño está en una fiesta que sostiene un palo y golpeando una piñata.</v>
      </c>
    </row>
    <row r="31615">
      <c r="A31615" s="4" t="s">
        <v>39801</v>
      </c>
      <c r="B31615" s="4" t="s">
        <v>39803</v>
      </c>
      <c r="C31615" s="5" t="str">
        <f>IFERROR(__xludf.DUMMYFUNCTION("GOOGLETRANSLATE(B31615,""en"",""es-ES"")"),"Cuando el niño termina de golpearlo, un adulto camina hacia la piñata.")</f>
        <v>Cuando el niño termina de golpearlo, un adulto camina hacia la piñata.</v>
      </c>
    </row>
    <row r="31616">
      <c r="A31616" s="4" t="s">
        <v>39801</v>
      </c>
      <c r="B31616" s="4" t="s">
        <v>39804</v>
      </c>
      <c r="C31616" s="5" t="str">
        <f>IFERROR(__xludf.DUMMYFUNCTION("GOOGLETRANSLATE(B31616,""en"",""es-ES"")"),"Otro niño de pie con el adulto también comienza a caminar hacia la piñata.")</f>
        <v>Otro niño de pie con el adulto también comienza a caminar hacia la piñata.</v>
      </c>
    </row>
    <row r="31617">
      <c r="A31617" s="4" t="s">
        <v>39805</v>
      </c>
      <c r="B31617" s="4" t="s">
        <v>39806</v>
      </c>
      <c r="C31617" s="5" t="str">
        <f>IFERROR(__xludf.DUMMYFUNCTION("GOOGLETRANSLATE(B31617,""en"",""es-ES"")"),"Un océano áspero tiene grandes olas blancas tapadas y un velero que lo atraviesa.")</f>
        <v>Un océano áspero tiene grandes olas blancas tapadas y un velero que lo atraviesa.</v>
      </c>
    </row>
    <row r="31618">
      <c r="A31618" s="4" t="s">
        <v>39805</v>
      </c>
      <c r="B31618" s="4" t="s">
        <v>39807</v>
      </c>
      <c r="C31618" s="5" t="str">
        <f>IFERROR(__xludf.DUMMYFUNCTION("GOOGLETRANSLATE(B31618,""en"",""es-ES"")"),"El velero pasa por encima de las grandes olas y aterriza con un chapoteo.")</f>
        <v>El velero pasa por encima de las grandes olas y aterriza con un chapoteo.</v>
      </c>
    </row>
    <row r="31619">
      <c r="A31619" s="4" t="s">
        <v>39805</v>
      </c>
      <c r="B31619" s="4" t="s">
        <v>39808</v>
      </c>
      <c r="C31619" s="5" t="str">
        <f>IFERROR(__xludf.DUMMYFUNCTION("GOOGLETRANSLATE(B31619,""en"",""es-ES"")"),"El bote maniobra y está inclinado hacia los lados a medida que pasa sobre las olas.")</f>
        <v>El bote maniobra y está inclinado hacia los lados a medida que pasa sobre las olas.</v>
      </c>
    </row>
    <row r="31620">
      <c r="A31620" s="4" t="s">
        <v>39809</v>
      </c>
      <c r="B31620" s="4" t="s">
        <v>39810</v>
      </c>
      <c r="C31620" s="5" t="str">
        <f>IFERROR(__xludf.DUMMYFUNCTION("GOOGLETRANSLATE(B31620,""en"",""es-ES"")"),"Dos equipos juegan voleibol de playa en el frente de una multitud.")</f>
        <v>Dos equipos juegan voleibol de playa en el frente de una multitud.</v>
      </c>
    </row>
    <row r="31621">
      <c r="A31621" s="4" t="s">
        <v>39809</v>
      </c>
      <c r="B31621" s="4" t="s">
        <v>39811</v>
      </c>
      <c r="C31621" s="5" t="str">
        <f>IFERROR(__xludf.DUMMYFUNCTION("GOOGLETRANSLATE(B31621,""en"",""es-ES"")"),"Una mujer sostiene un teléfono inteligente.")</f>
        <v>Una mujer sostiene un teléfono inteligente.</v>
      </c>
    </row>
    <row r="31622">
      <c r="A31622" s="4" t="s">
        <v>39809</v>
      </c>
      <c r="B31622" s="4" t="s">
        <v>39812</v>
      </c>
      <c r="C31622" s="5" t="str">
        <f>IFERROR(__xludf.DUMMYFUNCTION("GOOGLETRANSLATE(B31622,""en"",""es-ES"")"),"Un hombre sirve una pelota.")</f>
        <v>Un hombre sirve una pelota.</v>
      </c>
    </row>
    <row r="31623">
      <c r="A31623" s="4" t="s">
        <v>39809</v>
      </c>
      <c r="B31623" s="4" t="s">
        <v>39813</v>
      </c>
      <c r="C31623" s="5" t="str">
        <f>IFERROR(__xludf.DUMMYFUNCTION("GOOGLETRANSLATE(B31623,""en"",""es-ES"")"),"Un hombre que lleva una gorra y una camisa a cuadros pasan en el frente de los jugadores.")</f>
        <v>Un hombre que lleva una gorra y una camisa a cuadros pasan en el frente de los jugadores.</v>
      </c>
    </row>
    <row r="31624">
      <c r="A31624" s="4" t="s">
        <v>39814</v>
      </c>
      <c r="B31624" s="4" t="s">
        <v>39815</v>
      </c>
      <c r="C31624" s="5" t="str">
        <f>IFERROR(__xludf.DUMMYFUNCTION("GOOGLETRANSLATE(B31624,""en"",""es-ES"")"),"Un hombre está parado en una colina, celebrando ante una multitud.")</f>
        <v>Un hombre está parado en una colina, celebrando ante una multitud.</v>
      </c>
    </row>
    <row r="31625">
      <c r="A31625" s="4" t="s">
        <v>39814</v>
      </c>
      <c r="B31625" s="4" t="s">
        <v>39816</v>
      </c>
      <c r="C31625" s="5" t="str">
        <f>IFERROR(__xludf.DUMMYFUNCTION("GOOGLETRANSLATE(B31625,""en"",""es-ES"")"),"Se muestra en una bicicleta de tierra BMX, realizando una gran cantidad de acrobacias, ruedas y giros para una multitud.")</f>
        <v>Se muestra en una bicicleta de tierra BMX, realizando una gran cantidad de acrobacias, ruedas y giros para una multitud.</v>
      </c>
    </row>
    <row r="31626">
      <c r="A31626" s="4" t="s">
        <v>39814</v>
      </c>
      <c r="B31626" s="4" t="s">
        <v>39817</v>
      </c>
      <c r="C31626" s="5" t="str">
        <f>IFERROR(__xludf.DUMMYFUNCTION("GOOGLETRANSLATE(B31626,""en"",""es-ES"")"),"Las mujeres se muestran de cerca, bailando.")</f>
        <v>Las mujeres se muestran de cerca, bailando.</v>
      </c>
    </row>
    <row r="31627">
      <c r="A31627" s="4" t="s">
        <v>39818</v>
      </c>
      <c r="B31627" s="4" t="s">
        <v>39819</v>
      </c>
      <c r="C31627" s="5" t="str">
        <f>IFERROR(__xludf.DUMMYFUNCTION("GOOGLETRANSLATE(B31627,""en"",""es-ES"")"),"Dos chicos juegan Ping Pong en un gimnasio y uno de los chicos usa un Nunchaku como una raqueta para jugar y hacer trucos.")</f>
        <v>Dos chicos juegan Ping Pong en un gimnasio y uno de los chicos usa un Nunchaku como una raqueta para jugar y hacer trucos.</v>
      </c>
    </row>
    <row r="31628">
      <c r="A31628" s="4" t="s">
        <v>39818</v>
      </c>
      <c r="B31628" s="4" t="s">
        <v>39820</v>
      </c>
      <c r="C31628" s="5" t="str">
        <f>IFERROR(__xludf.DUMMYFUNCTION("GOOGLETRANSLATE(B31628,""en"",""es-ES"")"),"Un hombre pasa por la mesa de ping pong y se para cerca de la mesa.")</f>
        <v>Un hombre pasa por la mesa de ping pong y se para cerca de la mesa.</v>
      </c>
    </row>
    <row r="31629">
      <c r="A31629" s="4" t="s">
        <v>39818</v>
      </c>
      <c r="B31629" s="4" t="s">
        <v>39821</v>
      </c>
      <c r="C31629" s="5" t="str">
        <f>IFERROR(__xludf.DUMMYFUNCTION("GOOGLETRANSLATE(B31629,""en"",""es-ES"")"),"Luego, el hombre se une a uno de los jugadores y comienza a jugar, después, Bruce Lee aparece en la pantalla de un teléfono inteligente que voltea.")</f>
        <v>Luego, el hombre se une a uno de los jugadores y comienza a jugar, después, Bruce Lee aparece en la pantalla de un teléfono inteligente que voltea.</v>
      </c>
    </row>
    <row r="31630">
      <c r="A31630" s="4" t="s">
        <v>39818</v>
      </c>
      <c r="B31630" s="4" t="s">
        <v>39822</v>
      </c>
      <c r="C31630" s="5" t="str">
        <f>IFERROR(__xludf.DUMMYFUNCTION("GOOGLETRANSLATE(B31630,""en"",""es-ES"")"),"Un niño hace artes marciales se mueve y abraza un tablero, luego arregló el nunchaku y después de usarlo para encender una combinación en la boca del otro niño.")</f>
        <v>Un niño hace artes marciales se mueve y abraza un tablero, luego arregló el nunchaku y después de usarlo para encender una combinación en la boca del otro niño.</v>
      </c>
    </row>
    <row r="31631">
      <c r="A31631" s="4" t="s">
        <v>39823</v>
      </c>
      <c r="B31631" s="4" t="s">
        <v>39824</v>
      </c>
      <c r="C31631" s="5" t="str">
        <f>IFERROR(__xludf.DUMMYFUNCTION("GOOGLETRANSLATE(B31631,""en"",""es-ES"")"),"Una mujer sostiene una botella de esmalte de uñas púrpura en la cámara.")</f>
        <v>Una mujer sostiene una botella de esmalte de uñas púrpura en la cámara.</v>
      </c>
    </row>
    <row r="31632">
      <c r="A31632" s="4" t="s">
        <v>39823</v>
      </c>
      <c r="B31632" s="4" t="s">
        <v>39825</v>
      </c>
      <c r="C31632" s="5" t="str">
        <f>IFERROR(__xludf.DUMMYFUNCTION("GOOGLETRANSLATE(B31632,""en"",""es-ES"")"),"Luego se lo aplica a las uñas.")</f>
        <v>Luego se lo aplica a las uñas.</v>
      </c>
    </row>
    <row r="31633">
      <c r="A31633" s="4" t="s">
        <v>39823</v>
      </c>
      <c r="B31633" s="4" t="s">
        <v>39826</v>
      </c>
      <c r="C31633" s="5" t="str">
        <f>IFERROR(__xludf.DUMMYFUNCTION("GOOGLETRANSLATE(B31633,""en"",""es-ES"")"),"Cuando termina, muestra sus uñas y el esmalte por última vez.")</f>
        <v>Cuando termina, muestra sus uñas y el esmalte por última vez.</v>
      </c>
    </row>
    <row r="31634">
      <c r="A31634" s="4" t="s">
        <v>39827</v>
      </c>
      <c r="B31634" s="4" t="s">
        <v>39828</v>
      </c>
      <c r="C31634" s="5" t="str">
        <f>IFERROR(__xludf.DUMMYFUNCTION("GOOGLETRANSLATE(B31634,""en"",""es-ES"")"),"Las corridas de toros se anuncian en la pantalla.")</f>
        <v>Las corridas de toros se anuncian en la pantalla.</v>
      </c>
    </row>
    <row r="31635">
      <c r="A31635" s="4" t="s">
        <v>39827</v>
      </c>
      <c r="B31635" s="4" t="s">
        <v>39829</v>
      </c>
      <c r="C31635" s="5" t="str">
        <f>IFERROR(__xludf.DUMMYFUNCTION("GOOGLETRANSLATE(B31635,""en"",""es-ES"")"),"Hay clips de peleas de toros y el hombre está hablando de su experiencia de lucha de toros.")</f>
        <v>Hay clips de peleas de toros y el hombre está hablando de su experiencia de lucha de toros.</v>
      </c>
    </row>
    <row r="31636">
      <c r="A31636" s="4" t="s">
        <v>39827</v>
      </c>
      <c r="B31636" s="4" t="s">
        <v>39830</v>
      </c>
      <c r="C31636" s="5" t="str">
        <f>IFERROR(__xludf.DUMMYFUNCTION("GOOGLETRANSLATE(B31636,""en"",""es-ES"")"),"El toro rueda un barril mientras el payaso está detrás de él.")</f>
        <v>El toro rueda un barril mientras el payaso está detrás de él.</v>
      </c>
    </row>
    <row r="31637">
      <c r="A31637" s="4" t="s">
        <v>39827</v>
      </c>
      <c r="B31637" s="4" t="s">
        <v>39831</v>
      </c>
      <c r="C31637" s="5" t="str">
        <f>IFERROR(__xludf.DUMMYFUNCTION("GOOGLETRANSLATE(B31637,""en"",""es-ES"")"),"Se otorga un trofeo al toro.")</f>
        <v>Se otorga un trofeo al toro.</v>
      </c>
    </row>
    <row r="31638">
      <c r="A31638" s="4" t="s">
        <v>39832</v>
      </c>
      <c r="B31638" s="4" t="s">
        <v>39833</v>
      </c>
      <c r="C31638" s="5" t="str">
        <f>IFERROR(__xludf.DUMMYFUNCTION("GOOGLETRANSLATE(B31638,""en"",""es-ES"")"),"Una mujer de pie al lado de un vehículo habla con la cámara mientras ocasionalmente gestiza al vehículo.")</f>
        <v>Una mujer de pie al lado de un vehículo habla con la cámara mientras ocasionalmente gestiza al vehículo.</v>
      </c>
    </row>
    <row r="31639">
      <c r="A31639" s="4" t="s">
        <v>39832</v>
      </c>
      <c r="B31639" s="4" t="s">
        <v>39834</v>
      </c>
      <c r="C31639" s="5" t="str">
        <f>IFERROR(__xludf.DUMMYFUNCTION("GOOGLETRANSLATE(B31639,""en"",""es-ES"")"),"La mujer levanta una botella de spray.")</f>
        <v>La mujer levanta una botella de spray.</v>
      </c>
    </row>
    <row r="31640">
      <c r="A31640" s="4" t="s">
        <v>39832</v>
      </c>
      <c r="B31640" s="4" t="s">
        <v>39835</v>
      </c>
      <c r="C31640" s="5" t="str">
        <f>IFERROR(__xludf.DUMMYFUNCTION("GOOGLETRANSLATE(B31640,""en"",""es-ES"")"),"La mujer rocía la ventana del vehículo con la botella.")</f>
        <v>La mujer rocía la ventana del vehículo con la botella.</v>
      </c>
    </row>
    <row r="31641">
      <c r="A31641" s="4" t="s">
        <v>39832</v>
      </c>
      <c r="B31641" s="4" t="s">
        <v>39836</v>
      </c>
      <c r="C31641" s="5" t="str">
        <f>IFERROR(__xludf.DUMMYFUNCTION("GOOGLETRANSLATE(B31641,""en"",""es-ES"")"),"La mujer usa una toalla para limpiar la ventana.")</f>
        <v>La mujer usa una toalla para limpiar la ventana.</v>
      </c>
    </row>
    <row r="31642">
      <c r="A31642" s="4" t="s">
        <v>39832</v>
      </c>
      <c r="B31642" s="4" t="s">
        <v>39837</v>
      </c>
      <c r="C31642" s="5" t="str">
        <f>IFERROR(__xludf.DUMMYFUNCTION("GOOGLETRANSLATE(B31642,""en"",""es-ES"")"),"La mujer vuelve a hablar con la cámara.")</f>
        <v>La mujer vuelve a hablar con la cámara.</v>
      </c>
    </row>
    <row r="31643">
      <c r="A31643" s="4" t="s">
        <v>39832</v>
      </c>
      <c r="B31643" s="4" t="s">
        <v>39838</v>
      </c>
      <c r="C31643" s="5" t="str">
        <f>IFERROR(__xludf.DUMMYFUNCTION("GOOGLETRANSLATE(B31643,""en"",""es-ES"")"),"La mujer regresa a limpiar la ventana.")</f>
        <v>La mujer regresa a limpiar la ventana.</v>
      </c>
    </row>
    <row r="31644">
      <c r="A31644" s="4" t="s">
        <v>39832</v>
      </c>
      <c r="B31644" s="4" t="s">
        <v>39839</v>
      </c>
      <c r="C31644" s="5" t="str">
        <f>IFERROR(__xludf.DUMMYFUNCTION("GOOGLETRANSLATE(B31644,""en"",""es-ES"")"),"La mujer habla con la cámara una vez más.")</f>
        <v>La mujer habla con la cámara una vez más.</v>
      </c>
    </row>
    <row r="31645">
      <c r="A31645" s="4" t="s">
        <v>39840</v>
      </c>
      <c r="B31645" s="4" t="s">
        <v>39841</v>
      </c>
      <c r="C31645" s="5" t="str">
        <f>IFERROR(__xludf.DUMMYFUNCTION("GOOGLETRANSLATE(B31645,""en"",""es-ES"")"),"Se muestra un estufa en una habitación.")</f>
        <v>Se muestra un estufa en una habitación.</v>
      </c>
    </row>
    <row r="31646">
      <c r="A31646" s="4" t="s">
        <v>39840</v>
      </c>
      <c r="B31646" s="4" t="s">
        <v>39842</v>
      </c>
      <c r="C31646" s="5" t="str">
        <f>IFERROR(__xludf.DUMMYFUNCTION("GOOGLETRANSLATE(B31646,""en"",""es-ES"")"),"Un hombre con un suéter azul arroja una pelota por el shuffleboard.")</f>
        <v>Un hombre con un suéter azul arroja una pelota por el shuffleboard.</v>
      </c>
    </row>
    <row r="31647">
      <c r="A31647" s="4" t="s">
        <v>39840</v>
      </c>
      <c r="B31647" s="4" t="s">
        <v>29481</v>
      </c>
      <c r="C31647" s="5" t="str">
        <f>IFERROR(__xludf.DUMMYFUNCTION("GOOGLETRANSLATE(B31647,""en"",""es-ES"")"),"Se muestra un vaso de cerveza.")</f>
        <v>Se muestra un vaso de cerveza.</v>
      </c>
    </row>
    <row r="31648">
      <c r="A31648" s="4" t="s">
        <v>39843</v>
      </c>
      <c r="B31648" s="4" t="s">
        <v>39844</v>
      </c>
      <c r="C31648" s="5" t="str">
        <f>IFERROR(__xludf.DUMMYFUNCTION("GOOGLETRANSLATE(B31648,""en"",""es-ES"")"),"Se ve a un gran grupo de personas sentados en un piso seguido de personas disparando arco y flechas y corriendo por un curso.")</f>
        <v>Se ve a un gran grupo de personas sentados en un piso seguido de personas disparando arco y flechas y corriendo por un curso.</v>
      </c>
    </row>
    <row r="31649">
      <c r="A31649" s="4" t="s">
        <v>39843</v>
      </c>
      <c r="B31649" s="4" t="s">
        <v>39845</v>
      </c>
      <c r="C31649" s="5" t="str">
        <f>IFERROR(__xludf.DUMMYFUNCTION("GOOGLETRANSLATE(B31649,""en"",""es-ES"")"),"Los niños continúan corriendo unos a otros disparando el arco y las flechas y termina con una mujer sosteniendo su mano y mostrando una foto.")</f>
        <v>Los niños continúan corriendo unos a otros disparando el arco y las flechas y termina con una mujer sosteniendo su mano y mostrando una foto.</v>
      </c>
    </row>
    <row r="31650">
      <c r="A31650" s="4" t="s">
        <v>39846</v>
      </c>
      <c r="B31650" s="4" t="s">
        <v>39847</v>
      </c>
      <c r="C31650" s="5" t="str">
        <f>IFERROR(__xludf.DUMMYFUNCTION("GOOGLETRANSLATE(B31650,""en"",""es-ES"")"),"Un video más antiguo de mala calidad comienza a reproducirse y hay palabras blancas en bloques rojas que leen ""Leichtathletik Leicht Gemacht Diskus"".")</f>
        <v>Un video más antiguo de mala calidad comienza a reproducirse y hay palabras blancas en bloques rojas que leen "Leichtathletik Leicht Gemacht Diskus".</v>
      </c>
    </row>
    <row r="31651">
      <c r="A31651" s="4" t="s">
        <v>39846</v>
      </c>
      <c r="B31651" s="4" t="s">
        <v>39848</v>
      </c>
      <c r="C31651" s="5" t="str">
        <f>IFERROR(__xludf.DUMMYFUNCTION("GOOGLETRANSLATE(B31651,""en"",""es-ES"")"),"Un disco vuela a través del aire y aterriza en un campo, luego una foto de un hombre desnudo que sostiene un disco aparece brevemente hasta que otro clip se reproduce de un hombre en un campo grande que arroja un disco.")</f>
        <v>Un disco vuela a través del aire y aterriza en un campo, luego una foto de un hombre desnudo que sostiene un disco aparece brevemente hasta que otro clip se reproduce de un hombre en un campo grande que arroja un disco.</v>
      </c>
    </row>
    <row r="31652">
      <c r="A31652" s="4" t="s">
        <v>39846</v>
      </c>
      <c r="B31652" s="4" t="s">
        <v>39849</v>
      </c>
      <c r="C31652" s="5" t="str">
        <f>IFERROR(__xludf.DUMMYFUNCTION("GOOGLETRANSLATE(B31652,""en"",""es-ES"")"),"Un hombre ahora está sentado en un campo y las palabras en la pantalla dicen que él es ""Lars Riedel"" y debajo de ella la palabra ""Olympiasieger"", y le muestra hablando mientras cambia de ida y vuelta a los clips de un hombre en un campo es sosteniendo"&amp;" un disco en el campo, balanceándolo y luego arrojándolo.")</f>
        <v>Un hombre ahora está sentado en un campo y las palabras en la pantalla dicen que él es "Lars Riedel" y debajo de ella la palabra "Olympiasieger", y le muestra hablando mientras cambia de ida y vuelta a los clips de un hombre en un campo es sosteniendo un disco en el campo, balanceándolo y luego arrojándolo.</v>
      </c>
    </row>
    <row r="31653">
      <c r="A31653" s="4" t="s">
        <v>39846</v>
      </c>
      <c r="B31653" s="4" t="s">
        <v>39850</v>
      </c>
      <c r="C31653" s="5" t="str">
        <f>IFERROR(__xludf.DUMMYFUNCTION("GOOGLETRANSLATE(B31653,""en"",""es-ES"")"),"La foto de la foto de The Naked Man que sostiene el Dickus vuelve a aparecer y luego vuelve a los clips del hombre que ahora está caminando en el campo.")</f>
        <v>La foto de la foto de The Naked Man que sostiene el Dickus vuelve a aparecer y luego vuelve a los clips del hombre que ahora está caminando en el campo.</v>
      </c>
    </row>
    <row r="31654">
      <c r="A31654" s="4" t="s">
        <v>39851</v>
      </c>
      <c r="B31654" s="4" t="s">
        <v>39852</v>
      </c>
      <c r="C31654" s="5" t="str">
        <f>IFERROR(__xludf.DUMMYFUNCTION("GOOGLETRANSLATE(B31654,""en"",""es-ES"")"),"Un grupo de personas comienza a caminar en una habitación y comienzan a jugar un juego de futbolín.")</f>
        <v>Un grupo de personas comienza a caminar en una habitación y comienzan a jugar un juego de futbolín.</v>
      </c>
    </row>
    <row r="31655">
      <c r="A31655" s="4" t="s">
        <v>39851</v>
      </c>
      <c r="B31655" s="4" t="s">
        <v>39853</v>
      </c>
      <c r="C31655" s="5" t="str">
        <f>IFERROR(__xludf.DUMMYFUNCTION("GOOGLETRANSLATE(B31655,""en"",""es-ES"")"),"El juego comienza a intensificarse y los hombres comienzan a mirarnos a los demás a medida que comienzan a hacer goles.")</f>
        <v>El juego comienza a intensificarse y los hombres comienzan a mirarnos a los demás a medida que comienzan a hacer goles.</v>
      </c>
    </row>
    <row r="31656">
      <c r="A31656" s="4" t="s">
        <v>39851</v>
      </c>
      <c r="B31656" s="4" t="s">
        <v>39854</v>
      </c>
      <c r="C31656" s="5" t="str">
        <f>IFERROR(__xludf.DUMMYFUNCTION("GOOGLETRANSLATE(B31656,""en"",""es-ES"")"),"Una vez que termina el primer juego, otro conjunto de hombres comienza a competir y comienza a recortar la pelota sobre la gente.")</f>
        <v>Una vez que termina el primer juego, otro conjunto de hombres comienza a competir y comienza a recortar la pelota sobre la gente.</v>
      </c>
    </row>
    <row r="31657">
      <c r="A31657" s="4" t="s">
        <v>39851</v>
      </c>
      <c r="B31657" s="4" t="s">
        <v>39855</v>
      </c>
      <c r="C31657" s="5" t="str">
        <f>IFERROR(__xludf.DUMMYFUNCTION("GOOGLETRANSLATE(B31657,""en"",""es-ES"")"),"A continuación, las mujeres se unen y comienzan a rodar la pelota en el borde de la mesa a medida que hacen goles.")</f>
        <v>A continuación, las mujeres se unen y comienzan a rodar la pelota en el borde de la mesa a medida que hacen goles.</v>
      </c>
    </row>
    <row r="31658">
      <c r="A31658" s="4" t="s">
        <v>39851</v>
      </c>
      <c r="B31658" s="4" t="s">
        <v>39856</v>
      </c>
      <c r="C31658" s="5" t="str">
        <f>IFERROR(__xludf.DUMMYFUNCTION("GOOGLETRANSLATE(B31658,""en"",""es-ES"")"),"Finalmente, un hombre aparece con un teléfono Nokia grabando el juego y muestra opciones de video de diferentes trucos que se realizaron.")</f>
        <v>Finalmente, un hombre aparece con un teléfono Nokia grabando el juego y muestra opciones de video de diferentes trucos que se realizaron.</v>
      </c>
    </row>
    <row r="31659">
      <c r="A31659" s="4" t="s">
        <v>39857</v>
      </c>
      <c r="B31659" s="4" t="s">
        <v>39858</v>
      </c>
      <c r="C31659" s="5" t="str">
        <f>IFERROR(__xludf.DUMMYFUNCTION("GOOGLETRANSLATE(B31659,""en"",""es-ES"")"),"Se muestra un hombre que levanta un peso que pesa más de 90 libras.")</f>
        <v>Se muestra un hombre que levanta un peso que pesa más de 90 libras.</v>
      </c>
    </row>
    <row r="31660">
      <c r="A31660" s="4" t="s">
        <v>39857</v>
      </c>
      <c r="B31660" s="4" t="s">
        <v>39859</v>
      </c>
      <c r="C31660" s="5" t="str">
        <f>IFERROR(__xludf.DUMMYFUNCTION("GOOGLETRANSLATE(B31660,""en"",""es-ES"")"),"Hay una mujer que corre en la cinta de correr detrás de él.")</f>
        <v>Hay una mujer que corre en la cinta de correr detrás de él.</v>
      </c>
    </row>
    <row r="31661">
      <c r="A31661" s="4" t="s">
        <v>39860</v>
      </c>
      <c r="B31661" s="4" t="s">
        <v>39861</v>
      </c>
      <c r="C31661" s="5" t="str">
        <f>IFERROR(__xludf.DUMMYFUNCTION("GOOGLETRANSLATE(B31661,""en"",""es-ES"")"),"Un esquiador está ajustando sus zapatos en el tablero.")</f>
        <v>Un esquiador está ajustando sus zapatos en el tablero.</v>
      </c>
    </row>
    <row r="31662">
      <c r="A31662" s="4" t="s">
        <v>39860</v>
      </c>
      <c r="B31662" s="4" t="s">
        <v>39862</v>
      </c>
      <c r="C31662" s="5" t="str">
        <f>IFERROR(__xludf.DUMMYFUNCTION("GOOGLETRANSLATE(B31662,""en"",""es-ES"")"),"Luego se lo ve volando por el aire en el tablero de agua.")</f>
        <v>Luego se lo ve volando por el aire en el tablero de agua.</v>
      </c>
    </row>
    <row r="31663">
      <c r="A31663" s="4" t="s">
        <v>39860</v>
      </c>
      <c r="B31663" s="4" t="s">
        <v>39863</v>
      </c>
      <c r="C31663" s="5" t="str">
        <f>IFERROR(__xludf.DUMMYFUNCTION("GOOGLETRANSLATE(B31663,""en"",""es-ES"")"),"Está esquiando mientras está unido a la parte trasera de un bote.")</f>
        <v>Está esquiando mientras está unido a la parte trasera de un bote.</v>
      </c>
    </row>
    <row r="31664">
      <c r="A31664" s="4" t="s">
        <v>39864</v>
      </c>
      <c r="B31664" s="4" t="s">
        <v>39865</v>
      </c>
      <c r="C31664" s="5" t="str">
        <f>IFERROR(__xludf.DUMMYFUNCTION("GOOGLETRANSLATE(B31664,""en"",""es-ES"")"),"Un jugador que sostiene un baloncesto regate la pelota, corre y salta para lanzar la pelota en la canasta varias veces.")</f>
        <v>Un jugador que sostiene un baloncesto regate la pelota, corre y salta para lanzar la pelota en la canasta varias veces.</v>
      </c>
    </row>
    <row r="31665">
      <c r="A31665" s="4" t="s">
        <v>39864</v>
      </c>
      <c r="B31665" s="4" t="s">
        <v>39866</v>
      </c>
      <c r="C31665" s="5" t="str">
        <f>IFERROR(__xludf.DUMMYFUNCTION("GOOGLETRANSLATE(B31665,""en"",""es-ES"")"),"Un hombre arroja un baloncesto en la cancha y luego se va.")</f>
        <v>Un hombre arroja un baloncesto en la cancha y luego se va.</v>
      </c>
    </row>
    <row r="31666">
      <c r="A31666" s="4" t="s">
        <v>39867</v>
      </c>
      <c r="B31666" s="4" t="s">
        <v>39868</v>
      </c>
      <c r="C31666" s="5" t="str">
        <f>IFERROR(__xludf.DUMMYFUNCTION("GOOGLETRANSLATE(B31666,""en"",""es-ES"")"),"Se ve a un niño pequeño sosteniendo un palo en una sala de estar mientras empuja una pelota.")</f>
        <v>Se ve a un niño pequeño sosteniendo un palo en una sala de estar mientras empuja una pelota.</v>
      </c>
    </row>
    <row r="31667">
      <c r="A31667" s="4" t="s">
        <v>39867</v>
      </c>
      <c r="B31667" s="4" t="s">
        <v>39869</v>
      </c>
      <c r="C31667" s="5" t="str">
        <f>IFERROR(__xludf.DUMMYFUNCTION("GOOGLETRANSLATE(B31667,""en"",""es-ES"")"),"El niño continúa empujando la pelota mientras la cámara captura sus movimientos.")</f>
        <v>El niño continúa empujando la pelota mientras la cámara captura sus movimientos.</v>
      </c>
    </row>
    <row r="31668">
      <c r="A31668" s="4" t="s">
        <v>39867</v>
      </c>
      <c r="B31668" s="4" t="s">
        <v>39870</v>
      </c>
      <c r="C31668" s="5" t="str">
        <f>IFERROR(__xludf.DUMMYFUNCTION("GOOGLETRANSLATE(B31668,""en"",""es-ES"")"),"Se detiene para hablar con la cámara y continúa golpeando la pelota.")</f>
        <v>Se detiene para hablar con la cámara y continúa golpeando la pelota.</v>
      </c>
    </row>
    <row r="31669">
      <c r="A31669" s="4" t="s">
        <v>39871</v>
      </c>
      <c r="B31669" s="4" t="s">
        <v>39872</v>
      </c>
      <c r="C31669" s="5" t="str">
        <f>IFERROR(__xludf.DUMMYFUNCTION("GOOGLETRANSLATE(B31669,""en"",""es-ES"")"),"Un gimnasio masculino se prepara para montar una viga.")</f>
        <v>Un gimnasio masculino se prepara para montar una viga.</v>
      </c>
    </row>
    <row r="31670">
      <c r="A31670" s="4" t="s">
        <v>39871</v>
      </c>
      <c r="B31670" s="4" t="s">
        <v>39873</v>
      </c>
      <c r="C31670" s="5" t="str">
        <f>IFERROR(__xludf.DUMMYFUNCTION("GOOGLETRANSLATE(B31670,""en"",""es-ES"")"),"Salta hacia arriba, haciendo una parada de manos en la barra.")</f>
        <v>Salta hacia arriba, haciendo una parada de manos en la barra.</v>
      </c>
    </row>
    <row r="31671">
      <c r="A31671" s="4" t="s">
        <v>39871</v>
      </c>
      <c r="B31671" s="4" t="s">
        <v>39874</v>
      </c>
      <c r="C31671" s="5" t="str">
        <f>IFERROR(__xludf.DUMMYFUNCTION("GOOGLETRANSLATE(B31671,""en"",""es-ES"")"),"Luego gira y voltea varias veces.")</f>
        <v>Luego gira y voltea varias veces.</v>
      </c>
    </row>
    <row r="31672">
      <c r="A31672" s="4" t="s">
        <v>39871</v>
      </c>
      <c r="B31672" s="4" t="s">
        <v>39875</v>
      </c>
      <c r="C31672" s="5" t="str">
        <f>IFERROR(__xludf.DUMMYFUNCTION("GOOGLETRANSLATE(B31672,""en"",""es-ES"")"),"Desmita, arrojando los brazos en el aire.")</f>
        <v>Desmita, arrojando los brazos en el aire.</v>
      </c>
    </row>
    <row r="31673">
      <c r="A31673" s="4" t="s">
        <v>39876</v>
      </c>
      <c r="B31673" s="4" t="s">
        <v>39877</v>
      </c>
      <c r="C31673" s="5" t="str">
        <f>IFERROR(__xludf.DUMMYFUNCTION("GOOGLETRANSLATE(B31673,""en"",""es-ES"")"),"Una niña está sosteniendo un palo y está golpeando suavemente una gran piñata que es un tema tortugado ninja.")</f>
        <v>Una niña está sosteniendo un palo y está golpeando suavemente una gran piñata que es un tema tortugado ninja.</v>
      </c>
    </row>
    <row r="31674">
      <c r="A31674" s="4" t="s">
        <v>39876</v>
      </c>
      <c r="B31674" s="4" t="s">
        <v>39878</v>
      </c>
      <c r="C31674" s="5" t="str">
        <f>IFERROR(__xludf.DUMMYFUNCTION("GOOGLETRANSLATE(B31674,""en"",""es-ES"")"),"En el fondo, un niño en una silla blanca arroja suavemente una pelota en el aire sobre su regazo.")</f>
        <v>En el fondo, un niño en una silla blanca arroja suavemente una pelota en el aire sobre su regazo.</v>
      </c>
    </row>
    <row r="31675">
      <c r="A31675" s="4" t="s">
        <v>39876</v>
      </c>
      <c r="B31675" s="4" t="s">
        <v>39879</v>
      </c>
      <c r="C31675" s="5" t="str">
        <f>IFERROR(__xludf.DUMMYFUNCTION("GOOGLETRANSLATE(B31675,""en"",""es-ES"")"),"Un niño más alto está de pie y caminando cerca del niño sentado en la silla y tiene una bolsa de plástico verde sobre su mano izquierda que se mueve de un lado a otro con un toque de muñeca.")</f>
        <v>Un niño más alto está de pie y caminando cerca del niño sentado en la silla y tiene una bolsa de plástico verde sobre su mano izquierda que se mueve de un lado a otro con un toque de muñeca.</v>
      </c>
    </row>
    <row r="31676">
      <c r="A31676" s="4" t="s">
        <v>39876</v>
      </c>
      <c r="B31676" s="4" t="s">
        <v>39880</v>
      </c>
      <c r="C31676" s="5" t="str">
        <f>IFERROR(__xludf.DUMMYFUNCTION("GOOGLETRANSLATE(B31676,""en"",""es-ES"")"),"Una niña en el costado comienza a saltar mientras espera su turno.")</f>
        <v>Una niña en el costado comienza a saltar mientras espera su turno.</v>
      </c>
    </row>
    <row r="31677">
      <c r="A31677" s="4" t="s">
        <v>39881</v>
      </c>
      <c r="B31677" s="4" t="s">
        <v>39882</v>
      </c>
      <c r="C31677" s="5" t="str">
        <f>IFERROR(__xludf.DUMMYFUNCTION("GOOGLETRANSLATE(B31677,""en"",""es-ES"")"),"Un chico rubio que sostiene una piscina está golpeando bolas en una mesa de billar que se seca de cinta amarilla mientras se recoge una gran multitud fuera de la cinta amarilla.")</f>
        <v>Un chico rubio que sostiene una piscina está golpeando bolas en una mesa de billar que se seca de cinta amarilla mientras se recoge una gran multitud fuera de la cinta amarilla.</v>
      </c>
    </row>
    <row r="31678">
      <c r="A31678" s="4" t="s">
        <v>39881</v>
      </c>
      <c r="B31678" s="4" t="s">
        <v>39883</v>
      </c>
      <c r="C31678" s="5" t="str">
        <f>IFERROR(__xludf.DUMMYFUNCTION("GOOGLETRANSLATE(B31678,""en"",""es-ES"")"),"El niño agarra otro palo desde debajo de la mesa de billar, lo pone sobre la mesa, atribuye su palo y luego golpea con éxito la pelota en el agujero a pesar de que una mujer intenta distraerlo.")</f>
        <v>El niño agarra otro palo desde debajo de la mesa de billar, lo pone sobre la mesa, atribuye su palo y luego golpea con éxito la pelota en el agujero a pesar de que una mujer intenta distraerlo.</v>
      </c>
    </row>
    <row r="31679">
      <c r="A31679" s="4" t="s">
        <v>39881</v>
      </c>
      <c r="B31679" s="4" t="s">
        <v>39884</v>
      </c>
      <c r="C31679" s="5" t="str">
        <f>IFERROR(__xludf.DUMMYFUNCTION("GOOGLETRANSLATE(B31679,""en"",""es-ES"")"),"El niño da la vuelta a la mesa y continúa golpeando las bolas restantes en los agujeros, la multitud lo anima y él da la vuelta a la multitud y les da a todos los cinco.")</f>
        <v>El niño da la vuelta a la mesa y continúa golpeando las bolas restantes en los agujeros, la multitud lo anima y él da la vuelta a la multitud y les da a todos los cinco.</v>
      </c>
    </row>
    <row r="31680">
      <c r="A31680" s="4" t="s">
        <v>39881</v>
      </c>
      <c r="B31680" s="4" t="s">
        <v>39885</v>
      </c>
      <c r="C31680" s="5" t="str">
        <f>IFERROR(__xludf.DUMMYFUNCTION("GOOGLETRANSLATE(B31680,""en"",""es-ES"")"),"El niño abraza a la mujer que intentaba distraerlo todo el tiempo, él pone su palo y ella lo abraza nuevamente.")</f>
        <v>El niño abraza a la mujer que intentaba distraerlo todo el tiempo, él pone su palo y ella lo abraza nuevamente.</v>
      </c>
    </row>
    <row r="31681">
      <c r="A31681" s="4" t="s">
        <v>39881</v>
      </c>
      <c r="B31681" s="4" t="s">
        <v>39886</v>
      </c>
      <c r="C31681" s="5" t="str">
        <f>IFERROR(__xludf.DUMMYFUNCTION("GOOGLETRANSLATE(B31681,""en"",""es-ES"")"),"Aparece una pantalla negra y las palabras blancas en la pantalla dicen ""La viuda negra Jeanette Lee Worlds Best Female Pool Player A Ron Hawks Video"".")</f>
        <v>Aparece una pantalla negra y las palabras blancas en la pantalla dicen "La viuda negra Jeanette Lee Worlds Best Female Pool Player A Ron Hawks Video".</v>
      </c>
    </row>
    <row r="31682">
      <c r="A31682" s="4" t="s">
        <v>39887</v>
      </c>
      <c r="B31682" s="4" t="s">
        <v>39888</v>
      </c>
      <c r="C31682" s="5" t="str">
        <f>IFERROR(__xludf.DUMMYFUNCTION("GOOGLETRANSLATE(B31682,""en"",""es-ES"")"),"Un hombre vestido con todo blanco se muestra luchando contra diferentes hombres al aire libre y golpearlos muy fuerte.")</f>
        <v>Un hombre vestido con todo blanco se muestra luchando contra diferentes hombres al aire libre y golpearlos muy fuerte.</v>
      </c>
    </row>
    <row r="31683">
      <c r="A31683" s="4" t="s">
        <v>39887</v>
      </c>
      <c r="B31683" s="4" t="s">
        <v>39889</v>
      </c>
      <c r="C31683" s="5" t="str">
        <f>IFERROR(__xludf.DUMMYFUNCTION("GOOGLETRANSLATE(B31683,""en"",""es-ES"")"),"El combate Tai Chi junto con su sitio web y otros íconos del sitio web se encuentran en la parte inferior derecha.")</f>
        <v>El combate Tai Chi junto con su sitio web y otros íconos del sitio web se encuentran en la parte inferior derecha.</v>
      </c>
    </row>
    <row r="31684">
      <c r="A31684" s="4" t="s">
        <v>39887</v>
      </c>
      <c r="B31684" s="4" t="s">
        <v>39890</v>
      </c>
      <c r="C31684" s="5" t="str">
        <f>IFERROR(__xludf.DUMMYFUNCTION("GOOGLETRANSLATE(B31684,""en"",""es-ES"")"),"El hombre está solo de pie al aire libre, donde todavía usa el mismo atuendo blanco y está hablando muy apasionadamente usando movimientos de mano y muchas expresiones faciales.")</f>
        <v>El hombre está solo de pie al aire libre, donde todavía usa el mismo atuendo blanco y está hablando muy apasionadamente usando movimientos de mano y muchas expresiones faciales.</v>
      </c>
    </row>
    <row r="31685">
      <c r="A31685" s="4" t="s">
        <v>39887</v>
      </c>
      <c r="B31685" s="4" t="s">
        <v>39891</v>
      </c>
      <c r="C31685" s="5" t="str">
        <f>IFERROR(__xludf.DUMMYFUNCTION("GOOGLETRANSLATE(B31685,""en"",""es-ES"")"),"Una vez más, se muestra que el hombre lucha contra diferentes hombres al aire libre y parece estar ganando cada pelea.")</f>
        <v>Una vez más, se muestra que el hombre lucha contra diferentes hombres al aire libre y parece estar ganando cada pelea.</v>
      </c>
    </row>
    <row r="31686">
      <c r="A31686" s="4" t="s">
        <v>39887</v>
      </c>
      <c r="B31686" s="4" t="s">
        <v>39892</v>
      </c>
      <c r="C31686" s="5" t="str">
        <f>IFERROR(__xludf.DUMMYFUNCTION("GOOGLETRANSLATE(B31686,""en"",""es-ES"")"),"Después de esta ronda de peleas, el hombre vuelve a hablar muy apasionadamente con muchos movimientos de manos y expresiones faciales.")</f>
        <v>Después de esta ronda de peleas, el hombre vuelve a hablar muy apasionadamente con muchos movimientos de manos y expresiones faciales.</v>
      </c>
    </row>
    <row r="31687">
      <c r="A31687" s="4" t="s">
        <v>39887</v>
      </c>
      <c r="B31687" s="4" t="s">
        <v>39893</v>
      </c>
      <c r="C31687" s="5" t="str">
        <f>IFERROR(__xludf.DUMMYFUNCTION("GOOGLETRANSLATE(B31687,""en"",""es-ES"")"),"Luego, el hombre vuelve a luchar más con diferentes hombres en algún lugar al aire libre, donde continúa ganando las peleas golpeando y ocasionalmente pateando.")</f>
        <v>Luego, el hombre vuelve a luchar más con diferentes hombres en algún lugar al aire libre, donde continúa ganando las peleas golpeando y ocasionalmente pateando.</v>
      </c>
    </row>
    <row r="31688">
      <c r="A31688" s="4" t="s">
        <v>39887</v>
      </c>
      <c r="B31688" s="4" t="s">
        <v>39894</v>
      </c>
      <c r="C31688" s="5" t="str">
        <f>IFERROR(__xludf.DUMMYFUNCTION("GOOGLETRANSLATE(B31688,""en"",""es-ES"")"),"Por último, el hombre se muestra una vez más hablando muy apasionadamente con movimientos de manos y muchas expresiones faciales y a su alrededor se encuentran superposiciones en la pantalla que anuncia su canal de YouTube junto con su sitio web para el c"&amp;"ombate Tai Chi.")</f>
        <v>Por último, el hombre se muestra una vez más hablando muy apasionadamente con movimientos de manos y muchas expresiones faciales y a su alrededor se encuentran superposiciones en la pantalla que anuncia su canal de YouTube junto con su sitio web para el combate Tai Chi.</v>
      </c>
    </row>
    <row r="31689">
      <c r="A31689" s="4" t="s">
        <v>39895</v>
      </c>
      <c r="B31689" s="4" t="s">
        <v>39896</v>
      </c>
      <c r="C31689" s="5" t="str">
        <f>IFERROR(__xludf.DUMMYFUNCTION("GOOGLETRANSLATE(B31689,""en"",""es-ES"")"),"Un hombre con un abrigo de neón conduce un automóvil con la cámara en un palo fuera de la ventana.")</f>
        <v>Un hombre con un abrigo de neón conduce un automóvil con la cámara en un palo fuera de la ventana.</v>
      </c>
    </row>
    <row r="31690">
      <c r="A31690" s="4" t="s">
        <v>39895</v>
      </c>
      <c r="B31690" s="4" t="s">
        <v>39897</v>
      </c>
      <c r="C31690" s="5" t="str">
        <f>IFERROR(__xludf.DUMMYFUNCTION("GOOGLETRANSLATE(B31690,""en"",""es-ES"")"),"Conduce rápidamente sobre la nieve, riendo mientras se graba.")</f>
        <v>Conduce rápidamente sobre la nieve, riendo mientras se graba.</v>
      </c>
    </row>
    <row r="31691">
      <c r="A31691" s="4" t="s">
        <v>39895</v>
      </c>
      <c r="B31691" s="4" t="s">
        <v>39898</v>
      </c>
      <c r="C31691" s="5" t="str">
        <f>IFERROR(__xludf.DUMMYFUNCTION("GOOGLETRANSLATE(B31691,""en"",""es-ES"")"),"Él y sus pasajeros se paran en un montículo nevado, girando mientras se graban.")</f>
        <v>Él y sus pasajeros se paran en un montículo nevado, girando mientras se graban.</v>
      </c>
    </row>
    <row r="31692">
      <c r="A31692" s="4" t="s">
        <v>39895</v>
      </c>
      <c r="B31692" s="4" t="s">
        <v>39899</v>
      </c>
      <c r="C31692" s="5" t="str">
        <f>IFERROR(__xludf.DUMMYFUNCTION("GOOGLETRANSLATE(B31692,""en"",""es-ES"")"),"Luego usan sierras para cortar un camino en la nieve.")</f>
        <v>Luego usan sierras para cortar un camino en la nieve.</v>
      </c>
    </row>
    <row r="31693">
      <c r="A31693" s="4" t="s">
        <v>39895</v>
      </c>
      <c r="B31693" s="4" t="s">
        <v>39900</v>
      </c>
      <c r="C31693" s="5" t="str">
        <f>IFERROR(__xludf.DUMMYFUNCTION("GOOGLETRANSLATE(B31693,""en"",""es-ES"")"),"El agua esquí en la ruta de agua congelada.")</f>
        <v>El agua esquí en la ruta de agua congelada.</v>
      </c>
    </row>
    <row r="31694">
      <c r="A31694" s="4" t="s">
        <v>39901</v>
      </c>
      <c r="B31694" s="4" t="s">
        <v>39902</v>
      </c>
      <c r="C31694" s="5" t="str">
        <f>IFERROR(__xludf.DUMMYFUNCTION("GOOGLETRANSLATE(B31694,""en"",""es-ES"")"),"Una persona limpia un fregadero extremadamente sucio con una toalla de papel.")</f>
        <v>Una persona limpia un fregadero extremadamente sucio con una toalla de papel.</v>
      </c>
    </row>
    <row r="31695">
      <c r="A31695" s="4" t="s">
        <v>39901</v>
      </c>
      <c r="B31695" s="4" t="s">
        <v>39903</v>
      </c>
      <c r="C31695" s="5" t="str">
        <f>IFERROR(__xludf.DUMMYFUNCTION("GOOGLETRANSLATE(B31695,""en"",""es-ES"")"),"El título, TuboTowels, aparece en la pantalla.")</f>
        <v>El título, TuboTowels, aparece en la pantalla.</v>
      </c>
    </row>
    <row r="31696">
      <c r="A31696" s="4" t="s">
        <v>39904</v>
      </c>
      <c r="B31696" s="4" t="s">
        <v>39905</v>
      </c>
      <c r="C31696" s="5" t="str">
        <f>IFERROR(__xludf.DUMMYFUNCTION("GOOGLETRANSLATE(B31696,""en"",""es-ES"")"),"Un joven de blanco corre en el escenario bailando.")</f>
        <v>Un joven de blanco corre en el escenario bailando.</v>
      </c>
    </row>
    <row r="31697">
      <c r="A31697" s="4" t="s">
        <v>39904</v>
      </c>
      <c r="B31697" s="4" t="s">
        <v>39906</v>
      </c>
      <c r="C31697" s="5" t="str">
        <f>IFERROR(__xludf.DUMMYFUNCTION("GOOGLETRANSLATE(B31697,""en"",""es-ES"")"),"Otros hombres están bailando en el fondo.")</f>
        <v>Otros hombres están bailando en el fondo.</v>
      </c>
    </row>
    <row r="31698">
      <c r="A31698" s="4" t="s">
        <v>39904</v>
      </c>
      <c r="B31698" s="4" t="s">
        <v>39907</v>
      </c>
      <c r="C31698" s="5" t="str">
        <f>IFERROR(__xludf.DUMMYFUNCTION("GOOGLETRANSLATE(B31698,""en"",""es-ES"")"),"Un niño más pequeño corre en el escenario, confundido.")</f>
        <v>Un niño más pequeño corre en el escenario, confundido.</v>
      </c>
    </row>
    <row r="31699">
      <c r="A31699" s="4" t="s">
        <v>39904</v>
      </c>
      <c r="B31699" s="4" t="s">
        <v>39908</v>
      </c>
      <c r="C31699" s="5" t="str">
        <f>IFERROR(__xludf.DUMMYFUNCTION("GOOGLETRANSLATE(B31699,""en"",""es-ES"")"),"Un hombre con un micrófono habla con el niño.")</f>
        <v>Un hombre con un micrófono habla con el niño.</v>
      </c>
    </row>
    <row r="31700">
      <c r="A31700" s="4" t="s">
        <v>39904</v>
      </c>
      <c r="B31700" s="4" t="s">
        <v>39909</v>
      </c>
      <c r="C31700" s="5" t="str">
        <f>IFERROR(__xludf.DUMMYFUNCTION("GOOGLETRANSLATE(B31700,""en"",""es-ES"")"),"El joven comienza a bailar.")</f>
        <v>El joven comienza a bailar.</v>
      </c>
    </row>
    <row r="31701">
      <c r="A31701" s="4" t="s">
        <v>39904</v>
      </c>
      <c r="B31701" s="4" t="s">
        <v>39910</v>
      </c>
      <c r="C31701" s="5" t="str">
        <f>IFERROR(__xludf.DUMMYFUNCTION("GOOGLETRANSLATE(B31701,""en"",""es-ES"")"),"Todos en el escenario dejan de bailar.")</f>
        <v>Todos en el escenario dejan de bailar.</v>
      </c>
    </row>
    <row r="31702">
      <c r="A31702" s="4" t="s">
        <v>39904</v>
      </c>
      <c r="B31702" s="4" t="s">
        <v>39911</v>
      </c>
      <c r="C31702" s="5" t="str">
        <f>IFERROR(__xludf.DUMMYFUNCTION("GOOGLETRANSLATE(B31702,""en"",""es-ES"")"),"Los hombres señalan al cantante.")</f>
        <v>Los hombres señalan al cantante.</v>
      </c>
    </row>
    <row r="31703">
      <c r="A31703" s="4" t="s">
        <v>39904</v>
      </c>
      <c r="B31703" s="4" t="s">
        <v>39912</v>
      </c>
      <c r="C31703" s="5" t="str">
        <f>IFERROR(__xludf.DUMMYFUNCTION("GOOGLETRANSLATE(B31703,""en"",""es-ES"")"),"El cantante en rojo comienza a bailar.")</f>
        <v>El cantante en rojo comienza a bailar.</v>
      </c>
    </row>
    <row r="31704">
      <c r="A31704" s="4" t="s">
        <v>39913</v>
      </c>
      <c r="B31704" s="4" t="s">
        <v>39914</v>
      </c>
      <c r="C31704" s="5" t="str">
        <f>IFERROR(__xludf.DUMMYFUNCTION("GOOGLETRANSLATE(B31704,""en"",""es-ES"")"),"Una tela amarilla, una esponja amarilla y verde, y un limpiador de crema CIF se coloca en el mostrador al lado de un fregadero poco profundo con drenador plateado.")</f>
        <v>Una tela amarilla, una esponja amarilla y verde, y un limpiador de crema CIF se coloca en el mostrador al lado de un fregadero poco profundo con drenador plateado.</v>
      </c>
    </row>
    <row r="31705">
      <c r="A31705" s="4" t="s">
        <v>39913</v>
      </c>
      <c r="B31705" s="4" t="s">
        <v>39915</v>
      </c>
      <c r="C31705" s="5" t="str">
        <f>IFERROR(__xludf.DUMMYFUNCTION("GOOGLETRANSLATE(B31705,""en"",""es-ES"")"),"Una mano vierte una gota de crema CIF, la limpió con el lado verde de la esponja, la limpió en movimiento circular, luego limpia el mostrador con un paño amarillo.")</f>
        <v>Una mano vierte una gota de crema CIF, la limpió con el lado verde de la esponja, la limpió en movimiento circular, luego limpia el mostrador con un paño amarillo.</v>
      </c>
    </row>
    <row r="31706">
      <c r="A31706" s="4" t="s">
        <v>39916</v>
      </c>
      <c r="B31706" s="4" t="s">
        <v>39917</v>
      </c>
      <c r="C31706" s="5" t="str">
        <f>IFERROR(__xludf.DUMMYFUNCTION("GOOGLETRANSLATE(B31706,""en"",""es-ES"")"),"Un hombre prepara sus suministros cerca de una mesa de picnic y luego coloca uno.")</f>
        <v>Un hombre prepara sus suministros cerca de una mesa de picnic y luego coloca uno.</v>
      </c>
    </row>
    <row r="31707">
      <c r="A31707" s="4" t="s">
        <v>39916</v>
      </c>
      <c r="B31707" s="4" t="s">
        <v>39918</v>
      </c>
      <c r="C31707" s="5" t="str">
        <f>IFERROR(__xludf.DUMMYFUNCTION("GOOGLETRANSLATE(B31707,""en"",""es-ES"")"),"El hombre vierte líquido más ligero en un anillo de fuego de campamento.")</f>
        <v>El hombre vierte líquido más ligero en un anillo de fuego de campamento.</v>
      </c>
    </row>
    <row r="31708">
      <c r="A31708" s="4" t="s">
        <v>39916</v>
      </c>
      <c r="B31708" s="4" t="s">
        <v>39919</v>
      </c>
      <c r="C31708" s="5" t="str">
        <f>IFERROR(__xludf.DUMMYFUNCTION("GOOGLETRANSLATE(B31708,""en"",""es-ES"")"),"El hombre recupera partidos que caen sobre el fuego y estalla en llamas.")</f>
        <v>El hombre recupera partidos que caen sobre el fuego y estalla en llamas.</v>
      </c>
    </row>
    <row r="31709">
      <c r="A31709" s="4" t="s">
        <v>39920</v>
      </c>
      <c r="B31709" s="4" t="s">
        <v>39921</v>
      </c>
      <c r="C31709" s="5" t="str">
        <f>IFERROR(__xludf.DUMMYFUNCTION("GOOGLETRANSLATE(B31709,""en"",""es-ES"")"),"Se muestra a un grupo de personas en equipo de nieve que aborda la nieve en pistas de nieve cubiertas de nieve con énfasis visual que se muestra a un huésped de nieve en particular con un abrigo verde.")</f>
        <v>Se muestra a un grupo de personas en equipo de nieve que aborda la nieve en pistas de nieve cubiertas de nieve con énfasis visual que se muestra a un huésped de nieve en particular con un abrigo verde.</v>
      </c>
    </row>
    <row r="31710">
      <c r="A31710" s="4" t="s">
        <v>39920</v>
      </c>
      <c r="B31710" s="4" t="s">
        <v>39922</v>
      </c>
      <c r="C31710" s="5" t="str">
        <f>IFERROR(__xludf.DUMMYFUNCTION("GOOGLETRANSLATE(B31710,""en"",""es-ES"")"),"Un hombre con un abrigo verde se desliza sobre muchas superficies arriba y abajo de las laderas mientras pasa otros trineo de nieve mientras está rodeado de follaje marrón desnudo y techos cubiertos de nieve y colinas.")</f>
        <v>Un hombre con un abrigo verde se desliza sobre muchas superficies arriba y abajo de las laderas mientras pasa otros trineo de nieve mientras está rodeado de follaje marrón desnudo y techos cubiertos de nieve y colinas.</v>
      </c>
    </row>
    <row r="31711">
      <c r="A31711" s="4" t="s">
        <v>39920</v>
      </c>
      <c r="B31711" s="4" t="s">
        <v>39923</v>
      </c>
      <c r="C31711" s="5" t="str">
        <f>IFERROR(__xludf.DUMMYFUNCTION("GOOGLETRANSLATE(B31711,""en"",""es-ES"")"),"A medida que el hombre de snowboards, una persona que pasa cae y se rompe el trineo y varios de los otros esquiadores realizan trucos mientras snowboard, incluido el estudio de nieve fuera de plataformas elevadas y saltos mientras se nevan.")</f>
        <v>A medida que el hombre de snowboards, una persona que pasa cae y se rompe el trineo y varios de los otros esquiadores realizan trucos mientras snowboard, incluido el estudio de nieve fuera de plataformas elevadas y saltos mientras se nevan.</v>
      </c>
    </row>
    <row r="31712">
      <c r="A31712" s="4" t="s">
        <v>39924</v>
      </c>
      <c r="B31712" s="4" t="s">
        <v>39925</v>
      </c>
      <c r="C31712" s="5" t="str">
        <f>IFERROR(__xludf.DUMMYFUNCTION("GOOGLETRANSLATE(B31712,""en"",""es-ES"")"),"Un niño pequeño traza una rampa de madera, descalzo, al aire libre con un mini fastidio y un cubo de agua.")</f>
        <v>Un niño pequeño traza una rampa de madera, descalzo, al aire libre con un mini fastidio y un cubo de agua.</v>
      </c>
    </row>
    <row r="31713">
      <c r="A31713" s="4" t="s">
        <v>39924</v>
      </c>
      <c r="B31713" s="4" t="s">
        <v>39926</v>
      </c>
      <c r="C31713" s="5" t="str">
        <f>IFERROR(__xludf.DUMMYFUNCTION("GOOGLETRANSLATE(B31713,""en"",""es-ES"")"),"Un niño se encuentra afuera, sin camisa, descalzo y jeans y trapea una rampa de madera con un mini trapeador amarillo.")</f>
        <v>Un niño se encuentra afuera, sin camisa, descalzo y jeans y trapea una rampa de madera con un mini trapeador amarillo.</v>
      </c>
    </row>
    <row r="31714">
      <c r="A31714" s="4" t="s">
        <v>39924</v>
      </c>
      <c r="B31714" s="4" t="s">
        <v>39927</v>
      </c>
      <c r="C31714" s="5" t="str">
        <f>IFERROR(__xludf.DUMMYFUNCTION("GOOGLETRANSLATE(B31714,""en"",""es-ES"")"),"El niño sumerge el trapeador en agua después de un tiempo y continúa trapando la rampa.")</f>
        <v>El niño sumerge el trapeador en agua después de un tiempo y continúa trapando la rampa.</v>
      </c>
    </row>
    <row r="31715">
      <c r="A31715" s="4" t="s">
        <v>39928</v>
      </c>
      <c r="B31715" s="4" t="s">
        <v>39929</v>
      </c>
      <c r="C31715" s="5" t="str">
        <f>IFERROR(__xludf.DUMMYFUNCTION("GOOGLETRANSLATE(B31715,""en"",""es-ES"")"),"Una mujer de noticias está hablando dentro de una sala de noticias.")</f>
        <v>Una mujer de noticias está hablando dentro de una sala de noticias.</v>
      </c>
    </row>
    <row r="31716">
      <c r="A31716" s="4" t="s">
        <v>39928</v>
      </c>
      <c r="B31716" s="4" t="s">
        <v>39930</v>
      </c>
      <c r="C31716" s="5" t="str">
        <f>IFERROR(__xludf.DUMMYFUNCTION("GOOGLETRANSLATE(B31716,""en"",""es-ES"")"),"Se muestra a un par de bailarines profesionales bailando y realizando ballet en un escenario, y la mujer ocasionalmente se muestra hablando con la cámara.")</f>
        <v>Se muestra a un par de bailarines profesionales bailando y realizando ballet en un escenario, y la mujer ocasionalmente se muestra hablando con la cámara.</v>
      </c>
    </row>
    <row r="31717">
      <c r="A31717" s="4" t="s">
        <v>39928</v>
      </c>
      <c r="B31717" s="4" t="s">
        <v>39931</v>
      </c>
      <c r="C31717" s="5" t="str">
        <f>IFERROR(__xludf.DUMMYFUNCTION("GOOGLETRANSLATE(B31717,""en"",""es-ES"")"),"Se la ve a salir después de una presentación para ver una habitación llena de personas y hacer una conferencia de prensa.")</f>
        <v>Se la ve a salir después de una presentación para ver una habitación llena de personas y hacer una conferencia de prensa.</v>
      </c>
    </row>
    <row r="31718">
      <c r="A31718" s="4" t="s">
        <v>39928</v>
      </c>
      <c r="B31718" s="4" t="s">
        <v>39932</v>
      </c>
      <c r="C31718" s="5" t="str">
        <f>IFERROR(__xludf.DUMMYFUNCTION("GOOGLETRANSLATE(B31718,""en"",""es-ES"")"),"Al final se muestra un póster de tres mujeres.")</f>
        <v>Al final se muestra un póster de tres mujeres.</v>
      </c>
    </row>
    <row r="31719">
      <c r="A31719" s="4" t="s">
        <v>39933</v>
      </c>
      <c r="B31719" s="4" t="s">
        <v>39934</v>
      </c>
      <c r="C31719" s="5" t="str">
        <f>IFERROR(__xludf.DUMMYFUNCTION("GOOGLETRANSLATE(B31719,""en"",""es-ES"")"),"Un hombre remaba una tabla de surf con un bebé en el tablero frente a él.")</f>
        <v>Un hombre remaba una tabla de surf con un bebé en el tablero frente a él.</v>
      </c>
    </row>
    <row r="31720">
      <c r="A31720" s="4" t="s">
        <v>39933</v>
      </c>
      <c r="B31720" s="4" t="s">
        <v>39935</v>
      </c>
      <c r="C31720" s="5" t="str">
        <f>IFERROR(__xludf.DUMMYFUNCTION("GOOGLETRANSLATE(B31720,""en"",""es-ES"")"),"Él levanta momentáneamente al bebé a una posición de pie.")</f>
        <v>Él levanta momentáneamente al bebé a una posición de pie.</v>
      </c>
    </row>
    <row r="31721">
      <c r="A31721" s="4" t="s">
        <v>39933</v>
      </c>
      <c r="B31721" s="4" t="s">
        <v>39936</v>
      </c>
      <c r="C31721" s="5" t="str">
        <f>IFERROR(__xludf.DUMMYFUNCTION("GOOGLETRANSLATE(B31721,""en"",""es-ES"")"),"Una mujer se mueve hacia el hombre y el bebé.")</f>
        <v>Una mujer se mueve hacia el hombre y el bebé.</v>
      </c>
    </row>
    <row r="31722">
      <c r="A31722" s="4" t="s">
        <v>39933</v>
      </c>
      <c r="B31722" s="4" t="s">
        <v>39937</v>
      </c>
      <c r="C31722" s="5" t="str">
        <f>IFERROR(__xludf.DUMMYFUNCTION("GOOGLETRANSLATE(B31722,""en"",""es-ES"")"),"El hombre levanta momentáneamente al bebé en posición de pie nuevamente.")</f>
        <v>El hombre levanta momentáneamente al bebé en posición de pie nuevamente.</v>
      </c>
    </row>
    <row r="31723">
      <c r="A31723" s="4" t="s">
        <v>39933</v>
      </c>
      <c r="B31723" s="4" t="s">
        <v>39938</v>
      </c>
      <c r="C31723" s="5" t="str">
        <f>IFERROR(__xludf.DUMMYFUNCTION("GOOGLETRANSLATE(B31723,""en"",""es-ES"")"),"El hombre lleva momentáneamente al bebé a una posición de pie una vez más.")</f>
        <v>El hombre lleva momentáneamente al bebé a una posición de pie una vez más.</v>
      </c>
    </row>
    <row r="31724">
      <c r="A31724" s="4" t="s">
        <v>39939</v>
      </c>
      <c r="B31724" s="4" t="s">
        <v>39940</v>
      </c>
      <c r="C31724" s="5" t="str">
        <f>IFERROR(__xludf.DUMMYFUNCTION("GOOGLETRANSLATE(B31724,""en"",""es-ES"")"),"El hombre de camisa marrón está de pie junto a una pila de pelota de tenis mientras habla con la cámara.")</f>
        <v>El hombre de camisa marrón está de pie junto a una pila de pelota de tenis mientras habla con la cámara.</v>
      </c>
    </row>
    <row r="31725">
      <c r="A31725" s="4" t="s">
        <v>39939</v>
      </c>
      <c r="B31725" s="4" t="s">
        <v>39941</v>
      </c>
      <c r="C31725" s="5" t="str">
        <f>IFERROR(__xludf.DUMMYFUNCTION("GOOGLETRANSLATE(B31725,""en"",""es-ES"")"),"Jugó la pelota de tenis con otra persona.")</f>
        <v>Jugó la pelota de tenis con otra persona.</v>
      </c>
    </row>
    <row r="31726">
      <c r="A31726" s="4" t="s">
        <v>39939</v>
      </c>
      <c r="B31726" s="4" t="s">
        <v>39942</v>
      </c>
      <c r="C31726" s="5" t="str">
        <f>IFERROR(__xludf.DUMMYFUNCTION("GOOGLETRANSLATE(B31726,""en"",""es-ES"")"),"El hombre con camisa morada sirve la pelota mientras el hombre negro golpeó la pelota hacia atrás.")</f>
        <v>El hombre con camisa morada sirve la pelota mientras el hombre negro golpeó la pelota hacia atrás.</v>
      </c>
    </row>
    <row r="31727">
      <c r="A31727" s="4" t="s">
        <v>39943</v>
      </c>
      <c r="B31727" s="4" t="s">
        <v>39944</v>
      </c>
      <c r="C31727" s="5" t="str">
        <f>IFERROR(__xludf.DUMMYFUNCTION("GOOGLETRANSLATE(B31727,""en"",""es-ES"")"),"Una mujer da un tutorial de cabello.")</f>
        <v>Una mujer da un tutorial de cabello.</v>
      </c>
    </row>
    <row r="31728">
      <c r="A31728" s="4" t="s">
        <v>39943</v>
      </c>
      <c r="B31728" s="4" t="s">
        <v>39945</v>
      </c>
      <c r="C31728" s="5" t="str">
        <f>IFERROR(__xludf.DUMMYFUNCTION("GOOGLETRANSLATE(B31728,""en"",""es-ES"")"),"La mujer ata su cabello y lo prepara para que se vea mejor.")</f>
        <v>La mujer ata su cabello y lo prepara para que se vea mejor.</v>
      </c>
    </row>
    <row r="31729">
      <c r="A31729" s="4" t="s">
        <v>39946</v>
      </c>
      <c r="B31729" s="4" t="s">
        <v>39947</v>
      </c>
      <c r="C31729" s="5" t="str">
        <f>IFERROR(__xludf.DUMMYFUNCTION("GOOGLETRANSLATE(B31729,""en"",""es-ES"")"),"Una introducción de efecto especial de un hombre en una tabla de agua con las palabras MMXIV Hyperlite Collection está en la pantalla.")</f>
        <v>Una introducción de efecto especial de un hombre en una tabla de agua con las palabras MMXIV Hyperlite Collection está en la pantalla.</v>
      </c>
    </row>
    <row r="31730">
      <c r="A31730" s="4" t="s">
        <v>39946</v>
      </c>
      <c r="B31730" s="4" t="s">
        <v>39948</v>
      </c>
      <c r="C31730" s="5" t="str">
        <f>IFERROR(__xludf.DUMMYFUNCTION("GOOGLETRANSLATE(B31730,""en"",""es-ES"")"),"Algunos hombres aparecen cerca del lago y luego una serie de clips y hombres diferentes en tablas de agua juegan uno tras otro, ya que todos son de agua rápidamente en el agua y algunos están haciendo volteos mientras se aferran a la cuerda.")</f>
        <v>Algunos hombres aparecen cerca del lago y luego una serie de clips y hombres diferentes en tablas de agua juegan uno tras otro, ya que todos son de agua rápidamente en el agua y algunos están haciendo volteos mientras se aferran a la cuerda.</v>
      </c>
    </row>
    <row r="31731">
      <c r="A31731" s="4" t="s">
        <v>39946</v>
      </c>
      <c r="B31731" s="4" t="s">
        <v>39949</v>
      </c>
      <c r="C31731" s="5" t="str">
        <f>IFERROR(__xludf.DUMMYFUNCTION("GOOGLETRANSLATE(B31731,""en"",""es-ES"")"),"Aparece una mujer con pantalones cortos rosados ​​y también se le muestra brevemente abordaje de agua.")</f>
        <v>Aparece una mujer con pantalones cortos rosados ​​y también se le muestra brevemente abordaje de agua.</v>
      </c>
    </row>
    <row r="31732">
      <c r="A31732" s="4" t="s">
        <v>39946</v>
      </c>
      <c r="B31732" s="4" t="s">
        <v>39950</v>
      </c>
      <c r="C31732" s="5" t="str">
        <f>IFERROR(__xludf.DUMMYFUNCTION("GOOGLETRANSLATE(B31732,""en"",""es-ES"")"),"Ahora un hombre está sentado en un bote mientras un gran avión de control remoto vuela hacia él, y un hombre de pie rápidamente lo agarra antes de golpear la cara del hombre sentado, y el hombre sentado se vuelve hacia la cámara para dar un alivio conmoci"&amp;"onado y aliviado. mira en su rostro.")</f>
        <v>Ahora un hombre está sentado en un bote mientras un gran avión de control remoto vuela hacia él, y un hombre de pie rápidamente lo agarra antes de golpear la cara del hombre sentado, y el hombre sentado se vuelve hacia la cámara para dar un alivio conmocionado y aliviado. mira en su rostro.</v>
      </c>
    </row>
    <row r="31733">
      <c r="A31733" s="4" t="s">
        <v>39946</v>
      </c>
      <c r="B31733" s="4" t="s">
        <v>39951</v>
      </c>
      <c r="C31733" s="5" t="str">
        <f>IFERROR(__xludf.DUMMYFUNCTION("GOOGLETRANSLATE(B31733,""en"",""es-ES"")"),"Los clips de varias personas en el agua aparecen nuevamente y todos todavía se sostienen en la cuerda mientras están parados en los tableros y saltos, volteos y otros trucos.")</f>
        <v>Los clips de varias personas en el agua aparecen nuevamente y todos todavía se sostienen en la cuerda mientras están parados en los tableros y saltos, volteos y otros trucos.</v>
      </c>
    </row>
    <row r="31734">
      <c r="A31734" s="4" t="s">
        <v>39946</v>
      </c>
      <c r="B31734" s="4" t="s">
        <v>39952</v>
      </c>
      <c r="C31734" s="5" t="str">
        <f>IFERROR(__xludf.DUMMYFUNCTION("GOOGLETRANSLATE(B31734,""en"",""es-ES"")"),"El clip de outro comienza y es similar a la introducción.")</f>
        <v>El clip de outro comienza y es similar a la introducción.</v>
      </c>
    </row>
    <row r="31735">
      <c r="A31735" s="4" t="s">
        <v>39953</v>
      </c>
      <c r="B31735" s="4" t="s">
        <v>39954</v>
      </c>
      <c r="C31735" s="5" t="str">
        <f>IFERROR(__xludf.DUMMYFUNCTION("GOOGLETRANSLATE(B31735,""en"",""es-ES"")"),"Un hombre explica un procedimiento de telas y materiales de limpieza mientras muestra las telas.")</f>
        <v>Un hombre explica un procedimiento de telas y materiales de limpieza mientras muestra las telas.</v>
      </c>
    </row>
    <row r="31736">
      <c r="A31736" s="4" t="s">
        <v>39953</v>
      </c>
      <c r="B31736" s="4" t="s">
        <v>39955</v>
      </c>
      <c r="C31736" s="5" t="str">
        <f>IFERROR(__xludf.DUMMYFUNCTION("GOOGLETRANSLATE(B31736,""en"",""es-ES"")"),"Después, el hombre se acerca a una ventana y comienza a limpiar por un instante, y luego continúa explicando.")</f>
        <v>Después, el hombre se acerca a una ventana y comienza a limpiar por un instante, y luego continúa explicando.</v>
      </c>
    </row>
    <row r="31737">
      <c r="A31737" s="4" t="s">
        <v>39956</v>
      </c>
      <c r="B31737" s="4" t="s">
        <v>1487</v>
      </c>
      <c r="C31737" s="5" t="str">
        <f>IFERROR(__xludf.DUMMYFUNCTION("GOOGLETRANSLATE(B31737,""en"",""es-ES"")"),"Vemos una pantalla de título de apertura.")</f>
        <v>Vemos una pantalla de título de apertura.</v>
      </c>
    </row>
    <row r="31738">
      <c r="A31738" s="4" t="s">
        <v>39956</v>
      </c>
      <c r="B31738" s="4" t="s">
        <v>39957</v>
      </c>
      <c r="C31738" s="5" t="str">
        <f>IFERROR(__xludf.DUMMYFUNCTION("GOOGLETRANSLATE(B31738,""en"",""es-ES"")"),"Una señora se sienta en una mesa con un zapato, agua, sal, cepillo y toalla.")</f>
        <v>Una señora se sienta en una mesa con un zapato, agua, sal, cepillo y toalla.</v>
      </c>
    </row>
    <row r="31739">
      <c r="A31739" s="4" t="s">
        <v>39956</v>
      </c>
      <c r="B31739" s="4" t="s">
        <v>39958</v>
      </c>
      <c r="C31739" s="5" t="str">
        <f>IFERROR(__xludf.DUMMYFUNCTION("GOOGLETRANSLATE(B31739,""en"",""es-ES"")"),"La señora le pone sal el agua y sumerge el cepillo y luego cepilla el zapato.")</f>
        <v>La señora le pone sal el agua y sumerge el cepillo y luego cepilla el zapato.</v>
      </c>
    </row>
    <row r="31740">
      <c r="A31740" s="4" t="s">
        <v>39956</v>
      </c>
      <c r="B31740" s="4" t="s">
        <v>39959</v>
      </c>
      <c r="C31740" s="5" t="str">
        <f>IFERROR(__xludf.DUMMYFUNCTION("GOOGLETRANSLATE(B31740,""en"",""es-ES"")"),"La señora limpia el zapato con la toalla y habla con la cámara.")</f>
        <v>La señora limpia el zapato con la toalla y habla con la cámara.</v>
      </c>
    </row>
    <row r="31741">
      <c r="A31741" s="4" t="s">
        <v>39956</v>
      </c>
      <c r="B31741" s="4" t="s">
        <v>39960</v>
      </c>
      <c r="C31741" s="5" t="str">
        <f>IFERROR(__xludf.DUMMYFUNCTION("GOOGLETRANSLATE(B31741,""en"",""es-ES"")"),"Vemos una pantalla de título final.")</f>
        <v>Vemos una pantalla de título final.</v>
      </c>
    </row>
    <row r="31742">
      <c r="A31742" s="4" t="s">
        <v>39961</v>
      </c>
      <c r="B31742" s="4" t="s">
        <v>39962</v>
      </c>
      <c r="C31742" s="5" t="str">
        <f>IFERROR(__xludf.DUMMYFUNCTION("GOOGLETRANSLATE(B31742,""en"",""es-ES"")"),"Un perro se está bañando afuera.")</f>
        <v>Un perro se está bañando afuera.</v>
      </c>
    </row>
    <row r="31743">
      <c r="A31743" s="4" t="s">
        <v>39961</v>
      </c>
      <c r="B31743" s="4" t="s">
        <v>39963</v>
      </c>
      <c r="C31743" s="5" t="str">
        <f>IFERROR(__xludf.DUMMYFUNCTION("GOOGLETRANSLATE(B31743,""en"",""es-ES"")"),"El jabón se trabaja a través del abrigo y luego se lava.")</f>
        <v>El jabón se trabaja a través del abrigo y luego se lava.</v>
      </c>
    </row>
    <row r="31744">
      <c r="A31744" s="4" t="s">
        <v>39964</v>
      </c>
      <c r="B31744" s="4" t="s">
        <v>39965</v>
      </c>
      <c r="C31744" s="5" t="str">
        <f>IFERROR(__xludf.DUMMYFUNCTION("GOOGLETRANSLATE(B31744,""en"",""es-ES"")"),"Hay un hombre sin camisa con jeans de mezclilla en un bosque.")</f>
        <v>Hay un hombre sin camisa con jeans de mezclilla en un bosque.</v>
      </c>
    </row>
    <row r="31745">
      <c r="A31745" s="4" t="s">
        <v>39964</v>
      </c>
      <c r="B31745" s="4" t="s">
        <v>39966</v>
      </c>
      <c r="C31745" s="5" t="str">
        <f>IFERROR(__xludf.DUMMYFUNCTION("GOOGLETRANSLATE(B31745,""en"",""es-ES"")"),"Está cortando madera de una corteza de árbol cortada con un martillo.")</f>
        <v>Está cortando madera de una corteza de árbol cortada con un martillo.</v>
      </c>
    </row>
    <row r="31746">
      <c r="A31746" s="4" t="s">
        <v>39964</v>
      </c>
      <c r="B31746" s="4" t="s">
        <v>39967</v>
      </c>
      <c r="C31746" s="5" t="str">
        <f>IFERROR(__xludf.DUMMYFUNCTION("GOOGLETRANSLATE(B31746,""en"",""es-ES"")"),"Él golpea el tronco picado de madera con toda su fuerza.")</f>
        <v>Él golpea el tronco picado de madera con toda su fuerza.</v>
      </c>
    </row>
    <row r="31747">
      <c r="A31747" s="4" t="s">
        <v>39968</v>
      </c>
      <c r="B31747" s="4" t="s">
        <v>39969</v>
      </c>
      <c r="C31747" s="5" t="str">
        <f>IFERROR(__xludf.DUMMYFUNCTION("GOOGLETRANSLATE(B31747,""en"",""es-ES"")"),"Se ve a un pequeño grupo de personas de pie alrededor de una mesa llena de tazas individuales y una captura de una taza.")</f>
        <v>Se ve a un pequeño grupo de personas de pie alrededor de una mesa llena de tazas individuales y una captura de una taza.</v>
      </c>
    </row>
    <row r="31748">
      <c r="A31748" s="4" t="s">
        <v>39968</v>
      </c>
      <c r="B31748" s="4" t="s">
        <v>39970</v>
      </c>
      <c r="C31748" s="5" t="str">
        <f>IFERROR(__xludf.DUMMYFUNCTION("GOOGLETRANSLATE(B31748,""en"",""es-ES"")"),"El hombre luego bebe de una taza y procede a colapsar sobre la mesa.")</f>
        <v>El hombre luego bebe de una taza y procede a colapsar sobre la mesa.</v>
      </c>
    </row>
    <row r="31749">
      <c r="A31749" s="4" t="s">
        <v>39971</v>
      </c>
      <c r="B31749" s="4" t="s">
        <v>39972</v>
      </c>
      <c r="C31749" s="5" t="str">
        <f>IFERROR(__xludf.DUMMYFUNCTION("GOOGLETRANSLATE(B31749,""en"",""es-ES"")"),"Un hombre está rodando afuera en un estacionamiento.")</f>
        <v>Un hombre está rodando afuera en un estacionamiento.</v>
      </c>
    </row>
    <row r="31750">
      <c r="A31750" s="4" t="s">
        <v>39971</v>
      </c>
      <c r="B31750" s="4" t="s">
        <v>39973</v>
      </c>
      <c r="C31750" s="5" t="str">
        <f>IFERROR(__xludf.DUMMYFUNCTION("GOOGLETRANSLATE(B31750,""en"",""es-ES"")"),"Hace varios trucos en sus patines.")</f>
        <v>Hace varios trucos en sus patines.</v>
      </c>
    </row>
    <row r="31751">
      <c r="A31751" s="4" t="s">
        <v>39971</v>
      </c>
      <c r="B31751" s="4" t="s">
        <v>39974</v>
      </c>
      <c r="C31751" s="5" t="str">
        <f>IFERROR(__xludf.DUMMYFUNCTION("GOOGLETRANSLATE(B31751,""en"",""es-ES"")"),"Él hace una rueda de carrito en el suelo.")</f>
        <v>Él hace una rueda de carrito en el suelo.</v>
      </c>
    </row>
    <row r="31752">
      <c r="A31752" s="4" t="s">
        <v>39975</v>
      </c>
      <c r="B31752" s="4" t="s">
        <v>39976</v>
      </c>
      <c r="C31752" s="5" t="str">
        <f>IFERROR(__xludf.DUMMYFUNCTION("GOOGLETRANSLATE(B31752,""en"",""es-ES"")"),"Un hombre escribiendo en la pared.")</f>
        <v>Un hombre escribiendo en la pared.</v>
      </c>
    </row>
    <row r="31753">
      <c r="A31753" s="4" t="s">
        <v>39975</v>
      </c>
      <c r="B31753" s="4" t="s">
        <v>39977</v>
      </c>
      <c r="C31753" s="5" t="str">
        <f>IFERROR(__xludf.DUMMYFUNCTION("GOOGLETRANSLATE(B31753,""en"",""es-ES"")"),"Cambia a un producto que se presenta.")</f>
        <v>Cambia a un producto que se presenta.</v>
      </c>
    </row>
    <row r="31754">
      <c r="A31754" s="4" t="s">
        <v>39975</v>
      </c>
      <c r="B31754" s="4" t="s">
        <v>39978</v>
      </c>
      <c r="C31754" s="5" t="str">
        <f>IFERROR(__xludf.DUMMYFUNCTION("GOOGLETRANSLATE(B31754,""en"",""es-ES"")"),"El hombre vuelve a escribir en la pared.")</f>
        <v>El hombre vuelve a escribir en la pared.</v>
      </c>
    </row>
    <row r="31755">
      <c r="A31755" s="4" t="s">
        <v>39975</v>
      </c>
      <c r="B31755" s="4" t="s">
        <v>39979</v>
      </c>
      <c r="C31755" s="5" t="str">
        <f>IFERROR(__xludf.DUMMYFUNCTION("GOOGLETRANSLATE(B31755,""en"",""es-ES"")"),"Comienza a aplicar el producto.")</f>
        <v>Comienza a aplicar el producto.</v>
      </c>
    </row>
    <row r="31756">
      <c r="A31756" s="4" t="s">
        <v>39975</v>
      </c>
      <c r="B31756" s="4" t="s">
        <v>39980</v>
      </c>
      <c r="C31756" s="5" t="str">
        <f>IFERROR(__xludf.DUMMYFUNCTION("GOOGLETRANSLATE(B31756,""en"",""es-ES"")"),"Cambia al producto nuevamente.")</f>
        <v>Cambia al producto nuevamente.</v>
      </c>
    </row>
    <row r="31757">
      <c r="A31757" s="4" t="s">
        <v>39975</v>
      </c>
      <c r="B31757" s="4" t="s">
        <v>39981</v>
      </c>
      <c r="C31757" s="5" t="str">
        <f>IFERROR(__xludf.DUMMYFUNCTION("GOOGLETRANSLATE(B31757,""en"",""es-ES"")"),"Él escribe en la pared.")</f>
        <v>Él escribe en la pared.</v>
      </c>
    </row>
    <row r="31758">
      <c r="A31758" s="4" t="s">
        <v>39975</v>
      </c>
      <c r="B31758" s="4" t="s">
        <v>39982</v>
      </c>
      <c r="C31758" s="5" t="str">
        <f>IFERROR(__xludf.DUMMYFUNCTION("GOOGLETRANSLATE(B31758,""en"",""es-ES"")"),"Comienza a diseñar herramientas.")</f>
        <v>Comienza a diseñar herramientas.</v>
      </c>
    </row>
    <row r="31759">
      <c r="A31759" s="4" t="s">
        <v>39975</v>
      </c>
      <c r="B31759" s="4" t="s">
        <v>39983</v>
      </c>
      <c r="C31759" s="5" t="str">
        <f>IFERROR(__xludf.DUMMYFUNCTION("GOOGLETRANSLATE(B31759,""en"",""es-ES"")"),"Luego mide y nivela la pared.")</f>
        <v>Luego mide y nivela la pared.</v>
      </c>
    </row>
    <row r="31760">
      <c r="A31760" s="4" t="s">
        <v>39975</v>
      </c>
      <c r="B31760" s="4" t="s">
        <v>39984</v>
      </c>
      <c r="C31760" s="5" t="str">
        <f>IFERROR(__xludf.DUMMYFUNCTION("GOOGLETRANSLATE(B31760,""en"",""es-ES"")"),"Saca el producto y comienza a colocar un abrigo en la grieta en la pared.")</f>
        <v>Saca el producto y comienza a colocar un abrigo en la grieta en la pared.</v>
      </c>
    </row>
    <row r="31761">
      <c r="A31761" s="4" t="s">
        <v>39975</v>
      </c>
      <c r="B31761" s="4" t="s">
        <v>39985</v>
      </c>
      <c r="C31761" s="5" t="str">
        <f>IFERROR(__xludf.DUMMYFUNCTION("GOOGLETRANSLATE(B31761,""en"",""es-ES"")"),"Luego toma un rodillo y lo enrolla a lo largo de la pared.")</f>
        <v>Luego toma un rodillo y lo enrolla a lo largo de la pared.</v>
      </c>
    </row>
    <row r="31762">
      <c r="A31762" s="4" t="s">
        <v>39975</v>
      </c>
      <c r="B31762" s="4" t="s">
        <v>39986</v>
      </c>
      <c r="C31762" s="5" t="str">
        <f>IFERROR(__xludf.DUMMYFUNCTION("GOOGLETRANSLATE(B31762,""en"",""es-ES"")"),"Luego cuelga y aplica una sábana blanca a la pared.")</f>
        <v>Luego cuelga y aplica una sábana blanca a la pared.</v>
      </c>
    </row>
    <row r="31763">
      <c r="A31763" s="4" t="s">
        <v>39975</v>
      </c>
      <c r="B31763" s="4" t="s">
        <v>39987</v>
      </c>
      <c r="C31763" s="5" t="str">
        <f>IFERROR(__xludf.DUMMYFUNCTION("GOOGLETRANSLATE(B31763,""en"",""es-ES"")"),"Repita el proceso en las diferentes secciones de la pared que lo necesitan.")</f>
        <v>Repita el proceso en las diferentes secciones de la pared que lo necesitan.</v>
      </c>
    </row>
    <row r="31764">
      <c r="A31764" s="4" t="s">
        <v>39975</v>
      </c>
      <c r="B31764" s="4" t="s">
        <v>39988</v>
      </c>
      <c r="C31764" s="5" t="str">
        <f>IFERROR(__xludf.DUMMYFUNCTION("GOOGLETRANSLATE(B31764,""en"",""es-ES"")"),"Ahora vuelve a escribir en la pared.")</f>
        <v>Ahora vuelve a escribir en la pared.</v>
      </c>
    </row>
    <row r="31765">
      <c r="A31765" s="4" t="s">
        <v>39975</v>
      </c>
      <c r="B31765" s="4" t="s">
        <v>39989</v>
      </c>
      <c r="C31765" s="5" t="str">
        <f>IFERROR(__xludf.DUMMYFUNCTION("GOOGLETRANSLATE(B31765,""en"",""es-ES"")"),"Luego, un perro salta frente a una pared.")</f>
        <v>Luego, un perro salta frente a una pared.</v>
      </c>
    </row>
    <row r="31766">
      <c r="A31766" s="4" t="s">
        <v>39975</v>
      </c>
      <c r="B31766" s="4" t="s">
        <v>39990</v>
      </c>
      <c r="C31766" s="5" t="str">
        <f>IFERROR(__xludf.DUMMYFUNCTION("GOOGLETRANSLATE(B31766,""en"",""es-ES"")"),"Él escribe nuevamente en la pared.")</f>
        <v>Él escribe nuevamente en la pared.</v>
      </c>
    </row>
    <row r="31767">
      <c r="A31767" s="4" t="s">
        <v>39975</v>
      </c>
      <c r="B31767" s="4" t="s">
        <v>39991</v>
      </c>
      <c r="C31767" s="5" t="str">
        <f>IFERROR(__xludf.DUMMYFUNCTION("GOOGLETRANSLATE(B31767,""en"",""es-ES"")"),"Las letras aparecen en la pantalla para el producto.")</f>
        <v>Las letras aparecen en la pantalla para el producto.</v>
      </c>
    </row>
    <row r="31768">
      <c r="A31768" s="4" t="s">
        <v>39992</v>
      </c>
      <c r="B31768" s="4" t="s">
        <v>39993</v>
      </c>
      <c r="C31768" s="5" t="str">
        <f>IFERROR(__xludf.DUMMYFUNCTION("GOOGLETRANSLATE(B31768,""en"",""es-ES"")"),"Varias personas flotan por un río en tubos.")</f>
        <v>Varias personas flotan por un río en tubos.</v>
      </c>
    </row>
    <row r="31769">
      <c r="A31769" s="4" t="s">
        <v>39992</v>
      </c>
      <c r="B31769" s="4" t="s">
        <v>39994</v>
      </c>
      <c r="C31769" s="5" t="str">
        <f>IFERROR(__xludf.DUMMYFUNCTION("GOOGLETRANSLATE(B31769,""en"",""es-ES"")"),"Pasan a través de varias rocas.")</f>
        <v>Pasan a través de varias rocas.</v>
      </c>
    </row>
    <row r="31770">
      <c r="A31770" s="4" t="s">
        <v>39992</v>
      </c>
      <c r="B31770" s="4" t="s">
        <v>39995</v>
      </c>
      <c r="C31770" s="5" t="str">
        <f>IFERROR(__xludf.DUMMYFUNCTION("GOOGLETRANSLATE(B31770,""en"",""es-ES"")"),"El agua se pone agitada a medida que el pasado a través de algunas rocas.")</f>
        <v>El agua se pone agitada a medida que el pasado a través de algunas rocas.</v>
      </c>
    </row>
    <row r="31771">
      <c r="A31771" s="4" t="s">
        <v>39992</v>
      </c>
      <c r="B31771" s="4" t="s">
        <v>39996</v>
      </c>
      <c r="C31771" s="5" t="str">
        <f>IFERROR(__xludf.DUMMYFUNCTION("GOOGLETRANSLATE(B31771,""en"",""es-ES"")"),"Varias personas se paran en el río.")</f>
        <v>Varias personas se paran en el río.</v>
      </c>
    </row>
    <row r="31772">
      <c r="A31772" s="4" t="s">
        <v>39997</v>
      </c>
      <c r="B31772" s="4" t="s">
        <v>39998</v>
      </c>
      <c r="C31772" s="5" t="str">
        <f>IFERROR(__xludf.DUMMYFUNCTION("GOOGLETRANSLATE(B31772,""en"",""es-ES"")"),"Las personas respaldan a las plataformas negras en espera de instrucciones.")</f>
        <v>Las personas respaldan a las plataformas negras en espera de instrucciones.</v>
      </c>
    </row>
    <row r="31773">
      <c r="A31773" s="4" t="s">
        <v>39997</v>
      </c>
      <c r="B31773" s="4" t="s">
        <v>39999</v>
      </c>
      <c r="C31773" s="5" t="str">
        <f>IFERROR(__xludf.DUMMYFUNCTION("GOOGLETRANSLATE(B31773,""en"",""es-ES"")"),"Las personas están utilizando movimientos de baile para hacer ejercicio utilizando la plataforma.")</f>
        <v>Las personas están utilizando movimientos de baile para hacer ejercicio utilizando la plataforma.</v>
      </c>
    </row>
    <row r="31774">
      <c r="A31774" s="4" t="s">
        <v>39997</v>
      </c>
      <c r="B31774" s="4" t="s">
        <v>40000</v>
      </c>
      <c r="C31774" s="5" t="str">
        <f>IFERROR(__xludf.DUMMYFUNCTION("GOOGLETRANSLATE(B31774,""en"",""es-ES"")"),"La gente salta a la derecha de la plataforma.")</f>
        <v>La gente salta a la derecha de la plataforma.</v>
      </c>
    </row>
    <row r="31775">
      <c r="A31775" s="4" t="s">
        <v>39997</v>
      </c>
      <c r="B31775" s="4" t="s">
        <v>40001</v>
      </c>
      <c r="C31775" s="5" t="str">
        <f>IFERROR(__xludf.DUMMYFUNCTION("GOOGLETRANSLATE(B31775,""en"",""es-ES"")"),"Los individuos saltan gatos a la izquierda de la plataforma.")</f>
        <v>Los individuos saltan gatos a la izquierda de la plataforma.</v>
      </c>
    </row>
    <row r="31776">
      <c r="A31776" s="4" t="s">
        <v>39997</v>
      </c>
      <c r="B31776" s="4" t="s">
        <v>40002</v>
      </c>
      <c r="C31776" s="5" t="str">
        <f>IFERROR(__xludf.DUMMYFUNCTION("GOOGLETRANSLATE(B31776,""en"",""es-ES"")"),"La señora que había estado instruyendo al grupo aplaude continuamente sus manos y comienza a irse.")</f>
        <v>La señora que había estado instruyendo al grupo aplaude continuamente sus manos y comienza a irse.</v>
      </c>
    </row>
    <row r="31777">
      <c r="A31777" s="4" t="s">
        <v>40003</v>
      </c>
      <c r="B31777" s="4" t="s">
        <v>40004</v>
      </c>
      <c r="C31777" s="5" t="str">
        <f>IFERROR(__xludf.DUMMYFUNCTION("GOOGLETRANSLATE(B31777,""en"",""es-ES"")"),"Una niña levanta un trozo de papel blanco y tiene un dibujo que se hace con tinta negra.")</f>
        <v>Una niña levanta un trozo de papel blanco y tiene un dibujo que se hace con tinta negra.</v>
      </c>
    </row>
    <row r="31778">
      <c r="A31778" s="4" t="s">
        <v>40003</v>
      </c>
      <c r="B31778" s="4" t="s">
        <v>40005</v>
      </c>
      <c r="C31778" s="5" t="str">
        <f>IFERROR(__xludf.DUMMYFUNCTION("GOOGLETRANSLATE(B31778,""en"",""es-ES"")"),"Luego, la niña se da vuelta y el video se acelera para mostrar su dibujo en una calabaza cerca de una cocina mientras varias personas se mueven a su alrededor.")</f>
        <v>Luego, la niña se da vuelta y el video se acelera para mostrar su dibujo en una calabaza cerca de una cocina mientras varias personas se mueven a su alrededor.</v>
      </c>
    </row>
    <row r="31779">
      <c r="A31779" s="4" t="s">
        <v>40003</v>
      </c>
      <c r="B31779" s="4" t="s">
        <v>40006</v>
      </c>
      <c r="C31779" s="5" t="str">
        <f>IFERROR(__xludf.DUMMYFUNCTION("GOOGLETRANSLATE(B31779,""en"",""es-ES"")"),"La niña termina el dibujo y ella comienza a tallar el diseño de la calabaza mientras el video todavía está en modo acelerado.")</f>
        <v>La niña termina el dibujo y ella comienza a tallar el diseño de la calabaza mientras el video todavía está en modo acelerado.</v>
      </c>
    </row>
    <row r="31780">
      <c r="A31780" s="4" t="s">
        <v>40003</v>
      </c>
      <c r="B31780" s="4" t="s">
        <v>40007</v>
      </c>
      <c r="C31780" s="5" t="str">
        <f>IFERROR(__xludf.DUMMYFUNCTION("GOOGLETRANSLATE(B31780,""en"",""es-ES"")"),"La calabaza ya se termina de ser tallada y aparece en una pantalla negra con solo el área tallada que ilumina en un color naranja.")</f>
        <v>La calabaza ya se termina de ser tallada y aparece en una pantalla negra con solo el área tallada que ilumina en un color naranja.</v>
      </c>
    </row>
    <row r="31781">
      <c r="A31781" s="4" t="s">
        <v>40003</v>
      </c>
      <c r="B31781" s="4" t="s">
        <v>40008</v>
      </c>
      <c r="C31781" s="5" t="str">
        <f>IFERROR(__xludf.DUMMYFUNCTION("GOOGLETRANSLATE(B31781,""en"",""es-ES"")"),"La niña aparece nuevamente sosteniendo el papel blanco, sale corriendo de la habitación y la pantalla vuelve al negro con solo la calabaza iluminada.")</f>
        <v>La niña aparece nuevamente sosteniendo el papel blanco, sale corriendo de la habitación y la pantalla vuelve al negro con solo la calabaza iluminada.</v>
      </c>
    </row>
    <row r="31782">
      <c r="A31782" s="4" t="s">
        <v>40009</v>
      </c>
      <c r="B31782" s="4" t="s">
        <v>40010</v>
      </c>
      <c r="C31782" s="5" t="str">
        <f>IFERROR(__xludf.DUMMYFUNCTION("GOOGLETRANSLATE(B31782,""en"",""es-ES"")"),"Se ve a un hombre grande parado en una gran estera caminando hacia adelante y gritando a la audiencia.")</f>
        <v>Se ve a un hombre grande parado en una gran estera caminando hacia adelante y gritando a la audiencia.</v>
      </c>
    </row>
    <row r="31783">
      <c r="A31783" s="4" t="s">
        <v>40009</v>
      </c>
      <c r="B31783" s="4" t="s">
        <v>40011</v>
      </c>
      <c r="C31783" s="5" t="str">
        <f>IFERROR(__xludf.DUMMYFUNCTION("GOOGLETRANSLATE(B31783,""en"",""es-ES"")"),"El hombre luego levanta la barra y luego retrocede y grita en voz alta.")</f>
        <v>El hombre luego levanta la barra y luego retrocede y grita en voz alta.</v>
      </c>
    </row>
    <row r="31784">
      <c r="A31784" s="4" t="s">
        <v>40009</v>
      </c>
      <c r="B31784" s="4" t="s">
        <v>40012</v>
      </c>
      <c r="C31784" s="5" t="str">
        <f>IFERROR(__xludf.DUMMYFUNCTION("GOOGLETRANSLATE(B31784,""en"",""es-ES"")"),"Los mismos clips se muestran nuevamente inmediatamente después.")</f>
        <v>Los mismos clips se muestran nuevamente inmediatamente después.</v>
      </c>
    </row>
    <row r="31785">
      <c r="A31785" s="4" t="s">
        <v>40013</v>
      </c>
      <c r="B31785" s="4" t="s">
        <v>40014</v>
      </c>
      <c r="C31785" s="5" t="str">
        <f>IFERROR(__xludf.DUMMYFUNCTION("GOOGLETRANSLATE(B31785,""en"",""es-ES"")"),"Se ve a un hombre hablando con la cámara mientras sostiene un zapato y esmalte y apunta a los objetos.")</f>
        <v>Se ve a un hombre hablando con la cámara mientras sostiene un zapato y esmalte y apunta a los objetos.</v>
      </c>
    </row>
    <row r="31786">
      <c r="A31786" s="4" t="s">
        <v>40013</v>
      </c>
      <c r="B31786" s="4" t="s">
        <v>40015</v>
      </c>
      <c r="C31786" s="5" t="str">
        <f>IFERROR(__xludf.DUMMYFUNCTION("GOOGLETRANSLATE(B31786,""en"",""es-ES"")"),"Luego, el hombre frota el zapato con un trapo mientras la cámara se acerca a más productos y habla con la cámara.")</f>
        <v>Luego, el hombre frota el zapato con un trapo mientras la cámara se acerca a más productos y habla con la cámara.</v>
      </c>
    </row>
    <row r="31787">
      <c r="A31787" s="4" t="s">
        <v>40016</v>
      </c>
      <c r="B31787" s="4" t="s">
        <v>40017</v>
      </c>
      <c r="C31787" s="5" t="str">
        <f>IFERROR(__xludf.DUMMYFUNCTION("GOOGLETRANSLATE(B31787,""en"",""es-ES"")"),"El hombre está sentado en una sala blanca jugando a Congas A Bongos.")</f>
        <v>El hombre está sentado en una sala blanca jugando a Congas A Bongos.</v>
      </c>
    </row>
    <row r="31788">
      <c r="A31788" s="4" t="s">
        <v>40016</v>
      </c>
      <c r="B31788" s="4" t="s">
        <v>40018</v>
      </c>
      <c r="C31788" s="5" t="str">
        <f>IFERROR(__xludf.DUMMYFUNCTION("GOOGLETRANSLATE(B31788,""en"",""es-ES"")"),"El hombre gordo con vasos está sentado en una silla en una habitación blanca.")</f>
        <v>El hombre gordo con vasos está sentado en una silla en una habitación blanca.</v>
      </c>
    </row>
    <row r="31789">
      <c r="A31789" s="4" t="s">
        <v>40016</v>
      </c>
      <c r="B31789" s="4" t="s">
        <v>40019</v>
      </c>
      <c r="C31789" s="5" t="str">
        <f>IFERROR(__xludf.DUMMYFUNCTION("GOOGLETRANSLATE(B31789,""en"",""es-ES"")"),"El hombre está sentado en una habitación tocando música de salsa con los bongos.")</f>
        <v>El hombre está sentado en una habitación tocando música de salsa con los bongos.</v>
      </c>
    </row>
    <row r="31790">
      <c r="A31790" s="4" t="s">
        <v>40020</v>
      </c>
      <c r="B31790" s="4" t="s">
        <v>40021</v>
      </c>
      <c r="C31790" s="5" t="str">
        <f>IFERROR(__xludf.DUMMYFUNCTION("GOOGLETRANSLATE(B31790,""en"",""es-ES"")"),"La mujer está subiendo una pared de roca en un gimnasio y un hombre está tirando de las cuerdas.")</f>
        <v>La mujer está subiendo una pared de roca en un gimnasio y un hombre está tirando de las cuerdas.</v>
      </c>
    </row>
    <row r="31791">
      <c r="A31791" s="4" t="s">
        <v>40020</v>
      </c>
      <c r="B31791" s="4" t="s">
        <v>40022</v>
      </c>
      <c r="C31791" s="5" t="str">
        <f>IFERROR(__xludf.DUMMYFUNCTION("GOOGLETRANSLATE(B31791,""en"",""es-ES"")"),"La mujer comienza a descender desde la pared de roca.")</f>
        <v>La mujer comienza a descender desde la pared de roca.</v>
      </c>
    </row>
    <row r="31792">
      <c r="A31792" s="4" t="s">
        <v>40023</v>
      </c>
      <c r="B31792" s="4" t="s">
        <v>40024</v>
      </c>
      <c r="C31792" s="5" t="str">
        <f>IFERROR(__xludf.DUMMYFUNCTION("GOOGLETRANSLATE(B31792,""en"",""es-ES"")"),"Se muestra un clip de una persona en un tablero de vigilia sobre algunas olas y chocando contra el agua.")</f>
        <v>Se muestra un clip de una persona en un tablero de vigilia sobre algunas olas y chocando contra el agua.</v>
      </c>
    </row>
    <row r="31793">
      <c r="A31793" s="4" t="s">
        <v>40023</v>
      </c>
      <c r="B31793" s="4" t="s">
        <v>40025</v>
      </c>
      <c r="C31793" s="5" t="str">
        <f>IFERROR(__xludf.DUMMYFUNCTION("GOOGLETRANSLATE(B31793,""en"",""es-ES"")"),"Se muestran varios clips más de personas que viajan en los tableros de atención en las olas oceánicas que se deslizan.")</f>
        <v>Se muestran varios clips más de personas que viajan en los tableros de atención en las olas oceánicas que se deslizan.</v>
      </c>
    </row>
    <row r="31794">
      <c r="A31794" s="4" t="s">
        <v>40026</v>
      </c>
      <c r="B31794" s="4" t="s">
        <v>40027</v>
      </c>
      <c r="C31794" s="5" t="str">
        <f>IFERROR(__xludf.DUMMYFUNCTION("GOOGLETRANSLATE(B31794,""en"",""es-ES"")"),"Se ve a una chica que lleva una bufanda hablando con la cámara y comienza a mezclar varios ingredientes en un tazón.")</f>
        <v>Se ve a una chica que lleva una bufanda hablando con la cámara y comienza a mezclar varios ingredientes en un tazón.</v>
      </c>
    </row>
    <row r="31795">
      <c r="A31795" s="4" t="s">
        <v>40026</v>
      </c>
      <c r="B31795" s="4" t="s">
        <v>40028</v>
      </c>
      <c r="C31795" s="5" t="str">
        <f>IFERROR(__xludf.DUMMYFUNCTION("GOOGLETRANSLATE(B31795,""en"",""es-ES"")"),"Ella coloca la masa en círculos en sartenes separados y muestra las galletas que hizo después de que terminaron.")</f>
        <v>Ella coloca la masa en círculos en sartenes separados y muestra las galletas que hizo después de que terminaron.</v>
      </c>
    </row>
    <row r="31796">
      <c r="A31796" s="4" t="s">
        <v>40029</v>
      </c>
      <c r="B31796" s="4" t="s">
        <v>40030</v>
      </c>
      <c r="C31796" s="5" t="str">
        <f>IFERROR(__xludf.DUMMYFUNCTION("GOOGLETRANSLATE(B31796,""en"",""es-ES"")"),"Un hombre camina en círculos en el centro de una multitud.")</f>
        <v>Un hombre camina en círculos en el centro de una multitud.</v>
      </c>
    </row>
    <row r="31797">
      <c r="A31797" s="4" t="s">
        <v>40029</v>
      </c>
      <c r="B31797" s="4" t="s">
        <v>40031</v>
      </c>
      <c r="C31797" s="5" t="str">
        <f>IFERROR(__xludf.DUMMYFUNCTION("GOOGLETRANSLATE(B31797,""en"",""es-ES"")"),"Comienza a romper el baile.")</f>
        <v>Comienza a romper el baile.</v>
      </c>
    </row>
    <row r="31798">
      <c r="A31798" s="4" t="s">
        <v>40029</v>
      </c>
      <c r="B31798" s="4" t="s">
        <v>40032</v>
      </c>
      <c r="C31798" s="5" t="str">
        <f>IFERROR(__xludf.DUMMYFUNCTION("GOOGLETRANSLATE(B31798,""en"",""es-ES"")"),"Se muestran varios clips de hombres que rompen bailando en diferentes lugares, a medida que voltean, giran y actúan para multitudes.")</f>
        <v>Se muestran varios clips de hombres que rompen bailando en diferentes lugares, a medida que voltean, giran y actúan para multitudes.</v>
      </c>
    </row>
    <row r="31799">
      <c r="A31799" s="4" t="s">
        <v>40033</v>
      </c>
      <c r="B31799" s="4" t="s">
        <v>40034</v>
      </c>
      <c r="C31799" s="5" t="str">
        <f>IFERROR(__xludf.DUMMYFUNCTION("GOOGLETRANSLATE(B31799,""en"",""es-ES"")"),"Allí dos hombres vestían escocetos escoceses y atuendos parados en el patio.")</f>
        <v>Allí dos hombres vestían escocetos escoceses y atuendos parados en el patio.</v>
      </c>
    </row>
    <row r="31800">
      <c r="A31800" s="4" t="s">
        <v>40033</v>
      </c>
      <c r="B31800" s="4" t="s">
        <v>40035</v>
      </c>
      <c r="C31800" s="5" t="str">
        <f>IFERROR(__xludf.DUMMYFUNCTION("GOOGLETRANSLATE(B31800,""en"",""es-ES"")"),"Uno de los hombres está tocando las gaitas y la otra está tocando la batería.")</f>
        <v>Uno de los hombres está tocando las gaitas y la otra está tocando la batería.</v>
      </c>
    </row>
    <row r="31801">
      <c r="A31801" s="4" t="s">
        <v>40033</v>
      </c>
      <c r="B31801" s="4" t="s">
        <v>40036</v>
      </c>
      <c r="C31801" s="5" t="str">
        <f>IFERROR(__xludf.DUMMYFUNCTION("GOOGLETRANSLATE(B31801,""en"",""es-ES"")"),"Una mujer turística pasa junto a ellos mientras continúan jugando.")</f>
        <v>Una mujer turística pasa junto a ellos mientras continúan jugando.</v>
      </c>
    </row>
    <row r="31802">
      <c r="A31802" s="4" t="s">
        <v>40037</v>
      </c>
      <c r="B31802" s="4" t="s">
        <v>40038</v>
      </c>
      <c r="C31802" s="5" t="str">
        <f>IFERROR(__xludf.DUMMYFUNCTION("GOOGLETRANSLATE(B31802,""en"",""es-ES"")"),"Se muestra una mesa de póker vacía seguida de una mujer que trata tarjetas y hablando con la cámara.")</f>
        <v>Se muestra una mesa de póker vacía seguida de una mujer que trata tarjetas y hablando con la cámara.</v>
      </c>
    </row>
    <row r="31803">
      <c r="A31803" s="4" t="s">
        <v>40037</v>
      </c>
      <c r="B31803" s="4" t="s">
        <v>40039</v>
      </c>
      <c r="C31803" s="5" t="str">
        <f>IFERROR(__xludf.DUMMYFUNCTION("GOOGLETRANSLATE(B31803,""en"",""es-ES"")"),"Ella instruye sobre cómo jugar el juego mientras sigue hablando con la cámara y sonriendo.")</f>
        <v>Ella instruye sobre cómo jugar el juego mientras sigue hablando con la cámara y sonriendo.</v>
      </c>
    </row>
    <row r="31804">
      <c r="A31804" s="4" t="s">
        <v>40040</v>
      </c>
      <c r="B31804" s="4" t="s">
        <v>40041</v>
      </c>
      <c r="C31804" s="5" t="str">
        <f>IFERROR(__xludf.DUMMYFUNCTION("GOOGLETRANSLATE(B31804,""en"",""es-ES"")"),"Un hombre está de pie en una habitación.")</f>
        <v>Un hombre está de pie en una habitación.</v>
      </c>
    </row>
    <row r="31805">
      <c r="A31805" s="4" t="s">
        <v>40040</v>
      </c>
      <c r="B31805" s="4" t="s">
        <v>40042</v>
      </c>
      <c r="C31805" s="5" t="str">
        <f>IFERROR(__xludf.DUMMYFUNCTION("GOOGLETRANSLATE(B31805,""en"",""es-ES"")"),"Están lanzando dardos en un tablero de dardos.")</f>
        <v>Están lanzando dardos en un tablero de dardos.</v>
      </c>
    </row>
    <row r="31806">
      <c r="A31806" s="4" t="s">
        <v>40040</v>
      </c>
      <c r="B31806" s="4" t="s">
        <v>40043</v>
      </c>
      <c r="C31806" s="5" t="str">
        <f>IFERROR(__xludf.DUMMYFUNCTION("GOOGLETRANSLATE(B31806,""en"",""es-ES"")"),"Una mujer luego viene y arroja dardos a un tablero de dardos.")</f>
        <v>Una mujer luego viene y arroja dardos a un tablero de dardos.</v>
      </c>
    </row>
    <row r="31807">
      <c r="A31807" s="4" t="s">
        <v>40044</v>
      </c>
      <c r="B31807" s="4" t="s">
        <v>40045</v>
      </c>
      <c r="C31807" s="5" t="str">
        <f>IFERROR(__xludf.DUMMYFUNCTION("GOOGLETRANSLATE(B31807,""en"",""es-ES"")"),"La gente balsa en un río fangoso, luego acampan en la orilla para descansar y jugar.")</f>
        <v>La gente balsa en un río fangoso, luego acampan en la orilla para descansar y jugar.</v>
      </c>
    </row>
    <row r="31808">
      <c r="A31808" s="4" t="s">
        <v>40044</v>
      </c>
      <c r="B31808" s="4" t="s">
        <v>40046</v>
      </c>
      <c r="C31808" s="5" t="str">
        <f>IFERROR(__xludf.DUMMYFUNCTION("GOOGLETRANSLATE(B31808,""en"",""es-ES"")"),"Luego, el hombre continúa rafting en el río, y un hombre cae en el agua y sus amigos lo rescatan, luego continúan rafting.")</f>
        <v>Luego, el hombre continúa rafting en el río, y un hombre cae en el agua y sus amigos lo rescatan, luego continúan rafting.</v>
      </c>
    </row>
    <row r="31809">
      <c r="A31809" s="4" t="s">
        <v>40044</v>
      </c>
      <c r="B31809" s="4" t="s">
        <v>40047</v>
      </c>
      <c r="C31809" s="5" t="str">
        <f>IFERROR(__xludf.DUMMYFUNCTION("GOOGLETRANSLATE(B31809,""en"",""es-ES"")"),"Una mujer y un hombre se para luego un helicóptero, luego el helicóptero vuela.")</f>
        <v>Una mujer y un hombre se para luego un helicóptero, luego el helicóptero vuela.</v>
      </c>
    </row>
    <row r="31810">
      <c r="A31810" s="4" t="s">
        <v>40048</v>
      </c>
      <c r="B31810" s="4" t="s">
        <v>40049</v>
      </c>
      <c r="C31810" s="5" t="str">
        <f>IFERROR(__xludf.DUMMYFUNCTION("GOOGLETRANSLATE(B31810,""en"",""es-ES"")"),"Una fuego de campamento arde intensamente en la noche.")</f>
        <v>Una fuego de campamento arde intensamente en la noche.</v>
      </c>
    </row>
    <row r="31811">
      <c r="A31811" s="4" t="s">
        <v>40048</v>
      </c>
      <c r="B31811" s="4" t="s">
        <v>40050</v>
      </c>
      <c r="C31811" s="5" t="str">
        <f>IFERROR(__xludf.DUMMYFUNCTION("GOOGLETRANSLATE(B31811,""en"",""es-ES"")"),"El fuego crece lentamente en tamaño.")</f>
        <v>El fuego crece lentamente en tamaño.</v>
      </c>
    </row>
    <row r="31812">
      <c r="A31812" s="4" t="s">
        <v>40048</v>
      </c>
      <c r="B31812" s="4" t="s">
        <v>40051</v>
      </c>
      <c r="C31812" s="5" t="str">
        <f>IFERROR(__xludf.DUMMYFUNCTION("GOOGLETRANSLATE(B31812,""en"",""es-ES"")"),"La escena se vuelve más brillante y mejor iluminada.")</f>
        <v>La escena se vuelve más brillante y mejor iluminada.</v>
      </c>
    </row>
    <row r="31813">
      <c r="A31813" s="4" t="s">
        <v>40048</v>
      </c>
      <c r="B31813" s="4" t="s">
        <v>40052</v>
      </c>
      <c r="C31813" s="5" t="str">
        <f>IFERROR(__xludf.DUMMYFUNCTION("GOOGLETRANSLATE(B31813,""en"",""es-ES"")"),"Hay árboles en el fondo.")</f>
        <v>Hay árboles en el fondo.</v>
      </c>
    </row>
    <row r="31814">
      <c r="A31814" s="4" t="s">
        <v>40053</v>
      </c>
      <c r="B31814" s="4" t="s">
        <v>40054</v>
      </c>
      <c r="C31814" s="5" t="str">
        <f>IFERROR(__xludf.DUMMYFUNCTION("GOOGLETRANSLATE(B31814,""en"",""es-ES"")"),"Un primer plano de una persona lleva a la persona que mira sus manos y la frota con jabón.")</f>
        <v>Un primer plano de una persona lleva a la persona que mira sus manos y la frota con jabón.</v>
      </c>
    </row>
    <row r="31815">
      <c r="A31815" s="4" t="s">
        <v>40053</v>
      </c>
      <c r="B31815" s="4" t="s">
        <v>40055</v>
      </c>
      <c r="C31815" s="5" t="str">
        <f>IFERROR(__xludf.DUMMYFUNCTION("GOOGLETRANSLATE(B31815,""en"",""es-ES"")"),"Se muestra a un hombre frotando las manos en un fregadero mientras demuestra la forma adecuada de lavarse las manos y sumergirlas debajo del agua.")</f>
        <v>Se muestra a un hombre frotando las manos en un fregadero mientras demuestra la forma adecuada de lavarse las manos y sumergirlas debajo del agua.</v>
      </c>
    </row>
    <row r="31816">
      <c r="A31816" s="4" t="s">
        <v>40053</v>
      </c>
      <c r="B31816" s="4" t="s">
        <v>40056</v>
      </c>
      <c r="C31816" s="5" t="str">
        <f>IFERROR(__xludf.DUMMYFUNCTION("GOOGLETRANSLATE(B31816,""en"",""es-ES"")"),"El hombre lo seca con un trapo al final.")</f>
        <v>El hombre lo seca con un trapo al final.</v>
      </c>
    </row>
    <row r="31817">
      <c r="A31817" s="4" t="s">
        <v>40057</v>
      </c>
      <c r="B31817" s="4" t="s">
        <v>40058</v>
      </c>
      <c r="C31817" s="5" t="str">
        <f>IFERROR(__xludf.DUMMYFUNCTION("GOOGLETRANSLATE(B31817,""en"",""es-ES"")"),"Un automóvil conduce a una bahía de lavado de autos.")</f>
        <v>Un automóvil conduce a una bahía de lavado de autos.</v>
      </c>
    </row>
    <row r="31818">
      <c r="A31818" s="4" t="s">
        <v>40057</v>
      </c>
      <c r="B31818" s="4" t="s">
        <v>40059</v>
      </c>
      <c r="C31818" s="5" t="str">
        <f>IFERROR(__xludf.DUMMYFUNCTION("GOOGLETRANSLATE(B31818,""en"",""es-ES"")"),"El conductor sale e inserta dinero en una máquina.")</f>
        <v>El conductor sale e inserta dinero en una máquina.</v>
      </c>
    </row>
    <row r="31819">
      <c r="A31819" s="4" t="s">
        <v>40057</v>
      </c>
      <c r="B31819" s="4" t="s">
        <v>40060</v>
      </c>
      <c r="C31819" s="5" t="str">
        <f>IFERROR(__xludf.DUMMYFUNCTION("GOOGLETRANSLATE(B31819,""en"",""es-ES"")"),"La persona luego lava su automóvil con una lavadora a presión.")</f>
        <v>La persona luego lava su automóvil con una lavadora a presión.</v>
      </c>
    </row>
    <row r="31820">
      <c r="A31820" s="4" t="s">
        <v>40057</v>
      </c>
      <c r="B31820" s="4" t="s">
        <v>40061</v>
      </c>
      <c r="C31820" s="5" t="str">
        <f>IFERROR(__xludf.DUMMYFUNCTION("GOOGLETRANSLATE(B31820,""en"",""es-ES"")"),"Vemos otra máquina y una máquina expendedora.")</f>
        <v>Vemos otra máquina y una máquina expendedora.</v>
      </c>
    </row>
    <row r="31821">
      <c r="A31821" s="4" t="s">
        <v>40062</v>
      </c>
      <c r="B31821" s="4" t="s">
        <v>40063</v>
      </c>
      <c r="C31821" s="5" t="str">
        <f>IFERROR(__xludf.DUMMYFUNCTION("GOOGLETRANSLATE(B31821,""en"",""es-ES"")"),"Se ve a un hombre parado junto a una cerca mientras la cámara se desplaza alrededor del lago cercana.")</f>
        <v>Se ve a un hombre parado junto a una cerca mientras la cámara se desplaza alrededor del lago cercana.</v>
      </c>
    </row>
    <row r="31822">
      <c r="A31822" s="4" t="s">
        <v>40062</v>
      </c>
      <c r="B31822" s="4" t="s">
        <v>40064</v>
      </c>
      <c r="C31822" s="5" t="str">
        <f>IFERROR(__xludf.DUMMYFUNCTION("GOOGLETRANSLATE(B31822,""en"",""es-ES"")"),"El hombre se dobla y comienza a pintar la cerca mientras la cámara se enfoca en una persona que camina hacia abajo.")</f>
        <v>El hombre se dobla y comienza a pintar la cerca mientras la cámara se enfoca en una persona que camina hacia abajo.</v>
      </c>
    </row>
    <row r="31823">
      <c r="A31823" s="4" t="s">
        <v>40062</v>
      </c>
      <c r="B31823" s="4" t="s">
        <v>40065</v>
      </c>
      <c r="C31823" s="5" t="str">
        <f>IFERROR(__xludf.DUMMYFUNCTION("GOOGLETRANSLATE(B31823,""en"",""es-ES"")"),"Otro hombre se acerca con un cubo y ayuda al hombre a pintar mientras el camarógrafo continúa mirando a su alrededor.")</f>
        <v>Otro hombre se acerca con un cubo y ayuda al hombre a pintar mientras el camarógrafo continúa mirando a su alrededor.</v>
      </c>
    </row>
    <row r="31824">
      <c r="A31824" s="4" t="s">
        <v>40066</v>
      </c>
      <c r="B31824" s="4" t="s">
        <v>40067</v>
      </c>
      <c r="C31824" s="5" t="str">
        <f>IFERROR(__xludf.DUMMYFUNCTION("GOOGLETRANSLATE(B31824,""en"",""es-ES"")"),"Un automóvil viaja por caminos y árboles cubiertos de nieve antes de llegar a una cabaña.")</f>
        <v>Un automóvil viaja por caminos y árboles cubiertos de nieve antes de llegar a una cabaña.</v>
      </c>
    </row>
    <row r="31825">
      <c r="A31825" s="4" t="s">
        <v>40066</v>
      </c>
      <c r="B31825" s="4" t="s">
        <v>40068</v>
      </c>
      <c r="C31825" s="5" t="str">
        <f>IFERROR(__xludf.DUMMYFUNCTION("GOOGLETRANSLATE(B31825,""en"",""es-ES"")"),"La gente se puso los esquís y se muestra bajando por las colinas, esquiando.")</f>
        <v>La gente se puso los esquís y se muestra bajando por las colinas, esquiando.</v>
      </c>
    </row>
    <row r="31826">
      <c r="A31826" s="4" t="s">
        <v>40066</v>
      </c>
      <c r="B31826" s="4" t="s">
        <v>40069</v>
      </c>
      <c r="C31826" s="5" t="str">
        <f>IFERROR(__xludf.DUMMYFUNCTION("GOOGLETRANSLATE(B31826,""en"",""es-ES"")"),"Continúan esquiando, saludando a la cámara y mostrando una vista panorámica final a medida que termina el video.")</f>
        <v>Continúan esquiando, saludando a la cámara y mostrando una vista panorámica final a medida que termina el video.</v>
      </c>
    </row>
    <row r="31827">
      <c r="A31827" s="4" t="s">
        <v>40070</v>
      </c>
      <c r="B31827" s="4" t="s">
        <v>40071</v>
      </c>
      <c r="C31827" s="5" t="str">
        <f>IFERROR(__xludf.DUMMYFUNCTION("GOOGLETRANSLATE(B31827,""en"",""es-ES"")"),"Varias tarjetas de título parpadean frente a la pantalla.")</f>
        <v>Varias tarjetas de título parpadean frente a la pantalla.</v>
      </c>
    </row>
    <row r="31828">
      <c r="A31828" s="4" t="s">
        <v>40070</v>
      </c>
      <c r="B31828" s="4" t="s">
        <v>40072</v>
      </c>
      <c r="C31828" s="5" t="str">
        <f>IFERROR(__xludf.DUMMYFUNCTION("GOOGLETRANSLATE(B31828,""en"",""es-ES"")"),"Vemos a un perro, y un hombre con un palo selfie con un snowboard.")</f>
        <v>Vemos a un perro, y un hombre con un palo selfie con un snowboard.</v>
      </c>
    </row>
    <row r="31829">
      <c r="A31829" s="4" t="s">
        <v>40070</v>
      </c>
      <c r="B31829" s="4" t="s">
        <v>40073</v>
      </c>
      <c r="C31829" s="5" t="str">
        <f>IFERROR(__xludf.DUMMYFUNCTION("GOOGLETRANSLATE(B31829,""en"",""es-ES"")"),"El hombre está snowboard y sosteniendo el palo selfie.")</f>
        <v>El hombre está snowboard y sosteniendo el palo selfie.</v>
      </c>
    </row>
    <row r="31830">
      <c r="A31830" s="4" t="s">
        <v>40070</v>
      </c>
      <c r="B31830" s="4" t="s">
        <v>40074</v>
      </c>
      <c r="C31830" s="5" t="str">
        <f>IFERROR(__xludf.DUMMYFUNCTION("GOOGLETRANSLATE(B31830,""en"",""es-ES"")"),"El hombre está jugando con el perro, y vemos al perro de cerca.")</f>
        <v>El hombre está jugando con el perro, y vemos al perro de cerca.</v>
      </c>
    </row>
    <row r="31831">
      <c r="A31831" s="4" t="s">
        <v>40070</v>
      </c>
      <c r="B31831" s="4" t="s">
        <v>40075</v>
      </c>
      <c r="C31831" s="5" t="str">
        <f>IFERROR(__xludf.DUMMYFUNCTION("GOOGLETRANSLATE(B31831,""en"",""es-ES"")"),"El hombre está snowboard cuesta abajo.")</f>
        <v>El hombre está snowboard cuesta abajo.</v>
      </c>
    </row>
    <row r="31832">
      <c r="A31832" s="4" t="s">
        <v>40070</v>
      </c>
      <c r="B31832" s="4" t="s">
        <v>40076</v>
      </c>
      <c r="C31832" s="5" t="str">
        <f>IFERROR(__xludf.DUMMYFUNCTION("GOOGLETRANSLATE(B31832,""en"",""es-ES"")"),"Se detiene para acariciar a su perro nuevamente antes de hacer snowboard nuevamente.")</f>
        <v>Se detiene para acariciar a su perro nuevamente antes de hacer snowboard nuevamente.</v>
      </c>
    </row>
    <row r="31833">
      <c r="A31833" s="4" t="s">
        <v>40070</v>
      </c>
      <c r="B31833" s="4" t="s">
        <v>40077</v>
      </c>
      <c r="C31833" s="5" t="str">
        <f>IFERROR(__xludf.DUMMYFUNCTION("GOOGLETRANSLATE(B31833,""en"",""es-ES"")"),"El hombre y el perro caminan en un área con poca nieve.")</f>
        <v>El hombre y el perro caminan en un área con poca nieve.</v>
      </c>
    </row>
    <row r="31834">
      <c r="A31834" s="4" t="s">
        <v>40070</v>
      </c>
      <c r="B31834" s="4" t="s">
        <v>40078</v>
      </c>
      <c r="C31834" s="5" t="str">
        <f>IFERROR(__xludf.DUMMYFUNCTION("GOOGLETRANSLATE(B31834,""en"",""es-ES"")"),"El hombre monta el tablero y las tablas de snowboard antes de ponerlo en su camioneta.")</f>
        <v>El hombre monta el tablero y las tablas de snowboard antes de ponerlo en su camioneta.</v>
      </c>
    </row>
    <row r="31835">
      <c r="A31835" s="4" t="s">
        <v>40070</v>
      </c>
      <c r="B31835" s="4" t="s">
        <v>40079</v>
      </c>
      <c r="C31835" s="5" t="str">
        <f>IFERROR(__xludf.DUMMYFUNCTION("GOOGLETRANSLATE(B31835,""en"",""es-ES"")"),"Vemos la pantalla GoPro.")</f>
        <v>Vemos la pantalla GoPro.</v>
      </c>
    </row>
    <row r="31836">
      <c r="A31836" s="4" t="s">
        <v>40080</v>
      </c>
      <c r="B31836" s="4" t="s">
        <v>40081</v>
      </c>
      <c r="C31836" s="5" t="str">
        <f>IFERROR(__xludf.DUMMYFUNCTION("GOOGLETRANSLATE(B31836,""en"",""es-ES"")"),"Un buzo está nadando bajo el agua azul.")</f>
        <v>Un buzo está nadando bajo el agua azul.</v>
      </c>
    </row>
    <row r="31837">
      <c r="A31837" s="4" t="s">
        <v>40080</v>
      </c>
      <c r="B31837" s="4" t="s">
        <v>40082</v>
      </c>
      <c r="C31837" s="5" t="str">
        <f>IFERROR(__xludf.DUMMYFUNCTION("GOOGLETRANSLATE(B31837,""en"",""es-ES"")"),"Dos buzos que llevan su oxígeno están bajo el agua, se aferran a la cuerda fuerte.")</f>
        <v>Dos buzos que llevan su oxígeno están bajo el agua, se aferran a la cuerda fuerte.</v>
      </c>
    </row>
    <row r="31838">
      <c r="A31838" s="4" t="s">
        <v>40080</v>
      </c>
      <c r="B31838" s="4" t="s">
        <v>40083</v>
      </c>
      <c r="C31838" s="5" t="str">
        <f>IFERROR(__xludf.DUMMYFUNCTION("GOOGLETRANSLATE(B31838,""en"",""es-ES"")"),"Los buzos se sumergen más profundamente en el agua, nadan hacia un lecho de coral debajo del agua.")</f>
        <v>Los buzos se sumergen más profundamente en el agua, nadan hacia un lecho de coral debajo del agua.</v>
      </c>
    </row>
    <row r="31839">
      <c r="A31839" s="4" t="s">
        <v>40080</v>
      </c>
      <c r="B31839" s="4" t="s">
        <v>40084</v>
      </c>
      <c r="C31839" s="5" t="str">
        <f>IFERROR(__xludf.DUMMYFUNCTION("GOOGLETRANSLATE(B31839,""en"",""es-ES"")"),"La gente está montando el bote blanco hacia el océano.")</f>
        <v>La gente está montando el bote blanco hacia el océano.</v>
      </c>
    </row>
    <row r="31840">
      <c r="A31840" s="4" t="s">
        <v>40085</v>
      </c>
      <c r="B31840" s="4" t="s">
        <v>40086</v>
      </c>
      <c r="C31840" s="5" t="str">
        <f>IFERROR(__xludf.DUMMYFUNCTION("GOOGLETRANSLATE(B31840,""en"",""es-ES"")"),"Una gimnasta se prepara para montar la barra.")</f>
        <v>Una gimnasta se prepara para montar la barra.</v>
      </c>
    </row>
    <row r="31841">
      <c r="A31841" s="4" t="s">
        <v>40085</v>
      </c>
      <c r="B31841" s="4" t="s">
        <v>40087</v>
      </c>
      <c r="C31841" s="5" t="str">
        <f>IFERROR(__xludf.DUMMYFUNCTION("GOOGLETRANSLATE(B31841,""en"",""es-ES"")"),"Ella monta, luego hace varios resortes de mano, volteos hacia adelante y volteos traseros.")</f>
        <v>Ella monta, luego hace varios resortes de mano, volteos hacia adelante y volteos traseros.</v>
      </c>
    </row>
    <row r="31842">
      <c r="A31842" s="4" t="s">
        <v>40085</v>
      </c>
      <c r="B31842" s="4" t="s">
        <v>40088</v>
      </c>
      <c r="C31842" s="5" t="str">
        <f>IFERROR(__xludf.DUMMYFUNCTION("GOOGLETRANSLATE(B31842,""en"",""es-ES"")"),"Luego desmonta, levantando los brazos en el aire.")</f>
        <v>Luego desmonta, levantando los brazos en el aire.</v>
      </c>
    </row>
    <row r="31843">
      <c r="A31843" s="4" t="s">
        <v>40089</v>
      </c>
      <c r="B31843" s="4" t="s">
        <v>40090</v>
      </c>
      <c r="C31843" s="5" t="str">
        <f>IFERROR(__xludf.DUMMYFUNCTION("GOOGLETRANSLATE(B31843,""en"",""es-ES"")"),"Un niño pequeño cae sobre un tobogán en un patio de recreo lleno de gente, cuando el niño toca el piso, ella de pie y corre.")</f>
        <v>Un niño pequeño cae sobre un tobogán en un patio de recreo lleno de gente, cuando el niño toca el piso, ella de pie y corre.</v>
      </c>
    </row>
    <row r="31844">
      <c r="A31844" s="4" t="s">
        <v>40089</v>
      </c>
      <c r="B31844" s="4" t="s">
        <v>40091</v>
      </c>
      <c r="C31844" s="5" t="str">
        <f>IFERROR(__xludf.DUMMYFUNCTION("GOOGLETRANSLATE(B31844,""en"",""es-ES"")"),"De repente, un hombre corre detrás del niño pequeño.")</f>
        <v>De repente, un hombre corre detrás del niño pequeño.</v>
      </c>
    </row>
    <row r="31845">
      <c r="A31845" s="4" t="s">
        <v>40092</v>
      </c>
      <c r="B31845" s="4" t="s">
        <v>40093</v>
      </c>
      <c r="C31845" s="5" t="str">
        <f>IFERROR(__xludf.DUMMYFUNCTION("GOOGLETRANSLATE(B31845,""en"",""es-ES"")"),"Un hombre con una camisa blanca sostiene una herramienta en la mano.")</f>
        <v>Un hombre con una camisa blanca sostiene una herramienta en la mano.</v>
      </c>
    </row>
    <row r="31846">
      <c r="A31846" s="4" t="s">
        <v>40092</v>
      </c>
      <c r="B31846" s="4" t="s">
        <v>40094</v>
      </c>
      <c r="C31846" s="5" t="str">
        <f>IFERROR(__xludf.DUMMYFUNCTION("GOOGLETRANSLATE(B31846,""en"",""es-ES"")"),"Comienza a cortar malezas en un campo.")</f>
        <v>Comienza a cortar malezas en un campo.</v>
      </c>
    </row>
    <row r="31847">
      <c r="A31847" s="4" t="s">
        <v>40092</v>
      </c>
      <c r="B31847" s="4" t="s">
        <v>40095</v>
      </c>
      <c r="C31847" s="5" t="str">
        <f>IFERROR(__xludf.DUMMYFUNCTION("GOOGLETRANSLATE(B31847,""en"",""es-ES"")"),"Se detiene y pone la herramienta contra una cerca.")</f>
        <v>Se detiene y pone la herramienta contra una cerca.</v>
      </c>
    </row>
    <row r="31848">
      <c r="A31848" s="4" t="s">
        <v>40096</v>
      </c>
      <c r="B31848" s="4" t="s">
        <v>40097</v>
      </c>
      <c r="C31848" s="5" t="str">
        <f>IFERROR(__xludf.DUMMYFUNCTION("GOOGLETRANSLATE(B31848,""en"",""es-ES"")"),"Comienza la carrera, uno de los corredores tiene una gran ventaja antes de que el otro incluso comience a moverse.")</f>
        <v>Comienza la carrera, uno de los corredores tiene una gran ventaja antes de que el otro incluso comience a moverse.</v>
      </c>
    </row>
    <row r="31849">
      <c r="A31849" s="4" t="s">
        <v>40096</v>
      </c>
      <c r="B31849" s="4" t="s">
        <v>40098</v>
      </c>
      <c r="C31849" s="5" t="str">
        <f>IFERROR(__xludf.DUMMYFUNCTION("GOOGLETRANSLATE(B31849,""en"",""es-ES"")"),"Comienzan a correr nuevamente, pero esta vez el hombre que tuvo la ventaja se toma su tiempo y el hombre de la azul corre rápidamente y salta a la arena.")</f>
        <v>Comienzan a correr nuevamente, pero esta vez el hombre que tuvo la ventaja se toma su tiempo y el hombre de la azul corre rápidamente y salta a la arena.</v>
      </c>
    </row>
    <row r="31850">
      <c r="A31850" s="4" t="s">
        <v>40096</v>
      </c>
      <c r="B31850" s="4" t="s">
        <v>40099</v>
      </c>
      <c r="C31850" s="5" t="str">
        <f>IFERROR(__xludf.DUMMYFUNCTION("GOOGLETRANSLATE(B31850,""en"",""es-ES"")"),"Él corre y salta de nuevo, esta vez lo muestran nuevamente en cámara lenta.")</f>
        <v>Él corre y salta de nuevo, esta vez lo muestran nuevamente en cámara lenta.</v>
      </c>
    </row>
    <row r="31851">
      <c r="A31851" s="4" t="s">
        <v>40096</v>
      </c>
      <c r="B31851" s="4" t="s">
        <v>40100</v>
      </c>
      <c r="C31851" s="5" t="str">
        <f>IFERROR(__xludf.DUMMYFUNCTION("GOOGLETRANSLATE(B31851,""en"",""es-ES"")"),"Él sigue practicando su carrera y salta una y otra vez tratando de hacerlo perfecto.")</f>
        <v>Él sigue practicando su carrera y salta una y otra vez tratando de hacerlo perfecto.</v>
      </c>
    </row>
    <row r="31852">
      <c r="A31852" s="4" t="s">
        <v>40101</v>
      </c>
      <c r="B31852" s="4" t="s">
        <v>40102</v>
      </c>
      <c r="C31852" s="5" t="str">
        <f>IFERROR(__xludf.DUMMYFUNCTION("GOOGLETRANSLATE(B31852,""en"",""es-ES"")"),"La gente está enrollando los juegos de escaleras.")</f>
        <v>La gente está enrollando los juegos de escaleras.</v>
      </c>
    </row>
    <row r="31853">
      <c r="A31853" s="4" t="s">
        <v>40101</v>
      </c>
      <c r="B31853" s="4" t="s">
        <v>40103</v>
      </c>
      <c r="C31853" s="5" t="str">
        <f>IFERROR(__xludf.DUMMYFUNCTION("GOOGLETRANSLATE(B31853,""en"",""es-ES"")"),"Una persona cae en la calle.")</f>
        <v>Una persona cae en la calle.</v>
      </c>
    </row>
    <row r="31854">
      <c r="A31854" s="4" t="s">
        <v>40101</v>
      </c>
      <c r="B31854" s="4" t="s">
        <v>40104</v>
      </c>
      <c r="C31854" s="5" t="str">
        <f>IFERROR(__xludf.DUMMYFUNCTION("GOOGLETRANSLATE(B31854,""en"",""es-ES"")"),"Un autobús escolar está en la calle detrás de ellos.")</f>
        <v>Un autobús escolar está en la calle detrás de ellos.</v>
      </c>
    </row>
    <row r="31855">
      <c r="A31855" s="4" t="s">
        <v>40105</v>
      </c>
      <c r="B31855" s="4" t="s">
        <v>40106</v>
      </c>
      <c r="C31855" s="5" t="str">
        <f>IFERROR(__xludf.DUMMYFUNCTION("GOOGLETRANSLATE(B31855,""en"",""es-ES"")"),"Una mujer está parada en un campo en un círculo.")</f>
        <v>Una mujer está parada en un campo en un círculo.</v>
      </c>
    </row>
    <row r="31856">
      <c r="A31856" s="4" t="s">
        <v>40105</v>
      </c>
      <c r="B31856" s="4" t="s">
        <v>40107</v>
      </c>
      <c r="C31856" s="5" t="str">
        <f>IFERROR(__xludf.DUMMYFUNCTION("GOOGLETRANSLATE(B31856,""en"",""es-ES"")"),"Ella gira mientras sostiene un disco.")</f>
        <v>Ella gira mientras sostiene un disco.</v>
      </c>
    </row>
    <row r="31857">
      <c r="A31857" s="4" t="s">
        <v>40105</v>
      </c>
      <c r="B31857" s="4" t="s">
        <v>40108</v>
      </c>
      <c r="C31857" s="5" t="str">
        <f>IFERROR(__xludf.DUMMYFUNCTION("GOOGLETRANSLATE(B31857,""en"",""es-ES"")"),"Ella accidentalmente deja ir, y el disco vuela detrás de ella.")</f>
        <v>Ella accidentalmente deja ir, y el disco vuela detrás de ella.</v>
      </c>
    </row>
    <row r="31858">
      <c r="A31858" s="4" t="s">
        <v>40109</v>
      </c>
      <c r="B31858" s="4" t="s">
        <v>40110</v>
      </c>
      <c r="C31858" s="5" t="str">
        <f>IFERROR(__xludf.DUMMYFUNCTION("GOOGLETRANSLATE(B31858,""en"",""es-ES"")"),"Se ve a una niña tocando un saxofón mientras mira hacia la cámara y mueve las manos arriba y abajo.")</f>
        <v>Se ve a una niña tocando un saxofón mientras mira hacia la cámara y mueve las manos arriba y abajo.</v>
      </c>
    </row>
    <row r="31859">
      <c r="A31859" s="4" t="s">
        <v>40109</v>
      </c>
      <c r="B31859" s="4" t="s">
        <v>40111</v>
      </c>
      <c r="C31859" s="5" t="str">
        <f>IFERROR(__xludf.DUMMYFUNCTION("GOOGLETRANSLATE(B31859,""en"",""es-ES"")"),"La mujer continúa tocando el instrumento y termina apagando la cámara.")</f>
        <v>La mujer continúa tocando el instrumento y termina apagando la cámara.</v>
      </c>
    </row>
    <row r="31860">
      <c r="A31860" s="4" t="s">
        <v>40112</v>
      </c>
      <c r="B31860" s="4" t="s">
        <v>40113</v>
      </c>
      <c r="C31860" s="5" t="str">
        <f>IFERROR(__xludf.DUMMYFUNCTION("GOOGLETRANSLATE(B31860,""en"",""es-ES"")"),"Vemos hombres tocando instrumentos en una plaza.")</f>
        <v>Vemos hombres tocando instrumentos en una plaza.</v>
      </c>
    </row>
    <row r="31861">
      <c r="A31861" s="4" t="s">
        <v>40112</v>
      </c>
      <c r="B31861" s="4" t="s">
        <v>40114</v>
      </c>
      <c r="C31861" s="5" t="str">
        <f>IFERROR(__xludf.DUMMYFUNCTION("GOOGLETRANSLATE(B31861,""en"",""es-ES"")"),"El líder se da vuelta hacia los hombres detrás de él.")</f>
        <v>El líder se da vuelta hacia los hombres detrás de él.</v>
      </c>
    </row>
    <row r="31862">
      <c r="A31862" s="4" t="s">
        <v>40112</v>
      </c>
      <c r="B31862" s="4" t="s">
        <v>40115</v>
      </c>
      <c r="C31862" s="5" t="str">
        <f>IFERROR(__xludf.DUMMYFUNCTION("GOOGLETRANSLATE(B31862,""en"",""es-ES"")"),"El hombre en el frente agarra el micrófono.")</f>
        <v>El hombre en el frente agarra el micrófono.</v>
      </c>
    </row>
    <row r="31863">
      <c r="A31863" s="4" t="s">
        <v>40112</v>
      </c>
      <c r="B31863" s="4" t="s">
        <v>40116</v>
      </c>
      <c r="C31863" s="5" t="str">
        <f>IFERROR(__xludf.DUMMYFUNCTION("GOOGLETRANSLATE(B31863,""en"",""es-ES"")"),"La banda termina tocando sus instrumentos.")</f>
        <v>La banda termina tocando sus instrumentos.</v>
      </c>
    </row>
    <row r="31864">
      <c r="A31864" s="4" t="s">
        <v>40117</v>
      </c>
      <c r="B31864" s="4" t="s">
        <v>40118</v>
      </c>
      <c r="C31864" s="5" t="str">
        <f>IFERROR(__xludf.DUMMYFUNCTION("GOOGLETRANSLATE(B31864,""en"",""es-ES"")"),"En un gran campo hay un equipo de lacrosse jugando un juego, todos se están moviendo estratégicamente.")</f>
        <v>En un gran campo hay un equipo de lacrosse jugando un juego, todos se están moviendo estratégicamente.</v>
      </c>
    </row>
    <row r="31865">
      <c r="A31865" s="4" t="s">
        <v>40117</v>
      </c>
      <c r="B31865" s="4" t="s">
        <v>40119</v>
      </c>
      <c r="C31865" s="5" t="str">
        <f>IFERROR(__xludf.DUMMYFUNCTION("GOOGLETRANSLATE(B31865,""en"",""es-ES"")"),"Lanzan la pelota tratando de alcanzar el gol mientras el otro equipo intenta bloquearlos.")</f>
        <v>Lanzan la pelota tratando de alcanzar el gol mientras el otro equipo intenta bloquearlos.</v>
      </c>
    </row>
    <row r="31866">
      <c r="A31866" s="4" t="s">
        <v>40117</v>
      </c>
      <c r="B31866" s="4" t="s">
        <v>40120</v>
      </c>
      <c r="C31866" s="5" t="str">
        <f>IFERROR(__xludf.DUMMYFUNCTION("GOOGLETRANSLATE(B31866,""en"",""es-ES"")"),"Están corriendo, puedes ver flechas para apuntar a lo que está pasando aquí y allá.")</f>
        <v>Están corriendo, puedes ver flechas para apuntar a lo que está pasando aquí y allá.</v>
      </c>
    </row>
    <row r="31867">
      <c r="A31867" s="4" t="s">
        <v>40117</v>
      </c>
      <c r="B31867" s="4" t="s">
        <v>40121</v>
      </c>
      <c r="C31867" s="5" t="str">
        <f>IFERROR(__xludf.DUMMYFUNCTION("GOOGLETRANSLATE(B31867,""en"",""es-ES"")"),"Es un deporte muy físico y práctico que requiere resistencia y energía.")</f>
        <v>Es un deporte muy físico y práctico que requiere resistencia y energía.</v>
      </c>
    </row>
    <row r="31868">
      <c r="A31868" s="4" t="s">
        <v>40122</v>
      </c>
      <c r="B31868" s="4" t="s">
        <v>40123</v>
      </c>
      <c r="C31868" s="5" t="str">
        <f>IFERROR(__xludf.DUMMYFUNCTION("GOOGLETRANSLATE(B31868,""en"",""es-ES"")"),"Un chico con extensiones de piernas entran.")</f>
        <v>Un chico con extensiones de piernas entran.</v>
      </c>
    </row>
    <row r="31869">
      <c r="A31869" s="4" t="s">
        <v>40122</v>
      </c>
      <c r="B31869" s="4" t="s">
        <v>40124</v>
      </c>
      <c r="C31869" s="5" t="str">
        <f>IFERROR(__xludf.DUMMYFUNCTION("GOOGLETRANSLATE(B31869,""en"",""es-ES"")"),"El chico salta y voltea un trampolín.")</f>
        <v>El chico salta y voltea un trampolín.</v>
      </c>
    </row>
    <row r="31870">
      <c r="A31870" s="4" t="s">
        <v>40122</v>
      </c>
      <c r="B31870" s="4" t="s">
        <v>40125</v>
      </c>
      <c r="C31870" s="5" t="str">
        <f>IFERROR(__xludf.DUMMYFUNCTION("GOOGLETRANSLATE(B31870,""en"",""es-ES"")"),"Un hombre y una mujer retiran un accesorio de un cable y colocan otro.")</f>
        <v>Un hombre y una mujer retiran un accesorio de un cable y colocan otro.</v>
      </c>
    </row>
    <row r="31871">
      <c r="A31871" s="4" t="s">
        <v>40122</v>
      </c>
      <c r="B31871" s="4" t="s">
        <v>40126</v>
      </c>
      <c r="C31871" s="5" t="str">
        <f>IFERROR(__xludf.DUMMYFUNCTION("GOOGLETRANSLATE(B31871,""en"",""es-ES"")"),"Los cables se levantan.")</f>
        <v>Los cables se levantan.</v>
      </c>
    </row>
    <row r="31872">
      <c r="A31872" s="4" t="s">
        <v>40122</v>
      </c>
      <c r="B31872" s="4" t="s">
        <v>40127</v>
      </c>
      <c r="C31872" s="5" t="str">
        <f>IFERROR(__xludf.DUMMYFUNCTION("GOOGLETRANSLATE(B31872,""en"",""es-ES"")"),"El hombre y la mujer eliminaban lo que quitaban del trampolín y se van.")</f>
        <v>El hombre y la mujer eliminaban lo que quitaban del trampolín y se van.</v>
      </c>
    </row>
    <row r="31873">
      <c r="A31873" s="4" t="s">
        <v>40122</v>
      </c>
      <c r="B31873" s="4" t="s">
        <v>40128</v>
      </c>
      <c r="C31873" s="5" t="str">
        <f>IFERROR(__xludf.DUMMYFUNCTION("GOOGLETRANSLATE(B31873,""en"",""es-ES"")"),"El chico con extensiones de piernas se va.")</f>
        <v>El chico con extensiones de piernas se va.</v>
      </c>
    </row>
    <row r="31874">
      <c r="A31874" s="4" t="s">
        <v>40122</v>
      </c>
      <c r="B31874" s="4" t="s">
        <v>40129</v>
      </c>
      <c r="C31874" s="5" t="str">
        <f>IFERROR(__xludf.DUMMYFUNCTION("GOOGLETRANSLATE(B31874,""en"",""es-ES"")"),"Dos personas entran con una silla y un cubo.")</f>
        <v>Dos personas entran con una silla y un cubo.</v>
      </c>
    </row>
    <row r="31875">
      <c r="A31875" s="4" t="s">
        <v>40130</v>
      </c>
      <c r="B31875" s="4" t="s">
        <v>40131</v>
      </c>
      <c r="C31875" s="5" t="str">
        <f>IFERROR(__xludf.DUMMYFUNCTION("GOOGLETRANSLATE(B31875,""en"",""es-ES"")"),"Un buceador está nadando por el agua en un videojuego.")</f>
        <v>Un buceador está nadando por el agua en un videojuego.</v>
      </c>
    </row>
    <row r="31876">
      <c r="A31876" s="4" t="s">
        <v>40130</v>
      </c>
      <c r="B31876" s="4" t="s">
        <v>40132</v>
      </c>
      <c r="C31876" s="5" t="str">
        <f>IFERROR(__xludf.DUMMYFUNCTION("GOOGLETRANSLATE(B31876,""en"",""es-ES"")"),"Están mirando a través de los escombros de un viejo barco.")</f>
        <v>Están mirando a través de los escombros de un viejo barco.</v>
      </c>
    </row>
    <row r="31877">
      <c r="A31877" s="4" t="s">
        <v>40130</v>
      </c>
      <c r="B31877" s="4" t="s">
        <v>40133</v>
      </c>
      <c r="C31877" s="5" t="str">
        <f>IFERROR(__xludf.DUMMYFUNCTION("GOOGLETRANSLATE(B31877,""en"",""es-ES"")"),"Entran en su bote y conducen.")</f>
        <v>Entran en su bote y conducen.</v>
      </c>
    </row>
    <row r="31878">
      <c r="A31878" s="4" t="s">
        <v>40130</v>
      </c>
      <c r="B31878" s="4" t="s">
        <v>40134</v>
      </c>
      <c r="C31878" s="5" t="str">
        <f>IFERROR(__xludf.DUMMYFUNCTION("GOOGLETRANSLATE(B31878,""en"",""es-ES"")"),"Saltan debajo del agua de nuevo.")</f>
        <v>Saltan debajo del agua de nuevo.</v>
      </c>
    </row>
    <row r="31879">
      <c r="A31879" s="4" t="s">
        <v>40135</v>
      </c>
      <c r="B31879" s="4" t="s">
        <v>40136</v>
      </c>
      <c r="C31879" s="5" t="str">
        <f>IFERROR(__xludf.DUMMYFUNCTION("GOOGLETRANSLATE(B31879,""en"",""es-ES"")"),"Un hombre se prepara para correr por una pista interior.")</f>
        <v>Un hombre se prepara para correr por una pista interior.</v>
      </c>
    </row>
    <row r="31880">
      <c r="A31880" s="4" t="s">
        <v>40135</v>
      </c>
      <c r="B31880" s="4" t="s">
        <v>40137</v>
      </c>
      <c r="C31880" s="5" t="str">
        <f>IFERROR(__xludf.DUMMYFUNCTION("GOOGLETRANSLATE(B31880,""en"",""es-ES"")"),"Corre, dando vueltas muy grandes.")</f>
        <v>Corre, dando vueltas muy grandes.</v>
      </c>
    </row>
    <row r="31881">
      <c r="A31881" s="4" t="s">
        <v>40135</v>
      </c>
      <c r="B31881" s="4" t="s">
        <v>40138</v>
      </c>
      <c r="C31881" s="5" t="str">
        <f>IFERROR(__xludf.DUMMYFUNCTION("GOOGLETRANSLATE(B31881,""en"",""es-ES"")"),"Salta torpemente a la arena, aterrizando en su rostro.")</f>
        <v>Salta torpemente a la arena, aterrizando en su rostro.</v>
      </c>
    </row>
    <row r="31882">
      <c r="A31882" s="4" t="s">
        <v>40139</v>
      </c>
      <c r="B31882" s="4" t="s">
        <v>40140</v>
      </c>
      <c r="C31882" s="5" t="str">
        <f>IFERROR(__xludf.DUMMYFUNCTION("GOOGLETRANSLATE(B31882,""en"",""es-ES"")"),"Hay un joven con una chaqueta azul y una camisa blanca de pie cerca de una pared con baldosas de baño blancas.")</f>
        <v>Hay un joven con una chaqueta azul y una camisa blanca de pie cerca de una pared con baldosas de baño blancas.</v>
      </c>
    </row>
    <row r="31883">
      <c r="A31883" s="4" t="s">
        <v>40139</v>
      </c>
      <c r="B31883" s="4" t="s">
        <v>40141</v>
      </c>
      <c r="C31883" s="5" t="str">
        <f>IFERROR(__xludf.DUMMYFUNCTION("GOOGLETRANSLATE(B31883,""en"",""es-ES"")"),"Está fumando un cigarrillo.")</f>
        <v>Está fumando un cigarrillo.</v>
      </c>
    </row>
    <row r="31884">
      <c r="A31884" s="4" t="s">
        <v>40139</v>
      </c>
      <c r="B31884" s="4" t="s">
        <v>40142</v>
      </c>
      <c r="C31884" s="5" t="str">
        <f>IFERROR(__xludf.DUMMYFUNCTION("GOOGLETRANSLATE(B31884,""en"",""es-ES"")"),"Continúa tomando varias bocanadas del cigarrillo mientras vacía las cenizas del cigarrillo quemado a un lado.")</f>
        <v>Continúa tomando varias bocanadas del cigarrillo mientras vacía las cenizas del cigarrillo quemado a un lado.</v>
      </c>
    </row>
    <row r="31885">
      <c r="A31885" s="4" t="s">
        <v>40139</v>
      </c>
      <c r="B31885" s="4" t="s">
        <v>40143</v>
      </c>
      <c r="C31885" s="5" t="str">
        <f>IFERROR(__xludf.DUMMYFUNCTION("GOOGLETRANSLATE(B31885,""en"",""es-ES"")"),"Se ve un poco confundido mientras continúa fumando el cigarrillo.")</f>
        <v>Se ve un poco confundido mientras continúa fumando el cigarrillo.</v>
      </c>
    </row>
    <row r="31886">
      <c r="A31886" s="4" t="s">
        <v>40144</v>
      </c>
      <c r="B31886" s="4" t="s">
        <v>40145</v>
      </c>
      <c r="C31886" s="5" t="str">
        <f>IFERROR(__xludf.DUMMYFUNCTION("GOOGLETRANSLATE(B31886,""en"",""es-ES"")"),"Se ve a tres personas paradas en un campo arenoso y conducen a uno al marcar un gol.")</f>
        <v>Se ve a tres personas paradas en un campo arenoso y conducen a uno al marcar un gol.</v>
      </c>
    </row>
    <row r="31887">
      <c r="A31887" s="4" t="s">
        <v>40144</v>
      </c>
      <c r="B31887" s="4" t="s">
        <v>40146</v>
      </c>
      <c r="C31887" s="5" t="str">
        <f>IFERROR(__xludf.DUMMYFUNCTION("GOOGLETRANSLATE(B31887,""en"",""es-ES"")"),"Los hombres celebran mientras su clip se muestra nuevamente varias veces.")</f>
        <v>Los hombres celebran mientras su clip se muestra nuevamente varias veces.</v>
      </c>
    </row>
    <row r="31888">
      <c r="A31888" s="4" t="s">
        <v>40144</v>
      </c>
      <c r="B31888" s="4" t="s">
        <v>40147</v>
      </c>
      <c r="C31888" s="5" t="str">
        <f>IFERROR(__xludf.DUMMYFUNCTION("GOOGLETRANSLATE(B31888,""en"",""es-ES"")"),"Los hombres continúan celebrando y comienzan a jugar nuevamente.")</f>
        <v>Los hombres continúan celebrando y comienzan a jugar nuevamente.</v>
      </c>
    </row>
    <row r="31889">
      <c r="A31889" s="4" t="s">
        <v>40148</v>
      </c>
      <c r="B31889" s="4" t="s">
        <v>40149</v>
      </c>
      <c r="C31889" s="5" t="str">
        <f>IFERROR(__xludf.DUMMYFUNCTION("GOOGLETRANSLATE(B31889,""en"",""es-ES"")"),"Una dama limpia el lápiz labial de su cara.")</f>
        <v>Una dama limpia el lápiz labial de su cara.</v>
      </c>
    </row>
    <row r="31890">
      <c r="A31890" s="4" t="s">
        <v>40148</v>
      </c>
      <c r="B31890" s="4" t="s">
        <v>40150</v>
      </c>
      <c r="C31890" s="5" t="str">
        <f>IFERROR(__xludf.DUMMYFUNCTION("GOOGLETRANSLATE(B31890,""en"",""es-ES"")"),"La señora luego se alinea con los labios con un lápiz.")</f>
        <v>La señora luego se alinea con los labios con un lápiz.</v>
      </c>
    </row>
    <row r="31891">
      <c r="A31891" s="4" t="s">
        <v>40148</v>
      </c>
      <c r="B31891" s="4" t="s">
        <v>40151</v>
      </c>
      <c r="C31891" s="5" t="str">
        <f>IFERROR(__xludf.DUMMYFUNCTION("GOOGLETRANSLATE(B31891,""en"",""es-ES"")"),"La señora se detiene y ajusta la cámara.")</f>
        <v>La señora se detiene y ajusta la cámara.</v>
      </c>
    </row>
    <row r="31892">
      <c r="A31892" s="4" t="s">
        <v>40148</v>
      </c>
      <c r="B31892" s="4" t="s">
        <v>40152</v>
      </c>
      <c r="C31892" s="5" t="str">
        <f>IFERROR(__xludf.DUMMYFUNCTION("GOOGLETRANSLATE(B31892,""en"",""es-ES"")"),"La cámara se mueve y vemos a un hombre al lado de la dama.")</f>
        <v>La cámara se mueve y vemos a un hombre al lado de la dama.</v>
      </c>
    </row>
    <row r="31893">
      <c r="A31893" s="4" t="s">
        <v>40148</v>
      </c>
      <c r="B31893" s="4" t="s">
        <v>40153</v>
      </c>
      <c r="C31893" s="5" t="str">
        <f>IFERROR(__xludf.DUMMYFUNCTION("GOOGLETRANSLATE(B31893,""en"",""es-ES"")"),"La señora arregla su cabello en la cámara.")</f>
        <v>La señora arregla su cabello en la cámara.</v>
      </c>
    </row>
    <row r="31894">
      <c r="A31894" s="4" t="s">
        <v>40154</v>
      </c>
      <c r="B31894" s="4" t="s">
        <v>40155</v>
      </c>
      <c r="C31894" s="5" t="str">
        <f>IFERROR(__xludf.DUMMYFUNCTION("GOOGLETRANSLATE(B31894,""en"",""es-ES"")"),"Se ve a un hombre de pie ante un fregadero de la cocina y lavar los platos en sus manos.")</f>
        <v>Se ve a un hombre de pie ante un fregadero de la cocina y lavar los platos en sus manos.</v>
      </c>
    </row>
    <row r="31895">
      <c r="A31895" s="4" t="s">
        <v>40154</v>
      </c>
      <c r="B31895" s="4" t="s">
        <v>40156</v>
      </c>
      <c r="C31895" s="5" t="str">
        <f>IFERROR(__xludf.DUMMYFUNCTION("GOOGLETRANSLATE(B31895,""en"",""es-ES"")"),"Luego, el hombre limpia los platos y los guarda, luego mira molesto al ver más platos.")</f>
        <v>Luego, el hombre limpia los platos y los guarda, luego mira molesto al ver más platos.</v>
      </c>
    </row>
    <row r="31896">
      <c r="A31896" s="4" t="s">
        <v>40157</v>
      </c>
      <c r="B31896" s="4" t="s">
        <v>40158</v>
      </c>
      <c r="C31896" s="5" t="str">
        <f>IFERROR(__xludf.DUMMYFUNCTION("GOOGLETRANSLATE(B31896,""en"",""es-ES"")"),"Una mujer joven está vestida con un mono cebra sentado en su cama fumando una cachimba.")</f>
        <v>Una mujer joven está vestida con un mono cebra sentado en su cama fumando una cachimba.</v>
      </c>
    </row>
    <row r="31897">
      <c r="A31897" s="4" t="s">
        <v>40157</v>
      </c>
      <c r="B31897" s="4" t="s">
        <v>40159</v>
      </c>
      <c r="C31897" s="5" t="str">
        <f>IFERROR(__xludf.DUMMYFUNCTION("GOOGLETRANSLATE(B31897,""en"",""es-ES"")"),"Ella toma dos bocanadas, exhala el humo y una chispa vuela desde el extremo del tubo.")</f>
        <v>Ella toma dos bocanadas, exhala el humo y una chispa vuela desde el extremo del tubo.</v>
      </c>
    </row>
    <row r="31898">
      <c r="A31898" s="4" t="s">
        <v>40157</v>
      </c>
      <c r="B31898" s="4" t="s">
        <v>40160</v>
      </c>
      <c r="C31898" s="5" t="str">
        <f>IFERROR(__xludf.DUMMYFUNCTION("GOOGLETRANSLATE(B31898,""en"",""es-ES"")"),"El hombre detrás de la cámara cambia y luego comienza a fumar la narguile cuando la niña comienza a grabar.")</f>
        <v>El hombre detrás de la cámara cambia y luego comienza a fumar la narguile cuando la niña comienza a grabar.</v>
      </c>
    </row>
    <row r="31899">
      <c r="A31899" s="4" t="s">
        <v>40157</v>
      </c>
      <c r="B31899" s="4" t="s">
        <v>40161</v>
      </c>
      <c r="C31899" s="5" t="str">
        <f>IFERROR(__xludf.DUMMYFUNCTION("GOOGLETRANSLATE(B31899,""en"",""es-ES"")"),"Una vez que termina, la cachimba se devuelve a la niña y ella comienza a fumar.")</f>
        <v>Una vez que termina, la cachimba se devuelve a la niña y ella comienza a fumar.</v>
      </c>
    </row>
    <row r="31900">
      <c r="A31900" s="4" t="s">
        <v>40162</v>
      </c>
      <c r="B31900" s="4" t="s">
        <v>40163</v>
      </c>
      <c r="C31900" s="5" t="str">
        <f>IFERROR(__xludf.DUMMYFUNCTION("GOOGLETRANSLATE(B31900,""en"",""es-ES"")"),"Una persona vestida mientras Darth Vader toca un violín en la acera.")</f>
        <v>Una persona vestida mientras Darth Vader toca un violín en la acera.</v>
      </c>
    </row>
    <row r="31901">
      <c r="A31901" s="4" t="s">
        <v>40162</v>
      </c>
      <c r="B31901" s="4" t="s">
        <v>40164</v>
      </c>
      <c r="C31901" s="5" t="str">
        <f>IFERROR(__xludf.DUMMYFUNCTION("GOOGLETRANSLATE(B31901,""en"",""es-ES"")"),"La gente camina frente a él.")</f>
        <v>La gente camina frente a él.</v>
      </c>
    </row>
    <row r="31902">
      <c r="A31902" s="4" t="s">
        <v>40165</v>
      </c>
      <c r="B31902" s="4" t="s">
        <v>40166</v>
      </c>
      <c r="C31902" s="5" t="str">
        <f>IFERROR(__xludf.DUMMYFUNCTION("GOOGLETRANSLATE(B31902,""en"",""es-ES"")"),"Un hombre lleva una bata blanca con un cinturón negro.")</f>
        <v>Un hombre lleva una bata blanca con un cinturón negro.</v>
      </c>
    </row>
    <row r="31903">
      <c r="A31903" s="4" t="s">
        <v>40165</v>
      </c>
      <c r="B31903" s="4" t="s">
        <v>40167</v>
      </c>
      <c r="C31903" s="5" t="str">
        <f>IFERROR(__xludf.DUMMYFUNCTION("GOOGLETRANSLATE(B31903,""en"",""es-ES"")"),"Comienza a hacer movimientos de karate en una habitación.")</f>
        <v>Comienza a hacer movimientos de karate en una habitación.</v>
      </c>
    </row>
    <row r="31904">
      <c r="A31904" s="4" t="s">
        <v>40165</v>
      </c>
      <c r="B31904" s="4" t="s">
        <v>40168</v>
      </c>
      <c r="C31904" s="5" t="str">
        <f>IFERROR(__xludf.DUMMYFUNCTION("GOOGLETRANSLATE(B31904,""en"",""es-ES"")"),"Se pone de pie justo al final.")</f>
        <v>Se pone de pie justo al final.</v>
      </c>
    </row>
    <row r="31905">
      <c r="A31905" s="4" t="s">
        <v>40169</v>
      </c>
      <c r="B31905" s="4" t="s">
        <v>40170</v>
      </c>
      <c r="C31905" s="5" t="str">
        <f>IFERROR(__xludf.DUMMYFUNCTION("GOOGLETRANSLATE(B31905,""en"",""es-ES"")"),"Se ve a un hombre emocionado hablando con la cámara y hace transiciones a varios tiros de hombres ganando juegos, cerveza y ser entrevistado por el anfitrión.")</f>
        <v>Se ve a un hombre emocionado hablando con la cámara y hace transiciones a varios tiros de hombres ganando juegos, cerveza y ser entrevistado por el anfitrión.</v>
      </c>
    </row>
    <row r="31906">
      <c r="A31906" s="4" t="s">
        <v>40169</v>
      </c>
      <c r="B31906" s="4" t="s">
        <v>40171</v>
      </c>
      <c r="C31906" s="5" t="str">
        <f>IFERROR(__xludf.DUMMYFUNCTION("GOOGLETRANSLATE(B31906,""en"",""es-ES"")"),"Luego se ve a los hombres jugando un juego de cerveza con varios otros y mostrando una cabeza afeitada.")</f>
        <v>Luego se ve a los hombres jugando un juego de cerveza con varios otros y mostrando una cabeza afeitada.</v>
      </c>
    </row>
    <row r="31907">
      <c r="A31907" s="4" t="s">
        <v>40169</v>
      </c>
      <c r="B31907" s="4" t="s">
        <v>40172</v>
      </c>
      <c r="C31907" s="5" t="str">
        <f>IFERROR(__xludf.DUMMYFUNCTION("GOOGLETRANSLATE(B31907,""en"",""es-ES"")"),"Se ve a un hombre hablando en un teléfono y se muestran más fotos de los hombres que juegan con cerveza pong.")</f>
        <v>Se ve a un hombre hablando en un teléfono y se muestran más fotos de los hombres que juegan con cerveza pong.</v>
      </c>
    </row>
    <row r="31908">
      <c r="A31908" s="4" t="s">
        <v>40173</v>
      </c>
      <c r="B31908" s="4" t="s">
        <v>40174</v>
      </c>
      <c r="C31908" s="5" t="str">
        <f>IFERROR(__xludf.DUMMYFUNCTION("GOOGLETRANSLATE(B31908,""en"",""es-ES"")"),"Una mujer gira, mostrando su peinado.")</f>
        <v>Una mujer gira, mostrando su peinado.</v>
      </c>
    </row>
    <row r="31909">
      <c r="A31909" s="4" t="s">
        <v>40173</v>
      </c>
      <c r="B31909" s="4" t="s">
        <v>40175</v>
      </c>
      <c r="C31909" s="5" t="str">
        <f>IFERROR(__xludf.DUMMYFUNCTION("GOOGLETRANSLATE(B31909,""en"",""es-ES"")"),"Vemos que un cabello negro se seca girando en la pantalla.")</f>
        <v>Vemos que un cabello negro se seca girando en la pantalla.</v>
      </c>
    </row>
    <row r="31910">
      <c r="A31910" s="4" t="s">
        <v>40173</v>
      </c>
      <c r="B31910" s="4" t="s">
        <v>40176</v>
      </c>
      <c r="C31910" s="5" t="str">
        <f>IFERROR(__xludf.DUMMYFUNCTION("GOOGLETRANSLATE(B31910,""en"",""es-ES"")"),"La mujer le está peinando el cabello en el fondo por otra mujer, mientras que el texto cubre la pantalla con instrucciones.")</f>
        <v>La mujer le está peinando el cabello en el fondo por otra mujer, mientras que el texto cubre la pantalla con instrucciones.</v>
      </c>
    </row>
    <row r="31911">
      <c r="A31911" s="4" t="s">
        <v>40173</v>
      </c>
      <c r="B31911" s="4" t="s">
        <v>40177</v>
      </c>
      <c r="C31911" s="5" t="str">
        <f>IFERROR(__xludf.DUMMYFUNCTION("GOOGLETRANSLATE(B31911,""en"",""es-ES"")"),"La mujer cepilla y finaliza el estilo, y el cliente tiene una gran sonrisa feliz.")</f>
        <v>La mujer cepilla y finaliza el estilo, y el cliente tiene una gran sonrisa feliz.</v>
      </c>
    </row>
    <row r="31912">
      <c r="A31912" s="4" t="s">
        <v>40178</v>
      </c>
      <c r="B31912" s="4" t="s">
        <v>40179</v>
      </c>
      <c r="C31912" s="5" t="str">
        <f>IFERROR(__xludf.DUMMYFUNCTION("GOOGLETRANSLATE(B31912,""en"",""es-ES"")"),"Se ve a un hombre sentado en un banco del parque tocando guitarra con un niño pequeño a su lado.")</f>
        <v>Se ve a un hombre sentado en un banco del parque tocando guitarra con un niño pequeño a su lado.</v>
      </c>
    </row>
    <row r="31913">
      <c r="A31913" s="4" t="s">
        <v>40178</v>
      </c>
      <c r="B31913" s="4" t="s">
        <v>40180</v>
      </c>
      <c r="C31913" s="5" t="str">
        <f>IFERROR(__xludf.DUMMYFUNCTION("GOOGLETRANSLATE(B31913,""en"",""es-ES"")"),"El niño luego comienza a tocar un juego de batería al lado del hombre tocando la guitarra.")</f>
        <v>El niño luego comienza a tocar un juego de batería al lado del hombre tocando la guitarra.</v>
      </c>
    </row>
    <row r="31914">
      <c r="A31914" s="4" t="s">
        <v>40178</v>
      </c>
      <c r="B31914" s="4" t="s">
        <v>40181</v>
      </c>
      <c r="C31914" s="5" t="str">
        <f>IFERROR(__xludf.DUMMYFUNCTION("GOOGLETRANSLATE(B31914,""en"",""es-ES"")"),"Los dos continúan jugando entre sí y se detienen para saludar a la cámara y hablan entre ellos.")</f>
        <v>Los dos continúan jugando entre sí y se detienen para saludar a la cámara y hablan entre ellos.</v>
      </c>
    </row>
    <row r="31915">
      <c r="A31915" s="4" t="s">
        <v>40182</v>
      </c>
      <c r="B31915" s="4" t="s">
        <v>40183</v>
      </c>
      <c r="C31915" s="5" t="str">
        <f>IFERROR(__xludf.DUMMYFUNCTION("GOOGLETRANSLATE(B31915,""en"",""es-ES"")"),"Una persona está encendiendo una máquina y observa a una manguera crecer mientras gira el dial.")</f>
        <v>Una persona está encendiendo una máquina y observa a una manguera crecer mientras gira el dial.</v>
      </c>
    </row>
    <row r="31916">
      <c r="A31916" s="4" t="s">
        <v>40182</v>
      </c>
      <c r="B31916" s="4" t="s">
        <v>40184</v>
      </c>
      <c r="C31916" s="5" t="str">
        <f>IFERROR(__xludf.DUMMYFUNCTION("GOOGLETRANSLATE(B31916,""en"",""es-ES"")"),"Continúa presionando los botones y comienza a preparar a un perro.")</f>
        <v>Continúa presionando los botones y comienza a preparar a un perro.</v>
      </c>
    </row>
    <row r="31917">
      <c r="A31917" s="4" t="s">
        <v>40182</v>
      </c>
      <c r="B31917" s="4" t="s">
        <v>40185</v>
      </c>
      <c r="C31917" s="5" t="str">
        <f>IFERROR(__xludf.DUMMYFUNCTION("GOOGLETRANSLATE(B31917,""en"",""es-ES"")"),"La persona sube y baja sobre el perro y finalmente lo hace ver bien como nuevo con diferentes configuraciones.")</f>
        <v>La persona sube y baja sobre el perro y finalmente lo hace ver bien como nuevo con diferentes configuraciones.</v>
      </c>
    </row>
    <row r="31918">
      <c r="A31918" s="4" t="s">
        <v>40186</v>
      </c>
      <c r="B31918" s="4" t="s">
        <v>40187</v>
      </c>
      <c r="C31918" s="5" t="str">
        <f>IFERROR(__xludf.DUMMYFUNCTION("GOOGLETRANSLATE(B31918,""en"",""es-ES"")"),"Una niña está sentada en una bañera vacía que afeita la pierna de un hombre que se arroja sobre la bañera.")</f>
        <v>Una niña está sentada en una bañera vacía que afeita la pierna de un hombre que se arroja sobre la bañera.</v>
      </c>
    </row>
    <row r="31919">
      <c r="A31919" s="4" t="s">
        <v>40186</v>
      </c>
      <c r="B31919" s="4" t="s">
        <v>40188</v>
      </c>
      <c r="C31919" s="5" t="str">
        <f>IFERROR(__xludf.DUMMYFUNCTION("GOOGLETRANSLATE(B31919,""en"",""es-ES"")"),"Mientras continúa, el perro viene y muestra el cabello en la navaja de afeitar a la cámara.")</f>
        <v>Mientras continúa, el perro viene y muestra el cabello en la navaja de afeitar a la cámara.</v>
      </c>
    </row>
    <row r="31920">
      <c r="A31920" s="4" t="s">
        <v>40189</v>
      </c>
      <c r="B31920" s="4" t="s">
        <v>40190</v>
      </c>
      <c r="C31920" s="5" t="str">
        <f>IFERROR(__xludf.DUMMYFUNCTION("GOOGLETRANSLATE(B31920,""en"",""es-ES"")"),"Hay dos estudiantes, un niño y una niña en una pista de salto con pértiga.")</f>
        <v>Hay dos estudiantes, un niño y una niña en una pista de salto con pértiga.</v>
      </c>
    </row>
    <row r="31921">
      <c r="A31921" s="4" t="s">
        <v>40189</v>
      </c>
      <c r="B31921" s="4" t="s">
        <v>40191</v>
      </c>
      <c r="C31921" s="5" t="str">
        <f>IFERROR(__xludf.DUMMYFUNCTION("GOOGLETRANSLATE(B31921,""en"",""es-ES"")"),"Uno de los estudiantes, un niño corre con el poste en la pista, mientras que una persona de azul, el otro estudiante lo ve actuar.")</f>
        <v>Uno de los estudiantes, un niño corre con el poste en la pista, mientras que una persona de azul, el otro estudiante lo ve actuar.</v>
      </c>
    </row>
    <row r="31922">
      <c r="A31922" s="4" t="s">
        <v>40189</v>
      </c>
      <c r="B31922" s="4" t="s">
        <v>40192</v>
      </c>
      <c r="C31922" s="5" t="str">
        <f>IFERROR(__xludf.DUMMYFUNCTION("GOOGLETRANSLATE(B31922,""en"",""es-ES"")"),"Luego salta alto y aterriza a unos metros en el área de aterrizaje.")</f>
        <v>Luego salta alto y aterriza a unos metros en el área de aterrizaje.</v>
      </c>
    </row>
    <row r="31923">
      <c r="A31923" s="4" t="s">
        <v>40189</v>
      </c>
      <c r="B31923" s="4" t="s">
        <v>40193</v>
      </c>
      <c r="C31923" s="5" t="str">
        <f>IFERROR(__xludf.DUMMYFUNCTION("GOOGLETRANSLATE(B31923,""en"",""es-ES"")"),"Sus acciones se reproducen en cámara lenta para capturar su salto y aterrizaje.")</f>
        <v>Sus acciones se reproducen en cámara lenta para capturar su salto y aterrizaje.</v>
      </c>
    </row>
    <row r="31924">
      <c r="A31924" s="4" t="s">
        <v>40194</v>
      </c>
      <c r="B31924" s="4" t="s">
        <v>40195</v>
      </c>
      <c r="C31924" s="5" t="str">
        <f>IFERROR(__xludf.DUMMYFUNCTION("GOOGLETRANSLATE(B31924,""en"",""es-ES"")"),"Se ve a un pequeño grupo de niñas caminando hacia un escenario seguido de más personas siguiendo.")</f>
        <v>Se ve a un pequeño grupo de niñas caminando hacia un escenario seguido de más personas siguiendo.</v>
      </c>
    </row>
    <row r="31925">
      <c r="A31925" s="4" t="s">
        <v>40194</v>
      </c>
      <c r="B31925" s="4" t="s">
        <v>40196</v>
      </c>
      <c r="C31925" s="5" t="str">
        <f>IFERROR(__xludf.DUMMYFUNCTION("GOOGLETRANSLATE(B31925,""en"",""es-ES"")"),"Más personas continúan saliendo al escenario con algunas señales y otras mirando a un lado.")</f>
        <v>Más personas continúan saliendo al escenario con algunas señales y otras mirando a un lado.</v>
      </c>
    </row>
    <row r="31926">
      <c r="A31926" s="4" t="s">
        <v>40197</v>
      </c>
      <c r="B31926" s="4" t="s">
        <v>40198</v>
      </c>
      <c r="C31926" s="5" t="str">
        <f>IFERROR(__xludf.DUMMYFUNCTION("GOOGLETRANSLATE(B31926,""en"",""es-ES"")"),"Un niño en la clase de Karate se inclina antes de una actuación.")</f>
        <v>Un niño en la clase de Karate se inclina antes de una actuación.</v>
      </c>
    </row>
    <row r="31927">
      <c r="A31927" s="4" t="s">
        <v>40197</v>
      </c>
      <c r="B31927" s="4" t="s">
        <v>40199</v>
      </c>
      <c r="C31927" s="5" t="str">
        <f>IFERROR(__xludf.DUMMYFUNCTION("GOOGLETRANSLATE(B31927,""en"",""es-ES"")"),"El niño realiza una rutina de karate con Scythes de mano.")</f>
        <v>El niño realiza una rutina de karate con Scythes de mano.</v>
      </c>
    </row>
    <row r="31928">
      <c r="A31928" s="4" t="s">
        <v>40197</v>
      </c>
      <c r="B31928" s="4" t="s">
        <v>40200</v>
      </c>
      <c r="C31928" s="5" t="str">
        <f>IFERROR(__xludf.DUMMYFUNCTION("GOOGLETRANSLATE(B31928,""en"",""es-ES"")"),"El niño termina su rutina y su arco.")</f>
        <v>El niño termina su rutina y su arco.</v>
      </c>
    </row>
    <row r="31929">
      <c r="A31929" s="4" t="s">
        <v>40201</v>
      </c>
      <c r="B31929" s="4" t="s">
        <v>40202</v>
      </c>
      <c r="C31929" s="5" t="str">
        <f>IFERROR(__xludf.DUMMYFUNCTION("GOOGLETRANSLATE(B31929,""en"",""es-ES"")"),"Vemos a un hombre caminar hacia los bares paralelos y saltar.")</f>
        <v>Vemos a un hombre caminar hacia los bares paralelos y saltar.</v>
      </c>
    </row>
    <row r="31930">
      <c r="A31930" s="4" t="s">
        <v>40201</v>
      </c>
      <c r="B31930" s="4" t="s">
        <v>40203</v>
      </c>
      <c r="C31930" s="5" t="str">
        <f>IFERROR(__xludf.DUMMYFUNCTION("GOOGLETRANSLATE(B31930,""en"",""es-ES"")"),"Vemos al hombre realizar una rutina en las barras.")</f>
        <v>Vemos al hombre realizar una rutina en las barras.</v>
      </c>
    </row>
    <row r="31931">
      <c r="A31931" s="4" t="s">
        <v>40201</v>
      </c>
      <c r="B31931" s="4" t="s">
        <v>40204</v>
      </c>
      <c r="C31931" s="5" t="str">
        <f>IFERROR(__xludf.DUMMYFUNCTION("GOOGLETRANSLATE(B31931,""en"",""es-ES"")"),"El hombre hace una parada de manos.")</f>
        <v>El hombre hace una parada de manos.</v>
      </c>
    </row>
    <row r="31932">
      <c r="A31932" s="4" t="s">
        <v>40201</v>
      </c>
      <c r="B31932" s="4" t="s">
        <v>40205</v>
      </c>
      <c r="C31932" s="5" t="str">
        <f>IFERROR(__xludf.DUMMYFUNCTION("GOOGLETRANSLATE(B31932,""en"",""es-ES"")"),"El hombre voltea y desmonta de las barras.")</f>
        <v>El hombre voltea y desmonta de las barras.</v>
      </c>
    </row>
    <row r="31933">
      <c r="A31933" s="4" t="s">
        <v>40201</v>
      </c>
      <c r="B31933" s="4" t="s">
        <v>40206</v>
      </c>
      <c r="C31933" s="5" t="str">
        <f>IFERROR(__xludf.DUMMYFUNCTION("GOOGLETRANSLATE(B31933,""en"",""es-ES"")"),"El hombre levanta los brazos en el aire.")</f>
        <v>El hombre levanta los brazos en el aire.</v>
      </c>
    </row>
    <row r="31934">
      <c r="A31934" s="4" t="s">
        <v>40201</v>
      </c>
      <c r="B31934" s="4" t="s">
        <v>40207</v>
      </c>
      <c r="C31934" s="5" t="str">
        <f>IFERROR(__xludf.DUMMYFUNCTION("GOOGLETRANSLATE(B31934,""en"",""es-ES"")"),"El hombre se aleja y abraza a otro hombre.")</f>
        <v>El hombre se aleja y abraza a otro hombre.</v>
      </c>
    </row>
    <row r="31935">
      <c r="A31935" s="4" t="s">
        <v>40208</v>
      </c>
      <c r="B31935" s="4" t="s">
        <v>40209</v>
      </c>
      <c r="C31935" s="5" t="str">
        <f>IFERROR(__xludf.DUMMYFUNCTION("GOOGLETRANSLATE(B31935,""en"",""es-ES"")"),"Una dama se encuentra en una sala de estar y discute.")</f>
        <v>Una dama se encuentra en una sala de estar y discute.</v>
      </c>
    </row>
    <row r="31936">
      <c r="A31936" s="4" t="s">
        <v>40208</v>
      </c>
      <c r="B31936" s="4" t="s">
        <v>40210</v>
      </c>
      <c r="C31936" s="5" t="str">
        <f>IFERROR(__xludf.DUMMYFUNCTION("GOOGLETRANSLATE(B31936,""en"",""es-ES"")"),"La dama tira fácilmente el fondo de pantalla de la pared.")</f>
        <v>La dama tira fácilmente el fondo de pantalla de la pared.</v>
      </c>
    </row>
    <row r="31937">
      <c r="A31937" s="4" t="s">
        <v>40208</v>
      </c>
      <c r="B31937" s="4" t="s">
        <v>40211</v>
      </c>
      <c r="C31937" s="5" t="str">
        <f>IFERROR(__xludf.DUMMYFUNCTION("GOOGLETRANSLATE(B31937,""en"",""es-ES"")"),"Una mujer pinta la pared con un líquido.")</f>
        <v>Una mujer pinta la pared con un líquido.</v>
      </c>
    </row>
    <row r="31938">
      <c r="A31938" s="4" t="s">
        <v>40208</v>
      </c>
      <c r="B31938" s="4" t="s">
        <v>40212</v>
      </c>
      <c r="C31938" s="5" t="str">
        <f>IFERROR(__xludf.DUMMYFUNCTION("GOOGLETRANSLATE(B31938,""en"",""es-ES"")"),"La mujer pone papel tapiz en el área.")</f>
        <v>La mujer pone papel tapiz en el área.</v>
      </c>
    </row>
    <row r="31939">
      <c r="A31939" s="4" t="s">
        <v>40208</v>
      </c>
      <c r="B31939" s="4" t="s">
        <v>40213</v>
      </c>
      <c r="C31939" s="5" t="str">
        <f>IFERROR(__xludf.DUMMYFUNCTION("GOOGLETRANSLATE(B31939,""en"",""es-ES"")"),"La mujer corta el fondo de pantalla con un cortador de caja.")</f>
        <v>La mujer corta el fondo de pantalla con un cortador de caja.</v>
      </c>
    </row>
    <row r="31940">
      <c r="A31940" s="4" t="s">
        <v>40208</v>
      </c>
      <c r="B31940" s="4" t="s">
        <v>40214</v>
      </c>
      <c r="C31940" s="5" t="str">
        <f>IFERROR(__xludf.DUMMYFUNCTION("GOOGLETRANSLATE(B31940,""en"",""es-ES"")"),"La mujer pinta el fondo de pantalla con pintura.")</f>
        <v>La mujer pinta el fondo de pantalla con pintura.</v>
      </c>
    </row>
    <row r="31941">
      <c r="A31941" s="4" t="s">
        <v>40215</v>
      </c>
      <c r="B31941" s="4" t="s">
        <v>40216</v>
      </c>
      <c r="C31941" s="5" t="str">
        <f>IFERROR(__xludf.DUMMYFUNCTION("GOOGLETRANSLATE(B31941,""en"",""es-ES"")"),"Se ve a un hombre atlético de pie y comienza a correr por una pista y saltando a un pozo.")</f>
        <v>Se ve a un hombre atlético de pie y comienza a correr por una pista y saltando a un pozo.</v>
      </c>
    </row>
    <row r="31942">
      <c r="A31942" s="4" t="s">
        <v>40215</v>
      </c>
      <c r="B31942" s="4" t="s">
        <v>40217</v>
      </c>
      <c r="C31942" s="5" t="str">
        <f>IFERROR(__xludf.DUMMYFUNCTION("GOOGLETRANSLATE(B31942,""en"",""es-ES"")"),"El hombre celebra a medida que se muestra su puntaje y su salto se muestra nuevamente en cámara lenta.")</f>
        <v>El hombre celebra a medida que se muestra su puntaje y su salto se muestra nuevamente en cámara lenta.</v>
      </c>
    </row>
    <row r="31943">
      <c r="A31943" s="4" t="s">
        <v>40218</v>
      </c>
      <c r="B31943" s="4" t="s">
        <v>40219</v>
      </c>
      <c r="C31943" s="5" t="str">
        <f>IFERROR(__xludf.DUMMYFUNCTION("GOOGLETRANSLATE(B31943,""en"",""es-ES"")"),"Un hombre enseña la forma correcta de obtener una boquilla en un saxofón.")</f>
        <v>Un hombre enseña la forma correcta de obtener una boquilla en un saxofón.</v>
      </c>
    </row>
    <row r="31944">
      <c r="A31944" s="4" t="s">
        <v>40218</v>
      </c>
      <c r="B31944" s="4" t="s">
        <v>40220</v>
      </c>
      <c r="C31944" s="5" t="str">
        <f>IFERROR(__xludf.DUMMYFUNCTION("GOOGLETRANSLATE(B31944,""en"",""es-ES"")"),"Luego describe cómo jugar adecuadamente la bocina.")</f>
        <v>Luego describe cómo jugar adecuadamente la bocina.</v>
      </c>
    </row>
    <row r="31945">
      <c r="A31945" s="4" t="s">
        <v>40221</v>
      </c>
      <c r="B31945" s="4" t="s">
        <v>1487</v>
      </c>
      <c r="C31945" s="5" t="str">
        <f>IFERROR(__xludf.DUMMYFUNCTION("GOOGLETRANSLATE(B31945,""en"",""es-ES"")"),"Vemos una pantalla de título de apertura.")</f>
        <v>Vemos una pantalla de título de apertura.</v>
      </c>
    </row>
    <row r="31946">
      <c r="A31946" s="4" t="s">
        <v>40221</v>
      </c>
      <c r="B31946" s="4" t="s">
        <v>40222</v>
      </c>
      <c r="C31946" s="5" t="str">
        <f>IFERROR(__xludf.DUMMYFUNCTION("GOOGLETRANSLATE(B31946,""en"",""es-ES"")"),"Un hombre sin camisa habla en un gimnasio.")</f>
        <v>Un hombre sin camisa habla en un gimnasio.</v>
      </c>
    </row>
    <row r="31947">
      <c r="A31947" s="4" t="s">
        <v>40221</v>
      </c>
      <c r="B31947" s="4" t="s">
        <v>40223</v>
      </c>
      <c r="C31947" s="5" t="str">
        <f>IFERROR(__xludf.DUMMYFUNCTION("GOOGLETRANSLATE(B31947,""en"",""es-ES"")"),"Una señora pasa más allá de ambos sentidos y luego salta a la cuerda detrás del hombre.")</f>
        <v>Una señora pasa más allá de ambos sentidos y luego salta a la cuerda detrás del hombre.</v>
      </c>
    </row>
    <row r="31948">
      <c r="A31948" s="4" t="s">
        <v>40221</v>
      </c>
      <c r="B31948" s="4" t="s">
        <v>40224</v>
      </c>
      <c r="C31948" s="5" t="str">
        <f>IFERROR(__xludf.DUMMYFUNCTION("GOOGLETRANSLATE(B31948,""en"",""es-ES"")"),"Vemos pantallas de título con instrucciones.")</f>
        <v>Vemos pantallas de título con instrucciones.</v>
      </c>
    </row>
    <row r="31949">
      <c r="A31949" s="4" t="s">
        <v>40221</v>
      </c>
      <c r="B31949" s="4" t="s">
        <v>40225</v>
      </c>
      <c r="C31949" s="5" t="str">
        <f>IFERROR(__xludf.DUMMYFUNCTION("GOOGLETRANSLATE(B31949,""en"",""es-ES"")"),"Vemos a una dama saltando cuerda once formas diferentes.")</f>
        <v>Vemos a una dama saltando cuerda once formas diferentes.</v>
      </c>
    </row>
    <row r="31950">
      <c r="A31950" s="4" t="s">
        <v>40221</v>
      </c>
      <c r="B31950" s="4" t="s">
        <v>777</v>
      </c>
      <c r="C31950" s="5" t="str">
        <f>IFERROR(__xludf.DUMMYFUNCTION("GOOGLETRANSLATE(B31950,""en"",""es-ES"")"),"Vemos la pantalla de título final.")</f>
        <v>Vemos la pantalla de título final.</v>
      </c>
    </row>
    <row r="31951">
      <c r="A31951" s="4" t="s">
        <v>40226</v>
      </c>
      <c r="B31951" s="4" t="s">
        <v>40227</v>
      </c>
      <c r="C31951" s="5" t="str">
        <f>IFERROR(__xludf.DUMMYFUNCTION("GOOGLETRANSLATE(B31951,""en"",""es-ES"")"),"Se muestra un río y un automóvil es un camino de polvo.")</f>
        <v>Se muestra un río y un automóvil es un camino de polvo.</v>
      </c>
    </row>
    <row r="31952">
      <c r="A31952" s="4" t="s">
        <v>40226</v>
      </c>
      <c r="B31952" s="4" t="s">
        <v>40228</v>
      </c>
      <c r="C31952" s="5" t="str">
        <f>IFERROR(__xludf.DUMMYFUNCTION("GOOGLETRANSLATE(B31952,""en"",""es-ES"")"),"Los hombres están rafting en un lago en los rápidos.")</f>
        <v>Los hombres están rafting en un lago en los rápidos.</v>
      </c>
    </row>
    <row r="31953">
      <c r="A31953" s="4" t="s">
        <v>40229</v>
      </c>
      <c r="B31953" s="4" t="s">
        <v>40230</v>
      </c>
      <c r="C31953" s="5" t="str">
        <f>IFERROR(__xludf.DUMMYFUNCTION("GOOGLETRANSLATE(B31953,""en"",""es-ES"")"),"Se ve un logotipo gráfico que es de color blanco y negro con la letra ""n"".")</f>
        <v>Se ve un logotipo gráfico que es de color blanco y negro con la letra "n".</v>
      </c>
    </row>
    <row r="31954">
      <c r="A31954" s="4" t="s">
        <v>40229</v>
      </c>
      <c r="B31954" s="4" t="s">
        <v>40231</v>
      </c>
      <c r="C31954" s="5" t="str">
        <f>IFERROR(__xludf.DUMMYFUNCTION("GOOGLETRANSLATE(B31954,""en"",""es-ES"")"),"Un anfitrión de TV se encuentra frente a un fondo camuflado.")</f>
        <v>Un anfitrión de TV se encuentra frente a un fondo camuflado.</v>
      </c>
    </row>
    <row r="31955">
      <c r="A31955" s="4" t="s">
        <v>40229</v>
      </c>
      <c r="B31955" s="4" t="s">
        <v>40232</v>
      </c>
      <c r="C31955" s="5" t="str">
        <f>IFERROR(__xludf.DUMMYFUNCTION("GOOGLETRANSLATE(B31955,""en"",""es-ES"")"),"Se ven dos chicas caminando en una fotografía con uniformes de béisbol.")</f>
        <v>Se ven dos chicas caminando en una fotografía con uniformes de béisbol.</v>
      </c>
    </row>
    <row r="31956">
      <c r="A31956" s="4" t="s">
        <v>40229</v>
      </c>
      <c r="B31956" s="4" t="s">
        <v>40233</v>
      </c>
      <c r="C31956" s="5" t="str">
        <f>IFERROR(__xludf.DUMMYFUNCTION("GOOGLETRANSLATE(B31956,""en"",""es-ES"")"),"Un gran grupo de fanáticos se multiplica en un campo de béisbol y rodea a un cantante famoso que realiza una actuación.")</f>
        <v>Un gran grupo de fanáticos se multiplica en un campo de béisbol y rodea a un cantante famoso que realiza una actuación.</v>
      </c>
    </row>
    <row r="31957">
      <c r="A31957" s="4" t="s">
        <v>40229</v>
      </c>
      <c r="B31957" s="4" t="s">
        <v>40234</v>
      </c>
      <c r="C31957" s="5" t="str">
        <f>IFERROR(__xludf.DUMMYFUNCTION("GOOGLETRANSLATE(B31957,""en"",""es-ES"")"),"Un balonmano rojo se lleva a un pateador durante un partido de kickball que lo patea al jardín para correr.")</f>
        <v>Un balonmano rojo se lleva a un pateador durante un partido de kickball que lo patea al jardín para correr.</v>
      </c>
    </row>
    <row r="31958">
      <c r="A31958" s="4" t="s">
        <v>40229</v>
      </c>
      <c r="B31958" s="4" t="s">
        <v>40235</v>
      </c>
      <c r="C31958" s="5" t="str">
        <f>IFERROR(__xludf.DUMMYFUNCTION("GOOGLETRANSLATE(B31958,""en"",""es-ES"")"),"Otro hombre en camiseta y sudores negros patea una pelota y corre alrededor de las bases tratando de evitar ser etiquetado con la pelota.")</f>
        <v>Otro hombre en camiseta y sudores negros patea una pelota y corre alrededor de las bases tratando de evitar ser etiquetado con la pelota.</v>
      </c>
    </row>
    <row r="31959">
      <c r="A31959" s="4" t="s">
        <v>40229</v>
      </c>
      <c r="B31959" s="4" t="s">
        <v>40236</v>
      </c>
      <c r="C31959" s="5" t="str">
        <f>IFERROR(__xludf.DUMMYFUNCTION("GOOGLETRANSLATE(B31959,""en"",""es-ES"")"),"El mismo hombre cabalga en una patineta en la ciudad.")</f>
        <v>El mismo hombre cabalga en una patineta en la ciudad.</v>
      </c>
    </row>
    <row r="31960">
      <c r="A31960" s="4" t="s">
        <v>40229</v>
      </c>
      <c r="B31960" s="4" t="s">
        <v>40237</v>
      </c>
      <c r="C31960" s="5" t="str">
        <f>IFERROR(__xludf.DUMMYFUNCTION("GOOGLETRANSLATE(B31960,""en"",""es-ES"")"),"El hombre se ve nuevamente en un video de cerca en una habitación.")</f>
        <v>El hombre se ve nuevamente en un video de cerca en una habitación.</v>
      </c>
    </row>
    <row r="31961">
      <c r="A31961" s="4" t="s">
        <v>40238</v>
      </c>
      <c r="B31961" s="4" t="s">
        <v>40239</v>
      </c>
      <c r="C31961" s="5" t="str">
        <f>IFERROR(__xludf.DUMMYFUNCTION("GOOGLETRANSLATE(B31961,""en"",""es-ES"")"),"El título muestra como un hombre monta un caballo a través de una arena.")</f>
        <v>El título muestra como un hombre monta un caballo a través de una arena.</v>
      </c>
    </row>
    <row r="31962">
      <c r="A31962" s="4" t="s">
        <v>40238</v>
      </c>
      <c r="B31962" s="4" t="s">
        <v>40240</v>
      </c>
      <c r="C31962" s="5" t="str">
        <f>IFERROR(__xludf.DUMMYFUNCTION("GOOGLETRANSLATE(B31962,""en"",""es-ES"")"),"Entonces hay una exhibición de caballos saltando sobre obstáculos.")</f>
        <v>Entonces hay una exhibición de caballos saltando sobre obstáculos.</v>
      </c>
    </row>
    <row r="31963">
      <c r="A31963" s="4" t="s">
        <v>40238</v>
      </c>
      <c r="B31963" s="4" t="s">
        <v>40241</v>
      </c>
      <c r="C31963" s="5" t="str">
        <f>IFERROR(__xludf.DUMMYFUNCTION("GOOGLETRANSLATE(B31963,""en"",""es-ES"")"),"Una de las imágenes gira en un círculo y el siguiente video se aprieta sobre sí mismo.")</f>
        <v>Una de las imágenes gira en un círculo y el siguiente video se aprieta sobre sí mismo.</v>
      </c>
    </row>
    <row r="31964">
      <c r="A31964" s="4" t="s">
        <v>40238</v>
      </c>
      <c r="B31964" s="4" t="s">
        <v>40242</v>
      </c>
      <c r="C31964" s="5" t="str">
        <f>IFERROR(__xludf.DUMMYFUNCTION("GOOGLETRANSLATE(B31964,""en"",""es-ES"")"),"Continúa mostrando a los caballos saltando sobre obstáculos con efectos de video.")</f>
        <v>Continúa mostrando a los caballos saltando sobre obstáculos con efectos de video.</v>
      </c>
    </row>
    <row r="31965">
      <c r="A31965" s="4" t="s">
        <v>40238</v>
      </c>
      <c r="B31965" s="4" t="s">
        <v>40243</v>
      </c>
      <c r="C31965" s="5" t="str">
        <f>IFERROR(__xludf.DUMMYFUNCTION("GOOGLETRANSLATE(B31965,""en"",""es-ES"")"),"Un hombre camina de lado con mi pareja.")</f>
        <v>Un hombre camina de lado con mi pareja.</v>
      </c>
    </row>
    <row r="31966">
      <c r="A31966" s="4" t="s">
        <v>40238</v>
      </c>
      <c r="B31966" s="4" t="s">
        <v>40244</v>
      </c>
      <c r="C31966" s="5" t="str">
        <f>IFERROR(__xludf.DUMMYFUNCTION("GOOGLETRANSLATE(B31966,""en"",""es-ES"")"),"El papel de los créditos con algunos elogios.")</f>
        <v>El papel de los créditos con algunos elogios.</v>
      </c>
    </row>
    <row r="31967">
      <c r="A31967" s="4" t="s">
        <v>40245</v>
      </c>
      <c r="B31967" s="4" t="s">
        <v>40246</v>
      </c>
      <c r="C31967" s="5" t="str">
        <f>IFERROR(__xludf.DUMMYFUNCTION("GOOGLETRANSLATE(B31967,""en"",""es-ES"")"),"La mujer en la parte superior roja está de pie.")</f>
        <v>La mujer en la parte superior roja está de pie.</v>
      </c>
    </row>
    <row r="31968">
      <c r="A31968" s="4" t="s">
        <v>40245</v>
      </c>
      <c r="B31968" s="4" t="s">
        <v>40247</v>
      </c>
      <c r="C31968" s="5" t="str">
        <f>IFERROR(__xludf.DUMMYFUNCTION("GOOGLETRANSLATE(B31968,""en"",""es-ES"")"),"La mujer estira sus brazos un lado primero y luego el siguiente.")</f>
        <v>La mujer estira sus brazos un lado primero y luego el siguiente.</v>
      </c>
    </row>
    <row r="31969">
      <c r="A31969" s="4" t="s">
        <v>40245</v>
      </c>
      <c r="B31969" s="4" t="s">
        <v>40248</v>
      </c>
      <c r="C31969" s="5" t="str">
        <f>IFERROR(__xludf.DUMMYFUNCTION("GOOGLETRANSLATE(B31969,""en"",""es-ES"")"),"La mujer puso sus brazos frente a ella, luego se estira y se dio la vuelta.")</f>
        <v>La mujer puso sus brazos frente a ella, luego se estira y se dio la vuelta.</v>
      </c>
    </row>
    <row r="31970">
      <c r="A31970" s="4" t="s">
        <v>40249</v>
      </c>
      <c r="B31970" s="4" t="s">
        <v>40250</v>
      </c>
      <c r="C31970" s="5" t="str">
        <f>IFERROR(__xludf.DUMMYFUNCTION("GOOGLETRANSLATE(B31970,""en"",""es-ES"")"),"Un hombre está afuera en una pista.")</f>
        <v>Un hombre está afuera en una pista.</v>
      </c>
    </row>
    <row r="31971">
      <c r="A31971" s="4" t="s">
        <v>40249</v>
      </c>
      <c r="B31971" s="4" t="s">
        <v>40251</v>
      </c>
      <c r="C31971" s="5" t="str">
        <f>IFERROR(__xludf.DUMMYFUNCTION("GOOGLETRANSLATE(B31971,""en"",""es-ES"")"),"Corre con una jabalina en la mano.")</f>
        <v>Corre con una jabalina en la mano.</v>
      </c>
    </row>
    <row r="31972">
      <c r="A31972" s="4" t="s">
        <v>40249</v>
      </c>
      <c r="B31972" s="4" t="s">
        <v>40252</v>
      </c>
      <c r="C31972" s="5" t="str">
        <f>IFERROR(__xludf.DUMMYFUNCTION("GOOGLETRANSLATE(B31972,""en"",""es-ES"")"),"Lo arroja lo más lejos que puede, levantando los brazos en la victoria.")</f>
        <v>Lo arroja lo más lejos que puede, levantando los brazos en la victoria.</v>
      </c>
    </row>
    <row r="31973">
      <c r="A31973" s="4" t="s">
        <v>40253</v>
      </c>
      <c r="B31973" s="4" t="s">
        <v>40254</v>
      </c>
      <c r="C31973" s="5" t="str">
        <f>IFERROR(__xludf.DUMMYFUNCTION("GOOGLETRANSLATE(B31973,""en"",""es-ES"")"),"Una niña y un hombre están dentro de una estructura alta con equipos de salto de bungee.")</f>
        <v>Una niña y un hombre están dentro de una estructura alta con equipos de salto de bungee.</v>
      </c>
    </row>
    <row r="31974">
      <c r="A31974" s="4" t="s">
        <v>40253</v>
      </c>
      <c r="B31974" s="4" t="s">
        <v>40255</v>
      </c>
      <c r="C31974" s="5" t="str">
        <f>IFERROR(__xludf.DUMMYFUNCTION("GOOGLETRANSLATE(B31974,""en"",""es-ES"")"),"La niña sale y se parta en el borde de la estructura, luego, mientras el hombre pone una cuerda detrás de la niña.")</f>
        <v>La niña sale y se parta en el borde de la estructura, luego, mientras el hombre pone una cuerda detrás de la niña.</v>
      </c>
    </row>
    <row r="31975">
      <c r="A31975" s="4" t="s">
        <v>40253</v>
      </c>
      <c r="B31975" s="4" t="s">
        <v>40256</v>
      </c>
      <c r="C31975" s="5" t="str">
        <f>IFERROR(__xludf.DUMMYFUNCTION("GOOGLETRANSLATE(B31975,""en"",""es-ES"")"),"Después, la niña salta de la estructura por un momento y luego se sube a la estructura.")</f>
        <v>Después, la niña salta de la estructura por un momento y luego se sube a la estructura.</v>
      </c>
    </row>
    <row r="31976">
      <c r="A31976" s="4" t="s">
        <v>40257</v>
      </c>
      <c r="B31976" s="4" t="s">
        <v>40258</v>
      </c>
      <c r="C31976" s="5" t="str">
        <f>IFERROR(__xludf.DUMMYFUNCTION("GOOGLETRANSLATE(B31976,""en"",""es-ES"")"),"Un hombre con una capucha está abriendo un papel, luego bajó por la escalera y caminó hacia un camino.")</f>
        <v>Un hombre con una capucha está abriendo un papel, luego bajó por la escalera y caminó hacia un camino.</v>
      </c>
    </row>
    <row r="31977">
      <c r="A31977" s="4" t="s">
        <v>40257</v>
      </c>
      <c r="B31977" s="4" t="s">
        <v>40259</v>
      </c>
      <c r="C31977" s="5" t="str">
        <f>IFERROR(__xludf.DUMMYFUNCTION("GOOGLETRANSLATE(B31977,""en"",""es-ES"")"),"La mujer está hablando con la cámara y mostrando el suelo cubierto de nieve.")</f>
        <v>La mujer está hablando con la cámara y mostrando el suelo cubierto de nieve.</v>
      </c>
    </row>
    <row r="31978">
      <c r="A31978" s="4" t="s">
        <v>40257</v>
      </c>
      <c r="B31978" s="4" t="s">
        <v>40260</v>
      </c>
      <c r="C31978" s="5" t="str">
        <f>IFERROR(__xludf.DUMMYFUNCTION("GOOGLETRANSLATE(B31978,""en"",""es-ES"")"),"El hombre está de pie junto a la camioneta y comenzó a sacar la nieve en el techo del automóvil, mientras que la otra persona está usando una escoba para sacar la nieve del auto.")</f>
        <v>El hombre está de pie junto a la camioneta y comenzó a sacar la nieve en el techo del automóvil, mientras que la otra persona está usando una escoba para sacar la nieve del auto.</v>
      </c>
    </row>
    <row r="31979">
      <c r="A31979" s="4" t="s">
        <v>40261</v>
      </c>
      <c r="B31979" s="4" t="s">
        <v>40262</v>
      </c>
      <c r="C31979" s="5" t="str">
        <f>IFERROR(__xludf.DUMMYFUNCTION("GOOGLETRANSLATE(B31979,""en"",""es-ES"")"),"Un trabajador de la construcción está de pie y habla con la cámara mientras sostiene un rociador.")</f>
        <v>Un trabajador de la construcción está de pie y habla con la cámara mientras sostiene un rociador.</v>
      </c>
    </row>
    <row r="31980">
      <c r="A31980" s="4" t="s">
        <v>40261</v>
      </c>
      <c r="B31980" s="4" t="s">
        <v>40263</v>
      </c>
      <c r="C31980" s="5" t="str">
        <f>IFERROR(__xludf.DUMMYFUNCTION("GOOGLETRANSLATE(B31980,""en"",""es-ES"")"),"Está muy animado mientras vuelve a lijarse y rociar.")</f>
        <v>Está muy animado mientras vuelve a lijarse y rociar.</v>
      </c>
    </row>
    <row r="31981">
      <c r="A31981" s="4" t="s">
        <v>40264</v>
      </c>
      <c r="B31981" s="4" t="s">
        <v>40265</v>
      </c>
      <c r="C31981" s="5" t="str">
        <f>IFERROR(__xludf.DUMMYFUNCTION("GOOGLETRANSLATE(B31981,""en"",""es-ES"")"),"Se muestra a un hombre hablando con la cámara con entusiasmo y muestra varias tomas del hombre trepando una pared de roca y varios lugares.")</f>
        <v>Se muestra a un hombre hablando con la cámara con entusiasmo y muestra varias tomas del hombre trepando una pared de roca y varios lugares.</v>
      </c>
    </row>
    <row r="31982">
      <c r="A31982" s="4" t="s">
        <v>40264</v>
      </c>
      <c r="B31982" s="4" t="s">
        <v>40266</v>
      </c>
      <c r="C31982" s="5" t="str">
        <f>IFERROR(__xludf.DUMMYFUNCTION("GOOGLETRANSLATE(B31982,""en"",""es-ES"")"),"Luego, el hombre continúa hablando con la cámara y demuestra cómo escalar adecuadamente la pared mientras sigue hablando.")</f>
        <v>Luego, el hombre continúa hablando con la cámara y demuestra cómo escalar adecuadamente la pared mientras sigue hablando.</v>
      </c>
    </row>
    <row r="31983">
      <c r="A31983" s="4" t="s">
        <v>40267</v>
      </c>
      <c r="B31983" s="4" t="s">
        <v>40268</v>
      </c>
      <c r="C31983" s="5" t="str">
        <f>IFERROR(__xludf.DUMMYFUNCTION("GOOGLETRANSLATE(B31983,""en"",""es-ES"")"),"El hombre está parado frente a una tela blanca en un estudio haciendo ejercicio en una máquina elíptica que muestra las características de la bicicleta.")</f>
        <v>El hombre está parado frente a una tela blanca en un estudio haciendo ejercicio en una máquina elíptica que muestra las características de la bicicleta.</v>
      </c>
    </row>
    <row r="31984">
      <c r="A31984" s="4" t="s">
        <v>40267</v>
      </c>
      <c r="B31984" s="4" t="s">
        <v>40269</v>
      </c>
      <c r="C31984" s="5" t="str">
        <f>IFERROR(__xludf.DUMMYFUNCTION("GOOGLETRANSLATE(B31984,""en"",""es-ES"")"),"La mujer está haciendo lo mismo que el hombre, observando la elíptica y hacer ejercicio.")</f>
        <v>La mujer está haciendo lo mismo que el hombre, observando la elíptica y hacer ejercicio.</v>
      </c>
    </row>
    <row r="31985">
      <c r="A31985" s="4" t="s">
        <v>40270</v>
      </c>
      <c r="B31985" s="4" t="s">
        <v>40271</v>
      </c>
      <c r="C31985" s="5" t="str">
        <f>IFERROR(__xludf.DUMMYFUNCTION("GOOGLETRANSLATE(B31985,""en"",""es-ES"")"),"Una niña sentada con el asiento del conductor de un automóvil está hablando en su teléfono en el altavoz.")</f>
        <v>Una niña sentada con el asiento del conductor de un automóvil está hablando en su teléfono en el altavoz.</v>
      </c>
    </row>
    <row r="31986">
      <c r="A31986" s="4" t="s">
        <v>40270</v>
      </c>
      <c r="B31986" s="4" t="s">
        <v>40272</v>
      </c>
      <c r="C31986" s="5" t="str">
        <f>IFERROR(__xludf.DUMMYFUNCTION("GOOGLETRANSLATE(B31986,""en"",""es-ES"")"),"Ella cuelga y comienza a hablar en voz alta y luego ella y su amiga están caminando por un estacionamiento.")</f>
        <v>Ella cuelga y comienza a hablar en voz alta y luego ella y su amiga están caminando por un estacionamiento.</v>
      </c>
    </row>
    <row r="31987">
      <c r="A31987" s="4" t="s">
        <v>40270</v>
      </c>
      <c r="B31987" s="4" t="s">
        <v>40273</v>
      </c>
      <c r="C31987" s="5" t="str">
        <f>IFERROR(__xludf.DUMMYFUNCTION("GOOGLETRANSLATE(B31987,""en"",""es-ES"")"),"Las chicas caminan y hablan a través del centro comercial, luego van a Claires para perforar las orejas.")</f>
        <v>Las chicas caminan y hablan a través del centro comercial, luego van a Claires para perforar las orejas.</v>
      </c>
    </row>
    <row r="31988">
      <c r="A31988" s="4" t="s">
        <v>40270</v>
      </c>
      <c r="B31988" s="4" t="s">
        <v>40274</v>
      </c>
      <c r="C31988" s="5" t="str">
        <f>IFERROR(__xludf.DUMMYFUNCTION("GOOGLETRANSLATE(B31988,""en"",""es-ES"")"),"Continúan caminando por el centro comercial por un tiempo.")</f>
        <v>Continúan caminando por el centro comercial por un tiempo.</v>
      </c>
    </row>
    <row r="31989">
      <c r="A31989" s="4" t="s">
        <v>40275</v>
      </c>
      <c r="B31989" s="4" t="s">
        <v>1251</v>
      </c>
      <c r="C31989" s="5" t="str">
        <f>IFERROR(__xludf.DUMMYFUNCTION("GOOGLETRANSLATE(B31989,""en"",""es-ES"")"),"Se muestran los créditos del clip.")</f>
        <v>Se muestran los créditos del clip.</v>
      </c>
    </row>
    <row r="31990">
      <c r="A31990" s="4" t="s">
        <v>40275</v>
      </c>
      <c r="B31990" s="4" t="s">
        <v>40276</v>
      </c>
      <c r="C31990" s="5" t="str">
        <f>IFERROR(__xludf.DUMMYFUNCTION("GOOGLETRANSLATE(B31990,""en"",""es-ES"")"),"Un hombre se para en un riel de escalera sosteniendo un cuchillo.")</f>
        <v>Un hombre se para en un riel de escalera sosteniendo un cuchillo.</v>
      </c>
    </row>
    <row r="31991">
      <c r="A31991" s="4" t="s">
        <v>40275</v>
      </c>
      <c r="B31991" s="4" t="s">
        <v>40277</v>
      </c>
      <c r="C31991" s="5" t="str">
        <f>IFERROR(__xludf.DUMMYFUNCTION("GOOGLETRANSLATE(B31991,""en"",""es-ES"")"),"Un chico se prepara para tocar la batería.")</f>
        <v>Un chico se prepara para tocar la batería.</v>
      </c>
    </row>
    <row r="31992">
      <c r="A31992" s="4" t="s">
        <v>40275</v>
      </c>
      <c r="B31992" s="4" t="s">
        <v>40278</v>
      </c>
      <c r="C31992" s="5" t="str">
        <f>IFERROR(__xludf.DUMMYFUNCTION("GOOGLETRANSLATE(B31992,""en"",""es-ES"")"),"El tipo toca una batería.")</f>
        <v>El tipo toca una batería.</v>
      </c>
    </row>
    <row r="31993">
      <c r="A31993" s="4" t="s">
        <v>40279</v>
      </c>
      <c r="B31993" s="4" t="s">
        <v>40280</v>
      </c>
      <c r="C31993" s="5" t="str">
        <f>IFERROR(__xludf.DUMMYFUNCTION("GOOGLETRANSLATE(B31993,""en"",""es-ES"")"),"Se muestran varias tomas de un hombre que se calienta y realiza trucos de artes marciales.")</f>
        <v>Se muestran varias tomas de un hombre que se calienta y realiza trucos de artes marciales.</v>
      </c>
    </row>
    <row r="31994">
      <c r="A31994" s="4" t="s">
        <v>40279</v>
      </c>
      <c r="B31994" s="4" t="s">
        <v>40281</v>
      </c>
      <c r="C31994" s="5" t="str">
        <f>IFERROR(__xludf.DUMMYFUNCTION("GOOGLETRANSLATE(B31994,""en"",""es-ES"")"),"Un hombre habla con la cámara mientras se muestran varios clips de personas volteando y haciendo trucos en varios lugares.")</f>
        <v>Un hombre habla con la cámara mientras se muestran varios clips de personas volteando y haciendo trucos en varios lugares.</v>
      </c>
    </row>
    <row r="31995">
      <c r="A31995" s="4" t="s">
        <v>40279</v>
      </c>
      <c r="B31995" s="4" t="s">
        <v>40282</v>
      </c>
      <c r="C31995" s="5" t="str">
        <f>IFERROR(__xludf.DUMMYFUNCTION("GOOGLETRANSLATE(B31995,""en"",""es-ES"")"),"La gente salta y se voltea y continúa actuando a Parkour.")</f>
        <v>La gente salta y se voltea y continúa actuando a Parkour.</v>
      </c>
    </row>
    <row r="31996">
      <c r="A31996" s="4" t="s">
        <v>40283</v>
      </c>
      <c r="B31996" s="4" t="s">
        <v>40284</v>
      </c>
      <c r="C31996" s="5" t="str">
        <f>IFERROR(__xludf.DUMMYFUNCTION("GOOGLETRANSLATE(B31996,""en"",""es-ES"")"),"Se muestra un gran desfile de personas que marchan por una calle con varios cientos de personas mirando a un lado.")</f>
        <v>Se muestra un gran desfile de personas que marchan por una calle con varios cientos de personas mirando a un lado.</v>
      </c>
    </row>
    <row r="31997">
      <c r="A31997" s="4" t="s">
        <v>40283</v>
      </c>
      <c r="B31997" s="4" t="s">
        <v>40285</v>
      </c>
      <c r="C31997" s="5" t="str">
        <f>IFERROR(__xludf.DUMMYFUNCTION("GOOGLETRANSLATE(B31997,""en"",""es-ES"")"),"La gente continúa tocando los instrumentos mientras la cámara se desplaza alrededor del gran grupo de personas y después del desfile.")</f>
        <v>La gente continúa tocando los instrumentos mientras la cámara se desplaza alrededor del gran grupo de personas y después del desfile.</v>
      </c>
    </row>
    <row r="31998">
      <c r="A31998" s="4" t="s">
        <v>40286</v>
      </c>
      <c r="B31998" s="4" t="s">
        <v>40287</v>
      </c>
      <c r="C31998" s="5" t="str">
        <f>IFERROR(__xludf.DUMMYFUNCTION("GOOGLETRANSLATE(B31998,""en"",""es-ES"")"),"Un hombre está bebiendo una cerveza durante un juego, mientras que otros miran y sonríen.")</f>
        <v>Un hombre está bebiendo una cerveza durante un juego, mientras que otros miran y sonríen.</v>
      </c>
    </row>
    <row r="31999">
      <c r="A31999" s="4" t="s">
        <v>40286</v>
      </c>
      <c r="B31999" s="4" t="s">
        <v>40288</v>
      </c>
      <c r="C31999" s="5" t="str">
        <f>IFERROR(__xludf.DUMMYFUNCTION("GOOGLETRANSLATE(B31999,""en"",""es-ES"")"),"Varias personas están viendo el partido y el hombre bebiendo una cerveza mira a la cámara y sonríe.")</f>
        <v>Varias personas están viendo el partido y el hombre bebiendo una cerveza mira a la cámara y sonríe.</v>
      </c>
    </row>
    <row r="32000">
      <c r="A32000" s="4" t="s">
        <v>40289</v>
      </c>
      <c r="B32000" s="4" t="s">
        <v>40290</v>
      </c>
      <c r="C32000" s="5" t="str">
        <f>IFERROR(__xludf.DUMMYFUNCTION("GOOGLETRANSLATE(B32000,""en"",""es-ES"")"),"Un grupo de personas que vuelven a montar bicicletas estacionarias en un gran gimnasio.")</f>
        <v>Un grupo de personas que vuelven a montar bicicletas estacionarias en un gran gimnasio.</v>
      </c>
    </row>
    <row r="32001">
      <c r="A32001" s="4" t="s">
        <v>40289</v>
      </c>
      <c r="B32001" s="4" t="s">
        <v>40291</v>
      </c>
      <c r="C32001" s="5" t="str">
        <f>IFERROR(__xludf.DUMMYFUNCTION("GOOGLETRANSLATE(B32001,""en"",""es-ES"")"),"Un hombre mueve una bicicleta estacionaria.")</f>
        <v>Un hombre mueve una bicicleta estacionaria.</v>
      </c>
    </row>
    <row r="32002">
      <c r="A32002" s="4" t="s">
        <v>40289</v>
      </c>
      <c r="B32002" s="4" t="s">
        <v>40292</v>
      </c>
      <c r="C32002" s="5" t="str">
        <f>IFERROR(__xludf.DUMMYFUNCTION("GOOGLETRANSLATE(B32002,""en"",""es-ES"")"),"Una mujer ajusta el sombrero de copa que lleva puesto.")</f>
        <v>Una mujer ajusta el sombrero de copa que lleva puesto.</v>
      </c>
    </row>
    <row r="32003">
      <c r="A32003" s="4" t="s">
        <v>40293</v>
      </c>
      <c r="B32003" s="4" t="s">
        <v>40294</v>
      </c>
      <c r="C32003" s="5" t="str">
        <f>IFERROR(__xludf.DUMMYFUNCTION("GOOGLETRANSLATE(B32003,""en"",""es-ES"")"),"Se ve a un hombre hablando con la cámara y comienza a diseñar lona junto a un árbol.")</f>
        <v>Se ve a un hombre hablando con la cámara y comienza a diseñar lona junto a un árbol.</v>
      </c>
    </row>
    <row r="32004">
      <c r="A32004" s="4" t="s">
        <v>40293</v>
      </c>
      <c r="B32004" s="4" t="s">
        <v>40295</v>
      </c>
      <c r="C32004" s="5" t="str">
        <f>IFERROR(__xludf.DUMMYFUNCTION("GOOGLETRANSLATE(B32004,""en"",""es-ES"")"),"El hombre corta la lona y comienza a poner mantillo alrededor del árbol.")</f>
        <v>El hombre corta la lona y comienza a poner mantillo alrededor del árbol.</v>
      </c>
    </row>
    <row r="32005">
      <c r="A32005" s="4" t="s">
        <v>40296</v>
      </c>
      <c r="B32005" s="4" t="s">
        <v>40297</v>
      </c>
      <c r="C32005" s="5" t="str">
        <f>IFERROR(__xludf.DUMMYFUNCTION("GOOGLETRANSLATE(B32005,""en"",""es-ES"")"),"Dos hombres se sientan a través de una mesa y comienzan un partido de lucha libre.")</f>
        <v>Dos hombres se sientan a través de una mesa y comienzan un partido de lucha libre.</v>
      </c>
    </row>
    <row r="32006">
      <c r="A32006" s="4" t="s">
        <v>40296</v>
      </c>
      <c r="B32006" s="4" t="s">
        <v>40298</v>
      </c>
      <c r="C32006" s="5" t="str">
        <f>IFERROR(__xludf.DUMMYFUNCTION("GOOGLETRANSLATE(B32006,""en"",""es-ES"")"),"Ambos luchan un poco hasta que el hombre de la izquierda finalmente gana.")</f>
        <v>Ambos luchan un poco hasta que el hombre de la izquierda finalmente gana.</v>
      </c>
    </row>
    <row r="32007">
      <c r="A32007" s="4" t="s">
        <v>40299</v>
      </c>
      <c r="B32007" s="4" t="s">
        <v>40300</v>
      </c>
      <c r="C32007" s="5" t="str">
        <f>IFERROR(__xludf.DUMMYFUNCTION("GOOGLETRANSLATE(B32007,""en"",""es-ES"")"),"Se ve a un pequeño grupo de niños sosteniendo una cuerda con un hombre parado frente a ellos hablando con ellos.")</f>
        <v>Se ve a un pequeño grupo de niños sosteniendo una cuerda con un hombre parado frente a ellos hablando con ellos.</v>
      </c>
    </row>
    <row r="32008">
      <c r="A32008" s="4" t="s">
        <v>40299</v>
      </c>
      <c r="B32008" s="4" t="s">
        <v>40301</v>
      </c>
      <c r="C32008" s="5" t="str">
        <f>IFERROR(__xludf.DUMMYFUNCTION("GOOGLETRANSLATE(B32008,""en"",""es-ES"")"),"Los niños continúan tirando de la ayuda de los adultos y luego animar al final.")</f>
        <v>Los niños continúan tirando de la ayuda de los adultos y luego animar al final.</v>
      </c>
    </row>
    <row r="32009">
      <c r="A32009" s="4" t="s">
        <v>40302</v>
      </c>
      <c r="B32009" s="4" t="s">
        <v>40303</v>
      </c>
      <c r="C32009" s="5" t="str">
        <f>IFERROR(__xludf.DUMMYFUNCTION("GOOGLETRANSLATE(B32009,""en"",""es-ES"")"),"Un jinete se sienta sobre un caballo y una persona se para en el frente de un chute de ganado.")</f>
        <v>Un jinete se sienta sobre un caballo y una persona se para en el frente de un chute de ganado.</v>
      </c>
    </row>
    <row r="32010">
      <c r="A32010" s="4" t="s">
        <v>40302</v>
      </c>
      <c r="B32010" s="4" t="s">
        <v>40304</v>
      </c>
      <c r="C32010" s="5" t="str">
        <f>IFERROR(__xludf.DUMMYFUNCTION("GOOGLETRANSLATE(B32010,""en"",""es-ES"")"),"De repente, el jinete y un ternero corren hacia la arena, mientras que el jinete corre detrás del ternero girando en el aire una cuerda.")</f>
        <v>De repente, el jinete y un ternero corren hacia la arena, mientras que el jinete corre detrás del ternero girando en el aire una cuerda.</v>
      </c>
    </row>
    <row r="32011">
      <c r="A32011" s="4" t="s">
        <v>40302</v>
      </c>
      <c r="B32011" s="4" t="s">
        <v>40305</v>
      </c>
      <c r="C32011" s="5" t="str">
        <f>IFERROR(__xludf.DUMMYFUNCTION("GOOGLETRANSLATE(B32011,""en"",""es-ES"")"),"Después, el jinete lanza el aro y atrapa la pantorrilla, luego rápidamente acuesta la pantorrilla en el piso y ate las piernas.")</f>
        <v>Después, el jinete lanza el aro y atrapa la pantorrilla, luego rápidamente acuesta la pantorrilla en el piso y ate las piernas.</v>
      </c>
    </row>
    <row r="32012">
      <c r="A32012" s="4" t="s">
        <v>40306</v>
      </c>
      <c r="B32012" s="4" t="s">
        <v>40307</v>
      </c>
      <c r="C32012" s="5" t="str">
        <f>IFERROR(__xludf.DUMMYFUNCTION("GOOGLETRANSLATE(B32012,""en"",""es-ES"")"),"Se ve a un niño pequeño subiendo a un tobogán y abordando su camino más cerca del borde.")</f>
        <v>Se ve a un niño pequeño subiendo a un tobogán y abordando su camino más cerca del borde.</v>
      </c>
    </row>
    <row r="32013">
      <c r="A32013" s="4" t="s">
        <v>40306</v>
      </c>
      <c r="B32013" s="4" t="s">
        <v>40308</v>
      </c>
      <c r="C32013" s="5" t="str">
        <f>IFERROR(__xludf.DUMMYFUNCTION("GOOGLETRANSLATE(B32013,""en"",""es-ES"")"),"La niña luego cabalga por el tobogán sonriendo y se aleja.")</f>
        <v>La niña luego cabalga por el tobogán sonriendo y se aleja.</v>
      </c>
    </row>
    <row r="32014">
      <c r="A32014" s="4" t="s">
        <v>40309</v>
      </c>
      <c r="B32014" s="4" t="s">
        <v>40310</v>
      </c>
      <c r="C32014" s="5" t="str">
        <f>IFERROR(__xludf.DUMMYFUNCTION("GOOGLETRANSLATE(B32014,""en"",""es-ES"")"),"Una botella transparente vierte una bebida en un vaso de cóctel.")</f>
        <v>Una botella transparente vierte una bebida en un vaso de cóctel.</v>
      </c>
    </row>
    <row r="32015">
      <c r="A32015" s="4" t="s">
        <v>40309</v>
      </c>
      <c r="B32015" s="4" t="s">
        <v>40311</v>
      </c>
      <c r="C32015" s="5" t="str">
        <f>IFERROR(__xludf.DUMMYFUNCTION("GOOGLETRANSLATE(B32015,""en"",""es-ES"")"),"Un camarero recoge una taza de acero inoxidable y saca hielo.")</f>
        <v>Un camarero recoge una taza de acero inoxidable y saca hielo.</v>
      </c>
    </row>
    <row r="32016">
      <c r="A32016" s="4" t="s">
        <v>40309</v>
      </c>
      <c r="B32016" s="4" t="s">
        <v>40312</v>
      </c>
      <c r="C32016" s="5" t="str">
        <f>IFERROR(__xludf.DUMMYFUNCTION("GOOGLETRANSLATE(B32016,""en"",""es-ES"")"),"El cantinero vierte licores en un vaso de chupito y los arroja en una taza.")</f>
        <v>El cantinero vierte licores en un vaso de chupito y los arroja en una taza.</v>
      </c>
    </row>
    <row r="32017">
      <c r="A32017" s="4" t="s">
        <v>40309</v>
      </c>
      <c r="B32017" s="4" t="s">
        <v>40313</v>
      </c>
      <c r="C32017" s="5" t="str">
        <f>IFERROR(__xludf.DUMMYFUNCTION("GOOGLETRANSLATE(B32017,""en"",""es-ES"")"),"El cantinero limita la taza y se sacude vigorosamente.")</f>
        <v>El cantinero limita la taza y se sacude vigorosamente.</v>
      </c>
    </row>
    <row r="32018">
      <c r="A32018" s="4" t="s">
        <v>40309</v>
      </c>
      <c r="B32018" s="4" t="s">
        <v>40314</v>
      </c>
      <c r="C32018" s="5" t="str">
        <f>IFERROR(__xludf.DUMMYFUNCTION("GOOGLETRANSLATE(B32018,""en"",""es-ES"")"),"El contenido de la copa de mezcla se vierte en una copa de martini.")</f>
        <v>El contenido de la copa de mezcla se vierte en una copa de martini.</v>
      </c>
    </row>
    <row r="32019">
      <c r="A32019" s="4" t="s">
        <v>40315</v>
      </c>
      <c r="B32019" s="4" t="s">
        <v>40316</v>
      </c>
      <c r="C32019" s="5" t="str">
        <f>IFERROR(__xludf.DUMMYFUNCTION("GOOGLETRANSLATE(B32019,""en"",""es-ES"")"),"Un hombre toca sus caras y olas.")</f>
        <v>Un hombre toca sus caras y olas.</v>
      </c>
    </row>
    <row r="32020">
      <c r="A32020" s="4" t="s">
        <v>40315</v>
      </c>
      <c r="B32020" s="4" t="s">
        <v>40317</v>
      </c>
      <c r="C32020" s="5" t="str">
        <f>IFERROR(__xludf.DUMMYFUNCTION("GOOGLETRANSLATE(B32020,""en"",""es-ES"")"),"El hombre camina un cortacésped a través de la hierba de crecimiento muy alto.")</f>
        <v>El hombre camina un cortacésped a través de la hierba de crecimiento muy alto.</v>
      </c>
    </row>
    <row r="32021">
      <c r="A32021" s="4" t="s">
        <v>40318</v>
      </c>
      <c r="B32021" s="4" t="s">
        <v>40319</v>
      </c>
      <c r="C32021" s="5" t="str">
        <f>IFERROR(__xludf.DUMMYFUNCTION("GOOGLETRANSLATE(B32021,""en"",""es-ES"")"),"Una mujer de mediana edad está parada en una habitación detrás de una mesa llena de dolor y cepillos de varios tamaños y una imagen de árboles en un caballete.")</f>
        <v>Una mujer de mediana edad está parada en una habitación detrás de una mesa llena de dolor y cepillos de varios tamaños y una imagen de árboles en un caballete.</v>
      </c>
    </row>
    <row r="32022">
      <c r="A32022" s="4" t="s">
        <v>40318</v>
      </c>
      <c r="B32022" s="4" t="s">
        <v>40320</v>
      </c>
      <c r="C32022" s="5" t="str">
        <f>IFERROR(__xludf.DUMMYFUNCTION("GOOGLETRANSLATE(B32022,""en"",""es-ES"")"),"En su mano izquierda, tiene una rueda de pintura y comienza a hacer Stokes en la imagen para completar su imagen.")</f>
        <v>En su mano izquierda, tiene una rueda de pintura y comienza a hacer Stokes en la imagen para completar su imagen.</v>
      </c>
    </row>
    <row r="32023">
      <c r="A32023" s="4" t="s">
        <v>40318</v>
      </c>
      <c r="B32023" s="4" t="s">
        <v>40321</v>
      </c>
      <c r="C32023" s="5" t="str">
        <f>IFERROR(__xludf.DUMMYFUNCTION("GOOGLETRANSLATE(B32023,""en"",""es-ES"")"),"Ella va y viene de la pintura al tablero y muestra cómo hacer un árbol y luego limpia sus pinceles.")</f>
        <v>Ella va y viene de la pintura al tablero y muestra cómo hacer un árbol y luego limpia sus pinceles.</v>
      </c>
    </row>
    <row r="32024">
      <c r="A32024" s="4" t="s">
        <v>40322</v>
      </c>
      <c r="B32024" s="4" t="s">
        <v>40323</v>
      </c>
      <c r="C32024" s="5" t="str">
        <f>IFERROR(__xludf.DUMMYFUNCTION("GOOGLETRANSLATE(B32024,""en"",""es-ES"")"),"Una persona está talando una calabaza.")</f>
        <v>Una persona está talando una calabaza.</v>
      </c>
    </row>
    <row r="32025">
      <c r="A32025" s="4" t="s">
        <v>40322</v>
      </c>
      <c r="B32025" s="4" t="s">
        <v>40324</v>
      </c>
      <c r="C32025" s="5" t="str">
        <f>IFERROR(__xludf.DUMMYFUNCTION("GOOGLETRANSLATE(B32025,""en"",""es-ES"")"),"Vemos a dos personas una al lado de las calabazas.")</f>
        <v>Vemos a dos personas una al lado de las calabazas.</v>
      </c>
    </row>
    <row r="32026">
      <c r="A32026" s="4" t="s">
        <v>40322</v>
      </c>
      <c r="B32026" s="4" t="s">
        <v>40325</v>
      </c>
      <c r="C32026" s="5" t="str">
        <f>IFERROR(__xludf.DUMMYFUNCTION("GOOGLETRANSLATE(B32026,""en"",""es-ES"")"),"Vemos desde el interior de la calabaza mientras están siendo tallados.")</f>
        <v>Vemos desde el interior de la calabaza mientras están siendo tallados.</v>
      </c>
    </row>
    <row r="32027">
      <c r="A32027" s="4" t="s">
        <v>40322</v>
      </c>
      <c r="B32027" s="4" t="s">
        <v>40326</v>
      </c>
      <c r="C32027" s="5" t="str">
        <f>IFERROR(__xludf.DUMMYFUNCTION("GOOGLETRANSLATE(B32027,""en"",""es-ES"")"),"Vemos cinco calabazas en un sofá y en la oscuridad iluminada desde el interior.")</f>
        <v>Vemos cinco calabazas en un sofá y en la oscuridad iluminada desde el interior.</v>
      </c>
    </row>
    <row r="32028">
      <c r="A32028" s="4" t="s">
        <v>40322</v>
      </c>
      <c r="B32028" s="4" t="s">
        <v>27504</v>
      </c>
      <c r="C32028" s="5" t="str">
        <f>IFERROR(__xludf.DUMMYFUNCTION("GOOGLETRANSLATE(B32028,""en"",""es-ES"")"),"Vemos una pantalla de título de cierre.")</f>
        <v>Vemos una pantalla de título de cierre.</v>
      </c>
    </row>
    <row r="32029">
      <c r="A32029" s="4" t="s">
        <v>40327</v>
      </c>
      <c r="B32029" s="4" t="s">
        <v>40328</v>
      </c>
      <c r="C32029" s="5" t="str">
        <f>IFERROR(__xludf.DUMMYFUNCTION("GOOGLETRANSLATE(B32029,""en"",""es-ES"")"),"Una mujer está sentada en el sofá y pone los pies en los tacones impresos de Python.")</f>
        <v>Una mujer está sentada en el sofá y pone los pies en los tacones impresos de Python.</v>
      </c>
    </row>
    <row r="32030">
      <c r="A32030" s="4" t="s">
        <v>40327</v>
      </c>
      <c r="B32030" s="4" t="s">
        <v>40329</v>
      </c>
      <c r="C32030" s="5" t="str">
        <f>IFERROR(__xludf.DUMMYFUNCTION("GOOGLETRANSLATE(B32030,""en"",""es-ES"")"),"Una vez que están encendidas, se pone de pie y camina mientras la cámara se acerca a sus uñas de punta roja pintada.")</f>
        <v>Una vez que están encendidas, se pone de pie y camina mientras la cámara se acerca a sus uñas de punta roja pintada.</v>
      </c>
    </row>
    <row r="32031">
      <c r="A32031" s="4" t="s">
        <v>40330</v>
      </c>
      <c r="B32031" s="4" t="s">
        <v>40331</v>
      </c>
      <c r="C32031" s="5" t="str">
        <f>IFERROR(__xludf.DUMMYFUNCTION("GOOGLETRANSLATE(B32031,""en"",""es-ES"")"),"Un hombre con un disfraz azul arroja algo a la audiencia.")</f>
        <v>Un hombre con un disfraz azul arroja algo a la audiencia.</v>
      </c>
    </row>
    <row r="32032">
      <c r="A32032" s="4" t="s">
        <v>40330</v>
      </c>
      <c r="B32032" s="4" t="s">
        <v>40332</v>
      </c>
      <c r="C32032" s="5" t="str">
        <f>IFERROR(__xludf.DUMMYFUNCTION("GOOGLETRANSLATE(B32032,""en"",""es-ES"")"),"Recoge una lata verde y toma una copa.")</f>
        <v>Recoge una lata verde y toma una copa.</v>
      </c>
    </row>
    <row r="32033">
      <c r="A32033" s="4" t="s">
        <v>40330</v>
      </c>
      <c r="B32033" s="4" t="s">
        <v>40333</v>
      </c>
      <c r="C32033" s="5" t="str">
        <f>IFERROR(__xludf.DUMMYFUNCTION("GOOGLETRANSLATE(B32033,""en"",""es-ES"")"),"Luego toca las tijeras de papel de rock con otro hombre frente a él.")</f>
        <v>Luego toca las tijeras de papel de rock con otro hombre frente a él.</v>
      </c>
    </row>
    <row r="32034">
      <c r="A32034" s="4" t="s">
        <v>40334</v>
      </c>
      <c r="B32034" s="4" t="s">
        <v>40335</v>
      </c>
      <c r="C32034" s="5" t="str">
        <f>IFERROR(__xludf.DUMMYFUNCTION("GOOGLETRANSLATE(B32034,""en"",""es-ES"")"),"Un hombre pega la nieve desde un camino de entrada.")</f>
        <v>Un hombre pega la nieve desde un camino de entrada.</v>
      </c>
    </row>
    <row r="32035">
      <c r="A32035" s="4" t="s">
        <v>40334</v>
      </c>
      <c r="B32035" s="4" t="s">
        <v>40336</v>
      </c>
      <c r="C32035" s="5" t="str">
        <f>IFERROR(__xludf.DUMMYFUNCTION("GOOGLETRANSLATE(B32035,""en"",""es-ES"")"),"La cámara se maneja para mostrar a otro hombre usando una máquina de pala eléctrica para despejar el espectáculo de su camino de entrada.")</f>
        <v>La cámara se maneja para mostrar a otro hombre usando una máquina de pala eléctrica para despejar el espectáculo de su camino de entrada.</v>
      </c>
    </row>
    <row r="32036">
      <c r="A32036" s="4" t="s">
        <v>40334</v>
      </c>
      <c r="B32036" s="4" t="s">
        <v>40337</v>
      </c>
      <c r="C32036" s="5" t="str">
        <f>IFERROR(__xludf.DUMMYFUNCTION("GOOGLETRANSLATE(B32036,""en"",""es-ES"")"),"El hombre termina limpiando la nieve y se vuelve hacia la cámara.")</f>
        <v>El hombre termina limpiando la nieve y se vuelve hacia la cámara.</v>
      </c>
    </row>
    <row r="32037">
      <c r="A32037" s="4" t="s">
        <v>40338</v>
      </c>
      <c r="B32037" s="4" t="s">
        <v>27300</v>
      </c>
      <c r="C32037" s="5" t="str">
        <f>IFERROR(__xludf.DUMMYFUNCTION("GOOGLETRANSLATE(B32037,""en"",""es-ES"")"),"Vemos una pantalla de apertura animada.")</f>
        <v>Vemos una pantalla de apertura animada.</v>
      </c>
    </row>
    <row r="32038">
      <c r="A32038" s="4" t="s">
        <v>40338</v>
      </c>
      <c r="B32038" s="4" t="s">
        <v>40339</v>
      </c>
      <c r="C32038" s="5" t="str">
        <f>IFERROR(__xludf.DUMMYFUNCTION("GOOGLETRANSLATE(B32038,""en"",""es-ES"")"),"Vemos una vista aérea de una playa con gente por todas partes.")</f>
        <v>Vemos una vista aérea de una playa con gente por todas partes.</v>
      </c>
    </row>
    <row r="32039">
      <c r="A32039" s="4" t="s">
        <v>40338</v>
      </c>
      <c r="B32039" s="4" t="s">
        <v>40340</v>
      </c>
      <c r="C32039" s="5" t="str">
        <f>IFERROR(__xludf.DUMMYFUNCTION("GOOGLETRANSLATE(B32039,""en"",""es-ES"")"),"Vemos gente construyendo castillos de arena.")</f>
        <v>Vemos gente construyendo castillos de arena.</v>
      </c>
    </row>
    <row r="32040">
      <c r="A32040" s="4" t="s">
        <v>40338</v>
      </c>
      <c r="B32040" s="4" t="s">
        <v>40341</v>
      </c>
      <c r="C32040" s="5" t="str">
        <f>IFERROR(__xludf.DUMMYFUNCTION("GOOGLETRANSLATE(B32040,""en"",""es-ES"")"),"Entrevistamos a un juez que luego camina entre la gente.")</f>
        <v>Entrevistamos a un juez que luego camina entre la gente.</v>
      </c>
    </row>
    <row r="32041">
      <c r="A32041" s="4" t="s">
        <v>40338</v>
      </c>
      <c r="B32041" s="4" t="s">
        <v>40342</v>
      </c>
      <c r="C32041" s="5" t="str">
        <f>IFERROR(__xludf.DUMMYFUNCTION("GOOGLETRANSLATE(B32041,""en"",""es-ES"")"),"Vemos a dos hombres entrevistados.")</f>
        <v>Vemos a dos hombres entrevistados.</v>
      </c>
    </row>
    <row r="32042">
      <c r="A32042" s="4" t="s">
        <v>40338</v>
      </c>
      <c r="B32042" s="4" t="s">
        <v>40343</v>
      </c>
      <c r="C32042" s="5" t="str">
        <f>IFERROR(__xludf.DUMMYFUNCTION("GOOGLETRANSLATE(B32042,""en"",""es-ES"")"),"Vemos un toldo sobre la playa y las toldos más allá de eso.")</f>
        <v>Vemos un toldo sobre la playa y las toldos más allá de eso.</v>
      </c>
    </row>
    <row r="32043">
      <c r="A32043" s="4" t="s">
        <v>40344</v>
      </c>
      <c r="B32043" s="4" t="s">
        <v>40345</v>
      </c>
      <c r="C32043" s="5" t="str">
        <f>IFERROR(__xludf.DUMMYFUNCTION("GOOGLETRANSLATE(B32043,""en"",""es-ES"")"),"Hay una mujer con un suéter rojo y una camisa blanca y pantalones azules sentados en su sala de estar en un sofá de cuero marrón.")</f>
        <v>Hay una mujer con un suéter rojo y una camisa blanca y pantalones azules sentados en su sala de estar en un sofá de cuero marrón.</v>
      </c>
    </row>
    <row r="32044">
      <c r="A32044" s="4" t="s">
        <v>40344</v>
      </c>
      <c r="B32044" s="4" t="s">
        <v>40346</v>
      </c>
      <c r="C32044" s="5" t="str">
        <f>IFERROR(__xludf.DUMMYFUNCTION("GOOGLETRANSLATE(B32044,""en"",""es-ES"")"),"Ella está sosteniendo una lata de spray de esmalte de muebles en su mano.")</f>
        <v>Ella está sosteniendo una lata de spray de esmalte de muebles en su mano.</v>
      </c>
    </row>
    <row r="32045">
      <c r="A32045" s="4" t="s">
        <v>40344</v>
      </c>
      <c r="B32045" s="4" t="s">
        <v>40347</v>
      </c>
      <c r="C32045" s="5" t="str">
        <f>IFERROR(__xludf.DUMMYFUNCTION("GOOGLETRANSLATE(B32045,""en"",""es-ES"")"),"También tiene una toalla de papel en su otra mano que usa para limpiar la mesa.")</f>
        <v>También tiene una toalla de papel en su otra mano que usa para limpiar la mesa.</v>
      </c>
    </row>
    <row r="32046">
      <c r="A32046" s="4" t="s">
        <v>40344</v>
      </c>
      <c r="B32046" s="4" t="s">
        <v>40348</v>
      </c>
      <c r="C32046" s="5" t="str">
        <f>IFERROR(__xludf.DUMMYFUNCTION("GOOGLETRANSLATE(B32046,""en"",""es-ES"")"),"Ella rocía la superficie de la mesa de madera con el aerosol y luego la limpia con la toalla de papel blanco.")</f>
        <v>Ella rocía la superficie de la mesa de madera con el aerosol y luego la limpia con la toalla de papel blanco.</v>
      </c>
    </row>
    <row r="32047">
      <c r="A32047" s="4" t="s">
        <v>40344</v>
      </c>
      <c r="B32047" s="4" t="s">
        <v>40349</v>
      </c>
      <c r="C32047" s="5" t="str">
        <f>IFERROR(__xludf.DUMMYFUNCTION("GOOGLETRANSLATE(B32047,""en"",""es-ES"")"),"Ella explica cómo usar el spray y limpiar los muebles.")</f>
        <v>Ella explica cómo usar el spray y limpiar los muebles.</v>
      </c>
    </row>
    <row r="32048">
      <c r="A32048" s="4" t="s">
        <v>40350</v>
      </c>
      <c r="B32048" s="4" t="s">
        <v>40351</v>
      </c>
      <c r="C32048" s="5" t="str">
        <f>IFERROR(__xludf.DUMMYFUNCTION("GOOGLETRANSLATE(B32048,""en"",""es-ES"")"),"Vemos a un hombre parado en una habitación.")</f>
        <v>Vemos a un hombre parado en una habitación.</v>
      </c>
    </row>
    <row r="32049">
      <c r="A32049" s="4" t="s">
        <v>40350</v>
      </c>
      <c r="B32049" s="4" t="s">
        <v>40352</v>
      </c>
      <c r="C32049" s="5" t="str">
        <f>IFERROR(__xludf.DUMMYFUNCTION("GOOGLETRANSLATE(B32049,""en"",""es-ES"")"),"El hombre comienza a realizar Tai Chi.")</f>
        <v>El hombre comienza a realizar Tai Chi.</v>
      </c>
    </row>
    <row r="32050">
      <c r="A32050" s="4" t="s">
        <v>40350</v>
      </c>
      <c r="B32050" s="4" t="s">
        <v>40353</v>
      </c>
      <c r="C32050" s="5" t="str">
        <f>IFERROR(__xludf.DUMMYFUNCTION("GOOGLETRANSLATE(B32050,""en"",""es-ES"")"),"El hombre gira y se enfrenta a la izquierda.")</f>
        <v>El hombre gira y se enfrenta a la izquierda.</v>
      </c>
    </row>
    <row r="32051">
      <c r="A32051" s="4" t="s">
        <v>40350</v>
      </c>
      <c r="B32051" s="4" t="s">
        <v>40354</v>
      </c>
      <c r="C32051" s="5" t="str">
        <f>IFERROR(__xludf.DUMMYFUNCTION("GOOGLETRANSLATE(B32051,""en"",""es-ES"")"),"El hombre se vuelve hacia la cara a la derecha.")</f>
        <v>El hombre se vuelve hacia la cara a la derecha.</v>
      </c>
    </row>
    <row r="32052">
      <c r="A32052" s="4" t="s">
        <v>40350</v>
      </c>
      <c r="B32052" s="4" t="s">
        <v>40355</v>
      </c>
      <c r="C32052" s="5" t="str">
        <f>IFERROR(__xludf.DUMMYFUNCTION("GOOGLETRANSLATE(B32052,""en"",""es-ES"")"),"El hombre se dirige al lado derecho de la habitación lentamente.")</f>
        <v>El hombre se dirige al lado derecho de la habitación lentamente.</v>
      </c>
    </row>
    <row r="32053">
      <c r="A32053" s="4" t="s">
        <v>40350</v>
      </c>
      <c r="B32053" s="4" t="s">
        <v>40356</v>
      </c>
      <c r="C32053" s="5" t="str">
        <f>IFERROR(__xludf.DUMMYFUNCTION("GOOGLETRANSLATE(B32053,""en"",""es-ES"")"),"La pantalla luego se desvanece hacia las negras.")</f>
        <v>La pantalla luego se desvanece hacia las negras.</v>
      </c>
    </row>
    <row r="32054">
      <c r="A32054" s="4" t="s">
        <v>40357</v>
      </c>
      <c r="B32054" s="4" t="s">
        <v>40358</v>
      </c>
      <c r="C32054" s="5" t="str">
        <f>IFERROR(__xludf.DUMMYFUNCTION("GOOGLETRANSLATE(B32054,""en"",""es-ES"")"),"Un joven juega el violín en una acera para personas que pasan en el centro de la ciudad.")</f>
        <v>Un joven juega el violín en una acera para personas que pasan en el centro de la ciudad.</v>
      </c>
    </row>
    <row r="32055">
      <c r="A32055" s="4" t="s">
        <v>40357</v>
      </c>
      <c r="B32055" s="4" t="s">
        <v>40359</v>
      </c>
      <c r="C32055" s="5" t="str">
        <f>IFERROR(__xludf.DUMMYFUNCTION("GOOGLETRANSLATE(B32055,""en"",""es-ES"")"),"Dos estudiantes caminan detrás del músico mientras toca.")</f>
        <v>Dos estudiantes caminan detrás del músico mientras toca.</v>
      </c>
    </row>
    <row r="32056">
      <c r="A32056" s="4" t="s">
        <v>40357</v>
      </c>
      <c r="B32056" s="4" t="s">
        <v>40360</v>
      </c>
      <c r="C32056" s="5" t="str">
        <f>IFERROR(__xludf.DUMMYFUNCTION("GOOGLETRANSLATE(B32056,""en"",""es-ES"")"),"La mujer en el banco se ha vuelto para ver que el hombre toca la canción.")</f>
        <v>La mujer en el banco se ha vuelto para ver que el hombre toca la canción.</v>
      </c>
    </row>
    <row r="32057">
      <c r="A32057" s="4" t="s">
        <v>40357</v>
      </c>
      <c r="B32057" s="4" t="s">
        <v>40361</v>
      </c>
      <c r="C32057" s="5" t="str">
        <f>IFERROR(__xludf.DUMMYFUNCTION("GOOGLETRANSLATE(B32057,""en"",""es-ES"")"),"Un hombre deja un cambio en la Copa del Músico después de tocarse.")</f>
        <v>Un hombre deja un cambio en la Copa del Músico después de tocarse.</v>
      </c>
    </row>
    <row r="32058">
      <c r="A32058" s="4" t="s">
        <v>40362</v>
      </c>
      <c r="B32058" s="4" t="s">
        <v>40363</v>
      </c>
      <c r="C32058" s="5" t="str">
        <f>IFERROR(__xludf.DUMMYFUNCTION("GOOGLETRANSLATE(B32058,""en"",""es-ES"")"),"Un hombre está montando un caballo en un rodeo y atrapa un toro, mientras que en los grados, la gente los está mirando y otros hombres en un HSE están al lado de la cancha.")</f>
        <v>Un hombre está montando un caballo en un rodeo y atrapa un toro, mientras que en los grados, la gente los está mirando y otros hombres en un HSE están al lado de la cancha.</v>
      </c>
    </row>
    <row r="32059">
      <c r="A32059" s="4" t="s">
        <v>40362</v>
      </c>
      <c r="B32059" s="4" t="s">
        <v>40364</v>
      </c>
      <c r="C32059" s="5" t="str">
        <f>IFERROR(__xludf.DUMMYFUNCTION("GOOGLETRANSLATE(B32059,""en"",""es-ES"")"),"Los hombres montan un caballo en un granero y arrojan una cuerda para atrapar un toro.")</f>
        <v>Los hombres montan un caballo en un granero y arrojan una cuerda para atrapar un toro.</v>
      </c>
    </row>
    <row r="32060">
      <c r="A32060" s="4" t="s">
        <v>40365</v>
      </c>
      <c r="B32060" s="4" t="s">
        <v>40366</v>
      </c>
      <c r="C32060" s="5" t="str">
        <f>IFERROR(__xludf.DUMMYFUNCTION("GOOGLETRANSLATE(B32060,""en"",""es-ES"")"),"Un hombre se quita la camisa.")</f>
        <v>Un hombre se quita la camisa.</v>
      </c>
    </row>
    <row r="32061">
      <c r="A32061" s="4" t="s">
        <v>40365</v>
      </c>
      <c r="B32061" s="4" t="s">
        <v>40367</v>
      </c>
      <c r="C32061" s="5" t="str">
        <f>IFERROR(__xludf.DUMMYFUNCTION("GOOGLETRANSLATE(B32061,""en"",""es-ES"")"),"Comienza a hacer que Karate se mueva sobre una alfombra azul.")</f>
        <v>Comienza a hacer que Karate se mueva sobre una alfombra azul.</v>
      </c>
    </row>
    <row r="32062">
      <c r="A32062" s="4" t="s">
        <v>40365</v>
      </c>
      <c r="B32062" s="4" t="s">
        <v>40368</v>
      </c>
      <c r="C32062" s="5" t="str">
        <f>IFERROR(__xludf.DUMMYFUNCTION("GOOGLETRANSLATE(B32062,""en"",""es-ES"")"),"Él hace varios volteos en el aire.")</f>
        <v>Él hace varios volteos en el aire.</v>
      </c>
    </row>
    <row r="32063">
      <c r="A32063" s="4" t="s">
        <v>40369</v>
      </c>
      <c r="B32063" s="4" t="s">
        <v>40370</v>
      </c>
      <c r="C32063" s="5" t="str">
        <f>IFERROR(__xludf.DUMMYFUNCTION("GOOGLETRANSLATE(B32063,""en"",""es-ES"")"),"Primero, la joven está durmiendo en su cama, pero luego se despierta para decir algo.")</f>
        <v>Primero, la joven está durmiendo en su cama, pero luego se despierta para decir algo.</v>
      </c>
    </row>
    <row r="32064">
      <c r="A32064" s="4" t="s">
        <v>40369</v>
      </c>
      <c r="B32064" s="4" t="s">
        <v>40371</v>
      </c>
      <c r="C32064" s="5" t="str">
        <f>IFERROR(__xludf.DUMMYFUNCTION("GOOGLETRANSLATE(B32064,""en"",""es-ES"")"),"Luego se le muestra sentada en el restaurante comiendo papas fritas y luego se lo muestra en su habitación nuevamente, mirando la ropa en su cama y poniéndose los zapatos.")</f>
        <v>Luego se le muestra sentada en el restaurante comiendo papas fritas y luego se lo muestra en su habitación nuevamente, mirando la ropa en su cama y poniéndose los zapatos.</v>
      </c>
    </row>
    <row r="32065">
      <c r="A32065" s="4" t="s">
        <v>40369</v>
      </c>
      <c r="B32065" s="4" t="s">
        <v>40372</v>
      </c>
      <c r="C32065" s="5" t="str">
        <f>IFERROR(__xludf.DUMMYFUNCTION("GOOGLETRANSLATE(B32065,""en"",""es-ES"")"),"También se le muestra haciendo cosas divertidas en el video y otras chicas también lo son.")</f>
        <v>También se le muestra haciendo cosas divertidas en el video y otras chicas también lo son.</v>
      </c>
    </row>
    <row r="32066">
      <c r="A32066" s="4" t="s">
        <v>40373</v>
      </c>
      <c r="B32066" s="4" t="s">
        <v>40374</v>
      </c>
      <c r="C32066" s="5" t="str">
        <f>IFERROR(__xludf.DUMMYFUNCTION("GOOGLETRANSLATE(B32066,""en"",""es-ES"")"),"Un joven pone el detergente en un cubo azul, luego muestra y explica cómo limpiar las ventanas de una pantalla con una escobilla de gota.")</f>
        <v>Un joven pone el detergente en un cubo azul, luego muestra y explica cómo limpiar las ventanas de una pantalla con una escobilla de gota.</v>
      </c>
    </row>
    <row r="32067">
      <c r="A32067" s="4" t="s">
        <v>40373</v>
      </c>
      <c r="B32067" s="4" t="s">
        <v>40375</v>
      </c>
      <c r="C32067" s="5" t="str">
        <f>IFERROR(__xludf.DUMMYFUNCTION("GOOGLETRANSLATE(B32067,""en"",""es-ES"")"),"Después, el joven limpia la pantalla húmeda con un paño.")</f>
        <v>Después, el joven limpia la pantalla húmeda con un paño.</v>
      </c>
    </row>
    <row r="32068">
      <c r="A32068" s="4" t="s">
        <v>40373</v>
      </c>
      <c r="B32068" s="4" t="s">
        <v>40376</v>
      </c>
      <c r="C32068" s="5" t="str">
        <f>IFERROR(__xludf.DUMMYFUNCTION("GOOGLETRANSLATE(B32068,""en"",""es-ES"")"),"El joven compara una pantalla de tierra con la limpia y le da un golpe.")</f>
        <v>El joven compara una pantalla de tierra con la limpia y le da un golpe.</v>
      </c>
    </row>
    <row r="32069">
      <c r="A32069" s="4" t="s">
        <v>40377</v>
      </c>
      <c r="B32069" s="4" t="s">
        <v>40378</v>
      </c>
      <c r="C32069" s="5" t="str">
        <f>IFERROR(__xludf.DUMMYFUNCTION("GOOGLETRANSLATE(B32069,""en"",""es-ES"")"),"Una cámara se mueve alrededor de un área cercada y conduce a un hombre y su perro realizando trucos con un frisbee.")</f>
        <v>Una cámara se mueve alrededor de un área cercada y conduce a un hombre y su perro realizando trucos con un frisbee.</v>
      </c>
    </row>
    <row r="32070">
      <c r="A32070" s="4" t="s">
        <v>40377</v>
      </c>
      <c r="B32070" s="4" t="s">
        <v>40379</v>
      </c>
      <c r="C32070" s="5" t="str">
        <f>IFERROR(__xludf.DUMMYFUNCTION("GOOGLETRANSLATE(B32070,""en"",""es-ES"")"),"El AN continúa realizando trucos con el perro usando los juguetes y otros perros mirando a un lado.")</f>
        <v>El AN continúa realizando trucos con el perro usando los juguetes y otros perros mirando a un lado.</v>
      </c>
    </row>
    <row r="32071">
      <c r="A32071" s="4" t="s">
        <v>40380</v>
      </c>
      <c r="B32071" s="4" t="s">
        <v>40381</v>
      </c>
      <c r="C32071" s="5" t="str">
        <f>IFERROR(__xludf.DUMMYFUNCTION("GOOGLETRANSLATE(B32071,""en"",""es-ES"")"),"Un collage de dibujos y logotipos se ve en blanco y negro que conforman un logotipo más grande.")</f>
        <v>Un collage de dibujos y logotipos se ve en blanco y negro que conforman un logotipo más grande.</v>
      </c>
    </row>
    <row r="32072">
      <c r="A32072" s="4" t="s">
        <v>40380</v>
      </c>
      <c r="B32072" s="4" t="s">
        <v>40382</v>
      </c>
      <c r="C32072" s="5" t="str">
        <f>IFERROR(__xludf.DUMMYFUNCTION("GOOGLETRANSLATE(B32072,""en"",""es-ES"")"),"Se ve una playa desde la distancia y las casas se ven en una ladera en una pequeña ciudad de playa.")</f>
        <v>Se ve una playa desde la distancia y las casas se ven en una ladera en una pequeña ciudad de playa.</v>
      </c>
    </row>
    <row r="32073">
      <c r="A32073" s="4" t="s">
        <v>40380</v>
      </c>
      <c r="B32073" s="4" t="s">
        <v>40383</v>
      </c>
      <c r="C32073" s="5" t="str">
        <f>IFERROR(__xludf.DUMMYFUNCTION("GOOGLETRANSLATE(B32073,""en"",""es-ES"")"),"Un surfista camina hacia la playa.")</f>
        <v>Un surfista camina hacia la playa.</v>
      </c>
    </row>
    <row r="32074">
      <c r="A32074" s="4" t="s">
        <v>40380</v>
      </c>
      <c r="B32074" s="4" t="s">
        <v>32466</v>
      </c>
      <c r="C32074" s="5" t="str">
        <f>IFERROR(__xludf.DUMMYFUNCTION("GOOGLETRANSLATE(B32074,""en"",""es-ES"")"),"Los surfistas montan grandes olas en el océano.")</f>
        <v>Los surfistas montan grandes olas en el océano.</v>
      </c>
    </row>
    <row r="32075">
      <c r="A32075" s="4" t="s">
        <v>40384</v>
      </c>
      <c r="B32075" s="4" t="s">
        <v>40385</v>
      </c>
      <c r="C32075" s="5" t="str">
        <f>IFERROR(__xludf.DUMMYFUNCTION("GOOGLETRANSLATE(B32075,""en"",""es-ES"")"),"Se ve a una mujer mirando a lo lejos que se aferra a una armónica.")</f>
        <v>Se ve a una mujer mirando a lo lejos que se aferra a una armónica.</v>
      </c>
    </row>
    <row r="32076">
      <c r="A32076" s="4" t="s">
        <v>40384</v>
      </c>
      <c r="B32076" s="4" t="s">
        <v>40386</v>
      </c>
      <c r="C32076" s="5" t="str">
        <f>IFERROR(__xludf.DUMMYFUNCTION("GOOGLETRANSLATE(B32076,""en"",""es-ES"")"),"Ella comienza a tocar la armónica mientras mira hacia otro lado de la cámara.")</f>
        <v>Ella comienza a tocar la armónica mientras mira hacia otro lado de la cámara.</v>
      </c>
    </row>
    <row r="32077">
      <c r="A32077" s="4" t="s">
        <v>40384</v>
      </c>
      <c r="B32077" s="4" t="s">
        <v>40387</v>
      </c>
      <c r="C32077" s="5" t="str">
        <f>IFERROR(__xludf.DUMMYFUNCTION("GOOGLETRANSLATE(B32077,""en"",""es-ES"")"),"Continúa jugando la armónica y se detiene para mirar la cámara.")</f>
        <v>Continúa jugando la armónica y se detiene para mirar la cámara.</v>
      </c>
    </row>
    <row r="32078">
      <c r="A32078" s="4" t="s">
        <v>40388</v>
      </c>
      <c r="B32078" s="4" t="s">
        <v>40389</v>
      </c>
      <c r="C32078" s="5" t="str">
        <f>IFERROR(__xludf.DUMMYFUNCTION("GOOGLETRANSLATE(B32078,""en"",""es-ES"")"),"Una persona que usa una sierra de cadena está cortando las extremidades de un árbol.")</f>
        <v>Una persona que usa una sierra de cadena está cortando las extremidades de un árbol.</v>
      </c>
    </row>
    <row r="32079">
      <c r="A32079" s="4" t="s">
        <v>40388</v>
      </c>
      <c r="B32079" s="4" t="s">
        <v>40390</v>
      </c>
      <c r="C32079" s="5" t="str">
        <f>IFERROR(__xludf.DUMMYFUNCTION("GOOGLETRANSLATE(B32079,""en"",""es-ES"")"),"El hombre usa una extensión para cortar una extremidad de la parte superior del árbol.")</f>
        <v>El hombre usa una extensión para cortar una extremidad de la parte superior del árbol.</v>
      </c>
    </row>
    <row r="32080">
      <c r="A32080" s="4" t="s">
        <v>40391</v>
      </c>
      <c r="B32080" s="4" t="s">
        <v>40392</v>
      </c>
      <c r="C32080" s="5" t="str">
        <f>IFERROR(__xludf.DUMMYFUNCTION("GOOGLETRANSLATE(B32080,""en"",""es-ES"")"),"Un hombre desciende de una pendiente de vapor en su snowboard.")</f>
        <v>Un hombre desciende de una pendiente de vapor en su snowboard.</v>
      </c>
    </row>
    <row r="32081">
      <c r="A32081" s="4" t="s">
        <v>40391</v>
      </c>
      <c r="B32081" s="4" t="s">
        <v>40393</v>
      </c>
      <c r="C32081" s="5" t="str">
        <f>IFERROR(__xludf.DUMMYFUNCTION("GOOGLETRANSLATE(B32081,""en"",""es-ES"")"),"Otro captura el aire mientras vuela sobre una colina nevada.")</f>
        <v>Otro captura el aire mientras vuela sobre una colina nevada.</v>
      </c>
    </row>
    <row r="32082">
      <c r="A32082" s="4" t="s">
        <v>40391</v>
      </c>
      <c r="B32082" s="4" t="s">
        <v>40394</v>
      </c>
      <c r="C32082" s="5" t="str">
        <f>IFERROR(__xludf.DUMMYFUNCTION("GOOGLETRANSLATE(B32082,""en"",""es-ES"")"),"Otro snowboarder se desliza bruscamente por una colina empinada hasta la base.")</f>
        <v>Otro snowboarder se desliza bruscamente por una colina empinada hasta la base.</v>
      </c>
    </row>
    <row r="32083">
      <c r="A32083" s="4" t="s">
        <v>40391</v>
      </c>
      <c r="B32083" s="4" t="s">
        <v>40395</v>
      </c>
      <c r="C32083" s="5" t="str">
        <f>IFERROR(__xludf.DUMMYFUNCTION("GOOGLETRANSLATE(B32083,""en"",""es-ES"")"),"Se muestra un hombre en gris realizando algunos trucos en el aire.")</f>
        <v>Se muestra un hombre en gris realizando algunos trucos en el aire.</v>
      </c>
    </row>
    <row r="32084">
      <c r="A32084" s="4" t="s">
        <v>40391</v>
      </c>
      <c r="B32084" s="4" t="s">
        <v>40396</v>
      </c>
      <c r="C32084" s="5" t="str">
        <f>IFERROR(__xludf.DUMMYFUNCTION("GOOGLETRANSLATE(B32084,""en"",""es-ES"")"),"Se muestra la perspectiva en primera persona de un snowboarder que baja por una colina.")</f>
        <v>Se muestra la perspectiva en primera persona de un snowboarder que baja por una colina.</v>
      </c>
    </row>
    <row r="32085">
      <c r="A32085" s="4" t="s">
        <v>40391</v>
      </c>
      <c r="B32085" s="4" t="s">
        <v>40397</v>
      </c>
      <c r="C32085" s="5" t="str">
        <f>IFERROR(__xludf.DUMMYFUNCTION("GOOGLETRANSLATE(B32085,""en"",""es-ES"")"),"Otro snowboarder vuela cuesta abajo, cortando expertamente a la izquierda y a la derecha.")</f>
        <v>Otro snowboarder vuela cuesta abajo, cortando expertamente a la izquierda y a la derecha.</v>
      </c>
    </row>
    <row r="32086">
      <c r="A32086" s="4" t="s">
        <v>40391</v>
      </c>
      <c r="B32086" s="4" t="s">
        <v>40398</v>
      </c>
      <c r="C32086" s="5" t="str">
        <f>IFERROR(__xludf.DUMMYFUNCTION("GOOGLETRANSLATE(B32086,""en"",""es-ES"")"),"Se muestran varias imágenes de snowboarders que descenden grandes pistas.")</f>
        <v>Se muestran varias imágenes de snowboarders que descenden grandes pistas.</v>
      </c>
    </row>
    <row r="32087">
      <c r="A32087" s="4" t="s">
        <v>40391</v>
      </c>
      <c r="B32087" s="4" t="s">
        <v>40399</v>
      </c>
      <c r="C32087" s="5" t="str">
        <f>IFERROR(__xludf.DUMMYFUNCTION("GOOGLETRANSLATE(B32087,""en"",""es-ES"")"),"La perspectiva en primera persona de Snowboarder con compañeros de piloto frente a él cierra el video.")</f>
        <v>La perspectiva en primera persona de Snowboarder con compañeros de piloto frente a él cierra el video.</v>
      </c>
    </row>
    <row r="32088">
      <c r="A32088" s="4" t="s">
        <v>40400</v>
      </c>
      <c r="B32088" s="4" t="s">
        <v>40401</v>
      </c>
      <c r="C32088" s="5" t="str">
        <f>IFERROR(__xludf.DUMMYFUNCTION("GOOGLETRANSLATE(B32088,""en"",""es-ES"")"),"La mujer en suéter blanco está hablando con la cámara.")</f>
        <v>La mujer en suéter blanco está hablando con la cámara.</v>
      </c>
    </row>
    <row r="32089">
      <c r="A32089" s="4" t="s">
        <v>40400</v>
      </c>
      <c r="B32089" s="4" t="s">
        <v>40402</v>
      </c>
      <c r="C32089" s="5" t="str">
        <f>IFERROR(__xludf.DUMMYFUNCTION("GOOGLETRANSLATE(B32089,""en"",""es-ES"")"),"La mujer sostiene un violín y un palo.")</f>
        <v>La mujer sostiene un violín y un palo.</v>
      </c>
    </row>
    <row r="32090">
      <c r="A32090" s="4" t="s">
        <v>40400</v>
      </c>
      <c r="B32090" s="4" t="s">
        <v>40403</v>
      </c>
      <c r="C32090" s="5" t="str">
        <f>IFERROR(__xludf.DUMMYFUNCTION("GOOGLETRANSLATE(B32090,""en"",""es-ES"")"),"La mujer puso el violín entre el cuello y el hombro y comenzó a jugar durante unos segundos y luego habló con la cámara.")</f>
        <v>La mujer puso el violín entre el cuello y el hombro y comenzó a jugar durante unos segundos y luego habló con la cámara.</v>
      </c>
    </row>
    <row r="32091">
      <c r="A32091" s="4" t="s">
        <v>40404</v>
      </c>
      <c r="B32091" s="4" t="s">
        <v>40405</v>
      </c>
      <c r="C32091" s="5" t="str">
        <f>IFERROR(__xludf.DUMMYFUNCTION("GOOGLETRANSLATE(B32091,""en"",""es-ES"")"),"La gente se encuentra en la frontera de las juntas de buceo y se bucean mientras están en el agua.")</f>
        <v>La gente se encuentra en la frontera de las juntas de buceo y se bucean mientras están en el agua.</v>
      </c>
    </row>
    <row r="32092">
      <c r="A32092" s="4" t="s">
        <v>40404</v>
      </c>
      <c r="B32092" s="4" t="s">
        <v>40406</v>
      </c>
      <c r="C32092" s="5" t="str">
        <f>IFERROR(__xludf.DUMMYFUNCTION("GOOGLETRANSLATE(B32092,""en"",""es-ES"")"),"Los nadadores se paran en las tablas de buceo, luego saltan girando en el aire y buceando en el agua.")</f>
        <v>Los nadadores se paran en las tablas de buceo, luego saltan girando en el aire y buceando en el agua.</v>
      </c>
    </row>
    <row r="32093">
      <c r="A32093" s="4" t="s">
        <v>40404</v>
      </c>
      <c r="B32093" s="4" t="s">
        <v>40407</v>
      </c>
      <c r="C32093" s="5" t="str">
        <f>IFERROR(__xludf.DUMMYFUNCTION("GOOGLETRANSLATE(B32093,""en"",""es-ES"")"),"Los nadadores saltan del tablero de buceo, giran tres veces en el aire antes para bucear en el agua.")</f>
        <v>Los nadadores saltan del tablero de buceo, giran tres veces en el aire antes para bucear en el agua.</v>
      </c>
    </row>
    <row r="32094">
      <c r="A32094" s="4" t="s">
        <v>40408</v>
      </c>
      <c r="B32094" s="4" t="s">
        <v>40409</v>
      </c>
      <c r="C32094" s="5" t="str">
        <f>IFERROR(__xludf.DUMMYFUNCTION("GOOGLETRANSLATE(B32094,""en"",""es-ES"")"),"Una niña demuestra tocar una guitarra acústica usando sus manos para crear ruido de percusión en el cuerpo de la guitarra.")</f>
        <v>Una niña demuestra tocar una guitarra acústica usando sus manos para crear ruido de percusión en el cuerpo de la guitarra.</v>
      </c>
    </row>
    <row r="32095">
      <c r="A32095" s="4" t="s">
        <v>40408</v>
      </c>
      <c r="B32095" s="4" t="s">
        <v>40410</v>
      </c>
      <c r="C32095" s="5" t="str">
        <f>IFERROR(__xludf.DUMMYFUNCTION("GOOGLETRANSLATE(B32095,""en"",""es-ES"")"),"Una niña entra en una habitación donde una guitarra acústica se apoya contra un sofá y se sienta en el sofá y comienza a tocar la guitarra.")</f>
        <v>Una niña entra en una habitación donde una guitarra acústica se apoya contra un sofá y se sienta en el sofá y comienza a tocar la guitarra.</v>
      </c>
    </row>
    <row r="32096">
      <c r="A32096" s="4" t="s">
        <v>40408</v>
      </c>
      <c r="B32096" s="4" t="s">
        <v>40411</v>
      </c>
      <c r="C32096" s="5" t="str">
        <f>IFERROR(__xludf.DUMMYFUNCTION("GOOGLETRANSLATE(B32096,""en"",""es-ES"")"),"La niña usa su mano derecha para hacer ritmos con la guitarra y recoge acordes con la mano izquierda mientras mira atentamente la guitarra.")</f>
        <v>La niña usa su mano derecha para hacer ritmos con la guitarra y recoge acordes con la mano izquierda mientras mira atentamente la guitarra.</v>
      </c>
    </row>
    <row r="32097">
      <c r="A32097" s="4" t="s">
        <v>40408</v>
      </c>
      <c r="B32097" s="4" t="s">
        <v>40412</v>
      </c>
      <c r="C32097" s="5" t="str">
        <f>IFERROR(__xludf.DUMMYFUNCTION("GOOGLETRANSLATE(B32097,""en"",""es-ES"")"),"La niña continúa jugando intensamente, ocasionalmente asintiendo con la cabeza al ritmo.")</f>
        <v>La niña continúa jugando intensamente, ocasionalmente asintiendo con la cabeza al ritmo.</v>
      </c>
    </row>
    <row r="32098">
      <c r="A32098" s="4" t="s">
        <v>40413</v>
      </c>
      <c r="B32098" s="4" t="s">
        <v>40414</v>
      </c>
      <c r="C32098" s="5" t="str">
        <f>IFERROR(__xludf.DUMMYFUNCTION("GOOGLETRANSLATE(B32098,""en"",""es-ES"")"),"Un joven con camisa verde está de pie a la meta, mientras que el joven jugador de azul pateó la pelota hasta la meta, y la pelota entró en la meta, el hombre con camisa verde perdió la pelota.")</f>
        <v>Un joven con camisa verde está de pie a la meta, mientras que el joven jugador de azul pateó la pelota hasta la meta, y la pelota entró en la meta, el hombre con camisa verde perdió la pelota.</v>
      </c>
    </row>
    <row r="32099">
      <c r="A32099" s="4" t="s">
        <v>40413</v>
      </c>
      <c r="B32099" s="4" t="s">
        <v>40415</v>
      </c>
      <c r="C32099" s="5" t="str">
        <f>IFERROR(__xludf.DUMMYFUNCTION("GOOGLETRANSLATE(B32099,""en"",""es-ES"")"),"El hombre de camisa roja corrió hacia la pelota, pateó la pelota, y el portero no pudo bloquearlo, el jugador tiene cinco compañeros de equipo.")</f>
        <v>El hombre de camisa roja corrió hacia la pelota, pateó la pelota, y el portero no pudo bloquearlo, el jugador tiene cinco compañeros de equipo.</v>
      </c>
    </row>
    <row r="32100">
      <c r="A32100" s="4" t="s">
        <v>40413</v>
      </c>
      <c r="B32100" s="4" t="s">
        <v>40416</v>
      </c>
      <c r="C32100" s="5" t="str">
        <f>IFERROR(__xludf.DUMMYFUNCTION("GOOGLETRANSLATE(B32100,""en"",""es-ES"")"),"Los jugadores están pateando el balón a la meta y los porteros no pudieron bloquear el balón.")</f>
        <v>Los jugadores están pateando el balón a la meta y los porteros no pudieron bloquear el balón.</v>
      </c>
    </row>
    <row r="32101">
      <c r="A32101" s="4" t="s">
        <v>40417</v>
      </c>
      <c r="B32101" s="4" t="s">
        <v>40418</v>
      </c>
      <c r="C32101" s="5" t="str">
        <f>IFERROR(__xludf.DUMMYFUNCTION("GOOGLETRANSLATE(B32101,""en"",""es-ES"")"),"Vemos la escena de una pelea con matadores en el ring y los vemos apuñalando a los toros.")</f>
        <v>Vemos la escena de una pelea con matadores en el ring y los vemos apuñalando a los toros.</v>
      </c>
    </row>
    <row r="32102">
      <c r="A32102" s="4" t="s">
        <v>40417</v>
      </c>
      <c r="B32102" s="4" t="s">
        <v>40419</v>
      </c>
      <c r="C32102" s="5" t="str">
        <f>IFERROR(__xludf.DUMMYFUNCTION("GOOGLETRANSLATE(B32102,""en"",""es-ES"")"),"Vemos imágenes de toros y cadáveres sangrientos que se arrastran al suelo.")</f>
        <v>Vemos imágenes de toros y cadáveres sangrientos que se arrastran al suelo.</v>
      </c>
    </row>
    <row r="32103">
      <c r="A32103" s="4" t="s">
        <v>40417</v>
      </c>
      <c r="B32103" s="4" t="s">
        <v>40420</v>
      </c>
      <c r="C32103" s="5" t="str">
        <f>IFERROR(__xludf.DUMMYFUNCTION("GOOGLETRANSLATE(B32103,""en"",""es-ES"")"),"Vemos imágenes de un toro en un matadero.")</f>
        <v>Vemos imágenes de un toro en un matadero.</v>
      </c>
    </row>
    <row r="32104">
      <c r="A32104" s="4" t="s">
        <v>40417</v>
      </c>
      <c r="B32104" s="4" t="s">
        <v>40421</v>
      </c>
      <c r="C32104" s="5" t="str">
        <f>IFERROR(__xludf.DUMMYFUNCTION("GOOGLETRANSLATE(B32104,""en"",""es-ES"")"),"Las palabras atraviesan la pantalla sobre torturar a los toros.")</f>
        <v>Las palabras atraviesan la pantalla sobre torturar a los toros.</v>
      </c>
    </row>
    <row r="32105">
      <c r="A32105" s="4" t="s">
        <v>40417</v>
      </c>
      <c r="B32105" s="4" t="s">
        <v>40422</v>
      </c>
      <c r="C32105" s="5" t="str">
        <f>IFERROR(__xludf.DUMMYFUNCTION("GOOGLETRANSLATE(B32105,""en"",""es-ES"")"),"Luego vemos una pantalla final de PETA.")</f>
        <v>Luego vemos una pantalla final de PETA.</v>
      </c>
    </row>
    <row r="32106">
      <c r="A32106" s="4" t="s">
        <v>40423</v>
      </c>
      <c r="B32106" s="4" t="s">
        <v>40424</v>
      </c>
      <c r="C32106" s="5" t="str">
        <f>IFERROR(__xludf.DUMMYFUNCTION("GOOGLETRANSLATE(B32106,""en"",""es-ES"")"),"Un jinete de kayak se aleja en la bahía de un océano.")</f>
        <v>Un jinete de kayak se aleja en la bahía de un océano.</v>
      </c>
    </row>
    <row r="32107">
      <c r="A32107" s="4" t="s">
        <v>40423</v>
      </c>
      <c r="B32107" s="4" t="s">
        <v>40425</v>
      </c>
      <c r="C32107" s="5" t="str">
        <f>IFERROR(__xludf.DUMMYFUNCTION("GOOGLETRANSLATE(B32107,""en"",""es-ES"")"),"Dos jinetes de kayak hablan mientras están sentados en sus kayaks.")</f>
        <v>Dos jinetes de kayak hablan mientras están sentados en sus kayaks.</v>
      </c>
    </row>
    <row r="32108">
      <c r="A32108" s="4" t="s">
        <v>40423</v>
      </c>
      <c r="B32108" s="4" t="s">
        <v>40426</v>
      </c>
      <c r="C32108" s="5" t="str">
        <f>IFERROR(__xludf.DUMMYFUNCTION("GOOGLETRANSLATE(B32108,""en"",""es-ES"")"),"Se ve la vista de las montañas circundantes.")</f>
        <v>Se ve la vista de las montañas circundantes.</v>
      </c>
    </row>
    <row r="32109">
      <c r="A32109" s="4" t="s">
        <v>40427</v>
      </c>
      <c r="B32109" s="4" t="s">
        <v>40428</v>
      </c>
      <c r="C32109" s="5" t="str">
        <f>IFERROR(__xludf.DUMMYFUNCTION("GOOGLETRANSLATE(B32109,""en"",""es-ES"")"),"Dos personas están de pie en una cocina.")</f>
        <v>Dos personas están de pie en una cocina.</v>
      </c>
    </row>
    <row r="32110">
      <c r="A32110" s="4" t="s">
        <v>40427</v>
      </c>
      <c r="B32110" s="4" t="s">
        <v>40429</v>
      </c>
      <c r="C32110" s="5" t="str">
        <f>IFERROR(__xludf.DUMMYFUNCTION("GOOGLETRANSLATE(B32110,""en"",""es-ES"")"),"Un hombre mueve un tazón de vidrio del mostrador.")</f>
        <v>Un hombre mueve un tazón de vidrio del mostrador.</v>
      </c>
    </row>
    <row r="32111">
      <c r="A32111" s="4" t="s">
        <v>40427</v>
      </c>
      <c r="B32111" s="4" t="s">
        <v>40430</v>
      </c>
      <c r="C32111" s="5" t="str">
        <f>IFERROR(__xludf.DUMMYFUNCTION("GOOGLETRANSLATE(B32111,""en"",""es-ES"")"),"Una mujer comienza a picar un tomate en un tablero.")</f>
        <v>Una mujer comienza a picar un tomate en un tablero.</v>
      </c>
    </row>
    <row r="32112">
      <c r="A32112" s="4" t="s">
        <v>40431</v>
      </c>
      <c r="B32112" s="4" t="s">
        <v>40432</v>
      </c>
      <c r="C32112" s="5" t="str">
        <f>IFERROR(__xludf.DUMMYFUNCTION("GOOGLETRANSLATE(B32112,""en"",""es-ES"")"),"Un hombre que lavamos los platos en la cocina de un restaurante con otros dos hombres parados detrás de él al masajear su hombro.")</f>
        <v>Un hombre que lavamos los platos en la cocina de un restaurante con otros dos hombres parados detrás de él al masajear su hombro.</v>
      </c>
    </row>
    <row r="32113">
      <c r="A32113" s="4" t="s">
        <v>40431</v>
      </c>
      <c r="B32113" s="4" t="s">
        <v>40433</v>
      </c>
      <c r="C32113" s="5" t="str">
        <f>IFERROR(__xludf.DUMMYFUNCTION("GOOGLETRANSLATE(B32113,""en"",""es-ES"")"),"El lavavajillas se sacude al hombre de los hombros.")</f>
        <v>El lavavajillas se sacude al hombre de los hombros.</v>
      </c>
    </row>
    <row r="32114">
      <c r="A32114" s="4" t="s">
        <v>40431</v>
      </c>
      <c r="B32114" s="4" t="s">
        <v>40434</v>
      </c>
      <c r="C32114" s="5" t="str">
        <f>IFERROR(__xludf.DUMMYFUNCTION("GOOGLETRANSLATE(B32114,""en"",""es-ES"")"),"El hombre de la parte trasera en azul sale de la habitación.")</f>
        <v>El hombre de la parte trasera en azul sale de la habitación.</v>
      </c>
    </row>
    <row r="32115">
      <c r="A32115" s="4" t="s">
        <v>40431</v>
      </c>
      <c r="B32115" s="4" t="s">
        <v>40435</v>
      </c>
      <c r="C32115" s="5" t="str">
        <f>IFERROR(__xludf.DUMMYFUNCTION("GOOGLETRANSLATE(B32115,""en"",""es-ES"")"),"El otro hombre finge lavar los platos y luego se lave las manos.")</f>
        <v>El otro hombre finge lavar los platos y luego se lave las manos.</v>
      </c>
    </row>
    <row r="32116">
      <c r="A32116" s="4" t="s">
        <v>40436</v>
      </c>
      <c r="B32116" s="4" t="s">
        <v>40437</v>
      </c>
      <c r="C32116" s="5" t="str">
        <f>IFERROR(__xludf.DUMMYFUNCTION("GOOGLETRANSLATE(B32116,""en"",""es-ES"")"),"Un reportero transmitido desde un set de estudio de televisión.")</f>
        <v>Un reportero transmitido desde un set de estudio de televisión.</v>
      </c>
    </row>
    <row r="32117">
      <c r="A32117" s="4" t="s">
        <v>40436</v>
      </c>
      <c r="B32117" s="4" t="s">
        <v>40438</v>
      </c>
      <c r="C32117" s="5" t="str">
        <f>IFERROR(__xludf.DUMMYFUNCTION("GOOGLETRANSLATE(B32117,""en"",""es-ES"")"),"Luego, el reportero muestra entrevistas a un hombre y una jugadora que sigue una piscina mientras un grupo de jugadores saltan al agua.")</f>
        <v>Luego, el reportero muestra entrevistas a un hombre y una jugadora que sigue una piscina mientras un grupo de jugadores saltan al agua.</v>
      </c>
    </row>
    <row r="32118">
      <c r="A32118" s="4" t="s">
        <v>40436</v>
      </c>
      <c r="B32118" s="4" t="s">
        <v>40439</v>
      </c>
      <c r="C32118" s="5" t="str">
        <f>IFERROR(__xludf.DUMMYFUNCTION("GOOGLETRANSLATE(B32118,""en"",""es-ES"")"),"Dos equipos juegan waterpolo en la piscina mientras el reportero continúa entrevistando a las personas.")</f>
        <v>Dos equipos juegan waterpolo en la piscina mientras el reportero continúa entrevistando a las personas.</v>
      </c>
    </row>
    <row r="32119">
      <c r="A32119" s="4" t="s">
        <v>40436</v>
      </c>
      <c r="B32119" s="4" t="s">
        <v>40440</v>
      </c>
      <c r="C32119" s="5" t="str">
        <f>IFERROR(__xludf.DUMMYFUNCTION("GOOGLETRANSLATE(B32119,""en"",""es-ES"")"),"Una mujer y un hombre escriben los puntajes en el juego, luego la gente aplaude.")</f>
        <v>Una mujer y un hombre escriben los puntajes en el juego, luego la gente aplaude.</v>
      </c>
    </row>
    <row r="32120">
      <c r="A32120" s="4" t="s">
        <v>40436</v>
      </c>
      <c r="B32120" s="4" t="s">
        <v>40441</v>
      </c>
      <c r="C32120" s="5" t="str">
        <f>IFERROR(__xludf.DUMMYFUNCTION("GOOGLETRANSLATE(B32120,""en"",""es-ES"")"),"El equipo ganador sale del agua y celebra, y luego el periodista entrevista a los miembros del equipo.")</f>
        <v>El equipo ganador sale del agua y celebra, y luego el periodista entrevista a los miembros del equipo.</v>
      </c>
    </row>
    <row r="32121">
      <c r="A32121" s="4" t="s">
        <v>40436</v>
      </c>
      <c r="B32121" s="4" t="s">
        <v>40442</v>
      </c>
      <c r="C32121" s="5" t="str">
        <f>IFERROR(__xludf.DUMMYFUNCTION("GOOGLETRANSLATE(B32121,""en"",""es-ES"")"),"Nuevamente, el equipo se mete en el agua, y luego el reportero transmitió desde un set de estudio.")</f>
        <v>Nuevamente, el equipo se mete en el agua, y luego el reportero transmitió desde un set de estudio.</v>
      </c>
    </row>
    <row r="32122">
      <c r="A32122" s="4" t="s">
        <v>40443</v>
      </c>
      <c r="B32122" s="4" t="s">
        <v>40444</v>
      </c>
      <c r="C32122" s="5" t="str">
        <f>IFERROR(__xludf.DUMMYFUNCTION("GOOGLETRANSLATE(B32122,""en"",""es-ES"")"),"La mujer está parada frente a un mostrador hablando con la cámara y mostrando bebidas.")</f>
        <v>La mujer está parada frente a un mostrador hablando con la cámara y mostrando bebidas.</v>
      </c>
    </row>
    <row r="32123">
      <c r="A32123" s="4" t="s">
        <v>40443</v>
      </c>
      <c r="B32123" s="4" t="s">
        <v>40445</v>
      </c>
      <c r="C32123" s="5" t="str">
        <f>IFERROR(__xludf.DUMMYFUNCTION("GOOGLETRANSLATE(B32123,""en"",""es-ES"")"),"La mujer agarra el jugo y el licor y lo sirve en una taza.")</f>
        <v>La mujer agarra el jugo y el licor y lo sirve en una taza.</v>
      </c>
    </row>
    <row r="32124">
      <c r="A32124" s="4" t="s">
        <v>40443</v>
      </c>
      <c r="B32124" s="4" t="s">
        <v>40446</v>
      </c>
      <c r="C32124" s="5" t="str">
        <f>IFERROR(__xludf.DUMMYFUNCTION("GOOGLETRANSLATE(B32124,""en"",""es-ES"")"),"La mujer se está mostrando en un bar cómo preparar un cóctel.")</f>
        <v>La mujer se está mostrando en un bar cómo preparar un cóctel.</v>
      </c>
    </row>
    <row r="32125">
      <c r="A32125" s="4" t="s">
        <v>40447</v>
      </c>
      <c r="B32125" s="4" t="s">
        <v>40448</v>
      </c>
      <c r="C32125" s="5" t="str">
        <f>IFERROR(__xludf.DUMMYFUNCTION("GOOGLETRANSLATE(B32125,""en"",""es-ES"")"),"Un hombre que lleva una camisa azul camina hacia algunas congas y se sienta.")</f>
        <v>Un hombre que lleva una camisa azul camina hacia algunas congas y se sienta.</v>
      </c>
    </row>
    <row r="32126">
      <c r="A32126" s="4" t="s">
        <v>40447</v>
      </c>
      <c r="B32126" s="4" t="s">
        <v>40449</v>
      </c>
      <c r="C32126" s="5" t="str">
        <f>IFERROR(__xludf.DUMMYFUNCTION("GOOGLETRANSLATE(B32126,""en"",""es-ES"")"),"El músico comienza a tocar los Congas en una habitación pequeña.")</f>
        <v>El músico comienza a tocar los Congas en una habitación pequeña.</v>
      </c>
    </row>
    <row r="32127">
      <c r="A32127" s="4" t="s">
        <v>40447</v>
      </c>
      <c r="B32127" s="4" t="s">
        <v>40450</v>
      </c>
      <c r="C32127" s="5" t="str">
        <f>IFERROR(__xludf.DUMMYFUNCTION("GOOGLETRANSLATE(B32127,""en"",""es-ES"")"),"El hombre luego se levanta y se acerca a la cámara.")</f>
        <v>El hombre luego se levanta y se acerca a la cámara.</v>
      </c>
    </row>
    <row r="32128">
      <c r="A32128" s="4" t="s">
        <v>40451</v>
      </c>
      <c r="B32128" s="4" t="s">
        <v>40452</v>
      </c>
      <c r="C32128" s="5" t="str">
        <f>IFERROR(__xludf.DUMMYFUNCTION("GOOGLETRANSLATE(B32128,""en"",""es-ES"")"),"Vemos fotos de un fregadero.")</f>
        <v>Vemos fotos de un fregadero.</v>
      </c>
    </row>
    <row r="32129">
      <c r="A32129" s="4" t="s">
        <v>40451</v>
      </c>
      <c r="B32129" s="4" t="s">
        <v>40453</v>
      </c>
      <c r="C32129" s="5" t="str">
        <f>IFERROR(__xludf.DUMMYFUNCTION("GOOGLETRANSLATE(B32129,""en"",""es-ES"")"),"Una persona rocía el fregadero con una botella y luego usa cepillos de matorral para fregar el fregadero.")</f>
        <v>Una persona rocía el fregadero con una botella y luego usa cepillos de matorral para fregar el fregadero.</v>
      </c>
    </row>
    <row r="32130">
      <c r="A32130" s="4" t="s">
        <v>40451</v>
      </c>
      <c r="B32130" s="4" t="s">
        <v>40454</v>
      </c>
      <c r="C32130" s="5" t="str">
        <f>IFERROR(__xludf.DUMMYFUNCTION("GOOGLETRANSLATE(B32130,""en"",""es-ES"")"),"La persona enjuague el hundimiento, la limpia con una toalla azul.")</f>
        <v>La persona enjuague el hundimiento, la limpia con una toalla azul.</v>
      </c>
    </row>
    <row r="32131">
      <c r="A32131" s="4" t="s">
        <v>40451</v>
      </c>
      <c r="B32131" s="4" t="s">
        <v>40455</v>
      </c>
      <c r="C32131" s="5" t="str">
        <f>IFERROR(__xludf.DUMMYFUNCTION("GOOGLETRANSLATE(B32131,""en"",""es-ES"")"),"La persona luego enjuague el fregadero nuevamente y lo limpia con la toalla azul nuevamente.")</f>
        <v>La persona luego enjuague el fregadero nuevamente y lo limpia con la toalla azul nuevamente.</v>
      </c>
    </row>
    <row r="32132">
      <c r="A32132" s="4" t="s">
        <v>40451</v>
      </c>
      <c r="B32132" s="4" t="s">
        <v>40456</v>
      </c>
      <c r="C32132" s="5" t="str">
        <f>IFERROR(__xludf.DUMMYFUNCTION("GOOGLETRANSLATE(B32132,""en"",""es-ES"")"),"La persona rocía el fregadero con una solución y usa un pincel de rodillo pequeño para ejecutar la solución al fregadero.")</f>
        <v>La persona rocía el fregadero con una solución y usa un pincel de rodillo pequeño para ejecutar la solución al fregadero.</v>
      </c>
    </row>
    <row r="32133">
      <c r="A32133" s="4" t="s">
        <v>40451</v>
      </c>
      <c r="B32133" s="4" t="s">
        <v>40457</v>
      </c>
      <c r="C32133" s="5" t="str">
        <f>IFERROR(__xludf.DUMMYFUNCTION("GOOGLETRANSLATE(B32133,""en"",""es-ES"")"),"Vemos antes y después de los disparos del fregadero.")</f>
        <v>Vemos antes y después de los disparos del fregadero.</v>
      </c>
    </row>
    <row r="32134">
      <c r="A32134" s="4" t="s">
        <v>40458</v>
      </c>
      <c r="B32134" s="4" t="s">
        <v>40459</v>
      </c>
      <c r="C32134" s="5" t="str">
        <f>IFERROR(__xludf.DUMMYFUNCTION("GOOGLETRANSLATE(B32134,""en"",""es-ES"")"),"Un grupo de personas juega Ping Pong con máquinas automatizadas y robots.")</f>
        <v>Un grupo de personas juega Ping Pong con máquinas automatizadas y robots.</v>
      </c>
    </row>
    <row r="32135">
      <c r="A32135" s="4" t="s">
        <v>40458</v>
      </c>
      <c r="B32135" s="4" t="s">
        <v>40460</v>
      </c>
      <c r="C32135" s="5" t="str">
        <f>IFERROR(__xludf.DUMMYFUNCTION("GOOGLETRANSLATE(B32135,""en"",""es-ES"")"),"Un hombre juega Ping Pong con una máquina naranja con una paleta roja unida al extremo de un brazo robótico.")</f>
        <v>Un hombre juega Ping Pong con una máquina naranja con una paleta roja unida al extremo de un brazo robótico.</v>
      </c>
    </row>
    <row r="32136">
      <c r="A32136" s="4" t="s">
        <v>40458</v>
      </c>
      <c r="B32136" s="4" t="s">
        <v>40461</v>
      </c>
      <c r="C32136" s="5" t="str">
        <f>IFERROR(__xludf.DUMMYFUNCTION("GOOGLETRANSLATE(B32136,""en"",""es-ES"")"),"Un hombre y un niño juegan ping pong sobre una mesa azul de ping pong mientras un hombre aparece de pie junto a una máquina y habla automatizada de naranja.")</f>
        <v>Un hombre y un niño juegan ping pong sobre una mesa azul de ping pong mientras un hombre aparece de pie junto a una máquina y habla automatizada de naranja.</v>
      </c>
    </row>
    <row r="32137">
      <c r="A32137" s="4" t="s">
        <v>40458</v>
      </c>
      <c r="B32137" s="4" t="s">
        <v>40462</v>
      </c>
      <c r="C32137" s="5" t="str">
        <f>IFERROR(__xludf.DUMMYFUNCTION("GOOGLETRANSLATE(B32137,""en"",""es-ES"")"),"Otro hombre interpreta a Ping Pong a través de una mesa azul Ping Pong con un robot blanco, metal.")</f>
        <v>Otro hombre interpreta a Ping Pong a través de una mesa azul Ping Pong con un robot blanco, metal.</v>
      </c>
    </row>
    <row r="32138">
      <c r="A32138" s="4" t="s">
        <v>40458</v>
      </c>
      <c r="B32138" s="4" t="s">
        <v>40463</v>
      </c>
      <c r="C32138" s="5" t="str">
        <f>IFERROR(__xludf.DUMMYFUNCTION("GOOGLETRANSLATE(B32138,""en"",""es-ES"")"),"Un hombre con traje y corbata habla mientras una mano coloca una bola naranja en la mano automatizada de dos puntas de un robot blanco antes de ir a un área en una habitación llena de máquinas robóticas naranjas.")</f>
        <v>Un hombre con traje y corbata habla mientras una mano coloca una bola naranja en la mano automatizada de dos puntas de un robot blanco antes de ir a un área en una habitación llena de máquinas robóticas naranjas.</v>
      </c>
    </row>
    <row r="32139">
      <c r="A32139" s="4" t="s">
        <v>40464</v>
      </c>
      <c r="B32139" s="4" t="s">
        <v>40465</v>
      </c>
      <c r="C32139" s="5" t="str">
        <f>IFERROR(__xludf.DUMMYFUNCTION("GOOGLETRANSLATE(B32139,""en"",""es-ES"")"),"Vemos una serie de pantallas de apertura.")</f>
        <v>Vemos una serie de pantallas de apertura.</v>
      </c>
    </row>
    <row r="32140">
      <c r="A32140" s="4" t="s">
        <v>40464</v>
      </c>
      <c r="B32140" s="4" t="s">
        <v>40466</v>
      </c>
      <c r="C32140" s="5" t="str">
        <f>IFERROR(__xludf.DUMMYFUNCTION("GOOGLETRANSLATE(B32140,""en"",""es-ES"")"),"Una persona arroja un frisbee cuando un perro los atrapa.")</f>
        <v>Una persona arroja un frisbee cuando un perro los atrapa.</v>
      </c>
    </row>
    <row r="32141">
      <c r="A32141" s="4" t="s">
        <v>40464</v>
      </c>
      <c r="B32141" s="4" t="s">
        <v>40467</v>
      </c>
      <c r="C32141" s="5" t="str">
        <f>IFERROR(__xludf.DUMMYFUNCTION("GOOGLETRANSLATE(B32141,""en"",""es-ES"")"),"Un hombre levanta las manos en el aire y se va y otra persona pasa junto a la cámara.")</f>
        <v>Un hombre levanta las manos en el aire y se va y otra persona pasa junto a la cámara.</v>
      </c>
    </row>
    <row r="32142">
      <c r="A32142" s="4" t="s">
        <v>40464</v>
      </c>
      <c r="B32142" s="4" t="s">
        <v>6208</v>
      </c>
      <c r="C32142" s="5" t="str">
        <f>IFERROR(__xludf.DUMMYFUNCTION("GOOGLETRANSLATE(B32142,""en"",""es-ES"")"),"Vemos una pantalla de título.")</f>
        <v>Vemos una pantalla de título.</v>
      </c>
    </row>
    <row r="32143">
      <c r="A32143" s="4" t="s">
        <v>40464</v>
      </c>
      <c r="B32143" s="4" t="s">
        <v>40468</v>
      </c>
      <c r="C32143" s="5" t="str">
        <f>IFERROR(__xludf.DUMMYFUNCTION("GOOGLETRANSLATE(B32143,""en"",""es-ES"")"),"Vemos una imagen del perro acostado en la hierba con palabras en la pantalla.")</f>
        <v>Vemos una imagen del perro acostado en la hierba con palabras en la pantalla.</v>
      </c>
    </row>
    <row r="32144">
      <c r="A32144" s="4" t="s">
        <v>40469</v>
      </c>
      <c r="B32144" s="4" t="s">
        <v>40470</v>
      </c>
      <c r="C32144" s="5" t="str">
        <f>IFERROR(__xludf.DUMMYFUNCTION("GOOGLETRANSLATE(B32144,""en"",""es-ES"")"),"Se muestran varios disparos de buceadores que se mueven a lo largo del agua y los peces que se mueven a su alrededor.")</f>
        <v>Se muestran varios disparos de buceadores que se mueven a lo largo del agua y los peces que se mueven a su alrededor.</v>
      </c>
    </row>
    <row r="32145">
      <c r="A32145" s="4" t="s">
        <v>40469</v>
      </c>
      <c r="B32145" s="4" t="s">
        <v>40471</v>
      </c>
      <c r="C32145" s="5" t="str">
        <f>IFERROR(__xludf.DUMMYFUNCTION("GOOGLETRANSLATE(B32145,""en"",""es-ES"")"),"Se ve a más personas moviéndose a lo largo del océano mientras se señalan a la cámara y capturan toda la vida silvestre a su alrededor.")</f>
        <v>Se ve a más personas moviéndose a lo largo del océano mientras se señalan a la cámara y capturan toda la vida silvestre a su alrededor.</v>
      </c>
    </row>
    <row r="32146">
      <c r="A32146" s="4" t="s">
        <v>40469</v>
      </c>
      <c r="B32146" s="4" t="s">
        <v>40472</v>
      </c>
      <c r="C32146" s="5" t="str">
        <f>IFERROR(__xludf.DUMMYFUNCTION("GOOGLETRANSLATE(B32146,""en"",""es-ES"")"),"Al final se los ven montando un bote juntos y saludando a la cámara.")</f>
        <v>Al final se los ven montando un bote juntos y saludando a la cámara.</v>
      </c>
    </row>
    <row r="32147">
      <c r="A32147" s="4" t="s">
        <v>40473</v>
      </c>
      <c r="B32147" s="4" t="s">
        <v>40474</v>
      </c>
      <c r="C32147" s="5" t="str">
        <f>IFERROR(__xludf.DUMMYFUNCTION("GOOGLETRANSLATE(B32147,""en"",""es-ES"")"),"Un niño pequeño corre rápidamente hacia su swing y su perro corre tras él.")</f>
        <v>Un niño pequeño corre rápidamente hacia su swing y su perro corre tras él.</v>
      </c>
    </row>
    <row r="32148">
      <c r="A32148" s="4" t="s">
        <v>40473</v>
      </c>
      <c r="B32148" s="4" t="s">
        <v>40475</v>
      </c>
      <c r="C32148" s="5" t="str">
        <f>IFERROR(__xludf.DUMMYFUNCTION("GOOGLETRANSLATE(B32148,""en"",""es-ES"")"),"Él sube por el tobogán y se desliza y su hermano pequeño también viene a jugar.")</f>
        <v>Él sube por el tobogán y se desliza y su hermano pequeño también viene a jugar.</v>
      </c>
    </row>
    <row r="32149">
      <c r="A32149" s="4" t="s">
        <v>40473</v>
      </c>
      <c r="B32149" s="4" t="s">
        <v>40476</v>
      </c>
      <c r="C32149" s="5" t="str">
        <f>IFERROR(__xludf.DUMMYFUNCTION("GOOGLETRANSLATE(B32149,""en"",""es-ES"")"),"La madre se acerca a jugar en el mar con uno de los niños y se cae.")</f>
        <v>La madre se acerca a jugar en el mar con uno de los niños y se cae.</v>
      </c>
    </row>
    <row r="32150">
      <c r="A32150" s="4" t="s">
        <v>40473</v>
      </c>
      <c r="B32150" s="4" t="s">
        <v>40477</v>
      </c>
      <c r="C32150" s="5" t="str">
        <f>IFERROR(__xludf.DUMMYFUNCTION("GOOGLETRANSLATE(B32150,""en"",""es-ES"")"),"Juegan por un tiempo yendo de una parte del set al siguiente.")</f>
        <v>Juegan por un tiempo yendo de una parte del set al siguiente.</v>
      </c>
    </row>
    <row r="32151">
      <c r="A32151" s="4" t="s">
        <v>40478</v>
      </c>
      <c r="B32151" s="4" t="s">
        <v>40479</v>
      </c>
      <c r="C32151" s="5" t="str">
        <f>IFERROR(__xludf.DUMMYFUNCTION("GOOGLETRANSLATE(B32151,""en"",""es-ES"")"),"Una cámara se mueve alrededor de una habitación y conduce a dos mujeres hablando y sacando baldosas de roca.")</f>
        <v>Una cámara se mueve alrededor de una habitación y conduce a dos mujeres hablando y sacando baldosas de roca.</v>
      </c>
    </row>
    <row r="32152">
      <c r="A32152" s="4" t="s">
        <v>40478</v>
      </c>
      <c r="B32152" s="4" t="s">
        <v>40480</v>
      </c>
      <c r="C32152" s="5" t="str">
        <f>IFERROR(__xludf.DUMMYFUNCTION("GOOGLETRANSLATE(B32152,""en"",""es-ES"")"),"Las mujeres luego bajaron el yeso seguido de las baldosas de roca y mostrando la ducha terminada al final y las personas reaccionan.")</f>
        <v>Las mujeres luego bajaron el yeso seguido de las baldosas de roca y mostrando la ducha terminada al final y las personas reaccionan.</v>
      </c>
    </row>
    <row r="32153">
      <c r="A32153" s="4" t="s">
        <v>40481</v>
      </c>
      <c r="B32153" s="4" t="s">
        <v>40482</v>
      </c>
      <c r="C32153" s="5" t="str">
        <f>IFERROR(__xludf.DUMMYFUNCTION("GOOGLETRANSLATE(B32153,""en"",""es-ES"")"),"Una anciana se sienta en una silla tejiendo y hablando con la cámara.")</f>
        <v>Una anciana se sienta en una silla tejiendo y hablando con la cámara.</v>
      </c>
    </row>
    <row r="32154">
      <c r="A32154" s="4" t="s">
        <v>40481</v>
      </c>
      <c r="B32154" s="4" t="s">
        <v>40483</v>
      </c>
      <c r="C32154" s="5" t="str">
        <f>IFERROR(__xludf.DUMMYFUNCTION("GOOGLETRANSLATE(B32154,""en"",""es-ES"")"),"La señora sacude la cabeza ligeramente mientras mira la cámara.")</f>
        <v>La señora sacude la cabeza ligeramente mientras mira la cámara.</v>
      </c>
    </row>
    <row r="32155">
      <c r="A32155" s="4" t="s">
        <v>40481</v>
      </c>
      <c r="B32155" s="4" t="s">
        <v>40484</v>
      </c>
      <c r="C32155" s="5" t="str">
        <f>IFERROR(__xludf.DUMMYFUNCTION("GOOGLETRANSLATE(B32155,""en"",""es-ES"")"),"La señora hace una pausa y mira por la ventana.")</f>
        <v>La señora hace una pausa y mira por la ventana.</v>
      </c>
    </row>
    <row r="32156">
      <c r="A32156" s="4" t="s">
        <v>40485</v>
      </c>
      <c r="B32156" s="4" t="s">
        <v>40486</v>
      </c>
      <c r="C32156" s="5" t="str">
        <f>IFERROR(__xludf.DUMMYFUNCTION("GOOGLETRANSLATE(B32156,""en"",""es-ES"")"),"Una mujer que lleva un leotardo rojo demuestra un movimiento de ballet que viaja en el dedo del pie.")</f>
        <v>Una mujer que lleva un leotardo rojo demuestra un movimiento de ballet que viaja en el dedo del pie.</v>
      </c>
    </row>
    <row r="32157">
      <c r="A32157" s="4" t="s">
        <v>40485</v>
      </c>
      <c r="B32157" s="4" t="s">
        <v>40487</v>
      </c>
      <c r="C32157" s="5" t="str">
        <f>IFERROR(__xludf.DUMMYFUNCTION("GOOGLETRANSLATE(B32157,""en"",""es-ES"")"),"El instructor de ballet se extiende por el piso dando pequeños pasos laterales.")</f>
        <v>El instructor de ballet se extiende por el piso dando pequeños pasos laterales.</v>
      </c>
    </row>
    <row r="32158">
      <c r="A32158" s="4" t="s">
        <v>40485</v>
      </c>
      <c r="B32158" s="4" t="s">
        <v>40488</v>
      </c>
      <c r="C32158" s="5" t="str">
        <f>IFERROR(__xludf.DUMMYFUNCTION("GOOGLETRANSLATE(B32158,""en"",""es-ES"")"),"El instructor demuestra un giro de ballet de giro.")</f>
        <v>El instructor demuestra un giro de ballet de giro.</v>
      </c>
    </row>
    <row r="32159">
      <c r="A32159" s="4" t="s">
        <v>40485</v>
      </c>
      <c r="B32159" s="4" t="s">
        <v>40489</v>
      </c>
      <c r="C32159" s="5" t="str">
        <f>IFERROR(__xludf.DUMMYFUNCTION("GOOGLETRANSLATE(B32159,""en"",""es-ES"")"),"El instructor que combina el paso del dedo lateral con el movimiento de giro de la mancha.")</f>
        <v>El instructor que combina el paso del dedo lateral con el movimiento de giro de la mancha.</v>
      </c>
    </row>
    <row r="32160">
      <c r="A32160" s="4" t="s">
        <v>40490</v>
      </c>
      <c r="B32160" s="4" t="s">
        <v>40491</v>
      </c>
      <c r="C32160" s="5" t="str">
        <f>IFERROR(__xludf.DUMMYFUNCTION("GOOGLETRANSLATE(B32160,""en"",""es-ES"")"),"Dos jóvenes adolescentes sostienen Soapsuds en sus manos en una cocina.")</f>
        <v>Dos jóvenes adolescentes sostienen Soapsuds en sus manos en una cocina.</v>
      </c>
    </row>
    <row r="32161">
      <c r="A32161" s="4" t="s">
        <v>40490</v>
      </c>
      <c r="B32161" s="4" t="s">
        <v>40492</v>
      </c>
      <c r="C32161" s="5" t="str">
        <f>IFERROR(__xludf.DUMMYFUNCTION("GOOGLETRANSLATE(B32161,""en"",""es-ES"")"),"Las chicas arrojan la espuma en la cara del otro.")</f>
        <v>Las chicas arrojan la espuma en la cara del otro.</v>
      </c>
    </row>
    <row r="32162">
      <c r="A32162" s="4" t="s">
        <v>40490</v>
      </c>
      <c r="B32162" s="4" t="s">
        <v>40493</v>
      </c>
      <c r="C32162" s="5" t="str">
        <f>IFERROR(__xludf.DUMMYFUNCTION("GOOGLETRANSLATE(B32162,""en"",""es-ES"")"),"Una niña salta sobre los hombros del otro.")</f>
        <v>Una niña salta sobre los hombros del otro.</v>
      </c>
    </row>
    <row r="32163">
      <c r="A32163" s="4" t="s">
        <v>40490</v>
      </c>
      <c r="B32163" s="4" t="s">
        <v>40494</v>
      </c>
      <c r="C32163" s="5" t="str">
        <f>IFERROR(__xludf.DUMMYFUNCTION("GOOGLETRANSLATE(B32163,""en"",""es-ES"")"),"Comienzan a lavar los platos.")</f>
        <v>Comienzan a lavar los platos.</v>
      </c>
    </row>
    <row r="32164">
      <c r="A32164" s="4" t="s">
        <v>40495</v>
      </c>
      <c r="B32164" s="4" t="s">
        <v>40496</v>
      </c>
      <c r="C32164" s="5" t="str">
        <f>IFERROR(__xludf.DUMMYFUNCTION("GOOGLETRANSLATE(B32164,""en"",""es-ES"")"),"Un niño y un niño pequeño están en un campo cercado.")</f>
        <v>Un niño y un niño pequeño están en un campo cercado.</v>
      </c>
    </row>
    <row r="32165">
      <c r="A32165" s="4" t="s">
        <v>40495</v>
      </c>
      <c r="B32165" s="4" t="s">
        <v>40497</v>
      </c>
      <c r="C32165" s="5" t="str">
        <f>IFERROR(__xludf.DUMMYFUNCTION("GOOGLETRANSLATE(B32165,""en"",""es-ES"")"),"Patan una pelota, luego intentan perseguirla.")</f>
        <v>Patan una pelota, luego intentan perseguirla.</v>
      </c>
    </row>
    <row r="32166">
      <c r="A32166" s="4" t="s">
        <v>40495</v>
      </c>
      <c r="B32166" s="4" t="s">
        <v>40498</v>
      </c>
      <c r="C32166" s="5" t="str">
        <f>IFERROR(__xludf.DUMMYFUNCTION("GOOGLETRANSLATE(B32166,""en"",""es-ES"")"),"Los niños continúan jugando mientras un hombre se une, peleando por el balón.")</f>
        <v>Los niños continúan jugando mientras un hombre se une, peleando por el balón.</v>
      </c>
    </row>
    <row r="32167">
      <c r="A32167" s="4" t="s">
        <v>40499</v>
      </c>
      <c r="B32167" s="4" t="s">
        <v>40500</v>
      </c>
      <c r="C32167" s="5" t="str">
        <f>IFERROR(__xludf.DUMMYFUNCTION("GOOGLETRANSLATE(B32167,""en"",""es-ES"")"),"Se muestra un mar con un bosque verde en la orilla del mar.")</f>
        <v>Se muestra un mar con un bosque verde en la orilla del mar.</v>
      </c>
    </row>
    <row r="32168">
      <c r="A32168" s="4" t="s">
        <v>40499</v>
      </c>
      <c r="B32168" s="4" t="s">
        <v>40501</v>
      </c>
      <c r="C32168" s="5" t="str">
        <f>IFERROR(__xludf.DUMMYFUNCTION("GOOGLETRANSLATE(B32168,""en"",""es-ES"")"),"Blond Man está de pie en la orilla del mar y hablando con la cámara y surfeando grandes olas en el mar.")</f>
        <v>Blond Man está de pie en la orilla del mar y hablando con la cámara y surfeando grandes olas en el mar.</v>
      </c>
    </row>
    <row r="32169">
      <c r="A32169" s="4" t="s">
        <v>40499</v>
      </c>
      <c r="B32169" s="4" t="s">
        <v>40502</v>
      </c>
      <c r="C32169" s="5" t="str">
        <f>IFERROR(__xludf.DUMMYFUNCTION("GOOGLETRANSLATE(B32169,""en"",""es-ES"")"),"Man camina por la orilla del mar a través de mucha gente y habla con la cámara y celebra un premio y habla sobre surfear en la orilla del mar.")</f>
        <v>Man camina por la orilla del mar a través de mucha gente y habla con la cámara y celebra un premio y habla sobre surfear en la orilla del mar.</v>
      </c>
    </row>
    <row r="32170">
      <c r="A32170" s="4" t="s">
        <v>40503</v>
      </c>
      <c r="B32170" s="4" t="s">
        <v>40504</v>
      </c>
      <c r="C32170" s="5" t="str">
        <f>IFERROR(__xludf.DUMMYFUNCTION("GOOGLETRANSLATE(B32170,""en"",""es-ES"")"),"Se ve a un hombre hablando con la cámara mientras se aferran a un palo.")</f>
        <v>Se ve a un hombre hablando con la cámara mientras se aferran a un palo.</v>
      </c>
    </row>
    <row r="32171">
      <c r="A32171" s="4" t="s">
        <v>40503</v>
      </c>
      <c r="B32171" s="4" t="s">
        <v>40505</v>
      </c>
      <c r="C32171" s="5" t="str">
        <f>IFERROR(__xludf.DUMMYFUNCTION("GOOGLETRANSLATE(B32171,""en"",""es-ES"")"),"Señala las bolas frente a él y de su cuerpo.")</f>
        <v>Señala las bolas frente a él y de su cuerpo.</v>
      </c>
    </row>
    <row r="32172">
      <c r="A32172" s="4" t="s">
        <v>40503</v>
      </c>
      <c r="B32172" s="4" t="s">
        <v>40506</v>
      </c>
      <c r="C32172" s="5" t="str">
        <f>IFERROR(__xludf.DUMMYFUNCTION("GOOGLETRANSLATE(B32172,""en"",""es-ES"")"),"Él demuestra cómo golpear la pelota correctamente mientras sigue hablando.")</f>
        <v>Él demuestra cómo golpear la pelota correctamente mientras sigue hablando.</v>
      </c>
    </row>
    <row r="32173">
      <c r="A32173" s="4" t="s">
        <v>40507</v>
      </c>
      <c r="B32173" s="4" t="s">
        <v>40508</v>
      </c>
      <c r="C32173" s="5" t="str">
        <f>IFERROR(__xludf.DUMMYFUNCTION("GOOGLETRANSLATE(B32173,""en"",""es-ES"")"),"Una anciana se mueve con la cámara y hace varios movimientos de las manos en el piso.")</f>
        <v>Una anciana se mueve con la cámara y hace varios movimientos de las manos en el piso.</v>
      </c>
    </row>
    <row r="32174">
      <c r="A32174" s="4" t="s">
        <v>40507</v>
      </c>
      <c r="B32174" s="4" t="s">
        <v>40509</v>
      </c>
      <c r="C32174" s="5" t="str">
        <f>IFERROR(__xludf.DUMMYFUNCTION("GOOGLETRANSLATE(B32174,""en"",""es-ES"")"),"La mujer toma varias prendas de vestir y muestra cómo las lava en el fregadero.")</f>
        <v>La mujer toma varias prendas de vestir y muestra cómo las lava en el fregadero.</v>
      </c>
    </row>
    <row r="32175">
      <c r="A32175" s="4" t="s">
        <v>40507</v>
      </c>
      <c r="B32175" s="4" t="s">
        <v>40510</v>
      </c>
      <c r="C32175" s="5" t="str">
        <f>IFERROR(__xludf.DUMMYFUNCTION("GOOGLETRANSLATE(B32175,""en"",""es-ES"")"),"Ella sostiene una barra de jabón y la frota sobre la ropa y la sumerge en el agua.")</f>
        <v>Ella sostiene una barra de jabón y la frota sobre la ropa y la sumerge en el agua.</v>
      </c>
    </row>
    <row r="32176">
      <c r="A32176" s="4" t="s">
        <v>40507</v>
      </c>
      <c r="B32176" s="4" t="s">
        <v>40511</v>
      </c>
      <c r="C32176" s="5" t="str">
        <f>IFERROR(__xludf.DUMMYFUNCTION("GOOGLETRANSLATE(B32176,""en"",""es-ES"")"),"Ella continúa limpiando la ropa en el agua y mostrando cómo se limpia la ropa.")</f>
        <v>Ella continúa limpiando la ropa en el agua y mostrando cómo se limpia la ropa.</v>
      </c>
    </row>
    <row r="32177">
      <c r="A32177" s="4" t="s">
        <v>40512</v>
      </c>
      <c r="B32177" s="4" t="s">
        <v>40513</v>
      </c>
      <c r="C32177" s="5" t="str">
        <f>IFERROR(__xludf.DUMMYFUNCTION("GOOGLETRANSLATE(B32177,""en"",""es-ES"")"),"Primero, la mujer toma algunos platos para preparar algo y los pone en un refrigerador.")</f>
        <v>Primero, la mujer toma algunos platos para preparar algo y los pone en un refrigerador.</v>
      </c>
    </row>
    <row r="32178">
      <c r="A32178" s="4" t="s">
        <v>40512</v>
      </c>
      <c r="B32178" s="4" t="s">
        <v>40514</v>
      </c>
      <c r="C32178" s="5" t="str">
        <f>IFERROR(__xludf.DUMMYFUNCTION("GOOGLETRANSLATE(B32178,""en"",""es-ES"")"),"Luego sostiene una taza debajo de un dispensador de espuma y quita Sit cuando esté lleno.")</f>
        <v>Luego sostiene una taza debajo de un dispensador de espuma y quita Sit cuando esté lleno.</v>
      </c>
    </row>
    <row r="32179">
      <c r="A32179" s="4" t="s">
        <v>40512</v>
      </c>
      <c r="B32179" s="4" t="s">
        <v>40515</v>
      </c>
      <c r="C32179" s="5" t="str">
        <f>IFERROR(__xludf.DUMMYFUNCTION("GOOGLETRANSLATE(B32179,""en"",""es-ES"")"),"Luego lo cubre con los osos de Graham triturados.")</f>
        <v>Luego lo cubre con los osos de Graham triturados.</v>
      </c>
    </row>
    <row r="32180">
      <c r="A32180" s="4" t="s">
        <v>40512</v>
      </c>
      <c r="B32180" s="4" t="s">
        <v>40516</v>
      </c>
      <c r="C32180" s="5" t="str">
        <f>IFERROR(__xludf.DUMMYFUNCTION("GOOGLETRANSLATE(B32180,""en"",""es-ES"")"),"Luego obtiene un plato y una plantilla redonda.")</f>
        <v>Luego obtiene un plato y una plantilla redonda.</v>
      </c>
    </row>
    <row r="32181">
      <c r="A32181" s="4" t="s">
        <v>40512</v>
      </c>
      <c r="B32181" s="4" t="s">
        <v>40517</v>
      </c>
      <c r="C32181" s="5" t="str">
        <f>IFERROR(__xludf.DUMMYFUNCTION("GOOGLETRANSLATE(B32181,""en"",""es-ES"")"),"Ella pone la placa debajo del dispensador y la quita y lentamente saca el círculo del pastel una vez que termina de alisar la pasta.")</f>
        <v>Ella pone la placa debajo del dispensador y la quita y lentamente saca el círculo del pastel una vez que termina de alisar la pasta.</v>
      </c>
    </row>
    <row r="32182">
      <c r="A32182" s="4" t="s">
        <v>40512</v>
      </c>
      <c r="B32182" s="4" t="s">
        <v>40518</v>
      </c>
      <c r="C32182" s="5" t="str">
        <f>IFERROR(__xludf.DUMMYFUNCTION("GOOGLETRANSLATE(B32182,""en"",""es-ES"")"),"Luego usa un cuchillo para poner líneas a los lados del pastel.")</f>
        <v>Luego usa un cuchillo para poner líneas a los lados del pastel.</v>
      </c>
    </row>
    <row r="32183">
      <c r="A32183" s="4" t="s">
        <v>40512</v>
      </c>
      <c r="B32183" s="4" t="s">
        <v>40519</v>
      </c>
      <c r="C32183" s="5" t="str">
        <f>IFERROR(__xludf.DUMMYFUNCTION("GOOGLETRANSLATE(B32183,""en"",""es-ES"")"),"Luego pone crema en los bordes de arriba a abajo.")</f>
        <v>Luego pone crema en los bordes de arriba a abajo.</v>
      </c>
    </row>
    <row r="32184">
      <c r="A32184" s="4" t="s">
        <v>40512</v>
      </c>
      <c r="B32184" s="4" t="s">
        <v>40520</v>
      </c>
      <c r="C32184" s="5" t="str">
        <f>IFERROR(__xludf.DUMMYFUNCTION("GOOGLETRANSLATE(B32184,""en"",""es-ES"")"),"Luego rocía un poco de jarabe de chocolate allí.")</f>
        <v>Luego rocía un poco de jarabe de chocolate allí.</v>
      </c>
    </row>
    <row r="32185">
      <c r="A32185" s="4" t="s">
        <v>40512</v>
      </c>
      <c r="B32185" s="4" t="s">
        <v>40521</v>
      </c>
      <c r="C32185" s="5" t="str">
        <f>IFERROR(__xludf.DUMMYFUNCTION("GOOGLETRANSLATE(B32185,""en"",""es-ES"")"),"Ella ya ha terminado de hacer el pastel.")</f>
        <v>Ella ya ha terminado de hacer el pastel.</v>
      </c>
    </row>
    <row r="32186">
      <c r="A32186" s="4" t="s">
        <v>40522</v>
      </c>
      <c r="B32186" s="4" t="s">
        <v>40523</v>
      </c>
      <c r="C32186" s="5" t="str">
        <f>IFERROR(__xludf.DUMMYFUNCTION("GOOGLETRANSLATE(B32186,""en"",""es-ES"")"),"Se ve a un niño pequeño sentado antes de un piano y tocando una canción mientras usa un disfraz de Halloween.")</f>
        <v>Se ve a un niño pequeño sentado antes de un piano y tocando una canción mientras usa un disfraz de Halloween.</v>
      </c>
    </row>
    <row r="32187">
      <c r="A32187" s="4" t="s">
        <v>40522</v>
      </c>
      <c r="B32187" s="4" t="s">
        <v>40524</v>
      </c>
      <c r="C32187" s="5" t="str">
        <f>IFERROR(__xludf.DUMMYFUNCTION("GOOGLETRANSLATE(B32187,""en"",""es-ES"")"),"El niño continúa tocando el instrumento y termina tirando de su máscara hacia abajo.")</f>
        <v>El niño continúa tocando el instrumento y termina tirando de su máscara hacia abajo.</v>
      </c>
    </row>
    <row r="32188">
      <c r="A32188" s="4" t="s">
        <v>40525</v>
      </c>
      <c r="B32188" s="4" t="s">
        <v>40526</v>
      </c>
      <c r="C32188" s="5" t="str">
        <f>IFERROR(__xludf.DUMMYFUNCTION("GOOGLETRANSLATE(B32188,""en"",""es-ES"")"),"Un joven caucásico masculino está sentado en una habitación detrás de un teclado.")</f>
        <v>Un joven caucásico masculino está sentado en una habitación detrás de un teclado.</v>
      </c>
    </row>
    <row r="32189">
      <c r="A32189" s="4" t="s">
        <v>40525</v>
      </c>
      <c r="B32189" s="4" t="s">
        <v>40527</v>
      </c>
      <c r="C32189" s="5" t="str">
        <f>IFERROR(__xludf.DUMMYFUNCTION("GOOGLETRANSLATE(B32189,""en"",""es-ES"")"),"Antes de jugar, comienza a hablar y hacer movimientos en tres llaves negras con su mano derecha mientras continúa hablando.")</f>
        <v>Antes de jugar, comienza a hablar y hacer movimientos en tres llaves negras con su mano derecha mientras continúa hablando.</v>
      </c>
    </row>
    <row r="32190">
      <c r="A32190" s="4" t="s">
        <v>40525</v>
      </c>
      <c r="B32190" s="4" t="s">
        <v>40528</v>
      </c>
      <c r="C32190" s="5" t="str">
        <f>IFERROR(__xludf.DUMMYFUNCTION("GOOGLETRANSLATE(B32190,""en"",""es-ES"")"),"Finalmente comienza a jugar y puedes ver que su mano se mueve rápidamente a través del teclado en el lado izquierdo de la pantalla.")</f>
        <v>Finalmente comienza a jugar y puedes ver que su mano se mueve rápidamente a través del teclado en el lado izquierdo de la pantalla.</v>
      </c>
    </row>
    <row r="32191">
      <c r="A32191" s="4" t="s">
        <v>40525</v>
      </c>
      <c r="B32191" s="4" t="s">
        <v>40529</v>
      </c>
      <c r="C32191" s="5" t="str">
        <f>IFERROR(__xludf.DUMMYFUNCTION("GOOGLETRANSLATE(B32191,""en"",""es-ES"")"),"Para sus acordes finales, quita la mano del tablero y mueve la cabeza en un círculo.")</f>
        <v>Para sus acordes finales, quita la mano del tablero y mueve la cabeza en un círculo.</v>
      </c>
    </row>
    <row r="32192">
      <c r="A32192" s="4" t="s">
        <v>40530</v>
      </c>
      <c r="B32192" s="4" t="s">
        <v>40531</v>
      </c>
      <c r="C32192" s="5" t="str">
        <f>IFERROR(__xludf.DUMMYFUNCTION("GOOGLETRANSLATE(B32192,""en"",""es-ES"")"),"Una mujer y un niño están haciendo una victoria y sonriendo.")</f>
        <v>Una mujer y un niño están haciendo una victoria y sonriendo.</v>
      </c>
    </row>
    <row r="32193">
      <c r="A32193" s="4" t="s">
        <v>40530</v>
      </c>
      <c r="B32193" s="4" t="s">
        <v>40532</v>
      </c>
      <c r="C32193" s="5" t="str">
        <f>IFERROR(__xludf.DUMMYFUNCTION("GOOGLETRANSLATE(B32193,""en"",""es-ES"")"),"La mujer está preparando la cara del niño, y luego el niño muestra su rostro.")</f>
        <v>La mujer está preparando la cara del niño, y luego el niño muestra su rostro.</v>
      </c>
    </row>
    <row r="32194">
      <c r="A32194" s="4" t="s">
        <v>40530</v>
      </c>
      <c r="B32194" s="4" t="s">
        <v>40533</v>
      </c>
      <c r="C32194" s="5" t="str">
        <f>IFERROR(__xludf.DUMMYFUNCTION("GOOGLETRANSLATE(B32194,""en"",""es-ES"")"),"Luego, la mujer pudo hacer una cara de niña.")</f>
        <v>Luego, la mujer pudo hacer una cara de niña.</v>
      </c>
    </row>
    <row r="32195">
      <c r="A32195" s="4" t="s">
        <v>40530</v>
      </c>
      <c r="B32195" s="4" t="s">
        <v>40534</v>
      </c>
      <c r="C32195" s="5" t="str">
        <f>IFERROR(__xludf.DUMMYFUNCTION("GOOGLETRANSLATE(B32195,""en"",""es-ES"")"),"El niño y la niña miran sus caras en un espejo haciendo caras divertidas y saludando.")</f>
        <v>El niño y la niña miran sus caras en un espejo haciendo caras divertidas y saludando.</v>
      </c>
    </row>
    <row r="32196">
      <c r="A32196" s="4" t="s">
        <v>40535</v>
      </c>
      <c r="B32196" s="4" t="s">
        <v>40536</v>
      </c>
      <c r="C32196" s="5" t="str">
        <f>IFERROR(__xludf.DUMMYFUNCTION("GOOGLETRANSLATE(B32196,""en"",""es-ES"")"),"Una niña actúa algunas acrobacias de gimnasia.")</f>
        <v>Una niña actúa algunas acrobacias de gimnasia.</v>
      </c>
    </row>
    <row r="32197">
      <c r="A32197" s="4" t="s">
        <v>40535</v>
      </c>
      <c r="B32197" s="4" t="s">
        <v>40537</v>
      </c>
      <c r="C32197" s="5" t="str">
        <f>IFERROR(__xludf.DUMMYFUNCTION("GOOGLETRANSLATE(B32197,""en"",""es-ES"")"),"Una niña se encuentra en su lugar frente a una dama.")</f>
        <v>Una niña se encuentra en su lugar frente a una dama.</v>
      </c>
    </row>
    <row r="32198">
      <c r="A32198" s="4" t="s">
        <v>40535</v>
      </c>
      <c r="B32198" s="4" t="s">
        <v>40538</v>
      </c>
      <c r="C32198" s="5" t="str">
        <f>IFERROR(__xludf.DUMMYFUNCTION("GOOGLETRANSLATE(B32198,""en"",""es-ES"")"),"La niña le levanta la mano.")</f>
        <v>La niña le levanta la mano.</v>
      </c>
    </row>
    <row r="32199">
      <c r="A32199" s="4" t="s">
        <v>40535</v>
      </c>
      <c r="B32199" s="4" t="s">
        <v>40539</v>
      </c>
      <c r="C32199" s="5" t="str">
        <f>IFERROR(__xludf.DUMMYFUNCTION("GOOGLETRANSLATE(B32199,""en"",""es-ES"")"),"La niña se da la vuelta y sube el bar de madera gimnasia.")</f>
        <v>La niña se da la vuelta y sube el bar de madera gimnasia.</v>
      </c>
    </row>
    <row r="32200">
      <c r="A32200" s="4" t="s">
        <v>40535</v>
      </c>
      <c r="B32200" s="4" t="s">
        <v>40540</v>
      </c>
      <c r="C32200" s="5" t="str">
        <f>IFERROR(__xludf.DUMMYFUNCTION("GOOGLETRANSLATE(B32200,""en"",""es-ES"")"),"Con las manos en la barra, la niña levanta y divide sus piernas sobre su cabeza.")</f>
        <v>Con las manos en la barra, la niña levanta y divide sus piernas sobre su cabeza.</v>
      </c>
    </row>
    <row r="32201">
      <c r="A32201" s="4" t="s">
        <v>40535</v>
      </c>
      <c r="B32201" s="4" t="s">
        <v>40541</v>
      </c>
      <c r="C32201" s="5" t="str">
        <f>IFERROR(__xludf.DUMMYFUNCTION("GOOGLETRANSLATE(B32201,""en"",""es-ES"")"),"La señora mueve una plataforma hacia el lado izquierdo de la barra.")</f>
        <v>La señora mueve una plataforma hacia el lado izquierdo de la barra.</v>
      </c>
    </row>
    <row r="32202">
      <c r="A32202" s="4" t="s">
        <v>40535</v>
      </c>
      <c r="B32202" s="4" t="s">
        <v>40542</v>
      </c>
      <c r="C32202" s="5" t="str">
        <f>IFERROR(__xludf.DUMMYFUNCTION("GOOGLETRANSLATE(B32202,""en"",""es-ES"")"),"La niña se sienta en el bar con la mano levantada.")</f>
        <v>La niña se sienta en el bar con la mano levantada.</v>
      </c>
    </row>
    <row r="32203">
      <c r="A32203" s="4" t="s">
        <v>40535</v>
      </c>
      <c r="B32203" s="4" t="s">
        <v>40543</v>
      </c>
      <c r="C32203" s="5" t="str">
        <f>IFERROR(__xludf.DUMMYFUNCTION("GOOGLETRANSLATE(B32203,""en"",""es-ES"")"),"La niña roda en el bar.")</f>
        <v>La niña roda en el bar.</v>
      </c>
    </row>
    <row r="32204">
      <c r="A32204" s="4" t="s">
        <v>40535</v>
      </c>
      <c r="B32204" s="4" t="s">
        <v>40544</v>
      </c>
      <c r="C32204" s="5" t="str">
        <f>IFERROR(__xludf.DUMMYFUNCTION("GOOGLETRANSLATE(B32204,""en"",""es-ES"")"),"La niña se para en el bar.")</f>
        <v>La niña se para en el bar.</v>
      </c>
    </row>
    <row r="32205">
      <c r="A32205" s="4" t="s">
        <v>40535</v>
      </c>
      <c r="B32205" s="4" t="s">
        <v>40545</v>
      </c>
      <c r="C32205" s="5" t="str">
        <f>IFERROR(__xludf.DUMMYFUNCTION("GOOGLETRANSLATE(B32205,""en"",""es-ES"")"),"La niña se levanta de la barra y aterriza en el borde de la barra.")</f>
        <v>La niña se levanta de la barra y aterriza en el borde de la barra.</v>
      </c>
    </row>
    <row r="32206">
      <c r="A32206" s="4" t="s">
        <v>40535</v>
      </c>
      <c r="B32206" s="4" t="s">
        <v>40546</v>
      </c>
      <c r="C32206" s="5" t="str">
        <f>IFERROR(__xludf.DUMMYFUNCTION("GOOGLETRANSLATE(B32206,""en"",""es-ES"")"),"La niña voltea tres veces.")</f>
        <v>La niña voltea tres veces.</v>
      </c>
    </row>
    <row r="32207">
      <c r="A32207" s="4" t="s">
        <v>40535</v>
      </c>
      <c r="B32207" s="4" t="s">
        <v>40547</v>
      </c>
      <c r="C32207" s="5" t="str">
        <f>IFERROR(__xludf.DUMMYFUNCTION("GOOGLETRANSLATE(B32207,""en"",""es-ES"")"),"La niña da dos pasos y voltea delantero.")</f>
        <v>La niña da dos pasos y voltea delantero.</v>
      </c>
    </row>
    <row r="32208">
      <c r="A32208" s="4" t="s">
        <v>40535</v>
      </c>
      <c r="B32208" s="4" t="s">
        <v>40548</v>
      </c>
      <c r="C32208" s="5" t="str">
        <f>IFERROR(__xludf.DUMMYFUNCTION("GOOGLETRANSLATE(B32208,""en"",""es-ES"")"),"La niña se levanta de la barra y aterriza en la misma posición.")</f>
        <v>La niña se levanta de la barra y aterriza en la misma posición.</v>
      </c>
    </row>
    <row r="32209">
      <c r="A32209" s="4" t="s">
        <v>40535</v>
      </c>
      <c r="B32209" s="4" t="s">
        <v>40549</v>
      </c>
      <c r="C32209" s="5" t="str">
        <f>IFERROR(__xludf.DUMMYFUNCTION("GOOGLETRANSLATE(B32209,""en"",""es-ES"")"),"La niña gira, salta en su lugar y se voltea.")</f>
        <v>La niña gira, salta en su lugar y se voltea.</v>
      </c>
    </row>
    <row r="32210">
      <c r="A32210" s="4" t="s">
        <v>40535</v>
      </c>
      <c r="B32210" s="4" t="s">
        <v>40550</v>
      </c>
      <c r="C32210" s="5" t="str">
        <f>IFERROR(__xludf.DUMMYFUNCTION("GOOGLETRANSLATE(B32210,""en"",""es-ES"")"),"La niña gira y gira con las manos levantadas.")</f>
        <v>La niña gira y gira con las manos levantadas.</v>
      </c>
    </row>
    <row r="32211">
      <c r="A32211" s="4" t="s">
        <v>40535</v>
      </c>
      <c r="B32211" s="4" t="s">
        <v>40551</v>
      </c>
      <c r="C32211" s="5" t="str">
        <f>IFERROR(__xludf.DUMMYFUNCTION("GOOGLETRANSLATE(B32211,""en"",""es-ES"")"),"La niña avanza, salta y gira.")</f>
        <v>La niña avanza, salta y gira.</v>
      </c>
    </row>
    <row r="32212">
      <c r="A32212" s="4" t="s">
        <v>40535</v>
      </c>
      <c r="B32212" s="4" t="s">
        <v>40552</v>
      </c>
      <c r="C32212" s="5" t="str">
        <f>IFERROR(__xludf.DUMMYFUNCTION("GOOGLETRANSLATE(B32212,""en"",""es-ES"")"),"Las chicas dan un paso adelante y elantero voltea y aterriza en el borde.")</f>
        <v>Las chicas dan un paso adelante y elantero voltea y aterriza en el borde.</v>
      </c>
    </row>
    <row r="32213">
      <c r="A32213" s="4" t="s">
        <v>40535</v>
      </c>
      <c r="B32213" s="4" t="s">
        <v>40553</v>
      </c>
      <c r="C32213" s="5" t="str">
        <f>IFERROR(__xludf.DUMMYFUNCTION("GOOGLETRANSLATE(B32213,""en"",""es-ES"")"),"La niña voltea tres veces fuera de la barra y aterriza en una alfombra azul.")</f>
        <v>La niña voltea tres veces fuera de la barra y aterriza en una alfombra azul.</v>
      </c>
    </row>
    <row r="32214">
      <c r="A32214" s="4" t="s">
        <v>40554</v>
      </c>
      <c r="B32214" s="4" t="s">
        <v>40555</v>
      </c>
      <c r="C32214" s="5" t="str">
        <f>IFERROR(__xludf.DUMMYFUNCTION("GOOGLETRANSLATE(B32214,""en"",""es-ES"")"),"Una casa blanca y un patio trasero lleno de nieve parece que una persona está limpiando la entrada de la casa.")</f>
        <v>Una casa blanca y un patio trasero lleno de nieve parece que una persona está limpiando la entrada de la casa.</v>
      </c>
    </row>
    <row r="32215">
      <c r="A32215" s="4" t="s">
        <v>40554</v>
      </c>
      <c r="B32215" s="4" t="s">
        <v>40556</v>
      </c>
      <c r="C32215" s="5" t="str">
        <f>IFERROR(__xludf.DUMMYFUNCTION("GOOGLETRANSLATE(B32215,""en"",""es-ES"")"),"Aparece un automóvil cubierto de nieve y la persona está limpiando la nieve del automóvil y abre la carretera frente al automóvil.")</f>
        <v>Aparece un automóvil cubierto de nieve y la persona está limpiando la nieve del automóvil y abre la carretera frente al automóvil.</v>
      </c>
    </row>
    <row r="32216">
      <c r="A32216" s="4" t="s">
        <v>40554</v>
      </c>
      <c r="B32216" s="4" t="s">
        <v>40557</v>
      </c>
      <c r="C32216" s="5" t="str">
        <f>IFERROR(__xludf.DUMMYFUNCTION("GOOGLETRANSLATE(B32216,""en"",""es-ES"")"),"Un auto rojo aparece cubierto de nieve y una persona está limpiando la nieve.")</f>
        <v>Un auto rojo aparece cubierto de nieve y una persona está limpiando la nieve.</v>
      </c>
    </row>
    <row r="32217">
      <c r="A32217" s="4" t="s">
        <v>40554</v>
      </c>
      <c r="B32217" s="4" t="s">
        <v>40558</v>
      </c>
      <c r="C32217" s="5" t="str">
        <f>IFERROR(__xludf.DUMMYFUNCTION("GOOGLETRANSLATE(B32217,""en"",""es-ES"")"),"Un coche negro está cubierto de nieve.")</f>
        <v>Un coche negro está cubierto de nieve.</v>
      </c>
    </row>
    <row r="32218">
      <c r="A32218" s="4" t="s">
        <v>40559</v>
      </c>
      <c r="B32218" s="4" t="s">
        <v>40560</v>
      </c>
      <c r="C32218" s="5" t="str">
        <f>IFERROR(__xludf.DUMMYFUNCTION("GOOGLETRANSLATE(B32218,""en"",""es-ES"")"),"Aparece un logotipo rosa y amarillo con labios en la pantalla.")</f>
        <v>Aparece un logotipo rosa y amarillo con labios en la pantalla.</v>
      </c>
    </row>
    <row r="32219">
      <c r="A32219" s="4" t="s">
        <v>40559</v>
      </c>
      <c r="B32219" s="4" t="s">
        <v>40561</v>
      </c>
      <c r="C32219" s="5" t="str">
        <f>IFERROR(__xludf.DUMMYFUNCTION("GOOGLETRANSLATE(B32219,""en"",""es-ES"")"),"Un peluquero masculino trabaja en el cabello de una mujer sentada en un salón de belleza de lujo.")</f>
        <v>Un peluquero masculino trabaja en el cabello de una mujer sentada en un salón de belleza de lujo.</v>
      </c>
    </row>
    <row r="32220">
      <c r="A32220" s="4" t="s">
        <v>40559</v>
      </c>
      <c r="B32220" s="4" t="s">
        <v>40562</v>
      </c>
      <c r="C32220" s="5" t="str">
        <f>IFERROR(__xludf.DUMMYFUNCTION("GOOGLETRANSLATE(B32220,""en"",""es-ES"")"),"El hombre se seca y aplica el producto al cabello de la mujer.")</f>
        <v>El hombre se seca y aplica el producto al cabello de la mujer.</v>
      </c>
    </row>
    <row r="32221">
      <c r="A32221" s="4" t="s">
        <v>40563</v>
      </c>
      <c r="B32221" s="4" t="s">
        <v>40564</v>
      </c>
      <c r="C32221" s="5" t="str">
        <f>IFERROR(__xludf.DUMMYFUNCTION("GOOGLETRANSLATE(B32221,""en"",""es-ES"")"),"Un hombre recoge una pelota de bolos y la arroja por el carril con algunos alfileres.")</f>
        <v>Un hombre recoge una pelota de bolos y la arroja por el carril con algunos alfileres.</v>
      </c>
    </row>
    <row r="32222">
      <c r="A32222" s="4" t="s">
        <v>40563</v>
      </c>
      <c r="B32222" s="4" t="s">
        <v>40565</v>
      </c>
      <c r="C32222" s="5" t="str">
        <f>IFERROR(__xludf.DUMMYFUNCTION("GOOGLETRANSLATE(B32222,""en"",""es-ES"")"),"Se cae al suelo.")</f>
        <v>Se cae al suelo.</v>
      </c>
    </row>
    <row r="32223">
      <c r="A32223" s="4" t="s">
        <v>40563</v>
      </c>
      <c r="B32223" s="4" t="s">
        <v>40566</v>
      </c>
      <c r="C32223" s="5" t="str">
        <f>IFERROR(__xludf.DUMMYFUNCTION("GOOGLETRANSLATE(B32223,""en"",""es-ES"")"),"La audiencia detrás de él lo aplaude.")</f>
        <v>La audiencia detrás de él lo aplaude.</v>
      </c>
    </row>
    <row r="32224">
      <c r="A32224" s="4" t="s">
        <v>40567</v>
      </c>
      <c r="B32224" s="4" t="s">
        <v>40568</v>
      </c>
      <c r="C32224" s="5" t="str">
        <f>IFERROR(__xludf.DUMMYFUNCTION("GOOGLETRANSLATE(B32224,""en"",""es-ES"")"),"Una mujer se encuentra con una rumba amarilla y habla con la cámara.")</f>
        <v>Una mujer se encuentra con una rumba amarilla y habla con la cámara.</v>
      </c>
    </row>
    <row r="32225">
      <c r="A32225" s="4" t="s">
        <v>40567</v>
      </c>
      <c r="B32225" s="4" t="s">
        <v>40569</v>
      </c>
      <c r="C32225" s="5" t="str">
        <f>IFERROR(__xludf.DUMMYFUNCTION("GOOGLETRANSLATE(B32225,""en"",""es-ES"")"),"La mujer juega a la raya de la láancia en el concreto pintado.")</f>
        <v>La mujer juega a la raya de la láancia en el concreto pintado.</v>
      </c>
    </row>
    <row r="32226">
      <c r="A32226" s="4" t="s">
        <v>40567</v>
      </c>
      <c r="B32226" s="4" t="s">
        <v>40570</v>
      </c>
      <c r="C32226" s="5" t="str">
        <f>IFERROR(__xludf.DUMMYFUNCTION("GOOGLETRANSLATE(B32226,""en"",""es-ES"")"),"La mujer habla con la cámara una vez más.")</f>
        <v>La mujer habla con la cámara una vez más.</v>
      </c>
    </row>
    <row r="32227">
      <c r="A32227" s="4" t="s">
        <v>40571</v>
      </c>
      <c r="B32227" s="4" t="s">
        <v>40572</v>
      </c>
      <c r="C32227" s="5" t="str">
        <f>IFERROR(__xludf.DUMMYFUNCTION("GOOGLETRANSLATE(B32227,""en"",""es-ES"")"),"Una escena de apertura con un niño con un sable de luz que desvía láseres mientras golpean la pared para presentar un espectáculo.")</f>
        <v>Una escena de apertura con un niño con un sable de luz que desvía láseres mientras golpean la pared para presentar un espectáculo.</v>
      </c>
    </row>
    <row r="32228">
      <c r="A32228" s="4" t="s">
        <v>40571</v>
      </c>
      <c r="B32228" s="4" t="s">
        <v>40573</v>
      </c>
      <c r="C32228" s="5" t="str">
        <f>IFERROR(__xludf.DUMMYFUNCTION("GOOGLETRANSLATE(B32228,""en"",""es-ES"")"),"Un hombre con una camiseta y gafas azules está parado frente a una vieja cabina telefónica y le explica a sus seguidores en YouTube cómo había ido al hospital para arreglar una rodilla dañada de un partido de lucha libre.")</f>
        <v>Un hombre con una camiseta y gafas azules está parado frente a una vieja cabina telefónica y le explica a sus seguidores en YouTube cómo había ido al hospital para arreglar una rodilla dañada de un partido de lucha libre.</v>
      </c>
    </row>
    <row r="32229">
      <c r="A32229" s="4" t="s">
        <v>40571</v>
      </c>
      <c r="B32229" s="4" t="s">
        <v>40574</v>
      </c>
      <c r="C32229" s="5" t="str">
        <f>IFERROR(__xludf.DUMMYFUNCTION("GOOGLETRANSLATE(B32229,""en"",""es-ES"")"),"Luego se muestra un video del incidente en el que dañó su rodilla en un partido de lucha libre cuando estos dos hombres se sientan en una mesa con un árbitro con vistas al hombre de las gafas al final del partido se cae de su silla y sale del escenario .")</f>
        <v>Luego se muestra un video del incidente en el que dañó su rodilla en un partido de lucha libre cuando estos dos hombres se sientan en una mesa con un árbitro con vistas al hombre de las gafas al final del partido se cae de su silla y sale del escenario .</v>
      </c>
    </row>
    <row r="32230">
      <c r="A32230" s="4" t="s">
        <v>40575</v>
      </c>
      <c r="B32230" s="4" t="s">
        <v>40576</v>
      </c>
      <c r="C32230" s="5" t="str">
        <f>IFERROR(__xludf.DUMMYFUNCTION("GOOGLETRANSLATE(B32230,""en"",""es-ES"")"),"Una banda está tocando música, mientras que una mujer con traje gris está cantando, y detrás de ella es un hombre con traje negro también está cantando, el chico con camisa verde tocando el tambor, la gente en la gran sala está bailando y cantando mientra"&amp;"s que otros están sentados, dos personas están hablando en una esquina mientras el canto y el baile continúan.")</f>
        <v>Una banda está tocando música, mientras que una mujer con traje gris está cantando, y detrás de ella es un hombre con traje negro también está cantando, el chico con camisa verde tocando el tambor, la gente en la gran sala está bailando y cantando mientras que otros están sentados, dos personas están hablando en una esquina mientras el canto y el baile continúan.</v>
      </c>
    </row>
    <row r="32231">
      <c r="A32231" s="4" t="s">
        <v>40575</v>
      </c>
      <c r="B32231" s="4" t="s">
        <v>40577</v>
      </c>
      <c r="C32231" s="5" t="str">
        <f>IFERROR(__xludf.DUMMYFUNCTION("GOOGLETRANSLATE(B32231,""en"",""es-ES"")"),"El chico con camisa verde toca la batería.")</f>
        <v>El chico con camisa verde toca la batería.</v>
      </c>
    </row>
    <row r="32232">
      <c r="A32232" s="4" t="s">
        <v>40578</v>
      </c>
      <c r="B32232" s="4" t="s">
        <v>40579</v>
      </c>
      <c r="C32232" s="5" t="str">
        <f>IFERROR(__xludf.DUMMYFUNCTION("GOOGLETRANSLATE(B32232,""en"",""es-ES"")"),"Un hombre y una mujer están sonriendo en una foto.")</f>
        <v>Un hombre y una mujer están sonriendo en una foto.</v>
      </c>
    </row>
    <row r="32233">
      <c r="A32233" s="4" t="s">
        <v>40578</v>
      </c>
      <c r="B32233" s="4" t="s">
        <v>40580</v>
      </c>
      <c r="C32233" s="5" t="str">
        <f>IFERROR(__xludf.DUMMYFUNCTION("GOOGLETRANSLATE(B32233,""en"",""es-ES"")"),"Alguien sostiene una navaja sobre un fregadero.")</f>
        <v>Alguien sostiene una navaja sobre un fregadero.</v>
      </c>
    </row>
    <row r="32234">
      <c r="A32234" s="4" t="s">
        <v>40578</v>
      </c>
      <c r="B32234" s="4" t="s">
        <v>40581</v>
      </c>
      <c r="C32234" s="5" t="str">
        <f>IFERROR(__xludf.DUMMYFUNCTION("GOOGLETRANSLATE(B32234,""en"",""es-ES"")"),"Un hombre con crema de afeitar en la barba comienza a afeitarse.")</f>
        <v>Un hombre con crema de afeitar en la barba comienza a afeitarse.</v>
      </c>
    </row>
    <row r="32235">
      <c r="A32235" s="4" t="s">
        <v>40578</v>
      </c>
      <c r="B32235" s="4" t="s">
        <v>16935</v>
      </c>
      <c r="C32235" s="5" t="str">
        <f>IFERROR(__xludf.DUMMYFUNCTION("GOOGLETRANSLATE(B32235,""en"",""es-ES"")"),"Las palabras se escriben en la pantalla.")</f>
        <v>Las palabras se escriben en la pantalla.</v>
      </c>
    </row>
    <row r="32236">
      <c r="A32236" s="4" t="s">
        <v>40578</v>
      </c>
      <c r="B32236" s="4" t="s">
        <v>40582</v>
      </c>
      <c r="C32236" s="5" t="str">
        <f>IFERROR(__xludf.DUMMYFUNCTION("GOOGLETRANSLATE(B32236,""en"",""es-ES"")"),"El hombre continúa afeitándose la barba.")</f>
        <v>El hombre continúa afeitándose la barba.</v>
      </c>
    </row>
    <row r="32237">
      <c r="A32237" s="4" t="s">
        <v>40578</v>
      </c>
      <c r="B32237" s="4" t="s">
        <v>40583</v>
      </c>
      <c r="C32237" s="5" t="str">
        <f>IFERROR(__xludf.DUMMYFUNCTION("GOOGLETRANSLATE(B32237,""en"",""es-ES"")"),"Se limpia la cara con una toalla y sonríe.")</f>
        <v>Se limpia la cara con una toalla y sonríe.</v>
      </c>
    </row>
    <row r="32238">
      <c r="A32238" s="4" t="s">
        <v>40584</v>
      </c>
      <c r="B32238" s="4" t="s">
        <v>40585</v>
      </c>
      <c r="C32238" s="5" t="str">
        <f>IFERROR(__xludf.DUMMYFUNCTION("GOOGLETRANSLATE(B32238,""en"",""es-ES"")"),"Una niña tiene el cabello retirado y las gafas mientras alguien marca aquí el cartílago.")</f>
        <v>Una niña tiene el cabello retirado y las gafas mientras alguien marca aquí el cartílago.</v>
      </c>
    </row>
    <row r="32239">
      <c r="A32239" s="4" t="s">
        <v>40584</v>
      </c>
      <c r="B32239" s="4" t="s">
        <v>40586</v>
      </c>
      <c r="C32239" s="5" t="str">
        <f>IFERROR(__xludf.DUMMYFUNCTION("GOOGLETRANSLATE(B32239,""en"",""es-ES"")"),"Una vez que está marcado, ella comienza a sonreír a la cámara.")</f>
        <v>Una vez que está marcado, ella comienza a sonreír a la cámara.</v>
      </c>
    </row>
    <row r="32240">
      <c r="A32240" s="4" t="s">
        <v>40584</v>
      </c>
      <c r="B32240" s="4" t="s">
        <v>40587</v>
      </c>
      <c r="C32240" s="5" t="str">
        <f>IFERROR(__xludf.DUMMYFUNCTION("GOOGLETRANSLATE(B32240,""en"",""es-ES"")"),"El hombre luego toma un par de pinzas y clipa la oreja de la niña.")</f>
        <v>El hombre luego toma un par de pinzas y clipa la oreja de la niña.</v>
      </c>
    </row>
    <row r="32241">
      <c r="A32241" s="4" t="s">
        <v>40584</v>
      </c>
      <c r="B32241" s="4" t="s">
        <v>40588</v>
      </c>
      <c r="C32241" s="5" t="str">
        <f>IFERROR(__xludf.DUMMYFUNCTION("GOOGLETRANSLATE(B32241,""en"",""es-ES"")"),"El arete finalmente está adentro y la niña comienza a sonreír con la aprobación y toca su otro oído.")</f>
        <v>El arete finalmente está adentro y la niña comienza a sonreír con la aprobación y toca su otro oído.</v>
      </c>
    </row>
    <row r="32242">
      <c r="A32242" s="4" t="s">
        <v>40589</v>
      </c>
      <c r="B32242" s="4" t="s">
        <v>40590</v>
      </c>
      <c r="C32242" s="5" t="str">
        <f>IFERROR(__xludf.DUMMYFUNCTION("GOOGLETRANSLATE(B32242,""en"",""es-ES"")"),"Se muestran varios clips de atletas que corren por una gran pista en un pozo de arena.")</f>
        <v>Se muestran varios clips de atletas que corren por una gran pista en un pozo de arena.</v>
      </c>
    </row>
    <row r="32243">
      <c r="A32243" s="4" t="s">
        <v>40589</v>
      </c>
      <c r="B32243" s="4" t="s">
        <v>40591</v>
      </c>
      <c r="C32243" s="5" t="str">
        <f>IFERROR(__xludf.DUMMYFUNCTION("GOOGLETRANSLATE(B32243,""en"",""es-ES"")"),"Se muestran más personas corriendo por la pista realizando saltos impresionantes y celebrando después.")</f>
        <v>Se muestran más personas corriendo por la pista realizando saltos impresionantes y celebrando después.</v>
      </c>
    </row>
    <row r="32244">
      <c r="A32244" s="4" t="s">
        <v>40589</v>
      </c>
      <c r="B32244" s="4" t="s">
        <v>40592</v>
      </c>
      <c r="C32244" s="5" t="str">
        <f>IFERROR(__xludf.DUMMYFUNCTION("GOOGLETRANSLATE(B32244,""en"",""es-ES"")"),"Se muestran varios clips de atletas que corren por la pista, así como saltan sobre vigas y saludando a la audiencia.")</f>
        <v>Se muestran varios clips de atletas que corren por la pista, así como saltan sobre vigas y saludando a la audiencia.</v>
      </c>
    </row>
    <row r="32245">
      <c r="A32245" s="4" t="s">
        <v>40593</v>
      </c>
      <c r="B32245" s="4" t="s">
        <v>40594</v>
      </c>
      <c r="C32245" s="5" t="str">
        <f>IFERROR(__xludf.DUMMYFUNCTION("GOOGLETRANSLATE(B32245,""en"",""es-ES"")"),"Se ve a un grupo de hombres caminando alrededor de una mesa llena de tazas mientras se ríen y sonríe unos a otros.")</f>
        <v>Se ve a un grupo de hombres caminando alrededor de una mesa llena de tazas mientras se ríen y sonríe unos a otros.</v>
      </c>
    </row>
    <row r="32246">
      <c r="A32246" s="4" t="s">
        <v>40593</v>
      </c>
      <c r="B32246" s="4" t="s">
        <v>40595</v>
      </c>
      <c r="C32246" s="5" t="str">
        <f>IFERROR(__xludf.DUMMYFUNCTION("GOOGLETRANSLATE(B32246,""en"",""es-ES"")"),"Un hombre luego salta sobre la mesa y lo choca al piso mientras otros corren y se ríen.")</f>
        <v>Un hombre luego salta sobre la mesa y lo choca al piso mientras otros corren y se ríen.</v>
      </c>
    </row>
    <row r="32247">
      <c r="A32247" s="4" t="s">
        <v>40596</v>
      </c>
      <c r="B32247" s="4" t="s">
        <v>40597</v>
      </c>
      <c r="C32247" s="5" t="str">
        <f>IFERROR(__xludf.DUMMYFUNCTION("GOOGLETRANSLATE(B32247,""en"",""es-ES"")"),"Se ve una vista de las personas en el océano.")</f>
        <v>Se ve una vista de las personas en el océano.</v>
      </c>
    </row>
    <row r="32248">
      <c r="A32248" s="4" t="s">
        <v>40596</v>
      </c>
      <c r="B32248" s="4" t="s">
        <v>40598</v>
      </c>
      <c r="C32248" s="5" t="str">
        <f>IFERROR(__xludf.DUMMYFUNCTION("GOOGLETRANSLATE(B32248,""en"",""es-ES"")"),"Las aguas son ásperas, salpicando duramente contra las rocas.")</f>
        <v>Las aguas son ásperas, salpicando duramente contra las rocas.</v>
      </c>
    </row>
    <row r="32249">
      <c r="A32249" s="4" t="s">
        <v>40596</v>
      </c>
      <c r="B32249" s="4" t="s">
        <v>40599</v>
      </c>
      <c r="C32249" s="5" t="str">
        <f>IFERROR(__xludf.DUMMYFUNCTION("GOOGLETRANSLATE(B32249,""en"",""es-ES"")"),"La gente está siendo derribada de sus tablas de surf.")</f>
        <v>La gente está siendo derribada de sus tablas de surf.</v>
      </c>
    </row>
    <row r="32250">
      <c r="A32250" s="4" t="s">
        <v>40600</v>
      </c>
      <c r="B32250" s="4" t="s">
        <v>40601</v>
      </c>
      <c r="C32250" s="5" t="str">
        <f>IFERROR(__xludf.DUMMYFUNCTION("GOOGLETRANSLATE(B32250,""en"",""es-ES"")"),"La gente está sentada y montando camellos afuera.")</f>
        <v>La gente está sentada y montando camellos afuera.</v>
      </c>
    </row>
    <row r="32251">
      <c r="A32251" s="4" t="s">
        <v>40600</v>
      </c>
      <c r="B32251" s="4" t="s">
        <v>40602</v>
      </c>
      <c r="C32251" s="5" t="str">
        <f>IFERROR(__xludf.DUMMYFUNCTION("GOOGLETRANSLATE(B32251,""en"",""es-ES"")"),"Una persona está caminando y sosteniendo una cuerda atada a la cara del camello.")</f>
        <v>Una persona está caminando y sosteniendo una cuerda atada a la cara del camello.</v>
      </c>
    </row>
    <row r="32252">
      <c r="A32252" s="4" t="s">
        <v>40600</v>
      </c>
      <c r="B32252" s="4" t="s">
        <v>40603</v>
      </c>
      <c r="C32252" s="5" t="str">
        <f>IFERROR(__xludf.DUMMYFUNCTION("GOOGLETRANSLATE(B32252,""en"",""es-ES"")"),"Se está vertiendo un líquido marrón claro en gafas pequeñas.")</f>
        <v>Se está vertiendo un líquido marrón claro en gafas pequeñas.</v>
      </c>
    </row>
    <row r="32253">
      <c r="A32253" s="4" t="s">
        <v>40604</v>
      </c>
      <c r="B32253" s="4" t="s">
        <v>40605</v>
      </c>
      <c r="C32253" s="5" t="str">
        <f>IFERROR(__xludf.DUMMYFUNCTION("GOOGLETRANSLATE(B32253,""en"",""es-ES"")"),"Un hombre está trabajando en bares.")</f>
        <v>Un hombre está trabajando en bares.</v>
      </c>
    </row>
    <row r="32254">
      <c r="A32254" s="4" t="s">
        <v>40604</v>
      </c>
      <c r="B32254" s="4" t="s">
        <v>40606</v>
      </c>
      <c r="C32254" s="5" t="str">
        <f>IFERROR(__xludf.DUMMYFUNCTION("GOOGLETRANSLATE(B32254,""en"",""es-ES"")"),"Tiene un peso unido a su cinturón.")</f>
        <v>Tiene un peso unido a su cinturón.</v>
      </c>
    </row>
    <row r="32255">
      <c r="A32255" s="4" t="s">
        <v>40604</v>
      </c>
      <c r="B32255" s="4" t="s">
        <v>40607</v>
      </c>
      <c r="C32255" s="5" t="str">
        <f>IFERROR(__xludf.DUMMYFUNCTION("GOOGLETRANSLATE(B32255,""en"",""es-ES"")"),"Él sube y baja en las barras.")</f>
        <v>Él sube y baja en las barras.</v>
      </c>
    </row>
    <row r="32256">
      <c r="A32256" s="4" t="s">
        <v>40608</v>
      </c>
      <c r="B32256" s="4" t="s">
        <v>40609</v>
      </c>
      <c r="C32256" s="5" t="str">
        <f>IFERROR(__xludf.DUMMYFUNCTION("GOOGLETRANSLATE(B32256,""en"",""es-ES"")"),"Se nos muestra el patio cubierto de vegetación.")</f>
        <v>Se nos muestra el patio cubierto de vegetación.</v>
      </c>
    </row>
    <row r="32257">
      <c r="A32257" s="4" t="s">
        <v>40608</v>
      </c>
      <c r="B32257" s="4" t="s">
        <v>40610</v>
      </c>
      <c r="C32257" s="5" t="str">
        <f>IFERROR(__xludf.DUMMYFUNCTION("GOOGLETRANSLATE(B32257,""en"",""es-ES"")"),"Se ve un camión blanco en un camino de entrada.")</f>
        <v>Se ve un camión blanco en un camino de entrada.</v>
      </c>
    </row>
    <row r="32258">
      <c r="A32258" s="4" t="s">
        <v>40608</v>
      </c>
      <c r="B32258" s="4" t="s">
        <v>40611</v>
      </c>
      <c r="C32258" s="5" t="str">
        <f>IFERROR(__xludf.DUMMYFUNCTION("GOOGLETRANSLATE(B32258,""en"",""es-ES"")"),"Vemos la sombra del camarógrafo.")</f>
        <v>Vemos la sombra del camarógrafo.</v>
      </c>
    </row>
    <row r="32259">
      <c r="A32259" s="4" t="s">
        <v>40608</v>
      </c>
      <c r="B32259" s="4" t="s">
        <v>40612</v>
      </c>
      <c r="C32259" s="5" t="str">
        <f>IFERROR(__xludf.DUMMYFUNCTION("GOOGLETRANSLATE(B32259,""en"",""es-ES"")"),"Una persona de azul está cortando el césped.")</f>
        <v>Una persona de azul está cortando el césped.</v>
      </c>
    </row>
    <row r="32260">
      <c r="A32260" s="4" t="s">
        <v>40608</v>
      </c>
      <c r="B32260" s="4" t="s">
        <v>40613</v>
      </c>
      <c r="C32260" s="5" t="str">
        <f>IFERROR(__xludf.DUMMYFUNCTION("GOOGLETRANSLATE(B32260,""en"",""es-ES"")"),"Una persona está usando sopladores de hojas.")</f>
        <v>Una persona está usando sopladores de hojas.</v>
      </c>
    </row>
    <row r="32261">
      <c r="A32261" s="4" t="s">
        <v>40608</v>
      </c>
      <c r="B32261" s="4" t="s">
        <v>40614</v>
      </c>
      <c r="C32261" s="5" t="str">
        <f>IFERROR(__xludf.DUMMYFUNCTION("GOOGLETRANSLATE(B32261,""en"",""es-ES"")"),"La cámara se reproduce para mostrar los árboles y el jardín.")</f>
        <v>La cámara se reproduce para mostrar los árboles y el jardín.</v>
      </c>
    </row>
    <row r="32262">
      <c r="A32262" s="4" t="s">
        <v>40615</v>
      </c>
      <c r="B32262" s="4" t="s">
        <v>40616</v>
      </c>
      <c r="C32262" s="5" t="str">
        <f>IFERROR(__xludf.DUMMYFUNCTION("GOOGLETRANSLATE(B32262,""en"",""es-ES"")"),"En introducción con el título del programa y el sitio web se ve.")</f>
        <v>En introducción con el título del programa y el sitio web se ve.</v>
      </c>
    </row>
    <row r="32263">
      <c r="A32263" s="4" t="s">
        <v>40615</v>
      </c>
      <c r="B32263" s="4" t="s">
        <v>40617</v>
      </c>
      <c r="C32263" s="5" t="str">
        <f>IFERROR(__xludf.DUMMYFUNCTION("GOOGLETRANSLATE(B32263,""en"",""es-ES"")"),"Una mujer se para en el baño y luego coloca una lente de contacto en su ojo.")</f>
        <v>Una mujer se para en el baño y luego coloca una lente de contacto en su ojo.</v>
      </c>
    </row>
    <row r="32264">
      <c r="A32264" s="4" t="s">
        <v>40615</v>
      </c>
      <c r="B32264" s="4" t="s">
        <v>40618</v>
      </c>
      <c r="C32264" s="5" t="str">
        <f>IFERROR(__xludf.DUMMYFUNCTION("GOOGLETRANSLATE(B32264,""en"",""es-ES"")"),"Luego, la mujer saca la lente de contacto de su ojo.")</f>
        <v>Luego, la mujer saca la lente de contacto de su ojo.</v>
      </c>
    </row>
    <row r="32265">
      <c r="A32265" s="4" t="s">
        <v>40615</v>
      </c>
      <c r="B32265" s="4" t="s">
        <v>40619</v>
      </c>
      <c r="C32265" s="5" t="str">
        <f>IFERROR(__xludf.DUMMYFUNCTION("GOOGLETRANSLATE(B32265,""en"",""es-ES"")"),"La mujer muestra un par de pinzas y las usa para sacar el contacto de su ojo.")</f>
        <v>La mujer muestra un par de pinzas y las usa para sacar el contacto de su ojo.</v>
      </c>
    </row>
    <row r="32266">
      <c r="A32266" s="4" t="s">
        <v>40620</v>
      </c>
      <c r="B32266" s="4" t="s">
        <v>40621</v>
      </c>
      <c r="C32266" s="5" t="str">
        <f>IFERROR(__xludf.DUMMYFUNCTION("GOOGLETRANSLATE(B32266,""en"",""es-ES"")"),"Se muestran varias tomas de torcederos en un gran cuerpo de agua con varias personas nadando en la distancia.")</f>
        <v>Se muestran varias tomas de torcederos en un gran cuerpo de agua con varias personas nadando en la distancia.</v>
      </c>
    </row>
    <row r="32267">
      <c r="A32267" s="4" t="s">
        <v>40620</v>
      </c>
      <c r="B32267" s="4" t="s">
        <v>40622</v>
      </c>
      <c r="C32267" s="5" t="str">
        <f>IFERROR(__xludf.DUMMYFUNCTION("GOOGLETRANSLATE(B32267,""en"",""es-ES"")"),"Los huéspedes de Wake viajan y el cuarto pasado entre sí y realizan varios trucos.")</f>
        <v>Los huéspedes de Wake viajan y el cuarto pasado entre sí y realizan varios trucos.</v>
      </c>
    </row>
    <row r="32268">
      <c r="A32268" s="4" t="s">
        <v>40620</v>
      </c>
      <c r="B32268" s="4" t="s">
        <v>40623</v>
      </c>
      <c r="C32268" s="5" t="str">
        <f>IFERROR(__xludf.DUMMYFUNCTION("GOOGLETRANSLATE(B32268,""en"",""es-ES"")"),"El viaje cerca de la costa haciendo trucos uno a la vez.")</f>
        <v>El viaje cerca de la costa haciendo trucos uno a la vez.</v>
      </c>
    </row>
    <row r="32269">
      <c r="A32269" s="4" t="s">
        <v>40624</v>
      </c>
      <c r="B32269" s="4" t="s">
        <v>18713</v>
      </c>
      <c r="C32269" s="5" t="str">
        <f>IFERROR(__xludf.DUMMYFUNCTION("GOOGLETRANSLATE(B32269,""en"",""es-ES"")"),"Una gimnasta se prepara para montar una viga.")</f>
        <v>Una gimnasta se prepara para montar una viga.</v>
      </c>
    </row>
    <row r="32270">
      <c r="A32270" s="4" t="s">
        <v>40624</v>
      </c>
      <c r="B32270" s="4" t="s">
        <v>40625</v>
      </c>
      <c r="C32270" s="5" t="str">
        <f>IFERROR(__xludf.DUMMYFUNCTION("GOOGLETRANSLATE(B32270,""en"",""es-ES"")"),"Se monta, luego procede a hacer muchas volteidades y manos.")</f>
        <v>Se monta, luego procede a hacer muchas volteidades y manos.</v>
      </c>
    </row>
    <row r="32271">
      <c r="A32271" s="4" t="s">
        <v>40624</v>
      </c>
      <c r="B32271" s="4" t="s">
        <v>40626</v>
      </c>
      <c r="C32271" s="5" t="str">
        <f>IFERROR(__xludf.DUMMYFUNCTION("GOOGLETRANSLATE(B32271,""en"",""es-ES"")"),"Cuando termina, desmonta.")</f>
        <v>Cuando termina, desmonta.</v>
      </c>
    </row>
    <row r="32272">
      <c r="A32272" s="4" t="s">
        <v>40627</v>
      </c>
      <c r="B32272" s="4" t="s">
        <v>40628</v>
      </c>
      <c r="C32272" s="5" t="str">
        <f>IFERROR(__xludf.DUMMYFUNCTION("GOOGLETRANSLATE(B32272,""en"",""es-ES"")"),"Una niña golpea una piñata con los ojos vendados mientras la piñata sube y baja en un patio trasero.")</f>
        <v>Una niña golpea una piñata con los ojos vendados mientras la piñata sube y baja en un patio trasero.</v>
      </c>
    </row>
    <row r="32273">
      <c r="A32273" s="4" t="s">
        <v>40627</v>
      </c>
      <c r="B32273" s="4" t="s">
        <v>40629</v>
      </c>
      <c r="C32273" s="5" t="str">
        <f>IFERROR(__xludf.DUMMYFUNCTION("GOOGLETRANSLATE(B32273,""en"",""es-ES"")"),"Luego, la niña se quita la tela en sus ojos y sonríe.")</f>
        <v>Luego, la niña se quita la tela en sus ojos y sonríe.</v>
      </c>
    </row>
    <row r="32274">
      <c r="A32274" s="4" t="s">
        <v>40630</v>
      </c>
      <c r="B32274" s="4" t="s">
        <v>40631</v>
      </c>
      <c r="C32274" s="5" t="str">
        <f>IFERROR(__xludf.DUMMYFUNCTION("GOOGLETRANSLATE(B32274,""en"",""es-ES"")"),"Un neumático para una bicicleta gira, y un hombre lo atrapa.")</f>
        <v>Un neumático para una bicicleta gira, y un hombre lo atrapa.</v>
      </c>
    </row>
    <row r="32275">
      <c r="A32275" s="4" t="s">
        <v>40630</v>
      </c>
      <c r="B32275" s="4" t="s">
        <v>40632</v>
      </c>
      <c r="C32275" s="5" t="str">
        <f>IFERROR(__xludf.DUMMYFUNCTION("GOOGLETRANSLATE(B32275,""en"",""es-ES"")"),"Vemos una pregunta escrita en papel, luego un hombre en una tienda de bicicletas mientras habla.")</f>
        <v>Vemos una pregunta escrita en papel, luego un hombre en una tienda de bicicletas mientras habla.</v>
      </c>
    </row>
    <row r="32276">
      <c r="A32276" s="4" t="s">
        <v>40630</v>
      </c>
      <c r="B32276" s="4" t="s">
        <v>40633</v>
      </c>
      <c r="C32276" s="5" t="str">
        <f>IFERROR(__xludf.DUMMYFUNCTION("GOOGLETRANSLATE(B32276,""en"",""es-ES"")"),"Demuestra cómo eliminar la goma de un neumático del marco y reemplazarlo.")</f>
        <v>Demuestra cómo eliminar la goma de un neumático del marco y reemplazarlo.</v>
      </c>
    </row>
    <row r="32277">
      <c r="A32277" s="4" t="s">
        <v>40630</v>
      </c>
      <c r="B32277" s="4" t="s">
        <v>40634</v>
      </c>
      <c r="C32277" s="5" t="str">
        <f>IFERROR(__xludf.DUMMYFUNCTION("GOOGLETRANSLATE(B32277,""en"",""es-ES"")"),"Luego habla con la cámara un poco más.")</f>
        <v>Luego habla con la cámara un poco más.</v>
      </c>
    </row>
    <row r="32278">
      <c r="A32278" s="4" t="s">
        <v>40635</v>
      </c>
      <c r="B32278" s="4" t="s">
        <v>40636</v>
      </c>
      <c r="C32278" s="5" t="str">
        <f>IFERROR(__xludf.DUMMYFUNCTION("GOOGLETRANSLATE(B32278,""en"",""es-ES"")"),"Se ve el cabello de un hombre de cerca seguido de una navaja de afeitar que se usa en los lados.")</f>
        <v>Se ve el cabello de un hombre de cerca seguido de una navaja de afeitar que se usa en los lados.</v>
      </c>
    </row>
    <row r="32279">
      <c r="A32279" s="4" t="s">
        <v>40635</v>
      </c>
      <c r="B32279" s="4" t="s">
        <v>40637</v>
      </c>
      <c r="C32279" s="5" t="str">
        <f>IFERROR(__xludf.DUMMYFUNCTION("GOOGLETRANSLATE(B32279,""en"",""es-ES"")"),"Se ve a una persona peinando el cabello de la persona mientras usa el recortador.")</f>
        <v>Se ve a una persona peinando el cabello de la persona mientras usa el recortador.</v>
      </c>
    </row>
    <row r="32280">
      <c r="A32280" s="4" t="s">
        <v>40635</v>
      </c>
      <c r="B32280" s="4" t="s">
        <v>40638</v>
      </c>
      <c r="C32280" s="5" t="str">
        <f>IFERROR(__xludf.DUMMYFUNCTION("GOOGLETRANSLATE(B32280,""en"",""es-ES"")"),"La cabeza del hombre también se ve afeitado a un lado.")</f>
        <v>La cabeza del hombre también se ve afeitado a un lado.</v>
      </c>
    </row>
    <row r="32281">
      <c r="A32281" s="4" t="s">
        <v>40639</v>
      </c>
      <c r="B32281" s="4" t="s">
        <v>40640</v>
      </c>
      <c r="C32281" s="5" t="str">
        <f>IFERROR(__xludf.DUMMYFUNCTION("GOOGLETRANSLATE(B32281,""en"",""es-ES"")"),"Hay una dama nadadora que se sumerge en una piscina cubierta desde una tabla de buceo alta mientras un pequeño grupo de personas la mira actuar.")</f>
        <v>Hay una dama nadadora que se sumerge en una piscina cubierta desde una tabla de buceo alta mientras un pequeño grupo de personas la mira actuar.</v>
      </c>
    </row>
    <row r="32282">
      <c r="A32282" s="4" t="s">
        <v>40639</v>
      </c>
      <c r="B32282" s="4" t="s">
        <v>40641</v>
      </c>
      <c r="C32282" s="5" t="str">
        <f>IFERROR(__xludf.DUMMYFUNCTION("GOOGLETRANSLATE(B32282,""en"",""es-ES"")"),"El buzo se encuentra en una posición primero para ajustar su postura y luego gradualmente avanza en la tabla de buceo.")</f>
        <v>El buzo se encuentra en una posición primero para ajustar su postura y luego gradualmente avanza en la tabla de buceo.</v>
      </c>
    </row>
    <row r="32283">
      <c r="A32283" s="4" t="s">
        <v>40639</v>
      </c>
      <c r="B32283" s="4" t="s">
        <v>40642</v>
      </c>
      <c r="C32283" s="5" t="str">
        <f>IFERROR(__xludf.DUMMYFUNCTION("GOOGLETRANSLATE(B32283,""en"",""es-ES"")"),"Ella salta alto y tuerce su cuerpo mientras salta.")</f>
        <v>Ella salta alto y tuerce su cuerpo mientras salta.</v>
      </c>
    </row>
    <row r="32284">
      <c r="A32284" s="4" t="s">
        <v>40639</v>
      </c>
      <c r="B32284" s="4" t="s">
        <v>40643</v>
      </c>
      <c r="C32284" s="5" t="str">
        <f>IFERROR(__xludf.DUMMYFUNCTION("GOOGLETRANSLATE(B32284,""en"",""es-ES"")"),"Ella termina lastimándose en la espalda mientras juzga mal la distancia desde la tabla de buceo mientras cae en la piscina.")</f>
        <v>Ella termina lastimándose en la espalda mientras juzga mal la distancia desde la tabla de buceo mientras cae en la piscina.</v>
      </c>
    </row>
    <row r="32285">
      <c r="A32285" s="4" t="s">
        <v>40644</v>
      </c>
      <c r="B32285" s="4" t="s">
        <v>40645</v>
      </c>
      <c r="C32285" s="5" t="str">
        <f>IFERROR(__xludf.DUMMYFUNCTION("GOOGLETRANSLATE(B32285,""en"",""es-ES"")"),"Varias introducciones diferentes finalmente conducen a dos hombres que apuntan en un campo y se preparan para paintball.")</f>
        <v>Varias introducciones diferentes finalmente conducen a dos hombres que apuntan en un campo y se preparan para paintball.</v>
      </c>
    </row>
    <row r="32286">
      <c r="A32286" s="4" t="s">
        <v>40644</v>
      </c>
      <c r="B32286" s="4" t="s">
        <v>40646</v>
      </c>
      <c r="C32286" s="5" t="str">
        <f>IFERROR(__xludf.DUMMYFUNCTION("GOOGLETRANSLATE(B32286,""en"",""es-ES"")"),"Luego, los hombres corren por todo el campo y se atacan con pistolas de paintball.")</f>
        <v>Luego, los hombres corren por todo el campo y se atacan con pistolas de paintball.</v>
      </c>
    </row>
    <row r="32287">
      <c r="A32287" s="4" t="s">
        <v>40644</v>
      </c>
      <c r="B32287" s="4" t="s">
        <v>40647</v>
      </c>
      <c r="C32287" s="5" t="str">
        <f>IFERROR(__xludf.DUMMYFUNCTION("GOOGLETRANSLATE(B32287,""en"",""es-ES"")"),"Corren por el campo rápidamente y se atacan unos a otros usando la pistola de pintura.")</f>
        <v>Corren por el campo rápidamente y se atacan unos a otros usando la pistola de pintura.</v>
      </c>
    </row>
    <row r="32288">
      <c r="A32288" s="4" t="s">
        <v>40648</v>
      </c>
      <c r="B32288" s="4" t="s">
        <v>40649</v>
      </c>
      <c r="C32288" s="5" t="str">
        <f>IFERROR(__xludf.DUMMYFUNCTION("GOOGLETRANSLATE(B32288,""en"",""es-ES"")"),"Una gimnasta en Red Splity Leotard está haciendo gimnasia en un bar de caballos.")</f>
        <v>Una gimnasta en Red Splity Leotard está haciendo gimnasia en un bar de caballos.</v>
      </c>
    </row>
    <row r="32289">
      <c r="A32289" s="4" t="s">
        <v>40648</v>
      </c>
      <c r="B32289" s="4" t="s">
        <v>40650</v>
      </c>
      <c r="C32289" s="5" t="str">
        <f>IFERROR(__xludf.DUMMYFUNCTION("GOOGLETRANSLATE(B32289,""en"",""es-ES"")"),"Ella salta rápidamente y hace prácticas y vueltas hacia atrás en la barra de caballos.")</f>
        <v>Ella salta rápidamente y hace prácticas y vueltas hacia atrás en la barra de caballos.</v>
      </c>
    </row>
    <row r="32290">
      <c r="A32290" s="4" t="s">
        <v>40648</v>
      </c>
      <c r="B32290" s="4" t="s">
        <v>40651</v>
      </c>
      <c r="C32290" s="5" t="str">
        <f>IFERROR(__xludf.DUMMYFUNCTION("GOOGLETRANSLATE(B32290,""en"",""es-ES"")"),"Hay un panel de jueces que la observan en el estadio en Nanning, China.")</f>
        <v>Hay un panel de jueces que la observan en el estadio en Nanning, China.</v>
      </c>
    </row>
    <row r="32291">
      <c r="A32291" s="4" t="s">
        <v>40648</v>
      </c>
      <c r="B32291" s="4" t="s">
        <v>40652</v>
      </c>
      <c r="C32291" s="5" t="str">
        <f>IFERROR(__xludf.DUMMYFUNCTION("GOOGLETRANSLATE(B32291,""en"",""es-ES"")"),"Ella continúa caminando con gracia sobre la barra de caballos mientras salta y hace un volteo hacia atrás al suelo y luego se aleja.")</f>
        <v>Ella continúa caminando con gracia sobre la barra de caballos mientras salta y hace un volteo hacia atrás al suelo y luego se aleja.</v>
      </c>
    </row>
    <row r="32292">
      <c r="A32292" s="4" t="s">
        <v>40653</v>
      </c>
      <c r="B32292" s="4" t="s">
        <v>40654</v>
      </c>
      <c r="C32292" s="5" t="str">
        <f>IFERROR(__xludf.DUMMYFUNCTION("GOOGLETRANSLATE(B32292,""en"",""es-ES"")"),"Se muestra un primer plano de comida seguido por una persona que pone varios ingredientes en una taza.")</f>
        <v>Se muestra un primer plano de comida seguido por una persona que pone varios ingredientes en una taza.</v>
      </c>
    </row>
    <row r="32293">
      <c r="A32293" s="4" t="s">
        <v>40653</v>
      </c>
      <c r="B32293" s="4" t="s">
        <v>40655</v>
      </c>
      <c r="C32293" s="5" t="str">
        <f>IFERROR(__xludf.DUMMYFUNCTION("GOOGLETRANSLATE(B32293,""en"",""es-ES"")"),"Se mezclan alrededor de los ingredientes, colocan la taza en el microondas y la sacan al final mostrando el pastel.")</f>
        <v>Se mezclan alrededor de los ingredientes, colocan la taza en el microondas y la sacan al final mostrando el pastel.</v>
      </c>
    </row>
    <row r="32294">
      <c r="A32294" s="4" t="s">
        <v>40656</v>
      </c>
      <c r="B32294" s="4" t="s">
        <v>40657</v>
      </c>
      <c r="C32294" s="5" t="str">
        <f>IFERROR(__xludf.DUMMYFUNCTION("GOOGLETRANSLATE(B32294,""en"",""es-ES"")"),"Alguien golpea un bate contra dos bolas.")</f>
        <v>Alguien golpea un bate contra dos bolas.</v>
      </c>
    </row>
    <row r="32295">
      <c r="A32295" s="4" t="s">
        <v>40656</v>
      </c>
      <c r="B32295" s="4" t="s">
        <v>40658</v>
      </c>
      <c r="C32295" s="5" t="str">
        <f>IFERROR(__xludf.DUMMYFUNCTION("GOOGLETRANSLATE(B32295,""en"",""es-ES"")"),"Las bolas van a un bucle en el suelo.")</f>
        <v>Las bolas van a un bucle en el suelo.</v>
      </c>
    </row>
    <row r="32296">
      <c r="A32296" s="4" t="s">
        <v>40656</v>
      </c>
      <c r="B32296" s="4" t="s">
        <v>40659</v>
      </c>
      <c r="C32296" s="5" t="str">
        <f>IFERROR(__xludf.DUMMYFUNCTION("GOOGLETRANSLATE(B32296,""en"",""es-ES"")"),"Se separan y van diferentes distancias.")</f>
        <v>Se separan y van diferentes distancias.</v>
      </c>
    </row>
    <row r="32297">
      <c r="A32297" s="4" t="s">
        <v>40660</v>
      </c>
      <c r="B32297" s="4" t="s">
        <v>40661</v>
      </c>
      <c r="C32297" s="5" t="str">
        <f>IFERROR(__xludf.DUMMYFUNCTION("GOOGLETRANSLATE(B32297,""en"",""es-ES"")"),"Dos mujeres barren un piso cuando una pelota se desliza detrás de ellas.")</f>
        <v>Dos mujeres barren un piso cuando una pelota se desliza detrás de ellas.</v>
      </c>
    </row>
    <row r="32298">
      <c r="A32298" s="4" t="s">
        <v>40660</v>
      </c>
      <c r="B32298" s="4" t="s">
        <v>40662</v>
      </c>
      <c r="C32298" s="5" t="str">
        <f>IFERROR(__xludf.DUMMYFUNCTION("GOOGLETRANSLATE(B32298,""en"",""es-ES"")"),"Barcan el piso nuevamente y una de las mujeres se detiene por un segundo cuando su pareja comienza a barrer más rápido.")</f>
        <v>Barcan el piso nuevamente y una de las mujeres se detiene por un segundo cuando su pareja comienza a barrer más rápido.</v>
      </c>
    </row>
    <row r="32299">
      <c r="A32299" s="4" t="s">
        <v>40660</v>
      </c>
      <c r="B32299" s="4" t="s">
        <v>40663</v>
      </c>
      <c r="C32299" s="5" t="str">
        <f>IFERROR(__xludf.DUMMYFUNCTION("GOOGLETRANSLATE(B32299,""en"",""es-ES"")"),"Barrí el piso nuevamente con una mujer barriendo furiosamente hacia el final mientras su pareja se detiene por un segundo y mira hacia arriba.")</f>
        <v>Barrí el piso nuevamente con una mujer barriendo furiosamente hacia el final mientras su pareja se detiene por un segundo y mira hacia arriba.</v>
      </c>
    </row>
    <row r="32300">
      <c r="A32300" s="4" t="s">
        <v>40664</v>
      </c>
      <c r="B32300" s="4" t="s">
        <v>40665</v>
      </c>
      <c r="C32300" s="5" t="str">
        <f>IFERROR(__xludf.DUMMYFUNCTION("GOOGLETRANSLATE(B32300,""en"",""es-ES"")"),"La gente se calienta levantando las manos y se agacha.")</f>
        <v>La gente se calienta levantando las manos y se agacha.</v>
      </c>
    </row>
    <row r="32301">
      <c r="A32301" s="4" t="s">
        <v>40664</v>
      </c>
      <c r="B32301" s="4" t="s">
        <v>40666</v>
      </c>
      <c r="C32301" s="5" t="str">
        <f>IFERROR(__xludf.DUMMYFUNCTION("GOOGLETRANSLATE(B32301,""en"",""es-ES"")"),"Luego, la gente hace ejercicio haciendo entrenamiento paso a paso poniendo un pie cada vez.")</f>
        <v>Luego, la gente hace ejercicio haciendo entrenamiento paso a paso poniendo un pie cada vez.</v>
      </c>
    </row>
    <row r="32302">
      <c r="A32302" s="4" t="s">
        <v>40664</v>
      </c>
      <c r="B32302" s="4" t="s">
        <v>40667</v>
      </c>
      <c r="C32302" s="5" t="str">
        <f>IFERROR(__xludf.DUMMYFUNCTION("GOOGLETRANSLATE(B32302,""en"",""es-ES"")"),"Después, la gente gira antes del paso sobre el paso a paso.")</f>
        <v>Después, la gente gira antes del paso sobre el paso a paso.</v>
      </c>
    </row>
    <row r="32303">
      <c r="A32303" s="4" t="s">
        <v>40668</v>
      </c>
      <c r="B32303" s="4" t="s">
        <v>40669</v>
      </c>
      <c r="C32303" s="5" t="str">
        <f>IFERROR(__xludf.DUMMYFUNCTION("GOOGLETRANSLATE(B32303,""en"",""es-ES"")"),"Hay un hombre con una camisa azul y pantalones beige sentados en el patio delantero en Mulch marrón que habla sobre el césped y el cuidado del jardín.")</f>
        <v>Hay un hombre con una camisa azul y pantalones beige sentados en el patio delantero en Mulch marrón que habla sobre el césped y el cuidado del jardín.</v>
      </c>
    </row>
    <row r="32304">
      <c r="A32304" s="4" t="s">
        <v>40668</v>
      </c>
      <c r="B32304" s="4" t="s">
        <v>40670</v>
      </c>
      <c r="C32304" s="5" t="str">
        <f>IFERROR(__xludf.DUMMYFUNCTION("GOOGLETRANSLATE(B32304,""en"",""es-ES"")"),"Señala el mantillo marrón y el arbusto cerca de él mientras explica los hacer y no hacer sobre el cuidado del césped.")</f>
        <v>Señala el mantillo marrón y el arbusto cerca de él mientras explica los hacer y no hacer sobre el cuidado del césped.</v>
      </c>
    </row>
    <row r="32305">
      <c r="A32305" s="4" t="s">
        <v>40671</v>
      </c>
      <c r="B32305" s="4" t="s">
        <v>40672</v>
      </c>
      <c r="C32305" s="5" t="str">
        <f>IFERROR(__xludf.DUMMYFUNCTION("GOOGLETRANSLATE(B32305,""en"",""es-ES"")"),"Se muestra papel de pared en una pared.")</f>
        <v>Se muestra papel de pared en una pared.</v>
      </c>
    </row>
    <row r="32306">
      <c r="A32306" s="4" t="s">
        <v>40671</v>
      </c>
      <c r="B32306" s="4" t="s">
        <v>40673</v>
      </c>
      <c r="C32306" s="5" t="str">
        <f>IFERROR(__xludf.DUMMYFUNCTION("GOOGLETRANSLATE(B32306,""en"",""es-ES"")"),"Una persona pone un trozo de papel de cera en el papel de la pared.")</f>
        <v>Una persona pone un trozo de papel de cera en el papel de la pared.</v>
      </c>
    </row>
    <row r="32307">
      <c r="A32307" s="4" t="s">
        <v>40671</v>
      </c>
      <c r="B32307" s="4" t="s">
        <v>40674</v>
      </c>
      <c r="C32307" s="5" t="str">
        <f>IFERROR(__xludf.DUMMYFUNCTION("GOOGLETRANSLATE(B32307,""en"",""es-ES"")"),"Corren un cepillo por la parte delantera del papel.")</f>
        <v>Corren un cepillo por la parte delantera del papel.</v>
      </c>
    </row>
    <row r="32308">
      <c r="A32308" s="4" t="s">
        <v>40675</v>
      </c>
      <c r="B32308" s="4" t="s">
        <v>40676</v>
      </c>
      <c r="C32308" s="5" t="str">
        <f>IFERROR(__xludf.DUMMYFUNCTION("GOOGLETRANSLATE(B32308,""en"",""es-ES"")"),"Vemos a un cantinero detrás de una barra agregar hielo a un vaso.")</f>
        <v>Vemos a un cantinero detrás de una barra agregar hielo a un vaso.</v>
      </c>
    </row>
    <row r="32309">
      <c r="A32309" s="4" t="s">
        <v>40675</v>
      </c>
      <c r="B32309" s="4" t="s">
        <v>40677</v>
      </c>
      <c r="C32309" s="5" t="str">
        <f>IFERROR(__xludf.DUMMYFUNCTION("GOOGLETRANSLATE(B32309,""en"",""es-ES"")"),"El hombre vierte tres licores en un vaso y lo sacude.")</f>
        <v>El hombre vierte tres licores en un vaso y lo sacude.</v>
      </c>
    </row>
    <row r="32310">
      <c r="A32310" s="4" t="s">
        <v>40675</v>
      </c>
      <c r="B32310" s="4" t="s">
        <v>40678</v>
      </c>
      <c r="C32310" s="5" t="str">
        <f>IFERROR(__xludf.DUMMYFUNCTION("GOOGLETRANSLATE(B32310,""en"",""es-ES"")"),"El hombre lo vierte en un vaso y agrega refresco.")</f>
        <v>El hombre lo vierte en un vaso y agrega refresco.</v>
      </c>
    </row>
    <row r="32311">
      <c r="A32311" s="4" t="s">
        <v>40675</v>
      </c>
      <c r="B32311" s="4" t="s">
        <v>40679</v>
      </c>
      <c r="C32311" s="5" t="str">
        <f>IFERROR(__xludf.DUMMYFUNCTION("GOOGLETRANSLATE(B32311,""en"",""es-ES"")"),"El hombre aprieta un limón, agita el vidrio y lo transfiere a un vaso más pequeño.")</f>
        <v>El hombre aprieta un limón, agita el vidrio y lo transfiere a un vaso más pequeño.</v>
      </c>
    </row>
    <row r="32312">
      <c r="A32312" s="4" t="s">
        <v>40675</v>
      </c>
      <c r="B32312" s="4" t="s">
        <v>40680</v>
      </c>
      <c r="C32312" s="5" t="str">
        <f>IFERROR(__xludf.DUMMYFUNCTION("GOOGLETRANSLATE(B32312,""en"",""es-ES"")"),"El hombre agrega una pajita y nos presenta el vidrio.")</f>
        <v>El hombre agrega una pajita y nos presenta el vidrio.</v>
      </c>
    </row>
    <row r="32313">
      <c r="A32313" s="4" t="s">
        <v>40681</v>
      </c>
      <c r="B32313" s="4" t="s">
        <v>40682</v>
      </c>
      <c r="C32313" s="5" t="str">
        <f>IFERROR(__xludf.DUMMYFUNCTION("GOOGLETRANSLATE(B32313,""en"",""es-ES"")"),"Los presentadores de noticias presentan un clip sentado en un escritorio en una sala de redacción.")</f>
        <v>Los presentadores de noticias presentan un clip sentado en un escritorio en una sala de redacción.</v>
      </c>
    </row>
    <row r="32314">
      <c r="A32314" s="4" t="s">
        <v>40681</v>
      </c>
      <c r="B32314" s="4" t="s">
        <v>40683</v>
      </c>
      <c r="C32314" s="5" t="str">
        <f>IFERROR(__xludf.DUMMYFUNCTION("GOOGLETRANSLATE(B32314,""en"",""es-ES"")"),"El presidente Obama presenta y entrevista a una banda que toca en el escenario.")</f>
        <v>El presidente Obama presenta y entrevista a una banda que toca en el escenario.</v>
      </c>
    </row>
    <row r="32315">
      <c r="A32315" s="4" t="s">
        <v>40681</v>
      </c>
      <c r="B32315" s="4" t="s">
        <v>40684</v>
      </c>
      <c r="C32315" s="5" t="str">
        <f>IFERROR(__xludf.DUMMYFUNCTION("GOOGLETRANSLATE(B32315,""en"",""es-ES"")"),"El presidente Clinton toca el saxofón en el escenario con una banda.")</f>
        <v>El presidente Clinton toca el saxofón en el escenario con una banda.</v>
      </c>
    </row>
    <row r="32316">
      <c r="A32316" s="4" t="s">
        <v>40681</v>
      </c>
      <c r="B32316" s="4" t="s">
        <v>40685</v>
      </c>
      <c r="C32316" s="5" t="str">
        <f>IFERROR(__xludf.DUMMYFUNCTION("GOOGLETRANSLATE(B32316,""en"",""es-ES"")"),"El presidente George Bush baila con un tambor africano y otros diplomáticos.")</f>
        <v>El presidente George Bush baila con un tambor africano y otros diplomáticos.</v>
      </c>
    </row>
    <row r="32317">
      <c r="A32317" s="4" t="s">
        <v>40686</v>
      </c>
      <c r="B32317" s="4" t="s">
        <v>40687</v>
      </c>
      <c r="C32317" s="5" t="str">
        <f>IFERROR(__xludf.DUMMYFUNCTION("GOOGLETRANSLATE(B32317,""en"",""es-ES"")"),"Se ve a un hombre hablando con la cámara mientras presenta varios líquidos e ingredientes.")</f>
        <v>Se ve a un hombre hablando con la cámara mientras presenta varios líquidos e ingredientes.</v>
      </c>
    </row>
    <row r="32318">
      <c r="A32318" s="4" t="s">
        <v>40686</v>
      </c>
      <c r="B32318" s="4" t="s">
        <v>40688</v>
      </c>
      <c r="C32318" s="5" t="str">
        <f>IFERROR(__xludf.DUMMYFUNCTION("GOOGLETRANSLATE(B32318,""en"",""es-ES"")"),"El hombre mezcla ingredientes en un vaso con fruta durante varias bebidas mientras se detiene para tomar una copa.")</f>
        <v>El hombre mezcla ingredientes en un vaso con fruta durante varias bebidas mientras se detiene para tomar una copa.</v>
      </c>
    </row>
    <row r="32319">
      <c r="A32319" s="4" t="s">
        <v>40686</v>
      </c>
      <c r="B32319" s="4" t="s">
        <v>40689</v>
      </c>
      <c r="C32319" s="5" t="str">
        <f>IFERROR(__xludf.DUMMYFUNCTION("GOOGLETRANSLATE(B32319,""en"",""es-ES"")"),"Continúa haciendo más bebidas usando diferentes ingredientes y hablando con la cámara.")</f>
        <v>Continúa haciendo más bebidas usando diferentes ingredientes y hablando con la cámara.</v>
      </c>
    </row>
    <row r="32320">
      <c r="A32320" s="4" t="s">
        <v>40690</v>
      </c>
      <c r="B32320" s="4" t="s">
        <v>40691</v>
      </c>
      <c r="C32320" s="5" t="str">
        <f>IFERROR(__xludf.DUMMYFUNCTION("GOOGLETRANSLATE(B32320,""en"",""es-ES"")"),"La cara de un hombre se está moviendo de un lado a otro.")</f>
        <v>La cara de un hombre se está moviendo de un lado a otro.</v>
      </c>
    </row>
    <row r="32321">
      <c r="A32321" s="4" t="s">
        <v>40690</v>
      </c>
      <c r="B32321" s="4" t="s">
        <v>40692</v>
      </c>
      <c r="C32321" s="5" t="str">
        <f>IFERROR(__xludf.DUMMYFUNCTION("GOOGLETRANSLATE(B32321,""en"",""es-ES"")"),"El hombre está brillando un zapato.")</f>
        <v>El hombre está brillando un zapato.</v>
      </c>
    </row>
    <row r="32322">
      <c r="A32322" s="4" t="s">
        <v>40693</v>
      </c>
      <c r="B32322" s="4" t="s">
        <v>40694</v>
      </c>
      <c r="C32322" s="5" t="str">
        <f>IFERROR(__xludf.DUMMYFUNCTION("GOOGLETRANSLATE(B32322,""en"",""es-ES"")"),"El texto verde explica varias reglas del juego.")</f>
        <v>El texto verde explica varias reglas del juego.</v>
      </c>
    </row>
    <row r="32323">
      <c r="A32323" s="4" t="s">
        <v>40693</v>
      </c>
      <c r="B32323" s="4" t="s">
        <v>40695</v>
      </c>
      <c r="C32323" s="5" t="str">
        <f>IFERROR(__xludf.DUMMYFUNCTION("GOOGLETRANSLATE(B32323,""en"",""es-ES"")"),"Un hombre y un niño practican juntos, y el entrenador muestra su punto de vista.")</f>
        <v>Un hombre y un niño practican juntos, y el entrenador muestra su punto de vista.</v>
      </c>
    </row>
    <row r="32324">
      <c r="A32324" s="4" t="s">
        <v>40693</v>
      </c>
      <c r="B32324" s="4" t="s">
        <v>40696</v>
      </c>
      <c r="C32324" s="5" t="str">
        <f>IFERROR(__xludf.DUMMYFUNCTION("GOOGLETRANSLATE(B32324,""en"",""es-ES"")"),"Demuestran un par de movimientos diferentes.")</f>
        <v>Demuestran un par de movimientos diferentes.</v>
      </c>
    </row>
    <row r="32325">
      <c r="A32325" s="4" t="s">
        <v>40697</v>
      </c>
      <c r="B32325" s="4" t="s">
        <v>40698</v>
      </c>
      <c r="C32325" s="5" t="str">
        <f>IFERROR(__xludf.DUMMYFUNCTION("GOOGLETRANSLATE(B32325,""en"",""es-ES"")"),"Se ve a un hombre atlético corriendo por una larga pista y arrojando una jabalina a la distancia con otros que miden su lanzamiento.")</f>
        <v>Se ve a un hombre atlético corriendo por una larga pista y arrojando una jabalina a la distancia con otros que miden su lanzamiento.</v>
      </c>
    </row>
    <row r="32326">
      <c r="A32326" s="4" t="s">
        <v>40697</v>
      </c>
      <c r="B32326" s="4" t="s">
        <v>40699</v>
      </c>
      <c r="C32326" s="5" t="str">
        <f>IFERROR(__xludf.DUMMYFUNCTION("GOOGLETRANSLATE(B32326,""en"",""es-ES"")"),"El hombre se aleja y se convierte en un hombre en la multitud mientras se muestra su puntaje y otro paso a un lado.")</f>
        <v>El hombre se aleja y se convierte en un hombre en la multitud mientras se muestra su puntaje y otro paso a un lado.</v>
      </c>
    </row>
    <row r="32327">
      <c r="A32327" s="4" t="s">
        <v>40700</v>
      </c>
      <c r="B32327" s="4" t="s">
        <v>40701</v>
      </c>
      <c r="C32327" s="5" t="str">
        <f>IFERROR(__xludf.DUMMYFUNCTION("GOOGLETRANSLATE(B32327,""en"",""es-ES"")"),"Un hombre está parado afuera sosteniendo una motosierra.")</f>
        <v>Un hombre está parado afuera sosteniendo una motosierra.</v>
      </c>
    </row>
    <row r="32328">
      <c r="A32328" s="4" t="s">
        <v>40700</v>
      </c>
      <c r="B32328" s="4" t="s">
        <v>40702</v>
      </c>
      <c r="C32328" s="5" t="str">
        <f>IFERROR(__xludf.DUMMYFUNCTION("GOOGLETRANSLATE(B32328,""en"",""es-ES"")"),"Comienza a cortar un árbol a su lado.")</f>
        <v>Comienza a cortar un árbol a su lado.</v>
      </c>
    </row>
    <row r="32329">
      <c r="A32329" s="4" t="s">
        <v>40700</v>
      </c>
      <c r="B32329" s="4" t="s">
        <v>40703</v>
      </c>
      <c r="C32329" s="5" t="str">
        <f>IFERROR(__xludf.DUMMYFUNCTION("GOOGLETRANSLATE(B32329,""en"",""es-ES"")"),"Él se para al lado del árbol que habla.")</f>
        <v>Él se para al lado del árbol que habla.</v>
      </c>
    </row>
    <row r="32330">
      <c r="A32330" s="4" t="s">
        <v>40704</v>
      </c>
      <c r="B32330" s="4" t="s">
        <v>40705</v>
      </c>
      <c r="C32330" s="5" t="str">
        <f>IFERROR(__xludf.DUMMYFUNCTION("GOOGLETRANSLATE(B32330,""en"",""es-ES"")"),"Se ve a una mujer hablando con la cámara mientras una mujer nada hacia atrás y cuarto en la piscina detrás de ella.")</f>
        <v>Se ve a una mujer hablando con la cámara mientras una mujer nada hacia atrás y cuarto en la piscina detrás de ella.</v>
      </c>
    </row>
    <row r="32331">
      <c r="A32331" s="4" t="s">
        <v>40704</v>
      </c>
      <c r="B32331" s="4" t="s">
        <v>40706</v>
      </c>
      <c r="C32331" s="5" t="str">
        <f>IFERROR(__xludf.DUMMYFUNCTION("GOOGLETRANSLATE(B32331,""en"",""es-ES"")"),"Luego se muestran clips de cerca sobre cómo realizar técnicas de natación adecuadas mientras la cámara se entera con la mujer que habla.")</f>
        <v>Luego se muestran clips de cerca sobre cómo realizar técnicas de natación adecuadas mientras la cámara se entera con la mujer que habla.</v>
      </c>
    </row>
    <row r="32332">
      <c r="A32332" s="4" t="s">
        <v>40707</v>
      </c>
      <c r="B32332" s="4" t="s">
        <v>40708</v>
      </c>
      <c r="C32332" s="5" t="str">
        <f>IFERROR(__xludf.DUMMYFUNCTION("GOOGLETRANSLATE(B32332,""en"",""es-ES"")"),"Un hombre que lleva un sombrero de vaquero, gafas de sol y guantes de látex amarillos está de pie junto a un caballo en un establo.")</f>
        <v>Un hombre que lleva un sombrero de vaquero, gafas de sol y guantes de látex amarillos está de pie junto a un caballo en un establo.</v>
      </c>
    </row>
    <row r="32333">
      <c r="A32333" s="4" t="s">
        <v>40707</v>
      </c>
      <c r="B32333" s="4" t="s">
        <v>40709</v>
      </c>
      <c r="C32333" s="5" t="str">
        <f>IFERROR(__xludf.DUMMYFUNCTION("GOOGLETRANSLATE(B32333,""en"",""es-ES"")"),"Está usando un secador para secar el cuerpo húmedo del caballo.")</f>
        <v>Está usando un secador para secar el cuerpo húmedo del caballo.</v>
      </c>
    </row>
    <row r="32334">
      <c r="A32334" s="4" t="s">
        <v>40707</v>
      </c>
      <c r="B32334" s="4" t="s">
        <v>40710</v>
      </c>
      <c r="C32334" s="5" t="str">
        <f>IFERROR(__xludf.DUMMYFUNCTION("GOOGLETRANSLATE(B32334,""en"",""es-ES"")"),"Mueve el secador de soplado de un lado a otro por toda la espalda del caballo para secarlo.")</f>
        <v>Mueve el secador de soplado de un lado a otro por toda la espalda del caballo para secarlo.</v>
      </c>
    </row>
    <row r="32335">
      <c r="A32335" s="4" t="s">
        <v>40707</v>
      </c>
      <c r="B32335" s="4" t="s">
        <v>40711</v>
      </c>
      <c r="C32335" s="5" t="str">
        <f>IFERROR(__xludf.DUMMYFUNCTION("GOOGLETRANSLATE(B32335,""en"",""es-ES"")"),"También usa un cepillo de fregado en la espalda del caballo para limpiar el caballo.")</f>
        <v>También usa un cepillo de fregado en la espalda del caballo para limpiar el caballo.</v>
      </c>
    </row>
    <row r="32336">
      <c r="A32336" s="4" t="s">
        <v>40712</v>
      </c>
      <c r="B32336" s="4" t="s">
        <v>40713</v>
      </c>
      <c r="C32336" s="5" t="str">
        <f>IFERROR(__xludf.DUMMYFUNCTION("GOOGLETRANSLATE(B32336,""en"",""es-ES"")"),"Un pintor demuestra varias piezas de arte en su estudio.")</f>
        <v>Un pintor demuestra varias piezas de arte en su estudio.</v>
      </c>
    </row>
    <row r="32337">
      <c r="A32337" s="4" t="s">
        <v>40712</v>
      </c>
      <c r="B32337" s="4" t="s">
        <v>40714</v>
      </c>
      <c r="C32337" s="5" t="str">
        <f>IFERROR(__xludf.DUMMYFUNCTION("GOOGLETRANSLATE(B32337,""en"",""es-ES"")"),"Ella se sienta en su estudio, hablando.")</f>
        <v>Ella se sienta en su estudio, hablando.</v>
      </c>
    </row>
    <row r="32338">
      <c r="A32338" s="4" t="s">
        <v>40712</v>
      </c>
      <c r="B32338" s="4" t="s">
        <v>40715</v>
      </c>
      <c r="C32338" s="5" t="str">
        <f>IFERROR(__xludf.DUMMYFUNCTION("GOOGLETRANSLATE(B32338,""en"",""es-ES"")"),"Ella toma un pincel y lo sumerge en pintura negra repetidamente, mientras pinta un árbol negro.")</f>
        <v>Ella toma un pincel y lo sumerge en pintura negra repetidamente, mientras pinta un árbol negro.</v>
      </c>
    </row>
    <row r="32339">
      <c r="A32339" s="4" t="s">
        <v>40712</v>
      </c>
      <c r="B32339" s="4" t="s">
        <v>40716</v>
      </c>
      <c r="C32339" s="5" t="str">
        <f>IFERROR(__xludf.DUMMYFUNCTION("GOOGLETRANSLATE(B32339,""en"",""es-ES"")"),"Ella agarra una esponja y la sumerge en pintura verde y azul mientras pinta las hojas del árbol.")</f>
        <v>Ella agarra una esponja y la sumerge en pintura verde y azul mientras pinta las hojas del árbol.</v>
      </c>
    </row>
    <row r="32340">
      <c r="A32340" s="4" t="s">
        <v>40712</v>
      </c>
      <c r="B32340" s="4" t="s">
        <v>40717</v>
      </c>
      <c r="C32340" s="5" t="str">
        <f>IFERROR(__xludf.DUMMYFUNCTION("GOOGLETRANSLATE(B32340,""en"",""es-ES"")"),"Se mueve para agarrar el pincel y lo sumerge en pintura negra repetidamente, y avanza para pintar otro árbol.")</f>
        <v>Se mueve para agarrar el pincel y lo sumerge en pintura negra repetidamente, y avanza para pintar otro árbol.</v>
      </c>
    </row>
    <row r="32341">
      <c r="A32341" s="4" t="s">
        <v>40712</v>
      </c>
      <c r="B32341" s="4" t="s">
        <v>40718</v>
      </c>
      <c r="C32341" s="5" t="str">
        <f>IFERROR(__xludf.DUMMYFUNCTION("GOOGLETRANSLATE(B32341,""en"",""es-ES"")"),"Con el mismo pincel, esta vez sumergiéndolo en pintura verde, pinta los pinos de tres.")</f>
        <v>Con el mismo pincel, esta vez sumergiéndolo en pintura verde, pinta los pinos de tres.</v>
      </c>
    </row>
    <row r="32342">
      <c r="A32342" s="4" t="s">
        <v>40712</v>
      </c>
      <c r="B32342" s="4" t="s">
        <v>40719</v>
      </c>
      <c r="C32342" s="5" t="str">
        <f>IFERROR(__xludf.DUMMYFUNCTION("GOOGLETRANSLATE(B32342,""en"",""es-ES"")"),"Ella termina su pintura y habla un poco.")</f>
        <v>Ella termina su pintura y habla un poco.</v>
      </c>
    </row>
    <row r="32343">
      <c r="A32343" s="4" t="s">
        <v>40720</v>
      </c>
      <c r="B32343" s="4" t="s">
        <v>1487</v>
      </c>
      <c r="C32343" s="5" t="str">
        <f>IFERROR(__xludf.DUMMYFUNCTION("GOOGLETRANSLATE(B32343,""en"",""es-ES"")"),"Vemos una pantalla de título de apertura.")</f>
        <v>Vemos una pantalla de título de apertura.</v>
      </c>
    </row>
    <row r="32344">
      <c r="A32344" s="4" t="s">
        <v>40720</v>
      </c>
      <c r="B32344" s="4" t="s">
        <v>40721</v>
      </c>
      <c r="C32344" s="5" t="str">
        <f>IFERROR(__xludf.DUMMYFUNCTION("GOOGLETRANSLATE(B32344,""en"",""es-ES"")"),"Un hombre se sienta en una pista y habla mientras es entrevistado.")</f>
        <v>Un hombre se sienta en una pista y habla mientras es entrevistado.</v>
      </c>
    </row>
    <row r="32345">
      <c r="A32345" s="4" t="s">
        <v>40720</v>
      </c>
      <c r="B32345" s="4" t="s">
        <v>40722</v>
      </c>
      <c r="C32345" s="5" t="str">
        <f>IFERROR(__xludf.DUMMYFUNCTION("GOOGLETRANSLATE(B32345,""en"",""es-ES"")"),"Dos hombres de rojo suben las gradas y uno se detiene para hablar con alguien.")</f>
        <v>Dos hombres de rojo suben las gradas y uno se detiene para hablar con alguien.</v>
      </c>
    </row>
    <row r="32346">
      <c r="A32346" s="4" t="s">
        <v>40720</v>
      </c>
      <c r="B32346" s="4" t="s">
        <v>40723</v>
      </c>
      <c r="C32346" s="5" t="str">
        <f>IFERROR(__xludf.DUMMYFUNCTION("GOOGLETRANSLATE(B32346,""en"",""es-ES"")"),"Un grupo de mujeres camina detrás del hombre como entrevistador.")</f>
        <v>Un grupo de mujeres camina detrás del hombre como entrevistador.</v>
      </c>
    </row>
    <row r="32347">
      <c r="A32347" s="4" t="s">
        <v>40720</v>
      </c>
      <c r="B32347" s="4" t="s">
        <v>5107</v>
      </c>
      <c r="C32347" s="5" t="str">
        <f>IFERROR(__xludf.DUMMYFUNCTION("GOOGLETRANSLATE(B32347,""en"",""es-ES"")"),"Luego vemos la pantalla de título final.")</f>
        <v>Luego vemos la pantalla de título final.</v>
      </c>
    </row>
    <row r="32348">
      <c r="A32348" s="4" t="s">
        <v>40724</v>
      </c>
      <c r="B32348" s="4" t="s">
        <v>40725</v>
      </c>
      <c r="C32348" s="5" t="str">
        <f>IFERROR(__xludf.DUMMYFUNCTION("GOOGLETRANSLATE(B32348,""en"",""es-ES"")"),"Se ve a un hombre parado con un gran grupo de niños y lleva a los niños que juegan Dodgbeall en un gran gimnasio.")</f>
        <v>Se ve a un hombre parado con un gran grupo de niños y lleva a los niños que juegan Dodgbeall en un gran gimnasio.</v>
      </c>
    </row>
    <row r="32349">
      <c r="A32349" s="4" t="s">
        <v>40724</v>
      </c>
      <c r="B32349" s="4" t="s">
        <v>40726</v>
      </c>
      <c r="C32349" s="5" t="str">
        <f>IFERROR(__xludf.DUMMYFUNCTION("GOOGLETRANSLATE(B32349,""en"",""es-ES"")"),"Se ve a una mujer hablando con la cámara mientras se muestran más tomas del juego y el hombre que habla con los niños.")</f>
        <v>Se ve a una mujer hablando con la cámara mientras se muestran más tomas del juego y el hombre que habla con los niños.</v>
      </c>
    </row>
    <row r="32350">
      <c r="A32350" s="4" t="s">
        <v>40724</v>
      </c>
      <c r="B32350" s="4" t="s">
        <v>40727</v>
      </c>
      <c r="C32350" s="5" t="str">
        <f>IFERROR(__xludf.DUMMYFUNCTION("GOOGLETRANSLATE(B32350,""en"",""es-ES"")"),"Todos son vistos sentados juntos y el hombre entrevista a los niños en un salón de clases.")</f>
        <v>Todos son vistos sentados juntos y el hombre entrevista a los niños en un salón de clases.</v>
      </c>
    </row>
    <row r="32351">
      <c r="A32351" s="4" t="s">
        <v>40728</v>
      </c>
      <c r="B32351" s="4" t="s">
        <v>40729</v>
      </c>
      <c r="C32351" s="5" t="str">
        <f>IFERROR(__xludf.DUMMYFUNCTION("GOOGLETRANSLATE(B32351,""en"",""es-ES"")"),"Lawrence Welk está tocando un acordeón y dirigiendo su banda.")</f>
        <v>Lawrence Welk está tocando un acordeón y dirigiendo su banda.</v>
      </c>
    </row>
    <row r="32352">
      <c r="A32352" s="4" t="s">
        <v>40728</v>
      </c>
      <c r="B32352" s="4" t="s">
        <v>40730</v>
      </c>
      <c r="C32352" s="5" t="str">
        <f>IFERROR(__xludf.DUMMYFUNCTION("GOOGLETRANSLATE(B32352,""en"",""es-ES"")"),"Se le une otro acordeón.")</f>
        <v>Se le une otro acordeón.</v>
      </c>
    </row>
    <row r="32353">
      <c r="A32353" s="4" t="s">
        <v>40728</v>
      </c>
      <c r="B32353" s="4" t="s">
        <v>40731</v>
      </c>
      <c r="C32353" s="5" t="str">
        <f>IFERROR(__xludf.DUMMYFUNCTION("GOOGLETRANSLATE(B32353,""en"",""es-ES"")"),"La banda se pone en pie para planear y la cámara va y viene entre los acordeones y la banda.")</f>
        <v>La banda se pone en pie para planear y la cámara va y viene entre los acordeones y la banda.</v>
      </c>
    </row>
    <row r="32354">
      <c r="A32354" s="4" t="s">
        <v>40728</v>
      </c>
      <c r="B32354" s="4" t="s">
        <v>40732</v>
      </c>
      <c r="C32354" s="5" t="str">
        <f>IFERROR(__xludf.DUMMYFUNCTION("GOOGLETRANSLATE(B32354,""en"",""es-ES"")"),"Continúan tocando los acordeones con la banda detrás de ellos.")</f>
        <v>Continúan tocando los acordeones con la banda detrás de ellos.</v>
      </c>
    </row>
    <row r="32355">
      <c r="A32355" s="4" t="s">
        <v>40733</v>
      </c>
      <c r="B32355" s="4" t="s">
        <v>40734</v>
      </c>
      <c r="C32355" s="5" t="str">
        <f>IFERROR(__xludf.DUMMYFUNCTION("GOOGLETRANSLATE(B32355,""en"",""es-ES"")"),"Se ve a un hombre hablando con la cámara frente a un automóvil y comienza a quitarse un cubo.")</f>
        <v>Se ve a un hombre hablando con la cámara frente a un automóvil y comienza a quitarse un cubo.</v>
      </c>
    </row>
    <row r="32356">
      <c r="A32356" s="4" t="s">
        <v>40733</v>
      </c>
      <c r="B32356" s="4" t="s">
        <v>40735</v>
      </c>
      <c r="C32356" s="5" t="str">
        <f>IFERROR(__xludf.DUMMYFUNCTION("GOOGLETRANSLATE(B32356,""en"",""es-ES"")"),"Él desliza las piezas del neumático.")</f>
        <v>Él desliza las piezas del neumático.</v>
      </c>
    </row>
    <row r="32357">
      <c r="A32357" s="4" t="s">
        <v>40733</v>
      </c>
      <c r="B32357" s="4" t="s">
        <v>40736</v>
      </c>
      <c r="C32357" s="5" t="str">
        <f>IFERROR(__xludf.DUMMYFUNCTION("GOOGLETRANSLATE(B32357,""en"",""es-ES"")"),"Finalmente vuelve a colocar el Hubcap en su lugar.")</f>
        <v>Finalmente vuelve a colocar el Hubcap en su lugar.</v>
      </c>
    </row>
    <row r="32358">
      <c r="A32358" s="4" t="s">
        <v>40737</v>
      </c>
      <c r="B32358" s="4" t="s">
        <v>40738</v>
      </c>
      <c r="C32358" s="5" t="str">
        <f>IFERROR(__xludf.DUMMYFUNCTION("GOOGLETRANSLATE(B32358,""en"",""es-ES"")"),"Una camisa de hombre que dice que el modo bestia está haciendo un video sobre cuáles son los mejores entrenamientos gratuitos para hacer sin un gimnasio.")</f>
        <v>Una camisa de hombre que dice que el modo bestia está haciendo un video sobre cuáles son los mejores entrenamientos gratuitos para hacer sin un gimnasio.</v>
      </c>
    </row>
    <row r="32359">
      <c r="A32359" s="4" t="s">
        <v>40737</v>
      </c>
      <c r="B32359" s="4" t="s">
        <v>40739</v>
      </c>
      <c r="C32359" s="5" t="str">
        <f>IFERROR(__xludf.DUMMYFUNCTION("GOOGLETRANSLATE(B32359,""en"",""es-ES"")"),"Tiene una barra de peso sin peso y se dobla de cierta manera.")</f>
        <v>Tiene una barra de peso sin peso y se dobla de cierta manera.</v>
      </c>
    </row>
    <row r="32360">
      <c r="A32360" s="4" t="s">
        <v>40737</v>
      </c>
      <c r="B32360" s="4" t="s">
        <v>40740</v>
      </c>
      <c r="C32360" s="5" t="str">
        <f>IFERROR(__xludf.DUMMYFUNCTION("GOOGLETRANSLATE(B32360,""en"",""es-ES"")"),"Él te muestra cómo usar la barra de pesas para diferentes posiciones de levantamiento de pesas.")</f>
        <v>Él te muestra cómo usar la barra de pesas para diferentes posiciones de levantamiento de pesas.</v>
      </c>
    </row>
    <row r="32361">
      <c r="A32361" s="4" t="s">
        <v>40737</v>
      </c>
      <c r="B32361" s="4" t="s">
        <v>40741</v>
      </c>
      <c r="C32361" s="5" t="str">
        <f>IFERROR(__xludf.DUMMYFUNCTION("GOOGLETRANSLATE(B32361,""en"",""es-ES"")"),"Una vez que termina con la barra de pesas, se retira y habla de todo.")</f>
        <v>Una vez que termina con la barra de pesas, se retira y habla de todo.</v>
      </c>
    </row>
    <row r="32362">
      <c r="A32362" s="4" t="s">
        <v>40742</v>
      </c>
      <c r="B32362" s="4" t="s">
        <v>40743</v>
      </c>
      <c r="C32362" s="5" t="str">
        <f>IFERROR(__xludf.DUMMYFUNCTION("GOOGLETRANSLATE(B32362,""en"",""es-ES"")"),"La gente está sentada en un banco.")</f>
        <v>La gente está sentada en un banco.</v>
      </c>
    </row>
    <row r="32363">
      <c r="A32363" s="4" t="s">
        <v>40742</v>
      </c>
      <c r="B32363" s="4" t="s">
        <v>40744</v>
      </c>
      <c r="C32363" s="5" t="str">
        <f>IFERROR(__xludf.DUMMYFUNCTION("GOOGLETRANSLATE(B32363,""en"",""es-ES"")"),"Un hombre está bebiendo de una taza de café.")</f>
        <v>Un hombre está bebiendo de una taza de café.</v>
      </c>
    </row>
    <row r="32364">
      <c r="A32364" s="4" t="s">
        <v>40742</v>
      </c>
      <c r="B32364" s="4" t="s">
        <v>40745</v>
      </c>
      <c r="C32364" s="5" t="str">
        <f>IFERROR(__xludf.DUMMYFUNCTION("GOOGLETRANSLATE(B32364,""en"",""es-ES"")"),"Una mujer está bebiendo de una taza de café.")</f>
        <v>Una mujer está bebiendo de una taza de café.</v>
      </c>
    </row>
    <row r="32365">
      <c r="A32365" s="4" t="s">
        <v>40746</v>
      </c>
      <c r="B32365" s="4" t="s">
        <v>40747</v>
      </c>
      <c r="C32365" s="5" t="str">
        <f>IFERROR(__xludf.DUMMYFUNCTION("GOOGLETRANSLATE(B32365,""en"",""es-ES"")"),"Dos personas están en una losa blanca y comienzan a cercarse.")</f>
        <v>Dos personas están en una losa blanca y comienzan a cercarse.</v>
      </c>
    </row>
    <row r="32366">
      <c r="A32366" s="4" t="s">
        <v>40746</v>
      </c>
      <c r="B32366" s="4" t="s">
        <v>40748</v>
      </c>
      <c r="C32366" s="5" t="str">
        <f>IFERROR(__xludf.DUMMYFUNCTION("GOOGLETRANSLATE(B32366,""en"",""es-ES"")"),"Hay paradas constantes y el niño más cercano a la cámara sigue ganando.")</f>
        <v>Hay paradas constantes y el niño más cercano a la cámara sigue ganando.</v>
      </c>
    </row>
    <row r="32367">
      <c r="A32367" s="4" t="s">
        <v>40746</v>
      </c>
      <c r="B32367" s="4" t="s">
        <v>40749</v>
      </c>
      <c r="C32367" s="5" t="str">
        <f>IFERROR(__xludf.DUMMYFUNCTION("GOOGLETRANSLATE(B32367,""en"",""es-ES"")"),"Ambos siguen siendo reiniciados, pero el resultado no es diferente y la dama del costado sigue caminando de un lado a otro haciendo clic en un botón negro.")</f>
        <v>Ambos siguen siendo reiniciados, pero el resultado no es diferente y la dama del costado sigue caminando de un lado a otro haciendo clic en un botón negro.</v>
      </c>
    </row>
    <row r="32368">
      <c r="A32368" s="4" t="s">
        <v>40750</v>
      </c>
      <c r="B32368" s="4" t="s">
        <v>40751</v>
      </c>
      <c r="C32368" s="5" t="str">
        <f>IFERROR(__xludf.DUMMYFUNCTION("GOOGLETRANSLATE(B32368,""en"",""es-ES"")"),"Una cancha interior está llena de personas con uniformes y jugando Dodgeball lanzando las pelotas a ambos lados del equipo.")</f>
        <v>Una cancha interior está llena de personas con uniformes y jugando Dodgeball lanzando las pelotas a ambos lados del equipo.</v>
      </c>
    </row>
    <row r="32369">
      <c r="A32369" s="4" t="s">
        <v>40750</v>
      </c>
      <c r="B32369" s="4" t="s">
        <v>40752</v>
      </c>
      <c r="C32369" s="5" t="str">
        <f>IFERROR(__xludf.DUMMYFUNCTION("GOOGLETRANSLATE(B32369,""en"",""es-ES"")"),"Se reproduce una repetición en cámara lenta de un Dodgeball que se está lanzando y atrapado.")</f>
        <v>Se reproduce una repetición en cámara lenta de un Dodgeball que se está lanzando y atrapado.</v>
      </c>
    </row>
    <row r="32370">
      <c r="A32370" s="4" t="s">
        <v>40750</v>
      </c>
      <c r="B32370" s="4" t="s">
        <v>40753</v>
      </c>
      <c r="C32370" s="5" t="str">
        <f>IFERROR(__xludf.DUMMYFUNCTION("GOOGLETRANSLATE(B32370,""en"",""es-ES"")"),"Un hombre rápidamente lanza una pelota y su objetivo la atrapa, se da la vuelta y camina con la derecha hacia arriba en el aire mientras el resto de los jugadores continúan jugando.")</f>
        <v>Un hombre rápidamente lanza una pelota y su objetivo la atrapa, se da la vuelta y camina con la derecha hacia arriba en el aire mientras el resto de los jugadores continúan jugando.</v>
      </c>
    </row>
    <row r="32371">
      <c r="A32371" s="4" t="s">
        <v>40750</v>
      </c>
      <c r="B32371" s="4" t="s">
        <v>40754</v>
      </c>
      <c r="C32371" s="5" t="str">
        <f>IFERROR(__xludf.DUMMYFUNCTION("GOOGLETRANSLATE(B32371,""en"",""es-ES"")"),"Una imagen de una foto de un hombre que sostiene dos bolas y palabras negras desplazándose desde la parte inferior hasta la parte superior con la palabra y el número ""Jardine 77"" está en la parte superior.")</f>
        <v>Una imagen de una foto de un hombre que sostiene dos bolas y palabras negras desplazándose desde la parte inferior hasta la parte superior con la palabra y el número "Jardine 77" está en la parte superior.</v>
      </c>
    </row>
    <row r="32372">
      <c r="A32372" s="4" t="s">
        <v>40755</v>
      </c>
      <c r="B32372" s="4" t="s">
        <v>40756</v>
      </c>
      <c r="C32372" s="5" t="str">
        <f>IFERROR(__xludf.DUMMYFUNCTION("GOOGLETRANSLATE(B32372,""en"",""es-ES"")"),"Un hombre está nadando hacia atrás en el agua del lago.")</f>
        <v>Un hombre está nadando hacia atrás en el agua del lago.</v>
      </c>
    </row>
    <row r="32373">
      <c r="A32373" s="4" t="s">
        <v>40755</v>
      </c>
      <c r="B32373" s="4" t="s">
        <v>40757</v>
      </c>
      <c r="C32373" s="5" t="str">
        <f>IFERROR(__xludf.DUMMYFUNCTION("GOOGLETRANSLATE(B32373,""en"",""es-ES"")"),"Los dos hombres que se muestran comienzan el esquí acuático.")</f>
        <v>Los dos hombres que se muestran comienzan el esquí acuático.</v>
      </c>
    </row>
    <row r="32374">
      <c r="A32374" s="4" t="s">
        <v>40755</v>
      </c>
      <c r="B32374" s="4" t="s">
        <v>40758</v>
      </c>
      <c r="C32374" s="5" t="str">
        <f>IFERROR(__xludf.DUMMYFUNCTION("GOOGLETRANSLATE(B32374,""en"",""es-ES"")"),"Pierden su dispositivo GoPro y tienen que bucear para encontrarlo, tardando más de dos semanas en localizar el dispositivo que aún funciona.")</f>
        <v>Pierden su dispositivo GoPro y tienen que bucear para encontrarlo, tardando más de dos semanas en localizar el dispositivo que aún funciona.</v>
      </c>
    </row>
    <row r="32375">
      <c r="A32375" s="4" t="s">
        <v>40759</v>
      </c>
      <c r="B32375" s="4" t="s">
        <v>40760</v>
      </c>
      <c r="C32375" s="5" t="str">
        <f>IFERROR(__xludf.DUMMYFUNCTION("GOOGLETRANSLATE(B32375,""en"",""es-ES"")"),"Se muestran varias tomas de cuerdas seguidas de suministros de tejido y personas tejiendo en una biblioteca.")</f>
        <v>Se muestran varias tomas de cuerdas seguidas de suministros de tejido y personas tejiendo en una biblioteca.</v>
      </c>
    </row>
    <row r="32376">
      <c r="A32376" s="4" t="s">
        <v>40759</v>
      </c>
      <c r="B32376" s="4" t="s">
        <v>40761</v>
      </c>
      <c r="C32376" s="5" t="str">
        <f>IFERROR(__xludf.DUMMYFUNCTION("GOOGLETRANSLATE(B32376,""en"",""es-ES"")"),"La mujer le da ropa a un niño pequeño y demuestra cómo se tejen adecuadamente a la joven.")</f>
        <v>La mujer le da ropa a un niño pequeño y demuestra cómo se tejen adecuadamente a la joven.</v>
      </c>
    </row>
    <row r="32377">
      <c r="A32377" s="4" t="s">
        <v>40762</v>
      </c>
      <c r="B32377" s="4" t="s">
        <v>40763</v>
      </c>
      <c r="C32377" s="5" t="str">
        <f>IFERROR(__xludf.DUMMYFUNCTION("GOOGLETRANSLATE(B32377,""en"",""es-ES"")"),"""Serie Millennium EPBF"" aparece en la pantalla.")</f>
        <v>"Serie Millennium EPBF" aparece en la pantalla.</v>
      </c>
    </row>
    <row r="32378">
      <c r="A32378" s="4" t="s">
        <v>40762</v>
      </c>
      <c r="B32378" s="4" t="s">
        <v>40764</v>
      </c>
      <c r="C32378" s="5" t="str">
        <f>IFERROR(__xludf.DUMMYFUNCTION("GOOGLETRANSLATE(B32378,""en"",""es-ES"")"),"El extremo abierto del vehículo aparece con la ""red de suministro de pintura www"" impreso en el parachoques mientras las herramientas se colocan en el interior.")</f>
        <v>El extremo abierto del vehículo aparece con la "red de suministro de pintura www" impreso en el parachoques mientras las herramientas se colocan en el interior.</v>
      </c>
    </row>
    <row r="32379">
      <c r="A32379" s="4" t="s">
        <v>40762</v>
      </c>
      <c r="B32379" s="4" t="s">
        <v>40765</v>
      </c>
      <c r="C32379" s="5" t="str">
        <f>IFERROR(__xludf.DUMMYFUNCTION("GOOGLETRANSLATE(B32379,""en"",""es-ES"")"),"El auto conduce por una carretera negra oscura con objetos con photoshopped aparece a ambos lados.")</f>
        <v>El auto conduce por una carretera negra oscura con objetos con photoshopped aparece a ambos lados.</v>
      </c>
    </row>
    <row r="32380">
      <c r="A32380" s="4" t="s">
        <v>40762</v>
      </c>
      <c r="B32380" s="4" t="s">
        <v>40766</v>
      </c>
      <c r="C32380" s="5" t="str">
        <f>IFERROR(__xludf.DUMMYFUNCTION("GOOGLETRANSLATE(B32380,""en"",""es-ES"")"),"El final del camino aparece con la palabra ""Paintball fallas"" sobre él y imágenes de paintball debajo de él.")</f>
        <v>El final del camino aparece con la palabra "Paintball fallas" sobre él y imágenes de paintball debajo de él.</v>
      </c>
    </row>
    <row r="32381">
      <c r="A32381" s="4" t="s">
        <v>40762</v>
      </c>
      <c r="B32381" s="4" t="s">
        <v>40767</v>
      </c>
      <c r="C32381" s="5" t="str">
        <f>IFERROR(__xludf.DUMMYFUNCTION("GOOGLETRANSLATE(B32381,""en"",""es-ES"")"),"Aparecen las palabras ""Fuego amistoso"".")</f>
        <v>Aparecen las palabras "Fuego amistoso".</v>
      </c>
    </row>
    <row r="32382">
      <c r="A32382" s="4" t="s">
        <v>40762</v>
      </c>
      <c r="B32382" s="4" t="s">
        <v>40768</v>
      </c>
      <c r="C32382" s="5" t="str">
        <f>IFERROR(__xludf.DUMMYFUNCTION("GOOGLETRANSLATE(B32382,""en"",""es-ES"")"),"Un grupo de personas juega paintball en un campo cubierto de hierba con obstáculos inflables.")</f>
        <v>Un grupo de personas juega paintball en un campo cubierto de hierba con obstáculos inflables.</v>
      </c>
    </row>
    <row r="32383">
      <c r="A32383" s="4" t="s">
        <v>40762</v>
      </c>
      <c r="B32383" s="4" t="s">
        <v>40769</v>
      </c>
      <c r="C32383" s="5" t="str">
        <f>IFERROR(__xludf.DUMMYFUNCTION("GOOGLETRANSLATE(B32383,""en"",""es-ES"")"),"Aparecen las palabras ""estúpida tolva"".")</f>
        <v>Aparecen las palabras "estúpida tolva".</v>
      </c>
    </row>
    <row r="32384">
      <c r="A32384" s="4" t="s">
        <v>40762</v>
      </c>
      <c r="B32384" s="4" t="s">
        <v>40770</v>
      </c>
      <c r="C32384" s="5" t="str">
        <f>IFERROR(__xludf.DUMMYFUNCTION("GOOGLETRANSLATE(B32384,""en"",""es-ES"")"),"La gente una vez más juega paintball en el campo.")</f>
        <v>La gente una vez más juega paintball en el campo.</v>
      </c>
    </row>
    <row r="32385">
      <c r="A32385" s="4" t="s">
        <v>40762</v>
      </c>
      <c r="B32385" s="4" t="s">
        <v>40771</v>
      </c>
      <c r="C32385" s="5" t="str">
        <f>IFERROR(__xludf.DUMMYFUNCTION("GOOGLETRANSLATE(B32385,""en"",""es-ES"")"),"Aparecen las palabras ""1/3 lauf"".")</f>
        <v>Aparecen las palabras "1/3 lauf".</v>
      </c>
    </row>
    <row r="32386">
      <c r="A32386" s="4" t="s">
        <v>40762</v>
      </c>
      <c r="B32386" s="4" t="s">
        <v>40772</v>
      </c>
      <c r="C32386" s="5" t="str">
        <f>IFERROR(__xludf.DUMMYFUNCTION("GOOGLETRANSLATE(B32386,""en"",""es-ES"")"),"La gente vuelve a jugar paintball en el campo.")</f>
        <v>La gente vuelve a jugar paintball en el campo.</v>
      </c>
    </row>
    <row r="32387">
      <c r="A32387" s="4" t="s">
        <v>40762</v>
      </c>
      <c r="B32387" s="4" t="s">
        <v>40773</v>
      </c>
      <c r="C32387" s="5" t="str">
        <f>IFERROR(__xludf.DUMMYFUNCTION("GOOGLETRANSLATE(B32387,""en"",""es-ES"")"),"La palabra ""FehlStart"" aparece en la pantalla.")</f>
        <v>La palabra "FehlStart" aparece en la pantalla.</v>
      </c>
    </row>
    <row r="32388">
      <c r="A32388" s="4" t="s">
        <v>40762</v>
      </c>
      <c r="B32388" s="4" t="s">
        <v>40774</v>
      </c>
      <c r="C32388" s="5" t="str">
        <f>IFERROR(__xludf.DUMMYFUNCTION("GOOGLETRANSLATE(B32388,""en"",""es-ES"")"),"La gente juega paintball en el campo.")</f>
        <v>La gente juega paintball en el campo.</v>
      </c>
    </row>
    <row r="32389">
      <c r="A32389" s="4" t="s">
        <v>40762</v>
      </c>
      <c r="B32389" s="4" t="s">
        <v>40775</v>
      </c>
      <c r="C32389" s="5" t="str">
        <f>IFERROR(__xludf.DUMMYFUNCTION("GOOGLETRANSLATE(B32389,""en"",""es-ES"")"),"Aparece la información de contacto para la suministro de pintura GMBH.")</f>
        <v>Aparece la información de contacto para la suministro de pintura GMBH.</v>
      </c>
    </row>
    <row r="32390">
      <c r="A32390" s="4" t="s">
        <v>40776</v>
      </c>
      <c r="B32390" s="4" t="s">
        <v>40777</v>
      </c>
      <c r="C32390" s="5" t="str">
        <f>IFERROR(__xludf.DUMMYFUNCTION("GOOGLETRANSLATE(B32390,""en"",""es-ES"")"),"Hay algunos caballeros mayores jugando un juego en hielo.")</f>
        <v>Hay algunos caballeros mayores jugando un juego en hielo.</v>
      </c>
    </row>
    <row r="32391">
      <c r="A32391" s="4" t="s">
        <v>40776</v>
      </c>
      <c r="B32391" s="4" t="s">
        <v>40778</v>
      </c>
      <c r="C32391" s="5" t="str">
        <f>IFERROR(__xludf.DUMMYFUNCTION("GOOGLETRANSLATE(B32391,""en"",""es-ES"")"),"Tienen un entrenador para ayudarlos y él habla sobre cómo rizar.")</f>
        <v>Tienen un entrenador para ayudarlos y él habla sobre cómo rizar.</v>
      </c>
    </row>
    <row r="32392">
      <c r="A32392" s="4" t="s">
        <v>40776</v>
      </c>
      <c r="B32392" s="4" t="s">
        <v>40779</v>
      </c>
      <c r="C32392" s="5" t="str">
        <f>IFERROR(__xludf.DUMMYFUNCTION("GOOGLETRANSLATE(B32392,""en"",""es-ES"")"),"Habla sobre los pasos y cómo entrar en el truco, incluso demostrando.")</f>
        <v>Habla sobre los pasos y cómo entrar en el truco, incluso demostrando.</v>
      </c>
    </row>
    <row r="32393">
      <c r="A32393" s="4" t="s">
        <v>40776</v>
      </c>
      <c r="B32393" s="4" t="s">
        <v>40780</v>
      </c>
      <c r="C32393" s="5" t="str">
        <f>IFERROR(__xludf.DUMMYFUNCTION("GOOGLETRANSLATE(B32393,""en"",""es-ES"")"),"Parece bastante profesional caminando sobre el hielo con los zapatos puestos mientras se demuestra.")</f>
        <v>Parece bastante profesional caminando sobre el hielo con los zapatos puestos mientras se demuestra.</v>
      </c>
    </row>
    <row r="32394">
      <c r="A32394" s="4" t="s">
        <v>40781</v>
      </c>
      <c r="B32394" s="4" t="s">
        <v>40782</v>
      </c>
      <c r="C32394" s="5" t="str">
        <f>IFERROR(__xludf.DUMMYFUNCTION("GOOGLETRANSLATE(B32394,""en"",""es-ES"")"),"Se ve un primer plano de un doble fregadero de metal.")</f>
        <v>Se ve un primer plano de un doble fregadero de metal.</v>
      </c>
    </row>
    <row r="32395">
      <c r="A32395" s="4" t="s">
        <v>40781</v>
      </c>
      <c r="B32395" s="4" t="s">
        <v>40783</v>
      </c>
      <c r="C32395" s="5" t="str">
        <f>IFERROR(__xludf.DUMMYFUNCTION("GOOGLETRANSLATE(B32395,""en"",""es-ES"")"),"Luego vemos dos tazones con polvo y una lima cortada.")</f>
        <v>Luego vemos dos tazones con polvo y una lima cortada.</v>
      </c>
    </row>
    <row r="32396">
      <c r="A32396" s="4" t="s">
        <v>40781</v>
      </c>
      <c r="B32396" s="4" t="s">
        <v>40784</v>
      </c>
      <c r="C32396" s="5" t="str">
        <f>IFERROR(__xludf.DUMMYFUNCTION("GOOGLETRANSLATE(B32396,""en"",""es-ES"")"),"Una mujer usa la lima bañada en polvo para fregar y luego enjuague el fregadero antes de secarlo, mostrando un fregadero limpio perfeccionando.")</f>
        <v>Una mujer usa la lima bañada en polvo para fregar y luego enjuague el fregadero antes de secarlo, mostrando un fregadero limpio perfeccionando.</v>
      </c>
    </row>
    <row r="32397">
      <c r="A32397" s="4" t="s">
        <v>40785</v>
      </c>
      <c r="B32397" s="4" t="s">
        <v>40786</v>
      </c>
      <c r="C32397" s="5" t="str">
        <f>IFERROR(__xludf.DUMMYFUNCTION("GOOGLETRANSLATE(B32397,""en"",""es-ES"")"),"Una persona está reuniendo una bicicleta en una tela blanca.")</f>
        <v>Una persona está reuniendo una bicicleta en una tela blanca.</v>
      </c>
    </row>
    <row r="32398">
      <c r="A32398" s="4" t="s">
        <v>40785</v>
      </c>
      <c r="B32398" s="4" t="s">
        <v>40787</v>
      </c>
      <c r="C32398" s="5" t="str">
        <f>IFERROR(__xludf.DUMMYFUNCTION("GOOGLETRANSLATE(B32398,""en"",""es-ES"")"),"Se ponen un delantal azul y guantes.")</f>
        <v>Se ponen un delantal azul y guantes.</v>
      </c>
    </row>
    <row r="32399">
      <c r="A32399" s="4" t="s">
        <v>40785</v>
      </c>
      <c r="B32399" s="4" t="s">
        <v>40788</v>
      </c>
      <c r="C32399" s="5" t="str">
        <f>IFERROR(__xludf.DUMMYFUNCTION("GOOGLETRANSLATE(B32399,""en"",""es-ES"")"),"Pusieron barras de mango en la bicicleta.")</f>
        <v>Pusieron barras de mango en la bicicleta.</v>
      </c>
    </row>
    <row r="32400">
      <c r="A32400" s="4" t="s">
        <v>40789</v>
      </c>
      <c r="B32400" s="4" t="s">
        <v>40790</v>
      </c>
      <c r="C32400" s="5" t="str">
        <f>IFERROR(__xludf.DUMMYFUNCTION("GOOGLETRANSLATE(B32400,""en"",""es-ES"")"),"Dos hombres están montando una bicicleta de agua en un mar mientras una gran ola está detrás de ellos.")</f>
        <v>Dos hombres están montando una bicicleta de agua en un mar mientras una gran ola está detrás de ellos.</v>
      </c>
    </row>
    <row r="32401">
      <c r="A32401" s="4" t="s">
        <v>40789</v>
      </c>
      <c r="B32401" s="4" t="s">
        <v>40791</v>
      </c>
      <c r="C32401" s="5" t="str">
        <f>IFERROR(__xludf.DUMMYFUNCTION("GOOGLETRANSLATE(B32401,""en"",""es-ES"")"),"Muchas escenas de personas navegan en grandes olas en el mar y una ciudad está en el fondo.")</f>
        <v>Muchas escenas de personas navegan en grandes olas en el mar y una ciudad está en el fondo.</v>
      </c>
    </row>
    <row r="32402">
      <c r="A32402" s="4" t="s">
        <v>40792</v>
      </c>
      <c r="B32402" s="4" t="s">
        <v>40793</v>
      </c>
      <c r="C32402" s="5" t="str">
        <f>IFERROR(__xludf.DUMMYFUNCTION("GOOGLETRANSLATE(B32402,""en"",""es-ES"")"),"Se ve a un perro deambulando por un patio y a un hombre que habla con la cámara.")</f>
        <v>Se ve a un perro deambulando por un patio y a un hombre que habla con la cámara.</v>
      </c>
    </row>
    <row r="32403">
      <c r="A32403" s="4" t="s">
        <v>40792</v>
      </c>
      <c r="B32403" s="4" t="s">
        <v>40794</v>
      </c>
      <c r="C32403" s="5" t="str">
        <f>IFERROR(__xludf.DUMMYFUNCTION("GOOGLETRANSLATE(B32403,""en"",""es-ES"")"),"El perro se mueve por el área mientras el hombre continúa hablando con la cámara.")</f>
        <v>El perro se mueve por el área mientras el hombre continúa hablando con la cámara.</v>
      </c>
    </row>
    <row r="32404">
      <c r="A32404" s="4" t="s">
        <v>40792</v>
      </c>
      <c r="B32404" s="4" t="s">
        <v>40795</v>
      </c>
      <c r="C32404" s="5" t="str">
        <f>IFERROR(__xludf.DUMMYFUNCTION("GOOGLETRANSLATE(B32404,""en"",""es-ES"")"),"El perro corre hacia atrás y cuarto mientras la cámara se acerca a su cara.")</f>
        <v>El perro corre hacia atrás y cuarto mientras la cámara se acerca a su cara.</v>
      </c>
    </row>
    <row r="32405">
      <c r="A32405" s="4" t="s">
        <v>40796</v>
      </c>
      <c r="B32405" s="4" t="s">
        <v>40797</v>
      </c>
      <c r="C32405" s="5" t="str">
        <f>IFERROR(__xludf.DUMMYFUNCTION("GOOGLETRANSLATE(B32405,""en"",""es-ES"")"),"Se muestra un primer plano de los ojos de una mujer.")</f>
        <v>Se muestra un primer plano de los ojos de una mujer.</v>
      </c>
    </row>
    <row r="32406">
      <c r="A32406" s="4" t="s">
        <v>40796</v>
      </c>
      <c r="B32406" s="4" t="s">
        <v>40798</v>
      </c>
      <c r="C32406" s="5" t="str">
        <f>IFERROR(__xludf.DUMMYFUNCTION("GOOGLETRANSLATE(B32406,""en"",""es-ES"")"),"Ella está sentada en una roca, luego en bicicleta, luego adornando el equipo de buceo.")</f>
        <v>Ella está sentada en una roca, luego en bicicleta, luego adornando el equipo de buceo.</v>
      </c>
    </row>
    <row r="32407">
      <c r="A32407" s="4" t="s">
        <v>40796</v>
      </c>
      <c r="B32407" s="4" t="s">
        <v>40799</v>
      </c>
      <c r="C32407" s="5" t="str">
        <f>IFERROR(__xludf.DUMMYFUNCTION("GOOGLETRANSLATE(B32407,""en"",""es-ES"")"),"Ella se zambulle, nadando junto a peces tropicales y un tiburón lactante.")</f>
        <v>Ella se zambulle, nadando junto a peces tropicales y un tiburón lactante.</v>
      </c>
    </row>
    <row r="32408">
      <c r="A32408" s="4" t="s">
        <v>40796</v>
      </c>
      <c r="B32408" s="4" t="s">
        <v>40800</v>
      </c>
      <c r="C32408" s="5" t="str">
        <f>IFERROR(__xludf.DUMMYFUNCTION("GOOGLETRANSLATE(B32408,""en"",""es-ES"")"),"Finalmente se le muestra con gafas de sol, sonriendo y riendo.")</f>
        <v>Finalmente se le muestra con gafas de sol, sonriendo y riendo.</v>
      </c>
    </row>
    <row r="32409">
      <c r="A32409" s="4" t="s">
        <v>40801</v>
      </c>
      <c r="B32409" s="4" t="s">
        <v>40802</v>
      </c>
      <c r="C32409" s="5" t="str">
        <f>IFERROR(__xludf.DUMMYFUNCTION("GOOGLETRANSLATE(B32409,""en"",""es-ES"")"),"Un hombre sostiene un dispositivo de soldadura y lo ajusta mientras muestra su área de trabajo.")</f>
        <v>Un hombre sostiene un dispositivo de soldadura y lo ajusta mientras muestra su área de trabajo.</v>
      </c>
    </row>
    <row r="32410">
      <c r="A32410" s="4" t="s">
        <v>40801</v>
      </c>
      <c r="B32410" s="4" t="s">
        <v>40803</v>
      </c>
      <c r="C32410" s="5" t="str">
        <f>IFERROR(__xludf.DUMMYFUNCTION("GOOGLETRANSLATE(B32410,""en"",""es-ES"")"),"El soldador se sostiene sobre una placa de acero y se mueve lentamente.")</f>
        <v>El soldador se sostiene sobre una placa de acero y se mueve lentamente.</v>
      </c>
    </row>
    <row r="32411">
      <c r="A32411" s="4" t="s">
        <v>40801</v>
      </c>
      <c r="B32411" s="4" t="s">
        <v>40804</v>
      </c>
      <c r="C32411" s="5" t="str">
        <f>IFERROR(__xludf.DUMMYFUNCTION("GOOGLETRANSLATE(B32411,""en"",""es-ES"")"),"El hombre tira del soldador sobre una pieza de metal de color cobre.")</f>
        <v>El hombre tira del soldador sobre una pieza de metal de color cobre.</v>
      </c>
    </row>
    <row r="32412">
      <c r="A32412" s="4" t="s">
        <v>40801</v>
      </c>
      <c r="B32412" s="4" t="s">
        <v>40805</v>
      </c>
      <c r="C32412" s="5" t="str">
        <f>IFERROR(__xludf.DUMMYFUNCTION("GOOGLETRANSLATE(B32412,""en"",""es-ES"")"),"El hombre pone su guardia de la cara y soluciona un lugar en un trozo de metal.")</f>
        <v>El hombre pone su guardia de la cara y soluciona un lugar en un trozo de metal.</v>
      </c>
    </row>
    <row r="32413">
      <c r="A32413" s="4" t="s">
        <v>40801</v>
      </c>
      <c r="B32413" s="4" t="s">
        <v>40806</v>
      </c>
      <c r="C32413" s="5" t="str">
        <f>IFERROR(__xludf.DUMMYFUNCTION("GOOGLETRANSLATE(B32413,""en"",""es-ES"")"),"El hombre se detiene para un descanso.")</f>
        <v>El hombre se detiene para un descanso.</v>
      </c>
    </row>
    <row r="32414">
      <c r="A32414" s="4" t="s">
        <v>40801</v>
      </c>
      <c r="B32414" s="4" t="s">
        <v>40807</v>
      </c>
      <c r="C32414" s="5" t="str">
        <f>IFERROR(__xludf.DUMMYFUNCTION("GOOGLETRANSLATE(B32414,""en"",""es-ES"")"),"El hombre deja una línea en una pieza de material.")</f>
        <v>El hombre deja una línea en una pieza de material.</v>
      </c>
    </row>
    <row r="32415">
      <c r="A32415" s="4" t="s">
        <v>40801</v>
      </c>
      <c r="B32415" s="4" t="s">
        <v>40808</v>
      </c>
      <c r="C32415" s="5" t="str">
        <f>IFERROR(__xludf.DUMMYFUNCTION("GOOGLETRANSLATE(B32415,""en"",""es-ES"")"),"El hombre levanta un cincel de martillo sobre la barra de metal y la interrumpe algunas piezas.")</f>
        <v>El hombre levanta un cincel de martillo sobre la barra de metal y la interrumpe algunas piezas.</v>
      </c>
    </row>
    <row r="32416">
      <c r="A32416" s="4" t="s">
        <v>40801</v>
      </c>
      <c r="B32416" s="4" t="s">
        <v>40809</v>
      </c>
      <c r="C32416" s="5" t="str">
        <f>IFERROR(__xludf.DUMMYFUNCTION("GOOGLETRANSLATE(B32416,""en"",""es-ES"")"),"El hombre usa un cepillo de alambre para limpiar el metal.")</f>
        <v>El hombre usa un cepillo de alambre para limpiar el metal.</v>
      </c>
    </row>
    <row r="32417">
      <c r="A32417" s="4" t="s">
        <v>40810</v>
      </c>
      <c r="B32417" s="4" t="s">
        <v>40811</v>
      </c>
      <c r="C32417" s="5" t="str">
        <f>IFERROR(__xludf.DUMMYFUNCTION("GOOGLETRANSLATE(B32417,""en"",""es-ES"")"),"Una niña está sentada y fumando cigarrillos.")</f>
        <v>Una niña está sentada y fumando cigarrillos.</v>
      </c>
    </row>
    <row r="32418">
      <c r="A32418" s="4" t="s">
        <v>40810</v>
      </c>
      <c r="B32418" s="4" t="s">
        <v>40812</v>
      </c>
      <c r="C32418" s="5" t="str">
        <f>IFERROR(__xludf.DUMMYFUNCTION("GOOGLETRANSLATE(B32418,""en"",""es-ES"")"),"Johnny Cash está jugando en el fondo y toma una bebida en la mano.")</f>
        <v>Johnny Cash está jugando en el fondo y toma una bebida en la mano.</v>
      </c>
    </row>
    <row r="32419">
      <c r="A32419" s="4" t="s">
        <v>40810</v>
      </c>
      <c r="B32419" s="4" t="s">
        <v>40813</v>
      </c>
      <c r="C32419" s="5" t="str">
        <f>IFERROR(__xludf.DUMMYFUNCTION("GOOGLETRANSLATE(B32419,""en"",""es-ES"")"),"Ella mira a la cámara mientras toma bocanadas en su cigarrillo.")</f>
        <v>Ella mira a la cámara mientras toma bocanadas en su cigarrillo.</v>
      </c>
    </row>
    <row r="32420">
      <c r="A32420" s="4" t="s">
        <v>40810</v>
      </c>
      <c r="B32420" s="4" t="s">
        <v>40814</v>
      </c>
      <c r="C32420" s="5" t="str">
        <f>IFERROR(__xludf.DUMMYFUNCTION("GOOGLETRANSLATE(B32420,""en"",""es-ES"")"),"Ella arregla un poco su cabello mientras mira la cámara.")</f>
        <v>Ella arregla un poco su cabello mientras mira la cámara.</v>
      </c>
    </row>
    <row r="32421">
      <c r="A32421" s="4" t="s">
        <v>40810</v>
      </c>
      <c r="B32421" s="4" t="s">
        <v>40815</v>
      </c>
      <c r="C32421" s="5" t="str">
        <f>IFERROR(__xludf.DUMMYFUNCTION("GOOGLETRANSLATE(B32421,""en"",""es-ES"")"),"Ella sonríe en la cámara y se inclina más cerca.")</f>
        <v>Ella sonríe en la cámara y se inclina más cerca.</v>
      </c>
    </row>
    <row r="32422">
      <c r="A32422" s="4" t="s">
        <v>40816</v>
      </c>
      <c r="B32422" s="4" t="s">
        <v>40817</v>
      </c>
      <c r="C32422" s="5" t="str">
        <f>IFERROR(__xludf.DUMMYFUNCTION("GOOGLETRANSLATE(B32422,""en"",""es-ES"")"),"Una mujer se para en una mesa con productos para bebés, luego la mujer enrolla los pañales y pone un recipiente circular con una cinta.")</f>
        <v>Una mujer se para en una mesa con productos para bebés, luego la mujer enrolla los pañales y pone un recipiente circular con una cinta.</v>
      </c>
    </row>
    <row r="32423">
      <c r="A32423" s="4" t="s">
        <v>40816</v>
      </c>
      <c r="B32423" s="4" t="s">
        <v>40818</v>
      </c>
      <c r="C32423" s="5" t="str">
        <f>IFERROR(__xludf.DUMMYFUNCTION("GOOGLETRANSLATE(B32423,""en"",""es-ES"")"),"Después, la mujer pone pañales alrededor de una toalla doblada con una cinta.")</f>
        <v>Después, la mujer pone pañales alrededor de una toalla doblada con una cinta.</v>
      </c>
    </row>
    <row r="32424">
      <c r="A32424" s="4" t="s">
        <v>40816</v>
      </c>
      <c r="B32424" s="4" t="s">
        <v>40819</v>
      </c>
      <c r="C32424" s="5" t="str">
        <f>IFERROR(__xludf.DUMMYFUNCTION("GOOGLETRANSLATE(B32424,""en"",""es-ES"")"),"Luego, la mujer llena el recipiente circular con productos para bebés y coloca la toalla, una peluche y una botella.")</f>
        <v>Luego, la mujer llena el recipiente circular con productos para bebés y coloca la toalla, una peluche y una botella.</v>
      </c>
    </row>
    <row r="32425">
      <c r="A32425" s="4" t="s">
        <v>40820</v>
      </c>
      <c r="B32425" s="4" t="s">
        <v>40821</v>
      </c>
      <c r="C32425" s="5" t="str">
        <f>IFERROR(__xludf.DUMMYFUNCTION("GOOGLETRANSLATE(B32425,""en"",""es-ES"")"),"Un niño recoge una pelota de bolos y corre por el carril.")</f>
        <v>Un niño recoge una pelota de bolos y corre por el carril.</v>
      </c>
    </row>
    <row r="32426">
      <c r="A32426" s="4" t="s">
        <v>40820</v>
      </c>
      <c r="B32426" s="4" t="s">
        <v>40822</v>
      </c>
      <c r="C32426" s="5" t="str">
        <f>IFERROR(__xludf.DUMMYFUNCTION("GOOGLETRANSLATE(B32426,""en"",""es-ES"")"),"Se sumerge en los alfileres al final.")</f>
        <v>Se sumerge en los alfileres al final.</v>
      </c>
    </row>
    <row r="32427">
      <c r="A32427" s="4" t="s">
        <v>40820</v>
      </c>
      <c r="B32427" s="4" t="s">
        <v>40823</v>
      </c>
      <c r="C32427" s="5" t="str">
        <f>IFERROR(__xludf.DUMMYFUNCTION("GOOGLETRANSLATE(B32427,""en"",""es-ES"")"),"Él corre y cae en el carril.")</f>
        <v>Él corre y cae en el carril.</v>
      </c>
    </row>
    <row r="32428">
      <c r="A32428" s="4" t="s">
        <v>40824</v>
      </c>
      <c r="B32428" s="4" t="s">
        <v>40825</v>
      </c>
      <c r="C32428" s="5" t="str">
        <f>IFERROR(__xludf.DUMMYFUNCTION("GOOGLETRANSLATE(B32428,""en"",""es-ES"")"),"Un hombre vestido de negro y una máscara está afuera en un lugar público tocando e instrumentos con bolsas en el medio y un teclado pequeño en el exterior.")</f>
        <v>Un hombre vestido de negro y una máscara está afuera en un lugar público tocando e instrumentos con bolsas en el medio y un teclado pequeño en el exterior.</v>
      </c>
    </row>
    <row r="32429">
      <c r="A32429" s="4" t="s">
        <v>40824</v>
      </c>
      <c r="B32429" s="4" t="s">
        <v>40826</v>
      </c>
      <c r="C32429" s="5" t="str">
        <f>IFERROR(__xludf.DUMMYFUNCTION("GOOGLETRANSLATE(B32429,""en"",""es-ES"")"),"Mientras juega, varias personas caminan continuando con su vida.")</f>
        <v>Mientras juega, varias personas caminan continuando con su vida.</v>
      </c>
    </row>
    <row r="32430">
      <c r="A32430" s="4" t="s">
        <v>40824</v>
      </c>
      <c r="B32430" s="4" t="s">
        <v>40827</v>
      </c>
      <c r="C32430" s="5" t="str">
        <f>IFERROR(__xludf.DUMMYFUNCTION("GOOGLETRANSLATE(B32430,""en"",""es-ES"")"),"Ninguno de ellos lo reconoce y el sombrero frente a Hi permanece vacío.")</f>
        <v>Ninguno de ellos lo reconoce y el sombrero frente a Hi permanece vacío.</v>
      </c>
    </row>
    <row r="32431">
      <c r="A32431" s="4" t="s">
        <v>40828</v>
      </c>
      <c r="B32431" s="4" t="s">
        <v>40829</v>
      </c>
      <c r="C32431" s="5" t="str">
        <f>IFERROR(__xludf.DUMMYFUNCTION("GOOGLETRANSLATE(B32431,""en"",""es-ES"")"),"Dos chicas que sostienen pompones realizan una rutina de baile en un gimnasio.")</f>
        <v>Dos chicas que sostienen pompones realizan una rutina de baile en un gimnasio.</v>
      </c>
    </row>
    <row r="32432">
      <c r="A32432" s="4" t="s">
        <v>40828</v>
      </c>
      <c r="B32432" s="4" t="s">
        <v>40830</v>
      </c>
      <c r="C32432" s="5" t="str">
        <f>IFERROR(__xludf.DUMMYFUNCTION("GOOGLETRANSLATE(B32432,""en"",""es-ES"")"),"Se muestra a varias personas observando en el fondo mientras las chicas continúan haciendo movimientos flexibles.")</f>
        <v>Se muestra a varias personas observando en el fondo mientras las chicas continúan haciendo movimientos flexibles.</v>
      </c>
    </row>
    <row r="32433">
      <c r="A32433" s="4" t="s">
        <v>40828</v>
      </c>
      <c r="B32433" s="4" t="s">
        <v>40831</v>
      </c>
      <c r="C32433" s="5" t="str">
        <f>IFERROR(__xludf.DUMMYFUNCTION("GOOGLETRANSLATE(B32433,""en"",""es-ES"")"),"Agarrar los bastones y continuar girando los bastones mientras realizan divisiones y varios otros movimientos de baile.")</f>
        <v>Agarrar los bastones y continuar girando los bastones mientras realizan divisiones y varios otros movimientos de baile.</v>
      </c>
    </row>
    <row r="32434">
      <c r="A32434" s="4" t="s">
        <v>40832</v>
      </c>
      <c r="B32434" s="4" t="s">
        <v>40833</v>
      </c>
      <c r="C32434" s="5" t="str">
        <f>IFERROR(__xludf.DUMMYFUNCTION("GOOGLETRANSLATE(B32434,""en"",""es-ES"")"),"Una mujer que usa un mono está hablando con la cámara.")</f>
        <v>Una mujer que usa un mono está hablando con la cámara.</v>
      </c>
    </row>
    <row r="32435">
      <c r="A32435" s="4" t="s">
        <v>40832</v>
      </c>
      <c r="B32435" s="4" t="s">
        <v>40834</v>
      </c>
      <c r="C32435" s="5" t="str">
        <f>IFERROR(__xludf.DUMMYFUNCTION("GOOGLETRANSLATE(B32435,""en"",""es-ES"")"),"Ella presenta papel de envoltura, que muestra cómo envolver un juguete.")</f>
        <v>Ella presenta papel de envoltura, que muestra cómo envolver un juguete.</v>
      </c>
    </row>
    <row r="32436">
      <c r="A32436" s="4" t="s">
        <v>40832</v>
      </c>
      <c r="B32436" s="4" t="s">
        <v>40835</v>
      </c>
      <c r="C32436" s="5" t="str">
        <f>IFERROR(__xludf.DUMMYFUNCTION("GOOGLETRANSLATE(B32436,""en"",""es-ES"")"),"Ella lo envuelve alrededor del juguete, luego lo graba.")</f>
        <v>Ella lo envuelve alrededor del juguete, luego lo graba.</v>
      </c>
    </row>
    <row r="32437">
      <c r="A32437" s="4" t="s">
        <v>40836</v>
      </c>
      <c r="B32437" s="4" t="s">
        <v>40837</v>
      </c>
      <c r="C32437" s="5" t="str">
        <f>IFERROR(__xludf.DUMMYFUNCTION("GOOGLETRANSLATE(B32437,""en"",""es-ES"")"),"Vemos a una dama lavando una toalla blanca en un fregadero.")</f>
        <v>Vemos a una dama lavando una toalla blanca en un fregadero.</v>
      </c>
    </row>
    <row r="32438">
      <c r="A32438" s="4" t="s">
        <v>40836</v>
      </c>
      <c r="B32438" s="4" t="s">
        <v>40838</v>
      </c>
      <c r="C32438" s="5" t="str">
        <f>IFERROR(__xludf.DUMMYFUNCTION("GOOGLETRANSLATE(B32438,""en"",""es-ES"")"),"La señora levanta la toalla.")</f>
        <v>La señora levanta la toalla.</v>
      </c>
    </row>
    <row r="32439">
      <c r="A32439" s="4" t="s">
        <v>40836</v>
      </c>
      <c r="B32439" s="4" t="s">
        <v>40839</v>
      </c>
      <c r="C32439" s="5" t="str">
        <f>IFERROR(__xludf.DUMMYFUNCTION("GOOGLETRANSLATE(B32439,""en"",""es-ES"")"),"La señora levanta algo del piso.")</f>
        <v>La señora levanta algo del piso.</v>
      </c>
    </row>
    <row r="32440">
      <c r="A32440" s="4" t="s">
        <v>40836</v>
      </c>
      <c r="B32440" s="4" t="s">
        <v>40840</v>
      </c>
      <c r="C32440" s="5" t="str">
        <f>IFERROR(__xludf.DUMMYFUNCTION("GOOGLETRANSLATE(B32440,""en"",""es-ES"")"),"La señora saca la toalla en el fregadero.")</f>
        <v>La señora saca la toalla en el fregadero.</v>
      </c>
    </row>
    <row r="32441">
      <c r="A32441" s="4" t="s">
        <v>40836</v>
      </c>
      <c r="B32441" s="4" t="s">
        <v>40841</v>
      </c>
      <c r="C32441" s="5" t="str">
        <f>IFERROR(__xludf.DUMMYFUNCTION("GOOGLETRANSLATE(B32441,""en"",""es-ES"")"),"La señora se aleja.")</f>
        <v>La señora se aleja.</v>
      </c>
    </row>
    <row r="32442">
      <c r="A32442" s="4" t="s">
        <v>40842</v>
      </c>
      <c r="B32442" s="4" t="s">
        <v>40843</v>
      </c>
      <c r="C32442" s="5" t="str">
        <f>IFERROR(__xludf.DUMMYFUNCTION("GOOGLETRANSLATE(B32442,""en"",""es-ES"")"),"Vemos una pantalla negra con la introducción.")</f>
        <v>Vemos una pantalla negra con la introducción.</v>
      </c>
    </row>
    <row r="32443">
      <c r="A32443" s="4" t="s">
        <v>40842</v>
      </c>
      <c r="B32443" s="4" t="s">
        <v>40844</v>
      </c>
      <c r="C32443" s="5" t="str">
        <f>IFERROR(__xludf.DUMMYFUNCTION("GOOGLETRANSLATE(B32443,""en"",""es-ES"")"),"Vemos gente en azul tocando la batería.")</f>
        <v>Vemos gente en azul tocando la batería.</v>
      </c>
    </row>
    <row r="32444">
      <c r="A32444" s="4" t="s">
        <v>40842</v>
      </c>
      <c r="B32444" s="4" t="s">
        <v>40845</v>
      </c>
      <c r="C32444" s="5" t="str">
        <f>IFERROR(__xludf.DUMMYFUNCTION("GOOGLETRANSLATE(B32444,""en"",""es-ES"")"),"Aparece una pantalla de título y vemos a otro equipo.")</f>
        <v>Aparece una pantalla de título y vemos a otro equipo.</v>
      </c>
    </row>
    <row r="32445">
      <c r="A32445" s="4" t="s">
        <v>40842</v>
      </c>
      <c r="B32445" s="4" t="s">
        <v>40846</v>
      </c>
      <c r="C32445" s="5" t="str">
        <f>IFERROR(__xludf.DUMMYFUNCTION("GOOGLETRANSLATE(B32445,""en"",""es-ES"")"),"Otra pantalla de título y un equipo con un hombre saltando una cinta.")</f>
        <v>Otra pantalla de título y un equipo con un hombre saltando una cinta.</v>
      </c>
    </row>
    <row r="32446">
      <c r="A32446" s="4" t="s">
        <v>40842</v>
      </c>
      <c r="B32446" s="4" t="s">
        <v>40847</v>
      </c>
      <c r="C32446" s="5" t="str">
        <f>IFERROR(__xludf.DUMMYFUNCTION("GOOGLETRANSLATE(B32446,""en"",""es-ES"")"),"El título aparece dos veces y vemos un equipo rojo.")</f>
        <v>El título aparece dos veces y vemos un equipo rojo.</v>
      </c>
    </row>
    <row r="32447">
      <c r="A32447" s="4" t="s">
        <v>40842</v>
      </c>
      <c r="B32447" s="4" t="s">
        <v>40848</v>
      </c>
      <c r="C32447" s="5" t="str">
        <f>IFERROR(__xludf.DUMMYFUNCTION("GOOGLETRANSLATE(B32447,""en"",""es-ES"")"),"La pantalla del título regresa y vemos un equipo en Purple.")</f>
        <v>La pantalla del título regresa y vemos un equipo en Purple.</v>
      </c>
    </row>
    <row r="32448">
      <c r="A32448" s="4" t="s">
        <v>40842</v>
      </c>
      <c r="B32448" s="4" t="s">
        <v>40849</v>
      </c>
      <c r="C32448" s="5" t="str">
        <f>IFERROR(__xludf.DUMMYFUNCTION("GOOGLETRANSLATE(B32448,""en"",""es-ES"")"),"El título regresa 3 veces y las personas están practicando al aire libre.")</f>
        <v>El título regresa 3 veces y las personas están practicando al aire libre.</v>
      </c>
    </row>
    <row r="32449">
      <c r="A32449" s="4" t="s">
        <v>40842</v>
      </c>
      <c r="B32449" s="4" t="s">
        <v>40850</v>
      </c>
      <c r="C32449" s="5" t="str">
        <f>IFERROR(__xludf.DUMMYFUNCTION("GOOGLETRANSLATE(B32449,""en"",""es-ES"")"),"Vemos a la gente actuar frente a una multitud.")</f>
        <v>Vemos a la gente actuar frente a una multitud.</v>
      </c>
    </row>
    <row r="32450">
      <c r="A32450" s="4" t="s">
        <v>40842</v>
      </c>
      <c r="B32450" s="4" t="s">
        <v>40851</v>
      </c>
      <c r="C32450" s="5" t="str">
        <f>IFERROR(__xludf.DUMMYFUNCTION("GOOGLETRANSLATE(B32450,""en"",""es-ES"")"),"Vemos un montón de tiros rápidos de equipos, luego la pantalla final.")</f>
        <v>Vemos un montón de tiros rápidos de equipos, luego la pantalla final.</v>
      </c>
    </row>
    <row r="32451">
      <c r="A32451" s="4" t="s">
        <v>40852</v>
      </c>
      <c r="B32451" s="4" t="s">
        <v>40853</v>
      </c>
      <c r="C32451" s="5" t="str">
        <f>IFERROR(__xludf.DUMMYFUNCTION("GOOGLETRANSLATE(B32451,""en"",""es-ES"")"),"Un vaquero en un caballo se libera de una puerta.")</f>
        <v>Un vaquero en un caballo se libera de una puerta.</v>
      </c>
    </row>
    <row r="32452">
      <c r="A32452" s="4" t="s">
        <v>40852</v>
      </c>
      <c r="B32452" s="4" t="s">
        <v>40854</v>
      </c>
      <c r="C32452" s="5" t="str">
        <f>IFERROR(__xludf.DUMMYFUNCTION("GOOGLETRANSLATE(B32452,""en"",""es-ES"")"),"Lossos un poco de pantorrilla.")</f>
        <v>Lossos un poco de pantorrilla.</v>
      </c>
    </row>
    <row r="32453">
      <c r="A32453" s="4" t="s">
        <v>40852</v>
      </c>
      <c r="B32453" s="4" t="s">
        <v>40855</v>
      </c>
      <c r="C32453" s="5" t="str">
        <f>IFERROR(__xludf.DUMMYFUNCTION("GOOGLETRANSLATE(B32453,""en"",""es-ES"")"),"Desmita, luego ata el ternero.")</f>
        <v>Desmita, luego ata el ternero.</v>
      </c>
    </row>
    <row r="32454">
      <c r="A32454" s="4" t="s">
        <v>40856</v>
      </c>
      <c r="B32454" s="4" t="s">
        <v>40857</v>
      </c>
      <c r="C32454" s="5" t="str">
        <f>IFERROR(__xludf.DUMMYFUNCTION("GOOGLETRANSLATE(B32454,""en"",""es-ES"")"),"Se ve a varias personas deambulando por una ciudad oscura mientras usan zancos en sus pies para caminar.")</f>
        <v>Se ve a varias personas deambulando por una ciudad oscura mientras usan zancos en sus pies para caminar.</v>
      </c>
    </row>
    <row r="32455">
      <c r="A32455" s="4" t="s">
        <v>40856</v>
      </c>
      <c r="B32455" s="4" t="s">
        <v>40858</v>
      </c>
      <c r="C32455" s="5" t="str">
        <f>IFERROR(__xludf.DUMMYFUNCTION("GOOGLETRANSLATE(B32455,""en"",""es-ES"")"),"La gente continúa caminando y saltando sobre los zancos mientras saluda a la cámara y se sienta en el suelo.")</f>
        <v>La gente continúa caminando y saltando sobre los zancos mientras saluda a la cámara y se sienta en el suelo.</v>
      </c>
    </row>
    <row r="32456">
      <c r="A32456" s="4" t="s">
        <v>40859</v>
      </c>
      <c r="B32456" s="4" t="s">
        <v>40860</v>
      </c>
      <c r="C32456" s="5" t="str">
        <f>IFERROR(__xludf.DUMMYFUNCTION("GOOGLETRANSLATE(B32456,""en"",""es-ES"")"),"Un hombre está sentado en un piano, se ve confundido mientras juega y una mujer mayor mira.")</f>
        <v>Un hombre está sentado en un piano, se ve confundido mientras juega y una mujer mayor mira.</v>
      </c>
    </row>
    <row r="32457">
      <c r="A32457" s="4" t="s">
        <v>40859</v>
      </c>
      <c r="B32457" s="4" t="s">
        <v>40861</v>
      </c>
      <c r="C32457" s="5" t="str">
        <f>IFERROR(__xludf.DUMMYFUNCTION("GOOGLETRANSLATE(B32457,""en"",""es-ES"")"),"Él acelera su juego mientras ella se para.")</f>
        <v>Él acelera su juego mientras ella se para.</v>
      </c>
    </row>
    <row r="32458">
      <c r="A32458" s="4" t="s">
        <v>40859</v>
      </c>
      <c r="B32458" s="4" t="s">
        <v>40862</v>
      </c>
      <c r="C32458" s="5" t="str">
        <f>IFERROR(__xludf.DUMMYFUNCTION("GOOGLETRANSLATE(B32458,""en"",""es-ES"")"),"El público se ve perplejo y divertido, bailando en su lugar.")</f>
        <v>El público se ve perplejo y divertido, bailando en su lugar.</v>
      </c>
    </row>
    <row r="32459">
      <c r="A32459" s="4" t="s">
        <v>40859</v>
      </c>
      <c r="B32459" s="4" t="s">
        <v>40863</v>
      </c>
      <c r="C32459" s="5" t="str">
        <f>IFERROR(__xludf.DUMMYFUNCTION("GOOGLETRANSLATE(B32459,""en"",""es-ES"")"),"La gente se levanta y baila con la música.")</f>
        <v>La gente se levanta y baila con la música.</v>
      </c>
    </row>
    <row r="32460">
      <c r="A32460" s="4" t="s">
        <v>40859</v>
      </c>
      <c r="B32460" s="4" t="s">
        <v>40864</v>
      </c>
      <c r="C32460" s="5" t="str">
        <f>IFERROR(__xludf.DUMMYFUNCTION("GOOGLETRANSLATE(B32460,""en"",""es-ES"")"),"Luego se aleja con el brazo en el de una mujer.")</f>
        <v>Luego se aleja con el brazo en el de una mujer.</v>
      </c>
    </row>
    <row r="32461">
      <c r="A32461" s="4" t="s">
        <v>40865</v>
      </c>
      <c r="B32461" s="4" t="s">
        <v>40866</v>
      </c>
      <c r="C32461" s="5" t="str">
        <f>IFERROR(__xludf.DUMMYFUNCTION("GOOGLETRANSLATE(B32461,""en"",""es-ES"")"),"Una mujer pelea las papas en una cocina rústica.")</f>
        <v>Una mujer pelea las papas en una cocina rústica.</v>
      </c>
    </row>
    <row r="32462">
      <c r="A32462" s="4" t="s">
        <v>40865</v>
      </c>
      <c r="B32462" s="4" t="s">
        <v>40867</v>
      </c>
      <c r="C32462" s="5" t="str">
        <f>IFERROR(__xludf.DUMMYFUNCTION("GOOGLETRANSLATE(B32462,""en"",""es-ES"")"),"Luego, la mujer toma otras papas y las pega con un cuchillo.")</f>
        <v>Luego, la mujer toma otras papas y las pega con un cuchillo.</v>
      </c>
    </row>
    <row r="32463">
      <c r="A32463" s="4" t="s">
        <v>40865</v>
      </c>
      <c r="B32463" s="4" t="s">
        <v>40868</v>
      </c>
      <c r="C32463" s="5" t="str">
        <f>IFERROR(__xludf.DUMMYFUNCTION("GOOGLETRANSLATE(B32463,""en"",""es-ES"")"),"Después, la mujer pone la papa en Adish.")</f>
        <v>Después, la mujer pone la papa en Adish.</v>
      </c>
    </row>
    <row r="32464">
      <c r="A32464" s="4" t="s">
        <v>40869</v>
      </c>
      <c r="B32464" s="4" t="s">
        <v>40870</v>
      </c>
      <c r="C32464" s="5" t="str">
        <f>IFERROR(__xludf.DUMMYFUNCTION("GOOGLETRANSLATE(B32464,""en"",""es-ES"")"),"Dos jóvenes y un hombre juegan un billar golpeando bolas blancas con un palo de referencia.")</f>
        <v>Dos jóvenes y un hombre juegan un billar golpeando bolas blancas con un palo de referencia.</v>
      </c>
    </row>
    <row r="32465">
      <c r="A32465" s="4" t="s">
        <v>40869</v>
      </c>
      <c r="B32465" s="4" t="s">
        <v>40871</v>
      </c>
      <c r="C32465" s="5" t="str">
        <f>IFERROR(__xludf.DUMMYFUNCTION("GOOGLETRANSLATE(B32465,""en"",""es-ES"")"),"El joven golpea bolas que aterrizan en el bolsillo de la mesa de billar.")</f>
        <v>El joven golpea bolas que aterrizan en el bolsillo de la mesa de billar.</v>
      </c>
    </row>
    <row r="32466">
      <c r="A32466" s="4" t="s">
        <v>40869</v>
      </c>
      <c r="B32466" s="4" t="s">
        <v>40872</v>
      </c>
      <c r="C32466" s="5" t="str">
        <f>IFERROR(__xludf.DUMMYFUNCTION("GOOGLETRANSLATE(B32466,""en"",""es-ES"")"),"Luego, el hombre pone las bolas en un triángulo de metal y organiza otras bolas.")</f>
        <v>Luego, el hombre pone las bolas en un triángulo de metal y organiza otras bolas.</v>
      </c>
    </row>
    <row r="32467">
      <c r="A32467" s="4" t="s">
        <v>40869</v>
      </c>
      <c r="B32467" s="4" t="s">
        <v>40873</v>
      </c>
      <c r="C32467" s="5" t="str">
        <f>IFERROR(__xludf.DUMMYFUNCTION("GOOGLETRANSLATE(B32467,""en"",""es-ES"")"),"Después, el joven golpea la bola blanca, pero lo detiene inmudadamente con los palitos de señal.")</f>
        <v>Después, el joven golpea la bola blanca, pero lo detiene inmudadamente con los palitos de señal.</v>
      </c>
    </row>
    <row r="32468">
      <c r="A32468" s="4" t="s">
        <v>40869</v>
      </c>
      <c r="B32468" s="4" t="s">
        <v>40874</v>
      </c>
      <c r="C32468" s="5" t="str">
        <f>IFERROR(__xludf.DUMMYFUNCTION("GOOGLETRANSLATE(B32468,""en"",""es-ES"")"),"Luego, el joven golpea las bolas y envía una pelota blanca a un bolsillo.")</f>
        <v>Luego, el joven golpea las bolas y envía una pelota blanca a un bolsillo.</v>
      </c>
    </row>
    <row r="32469">
      <c r="A32469" s="4" t="s">
        <v>40869</v>
      </c>
      <c r="B32469" s="4" t="s">
        <v>40875</v>
      </c>
      <c r="C32469" s="5" t="str">
        <f>IFERROR(__xludf.DUMMYFUNCTION("GOOGLETRANSLATE(B32469,""en"",""es-ES"")"),"El hombre golpea una bola blanca y envía bolas en el bolsillo.")</f>
        <v>El hombre golpea una bola blanca y envía bolas en el bolsillo.</v>
      </c>
    </row>
    <row r="32470">
      <c r="A32470" s="4" t="s">
        <v>40869</v>
      </c>
      <c r="B32470" s="4" t="s">
        <v>40876</v>
      </c>
      <c r="C32470" s="5" t="str">
        <f>IFERROR(__xludf.DUMMYFUNCTION("GOOGLETRANSLATE(B32470,""en"",""es-ES"")"),"Al final, el joven pone la pelota dentro de un triángulo de metal.")</f>
        <v>Al final, el joven pone la pelota dentro de un triángulo de metal.</v>
      </c>
    </row>
    <row r="32471">
      <c r="A32471" s="4" t="s">
        <v>40877</v>
      </c>
      <c r="B32471" s="4" t="s">
        <v>40878</v>
      </c>
      <c r="C32471" s="5" t="str">
        <f>IFERROR(__xludf.DUMMYFUNCTION("GOOGLETRANSLATE(B32471,""en"",""es-ES"")"),"Tres chicas están juntas en un piso verde hablando entre ellas sobre un deporte.")</f>
        <v>Tres chicas están juntas en un piso verde hablando entre ellas sobre un deporte.</v>
      </c>
    </row>
    <row r="32472">
      <c r="A32472" s="4" t="s">
        <v>40877</v>
      </c>
      <c r="B32472" s="4" t="s">
        <v>40879</v>
      </c>
      <c r="C32472" s="5" t="str">
        <f>IFERROR(__xludf.DUMMYFUNCTION("GOOGLETRANSLATE(B32472,""en"",""es-ES"")"),"Luego se muestra a una persona jugando hockey sobre campo y luego regresa para hablar sobre lo que acaba de hacer.")</f>
        <v>Luego se muestra a una persona jugando hockey sobre campo y luego regresa para hablar sobre lo que acaba de hacer.</v>
      </c>
    </row>
    <row r="32473">
      <c r="A32473" s="4" t="s">
        <v>40877</v>
      </c>
      <c r="B32473" s="4" t="s">
        <v>40880</v>
      </c>
      <c r="C32473" s="5" t="str">
        <f>IFERROR(__xludf.DUMMYFUNCTION("GOOGLETRANSLATE(B32473,""en"",""es-ES"")"),"Luego, repasan las formas correctas de defender la pelota y luego todos comienzan a hablar uno por uno sobre el deporte nuevamente.")</f>
        <v>Luego, repasan las formas correctas de defender la pelota y luego todos comienzan a hablar uno por uno sobre el deporte nuevamente.</v>
      </c>
    </row>
    <row r="32474">
      <c r="A32474" s="4" t="s">
        <v>40877</v>
      </c>
      <c r="B32474" s="4" t="s">
        <v>40881</v>
      </c>
      <c r="C32474" s="5" t="str">
        <f>IFERROR(__xludf.DUMMYFUNCTION("GOOGLETRANSLATE(B32474,""en"",""es-ES"")"),"Después, aparece una pantalla con la pregunta, ""¿Qué pasa si el juego está empatado?"" Y la joven entra en detalles para la respuesta.")</f>
        <v>Después, aparece una pantalla con la pregunta, "¿Qué pasa si el juego está empatado?" Y la joven entra en detalles para la respuesta.</v>
      </c>
    </row>
    <row r="32475">
      <c r="A32475" s="4" t="s">
        <v>40877</v>
      </c>
      <c r="B32475" s="4" t="s">
        <v>40882</v>
      </c>
      <c r="C32475" s="5" t="str">
        <f>IFERROR(__xludf.DUMMYFUNCTION("GOOGLETRANSLATE(B32475,""en"",""es-ES"")"),"Finalmente, las preguntas son respondidas y todas regresan y cierran el video.")</f>
        <v>Finalmente, las preguntas son respondidas y todas regresan y cierran el video.</v>
      </c>
    </row>
    <row r="32476">
      <c r="A32476" s="4" t="s">
        <v>40883</v>
      </c>
      <c r="B32476" s="4" t="s">
        <v>40884</v>
      </c>
      <c r="C32476" s="5" t="str">
        <f>IFERROR(__xludf.DUMMYFUNCTION("GOOGLETRANSLATE(B32476,""en"",""es-ES"")"),"La gente está remando en canoas en una piscina interior.")</f>
        <v>La gente está remando en canoas en una piscina interior.</v>
      </c>
    </row>
    <row r="32477">
      <c r="A32477" s="4" t="s">
        <v>40883</v>
      </c>
      <c r="B32477" s="4" t="s">
        <v>40885</v>
      </c>
      <c r="C32477" s="5" t="str">
        <f>IFERROR(__xludf.DUMMYFUNCTION("GOOGLETRANSLATE(B32477,""en"",""es-ES"")"),"Un niño remula una canoa.")</f>
        <v>Un niño remula una canoa.</v>
      </c>
    </row>
    <row r="32478">
      <c r="A32478" s="4" t="s">
        <v>40883</v>
      </c>
      <c r="B32478" s="4" t="s">
        <v>40886</v>
      </c>
      <c r="C32478" s="5" t="str">
        <f>IFERROR(__xludf.DUMMYFUNCTION("GOOGLETRANSLATE(B32478,""en"",""es-ES"")"),"El niño se inclina hacia un lado y la canoa se voltea.")</f>
        <v>El niño se inclina hacia un lado y la canoa se voltea.</v>
      </c>
    </row>
    <row r="32479">
      <c r="A32479" s="4" t="s">
        <v>40883</v>
      </c>
      <c r="B32479" s="4" t="s">
        <v>40887</v>
      </c>
      <c r="C32479" s="5" t="str">
        <f>IFERROR(__xludf.DUMMYFUNCTION("GOOGLETRANSLATE(B32479,""en"",""es-ES"")"),"El niño nada a la superficie del agua.")</f>
        <v>El niño nada a la superficie del agua.</v>
      </c>
    </row>
    <row r="32480">
      <c r="A32480" s="4" t="s">
        <v>40888</v>
      </c>
      <c r="B32480" s="4" t="s">
        <v>40889</v>
      </c>
      <c r="C32480" s="5" t="str">
        <f>IFERROR(__xludf.DUMMYFUNCTION("GOOGLETRANSLATE(B32480,""en"",""es-ES"")"),"Hay un hombre parado en su cubierta que está cubierta de nieve.")</f>
        <v>Hay un hombre parado en su cubierta que está cubierta de nieve.</v>
      </c>
    </row>
    <row r="32481">
      <c r="A32481" s="4" t="s">
        <v>40888</v>
      </c>
      <c r="B32481" s="4" t="s">
        <v>40890</v>
      </c>
      <c r="C32481" s="5" t="str">
        <f>IFERROR(__xludf.DUMMYFUNCTION("GOOGLETRANSLATE(B32481,""en"",""es-ES"")"),"Se está preparando para meterse en su bañera de hidromasaje en su cubierta.")</f>
        <v>Se está preparando para meterse en su bañera de hidromasaje en su cubierta.</v>
      </c>
    </row>
    <row r="32482">
      <c r="A32482" s="4" t="s">
        <v>40888</v>
      </c>
      <c r="B32482" s="4" t="s">
        <v>40891</v>
      </c>
      <c r="C32482" s="5" t="str">
        <f>IFERROR(__xludf.DUMMYFUNCTION("GOOGLETRANSLATE(B32482,""en"",""es-ES"")"),"Camina descalzo a través de la nieve para entrar en su bañera de hidromasaje.")</f>
        <v>Camina descalzo a través de la nieve para entrar en su bañera de hidromasaje.</v>
      </c>
    </row>
    <row r="32483">
      <c r="A32483" s="4" t="s">
        <v>40888</v>
      </c>
      <c r="B32483" s="4" t="s">
        <v>40892</v>
      </c>
      <c r="C32483" s="5" t="str">
        <f>IFERROR(__xludf.DUMMYFUNCTION("GOOGLETRANSLATE(B32483,""en"",""es-ES"")"),"Comienza a sacar la nieve de la cubierta para que sea más fácil para él caminar.")</f>
        <v>Comienza a sacar la nieve de la cubierta para que sea más fácil para él caminar.</v>
      </c>
    </row>
    <row r="32484">
      <c r="A32484" s="4" t="s">
        <v>40888</v>
      </c>
      <c r="B32484" s="4" t="s">
        <v>40893</v>
      </c>
      <c r="C32484" s="5" t="str">
        <f>IFERROR(__xludf.DUMMYFUNCTION("GOOGLETRANSLATE(B32484,""en"",""es-ES"")"),"Él despeja la nieve de la cubierta para crear un camino hacia la bañera de hidromasaje.")</f>
        <v>Él despeja la nieve de la cubierta para crear un camino hacia la bañera de hidromasaje.</v>
      </c>
    </row>
    <row r="32485">
      <c r="A32485" s="4" t="s">
        <v>40894</v>
      </c>
      <c r="B32485" s="4" t="s">
        <v>40895</v>
      </c>
      <c r="C32485" s="5" t="str">
        <f>IFERROR(__xludf.DUMMYFUNCTION("GOOGLETRANSLATE(B32485,""en"",""es-ES"")"),"Se muestran varias tomas de paisajes, así como a las personas que conducen y se entrevistan a otras.")</f>
        <v>Se muestran varias tomas de paisajes, así como a las personas que conducen y se entrevistan a otras.</v>
      </c>
    </row>
    <row r="32486">
      <c r="A32486" s="4" t="s">
        <v>40894</v>
      </c>
      <c r="B32486" s="4" t="s">
        <v>40896</v>
      </c>
      <c r="C32486" s="5" t="str">
        <f>IFERROR(__xludf.DUMMYFUNCTION("GOOGLETRANSLATE(B32486,""en"",""es-ES"")"),"Se muestran varias fotos de personas en la playa y conducen a personas que practican varios deportes en la playa.")</f>
        <v>Se muestran varias fotos de personas en la playa y conducen a personas que practican varios deportes en la playa.</v>
      </c>
    </row>
    <row r="32487">
      <c r="A32487" s="4" t="s">
        <v>40894</v>
      </c>
      <c r="B32487" s="4" t="s">
        <v>40897</v>
      </c>
      <c r="C32487" s="5" t="str">
        <f>IFERROR(__xludf.DUMMYFUNCTION("GOOGLETRANSLATE(B32487,""en"",""es-ES"")"),"La gente reproduce y cuarto mientras que otros se entrevistan y muchos miran a los lados.")</f>
        <v>La gente reproduce y cuarto mientras que otros se entrevistan y muchos miran a los lados.</v>
      </c>
    </row>
    <row r="32488">
      <c r="A32488" s="4" t="s">
        <v>40898</v>
      </c>
      <c r="B32488" s="4" t="s">
        <v>40899</v>
      </c>
      <c r="C32488" s="5" t="str">
        <f>IFERROR(__xludf.DUMMYFUNCTION("GOOGLETRANSLATE(B32488,""en"",""es-ES"")"),"Se ve a una mujer empujando una cortadora de césped a lo largo de un patio y detenerse para tirar de la cuerda y ponerla en marcha.")</f>
        <v>Se ve a una mujer empujando una cortadora de césped a lo largo de un patio y detenerse para tirar de la cuerda y ponerla en marcha.</v>
      </c>
    </row>
    <row r="32489">
      <c r="A32489" s="4" t="s">
        <v>40898</v>
      </c>
      <c r="B32489" s="4" t="s">
        <v>40900</v>
      </c>
      <c r="C32489" s="5" t="str">
        <f>IFERROR(__xludf.DUMMYFUNCTION("GOOGLETRANSLATE(B32489,""en"",""es-ES"")"),"La mujer continúa empujando al cortacésped a lo largo del césped y regresando a donde comenzó.")</f>
        <v>La mujer continúa empujando al cortacésped a lo largo del césped y regresando a donde comenzó.</v>
      </c>
    </row>
    <row r="32490">
      <c r="A32490" s="4" t="s">
        <v>40901</v>
      </c>
      <c r="B32490" s="4" t="s">
        <v>40902</v>
      </c>
      <c r="C32490" s="5" t="str">
        <f>IFERROR(__xludf.DUMMYFUNCTION("GOOGLETRANSLATE(B32490,""en"",""es-ES"")"),"Una persona está volando en poste sobre una viga seguida de varios clips más de personas saltando.")</f>
        <v>Una persona está volando en poste sobre una viga seguida de varios clips más de personas saltando.</v>
      </c>
    </row>
    <row r="32491">
      <c r="A32491" s="4" t="s">
        <v>40901</v>
      </c>
      <c r="B32491" s="4" t="s">
        <v>40903</v>
      </c>
      <c r="C32491" s="5" t="str">
        <f>IFERROR(__xludf.DUMMYFUNCTION("GOOGLETRANSLATE(B32491,""en"",""es-ES"")"),"Se muestran más personas usando la barra a voltio de poste sobre una viga.")</f>
        <v>Se muestran más personas usando la barra a voltio de poste sobre una viga.</v>
      </c>
    </row>
    <row r="32492">
      <c r="A32492" s="4" t="s">
        <v>40904</v>
      </c>
      <c r="B32492" s="4" t="s">
        <v>40905</v>
      </c>
      <c r="C32492" s="5" t="str">
        <f>IFERROR(__xludf.DUMMYFUNCTION("GOOGLETRANSLATE(B32492,""en"",""es-ES"")"),"Se está mostrando una fila de cortinas, pinceles y maquinillas de afeitar.")</f>
        <v>Se está mostrando una fila de cortinas, pinceles y maquinillas de afeitar.</v>
      </c>
    </row>
    <row r="32493">
      <c r="A32493" s="4" t="s">
        <v>40904</v>
      </c>
      <c r="B32493" s="4" t="s">
        <v>40906</v>
      </c>
      <c r="C32493" s="5" t="str">
        <f>IFERROR(__xludf.DUMMYFUNCTION("GOOGLETRANSLATE(B32493,""en"",""es-ES"")"),"Poco después, se muestra el frente del edificio y se muestra el nombre en la plaza.")</f>
        <v>Poco después, se muestra el frente del edificio y se muestra el nombre en la plaza.</v>
      </c>
    </row>
    <row r="32494">
      <c r="A32494" s="4" t="s">
        <v>40904</v>
      </c>
      <c r="B32494" s="4" t="s">
        <v>40907</v>
      </c>
      <c r="C32494" s="5" t="str">
        <f>IFERROR(__xludf.DUMMYFUNCTION("GOOGLETRANSLATE(B32494,""en"",""es-ES"")"),"Se muestra un hombre con cabello largo y rizado sentado en la barbería bajando el cabello y el barbero está usando una combinación de tijeras, cepillos y secadores para completar el aspecto.")</f>
        <v>Se muestra un hombre con cabello largo y rizado sentado en la barbería bajando el cabello y el barbero está usando una combinación de tijeras, cepillos y secadores para completar el aspecto.</v>
      </c>
    </row>
    <row r="32495">
      <c r="A32495" s="4" t="s">
        <v>40904</v>
      </c>
      <c r="B32495" s="4" t="s">
        <v>40908</v>
      </c>
      <c r="C32495" s="5" t="str">
        <f>IFERROR(__xludf.DUMMYFUNCTION("GOOGLETRANSLATE(B32495,""en"",""es-ES"")"),"Una vez hecho, una imagen fija del barbero y su información se muestra para la publicidad.")</f>
        <v>Una vez hecho, una imagen fija del barbero y su información se muestra para la publicidad.</v>
      </c>
    </row>
    <row r="32496">
      <c r="A32496" s="4" t="s">
        <v>40909</v>
      </c>
      <c r="B32496" s="4" t="s">
        <v>40910</v>
      </c>
      <c r="C32496" s="5" t="str">
        <f>IFERROR(__xludf.DUMMYFUNCTION("GOOGLETRANSLATE(B32496,""en"",""es-ES"")"),"Se ve a una persona montando en un caballo alrededor de otros mientras habla con otras personas y niños que sostienen un letrero.")</f>
        <v>Se ve a una persona montando en un caballo alrededor de otros mientras habla con otras personas y niños que sostienen un letrero.</v>
      </c>
    </row>
    <row r="32497">
      <c r="A32497" s="4" t="s">
        <v>40909</v>
      </c>
      <c r="B32497" s="4" t="s">
        <v>40911</v>
      </c>
      <c r="C32497" s="5" t="str">
        <f>IFERROR(__xludf.DUMMYFUNCTION("GOOGLETRANSLATE(B32497,""en"",""es-ES"")"),"Los niños continúan sosteniendo letreros y miran a la cámara mientras más personas viajan en caballos.")</f>
        <v>Los niños continúan sosteniendo letreros y miran a la cámara mientras más personas viajan en caballos.</v>
      </c>
    </row>
    <row r="32498">
      <c r="A32498" s="4" t="s">
        <v>40909</v>
      </c>
      <c r="B32498" s="4" t="s">
        <v>40912</v>
      </c>
      <c r="C32498" s="5" t="str">
        <f>IFERROR(__xludf.DUMMYFUNCTION("GOOGLETRANSLATE(B32498,""en"",""es-ES"")"),"Se muestran más clips de personas que montan caballos y niños con cascos.")</f>
        <v>Se muestran más clips de personas que montan caballos y niños con cascos.</v>
      </c>
    </row>
    <row r="32499">
      <c r="A32499" s="4" t="s">
        <v>40913</v>
      </c>
      <c r="B32499" s="4" t="s">
        <v>40914</v>
      </c>
      <c r="C32499" s="5" t="str">
        <f>IFERROR(__xludf.DUMMYFUNCTION("GOOGLETRANSLATE(B32499,""en"",""es-ES"")"),"Un hombre está sentado en el agua sosteniendo una cuerda.")</f>
        <v>Un hombre está sentado en el agua sosteniendo una cuerda.</v>
      </c>
    </row>
    <row r="32500">
      <c r="A32500" s="4" t="s">
        <v>40913</v>
      </c>
      <c r="B32500" s="4" t="s">
        <v>40915</v>
      </c>
      <c r="C32500" s="5" t="str">
        <f>IFERROR(__xludf.DUMMYFUNCTION("GOOGLETRANSLATE(B32500,""en"",""es-ES"")"),"Se levanta y comienza a despertar.")</f>
        <v>Se levanta y comienza a despertar.</v>
      </c>
    </row>
    <row r="32501">
      <c r="A32501" s="4" t="s">
        <v>40913</v>
      </c>
      <c r="B32501" s="4" t="s">
        <v>40916</v>
      </c>
      <c r="C32501" s="5" t="str">
        <f>IFERROR(__xludf.DUMMYFUNCTION("GOOGLETRANSLATE(B32501,""en"",""es-ES"")"),"Se cae de nuevo al agua.")</f>
        <v>Se cae de nuevo al agua.</v>
      </c>
    </row>
    <row r="32502">
      <c r="A32502" s="4" t="s">
        <v>40917</v>
      </c>
      <c r="B32502" s="4" t="s">
        <v>40918</v>
      </c>
      <c r="C32502" s="5" t="str">
        <f>IFERROR(__xludf.DUMMYFUNCTION("GOOGLETRANSLATE(B32502,""en"",""es-ES"")"),"Dos líneas de personas se paran sobre una cuerda larga.")</f>
        <v>Dos líneas de personas se paran sobre una cuerda larga.</v>
      </c>
    </row>
    <row r="32503">
      <c r="A32503" s="4" t="s">
        <v>40917</v>
      </c>
      <c r="B32503" s="4" t="s">
        <v>40919</v>
      </c>
      <c r="C32503" s="5" t="str">
        <f>IFERROR(__xludf.DUMMYFUNCTION("GOOGLETRANSLATE(B32503,""en"",""es-ES"")"),"Cada línea recoge la cuerda y comienza a jugar cuerda mientras una gran multitud observa.")</f>
        <v>Cada línea recoge la cuerda y comienza a jugar cuerda mientras una gran multitud observa.</v>
      </c>
    </row>
    <row r="32504">
      <c r="A32504" s="4" t="s">
        <v>40917</v>
      </c>
      <c r="B32504" s="4" t="s">
        <v>40920</v>
      </c>
      <c r="C32504" s="5" t="str">
        <f>IFERROR(__xludf.DUMMYFUNCTION("GOOGLETRANSLATE(B32504,""en"",""es-ES"")"),"El equipo con camisas azul claro gana la ronda.")</f>
        <v>El equipo con camisas azul claro gana la ronda.</v>
      </c>
    </row>
    <row r="32505">
      <c r="A32505" s="4" t="s">
        <v>40921</v>
      </c>
      <c r="B32505" s="4" t="s">
        <v>40922</v>
      </c>
      <c r="C32505" s="5" t="str">
        <f>IFERROR(__xludf.DUMMYFUNCTION("GOOGLETRANSLATE(B32505,""en"",""es-ES"")"),"Aparece una pantalla de introducción blanca con pequeñas imágenes en círculo de un hombre en la esquina superior izquierda, una mujer en la parte inferior derecha y las palabras ""enganchadas a correr entrenamiento inteligente para mujeres ocupadas"" en e"&amp;"l medio.")</f>
        <v>Aparece una pantalla de introducción blanca con pequeñas imágenes en círculo de un hombre en la esquina superior izquierda, una mujer en la parte inferior derecha y las palabras "enganchadas a correr entrenamiento inteligente para mujeres ocupadas" en el medio.</v>
      </c>
    </row>
    <row r="32506">
      <c r="A32506" s="4" t="s">
        <v>40921</v>
      </c>
      <c r="B32506" s="4" t="s">
        <v>40923</v>
      </c>
      <c r="C32506" s="5" t="str">
        <f>IFERROR(__xludf.DUMMYFUNCTION("GOOGLETRANSLATE(B32506,""en"",""es-ES"")"),"Una mujer que lleva un sombrero, gafas y una tapa de color rosa fuerte de manga larga está parada frente a una pared de ladrillo y habla.")</f>
        <v>Una mujer que lleva un sombrero, gafas y una tapa de color rosa fuerte de manga larga está parada frente a una pared de ladrillo y habla.</v>
      </c>
    </row>
    <row r="32507">
      <c r="A32507" s="4" t="s">
        <v>40921</v>
      </c>
      <c r="B32507" s="4" t="s">
        <v>40924</v>
      </c>
      <c r="C32507" s="5" t="str">
        <f>IFERROR(__xludf.DUMMYFUNCTION("GOOGLETRANSLATE(B32507,""en"",""es-ES"")"),"La mujer ahora está de pie detrás de una mesa y está poniendo papeles arrugados en una zapatilla de carrera y lo rellena tanto como pueda.")</f>
        <v>La mujer ahora está de pie detrás de una mesa y está poniendo papeles arrugados en una zapatilla de carrera y lo rellena tanto como pueda.</v>
      </c>
    </row>
    <row r="32508">
      <c r="A32508" s="4" t="s">
        <v>40921</v>
      </c>
      <c r="B32508" s="4" t="s">
        <v>40925</v>
      </c>
      <c r="C32508" s="5" t="str">
        <f>IFERROR(__xludf.DUMMYFUNCTION("GOOGLETRANSLATE(B32508,""en"",""es-ES"")"),"Luego, la mujer agarra una suela rosa del zapato y vierte bicarbonato de sodio por toda la parte superior.")</f>
        <v>Luego, la mujer agarra una suela rosa del zapato y vierte bicarbonato de sodio por toda la parte superior.</v>
      </c>
    </row>
    <row r="32509">
      <c r="A32509" s="4" t="s">
        <v>40921</v>
      </c>
      <c r="B32509" s="4" t="s">
        <v>40926</v>
      </c>
      <c r="C32509" s="5" t="str">
        <f>IFERROR(__xludf.DUMMYFUNCTION("GOOGLETRANSLATE(B32509,""en"",""es-ES"")"),"Luego, la mujer toma un cepillo de dientes y el espectáculo que solo se metió y se mueve frotando, pero realmente no lo hace, luego pone tanto el cepillo de dientes como el zapato.")</f>
        <v>Luego, la mujer toma un cepillo de dientes y el espectáculo que solo se metió y se mueve frotando, pero realmente no lo hace, luego pone tanto el cepillo de dientes como el zapato.</v>
      </c>
    </row>
    <row r="32510">
      <c r="A32510" s="4" t="s">
        <v>40921</v>
      </c>
      <c r="B32510" s="4" t="s">
        <v>40927</v>
      </c>
      <c r="C32510" s="5" t="str">
        <f>IFERROR(__xludf.DUMMYFUNCTION("GOOGLETRANSLATE(B32510,""en"",""es-ES"")"),"La mujer toma otro par de zapatos, el zapato derecho se desanima y el zapato izquierdo está atado y se la sufre y luego los baja.")</f>
        <v>La mujer toma otro par de zapatos, el zapato derecho se desanima y el zapato izquierdo está atado y se la sufre y luego los baja.</v>
      </c>
    </row>
    <row r="32511">
      <c r="A32511" s="4" t="s">
        <v>40928</v>
      </c>
      <c r="B32511" s="4" t="s">
        <v>40929</v>
      </c>
      <c r="C32511" s="5" t="str">
        <f>IFERROR(__xludf.DUMMYFUNCTION("GOOGLETRANSLATE(B32511,""en"",""es-ES"")"),"Un caballo negro está parado en un establo con varias cosas amarillas en su cabello.")</f>
        <v>Un caballo negro está parado en un establo con varias cosas amarillas en su cabello.</v>
      </c>
    </row>
    <row r="32512">
      <c r="A32512" s="4" t="s">
        <v>40928</v>
      </c>
      <c r="B32512" s="4" t="s">
        <v>40930</v>
      </c>
      <c r="C32512" s="5" t="str">
        <f>IFERROR(__xludf.DUMMYFUNCTION("GOOGLETRANSLATE(B32512,""en"",""es-ES"")"),"Luego aparece una mujer y comienza a afeitarse todo el cabello del caballo.")</f>
        <v>Luego aparece una mujer y comienza a afeitarse todo el cabello del caballo.</v>
      </c>
    </row>
    <row r="32513">
      <c r="A32513" s="4" t="s">
        <v>40928</v>
      </c>
      <c r="B32513" s="4" t="s">
        <v>40931</v>
      </c>
      <c r="C32513" s="5" t="str">
        <f>IFERROR(__xludf.DUMMYFUNCTION("GOOGLETRANSLATE(B32513,""en"",""es-ES"")"),"El lado se ha ido por completo y cuando se mueve desde la espalda, ella también va debajo de su cuerpo para quitar ese cabello.")</f>
        <v>El lado se ha ido por completo y cuando se mueve desde la espalda, ella también va debajo de su cuerpo para quitar ese cabello.</v>
      </c>
    </row>
    <row r="32514">
      <c r="A32514" s="4" t="s">
        <v>40932</v>
      </c>
      <c r="B32514" s="4" t="s">
        <v>40933</v>
      </c>
      <c r="C32514" s="5" t="str">
        <f>IFERROR(__xludf.DUMMYFUNCTION("GOOGLETRANSLATE(B32514,""en"",""es-ES"")"),"Se ve a un hombre parado frente a una ventana que habla con la cámara mientras usa un tocado.")</f>
        <v>Se ve a un hombre parado frente a una ventana que habla con la cámara mientras usa un tocado.</v>
      </c>
    </row>
    <row r="32515">
      <c r="A32515" s="4" t="s">
        <v>40932</v>
      </c>
      <c r="B32515" s="4" t="s">
        <v>40934</v>
      </c>
      <c r="C32515" s="5" t="str">
        <f>IFERROR(__xludf.DUMMYFUNCTION("GOOGLETRANSLATE(B32515,""en"",""es-ES"")"),"Luego, el hombre cepilla a los lados de la ventana y señala hacia atrás y cuarto a la ventana mientras habla con la cámara.")</f>
        <v>Luego, el hombre cepilla a los lados de la ventana y señala hacia atrás y cuarto a la ventana mientras habla con la cámara.</v>
      </c>
    </row>
    <row r="32516">
      <c r="A32516" s="4" t="s">
        <v>40935</v>
      </c>
      <c r="B32516" s="4" t="s">
        <v>40936</v>
      </c>
      <c r="C32516" s="5" t="str">
        <f>IFERROR(__xludf.DUMMYFUNCTION("GOOGLETRANSLATE(B32516,""en"",""es-ES"")"),"Se muestra a un hombre hablando con la cámara, luego se arrodilla y presiona la alfombra con una herramienta.")</f>
        <v>Se muestra a un hombre hablando con la cámara, luego se arrodilla y presiona la alfombra con una herramienta.</v>
      </c>
    </row>
    <row r="32517">
      <c r="A32517" s="4" t="s">
        <v>40935</v>
      </c>
      <c r="B32517" s="4" t="s">
        <v>40937</v>
      </c>
      <c r="C32517" s="5" t="str">
        <f>IFERROR(__xludf.DUMMYFUNCTION("GOOGLETRANSLATE(B32517,""en"",""es-ES"")"),"Luego se atornilla en las escaleras y se arrodilla mientras todavía habla con la cámara.")</f>
        <v>Luego se atornilla en las escaleras y se arrodilla mientras todavía habla con la cámara.</v>
      </c>
    </row>
    <row r="32518">
      <c r="A32518" s="4" t="s">
        <v>40938</v>
      </c>
      <c r="B32518" s="4" t="s">
        <v>40939</v>
      </c>
      <c r="C32518" s="5" t="str">
        <f>IFERROR(__xludf.DUMMYFUNCTION("GOOGLETRANSLATE(B32518,""en"",""es-ES"")"),"Una mujer habla y muestra su larga trenza francesa.")</f>
        <v>Una mujer habla y muestra su larga trenza francesa.</v>
      </c>
    </row>
    <row r="32519">
      <c r="A32519" s="4" t="s">
        <v>40938</v>
      </c>
      <c r="B32519" s="4" t="s">
        <v>40940</v>
      </c>
      <c r="C32519" s="5" t="str">
        <f>IFERROR(__xludf.DUMMYFUNCTION("GOOGLETRANSLATE(B32519,""en"",""es-ES"")"),"Luego, la mujer se acuesta en la cama y se cepilla el cabello en el borde de la cama.")</f>
        <v>Luego, la mujer se acuesta en la cama y se cepilla el cabello en el borde de la cama.</v>
      </c>
    </row>
    <row r="32520">
      <c r="A32520" s="4" t="s">
        <v>40938</v>
      </c>
      <c r="B32520" s="4" t="s">
        <v>40941</v>
      </c>
      <c r="C32520" s="5" t="str">
        <f>IFERROR(__xludf.DUMMYFUNCTION("GOOGLETRANSLATE(B32520,""en"",""es-ES"")"),"Luego, la mujer toma una cerradura de cabello delantero y trenza tomando el cabello de los lados.")</f>
        <v>Luego, la mujer toma una cerradura de cabello delantero y trenza tomando el cabello de los lados.</v>
      </c>
    </row>
    <row r="32521">
      <c r="A32521" s="4" t="s">
        <v>40938</v>
      </c>
      <c r="B32521" s="4" t="s">
        <v>40942</v>
      </c>
      <c r="C32521" s="5" t="str">
        <f>IFERROR(__xludf.DUMMYFUNCTION("GOOGLETRANSLATE(B32521,""en"",""es-ES"")"),"Luego, la mujer muestra la trenza mientras continúa hablando.")</f>
        <v>Luego, la mujer muestra la trenza mientras continúa hablando.</v>
      </c>
    </row>
    <row r="32522">
      <c r="A32522" s="4" t="s">
        <v>40943</v>
      </c>
      <c r="B32522" s="4" t="s">
        <v>40944</v>
      </c>
      <c r="C32522" s="5" t="str">
        <f>IFERROR(__xludf.DUMMYFUNCTION("GOOGLETRANSLATE(B32522,""en"",""es-ES"")"),"Hay un buzo que participa en un evento en un gran estadio en muchos espectadores.")</f>
        <v>Hay un buzo que participa en un evento en un gran estadio en muchos espectadores.</v>
      </c>
    </row>
    <row r="32523">
      <c r="A32523" s="4" t="s">
        <v>40943</v>
      </c>
      <c r="B32523" s="4" t="s">
        <v>40945</v>
      </c>
      <c r="C32523" s="5" t="str">
        <f>IFERROR(__xludf.DUMMYFUNCTION("GOOGLETRANSLATE(B32523,""en"",""es-ES"")"),"Está saltando del tablero y sumergiéndose en la piscina profunda.")</f>
        <v>Está saltando del tablero y sumergiéndose en la piscina profunda.</v>
      </c>
    </row>
    <row r="32524">
      <c r="A32524" s="4" t="s">
        <v>40943</v>
      </c>
      <c r="B32524" s="4" t="s">
        <v>40946</v>
      </c>
      <c r="C32524" s="5" t="str">
        <f>IFERROR(__xludf.DUMMYFUNCTION("GOOGLETRANSLATE(B32524,""en"",""es-ES"")"),"Mientras buceaba, accidentalmente se golpea la cabeza en la tabla de buceo y se lastima.")</f>
        <v>Mientras buceaba, accidentalmente se golpea la cabeza en la tabla de buceo y se lastima.</v>
      </c>
    </row>
    <row r="32525">
      <c r="A32525" s="4" t="s">
        <v>40943</v>
      </c>
      <c r="B32525" s="4" t="s">
        <v>40947</v>
      </c>
      <c r="C32525" s="5" t="str">
        <f>IFERROR(__xludf.DUMMYFUNCTION("GOOGLETRANSLATE(B32525,""en"",""es-ES"")"),"Expresa dolor cuando sale de la piscina y su entrenador viene para ayudarlo.")</f>
        <v>Expresa dolor cuando sale de la piscina y su entrenador viene para ayudarlo.</v>
      </c>
    </row>
    <row r="32526">
      <c r="A32526" s="4" t="s">
        <v>40943</v>
      </c>
      <c r="B32526" s="4" t="s">
        <v>40948</v>
      </c>
      <c r="C32526" s="5" t="str">
        <f>IFERROR(__xludf.DUMMYFUNCTION("GOOGLETRANSLATE(B32526,""en"",""es-ES"")"),"La segunda vez, cuando el buceador se zambulle, logra llegar a la piscina sin heridas sin lesiones.")</f>
        <v>La segunda vez, cuando el buceador se zambulle, logra llegar a la piscina sin heridas sin lesiones.</v>
      </c>
    </row>
    <row r="32527">
      <c r="A32527" s="4" t="s">
        <v>40943</v>
      </c>
      <c r="B32527" s="4" t="s">
        <v>40949</v>
      </c>
      <c r="C32527" s="5" t="str">
        <f>IFERROR(__xludf.DUMMYFUNCTION("GOOGLETRANSLATE(B32527,""en"",""es-ES"")"),"Otro evento de buceo histórico se muestra donde el buzo duele accidentalmente la cabeza sobre la mesa de buceo mientras se sumerge en la piscina.")</f>
        <v>Otro evento de buceo histórico se muestra donde el buzo duele accidentalmente la cabeza sobre la mesa de buceo mientras se sumerge en la piscina.</v>
      </c>
    </row>
    <row r="32528">
      <c r="A32528" s="4" t="s">
        <v>40950</v>
      </c>
      <c r="B32528" s="4" t="s">
        <v>40951</v>
      </c>
      <c r="C32528" s="5" t="str">
        <f>IFERROR(__xludf.DUMMYFUNCTION("GOOGLETRANSLATE(B32528,""en"",""es-ES"")"),"Se ve a un pequeño grupo de personas parado dentro de un área cercada con un hombre sentado en un caballo.")</f>
        <v>Se ve a un pequeño grupo de personas parado dentro de un área cercada con un hombre sentado en un caballo.</v>
      </c>
    </row>
    <row r="32529">
      <c r="A32529" s="4" t="s">
        <v>40950</v>
      </c>
      <c r="B32529" s="4" t="s">
        <v>40952</v>
      </c>
      <c r="C32529" s="5" t="str">
        <f>IFERROR(__xludf.DUMMYFUNCTION("GOOGLETRANSLATE(B32529,""en"",""es-ES"")"),"El hombre cabalga en el pozo y persigue una pantorrilla con una cuerda.")</f>
        <v>El hombre cabalga en el pozo y persigue una pantorrilla con una cuerda.</v>
      </c>
    </row>
    <row r="32530">
      <c r="A32530" s="4" t="s">
        <v>40950</v>
      </c>
      <c r="B32530" s="4" t="s">
        <v>40953</v>
      </c>
      <c r="C32530" s="5" t="str">
        <f>IFERROR(__xludf.DUMMYFUNCTION("GOOGLETRANSLATE(B32530,""en"",""es-ES"")"),"El hombre ata la pantorrilla después de que queda atrapado y sube al caballo mientras otro desata el ternero.")</f>
        <v>El hombre ata la pantorrilla después de que queda atrapado y sube al caballo mientras otro desata el ternero.</v>
      </c>
    </row>
    <row r="32531">
      <c r="A32531" s="4" t="s">
        <v>40954</v>
      </c>
      <c r="B32531" s="4" t="s">
        <v>40955</v>
      </c>
      <c r="C32531" s="5" t="str">
        <f>IFERROR(__xludf.DUMMYFUNCTION("GOOGLETRANSLATE(B32531,""en"",""es-ES"")"),"Hay niños que rebotan en trampolines.")</f>
        <v>Hay niños que rebotan en trampolines.</v>
      </c>
    </row>
    <row r="32532">
      <c r="A32532" s="4" t="s">
        <v>40954</v>
      </c>
      <c r="B32532" s="4" t="s">
        <v>40956</v>
      </c>
      <c r="C32532" s="5" t="str">
        <f>IFERROR(__xludf.DUMMYFUNCTION("GOOGLETRANSLATE(B32532,""en"",""es-ES"")"),"Varios niños saltan arriba y abajo.")</f>
        <v>Varios niños saltan arriba y abajo.</v>
      </c>
    </row>
    <row r="32533">
      <c r="A32533" s="4" t="s">
        <v>40954</v>
      </c>
      <c r="B32533" s="4" t="s">
        <v>40957</v>
      </c>
      <c r="C32533" s="5" t="str">
        <f>IFERROR(__xludf.DUMMYFUNCTION("GOOGLETRANSLATE(B32533,""en"",""es-ES"")"),"La cámara es muy inestable.")</f>
        <v>La cámara es muy inestable.</v>
      </c>
    </row>
    <row r="32534">
      <c r="A32534" s="4" t="s">
        <v>40958</v>
      </c>
      <c r="B32534" s="4" t="s">
        <v>27352</v>
      </c>
      <c r="C32534" s="5" t="str">
        <f>IFERROR(__xludf.DUMMYFUNCTION("GOOGLETRANSLATE(B32534,""en"",""es-ES"")"),"Los niños están sentados en autos de parachoques.")</f>
        <v>Los niños están sentados en autos de parachoques.</v>
      </c>
    </row>
    <row r="32535">
      <c r="A32535" s="4" t="s">
        <v>40958</v>
      </c>
      <c r="B32535" s="4" t="s">
        <v>40959</v>
      </c>
      <c r="C32535" s="5" t="str">
        <f>IFERROR(__xludf.DUMMYFUNCTION("GOOGLETRANSLATE(B32535,""en"",""es-ES"")"),"Comienzan a ir y tocarse el uno con el otro.")</f>
        <v>Comienzan a ir y tocarse el uno con el otro.</v>
      </c>
    </row>
    <row r="32536">
      <c r="A32536" s="4" t="s">
        <v>40958</v>
      </c>
      <c r="B32536" s="4" t="s">
        <v>40960</v>
      </c>
      <c r="C32536" s="5" t="str">
        <f>IFERROR(__xludf.DUMMYFUNCTION("GOOGLETRANSLATE(B32536,""en"",""es-ES"")"),"La gente está de pie detrás de la puerta mirándolos.")</f>
        <v>La gente está de pie detrás de la puerta mirándolos.</v>
      </c>
    </row>
    <row r="32537">
      <c r="A32537" s="4" t="s">
        <v>40958</v>
      </c>
      <c r="B32537" s="4" t="s">
        <v>40961</v>
      </c>
      <c r="C32537" s="5" t="str">
        <f>IFERROR(__xludf.DUMMYFUNCTION("GOOGLETRANSLATE(B32537,""en"",""es-ES"")"),"Un hombre con una camisa azul camina frente a ellos.")</f>
        <v>Un hombre con una camisa azul camina frente a ellos.</v>
      </c>
    </row>
    <row r="32538">
      <c r="A32538" s="4" t="s">
        <v>40962</v>
      </c>
      <c r="B32538" s="4" t="s">
        <v>40963</v>
      </c>
      <c r="C32538" s="5" t="str">
        <f>IFERROR(__xludf.DUMMYFUNCTION("GOOGLETRANSLATE(B32538,""en"",""es-ES"")"),"Una introducción que es una pantalla azul con palabras blancas que decía ""Megazip Sentosa Dot Singapur Dot Noviembre 2010"" aparece en la pantalla.")</f>
        <v>Una introducción que es una pantalla azul con palabras blancas que decía "Megazip Sentosa Dot Singapur Dot Noviembre 2010" aparece en la pantalla.</v>
      </c>
    </row>
    <row r="32539">
      <c r="A32539" s="4" t="s">
        <v>40962</v>
      </c>
      <c r="B32539" s="4" t="s">
        <v>40964</v>
      </c>
      <c r="C32539" s="5" t="str">
        <f>IFERROR(__xludf.DUMMYFUNCTION("GOOGLETRANSLATE(B32539,""en"",""es-ES"")"),"Cuatro personas aparecen cerca de una barandilla donde todas están unidas a los arneses.")</f>
        <v>Cuatro personas aparecen cerca de una barandilla donde todas están unidas a los arneses.</v>
      </c>
    </row>
    <row r="32540">
      <c r="A32540" s="4" t="s">
        <v>40962</v>
      </c>
      <c r="B32540" s="4" t="s">
        <v>40965</v>
      </c>
      <c r="C32540" s="5" t="str">
        <f>IFERROR(__xludf.DUMMYFUNCTION("GOOGLETRANSLATE(B32540,""en"",""es-ES"")"),"Un hombre pone su mano sobre el hombro de la mujer y la guía a la apertura donde se va, pero aparece una pantalla azul con las palabras blancas, dicen ""sí"", luego vuelve a que la mujer se prepare para saltar y dobla las rodillas Y aparece una pantalla a"&amp;"zul y dice ""No"", y ella sacude la cabeza y retrocede.")</f>
        <v>Un hombre pone su mano sobre el hombro de la mujer y la guía a la apertura donde se va, pero aparece una pantalla azul con las palabras blancas, dicen "sí", luego vuelve a que la mujer se prepare para saltar y dobla las rodillas Y aparece una pantalla azul y dice "No", y ella sacude la cabeza y retrocede.</v>
      </c>
    </row>
    <row r="32541">
      <c r="A32541" s="4" t="s">
        <v>40962</v>
      </c>
      <c r="B32541" s="4" t="s">
        <v>40966</v>
      </c>
      <c r="C32541" s="5" t="str">
        <f>IFERROR(__xludf.DUMMYFUNCTION("GOOGLETRANSLATE(B32541,""en"",""es-ES"")"),"Una pantalla azul aparece nuevamente y dice ""Ok, tal vez"" y la mujer una vez más se prepara para saltar a la abertura y al mismo tiempo el otro hombre que está unido al arnés también está lista para funcionar.")</f>
        <v>Una pantalla azul aparece nuevamente y dice "Ok, tal vez" y la mujer una vez más se prepara para saltar a la abertura y al mismo tiempo el otro hombre que está unido al arnés también está lista para funcionar.</v>
      </c>
    </row>
    <row r="32542">
      <c r="A32542" s="4" t="s">
        <v>40962</v>
      </c>
      <c r="B32542" s="4" t="s">
        <v>40967</v>
      </c>
      <c r="C32542" s="5" t="str">
        <f>IFERROR(__xludf.DUMMYFUNCTION("GOOGLETRANSLATE(B32542,""en"",""es-ES"")"),"Una pantalla azul aparece que, por ejemplo, ""no"", pero la mujer y el hombre lo dejan ir y van con cremallera en el bosque verde del árbol de árboles debajo y una pantalla azul aparece nuevamente y dice ""Creo que dijo que sí?"".")</f>
        <v>Una pantalla azul aparece que, por ejemplo, "no", pero la mujer y el hombre lo dejan ir y van con cremallera en el bosque verde del árbol de árboles debajo y una pantalla azul aparece nuevamente y dice "Creo que dijo que sí?".</v>
      </c>
    </row>
    <row r="32543">
      <c r="A32543" s="4" t="s">
        <v>40962</v>
      </c>
      <c r="B32543" s="4" t="s">
        <v>40968</v>
      </c>
      <c r="C32543" s="5" t="str">
        <f>IFERROR(__xludf.DUMMYFUNCTION("GOOGLETRANSLATE(B32543,""en"",""es-ES"")"),"Ahora se aprovecha un nuevo grupo y se filman tomando sus turnos para bajar por la tirolesa y el hombre que sostiene la cámara se vuelve a sí mismo para revelar una toma de cerca de su cara sonriente, así como el paisaje a su alrededor que incluye el bosq"&amp;"ue de abajo. ellos y la playa en el punto final.")</f>
        <v>Ahora se aprovecha un nuevo grupo y se filman tomando sus turnos para bajar por la tirolesa y el hombre que sostiene la cámara se vuelve a sí mismo para revelar una toma de cerca de su cara sonriente, así como el paisaje a su alrededor que incluye el bosque de abajo. ellos y la playa en el punto final.</v>
      </c>
    </row>
    <row r="32544">
      <c r="A32544" s="4" t="s">
        <v>40962</v>
      </c>
      <c r="B32544" s="4" t="s">
        <v>40969</v>
      </c>
      <c r="C32544" s="5" t="str">
        <f>IFERROR(__xludf.DUMMYFUNCTION("GOOGLETRANSLATE(B32544,""en"",""es-ES"")"),"Llegan al final de la tirolesa y el trabajador comienza a llevarlos al punto de aterrizaje donde aparece un primer plano del trabajador y él también tiene una gran sonrisa en su rostro mientras él otros revestimientos están parados allí y sonriendo tambié"&amp;"n.")</f>
        <v>Llegan al final de la tirolesa y el trabajador comienza a llevarlos al punto de aterrizaje donde aparece un primer plano del trabajador y él también tiene una gran sonrisa en su rostro mientras él otros revestimientos están parados allí y sonriendo también.</v>
      </c>
    </row>
    <row r="32545">
      <c r="A32545" s="4" t="s">
        <v>40962</v>
      </c>
      <c r="B32545" s="4" t="s">
        <v>40970</v>
      </c>
      <c r="C32545" s="5" t="str">
        <f>IFERROR(__xludf.DUMMYFUNCTION("GOOGLETRANSLATE(B32545,""en"",""es-ES"")"),"La vista cambia a la vista del suelo y muestra cómo se ven los revestimientos con cremallera desde el suelo.")</f>
        <v>La vista cambia a la vista del suelo y muestra cómo se ven los revestimientos con cremallera desde el suelo.</v>
      </c>
    </row>
    <row r="32546">
      <c r="A32546" s="4" t="s">
        <v>40962</v>
      </c>
      <c r="B32546" s="4" t="s">
        <v>40971</v>
      </c>
      <c r="C32546" s="5" t="str">
        <f>IFERROR(__xludf.DUMMYFUNCTION("GOOGLETRANSLATE(B32546,""en"",""es-ES"")"),"Aparece el outro azul y se muestran las palabras ""Sentosa Megazip Noviembre de 2010 The End"".")</f>
        <v>Aparece el outro azul y se muestran las palabras "Sentosa Megazip Noviembre de 2010 The End".</v>
      </c>
    </row>
    <row r="32547">
      <c r="A32547" s="4" t="s">
        <v>40972</v>
      </c>
      <c r="B32547" s="4" t="s">
        <v>40973</v>
      </c>
      <c r="C32547" s="5" t="str">
        <f>IFERROR(__xludf.DUMMYFUNCTION("GOOGLETRANSLATE(B32547,""en"",""es-ES"")"),"Un joven macho vestido con un mono rojo está en el escenario bailando.")</f>
        <v>Un joven macho vestido con un mono rojo está en el escenario bailando.</v>
      </c>
    </row>
    <row r="32548">
      <c r="A32548" s="4" t="s">
        <v>40972</v>
      </c>
      <c r="B32548" s="4" t="s">
        <v>40974</v>
      </c>
      <c r="C32548" s="5" t="str">
        <f>IFERROR(__xludf.DUMMYFUNCTION("GOOGLETRANSLATE(B32548,""en"",""es-ES"")"),"Una vez que ha terminado, un grupo de chicos lo invade y todos señalan a otro niño para que pueda subir al escenario.")</f>
        <v>Una vez que ha terminado, un grupo de chicos lo invade y todos señalan a otro niño para que pueda subir al escenario.</v>
      </c>
    </row>
    <row r="32549">
      <c r="A32549" s="4" t="s">
        <v>40972</v>
      </c>
      <c r="B32549" s="4" t="s">
        <v>40975</v>
      </c>
      <c r="C32549" s="5" t="str">
        <f>IFERROR(__xludf.DUMMYFUNCTION("GOOGLETRANSLATE(B32549,""en"",""es-ES"")"),"El niño llega y comienza a voltear y hacer una variación del robot.")</f>
        <v>El niño llega y comienza a voltear y hacer una variación del robot.</v>
      </c>
    </row>
    <row r="32550">
      <c r="A32550" s="4" t="s">
        <v>40972</v>
      </c>
      <c r="B32550" s="4" t="s">
        <v>40976</v>
      </c>
      <c r="C32550" s="5" t="str">
        <f>IFERROR(__xludf.DUMMYFUNCTION("GOOGLETRANSLATE(B32550,""en"",""es-ES"")"),"Todos los hombres detrás de él se convierten en sus bailarines de fondo cuando el niño toma un micrófono y comienza a cantar.")</f>
        <v>Todos los hombres detrás de él se convierten en sus bailarines de fondo cuando el niño toma un micrófono y comienza a cantar.</v>
      </c>
    </row>
    <row r="32551">
      <c r="A32551" s="4" t="s">
        <v>40977</v>
      </c>
      <c r="B32551" s="4" t="s">
        <v>40978</v>
      </c>
      <c r="C32551" s="5" t="str">
        <f>IFERROR(__xludf.DUMMYFUNCTION("GOOGLETRANSLATE(B32551,""en"",""es-ES"")"),"Vemos las tarjetas de título en azul.")</f>
        <v>Vemos las tarjetas de título en azul.</v>
      </c>
    </row>
    <row r="32552">
      <c r="A32552" s="4" t="s">
        <v>40977</v>
      </c>
      <c r="B32552" s="4" t="s">
        <v>40979</v>
      </c>
      <c r="C32552" s="5" t="str">
        <f>IFERROR(__xludf.DUMMYFUNCTION("GOOGLETRANSLATE(B32552,""en"",""es-ES"")"),"Vemos hombres jugando voleibol de playa.")</f>
        <v>Vemos hombres jugando voleibol de playa.</v>
      </c>
    </row>
    <row r="32553">
      <c r="A32553" s="4" t="s">
        <v>40977</v>
      </c>
      <c r="B32553" s="4" t="s">
        <v>40980</v>
      </c>
      <c r="C32553" s="5" t="str">
        <f>IFERROR(__xludf.DUMMYFUNCTION("GOOGLETRANSLATE(B32553,""en"",""es-ES"")"),"Vemos una entrevista con un hombre.")</f>
        <v>Vemos una entrevista con un hombre.</v>
      </c>
    </row>
    <row r="32554">
      <c r="A32554" s="4" t="s">
        <v>40977</v>
      </c>
      <c r="B32554" s="4" t="s">
        <v>40981</v>
      </c>
      <c r="C32554" s="5" t="str">
        <f>IFERROR(__xludf.DUMMYFUNCTION("GOOGLETRANSLATE(B32554,""en"",""es-ES"")"),"Dos hombres se encuentran en cinco, todos los hombres intercambian lados.")</f>
        <v>Dos hombres se encuentran en cinco, todos los hombres intercambian lados.</v>
      </c>
    </row>
    <row r="32555">
      <c r="A32555" s="4" t="s">
        <v>40977</v>
      </c>
      <c r="B32555" s="4" t="s">
        <v>40982</v>
      </c>
      <c r="C32555" s="5" t="str">
        <f>IFERROR(__xludf.DUMMYFUNCTION("GOOGLETRANSLATE(B32555,""en"",""es-ES"")"),"La pelota aterriza en el suelo.")</f>
        <v>La pelota aterriza en el suelo.</v>
      </c>
    </row>
    <row r="32556">
      <c r="A32556" s="4" t="s">
        <v>40977</v>
      </c>
      <c r="B32556" s="4" t="s">
        <v>40983</v>
      </c>
      <c r="C32556" s="5" t="str">
        <f>IFERROR(__xludf.DUMMYFUNCTION("GOOGLETRANSLATE(B32556,""en"",""es-ES"")"),"Un hombre patea la pelota al otro lado.")</f>
        <v>Un hombre patea la pelota al otro lado.</v>
      </c>
    </row>
    <row r="32557">
      <c r="A32557" s="4" t="s">
        <v>40977</v>
      </c>
      <c r="B32557" s="4" t="s">
        <v>40984</v>
      </c>
      <c r="C32557" s="5" t="str">
        <f>IFERROR(__xludf.DUMMYFUNCTION("GOOGLETRANSLATE(B32557,""en"",""es-ES"")"),"Un hombre salta y gira en el aire.")</f>
        <v>Un hombre salta y gira en el aire.</v>
      </c>
    </row>
    <row r="32558">
      <c r="A32558" s="4" t="s">
        <v>40977</v>
      </c>
      <c r="B32558" s="4" t="s">
        <v>40985</v>
      </c>
      <c r="C32558" s="5" t="str">
        <f>IFERROR(__xludf.DUMMYFUNCTION("GOOGLETRANSLATE(B32558,""en"",""es-ES"")"),"El hombre con clavos grises mientras los otros hombres saltan.")</f>
        <v>El hombre con clavos grises mientras los otros hombres saltan.</v>
      </c>
    </row>
    <row r="32559">
      <c r="A32559" s="4" t="s">
        <v>40977</v>
      </c>
      <c r="B32559" s="4" t="s">
        <v>40986</v>
      </c>
      <c r="C32559" s="5" t="str">
        <f>IFERROR(__xludf.DUMMYFUNCTION("GOOGLETRANSLATE(B32559,""en"",""es-ES"")"),"Los hombres posan para una foto.")</f>
        <v>Los hombres posan para una foto.</v>
      </c>
    </row>
    <row r="32560">
      <c r="A32560" s="4" t="s">
        <v>40977</v>
      </c>
      <c r="B32560" s="4" t="s">
        <v>40987</v>
      </c>
      <c r="C32560" s="5" t="str">
        <f>IFERROR(__xludf.DUMMYFUNCTION("GOOGLETRANSLATE(B32560,""en"",""es-ES"")"),"Se muestra la tarjeta de título y nos desvanecemos.")</f>
        <v>Se muestra la tarjeta de título y nos desvanecemos.</v>
      </c>
    </row>
    <row r="32561">
      <c r="A32561" s="4" t="s">
        <v>40988</v>
      </c>
      <c r="B32561" s="4" t="s">
        <v>40989</v>
      </c>
      <c r="C32561" s="5" t="str">
        <f>IFERROR(__xludf.DUMMYFUNCTION("GOOGLETRANSLATE(B32561,""en"",""es-ES"")"),"Se muestra un clip de un antiguo programa de televisión con una mujer lavando los platos y una niña que entran en el marco.")</f>
        <v>Se muestra un clip de un antiguo programa de televisión con una mujer lavando los platos y una niña que entran en el marco.</v>
      </c>
    </row>
    <row r="32562">
      <c r="A32562" s="4" t="s">
        <v>40988</v>
      </c>
      <c r="B32562" s="4" t="s">
        <v>40990</v>
      </c>
      <c r="C32562" s="5" t="str">
        <f>IFERROR(__xludf.DUMMYFUNCTION("GOOGLETRANSLATE(B32562,""en"",""es-ES"")"),"La mujer le da a la niña un vaso de agua y se muestra nuevamente en varios ángulos, terminando con una mujer lavando la ropa.")</f>
        <v>La mujer le da a la niña un vaso de agua y se muestra nuevamente en varios ángulos, terminando con una mujer lavando la ropa.</v>
      </c>
    </row>
    <row r="32563">
      <c r="A32563" s="4" t="s">
        <v>40991</v>
      </c>
      <c r="B32563" s="4" t="s">
        <v>40992</v>
      </c>
      <c r="C32563" s="5" t="str">
        <f>IFERROR(__xludf.DUMMYFUNCTION("GOOGLETRANSLATE(B32563,""en"",""es-ES"")"),"Se ve a un niño pequeño parado en la acera y mirando a lo lejos.")</f>
        <v>Se ve a un niño pequeño parado en la acera y mirando a lo lejos.</v>
      </c>
    </row>
    <row r="32564">
      <c r="A32564" s="4" t="s">
        <v>40991</v>
      </c>
      <c r="B32564" s="4" t="s">
        <v>40993</v>
      </c>
      <c r="C32564" s="5" t="str">
        <f>IFERROR(__xludf.DUMMYFUNCTION("GOOGLETRANSLATE(B32564,""en"",""es-ES"")"),"La niña luego tira la roca y comienza a jugar un juego de rayos de láminas.")</f>
        <v>La niña luego tira la roca y comienza a jugar un juego de rayos de láminas.</v>
      </c>
    </row>
    <row r="32565">
      <c r="A32565" s="4" t="s">
        <v>40991</v>
      </c>
      <c r="B32565" s="4" t="s">
        <v>40994</v>
      </c>
      <c r="C32565" s="5" t="str">
        <f>IFERROR(__xludf.DUMMYFUNCTION("GOOGLETRANSLATE(B32565,""en"",""es-ES"")"),"Ella lanza y salta varias veces mientras se detiene para mirar a la cámara.")</f>
        <v>Ella lanza y salta varias veces mientras se detiene para mirar a la cámara.</v>
      </c>
    </row>
    <row r="32566">
      <c r="A32566" s="4" t="s">
        <v>40995</v>
      </c>
      <c r="B32566" s="4" t="s">
        <v>40996</v>
      </c>
      <c r="C32566" s="5" t="str">
        <f>IFERROR(__xludf.DUMMYFUNCTION("GOOGLETRANSLATE(B32566,""en"",""es-ES"")"),"Un locutor de televisión aplaude en sus piernas mientras canta presentaba un programa.")</f>
        <v>Un locutor de televisión aplaude en sus piernas mientras canta presentaba un programa.</v>
      </c>
    </row>
    <row r="32567">
      <c r="A32567" s="4" t="s">
        <v>40995</v>
      </c>
      <c r="B32567" s="4" t="s">
        <v>40997</v>
      </c>
      <c r="C32567" s="5" t="str">
        <f>IFERROR(__xludf.DUMMYFUNCTION("GOOGLETRANSLATE(B32567,""en"",""es-ES"")"),"Un grupo de bailarines con trajes coloridos hace un acto de baile con Hula Hoops.")</f>
        <v>Un grupo de bailarines con trajes coloridos hace un acto de baile con Hula Hoops.</v>
      </c>
    </row>
    <row r="32568">
      <c r="A32568" s="4" t="s">
        <v>40995</v>
      </c>
      <c r="B32568" s="4" t="s">
        <v>40998</v>
      </c>
      <c r="C32568" s="5" t="str">
        <f>IFERROR(__xludf.DUMMYFUNCTION("GOOGLETRANSLATE(B32568,""en"",""es-ES"")"),"Se ve a la audiencia y los miembros aplauden para el grupo.")</f>
        <v>Se ve a la audiencia y los miembros aplauden para el grupo.</v>
      </c>
    </row>
    <row r="32569">
      <c r="A32569" s="4" t="s">
        <v>40995</v>
      </c>
      <c r="B32569" s="4" t="s">
        <v>40999</v>
      </c>
      <c r="C32569" s="5" t="str">
        <f>IFERROR(__xludf.DUMMYFUNCTION("GOOGLETRANSLATE(B32569,""en"",""es-ES"")"),"Los miembros mayores del grupo sostienen postes para los niños que bailan.")</f>
        <v>Los miembros mayores del grupo sostienen postes para los niños que bailan.</v>
      </c>
    </row>
    <row r="32570">
      <c r="A32570" s="4" t="s">
        <v>40995</v>
      </c>
      <c r="B32570" s="4" t="s">
        <v>41000</v>
      </c>
      <c r="C32570" s="5" t="str">
        <f>IFERROR(__xludf.DUMMYFUNCTION("GOOGLETRANSLATE(B32570,""en"",""es-ES"")"),"Los bailarines de hula hoop obtienen aún más aros para el final.")</f>
        <v>Los bailarines de hula hoop obtienen aún más aros para el final.</v>
      </c>
    </row>
    <row r="32571">
      <c r="A32571" s="4" t="s">
        <v>40995</v>
      </c>
      <c r="B32571" s="4" t="s">
        <v>41001</v>
      </c>
      <c r="C32571" s="5" t="str">
        <f>IFERROR(__xludf.DUMMYFUNCTION("GOOGLETRANSLATE(B32571,""en"",""es-ES"")"),"Confeti llueve desde el aire hacia los artistas.")</f>
        <v>Confeti llueve desde el aire hacia los artistas.</v>
      </c>
    </row>
    <row r="32572">
      <c r="A32572" s="4" t="s">
        <v>40995</v>
      </c>
      <c r="B32572" s="4" t="s">
        <v>41002</v>
      </c>
      <c r="C32572" s="5" t="str">
        <f>IFERROR(__xludf.DUMMYFUNCTION("GOOGLETRANSLATE(B32572,""en"",""es-ES"")"),"El locutor se levanta y aplaude para el grupo.")</f>
        <v>El locutor se levanta y aplaude para el grupo.</v>
      </c>
    </row>
    <row r="32573">
      <c r="A32573" s="4" t="s">
        <v>41003</v>
      </c>
      <c r="B32573" s="4" t="s">
        <v>41004</v>
      </c>
      <c r="C32573" s="5" t="str">
        <f>IFERROR(__xludf.DUMMYFUNCTION("GOOGLETRANSLATE(B32573,""en"",""es-ES"")"),"Un hombre se sienta con tijeras descansando en la mano en un jardín de rosas.")</f>
        <v>Un hombre se sienta con tijeras descansando en la mano en un jardín de rosas.</v>
      </c>
    </row>
    <row r="32574">
      <c r="A32574" s="4" t="s">
        <v>41003</v>
      </c>
      <c r="B32574" s="4" t="s">
        <v>41005</v>
      </c>
      <c r="C32574" s="5" t="str">
        <f>IFERROR(__xludf.DUMMYFUNCTION("GOOGLETRANSLATE(B32574,""en"",""es-ES"")"),"El hombre recorta rosas muertas de un rosal con tijeras.")</f>
        <v>El hombre recorta rosas muertas de un rosal con tijeras.</v>
      </c>
    </row>
    <row r="32575">
      <c r="A32575" s="4" t="s">
        <v>41003</v>
      </c>
      <c r="B32575" s="4" t="s">
        <v>41006</v>
      </c>
      <c r="C32575" s="5" t="str">
        <f>IFERROR(__xludf.DUMMYFUNCTION("GOOGLETRANSLATE(B32575,""en"",""es-ES"")"),"El hombre recorta ramas enteras cerca de la base de los rosales.")</f>
        <v>El hombre recorta ramas enteras cerca de la base de los rosales.</v>
      </c>
    </row>
    <row r="32576">
      <c r="A32576" s="4" t="s">
        <v>41003</v>
      </c>
      <c r="B32576" s="4" t="s">
        <v>41007</v>
      </c>
      <c r="C32576" s="5" t="str">
        <f>IFERROR(__xludf.DUMMYFUNCTION("GOOGLETRANSLATE(B32576,""en"",""es-ES"")"),"El rosal moribundo deja un vista de cerca.")</f>
        <v>El rosal moribundo deja un vista de cerca.</v>
      </c>
    </row>
    <row r="32577">
      <c r="A32577" s="4" t="s">
        <v>41003</v>
      </c>
      <c r="B32577" s="4" t="s">
        <v>41008</v>
      </c>
      <c r="C32577" s="5" t="str">
        <f>IFERROR(__xludf.DUMMYFUNCTION("GOOGLETRANSLATE(B32577,""en"",""es-ES"")"),"Las hojas saludables de rosal se ven de cerca.")</f>
        <v>Las hojas saludables de rosal se ven de cerca.</v>
      </c>
    </row>
    <row r="32578">
      <c r="A32578" s="4" t="s">
        <v>41009</v>
      </c>
      <c r="B32578" s="4" t="s">
        <v>41010</v>
      </c>
      <c r="C32578" s="5" t="str">
        <f>IFERROR(__xludf.DUMMYFUNCTION("GOOGLETRANSLATE(B32578,""en"",""es-ES"")"),"Se muestran varias fotos de una mujer que se encuentra solo con amigos.")</f>
        <v>Se muestran varias fotos de una mujer que se encuentra solo con amigos.</v>
      </c>
    </row>
    <row r="32579">
      <c r="A32579" s="4" t="s">
        <v>41009</v>
      </c>
      <c r="B32579" s="4" t="s">
        <v>41011</v>
      </c>
      <c r="C32579" s="5" t="str">
        <f>IFERROR(__xludf.DUMMYFUNCTION("GOOGLETRANSLATE(B32579,""en"",""es-ES"")"),"Luego se muestran imágenes de video de ella corriendo junto a un gran grupo de personas, mientras que muchas miran a los lados.")</f>
        <v>Luego se muestran imágenes de video de ella corriendo junto a un gran grupo de personas, mientras que muchas miran a los lados.</v>
      </c>
    </row>
    <row r="32580">
      <c r="A32580" s="4" t="s">
        <v>41009</v>
      </c>
      <c r="B32580" s="4" t="s">
        <v>41012</v>
      </c>
      <c r="C32580" s="5" t="str">
        <f>IFERROR(__xludf.DUMMYFUNCTION("GOOGLETRANSLATE(B32580,""en"",""es-ES"")"),"Se muestran más imágenes de ella terminando la carrera y otras.")</f>
        <v>Se muestran más imágenes de ella terminando la carrera y otras.</v>
      </c>
    </row>
    <row r="32581">
      <c r="A32581" s="4" t="s">
        <v>41013</v>
      </c>
      <c r="B32581" s="4" t="s">
        <v>41014</v>
      </c>
      <c r="C32581" s="5" t="str">
        <f>IFERROR(__xludf.DUMMYFUNCTION("GOOGLETRANSLATE(B32581,""en"",""es-ES"")"),"Un hombre con un saxafón alrededor de su cuello habla con la cámara en una habitación tenue.")</f>
        <v>Un hombre con un saxafón alrededor de su cuello habla con la cámara en una habitación tenue.</v>
      </c>
    </row>
    <row r="32582">
      <c r="A32582" s="4" t="s">
        <v>41013</v>
      </c>
      <c r="B32582" s="4" t="s">
        <v>41015</v>
      </c>
      <c r="C32582" s="5" t="str">
        <f>IFERROR(__xludf.DUMMYFUNCTION("GOOGLETRANSLATE(B32582,""en"",""es-ES"")"),"La cámara cambia como una caja girando.")</f>
        <v>La cámara cambia como una caja girando.</v>
      </c>
    </row>
    <row r="32583">
      <c r="A32583" s="4" t="s">
        <v>41013</v>
      </c>
      <c r="B32583" s="4" t="s">
        <v>41016</v>
      </c>
      <c r="C32583" s="5" t="str">
        <f>IFERROR(__xludf.DUMMYFUNCTION("GOOGLETRANSLATE(B32583,""en"",""es-ES"")"),"El hombre mira a su alrededor y luego está jugando su saxofón.")</f>
        <v>El hombre mira a su alrededor y luego está jugando su saxofón.</v>
      </c>
    </row>
    <row r="32584">
      <c r="A32584" s="4" t="s">
        <v>41013</v>
      </c>
      <c r="B32584" s="4" t="s">
        <v>41017</v>
      </c>
      <c r="C32584" s="5" t="str">
        <f>IFERROR(__xludf.DUMMYFUNCTION("GOOGLETRANSLATE(B32584,""en"",""es-ES"")"),"Un sitio web Una persona en la pantalla en la esquina inferior izquierda y la pantalla se desvanece.")</f>
        <v>Un sitio web Una persona en la pantalla en la esquina inferior izquierda y la pantalla se desvanece.</v>
      </c>
    </row>
    <row r="32585">
      <c r="A32585" s="4" t="s">
        <v>41018</v>
      </c>
      <c r="B32585" s="4" t="s">
        <v>41019</v>
      </c>
      <c r="C32585" s="5" t="str">
        <f>IFERROR(__xludf.DUMMYFUNCTION("GOOGLETRANSLATE(B32585,""en"",""es-ES"")"),"Se muestra la parte delantera de un gran edificio marrón con nieve en frente.")</f>
        <v>Se muestra la parte delantera de un gran edificio marrón con nieve en frente.</v>
      </c>
    </row>
    <row r="32586">
      <c r="A32586" s="4" t="s">
        <v>41018</v>
      </c>
      <c r="B32586" s="4" t="s">
        <v>41020</v>
      </c>
      <c r="C32586" s="5" t="str">
        <f>IFERROR(__xludf.DUMMYFUNCTION("GOOGLETRANSLATE(B32586,""en"",""es-ES"")"),"En el interior, hay una mesa de ping pong y dos machos adultos comienzan a caminar entre sí.")</f>
        <v>En el interior, hay una mesa de ping pong y dos machos adultos comienzan a caminar entre sí.</v>
      </c>
    </row>
    <row r="32587">
      <c r="A32587" s="4" t="s">
        <v>41018</v>
      </c>
      <c r="B32587" s="4" t="s">
        <v>41021</v>
      </c>
      <c r="C32587" s="5" t="str">
        <f>IFERROR(__xludf.DUMMYFUNCTION("GOOGLETRANSLATE(B32587,""en"",""es-ES"")"),"Luego comienzan a jugar Ping Pong con monjas de monjas y a usar los pies para golpear la pelota.")</f>
        <v>Luego comienzan a jugar Ping Pong con monjas de monjas y a usar los pies para golpear la pelota.</v>
      </c>
    </row>
    <row r="32588">
      <c r="A32588" s="4" t="s">
        <v>41018</v>
      </c>
      <c r="B32588" s="4" t="s">
        <v>41022</v>
      </c>
      <c r="C32588" s="5" t="str">
        <f>IFERROR(__xludf.DUMMYFUNCTION("GOOGLETRANSLATE(B32588,""en"",""es-ES"")"),"A medida que avanza el juego, se agregan más bolas y continúan jugando sin perder una pelota.")</f>
        <v>A medida que avanza el juego, se agregan más bolas y continúan jugando sin perder una pelota.</v>
      </c>
    </row>
    <row r="32589">
      <c r="A32589" s="4" t="s">
        <v>41018</v>
      </c>
      <c r="B32589" s="4" t="s">
        <v>41023</v>
      </c>
      <c r="C32589" s="5" t="str">
        <f>IFERROR(__xludf.DUMMYFUNCTION("GOOGLETRANSLATE(B32589,""en"",""es-ES"")"),"El juego se intensifica y el hombre de la derecha pierde el balón y el hombre se felicita a sí mismo.")</f>
        <v>El juego se intensifica y el hombre de la derecha pierde el balón y el hombre se felicita a sí mismo.</v>
      </c>
    </row>
    <row r="32590">
      <c r="A32590" s="4" t="s">
        <v>41024</v>
      </c>
      <c r="B32590" s="4" t="s">
        <v>41025</v>
      </c>
      <c r="C32590" s="5" t="str">
        <f>IFERROR(__xludf.DUMMYFUNCTION("GOOGLETRANSLATE(B32590,""en"",""es-ES"")"),"Se ve a un gran grupo de personas corriendo alrededor de un campo jugando un juego de lacrosse entre sí.")</f>
        <v>Se ve a un gran grupo de personas corriendo alrededor de un campo jugando un juego de lacrosse entre sí.</v>
      </c>
    </row>
    <row r="32591">
      <c r="A32591" s="4" t="s">
        <v>41024</v>
      </c>
      <c r="B32591" s="4" t="s">
        <v>41026</v>
      </c>
      <c r="C32591" s="5" t="str">
        <f>IFERROR(__xludf.DUMMYFUNCTION("GOOGLETRANSLATE(B32591,""en"",""es-ES"")"),"Los jugadores corren por el campo mientras la cámara captura sus movimientos.")</f>
        <v>Los jugadores corren por el campo mientras la cámara captura sus movimientos.</v>
      </c>
    </row>
    <row r="32592">
      <c r="A32592" s="4" t="s">
        <v>41024</v>
      </c>
      <c r="B32592" s="4" t="s">
        <v>41027</v>
      </c>
      <c r="C32592" s="5" t="str">
        <f>IFERROR(__xludf.DUMMYFUNCTION("GOOGLETRANSLATE(B32592,""en"",""es-ES"")"),"Los hombres continúan jugando unos a otros mientras la gente mira a un lado y los animan.")</f>
        <v>Los hombres continúan jugando unos a otros mientras la gente mira a un lado y los animan.</v>
      </c>
    </row>
    <row r="32593">
      <c r="A32593" s="4" t="s">
        <v>41028</v>
      </c>
      <c r="B32593" s="4" t="s">
        <v>41029</v>
      </c>
      <c r="C32593" s="5" t="str">
        <f>IFERROR(__xludf.DUMMYFUNCTION("GOOGLETRANSLATE(B32593,""en"",""es-ES"")"),"Un hombre está levantando un gran peso sobre su cabeza varias veces.")</f>
        <v>Un hombre está levantando un gran peso sobre su cabeza varias veces.</v>
      </c>
    </row>
    <row r="32594">
      <c r="A32594" s="4" t="s">
        <v>41028</v>
      </c>
      <c r="B32594" s="4" t="s">
        <v>41030</v>
      </c>
      <c r="C32594" s="5" t="str">
        <f>IFERROR(__xludf.DUMMYFUNCTION("GOOGLETRANSLATE(B32594,""en"",""es-ES"")"),"Una mujer camina frente a él.")</f>
        <v>Una mujer camina frente a él.</v>
      </c>
    </row>
    <row r="32595">
      <c r="A32595" s="4" t="s">
        <v>41028</v>
      </c>
      <c r="B32595" s="4" t="s">
        <v>41031</v>
      </c>
      <c r="C32595" s="5" t="str">
        <f>IFERROR(__xludf.DUMMYFUNCTION("GOOGLETRANSLATE(B32595,""en"",""es-ES"")"),"Un hombre con una camisa negra está detrás de él.")</f>
        <v>Un hombre con una camisa negra está detrás de él.</v>
      </c>
    </row>
    <row r="32596">
      <c r="A32596" s="4" t="s">
        <v>41028</v>
      </c>
      <c r="B32596" s="4" t="s">
        <v>33798</v>
      </c>
      <c r="C32596" s="5" t="str">
        <f>IFERROR(__xludf.DUMMYFUNCTION("GOOGLETRANSLATE(B32596,""en"",""es-ES"")"),"Las palabras vienen en la pantalla al final.")</f>
        <v>Las palabras vienen en la pantalla al final.</v>
      </c>
    </row>
    <row r="32597">
      <c r="A32597" s="4" t="s">
        <v>41032</v>
      </c>
      <c r="B32597" s="4" t="s">
        <v>41033</v>
      </c>
      <c r="C32597" s="5" t="str">
        <f>IFERROR(__xludf.DUMMYFUNCTION("GOOGLETRANSLATE(B32597,""en"",""es-ES"")"),"Una iluminación iluminada Jack-o-Lantern se enfoca.")</f>
        <v>Una iluminación iluminada Jack-o-Lantern se enfoca.</v>
      </c>
    </row>
    <row r="32598">
      <c r="A32598" s="4" t="s">
        <v>41032</v>
      </c>
      <c r="B32598" s="4" t="s">
        <v>41034</v>
      </c>
      <c r="C32598" s="5" t="str">
        <f>IFERROR(__xludf.DUMMYFUNCTION("GOOGLETRANSLATE(B32598,""en"",""es-ES"")"),"La Jack-O-Lantern se mueve hacia la cámara.")</f>
        <v>La Jack-O-Lantern se mueve hacia la cámara.</v>
      </c>
    </row>
    <row r="32599">
      <c r="A32599" s="4" t="s">
        <v>41032</v>
      </c>
      <c r="B32599" s="4" t="s">
        <v>41035</v>
      </c>
      <c r="C32599" s="5" t="str">
        <f>IFERROR(__xludf.DUMMYFUNCTION("GOOGLETRANSLATE(B32599,""en"",""es-ES"")"),"Una mujer joven está hablando muy animada frente a una pared blanca.")</f>
        <v>Una mujer joven está hablando muy animada frente a una pared blanca.</v>
      </c>
    </row>
    <row r="32600">
      <c r="A32600" s="4" t="s">
        <v>41032</v>
      </c>
      <c r="B32600" s="4" t="s">
        <v>41036</v>
      </c>
      <c r="C32600" s="5" t="str">
        <f>IFERROR(__xludf.DUMMYFUNCTION("GOOGLETRANSLATE(B32600,""en"",""es-ES"")"),"La mujer sostiene una pequeña calabaza en la mano mientras habla.")</f>
        <v>La mujer sostiene una pequeña calabaza en la mano mientras habla.</v>
      </c>
    </row>
    <row r="32601">
      <c r="A32601" s="4" t="s">
        <v>41032</v>
      </c>
      <c r="B32601" s="4" t="s">
        <v>41037</v>
      </c>
      <c r="C32601" s="5" t="str">
        <f>IFERROR(__xludf.DUMMYFUNCTION("GOOGLETRANSLATE(B32601,""en"",""es-ES"")"),"La mujer levanta un trozo de papel con algunas pegatinas.")</f>
        <v>La mujer levanta un trozo de papel con algunas pegatinas.</v>
      </c>
    </row>
    <row r="32602">
      <c r="A32602" s="4" t="s">
        <v>41032</v>
      </c>
      <c r="B32602" s="4" t="s">
        <v>41038</v>
      </c>
      <c r="C32602" s="5" t="str">
        <f>IFERROR(__xludf.DUMMYFUNCTION("GOOGLETRANSLATE(B32602,""en"",""es-ES"")"),"La calabaza se ve moviéndose por sí misma en una mesa con un mantel negro.")</f>
        <v>La calabaza se ve moviéndose por sí misma en una mesa con un mantel negro.</v>
      </c>
    </row>
    <row r="32603">
      <c r="A32603" s="4" t="s">
        <v>41032</v>
      </c>
      <c r="B32603" s="4" t="s">
        <v>41039</v>
      </c>
      <c r="C32603" s="5" t="str">
        <f>IFERROR(__xludf.DUMMYFUNCTION("GOOGLETRANSLATE(B32603,""en"",""es-ES"")"),"La calabaza gira mostrando algunas caras de dibujos animados.")</f>
        <v>La calabaza gira mostrando algunas caras de dibujos animados.</v>
      </c>
    </row>
    <row r="32604">
      <c r="A32604" s="4" t="s">
        <v>41032</v>
      </c>
      <c r="B32604" s="4" t="s">
        <v>41040</v>
      </c>
      <c r="C32604" s="5" t="str">
        <f>IFERROR(__xludf.DUMMYFUNCTION("GOOGLETRANSLATE(B32604,""en"",""es-ES"")"),"Una animación de un cuchillo apuñala la calabaza y un gato corre de un lado a otro al lado de la mesa.")</f>
        <v>Una animación de un cuchillo apuñala la calabaza y un gato corre de un lado a otro al lado de la mesa.</v>
      </c>
    </row>
    <row r="32605">
      <c r="A32605" s="4" t="s">
        <v>41032</v>
      </c>
      <c r="B32605" s="4" t="s">
        <v>41041</v>
      </c>
      <c r="C32605" s="5" t="str">
        <f>IFERROR(__xludf.DUMMYFUNCTION("GOOGLETRANSLATE(B32605,""en"",""es-ES"")"),"La calabaza se reemplaza con otros objetos uno a la vez, un cuchillo, una cuchara, una vela, etc.")</f>
        <v>La calabaza se reemplaza con otros objetos uno a la vez, un cuchillo, una cuchara, una vela, etc.</v>
      </c>
    </row>
    <row r="32606">
      <c r="A32606" s="4" t="s">
        <v>41032</v>
      </c>
      <c r="B32606" s="4" t="s">
        <v>41042</v>
      </c>
      <c r="C32606" s="5" t="str">
        <f>IFERROR(__xludf.DUMMYFUNCTION("GOOGLETRANSLATE(B32606,""en"",""es-ES"")"),"La mujer lleva una pegatina de bigote en su rostro y dibuja la pequeña calabaza con una pluma negra.")</f>
        <v>La mujer lleva una pegatina de bigote en su rostro y dibuja la pequeña calabaza con una pluma negra.</v>
      </c>
    </row>
    <row r="32607">
      <c r="A32607" s="4" t="s">
        <v>41032</v>
      </c>
      <c r="B32607" s="4" t="s">
        <v>41043</v>
      </c>
      <c r="C32607" s="5" t="str">
        <f>IFERROR(__xludf.DUMMYFUNCTION("GOOGLETRANSLATE(B32607,""en"",""es-ES"")"),"La mujer sostiene un cuchillo y comienza a tallar la calabaza a lo largo de las líneas que dibujó.")</f>
        <v>La mujer sostiene un cuchillo y comienza a tallar la calabaza a lo largo de las líneas que dibujó.</v>
      </c>
    </row>
    <row r="32608">
      <c r="A32608" s="4" t="s">
        <v>41032</v>
      </c>
      <c r="B32608" s="4" t="s">
        <v>41044</v>
      </c>
      <c r="C32608" s="5" t="str">
        <f>IFERROR(__xludf.DUMMYFUNCTION("GOOGLETRANSLATE(B32608,""en"",""es-ES"")"),"La mujer saca las semillas de calabaza con una cuchara y pone las semillas en una taza de papel temática de Halloween.")</f>
        <v>La mujer saca las semillas de calabaza con una cuchara y pone las semillas en una taza de papel temática de Halloween.</v>
      </c>
    </row>
    <row r="32609">
      <c r="A32609" s="4" t="s">
        <v>41032</v>
      </c>
      <c r="B32609" s="4" t="s">
        <v>41045</v>
      </c>
      <c r="C32609" s="5" t="str">
        <f>IFERROR(__xludf.DUMMYFUNCTION("GOOGLETRANSLATE(B32609,""en"",""es-ES"")"),"La mujer continúa talando la cara de la calabaza para convertirla en una linterna Jack-o.")</f>
        <v>La mujer continúa talando la cara de la calabaza para convertirla en una linterna Jack-o.</v>
      </c>
    </row>
    <row r="32610">
      <c r="A32610" s="4" t="s">
        <v>41032</v>
      </c>
      <c r="B32610" s="4" t="s">
        <v>41046</v>
      </c>
      <c r="C32610" s="5" t="str">
        <f>IFERROR(__xludf.DUMMYFUNCTION("GOOGLETRANSLATE(B32610,""en"",""es-ES"")"),"La mujer limpia la cara de la linterna Jack-o con una toalla y coloca la parte superior con el tallo.")</f>
        <v>La mujer limpia la cara de la linterna Jack-o con una toalla y coloca la parte superior con el tallo.</v>
      </c>
    </row>
    <row r="32611">
      <c r="A32611" s="4" t="s">
        <v>41032</v>
      </c>
      <c r="B32611" s="4" t="s">
        <v>41047</v>
      </c>
      <c r="C32611" s="5" t="str">
        <f>IFERROR(__xludf.DUMMYFUNCTION("GOOGLETRANSLATE(B32611,""en"",""es-ES"")"),"La mujer coloca la vela dentro de la linterna Jack-o.")</f>
        <v>La mujer coloca la vela dentro de la linterna Jack-o.</v>
      </c>
    </row>
    <row r="32612">
      <c r="A32612" s="4" t="s">
        <v>41032</v>
      </c>
      <c r="B32612" s="4" t="s">
        <v>41048</v>
      </c>
      <c r="C32612" s="5" t="str">
        <f>IFERROR(__xludf.DUMMYFUNCTION("GOOGLETRANSLATE(B32612,""en"",""es-ES"")"),"La mujer mueve un encendedor desechable.")</f>
        <v>La mujer mueve un encendedor desechable.</v>
      </c>
    </row>
    <row r="32613">
      <c r="A32613" s="4" t="s">
        <v>41032</v>
      </c>
      <c r="B32613" s="4" t="s">
        <v>41049</v>
      </c>
      <c r="C32613" s="5" t="str">
        <f>IFERROR(__xludf.DUMMYFUNCTION("GOOGLETRANSLATE(B32613,""en"",""es-ES"")"),"El iluminado Jack-o-Lantern se ve una vez más moviéndose en la mesa negra.")</f>
        <v>El iluminado Jack-o-Lantern se ve una vez más moviéndose en la mesa negra.</v>
      </c>
    </row>
    <row r="32614">
      <c r="A32614" s="4" t="s">
        <v>41032</v>
      </c>
      <c r="B32614" s="4" t="s">
        <v>41050</v>
      </c>
      <c r="C32614" s="5" t="str">
        <f>IFERROR(__xludf.DUMMYFUNCTION("GOOGLETRANSLATE(B32614,""en"",""es-ES"")"),"El video termina y muestra una pantalla dividida con muestras de otros tres videos que la mujer ha hecho, con un botón de ""suscripción"" en el medio.")</f>
        <v>El video termina y muestra una pantalla dividida con muestras de otros tres videos que la mujer ha hecho, con un botón de "suscripción" en el medio.</v>
      </c>
    </row>
    <row r="32615">
      <c r="A32615" s="4" t="s">
        <v>41051</v>
      </c>
      <c r="B32615" s="4" t="s">
        <v>41052</v>
      </c>
      <c r="C32615" s="5" t="str">
        <f>IFERROR(__xludf.DUMMYFUNCTION("GOOGLETRANSLATE(B32615,""en"",""es-ES"")"),"El hombre está sentado en un lavado de manos y otro hombre entra en el baño y comienza una conversación.")</f>
        <v>El hombre está sentado en un lavado de manos y otro hombre entra en el baño y comienza una conversación.</v>
      </c>
    </row>
    <row r="32616">
      <c r="A32616" s="4" t="s">
        <v>41051</v>
      </c>
      <c r="B32616" s="4" t="s">
        <v>41053</v>
      </c>
      <c r="C32616" s="5" t="str">
        <f>IFERROR(__xludf.DUMMYFUNCTION("GOOGLETRANSLATE(B32616,""en"",""es-ES"")"),"El hombre está extendiendo la pasta de dientes en el cepillo de dientes y se lave el diente.")</f>
        <v>El hombre está extendiendo la pasta de dientes en el cepillo de dientes y se lave el diente.</v>
      </c>
    </row>
    <row r="32617">
      <c r="A32617" s="4" t="s">
        <v>41054</v>
      </c>
      <c r="B32617" s="4" t="s">
        <v>41055</v>
      </c>
      <c r="C32617" s="5" t="str">
        <f>IFERROR(__xludf.DUMMYFUNCTION("GOOGLETRANSLATE(B32617,""en"",""es-ES"")"),"Un hombre rastrilla las hojas del patio hacia una pila y las tira en un contenedor de basura de metal.")</f>
        <v>Un hombre rastrilla las hojas del patio hacia una pila y las tira en un contenedor de basura de metal.</v>
      </c>
    </row>
    <row r="32618">
      <c r="A32618" s="4" t="s">
        <v>41054</v>
      </c>
      <c r="B32618" s="4" t="s">
        <v>41056</v>
      </c>
      <c r="C32618" s="5" t="str">
        <f>IFERROR(__xludf.DUMMYFUNCTION("GOOGLETRANSLATE(B32618,""en"",""es-ES"")"),"El hombre aleja sus herramientas en el cobertizo y lleva una bolsa de hojas.")</f>
        <v>El hombre aleja sus herramientas en el cobertizo y lleva una bolsa de hojas.</v>
      </c>
    </row>
    <row r="32619">
      <c r="A32619" s="4" t="s">
        <v>41057</v>
      </c>
      <c r="B32619" s="4" t="s">
        <v>41058</v>
      </c>
      <c r="C32619" s="5" t="str">
        <f>IFERROR(__xludf.DUMMYFUNCTION("GOOGLETRANSLATE(B32619,""en"",""es-ES"")"),"Un grupo de hombres y mujeres de varias edades está trabajando en máquinas de ejercicios elípticos.")</f>
        <v>Un grupo de hombres y mujeres de varias edades está trabajando en máquinas de ejercicios elípticos.</v>
      </c>
    </row>
    <row r="32620">
      <c r="A32620" s="4" t="s">
        <v>41057</v>
      </c>
      <c r="B32620" s="4" t="s">
        <v>41059</v>
      </c>
      <c r="C32620" s="5" t="str">
        <f>IFERROR(__xludf.DUMMYFUNCTION("GOOGLETRANSLATE(B32620,""en"",""es-ES"")"),"Un hombre, que usa solo resuelve pantalones cortos, las toallitas sudan de su marrón y se apoyan contra una pared.")</f>
        <v>Un hombre, que usa solo resuelve pantalones cortos, las toallitas sudan de su marrón y se apoyan contra una pared.</v>
      </c>
    </row>
    <row r="32621">
      <c r="A32621" s="4" t="s">
        <v>41057</v>
      </c>
      <c r="B32621" s="4" t="s">
        <v>41060</v>
      </c>
      <c r="C32621" s="5" t="str">
        <f>IFERROR(__xludf.DUMMYFUNCTION("GOOGLETRANSLATE(B32621,""en"",""es-ES"")"),"El cuerpo de una mujer en forma en un bikini blanco exhibe como mujer y un hombre con ropa de ejercicio aparece funcionando en máquinas elípticas.")</f>
        <v>El cuerpo de una mujer en forma en un bikini blanco exhibe como mujer y un hombre con ropa de ejercicio aparece funcionando en máquinas elípticas.</v>
      </c>
    </row>
    <row r="32622">
      <c r="A32622" s="4" t="s">
        <v>41057</v>
      </c>
      <c r="B32622" s="4" t="s">
        <v>41061</v>
      </c>
      <c r="C32622" s="5" t="str">
        <f>IFERROR(__xludf.DUMMYFUNCTION("GOOGLETRANSLATE(B32622,""en"",""es-ES"")"),"Luego, la mujer y el hombre aparecen vestidos con un atuendo informal completo antes de regresar a las máquinas elípticas en equipo de ejercicio, y andar en bicicleta hacia atrás y hacia adelante en las máquinas elípticas nuevamente y mostrar perfiles de "&amp;"ajuste tanto solo como en la máquina.")</f>
        <v>Luego, la mujer y el hombre aparecen vestidos con un atuendo informal completo antes de regresar a las máquinas elípticas en equipo de ejercicio, y andar en bicicleta hacia atrás y hacia adelante en las máquinas elípticas nuevamente y mostrar perfiles de ajuste tanto solo como en la máquina.</v>
      </c>
    </row>
    <row r="32623">
      <c r="A32623" s="4" t="s">
        <v>41062</v>
      </c>
      <c r="B32623" s="4" t="s">
        <v>41063</v>
      </c>
      <c r="C32623" s="5" t="str">
        <f>IFERROR(__xludf.DUMMYFUNCTION("GOOGLETRANSLATE(B32623,""en"",""es-ES"")"),"Un grupo de mujeres en un gran estudio lleva negro, están en formación, luego el hombre con chaleco negro y pantalones blancos caminó en el centro.")</f>
        <v>Un grupo de mujeres en un gran estudio lleva negro, están en formación, luego el hombre con chaleco negro y pantalones blancos caminó en el centro.</v>
      </c>
    </row>
    <row r="32624">
      <c r="A32624" s="4" t="s">
        <v>41062</v>
      </c>
      <c r="B32624" s="4" t="s">
        <v>41064</v>
      </c>
      <c r="C32624" s="5" t="str">
        <f>IFERROR(__xludf.DUMMYFUNCTION("GOOGLETRANSLATE(B32624,""en"",""es-ES"")"),"Las hembras y el hombre comenzaron a marchar, luego bailaron, bajando los brazos, luego hacia abajo y luego avanzan hacia atrás, hacia atrás, de lado, y se mueven de un lado a otro, también sacuden sus caderas y cuerpo.")</f>
        <v>Las hembras y el hombre comenzaron a marchar, luego bailaron, bajando los brazos, luego hacia abajo y luego avanzan hacia atrás, hacia atrás, de lado, y se mueven de un lado a otro, también sacuden sus caderas y cuerpo.</v>
      </c>
    </row>
    <row r="32625">
      <c r="A32625" s="4" t="s">
        <v>41065</v>
      </c>
      <c r="B32625" s="4" t="s">
        <v>41066</v>
      </c>
      <c r="C32625" s="5" t="str">
        <f>IFERROR(__xludf.DUMMYFUNCTION("GOOGLETRANSLATE(B32625,""en"",""es-ES"")"),"Varias mujeres están afuera en un escenario haciendo varios ejercicios y haciendo ejercicio como grupo.")</f>
        <v>Varias mujeres están afuera en un escenario haciendo varios ejercicios y haciendo ejercicio como grupo.</v>
      </c>
    </row>
    <row r="32626">
      <c r="A32626" s="4" t="s">
        <v>41065</v>
      </c>
      <c r="B32626" s="4" t="s">
        <v>41067</v>
      </c>
      <c r="C32626" s="5" t="str">
        <f>IFERROR(__xludf.DUMMYFUNCTION("GOOGLETRANSLATE(B32626,""en"",""es-ES"")"),"A medida que continúan, varias personas comienzan a caminar por el escenario y los miran actuar.")</f>
        <v>A medida que continúan, varias personas comienzan a caminar por el escenario y los miran actuar.</v>
      </c>
    </row>
    <row r="32627">
      <c r="A32627" s="4" t="s">
        <v>41065</v>
      </c>
      <c r="B32627" s="4" t="s">
        <v>41068</v>
      </c>
      <c r="C32627" s="5" t="str">
        <f>IFERROR(__xludf.DUMMYFUNCTION("GOOGLETRANSLATE(B32627,""en"",""es-ES"")"),"Los instructores continúan bailando y amplificando a los otros equipos para bailar y terminan aplaudiendo.")</f>
        <v>Los instructores continúan bailando y amplificando a los otros equipos para bailar y terminan aplaudiendo.</v>
      </c>
    </row>
    <row r="32628">
      <c r="A32628" s="4" t="s">
        <v>41069</v>
      </c>
      <c r="B32628" s="4" t="s">
        <v>41070</v>
      </c>
      <c r="C32628" s="5" t="str">
        <f>IFERROR(__xludf.DUMMYFUNCTION("GOOGLETRANSLATE(B32628,""en"",""es-ES"")"),"Instrucción sobre cómo trenzar tu cabello.")</f>
        <v>Instrucción sobre cómo trenzar tu cabello.</v>
      </c>
    </row>
    <row r="32629">
      <c r="A32629" s="4" t="s">
        <v>41069</v>
      </c>
      <c r="B32629" s="4" t="s">
        <v>41071</v>
      </c>
      <c r="C32629" s="5" t="str">
        <f>IFERROR(__xludf.DUMMYFUNCTION("GOOGLETRANSLATE(B32629,""en"",""es-ES"")"),"Una chica con una camiseta gris demuestra cómo trenzar tu cabello y muestra un proceso paso a paso.")</f>
        <v>Una chica con una camiseta gris demuestra cómo trenzar tu cabello y muestra un proceso paso a paso.</v>
      </c>
    </row>
    <row r="32630">
      <c r="A32630" s="4" t="s">
        <v>41069</v>
      </c>
      <c r="B32630" s="4" t="s">
        <v>41072</v>
      </c>
      <c r="C32630" s="5" t="str">
        <f>IFERROR(__xludf.DUMMYFUNCTION("GOOGLETRANSLATE(B32630,""en"",""es-ES"")"),"Algunos consejos se muestran impresos.")</f>
        <v>Algunos consejos se muestran impresos.</v>
      </c>
    </row>
    <row r="32631">
      <c r="A32631" s="4" t="s">
        <v>41069</v>
      </c>
      <c r="B32631" s="4" t="s">
        <v>41073</v>
      </c>
      <c r="C32631" s="5" t="str">
        <f>IFERROR(__xludf.DUMMYFUNCTION("GOOGLETRANSLATE(B32631,""en"",""es-ES"")"),"El estilista muestra el producto terminado mientras se viste con una tapa negra y gafas de sol.")</f>
        <v>El estilista muestra el producto terminado mientras se viste con una tapa negra y gafas de sol.</v>
      </c>
    </row>
    <row r="32632">
      <c r="A32632" s="4" t="s">
        <v>41074</v>
      </c>
      <c r="B32632" s="4" t="s">
        <v>41075</v>
      </c>
      <c r="C32632" s="5" t="str">
        <f>IFERROR(__xludf.DUMMYFUNCTION("GOOGLETRANSLATE(B32632,""en"",""es-ES"")"),"Algunas personas intentan surfear en un océano.")</f>
        <v>Algunas personas intentan surfear en un océano.</v>
      </c>
    </row>
    <row r="32633">
      <c r="A32633" s="4" t="s">
        <v>41074</v>
      </c>
      <c r="B32633" s="4" t="s">
        <v>41076</v>
      </c>
      <c r="C32633" s="5" t="str">
        <f>IFERROR(__xludf.DUMMYFUNCTION("GOOGLETRANSLATE(B32633,""en"",""es-ES"")"),"A veces caen, pero a menudo los surfistas hacen un gran trabajo.")</f>
        <v>A veces caen, pero a menudo los surfistas hacen un gran trabajo.</v>
      </c>
    </row>
    <row r="32634">
      <c r="A32634" s="4" t="s">
        <v>41077</v>
      </c>
      <c r="B32634" s="4" t="s">
        <v>41078</v>
      </c>
      <c r="C32634" s="5" t="str">
        <f>IFERROR(__xludf.DUMMYFUNCTION("GOOGLETRANSLATE(B32634,""en"",""es-ES"")"),"Un hombre está sentado en una silla de peluquería.")</f>
        <v>Un hombre está sentado en una silla de peluquería.</v>
      </c>
    </row>
    <row r="32635">
      <c r="A32635" s="4" t="s">
        <v>41077</v>
      </c>
      <c r="B32635" s="4" t="s">
        <v>41079</v>
      </c>
      <c r="C32635" s="5" t="str">
        <f>IFERROR(__xludf.DUMMYFUNCTION("GOOGLETRANSLATE(B32635,""en"",""es-ES"")"),"Otro hombre comienza a afeitarse los lados de su cabeza.")</f>
        <v>Otro hombre comienza a afeitarse los lados de su cabeza.</v>
      </c>
    </row>
    <row r="32636">
      <c r="A32636" s="4" t="s">
        <v>41077</v>
      </c>
      <c r="B32636" s="4" t="s">
        <v>41080</v>
      </c>
      <c r="C32636" s="5" t="str">
        <f>IFERROR(__xludf.DUMMYFUNCTION("GOOGLETRANSLATE(B32636,""en"",""es-ES"")"),"Sopla seca su cabello y lo estiliza.")</f>
        <v>Sopla seca su cabello y lo estiliza.</v>
      </c>
    </row>
    <row r="32637">
      <c r="A32637" s="4" t="s">
        <v>41077</v>
      </c>
      <c r="B32637" s="4" t="s">
        <v>41081</v>
      </c>
      <c r="C32637" s="5" t="str">
        <f>IFERROR(__xludf.DUMMYFUNCTION("GOOGLETRANSLATE(B32637,""en"",""es-ES"")"),"Él pone algo de gel en su cabello.")</f>
        <v>Él pone algo de gel en su cabello.</v>
      </c>
    </row>
    <row r="32638">
      <c r="A32638" s="4" t="s">
        <v>41082</v>
      </c>
      <c r="B32638" s="4" t="s">
        <v>41083</v>
      </c>
      <c r="C32638" s="5" t="str">
        <f>IFERROR(__xludf.DUMMYFUNCTION("GOOGLETRANSLATE(B32638,""en"",""es-ES"")"),"Una cámara se mueve alrededor de un lago y los árboles y conducen a personas que tiran de una cuerda.")</f>
        <v>Una cámara se mueve alrededor de un lago y los árboles y conducen a personas que tiran de una cuerda.</v>
      </c>
    </row>
    <row r="32639">
      <c r="A32639" s="4" t="s">
        <v>41082</v>
      </c>
      <c r="B32639" s="4" t="s">
        <v>41084</v>
      </c>
      <c r="C32639" s="5" t="str">
        <f>IFERROR(__xludf.DUMMYFUNCTION("GOOGLETRANSLATE(B32639,""en"",""es-ES"")"),"Un hombre ata la cuerda en su lugar y muestra varios clips de personas colgando de la cuerda y caminando.")</f>
        <v>Un hombre ata la cuerda en su lugar y muestra varios clips de personas colgando de la cuerda y caminando.</v>
      </c>
    </row>
    <row r="32640">
      <c r="A32640" s="4" t="s">
        <v>41082</v>
      </c>
      <c r="B32640" s="4" t="s">
        <v>41085</v>
      </c>
      <c r="C32640" s="5" t="str">
        <f>IFERROR(__xludf.DUMMYFUNCTION("GOOGLETRANSLATE(B32640,""en"",""es-ES"")"),"Se muestran más clips de personas que caminan por la cuerda, así como más paisajes.")</f>
        <v>Se muestran más clips de personas que caminan por la cuerda, así como más paisajes.</v>
      </c>
    </row>
    <row r="32641">
      <c r="A32641" s="4" t="s">
        <v>41086</v>
      </c>
      <c r="B32641" s="4" t="s">
        <v>41087</v>
      </c>
      <c r="C32641" s="5" t="str">
        <f>IFERROR(__xludf.DUMMYFUNCTION("GOOGLETRANSLATE(B32641,""en"",""es-ES"")"),"Una dama juega con su cabello.")</f>
        <v>Una dama juega con su cabello.</v>
      </c>
    </row>
    <row r="32642">
      <c r="A32642" s="4" t="s">
        <v>41086</v>
      </c>
      <c r="B32642" s="4" t="s">
        <v>4828</v>
      </c>
      <c r="C32642" s="5" t="str">
        <f>IFERROR(__xludf.DUMMYFUNCTION("GOOGLETRANSLATE(B32642,""en"",""es-ES"")"),"La señora se cepilla el cabello.")</f>
        <v>La señora se cepilla el cabello.</v>
      </c>
    </row>
    <row r="32643">
      <c r="A32643" s="4" t="s">
        <v>41086</v>
      </c>
      <c r="B32643" s="4" t="s">
        <v>41088</v>
      </c>
      <c r="C32643" s="5" t="str">
        <f>IFERROR(__xludf.DUMMYFUNCTION("GOOGLETRANSLATE(B32643,""en"",""es-ES"")"),"La señora cepilla el fondo de su cabello estirando su brazo hacia arriba, cepilla la parte superior que los extremos y termina.")</f>
        <v>La señora cepilla el fondo de su cabello estirando su brazo hacia arriba, cepilla la parte superior que los extremos y termina.</v>
      </c>
    </row>
    <row r="32644">
      <c r="A32644" s="4" t="s">
        <v>41089</v>
      </c>
      <c r="B32644" s="4" t="s">
        <v>41090</v>
      </c>
      <c r="C32644" s="5" t="str">
        <f>IFERROR(__xludf.DUMMYFUNCTION("GOOGLETRANSLATE(B32644,""en"",""es-ES"")"),"Un grupo de personas está en un gimnasio de la escuela secundaria.")</f>
        <v>Un grupo de personas está en un gimnasio de la escuela secundaria.</v>
      </c>
    </row>
    <row r="32645">
      <c r="A32645" s="4" t="s">
        <v>41089</v>
      </c>
      <c r="B32645" s="4" t="s">
        <v>41091</v>
      </c>
      <c r="C32645" s="5" t="str">
        <f>IFERROR(__xludf.DUMMYFUNCTION("GOOGLETRANSLATE(B32645,""en"",""es-ES"")"),"Los hombres están asociados con mujeres y se toman de la mano.")</f>
        <v>Los hombres están asociados con mujeres y se toman de la mano.</v>
      </c>
    </row>
    <row r="32646">
      <c r="A32646" s="4" t="s">
        <v>41089</v>
      </c>
      <c r="B32646" s="4" t="s">
        <v>41092</v>
      </c>
      <c r="C32646" s="5" t="str">
        <f>IFERROR(__xludf.DUMMYFUNCTION("GOOGLETRANSLATE(B32646,""en"",""es-ES"")"),"Ahora todos están bailando el mismo baile.")</f>
        <v>Ahora todos están bailando el mismo baile.</v>
      </c>
    </row>
    <row r="32647">
      <c r="A32647" s="4" t="s">
        <v>41089</v>
      </c>
      <c r="B32647" s="4" t="s">
        <v>41093</v>
      </c>
      <c r="C32647" s="5" t="str">
        <f>IFERROR(__xludf.DUMMYFUNCTION("GOOGLETRANSLATE(B32647,""en"",""es-ES"")"),"Parece ser una especie de baile de tango.")</f>
        <v>Parece ser una especie de baile de tango.</v>
      </c>
    </row>
    <row r="32648">
      <c r="A32648" s="4" t="s">
        <v>41089</v>
      </c>
      <c r="B32648" s="4" t="s">
        <v>41094</v>
      </c>
      <c r="C32648" s="5" t="str">
        <f>IFERROR(__xludf.DUMMYFUNCTION("GOOGLETRANSLATE(B32648,""en"",""es-ES"")"),"Los hombres están girando a las chicas alrededor de sus manos.")</f>
        <v>Los hombres están girando a las chicas alrededor de sus manos.</v>
      </c>
    </row>
    <row r="32649">
      <c r="A32649" s="4" t="s">
        <v>41089</v>
      </c>
      <c r="B32649" s="4" t="s">
        <v>41095</v>
      </c>
      <c r="C32649" s="5" t="str">
        <f>IFERROR(__xludf.DUMMYFUNCTION("GOOGLETRANSLATE(B32649,""en"",""es-ES"")"),"Los hombres lideran a las chicas en el baile.")</f>
        <v>Los hombres lideran a las chicas en el baile.</v>
      </c>
    </row>
    <row r="32650">
      <c r="A32650" s="4" t="s">
        <v>41089</v>
      </c>
      <c r="B32650" s="4" t="s">
        <v>41096</v>
      </c>
      <c r="C32650" s="5" t="str">
        <f>IFERROR(__xludf.DUMMYFUNCTION("GOOGLETRANSLATE(B32650,""en"",""es-ES"")"),"Las chicas están girando alrededor de los niños.")</f>
        <v>Las chicas están girando alrededor de los niños.</v>
      </c>
    </row>
    <row r="32651">
      <c r="A32651" s="4" t="s">
        <v>41089</v>
      </c>
      <c r="B32651" s="4" t="s">
        <v>41097</v>
      </c>
      <c r="C32651" s="5" t="str">
        <f>IFERROR(__xludf.DUMMYFUNCTION("GOOGLETRANSLATE(B32651,""en"",""es-ES"")"),"El baile continúa por muchos momentos más.")</f>
        <v>El baile continúa por muchos momentos más.</v>
      </c>
    </row>
    <row r="32652">
      <c r="A32652" s="4" t="s">
        <v>41089</v>
      </c>
      <c r="B32652" s="4" t="s">
        <v>41098</v>
      </c>
      <c r="C32652" s="5" t="str">
        <f>IFERROR(__xludf.DUMMYFUNCTION("GOOGLETRANSLATE(B32652,""en"",""es-ES"")"),"Las niñas y los niños se separan.")</f>
        <v>Las niñas y los niños se separan.</v>
      </c>
    </row>
    <row r="32653">
      <c r="A32653" s="4" t="s">
        <v>41089</v>
      </c>
      <c r="B32653" s="4" t="s">
        <v>41099</v>
      </c>
      <c r="C32653" s="5" t="str">
        <f>IFERROR(__xludf.DUMMYFUNCTION("GOOGLETRANSLATE(B32653,""en"",""es-ES"")"),"Las chicas giran bufandas, luego los chicos las recogen para terminar.")</f>
        <v>Las chicas giran bufandas, luego los chicos las recogen para terminar.</v>
      </c>
    </row>
    <row r="32654">
      <c r="A32654" s="4" t="s">
        <v>41100</v>
      </c>
      <c r="B32654" s="4" t="s">
        <v>41101</v>
      </c>
      <c r="C32654" s="5" t="str">
        <f>IFERROR(__xludf.DUMMYFUNCTION("GOOGLETRANSLATE(B32654,""en"",""es-ES"")"),"Vemos a un hombre con una camisa rosa arrojar una pelota en una taza en un juego de cerveza pong.")</f>
        <v>Vemos a un hombre con una camisa rosa arrojar una pelota en una taza en un juego de cerveza pong.</v>
      </c>
    </row>
    <row r="32655">
      <c r="A32655" s="4" t="s">
        <v>41100</v>
      </c>
      <c r="B32655" s="4" t="s">
        <v>41102</v>
      </c>
      <c r="C32655" s="5" t="str">
        <f>IFERROR(__xludf.DUMMYFUNCTION("GOOGLETRANSLATE(B32655,""en"",""es-ES"")"),"El hombre del equipo izquierdo saca la pelota de la copa.")</f>
        <v>El hombre del equipo izquierdo saca la pelota de la copa.</v>
      </c>
    </row>
    <row r="32656">
      <c r="A32656" s="4" t="s">
        <v>41100</v>
      </c>
      <c r="B32656" s="4" t="s">
        <v>41103</v>
      </c>
      <c r="C32656" s="5" t="str">
        <f>IFERROR(__xludf.DUMMYFUNCTION("GOOGLETRANSLATE(B32656,""en"",""es-ES"")"),"El hombre y las dos damas se ríen y animan, y él se convierte en una dama.")</f>
        <v>El hombre y las dos damas se ríen y animan, y él se convierte en una dama.</v>
      </c>
    </row>
    <row r="32657">
      <c r="A32657" s="4" t="s">
        <v>41100</v>
      </c>
      <c r="B32657" s="4" t="s">
        <v>41104</v>
      </c>
      <c r="C32657" s="5" t="str">
        <f>IFERROR(__xludf.DUMMYFUNCTION("GOOGLETRANSLATE(B32657,""en"",""es-ES"")"),"El hombre hace señales de mano.")</f>
        <v>El hombre hace señales de mano.</v>
      </c>
    </row>
    <row r="32658">
      <c r="A32658" s="4" t="s">
        <v>41105</v>
      </c>
      <c r="B32658" s="4" t="s">
        <v>41106</v>
      </c>
      <c r="C32658" s="5" t="str">
        <f>IFERROR(__xludf.DUMMYFUNCTION("GOOGLETRANSLATE(B32658,""en"",""es-ES"")"),"Hay un joven vestido con una camisa negra que daba vueltas en círculos para mostrar su cabello desde la parte delantera y trasera.")</f>
        <v>Hay un joven vestido con una camisa negra que daba vueltas en círculos para mostrar su cabello desde la parte delantera y trasera.</v>
      </c>
    </row>
    <row r="32659">
      <c r="A32659" s="4" t="s">
        <v>41105</v>
      </c>
      <c r="B32659" s="4" t="s">
        <v>41107</v>
      </c>
      <c r="C32659" s="5" t="str">
        <f>IFERROR(__xludf.DUMMYFUNCTION("GOOGLETRANSLATE(B32659,""en"",""es-ES"")"),"Luego toma una botella de spray y le rocía el cabello con agua y la combina.")</f>
        <v>Luego toma una botella de spray y le rocía el cabello con agua y la combina.</v>
      </c>
    </row>
    <row r="32660">
      <c r="A32660" s="4" t="s">
        <v>41105</v>
      </c>
      <c r="B32660" s="4" t="s">
        <v>41108</v>
      </c>
      <c r="C32660" s="5" t="str">
        <f>IFERROR(__xludf.DUMMYFUNCTION("GOOGLETRANSLATE(B32660,""en"",""es-ES"")"),"Luego toma una maquinilla de afeitar y comienza a afeitarse los lados y la parte posterior de su cabeza.")</f>
        <v>Luego toma una maquinilla de afeitar y comienza a afeitarse los lados y la parte posterior de su cabeza.</v>
      </c>
    </row>
    <row r="32661">
      <c r="A32661" s="4" t="s">
        <v>41105</v>
      </c>
      <c r="B32661" s="4" t="s">
        <v>41109</v>
      </c>
      <c r="C32661" s="5" t="str">
        <f>IFERROR(__xludf.DUMMYFUNCTION("GOOGLETRANSLATE(B32661,""en"",""es-ES"")"),"Toma un par de tijeras y comienza a recortar la parte superior del cabello.")</f>
        <v>Toma un par de tijeras y comienza a recortar la parte superior del cabello.</v>
      </c>
    </row>
    <row r="32662">
      <c r="A32662" s="4" t="s">
        <v>41105</v>
      </c>
      <c r="B32662" s="4" t="s">
        <v>41110</v>
      </c>
      <c r="C32662" s="5" t="str">
        <f>IFERROR(__xludf.DUMMYFUNCTION("GOOGLETRANSLATE(B32662,""en"",""es-ES"")"),"Utiliza un peine negro y unas tijeras para apuntarle el cabello.")</f>
        <v>Utiliza un peine negro y unas tijeras para apuntarle el cabello.</v>
      </c>
    </row>
    <row r="32663">
      <c r="A32663" s="4" t="s">
        <v>41105</v>
      </c>
      <c r="B32663" s="4" t="s">
        <v>41111</v>
      </c>
      <c r="C32663" s="5" t="str">
        <f>IFERROR(__xludf.DUMMYFUNCTION("GOOGLETRANSLATE(B32663,""en"",""es-ES"")"),"Sostiene el cabello en su mano mientras lo recorta.")</f>
        <v>Sostiene el cabello en su mano mientras lo recorta.</v>
      </c>
    </row>
    <row r="32664">
      <c r="A32664" s="4" t="s">
        <v>41105</v>
      </c>
      <c r="B32664" s="4" t="s">
        <v>41112</v>
      </c>
      <c r="C32664" s="5" t="str">
        <f>IFERROR(__xludf.DUMMYFUNCTION("GOOGLETRANSLATE(B32664,""en"",""es-ES"")"),"Él toma la maquinilla de afeitar nuevamente y afeita los lados.")</f>
        <v>Él toma la maquinilla de afeitar nuevamente y afeita los lados.</v>
      </c>
    </row>
    <row r="32665">
      <c r="A32665" s="4" t="s">
        <v>41105</v>
      </c>
      <c r="B32665" s="4" t="s">
        <v>41113</v>
      </c>
      <c r="C32665" s="5" t="str">
        <f>IFERROR(__xludf.DUMMYFUNCTION("GOOGLETRANSLATE(B32665,""en"",""es-ES"")"),"Él también toma las tijeras y le recorta el cabello.")</f>
        <v>Él también toma las tijeras y le recorta el cabello.</v>
      </c>
    </row>
    <row r="32666">
      <c r="A32666" s="4" t="s">
        <v>41105</v>
      </c>
      <c r="B32666" s="4" t="s">
        <v>41114</v>
      </c>
      <c r="C32666" s="5" t="str">
        <f>IFERROR(__xludf.DUMMYFUNCTION("GOOGLETRANSLATE(B32666,""en"",""es-ES"")"),"Luego se seca su cabello.")</f>
        <v>Luego se seca su cabello.</v>
      </c>
    </row>
    <row r="32667">
      <c r="A32667" s="4" t="s">
        <v>41105</v>
      </c>
      <c r="B32667" s="4" t="s">
        <v>41115</v>
      </c>
      <c r="C32667" s="5" t="str">
        <f>IFERROR(__xludf.DUMMYFUNCTION("GOOGLETRANSLATE(B32667,""en"",""es-ES"")"),"Toma una pequeña cantidad de gel de cabello en el dedo del contenedor y lo frota a través de la larga sección de su cabello.")</f>
        <v>Toma una pequeña cantidad de gel de cabello en el dedo del contenedor y lo frota a través de la larga sección de su cabello.</v>
      </c>
    </row>
    <row r="32668">
      <c r="A32668" s="4" t="s">
        <v>41105</v>
      </c>
      <c r="B32668" s="4" t="s">
        <v>41116</v>
      </c>
      <c r="C32668" s="5" t="str">
        <f>IFERROR(__xludf.DUMMYFUNCTION("GOOGLETRANSLATE(B32668,""en"",""es-ES"")"),"Luego se peina el cabello para peinarlo.")</f>
        <v>Luego se peina el cabello para peinarlo.</v>
      </c>
    </row>
    <row r="32669">
      <c r="A32669" s="4" t="s">
        <v>41105</v>
      </c>
      <c r="B32669" s="4" t="s">
        <v>41117</v>
      </c>
      <c r="C32669" s="5" t="str">
        <f>IFERROR(__xludf.DUMMYFUNCTION("GOOGLETRANSLATE(B32669,""en"",""es-ES"")"),"Corre los dedos a través del cabello para terminar el look.")</f>
        <v>Corre los dedos a través del cabello para terminar el look.</v>
      </c>
    </row>
    <row r="32670">
      <c r="A32670" s="4" t="s">
        <v>41105</v>
      </c>
      <c r="B32670" s="4" t="s">
        <v>41118</v>
      </c>
      <c r="C32670" s="5" t="str">
        <f>IFERROR(__xludf.DUMMYFUNCTION("GOOGLETRANSLATE(B32670,""en"",""es-ES"")"),"Gira para mostrar su peinado desde todos los ángulos.")</f>
        <v>Gira para mostrar su peinado desde todos los ángulos.</v>
      </c>
    </row>
    <row r="32671">
      <c r="A32671" s="4" t="s">
        <v>41119</v>
      </c>
      <c r="B32671" s="4" t="s">
        <v>41120</v>
      </c>
      <c r="C32671" s="5" t="str">
        <f>IFERROR(__xludf.DUMMYFUNCTION("GOOGLETRANSLATE(B32671,""en"",""es-ES"")"),"Un grupo de personas se reúne en un círculo.")</f>
        <v>Un grupo de personas se reúne en un círculo.</v>
      </c>
    </row>
    <row r="32672">
      <c r="A32672" s="4" t="s">
        <v>41119</v>
      </c>
      <c r="B32672" s="4" t="s">
        <v>41121</v>
      </c>
      <c r="C32672" s="5" t="str">
        <f>IFERROR(__xludf.DUMMYFUNCTION("GOOGLETRANSLATE(B32672,""en"",""es-ES"")"),"Dos hombres están en el círculo demostrando un arte marcial.")</f>
        <v>Dos hombres están en el círculo demostrando un arte marcial.</v>
      </c>
    </row>
    <row r="32673">
      <c r="A32673" s="4" t="s">
        <v>41119</v>
      </c>
      <c r="B32673" s="4" t="s">
        <v>41122</v>
      </c>
      <c r="C32673" s="5" t="str">
        <f>IFERROR(__xludf.DUMMYFUNCTION("GOOGLETRANSLATE(B32673,""en"",""es-ES"")"),"Varios hombres en el círculo tocan un instrumento.")</f>
        <v>Varios hombres en el círculo tocan un instrumento.</v>
      </c>
    </row>
    <row r="32674">
      <c r="A32674" s="4" t="s">
        <v>41123</v>
      </c>
      <c r="B32674" s="4" t="s">
        <v>41124</v>
      </c>
      <c r="C32674" s="5" t="str">
        <f>IFERROR(__xludf.DUMMYFUNCTION("GOOGLETRANSLATE(B32674,""en"",""es-ES"")"),"Un peluquero está cortando un cabello para el hombre, comenzando en la parte superior.")</f>
        <v>Un peluquero está cortando un cabello para el hombre, comenzando en la parte superior.</v>
      </c>
    </row>
    <row r="32675">
      <c r="A32675" s="4" t="s">
        <v>41123</v>
      </c>
      <c r="B32675" s="4" t="s">
        <v>41125</v>
      </c>
      <c r="C32675" s="5" t="str">
        <f>IFERROR(__xludf.DUMMYFUNCTION("GOOGLETRANSLATE(B32675,""en"",""es-ES"")"),"Luego, comienza en la parte posterior de corte y peinando allí.")</f>
        <v>Luego, comienza en la parte posterior de corte y peinando allí.</v>
      </c>
    </row>
    <row r="32676">
      <c r="A32676" s="4" t="s">
        <v>41123</v>
      </c>
      <c r="B32676" s="4" t="s">
        <v>41126</v>
      </c>
      <c r="C32676" s="5" t="str">
        <f>IFERROR(__xludf.DUMMYFUNCTION("GOOGLETRANSLATE(B32676,""en"",""es-ES"")"),"Después de eso, usa algunos Clippers para recortar algunas de las áreas más duras.")</f>
        <v>Después de eso, usa algunos Clippers para recortar algunas de las áreas más duras.</v>
      </c>
    </row>
    <row r="32677">
      <c r="A32677" s="4" t="s">
        <v>41123</v>
      </c>
      <c r="B32677" s="4" t="s">
        <v>41127</v>
      </c>
      <c r="C32677" s="5" t="str">
        <f>IFERROR(__xludf.DUMMYFUNCTION("GOOGLETRANSLATE(B32677,""en"",""es-ES"")"),"Finalmente, usando el peine para peinarlo un poco y darle toques finales.")</f>
        <v>Finalmente, usando el peine para peinarlo un poco y darle toques finales.</v>
      </c>
    </row>
    <row r="32678">
      <c r="A32678" s="4" t="s">
        <v>41128</v>
      </c>
      <c r="B32678" s="4" t="s">
        <v>41129</v>
      </c>
      <c r="C32678" s="5" t="str">
        <f>IFERROR(__xludf.DUMMYFUNCTION("GOOGLETRANSLATE(B32678,""en"",""es-ES"")"),"Dos chicos aparecen en un patio trasero y están hablando con la cámara.")</f>
        <v>Dos chicos aparecen en un patio trasero y están hablando con la cámara.</v>
      </c>
    </row>
    <row r="32679">
      <c r="A32679" s="4" t="s">
        <v>41128</v>
      </c>
      <c r="B32679" s="4" t="s">
        <v>41130</v>
      </c>
      <c r="C32679" s="5" t="str">
        <f>IFERROR(__xludf.DUMMYFUNCTION("GOOGLETRANSLATE(B32679,""en"",""es-ES"")"),"Los chicos están en una superficie de madera que juega unas tijeras de papel de roca y el perdedor recibe un golpe de madera en las nueces y cayó al suelo.")</f>
        <v>Los chicos están en una superficie de madera que juega unas tijeras de papel de roca y el perdedor recibe un golpe de madera en las nueces y cayó al suelo.</v>
      </c>
    </row>
    <row r="32680">
      <c r="A32680" s="4" t="s">
        <v>41128</v>
      </c>
      <c r="B32680" s="4" t="s">
        <v>41131</v>
      </c>
      <c r="C32680" s="5" t="str">
        <f>IFERROR(__xludf.DUMMYFUNCTION("GOOGLETRANSLATE(B32680,""en"",""es-ES"")"),"El hombre está hablando con Camera y otros muchachos están en la parte de atrás y luego hablando con el ganador.")</f>
        <v>El hombre está hablando con Camera y otros muchachos están en la parte de atrás y luego hablando con el ganador.</v>
      </c>
    </row>
    <row r="32681">
      <c r="A32681" s="4" t="s">
        <v>41128</v>
      </c>
      <c r="B32681" s="4" t="s">
        <v>41132</v>
      </c>
      <c r="C32681" s="5" t="str">
        <f>IFERROR(__xludf.DUMMYFUNCTION("GOOGLETRANSLATE(B32681,""en"",""es-ES"")"),"Están jugando en la segunda ronda de tijeras de papel de rock y nuevamente el perdedor es un golpe de madera en las nueces y un hombre está hablando con la cámara.")</f>
        <v>Están jugando en la segunda ronda de tijeras de papel de rock y nuevamente el perdedor es un golpe de madera en las nueces y un hombre está hablando con la cámara.</v>
      </c>
    </row>
    <row r="32682">
      <c r="A32682" s="4" t="s">
        <v>41128</v>
      </c>
      <c r="B32682" s="4" t="s">
        <v>41133</v>
      </c>
      <c r="C32682" s="5" t="str">
        <f>IFERROR(__xludf.DUMMYFUNCTION("GOOGLETRANSLATE(B32682,""en"",""es-ES"")"),"Los muchachos hacen la ronda final de tijeras de papel rock y se anuncia el ganador, uno de los hombres le da un éxito a los tipos.")</f>
        <v>Los muchachos hacen la ronda final de tijeras de papel rock y se anuncia el ganador, uno de los hombres le da un éxito a los tipos.</v>
      </c>
    </row>
    <row r="32683">
      <c r="A32683" s="4" t="s">
        <v>41134</v>
      </c>
      <c r="B32683" s="4" t="s">
        <v>41135</v>
      </c>
      <c r="C32683" s="5" t="str">
        <f>IFERROR(__xludf.DUMMYFUNCTION("GOOGLETRANSLATE(B32683,""en"",""es-ES"")"),"Una persona se para en una estera.")</f>
        <v>Una persona se para en una estera.</v>
      </c>
    </row>
    <row r="32684">
      <c r="A32684" s="4" t="s">
        <v>41134</v>
      </c>
      <c r="B32684" s="4" t="s">
        <v>41136</v>
      </c>
      <c r="C32684" s="5" t="str">
        <f>IFERROR(__xludf.DUMMYFUNCTION("GOOGLETRANSLATE(B32684,""en"",""es-ES"")"),"Corren por una pista de pasar un poste y bóveda sobre un bar.")</f>
        <v>Corren por una pista de pasar un poste y bóveda sobre un bar.</v>
      </c>
    </row>
    <row r="32685">
      <c r="A32685" s="4" t="s">
        <v>41134</v>
      </c>
      <c r="B32685" s="4" t="s">
        <v>41137</v>
      </c>
      <c r="C32685" s="5" t="str">
        <f>IFERROR(__xludf.DUMMYFUNCTION("GOOGLETRANSLATE(B32685,""en"",""es-ES"")"),"Aterrizan sobre su espalda en una colchoneta.")</f>
        <v>Aterrizan sobre su espalda en una colchoneta.</v>
      </c>
    </row>
    <row r="32686">
      <c r="A32686" s="4" t="s">
        <v>41138</v>
      </c>
      <c r="B32686" s="4" t="s">
        <v>41139</v>
      </c>
      <c r="C32686" s="5" t="str">
        <f>IFERROR(__xludf.DUMMYFUNCTION("GOOGLETRANSLATE(B32686,""en"",""es-ES"")"),"Dos gemelos vestidos de la misma manera y con el mismo peinado están en una habitación hablando con la cámara.")</f>
        <v>Dos gemelos vestidos de la misma manera y con el mismo peinado están en una habitación hablando con la cámara.</v>
      </c>
    </row>
    <row r="32687">
      <c r="A32687" s="4" t="s">
        <v>41138</v>
      </c>
      <c r="B32687" s="4" t="s">
        <v>41140</v>
      </c>
      <c r="C32687" s="5" t="str">
        <f>IFERROR(__xludf.DUMMYFUNCTION("GOOGLETRANSLATE(B32687,""en"",""es-ES"")"),"El hombre en la parte posterior comienza a colocar algunos boxeadores sobre los pantalones y el hombre al frente continúa hablando con la cámara.")</f>
        <v>El hombre en la parte posterior comienza a colocar algunos boxeadores sobre los pantalones y el hombre al frente continúa hablando con la cámara.</v>
      </c>
    </row>
    <row r="32688">
      <c r="A32688" s="4" t="s">
        <v>41138</v>
      </c>
      <c r="B32688" s="4" t="s">
        <v>41141</v>
      </c>
      <c r="C32688" s="5" t="str">
        <f>IFERROR(__xludf.DUMMYFUNCTION("GOOGLETRANSLATE(B32688,""en"",""es-ES"")"),"El hombre en la parte delantera sostiene un pincel y pone un poco de pasta de dientes y se limpia los dientes, luego el tipo presenta el cepillo de dientes en una olla de miel y cepilla los dientes.")</f>
        <v>El hombre en la parte delantera sostiene un pincel y pone un poco de pasta de dientes y se limpia los dientes, luego el tipo presenta el cepillo de dientes en una olla de miel y cepilla los dientes.</v>
      </c>
    </row>
    <row r="32689">
      <c r="A32689" s="4" t="s">
        <v>41138</v>
      </c>
      <c r="B32689" s="4" t="s">
        <v>41142</v>
      </c>
      <c r="C32689" s="5" t="str">
        <f>IFERROR(__xludf.DUMMYFUNCTION("GOOGLETRANSLATE(B32689,""en"",""es-ES"")"),"El hombre en frente sostiene un cepillo para el cabello y el otro tipo bebe agua, el otro tipo sostiene un cepillo de dientes con mermelada y se cepilla los dientes.")</f>
        <v>El hombre en frente sostiene un cepillo para el cabello y el otro tipo bebe agua, el otro tipo sostiene un cepillo de dientes con mermelada y se cepilla los dientes.</v>
      </c>
    </row>
    <row r="32690">
      <c r="A32690" s="4" t="s">
        <v>41143</v>
      </c>
      <c r="B32690" s="4" t="s">
        <v>41144</v>
      </c>
      <c r="C32690" s="5" t="str">
        <f>IFERROR(__xludf.DUMMYFUNCTION("GOOGLETRANSLATE(B32690,""en"",""es-ES"")"),"Un perro pequeño está jugando con un frisbee rosa.")</f>
        <v>Un perro pequeño está jugando con un frisbee rosa.</v>
      </c>
    </row>
    <row r="32691">
      <c r="A32691" s="4" t="s">
        <v>41143</v>
      </c>
      <c r="B32691" s="4" t="s">
        <v>41145</v>
      </c>
      <c r="C32691" s="5" t="str">
        <f>IFERROR(__xludf.DUMMYFUNCTION("GOOGLETRANSLATE(B32691,""en"",""es-ES"")"),"Un hombre con una camisa blanca y pantalones cortos rojos se acuesta y pone los pies en el aire.")</f>
        <v>Un hombre con una camisa blanca y pantalones cortos rojos se acuesta y pone los pies en el aire.</v>
      </c>
    </row>
    <row r="32692">
      <c r="A32692" s="4" t="s">
        <v>41143</v>
      </c>
      <c r="B32692" s="4" t="s">
        <v>41146</v>
      </c>
      <c r="C32692" s="5" t="str">
        <f>IFERROR(__xludf.DUMMYFUNCTION("GOOGLETRANSLATE(B32692,""en"",""es-ES"")"),"El perro se encuentra encima de los pies del hombre.")</f>
        <v>El perro se encuentra encima de los pies del hombre.</v>
      </c>
    </row>
    <row r="32693">
      <c r="A32693" s="4" t="s">
        <v>41143</v>
      </c>
      <c r="B32693" s="4" t="s">
        <v>41147</v>
      </c>
      <c r="C32693" s="5" t="str">
        <f>IFERROR(__xludf.DUMMYFUNCTION("GOOGLETRANSLATE(B32693,""en"",""es-ES"")"),"La gente los está mirando al margen.")</f>
        <v>La gente los está mirando al margen.</v>
      </c>
    </row>
    <row r="32694">
      <c r="A32694" s="4" t="s">
        <v>41148</v>
      </c>
      <c r="B32694" s="4" t="s">
        <v>41149</v>
      </c>
      <c r="C32694" s="5" t="str">
        <f>IFERROR(__xludf.DUMMYFUNCTION("GOOGLETRANSLATE(B32694,""en"",""es-ES"")"),"El hombre está sentado en un bote en un lago tranquilo.")</f>
        <v>El hombre está sentado en un bote en un lago tranquilo.</v>
      </c>
    </row>
    <row r="32695">
      <c r="A32695" s="4" t="s">
        <v>41148</v>
      </c>
      <c r="B32695" s="4" t="s">
        <v>41150</v>
      </c>
      <c r="C32695" s="5" t="str">
        <f>IFERROR(__xludf.DUMMYFUNCTION("GOOGLETRANSLATE(B32695,""en"",""es-ES"")"),"El automóvil está siendo conducido en una carretera con autos parados en los lados.")</f>
        <v>El automóvil está siendo conducido en una carretera con autos parados en los lados.</v>
      </c>
    </row>
    <row r="32696">
      <c r="A32696" s="4" t="s">
        <v>41148</v>
      </c>
      <c r="B32696" s="4" t="s">
        <v>41151</v>
      </c>
      <c r="C32696" s="5" t="str">
        <f>IFERROR(__xludf.DUMMYFUNCTION("GOOGLETRANSLATE(B32696,""en"",""es-ES"")"),"Se muestra una foto de un iver y el auto que atraviesa laway y llegó a un lago.")</f>
        <v>Se muestra una foto de un iver y el auto que atraviesa laway y llegó a un lago.</v>
      </c>
    </row>
    <row r="32697">
      <c r="A32697" s="4" t="s">
        <v>41148</v>
      </c>
      <c r="B32697" s="4" t="s">
        <v>41152</v>
      </c>
      <c r="C32697" s="5" t="str">
        <f>IFERROR(__xludf.DUMMYFUNCTION("GOOGLETRANSLATE(B32697,""en"",""es-ES"")"),"La gente está en bote remando en el río y llegando a un campamento en el muelle.")</f>
        <v>La gente está en bote remando en el río y llegando a un campamento en el muelle.</v>
      </c>
    </row>
    <row r="32698">
      <c r="A32698" s="4" t="s">
        <v>41153</v>
      </c>
      <c r="B32698" s="4" t="s">
        <v>41154</v>
      </c>
      <c r="C32698" s="5" t="str">
        <f>IFERROR(__xludf.DUMMYFUNCTION("GOOGLETRANSLATE(B32698,""en"",""es-ES"")"),"Un hombre corre sosteniendo un poste con ambas manos.")</f>
        <v>Un hombre corre sosteniendo un poste con ambas manos.</v>
      </c>
    </row>
    <row r="32699">
      <c r="A32699" s="4" t="s">
        <v>41153</v>
      </c>
      <c r="B32699" s="4" t="s">
        <v>41155</v>
      </c>
      <c r="C32699" s="5" t="str">
        <f>IFERROR(__xludf.DUMMYFUNCTION("GOOGLETRANSLATE(B32699,""en"",""es-ES"")"),"Luego, salta alto con el poste para pasar sobre una barra horizontal.")</f>
        <v>Luego, salta alto con el poste para pasar sobre una barra horizontal.</v>
      </c>
    </row>
    <row r="32700">
      <c r="A32700" s="4" t="s">
        <v>41153</v>
      </c>
      <c r="B32700" s="4" t="s">
        <v>41156</v>
      </c>
      <c r="C32700" s="5" t="str">
        <f>IFERROR(__xludf.DUMMYFUNCTION("GOOGLETRANSLATE(B32700,""en"",""es-ES"")"),"El hombre cae sobre la estera.")</f>
        <v>El hombre cae sobre la estera.</v>
      </c>
    </row>
    <row r="32701">
      <c r="A32701" s="4" t="s">
        <v>41157</v>
      </c>
      <c r="B32701" s="4" t="s">
        <v>41158</v>
      </c>
      <c r="C32701" s="5" t="str">
        <f>IFERROR(__xludf.DUMMYFUNCTION("GOOGLETRANSLATE(B32701,""en"",""es-ES"")"),"Un par de niños están montando patinetas.")</f>
        <v>Un par de niños están montando patinetas.</v>
      </c>
    </row>
    <row r="32702">
      <c r="A32702" s="4" t="s">
        <v>41157</v>
      </c>
      <c r="B32702" s="4" t="s">
        <v>41159</v>
      </c>
      <c r="C32702" s="5" t="str">
        <f>IFERROR(__xludf.DUMMYFUNCTION("GOOGLETRANSLATE(B32702,""en"",""es-ES"")"),"Miran a otro par de hombres jugando baloncesto.")</f>
        <v>Miran a otro par de hombres jugando baloncesto.</v>
      </c>
    </row>
    <row r="32703">
      <c r="A32703" s="4" t="s">
        <v>41157</v>
      </c>
      <c r="B32703" s="4" t="s">
        <v>41160</v>
      </c>
      <c r="C32703" s="5" t="str">
        <f>IFERROR(__xludf.DUMMYFUNCTION("GOOGLETRANSLATE(B32703,""en"",""es-ES"")"),"Argumentan, luego los jugadores de baloncesto se van.")</f>
        <v>Argumentan, luego los jugadores de baloncesto se van.</v>
      </c>
    </row>
    <row r="32704">
      <c r="A32704" s="4" t="s">
        <v>41161</v>
      </c>
      <c r="B32704" s="4" t="s">
        <v>41162</v>
      </c>
      <c r="C32704" s="5" t="str">
        <f>IFERROR(__xludf.DUMMYFUNCTION("GOOGLETRANSLATE(B32704,""en"",""es-ES"")"),"Se muestra una caja de Rollerbldes y la tapa se abre AMD TJE Accesors se muestra con las Rollerblades.")</f>
        <v>Se muestra una caja de Rollerbldes y la tapa se abre AMD TJE Accesors se muestra con las Rollerblades.</v>
      </c>
    </row>
    <row r="32705">
      <c r="A32705" s="4" t="s">
        <v>41161</v>
      </c>
      <c r="B32705" s="4" t="s">
        <v>41163</v>
      </c>
      <c r="C32705" s="5" t="str">
        <f>IFERROR(__xludf.DUMMYFUNCTION("GOOGLETRANSLATE(B32705,""en"",""es-ES"")"),"El hombre está patinando en la calle y mostrando fotos de los patines.")</f>
        <v>El hombre está patinando en la calle y mostrando fotos de los patines.</v>
      </c>
    </row>
    <row r="32706">
      <c r="A32706" s="4" t="s">
        <v>41164</v>
      </c>
      <c r="B32706" s="4" t="s">
        <v>41165</v>
      </c>
      <c r="C32706" s="5" t="str">
        <f>IFERROR(__xludf.DUMMYFUNCTION("GOOGLETRANSLATE(B32706,""en"",""es-ES"")"),"Una mujer en un estacionamiento está rebotando de arriba a abajo con algún tipo de accesorios de Pogo Stick en sus piernas.")</f>
        <v>Una mujer en un estacionamiento está rebotando de arriba a abajo con algún tipo de accesorios de Pogo Stick en sus piernas.</v>
      </c>
    </row>
    <row r="32707">
      <c r="A32707" s="4" t="s">
        <v>41164</v>
      </c>
      <c r="B32707" s="4" t="s">
        <v>41166</v>
      </c>
      <c r="C32707" s="5" t="str">
        <f>IFERROR(__xludf.DUMMYFUNCTION("GOOGLETRANSLATE(B32707,""en"",""es-ES"")"),"La mujer camina por el estacionamiento.")</f>
        <v>La mujer camina por el estacionamiento.</v>
      </c>
    </row>
    <row r="32708">
      <c r="A32708" s="4" t="s">
        <v>41164</v>
      </c>
      <c r="B32708" s="4" t="s">
        <v>41167</v>
      </c>
      <c r="C32708" s="5" t="str">
        <f>IFERROR(__xludf.DUMMYFUNCTION("GOOGLETRANSLATE(B32708,""en"",""es-ES"")"),"La mujer comienza a rebotar arriba y abajo mientras camina.")</f>
        <v>La mujer comienza a rebotar arriba y abajo mientras camina.</v>
      </c>
    </row>
    <row r="32709">
      <c r="A32709" s="4" t="s">
        <v>41164</v>
      </c>
      <c r="B32709" s="4" t="s">
        <v>41168</v>
      </c>
      <c r="C32709" s="5" t="str">
        <f>IFERROR(__xludf.DUMMYFUNCTION("GOOGLETRANSLATE(B32709,""en"",""es-ES"")"),"Un hombre se acerca y habla con la mujer.")</f>
        <v>Un hombre se acerca y habla con la mujer.</v>
      </c>
    </row>
    <row r="32710">
      <c r="A32710" s="4" t="s">
        <v>41164</v>
      </c>
      <c r="B32710" s="4" t="s">
        <v>41169</v>
      </c>
      <c r="C32710" s="5" t="str">
        <f>IFERROR(__xludf.DUMMYFUNCTION("GOOGLETRANSLATE(B32710,""en"",""es-ES"")"),"La mujer sostiene las manos del hombre para el equilibrio mientras rebota.")</f>
        <v>La mujer sostiene las manos del hombre para el equilibrio mientras rebota.</v>
      </c>
    </row>
    <row r="32711">
      <c r="A32711" s="4" t="s">
        <v>41170</v>
      </c>
      <c r="B32711" s="4" t="s">
        <v>41171</v>
      </c>
      <c r="C32711" s="5" t="str">
        <f>IFERROR(__xludf.DUMMYFUNCTION("GOOGLETRANSLATE(B32711,""en"",""es-ES"")"),"Un hombre está abriendo su puerta trasera para dejar que una niña afuera.")</f>
        <v>Un hombre está abriendo su puerta trasera para dejar que una niña afuera.</v>
      </c>
    </row>
    <row r="32712">
      <c r="A32712" s="4" t="s">
        <v>41170</v>
      </c>
      <c r="B32712" s="4" t="s">
        <v>41172</v>
      </c>
      <c r="C32712" s="5" t="str">
        <f>IFERROR(__xludf.DUMMYFUNCTION("GOOGLETRANSLATE(B32712,""en"",""es-ES"")"),"El hombre está siguiendo a la niña.")</f>
        <v>El hombre está siguiendo a la niña.</v>
      </c>
    </row>
    <row r="32713">
      <c r="A32713" s="4" t="s">
        <v>41170</v>
      </c>
      <c r="B32713" s="4" t="s">
        <v>41173</v>
      </c>
      <c r="C32713" s="5" t="str">
        <f>IFERROR(__xludf.DUMMYFUNCTION("GOOGLETRANSLATE(B32713,""en"",""es-ES"")"),"Una niña camina y señala hacia la cámara.")</f>
        <v>Una niña camina y señala hacia la cámara.</v>
      </c>
    </row>
    <row r="32714">
      <c r="A32714" s="4" t="s">
        <v>41170</v>
      </c>
      <c r="B32714" s="4" t="s">
        <v>41174</v>
      </c>
      <c r="C32714" s="5" t="str">
        <f>IFERROR(__xludf.DUMMYFUNCTION("GOOGLETRANSLATE(B32714,""en"",""es-ES"")"),"Un perro entra en escena y la niña salta de felicidad.")</f>
        <v>Un perro entra en escena y la niña salta de felicidad.</v>
      </c>
    </row>
    <row r="32715">
      <c r="A32715" s="4" t="s">
        <v>41170</v>
      </c>
      <c r="B32715" s="4" t="s">
        <v>41175</v>
      </c>
      <c r="C32715" s="5" t="str">
        <f>IFERROR(__xludf.DUMMYFUNCTION("GOOGLETRANSLATE(B32715,""en"",""es-ES"")"),"La niña camina alrededor de su diapositiva.")</f>
        <v>La niña camina alrededor de su diapositiva.</v>
      </c>
    </row>
    <row r="32716">
      <c r="A32716" s="4" t="s">
        <v>41170</v>
      </c>
      <c r="B32716" s="4" t="s">
        <v>41176</v>
      </c>
      <c r="C32716" s="5" t="str">
        <f>IFERROR(__xludf.DUMMYFUNCTION("GOOGLETRANSLATE(B32716,""en"",""es-ES"")"),"La niña comienza a subir por el tobogán y el hombre la ayuda a llegar a la cima.")</f>
        <v>La niña comienza a subir por el tobogán y el hombre la ayuda a llegar a la cima.</v>
      </c>
    </row>
    <row r="32717">
      <c r="A32717" s="4" t="s">
        <v>41170</v>
      </c>
      <c r="B32717" s="4" t="s">
        <v>41177</v>
      </c>
      <c r="C32717" s="5" t="str">
        <f>IFERROR(__xludf.DUMMYFUNCTION("GOOGLETRANSLATE(B32717,""en"",""es-ES"")"),"La niña comienza a jugar con la rueda y se pone de rodillas.")</f>
        <v>La niña comienza a jugar con la rueda y se pone de rodillas.</v>
      </c>
    </row>
    <row r="32718">
      <c r="A32718" s="4" t="s">
        <v>41170</v>
      </c>
      <c r="B32718" s="4" t="s">
        <v>41178</v>
      </c>
      <c r="C32718" s="5" t="str">
        <f>IFERROR(__xludf.DUMMYFUNCTION("GOOGLETRANSLATE(B32718,""en"",""es-ES"")"),"El hombre ayuda a la niña a bajar por el tobogán.")</f>
        <v>El hombre ayuda a la niña a bajar por el tobogán.</v>
      </c>
    </row>
    <row r="32719">
      <c r="A32719" s="4" t="s">
        <v>41170</v>
      </c>
      <c r="B32719" s="4" t="s">
        <v>41179</v>
      </c>
      <c r="C32719" s="5" t="str">
        <f>IFERROR(__xludf.DUMMYFUNCTION("GOOGLETRANSLATE(B32719,""en"",""es-ES"")"),"La niña va al columpio y el hombre la ayuda a hacerlo.")</f>
        <v>La niña va al columpio y el hombre la ayuda a hacerlo.</v>
      </c>
    </row>
    <row r="32720">
      <c r="A32720" s="4" t="s">
        <v>41170</v>
      </c>
      <c r="B32720" s="4" t="s">
        <v>41180</v>
      </c>
      <c r="C32720" s="5" t="str">
        <f>IFERROR(__xludf.DUMMYFUNCTION("GOOGLETRANSLATE(B32720,""en"",""es-ES"")"),"La niña apunta a la cámara.")</f>
        <v>La niña apunta a la cámara.</v>
      </c>
    </row>
    <row r="32721">
      <c r="A32721" s="4" t="s">
        <v>41170</v>
      </c>
      <c r="B32721" s="4" t="s">
        <v>41181</v>
      </c>
      <c r="C32721" s="5" t="str">
        <f>IFERROR(__xludf.DUMMYFUNCTION("GOOGLETRANSLATE(B32721,""en"",""es-ES"")"),"El hombre empuja a la niña en el columpio.")</f>
        <v>El hombre empuja a la niña en el columpio.</v>
      </c>
    </row>
    <row r="32722">
      <c r="A32722" s="4" t="s">
        <v>41182</v>
      </c>
      <c r="B32722" s="4" t="s">
        <v>41183</v>
      </c>
      <c r="C32722" s="5" t="str">
        <f>IFERROR(__xludf.DUMMYFUNCTION("GOOGLETRANSLATE(B32722,""en"",""es-ES"")"),"La gente corre arrastrando una gran cometa roja a través de un campo.")</f>
        <v>La gente corre arrastrando una gran cometa roja a través de un campo.</v>
      </c>
    </row>
    <row r="32723">
      <c r="A32723" s="4" t="s">
        <v>41182</v>
      </c>
      <c r="B32723" s="4" t="s">
        <v>41184</v>
      </c>
      <c r="C32723" s="5" t="str">
        <f>IFERROR(__xludf.DUMMYFUNCTION("GOOGLETRANSLATE(B32723,""en"",""es-ES"")"),"La cometa está en el aire y los niños están parados debajo de él viéndola.")</f>
        <v>La cometa está en el aire y los niños están parados debajo de él viéndola.</v>
      </c>
    </row>
    <row r="32724">
      <c r="A32724" s="4" t="s">
        <v>41182</v>
      </c>
      <c r="B32724" s="4" t="s">
        <v>41185</v>
      </c>
      <c r="C32724" s="5" t="str">
        <f>IFERROR(__xludf.DUMMYFUNCTION("GOOGLETRANSLATE(B32724,""en"",""es-ES"")"),"La cometa está en el aire volando.")</f>
        <v>La cometa está en el aire volando.</v>
      </c>
    </row>
    <row r="32725">
      <c r="A32725" s="4" t="s">
        <v>41182</v>
      </c>
      <c r="B32725" s="4" t="s">
        <v>41186</v>
      </c>
      <c r="C32725" s="5" t="str">
        <f>IFERROR(__xludf.DUMMYFUNCTION("GOOGLETRANSLATE(B32725,""en"",""es-ES"")"),"Un hombre y una niña y un niño volan la cometa y sostienen la base de ella.")</f>
        <v>Un hombre y una niña y un niño volan la cometa y sostienen la base de ella.</v>
      </c>
    </row>
    <row r="32726">
      <c r="A32726" s="4" t="s">
        <v>41182</v>
      </c>
      <c r="B32726" s="4" t="s">
        <v>41187</v>
      </c>
      <c r="C32726" s="5" t="str">
        <f>IFERROR(__xludf.DUMMYFUNCTION("GOOGLETRANSLATE(B32726,""en"",""es-ES"")"),"Una niña lanza algo en el suelo.")</f>
        <v>Una niña lanza algo en el suelo.</v>
      </c>
    </row>
    <row r="32727">
      <c r="A32727" s="4" t="s">
        <v>41188</v>
      </c>
      <c r="B32727" s="4" t="s">
        <v>41189</v>
      </c>
      <c r="C32727" s="5" t="str">
        <f>IFERROR(__xludf.DUMMYFUNCTION("GOOGLETRANSLATE(B32727,""en"",""es-ES"")"),"Vemos un tablero de dardos balanceándose suavemente.")</f>
        <v>Vemos un tablero de dardos balanceándose suavemente.</v>
      </c>
    </row>
    <row r="32728">
      <c r="A32728" s="4" t="s">
        <v>41188</v>
      </c>
      <c r="B32728" s="4" t="s">
        <v>41190</v>
      </c>
      <c r="C32728" s="5" t="str">
        <f>IFERROR(__xludf.DUMMYFUNCTION("GOOGLETRANSLATE(B32728,""en"",""es-ES"")"),"Dos dardos, un rojo, un verde golpeó el tablero.")</f>
        <v>Dos dardos, un rojo, un verde golpeó el tablero.</v>
      </c>
    </row>
    <row r="32729">
      <c r="A32729" s="4" t="s">
        <v>41188</v>
      </c>
      <c r="B32729" s="4" t="s">
        <v>41191</v>
      </c>
      <c r="C32729" s="5" t="str">
        <f>IFERROR(__xludf.DUMMYFUNCTION("GOOGLETRANSLATE(B32729,""en"",""es-ES"")"),"Cambiamos el ángulo y dos dardos más golpean el tablero.")</f>
        <v>Cambiamos el ángulo y dos dardos más golpean el tablero.</v>
      </c>
    </row>
    <row r="32730">
      <c r="A32730" s="4" t="s">
        <v>41188</v>
      </c>
      <c r="B32730" s="4" t="s">
        <v>41192</v>
      </c>
      <c r="C32730" s="5" t="str">
        <f>IFERROR(__xludf.DUMMYFUNCTION("GOOGLETRANSLATE(B32730,""en"",""es-ES"")"),"La pantalla se desvanece hasta negra y vemos los créditos finales.")</f>
        <v>La pantalla se desvanece hasta negra y vemos los créditos finales.</v>
      </c>
    </row>
    <row r="32731">
      <c r="A32731" s="4" t="s">
        <v>41193</v>
      </c>
      <c r="B32731" s="4" t="s">
        <v>41194</v>
      </c>
      <c r="C32731" s="5" t="str">
        <f>IFERROR(__xludf.DUMMYFUNCTION("GOOGLETRANSLATE(B32731,""en"",""es-ES"")"),"Se ve a un hombre retrocediendo de la cámara mientras habla y sostiene un hula hoop.")</f>
        <v>Se ve a un hombre retrocediendo de la cámara mientras habla y sostiene un hula hoop.</v>
      </c>
    </row>
    <row r="32732">
      <c r="A32732" s="4" t="s">
        <v>41193</v>
      </c>
      <c r="B32732" s="4" t="s">
        <v>41195</v>
      </c>
      <c r="C32732" s="5" t="str">
        <f>IFERROR(__xludf.DUMMYFUNCTION("GOOGLETRANSLATE(B32732,""en"",""es-ES"")"),"El hombre luego balancea el hula hoop a su alrededor mientras camina hacia la cámara.")</f>
        <v>El hombre luego balancea el hula hoop a su alrededor mientras camina hacia la cámara.</v>
      </c>
    </row>
    <row r="32733">
      <c r="A32733" s="4" t="s">
        <v>41193</v>
      </c>
      <c r="B32733" s="4" t="s">
        <v>41196</v>
      </c>
      <c r="C32733" s="5" t="str">
        <f>IFERROR(__xludf.DUMMYFUNCTION("GOOGLETRANSLATE(B32733,""en"",""es-ES"")"),"Otro hombre entra al marco y hula hoops con el hombre mientras todavía mira la cámara.")</f>
        <v>Otro hombre entra al marco y hula hoops con el hombre mientras todavía mira la cámara.</v>
      </c>
    </row>
    <row r="32734">
      <c r="A32734" s="4" t="s">
        <v>41197</v>
      </c>
      <c r="B32734" s="4" t="s">
        <v>41198</v>
      </c>
      <c r="C32734" s="5" t="str">
        <f>IFERROR(__xludf.DUMMYFUNCTION("GOOGLETRANSLATE(B32734,""en"",""es-ES"")"),"Se ve a un hombre sentado y hablando con la cámara mientras sostiene una manguera de narguile y otra persona se ve en el marco.")</f>
        <v>Se ve a un hombre sentado y hablando con la cámara mientras sostiene una manguera de narguile y otra persona se ve en el marco.</v>
      </c>
    </row>
    <row r="32735">
      <c r="A32735" s="4" t="s">
        <v>41197</v>
      </c>
      <c r="B32735" s="4" t="s">
        <v>41199</v>
      </c>
      <c r="C32735" s="5" t="str">
        <f>IFERROR(__xludf.DUMMYFUNCTION("GOOGLETRANSLATE(B32735,""en"",""es-ES"")"),"El hombre toma una bocanada de la tubería mientras habla con la cámara y se la entrega al otro hombre que también recibe un golpe.")</f>
        <v>El hombre toma una bocanada de la tubería mientras habla con la cámara y se la entrega al otro hombre que también recibe un golpe.</v>
      </c>
    </row>
    <row r="32736">
      <c r="A32736" s="4" t="s">
        <v>41197</v>
      </c>
      <c r="B32736" s="4" t="s">
        <v>41200</v>
      </c>
      <c r="C32736" s="5" t="str">
        <f>IFERROR(__xludf.DUMMYFUNCTION("GOOGLETRANSLATE(B32736,""en"",""es-ES"")"),"Él sopla el humo y todavía se ve al primer hombre hablando con la cámara.")</f>
        <v>Él sopla el humo y todavía se ve al primer hombre hablando con la cámara.</v>
      </c>
    </row>
    <row r="32737">
      <c r="A32737" s="4" t="s">
        <v>41201</v>
      </c>
      <c r="B32737" s="4" t="s">
        <v>41202</v>
      </c>
      <c r="C32737" s="5" t="str">
        <f>IFERROR(__xludf.DUMMYFUNCTION("GOOGLETRANSLATE(B32737,""en"",""es-ES"")"),"Una persona se prepara para saltar sobre un cuerpo de agua mientras los espectadores observan desde el suelo.")</f>
        <v>Una persona se prepara para saltar sobre un cuerpo de agua mientras los espectadores observan desde el suelo.</v>
      </c>
    </row>
    <row r="32738">
      <c r="A32738" s="4" t="s">
        <v>41201</v>
      </c>
      <c r="B32738" s="4" t="s">
        <v>41203</v>
      </c>
      <c r="C32738" s="5" t="str">
        <f>IFERROR(__xludf.DUMMYFUNCTION("GOOGLETRANSLATE(B32738,""en"",""es-ES"")"),"La persona está sentada, primero, atada al equipo de salto de puenting.")</f>
        <v>La persona está sentada, primero, atada al equipo de salto de puenting.</v>
      </c>
    </row>
    <row r="32739">
      <c r="A32739" s="4" t="s">
        <v>41201</v>
      </c>
      <c r="B32739" s="4" t="s">
        <v>41204</v>
      </c>
      <c r="C32739" s="5" t="str">
        <f>IFERROR(__xludf.DUMMYFUNCTION("GOOGLETRANSLATE(B32739,""en"",""es-ES"")"),"La persona se para al borde de una superficie de salto de madera mientras los espectadores observan desde el suelo.")</f>
        <v>La persona se para al borde de una superficie de salto de madera mientras los espectadores observan desde el suelo.</v>
      </c>
    </row>
    <row r="32740">
      <c r="A32740" s="4" t="s">
        <v>41201</v>
      </c>
      <c r="B32740" s="4" t="s">
        <v>41205</v>
      </c>
      <c r="C32740" s="5" t="str">
        <f>IFERROR(__xludf.DUMMYFUNCTION("GOOGLETRANSLATE(B32740,""en"",""es-ES"")"),"La persona salta del borde y se cae mientras la cámara sigue y revela que este es un hombre que ha saltado, y el hombre está sonriendo y riendo mientras se agita en el aire justo por encima del agua.")</f>
        <v>La persona salta del borde y se cae mientras la cámara sigue y revela que este es un hombre que ha saltado, y el hombre está sonriendo y riendo mientras se agita en el aire justo por encima del agua.</v>
      </c>
    </row>
    <row r="32741">
      <c r="A32741" s="4" t="s">
        <v>41206</v>
      </c>
      <c r="B32741" s="4" t="s">
        <v>41207</v>
      </c>
      <c r="C32741" s="5" t="str">
        <f>IFERROR(__xludf.DUMMYFUNCTION("GOOGLETRANSLATE(B32741,""en"",""es-ES"")"),"Un niño se está subiendo al balanceo cerrando su pequeño guardia de seguridad.")</f>
        <v>Un niño se está subiendo al balanceo cerrando su pequeño guardia de seguridad.</v>
      </c>
    </row>
    <row r="32742">
      <c r="A32742" s="4" t="s">
        <v>41206</v>
      </c>
      <c r="B32742" s="4" t="s">
        <v>41208</v>
      </c>
      <c r="C32742" s="5" t="str">
        <f>IFERROR(__xludf.DUMMYFUNCTION("GOOGLETRANSLATE(B32742,""en"",""es-ES"")"),"Lo cierra y desarrolla algo de impulso para comenzar a ir rápido.")</f>
        <v>Lo cierra y desarrolla algo de impulso para comenzar a ir rápido.</v>
      </c>
    </row>
    <row r="32743">
      <c r="A32743" s="4" t="s">
        <v>41206</v>
      </c>
      <c r="B32743" s="4" t="s">
        <v>41209</v>
      </c>
      <c r="C32743" s="5" t="str">
        <f>IFERROR(__xludf.DUMMYFUNCTION("GOOGLETRANSLATE(B32743,""en"",""es-ES"")"),"Se patea los pies de un lado a otro.")</f>
        <v>Se patea los pies de un lado a otro.</v>
      </c>
    </row>
    <row r="32744">
      <c r="A32744" s="4" t="s">
        <v>41206</v>
      </c>
      <c r="B32744" s="4" t="s">
        <v>41210</v>
      </c>
      <c r="C32744" s="5" t="str">
        <f>IFERROR(__xludf.DUMMYFUNCTION("GOOGLETRANSLATE(B32744,""en"",""es-ES"")"),"Simplemente disfruta su tiempo balanceándose de un lado a otro afuera disfrutando del día.")</f>
        <v>Simplemente disfruta su tiempo balanceándose de un lado a otro afuera disfrutando del día.</v>
      </c>
    </row>
    <row r="32745">
      <c r="A32745" s="4" t="s">
        <v>41211</v>
      </c>
      <c r="B32745" s="4" t="s">
        <v>41212</v>
      </c>
      <c r="C32745" s="5" t="str">
        <f>IFERROR(__xludf.DUMMYFUNCTION("GOOGLETRANSLATE(B32745,""en"",""es-ES"")"),"Se muestra un primer plano de una silla mientras la cámara se extiende hacia atrás y el texto se mueve por la pantalla.")</f>
        <v>Se muestra un primer plano de una silla mientras la cámara se extiende hacia atrás y el texto se mueve por la pantalla.</v>
      </c>
    </row>
    <row r="32746">
      <c r="A32746" s="4" t="s">
        <v>41211</v>
      </c>
      <c r="B32746" s="4" t="s">
        <v>41213</v>
      </c>
      <c r="C32746" s="5" t="str">
        <f>IFERROR(__xludf.DUMMYFUNCTION("GOOGLETRANSLATE(B32746,""en"",""es-ES"")"),"La cámara sigue de cerca la silla y conduce a una mujer sentada cómoda en la silla.")</f>
        <v>La cámara sigue de cerca la silla y conduce a una mujer sentada cómoda en la silla.</v>
      </c>
    </row>
    <row r="32747">
      <c r="A32747" s="4" t="s">
        <v>41211</v>
      </c>
      <c r="B32747" s="4" t="s">
        <v>41214</v>
      </c>
      <c r="C32747" s="5" t="str">
        <f>IFERROR(__xludf.DUMMYFUNCTION("GOOGLETRANSLATE(B32747,""en"",""es-ES"")"),"La mujer ajusta el asiento y conduce a varios primeros planos de la silla que se muestra.")</f>
        <v>La mujer ajusta el asiento y conduce a varios primeros planos de la silla que se muestra.</v>
      </c>
    </row>
    <row r="32748">
      <c r="A32748" s="4" t="s">
        <v>41215</v>
      </c>
      <c r="B32748" s="4" t="s">
        <v>24280</v>
      </c>
      <c r="C32748" s="5" t="str">
        <f>IFERROR(__xludf.DUMMYFUNCTION("GOOGLETRANSLATE(B32748,""en"",""es-ES"")"),"Vemos una serie de pantallas de títulos.")</f>
        <v>Vemos una serie de pantallas de títulos.</v>
      </c>
    </row>
    <row r="32749">
      <c r="A32749" s="4" t="s">
        <v>41215</v>
      </c>
      <c r="B32749" s="4" t="s">
        <v>41216</v>
      </c>
      <c r="C32749" s="5" t="str">
        <f>IFERROR(__xludf.DUMMYFUNCTION("GOOGLETRANSLATE(B32749,""en"",""es-ES"")"),"Vemos una lancha rápida que se acelera a través de un lago y un hombre de jetón detrás de él.")</f>
        <v>Vemos una lancha rápida que se acelera a través de un lago y un hombre de jetón detrás de él.</v>
      </c>
    </row>
    <row r="32750">
      <c r="A32750" s="4" t="s">
        <v>41215</v>
      </c>
      <c r="B32750" s="4" t="s">
        <v>41217</v>
      </c>
      <c r="C32750" s="5" t="str">
        <f>IFERROR(__xludf.DUMMYFUNCTION("GOOGLETRANSLATE(B32750,""en"",""es-ES"")"),"La pantalla parpadea en negro y vemos más moto de agua.")</f>
        <v>La pantalla parpadea en negro y vemos más moto de agua.</v>
      </c>
    </row>
    <row r="32751">
      <c r="A32751" s="4" t="s">
        <v>41215</v>
      </c>
      <c r="B32751" s="4" t="s">
        <v>777</v>
      </c>
      <c r="C32751" s="5" t="str">
        <f>IFERROR(__xludf.DUMMYFUNCTION("GOOGLETRANSLATE(B32751,""en"",""es-ES"")"),"Vemos la pantalla de título final.")</f>
        <v>Vemos la pantalla de título final.</v>
      </c>
    </row>
    <row r="32752">
      <c r="A32752" s="4" t="s">
        <v>41218</v>
      </c>
      <c r="B32752" s="4" t="s">
        <v>41219</v>
      </c>
      <c r="C32752" s="5" t="str">
        <f>IFERROR(__xludf.DUMMYFUNCTION("GOOGLETRANSLATE(B32752,""en"",""es-ES"")"),"Un joven llamado Sean con un sombrero de gorro y sementales de aretes negros.")</f>
        <v>Un joven llamado Sean con un sombrero de gorro y sementales de aretes negros.</v>
      </c>
    </row>
    <row r="32753">
      <c r="A32753" s="4" t="s">
        <v>41218</v>
      </c>
      <c r="B32753" s="4" t="s">
        <v>41220</v>
      </c>
      <c r="C32753" s="5" t="str">
        <f>IFERROR(__xludf.DUMMYFUNCTION("GOOGLETRANSLATE(B32753,""en"",""es-ES"")"),"Está demostrando cómo perforar la oreja con pendientes.")</f>
        <v>Está demostrando cómo perforar la oreja con pendientes.</v>
      </c>
    </row>
    <row r="32754">
      <c r="A32754" s="4" t="s">
        <v>41218</v>
      </c>
      <c r="B32754" s="4" t="s">
        <v>41221</v>
      </c>
      <c r="C32754" s="5" t="str">
        <f>IFERROR(__xludf.DUMMYFUNCTION("GOOGLETRANSLATE(B32754,""en"",""es-ES"")"),"Expresa un dolor severo mientras intenta perforar el lóbulo de la oreja.")</f>
        <v>Expresa un dolor severo mientras intenta perforar el lóbulo de la oreja.</v>
      </c>
    </row>
    <row r="32755">
      <c r="A32755" s="4" t="s">
        <v>41218</v>
      </c>
      <c r="B32755" s="4" t="s">
        <v>41222</v>
      </c>
      <c r="C32755" s="5" t="str">
        <f>IFERROR(__xludf.DUMMYFUNCTION("GOOGLETRANSLATE(B32755,""en"",""es-ES"")"),"Toma un cubo de hielo para calmar el lóbulo de su oído.")</f>
        <v>Toma un cubo de hielo para calmar el lóbulo de su oído.</v>
      </c>
    </row>
    <row r="32756">
      <c r="A32756" s="4" t="s">
        <v>41218</v>
      </c>
      <c r="B32756" s="4" t="s">
        <v>41223</v>
      </c>
      <c r="C32756" s="5" t="str">
        <f>IFERROR(__xludf.DUMMYFUNCTION("GOOGLETRANSLATE(B32756,""en"",""es-ES"")"),"Luego usa un encendedor para calentar el arete para desinfectarlo.")</f>
        <v>Luego usa un encendedor para calentar el arete para desinfectarlo.</v>
      </c>
    </row>
    <row r="32757">
      <c r="A32757" s="4" t="s">
        <v>41218</v>
      </c>
      <c r="B32757" s="4" t="s">
        <v>41224</v>
      </c>
      <c r="C32757" s="5" t="str">
        <f>IFERROR(__xludf.DUMMYFUNCTION("GOOGLETRANSLATE(B32757,""en"",""es-ES"")"),"Intenta usar una pizca para ayudar a la perforación, pero termina causando un sangrado severo en la oreja.")</f>
        <v>Intenta usar una pizca para ayudar a la perforación, pero termina causando un sangrado severo en la oreja.</v>
      </c>
    </row>
    <row r="32758">
      <c r="A32758" s="4" t="s">
        <v>41218</v>
      </c>
      <c r="B32758" s="4" t="s">
        <v>41225</v>
      </c>
      <c r="C32758" s="5" t="str">
        <f>IFERROR(__xludf.DUMMYFUNCTION("GOOGLETRANSLATE(B32758,""en"",""es-ES"")"),"Luego intenta un mazo de goma para forzar el arete.")</f>
        <v>Luego intenta un mazo de goma para forzar el arete.</v>
      </c>
    </row>
    <row r="32759">
      <c r="A32759" s="4" t="s">
        <v>41218</v>
      </c>
      <c r="B32759" s="4" t="s">
        <v>41226</v>
      </c>
      <c r="C32759" s="5" t="str">
        <f>IFERROR(__xludf.DUMMYFUNCTION("GOOGLETRANSLATE(B32759,""en"",""es-ES"")"),"Él llora y solloza de dolor por su intento fallido de perforar su propio lóbulo de la oreja.")</f>
        <v>Él llora y solloza de dolor por su intento fallido de perforar su propio lóbulo de la oreja.</v>
      </c>
    </row>
    <row r="32760">
      <c r="A32760" s="4" t="s">
        <v>41227</v>
      </c>
      <c r="B32760" s="4" t="s">
        <v>41228</v>
      </c>
      <c r="C32760" s="5" t="str">
        <f>IFERROR(__xludf.DUMMYFUNCTION("GOOGLETRANSLATE(B32760,""en"",""es-ES"")"),"Se ve a un hombre sentado en un kayak mirando a la cámara.")</f>
        <v>Se ve a un hombre sentado en un kayak mirando a la cámara.</v>
      </c>
    </row>
    <row r="32761">
      <c r="A32761" s="4" t="s">
        <v>41227</v>
      </c>
      <c r="B32761" s="4" t="s">
        <v>41229</v>
      </c>
      <c r="C32761" s="5" t="str">
        <f>IFERROR(__xludf.DUMMYFUNCTION("GOOGLETRANSLATE(B32761,""en"",""es-ES"")"),"Luego le pega la paleta en el agua y comienza a avanzar.")</f>
        <v>Luego le pega la paleta en el agua y comienza a avanzar.</v>
      </c>
    </row>
    <row r="32762">
      <c r="A32762" s="4" t="s">
        <v>41227</v>
      </c>
      <c r="B32762" s="4" t="s">
        <v>41230</v>
      </c>
      <c r="C32762" s="5" t="str">
        <f>IFERROR(__xludf.DUMMYFUNCTION("GOOGLETRANSLATE(B32762,""en"",""es-ES"")"),"Continúa viajando alrededor de un área mientras mueve la paleta.")</f>
        <v>Continúa viajando alrededor de un área mientras mueve la paleta.</v>
      </c>
    </row>
    <row r="32763">
      <c r="A32763" s="4" t="s">
        <v>41231</v>
      </c>
      <c r="B32763" s="4" t="s">
        <v>41232</v>
      </c>
      <c r="C32763" s="5" t="str">
        <f>IFERROR(__xludf.DUMMYFUNCTION("GOOGLETRANSLATE(B32763,""en"",""es-ES"")"),"Un adolescente gira sosteniendo un disco en su mano derecha, luego la niña arroja el disco mientras compite en un estadio.")</f>
        <v>Un adolescente gira sosteniendo un disco en su mano derecha, luego la niña arroja el disco mientras compite en un estadio.</v>
      </c>
    </row>
    <row r="32764">
      <c r="A32764" s="4" t="s">
        <v>41231</v>
      </c>
      <c r="B32764" s="4" t="s">
        <v>41233</v>
      </c>
      <c r="C32764" s="5" t="str">
        <f>IFERROR(__xludf.DUMMYFUNCTION("GOOGLETRANSLATE(B32764,""en"",""es-ES"")"),"Entonces, otra joven gira alrededor de un disco.")</f>
        <v>Entonces, otra joven gira alrededor de un disco.</v>
      </c>
    </row>
    <row r="32765">
      <c r="A32765" s="4" t="s">
        <v>41231</v>
      </c>
      <c r="B32765" s="4" t="s">
        <v>41234</v>
      </c>
      <c r="C32765" s="5" t="str">
        <f>IFERROR(__xludf.DUMMYFUNCTION("GOOGLETRANSLATE(B32765,""en"",""es-ES"")"),"Una mujer gira y lanza un disco lejos y ella gana la competencia.")</f>
        <v>Una mujer gira y lanza un disco lejos y ella gana la competencia.</v>
      </c>
    </row>
    <row r="32766">
      <c r="A32766" s="4" t="s">
        <v>41231</v>
      </c>
      <c r="B32766" s="4" t="s">
        <v>41235</v>
      </c>
      <c r="C32766" s="5" t="str">
        <f>IFERROR(__xludf.DUMMYFUNCTION("GOOGLETRANSLATE(B32766,""en"",""es-ES"")"),"Un hombre en la pista levanta una bandera blanca en su brazo derecho.")</f>
        <v>Un hombre en la pista levanta una bandera blanca en su brazo derecho.</v>
      </c>
    </row>
    <row r="32767">
      <c r="A32767" s="4" t="s">
        <v>41236</v>
      </c>
      <c r="B32767" s="4" t="s">
        <v>41237</v>
      </c>
      <c r="C32767" s="5" t="str">
        <f>IFERROR(__xludf.DUMMYFUNCTION("GOOGLETRANSLATE(B32767,""en"",""es-ES"")"),"Gymnast de Ucrania realiza un salto de longitud en una competencia final.")</f>
        <v>Gymnast de Ucrania realiza un salto de longitud en una competencia final.</v>
      </c>
    </row>
    <row r="32768">
      <c r="A32768" s="4" t="s">
        <v>41236</v>
      </c>
      <c r="B32768" s="4" t="s">
        <v>41238</v>
      </c>
      <c r="C32768" s="5" t="str">
        <f>IFERROR(__xludf.DUMMYFUNCTION("GOOGLETRANSLATE(B32768,""en"",""es-ES"")"),"Un hombre sostiene una bandera blanca y roja.")</f>
        <v>Un hombre sostiene una bandera blanca y roja.</v>
      </c>
    </row>
    <row r="32769">
      <c r="A32769" s="4" t="s">
        <v>41236</v>
      </c>
      <c r="B32769" s="4" t="s">
        <v>41239</v>
      </c>
      <c r="C32769" s="5" t="str">
        <f>IFERROR(__xludf.DUMMYFUNCTION("GOOGLETRANSLATE(B32769,""en"",""es-ES"")"),"La gimnasta corre en la pista hasta una línea blanca, y salta para realizar el salto de longitud.")</f>
        <v>La gimnasta corre en la pista hasta una línea blanca, y salta para realizar el salto de longitud.</v>
      </c>
    </row>
    <row r="32770">
      <c r="A32770" s="4" t="s">
        <v>41236</v>
      </c>
      <c r="B32770" s="4" t="s">
        <v>41240</v>
      </c>
      <c r="C32770" s="5" t="str">
        <f>IFERROR(__xludf.DUMMYFUNCTION("GOOGLETRANSLATE(B32770,""en"",""es-ES"")"),"Luego, una mujer de Alemania realiza el salto de longitud, y después de que una niña de Australia salta mucho en la caja de arena.")</f>
        <v>Luego, una mujer de Alemania realiza el salto de longitud, y después de que una niña de Australia salta mucho en la caja de arena.</v>
      </c>
    </row>
    <row r="32771">
      <c r="A32771" s="4" t="s">
        <v>41236</v>
      </c>
      <c r="B32771" s="4" t="s">
        <v>41241</v>
      </c>
      <c r="C32771" s="5" t="str">
        <f>IFERROR(__xludf.DUMMYFUNCTION("GOOGLETRANSLATE(B32771,""en"",""es-ES"")"),"La mujer de Alemania gana la competencia, ella corre y es grande al público.")</f>
        <v>La mujer de Alemania gana la competencia, ella corre y es grande al público.</v>
      </c>
    </row>
    <row r="32772">
      <c r="A32772" s="4" t="s">
        <v>41242</v>
      </c>
      <c r="B32772" s="4" t="s">
        <v>41243</v>
      </c>
      <c r="C32772" s="5" t="str">
        <f>IFERROR(__xludf.DUMMYFUNCTION("GOOGLETRANSLATE(B32772,""en"",""es-ES"")"),"Un hombre en un chaleco está sentado en un bote.")</f>
        <v>Un hombre en un chaleco está sentado en un bote.</v>
      </c>
    </row>
    <row r="32773">
      <c r="A32773" s="4" t="s">
        <v>41242</v>
      </c>
      <c r="B32773" s="4" t="s">
        <v>41244</v>
      </c>
      <c r="C32773" s="5" t="str">
        <f>IFERROR(__xludf.DUMMYFUNCTION("GOOGLETRANSLATE(B32773,""en"",""es-ES"")"),"Entonces el hombre está en el agua, sosteniendo un palo y una línea unida al bote.")</f>
        <v>Entonces el hombre está en el agua, sosteniendo un palo y una línea unida al bote.</v>
      </c>
    </row>
    <row r="32774">
      <c r="A32774" s="4" t="s">
        <v>41242</v>
      </c>
      <c r="B32774" s="4" t="s">
        <v>41245</v>
      </c>
      <c r="C32774" s="5" t="str">
        <f>IFERROR(__xludf.DUMMYFUNCTION("GOOGLETRANSLATE(B32774,""en"",""es-ES"")"),"El bote comienza a atraerlo al agua cuando comienza a esquiar en el agua.")</f>
        <v>El bote comienza a atraerlo al agua cuando comienza a esquiar en el agua.</v>
      </c>
    </row>
    <row r="32775">
      <c r="A32775" s="4" t="s">
        <v>41242</v>
      </c>
      <c r="B32775" s="4" t="s">
        <v>41246</v>
      </c>
      <c r="C32775" s="5" t="str">
        <f>IFERROR(__xludf.DUMMYFUNCTION("GOOGLETRANSLATE(B32775,""en"",""es-ES"")"),"Él esquía por mucho tiempo.")</f>
        <v>Él esquía por mucho tiempo.</v>
      </c>
    </row>
    <row r="32776">
      <c r="A32776" s="4" t="s">
        <v>41247</v>
      </c>
      <c r="B32776" s="4" t="s">
        <v>41248</v>
      </c>
      <c r="C32776" s="5" t="str">
        <f>IFERROR(__xludf.DUMMYFUNCTION("GOOGLETRANSLATE(B32776,""en"",""es-ES"")"),"Las niñas están sentadas en una ROM y los niños están de pie detrás de ellos, los chicos comienzan a peinar el cabello.")</f>
        <v>Las niñas están sentadas en una ROM y los niños están de pie detrás de ellos, los chicos comienzan a peinar el cabello.</v>
      </c>
    </row>
    <row r="32777">
      <c r="A32777" s="4" t="s">
        <v>41247</v>
      </c>
      <c r="B32777" s="4" t="s">
        <v>41249</v>
      </c>
      <c r="C32777" s="5" t="str">
        <f>IFERROR(__xludf.DUMMYFUNCTION("GOOGLETRANSLATE(B32777,""en"",""es-ES"")"),"Mujer con suéter azul que se arrastra a cuatro patas.")</f>
        <v>Mujer con suéter azul que se arrastra a cuatro patas.</v>
      </c>
    </row>
    <row r="32778">
      <c r="A32778" s="4" t="s">
        <v>41247</v>
      </c>
      <c r="B32778" s="4" t="s">
        <v>41250</v>
      </c>
      <c r="C32778" s="5" t="str">
        <f>IFERROR(__xludf.DUMMYFUNCTION("GOOGLETRANSLATE(B32778,""en"",""es-ES"")"),"Los niños siguen peinando el cabello y poniendo algunos rollos de cabello sobre las niñas.")</f>
        <v>Los niños siguen peinando el cabello y poniendo algunos rollos de cabello sobre las niñas.</v>
      </c>
    </row>
    <row r="32779">
      <c r="A32779" s="4" t="s">
        <v>41247</v>
      </c>
      <c r="B32779" s="4" t="s">
        <v>41251</v>
      </c>
      <c r="C32779" s="5" t="str">
        <f>IFERROR(__xludf.DUMMYFUNCTION("GOOGLETRANSLATE(B32779,""en"",""es-ES"")"),"La mujer en el medio está irritada y se para y retira los rollos para la cabeza y se sienta nuevamente y se ríe mucho.")</f>
        <v>La mujer en el medio está irritada y se para y retira los rollos para la cabeza y se sienta nuevamente y se ríe mucho.</v>
      </c>
    </row>
    <row r="32780">
      <c r="A32780" s="4" t="s">
        <v>41252</v>
      </c>
      <c r="B32780" s="4" t="s">
        <v>41253</v>
      </c>
      <c r="C32780" s="5" t="str">
        <f>IFERROR(__xludf.DUMMYFUNCTION("GOOGLETRANSLATE(B32780,""en"",""es-ES"")"),"Un hombre está sentado en un escenario.")</f>
        <v>Un hombre está sentado en un escenario.</v>
      </c>
    </row>
    <row r="32781">
      <c r="A32781" s="4" t="s">
        <v>41252</v>
      </c>
      <c r="B32781" s="4" t="s">
        <v>41254</v>
      </c>
      <c r="C32781" s="5" t="str">
        <f>IFERROR(__xludf.DUMMYFUNCTION("GOOGLETRANSLATE(B32781,""en"",""es-ES"")"),"Hay una habitación llena de gente mirándolo.")</f>
        <v>Hay una habitación llena de gente mirándolo.</v>
      </c>
    </row>
    <row r="32782">
      <c r="A32782" s="4" t="s">
        <v>41252</v>
      </c>
      <c r="B32782" s="4" t="s">
        <v>41255</v>
      </c>
      <c r="C32782" s="5" t="str">
        <f>IFERROR(__xludf.DUMMYFUNCTION("GOOGLETRANSLATE(B32782,""en"",""es-ES"")"),"Está tocando un juego de batería con las manos.")</f>
        <v>Está tocando un juego de batería con las manos.</v>
      </c>
    </row>
    <row r="32783">
      <c r="A32783" s="4" t="s">
        <v>41256</v>
      </c>
      <c r="B32783" s="4" t="s">
        <v>41257</v>
      </c>
      <c r="C32783" s="5" t="str">
        <f>IFERROR(__xludf.DUMMYFUNCTION("GOOGLETRANSLATE(B32783,""en"",""es-ES"")"),"Una vista superior de un partido de piscina.")</f>
        <v>Una vista superior de un partido de piscina.</v>
      </c>
    </row>
    <row r="32784">
      <c r="A32784" s="4" t="s">
        <v>41256</v>
      </c>
      <c r="B32784" s="4" t="s">
        <v>41258</v>
      </c>
      <c r="C32784" s="5" t="str">
        <f>IFERROR(__xludf.DUMMYFUNCTION("GOOGLETRANSLATE(B32784,""en"",""es-ES"")"),"Un hombre con un chaleco azul divertido se muestra como el próximo jugador en disparar.")</f>
        <v>Un hombre con un chaleco azul divertido se muestra como el próximo jugador en disparar.</v>
      </c>
    </row>
    <row r="32785">
      <c r="A32785" s="4" t="s">
        <v>41256</v>
      </c>
      <c r="B32785" s="4" t="s">
        <v>41259</v>
      </c>
      <c r="C32785" s="5" t="str">
        <f>IFERROR(__xludf.DUMMYFUNCTION("GOOGLETRANSLATE(B32785,""en"",""es-ES"")"),"Hace una pausa y estudia la mesa antes de tomar su tiro.")</f>
        <v>Hace una pausa y estudia la mesa antes de tomar su tiro.</v>
      </c>
    </row>
    <row r="32786">
      <c r="A32786" s="4" t="s">
        <v>41256</v>
      </c>
      <c r="B32786" s="4" t="s">
        <v>41260</v>
      </c>
      <c r="C32786" s="5" t="str">
        <f>IFERROR(__xludf.DUMMYFUNCTION("GOOGLETRANSLATE(B32786,""en"",""es-ES"")"),"Dispara y golpea la pelota azul en el bolsillo derecho de la esquina.")</f>
        <v>Dispara y golpea la pelota azul en el bolsillo derecho de la esquina.</v>
      </c>
    </row>
    <row r="32787">
      <c r="A32787" s="4" t="s">
        <v>41261</v>
      </c>
      <c r="B32787" s="4" t="s">
        <v>41262</v>
      </c>
      <c r="C32787" s="5" t="str">
        <f>IFERROR(__xludf.DUMMYFUNCTION("GOOGLETRANSLATE(B32787,""en"",""es-ES"")"),"Se muestra un primer plano de comida seguido por dos mujeres que hablan con la cámara y presentan varios ingredientes.")</f>
        <v>Se muestra un primer plano de comida seguido por dos mujeres que hablan con la cámara y presentan varios ingredientes.</v>
      </c>
    </row>
    <row r="32788">
      <c r="A32788" s="4" t="s">
        <v>41261</v>
      </c>
      <c r="B32788" s="4" t="s">
        <v>41263</v>
      </c>
      <c r="C32788" s="5" t="str">
        <f>IFERROR(__xludf.DUMMYFUNCTION("GOOGLETRANSLATE(B32788,""en"",""es-ES"")"),"Luego, las mujeres mezclan los ingredientes en una olla después de que los fideos se cocinan y luego mezclan todo en un tazón.")</f>
        <v>Luego, las mujeres mezclan los ingredientes en una olla después de que los fideos se cocinan y luego mezclan todo en un tazón.</v>
      </c>
    </row>
    <row r="32789">
      <c r="A32789" s="4" t="s">
        <v>41261</v>
      </c>
      <c r="B32789" s="4" t="s">
        <v>41264</v>
      </c>
      <c r="C32789" s="5" t="str">
        <f>IFERROR(__xludf.DUMMYFUNCTION("GOOGLETRANSLATE(B32789,""en"",""es-ES"")"),"Finalmente, el plato se muestra en un plato al final y las mujeres comen la comida.")</f>
        <v>Finalmente, el plato se muestra en un plato al final y las mujeres comen la comida.</v>
      </c>
    </row>
    <row r="32790">
      <c r="A32790" s="4" t="s">
        <v>41265</v>
      </c>
      <c r="B32790" s="4" t="s">
        <v>41266</v>
      </c>
      <c r="C32790" s="5" t="str">
        <f>IFERROR(__xludf.DUMMYFUNCTION("GOOGLETRANSLATE(B32790,""en"",""es-ES"")"),"Black Dog está caminando en una cinta de correr en una habitación blanca.")</f>
        <v>Black Dog está caminando en una cinta de correr en una habitación blanca.</v>
      </c>
    </row>
    <row r="32791">
      <c r="A32791" s="4" t="s">
        <v>41265</v>
      </c>
      <c r="B32791" s="4" t="s">
        <v>41267</v>
      </c>
      <c r="C32791" s="5" t="str">
        <f>IFERROR(__xludf.DUMMYFUNCTION("GOOGLETRANSLATE(B32791,""en"",""es-ES"")"),"El perro está corriendo en la cinta de correr que está al lado de un cajón.")</f>
        <v>El perro está corriendo en la cinta de correr que está al lado de un cajón.</v>
      </c>
    </row>
    <row r="32792">
      <c r="A32792" s="4" t="s">
        <v>41265</v>
      </c>
      <c r="B32792" s="4" t="s">
        <v>41268</v>
      </c>
      <c r="C32792" s="5" t="str">
        <f>IFERROR(__xludf.DUMMYFUNCTION("GOOGLETRANSLATE(B32792,""en"",""es-ES"")"),"El perro lleva un collar rojo y está haciendo ejercicio.")</f>
        <v>El perro lleva un collar rojo y está haciendo ejercicio.</v>
      </c>
    </row>
    <row r="32793">
      <c r="A32793" s="4" t="s">
        <v>41269</v>
      </c>
      <c r="B32793" s="4" t="s">
        <v>41270</v>
      </c>
      <c r="C32793" s="5" t="str">
        <f>IFERROR(__xludf.DUMMYFUNCTION("GOOGLETRANSLATE(B32793,""en"",""es-ES"")"),"Una niña camina sobre un tablero de buceo.")</f>
        <v>Una niña camina sobre un tablero de buceo.</v>
      </c>
    </row>
    <row r="32794">
      <c r="A32794" s="4" t="s">
        <v>41269</v>
      </c>
      <c r="B32794" s="4" t="s">
        <v>41271</v>
      </c>
      <c r="C32794" s="5" t="str">
        <f>IFERROR(__xludf.DUMMYFUNCTION("GOOGLETRANSLATE(B32794,""en"",""es-ES"")"),"La gente está observando el fondo.")</f>
        <v>La gente está observando el fondo.</v>
      </c>
    </row>
    <row r="32795">
      <c r="A32795" s="4" t="s">
        <v>41269</v>
      </c>
      <c r="B32795" s="4" t="s">
        <v>41272</v>
      </c>
      <c r="C32795" s="5" t="str">
        <f>IFERROR(__xludf.DUMMYFUNCTION("GOOGLETRANSLATE(B32795,""en"",""es-ES"")"),"La niña salta del tablero de buceo a la piscina.")</f>
        <v>La niña salta del tablero de buceo a la piscina.</v>
      </c>
    </row>
    <row r="32796">
      <c r="A32796" s="4" t="s">
        <v>41269</v>
      </c>
      <c r="B32796" s="4" t="s">
        <v>41273</v>
      </c>
      <c r="C32796" s="5" t="str">
        <f>IFERROR(__xludf.DUMMYFUNCTION("GOOGLETRANSLATE(B32796,""en"",""es-ES"")"),"Hay un pequeño chapoteo en el agua.")</f>
        <v>Hay un pequeño chapoteo en el agua.</v>
      </c>
    </row>
    <row r="32797">
      <c r="A32797" s="4" t="s">
        <v>41274</v>
      </c>
      <c r="B32797" s="4" t="s">
        <v>41275</v>
      </c>
      <c r="C32797" s="5" t="str">
        <f>IFERROR(__xludf.DUMMYFUNCTION("GOOGLETRANSLATE(B32797,""en"",""es-ES"")"),"Se ve a un joven colocando un trozo de madera en una corteza y levanta un hacha.")</f>
        <v>Se ve a un joven colocando un trozo de madera en una corteza y levanta un hacha.</v>
      </c>
    </row>
    <row r="32798">
      <c r="A32798" s="4" t="s">
        <v>41274</v>
      </c>
      <c r="B32798" s="4" t="s">
        <v>41276</v>
      </c>
      <c r="C32798" s="5" t="str">
        <f>IFERROR(__xludf.DUMMYFUNCTION("GOOGLETRANSLATE(B32798,""en"",""es-ES"")"),"Luego balancea el hacha, la corteza lo rompió por la mitad, seguido de él gritando en el aire.")</f>
        <v>Luego balancea el hacha, la corteza lo rompió por la mitad, seguido de él gritando en el aire.</v>
      </c>
    </row>
    <row r="32799">
      <c r="A32799" s="4" t="s">
        <v>41277</v>
      </c>
      <c r="B32799" s="4" t="s">
        <v>41278</v>
      </c>
      <c r="C32799" s="5" t="str">
        <f>IFERROR(__xludf.DUMMYFUNCTION("GOOGLETRANSLATE(B32799,""en"",""es-ES"")"),"Una mujer se sienta en el piso al lado de un vacío.")</f>
        <v>Una mujer se sienta en el piso al lado de un vacío.</v>
      </c>
    </row>
    <row r="32800">
      <c r="A32800" s="4" t="s">
        <v>41277</v>
      </c>
      <c r="B32800" s="4" t="s">
        <v>41279</v>
      </c>
      <c r="C32800" s="5" t="str">
        <f>IFERROR(__xludf.DUMMYFUNCTION("GOOGLETRANSLATE(B32800,""en"",""es-ES"")"),"La mujer aspira la suciedad en un piso duro.")</f>
        <v>La mujer aspira la suciedad en un piso duro.</v>
      </c>
    </row>
    <row r="32801">
      <c r="A32801" s="4" t="s">
        <v>41277</v>
      </c>
      <c r="B32801" s="4" t="s">
        <v>41280</v>
      </c>
      <c r="C32801" s="5" t="str">
        <f>IFERROR(__xludf.DUMMYFUNCTION("GOOGLETRANSLATE(B32801,""en"",""es-ES"")"),"Luego, la mujer limpia los desechos en una alfombra.")</f>
        <v>Luego, la mujer limpia los desechos en una alfombra.</v>
      </c>
    </row>
    <row r="32802">
      <c r="A32802" s="4" t="s">
        <v>41277</v>
      </c>
      <c r="B32802" s="4" t="s">
        <v>41281</v>
      </c>
      <c r="C32802" s="5" t="str">
        <f>IFERROR(__xludf.DUMMYFUNCTION("GOOGLETRANSLATE(B32802,""en"",""es-ES"")"),"Después, la mujer se aspira sobre una almohada con una boquilla más pequeña.")</f>
        <v>Después, la mujer se aspira sobre una almohada con una boquilla más pequeña.</v>
      </c>
    </row>
    <row r="32803">
      <c r="A32803" s="4" t="s">
        <v>41277</v>
      </c>
      <c r="B32803" s="4" t="s">
        <v>41282</v>
      </c>
      <c r="C32803" s="5" t="str">
        <f>IFERROR(__xludf.DUMMYFUNCTION("GOOGLETRANSLATE(B32803,""en"",""es-ES"")"),"Luego, entonces la mujer puso una boquilla nueva para limpiar las superficies estrechas.")</f>
        <v>Luego, entonces la mujer puso una boquilla nueva para limpiar las superficies estrechas.</v>
      </c>
    </row>
    <row r="32804">
      <c r="A32804" s="4" t="s">
        <v>41277</v>
      </c>
      <c r="B32804" s="4" t="s">
        <v>41283</v>
      </c>
      <c r="C32804" s="5" t="str">
        <f>IFERROR(__xludf.DUMMYFUNCTION("GOOGLETRANSLATE(B32804,""en"",""es-ES"")"),"También la mujer mide la presión de succión y muestra el interior del vacío.")</f>
        <v>También la mujer mide la presión de succión y muestra el interior del vacío.</v>
      </c>
    </row>
    <row r="32805">
      <c r="A32805" s="4" t="s">
        <v>41284</v>
      </c>
      <c r="B32805" s="4" t="s">
        <v>41285</v>
      </c>
      <c r="C32805" s="5" t="str">
        <f>IFERROR(__xludf.DUMMYFUNCTION("GOOGLETRANSLATE(B32805,""en"",""es-ES"")"),"Vemos a dos chicas que representan a China de pie en tableros de buceo sobre una piscina olímpica y bucean al unísono y vemos sus puntajes.")</f>
        <v>Vemos a dos chicas que representan a China de pie en tableros de buceo sobre una piscina olímpica y bucean al unísono y vemos sus puntajes.</v>
      </c>
    </row>
    <row r="32806">
      <c r="A32806" s="4" t="s">
        <v>41284</v>
      </c>
      <c r="B32806" s="4" t="s">
        <v>41286</v>
      </c>
      <c r="C32806" s="5" t="str">
        <f>IFERROR(__xludf.DUMMYFUNCTION("GOOGLETRANSLATE(B32806,""en"",""es-ES"")"),"Luego vemos a dos chicas que representan a la inmersión de EE. UU. Al unísono y vemos sus puntajes.")</f>
        <v>Luego vemos a dos chicas que representan a la inmersión de EE. UU. Al unísono y vemos sus puntajes.</v>
      </c>
    </row>
    <row r="32807">
      <c r="A32807" s="4" t="s">
        <v>41284</v>
      </c>
      <c r="B32807" s="4" t="s">
        <v>41287</v>
      </c>
      <c r="C32807" s="5" t="str">
        <f>IFERROR(__xludf.DUMMYFUNCTION("GOOGLETRANSLATE(B32807,""en"",""es-ES"")"),"A continuación se muestran dos chicas que representan a Italia Bucing y se muestran puntajes.")</f>
        <v>A continuación se muestran dos chicas que representan a Italia Bucing y se muestran puntajes.</v>
      </c>
    </row>
    <row r="32808">
      <c r="A32808" s="4" t="s">
        <v>41284</v>
      </c>
      <c r="B32808" s="4" t="s">
        <v>41288</v>
      </c>
      <c r="C32808" s="5" t="str">
        <f>IFERROR(__xludf.DUMMYFUNCTION("GOOGLETRANSLATE(B32808,""en"",""es-ES"")"),"Alemania es el próximo equipo en bucear y los puntajes se muestran para ellos.")</f>
        <v>Alemania es el próximo equipo en bucear y los puntajes se muestran para ellos.</v>
      </c>
    </row>
    <row r="32809">
      <c r="A32809" s="4" t="s">
        <v>41289</v>
      </c>
      <c r="B32809" s="4" t="s">
        <v>41290</v>
      </c>
      <c r="C32809" s="5" t="str">
        <f>IFERROR(__xludf.DUMMYFUNCTION("GOOGLETRANSLATE(B32809,""en"",""es-ES"")"),"Se ve a un hombre hablando con la cámara mientras sostiene una armónica.")</f>
        <v>Se ve a un hombre hablando con la cámara mientras sostiene una armónica.</v>
      </c>
    </row>
    <row r="32810">
      <c r="A32810" s="4" t="s">
        <v>41289</v>
      </c>
      <c r="B32810" s="4" t="s">
        <v>41291</v>
      </c>
      <c r="C32810" s="5" t="str">
        <f>IFERROR(__xludf.DUMMYFUNCTION("GOOGLETRANSLATE(B32810,""en"",""es-ES"")"),"El hombre sopla en el instrumento mientras se detiene para hablar con la cámara.")</f>
        <v>El hombre sopla en el instrumento mientras se detiene para hablar con la cámara.</v>
      </c>
    </row>
    <row r="32811">
      <c r="A32811" s="4" t="s">
        <v>41289</v>
      </c>
      <c r="B32811" s="4" t="s">
        <v>41292</v>
      </c>
      <c r="C32811" s="5" t="str">
        <f>IFERROR(__xludf.DUMMYFUNCTION("GOOGLETRANSLATE(B32811,""en"",""es-ES"")"),"Continúa tocando el instrumento y deteniéndose para hablar con la cámara.")</f>
        <v>Continúa tocando el instrumento y deteniéndose para hablar con la cámara.</v>
      </c>
    </row>
    <row r="32812">
      <c r="A32812" s="4" t="s">
        <v>41293</v>
      </c>
      <c r="B32812" s="4" t="s">
        <v>41294</v>
      </c>
      <c r="C32812" s="5" t="str">
        <f>IFERROR(__xludf.DUMMYFUNCTION("GOOGLETRANSLATE(B32812,""en"",""es-ES"")"),"La gente está haciendo snowboard por una gran colina de nieve.")</f>
        <v>La gente está haciendo snowboard por una gran colina de nieve.</v>
      </c>
    </row>
    <row r="32813">
      <c r="A32813" s="4" t="s">
        <v>41293</v>
      </c>
      <c r="B32813" s="4" t="s">
        <v>41295</v>
      </c>
      <c r="C32813" s="5" t="str">
        <f>IFERROR(__xludf.DUMMYFUNCTION("GOOGLETRANSLATE(B32813,""en"",""es-ES"")"),"Una persona con una chaqueta verde está snowboard mientras sostiene una cámara frente a ellos.")</f>
        <v>Una persona con una chaqueta verde está snowboard mientras sostiene una cámara frente a ellos.</v>
      </c>
    </row>
    <row r="32814">
      <c r="A32814" s="4" t="s">
        <v>41293</v>
      </c>
      <c r="B32814" s="4" t="s">
        <v>41296</v>
      </c>
      <c r="C32814" s="5" t="str">
        <f>IFERROR(__xludf.DUMMYFUNCTION("GOOGLETRANSLATE(B32814,""en"",""es-ES"")"),"La gente llega al fondo y comienza a quitarse las tablas de snowboard.")</f>
        <v>La gente llega al fondo y comienza a quitarse las tablas de snowboard.</v>
      </c>
    </row>
    <row r="32815">
      <c r="A32815" s="4" t="s">
        <v>41297</v>
      </c>
      <c r="B32815" s="4" t="s">
        <v>41298</v>
      </c>
      <c r="C32815" s="5" t="str">
        <f>IFERROR(__xludf.DUMMYFUNCTION("GOOGLETRANSLATE(B32815,""en"",""es-ES"")"),"Hombres en la playa jugando voleibol en la arena.")</f>
        <v>Hombres en la playa jugando voleibol en la arena.</v>
      </c>
    </row>
    <row r="32816">
      <c r="A32816" s="4" t="s">
        <v>41297</v>
      </c>
      <c r="B32816" s="4" t="s">
        <v>41299</v>
      </c>
      <c r="C32816" s="5" t="str">
        <f>IFERROR(__xludf.DUMMYFUNCTION("GOOGLETRANSLATE(B32816,""en"",""es-ES"")"),"Uno de los muchachos golpea la pelota hacia el otro lado y la devolvieron.")</f>
        <v>Uno de los muchachos golpea la pelota hacia el otro lado y la devolvieron.</v>
      </c>
    </row>
    <row r="32817">
      <c r="A32817" s="4" t="s">
        <v>41297</v>
      </c>
      <c r="B32817" s="4" t="s">
        <v>41300</v>
      </c>
      <c r="C32817" s="5" t="str">
        <f>IFERROR(__xludf.DUMMYFUNCTION("GOOGLETRANSLATE(B32817,""en"",""es-ES"")"),"Luego, al otro lado de la playa, hay un grupo de mujeres que también juegan voleibol.")</f>
        <v>Luego, al otro lado de la playa, hay un grupo de mujeres que también juegan voleibol.</v>
      </c>
    </row>
    <row r="32818">
      <c r="A32818" s="4" t="s">
        <v>41297</v>
      </c>
      <c r="B32818" s="4" t="s">
        <v>41301</v>
      </c>
      <c r="C32818" s="5" t="str">
        <f>IFERROR(__xludf.DUMMYFUNCTION("GOOGLETRANSLATE(B32818,""en"",""es-ES"")"),"Están jugando un juego realmente bueno, una de las chicas aterriza en su estómago.")</f>
        <v>Están jugando un juego realmente bueno, una de las chicas aterriza en su estómago.</v>
      </c>
    </row>
    <row r="32819">
      <c r="A32819" s="4" t="s">
        <v>41302</v>
      </c>
      <c r="B32819" s="4" t="s">
        <v>41303</v>
      </c>
      <c r="C32819" s="5" t="str">
        <f>IFERROR(__xludf.DUMMYFUNCTION("GOOGLETRANSLATE(B32819,""en"",""es-ES"")"),"Un perro está nadando en una pequeña piscina.")</f>
        <v>Un perro está nadando en una pequeña piscina.</v>
      </c>
    </row>
    <row r="32820">
      <c r="A32820" s="4" t="s">
        <v>41302</v>
      </c>
      <c r="B32820" s="4" t="s">
        <v>41304</v>
      </c>
      <c r="C32820" s="5" t="str">
        <f>IFERROR(__xludf.DUMMYFUNCTION("GOOGLETRANSLATE(B32820,""en"",""es-ES"")"),"Está siendo frotado con champú.")</f>
        <v>Está siendo frotado con champú.</v>
      </c>
    </row>
    <row r="32821">
      <c r="A32821" s="4" t="s">
        <v>41302</v>
      </c>
      <c r="B32821" s="4" t="s">
        <v>41305</v>
      </c>
      <c r="C32821" s="5" t="str">
        <f>IFERROR(__xludf.DUMMYFUNCTION("GOOGLETRANSLATE(B32821,""en"",""es-ES"")"),"Está de vuelta en el agua limpiando.")</f>
        <v>Está de vuelta en el agua limpiando.</v>
      </c>
    </row>
    <row r="32822">
      <c r="A32822" s="4" t="s">
        <v>41302</v>
      </c>
      <c r="B32822" s="4" t="s">
        <v>41306</v>
      </c>
      <c r="C32822" s="5" t="str">
        <f>IFERROR(__xludf.DUMMYFUNCTION("GOOGLETRANSLATE(B32822,""en"",""es-ES"")"),"Una persona está rociando al perro con una manguera.")</f>
        <v>Una persona está rociando al perro con una manguera.</v>
      </c>
    </row>
    <row r="32823">
      <c r="A32823" s="4" t="s">
        <v>41302</v>
      </c>
      <c r="B32823" s="4" t="s">
        <v>41307</v>
      </c>
      <c r="C32823" s="5" t="str">
        <f>IFERROR(__xludf.DUMMYFUNCTION("GOOGLETRANSLATE(B32823,""en"",""es-ES"")"),"El perro se coloca en una pluma de metal.")</f>
        <v>El perro se coloca en una pluma de metal.</v>
      </c>
    </row>
    <row r="32824">
      <c r="A32824" s="4" t="s">
        <v>41308</v>
      </c>
      <c r="B32824" s="4" t="s">
        <v>41309</v>
      </c>
      <c r="C32824" s="5" t="str">
        <f>IFERROR(__xludf.DUMMYFUNCTION("GOOGLETRANSLATE(B32824,""en"",""es-ES"")"),"Una persona explica cómo jugar a la calabaza sosteniendo una raqueta y una pelota azul.")</f>
        <v>Una persona explica cómo jugar a la calabaza sosteniendo una raqueta y una pelota azul.</v>
      </c>
    </row>
    <row r="32825">
      <c r="A32825" s="4" t="s">
        <v>41308</v>
      </c>
      <c r="B32825" s="4" t="s">
        <v>41310</v>
      </c>
      <c r="C32825" s="5" t="str">
        <f>IFERROR(__xludf.DUMMYFUNCTION("GOOGLETRANSLATE(B32825,""en"",""es-ES"")"),"Luego, continúa explicando mostrando cómo golpear la pelota en la pared.")</f>
        <v>Luego, continúa explicando mostrando cómo golpear la pelota en la pared.</v>
      </c>
    </row>
    <row r="32826">
      <c r="A32826" s="4" t="s">
        <v>41311</v>
      </c>
      <c r="B32826" s="4" t="s">
        <v>41312</v>
      </c>
      <c r="C32826" s="5" t="str">
        <f>IFERROR(__xludf.DUMMYFUNCTION("GOOGLETRANSLATE(B32826,""en"",""es-ES"")"),"Se ve una bicicleta fuera de un edificio.")</f>
        <v>Se ve una bicicleta fuera de un edificio.</v>
      </c>
    </row>
    <row r="32827">
      <c r="A32827" s="4" t="s">
        <v>41311</v>
      </c>
      <c r="B32827" s="4" t="s">
        <v>41313</v>
      </c>
      <c r="C32827" s="5" t="str">
        <f>IFERROR(__xludf.DUMMYFUNCTION("GOOGLETRANSLATE(B32827,""en"",""es-ES"")"),"Un grupo de hombres está afuera, bebiendo mierda y hablando mientras juega a Beer Pong.")</f>
        <v>Un grupo de hombres está afuera, bebiendo mierda y hablando mientras juega a Beer Pong.</v>
      </c>
    </row>
    <row r="32828">
      <c r="A32828" s="4" t="s">
        <v>41311</v>
      </c>
      <c r="B32828" s="4" t="s">
        <v>41314</v>
      </c>
      <c r="C32828" s="5" t="str">
        <f>IFERROR(__xludf.DUMMYFUNCTION("GOOGLETRANSLATE(B32828,""en"",""es-ES"")"),"Intentan tirar la pelota a las gafas.")</f>
        <v>Intentan tirar la pelota a las gafas.</v>
      </c>
    </row>
    <row r="32829">
      <c r="A32829" s="4" t="s">
        <v>41311</v>
      </c>
      <c r="B32829" s="4" t="s">
        <v>41315</v>
      </c>
      <c r="C32829" s="5" t="str">
        <f>IFERROR(__xludf.DUMMYFUNCTION("GOOGLETRANSLATE(B32829,""en"",""es-ES"")"),"Se ríen y hablan mientras juegan.")</f>
        <v>Se ríen y hablan mientras juegan.</v>
      </c>
    </row>
    <row r="32830">
      <c r="A32830" s="4" t="s">
        <v>41316</v>
      </c>
      <c r="B32830" s="4" t="s">
        <v>41317</v>
      </c>
      <c r="C32830" s="5" t="str">
        <f>IFERROR(__xludf.DUMMYFUNCTION("GOOGLETRANSLATE(B32830,""en"",""es-ES"")"),"Se ve a una cámara panorámica alrededor de un gran lago seguido de una persona que pasaba en esquís detrás de una moto de agua.")</f>
        <v>Se ve a una cámara panorámica alrededor de un gran lago seguido de una persona que pasaba en esquís detrás de una moto de agua.</v>
      </c>
    </row>
    <row r="32831">
      <c r="A32831" s="4" t="s">
        <v>41316</v>
      </c>
      <c r="B32831" s="4" t="s">
        <v>41318</v>
      </c>
      <c r="C32831" s="5" t="str">
        <f>IFERROR(__xludf.DUMMYFUNCTION("GOOGLETRANSLATE(B32831,""en"",""es-ES"")"),"Se ven dos personas montando detrás de la moto de agua y continúan moviéndose por el agua.")</f>
        <v>Se ven dos personas montando detrás de la moto de agua y continúan moviéndose por el agua.</v>
      </c>
    </row>
    <row r="32832">
      <c r="A32832" s="4" t="s">
        <v>41319</v>
      </c>
      <c r="B32832" s="4" t="s">
        <v>41320</v>
      </c>
      <c r="C32832" s="5" t="str">
        <f>IFERROR(__xludf.DUMMYFUNCTION("GOOGLETRANSLATE(B32832,""en"",""es-ES"")"),"El jugador con camisa amarilla pateó la pelota hacia la portería, y el portero no pudo atraparlo, otro jugador con camisa roja pateó la pelota y el portero no pudo atraparlo.")</f>
        <v>El jugador con camisa amarilla pateó la pelota hacia la portería, y el portero no pudo atraparlo, otro jugador con camisa roja pateó la pelota y el portero no pudo atraparlo.</v>
      </c>
    </row>
    <row r="32833">
      <c r="A32833" s="4" t="s">
        <v>41319</v>
      </c>
      <c r="B32833" s="4" t="s">
        <v>41321</v>
      </c>
      <c r="C32833" s="5" t="str">
        <f>IFERROR(__xludf.DUMMYFUNCTION("GOOGLETRANSLATE(B32833,""en"",""es-ES"")"),"El portero está parado frente a la red, las multitudes están animando.")</f>
        <v>El portero está parado frente a la red, las multitudes están animando.</v>
      </c>
    </row>
    <row r="32834">
      <c r="A32834" s="4" t="s">
        <v>41322</v>
      </c>
      <c r="B32834" s="4" t="s">
        <v>41323</v>
      </c>
      <c r="C32834" s="5" t="str">
        <f>IFERROR(__xludf.DUMMYFUNCTION("GOOGLETRANSLATE(B32834,""en"",""es-ES"")"),"Se muestra una pantalla blanca y se muestran varias palabras en la pantalla.")</f>
        <v>Se muestra una pantalla blanca y se muestran varias palabras en la pantalla.</v>
      </c>
    </row>
    <row r="32835">
      <c r="A32835" s="4" t="s">
        <v>41322</v>
      </c>
      <c r="B32835" s="4" t="s">
        <v>41324</v>
      </c>
      <c r="C32835" s="5" t="str">
        <f>IFERROR(__xludf.DUMMYFUNCTION("GOOGLETRANSLATE(B32835,""en"",""es-ES"")"),"Luego se muestra una alfombra azul y un individuo comienza a barrer y colocando la alfombra azul contra la alfombra.")</f>
        <v>Luego se muestra una alfombra azul y un individuo comienza a barrer y colocando la alfombra azul contra la alfombra.</v>
      </c>
    </row>
    <row r="32836">
      <c r="A32836" s="4" t="s">
        <v>41322</v>
      </c>
      <c r="B32836" s="4" t="s">
        <v>41325</v>
      </c>
      <c r="C32836" s="5" t="str">
        <f>IFERROR(__xludf.DUMMYFUNCTION("GOOGLETRANSLATE(B32836,""en"",""es-ES"")"),"El hombre saca una cinta de medición y corta una pieza de la alfombra azul y continúa cubriendo el piso.")</f>
        <v>El hombre saca una cinta de medición y corta una pieza de la alfombra azul y continúa cubriendo el piso.</v>
      </c>
    </row>
    <row r="32837">
      <c r="A32837" s="4" t="s">
        <v>41326</v>
      </c>
      <c r="B32837" s="4" t="s">
        <v>41327</v>
      </c>
      <c r="C32837" s="5" t="str">
        <f>IFERROR(__xludf.DUMMYFUNCTION("GOOGLETRANSLATE(B32837,""en"",""es-ES"")"),"Se ve a dos personas jugando un juego de billar mientras otras miran a un lado y conversación.")</f>
        <v>Se ve a dos personas jugando un juego de billar mientras otras miran a un lado y conversación.</v>
      </c>
    </row>
    <row r="32838">
      <c r="A32838" s="4" t="s">
        <v>41326</v>
      </c>
      <c r="B32838" s="4" t="s">
        <v>41328</v>
      </c>
      <c r="C32838" s="5" t="str">
        <f>IFERROR(__xludf.DUMMYFUNCTION("GOOGLETRANSLATE(B32838,""en"",""es-ES"")"),"Los hombres continúan golpeando la pelota alrededor de la mesa y moviéndose.")</f>
        <v>Los hombres continúan golpeando la pelota alrededor de la mesa y moviéndose.</v>
      </c>
    </row>
    <row r="32839">
      <c r="A32839" s="4" t="s">
        <v>41329</v>
      </c>
      <c r="B32839" s="4" t="s">
        <v>41330</v>
      </c>
      <c r="C32839" s="5" t="str">
        <f>IFERROR(__xludf.DUMMYFUNCTION("GOOGLETRANSLATE(B32839,""en"",""es-ES"")"),"Dos hombres están afuera hablando entre ellos y comienzan a hacer estiramientos de brazo.")</f>
        <v>Dos hombres están afuera hablando entre ellos y comienzan a hacer estiramientos de brazo.</v>
      </c>
    </row>
    <row r="32840">
      <c r="A32840" s="4" t="s">
        <v>41329</v>
      </c>
      <c r="B32840" s="4" t="s">
        <v>41331</v>
      </c>
      <c r="C32840" s="5" t="str">
        <f>IFERROR(__xludf.DUMMYFUNCTION("GOOGLETRANSLATE(B32840,""en"",""es-ES"")"),"Luego se detienen y hacen una serie de rocas, papel, tijeras.")</f>
        <v>Luego se detienen y hacen una serie de rocas, papel, tijeras.</v>
      </c>
    </row>
    <row r="32841">
      <c r="A32841" s="4" t="s">
        <v>41332</v>
      </c>
      <c r="B32841" s="4" t="s">
        <v>41333</v>
      </c>
      <c r="C32841" s="5" t="str">
        <f>IFERROR(__xludf.DUMMYFUNCTION("GOOGLETRANSLATE(B32841,""en"",""es-ES"")"),"Varios niños pequeños conducen en autos de parachoques.")</f>
        <v>Varios niños pequeños conducen en autos de parachoques.</v>
      </c>
    </row>
    <row r="32842">
      <c r="A32842" s="4" t="s">
        <v>41332</v>
      </c>
      <c r="B32842" s="4" t="s">
        <v>41334</v>
      </c>
      <c r="C32842" s="5" t="str">
        <f>IFERROR(__xludf.DUMMYFUNCTION("GOOGLETRANSLATE(B32842,""en"",""es-ES"")"),"Uno de ellos gira continuamente en círculos.")</f>
        <v>Uno de ellos gira continuamente en círculos.</v>
      </c>
    </row>
    <row r="32843">
      <c r="A32843" s="4" t="s">
        <v>41332</v>
      </c>
      <c r="B32843" s="4" t="s">
        <v>41335</v>
      </c>
      <c r="C32843" s="5" t="str">
        <f>IFERROR(__xludf.DUMMYFUNCTION("GOOGLETRANSLATE(B32843,""en"",""es-ES"")"),"Ella monta sola después de que los demás se hayan ido.")</f>
        <v>Ella monta sola después de que los demás se hayan ido.</v>
      </c>
    </row>
    <row r="32844">
      <c r="A32844" s="4" t="s">
        <v>41336</v>
      </c>
      <c r="B32844" s="4" t="s">
        <v>41337</v>
      </c>
      <c r="C32844" s="5" t="str">
        <f>IFERROR(__xludf.DUMMYFUNCTION("GOOGLETRANSLATE(B32844,""en"",""es-ES"")"),"Vemos a una dama pintando sus uñas.")</f>
        <v>Vemos a una dama pintando sus uñas.</v>
      </c>
    </row>
    <row r="32845">
      <c r="A32845" s="4" t="s">
        <v>41336</v>
      </c>
      <c r="B32845" s="4" t="s">
        <v>41338</v>
      </c>
      <c r="C32845" s="5" t="str">
        <f>IFERROR(__xludf.DUMMYFUNCTION("GOOGLETRANSLATE(B32845,""en"",""es-ES"")"),"Vemos una pantalla de títulos.")</f>
        <v>Vemos una pantalla de títulos.</v>
      </c>
    </row>
    <row r="32846">
      <c r="A32846" s="4" t="s">
        <v>41336</v>
      </c>
      <c r="B32846" s="4" t="s">
        <v>41339</v>
      </c>
      <c r="C32846" s="5" t="str">
        <f>IFERROR(__xludf.DUMMYFUNCTION("GOOGLETRANSLATE(B32846,""en"",""es-ES"")"),"La dama archiva y se pone una capa transparente.")</f>
        <v>La dama archiva y se pone una capa transparente.</v>
      </c>
    </row>
    <row r="32847">
      <c r="A32847" s="4" t="s">
        <v>41336</v>
      </c>
      <c r="B32847" s="4" t="s">
        <v>41340</v>
      </c>
      <c r="C32847" s="5" t="str">
        <f>IFERROR(__xludf.DUMMYFUNCTION("GOOGLETRANSLATE(B32847,""en"",""es-ES"")"),"La señora pinta las uñas de los dedos azules.")</f>
        <v>La señora pinta las uñas de los dedos azules.</v>
      </c>
    </row>
    <row r="32848">
      <c r="A32848" s="4" t="s">
        <v>41336</v>
      </c>
      <c r="B32848" s="4" t="s">
        <v>41341</v>
      </c>
      <c r="C32848" s="5" t="str">
        <f>IFERROR(__xludf.DUMMYFUNCTION("GOOGLETRANSLATE(B32848,""en"",""es-ES"")"),"La señora agrega una capa superior de esmalte transparente.")</f>
        <v>La señora agrega una capa superior de esmalte transparente.</v>
      </c>
    </row>
    <row r="32849">
      <c r="A32849" s="4" t="s">
        <v>41336</v>
      </c>
      <c r="B32849" s="4" t="s">
        <v>41342</v>
      </c>
      <c r="C32849" s="5" t="str">
        <f>IFERROR(__xludf.DUMMYFUNCTION("GOOGLETRANSLATE(B32849,""en"",""es-ES"")"),"La señora pone aceite en sus cutículas y vemos el producto terminado.")</f>
        <v>La señora pone aceite en sus cutículas y vemos el producto terminado.</v>
      </c>
    </row>
    <row r="32850">
      <c r="A32850" s="4" t="s">
        <v>41336</v>
      </c>
      <c r="B32850" s="4" t="s">
        <v>777</v>
      </c>
      <c r="C32850" s="5" t="str">
        <f>IFERROR(__xludf.DUMMYFUNCTION("GOOGLETRANSLATE(B32850,""en"",""es-ES"")"),"Vemos la pantalla de título final.")</f>
        <v>Vemos la pantalla de título final.</v>
      </c>
    </row>
    <row r="32851">
      <c r="A32851" s="4" t="s">
        <v>41343</v>
      </c>
      <c r="B32851" s="4" t="s">
        <v>41344</v>
      </c>
      <c r="C32851" s="5" t="str">
        <f>IFERROR(__xludf.DUMMYFUNCTION("GOOGLETRANSLATE(B32851,""en"",""es-ES"")"),"Se muestra a esta mujer tocando la armónica negra.")</f>
        <v>Se muestra a esta mujer tocando la armónica negra.</v>
      </c>
    </row>
    <row r="32852">
      <c r="A32852" s="4" t="s">
        <v>41343</v>
      </c>
      <c r="B32852" s="4" t="s">
        <v>41345</v>
      </c>
      <c r="C32852" s="5" t="str">
        <f>IFERROR(__xludf.DUMMYFUNCTION("GOOGLETRANSLATE(B32852,""en"",""es-ES"")"),"Se detiene un poco, pero luego sigue adelante.")</f>
        <v>Se detiene un poco, pero luego sigue adelante.</v>
      </c>
    </row>
    <row r="32853">
      <c r="A32853" s="4" t="s">
        <v>41346</v>
      </c>
      <c r="B32853" s="4" t="s">
        <v>41347</v>
      </c>
      <c r="C32853" s="5" t="str">
        <f>IFERROR(__xludf.DUMMYFUNCTION("GOOGLETRANSLATE(B32853,""en"",""es-ES"")"),"Un hombre negro alto está parado afuera aplaudiendo tratando de ganar la participación de la multitud.")</f>
        <v>Un hombre negro alto está parado afuera aplaudiendo tratando de ganar la participación de la multitud.</v>
      </c>
    </row>
    <row r="32854">
      <c r="A32854" s="4" t="s">
        <v>41346</v>
      </c>
      <c r="B32854" s="4" t="s">
        <v>41348</v>
      </c>
      <c r="C32854" s="5" t="str">
        <f>IFERROR(__xludf.DUMMYFUNCTION("GOOGLETRANSLATE(B32854,""en"",""es-ES"")"),"El atleta luego despega y hace un triple salto al pozo.")</f>
        <v>El atleta luego despega y hace un triple salto al pozo.</v>
      </c>
    </row>
    <row r="32855">
      <c r="A32855" s="4" t="s">
        <v>41346</v>
      </c>
      <c r="B32855" s="4" t="s">
        <v>41349</v>
      </c>
      <c r="C32855" s="5" t="str">
        <f>IFERROR(__xludf.DUMMYFUNCTION("GOOGLETRANSLATE(B32855,""en"",""es-ES"")"),"Una vez que sale del pozo, camina y se muestra una repetición para asegurarse de que no se rascara y el salto se puede contar.")</f>
        <v>Una vez que sale del pozo, camina y se muestra una repetición para asegurarse de que no se rascara y el salto se puede contar.</v>
      </c>
    </row>
    <row r="32856">
      <c r="A32856" s="4" t="s">
        <v>41346</v>
      </c>
      <c r="B32856" s="4" t="s">
        <v>41350</v>
      </c>
      <c r="C32856" s="5" t="str">
        <f>IFERROR(__xludf.DUMMYFUNCTION("GOOGLETRANSLATE(B32856,""en"",""es-ES"")"),"Otro hombre se acerca a la carrera y repite el mismo paso, pero termina rascándose.")</f>
        <v>Otro hombre se acerca a la carrera y repite el mismo paso, pero termina rascándose.</v>
      </c>
    </row>
    <row r="32857">
      <c r="A32857" s="4" t="s">
        <v>41351</v>
      </c>
      <c r="B32857" s="4" t="s">
        <v>41352</v>
      </c>
      <c r="C32857" s="5" t="str">
        <f>IFERROR(__xludf.DUMMYFUNCTION("GOOGLETRANSLATE(B32857,""en"",""es-ES"")"),"La gente vuela cometas desde una azotea que contiene piscinas de cuerdas de cometas.")</f>
        <v>La gente vuela cometas desde una azotea que contiene piscinas de cuerdas de cometas.</v>
      </c>
    </row>
    <row r="32858">
      <c r="A32858" s="4" t="s">
        <v>41351</v>
      </c>
      <c r="B32858" s="4" t="s">
        <v>41353</v>
      </c>
      <c r="C32858" s="5" t="str">
        <f>IFERROR(__xludf.DUMMYFUNCTION("GOOGLETRANSLATE(B32858,""en"",""es-ES"")"),"Varias cometas vuelan en el cielo.")</f>
        <v>Varias cometas vuelan en el cielo.</v>
      </c>
    </row>
    <row r="32859">
      <c r="A32859" s="4" t="s">
        <v>41351</v>
      </c>
      <c r="B32859" s="4" t="s">
        <v>41354</v>
      </c>
      <c r="C32859" s="5" t="str">
        <f>IFERROR(__xludf.DUMMYFUNCTION("GOOGLETRANSLATE(B32859,""en"",""es-ES"")"),"Un hombre sostiene una piscina de cuerdas de cometas mientras vuela una cometa.")</f>
        <v>Un hombre sostiene una piscina de cuerdas de cometas mientras vuela una cometa.</v>
      </c>
    </row>
    <row r="32860">
      <c r="A32860" s="4" t="s">
        <v>41355</v>
      </c>
      <c r="B32860" s="4" t="s">
        <v>41356</v>
      </c>
      <c r="C32860" s="5" t="str">
        <f>IFERROR(__xludf.DUMMYFUNCTION("GOOGLETRANSLATE(B32860,""en"",""es-ES"")"),"Se muestra a un hombre sosteniendo un trozo de metal y lo coloca a lo largo de una pared.")</f>
        <v>Se muestra a un hombre sosteniendo un trozo de metal y lo coloca a lo largo de una pared.</v>
      </c>
    </row>
    <row r="32861">
      <c r="A32861" s="4" t="s">
        <v>41355</v>
      </c>
      <c r="B32861" s="4" t="s">
        <v>41357</v>
      </c>
      <c r="C32861" s="5" t="str">
        <f>IFERROR(__xludf.DUMMYFUNCTION("GOOGLETRANSLATE(B32861,""en"",""es-ES"")"),"Luego pone yeso a lo largo del metal y frota la lijadora por toda la pared mientras aún mira hacia la cámara.")</f>
        <v>Luego pone yeso a lo largo del metal y frota la lijadora por toda la pared mientras aún mira hacia la cámara.</v>
      </c>
    </row>
    <row r="32862">
      <c r="A32862" s="4" t="s">
        <v>41358</v>
      </c>
      <c r="B32862" s="4" t="s">
        <v>41359</v>
      </c>
      <c r="C32862" s="5" t="str">
        <f>IFERROR(__xludf.DUMMYFUNCTION("GOOGLETRANSLATE(B32862,""en"",""es-ES"")"),"Dos equipos juegan un juego de fútbol interior.")</f>
        <v>Dos equipos juegan un juego de fútbol interior.</v>
      </c>
    </row>
    <row r="32863">
      <c r="A32863" s="4" t="s">
        <v>41358</v>
      </c>
      <c r="B32863" s="4" t="s">
        <v>41360</v>
      </c>
      <c r="C32863" s="5" t="str">
        <f>IFERROR(__xludf.DUMMYFUNCTION("GOOGLETRANSLATE(B32863,""en"",""es-ES"")"),"Los jugadores del equipo blanco driblaron y pasan la pelota por todo el campo y se ganan un gol.")</f>
        <v>Los jugadores del equipo blanco driblaron y pasan la pelota por todo el campo y se ganan un gol.</v>
      </c>
    </row>
    <row r="32864">
      <c r="A32864" s="4" t="s">
        <v>41358</v>
      </c>
      <c r="B32864" s="4" t="s">
        <v>41361</v>
      </c>
      <c r="C32864" s="5" t="str">
        <f>IFERROR(__xludf.DUMMYFUNCTION("GOOGLETRANSLATE(B32864,""en"",""es-ES"")"),"Los jugadores del equipo azul dribble y pasan todo el camino hacia abajo y se ganan un gol.")</f>
        <v>Los jugadores del equipo azul dribble y pasan todo el camino hacia abajo y se ganan un gol.</v>
      </c>
    </row>
    <row r="32865">
      <c r="A32865" s="4" t="s">
        <v>41358</v>
      </c>
      <c r="B32865" s="4" t="s">
        <v>41362</v>
      </c>
      <c r="C32865" s="5" t="str">
        <f>IFERROR(__xludf.DUMMYFUNCTION("GOOGLETRANSLATE(B32865,""en"",""es-ES"")"),"Un miembro del equipo azul lucha contra dos defensores cerca de la portería y hace un punto.")</f>
        <v>Un miembro del equipo azul lucha contra dos defensores cerca de la portería y hace un punto.</v>
      </c>
    </row>
    <row r="32866">
      <c r="A32866" s="4" t="s">
        <v>41358</v>
      </c>
      <c r="B32866" s="4" t="s">
        <v>41363</v>
      </c>
      <c r="C32866" s="5" t="str">
        <f>IFERROR(__xludf.DUMMYFUNCTION("GOOGLETRANSLATE(B32866,""en"",""es-ES"")"),"Los jugadores toman patadas en la esquina y ayudan a un gol.")</f>
        <v>Los jugadores toman patadas en la esquina y ayudan a un gol.</v>
      </c>
    </row>
    <row r="32867">
      <c r="A32867" s="4" t="s">
        <v>41364</v>
      </c>
      <c r="B32867" s="4" t="s">
        <v>41365</v>
      </c>
      <c r="C32867" s="5" t="str">
        <f>IFERROR(__xludf.DUMMYFUNCTION("GOOGLETRANSLATE(B32867,""en"",""es-ES"")"),"Dos mujeres fuman una narguile mientras se sientan en un sofá.")</f>
        <v>Dos mujeres fuman una narguile mientras se sientan en un sofá.</v>
      </c>
    </row>
    <row r="32868">
      <c r="A32868" s="4" t="s">
        <v>41364</v>
      </c>
      <c r="B32868" s="4" t="s">
        <v>41366</v>
      </c>
      <c r="C32868" s="5" t="str">
        <f>IFERROR(__xludf.DUMMYFUNCTION("GOOGLETRANSLATE(B32868,""en"",""es-ES"")"),"Se turnan para recibir golpes y soplar humo.")</f>
        <v>Se turnan para recibir golpes y soplar humo.</v>
      </c>
    </row>
    <row r="32869">
      <c r="A32869" s="4" t="s">
        <v>41364</v>
      </c>
      <c r="B32869" s="4" t="s">
        <v>41367</v>
      </c>
      <c r="C32869" s="5" t="str">
        <f>IFERROR(__xludf.DUMMYFUNCTION("GOOGLETRANSLATE(B32869,""en"",""es-ES"")"),"Están soplando el humo en anillos hacia la cámara.")</f>
        <v>Están soplando el humo en anillos hacia la cámara.</v>
      </c>
    </row>
    <row r="32870">
      <c r="A32870" s="4" t="s">
        <v>41368</v>
      </c>
      <c r="B32870" s="4" t="s">
        <v>41369</v>
      </c>
      <c r="C32870" s="5" t="str">
        <f>IFERROR(__xludf.DUMMYFUNCTION("GOOGLETRANSLATE(B32870,""en"",""es-ES"")"),"Un hombre de pie en un patio habla con la cámara sobre su patio.")</f>
        <v>Un hombre de pie en un patio habla con la cámara sobre su patio.</v>
      </c>
    </row>
    <row r="32871">
      <c r="A32871" s="4" t="s">
        <v>41368</v>
      </c>
      <c r="B32871" s="4" t="s">
        <v>41370</v>
      </c>
      <c r="C32871" s="5" t="str">
        <f>IFERROR(__xludf.DUMMYFUNCTION("GOOGLETRANSLATE(B32871,""en"",""es-ES"")"),"El hombre se mueve que tenía al otro lado del patio.")</f>
        <v>El hombre se mueve que tenía al otro lado del patio.</v>
      </c>
    </row>
    <row r="32872">
      <c r="A32872" s="4" t="s">
        <v>41368</v>
      </c>
      <c r="B32872" s="4" t="s">
        <v>41371</v>
      </c>
      <c r="C32872" s="5" t="str">
        <f>IFERROR(__xludf.DUMMYFUNCTION("GOOGLETRANSLATE(B32872,""en"",""es-ES"")"),"El hombre luego corta su césped con su cortacésped.")</f>
        <v>El hombre luego corta su césped con su cortacésped.</v>
      </c>
    </row>
    <row r="32873">
      <c r="A32873" s="4" t="s">
        <v>41368</v>
      </c>
      <c r="B32873" s="4" t="s">
        <v>41372</v>
      </c>
      <c r="C32873" s="5" t="str">
        <f>IFERROR(__xludf.DUMMYFUNCTION("GOOGLETRANSLATE(B32873,""en"",""es-ES"")"),"El hombre se detiene y muestra el cable eléctrico en su cortacésped.")</f>
        <v>El hombre se detiene y muestra el cable eléctrico en su cortacésped.</v>
      </c>
    </row>
    <row r="32874">
      <c r="A32874" s="4" t="s">
        <v>41373</v>
      </c>
      <c r="B32874" s="4" t="s">
        <v>41374</v>
      </c>
      <c r="C32874" s="5" t="str">
        <f>IFERROR(__xludf.DUMMYFUNCTION("GOOGLETRANSLATE(B32874,""en"",""es-ES"")"),"Vemos a una dama parada en un estudio de noticias hablando con la cámara.")</f>
        <v>Vemos a una dama parada en un estudio de noticias hablando con la cámara.</v>
      </c>
    </row>
    <row r="32875">
      <c r="A32875" s="4" t="s">
        <v>41373</v>
      </c>
      <c r="B32875" s="4" t="s">
        <v>41375</v>
      </c>
      <c r="C32875" s="5" t="str">
        <f>IFERROR(__xludf.DUMMYFUNCTION("GOOGLETRANSLATE(B32875,""en"",""es-ES"")"),"Luego vemos personas en un campo en caballos.")</f>
        <v>Luego vemos personas en un campo en caballos.</v>
      </c>
    </row>
    <row r="32876">
      <c r="A32876" s="4" t="s">
        <v>41373</v>
      </c>
      <c r="B32876" s="4" t="s">
        <v>41376</v>
      </c>
      <c r="C32876" s="5" t="str">
        <f>IFERROR(__xludf.DUMMYFUNCTION("GOOGLETRANSLATE(B32876,""en"",""es-ES"")"),"La gente está jugando polo en los caballos.")</f>
        <v>La gente está jugando polo en los caballos.</v>
      </c>
    </row>
    <row r="32877">
      <c r="A32877" s="4" t="s">
        <v>41373</v>
      </c>
      <c r="B32877" s="4" t="s">
        <v>41377</v>
      </c>
      <c r="C32877" s="5" t="str">
        <f>IFERROR(__xludf.DUMMYFUNCTION("GOOGLETRANSLATE(B32877,""en"",""es-ES"")"),"Vemos a un hombre hablando con la cámara.")</f>
        <v>Vemos a un hombre hablando con la cámara.</v>
      </c>
    </row>
    <row r="32878">
      <c r="A32878" s="4" t="s">
        <v>41373</v>
      </c>
      <c r="B32878" s="4" t="s">
        <v>41378</v>
      </c>
      <c r="C32878" s="5" t="str">
        <f>IFERROR(__xludf.DUMMYFUNCTION("GOOGLETRANSLATE(B32878,""en"",""es-ES"")"),"Luego vemos a la gente jugando de nuevo.")</f>
        <v>Luego vemos a la gente jugando de nuevo.</v>
      </c>
    </row>
    <row r="32879">
      <c r="A32879" s="4" t="s">
        <v>41373</v>
      </c>
      <c r="B32879" s="4" t="s">
        <v>41379</v>
      </c>
      <c r="C32879" s="5" t="str">
        <f>IFERROR(__xludf.DUMMYFUNCTION("GOOGLETRANSLATE(B32879,""en"",""es-ES"")"),"El hombre está hablando con la cámara nuevamente.")</f>
        <v>El hombre está hablando con la cámara nuevamente.</v>
      </c>
    </row>
    <row r="32880">
      <c r="A32880" s="4" t="s">
        <v>41373</v>
      </c>
      <c r="B32880" s="4" t="s">
        <v>41380</v>
      </c>
      <c r="C32880" s="5" t="str">
        <f>IFERROR(__xludf.DUMMYFUNCTION("GOOGLETRANSLATE(B32880,""en"",""es-ES"")"),"Vemos a los jugadores de polos en sus caballos.")</f>
        <v>Vemos a los jugadores de polos en sus caballos.</v>
      </c>
    </row>
    <row r="32881">
      <c r="A32881" s="4" t="s">
        <v>41373</v>
      </c>
      <c r="B32881" s="4" t="s">
        <v>41381</v>
      </c>
      <c r="C32881" s="5" t="str">
        <f>IFERROR(__xludf.DUMMYFUNCTION("GOOGLETRANSLATE(B32881,""en"",""es-ES"")"),"Un hombre sostiene licor frente a una boca de caballos, vemos nuevamente el presentador de noticias.")</f>
        <v>Un hombre sostiene licor frente a una boca de caballos, vemos nuevamente el presentador de noticias.</v>
      </c>
    </row>
    <row r="32882">
      <c r="A32882" s="4" t="s">
        <v>41382</v>
      </c>
      <c r="B32882" s="4" t="s">
        <v>41383</v>
      </c>
      <c r="C32882" s="5" t="str">
        <f>IFERROR(__xludf.DUMMYFUNCTION("GOOGLETRANSLATE(B32882,""en"",""es-ES"")"),"Una mujer está de pie en un patio cerrado junto a una niña en un caballo.")</f>
        <v>Una mujer está de pie en un patio cerrado junto a una niña en un caballo.</v>
      </c>
    </row>
    <row r="32883">
      <c r="A32883" s="4" t="s">
        <v>41382</v>
      </c>
      <c r="B32883" s="4" t="s">
        <v>41384</v>
      </c>
      <c r="C32883" s="5" t="str">
        <f>IFERROR(__xludf.DUMMYFUNCTION("GOOGLETRANSLATE(B32883,""en"",""es-ES"")"),"Se aleja cuando la niña monta el caballo cuidadosamente alrededor de la cerca.")</f>
        <v>Se aleja cuando la niña monta el caballo cuidadosamente alrededor de la cerca.</v>
      </c>
    </row>
    <row r="32884">
      <c r="A32884" s="4" t="s">
        <v>41382</v>
      </c>
      <c r="B32884" s="4" t="s">
        <v>41385</v>
      </c>
      <c r="C32884" s="5" t="str">
        <f>IFERROR(__xludf.DUMMYFUNCTION("GOOGLETRANSLATE(B32884,""en"",""es-ES"")"),"Luego lleva al caballo a un trote de luz mientras viaja.")</f>
        <v>Luego lleva al caballo a un trote de luz mientras viaja.</v>
      </c>
    </row>
    <row r="32885">
      <c r="A32885" s="4" t="s">
        <v>41386</v>
      </c>
      <c r="B32885" s="4" t="s">
        <v>41387</v>
      </c>
      <c r="C32885" s="5" t="str">
        <f>IFERROR(__xludf.DUMMYFUNCTION("GOOGLETRANSLATE(B32885,""en"",""es-ES"")"),"Un hombre sin camisa raspa la grava que techos con una pala.")</f>
        <v>Un hombre sin camisa raspa la grava que techos con una pala.</v>
      </c>
    </row>
    <row r="32886">
      <c r="A32886" s="4" t="s">
        <v>41386</v>
      </c>
      <c r="B32886" s="4" t="s">
        <v>41388</v>
      </c>
      <c r="C32886" s="5" t="str">
        <f>IFERROR(__xludf.DUMMYFUNCTION("GOOGLETRANSLATE(B32886,""en"",""es-ES"")"),"El hombre se detiene y se apoya en la pala por un momento para ver la cantidad de trabajo que está por delante de él.")</f>
        <v>El hombre se detiene y se apoya en la pala por un momento para ver la cantidad de trabajo que está por delante de él.</v>
      </c>
    </row>
    <row r="32887">
      <c r="A32887" s="4" t="s">
        <v>41386</v>
      </c>
      <c r="B32887" s="4" t="s">
        <v>41389</v>
      </c>
      <c r="C32887" s="5" t="str">
        <f>IFERROR(__xludf.DUMMYFUNCTION("GOOGLETRANSLATE(B32887,""en"",""es-ES"")"),"El hombre continúa raspando el techo de grava y gira con la espalda hacia la cámara.")</f>
        <v>El hombre continúa raspando el techo de grava y gira con la espalda hacia la cámara.</v>
      </c>
    </row>
    <row r="32888">
      <c r="A32888" s="4" t="s">
        <v>41390</v>
      </c>
      <c r="B32888" s="4" t="s">
        <v>41391</v>
      </c>
      <c r="C32888" s="5" t="str">
        <f>IFERROR(__xludf.DUMMYFUNCTION("GOOGLETRANSLATE(B32888,""en"",""es-ES"")"),"Se ve a dos hombres parados alrededor de una mesa de barro seguido de los hombres que golpean discos en todos los ámbitos.")</f>
        <v>Se ve a dos hombres parados alrededor de una mesa de barro seguido de los hombres que golpean discos en todos los ámbitos.</v>
      </c>
    </row>
    <row r="32889">
      <c r="A32889" s="4" t="s">
        <v>41390</v>
      </c>
      <c r="B32889" s="4" t="s">
        <v>41392</v>
      </c>
      <c r="C32889" s="5" t="str">
        <f>IFERROR(__xludf.DUMMYFUNCTION("GOOGLETRANSLATE(B32889,""en"",""es-ES"")"),"Los hombres continúan golpeando los discos y al final al final.")</f>
        <v>Los hombres continúan golpeando los discos y al final al final.</v>
      </c>
    </row>
    <row r="32890">
      <c r="A32890" s="4" t="s">
        <v>41393</v>
      </c>
      <c r="B32890" s="4" t="s">
        <v>41394</v>
      </c>
      <c r="C32890" s="5" t="str">
        <f>IFERROR(__xludf.DUMMYFUNCTION("GOOGLETRANSLATE(B32890,""en"",""es-ES"")"),"Las noches oscuras se muestran con un rayo que parpadean por el cielo.")</f>
        <v>Las noches oscuras se muestran con un rayo que parpadean por el cielo.</v>
      </c>
    </row>
    <row r="32891">
      <c r="A32891" s="4" t="s">
        <v>41393</v>
      </c>
      <c r="B32891" s="4" t="s">
        <v>41395</v>
      </c>
      <c r="C32891" s="5" t="str">
        <f>IFERROR(__xludf.DUMMYFUNCTION("GOOGLETRANSLATE(B32891,""en"",""es-ES"")"),"Después, el video comienza y varias personas se muestran en un gran bote navegando en el agua.")</f>
        <v>Después, el video comienza y varias personas se muestran en un gran bote navegando en el agua.</v>
      </c>
    </row>
    <row r="32892">
      <c r="A32892" s="4" t="s">
        <v>41393</v>
      </c>
      <c r="B32892" s="4" t="s">
        <v>41396</v>
      </c>
      <c r="C32892" s="5" t="str">
        <f>IFERROR(__xludf.DUMMYFUNCTION("GOOGLETRANSLATE(B32892,""en"",""es-ES"")"),"El clima comienza a volverse desagradable y la gente tiene que aferrarse a querida vida para que no mueran.")</f>
        <v>El clima comienza a volverse desagradable y la gente tiene que aferrarse a querida vida para que no mueran.</v>
      </c>
    </row>
    <row r="32893">
      <c r="A32893" s="4" t="s">
        <v>41393</v>
      </c>
      <c r="B32893" s="4" t="s">
        <v>41397</v>
      </c>
      <c r="C32893" s="5" t="str">
        <f>IFERROR(__xludf.DUMMYFUNCTION("GOOGLETRANSLATE(B32893,""en"",""es-ES"")"),"En un caso, el bote comienza a inclinarse hacia un lado y la gente salta de alegría que no se dio una propina mientras el horrible clima continúa.")</f>
        <v>En un caso, el bote comienza a inclinarse hacia un lado y la gente salta de alegría que no se dio una propina mientras el horrible clima continúa.</v>
      </c>
    </row>
    <row r="32894">
      <c r="A32894" s="4" t="s">
        <v>41398</v>
      </c>
      <c r="B32894" s="4" t="s">
        <v>41399</v>
      </c>
      <c r="C32894" s="5" t="str">
        <f>IFERROR(__xludf.DUMMYFUNCTION("GOOGLETRANSLATE(B32894,""en"",""es-ES"")"),"Un grupo de corredores está en una calle, y un maratonista de Boston que ha roto un récord se muestra hablando en una entrevista después de celebrar.")</f>
        <v>Un grupo de corredores está en una calle, y un maratonista de Boston que ha roto un récord se muestra hablando en una entrevista después de celebrar.</v>
      </c>
    </row>
    <row r="32895">
      <c r="A32895" s="4" t="s">
        <v>41398</v>
      </c>
      <c r="B32895" s="4" t="s">
        <v>41400</v>
      </c>
      <c r="C32895" s="5" t="str">
        <f>IFERROR(__xludf.DUMMYFUNCTION("GOOGLETRANSLATE(B32895,""en"",""es-ES"")"),"Se muestran ruedas de noticias hablando sobre el hombre y otros cuando llegan al final del maratón.")</f>
        <v>Se muestran ruedas de noticias hablando sobre el hombre y otros cuando llegan al final del maratón.</v>
      </c>
    </row>
    <row r="32896">
      <c r="A32896" s="4" t="s">
        <v>41398</v>
      </c>
      <c r="B32896" s="4" t="s">
        <v>41401</v>
      </c>
      <c r="C32896" s="5" t="str">
        <f>IFERROR(__xludf.DUMMYFUNCTION("GOOGLETRANSLATE(B32896,""en"",""es-ES"")"),"Los corredores se muestran como un grupo, ya que los hombres se vistieron como soldadores británicos promulgan una obra de teatro para las multitudes.")</f>
        <v>Los corredores se muestran como un grupo, ya que los hombres se vistieron como soldadores británicos promulgan una obra de teatro para las multitudes.</v>
      </c>
    </row>
    <row r="32897">
      <c r="A32897" s="4" t="s">
        <v>41402</v>
      </c>
      <c r="B32897" s="4" t="s">
        <v>41403</v>
      </c>
      <c r="C32897" s="5" t="str">
        <f>IFERROR(__xludf.DUMMYFUNCTION("GOOGLETRANSLATE(B32897,""en"",""es-ES"")"),"Un hombre con suéter de durazno está patinando y luego cayó al suelo.")</f>
        <v>Un hombre con suéter de durazno está patinando y luego cayó al suelo.</v>
      </c>
    </row>
    <row r="32898">
      <c r="A32898" s="4" t="s">
        <v>41402</v>
      </c>
      <c r="B32898" s="4" t="s">
        <v>41404</v>
      </c>
      <c r="C32898" s="5" t="str">
        <f>IFERROR(__xludf.DUMMYFUNCTION("GOOGLETRANSLATE(B32898,""en"",""es-ES"")"),"Un hombre con parada naranja es patinar en la calle oscura y cayó al suelo.")</f>
        <v>Un hombre con parada naranja es patinar en la calle oscura y cayó al suelo.</v>
      </c>
    </row>
    <row r="32899">
      <c r="A32899" s="4" t="s">
        <v>41402</v>
      </c>
      <c r="B32899" s="4" t="s">
        <v>41405</v>
      </c>
      <c r="C32899" s="5" t="str">
        <f>IFERROR(__xludf.DUMMYFUNCTION("GOOGLETRANSLATE(B32899,""en"",""es-ES"")"),"Un hombre con patineta negra por el camino ancho y cayó al costado de la carretera, el hombre mostró sus cortes sangrantes frente a la cámara.")</f>
        <v>Un hombre con patineta negra por el camino ancho y cayó al costado de la carretera, el hombre mostró sus cortes sangrantes frente a la cámara.</v>
      </c>
    </row>
    <row r="32900">
      <c r="A32900" s="4" t="s">
        <v>41402</v>
      </c>
      <c r="B32900" s="4" t="s">
        <v>41406</v>
      </c>
      <c r="C32900" s="5" t="str">
        <f>IFERROR(__xludf.DUMMYFUNCTION("GOOGLETRANSLATE(B32900,""en"",""es-ES"")"),"A The Skateboarders se están cayendo de sus patinetas.")</f>
        <v>A The Skateboarders se están cayendo de sus patinetas.</v>
      </c>
    </row>
    <row r="32901">
      <c r="A32901" s="4" t="s">
        <v>41407</v>
      </c>
      <c r="B32901" s="4" t="s">
        <v>41408</v>
      </c>
      <c r="C32901" s="5" t="str">
        <f>IFERROR(__xludf.DUMMYFUNCTION("GOOGLETRANSLATE(B32901,""en"",""es-ES"")"),"Un hombre está hablando frente a una red en un patio.")</f>
        <v>Un hombre está hablando frente a una red en un patio.</v>
      </c>
    </row>
    <row r="32902">
      <c r="A32902" s="4" t="s">
        <v>41407</v>
      </c>
      <c r="B32902" s="4" t="s">
        <v>41409</v>
      </c>
      <c r="C32902" s="5" t="str">
        <f>IFERROR(__xludf.DUMMYFUNCTION("GOOGLETRANSLATE(B32902,""en"",""es-ES"")"),"Se ve a dos niños golpeando una pelota en la red.")</f>
        <v>Se ve a dos niños golpeando una pelota en la red.</v>
      </c>
    </row>
    <row r="32903">
      <c r="A32903" s="4" t="s">
        <v>41407</v>
      </c>
      <c r="B32903" s="4" t="s">
        <v>41410</v>
      </c>
      <c r="C32903" s="5" t="str">
        <f>IFERROR(__xludf.DUMMYFUNCTION("GOOGLETRANSLATE(B32903,""en"",""es-ES"")"),"Luego vemos un juego en un campo con hombres golpeando pelotas con redes en la meta.")</f>
        <v>Luego vemos un juego en un campo con hombres golpeando pelotas con redes en la meta.</v>
      </c>
    </row>
    <row r="32904">
      <c r="A32904" s="4" t="s">
        <v>41411</v>
      </c>
      <c r="B32904" s="4" t="s">
        <v>41412</v>
      </c>
      <c r="C32904" s="5" t="str">
        <f>IFERROR(__xludf.DUMMYFUNCTION("GOOGLETRANSLATE(B32904,""en"",""es-ES"")"),"Se muestra a un grupo de animadoras practicando su rutina en un gimnasio.")</f>
        <v>Se muestra a un grupo de animadoras practicando su rutina en un gimnasio.</v>
      </c>
    </row>
    <row r="32905">
      <c r="A32905" s="4" t="s">
        <v>41411</v>
      </c>
      <c r="B32905" s="4" t="s">
        <v>41413</v>
      </c>
      <c r="C32905" s="5" t="str">
        <f>IFERROR(__xludf.DUMMYFUNCTION("GOOGLETRANSLATE(B32905,""en"",""es-ES"")"),"La escena pasa a una animadora que se entrevistan mientras que otras se estiran en el fondo, con clips relacionados con el animador ocasionales intercalados.")</f>
        <v>La escena pasa a una animadora que se entrevistan mientras que otras se estiran en el fondo, con clips relacionados con el animador ocasionales intercalados.</v>
      </c>
    </row>
    <row r="32906">
      <c r="A32906" s="4" t="s">
        <v>41411</v>
      </c>
      <c r="B32906" s="4" t="s">
        <v>41414</v>
      </c>
      <c r="C32906" s="5" t="str">
        <f>IFERROR(__xludf.DUMMYFUNCTION("GOOGLETRANSLATE(B32906,""en"",""es-ES"")"),"Un hombre que usa azul es entrevistado en el mismo entorno, con clips ocasionales relacionados con la animadores intercalados.")</f>
        <v>Un hombre que usa azul es entrevistado en el mismo entorno, con clips ocasionales relacionados con la animadores intercalados.</v>
      </c>
    </row>
    <row r="32907">
      <c r="A32907" s="4" t="s">
        <v>41411</v>
      </c>
      <c r="B32907" s="4" t="s">
        <v>41415</v>
      </c>
      <c r="C32907" s="5" t="str">
        <f>IFERROR(__xludf.DUMMYFUNCTION("GOOGLETRANSLATE(B32907,""en"",""es-ES"")"),"Otro hombre es entrevistado en el mismo entorno, con clips ocasionales relacionados con las porristas intercalados.")</f>
        <v>Otro hombre es entrevistado en el mismo entorno, con clips ocasionales relacionados con las porristas intercalados.</v>
      </c>
    </row>
    <row r="32908">
      <c r="A32908" s="4" t="s">
        <v>41411</v>
      </c>
      <c r="B32908" s="4" t="s">
        <v>41416</v>
      </c>
      <c r="C32908" s="5" t="str">
        <f>IFERROR(__xludf.DUMMYFUNCTION("GOOGLETRANSLATE(B32908,""en"",""es-ES"")"),"La cámara regresa al hombre de azul entrevistado, con secuencias de acción cortas de porristas.")</f>
        <v>La cámara regresa al hombre de azul entrevistado, con secuencias de acción cortas de porristas.</v>
      </c>
    </row>
    <row r="32909">
      <c r="A32909" s="4" t="s">
        <v>41411</v>
      </c>
      <c r="B32909" s="4" t="s">
        <v>41417</v>
      </c>
      <c r="C32909" s="5" t="str">
        <f>IFERROR(__xludf.DUMMYFUNCTION("GOOGLETRANSLATE(B32909,""en"",""es-ES"")"),"La cámara regresa al primer individuo entrevistado, con secuencias de acción cortas de porristas.")</f>
        <v>La cámara regresa al primer individuo entrevistado, con secuencias de acción cortas de porristas.</v>
      </c>
    </row>
    <row r="32910">
      <c r="A32910" s="4" t="s">
        <v>41418</v>
      </c>
      <c r="B32910" s="4" t="s">
        <v>41419</v>
      </c>
      <c r="C32910" s="5" t="str">
        <f>IFERROR(__xludf.DUMMYFUNCTION("GOOGLETRANSLATE(B32910,""en"",""es-ES"")"),"Varias personas están paradas afuera en una nieve con tubos frente a ellos.")</f>
        <v>Varias personas están paradas afuera en una nieve con tubos frente a ellos.</v>
      </c>
    </row>
    <row r="32911">
      <c r="A32911" s="4" t="s">
        <v>41418</v>
      </c>
      <c r="B32911" s="4" t="s">
        <v>41420</v>
      </c>
      <c r="C32911" s="5" t="str">
        <f>IFERROR(__xludf.DUMMYFUNCTION("GOOGLETRANSLATE(B32911,""en"",""es-ES"")"),"Dos personas se meten en los tubos y son empujadas por las laderas.")</f>
        <v>Dos personas se meten en los tubos y son empujadas por las laderas.</v>
      </c>
    </row>
    <row r="32912">
      <c r="A32912" s="4" t="s">
        <v>41418</v>
      </c>
      <c r="B32912" s="4" t="s">
        <v>41421</v>
      </c>
      <c r="C32912" s="5" t="str">
        <f>IFERROR(__xludf.DUMMYFUNCTION("GOOGLETRANSLATE(B32912,""en"",""es-ES"")"),"Bajan por el tobogán de nieve y una vez que llegan al fondo se bajan.")</f>
        <v>Bajan por el tobogán de nieve y una vez que llegan al fondo se bajan.</v>
      </c>
    </row>
    <row r="32913">
      <c r="A32913" s="4" t="s">
        <v>41422</v>
      </c>
      <c r="B32913" s="4" t="s">
        <v>41423</v>
      </c>
      <c r="C32913" s="5" t="str">
        <f>IFERROR(__xludf.DUMMYFUNCTION("GOOGLETRANSLATE(B32913,""en"",""es-ES"")"),"Una niña está parada en su baño haciendo caras risas mientras sostiene una taza.")</f>
        <v>Una niña está parada en su baño haciendo caras risas mientras sostiene una taza.</v>
      </c>
    </row>
    <row r="32914">
      <c r="A32914" s="4" t="s">
        <v>41422</v>
      </c>
      <c r="B32914" s="4" t="s">
        <v>41424</v>
      </c>
      <c r="C32914" s="5" t="str">
        <f>IFERROR(__xludf.DUMMYFUNCTION("GOOGLETRANSLATE(B32914,""en"",""es-ES"")"),"Finalmente toma lo que hay en el cachorro y comienza a serps mientras lo escupe en el fregadero.")</f>
        <v>Finalmente toma lo que hay en el cachorro y comienza a serps mientras lo escupe en el fregadero.</v>
      </c>
    </row>
    <row r="32915">
      <c r="A32915" s="4" t="s">
        <v>41422</v>
      </c>
      <c r="B32915" s="4" t="s">
        <v>41425</v>
      </c>
      <c r="C32915" s="5" t="str">
        <f>IFERROR(__xludf.DUMMYFUNCTION("GOOGLETRANSLATE(B32915,""en"",""es-ES"")"),"Después de que su boca está vacía, muestra una botella de enjuague bucal de cresta.")</f>
        <v>Después de que su boca está vacía, muestra una botella de enjuague bucal de cresta.</v>
      </c>
    </row>
    <row r="32916">
      <c r="A32916" s="4" t="s">
        <v>41426</v>
      </c>
      <c r="B32916" s="4" t="s">
        <v>41427</v>
      </c>
      <c r="C32916" s="5" t="str">
        <f>IFERROR(__xludf.DUMMYFUNCTION("GOOGLETRANSLATE(B32916,""en"",""es-ES"")"),"Un hombre juega a atrapar con un perro en un campo de tierra mientras lanza un frisbee.")</f>
        <v>Un hombre juega a atrapar con un perro en un campo de tierra mientras lanza un frisbee.</v>
      </c>
    </row>
    <row r="32917">
      <c r="A32917" s="4" t="s">
        <v>41426</v>
      </c>
      <c r="B32917" s="4" t="s">
        <v>41428</v>
      </c>
      <c r="C32917" s="5" t="str">
        <f>IFERROR(__xludf.DUMMYFUNCTION("GOOGLETRANSLATE(B32917,""en"",""es-ES"")"),"El hombre extiende al frisbee en su mano al perro.")</f>
        <v>El hombre extiende al frisbee en su mano al perro.</v>
      </c>
    </row>
    <row r="32918">
      <c r="A32918" s="4" t="s">
        <v>41426</v>
      </c>
      <c r="B32918" s="4" t="s">
        <v>41429</v>
      </c>
      <c r="C32918" s="5" t="str">
        <f>IFERROR(__xludf.DUMMYFUNCTION("GOOGLETRANSLATE(B32918,""en"",""es-ES"")"),"Una mujer juega a atrapar con el perro arrojando un frisbee en un parque cubierto de hierba.")</f>
        <v>Una mujer juega a atrapar con el perro arrojando un frisbee en un parque cubierto de hierba.</v>
      </c>
    </row>
    <row r="32919">
      <c r="A32919" s="4" t="s">
        <v>41430</v>
      </c>
      <c r="B32919" s="4" t="s">
        <v>41431</v>
      </c>
      <c r="C32919" s="5" t="str">
        <f>IFERROR(__xludf.DUMMYFUNCTION("GOOGLETRANSLATE(B32919,""en"",""es-ES"")"),"El camarógrafo abre una puerta y mira a una mujer que se va hacia adelante en una bañera.")</f>
        <v>El camarógrafo abre una puerta y mira a una mujer que se va hacia adelante en una bañera.</v>
      </c>
    </row>
    <row r="32920">
      <c r="A32920" s="4" t="s">
        <v>41430</v>
      </c>
      <c r="B32920" s="4" t="s">
        <v>41432</v>
      </c>
      <c r="C32920" s="5" t="str">
        <f>IFERROR(__xludf.DUMMYFUNCTION("GOOGLETRANSLATE(B32920,""en"",""es-ES"")"),"La mujer habla con el camarógrafo mientras se lava varias ropa en una bañera llena de agua.")</f>
        <v>La mujer habla con el camarógrafo mientras se lava varias ropa en una bañera llena de agua.</v>
      </c>
    </row>
    <row r="32921">
      <c r="A32921" s="4" t="s">
        <v>41430</v>
      </c>
      <c r="B32921" s="4" t="s">
        <v>41433</v>
      </c>
      <c r="C32921" s="5" t="str">
        <f>IFERROR(__xludf.DUMMYFUNCTION("GOOGLETRANSLATE(B32921,""en"",""es-ES"")"),"La mujer aprende agotada y vuelve al camarógrafo rápidamente y luego de regreso a la bañera.")</f>
        <v>La mujer aprende agotada y vuelve al camarógrafo rápidamente y luego de regreso a la bañera.</v>
      </c>
    </row>
    <row r="32922">
      <c r="A32922" s="4" t="s">
        <v>41434</v>
      </c>
      <c r="B32922" s="4" t="s">
        <v>41435</v>
      </c>
      <c r="C32922" s="5" t="str">
        <f>IFERROR(__xludf.DUMMYFUNCTION("GOOGLETRANSLATE(B32922,""en"",""es-ES"")"),"Un grupo de personas está corriendo por un camino con varias personas que vitorean y aplauden en los lados.")</f>
        <v>Un grupo de personas está corriendo por un camino con varias personas que vitorean y aplauden en los lados.</v>
      </c>
    </row>
    <row r="32923">
      <c r="A32923" s="4" t="s">
        <v>41434</v>
      </c>
      <c r="B32923" s="4" t="s">
        <v>41436</v>
      </c>
      <c r="C32923" s="5" t="str">
        <f>IFERROR(__xludf.DUMMYFUNCTION("GOOGLETRANSLATE(B32923,""en"",""es-ES"")"),"Una mujer está muy fallando a la gente y otros corredores.")</f>
        <v>Una mujer está muy fallando a la gente y otros corredores.</v>
      </c>
    </row>
    <row r="32924">
      <c r="A32924" s="4" t="s">
        <v>41434</v>
      </c>
      <c r="B32924" s="4" t="s">
        <v>41437</v>
      </c>
      <c r="C32924" s="5" t="str">
        <f>IFERROR(__xludf.DUMMYFUNCTION("GOOGLETRANSLATE(B32924,""en"",""es-ES"")"),"Se muestran más tomas de personas en los lados mientras los corredores continúan corriendo.")</f>
        <v>Se muestran más tomas de personas en los lados mientras los corredores continúan corriendo.</v>
      </c>
    </row>
    <row r="32925">
      <c r="A32925" s="4" t="s">
        <v>41438</v>
      </c>
      <c r="B32925" s="4" t="s">
        <v>41439</v>
      </c>
      <c r="C32925" s="5" t="str">
        <f>IFERROR(__xludf.DUMMYFUNCTION("GOOGLETRANSLATE(B32925,""en"",""es-ES"")"),"Se ve a un gran grupo de personas de pie alrededor de una pista de caballos y conduce a varios hombres sentados en caballos y uno que conduce balanceando un palo.")</f>
        <v>Se ve a un gran grupo de personas de pie alrededor de una pista de caballos y conduce a varios hombres sentados en caballos y uno que conduce balanceando un palo.</v>
      </c>
    </row>
    <row r="32926">
      <c r="A32926" s="4" t="s">
        <v>41438</v>
      </c>
      <c r="B32926" s="4" t="s">
        <v>41440</v>
      </c>
      <c r="C32926" s="5" t="str">
        <f>IFERROR(__xludf.DUMMYFUNCTION("GOOGLETRANSLATE(B32926,""en"",""es-ES"")"),"Luego, los hombres comienzan a jugar un juego en los caballos y estrechándose las manos.")</f>
        <v>Luego, los hombres comienzan a jugar un juego en los caballos y estrechándose las manos.</v>
      </c>
    </row>
    <row r="32927">
      <c r="A32927" s="4" t="s">
        <v>41438</v>
      </c>
      <c r="B32927" s="4" t="s">
        <v>41441</v>
      </c>
      <c r="C32927" s="5" t="str">
        <f>IFERROR(__xludf.DUMMYFUNCTION("GOOGLETRANSLATE(B32927,""en"",""es-ES"")"),"La princesa luego entrega una caja a uno de los jugadores y se encuentra cerca de varios otros con un trofeo.")</f>
        <v>La princesa luego entrega una caja a uno de los jugadores y se encuentra cerca de varios otros con un trofeo.</v>
      </c>
    </row>
    <row r="32928">
      <c r="A32928" s="4" t="s">
        <v>41442</v>
      </c>
      <c r="B32928" s="4" t="s">
        <v>41443</v>
      </c>
      <c r="C32928" s="5" t="str">
        <f>IFERROR(__xludf.DUMMYFUNCTION("GOOGLETRANSLATE(B32928,""en"",""es-ES"")"),"Una mujer le muestra las uñas de los dedos a la cámara.")</f>
        <v>Una mujer le muestra las uñas de los dedos a la cámara.</v>
      </c>
    </row>
    <row r="32929">
      <c r="A32929" s="4" t="s">
        <v>41442</v>
      </c>
      <c r="B32929" s="4" t="s">
        <v>41444</v>
      </c>
      <c r="C32929" s="5" t="str">
        <f>IFERROR(__xludf.DUMMYFUNCTION("GOOGLETRANSLATE(B32929,""en"",""es-ES"")"),"Una mujer con una camisa negra está sentada en una habitación hablando con una cámara.")</f>
        <v>Una mujer con una camisa negra está sentada en una habitación hablando con una cámara.</v>
      </c>
    </row>
    <row r="32930">
      <c r="A32930" s="4" t="s">
        <v>41442</v>
      </c>
      <c r="B32930" s="4" t="s">
        <v>41445</v>
      </c>
      <c r="C32930" s="5" t="str">
        <f>IFERROR(__xludf.DUMMYFUNCTION("GOOGLETRANSLATE(B32930,""en"",""es-ES"")"),"Una persona está haciendo las uñas de otra persona en una mesa.")</f>
        <v>Una persona está haciendo las uñas de otra persona en una mesa.</v>
      </c>
    </row>
    <row r="32931">
      <c r="A32931" s="4" t="s">
        <v>41442</v>
      </c>
      <c r="B32931" s="4" t="s">
        <v>41446</v>
      </c>
      <c r="C32931" s="5" t="str">
        <f>IFERROR(__xludf.DUMMYFUNCTION("GOOGLETRANSLATE(B32931,""en"",""es-ES"")"),"Están poniendo las uñas falsas sobre ellas.")</f>
        <v>Están poniendo las uñas falsas sobre ellas.</v>
      </c>
    </row>
    <row r="32932">
      <c r="A32932" s="4" t="s">
        <v>41442</v>
      </c>
      <c r="B32932" s="4" t="s">
        <v>41447</v>
      </c>
      <c r="C32932" s="5" t="str">
        <f>IFERROR(__xludf.DUMMYFUNCTION("GOOGLETRANSLATE(B32932,""en"",""es-ES"")"),"Están cortando las uñas.")</f>
        <v>Están cortando las uñas.</v>
      </c>
    </row>
    <row r="32933">
      <c r="A32933" s="4" t="s">
        <v>41442</v>
      </c>
      <c r="B32933" s="4" t="s">
        <v>41448</v>
      </c>
      <c r="C32933" s="5" t="str">
        <f>IFERROR(__xludf.DUMMYFUNCTION("GOOGLETRANSLATE(B32933,""en"",""es-ES"")"),"Comienzan a pintar las uñas.")</f>
        <v>Comienzan a pintar las uñas.</v>
      </c>
    </row>
    <row r="32934">
      <c r="A32934" s="4" t="s">
        <v>41449</v>
      </c>
      <c r="B32934" s="4" t="s">
        <v>41450</v>
      </c>
      <c r="C32934" s="5" t="str">
        <f>IFERROR(__xludf.DUMMYFUNCTION("GOOGLETRANSLATE(B32934,""en"",""es-ES"")"),"Se ve a un hombre sentado en un gran gimnasio mientras habla con la cámara y se sienta en una pelota de medicamentos.")</f>
        <v>Se ve a un hombre sentado en un gran gimnasio mientras habla con la cámara y se sienta en una pelota de medicamentos.</v>
      </c>
    </row>
    <row r="32935">
      <c r="A32935" s="4" t="s">
        <v>41449</v>
      </c>
      <c r="B32935" s="4" t="s">
        <v>41451</v>
      </c>
      <c r="C32935" s="5" t="str">
        <f>IFERROR(__xludf.DUMMYFUNCTION("GOOGLETRANSLATE(B32935,""en"",""es-ES"")"),"El hombre luego se inclina hacia la pelota mientras sigue hablando con la cámara.")</f>
        <v>El hombre luego se inclina hacia la pelota mientras sigue hablando con la cámara.</v>
      </c>
    </row>
    <row r="32936">
      <c r="A32936" s="4" t="s">
        <v>41449</v>
      </c>
      <c r="B32936" s="4" t="s">
        <v>41452</v>
      </c>
      <c r="C32936" s="5" t="str">
        <f>IFERROR(__xludf.DUMMYFUNCTION("GOOGLETRANSLATE(B32936,""en"",""es-ES"")"),"El hombre continúa equilibrando la pelota y se sienta y atrapa una pelota.")</f>
        <v>El hombre continúa equilibrando la pelota y se sienta y atrapa una pelota.</v>
      </c>
    </row>
    <row r="32937">
      <c r="A32937" s="4" t="s">
        <v>41453</v>
      </c>
      <c r="B32937" s="4" t="s">
        <v>41454</v>
      </c>
      <c r="C32937" s="5" t="str">
        <f>IFERROR(__xludf.DUMMYFUNCTION("GOOGLETRANSLATE(B32937,""en"",""es-ES"")"),"Un grupo de hombres se encuentra dentro de un espacio de gimnasio que pisó Steppers aeróbicos a un ritmo rápido.")</f>
        <v>Un grupo de hombres se encuentra dentro de un espacio de gimnasio que pisó Steppers aeróbicos a un ritmo rápido.</v>
      </c>
    </row>
    <row r="32938">
      <c r="A32938" s="4" t="s">
        <v>41453</v>
      </c>
      <c r="B32938" s="4" t="s">
        <v>41455</v>
      </c>
      <c r="C32938" s="5" t="str">
        <f>IFERROR(__xludf.DUMMYFUNCTION("GOOGLETRANSLATE(B32938,""en"",""es-ES"")"),"Parecen pasar un buen rato y comenzar a llegar con los brazos y variar su entrenamiento.")</f>
        <v>Parecen pasar un buen rato y comenzar a llegar con los brazos y variar su entrenamiento.</v>
      </c>
    </row>
    <row r="32939">
      <c r="A32939" s="4" t="s">
        <v>41453</v>
      </c>
      <c r="B32939" s="4" t="s">
        <v>41456</v>
      </c>
      <c r="C32939" s="5" t="str">
        <f>IFERROR(__xludf.DUMMYFUNCTION("GOOGLETRANSLATE(B32939,""en"",""es-ES"")"),"Continúan realizando otra serie de entrenamientos similares con sus estepre.")</f>
        <v>Continúan realizando otra serie de entrenamientos similares con sus estepre.</v>
      </c>
    </row>
    <row r="32940">
      <c r="A32940" s="4" t="s">
        <v>41453</v>
      </c>
      <c r="B32940" s="4" t="s">
        <v>41457</v>
      </c>
      <c r="C32940" s="5" t="str">
        <f>IFERROR(__xludf.DUMMYFUNCTION("GOOGLETRANSLATE(B32940,""en"",""es-ES"")"),"Se mueven de lado a lado, alternando sus movimientos a un ritmo específico.")</f>
        <v>Se mueven de lado a lado, alternando sus movimientos a un ritmo específico.</v>
      </c>
    </row>
    <row r="32941">
      <c r="A32941" s="4" t="s">
        <v>41453</v>
      </c>
      <c r="B32941" s="4" t="s">
        <v>41458</v>
      </c>
      <c r="C32941" s="5" t="str">
        <f>IFERROR(__xludf.DUMMYFUNCTION("GOOGLETRANSLATE(B32941,""en"",""es-ES"")"),"Su último de sus entrenamientos parece ser una compilación de todo lo que han estado haciendo hasta ahora y están variando sus movimientos dentro de él.")</f>
        <v>Su último de sus entrenamientos parece ser una compilación de todo lo que han estado haciendo hasta ahora y están variando sus movimientos dentro de él.</v>
      </c>
    </row>
    <row r="32942">
      <c r="A32942" s="4" t="s">
        <v>41459</v>
      </c>
      <c r="B32942" s="4" t="s">
        <v>41460</v>
      </c>
      <c r="C32942" s="5" t="str">
        <f>IFERROR(__xludf.DUMMYFUNCTION("GOOGLETRANSLATE(B32942,""en"",""es-ES"")"),"Una mujer usa una máquina de ejercicios nordictrack.")</f>
        <v>Una mujer usa una máquina de ejercicios nordictrack.</v>
      </c>
    </row>
    <row r="32943">
      <c r="A32943" s="4" t="s">
        <v>41459</v>
      </c>
      <c r="B32943" s="4" t="s">
        <v>41461</v>
      </c>
      <c r="C32943" s="5" t="str">
        <f>IFERROR(__xludf.DUMMYFUNCTION("GOOGLETRANSLATE(B32943,""en"",""es-ES"")"),"La máquina de ejercicios se muestra por sí misma.")</f>
        <v>La máquina de ejercicios se muestra por sí misma.</v>
      </c>
    </row>
    <row r="32944">
      <c r="A32944" s="4" t="s">
        <v>41459</v>
      </c>
      <c r="B32944" s="4" t="s">
        <v>41462</v>
      </c>
      <c r="C32944" s="5" t="str">
        <f>IFERROR(__xludf.DUMMYFUNCTION("GOOGLETRANSLATE(B32944,""en"",""es-ES"")"),"La mujer usa la máquina nuevamente.")</f>
        <v>La mujer usa la máquina nuevamente.</v>
      </c>
    </row>
    <row r="32945">
      <c r="A32945" s="4" t="s">
        <v>41459</v>
      </c>
      <c r="B32945" s="4" t="s">
        <v>41463</v>
      </c>
      <c r="C32945" s="5" t="str">
        <f>IFERROR(__xludf.DUMMYFUNCTION("GOOGLETRANSLATE(B32945,""en"",""es-ES"")"),"Se muestran los controles de visualización digital de la máquina.")</f>
        <v>Se muestran los controles de visualización digital de la máquina.</v>
      </c>
    </row>
    <row r="32946">
      <c r="A32946" s="4" t="s">
        <v>41459</v>
      </c>
      <c r="B32946" s="4" t="s">
        <v>41464</v>
      </c>
      <c r="C32946" s="5" t="str">
        <f>IFERROR(__xludf.DUMMYFUNCTION("GOOGLETRANSLATE(B32946,""en"",""es-ES"")"),"Se muestra una pantalla de salpicaduras de una mujer y un título de espectáculo.")</f>
        <v>Se muestra una pantalla de salpicaduras de una mujer y un título de espectáculo.</v>
      </c>
    </row>
    <row r="32947">
      <c r="A32947" s="4" t="s">
        <v>41459</v>
      </c>
      <c r="B32947" s="4" t="s">
        <v>41465</v>
      </c>
      <c r="C32947" s="5" t="str">
        <f>IFERROR(__xludf.DUMMYFUNCTION("GOOGLETRANSLATE(B32947,""en"",""es-ES"")"),"La mujer hace ejercicio en la máquina nuevamente.")</f>
        <v>La mujer hace ejercicio en la máquina nuevamente.</v>
      </c>
    </row>
    <row r="32948">
      <c r="A32948" s="4" t="s">
        <v>41466</v>
      </c>
      <c r="B32948" s="4" t="s">
        <v>41467</v>
      </c>
      <c r="C32948" s="5" t="str">
        <f>IFERROR(__xludf.DUMMYFUNCTION("GOOGLETRANSLATE(B32948,""en"",""es-ES"")"),"Cuatro personas se preparan para patinar por una pendiente.")</f>
        <v>Cuatro personas se preparan para patinar por una pendiente.</v>
      </c>
    </row>
    <row r="32949">
      <c r="A32949" s="4" t="s">
        <v>41466</v>
      </c>
      <c r="B32949" s="4" t="s">
        <v>41468</v>
      </c>
      <c r="C32949" s="5" t="str">
        <f>IFERROR(__xludf.DUMMYFUNCTION("GOOGLETRANSLATE(B32949,""en"",""es-ES"")"),"Los cuatro individuos patinan por la pendiente juntos o solos mientras los espectadores miran.")</f>
        <v>Los cuatro individuos patinan por la pendiente juntos o solos mientras los espectadores miran.</v>
      </c>
    </row>
    <row r="32950">
      <c r="A32950" s="4" t="s">
        <v>41466</v>
      </c>
      <c r="B32950" s="4" t="s">
        <v>41469</v>
      </c>
      <c r="C32950" s="5" t="str">
        <f>IFERROR(__xludf.DUMMYFUNCTION("GOOGLETRANSLATE(B32950,""en"",""es-ES"")"),"La cámara se dirige sobre el escenario de fondo.")</f>
        <v>La cámara se dirige sobre el escenario de fondo.</v>
      </c>
    </row>
    <row r="32951">
      <c r="A32951" s="4" t="s">
        <v>41466</v>
      </c>
      <c r="B32951" s="4" t="s">
        <v>41470</v>
      </c>
      <c r="C32951" s="5" t="str">
        <f>IFERROR(__xludf.DUMMYFUNCTION("GOOGLETRANSLATE(B32951,""en"",""es-ES"")"),"Una de las personas tiende a su patineta.")</f>
        <v>Una de las personas tiende a su patineta.</v>
      </c>
    </row>
    <row r="32952">
      <c r="A32952" s="4" t="s">
        <v>41466</v>
      </c>
      <c r="B32952" s="4" t="s">
        <v>41471</v>
      </c>
      <c r="C32952" s="5" t="str">
        <f>IFERROR(__xludf.DUMMYFUNCTION("GOOGLETRANSLATE(B32952,""en"",""es-ES"")"),"Las cuatro personas participan en más skate por la pendiente.")</f>
        <v>Las cuatro personas participan en más skate por la pendiente.</v>
      </c>
    </row>
    <row r="32953">
      <c r="A32953" s="4" t="s">
        <v>41466</v>
      </c>
      <c r="B32953" s="4" t="s">
        <v>41472</v>
      </c>
      <c r="C32953" s="5" t="str">
        <f>IFERROR(__xludf.DUMMYFUNCTION("GOOGLETRANSLATE(B32953,""en"",""es-ES"")"),"Una de las personas se muestra nuevamente atendiendo a su patineta.")</f>
        <v>Una de las personas se muestra nuevamente atendiendo a su patineta.</v>
      </c>
    </row>
    <row r="32954">
      <c r="A32954" s="4" t="s">
        <v>41473</v>
      </c>
      <c r="B32954" s="4" t="s">
        <v>41474</v>
      </c>
      <c r="C32954" s="5" t="str">
        <f>IFERROR(__xludf.DUMMYFUNCTION("GOOGLETRANSLATE(B32954,""en"",""es-ES"")"),"Dos niños giran en un balanceo de neumáticos.")</f>
        <v>Dos niños giran en un balanceo de neumáticos.</v>
      </c>
    </row>
    <row r="32955">
      <c r="A32955" s="4" t="s">
        <v>41473</v>
      </c>
      <c r="B32955" s="4" t="s">
        <v>41475</v>
      </c>
      <c r="C32955" s="5" t="str">
        <f>IFERROR(__xludf.DUMMYFUNCTION("GOOGLETRANSLATE(B32955,""en"",""es-ES"")"),"Otro niño se está balanceando en otro set de swing.")</f>
        <v>Otro niño se está balanceando en otro set de swing.</v>
      </c>
    </row>
    <row r="32956">
      <c r="A32956" s="4" t="s">
        <v>41473</v>
      </c>
      <c r="B32956" s="4" t="s">
        <v>41476</v>
      </c>
      <c r="C32956" s="5" t="str">
        <f>IFERROR(__xludf.DUMMYFUNCTION("GOOGLETRANSLATE(B32956,""en"",""es-ES"")"),"Un niño muy pequeño atraviesa el área de juego.")</f>
        <v>Un niño muy pequeño atraviesa el área de juego.</v>
      </c>
    </row>
    <row r="32957">
      <c r="A32957" s="4" t="s">
        <v>41477</v>
      </c>
      <c r="B32957" s="4" t="s">
        <v>41478</v>
      </c>
      <c r="C32957" s="5" t="str">
        <f>IFERROR(__xludf.DUMMYFUNCTION("GOOGLETRANSLATE(B32957,""en"",""es-ES"")"),"Un niño está sentado en la cama y saluda a la cámara.")</f>
        <v>Un niño está sentado en la cama y saluda a la cámara.</v>
      </c>
    </row>
    <row r="32958">
      <c r="A32958" s="4" t="s">
        <v>41477</v>
      </c>
      <c r="B32958" s="4" t="s">
        <v>41479</v>
      </c>
      <c r="C32958" s="5" t="str">
        <f>IFERROR(__xludf.DUMMYFUNCTION("GOOGLETRANSLATE(B32958,""en"",""es-ES"")"),"Él está explicando su rutina diaria a la cámara.")</f>
        <v>Él está explicando su rutina diaria a la cámara.</v>
      </c>
    </row>
    <row r="32959">
      <c r="A32959" s="4" t="s">
        <v>41477</v>
      </c>
      <c r="B32959" s="4" t="s">
        <v>41480</v>
      </c>
      <c r="C32959" s="5" t="str">
        <f>IFERROR(__xludf.DUMMYFUNCTION("GOOGLETRANSLATE(B32959,""en"",""es-ES"")"),"Está poniendo contactos rojos en sus ojos.")</f>
        <v>Está poniendo contactos rojos en sus ojos.</v>
      </c>
    </row>
    <row r="32960">
      <c r="A32960" s="4" t="s">
        <v>41477</v>
      </c>
      <c r="B32960" s="4" t="s">
        <v>41481</v>
      </c>
      <c r="C32960" s="5" t="str">
        <f>IFERROR(__xludf.DUMMYFUNCTION("GOOGLETRANSLATE(B32960,""en"",""es-ES"")"),"El contacto se cae de su ojo y lo vuelve a colocar, pero se cae una y otra vez.")</f>
        <v>El contacto se cae de su ojo y lo vuelve a colocar, pero se cae una y otra vez.</v>
      </c>
    </row>
    <row r="32961">
      <c r="A32961" s="4" t="s">
        <v>41477</v>
      </c>
      <c r="B32961" s="4" t="s">
        <v>41482</v>
      </c>
      <c r="C32961" s="5" t="str">
        <f>IFERROR(__xludf.DUMMYFUNCTION("GOOGLETRANSLATE(B32961,""en"",""es-ES"")"),"Finalmente lo hace quedarse y le da a la cámara de cerca y algunos movimientos.")</f>
        <v>Finalmente lo hace quedarse y le da a la cámara de cerca y algunos movimientos.</v>
      </c>
    </row>
    <row r="32962">
      <c r="A32962" s="4" t="s">
        <v>41483</v>
      </c>
      <c r="B32962" s="4" t="s">
        <v>41484</v>
      </c>
      <c r="C32962" s="5" t="str">
        <f>IFERROR(__xludf.DUMMYFUNCTION("GOOGLETRANSLATE(B32962,""en"",""es-ES"")"),"Se muestran varios clips de varias chicas que realizan trucos de gimnasia en una alfombra grande.")</f>
        <v>Se muestran varios clips de varias chicas que realizan trucos de gimnasia en una alfombra grande.</v>
      </c>
    </row>
    <row r="32963">
      <c r="A32963" s="4" t="s">
        <v>41483</v>
      </c>
      <c r="B32963" s="4" t="s">
        <v>41485</v>
      </c>
      <c r="C32963" s="5" t="str">
        <f>IFERROR(__xludf.DUMMYFUNCTION("GOOGLETRANSLATE(B32963,""en"",""es-ES"")"),"Las chicas continúan saltando y volteando el área mientras la cámara continúa capturando sus movimientos.")</f>
        <v>Las chicas continúan saltando y volteando el área mientras la cámara continúa capturando sus movimientos.</v>
      </c>
    </row>
    <row r="32964">
      <c r="A32964" s="4" t="s">
        <v>41486</v>
      </c>
      <c r="B32964" s="4" t="s">
        <v>41487</v>
      </c>
      <c r="C32964" s="5" t="str">
        <f>IFERROR(__xludf.DUMMYFUNCTION("GOOGLETRANSLATE(B32964,""en"",""es-ES"")"),"Se muestra una imagen en blanco y negro de un hombre y luego el hombre aparece en un campo lanzando un disco.")</f>
        <v>Se muestra una imagen en blanco y negro de un hombre y luego el hombre aparece en un campo lanzando un disco.</v>
      </c>
    </row>
    <row r="32965">
      <c r="A32965" s="4" t="s">
        <v>41486</v>
      </c>
      <c r="B32965" s="4" t="s">
        <v>41488</v>
      </c>
      <c r="C32965" s="5" t="str">
        <f>IFERROR(__xludf.DUMMYFUNCTION("GOOGLETRANSLATE(B32965,""en"",""es-ES"")"),"Después, continúa lanzando el disco y cuando termina, se le muestra parado en un conjunto de cubitos como ganador.")</f>
        <v>Después, continúa lanzando el disco y cuando termina, se le muestra parado en un conjunto de cubitos como ganador.</v>
      </c>
    </row>
    <row r="32966">
      <c r="A32966" s="4" t="s">
        <v>41486</v>
      </c>
      <c r="B32966" s="4" t="s">
        <v>41489</v>
      </c>
      <c r="C32966" s="5" t="str">
        <f>IFERROR(__xludf.DUMMYFUNCTION("GOOGLETRANSLATE(B32966,""en"",""es-ES"")"),"Los participantes se dan las manos y ambos terminan caminando.")</f>
        <v>Los participantes se dan las manos y ambos terminan caminando.</v>
      </c>
    </row>
    <row r="32967">
      <c r="A32967" s="4" t="s">
        <v>41490</v>
      </c>
      <c r="B32967" s="4" t="s">
        <v>41491</v>
      </c>
      <c r="C32967" s="5" t="str">
        <f>IFERROR(__xludf.DUMMYFUNCTION("GOOGLETRANSLATE(B32967,""en"",""es-ES"")"),"El hombre está de pie en una habitación sosteniendo una reverencia y hablando con otro hombre.")</f>
        <v>El hombre está de pie en una habitación sosteniendo una reverencia y hablando con otro hombre.</v>
      </c>
    </row>
    <row r="32968">
      <c r="A32968" s="4" t="s">
        <v>41490</v>
      </c>
      <c r="B32968" s="4" t="s">
        <v>41492</v>
      </c>
      <c r="C32968" s="5" t="str">
        <f>IFERROR(__xludf.DUMMYFUNCTION("GOOGLETRANSLATE(B32968,""en"",""es-ES"")"),"Manis practicando tiros con un arco a un tablero en un gran campo.")</f>
        <v>Manis practicando tiros con un arco a un tablero en un gran campo.</v>
      </c>
    </row>
    <row r="32969">
      <c r="A32969" s="4" t="s">
        <v>41493</v>
      </c>
      <c r="B32969" s="4" t="s">
        <v>41494</v>
      </c>
      <c r="C32969" s="5" t="str">
        <f>IFERROR(__xludf.DUMMYFUNCTION("GOOGLETRANSLATE(B32969,""en"",""es-ES"")"),"Un hombre con chaqueta negra sostiene a un amigo en ambos brazos.")</f>
        <v>Un hombre con chaqueta negra sostiene a un amigo en ambos brazos.</v>
      </c>
    </row>
    <row r="32970">
      <c r="A32970" s="4" t="s">
        <v>41493</v>
      </c>
      <c r="B32970" s="4" t="s">
        <v>41495</v>
      </c>
      <c r="C32970" s="5" t="str">
        <f>IFERROR(__xludf.DUMMYFUNCTION("GOOGLETRANSLATE(B32970,""en"",""es-ES"")"),"La amiga que lleva una cuerda saca los brazos en preparación.")</f>
        <v>La amiga que lleva una cuerda saca los brazos en preparación.</v>
      </c>
    </row>
    <row r="32971">
      <c r="A32971" s="4" t="s">
        <v>41493</v>
      </c>
      <c r="B32971" s="4" t="s">
        <v>41496</v>
      </c>
      <c r="C32971" s="5" t="str">
        <f>IFERROR(__xludf.DUMMYFUNCTION("GOOGLETRANSLATE(B32971,""en"",""es-ES"")"),"El amigo es arrojado desde el edificio con un cordón y se balancea en un amplio arco sobre el suelo de abajo y luego de un lado a otro.")</f>
        <v>El amigo es arrojado desde el edificio con un cordón y se balancea en un amplio arco sobre el suelo de abajo y luego de un lado a otro.</v>
      </c>
    </row>
    <row r="32972">
      <c r="A32972" s="4" t="s">
        <v>41493</v>
      </c>
      <c r="B32972" s="4" t="s">
        <v>41497</v>
      </c>
      <c r="C32972" s="5" t="str">
        <f>IFERROR(__xludf.DUMMYFUNCTION("GOOGLETRANSLATE(B32972,""en"",""es-ES"")"),"Una mujer con chaqueta negra se sienta en una rampa y es empujada por amigos.")</f>
        <v>Una mujer con chaqueta negra se sienta en una rampa y es empujada por amigos.</v>
      </c>
    </row>
    <row r="32973">
      <c r="A32973" s="4" t="s">
        <v>41493</v>
      </c>
      <c r="B32973" s="4" t="s">
        <v>41498</v>
      </c>
      <c r="C32973" s="5" t="str">
        <f>IFERROR(__xludf.DUMMYFUNCTION("GOOGLETRANSLATE(B32973,""en"",""es-ES"")"),"La mujer se cae del edificio y se balancea desde una cuerda sobre el suelo de abajo.")</f>
        <v>La mujer se cae del edificio y se balancea desde una cuerda sobre el suelo de abajo.</v>
      </c>
    </row>
    <row r="32974">
      <c r="A32974" s="4" t="s">
        <v>41499</v>
      </c>
      <c r="B32974" s="4" t="s">
        <v>41500</v>
      </c>
      <c r="C32974" s="5" t="str">
        <f>IFERROR(__xludf.DUMMYFUNCTION("GOOGLETRANSLATE(B32974,""en"",""es-ES"")"),"Dos hombres se sientan detrás de una mesa con una calabaza.")</f>
        <v>Dos hombres se sientan detrás de una mesa con una calabaza.</v>
      </c>
    </row>
    <row r="32975">
      <c r="A32975" s="4" t="s">
        <v>41499</v>
      </c>
      <c r="B32975" s="4" t="s">
        <v>41501</v>
      </c>
      <c r="C32975" s="5" t="str">
        <f>IFERROR(__xludf.DUMMYFUNCTION("GOOGLETRANSLATE(B32975,""en"",""es-ES"")"),"Un hombre rompe la calabaza con un martillo.")</f>
        <v>Un hombre rompe la calabaza con un martillo.</v>
      </c>
    </row>
    <row r="32976">
      <c r="A32976" s="4" t="s">
        <v>41499</v>
      </c>
      <c r="B32976" s="4" t="s">
        <v>41502</v>
      </c>
      <c r="C32976" s="5" t="str">
        <f>IFERROR(__xludf.DUMMYFUNCTION("GOOGLETRANSLATE(B32976,""en"",""es-ES"")"),"Comienza a arrancar las semillas y entregándolas al hombre a su lado.")</f>
        <v>Comienza a arrancar las semillas y entregándolas al hombre a su lado.</v>
      </c>
    </row>
    <row r="32977">
      <c r="A32977" s="4" t="s">
        <v>41503</v>
      </c>
      <c r="B32977" s="4" t="s">
        <v>41504</v>
      </c>
      <c r="C32977" s="5" t="str">
        <f>IFERROR(__xludf.DUMMYFUNCTION("GOOGLETRANSLATE(B32977,""en"",""es-ES"")"),"Un hombre limpia el fondo de un esquí.")</f>
        <v>Un hombre limpia el fondo de un esquí.</v>
      </c>
    </row>
    <row r="32978">
      <c r="A32978" s="4" t="s">
        <v>41503</v>
      </c>
      <c r="B32978" s="4" t="s">
        <v>41505</v>
      </c>
      <c r="C32978" s="5" t="str">
        <f>IFERROR(__xludf.DUMMYFUNCTION("GOOGLETRANSLATE(B32978,""en"",""es-ES"")"),"Él pone pulido en el fondo del esquí y lo frota.")</f>
        <v>Él pone pulido en el fondo del esquí y lo frota.</v>
      </c>
    </row>
    <row r="32979">
      <c r="A32979" s="4" t="s">
        <v>41503</v>
      </c>
      <c r="B32979" s="4" t="s">
        <v>41506</v>
      </c>
      <c r="C32979" s="5" t="str">
        <f>IFERROR(__xludf.DUMMYFUNCTION("GOOGLETRANSLATE(B32979,""en"",""es-ES"")"),"Toma una toalla de papel y limpia el fondo del esquí.")</f>
        <v>Toma una toalla de papel y limpia el fondo del esquí.</v>
      </c>
    </row>
    <row r="32980">
      <c r="A32980" s="4" t="s">
        <v>41507</v>
      </c>
      <c r="B32980" s="4" t="s">
        <v>41508</v>
      </c>
      <c r="C32980" s="5" t="str">
        <f>IFERROR(__xludf.DUMMYFUNCTION("GOOGLETRANSLATE(B32980,""en"",""es-ES"")"),"Un punto de vista de una persona se muestra sentado en un trineo que contiene manos de dos niños en trineos.")</f>
        <v>Un punto de vista de una persona se muestra sentado en un trineo que contiene manos de dos niños en trineos.</v>
      </c>
    </row>
    <row r="32981">
      <c r="A32981" s="4" t="s">
        <v>41507</v>
      </c>
      <c r="B32981" s="4" t="s">
        <v>41509</v>
      </c>
      <c r="C32981" s="5" t="str">
        <f>IFERROR(__xludf.DUMMYFUNCTION("GOOGLETRANSLATE(B32981,""en"",""es-ES"")"),"Una persona empuja a los tres por una colina mientras todavía se toman de la mano y vamos al fondo para reunirse con los demás.")</f>
        <v>Una persona empuja a los tres por una colina mientras todavía se toman de la mano y vamos al fondo para reunirse con los demás.</v>
      </c>
    </row>
    <row r="32982">
      <c r="A32982" s="4" t="s">
        <v>41510</v>
      </c>
      <c r="B32982" s="4" t="s">
        <v>41511</v>
      </c>
      <c r="C32982" s="5" t="str">
        <f>IFERROR(__xludf.DUMMYFUNCTION("GOOGLETRANSLATE(B32982,""en"",""es-ES"")"),"Un hombre está parado en una sala de pesas con múltiples pantallas y computadoras.")</f>
        <v>Un hombre está parado en una sala de pesas con múltiples pantallas y computadoras.</v>
      </c>
    </row>
    <row r="32983">
      <c r="A32983" s="4" t="s">
        <v>41510</v>
      </c>
      <c r="B32983" s="4" t="s">
        <v>41512</v>
      </c>
      <c r="C32983" s="5" t="str">
        <f>IFERROR(__xludf.DUMMYFUNCTION("GOOGLETRANSLATE(B32983,""en"",""es-ES"")"),"Después de que termina de hablar, se sube a un Elipitacal y comienza a remar.")</f>
        <v>Después de que termina de hablar, se sube a un Elipitacal y comienza a remar.</v>
      </c>
    </row>
    <row r="32984">
      <c r="A32984" s="4" t="s">
        <v>41510</v>
      </c>
      <c r="B32984" s="4" t="s">
        <v>41513</v>
      </c>
      <c r="C32984" s="5" t="str">
        <f>IFERROR(__xludf.DUMMYFUNCTION("GOOGLETRANSLATE(B32984,""en"",""es-ES"")"),"Luego, se muda a otra máquina y también hace lo mismo de una manera ligeramente diferente.")</f>
        <v>Luego, se muda a otra máquina y también hace lo mismo de una manera ligeramente diferente.</v>
      </c>
    </row>
    <row r="32985">
      <c r="A32985" s="4" t="s">
        <v>41514</v>
      </c>
      <c r="B32985" s="4" t="s">
        <v>41515</v>
      </c>
      <c r="C32985" s="5" t="str">
        <f>IFERROR(__xludf.DUMMYFUNCTION("GOOGLETRANSLATE(B32985,""en"",""es-ES"")"),"Un pájaro está sentado en un bar sobre una bañera.")</f>
        <v>Un pájaro está sentado en un bar sobre una bañera.</v>
      </c>
    </row>
    <row r="32986">
      <c r="A32986" s="4" t="s">
        <v>41514</v>
      </c>
      <c r="B32986" s="4" t="s">
        <v>41516</v>
      </c>
      <c r="C32986" s="5" t="str">
        <f>IFERROR(__xludf.DUMMYFUNCTION("GOOGLETRANSLATE(B32986,""en"",""es-ES"")"),"Un perro está en la bañera que se ducha.")</f>
        <v>Un perro está en la bañera que se ducha.</v>
      </c>
    </row>
    <row r="32987">
      <c r="A32987" s="4" t="s">
        <v>41514</v>
      </c>
      <c r="B32987" s="4" t="s">
        <v>41517</v>
      </c>
      <c r="C32987" s="5" t="str">
        <f>IFERROR(__xludf.DUMMYFUNCTION("GOOGLETRANSLATE(B32987,""en"",""es-ES"")"),"Una persona está frotando jabón en el pelaje de los perros.")</f>
        <v>Una persona está frotando jabón en el pelaje de los perros.</v>
      </c>
    </row>
    <row r="32988">
      <c r="A32988" s="4" t="s">
        <v>41514</v>
      </c>
      <c r="B32988" s="4" t="s">
        <v>41518</v>
      </c>
      <c r="C32988" s="5" t="str">
        <f>IFERROR(__xludf.DUMMYFUNCTION("GOOGLETRANSLATE(B32988,""en"",""es-ES"")"),"El perro se sacude.")</f>
        <v>El perro se sacude.</v>
      </c>
    </row>
    <row r="32989">
      <c r="A32989" s="4" t="s">
        <v>41519</v>
      </c>
      <c r="B32989" s="4" t="s">
        <v>41520</v>
      </c>
      <c r="C32989" s="5" t="str">
        <f>IFERROR(__xludf.DUMMYFUNCTION("GOOGLETRANSLATE(B32989,""en"",""es-ES"")"),"Se muestra una reunión de atletismo al aire libre.")</f>
        <v>Se muestra una reunión de atletismo al aire libre.</v>
      </c>
    </row>
    <row r="32990">
      <c r="A32990" s="4" t="s">
        <v>41519</v>
      </c>
      <c r="B32990" s="4" t="s">
        <v>41521</v>
      </c>
      <c r="C32990" s="5" t="str">
        <f>IFERROR(__xludf.DUMMYFUNCTION("GOOGLETRANSLATE(B32990,""en"",""es-ES"")"),"Los saltadores de polos se muestran en una competencia.")</f>
        <v>Los saltadores de polos se muestran en una competencia.</v>
      </c>
    </row>
    <row r="32991">
      <c r="A32991" s="4" t="s">
        <v>41519</v>
      </c>
      <c r="B32991" s="4" t="s">
        <v>41522</v>
      </c>
      <c r="C32991" s="5" t="str">
        <f>IFERROR(__xludf.DUMMYFUNCTION("GOOGLETRANSLATE(B32991,""en"",""es-ES"")"),"Algunos de ellos realizan sus saltos mientras que otros no.")</f>
        <v>Algunos de ellos realizan sus saltos mientras que otros no.</v>
      </c>
    </row>
    <row r="32992">
      <c r="A32992" s="4" t="s">
        <v>41523</v>
      </c>
      <c r="B32992" s="4" t="s">
        <v>41524</v>
      </c>
      <c r="C32992" s="5" t="str">
        <f>IFERROR(__xludf.DUMMYFUNCTION("GOOGLETRANSLATE(B32992,""en"",""es-ES"")"),"Dos hombres están en un callejón.")</f>
        <v>Dos hombres están en un callejón.</v>
      </c>
    </row>
    <row r="32993">
      <c r="A32993" s="4" t="s">
        <v>41523</v>
      </c>
      <c r="B32993" s="4" t="s">
        <v>41525</v>
      </c>
      <c r="C32993" s="5" t="str">
        <f>IFERROR(__xludf.DUMMYFUNCTION("GOOGLETRANSLATE(B32993,""en"",""es-ES"")"),"Están rebotando arriba y abajo en palos.")</f>
        <v>Están rebotando arriba y abajo en palos.</v>
      </c>
    </row>
    <row r="32994">
      <c r="A32994" s="4" t="s">
        <v>41523</v>
      </c>
      <c r="B32994" s="4" t="s">
        <v>41526</v>
      </c>
      <c r="C32994" s="5" t="str">
        <f>IFERROR(__xludf.DUMMYFUNCTION("GOOGLETRANSLATE(B32994,""en"",""es-ES"")"),"Hay una camioneta en primer plano.")</f>
        <v>Hay una camioneta en primer plano.</v>
      </c>
    </row>
    <row r="32995">
      <c r="A32995" s="4" t="s">
        <v>41523</v>
      </c>
      <c r="B32995" s="4" t="s">
        <v>41527</v>
      </c>
      <c r="C32995" s="5" t="str">
        <f>IFERROR(__xludf.DUMMYFUNCTION("GOOGLETRANSLATE(B32995,""en"",""es-ES"")"),"También hay varios edificios.")</f>
        <v>También hay varios edificios.</v>
      </c>
    </row>
    <row r="32996">
      <c r="A32996" s="4" t="s">
        <v>41528</v>
      </c>
      <c r="B32996" s="4" t="s">
        <v>41529</v>
      </c>
      <c r="C32996" s="5" t="str">
        <f>IFERROR(__xludf.DUMMYFUNCTION("GOOGLETRANSLATE(B32996,""en"",""es-ES"")"),"Un hombre monta una bicicleta detrás de tres hombres que están corriendo en una carrera profesional en una autopista pavimentada llena de espectadores, espectadores y participantes.")</f>
        <v>Un hombre monta una bicicleta detrás de tres hombres que están corriendo en una carrera profesional en una autopista pavimentada llena de espectadores, espectadores y participantes.</v>
      </c>
    </row>
    <row r="32997">
      <c r="A32997" s="4" t="s">
        <v>41528</v>
      </c>
      <c r="B32997" s="4" t="s">
        <v>41530</v>
      </c>
      <c r="C32997" s="5" t="str">
        <f>IFERROR(__xludf.DUMMYFUNCTION("GOOGLETRANSLATE(B32997,""en"",""es-ES"")"),"Un hombre está montando una bicicleta por una autopista con un casco y luce una etiqueta de papel en la parte delantera de la bicicleta.")</f>
        <v>Un hombre está montando una bicicleta por una autopista con un casco y luce una etiqueta de papel en la parte delantera de la bicicleta.</v>
      </c>
    </row>
    <row r="32998">
      <c r="A32998" s="4" t="s">
        <v>41528</v>
      </c>
      <c r="B32998" s="4" t="s">
        <v>41531</v>
      </c>
      <c r="C32998" s="5" t="str">
        <f>IFERROR(__xludf.DUMMYFUNCTION("GOOGLETRANSLATE(B32998,""en"",""es-ES"")"),"Tres hombres corren frente al hombre en la bicicleta con uno de los hombres haciendo malabares con tres bolas mientras corren y una bebida y renunciando a la multitud.")</f>
        <v>Tres hombres corren frente al hombre en la bicicleta con uno de los hombres haciendo malabares con tres bolas mientras corren y una bebida y renunciando a la multitud.</v>
      </c>
    </row>
    <row r="32999">
      <c r="A32999" s="4" t="s">
        <v>41528</v>
      </c>
      <c r="B32999" s="4" t="s">
        <v>41532</v>
      </c>
      <c r="C32999" s="5" t="str">
        <f>IFERROR(__xludf.DUMMYFUNCTION("GOOGLETRANSLATE(B32999,""en"",""es-ES"")"),"Los hombres giran una curva mientras trotan y un espectador comienza a aplaudir por detrás.")</f>
        <v>Los hombres giran una curva mientras trotan y un espectador comienza a aplaudir por detrás.</v>
      </c>
    </row>
    <row r="33000">
      <c r="A33000" s="4" t="s">
        <v>41533</v>
      </c>
      <c r="B33000" s="4" t="s">
        <v>41534</v>
      </c>
      <c r="C33000" s="5" t="str">
        <f>IFERROR(__xludf.DUMMYFUNCTION("GOOGLETRANSLATE(B33000,""en"",""es-ES"")"),"Grupos de juegos de personas en una bolera.")</f>
        <v>Grupos de juegos de personas en una bolera.</v>
      </c>
    </row>
    <row r="33001">
      <c r="A33001" s="4" t="s">
        <v>41533</v>
      </c>
      <c r="B33001" s="4" t="s">
        <v>41535</v>
      </c>
      <c r="C33001" s="5" t="str">
        <f>IFERROR(__xludf.DUMMYFUNCTION("GOOGLETRANSLATE(B33001,""en"",""es-ES"")"),"Personas en video grabado del partido de bolos.")</f>
        <v>Personas en video grabado del partido de bolos.</v>
      </c>
    </row>
    <row r="33002">
      <c r="A33002" s="4" t="s">
        <v>41533</v>
      </c>
      <c r="B33002" s="4" t="s">
        <v>41536</v>
      </c>
      <c r="C33002" s="5" t="str">
        <f>IFERROR(__xludf.DUMMYFUNCTION("GOOGLETRANSLATE(B33002,""en"",""es-ES"")"),"Los espectadores se sientan y paran detrás de la barandilla mirando el evento.")</f>
        <v>Los espectadores se sientan y paran detrás de la barandilla mirando el evento.</v>
      </c>
    </row>
    <row r="33003">
      <c r="A33003" s="4" t="s">
        <v>41533</v>
      </c>
      <c r="B33003" s="4" t="s">
        <v>41537</v>
      </c>
      <c r="C33003" s="5" t="str">
        <f>IFERROR(__xludf.DUMMYFUNCTION("GOOGLETRANSLATE(B33003,""en"",""es-ES"")"),"Un hombre es su turno de pie hacia atrás.")</f>
        <v>Un hombre es su turno de pie hacia atrás.</v>
      </c>
    </row>
    <row r="33004">
      <c r="A33004" s="4" t="s">
        <v>41533</v>
      </c>
      <c r="B33004" s="4" t="s">
        <v>41538</v>
      </c>
      <c r="C33004" s="5" t="str">
        <f>IFERROR(__xludf.DUMMYFUNCTION("GOOGLETRANSLATE(B33004,""en"",""es-ES"")"),"La gente en las gradas anima al jugador de bolos.")</f>
        <v>La gente en las gradas anima al jugador de bolos.</v>
      </c>
    </row>
    <row r="33005">
      <c r="A33005" s="4" t="s">
        <v>41539</v>
      </c>
      <c r="B33005" s="4" t="s">
        <v>41540</v>
      </c>
      <c r="C33005" s="5" t="str">
        <f>IFERROR(__xludf.DUMMYFUNCTION("GOOGLETRANSLATE(B33005,""en"",""es-ES"")"),"Se ven tres hombres hablando y saludando a la cámara que conduce a los hombres jugando con extraños en la calle.")</f>
        <v>Se ven tres hombres hablando y saludando a la cámara que conduce a los hombres jugando con extraños en la calle.</v>
      </c>
    </row>
    <row r="33006">
      <c r="A33006" s="4" t="s">
        <v>41539</v>
      </c>
      <c r="B33006" s="4" t="s">
        <v>41541</v>
      </c>
      <c r="C33006" s="5" t="str">
        <f>IFERROR(__xludf.DUMMYFUNCTION("GOOGLETRANSLATE(B33006,""en"",""es-ES"")"),"El ganador puede besar al hombre y el perdedor puede abofetearlo.")</f>
        <v>El ganador puede besar al hombre y el perdedor puede abofetearlo.</v>
      </c>
    </row>
    <row r="33007">
      <c r="A33007" s="4" t="s">
        <v>41539</v>
      </c>
      <c r="B33007" s="4" t="s">
        <v>41542</v>
      </c>
      <c r="C33007" s="5" t="str">
        <f>IFERROR(__xludf.DUMMYFUNCTION("GOOGLETRANSLATE(B33007,""en"",""es-ES"")"),"Se muestran varias tomas de él abofeteando y besando a las chicas, además de correr por el área para encontrar más personas.")</f>
        <v>Se muestran varias tomas de él abofeteando y besando a las chicas, además de correr por el área para encontrar más personas.</v>
      </c>
    </row>
    <row r="33008">
      <c r="A33008" s="4" t="s">
        <v>41543</v>
      </c>
      <c r="B33008" s="4" t="s">
        <v>41544</v>
      </c>
      <c r="C33008" s="5" t="str">
        <f>IFERROR(__xludf.DUMMYFUNCTION("GOOGLETRANSLATE(B33008,""en"",""es-ES"")"),"Se ven algunas personas paradas alrededor de varias mesas de Fooseball jugando entre sí.")</f>
        <v>Se ven algunas personas paradas alrededor de varias mesas de Fooseball jugando entre sí.</v>
      </c>
    </row>
    <row r="33009">
      <c r="A33009" s="4" t="s">
        <v>41543</v>
      </c>
      <c r="B33009" s="4" t="s">
        <v>41545</v>
      </c>
      <c r="C33009" s="5" t="str">
        <f>IFERROR(__xludf.DUMMYFUNCTION("GOOGLETRANSLATE(B33009,""en"",""es-ES"")"),"La gente continúa empujando la pelota hacia atrás y cuarto mientras la cámara se enfoca en un juego.")</f>
        <v>La gente continúa empujando la pelota hacia atrás y cuarto mientras la cámara se enfoca en un juego.</v>
      </c>
    </row>
    <row r="33010">
      <c r="A33010" s="4" t="s">
        <v>41543</v>
      </c>
      <c r="B33010" s="4" t="s">
        <v>41546</v>
      </c>
      <c r="C33010" s="5" t="str">
        <f>IFERROR(__xludf.DUMMYFUNCTION("GOOGLETRANSLATE(B33010,""en"",""es-ES"")"),"La gente realiza un seguimiento de sus puntajes y otros los miran a lo lejos.")</f>
        <v>La gente realiza un seguimiento de sus puntajes y otros los miran a lo lejos.</v>
      </c>
    </row>
    <row r="33011">
      <c r="A33011" s="4" t="s">
        <v>41547</v>
      </c>
      <c r="B33011" s="4" t="s">
        <v>41548</v>
      </c>
      <c r="C33011" s="5" t="str">
        <f>IFERROR(__xludf.DUMMYFUNCTION("GOOGLETRANSLATE(B33011,""en"",""es-ES"")"),"Cuando una escena de corte rojo pasa a un joven con una camisa azul, se ve concentrarse.")</f>
        <v>Cuando una escena de corte rojo pasa a un joven con una camisa azul, se ve concentrarse.</v>
      </c>
    </row>
    <row r="33012">
      <c r="A33012" s="4" t="s">
        <v>41547</v>
      </c>
      <c r="B33012" s="4" t="s">
        <v>41549</v>
      </c>
      <c r="C33012" s="5" t="str">
        <f>IFERROR(__xludf.DUMMYFUNCTION("GOOGLETRANSLATE(B33012,""en"",""es-ES"")"),"Luego se ve a otro hombre en una pista de curling que libera una piedra de roca mientras otros dos hombres usan escobas para despejar el camino mientras la piedra viaja por el camino.")</f>
        <v>Luego se ve a otro hombre en una pista de curling que libera una piedra de roca mientras otros dos hombres usan escobas para despejar el camino mientras la piedra viaja por el camino.</v>
      </c>
    </row>
    <row r="33013">
      <c r="A33013" s="4" t="s">
        <v>41547</v>
      </c>
      <c r="B33013" s="4" t="s">
        <v>41550</v>
      </c>
      <c r="C33013" s="5" t="str">
        <f>IFERROR(__xludf.DUMMYFUNCTION("GOOGLETRANSLATE(B33013,""en"",""es-ES"")"),"El acto continúa con los mismos hombres una vez más participando en el mismo acto.")</f>
        <v>El acto continúa con los mismos hombres una vez más participando en el mismo acto.</v>
      </c>
    </row>
    <row r="33014">
      <c r="A33014" s="4" t="s">
        <v>41547</v>
      </c>
      <c r="B33014" s="4" t="s">
        <v>41551</v>
      </c>
      <c r="C33014" s="5" t="str">
        <f>IFERROR(__xludf.DUMMYFUNCTION("GOOGLETRANSLATE(B33014,""en"",""es-ES"")"),"Luego, otro joven con una camisa azul repite el mismo movimiento que el equipo blanco.")</f>
        <v>Luego, otro joven con una camisa azul repite el mismo movimiento que el equipo blanco.</v>
      </c>
    </row>
    <row r="33015">
      <c r="A33015" s="4" t="s">
        <v>41547</v>
      </c>
      <c r="B33015" s="4" t="s">
        <v>41552</v>
      </c>
      <c r="C33015" s="5" t="str">
        <f>IFERROR(__xludf.DUMMYFUNCTION("GOOGLETRANSLATE(B33015,""en"",""es-ES"")"),"Finalmente, a medida que los espectadores observan, un miembro del equipo blanco libera una piedra de roca y dos hombres del equipo usan escobas para despejar el camino.")</f>
        <v>Finalmente, a medida que los espectadores observan, un miembro del equipo blanco libera una piedra de roca y dos hombres del equipo usan escobas para despejar el camino.</v>
      </c>
    </row>
    <row r="33016">
      <c r="A33016" s="4" t="s">
        <v>41553</v>
      </c>
      <c r="B33016" s="4" t="s">
        <v>41554</v>
      </c>
      <c r="C33016" s="5" t="str">
        <f>IFERROR(__xludf.DUMMYFUNCTION("GOOGLETRANSLATE(B33016,""en"",""es-ES"")"),"Se ve a un hombre hablando con la cámara mientras sostiene una guitarra en sus manos.")</f>
        <v>Se ve a un hombre hablando con la cámara mientras sostiene una guitarra en sus manos.</v>
      </c>
    </row>
    <row r="33017">
      <c r="A33017" s="4" t="s">
        <v>41553</v>
      </c>
      <c r="B33017" s="4" t="s">
        <v>41555</v>
      </c>
      <c r="C33017" s="5" t="str">
        <f>IFERROR(__xludf.DUMMYFUNCTION("GOOGLETRANSLATE(B33017,""en"",""es-ES"")"),"El hombre comienza a tocar la guitarra y cantando en un micrófono.")</f>
        <v>El hombre comienza a tocar la guitarra y cantando en un micrófono.</v>
      </c>
    </row>
    <row r="33018">
      <c r="A33018" s="4" t="s">
        <v>41553</v>
      </c>
      <c r="B33018" s="4" t="s">
        <v>41556</v>
      </c>
      <c r="C33018" s="5" t="str">
        <f>IFERROR(__xludf.DUMMYFUNCTION("GOOGLETRANSLATE(B33018,""en"",""es-ES"")"),"El hombre continúa cantando y tocando y se detiene al final.")</f>
        <v>El hombre continúa cantando y tocando y se detiene al final.</v>
      </c>
    </row>
    <row r="33019">
      <c r="A33019" s="4" t="s">
        <v>41557</v>
      </c>
      <c r="B33019" s="4" t="s">
        <v>41558</v>
      </c>
      <c r="C33019" s="5" t="str">
        <f>IFERROR(__xludf.DUMMYFUNCTION("GOOGLETRANSLATE(B33019,""en"",""es-ES"")"),"Se ve a un hombre hablando con la cámara, así como varias tomas de una bolera y él jugando una pelota.")</f>
        <v>Se ve a un hombre hablando con la cámara, así como varias tomas de una bolera y él jugando una pelota.</v>
      </c>
    </row>
    <row r="33020">
      <c r="A33020" s="4" t="s">
        <v>41557</v>
      </c>
      <c r="B33020" s="4" t="s">
        <v>41559</v>
      </c>
      <c r="C33020" s="5" t="str">
        <f>IFERROR(__xludf.DUMMYFUNCTION("GOOGLETRANSLATE(B33020,""en"",""es-ES"")"),"Continúa hablando con la cámara mientras muestra varios videos de él lanzando la pelota de bolos y golpeando varios alfileres.")</f>
        <v>Continúa hablando con la cámara mientras muestra varios videos de él lanzando la pelota de bolos y golpeando varios alfileres.</v>
      </c>
    </row>
    <row r="33021">
      <c r="A33021" s="4" t="s">
        <v>41560</v>
      </c>
      <c r="B33021" s="4" t="s">
        <v>41078</v>
      </c>
      <c r="C33021" s="5" t="str">
        <f>IFERROR(__xludf.DUMMYFUNCTION("GOOGLETRANSLATE(B33021,""en"",""es-ES"")"),"Un hombre está sentado en una silla de peluquería.")</f>
        <v>Un hombre está sentado en una silla de peluquería.</v>
      </c>
    </row>
    <row r="33022">
      <c r="A33022" s="4" t="s">
        <v>41560</v>
      </c>
      <c r="B33022" s="4" t="s">
        <v>41561</v>
      </c>
      <c r="C33022" s="5" t="str">
        <f>IFERROR(__xludf.DUMMYFUNCTION("GOOGLETRANSLATE(B33022,""en"",""es-ES"")"),"Otro hombre le está dando un corte de pelo.")</f>
        <v>Otro hombre le está dando un corte de pelo.</v>
      </c>
    </row>
    <row r="33023">
      <c r="A33023" s="4" t="s">
        <v>41560</v>
      </c>
      <c r="B33023" s="4" t="s">
        <v>41562</v>
      </c>
      <c r="C33023" s="5" t="str">
        <f>IFERROR(__xludf.DUMMYFUNCTION("GOOGLETRANSLATE(B33023,""en"",""es-ES"")"),"Luego se quita el cuello del hombre.")</f>
        <v>Luego se quita el cuello del hombre.</v>
      </c>
    </row>
    <row r="33024">
      <c r="A33024" s="4" t="s">
        <v>41563</v>
      </c>
      <c r="B33024" s="4" t="s">
        <v>41564</v>
      </c>
      <c r="C33024" s="5" t="str">
        <f>IFERROR(__xludf.DUMMYFUNCTION("GOOGLETRANSLATE(B33024,""en"",""es-ES"")"),"Un hombre demuestra cómo cambiar el neumático en un automóvil.")</f>
        <v>Un hombre demuestra cómo cambiar el neumático en un automóvil.</v>
      </c>
    </row>
    <row r="33025">
      <c r="A33025" s="4" t="s">
        <v>41563</v>
      </c>
      <c r="B33025" s="4" t="s">
        <v>41565</v>
      </c>
      <c r="C33025" s="5" t="str">
        <f>IFERROR(__xludf.DUMMYFUNCTION("GOOGLETRANSLATE(B33025,""en"",""es-ES"")"),"Un automóvil conduce a través de una calle y luego se muestra como estacionado en el que un hombre se acerca al automóvil que sostiene una herramienta de extracción de tuercas.")</f>
        <v>Un automóvil conduce a través de una calle y luego se muestra como estacionado en el que un hombre se acerca al automóvil que sostiene una herramienta de extracción de tuercas.</v>
      </c>
    </row>
    <row r="33026">
      <c r="A33026" s="4" t="s">
        <v>41563</v>
      </c>
      <c r="B33026" s="4" t="s">
        <v>41566</v>
      </c>
      <c r="C33026" s="5" t="str">
        <f>IFERROR(__xludf.DUMMYFUNCTION("GOOGLETRANSLATE(B33026,""en"",""es-ES"")"),"El hombre quita las tuercas y luego sube el auto.")</f>
        <v>El hombre quita las tuercas y luego sube el auto.</v>
      </c>
    </row>
    <row r="33027">
      <c r="A33027" s="4" t="s">
        <v>41563</v>
      </c>
      <c r="B33027" s="4" t="s">
        <v>41567</v>
      </c>
      <c r="C33027" s="5" t="str">
        <f>IFERROR(__xludf.DUMMYFUNCTION("GOOGLETRANSLATE(B33027,""en"",""es-ES"")"),"El hombre luego quita el neumático y saca una llanta de repuesto de la parte posterior del automóvil.")</f>
        <v>El hombre luego quita el neumático y saca una llanta de repuesto de la parte posterior del automóvil.</v>
      </c>
    </row>
    <row r="33028">
      <c r="A33028" s="4" t="s">
        <v>41563</v>
      </c>
      <c r="B33028" s="4" t="s">
        <v>41568</v>
      </c>
      <c r="C33028" s="5" t="str">
        <f>IFERROR(__xludf.DUMMYFUNCTION("GOOGLETRANSLATE(B33028,""en"",""es-ES"")"),"El hombre luego pone el neumático nuevo en el auto.")</f>
        <v>El hombre luego pone el neumático nuevo en el auto.</v>
      </c>
    </row>
    <row r="33029">
      <c r="A33029" s="4" t="s">
        <v>41569</v>
      </c>
      <c r="B33029" s="4" t="s">
        <v>41570</v>
      </c>
      <c r="C33029" s="5" t="str">
        <f>IFERROR(__xludf.DUMMYFUNCTION("GOOGLETRANSLATE(B33029,""en"",""es-ES"")"),"Un hombre cuelga el papel tapiz en una pared en blanco.")</f>
        <v>Un hombre cuelga el papel tapiz en una pared en blanco.</v>
      </c>
    </row>
    <row r="33030">
      <c r="A33030" s="4" t="s">
        <v>41569</v>
      </c>
      <c r="B33030" s="4" t="s">
        <v>41571</v>
      </c>
      <c r="C33030" s="5" t="str">
        <f>IFERROR(__xludf.DUMMYFUNCTION("GOOGLETRANSLATE(B33030,""en"",""es-ES"")"),"Cada cuadro se enrolla y se pone en la pared.")</f>
        <v>Cada cuadro se enrolla y se pone en la pared.</v>
      </c>
    </row>
    <row r="33031">
      <c r="A33031" s="4" t="s">
        <v>41572</v>
      </c>
      <c r="B33031" s="4" t="s">
        <v>41573</v>
      </c>
      <c r="C33031" s="5" t="str">
        <f>IFERROR(__xludf.DUMMYFUNCTION("GOOGLETRANSLATE(B33031,""en"",""es-ES"")"),"Un hombre con un casco de hockey rojo y con un largo bigote rizado se ve en un disparo fijo de pie junto a una mujer mientras se apoya en una barrera de vidrio frente a una pista de patinaje de hockey.")</f>
        <v>Un hombre con un casco de hockey rojo y con un largo bigote rizado se ve en un disparo fijo de pie junto a una mujer mientras se apoya en una barrera de vidrio frente a una pista de patinaje de hockey.</v>
      </c>
    </row>
    <row r="33032">
      <c r="A33032" s="4" t="s">
        <v>41572</v>
      </c>
      <c r="B33032" s="4" t="s">
        <v>41574</v>
      </c>
      <c r="C33032" s="5" t="str">
        <f>IFERROR(__xludf.DUMMYFUNCTION("GOOGLETRANSLATE(B33032,""en"",""es-ES"")"),"Luego se muestra al hombre entrando en un juego de hockey en vivo y jugando hockey con un piso lleno de otros jugadores.")</f>
        <v>Luego se muestra al hombre entrando en un juego de hockey en vivo y jugando hockey con un piso lleno de otros jugadores.</v>
      </c>
    </row>
    <row r="33033">
      <c r="A33033" s="4" t="s">
        <v>41572</v>
      </c>
      <c r="B33033" s="4" t="s">
        <v>41575</v>
      </c>
      <c r="C33033" s="5" t="str">
        <f>IFERROR(__xludf.DUMMYFUNCTION("GOOGLETRANSLATE(B33033,""en"",""es-ES"")"),"Se muestra a otro hombre sentado junto a una muñeca Snoopy antes de que la cámara vuelva al hombre en el bigote nuevamente en otra toma aún.")</f>
        <v>Se muestra a otro hombre sentado junto a una muñeca Snoopy antes de que la cámara vuelva al hombre en el bigote nuevamente en otra toma aún.</v>
      </c>
    </row>
    <row r="33034">
      <c r="A33034" s="4" t="s">
        <v>41576</v>
      </c>
      <c r="B33034" s="4" t="s">
        <v>41577</v>
      </c>
      <c r="C33034" s="5" t="str">
        <f>IFERROR(__xludf.DUMMYFUNCTION("GOOGLETRANSLATE(B33034,""en"",""es-ES"")"),"Una mujer aplaude las manos.")</f>
        <v>Una mujer aplaude las manos.</v>
      </c>
    </row>
    <row r="33035">
      <c r="A33035" s="4" t="s">
        <v>41576</v>
      </c>
      <c r="B33035" s="4" t="s">
        <v>41578</v>
      </c>
      <c r="C33035" s="5" t="str">
        <f>IFERROR(__xludf.DUMMYFUNCTION("GOOGLETRANSLATE(B33035,""en"",""es-ES"")"),"Ella corre por una pista.")</f>
        <v>Ella corre por una pista.</v>
      </c>
    </row>
    <row r="33036">
      <c r="A33036" s="4" t="s">
        <v>41576</v>
      </c>
      <c r="B33036" s="4" t="s">
        <v>7927</v>
      </c>
      <c r="C33036" s="5" t="str">
        <f>IFERROR(__xludf.DUMMYFUNCTION("GOOGLETRANSLATE(B33036,""en"",""es-ES"")"),"Ella salta a una pila de arena.")</f>
        <v>Ella salta a una pila de arena.</v>
      </c>
    </row>
    <row r="33037">
      <c r="A33037" s="4" t="s">
        <v>41576</v>
      </c>
      <c r="B33037" s="4" t="s">
        <v>41579</v>
      </c>
      <c r="C33037" s="5" t="str">
        <f>IFERROR(__xludf.DUMMYFUNCTION("GOOGLETRANSLATE(B33037,""en"",""es-ES"")"),"Ella salta en el aire.")</f>
        <v>Ella salta en el aire.</v>
      </c>
    </row>
    <row r="33038">
      <c r="A33038" s="4" t="s">
        <v>41580</v>
      </c>
      <c r="B33038" s="4" t="s">
        <v>41581</v>
      </c>
      <c r="C33038" s="5" t="str">
        <f>IFERROR(__xludf.DUMMYFUNCTION("GOOGLETRANSLATE(B33038,""en"",""es-ES"")"),"Un hombre vestido con un golpeador de esposa negra está cerca de un vaso de pared fluorescente y está hablando.")</f>
        <v>Un hombre vestido con un golpeador de esposa negra está cerca de un vaso de pared fluorescente y está hablando.</v>
      </c>
    </row>
    <row r="33039">
      <c r="A33039" s="4" t="s">
        <v>41580</v>
      </c>
      <c r="B33039" s="4" t="s">
        <v>41582</v>
      </c>
      <c r="C33039" s="5" t="str">
        <f>IFERROR(__xludf.DUMMYFUNCTION("GOOGLETRANSLATE(B33039,""en"",""es-ES"")"),"Mientras habla, aparecen varios clips entre él donde está en una habitación con tres paredes y vidrio como la cuarta pared mientras jugaba la pelota de pared.")</f>
        <v>Mientras habla, aparecen varios clips entre él donde está en una habitación con tres paredes y vidrio como la cuarta pared mientras jugaba la pelota de pared.</v>
      </c>
    </row>
    <row r="33040">
      <c r="A33040" s="4" t="s">
        <v>41580</v>
      </c>
      <c r="B33040" s="4" t="s">
        <v>41583</v>
      </c>
      <c r="C33040" s="5" t="str">
        <f>IFERROR(__xludf.DUMMYFUNCTION("GOOGLETRANSLATE(B33040,""en"",""es-ES"")"),"La escena final se muestra y el hombre vuelve a hablar antes de finalmente mostrar una URL al final.")</f>
        <v>La escena final se muestra y el hombre vuelve a hablar antes de finalmente mostrar una URL al final.</v>
      </c>
    </row>
    <row r="33041">
      <c r="A33041" s="4" t="s">
        <v>41584</v>
      </c>
      <c r="B33041" s="4" t="s">
        <v>41585</v>
      </c>
      <c r="C33041" s="5" t="str">
        <f>IFERROR(__xludf.DUMMYFUNCTION("GOOGLETRANSLATE(B33041,""en"",""es-ES"")"),"Se ve a un joven parado en medio de un gran campo que sostiene instrumentos y de pie frente a otros.")</f>
        <v>Se ve a un joven parado en medio de un gran campo que sostiene instrumentos y de pie frente a otros.</v>
      </c>
    </row>
    <row r="33042">
      <c r="A33042" s="4" t="s">
        <v>41584</v>
      </c>
      <c r="B33042" s="4" t="s">
        <v>41586</v>
      </c>
      <c r="C33042" s="5" t="str">
        <f>IFERROR(__xludf.DUMMYFUNCTION("GOOGLETRANSLATE(B33042,""en"",""es-ES"")"),"El hombre luego comienza a tocar los instrumentos uno por uno.")</f>
        <v>El hombre luego comienza a tocar los instrumentos uno por uno.</v>
      </c>
    </row>
    <row r="33043">
      <c r="A33043" s="4" t="s">
        <v>41584</v>
      </c>
      <c r="B33043" s="4" t="s">
        <v>41587</v>
      </c>
      <c r="C33043" s="5" t="str">
        <f>IFERROR(__xludf.DUMMYFUNCTION("GOOGLETRANSLATE(B33043,""en"",""es-ES"")"),"Varios niños luego entran al marco usando Hula Hoops mientras el hombre se une a todavía cantando y aplaudiendo.")</f>
        <v>Varios niños luego entran al marco usando Hula Hoops mientras el hombre se une a todavía cantando y aplaudiendo.</v>
      </c>
    </row>
    <row r="33044">
      <c r="A33044" s="4" t="s">
        <v>41588</v>
      </c>
      <c r="B33044" s="4" t="s">
        <v>41589</v>
      </c>
      <c r="C33044" s="5" t="str">
        <f>IFERROR(__xludf.DUMMYFUNCTION("GOOGLETRANSLATE(B33044,""en"",""es-ES"")"),"Una mujer joven en su sostén y ropa interior se encuentra en una cama.")</f>
        <v>Una mujer joven en su sostén y ropa interior se encuentra en una cama.</v>
      </c>
    </row>
    <row r="33045">
      <c r="A33045" s="4" t="s">
        <v>41588</v>
      </c>
      <c r="B33045" s="4" t="s">
        <v>41590</v>
      </c>
      <c r="C33045" s="5" t="str">
        <f>IFERROR(__xludf.DUMMYFUNCTION("GOOGLETRANSLATE(B33045,""en"",""es-ES"")"),"Luego aplica loción a sus piernas y manos.")</f>
        <v>Luego aplica loción a sus piernas y manos.</v>
      </c>
    </row>
    <row r="33046">
      <c r="A33046" s="4" t="s">
        <v>41588</v>
      </c>
      <c r="B33046" s="4" t="s">
        <v>41591</v>
      </c>
      <c r="C33046" s="5" t="str">
        <f>IFERROR(__xludf.DUMMYFUNCTION("GOOGLETRANSLATE(B33046,""en"",""es-ES"")"),"Ella es muy minuciosa en su trabajo asegurándose de no perderse nada.")</f>
        <v>Ella es muy minuciosa en su trabajo asegurándose de no perderse nada.</v>
      </c>
    </row>
    <row r="33047">
      <c r="A33047" s="4" t="s">
        <v>41588</v>
      </c>
      <c r="B33047" s="4" t="s">
        <v>41592</v>
      </c>
      <c r="C33047" s="5" t="str">
        <f>IFERROR(__xludf.DUMMYFUNCTION("GOOGLETRANSLATE(B33047,""en"",""es-ES"")"),"Luego comienza el proceso de afeitarse las piernas con mucha atención.")</f>
        <v>Luego comienza el proceso de afeitarse las piernas con mucha atención.</v>
      </c>
    </row>
    <row r="33048">
      <c r="A33048" s="4" t="s">
        <v>41588</v>
      </c>
      <c r="B33048" s="4" t="s">
        <v>41593</v>
      </c>
      <c r="C33048" s="5" t="str">
        <f>IFERROR(__xludf.DUMMYFUNCTION("GOOGLETRANSLATE(B33048,""en"",""es-ES"")"),"Ella continúa este proceso con su otra pierna siendo muy buena en la atención al detalle.")</f>
        <v>Ella continúa este proceso con su otra pierna siendo muy buena en la atención al detalle.</v>
      </c>
    </row>
    <row r="33049">
      <c r="A33049" s="4" t="s">
        <v>41594</v>
      </c>
      <c r="B33049" s="4" t="s">
        <v>41595</v>
      </c>
      <c r="C33049" s="5" t="str">
        <f>IFERROR(__xludf.DUMMYFUNCTION("GOOGLETRANSLATE(B33049,""en"",""es-ES"")"),"Una persona sopla hojas con un soplador de hojas.")</f>
        <v>Una persona sopla hojas con un soplador de hojas.</v>
      </c>
    </row>
    <row r="33050">
      <c r="A33050" s="4" t="s">
        <v>41594</v>
      </c>
      <c r="B33050" s="4" t="s">
        <v>41596</v>
      </c>
      <c r="C33050" s="5" t="str">
        <f>IFERROR(__xludf.DUMMYFUNCTION("GOOGLETRANSLATE(B33050,""en"",""es-ES"")"),"Luego, un área sin hojas se muestra al lado de los árboles.")</f>
        <v>Luego, un área sin hojas se muestra al lado de los árboles.</v>
      </c>
    </row>
    <row r="33051">
      <c r="A33051" s="4" t="s">
        <v>41597</v>
      </c>
      <c r="B33051" s="4" t="s">
        <v>41598</v>
      </c>
      <c r="C33051" s="5" t="str">
        <f>IFERROR(__xludf.DUMMYFUNCTION("GOOGLETRANSLATE(B33051,""en"",""es-ES"")"),"Una niña se para y habla en un baño público.")</f>
        <v>Una niña se para y habla en un baño público.</v>
      </c>
    </row>
    <row r="33052">
      <c r="A33052" s="4" t="s">
        <v>41597</v>
      </c>
      <c r="B33052" s="4" t="s">
        <v>41599</v>
      </c>
      <c r="C33052" s="5" t="str">
        <f>IFERROR(__xludf.DUMMYFUNCTION("GOOGLETRANSLATE(B33052,""en"",""es-ES"")"),"La niña entra en un puesto y cierra la puerta.")</f>
        <v>La niña entra en un puesto y cierra la puerta.</v>
      </c>
    </row>
    <row r="33053">
      <c r="A33053" s="4" t="s">
        <v>41597</v>
      </c>
      <c r="B33053" s="4" t="s">
        <v>41600</v>
      </c>
      <c r="C33053" s="5" t="str">
        <f>IFERROR(__xludf.DUMMYFUNCTION("GOOGLETRANSLATE(B33053,""en"",""es-ES"")"),"Ella emerge y se lava las manos.")</f>
        <v>Ella emerge y se lava las manos.</v>
      </c>
    </row>
    <row r="33054">
      <c r="A33054" s="4" t="s">
        <v>41597</v>
      </c>
      <c r="B33054" s="4" t="s">
        <v>41601</v>
      </c>
      <c r="C33054" s="5" t="str">
        <f>IFERROR(__xludf.DUMMYFUNCTION("GOOGLETRANSLATE(B33054,""en"",""es-ES"")"),"Ella toma un papel y seca las manos.")</f>
        <v>Ella toma un papel y seca las manos.</v>
      </c>
    </row>
    <row r="33055">
      <c r="A33055" s="4" t="s">
        <v>41597</v>
      </c>
      <c r="B33055" s="4" t="s">
        <v>41602</v>
      </c>
      <c r="C33055" s="5" t="str">
        <f>IFERROR(__xludf.DUMMYFUNCTION("GOOGLETRANSLATE(B33055,""en"",""es-ES"")"),"Otra persona se está lavando las manos.")</f>
        <v>Otra persona se está lavando las manos.</v>
      </c>
    </row>
    <row r="33056">
      <c r="A33056" s="4" t="s">
        <v>41597</v>
      </c>
      <c r="B33056" s="4" t="s">
        <v>41603</v>
      </c>
      <c r="C33056" s="5" t="str">
        <f>IFERROR(__xludf.DUMMYFUNCTION("GOOGLETRANSLATE(B33056,""en"",""es-ES"")"),"La niña tira el papel de papel.")</f>
        <v>La niña tira el papel de papel.</v>
      </c>
    </row>
    <row r="33057">
      <c r="A33057" s="4" t="s">
        <v>41604</v>
      </c>
      <c r="B33057" s="4" t="s">
        <v>41605</v>
      </c>
      <c r="C33057" s="5" t="str">
        <f>IFERROR(__xludf.DUMMYFUNCTION("GOOGLETRANSLATE(B33057,""en"",""es-ES"")"),"Un hombre golpea la parte superior de un piano con un palo y habla con una banda grande sentada frente a él.")</f>
        <v>Un hombre golpea la parte superior de un piano con un palo y habla con una banda grande sentada frente a él.</v>
      </c>
    </row>
    <row r="33058">
      <c r="A33058" s="4" t="s">
        <v>41604</v>
      </c>
      <c r="B33058" s="4" t="s">
        <v>41606</v>
      </c>
      <c r="C33058" s="5" t="str">
        <f>IFERROR(__xludf.DUMMYFUNCTION("GOOGLETRANSLATE(B33058,""en"",""es-ES"")"),"Se sienta en el piano y él y la banda sonan.")</f>
        <v>Se sienta en el piano y él y la banda sonan.</v>
      </c>
    </row>
    <row r="33059">
      <c r="A33059" s="4" t="s">
        <v>41604</v>
      </c>
      <c r="B33059" s="4" t="s">
        <v>41607</v>
      </c>
      <c r="C33059" s="5" t="str">
        <f>IFERROR(__xludf.DUMMYFUNCTION("GOOGLETRANSLATE(B33059,""en"",""es-ES"")"),"Una gran audiencia observa desde cerca.")</f>
        <v>Una gran audiencia observa desde cerca.</v>
      </c>
    </row>
    <row r="33060">
      <c r="A33060" s="4" t="s">
        <v>41604</v>
      </c>
      <c r="B33060" s="4" t="s">
        <v>41608</v>
      </c>
      <c r="C33060" s="5" t="str">
        <f>IFERROR(__xludf.DUMMYFUNCTION("GOOGLETRANSLATE(B33060,""en"",""es-ES"")"),"El hombre tira el palo detrás de la banda.")</f>
        <v>El hombre tira el palo detrás de la banda.</v>
      </c>
    </row>
    <row r="33061">
      <c r="A33061" s="4" t="s">
        <v>41604</v>
      </c>
      <c r="B33061" s="4" t="s">
        <v>41609</v>
      </c>
      <c r="C33061" s="5" t="str">
        <f>IFERROR(__xludf.DUMMYFUNCTION("GOOGLETRANSLATE(B33061,""en"",""es-ES"")"),"El hombre juega de pie por un momento y luego se inclina.")</f>
        <v>El hombre juega de pie por un momento y luego se inclina.</v>
      </c>
    </row>
    <row r="33062">
      <c r="A33062" s="4" t="s">
        <v>41610</v>
      </c>
      <c r="B33062" s="4" t="s">
        <v>41611</v>
      </c>
      <c r="C33062" s="5" t="str">
        <f>IFERROR(__xludf.DUMMYFUNCTION("GOOGLETRANSLATE(B33062,""en"",""es-ES"")"),"Se vierte una bebida en un vaso seguido de una mujer agarrando un vaso y vertiendo mezclas en él.")</f>
        <v>Se vierte una bebida en un vaso seguido de una mujer agarrando un vaso y vertiendo mezclas en él.</v>
      </c>
    </row>
    <row r="33063">
      <c r="A33063" s="4" t="s">
        <v>41610</v>
      </c>
      <c r="B33063" s="4" t="s">
        <v>41612</v>
      </c>
      <c r="C33063" s="5" t="str">
        <f>IFERROR(__xludf.DUMMYFUNCTION("GOOGLETRANSLATE(B33063,""en"",""es-ES"")"),"Ella crea una bebida alcohólica al ver varias mezclas diferentes y la cámara se acerca a la bebida.")</f>
        <v>Ella crea una bebida alcohólica al ver varias mezclas diferentes y la cámara se acerca a la bebida.</v>
      </c>
    </row>
    <row r="33064">
      <c r="A33064" s="4" t="s">
        <v>41613</v>
      </c>
      <c r="B33064" s="4" t="s">
        <v>41614</v>
      </c>
      <c r="C33064" s="5" t="str">
        <f>IFERROR(__xludf.DUMMYFUNCTION("GOOGLETRANSLATE(B33064,""en"",""es-ES"")"),"Una banda mexicana está tocando y cantando.")</f>
        <v>Una banda mexicana está tocando y cantando.</v>
      </c>
    </row>
    <row r="33065">
      <c r="A33065" s="4" t="s">
        <v>41613</v>
      </c>
      <c r="B33065" s="4" t="s">
        <v>41615</v>
      </c>
      <c r="C33065" s="5" t="str">
        <f>IFERROR(__xludf.DUMMYFUNCTION("GOOGLETRANSLATE(B33065,""en"",""es-ES"")"),"La cámara hace un primer plano en cada miembro.")</f>
        <v>La cámara hace un primer plano en cada miembro.</v>
      </c>
    </row>
    <row r="33066">
      <c r="A33066" s="4" t="s">
        <v>41613</v>
      </c>
      <c r="B33066" s="4" t="s">
        <v>41616</v>
      </c>
      <c r="C33066" s="5" t="str">
        <f>IFERROR(__xludf.DUMMYFUNCTION("GOOGLETRANSLATE(B33066,""en"",""es-ES"")"),"Hay una multitud que los escucha.")</f>
        <v>Hay una multitud que los escucha.</v>
      </c>
    </row>
    <row r="33067">
      <c r="A33067" s="4" t="s">
        <v>41613</v>
      </c>
      <c r="B33067" s="4" t="s">
        <v>41617</v>
      </c>
      <c r="C33067" s="5" t="str">
        <f>IFERROR(__xludf.DUMMYFUNCTION("GOOGLETRANSLATE(B33067,""en"",""es-ES"")"),"El nombre de la banda está en la parte posterior de sus camisas.")</f>
        <v>El nombre de la banda está en la parte posterior de sus camisas.</v>
      </c>
    </row>
    <row r="33068">
      <c r="A33068" s="4" t="s">
        <v>41618</v>
      </c>
      <c r="B33068" s="4" t="s">
        <v>41619</v>
      </c>
      <c r="C33068" s="5" t="str">
        <f>IFERROR(__xludf.DUMMYFUNCTION("GOOGLETRANSLATE(B33068,""en"",""es-ES"")"),"Este hombre está en sus manos y rodillas en el suelo.")</f>
        <v>Este hombre está en sus manos y rodillas en el suelo.</v>
      </c>
    </row>
    <row r="33069">
      <c r="A33069" s="4" t="s">
        <v>41618</v>
      </c>
      <c r="B33069" s="4" t="s">
        <v>41620</v>
      </c>
      <c r="C33069" s="5" t="str">
        <f>IFERROR(__xludf.DUMMYFUNCTION("GOOGLETRANSLATE(B33069,""en"",""es-ES"")"),"Esto se está grabando desde una pantalla de TV y es muy fuerte.")</f>
        <v>Esto se está grabando desde una pantalla de TV y es muy fuerte.</v>
      </c>
    </row>
    <row r="33070">
      <c r="A33070" s="4" t="s">
        <v>41618</v>
      </c>
      <c r="B33070" s="4" t="s">
        <v>41621</v>
      </c>
      <c r="C33070" s="5" t="str">
        <f>IFERROR(__xludf.DUMMYFUNCTION("GOOGLETRANSLATE(B33070,""en"",""es-ES"")"),"No hay nadie más en la habitación con este hombre y parece una mujer que está siendo ingresada por detrás.")</f>
        <v>No hay nadie más en la habitación con este hombre y parece una mujer que está siendo ingresada por detrás.</v>
      </c>
    </row>
    <row r="33071">
      <c r="A33071" s="4" t="s">
        <v>41622</v>
      </c>
      <c r="B33071" s="4" t="s">
        <v>41623</v>
      </c>
      <c r="C33071" s="5" t="str">
        <f>IFERROR(__xludf.DUMMYFUNCTION("GOOGLETRANSLATE(B33071,""en"",""es-ES"")"),"Se ve un primer plano de una canoa moviéndose a lo largo del agua que muestra a una persona remando en el frente.")</f>
        <v>Se ve un primer plano de una canoa moviéndose a lo largo del agua que muestra a una persona remando en el frente.</v>
      </c>
    </row>
    <row r="33072">
      <c r="A33072" s="4" t="s">
        <v>41622</v>
      </c>
      <c r="B33072" s="4" t="s">
        <v>41624</v>
      </c>
      <c r="C33072" s="5" t="str">
        <f>IFERROR(__xludf.DUMMYFUNCTION("GOOGLETRANSLATE(B33072,""en"",""es-ES"")"),"Varias personas más se ven montando en canoas y mostrando cascadas, así como un incendio.")</f>
        <v>Varias personas más se ven montando en canoas y mostrando cascadas, así como un incendio.</v>
      </c>
    </row>
    <row r="33073">
      <c r="A33073" s="4" t="s">
        <v>41625</v>
      </c>
      <c r="B33073" s="4" t="s">
        <v>41626</v>
      </c>
      <c r="C33073" s="5" t="str">
        <f>IFERROR(__xludf.DUMMYFUNCTION("GOOGLETRANSLATE(B33073,""en"",""es-ES"")"),"Una mujer está haciendo una rutina de gimnasia en bares desiguales.")</f>
        <v>Una mujer está haciendo una rutina de gimnasia en bares desiguales.</v>
      </c>
    </row>
    <row r="33074">
      <c r="A33074" s="4" t="s">
        <v>41625</v>
      </c>
      <c r="B33074" s="4" t="s">
        <v>41627</v>
      </c>
      <c r="C33074" s="5" t="str">
        <f>IFERROR(__xludf.DUMMYFUNCTION("GOOGLETRANSLATE(B33074,""en"",""es-ES"")"),"Una mujer voltea en la barra.")</f>
        <v>Una mujer voltea en la barra.</v>
      </c>
    </row>
    <row r="33075">
      <c r="A33075" s="4" t="s">
        <v>41625</v>
      </c>
      <c r="B33075" s="4" t="s">
        <v>41628</v>
      </c>
      <c r="C33075" s="5" t="str">
        <f>IFERROR(__xludf.DUMMYFUNCTION("GOOGLETRANSLATE(B33075,""en"",""es-ES"")"),"Ella salta y aterriza en una estera.")</f>
        <v>Ella salta y aterriza en una estera.</v>
      </c>
    </row>
    <row r="33076">
      <c r="A33076" s="4" t="s">
        <v>41629</v>
      </c>
      <c r="B33076" s="4" t="s">
        <v>9397</v>
      </c>
      <c r="C33076" s="5" t="str">
        <f>IFERROR(__xludf.DUMMYFUNCTION("GOOGLETRANSLATE(B33076,""en"",""es-ES"")"),"Una mujer está de pie en una habitación hablando.")</f>
        <v>Una mujer está de pie en una habitación hablando.</v>
      </c>
    </row>
    <row r="33077">
      <c r="A33077" s="4" t="s">
        <v>41629</v>
      </c>
      <c r="B33077" s="4" t="s">
        <v>41630</v>
      </c>
      <c r="C33077" s="5" t="str">
        <f>IFERROR(__xludf.DUMMYFUNCTION("GOOGLETRANSLATE(B33077,""en"",""es-ES"")"),"Ella toma un cepillo rojo y comienza a cepillarse el cabello.")</f>
        <v>Ella toma un cepillo rojo y comienza a cepillarse el cabello.</v>
      </c>
    </row>
    <row r="33078">
      <c r="A33078" s="4" t="s">
        <v>41629</v>
      </c>
      <c r="B33078" s="4" t="s">
        <v>41631</v>
      </c>
      <c r="C33078" s="5" t="str">
        <f>IFERROR(__xludf.DUMMYFUNCTION("GOOGLETRANSLATE(B33078,""en"",""es-ES"")"),"Se muestra un anuncio de Netflix en la pantalla.")</f>
        <v>Se muestra un anuncio de Netflix en la pantalla.</v>
      </c>
    </row>
    <row r="33079">
      <c r="A33079" s="4" t="s">
        <v>41632</v>
      </c>
      <c r="B33079" s="4" t="s">
        <v>41633</v>
      </c>
      <c r="C33079" s="5" t="str">
        <f>IFERROR(__xludf.DUMMYFUNCTION("GOOGLETRANSLATE(B33079,""en"",""es-ES"")"),"Un hombre está sentado en una máquina de ejercicios.")</f>
        <v>Un hombre está sentado en una máquina de ejercicios.</v>
      </c>
    </row>
    <row r="33080">
      <c r="A33080" s="4" t="s">
        <v>41632</v>
      </c>
      <c r="B33080" s="4" t="s">
        <v>41634</v>
      </c>
      <c r="C33080" s="5" t="str">
        <f>IFERROR(__xludf.DUMMYFUNCTION("GOOGLETRANSLATE(B33080,""en"",""es-ES"")"),"Él tira de un bar frente a él y comienza a hacer ejercicio.")</f>
        <v>Él tira de un bar frente a él y comienza a hacer ejercicio.</v>
      </c>
    </row>
    <row r="33081">
      <c r="A33081" s="4" t="s">
        <v>41632</v>
      </c>
      <c r="B33081" s="4" t="s">
        <v>41635</v>
      </c>
      <c r="C33081" s="5" t="str">
        <f>IFERROR(__xludf.DUMMYFUNCTION("GOOGLETRANSLATE(B33081,""en"",""es-ES"")"),"Él deja caer la barra y termina.")</f>
        <v>Él deja caer la barra y termina.</v>
      </c>
    </row>
    <row r="33082">
      <c r="A33082" s="4" t="s">
        <v>41636</v>
      </c>
      <c r="B33082" s="4" t="s">
        <v>41637</v>
      </c>
      <c r="C33082" s="5" t="str">
        <f>IFERROR(__xludf.DUMMYFUNCTION("GOOGLETRANSLATE(B33082,""en"",""es-ES"")"),"Se ve a una niña de pie detrás de una mesa apretando limas mientras otra lava los platos en el fondo.")</f>
        <v>Se ve a una niña de pie detrás de una mesa apretando limas mientras otra lava los platos en el fondo.</v>
      </c>
    </row>
    <row r="33083">
      <c r="A33083" s="4" t="s">
        <v>41636</v>
      </c>
      <c r="B33083" s="4" t="s">
        <v>41638</v>
      </c>
      <c r="C33083" s="5" t="str">
        <f>IFERROR(__xludf.DUMMYFUNCTION("GOOGLETRANSLATE(B33083,""en"",""es-ES"")"),"La niña continúa jugando la fruta y camina hacia la cámara y luego de regreso.")</f>
        <v>La niña continúa jugando la fruta y camina hacia la cámara y luego de regreso.</v>
      </c>
    </row>
    <row r="33084">
      <c r="A33084" s="4" t="s">
        <v>41639</v>
      </c>
      <c r="B33084" s="4" t="s">
        <v>41640</v>
      </c>
      <c r="C33084" s="5" t="str">
        <f>IFERROR(__xludf.DUMMYFUNCTION("GOOGLETRANSLATE(B33084,""en"",""es-ES"")"),"La madre de Duggar y una niña se acercan a otra mujer en un rancho de caballos y las palabras en la parte inferior izquierda dicen que el nombre de la mujer es Morgan Brown y que es la instructora ecuestre.")</f>
        <v>La madre de Duggar y una niña se acercan a otra mujer en un rancho de caballos y las palabras en la parte inferior izquierda dicen que el nombre de la mujer es Morgan Brown y que es la instructora ecuestre.</v>
      </c>
    </row>
    <row r="33085">
      <c r="A33085" s="4" t="s">
        <v>41639</v>
      </c>
      <c r="B33085" s="4" t="s">
        <v>41641</v>
      </c>
      <c r="C33085" s="5" t="str">
        <f>IFERROR(__xludf.DUMMYFUNCTION("GOOGLETRANSLATE(B33085,""en"",""es-ES"")"),"La mujer los lleva al granero y ella pone un casco en la cabeza de las niñas, caminan para conseguir caballos y, en algún momento, la madre de Duggar también se puso un casco.")</f>
        <v>La mujer los lleva al granero y ella pone un casco en la cabeza de las niñas, caminan para conseguir caballos y, en algún momento, la madre de Duggar también se puso un casco.</v>
      </c>
    </row>
    <row r="33086">
      <c r="A33086" s="4" t="s">
        <v>41639</v>
      </c>
      <c r="B33086" s="4" t="s">
        <v>41642</v>
      </c>
      <c r="C33086" s="5" t="str">
        <f>IFERROR(__xludf.DUMMYFUNCTION("GOOGLETRANSLATE(B33086,""en"",""es-ES"")"),"Entre entrevistas muestran a la madre de Duggar y a la niña que recibe instrucciones sobre su caballo y luego se suben a sus caballos y viajan sobre ellos en un área cerrada.")</f>
        <v>Entre entrevistas muestran a la madre de Duggar y a la niña que recibe instrucciones sobre su caballo y luego se suben a sus caballos y viajan sobre ellos en un área cerrada.</v>
      </c>
    </row>
    <row r="33087">
      <c r="A33087" s="4" t="s">
        <v>41639</v>
      </c>
      <c r="B33087" s="4" t="s">
        <v>41643</v>
      </c>
      <c r="C33087" s="5" t="str">
        <f>IFERROR(__xludf.DUMMYFUNCTION("GOOGLETRANSLATE(B33087,""en"",""es-ES"")"),"El logotipo de TLC rojo y blanco permanece en el área inferior derecha de la pantalla todo el tiempo.")</f>
        <v>El logotipo de TLC rojo y blanco permanece en el área inferior derecha de la pantalla todo el tiempo.</v>
      </c>
    </row>
    <row r="33088">
      <c r="A33088" s="4" t="s">
        <v>41644</v>
      </c>
      <c r="B33088" s="4" t="s">
        <v>41645</v>
      </c>
      <c r="C33088" s="5" t="str">
        <f>IFERROR(__xludf.DUMMYFUNCTION("GOOGLETRANSLATE(B33088,""en"",""es-ES"")"),"Se ve a un hombre hablando con la cámara y conduce a varias personas sosteniendo y disparando arcos.")</f>
        <v>Se ve a un hombre hablando con la cámara y conduce a varias personas sosteniendo y disparando arcos.</v>
      </c>
    </row>
    <row r="33089">
      <c r="A33089" s="4" t="s">
        <v>41644</v>
      </c>
      <c r="B33089" s="4" t="s">
        <v>41646</v>
      </c>
      <c r="C33089" s="5" t="str">
        <f>IFERROR(__xludf.DUMMYFUNCTION("GOOGLETRANSLATE(B33089,""en"",""es-ES"")"),"Los instructores ayuda a los estudiantes mientras hablan con la cámara y muestra varias tomas de la persona disparando las flechas.")</f>
        <v>Los instructores ayuda a los estudiantes mientras hablan con la cámara y muestra varias tomas de la persona disparando las flechas.</v>
      </c>
    </row>
    <row r="33090">
      <c r="A33090" s="4" t="s">
        <v>41647</v>
      </c>
      <c r="B33090" s="4" t="s">
        <v>41648</v>
      </c>
      <c r="C33090" s="5" t="str">
        <f>IFERROR(__xludf.DUMMYFUNCTION("GOOGLETRANSLATE(B33090,""en"",""es-ES"")"),"Se muestra una camionetas fuera de la pared.")</f>
        <v>Se muestra una camionetas fuera de la pared.</v>
      </c>
    </row>
    <row r="33091">
      <c r="A33091" s="4" t="s">
        <v>41647</v>
      </c>
      <c r="B33091" s="4" t="s">
        <v>41649</v>
      </c>
      <c r="C33091" s="5" t="str">
        <f>IFERROR(__xludf.DUMMYFUNCTION("GOOGLETRANSLATE(B33091,""en"",""es-ES"")"),"Múltiples imágenes parpadean en la pantalla.")</f>
        <v>Múltiples imágenes parpadean en la pantalla.</v>
      </c>
    </row>
    <row r="33092">
      <c r="A33092" s="4" t="s">
        <v>41647</v>
      </c>
      <c r="B33092" s="4" t="s">
        <v>41650</v>
      </c>
      <c r="C33092" s="5" t="str">
        <f>IFERROR(__xludf.DUMMYFUNCTION("GOOGLETRANSLATE(B33092,""en"",""es-ES"")"),"Se muestra a los hombres bebiendo vino antes de realizar numerosos trucos en tableros de esquí.")</f>
        <v>Se muestra a los hombres bebiendo vino antes de realizar numerosos trucos en tableros de esquí.</v>
      </c>
    </row>
    <row r="33093">
      <c r="A33093" s="4" t="s">
        <v>41647</v>
      </c>
      <c r="B33093" s="4" t="s">
        <v>41651</v>
      </c>
      <c r="C33093" s="5" t="str">
        <f>IFERROR(__xludf.DUMMYFUNCTION("GOOGLETRANSLATE(B33093,""en"",""es-ES"")"),"Se muestran imágenes de ellos en el aire realizando trucos y saltos.")</f>
        <v>Se muestran imágenes de ellos en el aire realizando trucos y saltos.</v>
      </c>
    </row>
    <row r="33094">
      <c r="A33094" s="4" t="s">
        <v>41652</v>
      </c>
      <c r="B33094" s="4" t="s">
        <v>41653</v>
      </c>
      <c r="C33094" s="5" t="str">
        <f>IFERROR(__xludf.DUMMYFUNCTION("GOOGLETRANSLATE(B33094,""en"",""es-ES"")"),"El hombre está de pie en un Icetrack hablando con la cámara.")</f>
        <v>El hombre está de pie en un Icetrack hablando con la cámara.</v>
      </c>
    </row>
    <row r="33095">
      <c r="A33095" s="4" t="s">
        <v>41652</v>
      </c>
      <c r="B33095" s="4" t="s">
        <v>41654</v>
      </c>
      <c r="C33095" s="5" t="str">
        <f>IFERROR(__xludf.DUMMYFUNCTION("GOOGLETRANSLATE(B33095,""en"",""es-ES"")"),"La gente está jugando rizando en una cancha de hielo.")</f>
        <v>La gente está jugando rizando en una cancha de hielo.</v>
      </c>
    </row>
    <row r="33096">
      <c r="A33096" s="4" t="s">
        <v>41655</v>
      </c>
      <c r="B33096" s="4" t="s">
        <v>41656</v>
      </c>
      <c r="C33096" s="5" t="str">
        <f>IFERROR(__xludf.DUMMYFUNCTION("GOOGLETRANSLATE(B33096,""en"",""es-ES"")"),"Se muestran varios clips de personas que juegan fútbol frente a un gran estadio.")</f>
        <v>Se muestran varios clips de personas que juegan fútbol frente a un gran estadio.</v>
      </c>
    </row>
    <row r="33097">
      <c r="A33097" s="4" t="s">
        <v>41655</v>
      </c>
      <c r="B33097" s="4" t="s">
        <v>41657</v>
      </c>
      <c r="C33097" s="5" t="str">
        <f>IFERROR(__xludf.DUMMYFUNCTION("GOOGLETRANSLATE(B33097,""en"",""es-ES"")"),"La gente patea una pelota por todo el área y levanta las manos.")</f>
        <v>La gente patea una pelota por todo el área y levanta las manos.</v>
      </c>
    </row>
    <row r="33098">
      <c r="A33098" s="4" t="s">
        <v>41655</v>
      </c>
      <c r="B33098" s="4" t="s">
        <v>41658</v>
      </c>
      <c r="C33098" s="5" t="str">
        <f>IFERROR(__xludf.DUMMYFUNCTION("GOOGLETRANSLATE(B33098,""en"",""es-ES"")"),"Se muestran más disparos de personas que juegan entre sí en diferentes campos y celebrando.")</f>
        <v>Se muestran más disparos de personas que juegan entre sí en diferentes campos y celebrando.</v>
      </c>
    </row>
    <row r="33099">
      <c r="A33099" s="4" t="s">
        <v>41659</v>
      </c>
      <c r="B33099" s="4" t="s">
        <v>41660</v>
      </c>
      <c r="C33099" s="5" t="str">
        <f>IFERROR(__xludf.DUMMYFUNCTION("GOOGLETRANSLATE(B33099,""en"",""es-ES"")"),"Se ve a un niño hablando con la cámara y se dirige a una mujer mayor que sopla hojas en el patio.")</f>
        <v>Se ve a un niño hablando con la cámara y se dirige a una mujer mayor que sopla hojas en el patio.</v>
      </c>
    </row>
    <row r="33100">
      <c r="A33100" s="4" t="s">
        <v>41659</v>
      </c>
      <c r="B33100" s="4" t="s">
        <v>41661</v>
      </c>
      <c r="C33100" s="5" t="str">
        <f>IFERROR(__xludf.DUMMYFUNCTION("GOOGLETRANSLATE(B33100,""en"",""es-ES"")"),"La mujer habla con el niño y él se acerca a ella mientras ella todavía sopla las hojas.")</f>
        <v>La mujer habla con el niño y él se acerca a ella mientras ella todavía sopla las hojas.</v>
      </c>
    </row>
    <row r="33101">
      <c r="A33101" s="4" t="s">
        <v>41659</v>
      </c>
      <c r="B33101" s="4" t="s">
        <v>41662</v>
      </c>
      <c r="C33101" s="5" t="str">
        <f>IFERROR(__xludf.DUMMYFUNCTION("GOOGLETRANSLATE(B33101,""en"",""es-ES"")"),"Al final la ha visto caminando más allá de una cerca.")</f>
        <v>Al final la ha visto caminando más allá de una cerca.</v>
      </c>
    </row>
    <row r="33102">
      <c r="A33102" s="4" t="s">
        <v>41663</v>
      </c>
      <c r="B33102" s="4" t="s">
        <v>41664</v>
      </c>
      <c r="C33102" s="5" t="str">
        <f>IFERROR(__xludf.DUMMYFUNCTION("GOOGLETRANSLATE(B33102,""en"",""es-ES"")"),"Un hombre joven está sentado en el desierto encima de un camello.")</f>
        <v>Un hombre joven está sentado en el desierto encima de un camello.</v>
      </c>
    </row>
    <row r="33103">
      <c r="A33103" s="4" t="s">
        <v>41663</v>
      </c>
      <c r="B33103" s="4" t="s">
        <v>41665</v>
      </c>
      <c r="C33103" s="5" t="str">
        <f>IFERROR(__xludf.DUMMYFUNCTION("GOOGLETRANSLATE(B33103,""en"",""es-ES"")"),"El hombre comienza a hablar con otro hombre que tiene una envoltura roja en la cabeza.")</f>
        <v>El hombre comienza a hablar con otro hombre que tiene una envoltura roja en la cabeza.</v>
      </c>
    </row>
    <row r="33104">
      <c r="A33104" s="4" t="s">
        <v>41663</v>
      </c>
      <c r="B33104" s="4" t="s">
        <v>41666</v>
      </c>
      <c r="C33104" s="5" t="str">
        <f>IFERROR(__xludf.DUMMYFUNCTION("GOOGLETRANSLATE(B33104,""en"",""es-ES"")"),"El camello se levanta y comienza a caminar por el desierto hacia un grupo de niños y autos.")</f>
        <v>El camello se levanta y comienza a caminar por el desierto hacia un grupo de niños y autos.</v>
      </c>
    </row>
    <row r="33105">
      <c r="A33105" s="4" t="s">
        <v>41667</v>
      </c>
      <c r="B33105" s="4" t="s">
        <v>41668</v>
      </c>
      <c r="C33105" s="5" t="str">
        <f>IFERROR(__xludf.DUMMYFUNCTION("GOOGLETRANSLATE(B33105,""en"",""es-ES"")"),"Un hombre está atando un cinturón amarillo alrededor de la cintura de un hombre más alto que le da la mano y luego sacude a todos los demás.")</f>
        <v>Un hombre está atando un cinturón amarillo alrededor de la cintura de un hombre más alto que le da la mano y luego sacude a todos los demás.</v>
      </c>
    </row>
    <row r="33106">
      <c r="A33106" s="4" t="s">
        <v>41667</v>
      </c>
      <c r="B33106" s="4" t="s">
        <v>41669</v>
      </c>
      <c r="C33106" s="5" t="str">
        <f>IFERROR(__xludf.DUMMYFUNCTION("GOOGLETRANSLATE(B33106,""en"",""es-ES"")"),"El hombre y otro comienzan a hacer algunos movimientos de karate uno contra el otro, pero rara vez hacen contacto físico.")</f>
        <v>El hombre y otro comienzan a hacer algunos movimientos de karate uno contra el otro, pero rara vez hacen contacto físico.</v>
      </c>
    </row>
    <row r="33107">
      <c r="A33107" s="4" t="s">
        <v>41667</v>
      </c>
      <c r="B33107" s="4" t="s">
        <v>41670</v>
      </c>
      <c r="C33107" s="5" t="str">
        <f>IFERROR(__xludf.DUMMYFUNCTION("GOOGLETRANSLATE(B33107,""en"",""es-ES"")"),"Hay un grupo de hombres parados a su alrededor mirándolos.")</f>
        <v>Hay un grupo de hombres parados a su alrededor mirándolos.</v>
      </c>
    </row>
    <row r="33108">
      <c r="A33108" s="4" t="s">
        <v>41667</v>
      </c>
      <c r="B33108" s="4" t="s">
        <v>41671</v>
      </c>
      <c r="C33108" s="5" t="str">
        <f>IFERROR(__xludf.DUMMYFUNCTION("GOOGLETRANSLATE(B33108,""en"",""es-ES"")"),"Cuando hayan terminado, toman todos toman una foto grupal juntos.")</f>
        <v>Cuando hayan terminado, toman todos toman una foto grupal juntos.</v>
      </c>
    </row>
    <row r="33109">
      <c r="A33109" s="4" t="s">
        <v>41672</v>
      </c>
      <c r="B33109" s="4" t="s">
        <v>41673</v>
      </c>
      <c r="C33109" s="5" t="str">
        <f>IFERROR(__xludf.DUMMYFUNCTION("GOOGLETRANSLATE(B33109,""en"",""es-ES"")"),"Se ven dos hombres grandes parados en un pozo rodeado de otros y un árbitro de pie en el medio.")</f>
        <v>Se ven dos hombres grandes parados en un pozo rodeado de otros y un árbitro de pie en el medio.</v>
      </c>
    </row>
    <row r="33110">
      <c r="A33110" s="4" t="s">
        <v>41672</v>
      </c>
      <c r="B33110" s="4" t="s">
        <v>41674</v>
      </c>
      <c r="C33110" s="5" t="str">
        <f>IFERROR(__xludf.DUMMYFUNCTION("GOOGLETRANSLATE(B33110,""en"",""es-ES"")"),"Luego, los hombres se inclinan entre sí mientras la gente continúa barriendo la arena y conduciendo a los hombres que luchan.")</f>
        <v>Luego, los hombres se inclinan entre sí mientras la gente continúa barriendo la arena y conduciendo a los hombres que luchan.</v>
      </c>
    </row>
    <row r="33111">
      <c r="A33111" s="4" t="s">
        <v>41672</v>
      </c>
      <c r="B33111" s="4" t="s">
        <v>41675</v>
      </c>
      <c r="C33111" s="5" t="str">
        <f>IFERROR(__xludf.DUMMYFUNCTION("GOOGLETRANSLATE(B33111,""en"",""es-ES"")"),"Los hombres continuamente luchan entre sí mientras el árbitro se mueve a su alrededor y termina con ellos caminando y luego fuera del escenario.")</f>
        <v>Los hombres continuamente luchan entre sí mientras el árbitro se mueve a su alrededor y termina con ellos caminando y luego fuera del escenario.</v>
      </c>
    </row>
    <row r="33112">
      <c r="A33112" s="4" t="s">
        <v>41676</v>
      </c>
      <c r="B33112" s="4" t="s">
        <v>41677</v>
      </c>
      <c r="C33112" s="5" t="str">
        <f>IFERROR(__xludf.DUMMYFUNCTION("GOOGLETRANSLATE(B33112,""en"",""es-ES"")"),"Una persona con gorra amarilla está nadando en una piscina.")</f>
        <v>Una persona con gorra amarilla está nadando en una piscina.</v>
      </c>
    </row>
    <row r="33113">
      <c r="A33113" s="4" t="s">
        <v>41676</v>
      </c>
      <c r="B33113" s="4" t="s">
        <v>41678</v>
      </c>
      <c r="C33113" s="5" t="str">
        <f>IFERROR(__xludf.DUMMYFUNCTION("GOOGLETRANSLATE(B33113,""en"",""es-ES"")"),"Una persona con una camisa blanca está hablando.")</f>
        <v>Una persona con una camisa blanca está hablando.</v>
      </c>
    </row>
    <row r="33114">
      <c r="A33114" s="4" t="s">
        <v>41676</v>
      </c>
      <c r="B33114" s="4" t="s">
        <v>41679</v>
      </c>
      <c r="C33114" s="5" t="str">
        <f>IFERROR(__xludf.DUMMYFUNCTION("GOOGLETRANSLATE(B33114,""en"",""es-ES"")"),"La persona está fuera del agua moviendo sus brazos.")</f>
        <v>La persona está fuera del agua moviendo sus brazos.</v>
      </c>
    </row>
    <row r="33115">
      <c r="A33115" s="4" t="s">
        <v>41680</v>
      </c>
      <c r="B33115" s="4" t="s">
        <v>41681</v>
      </c>
      <c r="C33115" s="5" t="str">
        <f>IFERROR(__xludf.DUMMYFUNCTION("GOOGLETRANSLATE(B33115,""en"",""es-ES"")"),"Una mujer monta una viga con una audiencia en el fondo.")</f>
        <v>Una mujer monta una viga con una audiencia en el fondo.</v>
      </c>
    </row>
    <row r="33116">
      <c r="A33116" s="4" t="s">
        <v>41680</v>
      </c>
      <c r="B33116" s="4" t="s">
        <v>41682</v>
      </c>
      <c r="C33116" s="5" t="str">
        <f>IFERROR(__xludf.DUMMYFUNCTION("GOOGLETRANSLATE(B33116,""en"",""es-ES"")"),"La mujer realiza gimnasia en la viga.")</f>
        <v>La mujer realiza gimnasia en la viga.</v>
      </c>
    </row>
    <row r="33117">
      <c r="A33117" s="4" t="s">
        <v>41680</v>
      </c>
      <c r="B33117" s="4" t="s">
        <v>41683</v>
      </c>
      <c r="C33117" s="5" t="str">
        <f>IFERROR(__xludf.DUMMYFUNCTION("GOOGLETRANSLATE(B33117,""en"",""es-ES"")"),"La mujer desmonta de la viga.")</f>
        <v>La mujer desmonta de la viga.</v>
      </c>
    </row>
    <row r="33118">
      <c r="A33118" s="4" t="s">
        <v>41684</v>
      </c>
      <c r="B33118" s="4" t="s">
        <v>41685</v>
      </c>
      <c r="C33118" s="5" t="str">
        <f>IFERROR(__xludf.DUMMYFUNCTION("GOOGLETRANSLATE(B33118,""en"",""es-ES"")"),"Un niño se ríe mientras sostiene dos cepillos de dientes.")</f>
        <v>Un niño se ríe mientras sostiene dos cepillos de dientes.</v>
      </c>
    </row>
    <row r="33119">
      <c r="A33119" s="4" t="s">
        <v>41684</v>
      </c>
      <c r="B33119" s="4" t="s">
        <v>41686</v>
      </c>
      <c r="C33119" s="5" t="str">
        <f>IFERROR(__xludf.DUMMYFUNCTION("GOOGLETRANSLATE(B33119,""en"",""es-ES"")"),"Utiliza un cepillo eléctrico para cepillarse los dientes.")</f>
        <v>Utiliza un cepillo eléctrico para cepillarse los dientes.</v>
      </c>
    </row>
    <row r="33120">
      <c r="A33120" s="4" t="s">
        <v>41684</v>
      </c>
      <c r="B33120" s="4" t="s">
        <v>41687</v>
      </c>
      <c r="C33120" s="5" t="str">
        <f>IFERROR(__xludf.DUMMYFUNCTION("GOOGLETRANSLATE(B33120,""en"",""es-ES"")"),"Shaha el cepillo, ocasionalmente vertiendo agua sobre él y poniéndolo en la boca.")</f>
        <v>Shaha el cepillo, ocasionalmente vertiendo agua sobre él y poniéndolo en la boca.</v>
      </c>
    </row>
    <row r="33121">
      <c r="A33121" s="4" t="s">
        <v>41688</v>
      </c>
      <c r="B33121" s="4" t="s">
        <v>41689</v>
      </c>
      <c r="C33121" s="5" t="str">
        <f>IFERROR(__xludf.DUMMYFUNCTION("GOOGLETRANSLATE(B33121,""en"",""es-ES"")"),"Vemos a un hombre preparándose para meterse en un kayak.")</f>
        <v>Vemos a un hombre preparándose para meterse en un kayak.</v>
      </c>
    </row>
    <row r="33122">
      <c r="A33122" s="4" t="s">
        <v>41688</v>
      </c>
      <c r="B33122" s="4" t="s">
        <v>41690</v>
      </c>
      <c r="C33122" s="5" t="str">
        <f>IFERROR(__xludf.DUMMYFUNCTION("GOOGLETRANSLATE(B33122,""en"",""es-ES"")"),"Luego vemos al hombre montando en su kayak en un río áspero.")</f>
        <v>Luego vemos al hombre montando en su kayak en un río áspero.</v>
      </c>
    </row>
    <row r="33123">
      <c r="A33123" s="4" t="s">
        <v>41688</v>
      </c>
      <c r="B33123" s="4" t="s">
        <v>41691</v>
      </c>
      <c r="C33123" s="5" t="str">
        <f>IFERROR(__xludf.DUMMYFUNCTION("GOOGLETRANSLATE(B33123,""en"",""es-ES"")"),"El hombre pasa sobre una roca.")</f>
        <v>El hombre pasa sobre una roca.</v>
      </c>
    </row>
    <row r="33124">
      <c r="A33124" s="4" t="s">
        <v>41688</v>
      </c>
      <c r="B33124" s="4" t="s">
        <v>41692</v>
      </c>
      <c r="C33124" s="5" t="str">
        <f>IFERROR(__xludf.DUMMYFUNCTION("GOOGLETRANSLATE(B33124,""en"",""es-ES"")"),"Vemos una montaña cerca del río.")</f>
        <v>Vemos una montaña cerca del río.</v>
      </c>
    </row>
    <row r="33125">
      <c r="A33125" s="4" t="s">
        <v>41688</v>
      </c>
      <c r="B33125" s="4" t="s">
        <v>41693</v>
      </c>
      <c r="C33125" s="5" t="str">
        <f>IFERROR(__xludf.DUMMYFUNCTION("GOOGLETRANSLATE(B33125,""en"",""es-ES"")"),"El kayak es volcado en el río.")</f>
        <v>El kayak es volcado en el río.</v>
      </c>
    </row>
    <row r="33126">
      <c r="A33126" s="4" t="s">
        <v>41688</v>
      </c>
      <c r="B33126" s="4" t="s">
        <v>41694</v>
      </c>
      <c r="C33126" s="5" t="str">
        <f>IFERROR(__xludf.DUMMYFUNCTION("GOOGLETRANSLATE(B33126,""en"",""es-ES"")"),"Vemos al hombre en la orilla.")</f>
        <v>Vemos al hombre en la orilla.</v>
      </c>
    </row>
    <row r="33127">
      <c r="A33127" s="4" t="s">
        <v>41688</v>
      </c>
      <c r="B33127" s="4" t="s">
        <v>41695</v>
      </c>
      <c r="C33127" s="5" t="str">
        <f>IFERROR(__xludf.DUMMYFUNCTION("GOOGLETRANSLATE(B33127,""en"",""es-ES"")"),"Vemos al hombre pasar por una cascada.")</f>
        <v>Vemos al hombre pasar por una cascada.</v>
      </c>
    </row>
    <row r="33128">
      <c r="A33128" s="4" t="s">
        <v>41688</v>
      </c>
      <c r="B33128" s="4" t="s">
        <v>41696</v>
      </c>
      <c r="C33128" s="5" t="str">
        <f>IFERROR(__xludf.DUMMYFUNCTION("GOOGLETRANSLATE(B33128,""en"",""es-ES"")"),"Vemos al hombre tirar de su kayak a la orilla.")</f>
        <v>Vemos al hombre tirar de su kayak a la orilla.</v>
      </c>
    </row>
    <row r="33129">
      <c r="A33129" s="4" t="s">
        <v>41688</v>
      </c>
      <c r="B33129" s="4" t="s">
        <v>41697</v>
      </c>
      <c r="C33129" s="5" t="str">
        <f>IFERROR(__xludf.DUMMYFUNCTION("GOOGLETRANSLATE(B33129,""en"",""es-ES"")"),"Vemos el kayak volcado y luego vemos el río corriendo.")</f>
        <v>Vemos el kayak volcado y luego vemos el río corriendo.</v>
      </c>
    </row>
    <row r="33130">
      <c r="A33130" s="4" t="s">
        <v>41688</v>
      </c>
      <c r="B33130" s="4" t="s">
        <v>41698</v>
      </c>
      <c r="C33130" s="5" t="str">
        <f>IFERROR(__xludf.DUMMYFUNCTION("GOOGLETRANSLATE(B33130,""en"",""es-ES"")"),"Vemos las pantallas finales.")</f>
        <v>Vemos las pantallas finales.</v>
      </c>
    </row>
    <row r="33131">
      <c r="A33131" s="4" t="s">
        <v>41699</v>
      </c>
      <c r="B33131" s="4" t="s">
        <v>41700</v>
      </c>
      <c r="C33131" s="5" t="str">
        <f>IFERROR(__xludf.DUMMYFUNCTION("GOOGLETRANSLATE(B33131,""en"",""es-ES"")"),"Se ve a una mujer riéndose de la cámara y comienza a fumar un cigarrillo.")</f>
        <v>Se ve a una mujer riéndose de la cámara y comienza a fumar un cigarrillo.</v>
      </c>
    </row>
    <row r="33132">
      <c r="A33132" s="4" t="s">
        <v>41699</v>
      </c>
      <c r="B33132" s="4" t="s">
        <v>41701</v>
      </c>
      <c r="C33132" s="5" t="str">
        <f>IFERROR(__xludf.DUMMYFUNCTION("GOOGLETRANSLATE(B33132,""en"",""es-ES"")"),"La mujer le quita las bocanadas de su cigarrillo mientras mira la cámara.")</f>
        <v>La mujer le quita las bocanadas de su cigarrillo mientras mira la cámara.</v>
      </c>
    </row>
    <row r="33133">
      <c r="A33133" s="4" t="s">
        <v>41699</v>
      </c>
      <c r="B33133" s="4" t="s">
        <v>41702</v>
      </c>
      <c r="C33133" s="5" t="str">
        <f>IFERROR(__xludf.DUMMYFUNCTION("GOOGLETRANSLATE(B33133,""en"",""es-ES"")"),"La mujer continúa levantando su cigarrillo y soplando humo en la distancia.")</f>
        <v>La mujer continúa levantando su cigarrillo y soplando humo en la distancia.</v>
      </c>
    </row>
    <row r="33134">
      <c r="A33134" s="4" t="s">
        <v>41703</v>
      </c>
      <c r="B33134" s="4" t="s">
        <v>27300</v>
      </c>
      <c r="C33134" s="5" t="str">
        <f>IFERROR(__xludf.DUMMYFUNCTION("GOOGLETRANSLATE(B33134,""en"",""es-ES"")"),"Vemos una pantalla de apertura animada.")</f>
        <v>Vemos una pantalla de apertura animada.</v>
      </c>
    </row>
    <row r="33135">
      <c r="A33135" s="4" t="s">
        <v>41703</v>
      </c>
      <c r="B33135" s="4" t="s">
        <v>41704</v>
      </c>
      <c r="C33135" s="5" t="str">
        <f>IFERROR(__xludf.DUMMYFUNCTION("GOOGLETRANSLATE(B33135,""en"",""es-ES"")"),"Vemos a un hombre caminando en un estacionamiento.")</f>
        <v>Vemos a un hombre caminando en un estacionamiento.</v>
      </c>
    </row>
    <row r="33136">
      <c r="A33136" s="4" t="s">
        <v>41703</v>
      </c>
      <c r="B33136" s="4" t="s">
        <v>41705</v>
      </c>
      <c r="C33136" s="5" t="str">
        <f>IFERROR(__xludf.DUMMYFUNCTION("GOOGLETRANSLATE(B33136,""en"",""es-ES"")"),"El hombre comienza a realizar movimientos de artes marciales.")</f>
        <v>El hombre comienza a realizar movimientos de artes marciales.</v>
      </c>
    </row>
    <row r="33137">
      <c r="A33137" s="4" t="s">
        <v>41703</v>
      </c>
      <c r="B33137" s="4" t="s">
        <v>41706</v>
      </c>
      <c r="C33137" s="5" t="str">
        <f>IFERROR(__xludf.DUMMYFUNCTION("GOOGLETRANSLATE(B33137,""en"",""es-ES"")"),"El hombre se quita la camisa y el collar.")</f>
        <v>El hombre se quita la camisa y el collar.</v>
      </c>
    </row>
    <row r="33138">
      <c r="A33138" s="4" t="s">
        <v>41703</v>
      </c>
      <c r="B33138" s="4" t="s">
        <v>41707</v>
      </c>
      <c r="C33138" s="5" t="str">
        <f>IFERROR(__xludf.DUMMYFUNCTION("GOOGLETRANSLATE(B33138,""en"",""es-ES"")"),"El hombre se mueve y se mueve Capoeira.")</f>
        <v>El hombre se mueve y se mueve Capoeira.</v>
      </c>
    </row>
    <row r="33139">
      <c r="A33139" s="4" t="s">
        <v>41703</v>
      </c>
      <c r="B33139" s="4" t="s">
        <v>41708</v>
      </c>
      <c r="C33139" s="5" t="str">
        <f>IFERROR(__xludf.DUMMYFUNCTION("GOOGLETRANSLATE(B33139,""en"",""es-ES"")"),"Vemos al hombre hacer una parada de manos en una mano.")</f>
        <v>Vemos al hombre hacer una parada de manos en una mano.</v>
      </c>
    </row>
    <row r="33140">
      <c r="A33140" s="4" t="s">
        <v>41703</v>
      </c>
      <c r="B33140" s="4" t="s">
        <v>41709</v>
      </c>
      <c r="C33140" s="5" t="str">
        <f>IFERROR(__xludf.DUMMYFUNCTION("GOOGLETRANSLATE(B33140,""en"",""es-ES"")"),"El hombre termina, se agarra la camisa y se va.")</f>
        <v>El hombre termina, se agarra la camisa y se va.</v>
      </c>
    </row>
    <row r="33141">
      <c r="A33141" s="4" t="s">
        <v>41703</v>
      </c>
      <c r="B33141" s="4" t="s">
        <v>41710</v>
      </c>
      <c r="C33141" s="5" t="str">
        <f>IFERROR(__xludf.DUMMYFUNCTION("GOOGLETRANSLATE(B33141,""en"",""es-ES"")"),"Vemos videoclips en la pantalla de cierre.")</f>
        <v>Vemos videoclips en la pantalla de cierre.</v>
      </c>
    </row>
    <row r="33142">
      <c r="A33142" s="4" t="s">
        <v>41711</v>
      </c>
      <c r="B33142" s="4" t="s">
        <v>41712</v>
      </c>
      <c r="C33142" s="5" t="str">
        <f>IFERROR(__xludf.DUMMYFUNCTION("GOOGLETRANSLATE(B33142,""en"",""es-ES"")"),"Un individuo cabalga en un tubo interior por un río con rocas.")</f>
        <v>Un individuo cabalga en un tubo interior por un río con rocas.</v>
      </c>
    </row>
    <row r="33143">
      <c r="A33143" s="4" t="s">
        <v>41711</v>
      </c>
      <c r="B33143" s="4" t="s">
        <v>41713</v>
      </c>
      <c r="C33143" s="5" t="str">
        <f>IFERROR(__xludf.DUMMYFUNCTION("GOOGLETRANSLATE(B33143,""en"",""es-ES"")"),"Un hombre empuja al individuo aguas abajo.")</f>
        <v>Un hombre empuja al individuo aguas abajo.</v>
      </c>
    </row>
    <row r="33144">
      <c r="A33144" s="4" t="s">
        <v>41711</v>
      </c>
      <c r="B33144" s="4" t="s">
        <v>41714</v>
      </c>
      <c r="C33144" s="5" t="str">
        <f>IFERROR(__xludf.DUMMYFUNCTION("GOOGLETRANSLATE(B33144,""en"",""es-ES"")"),"Otro hombre empuja al individuo más aguas abajo.")</f>
        <v>Otro hombre empuja al individuo más aguas abajo.</v>
      </c>
    </row>
    <row r="33145">
      <c r="A33145" s="4" t="s">
        <v>41715</v>
      </c>
      <c r="B33145" s="4" t="s">
        <v>41716</v>
      </c>
      <c r="C33145" s="5" t="str">
        <f>IFERROR(__xludf.DUMMYFUNCTION("GOOGLETRANSLATE(B33145,""en"",""es-ES"")"),"Una cámara se mueve alrededor de una cerca mientras se muestra texto.")</f>
        <v>Una cámara se mueve alrededor de una cerca mientras se muestra texto.</v>
      </c>
    </row>
    <row r="33146">
      <c r="A33146" s="4" t="s">
        <v>41715</v>
      </c>
      <c r="B33146" s="4" t="s">
        <v>41717</v>
      </c>
      <c r="C33146" s="5" t="str">
        <f>IFERROR(__xludf.DUMMYFUNCTION("GOOGLETRANSLATE(B33146,""en"",""es-ES"")"),"Una persona se muestra en varios disparos rociando la cerca con una manguera.")</f>
        <v>Una persona se muestra en varios disparos rociando la cerca con una manguera.</v>
      </c>
    </row>
    <row r="33147">
      <c r="A33147" s="4" t="s">
        <v>41715</v>
      </c>
      <c r="B33147" s="4" t="s">
        <v>41718</v>
      </c>
      <c r="C33147" s="5" t="str">
        <f>IFERROR(__xludf.DUMMYFUNCTION("GOOGLETRANSLATE(B33147,""en"",""es-ES"")"),"Al final se muestran más clips de la cerca.")</f>
        <v>Al final se muestran más clips de la cerca.</v>
      </c>
    </row>
    <row r="33148">
      <c r="A33148" s="4" t="s">
        <v>41719</v>
      </c>
      <c r="B33148" s="4" t="s">
        <v>41720</v>
      </c>
      <c r="C33148" s="5" t="str">
        <f>IFERROR(__xludf.DUMMYFUNCTION("GOOGLETRANSLATE(B33148,""en"",""es-ES"")"),"La gente está corriendo en fútbol dirt Playing.")</f>
        <v>La gente está corriendo en fútbol dirt Playing.</v>
      </c>
    </row>
    <row r="33149">
      <c r="A33149" s="4" t="s">
        <v>41719</v>
      </c>
      <c r="B33149" s="4" t="s">
        <v>41721</v>
      </c>
      <c r="C33149" s="5" t="str">
        <f>IFERROR(__xludf.DUMMYFUNCTION("GOOGLETRANSLATE(B33149,""en"",""es-ES"")"),"La gente está en una arena interior jugando fútbol.")</f>
        <v>La gente está en una arena interior jugando fútbol.</v>
      </c>
    </row>
    <row r="33150">
      <c r="A33150" s="4" t="s">
        <v>41719</v>
      </c>
      <c r="B33150" s="4" t="s">
        <v>41722</v>
      </c>
      <c r="C33150" s="5" t="str">
        <f>IFERROR(__xludf.DUMMYFUNCTION("GOOGLETRANSLATE(B33150,""en"",""es-ES"")"),"La gente en las gradas está aplaudiendo por ellos.")</f>
        <v>La gente en las gradas está aplaudiendo por ellos.</v>
      </c>
    </row>
    <row r="33151">
      <c r="A33151" s="4" t="s">
        <v>41723</v>
      </c>
      <c r="B33151" s="4" t="s">
        <v>41724</v>
      </c>
      <c r="C33151" s="5" t="str">
        <f>IFERROR(__xludf.DUMMYFUNCTION("GOOGLETRANSLATE(B33151,""en"",""es-ES"")"),"Vemos una escena de título de apertura.")</f>
        <v>Vemos una escena de título de apertura.</v>
      </c>
    </row>
    <row r="33152">
      <c r="A33152" s="4" t="s">
        <v>41723</v>
      </c>
      <c r="B33152" s="4" t="s">
        <v>41725</v>
      </c>
      <c r="C33152" s="5" t="str">
        <f>IFERROR(__xludf.DUMMYFUNCTION("GOOGLETRANSLATE(B33152,""en"",""es-ES"")"),"Vemos personas que montan caballos a través de las montañas.")</f>
        <v>Vemos personas que montan caballos a través de las montañas.</v>
      </c>
    </row>
    <row r="33153">
      <c r="A33153" s="4" t="s">
        <v>41723</v>
      </c>
      <c r="B33153" s="4" t="s">
        <v>41726</v>
      </c>
      <c r="C33153" s="5" t="str">
        <f>IFERROR(__xludf.DUMMYFUNCTION("GOOGLETRANSLATE(B33153,""en"",""es-ES"")"),"Giramos y vemos el cañón y el río.")</f>
        <v>Giramos y vemos el cañón y el río.</v>
      </c>
    </row>
    <row r="33154">
      <c r="A33154" s="4" t="s">
        <v>41723</v>
      </c>
      <c r="B33154" s="4" t="s">
        <v>41727</v>
      </c>
      <c r="C33154" s="5" t="str">
        <f>IFERROR(__xludf.DUMMYFUNCTION("GOOGLETRANSLATE(B33154,""en"",""es-ES"")"),"Una persona de azul se da vuelta varias veces.")</f>
        <v>Una persona de azul se da vuelta varias veces.</v>
      </c>
    </row>
    <row r="33155">
      <c r="A33155" s="4" t="s">
        <v>41723</v>
      </c>
      <c r="B33155" s="4" t="s">
        <v>41728</v>
      </c>
      <c r="C33155" s="5" t="str">
        <f>IFERROR(__xludf.DUMMYFUNCTION("GOOGLETRANSLATE(B33155,""en"",""es-ES"")"),"Vemos un gran montículo blanco de nieve.")</f>
        <v>Vemos un gran montículo blanco de nieve.</v>
      </c>
    </row>
    <row r="33156">
      <c r="A33156" s="4" t="s">
        <v>41723</v>
      </c>
      <c r="B33156" s="4" t="s">
        <v>41729</v>
      </c>
      <c r="C33156" s="5" t="str">
        <f>IFERROR(__xludf.DUMMYFUNCTION("GOOGLETRANSLATE(B33156,""en"",""es-ES"")"),"La persona en la camisa azul mira la montaña.")</f>
        <v>La persona en la camisa azul mira la montaña.</v>
      </c>
    </row>
    <row r="33157">
      <c r="A33157" s="4" t="s">
        <v>41723</v>
      </c>
      <c r="B33157" s="4" t="s">
        <v>41730</v>
      </c>
      <c r="C33157" s="5" t="str">
        <f>IFERROR(__xludf.DUMMYFUNCTION("GOOGLETRANSLATE(B33157,""en"",""es-ES"")"),"Vemos una barra azul en la parte inferior de la pantalla.")</f>
        <v>Vemos una barra azul en la parte inferior de la pantalla.</v>
      </c>
    </row>
    <row r="33158">
      <c r="A33158" s="4" t="s">
        <v>41723</v>
      </c>
      <c r="B33158" s="4" t="s">
        <v>777</v>
      </c>
      <c r="C33158" s="5" t="str">
        <f>IFERROR(__xludf.DUMMYFUNCTION("GOOGLETRANSLATE(B33158,""en"",""es-ES"")"),"Vemos la pantalla de título final.")</f>
        <v>Vemos la pantalla de título final.</v>
      </c>
    </row>
    <row r="33159">
      <c r="A33159" s="4" t="s">
        <v>41731</v>
      </c>
      <c r="B33159" s="4" t="s">
        <v>41732</v>
      </c>
      <c r="C33159" s="5" t="str">
        <f>IFERROR(__xludf.DUMMYFUNCTION("GOOGLETRANSLATE(B33159,""en"",""es-ES"")"),"Se ve a un hombre con cabello largo cepillándose la cara con un cepillo mientras sostiene su mano hacia arriba y habla con la cámara.")</f>
        <v>Se ve a un hombre con cabello largo cepillándose la cara con un cepillo mientras sostiene su mano hacia arriba y habla con la cámara.</v>
      </c>
    </row>
    <row r="33160">
      <c r="A33160" s="4" t="s">
        <v>41731</v>
      </c>
      <c r="B33160" s="4" t="s">
        <v>41733</v>
      </c>
      <c r="C33160" s="5" t="str">
        <f>IFERROR(__xludf.DUMMYFUNCTION("GOOGLETRANSLATE(B33160,""en"",""es-ES"")"),"Luego levanta el cepillo y agarra su sudadera con la sudadera mientras sonríe con la cámara.")</f>
        <v>Luego levanta el cepillo y agarra su sudadera con la sudadera mientras sonríe con la cámara.</v>
      </c>
    </row>
    <row r="33161">
      <c r="A33161" s="4" t="s">
        <v>41734</v>
      </c>
      <c r="B33161" s="4" t="s">
        <v>41735</v>
      </c>
      <c r="C33161" s="5" t="str">
        <f>IFERROR(__xludf.DUMMYFUNCTION("GOOGLETRANSLATE(B33161,""en"",""es-ES"")"),"La introducción conduce a un hombre que traza tierra en un piso y muestra las herramientas después.")</f>
        <v>La introducción conduce a un hombre que traza tierra en un piso y muestra las herramientas después.</v>
      </c>
    </row>
    <row r="33162">
      <c r="A33162" s="4" t="s">
        <v>41734</v>
      </c>
      <c r="B33162" s="4" t="s">
        <v>41736</v>
      </c>
      <c r="C33162" s="5" t="str">
        <f>IFERROR(__xludf.DUMMYFUNCTION("GOOGLETRANSLATE(B33162,""en"",""es-ES"")"),"Se muestran varias tomas de trapas que empujan la suciedad, seguido por el mejor trapeador que se sumerge en agua y gotean sobre una mesa.")</f>
        <v>Se muestran varias tomas de trapas que empujan la suciedad, seguido por el mejor trapeador que se sumerge en agua y gotean sobre una mesa.</v>
      </c>
    </row>
    <row r="33163">
      <c r="A33163" s="4" t="s">
        <v>41734</v>
      </c>
      <c r="B33163" s="4" t="s">
        <v>41737</v>
      </c>
      <c r="C33163" s="5" t="str">
        <f>IFERROR(__xludf.DUMMYFUNCTION("GOOGLETRANSLATE(B33163,""en"",""es-ES"")"),"Un trapeador 3D muestra cómo funciona con una mujer que también deprime las cosas en su piso.")</f>
        <v>Un trapeador 3D muestra cómo funciona con una mujer que también deprime las cosas en su piso.</v>
      </c>
    </row>
    <row r="33164">
      <c r="A33164" s="4" t="s">
        <v>41734</v>
      </c>
      <c r="B33164" s="4" t="s">
        <v>41738</v>
      </c>
      <c r="C33164" s="5" t="str">
        <f>IFERROR(__xludf.DUMMYFUNCTION("GOOGLETRANSLATE(B33164,""en"",""es-ES"")"),"Se muestran varias otras tomas de personas que trapan, así como a las personas que se encogen de hombros y dónde comprar los MOPS.")</f>
        <v>Se muestran varias otras tomas de personas que trapan, así como a las personas que se encogen de hombros y dónde comprar los MOPS.</v>
      </c>
    </row>
    <row r="33165">
      <c r="A33165" s="4" t="s">
        <v>41739</v>
      </c>
      <c r="B33165" s="4" t="s">
        <v>41740</v>
      </c>
      <c r="C33165" s="5" t="str">
        <f>IFERROR(__xludf.DUMMYFUNCTION("GOOGLETRANSLATE(B33165,""en"",""es-ES"")"),"Se ve a un hombre sosteniendo una antorcha y comienza a usarla mientras le baja la máscara.")</f>
        <v>Se ve a un hombre sosteniendo una antorcha y comienza a usarla mientras le baja la máscara.</v>
      </c>
    </row>
    <row r="33166">
      <c r="A33166" s="4" t="s">
        <v>41739</v>
      </c>
      <c r="B33166" s="4" t="s">
        <v>41741</v>
      </c>
      <c r="C33166" s="5" t="str">
        <f>IFERROR(__xludf.DUMMYFUNCTION("GOOGLETRANSLATE(B33166,""en"",""es-ES"")"),"El hombre continuamente se enciende con la máquina en un trozo de metal.")</f>
        <v>El hombre continuamente se enciende con la máquina en un trozo de metal.</v>
      </c>
    </row>
    <row r="33167">
      <c r="A33167" s="4" t="s">
        <v>41739</v>
      </c>
      <c r="B33167" s="4" t="s">
        <v>41742</v>
      </c>
      <c r="C33167" s="5" t="str">
        <f>IFERROR(__xludf.DUMMYFUNCTION("GOOGLETRANSLATE(B33167,""en"",""es-ES"")"),"Se detiene al final mientras se quita la máscara y mira a la cámara.")</f>
        <v>Se detiene al final mientras se quita la máscara y mira a la cámara.</v>
      </c>
    </row>
    <row r="33168">
      <c r="A33168" s="4" t="s">
        <v>41743</v>
      </c>
      <c r="B33168" s="4" t="s">
        <v>41744</v>
      </c>
      <c r="C33168" s="5" t="str">
        <f>IFERROR(__xludf.DUMMYFUNCTION("GOOGLETRANSLATE(B33168,""en"",""es-ES"")"),"Se ve a una mujer y una niña hablando con la cámara mientras mantiene un juguete juntos.")</f>
        <v>Se ve a una mujer y una niña hablando con la cámara mientras mantiene un juguete juntos.</v>
      </c>
    </row>
    <row r="33169">
      <c r="A33169" s="4" t="s">
        <v>41743</v>
      </c>
      <c r="B33169" s="4" t="s">
        <v>41745</v>
      </c>
      <c r="C33169" s="5" t="str">
        <f>IFERROR(__xludf.DUMMYFUNCTION("GOOGLETRANSLATE(B33169,""en"",""es-ES"")"),"Los dos crean un juego escocés con el juguete y lo colocan en el suelo y muestran la espuma.")</f>
        <v>Los dos crean un juego escocés con el juguete y lo colocan en el suelo y muestran la espuma.</v>
      </c>
    </row>
    <row r="33170">
      <c r="A33170" s="4" t="s">
        <v>41743</v>
      </c>
      <c r="B33170" s="4" t="s">
        <v>41746</v>
      </c>
      <c r="C33170" s="5" t="str">
        <f>IFERROR(__xludf.DUMMYFUNCTION("GOOGLETRANSLATE(B33170,""en"",""es-ES"")"),"La mujer habla con la cámara mientras la niña salta a lo largo del juego.")</f>
        <v>La mujer habla con la cámara mientras la niña salta a lo largo del juego.</v>
      </c>
    </row>
    <row r="33171">
      <c r="A33171" s="4" t="s">
        <v>41747</v>
      </c>
      <c r="B33171" s="4" t="s">
        <v>41748</v>
      </c>
      <c r="C33171" s="5" t="str">
        <f>IFERROR(__xludf.DUMMYFUNCTION("GOOGLETRANSLATE(B33171,""en"",""es-ES"")"),"Se ve a una mujer hablando con la cámara mientras sostiene un violín y continúa con ella tocando el violín y la detección.")</f>
        <v>Se ve a una mujer hablando con la cámara mientras sostiene un violín y continúa con ella tocando el violín y la detección.</v>
      </c>
    </row>
    <row r="33172">
      <c r="A33172" s="4" t="s">
        <v>41747</v>
      </c>
      <c r="B33172" s="4" t="s">
        <v>41749</v>
      </c>
      <c r="C33172" s="5" t="str">
        <f>IFERROR(__xludf.DUMMYFUNCTION("GOOGLETRANSLATE(B33172,""en"",""es-ES"")"),"La mujer continúa tocando el instrumento y deteniéndose para hablar con la cámara y demostrar cómo tocar.")</f>
        <v>La mujer continúa tocando el instrumento y deteniéndose para hablar con la cámara y demostrar cómo tocar.</v>
      </c>
    </row>
    <row r="33173">
      <c r="A33173" s="4" t="s">
        <v>41750</v>
      </c>
      <c r="B33173" s="4" t="s">
        <v>41751</v>
      </c>
      <c r="C33173" s="5" t="str">
        <f>IFERROR(__xludf.DUMMYFUNCTION("GOOGLETRANSLATE(B33173,""en"",""es-ES"")"),"Se muestra un video de una vista en primera persona de alguien que explora un gran campo abierto en el camino a una pista.")</f>
        <v>Se muestra un video de una vista en primera persona de alguien que explora un gran campo abierto en el camino a una pista.</v>
      </c>
    </row>
    <row r="33174">
      <c r="A33174" s="4" t="s">
        <v>41750</v>
      </c>
      <c r="B33174" s="4" t="s">
        <v>41752</v>
      </c>
      <c r="C33174" s="5" t="str">
        <f>IFERROR(__xludf.DUMMYFUNCTION("GOOGLETRANSLATE(B33174,""en"",""es-ES"")"),"Luego, la persona baja la cámara y comienza a hacer ejercicio en la pista.")</f>
        <v>Luego, la persona baja la cámara y comienza a hacer ejercicio en la pista.</v>
      </c>
    </row>
    <row r="33175">
      <c r="A33175" s="4" t="s">
        <v>41750</v>
      </c>
      <c r="B33175" s="4" t="s">
        <v>41753</v>
      </c>
      <c r="C33175" s="5" t="str">
        <f>IFERROR(__xludf.DUMMYFUNCTION("GOOGLETRANSLATE(B33175,""en"",""es-ES"")"),"Los muchachos se quitan el traje de pista y continúan funcionando.")</f>
        <v>Los muchachos se quitan el traje de pista y continúan funcionando.</v>
      </c>
    </row>
    <row r="33176">
      <c r="A33176" s="4" t="s">
        <v>41750</v>
      </c>
      <c r="B33176" s="4" t="s">
        <v>41754</v>
      </c>
      <c r="C33176" s="5" t="str">
        <f>IFERROR(__xludf.DUMMYFUNCTION("GOOGLETRANSLATE(B33176,""en"",""es-ES"")"),"Se voltea en el aire y aterriza en una pila de arena.")</f>
        <v>Se voltea en el aire y aterriza en una pila de arena.</v>
      </c>
    </row>
    <row r="33177">
      <c r="A33177" s="4" t="s">
        <v>41750</v>
      </c>
      <c r="B33177" s="4" t="s">
        <v>41755</v>
      </c>
      <c r="C33177" s="5" t="str">
        <f>IFERROR(__xludf.DUMMYFUNCTION("GOOGLETRANSLATE(B33177,""en"",""es-ES"")"),"Procede a hacer algunos movimientos de baile antes de que termine el video.")</f>
        <v>Procede a hacer algunos movimientos de baile antes de que termine el video.</v>
      </c>
    </row>
    <row r="33178">
      <c r="A33178" s="4" t="s">
        <v>41756</v>
      </c>
      <c r="B33178" s="4" t="s">
        <v>41757</v>
      </c>
      <c r="C33178" s="5" t="str">
        <f>IFERROR(__xludf.DUMMYFUNCTION("GOOGLETRANSLATE(B33178,""en"",""es-ES"")"),"Los equipos están jugando hockey sobre hielo en el centro para que todos los que se sientan pueden verlos.")</f>
        <v>Los equipos están jugando hockey sobre hielo en el centro para que todos los que se sientan pueden verlos.</v>
      </c>
    </row>
    <row r="33179">
      <c r="A33179" s="4" t="s">
        <v>41756</v>
      </c>
      <c r="B33179" s="4" t="s">
        <v>41758</v>
      </c>
      <c r="C33179" s="5" t="str">
        <f>IFERROR(__xludf.DUMMYFUNCTION("GOOGLETRANSLATE(B33179,""en"",""es-ES"")"),"El equipo azul anota primero un gol y luego la gente comienza a aplaudir y animar.")</f>
        <v>El equipo azul anota primero un gol y luego la gente comienza a aplaudir y animar.</v>
      </c>
    </row>
    <row r="33180">
      <c r="A33180" s="4" t="s">
        <v>41756</v>
      </c>
      <c r="B33180" s="4" t="s">
        <v>41759</v>
      </c>
      <c r="C33180" s="5" t="str">
        <f>IFERROR(__xludf.DUMMYFUNCTION("GOOGLETRANSLATE(B33180,""en"",""es-ES"")"),"A continuación, el equipo azul vuelve a obtener otro y la multitud se vuelve loca.")</f>
        <v>A continuación, el equipo azul vuelve a obtener otro y la multitud se vuelve loca.</v>
      </c>
    </row>
    <row r="33181">
      <c r="A33181" s="4" t="s">
        <v>41760</v>
      </c>
      <c r="B33181" s="4" t="s">
        <v>41761</v>
      </c>
      <c r="C33181" s="5" t="str">
        <f>IFERROR(__xludf.DUMMYFUNCTION("GOOGLETRANSLATE(B33181,""en"",""es-ES"")"),"Se ve a una mujer doblándose frente a la cámara y enciende un grifo de agua.")</f>
        <v>Se ve a una mujer doblándose frente a la cámara y enciende un grifo de agua.</v>
      </c>
    </row>
    <row r="33182">
      <c r="A33182" s="4" t="s">
        <v>41760</v>
      </c>
      <c r="B33182" s="4" t="s">
        <v>41762</v>
      </c>
      <c r="C33182" s="5" t="str">
        <f>IFERROR(__xludf.DUMMYFUNCTION("GOOGLETRANSLATE(B33182,""en"",""es-ES"")"),"La mujer continúa usa el agua y comienza a fregar una camisa y pisando los cubos.")</f>
        <v>La mujer continúa usa el agua y comienza a fregar una camisa y pisando los cubos.</v>
      </c>
    </row>
    <row r="33183">
      <c r="A33183" s="4" t="s">
        <v>41760</v>
      </c>
      <c r="B33183" s="4" t="s">
        <v>41763</v>
      </c>
      <c r="C33183" s="5" t="str">
        <f>IFERROR(__xludf.DUMMYFUNCTION("GOOGLETRANSLATE(B33183,""en"",""es-ES"")"),"Se muestran más tomas de ellos limpiando la ropa y termina colgándolos.")</f>
        <v>Se muestran más tomas de ellos limpiando la ropa y termina colgándolos.</v>
      </c>
    </row>
    <row r="33184">
      <c r="A33184" s="4" t="s">
        <v>41764</v>
      </c>
      <c r="B33184" s="4" t="s">
        <v>41765</v>
      </c>
      <c r="C33184" s="5" t="str">
        <f>IFERROR(__xludf.DUMMYFUNCTION("GOOGLETRANSLATE(B33184,""en"",""es-ES"")"),"Un hombre conduce un automóvil a través de una ventana.")</f>
        <v>Un hombre conduce un automóvil a través de una ventana.</v>
      </c>
    </row>
    <row r="33185">
      <c r="A33185" s="4" t="s">
        <v>41764</v>
      </c>
      <c r="B33185" s="4" t="s">
        <v>41766</v>
      </c>
      <c r="C33185" s="5" t="str">
        <f>IFERROR(__xludf.DUMMYFUNCTION("GOOGLETRANSLATE(B33185,""en"",""es-ES"")"),"Obtiene un pase a un área del parque.")</f>
        <v>Obtiene un pase a un área del parque.</v>
      </c>
    </row>
    <row r="33186">
      <c r="A33186" s="4" t="s">
        <v>41764</v>
      </c>
      <c r="B33186" s="4" t="s">
        <v>41767</v>
      </c>
      <c r="C33186" s="5" t="str">
        <f>IFERROR(__xludf.DUMMYFUNCTION("GOOGLETRANSLATE(B33186,""en"",""es-ES"")"),"Se le muestra conduciendo, caminando y montando caballos mientras explora el área.")</f>
        <v>Se le muestra conduciendo, caminando y montando caballos mientras explora el área.</v>
      </c>
    </row>
    <row r="33187">
      <c r="A33187" s="4" t="s">
        <v>41768</v>
      </c>
      <c r="B33187" s="4" t="s">
        <v>41769</v>
      </c>
      <c r="C33187" s="5" t="str">
        <f>IFERROR(__xludf.DUMMYFUNCTION("GOOGLETRANSLATE(B33187,""en"",""es-ES"")"),"Una niña salta y se balancea en las barras de balance.")</f>
        <v>Una niña salta y se balancea en las barras de balance.</v>
      </c>
    </row>
    <row r="33188">
      <c r="A33188" s="4" t="s">
        <v>41768</v>
      </c>
      <c r="B33188" s="4" t="s">
        <v>41770</v>
      </c>
      <c r="C33188" s="5" t="str">
        <f>IFERROR(__xludf.DUMMYFUNCTION("GOOGLETRANSLATE(B33188,""en"",""es-ES"")"),"Una mujer con una camisa negra está de pie debajo de ella mirando.")</f>
        <v>Una mujer con una camisa negra está de pie debajo de ella mirando.</v>
      </c>
    </row>
    <row r="33189">
      <c r="A33189" s="4" t="s">
        <v>41768</v>
      </c>
      <c r="B33189" s="4" t="s">
        <v>41771</v>
      </c>
      <c r="C33189" s="5" t="str">
        <f>IFERROR(__xludf.DUMMYFUNCTION("GOOGLETRANSLATE(B33189,""en"",""es-ES"")"),"Ella la ayuda a saltar y aterrizar en una estera.")</f>
        <v>Ella la ayuda a saltar y aterrizar en una estera.</v>
      </c>
    </row>
    <row r="33190">
      <c r="A33190" s="4" t="s">
        <v>41772</v>
      </c>
      <c r="B33190" s="4" t="s">
        <v>41773</v>
      </c>
      <c r="C33190" s="5" t="str">
        <f>IFERROR(__xludf.DUMMYFUNCTION("GOOGLETRANSLATE(B33190,""en"",""es-ES"")"),"Una gimnasta puso potencia de potencia en sus manos y se encuentra cerca del caballo de pomo.")</f>
        <v>Una gimnasta puso potencia de potencia en sus manos y se encuentra cerca del caballo de pomo.</v>
      </c>
    </row>
    <row r="33191">
      <c r="A33191" s="4" t="s">
        <v>41772</v>
      </c>
      <c r="B33191" s="4" t="s">
        <v>41774</v>
      </c>
      <c r="C33191" s="5" t="str">
        <f>IFERROR(__xludf.DUMMYFUNCTION("GOOGLETRANSLATE(B33191,""en"",""es-ES"")"),"Luego, la gimnasta se acerca al caballo de pomo para girar muchas veces.")</f>
        <v>Luego, la gimnasta se acerca al caballo de pomo para girar muchas veces.</v>
      </c>
    </row>
    <row r="33192">
      <c r="A33192" s="4" t="s">
        <v>41772</v>
      </c>
      <c r="B33192" s="4" t="s">
        <v>41775</v>
      </c>
      <c r="C33192" s="5" t="str">
        <f>IFERROR(__xludf.DUMMYFUNCTION("GOOGLETRANSLATE(B33192,""en"",""es-ES"")"),"Luego, la gimnasta se para en su mano y salta para aterrizar en el piso, mientras la gente aplaude.")</f>
        <v>Luego, la gimnasta se para en su mano y salta para aterrizar en el piso, mientras la gente aplaude.</v>
      </c>
    </row>
    <row r="33193">
      <c r="A33193" s="4" t="s">
        <v>41776</v>
      </c>
      <c r="B33193" s="4" t="s">
        <v>41777</v>
      </c>
      <c r="C33193" s="5" t="str">
        <f>IFERROR(__xludf.DUMMYFUNCTION("GOOGLETRANSLATE(B33193,""en"",""es-ES"")"),"Un hombre camina hacia el costado de una cabaña.")</f>
        <v>Un hombre camina hacia el costado de una cabaña.</v>
      </c>
    </row>
    <row r="33194">
      <c r="A33194" s="4" t="s">
        <v>41776</v>
      </c>
      <c r="B33194" s="4" t="s">
        <v>41778</v>
      </c>
      <c r="C33194" s="5" t="str">
        <f>IFERROR(__xludf.DUMMYFUNCTION("GOOGLETRANSLATE(B33194,""en"",""es-ES"")"),"Utiliza un cuchillo grande para cortar la hierba.")</f>
        <v>Utiliza un cuchillo grande para cortar la hierba.</v>
      </c>
    </row>
    <row r="33195">
      <c r="A33195" s="4" t="s">
        <v>41776</v>
      </c>
      <c r="B33195" s="4" t="s">
        <v>41779</v>
      </c>
      <c r="C33195" s="5" t="str">
        <f>IFERROR(__xludf.DUMMYFUNCTION("GOOGLETRANSLATE(B33195,""en"",""es-ES"")"),"Él balancea el cuchillo de un lado a otro, cortando la hierba y las malas hierbas.")</f>
        <v>Él balancea el cuchillo de un lado a otro, cortando la hierba y las malas hierbas.</v>
      </c>
    </row>
    <row r="33196">
      <c r="A33196" s="4" t="s">
        <v>41780</v>
      </c>
      <c r="B33196" s="4" t="s">
        <v>41781</v>
      </c>
      <c r="C33196" s="5" t="str">
        <f>IFERROR(__xludf.DUMMYFUNCTION("GOOGLETRANSLATE(B33196,""en"",""es-ES"")"),"Una mujer está parada en un campo mientras la gente se reúne detrás de ella.")</f>
        <v>Una mujer está parada en un campo mientras la gente se reúne detrás de ella.</v>
      </c>
    </row>
    <row r="33197">
      <c r="A33197" s="4" t="s">
        <v>41780</v>
      </c>
      <c r="B33197" s="4" t="s">
        <v>41782</v>
      </c>
      <c r="C33197" s="5" t="str">
        <f>IFERROR(__xludf.DUMMYFUNCTION("GOOGLETRANSLATE(B33197,""en"",""es-ES"")"),"Varias personas corren juntas, persiguiéndose.")</f>
        <v>Varias personas corren juntas, persiguiéndose.</v>
      </c>
    </row>
    <row r="33198">
      <c r="A33198" s="4" t="s">
        <v>41780</v>
      </c>
      <c r="B33198" s="4" t="s">
        <v>41783</v>
      </c>
      <c r="C33198" s="5" t="str">
        <f>IFERROR(__xludf.DUMMYFUNCTION("GOOGLETRANSLATE(B33198,""en"",""es-ES"")"),"Los niños se muestran de cerca al final.")</f>
        <v>Los niños se muestran de cerca al final.</v>
      </c>
    </row>
    <row r="33199">
      <c r="A33199" s="4" t="s">
        <v>41784</v>
      </c>
      <c r="B33199" s="4" t="s">
        <v>41785</v>
      </c>
      <c r="C33199" s="5" t="str">
        <f>IFERROR(__xludf.DUMMYFUNCTION("GOOGLETRANSLATE(B33199,""en"",""es-ES"")"),"Un niño con una camisa verde pisa un taburete para llegar al fregadero.")</f>
        <v>Un niño con una camisa verde pisa un taburete para llegar al fregadero.</v>
      </c>
    </row>
    <row r="33200">
      <c r="A33200" s="4" t="s">
        <v>41784</v>
      </c>
      <c r="B33200" s="4" t="s">
        <v>41786</v>
      </c>
      <c r="C33200" s="5" t="str">
        <f>IFERROR(__xludf.DUMMYFUNCTION("GOOGLETRANSLATE(B33200,""en"",""es-ES"")"),"Una mujer se para a su lado.")</f>
        <v>Una mujer se para a su lado.</v>
      </c>
    </row>
    <row r="33201">
      <c r="A33201" s="4" t="s">
        <v>41784</v>
      </c>
      <c r="B33201" s="4" t="s">
        <v>41787</v>
      </c>
      <c r="C33201" s="5" t="str">
        <f>IFERROR(__xludf.DUMMYFUNCTION("GOOGLETRANSLATE(B33201,""en"",""es-ES"")"),"El niño se lava las manos en el fregadero.")</f>
        <v>El niño se lava las manos en el fregadero.</v>
      </c>
    </row>
    <row r="33202">
      <c r="A33202" s="4" t="s">
        <v>41784</v>
      </c>
      <c r="B33202" s="4" t="s">
        <v>41788</v>
      </c>
      <c r="C33202" s="5" t="str">
        <f>IFERROR(__xludf.DUMMYFUNCTION("GOOGLETRANSLATE(B33202,""en"",""es-ES"")"),"Ella limpia el fregadero con una toalla de papel.")</f>
        <v>Ella limpia el fregadero con una toalla de papel.</v>
      </c>
    </row>
    <row r="33203">
      <c r="A33203" s="4" t="s">
        <v>41784</v>
      </c>
      <c r="B33203" s="4" t="s">
        <v>41789</v>
      </c>
      <c r="C33203" s="5" t="str">
        <f>IFERROR(__xludf.DUMMYFUNCTION("GOOGLETRANSLATE(B33203,""en"",""es-ES"")"),"El niño seca las manos con una toalla.")</f>
        <v>El niño seca las manos con una toalla.</v>
      </c>
    </row>
    <row r="33204">
      <c r="A33204" s="4" t="s">
        <v>41790</v>
      </c>
      <c r="B33204" s="4" t="s">
        <v>41791</v>
      </c>
      <c r="C33204" s="5" t="str">
        <f>IFERROR(__xludf.DUMMYFUNCTION("GOOGLETRANSLATE(B33204,""en"",""es-ES"")"),"Se ve a una mujer hablando con la cámara en un concesionario y conduce a varios primeros planos de un automóvil.")</f>
        <v>Se ve a una mujer hablando con la cámara en un concesionario y conduce a varios primeros planos de un automóvil.</v>
      </c>
    </row>
    <row r="33205">
      <c r="A33205" s="4" t="s">
        <v>41790</v>
      </c>
      <c r="B33205" s="4" t="s">
        <v>41792</v>
      </c>
      <c r="C33205" s="5" t="str">
        <f>IFERROR(__xludf.DUMMYFUNCTION("GOOGLETRANSLATE(B33205,""en"",""es-ES"")"),"Luego, la mujer presenta varias herramientas y comienza a quitarse el neumático del automóvil.")</f>
        <v>Luego, la mujer presenta varias herramientas y comienza a quitarse el neumático del automóvil.</v>
      </c>
    </row>
    <row r="33206">
      <c r="A33206" s="4" t="s">
        <v>41790</v>
      </c>
      <c r="B33206" s="4" t="s">
        <v>41793</v>
      </c>
      <c r="C33206" s="5" t="str">
        <f>IFERROR(__xludf.DUMMYFUNCTION("GOOGLETRANSLATE(B33206,""en"",""es-ES"")"),"Ella saca un neumático nuevo y lo coloca en el auto, lo atornilla en su lugar y mostrando dónde está el neumático en el maletero.")</f>
        <v>Ella saca un neumático nuevo y lo coloca en el auto, lo atornilla en su lugar y mostrando dónde está el neumático en el maletero.</v>
      </c>
    </row>
    <row r="33207">
      <c r="A33207" s="4" t="s">
        <v>41790</v>
      </c>
      <c r="B33207" s="4" t="s">
        <v>41794</v>
      </c>
      <c r="C33207" s="5" t="str">
        <f>IFERROR(__xludf.DUMMYFUNCTION("GOOGLETRANSLATE(B33207,""en"",""es-ES"")"),"Ella cierra el baúl y muestra el auto mientras sigue hablando con la cámara.")</f>
        <v>Ella cierra el baúl y muestra el auto mientras sigue hablando con la cámara.</v>
      </c>
    </row>
    <row r="33208">
      <c r="A33208" s="4" t="s">
        <v>41795</v>
      </c>
      <c r="B33208" s="4" t="s">
        <v>41796</v>
      </c>
      <c r="C33208" s="5" t="str">
        <f>IFERROR(__xludf.DUMMYFUNCTION("GOOGLETRANSLATE(B33208,""en"",""es-ES"")"),"Se ve a un gran grupo de personas sentados en una playa que conduce a varias personas sentadas en barcos de vela y viajando.")</f>
        <v>Se ve a un gran grupo de personas sentados en una playa que conduce a varias personas sentadas en barcos de vela y viajando.</v>
      </c>
    </row>
    <row r="33209">
      <c r="A33209" s="4" t="s">
        <v>41795</v>
      </c>
      <c r="B33209" s="4" t="s">
        <v>41797</v>
      </c>
      <c r="C33209" s="5" t="str">
        <f>IFERROR(__xludf.DUMMYFUNCTION("GOOGLETRANSLATE(B33209,""en"",""es-ES"")"),"Los diversos barcos continúan montando todo el agua con el ganador saltando en el agua y de pie con orgullo en el podio.")</f>
        <v>Los diversos barcos continúan montando todo el agua con el ganador saltando en el agua y de pie con orgullo en el podio.</v>
      </c>
    </row>
    <row r="33210">
      <c r="A33210" s="4" t="s">
        <v>41798</v>
      </c>
      <c r="B33210" s="4" t="s">
        <v>41799</v>
      </c>
      <c r="C33210" s="5" t="str">
        <f>IFERROR(__xludf.DUMMYFUNCTION("GOOGLETRANSLATE(B33210,""en"",""es-ES"")"),"La mujer está hablando en noticias hablando de un jugador de béisbol de Los Ángeles.")</f>
        <v>La mujer está hablando en noticias hablando de un jugador de béisbol de Los Ángeles.</v>
      </c>
    </row>
    <row r="33211">
      <c r="A33211" s="4" t="s">
        <v>41798</v>
      </c>
      <c r="B33211" s="4" t="s">
        <v>41800</v>
      </c>
      <c r="C33211" s="5" t="str">
        <f>IFERROR(__xludf.DUMMYFUNCTION("GOOGLETRANSLATE(B33211,""en"",""es-ES"")"),"Estoy en una cancha de la calle jugando Dodgeball con uniforme de los Dodgers, la gente está mirando el juego y los autos pasan en la calle.")</f>
        <v>Estoy en una cancha de la calle jugando Dodgeball con uniforme de los Dodgers, la gente está mirando el juego y los autos pasan en la calle.</v>
      </c>
    </row>
    <row r="33212">
      <c r="A33212" s="4" t="s">
        <v>41798</v>
      </c>
      <c r="B33212" s="4" t="s">
        <v>41801</v>
      </c>
      <c r="C33212" s="5" t="str">
        <f>IFERROR(__xludf.DUMMYFUNCTION("GOOGLETRANSLATE(B33212,""en"",""es-ES"")"),"Los hombres con uniforme de los Dodgers se muestran en fotos en un campo de béisbol en las terrazas y la mujer en las noticias que hablan de ellas.")</f>
        <v>Los hombres con uniforme de los Dodgers se muestran en fotos en un campo de béisbol en las terrazas y la mujer en las noticias que hablan de ellas.</v>
      </c>
    </row>
    <row r="33213">
      <c r="A33213" s="4" t="s">
        <v>41802</v>
      </c>
      <c r="B33213" s="4" t="s">
        <v>41803</v>
      </c>
      <c r="C33213" s="5" t="str">
        <f>IFERROR(__xludf.DUMMYFUNCTION("GOOGLETRANSLATE(B33213,""en"",""es-ES"")"),"Un niño toca un violín en el escenario durante una actuación en solitario.")</f>
        <v>Un niño toca un violín en el escenario durante una actuación en solitario.</v>
      </c>
    </row>
    <row r="33214">
      <c r="A33214" s="4" t="s">
        <v>41802</v>
      </c>
      <c r="B33214" s="4" t="s">
        <v>41804</v>
      </c>
      <c r="C33214" s="5" t="str">
        <f>IFERROR(__xludf.DUMMYFUNCTION("GOOGLETRANSLATE(B33214,""en"",""es-ES"")"),"Un hombre observa con interés desde el lado del escenario.")</f>
        <v>Un hombre observa con interés desde el lado del escenario.</v>
      </c>
    </row>
    <row r="33215">
      <c r="A33215" s="4" t="s">
        <v>41802</v>
      </c>
      <c r="B33215" s="4" t="s">
        <v>41805</v>
      </c>
      <c r="C33215" s="5" t="str">
        <f>IFERROR(__xludf.DUMMYFUNCTION("GOOGLETRANSLATE(B33215,""en"",""es-ES"")"),"La niña se detiene brevemente y luego comienza a jugar de nuevo.")</f>
        <v>La niña se detiene brevemente y luego comienza a jugar de nuevo.</v>
      </c>
    </row>
    <row r="33216">
      <c r="A33216" s="4" t="s">
        <v>41802</v>
      </c>
      <c r="B33216" s="4" t="s">
        <v>41806</v>
      </c>
      <c r="C33216" s="5" t="str">
        <f>IFERROR(__xludf.DUMMYFUNCTION("GOOGLETRANSLATE(B33216,""en"",""es-ES"")"),"La niña baja su violín y varita al final de la actuación.")</f>
        <v>La niña baja su violín y varita al final de la actuación.</v>
      </c>
    </row>
    <row r="33217">
      <c r="A33217" s="4" t="s">
        <v>41807</v>
      </c>
      <c r="B33217" s="4" t="s">
        <v>41808</v>
      </c>
      <c r="C33217" s="5" t="str">
        <f>IFERROR(__xludf.DUMMYFUNCTION("GOOGLETRANSLATE(B33217,""en"",""es-ES"")"),"Una cámara con un cercado es y conduce a una mujer que sostiene un pincel.")</f>
        <v>Una cámara con un cercado es y conduce a una mujer que sostiene un pincel.</v>
      </c>
    </row>
    <row r="33218">
      <c r="A33218" s="4" t="s">
        <v>41807</v>
      </c>
      <c r="B33218" s="4" t="s">
        <v>41809</v>
      </c>
      <c r="C33218" s="5" t="str">
        <f>IFERROR(__xludf.DUMMYFUNCTION("GOOGLETRANSLATE(B33218,""en"",""es-ES"")"),"Ella cepilla el costado de la cerca hacia arriba y hacia abajo mientras la cámara continúa mirando a un lado.")</f>
        <v>Ella cepilla el costado de la cerca hacia arriba y hacia abajo mientras la cámara continúa mirando a un lado.</v>
      </c>
    </row>
    <row r="33219">
      <c r="A33219" s="4" t="s">
        <v>41810</v>
      </c>
      <c r="B33219" s="4" t="s">
        <v>41811</v>
      </c>
      <c r="C33219" s="5" t="str">
        <f>IFERROR(__xludf.DUMMYFUNCTION("GOOGLETRANSLATE(B33219,""en"",""es-ES"")"),"Una introducción conduce a un hombre que habla y sonríe en una cámara y varias tomas de personas que preparan un bote y conducen a lo largo del agua.")</f>
        <v>Una introducción conduce a un hombre que habla y sonríe en una cámara y varias tomas de personas que preparan un bote y conducen a lo largo del agua.</v>
      </c>
    </row>
    <row r="33220">
      <c r="A33220" s="4" t="s">
        <v>41810</v>
      </c>
      <c r="B33220" s="4" t="s">
        <v>41812</v>
      </c>
      <c r="C33220" s="5" t="str">
        <f>IFERROR(__xludf.DUMMYFUNCTION("GOOGLETRANSLATE(B33220,""en"",""es-ES"")"),"Se ve a otra mujer hablando con la cámara seguida de varias tomas más del bote a lo largo del agua y personas que viajan y dirigen el bote.")</f>
        <v>Se ve a otra mujer hablando con la cámara seguida de varias tomas más del bote a lo largo del agua y personas que viajan y dirigen el bote.</v>
      </c>
    </row>
    <row r="33221">
      <c r="A33221" s="4" t="s">
        <v>41813</v>
      </c>
      <c r="B33221" s="4" t="s">
        <v>41814</v>
      </c>
      <c r="C33221" s="5" t="str">
        <f>IFERROR(__xludf.DUMMYFUNCTION("GOOGLETRANSLATE(B33221,""en"",""es-ES"")"),"Se ve a tres hombres caminando en cámara lenta mientras otra niña entra al marco y el grupo agarra tubos de una pila.")</f>
        <v>Se ve a tres hombres caminando en cámara lenta mientras otra niña entra al marco y el grupo agarra tubos de una pila.</v>
      </c>
    </row>
    <row r="33222">
      <c r="A33222" s="4" t="s">
        <v>41813</v>
      </c>
      <c r="B33222" s="4" t="s">
        <v>41815</v>
      </c>
      <c r="C33222" s="5" t="str">
        <f>IFERROR(__xludf.DUMMYFUNCTION("GOOGLETRANSLATE(B33222,""en"",""es-ES"")"),"La gente habla con la cámara y luego se los ve sentados en los tubos y flotando por un río.")</f>
        <v>La gente habla con la cámara y luego se los ve sentados en los tubos y flotando por un río.</v>
      </c>
    </row>
    <row r="33223">
      <c r="A33223" s="4" t="s">
        <v>41813</v>
      </c>
      <c r="B33223" s="4" t="s">
        <v>41816</v>
      </c>
      <c r="C33223" s="5" t="str">
        <f>IFERROR(__xludf.DUMMYFUNCTION("GOOGLETRANSLATE(B33223,""en"",""es-ES"")"),"La gente viaja continuamente por el río mientras se balanceaba hacia atrás y cuarto y luego se los ve sentados en un autobús y hablando entre sí.")</f>
        <v>La gente viaja continuamente por el río mientras se balanceaba hacia atrás y cuarto y luego se los ve sentados en un autobús y hablando entre sí.</v>
      </c>
    </row>
    <row r="33224">
      <c r="A33224" s="4" t="s">
        <v>41817</v>
      </c>
      <c r="B33224" s="4" t="s">
        <v>41818</v>
      </c>
      <c r="C33224" s="5" t="str">
        <f>IFERROR(__xludf.DUMMYFUNCTION("GOOGLETRANSLATE(B33224,""en"",""es-ES"")"),"Se ve a un gran grupo de personas vestidos con equipo navideño y se ve lanzán objetos unos a otros.")</f>
        <v>Se ve a un gran grupo de personas vestidos con equipo navideño y se ve lanzán objetos unos a otros.</v>
      </c>
    </row>
    <row r="33225">
      <c r="A33225" s="4" t="s">
        <v>41817</v>
      </c>
      <c r="B33225" s="4" t="s">
        <v>41819</v>
      </c>
      <c r="C33225" s="5" t="str">
        <f>IFERROR(__xludf.DUMMYFUNCTION("GOOGLETRANSLATE(B33225,""en"",""es-ES"")"),"La gente continúa jugando Dodgeball uno contra el otro y termina bailando en el medio.")</f>
        <v>La gente continúa jugando Dodgeball uno contra el otro y termina bailando en el medio.</v>
      </c>
    </row>
    <row r="33226">
      <c r="A33226" s="4" t="s">
        <v>41820</v>
      </c>
      <c r="B33226" s="4" t="s">
        <v>41821</v>
      </c>
      <c r="C33226" s="5" t="str">
        <f>IFERROR(__xludf.DUMMYFUNCTION("GOOGLETRANSLATE(B33226,""en"",""es-ES"")"),"Un hombre con una camisa verde sostiene algunos papeles y habla afuera.")</f>
        <v>Un hombre con una camisa verde sostiene algunos papeles y habla afuera.</v>
      </c>
    </row>
    <row r="33227">
      <c r="A33227" s="4" t="s">
        <v>41820</v>
      </c>
      <c r="B33227" s="4" t="s">
        <v>41822</v>
      </c>
      <c r="C33227" s="5" t="str">
        <f>IFERROR(__xludf.DUMMYFUNCTION("GOOGLETRANSLATE(B33227,""en"",""es-ES"")"),"Comienza a mover un poco de tierra al lado de un árbol con la mano.")</f>
        <v>Comienza a mover un poco de tierra al lado de un árbol con la mano.</v>
      </c>
    </row>
    <row r="33228">
      <c r="A33228" s="4" t="s">
        <v>41820</v>
      </c>
      <c r="B33228" s="4" t="s">
        <v>41823</v>
      </c>
      <c r="C33228" s="5" t="str">
        <f>IFERROR(__xludf.DUMMYFUNCTION("GOOGLETRANSLATE(B33228,""en"",""es-ES"")"),"Se aleja del árbol y continúa hablando.")</f>
        <v>Se aleja del árbol y continúa hablando.</v>
      </c>
    </row>
    <row r="33229">
      <c r="A33229" s="4" t="s">
        <v>41824</v>
      </c>
      <c r="B33229" s="4" t="s">
        <v>41825</v>
      </c>
      <c r="C33229" s="5" t="str">
        <f>IFERROR(__xludf.DUMMYFUNCTION("GOOGLETRANSLATE(B33229,""en"",""es-ES"")"),"Varias mujeres están arrodilladas en el suelo y trabajando para preparar una sopa.")</f>
        <v>Varias mujeres están arrodilladas en el suelo y trabajando para preparar una sopa.</v>
      </c>
    </row>
    <row r="33230">
      <c r="A33230" s="4" t="s">
        <v>41824</v>
      </c>
      <c r="B33230" s="4" t="s">
        <v>41826</v>
      </c>
      <c r="C33230" s="5" t="str">
        <f>IFERROR(__xludf.DUMMYFUNCTION("GOOGLETRANSLATE(B33230,""en"",""es-ES"")"),"Una de las mujeres elige parte de la comida del rallador.")</f>
        <v>Una de las mujeres elige parte de la comida del rallador.</v>
      </c>
    </row>
    <row r="33231">
      <c r="A33231" s="4" t="s">
        <v>41824</v>
      </c>
      <c r="B33231" s="4" t="s">
        <v>41827</v>
      </c>
      <c r="C33231" s="5" t="str">
        <f>IFERROR(__xludf.DUMMYFUNCTION("GOOGLETRANSLATE(B33231,""en"",""es-ES"")"),"Una mujer corta parte del vegetal blanco en un tazón amarillo.")</f>
        <v>Una mujer corta parte del vegetal blanco en un tazón amarillo.</v>
      </c>
    </row>
    <row r="33232">
      <c r="A33232" s="4" t="s">
        <v>41828</v>
      </c>
      <c r="B33232" s="4" t="s">
        <v>41829</v>
      </c>
      <c r="C33232" s="5" t="str">
        <f>IFERROR(__xludf.DUMMYFUNCTION("GOOGLETRANSLATE(B33232,""en"",""es-ES"")"),"Un niño lleva una glorieta en su espalda y sale de hojas de un patio trasero.")</f>
        <v>Un niño lleva una glorieta en su espalda y sale de hojas de un patio trasero.</v>
      </c>
    </row>
    <row r="33233">
      <c r="A33233" s="4" t="s">
        <v>41828</v>
      </c>
      <c r="B33233" s="4" t="s">
        <v>41830</v>
      </c>
      <c r="C33233" s="5" t="str">
        <f>IFERROR(__xludf.DUMMYFUNCTION("GOOGLETRANSLATE(B33233,""en"",""es-ES"")"),"Luego, el niño va al otro lugar para soplar hojas.")</f>
        <v>Luego, el niño va al otro lugar para soplar hojas.</v>
      </c>
    </row>
    <row r="33234">
      <c r="A33234" s="4" t="s">
        <v>41828</v>
      </c>
      <c r="B33234" s="4" t="s">
        <v>41831</v>
      </c>
      <c r="C33234" s="5" t="str">
        <f>IFERROR(__xludf.DUMMYFUNCTION("GOOGLETRANSLATE(B33234,""en"",""es-ES"")"),"Después, el niño soplado se va cerca de un árbol.")</f>
        <v>Después, el niño soplado se va cerca de un árbol.</v>
      </c>
    </row>
    <row r="33235">
      <c r="A33235" s="4" t="s">
        <v>41832</v>
      </c>
      <c r="B33235" s="4" t="s">
        <v>41833</v>
      </c>
      <c r="C33235" s="5" t="str">
        <f>IFERROR(__xludf.DUMMYFUNCTION("GOOGLETRANSLATE(B33235,""en"",""es-ES"")"),"Un equipo de ejercicio se elabora a través de la tecnología y luego se muestra en tiempo real.")</f>
        <v>Un equipo de ejercicio se elabora a través de la tecnología y luego se muestra en tiempo real.</v>
      </c>
    </row>
    <row r="33236">
      <c r="A33236" s="4" t="s">
        <v>41832</v>
      </c>
      <c r="B33236" s="4" t="s">
        <v>41834</v>
      </c>
      <c r="C33236" s="5" t="str">
        <f>IFERROR(__xludf.DUMMYFUNCTION("GOOGLETRANSLATE(B33236,""en"",""es-ES"")"),"La mano de una persona gira una perilla en la máquina y comienza a funcionar en la máquina.")</f>
        <v>La mano de una persona gira una perilla en la máquina y comienza a funcionar en la máquina.</v>
      </c>
    </row>
    <row r="33237">
      <c r="A33237" s="4" t="s">
        <v>41832</v>
      </c>
      <c r="B33237" s="4" t="s">
        <v>41835</v>
      </c>
      <c r="C33237" s="5" t="str">
        <f>IFERROR(__xludf.DUMMYFUNCTION("GOOGLETRANSLATE(B33237,""en"",""es-ES"")"),"Se muestran los primeros planos de sus pies, así como varios otros ángulos de su carrera.")</f>
        <v>Se muestran los primeros planos de sus pies, así como varios otros ángulos de su carrera.</v>
      </c>
    </row>
    <row r="33238">
      <c r="A33238" s="4" t="s">
        <v>41836</v>
      </c>
      <c r="B33238" s="4" t="s">
        <v>41837</v>
      </c>
      <c r="C33238" s="5" t="str">
        <f>IFERROR(__xludf.DUMMYFUNCTION("GOOGLETRANSLATE(B33238,""en"",""es-ES"")"),"Una mujer con cabello muy largo está parado en un balcón que muestra la longitud de su cabello.")</f>
        <v>Una mujer con cabello muy largo está parado en un balcón que muestra la longitud de su cabello.</v>
      </c>
    </row>
    <row r="33239">
      <c r="A33239" s="4" t="s">
        <v>41836</v>
      </c>
      <c r="B33239" s="4" t="s">
        <v>41838</v>
      </c>
      <c r="C33239" s="5" t="str">
        <f>IFERROR(__xludf.DUMMYFUNCTION("GOOGLETRANSLATE(B33239,""en"",""es-ES"")"),"Se da vuelta y mira la cámara que continúa cepillándose el cabello y mostrando su longitud.")</f>
        <v>Se da vuelta y mira la cámara que continúa cepillándose el cabello y mostrando su longitud.</v>
      </c>
    </row>
    <row r="33240">
      <c r="A33240" s="4" t="s">
        <v>41836</v>
      </c>
      <c r="B33240" s="4" t="s">
        <v>41839</v>
      </c>
      <c r="C33240" s="5" t="str">
        <f>IFERROR(__xludf.DUMMYFUNCTION("GOOGLETRANSLATE(B33240,""en"",""es-ES"")"),"Ella comienza a girar y balancear su cabello de espaldas a la cámara y es cuando el video termina.")</f>
        <v>Ella comienza a girar y balancear su cabello de espaldas a la cámara y es cuando el video termina.</v>
      </c>
    </row>
    <row r="33241">
      <c r="A33241" s="4" t="s">
        <v>41840</v>
      </c>
      <c r="B33241" s="4" t="s">
        <v>41841</v>
      </c>
      <c r="C33241" s="5" t="str">
        <f>IFERROR(__xludf.DUMMYFUNCTION("GOOGLETRANSLATE(B33241,""en"",""es-ES"")"),"Se ve a una persona desenroscar una botella de lavado de boca y vertiéndola en una taza.")</f>
        <v>Se ve a una persona desenroscar una botella de lavado de boca y vertiéndola en una taza.</v>
      </c>
    </row>
    <row r="33242">
      <c r="A33242" s="4" t="s">
        <v>41840</v>
      </c>
      <c r="B33242" s="4" t="s">
        <v>41842</v>
      </c>
      <c r="C33242" s="5" t="str">
        <f>IFERROR(__xludf.DUMMYFUNCTION("GOOGLETRANSLATE(B33242,""en"",""es-ES"")"),"La niña luego bebe y la agita alrededor de su boca.")</f>
        <v>La niña luego bebe y la agita alrededor de su boca.</v>
      </c>
    </row>
    <row r="33243">
      <c r="A33243" s="4" t="s">
        <v>41840</v>
      </c>
      <c r="B33243" s="4" t="s">
        <v>41843</v>
      </c>
      <c r="C33243" s="5" t="str">
        <f>IFERROR(__xludf.DUMMYFUNCTION("GOOGLETRANSLATE(B33243,""en"",""es-ES"")"),"Ella escupe la mezcla y muestra imágenes al final.")</f>
        <v>Ella escupe la mezcla y muestra imágenes al final.</v>
      </c>
    </row>
    <row r="33244">
      <c r="A33244" s="4" t="s">
        <v>41844</v>
      </c>
      <c r="B33244" s="4" t="s">
        <v>41845</v>
      </c>
      <c r="C33244" s="5" t="str">
        <f>IFERROR(__xludf.DUMMYFUNCTION("GOOGLETRANSLATE(B33244,""en"",""es-ES"")"),"Se junta una compilación del lanzamiento de bala, se ve a muchos hombres diferentes preparándose.")</f>
        <v>Se junta una compilación del lanzamiento de bala, se ve a muchos hombres diferentes preparándose.</v>
      </c>
    </row>
    <row r="33245">
      <c r="A33245" s="4" t="s">
        <v>41844</v>
      </c>
      <c r="B33245" s="4" t="s">
        <v>41846</v>
      </c>
      <c r="C33245" s="5" t="str">
        <f>IFERROR(__xludf.DUMMYFUNCTION("GOOGLETRANSLATE(B33245,""en"",""es-ES"")"),"Giran sus cuerpos muy rápidamente acumulando tanta velocidad como puedan antes de tomar su tiro.")</f>
        <v>Giran sus cuerpos muy rápidamente acumulando tanta velocidad como puedan antes de tomar su tiro.</v>
      </c>
    </row>
    <row r="33246">
      <c r="A33246" s="4" t="s">
        <v>41844</v>
      </c>
      <c r="B33246" s="4" t="s">
        <v>41847</v>
      </c>
      <c r="C33246" s="5" t="str">
        <f>IFERROR(__xludf.DUMMYFUNCTION("GOOGLETRANSLATE(B33246,""en"",""es-ES"")"),"Practican y lo hacen profesionalmente, es un deporte serio del que la gente realmente disfruta ser parte.")</f>
        <v>Practican y lo hacen profesionalmente, es un deporte serio del que la gente realmente disfruta ser parte.</v>
      </c>
    </row>
    <row r="33247">
      <c r="A33247" s="4" t="s">
        <v>41844</v>
      </c>
      <c r="B33247" s="4" t="s">
        <v>41848</v>
      </c>
      <c r="C33247" s="5" t="str">
        <f>IFERROR(__xludf.DUMMYFUNCTION("GOOGLETRANSLATE(B33247,""en"",""es-ES"")"),"Tienden a emocionarse mucho cuando hacen el bien en sus lanzamientos.")</f>
        <v>Tienden a emocionarse mucho cuando hacen el bien en sus lanzamientos.</v>
      </c>
    </row>
    <row r="33248">
      <c r="A33248" s="4" t="s">
        <v>41849</v>
      </c>
      <c r="B33248" s="4" t="s">
        <v>41850</v>
      </c>
      <c r="C33248" s="5" t="str">
        <f>IFERROR(__xludf.DUMMYFUNCTION("GOOGLETRANSLATE(B33248,""en"",""es-ES"")"),"Una mujer con un abrigo morado está hablando.")</f>
        <v>Una mujer con un abrigo morado está hablando.</v>
      </c>
    </row>
    <row r="33249">
      <c r="A33249" s="4" t="s">
        <v>41849</v>
      </c>
      <c r="B33249" s="4" t="s">
        <v>41851</v>
      </c>
      <c r="C33249" s="5" t="str">
        <f>IFERROR(__xludf.DUMMYFUNCTION("GOOGLETRANSLATE(B33249,""en"",""es-ES"")"),"Ella comienza a cepillar un caballo con el cepillo.")</f>
        <v>Ella comienza a cepillar un caballo con el cepillo.</v>
      </c>
    </row>
    <row r="33250">
      <c r="A33250" s="4" t="s">
        <v>41849</v>
      </c>
      <c r="B33250" s="4" t="s">
        <v>41852</v>
      </c>
      <c r="C33250" s="5" t="str">
        <f>IFERROR(__xludf.DUMMYFUNCTION("GOOGLETRANSLATE(B33250,""en"",""es-ES"")"),"Ella limpia el fondo del pie del caballo.")</f>
        <v>Ella limpia el fondo del pie del caballo.</v>
      </c>
    </row>
    <row r="33251">
      <c r="A33251" s="4" t="s">
        <v>41849</v>
      </c>
      <c r="B33251" s="4" t="s">
        <v>41853</v>
      </c>
      <c r="C33251" s="5" t="str">
        <f>IFERROR(__xludf.DUMMYFUNCTION("GOOGLETRANSLATE(B33251,""en"",""es-ES"")"),"Ella rocía la cola del caballo y comienza a cepillarse.")</f>
        <v>Ella rocía la cola del caballo y comienza a cepillarse.</v>
      </c>
    </row>
    <row r="33252">
      <c r="A33252" s="4" t="s">
        <v>41849</v>
      </c>
      <c r="B33252" s="4" t="s">
        <v>41854</v>
      </c>
      <c r="C33252" s="5" t="str">
        <f>IFERROR(__xludf.DUMMYFUNCTION("GOOGLETRANSLATE(B33252,""en"",""es-ES"")"),"Ella termina y continúa hablando con la cámara.")</f>
        <v>Ella termina y continúa hablando con la cámara.</v>
      </c>
    </row>
    <row r="33253">
      <c r="A33253" s="4" t="s">
        <v>41855</v>
      </c>
      <c r="B33253" s="4" t="s">
        <v>41856</v>
      </c>
      <c r="C33253" s="5" t="str">
        <f>IFERROR(__xludf.DUMMYFUNCTION("GOOGLETRANSLATE(B33253,""en"",""es-ES"")"),"Un jugador de voleibol lanza la pelota en el aire.")</f>
        <v>Un jugador de voleibol lanza la pelota en el aire.</v>
      </c>
    </row>
    <row r="33254">
      <c r="A33254" s="4" t="s">
        <v>41855</v>
      </c>
      <c r="B33254" s="4" t="s">
        <v>41857</v>
      </c>
      <c r="C33254" s="5" t="str">
        <f>IFERROR(__xludf.DUMMYFUNCTION("GOOGLETRANSLATE(B33254,""en"",""es-ES"")"),"Su compañero de equipo lo atrapa y lo arroja sobre la red.")</f>
        <v>Su compañero de equipo lo atrapa y lo arroja sobre la red.</v>
      </c>
    </row>
    <row r="33255">
      <c r="A33255" s="4" t="s">
        <v>41855</v>
      </c>
      <c r="B33255" s="4" t="s">
        <v>41858</v>
      </c>
      <c r="C33255" s="5" t="str">
        <f>IFERROR(__xludf.DUMMYFUNCTION("GOOGLETRANSLATE(B33255,""en"",""es-ES"")"),"El jugador de voleibol sirve el balón.")</f>
        <v>El jugador de voleibol sirve el balón.</v>
      </c>
    </row>
    <row r="33256">
      <c r="A33256" s="4" t="s">
        <v>41855</v>
      </c>
      <c r="B33256" s="4" t="s">
        <v>41859</v>
      </c>
      <c r="C33256" s="5" t="str">
        <f>IFERROR(__xludf.DUMMYFUNCTION("GOOGLETRANSLATE(B33256,""en"",""es-ES"")"),"Un jugador opuesto se sumerge para aumentar la pelota.")</f>
        <v>Un jugador opuesto se sumerge para aumentar la pelota.</v>
      </c>
    </row>
    <row r="33257">
      <c r="A33257" s="4" t="s">
        <v>41855</v>
      </c>
      <c r="B33257" s="4" t="s">
        <v>41860</v>
      </c>
      <c r="C33257" s="5" t="str">
        <f>IFERROR(__xludf.DUMMYFUNCTION("GOOGLETRANSLATE(B33257,""en"",""es-ES"")"),"Su compañera de equipo lanza el balón sobre la red.")</f>
        <v>Su compañera de equipo lanza el balón sobre la red.</v>
      </c>
    </row>
    <row r="33258">
      <c r="A33258" s="4" t="s">
        <v>41855</v>
      </c>
      <c r="B33258" s="4" t="s">
        <v>41861</v>
      </c>
      <c r="C33258" s="5" t="str">
        <f>IFERROR(__xludf.DUMMYFUNCTION("GOOGLETRANSLATE(B33258,""en"",""es-ES"")"),"El jugador de voleibol que se zambulló anteriormente aumenta el balón sobre la red.")</f>
        <v>El jugador de voleibol que se zambulló anteriormente aumenta el balón sobre la red.</v>
      </c>
    </row>
    <row r="33259">
      <c r="A33259" s="4" t="s">
        <v>41855</v>
      </c>
      <c r="B33259" s="4" t="s">
        <v>41862</v>
      </c>
      <c r="C33259" s="5" t="str">
        <f>IFERROR(__xludf.DUMMYFUNCTION("GOOGLETRANSLATE(B33259,""en"",""es-ES"")"),"Un jugador contrario golpea la pelota.")</f>
        <v>Un jugador contrario golpea la pelota.</v>
      </c>
    </row>
    <row r="33260">
      <c r="A33260" s="4" t="s">
        <v>41855</v>
      </c>
      <c r="B33260" s="4" t="s">
        <v>41863</v>
      </c>
      <c r="C33260" s="5" t="str">
        <f>IFERROR(__xludf.DUMMYFUNCTION("GOOGLETRANSLATE(B33260,""en"",""es-ES"")"),"Su compañera de equipo se lo devuelve.")</f>
        <v>Su compañera de equipo se lo devuelve.</v>
      </c>
    </row>
    <row r="33261">
      <c r="A33261" s="4" t="s">
        <v>41855</v>
      </c>
      <c r="B33261" s="4" t="s">
        <v>41864</v>
      </c>
      <c r="C33261" s="5" t="str">
        <f>IFERROR(__xludf.DUMMYFUNCTION("GOOGLETRANSLATE(B33261,""en"",""es-ES"")"),"El compañero de equipo lo golpea sobre la red.")</f>
        <v>El compañero de equipo lo golpea sobre la red.</v>
      </c>
    </row>
    <row r="33262">
      <c r="A33262" s="4" t="s">
        <v>41855</v>
      </c>
      <c r="B33262" s="4" t="s">
        <v>41865</v>
      </c>
      <c r="C33262" s="5" t="str">
        <f>IFERROR(__xludf.DUMMYFUNCTION("GOOGLETRANSLATE(B33262,""en"",""es-ES"")"),"El jugador contrario golpea la pelota.")</f>
        <v>El jugador contrario golpea la pelota.</v>
      </c>
    </row>
    <row r="33263">
      <c r="A33263" s="4" t="s">
        <v>41855</v>
      </c>
      <c r="B33263" s="4" t="s">
        <v>41866</v>
      </c>
      <c r="C33263" s="5" t="str">
        <f>IFERROR(__xludf.DUMMYFUNCTION("GOOGLETRANSLATE(B33263,""en"",""es-ES"")"),"Su compañero de equipo lanza el balón sobre la red al equipo contrario.")</f>
        <v>Su compañero de equipo lanza el balón sobre la red al equipo contrario.</v>
      </c>
    </row>
    <row r="33264">
      <c r="A33264" s="4" t="s">
        <v>41855</v>
      </c>
      <c r="B33264" s="4" t="s">
        <v>41867</v>
      </c>
      <c r="C33264" s="5" t="str">
        <f>IFERROR(__xludf.DUMMYFUNCTION("GOOGLETRANSLATE(B33264,""en"",""es-ES"")"),"El jugador contrario golpea el balón hacia su compañero de equipo.")</f>
        <v>El jugador contrario golpea el balón hacia su compañero de equipo.</v>
      </c>
    </row>
    <row r="33265">
      <c r="A33265" s="4" t="s">
        <v>41855</v>
      </c>
      <c r="B33265" s="4" t="s">
        <v>41868</v>
      </c>
      <c r="C33265" s="5" t="str">
        <f>IFERROR(__xludf.DUMMYFUNCTION("GOOGLETRANSLATE(B33265,""en"",""es-ES"")"),"Su compañero de equipo golpea el balón.")</f>
        <v>Su compañero de equipo golpea el balón.</v>
      </c>
    </row>
    <row r="33266">
      <c r="A33266" s="4" t="s">
        <v>41855</v>
      </c>
      <c r="B33266" s="4" t="s">
        <v>41869</v>
      </c>
      <c r="C33266" s="5" t="str">
        <f>IFERROR(__xludf.DUMMYFUNCTION("GOOGLETRANSLATE(B33266,""en"",""es-ES"")"),"Su compañero de equipo golpea el balón sobre la red.")</f>
        <v>Su compañero de equipo golpea el balón sobre la red.</v>
      </c>
    </row>
    <row r="33267">
      <c r="A33267" s="4" t="s">
        <v>41855</v>
      </c>
      <c r="B33267" s="4" t="s">
        <v>41870</v>
      </c>
      <c r="C33267" s="5" t="str">
        <f>IFERROR(__xludf.DUMMYFUNCTION("GOOGLETRANSLATE(B33267,""en"",""es-ES"")"),"Un jugador opuesto se sumerge y golpea la pelota.")</f>
        <v>Un jugador opuesto se sumerge y golpea la pelota.</v>
      </c>
    </row>
    <row r="33268">
      <c r="A33268" s="4" t="s">
        <v>41855</v>
      </c>
      <c r="B33268" s="4" t="s">
        <v>41871</v>
      </c>
      <c r="C33268" s="5" t="str">
        <f>IFERROR(__xludf.DUMMYFUNCTION("GOOGLETRANSLATE(B33268,""en"",""es-ES"")"),"Uno de los compañeros de equipo en el equipo contrario se sumerge para atrapar y lanzar el balón fuera de los límites.")</f>
        <v>Uno de los compañeros de equipo en el equipo contrario se sumerge para atrapar y lanzar el balón fuera de los límites.</v>
      </c>
    </row>
    <row r="33269">
      <c r="A33269" s="4" t="s">
        <v>41872</v>
      </c>
      <c r="B33269" s="4" t="s">
        <v>41873</v>
      </c>
      <c r="C33269" s="5" t="str">
        <f>IFERROR(__xludf.DUMMYFUNCTION("GOOGLETRANSLATE(B33269,""en"",""es-ES"")"),"Un rizador se prepara para hacer un tiro rizado mientras se observa ser otras personas en la arena.")</f>
        <v>Un rizador se prepara para hacer un tiro rizado mientras se observa ser otras personas en la arena.</v>
      </c>
    </row>
    <row r="33270">
      <c r="A33270" s="4" t="s">
        <v>41872</v>
      </c>
      <c r="B33270" s="4" t="s">
        <v>41874</v>
      </c>
      <c r="C33270" s="5" t="str">
        <f>IFERROR(__xludf.DUMMYFUNCTION("GOOGLETRANSLATE(B33270,""en"",""es-ES"")"),"Ella hace el tiro y suelta el disco mientras los otros miembros del equipo lo persiguen y barren el hielo.")</f>
        <v>Ella hace el tiro y suelta el disco mientras los otros miembros del equipo lo persiguen y barren el hielo.</v>
      </c>
    </row>
    <row r="33271">
      <c r="A33271" s="4" t="s">
        <v>41872</v>
      </c>
      <c r="B33271" s="4" t="s">
        <v>41875</v>
      </c>
      <c r="C33271" s="5" t="str">
        <f>IFERROR(__xludf.DUMMYFUNCTION("GOOGLETRANSLATE(B33271,""en"",""es-ES"")"),"Se realiza otro disparo y los miembros del equipo proceden a seguir el disparo y barrer el hielo.")</f>
        <v>Se realiza otro disparo y los miembros del equipo proceden a seguir el disparo y barrer el hielo.</v>
      </c>
    </row>
    <row r="33272">
      <c r="A33272" s="4" t="s">
        <v>41872</v>
      </c>
      <c r="B33272" s="4" t="s">
        <v>41876</v>
      </c>
      <c r="C33272" s="5" t="str">
        <f>IFERROR(__xludf.DUMMYFUNCTION("GOOGLETRANSLATE(B33272,""en"",""es-ES"")"),"Luego se realiza un tercer disparo y los rizadores permiten que el disparo noquee otro disco.")</f>
        <v>Luego se realiza un tercer disparo y los rizadores permiten que el disparo noquee otro disco.</v>
      </c>
    </row>
    <row r="33273">
      <c r="A33273" s="4" t="s">
        <v>41877</v>
      </c>
      <c r="B33273" s="4" t="s">
        <v>41878</v>
      </c>
      <c r="C33273" s="5" t="str">
        <f>IFERROR(__xludf.DUMMYFUNCTION("GOOGLETRANSLATE(B33273,""en"",""es-ES"")"),"Se ve a un pequeño grupo de personas tomando una clase de giro que conduce a un hombre que habla con la cámara.")</f>
        <v>Se ve a un pequeño grupo de personas tomando una clase de giro que conduce a un hombre que habla con la cámara.</v>
      </c>
    </row>
    <row r="33274">
      <c r="A33274" s="4" t="s">
        <v>41877</v>
      </c>
      <c r="B33274" s="4" t="s">
        <v>41879</v>
      </c>
      <c r="C33274" s="5" t="str">
        <f>IFERROR(__xludf.DUMMYFUNCTION("GOOGLETRANSLATE(B33274,""en"",""es-ES"")"),"Se muestran tomas del gimnasio que conducen a otra clase de ciclismo con el hombre liderando al grupo y todavía hablando con la cámara.")</f>
        <v>Se muestran tomas del gimnasio que conducen a otra clase de ciclismo con el hombre liderando al grupo y todavía hablando con la cámara.</v>
      </c>
    </row>
    <row r="33275">
      <c r="A33275" s="4" t="s">
        <v>41880</v>
      </c>
      <c r="B33275" s="4" t="s">
        <v>41881</v>
      </c>
      <c r="C33275" s="5" t="str">
        <f>IFERROR(__xludf.DUMMYFUNCTION("GOOGLETRANSLATE(B33275,""en"",""es-ES"")"),"Un hombre y una mujer están sentados hablando en un banco frente a una pared con varias llantas.")</f>
        <v>Un hombre y una mujer están sentados hablando en un banco frente a una pared con varias llantas.</v>
      </c>
    </row>
    <row r="33276">
      <c r="A33276" s="4" t="s">
        <v>41880</v>
      </c>
      <c r="B33276" s="4" t="s">
        <v>41882</v>
      </c>
      <c r="C33276" s="5" t="str">
        <f>IFERROR(__xludf.DUMMYFUNCTION("GOOGLETRANSLATE(B33276,""en"",""es-ES"")"),"Los dos se ponen de pie y comienzan a hablar y puedes ver que están en un chatarra.")</f>
        <v>Los dos se ponen de pie y comienzan a hablar y puedes ver que están en un chatarra.</v>
      </c>
    </row>
    <row r="33277">
      <c r="A33277" s="4" t="s">
        <v>41880</v>
      </c>
      <c r="B33277" s="4" t="s">
        <v>41883</v>
      </c>
      <c r="C33277" s="5" t="str">
        <f>IFERROR(__xludf.DUMMYFUNCTION("GOOGLETRANSLATE(B33277,""en"",""es-ES"")"),"Finalmente, comienzan a bailar juntos y hacen movimientos de baile de hip hop resistentes para el medio ambiente.")</f>
        <v>Finalmente, comienzan a bailar juntos y hacen movimientos de baile de hip hop resistentes para el medio ambiente.</v>
      </c>
    </row>
    <row r="33278">
      <c r="A33278" s="4" t="s">
        <v>41884</v>
      </c>
      <c r="B33278" s="4" t="s">
        <v>41885</v>
      </c>
      <c r="C33278" s="5" t="str">
        <f>IFERROR(__xludf.DUMMYFUNCTION("GOOGLETRANSLATE(B33278,""en"",""es-ES"")"),"Una niña entra desde un lado y comienza a pisotear en la habitación.")</f>
        <v>Una niña entra desde un lado y comienza a pisotear en la habitación.</v>
      </c>
    </row>
    <row r="33279">
      <c r="A33279" s="4" t="s">
        <v>41884</v>
      </c>
      <c r="B33279" s="4" t="s">
        <v>41886</v>
      </c>
      <c r="C33279" s="5" t="str">
        <f>IFERROR(__xludf.DUMMYFUNCTION("GOOGLETRANSLATE(B33279,""en"",""es-ES"")"),"La niña continúa haciendo ejercicio y se mueve de lado a lado y comienza a poner el pie moviéndose en forma de hip hop.")</f>
        <v>La niña continúa haciendo ejercicio y se mueve de lado a lado y comienza a poner el pie moviéndose en forma de hip hop.</v>
      </c>
    </row>
    <row r="33280">
      <c r="A33280" s="4" t="s">
        <v>41884</v>
      </c>
      <c r="B33280" s="4" t="s">
        <v>41887</v>
      </c>
      <c r="C33280" s="5" t="str">
        <f>IFERROR(__xludf.DUMMYFUNCTION("GOOGLETRANSLATE(B33280,""en"",""es-ES"")"),"Luego se mueve hacia una especie de sentadilla de algún tipo y continúa moviéndose y luego se desliza de izquierda a derecha y continúa bailando y desgarrando.")</f>
        <v>Luego se mueve hacia una especie de sentadilla de algún tipo y continúa moviéndose y luego se desliza de izquierda a derecha y continúa bailando y desgarrando.</v>
      </c>
    </row>
    <row r="33281">
      <c r="A33281" s="4" t="s">
        <v>41888</v>
      </c>
      <c r="B33281" s="4" t="s">
        <v>41889</v>
      </c>
      <c r="C33281" s="5" t="str">
        <f>IFERROR(__xludf.DUMMYFUNCTION("GOOGLETRANSLATE(B33281,""en"",""es-ES"")"),"Vemos personas flotando en un lago en balsas moradas.")</f>
        <v>Vemos personas flotando en un lago en balsas moradas.</v>
      </c>
    </row>
    <row r="33282">
      <c r="A33282" s="4" t="s">
        <v>41888</v>
      </c>
      <c r="B33282" s="4" t="s">
        <v>41890</v>
      </c>
      <c r="C33282" s="5" t="str">
        <f>IFERROR(__xludf.DUMMYFUNCTION("GOOGLETRANSLATE(B33282,""en"",""es-ES"")"),"Una persona pone los pies en una roca.")</f>
        <v>Una persona pone los pies en una roca.</v>
      </c>
    </row>
    <row r="33283">
      <c r="A33283" s="4" t="s">
        <v>41888</v>
      </c>
      <c r="B33283" s="4" t="s">
        <v>41891</v>
      </c>
      <c r="C33283" s="5" t="str">
        <f>IFERROR(__xludf.DUMMYFUNCTION("GOOGLETRANSLATE(B33283,""en"",""es-ES"")"),"La gente golpeó el agua áspera.")</f>
        <v>La gente golpeó el agua áspera.</v>
      </c>
    </row>
    <row r="33284">
      <c r="A33284" s="4" t="s">
        <v>41888</v>
      </c>
      <c r="B33284" s="4" t="s">
        <v>41892</v>
      </c>
      <c r="C33284" s="5" t="str">
        <f>IFERROR(__xludf.DUMMYFUNCTION("GOOGLETRANSLATE(B33284,""en"",""es-ES"")"),"Vemos una canoa roja en la orilla.")</f>
        <v>Vemos una canoa roja en la orilla.</v>
      </c>
    </row>
    <row r="33285">
      <c r="A33285" s="4" t="s">
        <v>41888</v>
      </c>
      <c r="B33285" s="4" t="s">
        <v>41893</v>
      </c>
      <c r="C33285" s="5" t="str">
        <f>IFERROR(__xludf.DUMMYFUNCTION("GOOGLETRANSLATE(B33285,""en"",""es-ES"")"),"Pasamos sobre el río.")</f>
        <v>Pasamos sobre el río.</v>
      </c>
    </row>
    <row r="33286">
      <c r="A33286" s="4" t="s">
        <v>41894</v>
      </c>
      <c r="B33286" s="4" t="s">
        <v>41895</v>
      </c>
      <c r="C33286" s="5" t="str">
        <f>IFERROR(__xludf.DUMMYFUNCTION("GOOGLETRANSLATE(B33286,""en"",""es-ES"")"),"Se muestra a un hombre lavando a un perro con una manguera de agua en un patio trasero con varias flores.")</f>
        <v>Se muestra a un hombre lavando a un perro con una manguera de agua en un patio trasero con varias flores.</v>
      </c>
    </row>
    <row r="33287">
      <c r="A33287" s="4" t="s">
        <v>41894</v>
      </c>
      <c r="B33287" s="4" t="s">
        <v>41896</v>
      </c>
      <c r="C33287" s="5" t="str">
        <f>IFERROR(__xludf.DUMMYFUNCTION("GOOGLETRANSLATE(B33287,""en"",""es-ES"")"),"La cámara se mueve alrededor del perro mojado mientras el hombre continúa lavándolo y se sacude.")</f>
        <v>La cámara se mueve alrededor del perro mojado mientras el hombre continúa lavándolo y se sacude.</v>
      </c>
    </row>
    <row r="33288">
      <c r="A33288" s="4" t="s">
        <v>41894</v>
      </c>
      <c r="B33288" s="4" t="s">
        <v>41897</v>
      </c>
      <c r="C33288" s="5" t="str">
        <f>IFERROR(__xludf.DUMMYFUNCTION("GOOGLETRANSLATE(B33288,""en"",""es-ES"")"),"Vierte más champú en el perro y frota el champú en su pelaje.")</f>
        <v>Vierte más champú en el perro y frota el champú en su pelaje.</v>
      </c>
    </row>
    <row r="33289">
      <c r="A33289" s="4" t="s">
        <v>41898</v>
      </c>
      <c r="B33289" s="4" t="s">
        <v>41899</v>
      </c>
      <c r="C33289" s="5" t="str">
        <f>IFERROR(__xludf.DUMMYFUNCTION("GOOGLETRANSLATE(B33289,""en"",""es-ES"")"),"Se ve un área de patio trasero que conduce a varios niños y un hombre mayor que trabajan en una escalera.")</f>
        <v>Se ve un área de patio trasero que conduce a varios niños y un hombre mayor que trabajan en una escalera.</v>
      </c>
    </row>
    <row r="33290">
      <c r="A33290" s="4" t="s">
        <v>41898</v>
      </c>
      <c r="B33290" s="4" t="s">
        <v>41900</v>
      </c>
      <c r="C33290" s="5" t="str">
        <f>IFERROR(__xludf.DUMMYFUNCTION("GOOGLETRANSLATE(B33290,""en"",""es-ES"")"),"El grupo corta los setos a lo largo del costado y los arroja a un cubo y ayuda al hombre mayor.")</f>
        <v>El grupo corta los setos a lo largo del costado y los arroja a un cubo y ayuda al hombre mayor.</v>
      </c>
    </row>
    <row r="33291">
      <c r="A33291" s="4" t="s">
        <v>41898</v>
      </c>
      <c r="B33291" s="4" t="s">
        <v>41901</v>
      </c>
      <c r="C33291" s="5" t="str">
        <f>IFERROR(__xludf.DUMMYFUNCTION("GOOGLETRANSLATE(B33291,""en"",""es-ES"")"),"Los niños continúan ayudando al otro hombre reuniendo hojas mientras las empuja hacia el frente.")</f>
        <v>Los niños continúan ayudando al otro hombre reuniendo hojas mientras las empuja hacia el frente.</v>
      </c>
    </row>
    <row r="33292">
      <c r="A33292" s="4" t="s">
        <v>41902</v>
      </c>
      <c r="B33292" s="4" t="s">
        <v>41903</v>
      </c>
      <c r="C33292" s="5" t="str">
        <f>IFERROR(__xludf.DUMMYFUNCTION("GOOGLETRANSLATE(B33292,""en"",""es-ES"")"),"Una mujer está sentada inclinada y lavando la ropa a mano en un tazón.")</f>
        <v>Una mujer está sentada inclinada y lavando la ropa a mano en un tazón.</v>
      </c>
    </row>
    <row r="33293">
      <c r="A33293" s="4" t="s">
        <v>41902</v>
      </c>
      <c r="B33293" s="4" t="s">
        <v>41904</v>
      </c>
      <c r="C33293" s="5" t="str">
        <f>IFERROR(__xludf.DUMMYFUNCTION("GOOGLETRANSLATE(B33293,""en"",""es-ES"")"),"Su amiga viene y habla con ella y se ríe antes de alejarse de nuevo.")</f>
        <v>Su amiga viene y habla con ella y se ríe antes de alejarse de nuevo.</v>
      </c>
    </row>
    <row r="33294">
      <c r="A33294" s="4" t="s">
        <v>41902</v>
      </c>
      <c r="B33294" s="4" t="s">
        <v>41905</v>
      </c>
      <c r="C33294" s="5" t="str">
        <f>IFERROR(__xludf.DUMMYFUNCTION("GOOGLETRANSLATE(B33294,""en"",""es-ES"")"),"Ella continúa frotando su ropa ampliamente, asegurándose de que sea agradable y limpia antes de poner otro cubo.")</f>
        <v>Ella continúa frotando su ropa ampliamente, asegurándose de que sea agradable y limpia antes de poner otro cubo.</v>
      </c>
    </row>
    <row r="33295">
      <c r="A33295" s="4" t="s">
        <v>41902</v>
      </c>
      <c r="B33295" s="4" t="s">
        <v>41906</v>
      </c>
      <c r="C33295" s="5" t="str">
        <f>IFERROR(__xludf.DUMMYFUNCTION("GOOGLETRANSLATE(B33295,""en"",""es-ES"")"),"Ella se lava y los lanza y los arroja al cubo seco cuando termina.")</f>
        <v>Ella se lava y los lanza y los arroja al cubo seco cuando termina.</v>
      </c>
    </row>
    <row r="33296">
      <c r="A33296" s="4" t="s">
        <v>41907</v>
      </c>
      <c r="B33296" s="4" t="s">
        <v>41908</v>
      </c>
      <c r="C33296" s="5" t="str">
        <f>IFERROR(__xludf.DUMMYFUNCTION("GOOGLETRANSLATE(B33296,""en"",""es-ES"")"),"Se ve a un hombre arrodillándose sobre la tierra cuando un toro se encuentra con el hombre.")</f>
        <v>Se ve a un hombre arrodillándose sobre la tierra cuando un toro se encuentra con el hombre.</v>
      </c>
    </row>
    <row r="33297">
      <c r="A33297" s="4" t="s">
        <v>41907</v>
      </c>
      <c r="B33297" s="4" t="s">
        <v>41909</v>
      </c>
      <c r="C33297" s="5" t="str">
        <f>IFERROR(__xludf.DUMMYFUNCTION("GOOGLETRANSLATE(B33297,""en"",""es-ES"")"),"Él golpea al hombre y es arrastrado, seguido de que su clip se muestra nuevamente.")</f>
        <v>Él golpea al hombre y es arrastrado, seguido de que su clip se muestra nuevamente.</v>
      </c>
    </row>
    <row r="33298">
      <c r="A33298" s="4" t="s">
        <v>41907</v>
      </c>
      <c r="B33298" s="4" t="s">
        <v>41910</v>
      </c>
      <c r="C33298" s="5" t="str">
        <f>IFERROR(__xludf.DUMMYFUNCTION("GOOGLETRANSLATE(B33298,""en"",""es-ES"")"),"Se muestran varios clips más de personas persiguiendo toros y huyendo.")</f>
        <v>Se muestran varios clips más de personas persiguiendo toros y huyendo.</v>
      </c>
    </row>
    <row r="33299">
      <c r="A33299" s="4" t="s">
        <v>41911</v>
      </c>
      <c r="B33299" s="4" t="s">
        <v>41912</v>
      </c>
      <c r="C33299" s="5" t="str">
        <f>IFERROR(__xludf.DUMMYFUNCTION("GOOGLETRANSLATE(B33299,""en"",""es-ES"")"),"Un nadador nada dentro de una piscina.")</f>
        <v>Un nadador nada dentro de una piscina.</v>
      </c>
    </row>
    <row r="33300">
      <c r="A33300" s="4" t="s">
        <v>41911</v>
      </c>
      <c r="B33300" s="4" t="s">
        <v>41913</v>
      </c>
      <c r="C33300" s="5" t="str">
        <f>IFERROR(__xludf.DUMMYFUNCTION("GOOGLETRANSLATE(B33300,""en"",""es-ES"")"),"Se ve al nadador con un snorkel de entrenamiento.")</f>
        <v>Se ve al nadador con un snorkel de entrenamiento.</v>
      </c>
    </row>
    <row r="33301">
      <c r="A33301" s="4" t="s">
        <v>41914</v>
      </c>
      <c r="B33301" s="4" t="s">
        <v>41915</v>
      </c>
      <c r="C33301" s="5" t="str">
        <f>IFERROR(__xludf.DUMMYFUNCTION("GOOGLETRANSLATE(B33301,""en"",""es-ES"")"),"Se muestra una pantalla de combatientes y luego se seleccionan dos imágenes aleatorias.")</f>
        <v>Se muestra una pantalla de combatientes y luego se seleccionan dos imágenes aleatorias.</v>
      </c>
    </row>
    <row r="33302">
      <c r="A33302" s="4" t="s">
        <v>41914</v>
      </c>
      <c r="B33302" s="4" t="s">
        <v>41916</v>
      </c>
      <c r="C33302" s="5" t="str">
        <f>IFERROR(__xludf.DUMMYFUNCTION("GOOGLETRANSLATE(B33302,""en"",""es-ES"")"),"Una vez seleccionadas, las imágenes se mueven hacia las esquinas superiores de la pantalla y dos personas vestidas con uniformes de sumo se paran en medio de una ronda y comienzan a pelear mientras los autos viajan a su alrededor.")</f>
        <v>Una vez seleccionadas, las imágenes se mueven hacia las esquinas superiores de la pantalla y dos personas vestidas con uniformes de sumo se paran en medio de una ronda y comienzan a pelear mientras los autos viajan a su alrededor.</v>
      </c>
    </row>
    <row r="33303">
      <c r="A33303" s="4" t="s">
        <v>41917</v>
      </c>
      <c r="B33303" s="4" t="s">
        <v>41918</v>
      </c>
      <c r="C33303" s="5" t="str">
        <f>IFERROR(__xludf.DUMMYFUNCTION("GOOGLETRANSLATE(B33303,""en"",""es-ES"")"),"Una introducción comienza y luego muestra fotos de una niña de pie en el baño con cabello largo y liso.")</f>
        <v>Una introducción comienza y luego muestra fotos de una niña de pie en el baño con cabello largo y liso.</v>
      </c>
    </row>
    <row r="33304">
      <c r="A33304" s="4" t="s">
        <v>41917</v>
      </c>
      <c r="B33304" s="4" t="s">
        <v>41919</v>
      </c>
      <c r="C33304" s="5" t="str">
        <f>IFERROR(__xludf.DUMMYFUNCTION("GOOGLETRANSLATE(B33304,""en"",""es-ES"")"),"Luego comienza a hablar con la cámara mientras se acaricia el cabello seguido de secado y cepillándose el cabello.")</f>
        <v>Luego comienza a hablar con la cámara mientras se acaricia el cabello seguido de secado y cepillándose el cabello.</v>
      </c>
    </row>
    <row r="33305">
      <c r="A33305" s="4" t="s">
        <v>41917</v>
      </c>
      <c r="B33305" s="4" t="s">
        <v>41920</v>
      </c>
      <c r="C33305" s="5" t="str">
        <f>IFERROR(__xludf.DUMMYFUNCTION("GOOGLETRANSLATE(B33305,""en"",""es-ES"")"),"Luego pone la loción en su cabello y se rompe el cabello en secciones.")</f>
        <v>Luego pone la loción en su cabello y se rompe el cabello en secciones.</v>
      </c>
    </row>
    <row r="33306">
      <c r="A33306" s="4" t="s">
        <v>41917</v>
      </c>
      <c r="B33306" s="4" t="s">
        <v>41921</v>
      </c>
      <c r="C33306" s="5" t="str">
        <f>IFERROR(__xludf.DUMMYFUNCTION("GOOGLETRANSLATE(B33306,""en"",""es-ES"")"),"Ella endereza cada sección de cabello y sonríe al final.")</f>
        <v>Ella endereza cada sección de cabello y sonríe al final.</v>
      </c>
    </row>
    <row r="33307">
      <c r="A33307" s="4" t="s">
        <v>41922</v>
      </c>
      <c r="B33307" s="4" t="s">
        <v>41923</v>
      </c>
      <c r="C33307" s="5" t="str">
        <f>IFERROR(__xludf.DUMMYFUNCTION("GOOGLETRANSLATE(B33307,""en"",""es-ES"")"),"Una banda se reúne fuera de un edificio.")</f>
        <v>Una banda se reúne fuera de un edificio.</v>
      </c>
    </row>
    <row r="33308">
      <c r="A33308" s="4" t="s">
        <v>41922</v>
      </c>
      <c r="B33308" s="4" t="s">
        <v>41924</v>
      </c>
      <c r="C33308" s="5" t="str">
        <f>IFERROR(__xludf.DUMMYFUNCTION("GOOGLETRANSLATE(B33308,""en"",""es-ES"")"),"Un líder está usando un bastón para instruirlos.")</f>
        <v>Un líder está usando un bastón para instruirlos.</v>
      </c>
    </row>
    <row r="33309">
      <c r="A33309" s="4" t="s">
        <v>41922</v>
      </c>
      <c r="B33309" s="4" t="s">
        <v>41925</v>
      </c>
      <c r="C33309" s="5" t="str">
        <f>IFERROR(__xludf.DUMMYFUNCTION("GOOGLETRANSLATE(B33309,""en"",""es-ES"")"),"Están tocando la batería para una pequeña audiencia.")</f>
        <v>Están tocando la batería para una pequeña audiencia.</v>
      </c>
    </row>
    <row r="33310">
      <c r="A33310" s="4" t="s">
        <v>41926</v>
      </c>
      <c r="B33310" s="4" t="s">
        <v>41927</v>
      </c>
      <c r="C33310" s="5" t="str">
        <f>IFERROR(__xludf.DUMMYFUNCTION("GOOGLETRANSLATE(B33310,""en"",""es-ES"")"),"Un chico en el patio trasero está cortando el césped en un día caluroso y soleado mientras una dama registra y narra.")</f>
        <v>Un chico en el patio trasero está cortando el césped en un día caluroso y soleado mientras una dama registra y narra.</v>
      </c>
    </row>
    <row r="33311">
      <c r="A33311" s="4" t="s">
        <v>41926</v>
      </c>
      <c r="B33311" s="4" t="s">
        <v>41928</v>
      </c>
      <c r="C33311" s="5" t="str">
        <f>IFERROR(__xludf.DUMMYFUNCTION("GOOGLETRANSLATE(B33311,""en"",""es-ES"")"),"Comienza a ir en un movimiento de ida y vuelta mientras mueve el cortacésped.")</f>
        <v>Comienza a ir en un movimiento de ida y vuelta mientras mueve el cortacésped.</v>
      </c>
    </row>
    <row r="33312">
      <c r="A33312" s="4" t="s">
        <v>41926</v>
      </c>
      <c r="B33312" s="4" t="s">
        <v>41929</v>
      </c>
      <c r="C33312" s="5" t="str">
        <f>IFERROR(__xludf.DUMMYFUNCTION("GOOGLETRANSLATE(B33312,""en"",""es-ES"")"),"El tipo cambia de dirección mientras continúa cortando.")</f>
        <v>El tipo cambia de dirección mientras continúa cortando.</v>
      </c>
    </row>
    <row r="33313">
      <c r="A33313" s="4" t="s">
        <v>41930</v>
      </c>
      <c r="B33313" s="4" t="s">
        <v>41931</v>
      </c>
      <c r="C33313" s="5" t="str">
        <f>IFERROR(__xludf.DUMMYFUNCTION("GOOGLETRANSLATE(B33313,""en"",""es-ES"")"),"Un grupo de guardias marchan por un camino de entrada mientras juegan las trompetas.")</f>
        <v>Un grupo de guardias marchan por un camino de entrada mientras juegan las trompetas.</v>
      </c>
    </row>
    <row r="33314">
      <c r="A33314" s="4" t="s">
        <v>41930</v>
      </c>
      <c r="B33314" s="4" t="s">
        <v>41932</v>
      </c>
      <c r="C33314" s="5" t="str">
        <f>IFERROR(__xludf.DUMMYFUNCTION("GOOGLETRANSLATE(B33314,""en"",""es-ES"")"),"Un hombre calienta una sartén pequeña con una llama.")</f>
        <v>Un hombre calienta una sartén pequeña con una llama.</v>
      </c>
    </row>
    <row r="33315">
      <c r="A33315" s="4" t="s">
        <v>41930</v>
      </c>
      <c r="B33315" s="4" t="s">
        <v>41933</v>
      </c>
      <c r="C33315" s="5" t="str">
        <f>IFERROR(__xludf.DUMMYFUNCTION("GOOGLETRANSLATE(B33315,""en"",""es-ES"")"),"Tres soldados de pie cerca de verlo.")</f>
        <v>Tres soldados de pie cerca de verlo.</v>
      </c>
    </row>
    <row r="33316">
      <c r="A33316" s="4" t="s">
        <v>41930</v>
      </c>
      <c r="B33316" s="4" t="s">
        <v>41934</v>
      </c>
      <c r="C33316" s="5" t="str">
        <f>IFERROR(__xludf.DUMMYFUNCTION("GOOGLETRANSLATE(B33316,""en"",""es-ES"")"),"El hombre agarra un pincel y lo mueve en la sartén.")</f>
        <v>El hombre agarra un pincel y lo mueve en la sartén.</v>
      </c>
    </row>
    <row r="33317">
      <c r="A33317" s="4" t="s">
        <v>41930</v>
      </c>
      <c r="B33317" s="4" t="s">
        <v>41935</v>
      </c>
      <c r="C33317" s="5" t="str">
        <f>IFERROR(__xludf.DUMMYFUNCTION("GOOGLETRANSLATE(B33317,""en"",""es-ES"")"),"Toma el cepillo y cepilla un zapato.")</f>
        <v>Toma el cepillo y cepilla un zapato.</v>
      </c>
    </row>
    <row r="33318">
      <c r="A33318" s="4" t="s">
        <v>41930</v>
      </c>
      <c r="B33318" s="4" t="s">
        <v>41936</v>
      </c>
      <c r="C33318" s="5" t="str">
        <f>IFERROR(__xludf.DUMMYFUNCTION("GOOGLETRANSLATE(B33318,""en"",""es-ES"")"),"Él llama el zapato con el bote de llamas.")</f>
        <v>Él llama el zapato con el bote de llamas.</v>
      </c>
    </row>
    <row r="33319">
      <c r="A33319" s="4" t="s">
        <v>41930</v>
      </c>
      <c r="B33319" s="4" t="s">
        <v>41937</v>
      </c>
      <c r="C33319" s="5" t="str">
        <f>IFERROR(__xludf.DUMMYFUNCTION("GOOGLETRANSLATE(B33319,""en"",""es-ES"")"),"Él cepilla el zapato de nuevo.")</f>
        <v>Él cepilla el zapato de nuevo.</v>
      </c>
    </row>
    <row r="33320">
      <c r="A33320" s="4" t="s">
        <v>41930</v>
      </c>
      <c r="B33320" s="4" t="s">
        <v>41938</v>
      </c>
      <c r="C33320" s="5" t="str">
        <f>IFERROR(__xludf.DUMMYFUNCTION("GOOGLETRANSLATE(B33320,""en"",""es-ES"")"),"Luego llama el zapato un poco más.")</f>
        <v>Luego llama el zapato un poco más.</v>
      </c>
    </row>
    <row r="33321">
      <c r="A33321" s="4" t="s">
        <v>41939</v>
      </c>
      <c r="B33321" s="4" t="s">
        <v>41940</v>
      </c>
      <c r="C33321" s="5" t="str">
        <f>IFERROR(__xludf.DUMMYFUNCTION("GOOGLETRANSLATE(B33321,""en"",""es-ES"")"),"Un hombre está cortando el césped en un patio y riendo y haciendo bromas con amigos que están mirando.")</f>
        <v>Un hombre está cortando el césped en un patio y riendo y haciendo bromas con amigos que están mirando.</v>
      </c>
    </row>
    <row r="33322">
      <c r="A33322" s="4" t="s">
        <v>41939</v>
      </c>
      <c r="B33322" s="4" t="s">
        <v>41941</v>
      </c>
      <c r="C33322" s="5" t="str">
        <f>IFERROR(__xludf.DUMMYFUNCTION("GOOGLETRANSLATE(B33322,""en"",""es-ES"")"),"Comienza a correr con el Mover de césped y casi se encuentra con algo mientras sus amigos se ríen en el disfrute.")</f>
        <v>Comienza a correr con el Mover de césped y casi se encuentra con algo mientras sus amigos se ríen en el disfrute.</v>
      </c>
    </row>
    <row r="33323">
      <c r="A33323" s="4" t="s">
        <v>41939</v>
      </c>
      <c r="B33323" s="4" t="s">
        <v>41942</v>
      </c>
      <c r="C33323" s="5" t="str">
        <f>IFERROR(__xludf.DUMMYFUNCTION("GOOGLETRANSLATE(B33323,""en"",""es-ES"")"),"Uno de sus amigos trata de ayudarlo mientras corta el césped.")</f>
        <v>Uno de sus amigos trata de ayudarlo mientras corta el césped.</v>
      </c>
    </row>
    <row r="33324">
      <c r="A33324" s="4" t="s">
        <v>41943</v>
      </c>
      <c r="B33324" s="4" t="s">
        <v>41944</v>
      </c>
      <c r="C33324" s="5" t="str">
        <f>IFERROR(__xludf.DUMMYFUNCTION("GOOGLETRANSLATE(B33324,""en"",""es-ES"")"),"Una niña está sentada en una silla hablando.")</f>
        <v>Una niña está sentada en una silla hablando.</v>
      </c>
    </row>
    <row r="33325">
      <c r="A33325" s="4" t="s">
        <v>41943</v>
      </c>
      <c r="B33325" s="4" t="s">
        <v>41945</v>
      </c>
      <c r="C33325" s="5" t="str">
        <f>IFERROR(__xludf.DUMMYFUNCTION("GOOGLETRANSLATE(B33325,""en"",""es-ES"")"),"Una mujer se acerca a la niña y se limpia las orejas.")</f>
        <v>Una mujer se acerca a la niña y se limpia las orejas.</v>
      </c>
    </row>
    <row r="33326">
      <c r="A33326" s="4" t="s">
        <v>41943</v>
      </c>
      <c r="B33326" s="4" t="s">
        <v>41946</v>
      </c>
      <c r="C33326" s="5" t="str">
        <f>IFERROR(__xludf.DUMMYFUNCTION("GOOGLETRANSLATE(B33326,""en"",""es-ES"")"),"La mujer luego perfora la oreja de la niña.")</f>
        <v>La mujer luego perfora la oreja de la niña.</v>
      </c>
    </row>
    <row r="33327">
      <c r="A33327" s="4" t="s">
        <v>41943</v>
      </c>
      <c r="B33327" s="4" t="s">
        <v>41947</v>
      </c>
      <c r="C33327" s="5" t="str">
        <f>IFERROR(__xludf.DUMMYFUNCTION("GOOGLETRANSLATE(B33327,""en"",""es-ES"")"),"La niña se pone las gafas después de que sus orejas están reunidas.")</f>
        <v>La niña se pone las gafas después de que sus orejas están reunidas.</v>
      </c>
    </row>
    <row r="33328">
      <c r="A33328" s="4" t="s">
        <v>41948</v>
      </c>
      <c r="B33328" s="4" t="s">
        <v>41949</v>
      </c>
      <c r="C33328" s="5" t="str">
        <f>IFERROR(__xludf.DUMMYFUNCTION("GOOGLETRANSLATE(B33328,""en"",""es-ES"")"),"Se muestra a un hombre sonriendo en una imagen cuando las palabras pasan sobre su rostro.")</f>
        <v>Se muestra a un hombre sonriendo en una imagen cuando las palabras pasan sobre su rostro.</v>
      </c>
    </row>
    <row r="33329">
      <c r="A33329" s="4" t="s">
        <v>41948</v>
      </c>
      <c r="B33329" s="4" t="s">
        <v>41950</v>
      </c>
      <c r="C33329" s="5" t="str">
        <f>IFERROR(__xludf.DUMMYFUNCTION("GOOGLETRANSLATE(B33329,""en"",""es-ES"")"),"Él está en una cancha interior, mostrando a un niño cómo golpear una pelota de tenis contra la pared con una raqueta.")</f>
        <v>Él está en una cancha interior, mostrando a un niño cómo golpear una pelota de tenis contra la pared con una raqueta.</v>
      </c>
    </row>
    <row r="33330">
      <c r="A33330" s="4" t="s">
        <v>41948</v>
      </c>
      <c r="B33330" s="4" t="s">
        <v>41951</v>
      </c>
      <c r="C33330" s="5" t="str">
        <f>IFERROR(__xludf.DUMMYFUNCTION("GOOGLETRANSLATE(B33330,""en"",""es-ES"")"),"El niño intenta varias veces.")</f>
        <v>El niño intenta varias veces.</v>
      </c>
    </row>
    <row r="33331">
      <c r="A33331" s="4" t="s">
        <v>41952</v>
      </c>
      <c r="B33331" s="4" t="s">
        <v>41953</v>
      </c>
      <c r="C33331" s="5" t="str">
        <f>IFERROR(__xludf.DUMMYFUNCTION("GOOGLETRANSLATE(B33331,""en"",""es-ES"")"),"Un hombre sin manos agarra un dardo que está pegado al tablero y camina hacia atrás.")</f>
        <v>Un hombre sin manos agarra un dardo que está pegado al tablero y camina hacia atrás.</v>
      </c>
    </row>
    <row r="33332">
      <c r="A33332" s="4" t="s">
        <v>41952</v>
      </c>
      <c r="B33332" s="4" t="s">
        <v>41954</v>
      </c>
      <c r="C33332" s="5" t="str">
        <f>IFERROR(__xludf.DUMMYFUNCTION("GOOGLETRANSLATE(B33332,""en"",""es-ES"")"),"Luego arroja la oscuridad en el aire para mostrar que aterrizó en el tablero.")</f>
        <v>Luego arroja la oscuridad en el aire para mostrar que aterrizó en el tablero.</v>
      </c>
    </row>
    <row r="33333">
      <c r="A33333" s="4" t="s">
        <v>41955</v>
      </c>
      <c r="B33333" s="4" t="s">
        <v>41956</v>
      </c>
      <c r="C33333" s="5" t="str">
        <f>IFERROR(__xludf.DUMMYFUNCTION("GOOGLETRANSLATE(B33333,""en"",""es-ES"")"),"Se ve a un soldado de tormenta hablando con la cámara y conduce a una cámara que cuesta un vecino y el hombre que camina.")</f>
        <v>Se ve a un soldado de tormenta hablando con la cámara y conduce a una cámara que cuesta un vecino y el hombre que camina.</v>
      </c>
    </row>
    <row r="33334">
      <c r="A33334" s="4" t="s">
        <v>41955</v>
      </c>
      <c r="B33334" s="4" t="s">
        <v>41957</v>
      </c>
      <c r="C33334" s="5" t="str">
        <f>IFERROR(__xludf.DUMMYFUNCTION("GOOGLETRANSLATE(B33334,""en"",""es-ES"")"),"Muchos niños se detienen para hablar con el hombre y los autos que se detienen para hablar.")</f>
        <v>Muchos niños se detienen para hablar con el hombre y los autos que se detienen para hablar.</v>
      </c>
    </row>
    <row r="33335">
      <c r="A33335" s="4" t="s">
        <v>41958</v>
      </c>
      <c r="B33335" s="4" t="s">
        <v>41959</v>
      </c>
      <c r="C33335" s="5" t="str">
        <f>IFERROR(__xludf.DUMMYFUNCTION("GOOGLETRANSLATE(B33335,""en"",""es-ES"")"),"Se ve a un gran grupo de personas jugando un juego de tira y afloja con otras personas caminando.")</f>
        <v>Se ve a un gran grupo de personas jugando un juego de tira y afloja con otras personas caminando.</v>
      </c>
    </row>
    <row r="33336">
      <c r="A33336" s="4" t="s">
        <v>41958</v>
      </c>
      <c r="B33336" s="4" t="s">
        <v>41960</v>
      </c>
      <c r="C33336" s="5" t="str">
        <f>IFERROR(__xludf.DUMMYFUNCTION("GOOGLETRANSLATE(B33336,""en"",""es-ES"")"),"La gente juega atrás y cuarto mientras que otros miran a un lado.")</f>
        <v>La gente juega atrás y cuarto mientras que otros miran a un lado.</v>
      </c>
    </row>
    <row r="33337">
      <c r="A33337" s="4" t="s">
        <v>41958</v>
      </c>
      <c r="B33337" s="4" t="s">
        <v>41961</v>
      </c>
      <c r="C33337" s="5" t="str">
        <f>IFERROR(__xludf.DUMMYFUNCTION("GOOGLETRANSLATE(B33337,""en"",""es-ES"")"),"Luego, un grupo baja a otro y termina alejándose.")</f>
        <v>Luego, un grupo baja a otro y termina alejándose.</v>
      </c>
    </row>
    <row r="33338">
      <c r="A33338" s="4" t="s">
        <v>41962</v>
      </c>
      <c r="B33338" s="4" t="s">
        <v>41963</v>
      </c>
      <c r="C33338" s="5" t="str">
        <f>IFERROR(__xludf.DUMMYFUNCTION("GOOGLETRANSLATE(B33338,""en"",""es-ES"")"),"Un horizonte de la ciudad aparece frente a un gran río.")</f>
        <v>Un horizonte de la ciudad aparece frente a un gran río.</v>
      </c>
    </row>
    <row r="33339">
      <c r="A33339" s="4" t="s">
        <v>41962</v>
      </c>
      <c r="B33339" s="4" t="s">
        <v>41964</v>
      </c>
      <c r="C33339" s="5" t="str">
        <f>IFERROR(__xludf.DUMMYFUNCTION("GOOGLETRANSLATE(B33339,""en"",""es-ES"")"),"Varias empresas se muestran desde el exterior.")</f>
        <v>Varias empresas se muestran desde el exterior.</v>
      </c>
    </row>
    <row r="33340">
      <c r="A33340" s="4" t="s">
        <v>41962</v>
      </c>
      <c r="B33340" s="4" t="s">
        <v>41965</v>
      </c>
      <c r="C33340" s="5" t="str">
        <f>IFERROR(__xludf.DUMMYFUNCTION("GOOGLETRANSLATE(B33340,""en"",""es-ES"")"),"Un partido de esgrima comienza dentro de un edificio.")</f>
        <v>Un partido de esgrima comienza dentro de un edificio.</v>
      </c>
    </row>
    <row r="33341">
      <c r="A33341" s="4" t="s">
        <v>41966</v>
      </c>
      <c r="B33341" s="4" t="s">
        <v>41967</v>
      </c>
      <c r="C33341" s="5" t="str">
        <f>IFERROR(__xludf.DUMMYFUNCTION("GOOGLETRANSLATE(B33341,""en"",""es-ES"")"),"Vemos gente montando autos para el parachoques.")</f>
        <v>Vemos gente montando autos para el parachoques.</v>
      </c>
    </row>
    <row r="33342">
      <c r="A33342" s="4" t="s">
        <v>41966</v>
      </c>
      <c r="B33342" s="4" t="s">
        <v>41968</v>
      </c>
      <c r="C33342" s="5" t="str">
        <f>IFERROR(__xludf.DUMMYFUNCTION("GOOGLETRANSLATE(B33342,""en"",""es-ES"")"),"La cámara se mueve por la fila hacia la derecha.")</f>
        <v>La cámara se mueve por la fila hacia la derecha.</v>
      </c>
    </row>
    <row r="33343">
      <c r="A33343" s="4" t="s">
        <v>41966</v>
      </c>
      <c r="B33343" s="4" t="s">
        <v>41969</v>
      </c>
      <c r="C33343" s="5" t="str">
        <f>IFERROR(__xludf.DUMMYFUNCTION("GOOGLETRANSLATE(B33343,""en"",""es-ES"")"),"La niña de negro se atasca.")</f>
        <v>La niña de negro se atasca.</v>
      </c>
    </row>
    <row r="33344">
      <c r="A33344" s="4" t="s">
        <v>41966</v>
      </c>
      <c r="B33344" s="4" t="s">
        <v>41970</v>
      </c>
      <c r="C33344" s="5" t="str">
        <f>IFERROR(__xludf.DUMMYFUNCTION("GOOGLETRANSLATE(B33344,""en"",""es-ES"")"),"Los autos se detienen.")</f>
        <v>Los autos se detienen.</v>
      </c>
    </row>
    <row r="33345">
      <c r="A33345" s="4" t="s">
        <v>41971</v>
      </c>
      <c r="B33345" s="4" t="s">
        <v>41972</v>
      </c>
      <c r="C33345" s="5" t="str">
        <f>IFERROR(__xludf.DUMMYFUNCTION("GOOGLETRANSLATE(B33345,""en"",""es-ES"")"),"Una mujer baila mientras otra se encuentra en el fondo.")</f>
        <v>Una mujer baila mientras otra se encuentra en el fondo.</v>
      </c>
    </row>
    <row r="33346">
      <c r="A33346" s="4" t="s">
        <v>41971</v>
      </c>
      <c r="B33346" s="4" t="s">
        <v>41973</v>
      </c>
      <c r="C33346" s="5" t="str">
        <f>IFERROR(__xludf.DUMMYFUNCTION("GOOGLETRANSLATE(B33346,""en"",""es-ES"")"),"Una tercera mujer barre el piso.")</f>
        <v>Una tercera mujer barre el piso.</v>
      </c>
    </row>
    <row r="33347">
      <c r="A33347" s="4" t="s">
        <v>41971</v>
      </c>
      <c r="B33347" s="4" t="s">
        <v>41974</v>
      </c>
      <c r="C33347" s="5" t="str">
        <f>IFERROR(__xludf.DUMMYFUNCTION("GOOGLETRANSLATE(B33347,""en"",""es-ES"")"),"La segunda mujer comienza a caminar con una toalla debajo de un pie.")</f>
        <v>La segunda mujer comienza a caminar con una toalla debajo de un pie.</v>
      </c>
    </row>
    <row r="33348">
      <c r="A33348" s="4" t="s">
        <v>41971</v>
      </c>
      <c r="B33348" s="4" t="s">
        <v>41975</v>
      </c>
      <c r="C33348" s="5" t="str">
        <f>IFERROR(__xludf.DUMMYFUNCTION("GOOGLETRANSLATE(B33348,""en"",""es-ES"")"),"La primera mujer deja de bailar y comienza a caminar con una toalla debajo de un pie.")</f>
        <v>La primera mujer deja de bailar y comienza a caminar con una toalla debajo de un pie.</v>
      </c>
    </row>
    <row r="33349">
      <c r="A33349" s="4" t="s">
        <v>41971</v>
      </c>
      <c r="B33349" s="4" t="s">
        <v>41976</v>
      </c>
      <c r="C33349" s="5" t="str">
        <f>IFERROR(__xludf.DUMMYFUNCTION("GOOGLETRANSLATE(B33349,""en"",""es-ES"")"),"La mujer barrida se detiene, salta y saluda antes de reanudar.")</f>
        <v>La mujer barrida se detiene, salta y saluda antes de reanudar.</v>
      </c>
    </row>
    <row r="33350">
      <c r="A33350" s="4" t="s">
        <v>41971</v>
      </c>
      <c r="B33350" s="4" t="s">
        <v>41977</v>
      </c>
      <c r="C33350" s="5" t="str">
        <f>IFERROR(__xludf.DUMMYFUNCTION("GOOGLETRANSLATE(B33350,""en"",""es-ES"")"),"La primera mujer saca artículos de un gabinete y los coloca en el piso.")</f>
        <v>La primera mujer saca artículos de un gabinete y los coloca en el piso.</v>
      </c>
    </row>
    <row r="33351">
      <c r="A33351" s="4" t="s">
        <v>41971</v>
      </c>
      <c r="B33351" s="4" t="s">
        <v>41978</v>
      </c>
      <c r="C33351" s="5" t="str">
        <f>IFERROR(__xludf.DUMMYFUNCTION("GOOGLETRANSLATE(B33351,""en"",""es-ES"")"),"Un cuarto individuo se muestra brevemente en la puerta.")</f>
        <v>Un cuarto individuo se muestra brevemente en la puerta.</v>
      </c>
    </row>
    <row r="33352">
      <c r="A33352" s="4" t="s">
        <v>41979</v>
      </c>
      <c r="B33352" s="4" t="s">
        <v>41980</v>
      </c>
      <c r="C33352" s="5" t="str">
        <f>IFERROR(__xludf.DUMMYFUNCTION("GOOGLETRANSLATE(B33352,""en"",""es-ES"")"),"El piso tiene una ramilla.")</f>
        <v>El piso tiene una ramilla.</v>
      </c>
    </row>
    <row r="33353">
      <c r="A33353" s="4" t="s">
        <v>41979</v>
      </c>
      <c r="B33353" s="4" t="s">
        <v>41981</v>
      </c>
      <c r="C33353" s="5" t="str">
        <f>IFERROR(__xludf.DUMMYFUNCTION("GOOGLETRANSLATE(B33353,""en"",""es-ES"")"),"Alguien está sentado con una vuelta.")</f>
        <v>Alguien está sentado con una vuelta.</v>
      </c>
    </row>
    <row r="33354">
      <c r="A33354" s="4" t="s">
        <v>41979</v>
      </c>
      <c r="B33354" s="4" t="s">
        <v>41982</v>
      </c>
      <c r="C33354" s="5" t="str">
        <f>IFERROR(__xludf.DUMMYFUNCTION("GOOGLETRANSLATE(B33354,""en"",""es-ES"")"),"Hay un basurero en la esquina.")</f>
        <v>Hay un basurero en la esquina.</v>
      </c>
    </row>
    <row r="33355">
      <c r="A33355" s="4" t="s">
        <v>41979</v>
      </c>
      <c r="B33355" s="4" t="s">
        <v>41983</v>
      </c>
      <c r="C33355" s="5" t="str">
        <f>IFERROR(__xludf.DUMMYFUNCTION("GOOGLETRANSLATE(B33355,""en"",""es-ES"")"),"Un niño está jugando a Hopscotch.")</f>
        <v>Un niño está jugando a Hopscotch.</v>
      </c>
    </row>
    <row r="33356">
      <c r="A33356" s="4" t="s">
        <v>41984</v>
      </c>
      <c r="B33356" s="4" t="s">
        <v>41985</v>
      </c>
      <c r="C33356" s="5" t="str">
        <f>IFERROR(__xludf.DUMMYFUNCTION("GOOGLETRANSLATE(B33356,""en"",""es-ES"")"),"Se ve a un pequeño grupo de personas de pie alrededor de un campo cuando una dama golpea una pelota.")</f>
        <v>Se ve a un pequeño grupo de personas de pie alrededor de un campo cuando una dama golpea una pelota.</v>
      </c>
    </row>
    <row r="33357">
      <c r="A33357" s="4" t="s">
        <v>41984</v>
      </c>
      <c r="B33357" s="4" t="s">
        <v>41986</v>
      </c>
      <c r="C33357" s="5" t="str">
        <f>IFERROR(__xludf.DUMMYFUNCTION("GOOGLETRANSLATE(B33357,""en"",""es-ES"")"),"La gente continúa jugando crochet en el césped mientras camina.")</f>
        <v>La gente continúa jugando crochet en el césped mientras camina.</v>
      </c>
    </row>
    <row r="33358">
      <c r="A33358" s="4" t="s">
        <v>41987</v>
      </c>
      <c r="B33358" s="4" t="s">
        <v>41988</v>
      </c>
      <c r="C33358" s="5" t="str">
        <f>IFERROR(__xludf.DUMMYFUNCTION("GOOGLETRANSLATE(B33358,""en"",""es-ES"")"),"La gente camina frente a una cerca blanca.")</f>
        <v>La gente camina frente a una cerca blanca.</v>
      </c>
    </row>
    <row r="33359">
      <c r="A33359" s="4" t="s">
        <v>41987</v>
      </c>
      <c r="B33359" s="4" t="s">
        <v>41989</v>
      </c>
      <c r="C33359" s="5" t="str">
        <f>IFERROR(__xludf.DUMMYFUNCTION("GOOGLETRANSLATE(B33359,""en"",""es-ES"")"),"Detrás de la cerca, un hombre está montando un caballo.")</f>
        <v>Detrás de la cerca, un hombre está montando un caballo.</v>
      </c>
    </row>
    <row r="33360">
      <c r="A33360" s="4" t="s">
        <v>41987</v>
      </c>
      <c r="B33360" s="4" t="s">
        <v>41990</v>
      </c>
      <c r="C33360" s="5" t="str">
        <f>IFERROR(__xludf.DUMMYFUNCTION("GOOGLETRANSLATE(B33360,""en"",""es-ES"")"),"Él tiene un ternero y lo arroja al suelo.")</f>
        <v>Él tiene un ternero y lo arroja al suelo.</v>
      </c>
    </row>
    <row r="33361">
      <c r="A33361" s="4" t="s">
        <v>41987</v>
      </c>
      <c r="B33361" s="4" t="s">
        <v>41991</v>
      </c>
      <c r="C33361" s="5" t="str">
        <f>IFERROR(__xludf.DUMMYFUNCTION("GOOGLETRANSLATE(B33361,""en"",""es-ES"")"),"Él ata las piernas del ternero y se pone de pie.")</f>
        <v>Él ata las piernas del ternero y se pone de pie.</v>
      </c>
    </row>
    <row r="33362">
      <c r="A33362" s="4" t="s">
        <v>41987</v>
      </c>
      <c r="B33362" s="4" t="s">
        <v>41992</v>
      </c>
      <c r="C33362" s="5" t="str">
        <f>IFERROR(__xludf.DUMMYFUNCTION("GOOGLETRANSLATE(B33362,""en"",""es-ES"")"),"Vuelve a su caballo.")</f>
        <v>Vuelve a su caballo.</v>
      </c>
    </row>
    <row r="33363">
      <c r="A33363" s="4" t="s">
        <v>41993</v>
      </c>
      <c r="B33363" s="4" t="s">
        <v>41994</v>
      </c>
      <c r="C33363" s="5" t="str">
        <f>IFERROR(__xludf.DUMMYFUNCTION("GOOGLETRANSLATE(B33363,""en"",""es-ES"")"),"Una persona toca tam-tam usando tres instrumentos.")</f>
        <v>Una persona toca tam-tam usando tres instrumentos.</v>
      </c>
    </row>
    <row r="33364">
      <c r="A33364" s="4" t="s">
        <v>41993</v>
      </c>
      <c r="B33364" s="4" t="s">
        <v>41995</v>
      </c>
      <c r="C33364" s="5" t="str">
        <f>IFERROR(__xludf.DUMMYFUNCTION("GOOGLETRANSLATE(B33364,""en"",""es-ES"")"),"Otro hombre toca la batería con dos palos.")</f>
        <v>Otro hombre toca la batería con dos palos.</v>
      </c>
    </row>
    <row r="33365">
      <c r="A33365" s="4" t="s">
        <v>41996</v>
      </c>
      <c r="B33365" s="4" t="s">
        <v>41997</v>
      </c>
      <c r="C33365" s="5" t="str">
        <f>IFERROR(__xludf.DUMMYFUNCTION("GOOGLETRANSLATE(B33365,""en"",""es-ES"")"),"Un personaje amarillo de dibujos animados se muestra corriendo con toros detrás de él.")</f>
        <v>Un personaje amarillo de dibujos animados se muestra corriendo con toros detrás de él.</v>
      </c>
    </row>
    <row r="33366">
      <c r="A33366" s="4" t="s">
        <v>41996</v>
      </c>
      <c r="B33366" s="4" t="s">
        <v>41998</v>
      </c>
      <c r="C33366" s="5" t="str">
        <f>IFERROR(__xludf.DUMMYFUNCTION("GOOGLETRANSLATE(B33366,""en"",""es-ES"")"),"Luego se muestran varios luchadores de sumo corriendo por una pista.")</f>
        <v>Luego se muestran varios luchadores de sumo corriendo por una pista.</v>
      </c>
    </row>
    <row r="33367">
      <c r="A33367" s="4" t="s">
        <v>41996</v>
      </c>
      <c r="B33367" s="4" t="s">
        <v>41999</v>
      </c>
      <c r="C33367" s="5" t="str">
        <f>IFERROR(__xludf.DUMMYFUNCTION("GOOGLETRANSLATE(B33367,""en"",""es-ES"")"),"Un arma dispara, y vuelven a correr.")</f>
        <v>Un arma dispara, y vuelven a correr.</v>
      </c>
    </row>
    <row r="33368">
      <c r="A33368" s="4" t="s">
        <v>42000</v>
      </c>
      <c r="B33368" s="4" t="s">
        <v>42001</v>
      </c>
      <c r="C33368" s="5" t="str">
        <f>IFERROR(__xludf.DUMMYFUNCTION("GOOGLETRANSLATE(B33368,""en"",""es-ES"")"),"Un hombre sale y comienza a palear la nieve con su pala negra y muchas personas pasan mientras lo hace.")</f>
        <v>Un hombre sale y comienza a palear la nieve con su pala negra y muchas personas pasan mientras lo hace.</v>
      </c>
    </row>
    <row r="33369">
      <c r="A33369" s="4" t="s">
        <v>42000</v>
      </c>
      <c r="B33369" s="4" t="s">
        <v>42002</v>
      </c>
      <c r="C33369" s="5" t="str">
        <f>IFERROR(__xludf.DUMMYFUNCTION("GOOGLETRANSLATE(B33369,""en"",""es-ES"")"),"Al final, la cámara se acerca para mostrar lo que está escrito en la gran pila de nieve.")</f>
        <v>Al final, la cámara se acerca para mostrar lo que está escrito en la gran pila de nieve.</v>
      </c>
    </row>
    <row r="33370">
      <c r="A33370" s="4" t="s">
        <v>42000</v>
      </c>
      <c r="B33370" s="4" t="s">
        <v>42003</v>
      </c>
      <c r="C33370" s="5" t="str">
        <f>IFERROR(__xludf.DUMMYFUNCTION("GOOGLETRANSLATE(B33370,""en"",""es-ES"")"),"Las cartas crean esta frase de vacaciones conocida en el mundo y eso es Feliz Navidad, incluido el año 2013.")</f>
        <v>Las cartas crean esta frase de vacaciones conocida en el mundo y eso es Feliz Navidad, incluido el año 2013.</v>
      </c>
    </row>
    <row r="33371">
      <c r="A33371" s="4" t="s">
        <v>42004</v>
      </c>
      <c r="B33371" s="4" t="s">
        <v>42005</v>
      </c>
      <c r="C33371" s="5" t="str">
        <f>IFERROR(__xludf.DUMMYFUNCTION("GOOGLETRANSLATE(B33371,""en"",""es-ES"")"),"Un hombre se mete en su bicicleta.")</f>
        <v>Un hombre se mete en su bicicleta.</v>
      </c>
    </row>
    <row r="33372">
      <c r="A33372" s="4" t="s">
        <v>42004</v>
      </c>
      <c r="B33372" s="4" t="s">
        <v>42006</v>
      </c>
      <c r="C33372" s="5" t="str">
        <f>IFERROR(__xludf.DUMMYFUNCTION("GOOGLETRANSLATE(B33372,""en"",""es-ES"")"),"El neumático está plano y lo siente.")</f>
        <v>El neumático está plano y lo siente.</v>
      </c>
    </row>
    <row r="33373">
      <c r="A33373" s="4" t="s">
        <v>42004</v>
      </c>
      <c r="B33373" s="4" t="s">
        <v>42007</v>
      </c>
      <c r="C33373" s="5" t="str">
        <f>IFERROR(__xludf.DUMMYFUNCTION("GOOGLETRANSLATE(B33373,""en"",""es-ES"")"),"Él engancha la bomba de aire hasta el neumático.")</f>
        <v>Él engancha la bomba de aire hasta el neumático.</v>
      </c>
    </row>
    <row r="33374">
      <c r="A33374" s="4" t="s">
        <v>42004</v>
      </c>
      <c r="B33374" s="4" t="s">
        <v>42008</v>
      </c>
      <c r="C33374" s="5" t="str">
        <f>IFERROR(__xludf.DUMMYFUNCTION("GOOGLETRANSLATE(B33374,""en"",""es-ES"")"),"Las herramientas están sentadas en una pared de ladrillos.")</f>
        <v>Las herramientas están sentadas en una pared de ladrillos.</v>
      </c>
    </row>
    <row r="33375">
      <c r="A33375" s="4" t="s">
        <v>42004</v>
      </c>
      <c r="B33375" s="4" t="s">
        <v>42009</v>
      </c>
      <c r="C33375" s="5" t="str">
        <f>IFERROR(__xludf.DUMMYFUNCTION("GOOGLETRANSLATE(B33375,""en"",""es-ES"")"),"Él pone la bicicleta al revés para mirar el neumático.")</f>
        <v>Él pone la bicicleta al revés para mirar el neumático.</v>
      </c>
    </row>
    <row r="33376">
      <c r="A33376" s="4" t="s">
        <v>42004</v>
      </c>
      <c r="B33376" s="4" t="s">
        <v>42010</v>
      </c>
      <c r="C33376" s="5" t="str">
        <f>IFERROR(__xludf.DUMMYFUNCTION("GOOGLETRANSLATE(B33376,""en"",""es-ES"")"),"Se quita una tuerca de la rueda para quitarse el neumático.")</f>
        <v>Se quita una tuerca de la rueda para quitarse el neumático.</v>
      </c>
    </row>
    <row r="33377">
      <c r="A33377" s="4" t="s">
        <v>42004</v>
      </c>
      <c r="B33377" s="4" t="s">
        <v>42011</v>
      </c>
      <c r="C33377" s="5" t="str">
        <f>IFERROR(__xludf.DUMMYFUNCTION("GOOGLETRANSLATE(B33377,""en"",""es-ES"")"),"Utiliza una herramienta para sacar el neumático de la rueda.")</f>
        <v>Utiliza una herramienta para sacar el neumático de la rueda.</v>
      </c>
    </row>
    <row r="33378">
      <c r="A33378" s="4" t="s">
        <v>42004</v>
      </c>
      <c r="B33378" s="4" t="s">
        <v>42012</v>
      </c>
      <c r="C33378" s="5" t="str">
        <f>IFERROR(__xludf.DUMMYFUNCTION("GOOGLETRANSLATE(B33378,""en"",""es-ES"")"),"Bombea una bomba y luego la llena con agua.")</f>
        <v>Bombea una bomba y luego la llena con agua.</v>
      </c>
    </row>
    <row r="33379">
      <c r="A33379" s="4" t="s">
        <v>42004</v>
      </c>
      <c r="B33379" s="4" t="s">
        <v>42013</v>
      </c>
      <c r="C33379" s="5" t="str">
        <f>IFERROR(__xludf.DUMMYFUNCTION("GOOGLETRANSLATE(B33379,""en"",""es-ES"")"),"Frota la tiza sobre el neumático y le pone pegamento.")</f>
        <v>Frota la tiza sobre el neumático y le pone pegamento.</v>
      </c>
    </row>
    <row r="33380">
      <c r="A33380" s="4" t="s">
        <v>42004</v>
      </c>
      <c r="B33380" s="4" t="s">
        <v>42014</v>
      </c>
      <c r="C33380" s="5" t="str">
        <f>IFERROR(__xludf.DUMMYFUNCTION("GOOGLETRANSLATE(B33380,""en"",""es-ES"")"),"Él pone el neumático en el volante.")</f>
        <v>Él pone el neumático en el volante.</v>
      </c>
    </row>
    <row r="33381">
      <c r="A33381" s="4" t="s">
        <v>42004</v>
      </c>
      <c r="B33381" s="4" t="s">
        <v>42015</v>
      </c>
      <c r="C33381" s="5" t="str">
        <f>IFERROR(__xludf.DUMMYFUNCTION("GOOGLETRANSLATE(B33381,""en"",""es-ES"")"),"Se pone la bomba de aire y la llena con aire.")</f>
        <v>Se pone la bomba de aire y la llena con aire.</v>
      </c>
    </row>
    <row r="33382">
      <c r="A33382" s="4" t="s">
        <v>42004</v>
      </c>
      <c r="B33382" s="4" t="s">
        <v>42016</v>
      </c>
      <c r="C33382" s="5" t="str">
        <f>IFERROR(__xludf.DUMMYFUNCTION("GOOGLETRANSLATE(B33382,""en"",""es-ES"")"),"Se sube a su bicicleta y se aleja.")</f>
        <v>Se sube a su bicicleta y se aleja.</v>
      </c>
    </row>
    <row r="33383">
      <c r="A33383" s="4" t="s">
        <v>42017</v>
      </c>
      <c r="B33383" s="4" t="s">
        <v>42018</v>
      </c>
      <c r="C33383" s="5" t="str">
        <f>IFERROR(__xludf.DUMMYFUNCTION("GOOGLETRANSLATE(B33383,""en"",""es-ES"")"),"Se ve a una mujer parada detrás de un mostrador hablando con la cámara y apuntando a varios ingredientes.")</f>
        <v>Se ve a una mujer parada detrás de un mostrador hablando con la cámara y apuntando a varios ingredientes.</v>
      </c>
    </row>
    <row r="33384">
      <c r="A33384" s="4" t="s">
        <v>42017</v>
      </c>
      <c r="B33384" s="4" t="s">
        <v>42019</v>
      </c>
      <c r="C33384" s="5" t="str">
        <f>IFERROR(__xludf.DUMMYFUNCTION("GOOGLETRANSLATE(B33384,""en"",""es-ES"")"),"Ella vierte aceite en una sartén caliente y comienza a mezclar ingredientes juntos en la sartén.")</f>
        <v>Ella vierte aceite en una sartén caliente y comienza a mezclar ingredientes juntos en la sartén.</v>
      </c>
    </row>
    <row r="33385">
      <c r="A33385" s="4" t="s">
        <v>42017</v>
      </c>
      <c r="B33385" s="4" t="s">
        <v>42020</v>
      </c>
      <c r="C33385" s="5" t="str">
        <f>IFERROR(__xludf.DUMMYFUNCTION("GOOGLETRANSLATE(B33385,""en"",""es-ES"")"),"Ella hierve fideos en una olla y la mezcla en la sartén y lo sirve en un plato.")</f>
        <v>Ella hierve fideos en una olla y la mezcla en la sartén y lo sirve en un plato.</v>
      </c>
    </row>
    <row r="33386">
      <c r="A33386" s="4" t="s">
        <v>42021</v>
      </c>
      <c r="B33386" s="4" t="s">
        <v>42022</v>
      </c>
      <c r="C33386" s="5" t="str">
        <f>IFERROR(__xludf.DUMMYFUNCTION("GOOGLETRANSLATE(B33386,""en"",""es-ES"")"),"Una niña con un traje de baño de una sola pieza comienza a caminar sobre una tabla de buceo ubicada en una gran área de piscina interior con mucha gente en las gradas.")</f>
        <v>Una niña con un traje de baño de una sola pieza comienza a caminar sobre una tabla de buceo ubicada en una gran área de piscina interior con mucha gente en las gradas.</v>
      </c>
    </row>
    <row r="33387">
      <c r="A33387" s="4" t="s">
        <v>42021</v>
      </c>
      <c r="B33387" s="4" t="s">
        <v>42023</v>
      </c>
      <c r="C33387" s="5" t="str">
        <f>IFERROR(__xludf.DUMMYFUNCTION("GOOGLETRANSLATE(B33387,""en"",""es-ES"")"),"Cuando la niña llega al final del tablero de buceo, salta y luego voltea y gira en la piscina.")</f>
        <v>Cuando la niña llega al final del tablero de buceo, salta y luego voltea y gira en la piscina.</v>
      </c>
    </row>
    <row r="33388">
      <c r="A33388" s="4" t="s">
        <v>42021</v>
      </c>
      <c r="B33388" s="4" t="s">
        <v>42024</v>
      </c>
      <c r="C33388" s="5" t="str">
        <f>IFERROR(__xludf.DUMMYFUNCTION("GOOGLETRANSLATE(B33388,""en"",""es-ES"")"),"Cuando la niña golpea el agua, ella hace una pequeña salpicadura.")</f>
        <v>Cuando la niña golpea el agua, ella hace una pequeña salpicadura.</v>
      </c>
    </row>
    <row r="33389">
      <c r="A33389" s="4" t="s">
        <v>42025</v>
      </c>
      <c r="B33389" s="4" t="s">
        <v>42026</v>
      </c>
      <c r="C33389" s="5" t="str">
        <f>IFERROR(__xludf.DUMMYFUNCTION("GOOGLETRANSLATE(B33389,""en"",""es-ES"")"),"Se ve a un hombre limpiando un baño cuando entra en el marco y conduce a un artículo de noticias.")</f>
        <v>Se ve a un hombre limpiando un baño cuando entra en el marco y conduce a un artículo de noticias.</v>
      </c>
    </row>
    <row r="33390">
      <c r="A33390" s="4" t="s">
        <v>42025</v>
      </c>
      <c r="B33390" s="4" t="s">
        <v>42027</v>
      </c>
      <c r="C33390" s="5" t="str">
        <f>IFERROR(__xludf.DUMMYFUNCTION("GOOGLETRANSLATE(B33390,""en"",""es-ES"")"),"Se muestra una imagen de un letrero seguida de una persona que se lavó las manos y los clips de los programas de televisión.")</f>
        <v>Se muestra una imagen de un letrero seguida de una persona que se lavó las manos y los clips de los programas de televisión.</v>
      </c>
    </row>
    <row r="33391">
      <c r="A33391" s="4" t="s">
        <v>42025</v>
      </c>
      <c r="B33391" s="4" t="s">
        <v>42028</v>
      </c>
      <c r="C33391" s="5" t="str">
        <f>IFERROR(__xludf.DUMMYFUNCTION("GOOGLETRANSLATE(B33391,""en"",""es-ES"")"),"Se muestran más artículos y terminan con personas que caminan en un metro.")</f>
        <v>Se muestran más artículos y terminan con personas que caminan en un metro.</v>
      </c>
    </row>
    <row r="33392">
      <c r="A33392" s="4" t="s">
        <v>42029</v>
      </c>
      <c r="B33392" s="4" t="s">
        <v>42030</v>
      </c>
      <c r="C33392" s="5" t="str">
        <f>IFERROR(__xludf.DUMMYFUNCTION("GOOGLETRANSLATE(B33392,""en"",""es-ES"")"),"Una visión borrosa muestra a dos personas en un gimnasio con un golpe y patear a los otros guantes.")</f>
        <v>Una visión borrosa muestra a dos personas en un gimnasio con un golpe y patear a los otros guantes.</v>
      </c>
    </row>
    <row r="33393">
      <c r="A33393" s="4" t="s">
        <v>42029</v>
      </c>
      <c r="B33393" s="4" t="s">
        <v>42031</v>
      </c>
      <c r="C33393" s="5" t="str">
        <f>IFERROR(__xludf.DUMMYFUNCTION("GOOGLETRANSLATE(B33393,""en"",""es-ES"")"),"Los dos continúan moviéndose por el gimnasio practicando sus patadas y golpes.")</f>
        <v>Los dos continúan moviéndose por el gimnasio practicando sus patadas y golpes.</v>
      </c>
    </row>
    <row r="33394">
      <c r="A33394" s="4" t="s">
        <v>42032</v>
      </c>
      <c r="B33394" s="4" t="s">
        <v>42033</v>
      </c>
      <c r="C33394" s="5" t="str">
        <f>IFERROR(__xludf.DUMMYFUNCTION("GOOGLETRANSLATE(B33394,""en"",""es-ES"")"),"Hay un auto de carreras de color negro y rojo en un estacionamiento.")</f>
        <v>Hay un auto de carreras de color negro y rojo en un estacionamiento.</v>
      </c>
    </row>
    <row r="33395">
      <c r="A33395" s="4" t="s">
        <v>42032</v>
      </c>
      <c r="B33395" s="4" t="s">
        <v>42034</v>
      </c>
      <c r="C33395" s="5" t="str">
        <f>IFERROR(__xludf.DUMMYFUNCTION("GOOGLETRANSLATE(B33395,""en"",""es-ES"")"),"Un hombre con pantalones cortos de color beige comienza a limpiar el auto de carreras negras con un paño y un spray.")</f>
        <v>Un hombre con pantalones cortos de color beige comienza a limpiar el auto de carreras negras con un paño y un spray.</v>
      </c>
    </row>
    <row r="33396">
      <c r="A33396" s="4" t="s">
        <v>42032</v>
      </c>
      <c r="B33396" s="4" t="s">
        <v>42035</v>
      </c>
      <c r="C33396" s="5" t="str">
        <f>IFERROR(__xludf.DUMMYFUNCTION("GOOGLETRANSLATE(B33396,""en"",""es-ES"")"),"Él limpia el auto para que sea brillante y limpio.")</f>
        <v>Él limpia el auto para que sea brillante y limpio.</v>
      </c>
    </row>
    <row r="33397">
      <c r="A33397" s="4" t="s">
        <v>42032</v>
      </c>
      <c r="B33397" s="4" t="s">
        <v>42036</v>
      </c>
      <c r="C33397" s="5" t="str">
        <f>IFERROR(__xludf.DUMMYFUNCTION("GOOGLETRANSLATE(B33397,""en"",""es-ES"")"),"Ambos autos están estacionados en el estacionamiento, luciendo limpios y brillantes después de un lavado de autos.")</f>
        <v>Ambos autos están estacionados en el estacionamiento, luciendo limpios y brillantes después de un lavado de autos.</v>
      </c>
    </row>
    <row r="33398">
      <c r="A33398" s="4" t="s">
        <v>42032</v>
      </c>
      <c r="B33398" s="4" t="s">
        <v>42037</v>
      </c>
      <c r="C33398" s="5" t="str">
        <f>IFERROR(__xludf.DUMMYFUNCTION("GOOGLETRANSLATE(B33398,""en"",""es-ES"")"),"Información sobre el trabajo manual, el lavado de autos sin agua móvil se muestra en la pantalla.")</f>
        <v>Información sobre el trabajo manual, el lavado de autos sin agua móvil se muestra en la pantalla.</v>
      </c>
    </row>
    <row r="33399">
      <c r="A33399" s="4" t="s">
        <v>42038</v>
      </c>
      <c r="B33399" s="4" t="s">
        <v>42039</v>
      </c>
      <c r="C33399" s="5" t="str">
        <f>IFERROR(__xludf.DUMMYFUNCTION("GOOGLETRANSLATE(B33399,""en"",""es-ES"")"),"Se ve a un pequeño grupo de personas de pie alrededor de un gran caballo en un granero lleno de heno.")</f>
        <v>Se ve a un pequeño grupo de personas de pie alrededor de un gran caballo en un granero lleno de heno.</v>
      </c>
    </row>
    <row r="33400">
      <c r="A33400" s="4" t="s">
        <v>42038</v>
      </c>
      <c r="B33400" s="4" t="s">
        <v>42040</v>
      </c>
      <c r="C33400" s="5" t="str">
        <f>IFERROR(__xludf.DUMMYFUNCTION("GOOGLETRANSLATE(B33400,""en"",""es-ES"")"),"La gente cepilla el caballo a lo largo de los lados cuando una mujer regresa para hablar con ellos.")</f>
        <v>La gente cepilla el caballo a lo largo de los lados cuando una mujer regresa para hablar con ellos.</v>
      </c>
    </row>
    <row r="33401">
      <c r="A33401" s="4" t="s">
        <v>42041</v>
      </c>
      <c r="B33401" s="4" t="s">
        <v>42042</v>
      </c>
      <c r="C33401" s="5" t="str">
        <f>IFERROR(__xludf.DUMMYFUNCTION("GOOGLETRANSLATE(B33401,""en"",""es-ES"")"),"Se ve a un hombre montando una bicicleta en cámara lenta con una bandera en la parte posterior y conduce a varios clips de personas de todas las edades en bicicleta.")</f>
        <v>Se ve a un hombre montando una bicicleta en cámara lenta con una bandera en la parte posterior y conduce a varios clips de personas de todas las edades en bicicleta.</v>
      </c>
    </row>
    <row r="33402">
      <c r="A33402" s="4" t="s">
        <v>42041</v>
      </c>
      <c r="B33402" s="4" t="s">
        <v>42043</v>
      </c>
      <c r="C33402" s="5" t="str">
        <f>IFERROR(__xludf.DUMMYFUNCTION("GOOGLETRANSLATE(B33402,""en"",""es-ES"")"),"Las personas que continúan viajando por la cancha de tierra mientras otros están listos en sus bicicletas e interactúan entre sí.")</f>
        <v>Las personas que continúan viajando por la cancha de tierra mientras otros están listos en sus bicicletas e interactúan entre sí.</v>
      </c>
    </row>
    <row r="33403">
      <c r="A33403" s="4" t="s">
        <v>42044</v>
      </c>
      <c r="B33403" s="4" t="s">
        <v>42045</v>
      </c>
      <c r="C33403" s="5" t="str">
        <f>IFERROR(__xludf.DUMMYFUNCTION("GOOGLETRANSLATE(B33403,""en"",""es-ES"")"),"Se muestra una palanca de pegamento en una mesa.")</f>
        <v>Se muestra una palanca de pegamento en una mesa.</v>
      </c>
    </row>
    <row r="33404">
      <c r="A33404" s="4" t="s">
        <v>42044</v>
      </c>
      <c r="B33404" s="4" t="s">
        <v>42046</v>
      </c>
      <c r="C33404" s="5" t="str">
        <f>IFERROR(__xludf.DUMMYFUNCTION("GOOGLETRANSLATE(B33404,""en"",""es-ES"")"),"Un par de tijeras está en una mesa.")</f>
        <v>Un par de tijeras está en una mesa.</v>
      </c>
    </row>
    <row r="33405">
      <c r="A33405" s="4" t="s">
        <v>42044</v>
      </c>
      <c r="B33405" s="4" t="s">
        <v>42047</v>
      </c>
      <c r="C33405" s="5" t="str">
        <f>IFERROR(__xludf.DUMMYFUNCTION("GOOGLETRANSLATE(B33405,""en"",""es-ES"")"),"Una persona se mete en una computadora e imprime algo.")</f>
        <v>Una persona se mete en una computadora e imprime algo.</v>
      </c>
    </row>
    <row r="33406">
      <c r="A33406" s="4" t="s">
        <v>42044</v>
      </c>
      <c r="B33406" s="4" t="s">
        <v>42048</v>
      </c>
      <c r="C33406" s="5" t="str">
        <f>IFERROR(__xludf.DUMMYFUNCTION("GOOGLETRANSLATE(B33406,""en"",""es-ES"")"),"Lo pegan a su puerta.")</f>
        <v>Lo pegan a su puerta.</v>
      </c>
    </row>
    <row r="33407">
      <c r="A33407" s="4" t="s">
        <v>42049</v>
      </c>
      <c r="B33407" s="4" t="s">
        <v>41967</v>
      </c>
      <c r="C33407" s="5" t="str">
        <f>IFERROR(__xludf.DUMMYFUNCTION("GOOGLETRANSLATE(B33407,""en"",""es-ES"")"),"Vemos gente montando autos para el parachoques.")</f>
        <v>Vemos gente montando autos para el parachoques.</v>
      </c>
    </row>
    <row r="33408">
      <c r="A33408" s="4" t="s">
        <v>42049</v>
      </c>
      <c r="B33408" s="4" t="s">
        <v>42050</v>
      </c>
      <c r="C33408" s="5" t="str">
        <f>IFERROR(__xludf.DUMMYFUNCTION("GOOGLETRANSLATE(B33408,""en"",""es-ES"")"),"Un hombre está en el auto con un niño pequeño.")</f>
        <v>Un hombre está en el auto con un niño pequeño.</v>
      </c>
    </row>
    <row r="33409">
      <c r="A33409" s="4" t="s">
        <v>42049</v>
      </c>
      <c r="B33409" s="4" t="s">
        <v>42051</v>
      </c>
      <c r="C33409" s="5" t="str">
        <f>IFERROR(__xludf.DUMMYFUNCTION("GOOGLETRANSLATE(B33409,""en"",""es-ES"")"),"Vemos un auto naranja en la pantalla seguido de un auto dorado.")</f>
        <v>Vemos un auto naranja en la pantalla seguido de un auto dorado.</v>
      </c>
    </row>
    <row r="33410">
      <c r="A33410" s="4" t="s">
        <v>42052</v>
      </c>
      <c r="B33410" s="4" t="s">
        <v>42053</v>
      </c>
      <c r="C33410" s="5" t="str">
        <f>IFERROR(__xludf.DUMMYFUNCTION("GOOGLETRANSLATE(B33410,""en"",""es-ES"")"),"El hombre está en un balanceo.")</f>
        <v>El hombre está en un balanceo.</v>
      </c>
    </row>
    <row r="33411">
      <c r="A33411" s="4" t="s">
        <v>42052</v>
      </c>
      <c r="B33411" s="4" t="s">
        <v>42054</v>
      </c>
      <c r="C33411" s="5" t="str">
        <f>IFERROR(__xludf.DUMMYFUNCTION("GOOGLETRANSLATE(B33411,""en"",""es-ES"")"),"El hombre da el gran salto en el aire y aterriza en bicicleta y estadística montándolo.")</f>
        <v>El hombre da el gran salto en el aire y aterriza en bicicleta y estadística montándolo.</v>
      </c>
    </row>
    <row r="33412">
      <c r="A33412" s="4" t="s">
        <v>42052</v>
      </c>
      <c r="B33412" s="4" t="s">
        <v>42055</v>
      </c>
      <c r="C33412" s="5" t="str">
        <f>IFERROR(__xludf.DUMMYFUNCTION("GOOGLETRANSLATE(B33412,""en"",""es-ES"")"),"Los hombres se colocan en un patio verde cubierto de hierba.")</f>
        <v>Los hombres se colocan en un patio verde cubierto de hierba.</v>
      </c>
    </row>
    <row r="33413">
      <c r="A33413" s="4" t="s">
        <v>42056</v>
      </c>
      <c r="B33413" s="4" t="s">
        <v>42057</v>
      </c>
      <c r="C33413" s="5" t="str">
        <f>IFERROR(__xludf.DUMMYFUNCTION("GOOGLETRANSLATE(B33413,""en"",""es-ES"")"),"Un hombre con una chaqueta roja y pantalones grises camina por una línea floja en el medio de las montañas.")</f>
        <v>Un hombre con una chaqueta roja y pantalones grises camina por una línea floja en el medio de las montañas.</v>
      </c>
    </row>
    <row r="33414">
      <c r="A33414" s="4" t="s">
        <v>42056</v>
      </c>
      <c r="B33414" s="4" t="s">
        <v>42058</v>
      </c>
      <c r="C33414" s="5" t="str">
        <f>IFERROR(__xludf.DUMMYFUNCTION("GOOGLETRANSLATE(B33414,""en"",""es-ES"")"),"Mientras intenta una cuerda apretada, se cae y nunca puede ponerse de pie.")</f>
        <v>Mientras intenta una cuerda apretada, se cae y nunca puede ponerse de pie.</v>
      </c>
    </row>
    <row r="33415">
      <c r="A33415" s="4" t="s">
        <v>42056</v>
      </c>
      <c r="B33415" s="4" t="s">
        <v>42059</v>
      </c>
      <c r="C33415" s="5" t="str">
        <f>IFERROR(__xludf.DUMMYFUNCTION("GOOGLETRANSLATE(B33415,""en"",""es-ES"")"),"Aunque no puede levantarse, se aferra y comienza a rebotar hacia arriba y hacia abajo.")</f>
        <v>Aunque no puede levantarse, se aferra y comienza a rebotar hacia arriba y hacia abajo.</v>
      </c>
    </row>
    <row r="33416">
      <c r="A33416" s="4" t="s">
        <v>42060</v>
      </c>
      <c r="B33416" s="4" t="s">
        <v>42061</v>
      </c>
      <c r="C33416" s="5" t="str">
        <f>IFERROR(__xludf.DUMMYFUNCTION("GOOGLETRANSLATE(B33416,""en"",""es-ES"")"),"El hombre camina en un patio trasero. El árbol sostiene una escoba y barre las hojas secas en el piso.")</f>
        <v>El hombre camina en un patio trasero. El árbol sostiene una escoba y barre las hojas secas en el piso.</v>
      </c>
    </row>
    <row r="33417">
      <c r="A33417" s="4" t="s">
        <v>42060</v>
      </c>
      <c r="B33417" s="4" t="s">
        <v>42062</v>
      </c>
      <c r="C33417" s="5" t="str">
        <f>IFERROR(__xludf.DUMMYFUNCTION("GOOGLETRANSLATE(B33417,""en"",""es-ES"")"),"El hombre va por un plato de polvo y una bolsa y recoge las hojas del piso.")</f>
        <v>El hombre va por un plato de polvo y una bolsa y recoge las hojas del piso.</v>
      </c>
    </row>
    <row r="33418">
      <c r="A33418" s="4" t="s">
        <v>42063</v>
      </c>
      <c r="B33418" s="4" t="s">
        <v>42064</v>
      </c>
      <c r="C33418" s="5" t="str">
        <f>IFERROR(__xludf.DUMMYFUNCTION("GOOGLETRANSLATE(B33418,""en"",""es-ES"")"),"Un hombre está configurando cámaras e iluminación en el fondo para una sesión de video.")</f>
        <v>Un hombre está configurando cámaras e iluminación en el fondo para una sesión de video.</v>
      </c>
    </row>
    <row r="33419">
      <c r="A33419" s="4" t="s">
        <v>42063</v>
      </c>
      <c r="B33419" s="4" t="s">
        <v>42065</v>
      </c>
      <c r="C33419" s="5" t="str">
        <f>IFERROR(__xludf.DUMMYFUNCTION("GOOGLETRANSLATE(B33419,""en"",""es-ES"")"),"Un hombre está en una máquina de pie y usa solo sus brazos y pies para moverse sobre ella.")</f>
        <v>Un hombre está en una máquina de pie y usa solo sus brazos y pies para moverse sobre ella.</v>
      </c>
    </row>
    <row r="33420">
      <c r="A33420" s="4" t="s">
        <v>42063</v>
      </c>
      <c r="B33420" s="4" t="s">
        <v>42066</v>
      </c>
      <c r="C33420" s="5" t="str">
        <f>IFERROR(__xludf.DUMMYFUNCTION("GOOGLETRANSLATE(B33420,""en"",""es-ES"")"),"Luego, una mujer se pone en él tomando el lugar de los hombres y ella usa la máquina.")</f>
        <v>Luego, una mujer se pone en él tomando el lugar de los hombres y ella usa la máquina.</v>
      </c>
    </row>
    <row r="33421">
      <c r="A33421" s="4" t="s">
        <v>42063</v>
      </c>
      <c r="B33421" s="4" t="s">
        <v>42067</v>
      </c>
      <c r="C33421" s="5" t="str">
        <f>IFERROR(__xludf.DUMMYFUNCTION("GOOGLETRANSLATE(B33421,""en"",""es-ES"")"),"Están creando un anuncio comercial para los espectadores de televisión.")</f>
        <v>Están creando un anuncio comercial para los espectadores de televisión.</v>
      </c>
    </row>
    <row r="33422">
      <c r="A33422" s="4" t="s">
        <v>42068</v>
      </c>
      <c r="B33422" s="4" t="s">
        <v>42069</v>
      </c>
      <c r="C33422" s="5" t="str">
        <f>IFERROR(__xludf.DUMMYFUNCTION("GOOGLETRANSLATE(B33422,""en"",""es-ES"")"),"Man está hablando con la cámara en un estudio de noticias y sart hablando con un hombre que forma parte de una banda.")</f>
        <v>Man está hablando con la cámara en un estudio de noticias y sart hablando con un hombre que forma parte de una banda.</v>
      </c>
    </row>
    <row r="33423">
      <c r="A33423" s="4" t="s">
        <v>42068</v>
      </c>
      <c r="B33423" s="4" t="s">
        <v>42070</v>
      </c>
      <c r="C33423" s="5" t="str">
        <f>IFERROR(__xludf.DUMMYFUNCTION("GOOGLETRANSLATE(B33423,""en"",""es-ES"")"),"La banda está en un escenario, los hombres están tocando la batería.")</f>
        <v>La banda está en un escenario, los hombres están tocando la batería.</v>
      </c>
    </row>
    <row r="33424">
      <c r="A33424" s="4" t="s">
        <v>42068</v>
      </c>
      <c r="B33424" s="4" t="s">
        <v>42071</v>
      </c>
      <c r="C33424" s="5" t="str">
        <f>IFERROR(__xludf.DUMMYFUNCTION("GOOGLETRANSLATE(B33424,""en"",""es-ES"")"),"Man está nuevamente en News Studio con la banda y el hombre comienzan a colocar la batería.")</f>
        <v>Man está nuevamente en News Studio con la banda y el hombre comienzan a colocar la batería.</v>
      </c>
    </row>
    <row r="33425">
      <c r="A33425" s="4" t="s">
        <v>42072</v>
      </c>
      <c r="B33425" s="4" t="s">
        <v>42073</v>
      </c>
      <c r="C33425" s="5" t="str">
        <f>IFERROR(__xludf.DUMMYFUNCTION("GOOGLETRANSLATE(B33425,""en"",""es-ES"")"),"Vemos gente montando en autos de parachoques.")</f>
        <v>Vemos gente montando en autos de parachoques.</v>
      </c>
    </row>
    <row r="33426">
      <c r="A33426" s="4" t="s">
        <v>42072</v>
      </c>
      <c r="B33426" s="4" t="s">
        <v>42074</v>
      </c>
      <c r="C33426" s="5" t="str">
        <f>IFERROR(__xludf.DUMMYFUNCTION("GOOGLETRANSLATE(B33426,""en"",""es-ES"")"),"Una niña está agitando el juguete con volantes.")</f>
        <v>Una niña está agitando el juguete con volantes.</v>
      </c>
    </row>
    <row r="33427">
      <c r="A33427" s="4" t="s">
        <v>42072</v>
      </c>
      <c r="B33427" s="4" t="s">
        <v>42075</v>
      </c>
      <c r="C33427" s="5" t="str">
        <f>IFERROR(__xludf.DUMMYFUNCTION("GOOGLETRANSLATE(B33427,""en"",""es-ES"")"),"Un niño pequeño con gris sonríe y la cámara.")</f>
        <v>Un niño pequeño con gris sonríe y la cámara.</v>
      </c>
    </row>
    <row r="33428">
      <c r="A33428" s="4" t="s">
        <v>42072</v>
      </c>
      <c r="B33428" s="4" t="s">
        <v>42076</v>
      </c>
      <c r="C33428" s="5" t="str">
        <f>IFERROR(__xludf.DUMMYFUNCTION("GOOGLETRANSLATE(B33428,""en"",""es-ES"")"),"Vemos a un hombre con un sombrero rojo con un niño riendo duro.")</f>
        <v>Vemos a un hombre con un sombrero rojo con un niño riendo duro.</v>
      </c>
    </row>
    <row r="33429">
      <c r="A33429" s="4" t="s">
        <v>42072</v>
      </c>
      <c r="B33429" s="4" t="s">
        <v>42077</v>
      </c>
      <c r="C33429" s="5" t="str">
        <f>IFERROR(__xludf.DUMMYFUNCTION("GOOGLETRANSLATE(B33429,""en"",""es-ES"")"),"Vemos un atasco de tráfico a la derecha.")</f>
        <v>Vemos un atasco de tráfico a la derecha.</v>
      </c>
    </row>
    <row r="33430">
      <c r="A33430" s="4" t="s">
        <v>42072</v>
      </c>
      <c r="B33430" s="4" t="s">
        <v>42078</v>
      </c>
      <c r="C33430" s="5" t="str">
        <f>IFERROR(__xludf.DUMMYFUNCTION("GOOGLETRANSLATE(B33430,""en"",""es-ES"")"),"Nos acercamos a una dama con una camisa blanca.")</f>
        <v>Nos acercamos a una dama con una camisa blanca.</v>
      </c>
    </row>
    <row r="33431">
      <c r="A33431" s="4" t="s">
        <v>42072</v>
      </c>
      <c r="B33431" s="4" t="s">
        <v>42079</v>
      </c>
      <c r="C33431" s="5" t="str">
        <f>IFERROR(__xludf.DUMMYFUNCTION("GOOGLETRANSLATE(B33431,""en"",""es-ES"")"),"La dama de blanco sonríe a la cámara.")</f>
        <v>La dama de blanco sonríe a la cámara.</v>
      </c>
    </row>
    <row r="33432">
      <c r="A33432" s="4" t="s">
        <v>42072</v>
      </c>
      <c r="B33432" s="4" t="s">
        <v>42080</v>
      </c>
      <c r="C33432" s="5" t="str">
        <f>IFERROR(__xludf.DUMMYFUNCTION("GOOGLETRANSLATE(B33432,""en"",""es-ES"")"),"El viaje termina y la gente se pone de pie.")</f>
        <v>El viaje termina y la gente se pone de pie.</v>
      </c>
    </row>
    <row r="33433">
      <c r="A33433" s="4" t="s">
        <v>42081</v>
      </c>
      <c r="B33433" s="4" t="s">
        <v>42082</v>
      </c>
      <c r="C33433" s="5" t="str">
        <f>IFERROR(__xludf.DUMMYFUNCTION("GOOGLETRANSLATE(B33433,""en"",""es-ES"")"),"Un hombre con un uniforme atlético comienza a balancear una pelota y una cuerda alrededor.")</f>
        <v>Un hombre con un uniforme atlético comienza a balancear una pelota y una cuerda alrededor.</v>
      </c>
    </row>
    <row r="33434">
      <c r="A33434" s="4" t="s">
        <v>42081</v>
      </c>
      <c r="B33434" s="4" t="s">
        <v>42083</v>
      </c>
      <c r="C33434" s="5" t="str">
        <f>IFERROR(__xludf.DUMMYFUNCTION("GOOGLETRANSLATE(B33434,""en"",""es-ES"")"),"Él suelta y la pelota golpea la pantalla mientras cae al suelo.")</f>
        <v>Él suelta y la pelota golpea la pantalla mientras cae al suelo.</v>
      </c>
    </row>
    <row r="33435">
      <c r="A33435" s="4" t="s">
        <v>42081</v>
      </c>
      <c r="B33435" s="4" t="s">
        <v>42084</v>
      </c>
      <c r="C33435" s="5" t="str">
        <f>IFERROR(__xludf.DUMMYFUNCTION("GOOGLETRANSLATE(B33435,""en"",""es-ES"")"),"El video se reproduce a varias velocidades.")</f>
        <v>El video se reproduce a varias velocidades.</v>
      </c>
    </row>
    <row r="33436">
      <c r="A33436" s="4" t="s">
        <v>42085</v>
      </c>
      <c r="B33436" s="4" t="s">
        <v>42086</v>
      </c>
      <c r="C33436" s="5" t="str">
        <f>IFERROR(__xludf.DUMMYFUNCTION("GOOGLETRANSLATE(B33436,""en"",""es-ES"")"),"Se ve a un niño pequeño sentado en un columpio cuando un hombre mayor da un paso detrás de él y empuja.")</f>
        <v>Se ve a un niño pequeño sentado en un columpio cuando un hombre mayor da un paso detrás de él y empuja.</v>
      </c>
    </row>
    <row r="33437">
      <c r="A33437" s="4" t="s">
        <v>42085</v>
      </c>
      <c r="B33437" s="4" t="s">
        <v>42087</v>
      </c>
      <c r="C33437" s="5" t="str">
        <f>IFERROR(__xludf.DUMMYFUNCTION("GOOGLETRANSLATE(B33437,""en"",""es-ES"")"),"El niño se mueve hacia atrás y el cuarto en el columpio y lleva al niño saltando y el hombre se ve sorprendido.")</f>
        <v>El niño se mueve hacia atrás y el cuarto en el columpio y lleva al niño saltando y el hombre se ve sorprendido.</v>
      </c>
    </row>
    <row r="33438">
      <c r="A33438" s="4" t="s">
        <v>42088</v>
      </c>
      <c r="B33438" s="4" t="s">
        <v>42089</v>
      </c>
      <c r="C33438" s="5" t="str">
        <f>IFERROR(__xludf.DUMMYFUNCTION("GOOGLETRANSLATE(B33438,""en"",""es-ES"")"),"Vemos a un hombre y la escena de introducción.")</f>
        <v>Vemos a un hombre y la escena de introducción.</v>
      </c>
    </row>
    <row r="33439">
      <c r="A33439" s="4" t="s">
        <v>42088</v>
      </c>
      <c r="B33439" s="4" t="s">
        <v>42090</v>
      </c>
      <c r="C33439" s="5" t="str">
        <f>IFERROR(__xludf.DUMMYFUNCTION("GOOGLETRANSLATE(B33439,""en"",""es-ES"")"),"Un hombre en una cocina tiene cuchillos y un bloque de afilado.")</f>
        <v>Un hombre en una cocina tiene cuchillos y un bloque de afilado.</v>
      </c>
    </row>
    <row r="33440">
      <c r="A33440" s="4" t="s">
        <v>42088</v>
      </c>
      <c r="B33440" s="4" t="s">
        <v>42091</v>
      </c>
      <c r="C33440" s="5" t="str">
        <f>IFERROR(__xludf.DUMMYFUNCTION("GOOGLETRANSLATE(B33440,""en"",""es-ES"")"),"El hombre hará el bloque y corre un cuchillo en dos bloques diferentes.")</f>
        <v>El hombre hará el bloque y corre un cuchillo en dos bloques diferentes.</v>
      </c>
    </row>
    <row r="33441">
      <c r="A33441" s="4" t="s">
        <v>42088</v>
      </c>
      <c r="B33441" s="4" t="s">
        <v>42092</v>
      </c>
      <c r="C33441" s="5" t="str">
        <f>IFERROR(__xludf.DUMMYFUNCTION("GOOGLETRANSLATE(B33441,""en"",""es-ES"")"),"El hombre agarra un poste y agudiza el cuchillo.")</f>
        <v>El hombre agarra un poste y agudiza el cuchillo.</v>
      </c>
    </row>
    <row r="33442">
      <c r="A33442" s="4" t="s">
        <v>42088</v>
      </c>
      <c r="B33442" s="4" t="s">
        <v>42093</v>
      </c>
      <c r="C33442" s="5" t="str">
        <f>IFERROR(__xludf.DUMMYFUNCTION("GOOGLETRANSLATE(B33442,""en"",""es-ES"")"),"El hombre limpia el cuchillo en una toalla.")</f>
        <v>El hombre limpia el cuchillo en una toalla.</v>
      </c>
    </row>
    <row r="33443">
      <c r="A33443" s="4" t="s">
        <v>42088</v>
      </c>
      <c r="B33443" s="4" t="s">
        <v>42094</v>
      </c>
      <c r="C33443" s="5" t="str">
        <f>IFERROR(__xludf.DUMMYFUNCTION("GOOGLETRANSLATE(B33443,""en"",""es-ES"")"),"El hombre agarra y elimina un limón.")</f>
        <v>El hombre agarra y elimina un limón.</v>
      </c>
    </row>
    <row r="33444">
      <c r="A33444" s="4" t="s">
        <v>42088</v>
      </c>
      <c r="B33444" s="4" t="s">
        <v>42095</v>
      </c>
      <c r="C33444" s="5" t="str">
        <f>IFERROR(__xludf.DUMMYFUNCTION("GOOGLETRANSLATE(B33444,""en"",""es-ES"")"),"El hombre nos muestra una olla al revés.")</f>
        <v>El hombre nos muestra una olla al revés.</v>
      </c>
    </row>
    <row r="33445">
      <c r="A33445" s="4" t="s">
        <v>42096</v>
      </c>
      <c r="B33445" s="4" t="s">
        <v>42097</v>
      </c>
      <c r="C33445" s="5" t="str">
        <f>IFERROR(__xludf.DUMMYFUNCTION("GOOGLETRANSLATE(B33445,""en"",""es-ES"")"),"El equipo de porristas sale para una actuación.")</f>
        <v>El equipo de porristas sale para una actuación.</v>
      </c>
    </row>
    <row r="33446">
      <c r="A33446" s="4" t="s">
        <v>42096</v>
      </c>
      <c r="B33446" s="4" t="s">
        <v>42098</v>
      </c>
      <c r="C33446" s="5" t="str">
        <f>IFERROR(__xludf.DUMMYFUNCTION("GOOGLETRANSLATE(B33446,""en"",""es-ES"")"),"Una niña intenta múltiples volteos y pega el aterrizaje.")</f>
        <v>Una niña intenta múltiples volteos y pega el aterrizaje.</v>
      </c>
    </row>
    <row r="33447">
      <c r="A33447" s="4" t="s">
        <v>42096</v>
      </c>
      <c r="B33447" s="4" t="s">
        <v>42099</v>
      </c>
      <c r="C33447" s="5" t="str">
        <f>IFERROR(__xludf.DUMMYFUNCTION("GOOGLETRANSLATE(B33447,""en"",""es-ES"")"),"Otra chicas sigue su ejemplo mientras el equipo trabaja duro en el fondo.")</f>
        <v>Otra chicas sigue su ejemplo mientras el equipo trabaja duro en el fondo.</v>
      </c>
    </row>
    <row r="33448">
      <c r="A33448" s="4" t="s">
        <v>42096</v>
      </c>
      <c r="B33448" s="4" t="s">
        <v>42100</v>
      </c>
      <c r="C33448" s="5" t="str">
        <f>IFERROR(__xludf.DUMMYFUNCTION("GOOGLETRANSLATE(B33448,""en"",""es-ES"")"),"El equipo muestra algunos movimientos de baile a continuación y la multitud aplaude.")</f>
        <v>El equipo muestra algunos movimientos de baile a continuación y la multitud aplaude.</v>
      </c>
    </row>
    <row r="33449">
      <c r="A33449" s="4" t="s">
        <v>42096</v>
      </c>
      <c r="B33449" s="4" t="s">
        <v>42101</v>
      </c>
      <c r="C33449" s="5" t="str">
        <f>IFERROR(__xludf.DUMMYFUNCTION("GOOGLETRANSLATE(B33449,""en"",""es-ES"")"),"Después de más, el equipo, el equipo posa y celebra a medida que termina la rutina.")</f>
        <v>Después de más, el equipo, el equipo posa y celebra a medida que termina la rutina.</v>
      </c>
    </row>
    <row r="33450">
      <c r="A33450" s="4" t="s">
        <v>42096</v>
      </c>
      <c r="B33450" s="4" t="s">
        <v>42102</v>
      </c>
      <c r="C33450" s="5" t="str">
        <f>IFERROR(__xludf.DUMMYFUNCTION("GOOGLETRANSLATE(B33450,""en"",""es-ES"")"),"Varios miembros se abrazan y hablan.")</f>
        <v>Varios miembros se abrazan y hablan.</v>
      </c>
    </row>
    <row r="33451">
      <c r="A33451" s="4" t="s">
        <v>42096</v>
      </c>
      <c r="B33451" s="4" t="s">
        <v>42103</v>
      </c>
      <c r="C33451" s="5" t="str">
        <f>IFERROR(__xludf.DUMMYFUNCTION("GOOGLETRANSLATE(B33451,""en"",""es-ES"")"),"Los jueces presentan sus puntajes y el equipo anticipa los resultados.")</f>
        <v>Los jueces presentan sus puntajes y el equipo anticipa los resultados.</v>
      </c>
    </row>
    <row r="33452">
      <c r="A33452" s="4" t="s">
        <v>42096</v>
      </c>
      <c r="B33452" s="4" t="s">
        <v>42104</v>
      </c>
      <c r="C33452" s="5" t="str">
        <f>IFERROR(__xludf.DUMMYFUNCTION("GOOGLETRANSLATE(B33452,""en"",""es-ES"")"),"El equipo es coronado como los ganadores de la competencia.")</f>
        <v>El equipo es coronado como los ganadores de la competencia.</v>
      </c>
    </row>
    <row r="33453">
      <c r="A33453" s="4" t="s">
        <v>42105</v>
      </c>
      <c r="B33453" s="4" t="s">
        <v>42106</v>
      </c>
      <c r="C33453" s="5" t="str">
        <f>IFERROR(__xludf.DUMMYFUNCTION("GOOGLETRANSLATE(B33453,""en"",""es-ES"")"),"Algunas mujeres están nadando en una piscina.")</f>
        <v>Algunas mujeres están nadando en una piscina.</v>
      </c>
    </row>
    <row r="33454">
      <c r="A33454" s="4" t="s">
        <v>42105</v>
      </c>
      <c r="B33454" s="4" t="s">
        <v>42107</v>
      </c>
      <c r="C33454" s="5" t="str">
        <f>IFERROR(__xludf.DUMMYFUNCTION("GOOGLETRANSLATE(B33454,""en"",""es-ES"")"),"Tienen bebés en sus brazos mientras nadan.")</f>
        <v>Tienen bebés en sus brazos mientras nadan.</v>
      </c>
    </row>
    <row r="33455">
      <c r="A33455" s="4" t="s">
        <v>42105</v>
      </c>
      <c r="B33455" s="4" t="s">
        <v>42108</v>
      </c>
      <c r="C33455" s="5" t="str">
        <f>IFERROR(__xludf.DUMMYFUNCTION("GOOGLETRANSLATE(B33455,""en"",""es-ES"")"),"Están enseñando a los bebés a pasar bajo el agua y contener la respiración.")</f>
        <v>Están enseñando a los bebés a pasar bajo el agua y contener la respiración.</v>
      </c>
    </row>
    <row r="33456">
      <c r="A33456" s="4" t="s">
        <v>42109</v>
      </c>
      <c r="B33456" s="4" t="s">
        <v>42110</v>
      </c>
      <c r="C33456" s="5" t="str">
        <f>IFERROR(__xludf.DUMMYFUNCTION("GOOGLETRANSLATE(B33456,""en"",""es-ES"")"),"Dos hombres muy altos en esmoquin están bailando fuera de una tienda.")</f>
        <v>Dos hombres muy altos en esmoquin están bailando fuera de una tienda.</v>
      </c>
    </row>
    <row r="33457">
      <c r="A33457" s="4" t="s">
        <v>42109</v>
      </c>
      <c r="B33457" s="4" t="s">
        <v>42111</v>
      </c>
      <c r="C33457" s="5" t="str">
        <f>IFERROR(__xludf.DUMMYFUNCTION("GOOGLETRANSLATE(B33457,""en"",""es-ES"")"),"La gente está de pie mirándolos hacer su baile.")</f>
        <v>La gente está de pie mirándolos hacer su baile.</v>
      </c>
    </row>
    <row r="33458">
      <c r="A33458" s="4" t="s">
        <v>42109</v>
      </c>
      <c r="B33458" s="4" t="s">
        <v>42112</v>
      </c>
      <c r="C33458" s="5" t="str">
        <f>IFERROR(__xludf.DUMMYFUNCTION("GOOGLETRANSLATE(B33458,""en"",""es-ES"")"),"Uno de los hombres saca el pie mientras el otro lo gira en círculos.")</f>
        <v>Uno de los hombres saca el pie mientras el otro lo gira en círculos.</v>
      </c>
    </row>
    <row r="33459">
      <c r="A33459" s="4" t="s">
        <v>42109</v>
      </c>
      <c r="B33459" s="4" t="s">
        <v>42113</v>
      </c>
      <c r="C33459" s="5" t="str">
        <f>IFERROR(__xludf.DUMMYFUNCTION("GOOGLETRANSLATE(B33459,""en"",""es-ES"")"),"Cuando el baile finalmente pasa sobre ambos hombres, se dan la mano y salen a la multitud.")</f>
        <v>Cuando el baile finalmente pasa sobre ambos hombres, se dan la mano y salen a la multitud.</v>
      </c>
    </row>
    <row r="33460">
      <c r="A33460" s="4" t="s">
        <v>42114</v>
      </c>
      <c r="B33460" s="4" t="s">
        <v>42115</v>
      </c>
      <c r="C33460" s="5" t="str">
        <f>IFERROR(__xludf.DUMMYFUNCTION("GOOGLETRANSLATE(B33460,""en"",""es-ES"")"),"Se ve a un hombre haciendo flips en un piso suave mientras se mueve en cámara lenta.")</f>
        <v>Se ve a un hombre haciendo flips en un piso suave mientras se mueve en cámara lenta.</v>
      </c>
    </row>
    <row r="33461">
      <c r="A33461" s="4" t="s">
        <v>42114</v>
      </c>
      <c r="B33461" s="4" t="s">
        <v>42116</v>
      </c>
      <c r="C33461" s="5" t="str">
        <f>IFERROR(__xludf.DUMMYFUNCTION("GOOGLETRANSLATE(B33461,""en"",""es-ES"")"),"El hombre continúa realizando varios trucos en el piso y termina con una secuencia de título en la pantalla.")</f>
        <v>El hombre continúa realizando varios trucos en el piso y termina con una secuencia de título en la pantalla.</v>
      </c>
    </row>
    <row r="33462">
      <c r="A33462" s="4" t="s">
        <v>42117</v>
      </c>
      <c r="B33462" s="4" t="s">
        <v>42118</v>
      </c>
      <c r="C33462" s="5" t="str">
        <f>IFERROR(__xludf.DUMMYFUNCTION("GOOGLETRANSLATE(B33462,""en"",""es-ES"")"),"Se ve a dos personas sentadas detrás de un mostrador cuando uno retrocede y cuarto y se prepara.")</f>
        <v>Se ve a dos personas sentadas detrás de un mostrador cuando uno retrocede y cuarto y se prepara.</v>
      </c>
    </row>
    <row r="33463">
      <c r="A33463" s="4" t="s">
        <v>42117</v>
      </c>
      <c r="B33463" s="4" t="s">
        <v>42119</v>
      </c>
      <c r="C33463" s="5" t="str">
        <f>IFERROR(__xludf.DUMMYFUNCTION("GOOGLETRANSLATE(B33463,""en"",""es-ES"")"),"Luego, el hombre resuelve un cubo de Rubix mientras va un temporizador y se te ocurre los ojos sobre los ojos y una persona pone papel al frente.")</f>
        <v>Luego, el hombre resuelve un cubo de Rubix mientras va un temporizador y se te ocurre los ojos sobre los ojos y una persona pone papel al frente.</v>
      </c>
    </row>
    <row r="33464">
      <c r="A33464" s="4" t="s">
        <v>42117</v>
      </c>
      <c r="B33464" s="4" t="s">
        <v>42120</v>
      </c>
      <c r="C33464" s="5" t="str">
        <f>IFERROR(__xludf.DUMMYFUNCTION("GOOGLETRANSLATE(B33464,""en"",""es-ES"")"),"Él resuelve el Sube y luego golpea sus manos sobre la mesa.")</f>
        <v>Él resuelve el Sube y luego golpea sus manos sobre la mesa.</v>
      </c>
    </row>
    <row r="33465">
      <c r="A33465" s="4" t="s">
        <v>42121</v>
      </c>
      <c r="B33465" s="4" t="s">
        <v>42122</v>
      </c>
      <c r="C33465" s="5" t="str">
        <f>IFERROR(__xludf.DUMMYFUNCTION("GOOGLETRANSLATE(B33465,""en"",""es-ES"")"),"Este es un tutorial sobre cómo comenzar una fogata.")</f>
        <v>Este es un tutorial sobre cómo comenzar una fogata.</v>
      </c>
    </row>
    <row r="33466">
      <c r="A33466" s="4" t="s">
        <v>42121</v>
      </c>
      <c r="B33466" s="4" t="s">
        <v>42123</v>
      </c>
      <c r="C33466" s="5" t="str">
        <f>IFERROR(__xludf.DUMMYFUNCTION("GOOGLETRANSLATE(B33466,""en"",""es-ES"")"),"Muestra la fogata ardiendo en el suelo.")</f>
        <v>Muestra la fogata ardiendo en el suelo.</v>
      </c>
    </row>
    <row r="33467">
      <c r="A33467" s="4" t="s">
        <v>42121</v>
      </c>
      <c r="B33467" s="4" t="s">
        <v>42124</v>
      </c>
      <c r="C33467" s="5" t="str">
        <f>IFERROR(__xludf.DUMMYFUNCTION("GOOGLETRANSLATE(B33467,""en"",""es-ES"")"),"Comienza con las cosas con las que necesitarás para empezar.")</f>
        <v>Comienza con las cosas con las que necesitarás para empezar.</v>
      </c>
    </row>
    <row r="33468">
      <c r="A33468" s="4" t="s">
        <v>42121</v>
      </c>
      <c r="B33468" s="4" t="s">
        <v>42125</v>
      </c>
      <c r="C33468" s="5" t="str">
        <f>IFERROR(__xludf.DUMMYFUNCTION("GOOGLETRANSLATE(B33468,""en"",""es-ES"")"),"Un lugar designado y algunas rocas dispuestas en un círculo para crear un pozo.")</f>
        <v>Un lugar designado y algunas rocas dispuestas en un círculo para crear un pozo.</v>
      </c>
    </row>
    <row r="33469">
      <c r="A33469" s="4" t="s">
        <v>42121</v>
      </c>
      <c r="B33469" s="4" t="s">
        <v>42126</v>
      </c>
      <c r="C33469" s="5" t="str">
        <f>IFERROR(__xludf.DUMMYFUNCTION("GOOGLETRANSLATE(B33469,""en"",""es-ES"")"),"Algunos periódicos arrugados y un encendedor junto con un cubo de agua.")</f>
        <v>Algunos periódicos arrugados y un encendedor junto con un cubo de agua.</v>
      </c>
    </row>
    <row r="33470">
      <c r="A33470" s="4" t="s">
        <v>42121</v>
      </c>
      <c r="B33470" s="4" t="s">
        <v>42127</v>
      </c>
      <c r="C33470" s="5" t="str">
        <f>IFERROR(__xludf.DUMMYFUNCTION("GOOGLETRANSLATE(B33470,""en"",""es-ES"")"),"Un hombre comienza a demostrar cómo colocar el periódico y las ramitas encima de eso.")</f>
        <v>Un hombre comienza a demostrar cómo colocar el periódico y las ramitas encima de eso.</v>
      </c>
    </row>
    <row r="33471">
      <c r="A33471" s="4" t="s">
        <v>42121</v>
      </c>
      <c r="B33471" s="4" t="s">
        <v>42128</v>
      </c>
      <c r="C33471" s="5" t="str">
        <f>IFERROR(__xludf.DUMMYFUNCTION("GOOGLETRANSLATE(B33471,""en"",""es-ES"")"),"Luego crea una estructura en forma de pirámide.")</f>
        <v>Luego crea una estructura en forma de pirámide.</v>
      </c>
    </row>
    <row r="33472">
      <c r="A33472" s="4" t="s">
        <v>42121</v>
      </c>
      <c r="B33472" s="4" t="s">
        <v>42129</v>
      </c>
      <c r="C33472" s="5" t="str">
        <f>IFERROR(__xludf.DUMMYFUNCTION("GOOGLETRANSLATE(B33472,""en"",""es-ES"")"),"Se lleva el encendedor y enciende el periódico en varios lugares para comenzar el fuego.")</f>
        <v>Se lleva el encendedor y enciende el periódico en varios lugares para comenzar el fuego.</v>
      </c>
    </row>
    <row r="33473">
      <c r="A33473" s="4" t="s">
        <v>42121</v>
      </c>
      <c r="B33473" s="4" t="s">
        <v>42130</v>
      </c>
      <c r="C33473" s="5" t="str">
        <f>IFERROR(__xludf.DUMMYFUNCTION("GOOGLETRANSLATE(B33473,""en"",""es-ES"")"),"La hoguera comienza a arder y continúa ardiendo.")</f>
        <v>La hoguera comienza a arder y continúa ardiendo.</v>
      </c>
    </row>
    <row r="33474">
      <c r="A33474" s="4" t="s">
        <v>42121</v>
      </c>
      <c r="B33474" s="4" t="s">
        <v>42131</v>
      </c>
      <c r="C33474" s="5" t="str">
        <f>IFERROR(__xludf.DUMMYFUNCTION("GOOGLETRANSLATE(B33474,""en"",""es-ES"")"),"Agrega algunas ramitas más para mantener las llamas encendidas.")</f>
        <v>Agrega algunas ramitas más para mantener las llamas encendidas.</v>
      </c>
    </row>
    <row r="33475">
      <c r="A33475" s="4" t="s">
        <v>42132</v>
      </c>
      <c r="B33475" s="4" t="s">
        <v>42133</v>
      </c>
      <c r="C33475" s="5" t="str">
        <f>IFERROR(__xludf.DUMMYFUNCTION("GOOGLETRANSLATE(B33475,""en"",""es-ES"")"),"Primero, todas las personas se muestran sentadas en sus autos en una larga fila.")</f>
        <v>Primero, todas las personas se muestran sentadas en sus autos en una larga fila.</v>
      </c>
    </row>
    <row r="33476">
      <c r="A33476" s="4" t="s">
        <v>42132</v>
      </c>
      <c r="B33476" s="4" t="s">
        <v>42134</v>
      </c>
      <c r="C33476" s="5" t="str">
        <f>IFERROR(__xludf.DUMMYFUNCTION("GOOGLETRANSLATE(B33476,""en"",""es-ES"")"),"Luego, los autos se encienden y pueden ser conducidos.")</f>
        <v>Luego, los autos se encienden y pueden ser conducidos.</v>
      </c>
    </row>
    <row r="33477">
      <c r="A33477" s="4" t="s">
        <v>42132</v>
      </c>
      <c r="B33477" s="4" t="s">
        <v>42135</v>
      </c>
      <c r="C33477" s="5" t="str">
        <f>IFERROR(__xludf.DUMMYFUNCTION("GOOGLETRANSLATE(B33477,""en"",""es-ES"")"),"Después de que la gente termina de conducir, todos salen de los autos.")</f>
        <v>Después de que la gente termina de conducir, todos salen de los autos.</v>
      </c>
    </row>
    <row r="33478">
      <c r="A33478" s="4" t="s">
        <v>42136</v>
      </c>
      <c r="B33478" s="4" t="s">
        <v>42137</v>
      </c>
      <c r="C33478" s="5" t="str">
        <f>IFERROR(__xludf.DUMMYFUNCTION("GOOGLETRANSLATE(B33478,""en"",""es-ES"")"),"Un hombre mayor con una cola de caballo larga y un par de vasos se arrodillan cerca de una bicicleta.")</f>
        <v>Un hombre mayor con una cola de caballo larga y un par de vasos se arrodillan cerca de una bicicleta.</v>
      </c>
    </row>
    <row r="33479">
      <c r="A33479" s="4" t="s">
        <v>42136</v>
      </c>
      <c r="B33479" s="4" t="s">
        <v>42138</v>
      </c>
      <c r="C33479" s="5" t="str">
        <f>IFERROR(__xludf.DUMMYFUNCTION("GOOGLETRANSLATE(B33479,""en"",""es-ES"")"),"El hombre tiene un par de alicates azules en la mano y comienza a arreglar la cadena en la bicicleta.")</f>
        <v>El hombre tiene un par de alicates azules en la mano y comienza a arreglar la cadena en la bicicleta.</v>
      </c>
    </row>
    <row r="33480">
      <c r="A33480" s="4" t="s">
        <v>42136</v>
      </c>
      <c r="B33480" s="4" t="s">
        <v>42139</v>
      </c>
      <c r="C33480" s="5" t="str">
        <f>IFERROR(__xludf.DUMMYFUNCTION("GOOGLETRANSLATE(B33480,""en"",""es-ES"")"),"Una vez que la cadena está encendida, comienza a mover el pedal y demuestra cómo funciona la cadena.")</f>
        <v>Una vez que la cadena está encendida, comienza a mover el pedal y demuestra cómo funciona la cadena.</v>
      </c>
    </row>
    <row r="33481">
      <c r="A33481" s="4" t="s">
        <v>42136</v>
      </c>
      <c r="B33481" s="4" t="s">
        <v>42140</v>
      </c>
      <c r="C33481" s="5" t="str">
        <f>IFERROR(__xludf.DUMMYFUNCTION("GOOGLETRANSLATE(B33481,""en"",""es-ES"")"),"Después de un tiempo, detiene la cadena y comienza a sacar dos enlaces de la cadena en la bicicleta.")</f>
        <v>Después de un tiempo, detiene la cadena y comienza a sacar dos enlaces de la cadena en la bicicleta.</v>
      </c>
    </row>
    <row r="33482">
      <c r="A33482" s="4" t="s">
        <v>42136</v>
      </c>
      <c r="B33482" s="4" t="s">
        <v>42141</v>
      </c>
      <c r="C33482" s="5" t="str">
        <f>IFERROR(__xludf.DUMMYFUNCTION("GOOGLETRANSLATE(B33482,""en"",""es-ES"")"),"Cuando la cadena comienza a colgar, el hombre lo vuelve a colocar en el lugar correcto y comienza a girar la rueda trasera y comienza a hablar cuando termina.")</f>
        <v>Cuando la cadena comienza a colgar, el hombre lo vuelve a colocar en el lugar correcto y comienza a girar la rueda trasera y comienza a hablar cuando termina.</v>
      </c>
    </row>
    <row r="33483">
      <c r="A33483" s="4" t="s">
        <v>42142</v>
      </c>
      <c r="B33483" s="4" t="s">
        <v>42143</v>
      </c>
      <c r="C33483" s="5" t="str">
        <f>IFERROR(__xludf.DUMMYFUNCTION("GOOGLETRANSLATE(B33483,""en"",""es-ES"")"),"El video conduce a varios tiros de personas que arrojan impresionantes tiros de bolas que aterrizan en tazas.")</f>
        <v>El video conduce a varios tiros de personas que arrojan impresionantes tiros de bolas que aterrizan en tazas.</v>
      </c>
    </row>
    <row r="33484">
      <c r="A33484" s="4" t="s">
        <v>42142</v>
      </c>
      <c r="B33484" s="4" t="s">
        <v>42144</v>
      </c>
      <c r="C33484" s="5" t="str">
        <f>IFERROR(__xludf.DUMMYFUNCTION("GOOGLETRANSLATE(B33484,""en"",""es-ES"")"),"Se muestra a varias personas arrojando bolas en una taza y la cámara que muestra un primer plano.")</f>
        <v>Se muestra a varias personas arrojando bolas en una taza y la cámara que muestra un primer plano.</v>
      </c>
    </row>
    <row r="33485">
      <c r="A33485" s="4" t="s">
        <v>42145</v>
      </c>
      <c r="B33485" s="4" t="s">
        <v>42146</v>
      </c>
      <c r="C33485" s="5" t="str">
        <f>IFERROR(__xludf.DUMMYFUNCTION("GOOGLETRANSLATE(B33485,""en"",""es-ES"")"),"El joven habla con la cámara frente a la batería en un estudio.")</f>
        <v>El joven habla con la cámara frente a la batería en un estudio.</v>
      </c>
    </row>
    <row r="33486">
      <c r="A33486" s="4" t="s">
        <v>42145</v>
      </c>
      <c r="B33486" s="4" t="s">
        <v>42147</v>
      </c>
      <c r="C33486" s="5" t="str">
        <f>IFERROR(__xludf.DUMMYFUNCTION("GOOGLETRANSLATE(B33486,""en"",""es-ES"")"),"El joven toca en la batería y los platillos, mientras hablan de manera intermitente con la cámara.")</f>
        <v>El joven toca en la batería y los platillos, mientras hablan de manera intermitente con la cámara.</v>
      </c>
    </row>
    <row r="33487">
      <c r="A33487" s="4" t="s">
        <v>42145</v>
      </c>
      <c r="B33487" s="4" t="s">
        <v>42148</v>
      </c>
      <c r="C33487" s="5" t="str">
        <f>IFERROR(__xludf.DUMMYFUNCTION("GOOGLETRANSLATE(B33487,""en"",""es-ES"")"),"El niño termina grabando su sesión de batería y regresa a la cámara.")</f>
        <v>El niño termina grabando su sesión de batería y regresa a la cámara.</v>
      </c>
    </row>
    <row r="33488">
      <c r="A33488" s="4" t="s">
        <v>42149</v>
      </c>
      <c r="B33488" s="4" t="s">
        <v>42150</v>
      </c>
      <c r="C33488" s="5" t="str">
        <f>IFERROR(__xludf.DUMMYFUNCTION("GOOGLETRANSLATE(B33488,""en"",""es-ES"")"),"Una mujer está en un camino de entrada, haciendo trucos y acrobacias mientras salta la cuerda.")</f>
        <v>Una mujer está en un camino de entrada, haciendo trucos y acrobacias mientras salta la cuerda.</v>
      </c>
    </row>
    <row r="33489">
      <c r="A33489" s="4" t="s">
        <v>42149</v>
      </c>
      <c r="B33489" s="4" t="s">
        <v>42151</v>
      </c>
      <c r="C33489" s="5" t="str">
        <f>IFERROR(__xludf.DUMMYFUNCTION("GOOGLETRANSLATE(B33489,""en"",""es-ES"")"),"Ella aumenta la velocidad, luego se detiene cuando un hombre se acerca a ella para discutir su técnica.")</f>
        <v>Ella aumenta la velocidad, luego se detiene cuando un hombre se acerca a ella para discutir su técnica.</v>
      </c>
    </row>
    <row r="33490">
      <c r="A33490" s="4" t="s">
        <v>42149</v>
      </c>
      <c r="B33490" s="4" t="s">
        <v>42152</v>
      </c>
      <c r="C33490" s="5" t="str">
        <f>IFERROR(__xludf.DUMMYFUNCTION("GOOGLETRANSLATE(B33490,""en"",""es-ES"")"),"Luego vuelve a demostrar cómo saltar la cuerda y los diversos nombres de los movimientos.")</f>
        <v>Luego vuelve a demostrar cómo saltar la cuerda y los diversos nombres de los movimientos.</v>
      </c>
    </row>
    <row r="33491">
      <c r="A33491" s="4" t="s">
        <v>42153</v>
      </c>
      <c r="B33491" s="4" t="s">
        <v>42154</v>
      </c>
      <c r="C33491" s="5" t="str">
        <f>IFERROR(__xludf.DUMMYFUNCTION("GOOGLETRANSLATE(B33491,""en"",""es-ES"")"),"Una vista desde el interior muestra una buena vista del océano y luego se mueve a un hombre en las rodillas en el suelo mientras grita algunas azulejos y las palabras blancas en la pantalla dicen ""Instalar azulejos con ditra"".")</f>
        <v>Una vista desde el interior muestra una buena vista del océano y luego se mueve a un hombre en las rodillas en el suelo mientras grita algunas azulejos y las palabras blancas en la pantalla dicen "Instalar azulejos con ditra".</v>
      </c>
    </row>
    <row r="33492">
      <c r="A33492" s="4" t="s">
        <v>42153</v>
      </c>
      <c r="B33492" s="4" t="s">
        <v>42155</v>
      </c>
      <c r="C33492" s="5" t="str">
        <f>IFERROR(__xludf.DUMMYFUNCTION("GOOGLETRANSLATE(B33492,""en"",""es-ES"")"),"Luego se muestra al hombre colocando espaciadores entre fichas y medición.")</f>
        <v>Luego se muestra al hombre colocando espaciadores entre fichas y medición.</v>
      </c>
    </row>
    <row r="33493">
      <c r="A33493" s="4" t="s">
        <v>42153</v>
      </c>
      <c r="B33493" s="4" t="s">
        <v>42156</v>
      </c>
      <c r="C33493" s="5" t="str">
        <f>IFERROR(__xludf.DUMMYFUNCTION("GOOGLETRANSLATE(B33493,""en"",""es-ES"")"),"El hombre luego va a otra parte de la habitación con un cubo blanco y un paño de naranja y está limpiando las tablas de madera.")</f>
        <v>El hombre luego va a otra parte de la habitación con un cubo blanco y un paño de naranja y está limpiando las tablas de madera.</v>
      </c>
    </row>
    <row r="33494">
      <c r="A33494" s="4" t="s">
        <v>42153</v>
      </c>
      <c r="B33494" s="4" t="s">
        <v>42157</v>
      </c>
      <c r="C33494" s="5" t="str">
        <f>IFERROR(__xludf.DUMMYFUNCTION("GOOGLETRANSLATE(B33494,""en"",""es-ES"")"),"Luego se muestra al hombre vertiendo polvo en un cubo blanco grande, vertiendo agua y luego mezclando el contenido con un taladro de mano.")</f>
        <v>Luego se muestra al hombre vertiendo polvo en un cubo blanco grande, vertiendo agua y luego mezclando el contenido con un taladro de mano.</v>
      </c>
    </row>
    <row r="33495">
      <c r="A33495" s="4" t="s">
        <v>42153</v>
      </c>
      <c r="B33495" s="4" t="s">
        <v>42158</v>
      </c>
      <c r="C33495" s="5" t="str">
        <f>IFERROR(__xludf.DUMMYFUNCTION("GOOGLETRANSLATE(B33495,""en"",""es-ES"")"),"El hombre está en una esquina de la habitación y está aplicando la mezcla en las tablas del piso y luego pone un material naranja.")</f>
        <v>El hombre está en una esquina de la habitación y está aplicando la mezcla en las tablas del piso y luego pone un material naranja.</v>
      </c>
    </row>
    <row r="33496">
      <c r="A33496" s="4" t="s">
        <v>42153</v>
      </c>
      <c r="B33496" s="4" t="s">
        <v>42159</v>
      </c>
      <c r="C33496" s="5" t="str">
        <f>IFERROR(__xludf.DUMMYFUNCTION("GOOGLETRANSLATE(B33496,""en"",""es-ES"")"),"Luego se muestra al hombre cortando las baldosas con un cortador manual de mano mientras otro hombre lo está ayudando sosteniéndolo, el hombre que sostiene la baldosa se lo lleva y lo arena.")</f>
        <v>Luego se muestra al hombre cortando las baldosas con un cortador manual de mano mientras otro hombre lo está ayudando sosteniéndolo, el hombre que sostiene la baldosa se lo lleva y lo arena.</v>
      </c>
    </row>
    <row r="33497">
      <c r="A33497" s="4" t="s">
        <v>42153</v>
      </c>
      <c r="B33497" s="4" t="s">
        <v>42160</v>
      </c>
      <c r="C33497" s="5" t="str">
        <f>IFERROR(__xludf.DUMMYFUNCTION("GOOGLETRANSLATE(B33497,""en"",""es-ES"")"),"El hombre se muestra una vez más en sus manos y rodillas y aplica masilla en el suelo o el mosaico, bajando los mosaicos, agregando espaciadores y luego mide que todo es incluso con un nivelador circular blanco.")</f>
        <v>El hombre se muestra una vez más en sus manos y rodillas y aplica masilla en el suelo o el mosaico, bajando los mosaicos, agregando espaciadores y luego mide que todo es incluso con un nivelador circular blanco.</v>
      </c>
    </row>
    <row r="33498">
      <c r="A33498" s="4" t="s">
        <v>42153</v>
      </c>
      <c r="B33498" s="4" t="s">
        <v>42161</v>
      </c>
      <c r="C33498" s="5" t="str">
        <f>IFERROR(__xludf.DUMMYFUNCTION("GOOGLETRANSLATE(B33498,""en"",""es-ES"")"),"Se muestra una vista baja de las baldosas y un hombre está gritando, limpiando las baldosas y se muestran varias vistas de la habitación de mosaicos.")</f>
        <v>Se muestra una vista baja de las baldosas y un hombre está gritando, limpiando las baldosas y se muestran varias vistas de la habitación de mosaicos.</v>
      </c>
    </row>
    <row r="33499">
      <c r="A33499" s="4" t="s">
        <v>42162</v>
      </c>
      <c r="B33499" s="4" t="s">
        <v>42163</v>
      </c>
      <c r="C33499" s="5" t="str">
        <f>IFERROR(__xludf.DUMMYFUNCTION("GOOGLETRANSLATE(B33499,""en"",""es-ES"")"),"Se ve a una mujer sentada al final de una cama quitándose los zapatos y luego los pies del bebé caminando.")</f>
        <v>Se ve a una mujer sentada al final de una cama quitándose los zapatos y luego los pies del bebé caminando.</v>
      </c>
    </row>
    <row r="33500">
      <c r="A33500" s="4" t="s">
        <v>42162</v>
      </c>
      <c r="B33500" s="4" t="s">
        <v>42164</v>
      </c>
      <c r="C33500" s="5" t="str">
        <f>IFERROR(__xludf.DUMMYFUNCTION("GOOGLETRANSLATE(B33500,""en"",""es-ES"")"),"Se muestran tomas de muebles que conducen a una mujer que habla, seguidas de varias personas aspirando y pisando la alfombra.")</f>
        <v>Se muestran tomas de muebles que conducen a una mujer que habla, seguidas de varias personas aspirando y pisando la alfombra.</v>
      </c>
    </row>
    <row r="33501">
      <c r="A33501" s="4" t="s">
        <v>42162</v>
      </c>
      <c r="B33501" s="4" t="s">
        <v>42165</v>
      </c>
      <c r="C33501" s="5" t="str">
        <f>IFERROR(__xludf.DUMMYFUNCTION("GOOGLETRANSLATE(B33501,""en"",""es-ES"")"),"Una persona ajusta el vacío y continúa usándolo mientras la mujer habla, y conduce a un hombre que juega con un bebé.")</f>
        <v>Una persona ajusta el vacío y continúa usándolo mientras la mujer habla, y conduce a un hombre que juega con un bebé.</v>
      </c>
    </row>
    <row r="33502">
      <c r="A33502" s="4" t="s">
        <v>42166</v>
      </c>
      <c r="B33502" s="4" t="s">
        <v>42167</v>
      </c>
      <c r="C33502" s="5" t="str">
        <f>IFERROR(__xludf.DUMMYFUNCTION("GOOGLETRANSLATE(B33502,""en"",""es-ES"")"),"Se ve una cámara GoPro y luego aparece otra pantalla que muestra que la cámara ha ganado premios.")</f>
        <v>Se ve una cámara GoPro y luego aparece otra pantalla que muestra que la cámara ha ganado premios.</v>
      </c>
    </row>
    <row r="33503">
      <c r="A33503" s="4" t="s">
        <v>42166</v>
      </c>
      <c r="B33503" s="4" t="s">
        <v>42168</v>
      </c>
      <c r="C33503" s="5" t="str">
        <f>IFERROR(__xludf.DUMMYFUNCTION("GOOGLETRANSLATE(B33503,""en"",""es-ES"")"),"Una cámara está montada en el casco de un esquiador de agua y después de que se pone en posición de un hombre en un caballo por un estanque que lo tire para dar un paseo.")</f>
        <v>Una cámara está montada en el casco de un esquiador de agua y después de que se pone en posición de un hombre en un caballo por un estanque que lo tire para dar un paseo.</v>
      </c>
    </row>
    <row r="33504">
      <c r="A33504" s="4" t="s">
        <v>42166</v>
      </c>
      <c r="B33504" s="4" t="s">
        <v>42169</v>
      </c>
      <c r="C33504" s="5" t="str">
        <f>IFERROR(__xludf.DUMMYFUNCTION("GOOGLETRANSLATE(B33504,""en"",""es-ES"")"),"Cerca de Land, suelta y cae al agua, mientras celebra y señala al hombre del caballo mientras pasa un perro.")</f>
        <v>Cerca de Land, suelta y cae al agua, mientras celebra y señala al hombre del caballo mientras pasa un perro.</v>
      </c>
    </row>
    <row r="33505">
      <c r="A33505" s="4" t="s">
        <v>42166</v>
      </c>
      <c r="B33505" s="4" t="s">
        <v>42170</v>
      </c>
      <c r="C33505" s="5" t="str">
        <f>IFERROR(__xludf.DUMMYFUNCTION("GOOGLETRANSLATE(B33505,""en"",""es-ES"")"),"Aparece una pantalla pidiendo enviar imágenes a los premios GoPro.")</f>
        <v>Aparece una pantalla pidiendo enviar imágenes a los premios GoPro.</v>
      </c>
    </row>
    <row r="33506">
      <c r="A33506" s="4" t="s">
        <v>42171</v>
      </c>
      <c r="B33506" s="4" t="s">
        <v>42172</v>
      </c>
      <c r="C33506" s="5" t="str">
        <f>IFERROR(__xludf.DUMMYFUNCTION("GOOGLETRANSLATE(B33506,""en"",""es-ES"")"),"Vemos a un hombre cometa surfeando.")</f>
        <v>Vemos a un hombre cometa surfeando.</v>
      </c>
    </row>
    <row r="33507">
      <c r="A33507" s="4" t="s">
        <v>42171</v>
      </c>
      <c r="B33507" s="4" t="s">
        <v>42173</v>
      </c>
      <c r="C33507" s="5" t="str">
        <f>IFERROR(__xludf.DUMMYFUNCTION("GOOGLETRANSLATE(B33507,""en"",""es-ES"")"),"Pasamos a una persona en la playa.")</f>
        <v>Pasamos a una persona en la playa.</v>
      </c>
    </row>
    <row r="33508">
      <c r="A33508" s="4" t="s">
        <v>42171</v>
      </c>
      <c r="B33508" s="4" t="s">
        <v>42174</v>
      </c>
      <c r="C33508" s="5" t="str">
        <f>IFERROR(__xludf.DUMMYFUNCTION("GOOGLETRANSLATE(B33508,""en"",""es-ES"")"),"El jinete cae en el agua.")</f>
        <v>El jinete cae en el agua.</v>
      </c>
    </row>
    <row r="33509">
      <c r="A33509" s="4" t="s">
        <v>42171</v>
      </c>
      <c r="B33509" s="4" t="s">
        <v>42175</v>
      </c>
      <c r="C33509" s="5" t="str">
        <f>IFERROR(__xludf.DUMMYFUNCTION("GOOGLETRANSLATE(B33509,""en"",""es-ES"")"),"Golpes de agua y cubre la lente de la cámara.")</f>
        <v>Golpes de agua y cubre la lente de la cámara.</v>
      </c>
    </row>
    <row r="33510">
      <c r="A33510" s="4" t="s">
        <v>42171</v>
      </c>
      <c r="B33510" s="4" t="s">
        <v>42176</v>
      </c>
      <c r="C33510" s="5" t="str">
        <f>IFERROR(__xludf.DUMMYFUNCTION("GOOGLETRANSLATE(B33510,""en"",""es-ES"")"),"La persona conduce en la otra dirección.")</f>
        <v>La persona conduce en la otra dirección.</v>
      </c>
    </row>
    <row r="33511">
      <c r="A33511" s="4" t="s">
        <v>42171</v>
      </c>
      <c r="B33511" s="4" t="s">
        <v>42177</v>
      </c>
      <c r="C33511" s="5" t="str">
        <f>IFERROR(__xludf.DUMMYFUNCTION("GOOGLETRANSLATE(B33511,""en"",""es-ES"")"),"Vemos la arena soplando en el viento.")</f>
        <v>Vemos la arena soplando en el viento.</v>
      </c>
    </row>
    <row r="33512">
      <c r="A33512" s="4" t="s">
        <v>42178</v>
      </c>
      <c r="B33512" s="4" t="s">
        <v>42179</v>
      </c>
      <c r="C33512" s="5" t="str">
        <f>IFERROR(__xludf.DUMMYFUNCTION("GOOGLETRANSLATE(B33512,""en"",""es-ES"")"),"Hay mucha gente reunida en la calle para ver un desfile o estar en el desfile.")</f>
        <v>Hay mucha gente reunida en la calle para ver un desfile o estar en el desfile.</v>
      </c>
    </row>
    <row r="33513">
      <c r="A33513" s="4" t="s">
        <v>42178</v>
      </c>
      <c r="B33513" s="4" t="s">
        <v>42180</v>
      </c>
      <c r="C33513" s="5" t="str">
        <f>IFERROR(__xludf.DUMMYFUNCTION("GOOGLETRANSLATE(B33513,""en"",""es-ES"")"),"Hay 4 jóvenes vestidos con vestimenta militar con una pancarta roja y blanca en un desfile.")</f>
        <v>Hay 4 jóvenes vestidos con vestimenta militar con una pancarta roja y blanca en un desfile.</v>
      </c>
    </row>
    <row r="33514">
      <c r="A33514" s="4" t="s">
        <v>42178</v>
      </c>
      <c r="B33514" s="4" t="s">
        <v>42181</v>
      </c>
      <c r="C33514" s="5" t="str">
        <f>IFERROR(__xludf.DUMMYFUNCTION("GOOGLETRANSLATE(B33514,""en"",""es-ES"")"),"Luego son seguidos por un grupo de bailarinas que están vestidas con los mismos atuendos que son rojos, blancos y negros, pero algunas usan tops blancas y las otras usan blusas rojas.")</f>
        <v>Luego son seguidos por un grupo de bailarinas que están vestidas con los mismos atuendos que son rojos, blancos y negros, pero algunas usan tops blancas y las otras usan blusas rojas.</v>
      </c>
    </row>
    <row r="33515">
      <c r="A33515" s="4" t="s">
        <v>42178</v>
      </c>
      <c r="B33515" s="4" t="s">
        <v>42182</v>
      </c>
      <c r="C33515" s="5" t="str">
        <f>IFERROR(__xludf.DUMMYFUNCTION("GOOGLETRANSLATE(B33515,""en"",""es-ES"")"),"Luego son seguidos por una banda muy grande que tocan diferentes instrumentos y todos están sincronizados y una mujer lo disfruta tanto que comienza a bailar mientras la banda toca.")</f>
        <v>Luego son seguidos por una banda muy grande que tocan diferentes instrumentos y todos están sincronizados y una mujer lo disfruta tanto que comienza a bailar mientras la banda toca.</v>
      </c>
    </row>
    <row r="33516">
      <c r="A33516" s="4" t="s">
        <v>42183</v>
      </c>
      <c r="B33516" s="4" t="s">
        <v>42184</v>
      </c>
      <c r="C33516" s="5" t="str">
        <f>IFERROR(__xludf.DUMMYFUNCTION("GOOGLETRANSLATE(B33516,""en"",""es-ES"")"),"Varias personas en canoa por un lago intercalado con varias fotos fijas de las estadísticas y características del lago.")</f>
        <v>Varias personas en canoa por un lago intercalado con varias fotos fijas de las estadísticas y características del lago.</v>
      </c>
    </row>
    <row r="33517">
      <c r="A33517" s="4" t="s">
        <v>42183</v>
      </c>
      <c r="B33517" s="4" t="s">
        <v>42185</v>
      </c>
      <c r="C33517" s="5" t="str">
        <f>IFERROR(__xludf.DUMMYFUNCTION("GOOGLETRANSLATE(B33517,""en"",""es-ES"")"),"Se muestran varias fotos fijas del lago que incluyen malezas/pantanos secos y agua azul y agua azul junto con un cuerpo poco profundo de agua pesado con rocas.")</f>
        <v>Se muestran varias fotos fijas del lago que incluyen malezas/pantanos secos y agua azul y agua azul junto con un cuerpo poco profundo de agua pesado con rocas.</v>
      </c>
    </row>
    <row r="33518">
      <c r="A33518" s="4" t="s">
        <v>42183</v>
      </c>
      <c r="B33518" s="4" t="s">
        <v>42186</v>
      </c>
      <c r="C33518" s="5" t="str">
        <f>IFERROR(__xludf.DUMMYFUNCTION("GOOGLETRANSLATE(B33518,""en"",""es-ES"")"),"Dos canoas con personas en ellas se muestran en el lago.")</f>
        <v>Dos canoas con personas en ellas se muestran en el lago.</v>
      </c>
    </row>
    <row r="33519">
      <c r="A33519" s="4" t="s">
        <v>42183</v>
      </c>
      <c r="B33519" s="4" t="s">
        <v>42187</v>
      </c>
      <c r="C33519" s="5" t="str">
        <f>IFERROR(__xludf.DUMMYFUNCTION("GOOGLETRANSLATE(B33519,""en"",""es-ES"")"),"Se muestra un mural de arte de un pez azul y amarillo junto con más fotos y videos de personas en el lago.")</f>
        <v>Se muestra un mural de arte de un pez azul y amarillo junto con más fotos y videos de personas en el lago.</v>
      </c>
    </row>
    <row r="33520">
      <c r="A33520" s="4" t="s">
        <v>42188</v>
      </c>
      <c r="B33520" s="4" t="s">
        <v>42189</v>
      </c>
      <c r="C33520" s="5" t="str">
        <f>IFERROR(__xludf.DUMMYFUNCTION("GOOGLETRANSLATE(B33520,""en"",""es-ES"")"),"Se muestra una pelota balanceándose seguido de tiros de paisajes y personas que se preparan.")</f>
        <v>Se muestra una pelota balanceándose seguido de tiros de paisajes y personas que se preparan.</v>
      </c>
    </row>
    <row r="33521">
      <c r="A33521" s="4" t="s">
        <v>42188</v>
      </c>
      <c r="B33521" s="4" t="s">
        <v>42190</v>
      </c>
      <c r="C33521" s="5" t="str">
        <f>IFERROR(__xludf.DUMMYFUNCTION("GOOGLETRANSLATE(B33521,""en"",""es-ES"")"),"Un hombre registra a un atleta que sostiene la pelota y sentada en un banco.")</f>
        <v>Un hombre registra a un atleta que sostiene la pelota y sentada en un banco.</v>
      </c>
    </row>
    <row r="33522">
      <c r="A33522" s="4" t="s">
        <v>42188</v>
      </c>
      <c r="B33522" s="4" t="s">
        <v>42191</v>
      </c>
      <c r="C33522" s="5" t="str">
        <f>IFERROR(__xludf.DUMMYFUNCTION("GOOGLETRANSLATE(B33522,""en"",""es-ES"")"),"Se muestra a varias personas preparándose para actuar, seguido de varias personas que balancean las bolas.")</f>
        <v>Se muestra a varias personas preparándose para actuar, seguido de varias personas que balancean las bolas.</v>
      </c>
    </row>
    <row r="33523">
      <c r="A33523" s="4" t="s">
        <v>42188</v>
      </c>
      <c r="B33523" s="4" t="s">
        <v>42192</v>
      </c>
      <c r="C33523" s="5" t="str">
        <f>IFERROR(__xludf.DUMMYFUNCTION("GOOGLETRANSLATE(B33523,""en"",""es-ES"")"),"Eventualmente, se muestra a varias mujeres diferentes realizando la tarea y al mismo tiempo calentar sus lanzamientos.")</f>
        <v>Eventualmente, se muestra a varias mujeres diferentes realizando la tarea y al mismo tiempo calentar sus lanzamientos.</v>
      </c>
    </row>
    <row r="33524">
      <c r="A33524" s="4" t="s">
        <v>42193</v>
      </c>
      <c r="B33524" s="4" t="s">
        <v>42194</v>
      </c>
      <c r="C33524" s="5" t="str">
        <f>IFERROR(__xludf.DUMMYFUNCTION("GOOGLETRANSLATE(B33524,""en"",""es-ES"")"),"Vemos una pantalla de introducción con flechas.")</f>
        <v>Vemos una pantalla de introducción con flechas.</v>
      </c>
    </row>
    <row r="33525">
      <c r="A33525" s="4" t="s">
        <v>42193</v>
      </c>
      <c r="B33525" s="4" t="s">
        <v>42195</v>
      </c>
      <c r="C33525" s="5" t="str">
        <f>IFERROR(__xludf.DUMMYFUNCTION("GOOGLETRANSLATE(B33525,""en"",""es-ES"")"),"Un chef habla mientras está parado frente a un arco mientras cocina espagueti.")</f>
        <v>Un chef habla mientras está parado frente a un arco mientras cocina espagueti.</v>
      </c>
    </row>
    <row r="33526">
      <c r="A33526" s="4" t="s">
        <v>42193</v>
      </c>
      <c r="B33526" s="4" t="s">
        <v>42196</v>
      </c>
      <c r="C33526" s="5" t="str">
        <f>IFERROR(__xludf.DUMMYFUNCTION("GOOGLETRANSLATE(B33526,""en"",""es-ES"")"),"La señora agrega sal y espagueti al agua hirviendo.")</f>
        <v>La señora agrega sal y espagueti al agua hirviendo.</v>
      </c>
    </row>
    <row r="33527">
      <c r="A33527" s="4" t="s">
        <v>42193</v>
      </c>
      <c r="B33527" s="4" t="s">
        <v>42197</v>
      </c>
      <c r="C33527" s="5" t="str">
        <f>IFERROR(__xludf.DUMMYFUNCTION("GOOGLETRANSLATE(B33527,""en"",""es-ES"")"),"La señora toma un fideos para mostrar cómo debe verse cuando se cocina.")</f>
        <v>La señora toma un fideos para mostrar cómo debe verse cuando se cocina.</v>
      </c>
    </row>
    <row r="33528">
      <c r="A33528" s="4" t="s">
        <v>42193</v>
      </c>
      <c r="B33528" s="4" t="s">
        <v>42198</v>
      </c>
      <c r="C33528" s="5" t="str">
        <f>IFERROR(__xludf.DUMMYFUNCTION("GOOGLETRANSLATE(B33528,""en"",""es-ES"")"),"La señora drena el agua, agrega salsa y agrega parte del agua de cocción.")</f>
        <v>La señora drena el agua, agrega salsa y agrega parte del agua de cocción.</v>
      </c>
    </row>
    <row r="33529">
      <c r="A33529" s="4" t="s">
        <v>42193</v>
      </c>
      <c r="B33529" s="4" t="s">
        <v>42199</v>
      </c>
      <c r="C33529" s="5" t="str">
        <f>IFERROR(__xludf.DUMMYFUNCTION("GOOGLETRANSLATE(B33529,""en"",""es-ES"")"),"Ella lo pone en un plato.")</f>
        <v>Ella lo pone en un plato.</v>
      </c>
    </row>
    <row r="33530">
      <c r="A33530" s="4" t="s">
        <v>42193</v>
      </c>
      <c r="B33530" s="4" t="s">
        <v>42200</v>
      </c>
      <c r="C33530" s="5" t="str">
        <f>IFERROR(__xludf.DUMMYFUNCTION("GOOGLETRANSLATE(B33530,""en"",""es-ES"")"),"Luego vemos los créditos negros rodando.")</f>
        <v>Luego vemos los créditos negros rodando.</v>
      </c>
    </row>
    <row r="33531">
      <c r="A33531" s="4" t="s">
        <v>42201</v>
      </c>
      <c r="B33531" s="4" t="s">
        <v>42202</v>
      </c>
      <c r="C33531" s="5" t="str">
        <f>IFERROR(__xludf.DUMMYFUNCTION("GOOGLETRANSLATE(B33531,""en"",""es-ES"")"),"El hombre está de pie en una pista en un gimnasio techo y corre para hacer grandes saltos frente a los jueces.")</f>
        <v>El hombre está de pie en una pista en un gimnasio techo y corre para hacer grandes saltos frente a los jueces.</v>
      </c>
    </row>
    <row r="33532">
      <c r="A33532" s="4" t="s">
        <v>42201</v>
      </c>
      <c r="B33532" s="4" t="s">
        <v>42203</v>
      </c>
      <c r="C33532" s="5" t="str">
        <f>IFERROR(__xludf.DUMMYFUNCTION("GOOGLETRANSLATE(B33532,""en"",""es-ES"")"),"La gente está en terrazas mirando al niño.")</f>
        <v>La gente está en terrazas mirando al niño.</v>
      </c>
    </row>
    <row r="33533">
      <c r="A33533" s="4" t="s">
        <v>42201</v>
      </c>
      <c r="B33533" s="4" t="s">
        <v>42204</v>
      </c>
      <c r="C33533" s="5" t="str">
        <f>IFERROR(__xludf.DUMMYFUNCTION("GOOGLETRANSLATE(B33533,""en"",""es-ES"")"),"El hombre aplaude después de que el hombre hace los saltos.")</f>
        <v>El hombre aplaude después de que el hombre hace los saltos.</v>
      </c>
    </row>
    <row r="33534">
      <c r="A33534" s="4" t="s">
        <v>42205</v>
      </c>
      <c r="B33534" s="4" t="s">
        <v>42206</v>
      </c>
      <c r="C33534" s="5" t="str">
        <f>IFERROR(__xludf.DUMMYFUNCTION("GOOGLETRANSLATE(B33534,""en"",""es-ES"")"),"Se ve a una mujer mirando más allá de la cámara y mostrando la parte posterior de su cabeza.")</f>
        <v>Se ve a una mujer mirando más allá de la cámara y mostrando la parte posterior de su cabeza.</v>
      </c>
    </row>
    <row r="33535">
      <c r="A33535" s="4" t="s">
        <v>42205</v>
      </c>
      <c r="B33535" s="4" t="s">
        <v>42207</v>
      </c>
      <c r="C33535" s="5" t="str">
        <f>IFERROR(__xludf.DUMMYFUNCTION("GOOGLETRANSLATE(B33535,""en"",""es-ES"")"),"Ella levanta varios productos y los frota a través de su cabello.")</f>
        <v>Ella levanta varios productos y los frota a través de su cabello.</v>
      </c>
    </row>
    <row r="33536">
      <c r="A33536" s="4" t="s">
        <v>42205</v>
      </c>
      <c r="B33536" s="4" t="s">
        <v>42208</v>
      </c>
      <c r="C33536" s="5" t="str">
        <f>IFERROR(__xludf.DUMMYFUNCTION("GOOGLETRANSLATE(B33536,""en"",""es-ES"")"),"Luego se mueve el cabello mientras lo sortea y sintiendo la textura después.")</f>
        <v>Luego se mueve el cabello mientras lo sortea y sintiendo la textura después.</v>
      </c>
    </row>
    <row r="33537">
      <c r="A33537" s="4" t="s">
        <v>42205</v>
      </c>
      <c r="B33537" s="4" t="s">
        <v>42209</v>
      </c>
      <c r="C33537" s="5" t="str">
        <f>IFERROR(__xludf.DUMMYFUNCTION("GOOGLETRANSLATE(B33537,""en"",""es-ES"")"),"Ella termina de sujetar su cabello y mirar hacia atrás a la cámara.")</f>
        <v>Ella termina de sujetar su cabello y mirar hacia atrás a la cámara.</v>
      </c>
    </row>
    <row r="33538">
      <c r="A33538" s="4" t="s">
        <v>42210</v>
      </c>
      <c r="B33538" s="4" t="s">
        <v>42211</v>
      </c>
      <c r="C33538" s="5" t="str">
        <f>IFERROR(__xludf.DUMMYFUNCTION("GOOGLETRANSLATE(B33538,""en"",""es-ES"")"),"Un hombre y un perro están de pie en el medio del campo jugando mientras sostiene un grupo de frisbees.")</f>
        <v>Un hombre y un perro están de pie en el medio del campo jugando mientras sostiene un grupo de frisbees.</v>
      </c>
    </row>
    <row r="33539">
      <c r="A33539" s="4" t="s">
        <v>42210</v>
      </c>
      <c r="B33539" s="4" t="s">
        <v>42212</v>
      </c>
      <c r="C33539" s="5" t="str">
        <f>IFERROR(__xludf.DUMMYFUNCTION("GOOGLETRANSLATE(B33539,""en"",""es-ES"")"),"El hombre luego arroja a todos los frisbees y el perro corre tras ellos varias veces y los atrapa.")</f>
        <v>El hombre luego arroja a todos los frisbees y el perro corre tras ellos varias veces y los atrapa.</v>
      </c>
    </row>
    <row r="33540">
      <c r="A33540" s="4" t="s">
        <v>42210</v>
      </c>
      <c r="B33540" s="4" t="s">
        <v>42213</v>
      </c>
      <c r="C33540" s="5" t="str">
        <f>IFERROR(__xludf.DUMMYFUNCTION("GOOGLETRANSLATE(B33540,""en"",""es-ES"")"),"En medio de la rutina, agarra varias frisbees y se los da al perro uno por uno mientras se arrodilla frente a él.")</f>
        <v>En medio de la rutina, agarra varias frisbees y se los da al perro uno por uno mientras se arrodilla frente a él.</v>
      </c>
    </row>
    <row r="33541">
      <c r="A33541" s="4" t="s">
        <v>42210</v>
      </c>
      <c r="B33541" s="4" t="s">
        <v>42214</v>
      </c>
      <c r="C33541" s="5" t="str">
        <f>IFERROR(__xludf.DUMMYFUNCTION("GOOGLETRANSLATE(B33541,""en"",""es-ES"")"),"Se realizan varios trucos, y luego el perro parece saltar en el campo, vuelven a sus rutinas regulares y el propietario recoge al perro y las olas a la multitud.")</f>
        <v>Se realizan varios trucos, y luego el perro parece saltar en el campo, vuelven a sus rutinas regulares y el propietario recoge al perro y las olas a la multitud.</v>
      </c>
    </row>
    <row r="33542">
      <c r="A33542" s="4" t="s">
        <v>42215</v>
      </c>
      <c r="B33542" s="4" t="s">
        <v>42216</v>
      </c>
      <c r="C33542" s="5" t="str">
        <f>IFERROR(__xludf.DUMMYFUNCTION("GOOGLETRANSLATE(B33542,""en"",""es-ES"")"),"El video comienza con dos luchadores de sumo en una etapa de sumo.")</f>
        <v>El video comienza con dos luchadores de sumo en una etapa de sumo.</v>
      </c>
    </row>
    <row r="33543">
      <c r="A33543" s="4" t="s">
        <v>42215</v>
      </c>
      <c r="B33543" s="4" t="s">
        <v>42217</v>
      </c>
      <c r="C33543" s="5" t="str">
        <f>IFERROR(__xludf.DUMMYFUNCTION("GOOGLETRANSLATE(B33543,""en"",""es-ES"")"),"Hay una gran multitud que muestra, y un hombre en el centro del ring que actúa como árbitro.")</f>
        <v>Hay una gran multitud que muestra, y un hombre en el centro del ring que actúa como árbitro.</v>
      </c>
    </row>
    <row r="33544">
      <c r="A33544" s="4" t="s">
        <v>42215</v>
      </c>
      <c r="B33544" s="4" t="s">
        <v>42218</v>
      </c>
      <c r="C33544" s="5" t="str">
        <f>IFERROR(__xludf.DUMMYFUNCTION("GOOGLETRANSLATE(B33544,""en"",""es-ES"")"),"Los dos luchadores de sumo arrojan un polvo blanco al anillo.")</f>
        <v>Los dos luchadores de sumo arrojan un polvo blanco al anillo.</v>
      </c>
    </row>
    <row r="33545">
      <c r="A33545" s="4" t="s">
        <v>42215</v>
      </c>
      <c r="B33545" s="4" t="s">
        <v>42219</v>
      </c>
      <c r="C33545" s="5" t="str">
        <f>IFERROR(__xludf.DUMMYFUNCTION("GOOGLETRANSLATE(B33545,""en"",""es-ES"")"),"La sentadilla y aplauden sus manos, mientras un grupo de hombres sostiene banderas y caminan alrededor del ring.")</f>
        <v>La sentadilla y aplauden sus manos, mientras un grupo de hombres sostiene banderas y caminan alrededor del ring.</v>
      </c>
    </row>
    <row r="33546">
      <c r="A33546" s="4" t="s">
        <v>42215</v>
      </c>
      <c r="B33546" s="4" t="s">
        <v>42220</v>
      </c>
      <c r="C33546" s="5" t="str">
        <f>IFERROR(__xludf.DUMMYFUNCTION("GOOGLETRANSLATE(B33546,""en"",""es-ES"")"),"Otros dos hombres sostienen las escobas para barrer parte del polvo.")</f>
        <v>Otros dos hombres sostienen las escobas para barrer parte del polvo.</v>
      </c>
    </row>
    <row r="33547">
      <c r="A33547" s="4" t="s">
        <v>42215</v>
      </c>
      <c r="B33547" s="4" t="s">
        <v>42221</v>
      </c>
      <c r="C33547" s="5" t="str">
        <f>IFERROR(__xludf.DUMMYFUNCTION("GOOGLETRANSLATE(B33547,""en"",""es-ES"")"),"Los dos luchadores de sumo salen del ring y nuevamente arrojan más polvo.")</f>
        <v>Los dos luchadores de sumo salen del ring y nuevamente arrojan más polvo.</v>
      </c>
    </row>
    <row r="33548">
      <c r="A33548" s="4" t="s">
        <v>42215</v>
      </c>
      <c r="B33548" s="4" t="s">
        <v>42222</v>
      </c>
      <c r="C33548" s="5" t="str">
        <f>IFERROR(__xludf.DUMMYFUNCTION("GOOGLETRANSLATE(B33548,""en"",""es-ES"")"),"Chocan el uno en el otro y retroceden.")</f>
        <v>Chocan el uno en el otro y retroceden.</v>
      </c>
    </row>
    <row r="33549">
      <c r="A33549" s="4" t="s">
        <v>42215</v>
      </c>
      <c r="B33549" s="4" t="s">
        <v>42223</v>
      </c>
      <c r="C33549" s="5" t="str">
        <f>IFERROR(__xludf.DUMMYFUNCTION("GOOGLETRANSLATE(B33549,""en"",""es-ES"")"),"Nuevamente chocan entre sí y comienzan a luchar.")</f>
        <v>Nuevamente chocan entre sí y comienzan a luchar.</v>
      </c>
    </row>
    <row r="33550">
      <c r="A33550" s="4" t="s">
        <v>42215</v>
      </c>
      <c r="B33550" s="4" t="s">
        <v>42224</v>
      </c>
      <c r="C33550" s="5" t="str">
        <f>IFERROR(__xludf.DUMMYFUNCTION("GOOGLETRANSLATE(B33550,""en"",""es-ES"")"),"El hombre con pantalones cortos de sumo negro arroja al otro hombre del ring.")</f>
        <v>El hombre con pantalones cortos de sumo negro arroja al otro hombre del ring.</v>
      </c>
    </row>
    <row r="33551">
      <c r="A33551" s="4" t="s">
        <v>42215</v>
      </c>
      <c r="B33551" s="4" t="s">
        <v>42225</v>
      </c>
      <c r="C33551" s="5" t="str">
        <f>IFERROR(__xludf.DUMMYFUNCTION("GOOGLETRANSLATE(B33551,""en"",""es-ES"")"),"Se inclinan y el perdedor sale del anillo.")</f>
        <v>Se inclinan y el perdedor sale del anillo.</v>
      </c>
    </row>
    <row r="33552">
      <c r="A33552" s="4" t="s">
        <v>42226</v>
      </c>
      <c r="B33552" s="4" t="s">
        <v>42227</v>
      </c>
      <c r="C33552" s="5" t="str">
        <f>IFERROR(__xludf.DUMMYFUNCTION("GOOGLETRANSLATE(B33552,""en"",""es-ES"")"),"Un hombre se está inclinando por encima de un peso pesado varias veces seguidas y colocándolo.")</f>
        <v>Un hombre se está inclinando por encima de un peso pesado varias veces seguidas y colocándolo.</v>
      </c>
    </row>
    <row r="33553">
      <c r="A33553" s="4" t="s">
        <v>42226</v>
      </c>
      <c r="B33553" s="4" t="s">
        <v>42228</v>
      </c>
      <c r="C33553" s="5" t="str">
        <f>IFERROR(__xludf.DUMMYFUNCTION("GOOGLETRANSLATE(B33553,""en"",""es-ES"")"),"Un hombre está midiendo la longitud del brazo de otro hombre.")</f>
        <v>Un hombre está midiendo la longitud del brazo de otro hombre.</v>
      </c>
    </row>
    <row r="33554">
      <c r="A33554" s="4" t="s">
        <v>42226</v>
      </c>
      <c r="B33554" s="4" t="s">
        <v>42229</v>
      </c>
      <c r="C33554" s="5" t="str">
        <f>IFERROR(__xludf.DUMMYFUNCTION("GOOGLETRANSLATE(B33554,""en"",""es-ES"")"),"El hombre mide la longitud de la barra de peso.")</f>
        <v>El hombre mide la longitud de la barra de peso.</v>
      </c>
    </row>
    <row r="33555">
      <c r="A33555" s="4" t="s">
        <v>42230</v>
      </c>
      <c r="B33555" s="4" t="s">
        <v>573</v>
      </c>
      <c r="C33555" s="5" t="str">
        <f>IFERROR(__xludf.DUMMYFUNCTION("GOOGLETRANSLATE(B33555,""en"",""es-ES"")"),"Se muestran los créditos del video.")</f>
        <v>Se muestran los créditos del video.</v>
      </c>
    </row>
    <row r="33556">
      <c r="A33556" s="4" t="s">
        <v>42230</v>
      </c>
      <c r="B33556" s="4" t="s">
        <v>42231</v>
      </c>
      <c r="C33556" s="5" t="str">
        <f>IFERROR(__xludf.DUMMYFUNCTION("GOOGLETRANSLATE(B33556,""en"",""es-ES"")"),"Un hombre se para con un arco y una flecha.")</f>
        <v>Un hombre se para con un arco y una flecha.</v>
      </c>
    </row>
    <row r="33557">
      <c r="A33557" s="4" t="s">
        <v>42230</v>
      </c>
      <c r="B33557" s="4" t="s">
        <v>42232</v>
      </c>
      <c r="C33557" s="5" t="str">
        <f>IFERROR(__xludf.DUMMYFUNCTION("GOOGLETRANSLATE(B33557,""en"",""es-ES"")"),"Un hombre tira una flecha desde el arco.")</f>
        <v>Un hombre tira una flecha desde el arco.</v>
      </c>
    </row>
    <row r="33558">
      <c r="A33558" s="4" t="s">
        <v>42230</v>
      </c>
      <c r="B33558" s="4" t="s">
        <v>42233</v>
      </c>
      <c r="C33558" s="5" t="str">
        <f>IFERROR(__xludf.DUMMYFUNCTION("GOOGLETRANSLATE(B33558,""en"",""es-ES"")"),"Se muestra el crédito del clip.")</f>
        <v>Se muestra el crédito del clip.</v>
      </c>
    </row>
    <row r="33559">
      <c r="A33559" s="4" t="s">
        <v>42230</v>
      </c>
      <c r="B33559" s="4" t="s">
        <v>42234</v>
      </c>
      <c r="C33559" s="5" t="str">
        <f>IFERROR(__xludf.DUMMYFUNCTION("GOOGLETRANSLATE(B33559,""en"",""es-ES"")"),"Un chico habla con la boca y la mano.")</f>
        <v>Un chico habla con la boca y la mano.</v>
      </c>
    </row>
    <row r="33560">
      <c r="A33560" s="4" t="s">
        <v>42230</v>
      </c>
      <c r="B33560" s="4" t="s">
        <v>42235</v>
      </c>
      <c r="C33560" s="5" t="str">
        <f>IFERROR(__xludf.DUMMYFUNCTION("GOOGLETRANSLATE(B33560,""en"",""es-ES"")"),"Una mano extendida que sostiene una pluma se muestra en una pantalla dividida.")</f>
        <v>Una mano extendida que sostiene una pluma se muestra en una pantalla dividida.</v>
      </c>
    </row>
    <row r="33561">
      <c r="A33561" s="4" t="s">
        <v>42230</v>
      </c>
      <c r="B33561" s="4" t="s">
        <v>42236</v>
      </c>
      <c r="C33561" s="5" t="str">
        <f>IFERROR(__xludf.DUMMYFUNCTION("GOOGLETRANSLATE(B33561,""en"",""es-ES"")"),"Varias flechas golpean el objetivo.")</f>
        <v>Varias flechas golpean el objetivo.</v>
      </c>
    </row>
    <row r="33562">
      <c r="A33562" s="4" t="s">
        <v>42230</v>
      </c>
      <c r="B33562" s="4" t="s">
        <v>42237</v>
      </c>
      <c r="C33562" s="5" t="str">
        <f>IFERROR(__xludf.DUMMYFUNCTION("GOOGLETRANSLATE(B33562,""en"",""es-ES"")"),"Una flecha atraviesa el agujero de una rosquilla.")</f>
        <v>Una flecha atraviesa el agujero de una rosquilla.</v>
      </c>
    </row>
    <row r="33563">
      <c r="A33563" s="4" t="s">
        <v>42230</v>
      </c>
      <c r="B33563" s="4" t="s">
        <v>42238</v>
      </c>
      <c r="C33563" s="5" t="str">
        <f>IFERROR(__xludf.DUMMYFUNCTION("GOOGLETRANSLATE(B33563,""en"",""es-ES"")"),"Una flecha corta la cuerda que contiene una manzana.")</f>
        <v>Una flecha corta la cuerda que contiene una manzana.</v>
      </c>
    </row>
    <row r="33564">
      <c r="A33564" s="4" t="s">
        <v>42230</v>
      </c>
      <c r="B33564" s="4" t="s">
        <v>42239</v>
      </c>
      <c r="C33564" s="5" t="str">
        <f>IFERROR(__xludf.DUMMYFUNCTION("GOOGLETRANSLATE(B33564,""en"",""es-ES"")"),"Una flecha atraviesa el orificio de un CD.")</f>
        <v>Una flecha atraviesa el orificio de un CD.</v>
      </c>
    </row>
    <row r="33565">
      <c r="A33565" s="4" t="s">
        <v>42230</v>
      </c>
      <c r="B33565" s="4" t="s">
        <v>42240</v>
      </c>
      <c r="C33565" s="5" t="str">
        <f>IFERROR(__xludf.DUMMYFUNCTION("GOOGLETRANSLATE(B33565,""en"",""es-ES"")"),"Se presenta el crédito del clip.")</f>
        <v>Se presenta el crédito del clip.</v>
      </c>
    </row>
    <row r="33566">
      <c r="A33566" s="4" t="s">
        <v>42230</v>
      </c>
      <c r="B33566" s="4" t="s">
        <v>29120</v>
      </c>
      <c r="C33566" s="5" t="str">
        <f>IFERROR(__xludf.DUMMYFUNCTION("GOOGLETRANSLATE(B33566,""en"",""es-ES"")"),"Un chico habla mientras gestica.")</f>
        <v>Un chico habla mientras gestica.</v>
      </c>
    </row>
    <row r="33567">
      <c r="A33567" s="4" t="s">
        <v>42230</v>
      </c>
      <c r="B33567" s="4" t="s">
        <v>42241</v>
      </c>
      <c r="C33567" s="5" t="str">
        <f>IFERROR(__xludf.DUMMYFUNCTION("GOOGLETRANSLATE(B33567,""en"",""es-ES"")"),"Se muestran créditos del video.")</f>
        <v>Se muestran créditos del video.</v>
      </c>
    </row>
    <row r="33568">
      <c r="A33568" s="4" t="s">
        <v>42242</v>
      </c>
      <c r="B33568" s="4" t="s">
        <v>42243</v>
      </c>
      <c r="C33568" s="5" t="str">
        <f>IFERROR(__xludf.DUMMYFUNCTION("GOOGLETRANSLATE(B33568,""en"",""es-ES"")"),"Dos hombres juegan billar mientras se turnan para golpear la pelota con un palo, mientras que un hombre interpreta a los billar solo en la espalda.")</f>
        <v>Dos hombres juegan billar mientras se turnan para golpear la pelota con un palo, mientras que un hombre interpreta a los billar solo en la espalda.</v>
      </c>
    </row>
    <row r="33569">
      <c r="A33569" s="4" t="s">
        <v>42242</v>
      </c>
      <c r="B33569" s="4" t="s">
        <v>42244</v>
      </c>
      <c r="C33569" s="5" t="str">
        <f>IFERROR(__xludf.DUMMYFUNCTION("GOOGLETRANSLATE(B33569,""en"",""es-ES"")"),"Un hombre y un niño caminan en una sala de estar en la piscina de la mesa.")</f>
        <v>Un hombre y un niño caminan en una sala de estar en la piscina de la mesa.</v>
      </c>
    </row>
    <row r="33570">
      <c r="A33570" s="4" t="s">
        <v>42242</v>
      </c>
      <c r="B33570" s="4" t="s">
        <v>42245</v>
      </c>
      <c r="C33570" s="5" t="str">
        <f>IFERROR(__xludf.DUMMYFUNCTION("GOOGLETRANSLATE(B33570,""en"",""es-ES"")"),"Una mujer camina con un palo al lado de los hombres.")</f>
        <v>Una mujer camina con un palo al lado de los hombres.</v>
      </c>
    </row>
    <row r="33571">
      <c r="A33571" s="4" t="s">
        <v>42246</v>
      </c>
      <c r="B33571" s="4" t="s">
        <v>42247</v>
      </c>
      <c r="C33571" s="5" t="str">
        <f>IFERROR(__xludf.DUMMYFUNCTION("GOOGLETRANSLATE(B33571,""en"",""es-ES"")"),"Se ve a un hombre hablando con la cámara seguido de varias fotos de hombres barbudos.")</f>
        <v>Se ve a un hombre hablando con la cámara seguido de varias fotos de hombres barbudos.</v>
      </c>
    </row>
    <row r="33572">
      <c r="A33572" s="4" t="s">
        <v>42246</v>
      </c>
      <c r="B33572" s="4" t="s">
        <v>42248</v>
      </c>
      <c r="C33572" s="5" t="str">
        <f>IFERROR(__xludf.DUMMYFUNCTION("GOOGLETRANSLATE(B33572,""en"",""es-ES"")"),"El hombre luego comienza a usar tijeras en su rostro mientras sostiene trozos de papel.")</f>
        <v>El hombre luego comienza a usar tijeras en su rostro mientras sostiene trozos de papel.</v>
      </c>
    </row>
    <row r="33573">
      <c r="A33573" s="4" t="s">
        <v>42246</v>
      </c>
      <c r="B33573" s="4" t="s">
        <v>42249</v>
      </c>
      <c r="C33573" s="5" t="str">
        <f>IFERROR(__xludf.DUMMYFUNCTION("GOOGLETRANSLATE(B33573,""en"",""es-ES"")"),"El hombre continúa afeitándose la cara y termina saludando a la cámara.")</f>
        <v>El hombre continúa afeitándose la cara y termina saludando a la cámara.</v>
      </c>
    </row>
    <row r="33574">
      <c r="A33574" s="4" t="s">
        <v>42250</v>
      </c>
      <c r="B33574" s="4" t="s">
        <v>42251</v>
      </c>
      <c r="C33574" s="5" t="str">
        <f>IFERROR(__xludf.DUMMYFUNCTION("GOOGLETRANSLATE(B33574,""en"",""es-ES"")"),"Se muestra a un niño hablando con la cámara y finalmente muestra sus manos moviendo objetos.")</f>
        <v>Se muestra a un niño hablando con la cámara y finalmente muestra sus manos moviendo objetos.</v>
      </c>
    </row>
    <row r="33575">
      <c r="A33575" s="4" t="s">
        <v>42250</v>
      </c>
      <c r="B33575" s="4" t="s">
        <v>42252</v>
      </c>
      <c r="C33575" s="5" t="str">
        <f>IFERROR(__xludf.DUMMYFUNCTION("GOOGLETRANSLATE(B33575,""en"",""es-ES"")"),"Él coloca los objetos y comienza a afeitarse los lados con un cuchillo afilado.")</f>
        <v>Él coloca los objetos y comienza a afeitarse los lados con un cuchillo afilado.</v>
      </c>
    </row>
    <row r="33576">
      <c r="A33576" s="4" t="s">
        <v>42250</v>
      </c>
      <c r="B33576" s="4" t="s">
        <v>42253</v>
      </c>
      <c r="C33576" s="5" t="str">
        <f>IFERROR(__xludf.DUMMYFUNCTION("GOOGLETRANSLATE(B33576,""en"",""es-ES"")"),"Continúa afilando el objeto y muestra el cuchillo que corre por su piel desnuda.")</f>
        <v>Continúa afilando el objeto y muestra el cuchillo que corre por su piel desnuda.</v>
      </c>
    </row>
    <row r="33577">
      <c r="A33577" s="4" t="s">
        <v>42254</v>
      </c>
      <c r="B33577" s="4" t="s">
        <v>42255</v>
      </c>
      <c r="C33577" s="5" t="str">
        <f>IFERROR(__xludf.DUMMYFUNCTION("GOOGLETRANSLATE(B33577,""en"",""es-ES"")"),"Dos hombres en pantalones cortos de baloncesto están jugando racketball.")</f>
        <v>Dos hombres en pantalones cortos de baloncesto están jugando racketball.</v>
      </c>
    </row>
    <row r="33578">
      <c r="A33578" s="4" t="s">
        <v>42254</v>
      </c>
      <c r="B33578" s="4" t="s">
        <v>2779</v>
      </c>
      <c r="C33578" s="5" t="str">
        <f>IFERROR(__xludf.DUMMYFUNCTION("GOOGLETRANSLATE(B33578,""en"",""es-ES"")"),"Golpearon la pelota de un lado a otro contra la pared.")</f>
        <v>Golpearon la pelota de un lado a otro contra la pared.</v>
      </c>
    </row>
    <row r="33579">
      <c r="A33579" s="4" t="s">
        <v>42254</v>
      </c>
      <c r="B33579" s="4" t="s">
        <v>42256</v>
      </c>
      <c r="C33579" s="5" t="str">
        <f>IFERROR(__xludf.DUMMYFUNCTION("GOOGLETRANSLATE(B33579,""en"",""es-ES"")"),"Los hombres continúan sirviendo y luego golpean y regresan los porciones del otro.")</f>
        <v>Los hombres continúan sirviendo y luego golpean y regresan los porciones del otro.</v>
      </c>
    </row>
    <row r="33580">
      <c r="A33580" s="4" t="s">
        <v>42254</v>
      </c>
      <c r="B33580" s="4" t="s">
        <v>42257</v>
      </c>
      <c r="C33580" s="5" t="str">
        <f>IFERROR(__xludf.DUMMYFUNCTION("GOOGLETRANSLATE(B33580,""en"",""es-ES"")"),"Toman un breve descanso después de que un hombre anota.")</f>
        <v>Toman un breve descanso después de que un hombre anota.</v>
      </c>
    </row>
    <row r="33581">
      <c r="A33581" s="4" t="s">
        <v>42254</v>
      </c>
      <c r="B33581" s="4" t="s">
        <v>42258</v>
      </c>
      <c r="C33581" s="5" t="str">
        <f>IFERROR(__xludf.DUMMYFUNCTION("GOOGLETRANSLATE(B33581,""en"",""es-ES"")"),"Continúan jugando y sirviendo.")</f>
        <v>Continúan jugando y sirviendo.</v>
      </c>
    </row>
    <row r="33582">
      <c r="A33582" s="4" t="s">
        <v>42259</v>
      </c>
      <c r="B33582" s="4" t="s">
        <v>42260</v>
      </c>
      <c r="C33582" s="5" t="str">
        <f>IFERROR(__xludf.DUMMYFUNCTION("GOOGLETRANSLATE(B33582,""en"",""es-ES"")"),"Un jugador de kickball patea la pelota en el plato en una gran arena.")</f>
        <v>Un jugador de kickball patea la pelota en el plato en una gran arena.</v>
      </c>
    </row>
    <row r="33583">
      <c r="A33583" s="4" t="s">
        <v>42259</v>
      </c>
      <c r="B33583" s="4" t="s">
        <v>42261</v>
      </c>
      <c r="C33583" s="5" t="str">
        <f>IFERROR(__xludf.DUMMYFUNCTION("GOOGLETRANSLATE(B33583,""en"",""es-ES"")"),"El jugador pasa más allá de la primera base.")</f>
        <v>El jugador pasa más allá de la primera base.</v>
      </c>
    </row>
    <row r="33584">
      <c r="A33584" s="4" t="s">
        <v>42259</v>
      </c>
      <c r="B33584" s="4" t="s">
        <v>42262</v>
      </c>
      <c r="C33584" s="5" t="str">
        <f>IFERROR(__xludf.DUMMYFUNCTION("GOOGLETRANSLATE(B33584,""en"",""es-ES"")"),"El jugador luego regresa a la primera base y la pone en el pie.")</f>
        <v>El jugador luego regresa a la primera base y la pone en el pie.</v>
      </c>
    </row>
    <row r="33585">
      <c r="A33585" s="4" t="s">
        <v>42263</v>
      </c>
      <c r="B33585" s="4" t="s">
        <v>42264</v>
      </c>
      <c r="C33585" s="5" t="str">
        <f>IFERROR(__xludf.DUMMYFUNCTION("GOOGLETRANSLATE(B33585,""en"",""es-ES"")"),"Hay un guitarrista en una camisa verde que demuestra cómo tocar una guitarra acústica.")</f>
        <v>Hay un guitarrista en una camisa verde que demuestra cómo tocar una guitarra acústica.</v>
      </c>
    </row>
    <row r="33586">
      <c r="A33586" s="4" t="s">
        <v>42263</v>
      </c>
      <c r="B33586" s="4" t="s">
        <v>42265</v>
      </c>
      <c r="C33586" s="5" t="str">
        <f>IFERROR(__xludf.DUMMYFUNCTION("GOOGLETRANSLATE(B33586,""en"",""es-ES"")"),"Se muestran varios tipos de guitarras hechas de una variedad de madera.")</f>
        <v>Se muestran varios tipos de guitarras hechas de una variedad de madera.</v>
      </c>
    </row>
    <row r="33587">
      <c r="A33587" s="4" t="s">
        <v>42263</v>
      </c>
      <c r="B33587" s="4" t="s">
        <v>42266</v>
      </c>
      <c r="C33587" s="5" t="str">
        <f>IFERROR(__xludf.DUMMYFUNCTION("GOOGLETRANSLATE(B33587,""en"",""es-ES"")"),"El guitarrista está rasgando la guitarra con su elección mientras toca su música.")</f>
        <v>El guitarrista está rasgando la guitarra con su elección mientras toca su música.</v>
      </c>
    </row>
    <row r="33588">
      <c r="A33588" s="4" t="s">
        <v>42263</v>
      </c>
      <c r="B33588" s="4" t="s">
        <v>42267</v>
      </c>
      <c r="C33588" s="5" t="str">
        <f>IFERROR(__xludf.DUMMYFUNCTION("GOOGLETRANSLATE(B33588,""en"",""es-ES"")"),"Hay imágenes de la tienda de guitarra y los tipos de guitarras vendidas desplazándose por la parte inferior de la pantalla.")</f>
        <v>Hay imágenes de la tienda de guitarra y los tipos de guitarras vendidas desplazándose por la parte inferior de la pantalla.</v>
      </c>
    </row>
    <row r="33589">
      <c r="A33589" s="4" t="s">
        <v>42263</v>
      </c>
      <c r="B33589" s="4" t="s">
        <v>42268</v>
      </c>
      <c r="C33589" s="5" t="str">
        <f>IFERROR(__xludf.DUMMYFUNCTION("GOOGLETRANSLATE(B33589,""en"",""es-ES"")"),"El guitarrista continúa tocando su guitarra.")</f>
        <v>El guitarrista continúa tocando su guitarra.</v>
      </c>
    </row>
    <row r="33590">
      <c r="A33590" s="4" t="s">
        <v>42269</v>
      </c>
      <c r="B33590" s="4" t="s">
        <v>42270</v>
      </c>
      <c r="C33590" s="5" t="str">
        <f>IFERROR(__xludf.DUMMYFUNCTION("GOOGLETRANSLATE(B33590,""en"",""es-ES"")"),"Se ve a un pequeño grupo de personas nadando alrededor de una piscina tirando una pelota mientras varias personas miran a los lados.")</f>
        <v>Se ve a un pequeño grupo de personas nadando alrededor de una piscina tirando una pelota mientras varias personas miran a los lados.</v>
      </c>
    </row>
    <row r="33591">
      <c r="A33591" s="4" t="s">
        <v>42269</v>
      </c>
      <c r="B33591" s="4" t="s">
        <v>42271</v>
      </c>
      <c r="C33591" s="5" t="str">
        <f>IFERROR(__xludf.DUMMYFUNCTION("GOOGLETRANSLATE(B33591,""en"",""es-ES"")"),"La gente continúa lanzándose la pelota unos a otros mientras la cámara captura el juego.")</f>
        <v>La gente continúa lanzándose la pelota unos a otros mientras la cámara captura el juego.</v>
      </c>
    </row>
    <row r="33592">
      <c r="A33592" s="4" t="s">
        <v>42272</v>
      </c>
      <c r="B33592" s="4" t="s">
        <v>42273</v>
      </c>
      <c r="C33592" s="5" t="str">
        <f>IFERROR(__xludf.DUMMYFUNCTION("GOOGLETRANSLATE(B33592,""en"",""es-ES"")"),"Tres artistas marciales con cinturones negros hacen una demostración para niños más pequeños.")</f>
        <v>Tres artistas marciales con cinturones negros hacen una demostración para niños más pequeños.</v>
      </c>
    </row>
    <row r="33593">
      <c r="A33593" s="4" t="s">
        <v>42272</v>
      </c>
      <c r="B33593" s="4" t="s">
        <v>42274</v>
      </c>
      <c r="C33593" s="5" t="str">
        <f>IFERROR(__xludf.DUMMYFUNCTION("GOOGLETRANSLATE(B33593,""en"",""es-ES"")"),"Saltan y patean y luego se inclinan el uno al otro.")</f>
        <v>Saltan y patean y luego se inclinan el uno al otro.</v>
      </c>
    </row>
    <row r="33594">
      <c r="A33594" s="4" t="s">
        <v>42275</v>
      </c>
      <c r="B33594" s="4" t="s">
        <v>42276</v>
      </c>
      <c r="C33594" s="5" t="str">
        <f>IFERROR(__xludf.DUMMYFUNCTION("GOOGLETRANSLATE(B33594,""en"",""es-ES"")"),"Un hombre atlético está nadando en un remo de remo mientras otro hombre se detiene y lo ayuda.")</f>
        <v>Un hombre atlético está nadando en un remo de remo mientras otro hombre se detiene y lo ayuda.</v>
      </c>
    </row>
    <row r="33595">
      <c r="A33595" s="4" t="s">
        <v>42275</v>
      </c>
      <c r="B33595" s="4" t="s">
        <v>42277</v>
      </c>
      <c r="C33595" s="5" t="str">
        <f>IFERROR(__xludf.DUMMYFUNCTION("GOOGLETRANSLATE(B33595,""en"",""es-ES"")"),"Luego voltea al hombre hacia adelante y el hombre demuestra cómo voltearse.")</f>
        <v>Luego voltea al hombre hacia adelante y el hombre demuestra cómo voltearse.</v>
      </c>
    </row>
    <row r="33596">
      <c r="A33596" s="4" t="s">
        <v>42275</v>
      </c>
      <c r="B33596" s="4" t="s">
        <v>42278</v>
      </c>
      <c r="C33596" s="5" t="str">
        <f>IFERROR(__xludf.DUMMYFUNCTION("GOOGLETRANSLATE(B33596,""en"",""es-ES"")"),"Hacen esto varias veces más para sentirse más cómodo con el movimiento.")</f>
        <v>Hacen esto varias veces más para sentirse más cómodo con el movimiento.</v>
      </c>
    </row>
    <row r="33597">
      <c r="A33597" s="4" t="s">
        <v>42279</v>
      </c>
      <c r="B33597" s="4" t="s">
        <v>42280</v>
      </c>
      <c r="C33597" s="5" t="str">
        <f>IFERROR(__xludf.DUMMYFUNCTION("GOOGLETRANSLATE(B33597,""en"",""es-ES"")"),"Hay de seis a ocho personas que navegan por una turbulenta corriente de agua en una balsa.")</f>
        <v>Hay de seis a ocho personas que navegan por una turbulenta corriente de agua en una balsa.</v>
      </c>
    </row>
    <row r="33598">
      <c r="A33598" s="4" t="s">
        <v>42279</v>
      </c>
      <c r="B33598" s="4" t="s">
        <v>42281</v>
      </c>
      <c r="C33598" s="5" t="str">
        <f>IFERROR(__xludf.DUMMYFUNCTION("GOOGLETRANSLATE(B33598,""en"",""es-ES"")"),"Todos están vestidos con engranajes rojos y cascos amarillos.")</f>
        <v>Todos están vestidos con engranajes rojos y cascos amarillos.</v>
      </c>
    </row>
    <row r="33599">
      <c r="A33599" s="4" t="s">
        <v>42279</v>
      </c>
      <c r="B33599" s="4" t="s">
        <v>42282</v>
      </c>
      <c r="C33599" s="5" t="str">
        <f>IFERROR(__xludf.DUMMYFUNCTION("GOOGLETRANSLATE(B33599,""en"",""es-ES"")"),"Usan los remos para navegar por los rápidos.")</f>
        <v>Usan los remos para navegar por los rápidos.</v>
      </c>
    </row>
    <row r="33600">
      <c r="A33600" s="4" t="s">
        <v>42279</v>
      </c>
      <c r="B33600" s="4" t="s">
        <v>42283</v>
      </c>
      <c r="C33600" s="5" t="str">
        <f>IFERROR(__xludf.DUMMYFUNCTION("GOOGLETRANSLATE(B33600,""en"",""es-ES"")"),"Están tratando de mantenerse a flote en el agua turbulenta a medida que el bote se pone baches a través de los rápidos.")</f>
        <v>Están tratando de mantenerse a flote en el agua turbulenta a medida que el bote se pone baches a través de los rápidos.</v>
      </c>
    </row>
    <row r="33601">
      <c r="A33601" s="4" t="s">
        <v>42279</v>
      </c>
      <c r="B33601" s="4" t="s">
        <v>42284</v>
      </c>
      <c r="C33601" s="5" t="str">
        <f>IFERROR(__xludf.DUMMYFUNCTION("GOOGLETRANSLATE(B33601,""en"",""es-ES"")"),"A medida que navegan, se encuentran con otro grupo de vigas en los mismos rápidos.")</f>
        <v>A medida que navegan, se encuentran con otro grupo de vigas en los mismos rápidos.</v>
      </c>
    </row>
    <row r="33602">
      <c r="A33602" s="4" t="s">
        <v>42279</v>
      </c>
      <c r="B33602" s="4" t="s">
        <v>42285</v>
      </c>
      <c r="C33602" s="5" t="str">
        <f>IFERROR(__xludf.DUMMYFUNCTION("GOOGLETRANSLATE(B33602,""en"",""es-ES"")"),"Continúan su viaje a través de las aguas ásperas de los rápidos.")</f>
        <v>Continúan su viaje a través de las aguas ásperas de los rápidos.</v>
      </c>
    </row>
    <row r="33603">
      <c r="A33603" s="4" t="s">
        <v>42286</v>
      </c>
      <c r="B33603" s="4" t="s">
        <v>42287</v>
      </c>
      <c r="C33603" s="5" t="str">
        <f>IFERROR(__xludf.DUMMYFUNCTION("GOOGLETRANSLATE(B33603,""en"",""es-ES"")"),"Un grupo de corredores está corriendo en un maratón.")</f>
        <v>Un grupo de corredores está corriendo en un maratón.</v>
      </c>
    </row>
    <row r="33604">
      <c r="A33604" s="4" t="s">
        <v>42286</v>
      </c>
      <c r="B33604" s="4" t="s">
        <v>42288</v>
      </c>
      <c r="C33604" s="5" t="str">
        <f>IFERROR(__xludf.DUMMYFUNCTION("GOOGLETRANSLATE(B33604,""en"",""es-ES"")"),"Un hombre chocó con una mujer en una multitud.")</f>
        <v>Un hombre chocó con una mujer en una multitud.</v>
      </c>
    </row>
    <row r="33605">
      <c r="A33605" s="4" t="s">
        <v>42286</v>
      </c>
      <c r="B33605" s="4" t="s">
        <v>42289</v>
      </c>
      <c r="C33605" s="5" t="str">
        <f>IFERROR(__xludf.DUMMYFUNCTION("GOOGLETRANSLATE(B33605,""en"",""es-ES"")"),"La multitud a su alrededor aplaude.")</f>
        <v>La multitud a su alrededor aplaude.</v>
      </c>
    </row>
    <row r="33606">
      <c r="A33606" s="4" t="s">
        <v>42286</v>
      </c>
      <c r="B33606" s="4" t="s">
        <v>42290</v>
      </c>
      <c r="C33606" s="5" t="str">
        <f>IFERROR(__xludf.DUMMYFUNCTION("GOOGLETRANSLATE(B33606,""en"",""es-ES"")"),"Una mujer con sombrero blanco comienza a caminar extrañamente.")</f>
        <v>Una mujer con sombrero blanco comienza a caminar extrañamente.</v>
      </c>
    </row>
    <row r="33607">
      <c r="A33607" s="4" t="s">
        <v>42286</v>
      </c>
      <c r="B33607" s="4" t="s">
        <v>42291</v>
      </c>
      <c r="C33607" s="5" t="str">
        <f>IFERROR(__xludf.DUMMYFUNCTION("GOOGLETRANSLATE(B33607,""en"",""es-ES"")"),"Otra mujer con un sombrero blanco cae al suelo.")</f>
        <v>Otra mujer con un sombrero blanco cae al suelo.</v>
      </c>
    </row>
    <row r="33608">
      <c r="A33608" s="4" t="s">
        <v>42286</v>
      </c>
      <c r="B33608" s="4" t="s">
        <v>42292</v>
      </c>
      <c r="C33608" s="5" t="str">
        <f>IFERROR(__xludf.DUMMYFUNCTION("GOOGLETRANSLATE(B33608,""en"",""es-ES"")"),"La otra mujer en el sombrero también cae.")</f>
        <v>La otra mujer en el sombrero también cae.</v>
      </c>
    </row>
    <row r="33609">
      <c r="A33609" s="4" t="s">
        <v>42286</v>
      </c>
      <c r="B33609" s="4" t="s">
        <v>42293</v>
      </c>
      <c r="C33609" s="5" t="str">
        <f>IFERROR(__xludf.DUMMYFUNCTION("GOOGLETRANSLATE(B33609,""en"",""es-ES"")"),"Ambos intentan levantarse pero siguen cayendo.")</f>
        <v>Ambos intentan levantarse pero siguen cayendo.</v>
      </c>
    </row>
    <row r="33610">
      <c r="A33610" s="4" t="s">
        <v>42286</v>
      </c>
      <c r="B33610" s="4" t="s">
        <v>42294</v>
      </c>
      <c r="C33610" s="5" t="str">
        <f>IFERROR(__xludf.DUMMYFUNCTION("GOOGLETRANSLATE(B33610,""en"",""es-ES"")"),"Una de las mujeres comienza a arrastrarse a la línea de meta.")</f>
        <v>Una de las mujeres comienza a arrastrarse a la línea de meta.</v>
      </c>
    </row>
    <row r="33611">
      <c r="A33611" s="4" t="s">
        <v>42286</v>
      </c>
      <c r="B33611" s="4" t="s">
        <v>42295</v>
      </c>
      <c r="C33611" s="5" t="str">
        <f>IFERROR(__xludf.DUMMYFUNCTION("GOOGLETRANSLATE(B33611,""en"",""es-ES"")"),"La otra mujer la sigue.")</f>
        <v>La otra mujer la sigue.</v>
      </c>
    </row>
    <row r="33612">
      <c r="A33612" s="4" t="s">
        <v>42286</v>
      </c>
      <c r="B33612" s="4" t="s">
        <v>42296</v>
      </c>
      <c r="C33612" s="5" t="str">
        <f>IFERROR(__xludf.DUMMYFUNCTION("GOOGLETRANSLATE(B33612,""en"",""es-ES"")"),"Un hombre levanta a una de las mujeres y la abraza.")</f>
        <v>Un hombre levanta a una de las mujeres y la abraza.</v>
      </c>
    </row>
    <row r="33613">
      <c r="A33613" s="4" t="s">
        <v>42297</v>
      </c>
      <c r="B33613" s="4" t="s">
        <v>42298</v>
      </c>
      <c r="C33613" s="5" t="str">
        <f>IFERROR(__xludf.DUMMYFUNCTION("GOOGLETRANSLATE(B33613,""en"",""es-ES"")"),"Se ve a una persona acostada sobre una bolera en el piso.")</f>
        <v>Se ve a una persona acostada sobre una bolera en el piso.</v>
      </c>
    </row>
    <row r="33614">
      <c r="A33614" s="4" t="s">
        <v>42297</v>
      </c>
      <c r="B33614" s="4" t="s">
        <v>42299</v>
      </c>
      <c r="C33614" s="5" t="str">
        <f>IFERROR(__xludf.DUMMYFUNCTION("GOOGLETRANSLATE(B33614,""en"",""es-ES"")"),"El hombre luego comienza a bailar en el suelo.")</f>
        <v>El hombre luego comienza a bailar en el suelo.</v>
      </c>
    </row>
    <row r="33615">
      <c r="A33615" s="4" t="s">
        <v>42297</v>
      </c>
      <c r="B33615" s="4" t="s">
        <v>42300</v>
      </c>
      <c r="C33615" s="5" t="str">
        <f>IFERROR(__xludf.DUMMYFUNCTION("GOOGLETRANSLATE(B33615,""en"",""es-ES"")"),"El hombre kics una pelota por un carril y la gente celebra.")</f>
        <v>El hombre kics una pelota por un carril y la gente celebra.</v>
      </c>
    </row>
    <row r="33616">
      <c r="A33616" s="4" t="s">
        <v>42301</v>
      </c>
      <c r="B33616" s="4" t="s">
        <v>42302</v>
      </c>
      <c r="C33616" s="5" t="str">
        <f>IFERROR(__xludf.DUMMYFUNCTION("GOOGLETRANSLATE(B33616,""en"",""es-ES"")"),"Se ve a un hombre de pie ante una mesa de ping pong y arroja una pelota a la distancia.")</f>
        <v>Se ve a un hombre de pie ante una mesa de ping pong y arroja una pelota a la distancia.</v>
      </c>
    </row>
    <row r="33617">
      <c r="A33617" s="4" t="s">
        <v>42301</v>
      </c>
      <c r="B33617" s="4" t="s">
        <v>42303</v>
      </c>
      <c r="C33617" s="5" t="str">
        <f>IFERROR(__xludf.DUMMYFUNCTION("GOOGLETRANSLATE(B33617,""en"",""es-ES"")"),"Un hombre toma una copa y conduce a los dos jugando más cerveza pong.")</f>
        <v>Un hombre toma una copa y conduce a los dos jugando más cerveza pong.</v>
      </c>
    </row>
    <row r="33618">
      <c r="A33618" s="4" t="s">
        <v>42301</v>
      </c>
      <c r="B33618" s="4" t="s">
        <v>42304</v>
      </c>
      <c r="C33618" s="5" t="str">
        <f>IFERROR(__xludf.DUMMYFUNCTION("GOOGLETRANSLATE(B33618,""en"",""es-ES"")"),"Los hombres arrojan la pelota hacia atrás y cuarto entre sí mientras sonreen a la cámara.")</f>
        <v>Los hombres arrojan la pelota hacia atrás y cuarto entre sí mientras sonreen a la cámara.</v>
      </c>
    </row>
    <row r="33619">
      <c r="A33619" s="4" t="s">
        <v>42305</v>
      </c>
      <c r="B33619" s="4" t="s">
        <v>42306</v>
      </c>
      <c r="C33619" s="5" t="str">
        <f>IFERROR(__xludf.DUMMYFUNCTION("GOOGLETRANSLATE(B33619,""en"",""es-ES"")"),"La gente está parada en una columna vertebral.")</f>
        <v>La gente está parada en una columna vertebral.</v>
      </c>
    </row>
    <row r="33620">
      <c r="A33620" s="4" t="s">
        <v>42305</v>
      </c>
      <c r="B33620" s="4" t="s">
        <v>42307</v>
      </c>
      <c r="C33620" s="5" t="str">
        <f>IFERROR(__xludf.DUMMYFUNCTION("GOOGLETRANSLATE(B33620,""en"",""es-ES"")"),"Una mujer hace un movimiento de karate.")</f>
        <v>Una mujer hace un movimiento de karate.</v>
      </c>
    </row>
    <row r="33621">
      <c r="A33621" s="4" t="s">
        <v>42305</v>
      </c>
      <c r="B33621" s="4" t="s">
        <v>42308</v>
      </c>
      <c r="C33621" s="5" t="str">
        <f>IFERROR(__xludf.DUMMYFUNCTION("GOOGLETRANSLATE(B33621,""en"",""es-ES"")"),"Un niño de pie detrás de ella levanta su mano.")</f>
        <v>Un niño de pie detrás de ella levanta su mano.</v>
      </c>
    </row>
    <row r="33622">
      <c r="A33622" s="4" t="s">
        <v>42309</v>
      </c>
      <c r="B33622" s="4" t="s">
        <v>42310</v>
      </c>
      <c r="C33622" s="5" t="str">
        <f>IFERROR(__xludf.DUMMYFUNCTION("GOOGLETRANSLATE(B33622,""en"",""es-ES"")"),"El camarógrafo captura una vista de una casa de techo de paja.")</f>
        <v>El camarógrafo captura una vista de una casa de techo de paja.</v>
      </c>
    </row>
    <row r="33623">
      <c r="A33623" s="4" t="s">
        <v>42309</v>
      </c>
      <c r="B33623" s="4" t="s">
        <v>42311</v>
      </c>
      <c r="C33623" s="5" t="str">
        <f>IFERROR(__xludf.DUMMYFUNCTION("GOOGLETRANSLATE(B33623,""en"",""es-ES"")"),"Una niña con una blusa negra y una niña con una camiseta sin mangas blanca en una casa de paja mirando a dos mujeres lavando ropa al estilo filipino.")</f>
        <v>Una niña con una blusa negra y una niña con una camiseta sin mangas blanca en una casa de paja mirando a dos mujeres lavando ropa al estilo filipino.</v>
      </c>
    </row>
    <row r="33624">
      <c r="A33624" s="4" t="s">
        <v>42309</v>
      </c>
      <c r="B33624" s="4" t="s">
        <v>42312</v>
      </c>
      <c r="C33624" s="5" t="str">
        <f>IFERROR(__xludf.DUMMYFUNCTION("GOOGLETRANSLATE(B33624,""en"",""es-ES"")"),"Una niña con una blusa rosa y una chica con una camiseta blanca lave ropa en bañeras grandes a las afueras de la casa de techo de paja.")</f>
        <v>Una niña con una blusa rosa y una chica con una camiseta blanca lave ropa en bañeras grandes a las afueras de la casa de techo de paja.</v>
      </c>
    </row>
    <row r="33625">
      <c r="A33625" s="4" t="s">
        <v>42309</v>
      </c>
      <c r="B33625" s="4" t="s">
        <v>42313</v>
      </c>
      <c r="C33625" s="5" t="str">
        <f>IFERROR(__xludf.DUMMYFUNCTION("GOOGLETRANSLATE(B33625,""en"",""es-ES"")"),"El camarógrafo acelera la parte delantera del área de lavado mientras la niña de la camiseta blanca enjuague la ropa.")</f>
        <v>El camarógrafo acelera la parte delantera del área de lavado mientras la niña de la camiseta blanca enjuague la ropa.</v>
      </c>
    </row>
    <row r="33626">
      <c r="A33626" s="4" t="s">
        <v>42314</v>
      </c>
      <c r="B33626" s="4" t="s">
        <v>42315</v>
      </c>
      <c r="C33626" s="5" t="str">
        <f>IFERROR(__xludf.DUMMYFUNCTION("GOOGLETRANSLATE(B33626,""en"",""es-ES"")"),"Aparece un anuncio para las obras de piso en la pantalla.")</f>
        <v>Aparece un anuncio para las obras de piso en la pantalla.</v>
      </c>
    </row>
    <row r="33627">
      <c r="A33627" s="4" t="s">
        <v>42314</v>
      </c>
      <c r="B33627" s="4" t="s">
        <v>42316</v>
      </c>
      <c r="C33627" s="5" t="str">
        <f>IFERROR(__xludf.DUMMYFUNCTION("GOOGLETRANSLATE(B33627,""en"",""es-ES"")"),"Se muestra una habitación de invitados, que muestra las alfombras sucias.")</f>
        <v>Se muestra una habitación de invitados, que muestra las alfombras sucias.</v>
      </c>
    </row>
    <row r="33628">
      <c r="A33628" s="4" t="s">
        <v>42314</v>
      </c>
      <c r="B33628" s="4" t="s">
        <v>42317</v>
      </c>
      <c r="C33628" s="5" t="str">
        <f>IFERROR(__xludf.DUMMYFUNCTION("GOOGLETRANSLATE(B33628,""en"",""es-ES"")"),"Se muestra a los hombres reemplazando y reparando los pisos con listones de madera que no necesitan pegamento para instalar.")</f>
        <v>Se muestra a los hombres reemplazando y reparando los pisos con listones de madera que no necesitan pegamento para instalar.</v>
      </c>
    </row>
    <row r="33629">
      <c r="A33629" s="4" t="s">
        <v>42314</v>
      </c>
      <c r="B33629" s="4" t="s">
        <v>42318</v>
      </c>
      <c r="C33629" s="5" t="str">
        <f>IFERROR(__xludf.DUMMYFUNCTION("GOOGLETRANSLATE(B33629,""en"",""es-ES"")"),"Se muestran fotos finales de los nuevos pisos de madera en la habitación de invitados.")</f>
        <v>Se muestran fotos finales de los nuevos pisos de madera en la habitación de invitados.</v>
      </c>
    </row>
    <row r="33630">
      <c r="A33630" s="4" t="s">
        <v>42319</v>
      </c>
      <c r="B33630" s="4" t="s">
        <v>42320</v>
      </c>
      <c r="C33630" s="5" t="str">
        <f>IFERROR(__xludf.DUMMYFUNCTION("GOOGLETRANSLATE(B33630,""en"",""es-ES"")"),"Una niña se para en un fregadero de la cocina y demuestra enjuagar su boca con el enjuague bucal blanqueador de la cresta.")</f>
        <v>Una niña se para en un fregadero de la cocina y demuestra enjuagar su boca con el enjuague bucal blanqueador de la cresta.</v>
      </c>
    </row>
    <row r="33631">
      <c r="A33631" s="4" t="s">
        <v>42319</v>
      </c>
      <c r="B33631" s="4" t="s">
        <v>42321</v>
      </c>
      <c r="C33631" s="5" t="str">
        <f>IFERROR(__xludf.DUMMYFUNCTION("GOOGLETRANSLATE(B33631,""en"",""es-ES"")"),"Una niña se encuentra junto a un fregadero que habla y usó gestos.")</f>
        <v>Una niña se encuentra junto a un fregadero que habla y usó gestos.</v>
      </c>
    </row>
    <row r="33632">
      <c r="A33632" s="4" t="s">
        <v>42319</v>
      </c>
      <c r="B33632" s="4" t="s">
        <v>42322</v>
      </c>
      <c r="C33632" s="5" t="str">
        <f>IFERROR(__xludf.DUMMYFUNCTION("GOOGLETRANSLATE(B33632,""en"",""es-ES"")"),"Luego, la niña recoge una botella de bucal de cresta y enjuague la boca durante 60 segundos.")</f>
        <v>Luego, la niña recoge una botella de bucal de cresta y enjuague la boca durante 60 segundos.</v>
      </c>
    </row>
    <row r="33633">
      <c r="A33633" s="4" t="s">
        <v>42319</v>
      </c>
      <c r="B33633" s="4" t="s">
        <v>42323</v>
      </c>
      <c r="C33633" s="5" t="str">
        <f>IFERROR(__xludf.DUMMYFUNCTION("GOOGLETRANSLATE(B33633,""en"",""es-ES"")"),"La mujer luego escupe el enjuague en el fregadero y procede a hablar nuevamente con la cámara.")</f>
        <v>La mujer luego escupe el enjuague en el fregadero y procede a hablar nuevamente con la cámara.</v>
      </c>
    </row>
    <row r="33634">
      <c r="A33634" s="4" t="s">
        <v>42324</v>
      </c>
      <c r="B33634" s="4" t="s">
        <v>42325</v>
      </c>
      <c r="C33634" s="5" t="str">
        <f>IFERROR(__xludf.DUMMYFUNCTION("GOOGLETRANSLATE(B33634,""en"",""es-ES"")"),"Una mujer se encuentra con un niño que está sentado junto a un mostrador.")</f>
        <v>Una mujer se encuentra con un niño que está sentado junto a un mostrador.</v>
      </c>
    </row>
    <row r="33635">
      <c r="A33635" s="4" t="s">
        <v>42324</v>
      </c>
      <c r="B33635" s="4" t="s">
        <v>42326</v>
      </c>
      <c r="C33635" s="5" t="str">
        <f>IFERROR(__xludf.DUMMYFUNCTION("GOOGLETRANSLATE(B33635,""en"",""es-ES"")"),"La mujer aplica un polvo seco en la parte posterior del cabello de las niñas y los cepillos.")</f>
        <v>La mujer aplica un polvo seco en la parte posterior del cabello de las niñas y los cepillos.</v>
      </c>
    </row>
    <row r="33636">
      <c r="A33636" s="4" t="s">
        <v>42324</v>
      </c>
      <c r="B33636" s="4" t="s">
        <v>42327</v>
      </c>
      <c r="C33636" s="5" t="str">
        <f>IFERROR(__xludf.DUMMYFUNCTION("GOOGLETRANSLATE(B33636,""en"",""es-ES"")"),"La mujer recibe un secador de soplado y lo usa mientras cepilla el cabello de las chicas para aliviarlo.")</f>
        <v>La mujer recibe un secador de soplado y lo usa mientras cepilla el cabello de las chicas para aliviarlo.</v>
      </c>
    </row>
    <row r="33637">
      <c r="A33637" s="4" t="s">
        <v>42328</v>
      </c>
      <c r="B33637" s="4" t="s">
        <v>42329</v>
      </c>
      <c r="C33637" s="5" t="str">
        <f>IFERROR(__xludf.DUMMYFUNCTION("GOOGLETRANSLATE(B33637,""en"",""es-ES"")"),"El hombre está parado frente a un espejo que se extiende la crema en su rostro.")</f>
        <v>El hombre está parado frente a un espejo que se extiende la crema en su rostro.</v>
      </c>
    </row>
    <row r="33638">
      <c r="A33638" s="4" t="s">
        <v>42328</v>
      </c>
      <c r="B33638" s="4" t="s">
        <v>42330</v>
      </c>
      <c r="C33638" s="5" t="str">
        <f>IFERROR(__xludf.DUMMYFUNCTION("GOOGLETRANSLATE(B33638,""en"",""es-ES"")"),"El hombre está arrodillado y lave la cara.")</f>
        <v>El hombre está arrodillado y lave la cara.</v>
      </c>
    </row>
    <row r="33639">
      <c r="A33639" s="4" t="s">
        <v>42328</v>
      </c>
      <c r="B33639" s="4" t="s">
        <v>42331</v>
      </c>
      <c r="C33639" s="5" t="str">
        <f>IFERROR(__xludf.DUMMYFUNCTION("GOOGLETRANSLATE(B33639,""en"",""es-ES"")"),"El hombre agarra una toalla verde y se limpia la cara.")</f>
        <v>El hombre agarra una toalla verde y se limpia la cara.</v>
      </c>
    </row>
    <row r="33640">
      <c r="A33640" s="4" t="s">
        <v>42332</v>
      </c>
      <c r="B33640" s="4" t="s">
        <v>42333</v>
      </c>
      <c r="C33640" s="5" t="str">
        <f>IFERROR(__xludf.DUMMYFUNCTION("GOOGLETRANSLATE(B33640,""en"",""es-ES"")"),"Una mujer está ajustando su máquina de ejercicios.")</f>
        <v>Una mujer está ajustando su máquina de ejercicios.</v>
      </c>
    </row>
    <row r="33641">
      <c r="A33641" s="4" t="s">
        <v>42332</v>
      </c>
      <c r="B33641" s="4" t="s">
        <v>42334</v>
      </c>
      <c r="C33641" s="5" t="str">
        <f>IFERROR(__xludf.DUMMYFUNCTION("GOOGLETRANSLATE(B33641,""en"",""es-ES"")"),"Ella ajusta las perillas y empuja el asiento hacia arriba.")</f>
        <v>Ella ajusta las perillas y empuja el asiento hacia arriba.</v>
      </c>
    </row>
    <row r="33642">
      <c r="A33642" s="4" t="s">
        <v>42332</v>
      </c>
      <c r="B33642" s="4" t="s">
        <v>42335</v>
      </c>
      <c r="C33642" s="5" t="str">
        <f>IFERROR(__xludf.DUMMYFUNCTION("GOOGLETRANSLATE(B33642,""en"",""es-ES"")"),"Luego se sienta en el asiento y coloca sus pies en los pedales.")</f>
        <v>Luego se sienta en el asiento y coloca sus pies en los pedales.</v>
      </c>
    </row>
    <row r="33643">
      <c r="A33643" s="4" t="s">
        <v>42332</v>
      </c>
      <c r="B33643" s="4" t="s">
        <v>42336</v>
      </c>
      <c r="C33643" s="5" t="str">
        <f>IFERROR(__xludf.DUMMYFUNCTION("GOOGLETRANSLATE(B33643,""en"",""es-ES"")"),"Ella comienza a pedalear lentamente y rápido.")</f>
        <v>Ella comienza a pedalear lentamente y rápido.</v>
      </c>
    </row>
    <row r="33644">
      <c r="A33644" s="4" t="s">
        <v>42337</v>
      </c>
      <c r="B33644" s="4" t="s">
        <v>1251</v>
      </c>
      <c r="C33644" s="5" t="str">
        <f>IFERROR(__xludf.DUMMYFUNCTION("GOOGLETRANSLATE(B33644,""en"",""es-ES"")"),"Se muestran los créditos del clip.")</f>
        <v>Se muestran los créditos del clip.</v>
      </c>
    </row>
    <row r="33645">
      <c r="A33645" s="4" t="s">
        <v>42337</v>
      </c>
      <c r="B33645" s="4" t="s">
        <v>42338</v>
      </c>
      <c r="C33645" s="5" t="str">
        <f>IFERROR(__xludf.DUMMYFUNCTION("GOOGLETRANSLATE(B33645,""en"",""es-ES"")"),"Un entrenador instruye a los jugadores en una cancha de baloncesto.")</f>
        <v>Un entrenador instruye a los jugadores en una cancha de baloncesto.</v>
      </c>
    </row>
    <row r="33646">
      <c r="A33646" s="4" t="s">
        <v>42337</v>
      </c>
      <c r="B33646" s="4" t="s">
        <v>573</v>
      </c>
      <c r="C33646" s="5" t="str">
        <f>IFERROR(__xludf.DUMMYFUNCTION("GOOGLETRANSLATE(B33646,""en"",""es-ES"")"),"Se muestran los créditos del video.")</f>
        <v>Se muestran los créditos del video.</v>
      </c>
    </row>
    <row r="33647">
      <c r="A33647" s="4" t="s">
        <v>42339</v>
      </c>
      <c r="B33647" s="4" t="s">
        <v>42340</v>
      </c>
      <c r="C33647" s="5" t="str">
        <f>IFERROR(__xludf.DUMMYFUNCTION("GOOGLETRANSLATE(B33647,""en"",""es-ES"")"),"Dos mujeres están de pie sobre la lucha libre de un brazo de gimnasia.")</f>
        <v>Dos mujeres están de pie sobre la lucha libre de un brazo de gimnasia.</v>
      </c>
    </row>
    <row r="33648">
      <c r="A33648" s="4" t="s">
        <v>42339</v>
      </c>
      <c r="B33648" s="4" t="s">
        <v>42341</v>
      </c>
      <c r="C33648" s="5" t="str">
        <f>IFERROR(__xludf.DUMMYFUNCTION("GOOGLETRANSLATE(B33648,""en"",""es-ES"")"),"En los antecedentes, la gente está de pie en el gimnasio haciendo ejercicio.")</f>
        <v>En los antecedentes, la gente está de pie en el gimnasio haciendo ejercicio.</v>
      </c>
    </row>
    <row r="33649">
      <c r="A33649" s="4" t="s">
        <v>42339</v>
      </c>
      <c r="B33649" s="4" t="s">
        <v>42342</v>
      </c>
      <c r="C33649" s="5" t="str">
        <f>IFERROR(__xludf.DUMMYFUNCTION("GOOGLETRANSLATE(B33649,""en"",""es-ES"")"),"Las mujeres fuertes están sentadas en la lucha libre de un brazo de la silla.")</f>
        <v>Las mujeres fuertes están sentadas en la lucha libre de un brazo de la silla.</v>
      </c>
    </row>
    <row r="33650">
      <c r="A33650" s="4" t="s">
        <v>42343</v>
      </c>
      <c r="B33650" s="4" t="s">
        <v>42344</v>
      </c>
      <c r="C33650" s="5" t="str">
        <f>IFERROR(__xludf.DUMMYFUNCTION("GOOGLETRANSLATE(B33650,""en"",""es-ES"")"),"Un hombre conduce al océano y surfe en una tabla de surf, montando olas, antes de salir de la playa con su tabla de surf.")</f>
        <v>Un hombre conduce al océano y surfe en una tabla de surf, montando olas, antes de salir de la playa con su tabla de surf.</v>
      </c>
    </row>
    <row r="33651">
      <c r="A33651" s="4" t="s">
        <v>42343</v>
      </c>
      <c r="B33651" s="4" t="s">
        <v>42345</v>
      </c>
      <c r="C33651" s="5" t="str">
        <f>IFERROR(__xludf.DUMMYFUNCTION("GOOGLETRANSLATE(B33651,""en"",""es-ES"")"),"Un hombre entra en su camioneta, pone su tabla de surf en la parte trasera de su camioneta y conduce.")</f>
        <v>Un hombre entra en su camioneta, pone su tabla de surf en la parte trasera de su camioneta y conduce.</v>
      </c>
    </row>
    <row r="33652">
      <c r="A33652" s="4" t="s">
        <v>42343</v>
      </c>
      <c r="B33652" s="4" t="s">
        <v>42346</v>
      </c>
      <c r="C33652" s="5" t="str">
        <f>IFERROR(__xludf.DUMMYFUNCTION("GOOGLETRANSLATE(B33652,""en"",""es-ES"")"),"El hombre llega a la playa, se convierte en un traje de neopreno y comienza a surfear en una tabla de surf en el océano, montando olas.")</f>
        <v>El hombre llega a la playa, se convierte en un traje de neopreno y comienza a surfear en una tabla de surf en el océano, montando olas.</v>
      </c>
    </row>
    <row r="33653">
      <c r="A33653" s="4" t="s">
        <v>42343</v>
      </c>
      <c r="B33653" s="4" t="s">
        <v>42347</v>
      </c>
      <c r="C33653" s="5" t="str">
        <f>IFERROR(__xludf.DUMMYFUNCTION("GOOGLETRANSLATE(B33653,""en"",""es-ES"")"),"El hombre luego sale de la playa, en su traje de neopreno, con su tabla de surf debajo de su brazo.")</f>
        <v>El hombre luego sale de la playa, en su traje de neopreno, con su tabla de surf debajo de su brazo.</v>
      </c>
    </row>
    <row r="33654">
      <c r="A33654" s="4" t="s">
        <v>42348</v>
      </c>
      <c r="B33654" s="4" t="s">
        <v>42349</v>
      </c>
      <c r="C33654" s="5" t="str">
        <f>IFERROR(__xludf.DUMMYFUNCTION("GOOGLETRANSLATE(B33654,""en"",""es-ES"")"),"Un hombre está agachado junto a una chica en la playa.")</f>
        <v>Un hombre está agachado junto a una chica en la playa.</v>
      </c>
    </row>
    <row r="33655">
      <c r="A33655" s="4" t="s">
        <v>42348</v>
      </c>
      <c r="B33655" s="4" t="s">
        <v>42350</v>
      </c>
      <c r="C33655" s="5" t="str">
        <f>IFERROR(__xludf.DUMMYFUNCTION("GOOGLETRANSLATE(B33655,""en"",""es-ES"")"),"Están poniendo arena en una pila.")</f>
        <v>Están poniendo arena en una pila.</v>
      </c>
    </row>
    <row r="33656">
      <c r="A33656" s="4" t="s">
        <v>42348</v>
      </c>
      <c r="B33656" s="4" t="s">
        <v>42351</v>
      </c>
      <c r="C33656" s="5" t="str">
        <f>IFERROR(__xludf.DUMMYFUNCTION("GOOGLETRANSLATE(B33656,""en"",""es-ES"")"),"Están tratando de construir un castillo de arena.")</f>
        <v>Están tratando de construir un castillo de arena.</v>
      </c>
    </row>
    <row r="33657">
      <c r="A33657" s="4" t="s">
        <v>42352</v>
      </c>
      <c r="B33657" s="4" t="s">
        <v>42353</v>
      </c>
      <c r="C33657" s="5" t="str">
        <f>IFERROR(__xludf.DUMMYFUNCTION("GOOGLETRANSLATE(B33657,""en"",""es-ES"")"),"Una audiencia está sentada en las gradas viendo un juego en el campo.")</f>
        <v>Una audiencia está sentada en las gradas viendo un juego en el campo.</v>
      </c>
    </row>
    <row r="33658">
      <c r="A33658" s="4" t="s">
        <v>42352</v>
      </c>
      <c r="B33658" s="4" t="s">
        <v>42354</v>
      </c>
      <c r="C33658" s="5" t="str">
        <f>IFERROR(__xludf.DUMMYFUNCTION("GOOGLETRANSLATE(B33658,""en"",""es-ES"")"),"Estos jinetes se suben a sus caballos y comienzan a tratar de anotar para su equipo.")</f>
        <v>Estos jinetes se suben a sus caballos y comienzan a tratar de anotar para su equipo.</v>
      </c>
    </row>
    <row r="33659">
      <c r="A33659" s="4" t="s">
        <v>42352</v>
      </c>
      <c r="B33659" s="4" t="s">
        <v>42355</v>
      </c>
      <c r="C33659" s="5" t="str">
        <f>IFERROR(__xludf.DUMMYFUNCTION("GOOGLETRANSLATE(B33659,""en"",""es-ES"")"),"Alguien lo hace y uno de los grupos en la audiencia aplaude.")</f>
        <v>Alguien lo hace y uno de los grupos en la audiencia aplaude.</v>
      </c>
    </row>
    <row r="33660">
      <c r="A33660" s="4" t="s">
        <v>42352</v>
      </c>
      <c r="B33660" s="4" t="s">
        <v>42356</v>
      </c>
      <c r="C33660" s="5" t="str">
        <f>IFERROR(__xludf.DUMMYFUNCTION("GOOGLETRANSLATE(B33660,""en"",""es-ES"")"),"Cuando el juego termina, todos los jinetes se dan las manos de los demás.")</f>
        <v>Cuando el juego termina, todos los jinetes se dan las manos de los demás.</v>
      </c>
    </row>
    <row r="33661">
      <c r="A33661" s="4" t="s">
        <v>42357</v>
      </c>
      <c r="B33661" s="4" t="s">
        <v>42358</v>
      </c>
      <c r="C33661" s="5" t="str">
        <f>IFERROR(__xludf.DUMMYFUNCTION("GOOGLETRANSLATE(B33661,""en"",""es-ES"")"),"Se ve a un hombre usando una lijadora grande contra una pared que mueve la maquinaria a lo largo de la pared.")</f>
        <v>Se ve a un hombre usando una lijadora grande contra una pared que mueve la maquinaria a lo largo de la pared.</v>
      </c>
    </row>
    <row r="33662">
      <c r="A33662" s="4" t="s">
        <v>42357</v>
      </c>
      <c r="B33662" s="4" t="s">
        <v>42359</v>
      </c>
      <c r="C33662" s="5" t="str">
        <f>IFERROR(__xludf.DUMMYFUNCTION("GOOGLETRANSLATE(B33662,""en"",""es-ES"")"),"El hombre continúa lijando la pared y termina con él manteniéndolo estable.")</f>
        <v>El hombre continúa lijando la pared y termina con él manteniéndolo estable.</v>
      </c>
    </row>
    <row r="33663">
      <c r="A33663" s="4" t="s">
        <v>42360</v>
      </c>
      <c r="B33663" s="4" t="s">
        <v>42361</v>
      </c>
      <c r="C33663" s="5" t="str">
        <f>IFERROR(__xludf.DUMMYFUNCTION("GOOGLETRANSLATE(B33663,""en"",""es-ES"")"),"Se muestran varias tomas de una persona de cerca usando la creación y riendo de la cámara.")</f>
        <v>Se muestran varias tomas de una persona de cerca usando la creación y riendo de la cámara.</v>
      </c>
    </row>
    <row r="33664">
      <c r="A33664" s="4" t="s">
        <v>42360</v>
      </c>
      <c r="B33664" s="4" t="s">
        <v>42362</v>
      </c>
      <c r="C33664" s="5" t="str">
        <f>IFERROR(__xludf.DUMMYFUNCTION("GOOGLETRANSLATE(B33664,""en"",""es-ES"")"),"Luego se muestran varios objetos estrechamente a la cámara y la persona vierte líquido en una caja de contacto.")</f>
        <v>Luego se muestran varios objetos estrechamente a la cámara y la persona vierte líquido en una caja de contacto.</v>
      </c>
    </row>
    <row r="33665">
      <c r="A33665" s="4" t="s">
        <v>42360</v>
      </c>
      <c r="B33665" s="4" t="s">
        <v>42363</v>
      </c>
      <c r="C33665" s="5" t="str">
        <f>IFERROR(__xludf.DUMMYFUNCTION("GOOGLETRANSLATE(B33665,""en"",""es-ES"")"),"Luego mezcla los líquidos con los contactos y los pone lentamente en su ojo mientras mira la cámara.")</f>
        <v>Luego mezcla los líquidos con los contactos y los pone lentamente en su ojo mientras mira la cámara.</v>
      </c>
    </row>
    <row r="33666">
      <c r="A33666" s="4" t="s">
        <v>42360</v>
      </c>
      <c r="B33666" s="4" t="s">
        <v>42364</v>
      </c>
      <c r="C33666" s="5" t="str">
        <f>IFERROR(__xludf.DUMMYFUNCTION("GOOGLETRANSLATE(B33666,""en"",""es-ES"")"),"Luego toma sus manos y saca los contactos.")</f>
        <v>Luego toma sus manos y saca los contactos.</v>
      </c>
    </row>
    <row r="33667">
      <c r="A33667" s="4" t="s">
        <v>42365</v>
      </c>
      <c r="B33667" s="4" t="s">
        <v>42366</v>
      </c>
      <c r="C33667" s="5" t="str">
        <f>IFERROR(__xludf.DUMMYFUNCTION("GOOGLETRANSLATE(B33667,""en"",""es-ES"")"),"Se ve las manos de una persona jugando en tierra mientras se mueve las manos por todo el suelo.")</f>
        <v>Se ve las manos de una persona jugando en tierra mientras se mueve las manos por todo el suelo.</v>
      </c>
    </row>
    <row r="33668">
      <c r="A33668" s="4" t="s">
        <v>42365</v>
      </c>
      <c r="B33668" s="4" t="s">
        <v>42367</v>
      </c>
      <c r="C33668" s="5" t="str">
        <f>IFERROR(__xludf.DUMMYFUNCTION("GOOGLETRANSLATE(B33668,""en"",""es-ES"")"),"La persona continúa jugando en el suelo mientras la cámara observa los movimientos de sus manos.")</f>
        <v>La persona continúa jugando en el suelo mientras la cámara observa los movimientos de sus manos.</v>
      </c>
    </row>
    <row r="33669">
      <c r="A33669" s="4" t="s">
        <v>42368</v>
      </c>
      <c r="B33669" s="4" t="s">
        <v>42369</v>
      </c>
      <c r="C33669" s="5" t="str">
        <f>IFERROR(__xludf.DUMMYFUNCTION("GOOGLETRANSLATE(B33669,""en"",""es-ES"")"),"Un grupo de personas se reúne en un parque al aire libre.")</f>
        <v>Un grupo de personas se reúne en un parque al aire libre.</v>
      </c>
    </row>
    <row r="33670">
      <c r="A33670" s="4" t="s">
        <v>42368</v>
      </c>
      <c r="B33670" s="4" t="s">
        <v>42370</v>
      </c>
      <c r="C33670" s="5" t="str">
        <f>IFERROR(__xludf.DUMMYFUNCTION("GOOGLETRANSLATE(B33670,""en"",""es-ES"")"),"Están vestidos y entran en una balsa.")</f>
        <v>Están vestidos y entran en una balsa.</v>
      </c>
    </row>
    <row r="33671">
      <c r="A33671" s="4" t="s">
        <v>42368</v>
      </c>
      <c r="B33671" s="4" t="s">
        <v>42371</v>
      </c>
      <c r="C33671" s="5" t="str">
        <f>IFERROR(__xludf.DUMMYFUNCTION("GOOGLETRANSLATE(B33671,""en"",""es-ES"")"),"Ellos son balsas por un río juntos.")</f>
        <v>Ellos son balsas por un río juntos.</v>
      </c>
    </row>
    <row r="33672">
      <c r="A33672" s="4" t="s">
        <v>42372</v>
      </c>
      <c r="B33672" s="4" t="s">
        <v>32663</v>
      </c>
      <c r="C33672" s="5" t="str">
        <f>IFERROR(__xludf.DUMMYFUNCTION("GOOGLETRANSLATE(B33672,""en"",""es-ES"")"),"La gente juega fútbol en una arena interior.")</f>
        <v>La gente juega fútbol en una arena interior.</v>
      </c>
    </row>
    <row r="33673">
      <c r="A33673" s="4" t="s">
        <v>42372</v>
      </c>
      <c r="B33673" s="4" t="s">
        <v>42373</v>
      </c>
      <c r="C33673" s="5" t="str">
        <f>IFERROR(__xludf.DUMMYFUNCTION("GOOGLETRANSLATE(B33673,""en"",""es-ES"")"),"Un hombre está sentado frente a una meta de bloqueo de bolas.")</f>
        <v>Un hombre está sentado frente a una meta de bloqueo de bolas.</v>
      </c>
    </row>
    <row r="33674">
      <c r="A33674" s="4" t="s">
        <v>42372</v>
      </c>
      <c r="B33674" s="4" t="s">
        <v>42374</v>
      </c>
      <c r="C33674" s="5" t="str">
        <f>IFERROR(__xludf.DUMMYFUNCTION("GOOGLETRANSLATE(B33674,""en"",""es-ES"")"),"La gente está en las gradas viendo el juego.")</f>
        <v>La gente está en las gradas viendo el juego.</v>
      </c>
    </row>
    <row r="33675">
      <c r="A33675" s="4" t="s">
        <v>42375</v>
      </c>
      <c r="B33675" s="4" t="s">
        <v>42376</v>
      </c>
      <c r="C33675" s="5" t="str">
        <f>IFERROR(__xludf.DUMMYFUNCTION("GOOGLETRANSLATE(B33675,""en"",""es-ES"")"),"Un niño y una niña se sientan uno al lado del otro.")</f>
        <v>Un niño y una niña se sientan uno al lado del otro.</v>
      </c>
    </row>
    <row r="33676">
      <c r="A33676" s="4" t="s">
        <v>42375</v>
      </c>
      <c r="B33676" s="4" t="s">
        <v>42377</v>
      </c>
      <c r="C33676" s="5" t="str">
        <f>IFERROR(__xludf.DUMMYFUNCTION("GOOGLETRANSLATE(B33676,""en"",""es-ES"")"),"Se alimentan con helado.")</f>
        <v>Se alimentan con helado.</v>
      </c>
    </row>
    <row r="33677">
      <c r="A33677" s="4" t="s">
        <v>42375</v>
      </c>
      <c r="B33677" s="4" t="s">
        <v>42378</v>
      </c>
      <c r="C33677" s="5" t="str">
        <f>IFERROR(__xludf.DUMMYFUNCTION("GOOGLETRANSLATE(B33677,""en"",""es-ES"")"),"La niña intenta comer el helado de los niños.")</f>
        <v>La niña intenta comer el helado de los niños.</v>
      </c>
    </row>
    <row r="33678">
      <c r="A33678" s="4" t="s">
        <v>42375</v>
      </c>
      <c r="B33678" s="4" t="s">
        <v>42379</v>
      </c>
      <c r="C33678" s="5" t="str">
        <f>IFERROR(__xludf.DUMMYFUNCTION("GOOGLETRANSLATE(B33678,""en"",""es-ES"")"),"La niña se ríe al final.")</f>
        <v>La niña se ríe al final.</v>
      </c>
    </row>
    <row r="33679">
      <c r="A33679" s="4" t="s">
        <v>42380</v>
      </c>
      <c r="B33679" s="4" t="s">
        <v>42381</v>
      </c>
      <c r="C33679" s="5" t="str">
        <f>IFERROR(__xludf.DUMMYFUNCTION("GOOGLETRANSLATE(B33679,""en"",""es-ES"")"),"Alguien está durmiendo en un sofá blanco.")</f>
        <v>Alguien está durmiendo en un sofá blanco.</v>
      </c>
    </row>
    <row r="33680">
      <c r="A33680" s="4" t="s">
        <v>42380</v>
      </c>
      <c r="B33680" s="4" t="s">
        <v>42382</v>
      </c>
      <c r="C33680" s="5" t="str">
        <f>IFERROR(__xludf.DUMMYFUNCTION("GOOGLETRANSLATE(B33680,""en"",""es-ES"")"),"Se levantan y hacen abdominales en el piso.")</f>
        <v>Se levantan y hacen abdominales en el piso.</v>
      </c>
    </row>
    <row r="33681">
      <c r="A33681" s="4" t="s">
        <v>42380</v>
      </c>
      <c r="B33681" s="4" t="s">
        <v>42383</v>
      </c>
      <c r="C33681" s="5" t="str">
        <f>IFERROR(__xludf.DUMMYFUNCTION("GOOGLETRANSLATE(B33681,""en"",""es-ES"")"),"Se levantan y salen por la puerta.")</f>
        <v>Se levantan y salen por la puerta.</v>
      </c>
    </row>
    <row r="33682">
      <c r="A33682" s="4" t="s">
        <v>42384</v>
      </c>
      <c r="B33682" s="4" t="s">
        <v>42385</v>
      </c>
      <c r="C33682" s="5" t="str">
        <f>IFERROR(__xludf.DUMMYFUNCTION("GOOGLETRANSLATE(B33682,""en"",""es-ES"")"),"Una mujer está en el escenario frente a una banda.")</f>
        <v>Una mujer está en el escenario frente a una banda.</v>
      </c>
    </row>
    <row r="33683">
      <c r="A33683" s="4" t="s">
        <v>42384</v>
      </c>
      <c r="B33683" s="4" t="s">
        <v>42386</v>
      </c>
      <c r="C33683" s="5" t="str">
        <f>IFERROR(__xludf.DUMMYFUNCTION("GOOGLETRANSLATE(B33683,""en"",""es-ES"")"),"Ella es una bailarina del vientre, gira y sacude la música.")</f>
        <v>Ella es una bailarina del vientre, gira y sacude la música.</v>
      </c>
    </row>
    <row r="33684">
      <c r="A33684" s="4" t="s">
        <v>42384</v>
      </c>
      <c r="B33684" s="4" t="s">
        <v>42387</v>
      </c>
      <c r="C33684" s="5" t="str">
        <f>IFERROR(__xludf.DUMMYFUNCTION("GOOGLETRANSLATE(B33684,""en"",""es-ES"")"),"Ella baila lentamente, cayendo al suelo mientras termina.")</f>
        <v>Ella baila lentamente, cayendo al suelo mientras termina.</v>
      </c>
    </row>
    <row r="33685">
      <c r="A33685" s="4" t="s">
        <v>42388</v>
      </c>
      <c r="B33685" s="4" t="s">
        <v>42389</v>
      </c>
      <c r="C33685" s="5" t="str">
        <f>IFERROR(__xludf.DUMMYFUNCTION("GOOGLETRANSLATE(B33685,""en"",""es-ES"")"),"Un hombre que no usa camisa toca un tambor de mano.")</f>
        <v>Un hombre que no usa camisa toca un tambor de mano.</v>
      </c>
    </row>
    <row r="33686">
      <c r="A33686" s="4" t="s">
        <v>42388</v>
      </c>
      <c r="B33686" s="4" t="s">
        <v>42390</v>
      </c>
      <c r="C33686" s="5" t="str">
        <f>IFERROR(__xludf.DUMMYFUNCTION("GOOGLETRANSLATE(B33686,""en"",""es-ES"")"),"Un hombre en solitario gira su cuerpo sobre sus manos y hace volteretas.")</f>
        <v>Un hombre en solitario gira su cuerpo sobre sus manos y hace volteretas.</v>
      </c>
    </row>
    <row r="33687">
      <c r="A33687" s="4" t="s">
        <v>42388</v>
      </c>
      <c r="B33687" s="4" t="s">
        <v>42391</v>
      </c>
      <c r="C33687" s="5" t="str">
        <f>IFERROR(__xludf.DUMMYFUNCTION("GOOGLETRANSLATE(B33687,""en"",""es-ES"")"),"Dos hombres hacen una rutina de karate de práctica y Dodge patea del otro oponente.")</f>
        <v>Dos hombres hacen una rutina de karate de práctica y Dodge patea del otro oponente.</v>
      </c>
    </row>
    <row r="33688">
      <c r="A33688" s="4" t="s">
        <v>42388</v>
      </c>
      <c r="B33688" s="4" t="s">
        <v>42392</v>
      </c>
      <c r="C33688" s="5" t="str">
        <f>IFERROR(__xludf.DUMMYFUNCTION("GOOGLETRANSLATE(B33688,""en"",""es-ES"")"),"Ambos hombres hacen soportes de mano y luego se unen y tocan las manos.")</f>
        <v>Ambos hombres hacen soportes de mano y luego se unen y tocan las manos.</v>
      </c>
    </row>
    <row r="33689">
      <c r="A33689" s="4" t="s">
        <v>42388</v>
      </c>
      <c r="B33689" s="4" t="s">
        <v>42393</v>
      </c>
      <c r="C33689" s="5" t="str">
        <f>IFERROR(__xludf.DUMMYFUNCTION("GOOGLETRANSLATE(B33689,""en"",""es-ES"")"),"El hombre salta de volteo solo.")</f>
        <v>El hombre salta de volteo solo.</v>
      </c>
    </row>
    <row r="33690">
      <c r="A33690" s="4" t="s">
        <v>42388</v>
      </c>
      <c r="B33690" s="4" t="s">
        <v>42394</v>
      </c>
      <c r="C33690" s="5" t="str">
        <f>IFERROR(__xludf.DUMMYFUNCTION("GOOGLETRANSLATE(B33690,""en"",""es-ES"")"),"Los dos hombres saltan patadas mientras se dirigen en un baile de karate.")</f>
        <v>Los dos hombres saltan patadas mientras se dirigen en un baile de karate.</v>
      </c>
    </row>
    <row r="33691">
      <c r="A33691" s="4" t="s">
        <v>42388</v>
      </c>
      <c r="B33691" s="4" t="s">
        <v>42395</v>
      </c>
      <c r="C33691" s="5" t="str">
        <f>IFERROR(__xludf.DUMMYFUNCTION("GOOGLETRANSLATE(B33691,""en"",""es-ES"")"),"El hombre se para sobre sus manos y se inclina hacia atrás a una posición horizontal.")</f>
        <v>El hombre se para sobre sus manos y se inclina hacia atrás a una posición horizontal.</v>
      </c>
    </row>
    <row r="33692">
      <c r="A33692" s="4" t="s">
        <v>42396</v>
      </c>
      <c r="B33692" s="4" t="s">
        <v>42397</v>
      </c>
      <c r="C33692" s="5" t="str">
        <f>IFERROR(__xludf.DUMMYFUNCTION("GOOGLETRANSLATE(B33692,""en"",""es-ES"")"),"Un hombre muestra las artes marciales se mueven en un clip de película que muestra al hombre luchando contra diferentes personas en varios lugares diferentes en un telón de fondo de la ciudad.")</f>
        <v>Un hombre muestra las artes marciales se mueven en un clip de película que muestra al hombre luchando contra diferentes personas en varios lugares diferentes en un telón de fondo de la ciudad.</v>
      </c>
    </row>
    <row r="33693">
      <c r="A33693" s="4" t="s">
        <v>42396</v>
      </c>
      <c r="B33693" s="4" t="s">
        <v>42398</v>
      </c>
      <c r="C33693" s="5" t="str">
        <f>IFERROR(__xludf.DUMMYFUNCTION("GOOGLETRANSLATE(B33693,""en"",""es-ES"")"),"Un hombre es escoltado en una habitación y deja solo hasta que es atacado, violentamente, por un hombre que aparece repentinamente en la habitación con él, los dos pelean.")</f>
        <v>Un hombre es escoltado en una habitación y deja solo hasta que es atacado, violentamente, por un hombre que aparece repentinamente en la habitación con él, los dos pelean.</v>
      </c>
    </row>
    <row r="33694">
      <c r="A33694" s="4" t="s">
        <v>42396</v>
      </c>
      <c r="B33694" s="4" t="s">
        <v>42399</v>
      </c>
      <c r="C33694" s="5" t="str">
        <f>IFERROR(__xludf.DUMMYFUNCTION("GOOGLETRANSLATE(B33694,""en"",""es-ES"")"),"El hombre se muestra en varios otros lugares que luchan con diferentes hombres que usan habilidades de artes marciales hasta que el clip se desvanece a una invitación de marketing para suscribirse.")</f>
        <v>El hombre se muestra en varios otros lugares que luchan con diferentes hombres que usan habilidades de artes marciales hasta que el clip se desvanece a una invitación de marketing para suscribirse.</v>
      </c>
    </row>
    <row r="33695">
      <c r="A33695" s="4" t="s">
        <v>42400</v>
      </c>
      <c r="B33695" s="4" t="s">
        <v>42401</v>
      </c>
      <c r="C33695" s="5" t="str">
        <f>IFERROR(__xludf.DUMMYFUNCTION("GOOGLETRANSLATE(B33695,""en"",""es-ES"")"),"Una banner negra superpuesta con la palabra PowerChalk escrita en blanco y verde está a través del banner.")</f>
        <v>Una banner negra superpuesta con la palabra PowerChalk escrita en blanco y verde está a través del banner.</v>
      </c>
    </row>
    <row r="33696">
      <c r="A33696" s="4" t="s">
        <v>42400</v>
      </c>
      <c r="B33696" s="4" t="s">
        <v>42402</v>
      </c>
      <c r="C33696" s="5" t="str">
        <f>IFERROR(__xludf.DUMMYFUNCTION("GOOGLETRANSLATE(B33696,""en"",""es-ES"")"),"Cuando la superposición de la pancarta se va, un hombre salta al final de una tabla de buceo y luego se voltea un delantero hacia adelante y se voltea 5 veces antes de que se sumerja en el agua en la piscina.")</f>
        <v>Cuando la superposición de la pancarta se va, un hombre salta al final de una tabla de buceo y luego se voltea un delantero hacia adelante y se voltea 5 veces antes de que se sumerja en el agua en la piscina.</v>
      </c>
    </row>
    <row r="33697">
      <c r="A33697" s="4" t="s">
        <v>42400</v>
      </c>
      <c r="B33697" s="4" t="s">
        <v>42403</v>
      </c>
      <c r="C33697" s="5" t="str">
        <f>IFERROR(__xludf.DUMMYFUNCTION("GOOGLETRANSLATE(B33697,""en"",""es-ES"")"),"Hay muchos espectadores parados al margen.")</f>
        <v>Hay muchos espectadores parados al margen.</v>
      </c>
    </row>
    <row r="33698">
      <c r="A33698" s="4" t="s">
        <v>42404</v>
      </c>
      <c r="B33698" s="4" t="s">
        <v>42405</v>
      </c>
      <c r="C33698" s="5" t="str">
        <f>IFERROR(__xludf.DUMMYFUNCTION("GOOGLETRANSLATE(B33698,""en"",""es-ES"")"),"Un violinista está tocando el violín en una sala de música.")</f>
        <v>Un violinista está tocando el violín en una sala de música.</v>
      </c>
    </row>
    <row r="33699">
      <c r="A33699" s="4" t="s">
        <v>42404</v>
      </c>
      <c r="B33699" s="4" t="s">
        <v>42406</v>
      </c>
      <c r="C33699" s="5" t="str">
        <f>IFERROR(__xludf.DUMMYFUNCTION("GOOGLETRANSLATE(B33699,""en"",""es-ES"")"),"Ella ajusta el violín debajo de la barbilla mientras lee la música.")</f>
        <v>Ella ajusta el violín debajo de la barbilla mientras lee la música.</v>
      </c>
    </row>
    <row r="33700">
      <c r="A33700" s="4" t="s">
        <v>42404</v>
      </c>
      <c r="B33700" s="4" t="s">
        <v>42407</v>
      </c>
      <c r="C33700" s="5" t="str">
        <f>IFERROR(__xludf.DUMMYFUNCTION("GOOGLETRANSLATE(B33700,""en"",""es-ES"")"),"Al final de su canción, ella elimina el violín y las sonrisas.")</f>
        <v>Al final de su canción, ella elimina el violín y las sonrisas.</v>
      </c>
    </row>
    <row r="33701">
      <c r="A33701" s="4" t="s">
        <v>42408</v>
      </c>
      <c r="B33701" s="4" t="s">
        <v>42409</v>
      </c>
      <c r="C33701" s="5" t="str">
        <f>IFERROR(__xludf.DUMMYFUNCTION("GOOGLETRANSLATE(B33701,""en"",""es-ES"")"),"Un pequeño grupo de chicas se ve por primera vez que sale en un piso de gimnasio con varias personas mirando al margen.")</f>
        <v>Un pequeño grupo de chicas se ve por primera vez que sale en un piso de gimnasio con varias personas mirando al margen.</v>
      </c>
    </row>
    <row r="33702">
      <c r="A33702" s="4" t="s">
        <v>42408</v>
      </c>
      <c r="B33702" s="4" t="s">
        <v>42410</v>
      </c>
      <c r="C33702" s="5" t="str">
        <f>IFERROR(__xludf.DUMMYFUNCTION("GOOGLETRANSLATE(B33702,""en"",""es-ES"")"),"Luego, las chicas realizan una rutina usando bastones mientras giran y giran.")</f>
        <v>Luego, las chicas realizan una rutina usando bastones mientras giran y giran.</v>
      </c>
    </row>
    <row r="33703">
      <c r="A33703" s="4" t="s">
        <v>42408</v>
      </c>
      <c r="B33703" s="4" t="s">
        <v>42411</v>
      </c>
      <c r="C33703" s="5" t="str">
        <f>IFERROR(__xludf.DUMMYFUNCTION("GOOGLETRANSLATE(B33703,""en"",""es-ES"")"),"Hacen una pose final mientras el público aplaude y sale corriendo a un lado.")</f>
        <v>Hacen una pose final mientras el público aplaude y sale corriendo a un lado.</v>
      </c>
    </row>
    <row r="33704">
      <c r="A33704" s="4" t="s">
        <v>42412</v>
      </c>
      <c r="B33704" s="4" t="s">
        <v>42413</v>
      </c>
      <c r="C33704" s="5" t="str">
        <f>IFERROR(__xludf.DUMMYFUNCTION("GOOGLETRANSLATE(B33704,""en"",""es-ES"")"),"Un hombre realiza acrobacias en la parte posterior de una motocicleta, se cae y se hiere en ese momento que cae al suelo y se ve herido.")</f>
        <v>Un hombre realiza acrobacias en la parte posterior de una motocicleta, se cae y se hiere en ese momento que cae al suelo y se ve herido.</v>
      </c>
    </row>
    <row r="33705">
      <c r="A33705" s="4" t="s">
        <v>42412</v>
      </c>
      <c r="B33705" s="4" t="s">
        <v>42414</v>
      </c>
      <c r="C33705" s="5" t="str">
        <f>IFERROR(__xludf.DUMMYFUNCTION("GOOGLETRANSLATE(B33705,""en"",""es-ES"")"),"Un hombre está colgando de una bicicleta en movimiento en una rampa hacia abajo.")</f>
        <v>Un hombre está colgando de una bicicleta en movimiento en una rampa hacia abajo.</v>
      </c>
    </row>
    <row r="33706">
      <c r="A33706" s="4" t="s">
        <v>42412</v>
      </c>
      <c r="B33706" s="4" t="s">
        <v>42415</v>
      </c>
      <c r="C33706" s="5" t="str">
        <f>IFERROR(__xludf.DUMMYFUNCTION("GOOGLETRANSLATE(B33706,""en"",""es-ES"")"),"El hombre se cae de la bicicleta y al suelo con ropa desgarrada.")</f>
        <v>El hombre se cae de la bicicleta y al suelo con ropa desgarrada.</v>
      </c>
    </row>
    <row r="33707">
      <c r="A33707" s="4" t="s">
        <v>42412</v>
      </c>
      <c r="B33707" s="4" t="s">
        <v>42416</v>
      </c>
      <c r="C33707" s="5" t="str">
        <f>IFERROR(__xludf.DUMMYFUNCTION("GOOGLETRANSLATE(B33707,""en"",""es-ES"")"),"La cámara acelera la ropa y el casco dañados del hombre y su rostro de suma mientras yacía en el suelo herido.")</f>
        <v>La cámara acelera la ropa y el casco dañados del hombre y su rostro de suma mientras yacía en el suelo herido.</v>
      </c>
    </row>
    <row r="33708">
      <c r="A33708" s="4" t="s">
        <v>42417</v>
      </c>
      <c r="B33708" s="4" t="s">
        <v>42418</v>
      </c>
      <c r="C33708" s="5" t="str">
        <f>IFERROR(__xludf.DUMMYFUNCTION("GOOGLETRANSLATE(B33708,""en"",""es-ES"")"),"Se muestran varios ingredientes en una mesa y conduce a una persona que coloca artículos en un tazón.")</f>
        <v>Se muestran varios ingredientes en una mesa y conduce a una persona que coloca artículos en un tazón.</v>
      </c>
    </row>
    <row r="33709">
      <c r="A33709" s="4" t="s">
        <v>42417</v>
      </c>
      <c r="B33709" s="4" t="s">
        <v>42419</v>
      </c>
      <c r="C33709" s="5" t="str">
        <f>IFERROR(__xludf.DUMMYFUNCTION("GOOGLETRANSLATE(B33709,""en"",""es-ES"")"),"Luego se ve a la persona cortando fruta y colocándola en un tazón.")</f>
        <v>Luego se ve a la persona cortando fruta y colocándola en un tazón.</v>
      </c>
    </row>
    <row r="33710">
      <c r="A33710" s="4" t="s">
        <v>42417</v>
      </c>
      <c r="B33710" s="4" t="s">
        <v>42420</v>
      </c>
      <c r="C33710" s="5" t="str">
        <f>IFERROR(__xludf.DUMMYFUNCTION("GOOGLETRANSLATE(B33710,""en"",""es-ES"")"),"Ella vierte más líquido y lo presenta a la cámara.")</f>
        <v>Ella vierte más líquido y lo presenta a la cámara.</v>
      </c>
    </row>
    <row r="33711">
      <c r="A33711" s="4" t="s">
        <v>42421</v>
      </c>
      <c r="B33711" s="4" t="s">
        <v>42422</v>
      </c>
      <c r="C33711" s="5" t="str">
        <f>IFERROR(__xludf.DUMMYFUNCTION("GOOGLETRANSLATE(B33711,""en"",""es-ES"")"),"Dos hombres están jugando a la pelota de pared en una habitación.")</f>
        <v>Dos hombres están jugando a la pelota de pared en una habitación.</v>
      </c>
    </row>
    <row r="33712">
      <c r="A33712" s="4" t="s">
        <v>42421</v>
      </c>
      <c r="B33712" s="4" t="s">
        <v>42423</v>
      </c>
      <c r="C33712" s="5" t="str">
        <f>IFERROR(__xludf.DUMMYFUNCTION("GOOGLETRANSLATE(B33712,""en"",""es-ES"")"),"Hay una audiencia que los ve tocar.")</f>
        <v>Hay una audiencia que los ve tocar.</v>
      </c>
    </row>
    <row r="33713">
      <c r="A33713" s="4" t="s">
        <v>42421</v>
      </c>
      <c r="B33713" s="4" t="s">
        <v>42424</v>
      </c>
      <c r="C33713" s="5" t="str">
        <f>IFERROR(__xludf.DUMMYFUNCTION("GOOGLETRANSLATE(B33713,""en"",""es-ES"")"),"El hombre finge que su raqueta es una guitarra.")</f>
        <v>El hombre finge que su raqueta es una guitarra.</v>
      </c>
    </row>
    <row r="33714">
      <c r="A33714" s="4" t="s">
        <v>42425</v>
      </c>
      <c r="B33714" s="4" t="s">
        <v>42426</v>
      </c>
      <c r="C33714" s="5" t="str">
        <f>IFERROR(__xludf.DUMMYFUNCTION("GOOGLETRANSLATE(B33714,""en"",""es-ES"")"),"Un hombre es surf en el océano en una tabla de surf azul.")</f>
        <v>Un hombre es surf en el océano en una tabla de surf azul.</v>
      </c>
    </row>
    <row r="33715">
      <c r="A33715" s="4" t="s">
        <v>42425</v>
      </c>
      <c r="B33715" s="4" t="s">
        <v>42427</v>
      </c>
      <c r="C33715" s="5" t="str">
        <f>IFERROR(__xludf.DUMMYFUNCTION("GOOGLETRANSLATE(B33715,""en"",""es-ES"")"),"El agua parece azul verdoso cuando el surfista surfee a través de grandes olas.")</f>
        <v>El agua parece azul verdoso cuando el surfista surfee a través de grandes olas.</v>
      </c>
    </row>
    <row r="33716">
      <c r="A33716" s="4" t="s">
        <v>42425</v>
      </c>
      <c r="B33716" s="4" t="s">
        <v>42428</v>
      </c>
      <c r="C33716" s="5" t="str">
        <f>IFERROR(__xludf.DUMMYFUNCTION("GOOGLETRANSLATE(B33716,""en"",""es-ES"")"),"El hombre surge cerca de una playa por algunos hoteles.")</f>
        <v>El hombre surge cerca de una playa por algunos hoteles.</v>
      </c>
    </row>
    <row r="33717">
      <c r="A33717" s="4" t="s">
        <v>42425</v>
      </c>
      <c r="B33717" s="4" t="s">
        <v>42429</v>
      </c>
      <c r="C33717" s="5" t="str">
        <f>IFERROR(__xludf.DUMMYFUNCTION("GOOGLETRANSLATE(B33717,""en"",""es-ES"")"),"El surfista continúa surfeando a través de olas altas sin caerse.")</f>
        <v>El surfista continúa surfeando a través de olas altas sin caerse.</v>
      </c>
    </row>
    <row r="33718">
      <c r="A33718" s="4" t="s">
        <v>42430</v>
      </c>
      <c r="B33718" s="4" t="s">
        <v>42431</v>
      </c>
      <c r="C33718" s="5" t="str">
        <f>IFERROR(__xludf.DUMMYFUNCTION("GOOGLETRANSLATE(B33718,""en"",""es-ES"")"),"Una gimnasta actúa en la bóveda en el frente de una multitud, se voltea y cae de la bóveda.")</f>
        <v>Una gimnasta actúa en la bóveda en el frente de una multitud, se voltea y cae de la bóveda.</v>
      </c>
    </row>
    <row r="33719">
      <c r="A33719" s="4" t="s">
        <v>42430</v>
      </c>
      <c r="B33719" s="4" t="s">
        <v>42432</v>
      </c>
      <c r="C33719" s="5" t="str">
        <f>IFERROR(__xludf.DUMMYFUNCTION("GOOGLETRANSLATE(B33719,""en"",""es-ES"")"),"Luego, la gimnasta salta, voltea pero se tambalea durante su actuación.")</f>
        <v>Luego, la gimnasta salta, voltea pero se tambalea durante su actuación.</v>
      </c>
    </row>
    <row r="33720">
      <c r="A33720" s="4" t="s">
        <v>42430</v>
      </c>
      <c r="B33720" s="4" t="s">
        <v>42433</v>
      </c>
      <c r="C33720" s="5" t="str">
        <f>IFERROR(__xludf.DUMMYFUNCTION("GOOGLETRANSLATE(B33720,""en"",""es-ES"")"),"La gimnasta realiza volteas hacia atrás, luego continúa con su rutina.")</f>
        <v>La gimnasta realiza volteas hacia atrás, luego continúa con su rutina.</v>
      </c>
    </row>
    <row r="33721">
      <c r="A33721" s="4" t="s">
        <v>42430</v>
      </c>
      <c r="B33721" s="4" t="s">
        <v>42434</v>
      </c>
      <c r="C33721" s="5" t="str">
        <f>IFERROR(__xludf.DUMMYFUNCTION("GOOGLETRANSLATE(B33721,""en"",""es-ES"")"),"Luego, la gimnasta salta y hace un doble volteo y tierra se encuentra en la colchoneta.")</f>
        <v>Luego, la gimnasta salta y hace un doble volteo y tierra se encuentra en la colchoneta.</v>
      </c>
    </row>
    <row r="33722">
      <c r="A33722" s="4" t="s">
        <v>42435</v>
      </c>
      <c r="B33722" s="4" t="s">
        <v>42436</v>
      </c>
      <c r="C33722" s="5" t="str">
        <f>IFERROR(__xludf.DUMMYFUNCTION("GOOGLETRANSLATE(B33722,""en"",""es-ES"")"),"Un hombre corre y salta en varios lugares públicos con resortes en las piernas mientras los espectadores miran.")</f>
        <v>Un hombre corre y salta en varios lugares públicos con resortes en las piernas mientras los espectadores miran.</v>
      </c>
    </row>
    <row r="33723">
      <c r="A33723" s="4" t="s">
        <v>42435</v>
      </c>
      <c r="B33723" s="4" t="s">
        <v>42437</v>
      </c>
      <c r="C33723" s="5" t="str">
        <f>IFERROR(__xludf.DUMMYFUNCTION("GOOGLETRANSLATE(B33723,""en"",""es-ES"")"),"Un camarógrafo filma al hombre mientras yacía en el suelo.")</f>
        <v>Un camarógrafo filma al hombre mientras yacía en el suelo.</v>
      </c>
    </row>
    <row r="33724">
      <c r="A33724" s="4" t="s">
        <v>42435</v>
      </c>
      <c r="B33724" s="4" t="s">
        <v>42438</v>
      </c>
      <c r="C33724" s="5" t="str">
        <f>IFERROR(__xludf.DUMMYFUNCTION("GOOGLETRANSLATE(B33724,""en"",""es-ES"")"),"El hombre con manantiales salta sobre otro hombre.")</f>
        <v>El hombre con manantiales salta sobre otro hombre.</v>
      </c>
    </row>
    <row r="33725">
      <c r="A33725" s="4" t="s">
        <v>42439</v>
      </c>
      <c r="B33725" s="4" t="s">
        <v>42440</v>
      </c>
      <c r="C33725" s="5" t="str">
        <f>IFERROR(__xludf.DUMMYFUNCTION("GOOGLETRANSLATE(B33725,""en"",""es-ES"")"),"Vemos a una niña preparándose el maquillaje en la cara en un tocador de juguete.")</f>
        <v>Vemos a una niña preparándose el maquillaje en la cara en un tocador de juguete.</v>
      </c>
    </row>
    <row r="33726">
      <c r="A33726" s="4" t="s">
        <v>42439</v>
      </c>
      <c r="B33726" s="4" t="s">
        <v>42441</v>
      </c>
      <c r="C33726" s="5" t="str">
        <f>IFERROR(__xludf.DUMMYFUNCTION("GOOGLETRANSLATE(B33726,""en"",""es-ES"")"),"Ella cierra la caja de maquillaje y la abre de nuevo.")</f>
        <v>Ella cierra la caja de maquillaje y la abre de nuevo.</v>
      </c>
    </row>
    <row r="33727">
      <c r="A33727" s="4" t="s">
        <v>42439</v>
      </c>
      <c r="B33727" s="4" t="s">
        <v>42442</v>
      </c>
      <c r="C33727" s="5" t="str">
        <f>IFERROR(__xludf.DUMMYFUNCTION("GOOGLETRANSLATE(B33727,""en"",""es-ES"")"),"Ella frota la punta del cepillo con su dedo.")</f>
        <v>Ella frota la punta del cepillo con su dedo.</v>
      </c>
    </row>
    <row r="33728">
      <c r="A33728" s="4" t="s">
        <v>42443</v>
      </c>
      <c r="B33728" s="4" t="s">
        <v>42444</v>
      </c>
      <c r="C33728" s="5" t="str">
        <f>IFERROR(__xludf.DUMMYFUNCTION("GOOGLETRANSLATE(B33728,""en"",""es-ES"")"),"Cuatro hombres montan en un automóvil convertible y conducen a lo largo de una carretera del desierto.")</f>
        <v>Cuatro hombres montan en un automóvil convertible y conducen a lo largo de una carretera del desierto.</v>
      </c>
    </row>
    <row r="33729">
      <c r="A33729" s="4" t="s">
        <v>42443</v>
      </c>
      <c r="B33729" s="4" t="s">
        <v>42445</v>
      </c>
      <c r="C33729" s="5" t="str">
        <f>IFERROR(__xludf.DUMMYFUNCTION("GOOGLETRANSLATE(B33729,""en"",""es-ES"")"),"Dos amigos viajan por una escalera mecánica.")</f>
        <v>Dos amigos viajan por una escalera mecánica.</v>
      </c>
    </row>
    <row r="33730">
      <c r="A33730" s="4" t="s">
        <v>42443</v>
      </c>
      <c r="B33730" s="4" t="s">
        <v>42446</v>
      </c>
      <c r="C33730" s="5" t="str">
        <f>IFERROR(__xludf.DUMMYFUNCTION("GOOGLETRANSLATE(B33730,""en"",""es-ES"")"),"Los amigos se paran en una mesa de cartas en un casino y juegan manos.")</f>
        <v>Los amigos se paran en una mesa de cartas en un casino y juegan manos.</v>
      </c>
    </row>
    <row r="33731">
      <c r="A33731" s="4" t="s">
        <v>42443</v>
      </c>
      <c r="B33731" s="4" t="s">
        <v>42447</v>
      </c>
      <c r="C33731" s="5" t="str">
        <f>IFERROR(__xludf.DUMMYFUNCTION("GOOGLETRANSLATE(B33731,""en"",""es-ES"")"),"El hombre hace una gran apuesta y se sienta para jugar algunas manos en la mesa.")</f>
        <v>El hombre hace una gran apuesta y se sienta para jugar algunas manos en la mesa.</v>
      </c>
    </row>
    <row r="33732">
      <c r="A33732" s="4" t="s">
        <v>42443</v>
      </c>
      <c r="B33732" s="4" t="s">
        <v>42448</v>
      </c>
      <c r="C33732" s="5" t="str">
        <f>IFERROR(__xludf.DUMMYFUNCTION("GOOGLETRANSLATE(B33732,""en"",""es-ES"")"),"El hombre acumula una gran cantidad de chips.")</f>
        <v>El hombre acumula una gran cantidad de chips.</v>
      </c>
    </row>
    <row r="33733">
      <c r="A33733" s="4" t="s">
        <v>42443</v>
      </c>
      <c r="B33733" s="4" t="s">
        <v>42449</v>
      </c>
      <c r="C33733" s="5" t="str">
        <f>IFERROR(__xludf.DUMMYFUNCTION("GOOGLETRANSLATE(B33733,""en"",""es-ES"")"),"Los amigos del hombre ganan una mano y la pareja celebra.")</f>
        <v>Los amigos del hombre ganan una mano y la pareja celebra.</v>
      </c>
    </row>
    <row r="33734">
      <c r="A33734" s="4" t="s">
        <v>42443</v>
      </c>
      <c r="B33734" s="4" t="s">
        <v>42450</v>
      </c>
      <c r="C33734" s="5" t="str">
        <f>IFERROR(__xludf.DUMMYFUNCTION("GOOGLETRANSLATE(B33734,""en"",""es-ES"")"),"El hombre es rastreado por personal de seguridad y cámaras.")</f>
        <v>El hombre es rastreado por personal de seguridad y cámaras.</v>
      </c>
    </row>
    <row r="33735">
      <c r="A33735" s="4" t="s">
        <v>42443</v>
      </c>
      <c r="B33735" s="4" t="s">
        <v>42451</v>
      </c>
      <c r="C33735" s="5" t="str">
        <f>IFERROR(__xludf.DUMMYFUNCTION("GOOGLETRANSLATE(B33735,""en"",""es-ES"")"),"La mujer recurre si su silla al suelo y los hombres la ayudan.")</f>
        <v>La mujer recurre si su silla al suelo y los hombres la ayudan.</v>
      </c>
    </row>
    <row r="33736">
      <c r="A33736" s="4" t="s">
        <v>42443</v>
      </c>
      <c r="B33736" s="4" t="s">
        <v>42452</v>
      </c>
      <c r="C33736" s="5" t="str">
        <f>IFERROR(__xludf.DUMMYFUNCTION("GOOGLETRANSLATE(B33736,""en"",""es-ES"")"),"El amigo que juega se ha ido y la silla está vacía.")</f>
        <v>El amigo que juega se ha ido y la silla está vacía.</v>
      </c>
    </row>
    <row r="33737">
      <c r="A33737" s="4" t="s">
        <v>42453</v>
      </c>
      <c r="B33737" s="4" t="s">
        <v>42454</v>
      </c>
      <c r="C33737" s="5" t="str">
        <f>IFERROR(__xludf.DUMMYFUNCTION("GOOGLETRANSLATE(B33737,""en"",""es-ES"")"),"Una pareja está en el agua que fluye de un río.")</f>
        <v>Una pareja está en el agua que fluye de un río.</v>
      </c>
    </row>
    <row r="33738">
      <c r="A33738" s="4" t="s">
        <v>42453</v>
      </c>
      <c r="B33738" s="4" t="s">
        <v>42455</v>
      </c>
      <c r="C33738" s="5" t="str">
        <f>IFERROR(__xludf.DUMMYFUNCTION("GOOGLETRANSLATE(B33738,""en"",""es-ES"")"),"Están sentados junto a varios cubos.")</f>
        <v>Están sentados junto a varios cubos.</v>
      </c>
    </row>
    <row r="33739">
      <c r="A33739" s="4" t="s">
        <v>42453</v>
      </c>
      <c r="B33739" s="4" t="s">
        <v>42456</v>
      </c>
      <c r="C33739" s="5" t="str">
        <f>IFERROR(__xludf.DUMMYFUNCTION("GOOGLETRANSLATE(B33739,""en"",""es-ES"")"),"Frotan la ropa contra las rocas, tratando de limpiarlas.")</f>
        <v>Frotan la ropa contra las rocas, tratando de limpiarlas.</v>
      </c>
    </row>
    <row r="33740">
      <c r="A33740" s="4" t="s">
        <v>42457</v>
      </c>
      <c r="B33740" s="4" t="s">
        <v>42458</v>
      </c>
      <c r="C33740" s="5" t="str">
        <f>IFERROR(__xludf.DUMMYFUNCTION("GOOGLETRANSLATE(B33740,""en"",""es-ES"")"),"Una persona de madera clara para practicar fuego.")</f>
        <v>Una persona de madera clara para practicar fuego.</v>
      </c>
    </row>
    <row r="33741">
      <c r="A33741" s="4" t="s">
        <v>42457</v>
      </c>
      <c r="B33741" s="4" t="s">
        <v>42459</v>
      </c>
      <c r="C33741" s="5" t="str">
        <f>IFERROR(__xludf.DUMMYFUNCTION("GOOGLETRANSLATE(B33741,""en"",""es-ES"")"),"Luego, un hombre sopla el fuego, mientras la persona pone palos sobre el incendio naciente.")</f>
        <v>Luego, un hombre sopla el fuego, mientras la persona pone palos sobre el incendio naciente.</v>
      </c>
    </row>
    <row r="33742">
      <c r="A33742" s="4" t="s">
        <v>42457</v>
      </c>
      <c r="B33742" s="4" t="s">
        <v>42460</v>
      </c>
      <c r="C33742" s="5" t="str">
        <f>IFERROR(__xludf.DUMMYFUNCTION("GOOGLETRANSLATE(B33742,""en"",""es-ES"")"),"Después, el fuego comienza a crecer cada vez más, mientras que los hombres ponen palitos en la parte superior.")</f>
        <v>Después, el fuego comienza a crecer cada vez más, mientras que los hombres ponen palitos en la parte superior.</v>
      </c>
    </row>
    <row r="33743">
      <c r="A33743" s="4" t="s">
        <v>42461</v>
      </c>
      <c r="B33743" s="4" t="s">
        <v>42462</v>
      </c>
      <c r="C33743" s="5" t="str">
        <f>IFERROR(__xludf.DUMMYFUNCTION("GOOGLETRANSLATE(B33743,""en"",""es-ES"")"),"Un grupo de hombres está sosteniendo a Maracas en sus manos y tocando con algo de música reggae.")</f>
        <v>Un grupo de hombres está sosteniendo a Maracas en sus manos y tocando con algo de música reggae.</v>
      </c>
    </row>
    <row r="33744">
      <c r="A33744" s="4" t="s">
        <v>42461</v>
      </c>
      <c r="B33744" s="4" t="s">
        <v>42463</v>
      </c>
      <c r="C33744" s="5" t="str">
        <f>IFERROR(__xludf.DUMMYFUNCTION("GOOGLETRANSLATE(B33744,""en"",""es-ES"")"),"Uno de los hombres comienza a cantar en el micrófono.")</f>
        <v>Uno de los hombres comienza a cantar en el micrófono.</v>
      </c>
    </row>
    <row r="33745">
      <c r="A33745" s="4" t="s">
        <v>42461</v>
      </c>
      <c r="B33745" s="4" t="s">
        <v>42464</v>
      </c>
      <c r="C33745" s="5" t="str">
        <f>IFERROR(__xludf.DUMMYFUNCTION("GOOGLETRANSLATE(B33745,""en"",""es-ES"")"),"El resto de los hombres se unen a él para cantar el coro.")</f>
        <v>El resto de los hombres se unen a él para cantar el coro.</v>
      </c>
    </row>
    <row r="33746">
      <c r="A33746" s="4" t="s">
        <v>42461</v>
      </c>
      <c r="B33746" s="4" t="s">
        <v>42465</v>
      </c>
      <c r="C33746" s="5" t="str">
        <f>IFERROR(__xludf.DUMMYFUNCTION("GOOGLETRANSLATE(B33746,""en"",""es-ES"")"),"Tocan las maracas mientras cantan la canción.")</f>
        <v>Tocan las maracas mientras cantan la canción.</v>
      </c>
    </row>
    <row r="33747">
      <c r="A33747" s="4" t="s">
        <v>42461</v>
      </c>
      <c r="B33747" s="4" t="s">
        <v>42466</v>
      </c>
      <c r="C33747" s="5" t="str">
        <f>IFERROR(__xludf.DUMMYFUNCTION("GOOGLETRANSLATE(B33747,""en"",""es-ES"")"),"Los hombres también bailan mientras cantan y tocan las Maracas, el cantante principal canta solo durante algún tiempo, mientras que los demás tocan sus maracas.")</f>
        <v>Los hombres también bailan mientras cantan y tocan las Maracas, el cantante principal canta solo durante algún tiempo, mientras que los demás tocan sus maracas.</v>
      </c>
    </row>
    <row r="33748">
      <c r="A33748" s="4" t="s">
        <v>42461</v>
      </c>
      <c r="B33748" s="4" t="s">
        <v>42467</v>
      </c>
      <c r="C33748" s="5" t="str">
        <f>IFERROR(__xludf.DUMMYFUNCTION("GOOGLETRANSLATE(B33748,""en"",""es-ES"")"),"Entonces todos los hombres se unen a él para cantar la canción mientras tocan sus maracas.")</f>
        <v>Entonces todos los hombres se unen a él para cantar la canción mientras tocan sus maracas.</v>
      </c>
    </row>
    <row r="33749">
      <c r="A33749" s="4" t="s">
        <v>42468</v>
      </c>
      <c r="B33749" s="4" t="s">
        <v>42469</v>
      </c>
      <c r="C33749" s="5" t="str">
        <f>IFERROR(__xludf.DUMMYFUNCTION("GOOGLETRANSLATE(B33749,""en"",""es-ES"")"),"Dos personas bailan en un estudio de baile.")</f>
        <v>Dos personas bailan en un estudio de baile.</v>
      </c>
    </row>
    <row r="33750">
      <c r="A33750" s="4" t="s">
        <v>42468</v>
      </c>
      <c r="B33750" s="4" t="s">
        <v>42470</v>
      </c>
      <c r="C33750" s="5" t="str">
        <f>IFERROR(__xludf.DUMMYFUNCTION("GOOGLETRANSLATE(B33750,""en"",""es-ES"")"),"Primero, la mujer se balancea un poco las caderas y mueve un pie detrás del otro.")</f>
        <v>Primero, la mujer se balancea un poco las caderas y mueve un pie detrás del otro.</v>
      </c>
    </row>
    <row r="33751">
      <c r="A33751" s="4" t="s">
        <v>42468</v>
      </c>
      <c r="B33751" s="4" t="s">
        <v>42471</v>
      </c>
      <c r="C33751" s="5" t="str">
        <f>IFERROR(__xludf.DUMMYFUNCTION("GOOGLETRANSLATE(B33751,""en"",""es-ES"")"),"También les dice a los espectadores que hagan contacto visual con la persona para asegurarse de que estén cómodos y, en algún momento, el hombre la gira en círculo y regresa para que comiencen a bailar normalmente nuevamente.")</f>
        <v>También les dice a los espectadores que hagan contacto visual con la persona para asegurarse de que estén cómodos y, en algún momento, el hombre la gira en círculo y regresa para que comiencen a bailar normalmente nuevamente.</v>
      </c>
    </row>
    <row r="33752">
      <c r="A33752" s="4" t="s">
        <v>42472</v>
      </c>
      <c r="B33752" s="4" t="s">
        <v>42473</v>
      </c>
      <c r="C33752" s="5" t="str">
        <f>IFERROR(__xludf.DUMMYFUNCTION("GOOGLETRANSLATE(B33752,""en"",""es-ES"")"),"Se entrevistan a tres hombres, uno de los cuales toca el piano y canta para el entrevistador y su equipo de cámara en un pasillo estrecho.")</f>
        <v>Se entrevistan a tres hombres, uno de los cuales toca el piano y canta para el entrevistador y su equipo de cámara en un pasillo estrecho.</v>
      </c>
    </row>
    <row r="33753">
      <c r="A33753" s="4" t="s">
        <v>42472</v>
      </c>
      <c r="B33753" s="4" t="s">
        <v>42474</v>
      </c>
      <c r="C33753" s="5" t="str">
        <f>IFERROR(__xludf.DUMMYFUNCTION("GOOGLETRANSLATE(B33753,""en"",""es-ES"")"),"Cuatro hombres están en una habitación, tres de los cuales están siendo entrevistados por el cuarto hombre que tiene cabello rubio, lleva gafas y tiene un equipo de cámara con él.")</f>
        <v>Cuatro hombres están en una habitación, tres de los cuales están siendo entrevistados por el cuarto hombre que tiene cabello rubio, lleva gafas y tiene un equipo de cámara con él.</v>
      </c>
    </row>
    <row r="33754">
      <c r="A33754" s="4" t="s">
        <v>42472</v>
      </c>
      <c r="B33754" s="4" t="s">
        <v>42475</v>
      </c>
      <c r="C33754" s="5" t="str">
        <f>IFERROR(__xludf.DUMMYFUNCTION("GOOGLETRANSLATE(B33754,""en"",""es-ES"")"),"El entrevistador lleva a uno de los hombres al pasillo a un piano, donde el hombre tiene asiento.")</f>
        <v>El entrevistador lleva a uno de los hombres al pasillo a un piano, donde el hombre tiene asiento.</v>
      </c>
    </row>
    <row r="33755">
      <c r="A33755" s="4" t="s">
        <v>42472</v>
      </c>
      <c r="B33755" s="4" t="s">
        <v>42476</v>
      </c>
      <c r="C33755" s="5" t="str">
        <f>IFERROR(__xludf.DUMMYFUNCTION("GOOGLETRANSLATE(B33755,""en"",""es-ES"")"),"El hombre comienza a tocar y cantar como la tripulación de la cámara, el entrevistador y los espectadores miran, antes de que el hombre termine la canción, se levante y se vaya.")</f>
        <v>El hombre comienza a tocar y cantar como la tripulación de la cámara, el entrevistador y los espectadores miran, antes de que el hombre termine la canción, se levante y se vaya.</v>
      </c>
    </row>
    <row r="33756">
      <c r="A33756" s="4" t="s">
        <v>42477</v>
      </c>
      <c r="B33756" s="4" t="s">
        <v>42478</v>
      </c>
      <c r="C33756" s="5" t="str">
        <f>IFERROR(__xludf.DUMMYFUNCTION("GOOGLETRANSLATE(B33756,""en"",""es-ES"")"),"Vemos hombres en una habitación jugando a la piscina en un torneo.")</f>
        <v>Vemos hombres en una habitación jugando a la piscina en un torneo.</v>
      </c>
    </row>
    <row r="33757">
      <c r="A33757" s="4" t="s">
        <v>42477</v>
      </c>
      <c r="B33757" s="4" t="s">
        <v>42479</v>
      </c>
      <c r="C33757" s="5" t="str">
        <f>IFERROR(__xludf.DUMMYFUNCTION("GOOGLETRANSLATE(B33757,""en"",""es-ES"")"),"El hombre de la camisa azul se acerca para disparar.")</f>
        <v>El hombre de la camisa azul se acerca para disparar.</v>
      </c>
    </row>
    <row r="33758">
      <c r="A33758" s="4" t="s">
        <v>42477</v>
      </c>
      <c r="B33758" s="4" t="s">
        <v>42480</v>
      </c>
      <c r="C33758" s="5" t="str">
        <f>IFERROR(__xludf.DUMMYFUNCTION("GOOGLETRANSLATE(B33758,""en"",""es-ES"")"),"El hombre se aleja para intercambiar su palo de piscina.")</f>
        <v>El hombre se aleja para intercambiar su palo de piscina.</v>
      </c>
    </row>
    <row r="33759">
      <c r="A33759" s="4" t="s">
        <v>42477</v>
      </c>
      <c r="B33759" s="4" t="s">
        <v>42481</v>
      </c>
      <c r="C33759" s="5" t="str">
        <f>IFERROR(__xludf.DUMMYFUNCTION("GOOGLETRANSLATE(B33759,""en"",""es-ES"")"),"El hombre de azul hace su tiro.")</f>
        <v>El hombre de azul hace su tiro.</v>
      </c>
    </row>
    <row r="33760">
      <c r="A33760" s="4" t="s">
        <v>42477</v>
      </c>
      <c r="B33760" s="4" t="s">
        <v>42482</v>
      </c>
      <c r="C33760" s="5" t="str">
        <f>IFERROR(__xludf.DUMMYFUNCTION("GOOGLETRANSLATE(B33760,""en"",""es-ES"")"),"El hombre luego toma otro tiro.")</f>
        <v>El hombre luego toma otro tiro.</v>
      </c>
    </row>
    <row r="33761">
      <c r="A33761" s="4" t="s">
        <v>42477</v>
      </c>
      <c r="B33761" s="4" t="s">
        <v>42483</v>
      </c>
      <c r="C33761" s="5" t="str">
        <f>IFERROR(__xludf.DUMMYFUNCTION("GOOGLETRANSLATE(B33761,""en"",""es-ES"")"),"El hombre toma su tercer tiro.")</f>
        <v>El hombre toma su tercer tiro.</v>
      </c>
    </row>
    <row r="33762">
      <c r="A33762" s="4" t="s">
        <v>42477</v>
      </c>
      <c r="B33762" s="4" t="s">
        <v>42484</v>
      </c>
      <c r="C33762" s="5" t="str">
        <f>IFERROR(__xludf.DUMMYFUNCTION("GOOGLETRANSLATE(B33762,""en"",""es-ES"")"),"El hombre hace su cuarto tiro.")</f>
        <v>El hombre hace su cuarto tiro.</v>
      </c>
    </row>
    <row r="33763">
      <c r="A33763" s="4" t="s">
        <v>42477</v>
      </c>
      <c r="B33763" s="4" t="s">
        <v>42485</v>
      </c>
      <c r="C33763" s="5" t="str">
        <f>IFERROR(__xludf.DUMMYFUNCTION("GOOGLETRANSLATE(B33763,""en"",""es-ES"")"),"El hombre hace su tiro final.")</f>
        <v>El hombre hace su tiro final.</v>
      </c>
    </row>
    <row r="33764">
      <c r="A33764" s="4" t="s">
        <v>42486</v>
      </c>
      <c r="B33764" s="4" t="s">
        <v>42487</v>
      </c>
      <c r="C33764" s="5" t="str">
        <f>IFERROR(__xludf.DUMMYFUNCTION("GOOGLETRANSLATE(B33764,""en"",""es-ES"")"),"Una introducción conduce a una mujer que habla con la cámara mientras varios esquiadores la rodean.")</f>
        <v>Una introducción conduce a una mujer que habla con la cámara mientras varios esquiadores la rodean.</v>
      </c>
    </row>
    <row r="33765">
      <c r="A33765" s="4" t="s">
        <v>42486</v>
      </c>
      <c r="B33765" s="4" t="s">
        <v>42488</v>
      </c>
      <c r="C33765" s="5" t="str">
        <f>IFERROR(__xludf.DUMMYFUNCTION("GOOGLETRANSLATE(B33765,""en"",""es-ES"")"),"La cámara sigue a la niña montando por una colina nevada, además de montar ascensores de esquí y hablar nuevamente a la cámara.")</f>
        <v>La cámara sigue a la niña montando por una colina nevada, además de montar ascensores de esquí y hablar nuevamente a la cámara.</v>
      </c>
    </row>
    <row r="33766">
      <c r="A33766" s="4" t="s">
        <v>42486</v>
      </c>
      <c r="B33766" s="4" t="s">
        <v>42489</v>
      </c>
      <c r="C33766" s="5" t="str">
        <f>IFERROR(__xludf.DUMMYFUNCTION("GOOGLETRANSLATE(B33766,""en"",""es-ES"")"),"Se muestran varias tomas más de su esquí y termina con ella saludando a la cámara y varias imágenes de esquiadores.")</f>
        <v>Se muestran varias tomas más de su esquí y termina con ella saludando a la cámara y varias imágenes de esquiadores.</v>
      </c>
    </row>
    <row r="33767">
      <c r="A33767" s="4" t="s">
        <v>42490</v>
      </c>
      <c r="B33767" s="4" t="s">
        <v>42491</v>
      </c>
      <c r="C33767" s="5" t="str">
        <f>IFERROR(__xludf.DUMMYFUNCTION("GOOGLETRANSLATE(B33767,""en"",""es-ES"")"),"Se ven dos personas jugando un juego de Ping Pong el uno con el otro.")</f>
        <v>Se ven dos personas jugando un juego de Ping Pong el uno con el otro.</v>
      </c>
    </row>
    <row r="33768">
      <c r="A33768" s="4" t="s">
        <v>42490</v>
      </c>
      <c r="B33768" s="4" t="s">
        <v>42492</v>
      </c>
      <c r="C33768" s="5" t="str">
        <f>IFERROR(__xludf.DUMMYFUNCTION("GOOGLETRANSLATE(B33768,""en"",""es-ES"")"),"Golpearon la pelota hacia atrás y el cuarto en la mesa mientras la gente mira a los lados.")</f>
        <v>Golpearon la pelota hacia atrás y el cuarto en la mesa mientras la gente mira a los lados.</v>
      </c>
    </row>
    <row r="33769">
      <c r="A33769" s="4" t="s">
        <v>42490</v>
      </c>
      <c r="B33769" s="4" t="s">
        <v>42493</v>
      </c>
      <c r="C33769" s="5" t="str">
        <f>IFERROR(__xludf.DUMMYFUNCTION("GOOGLETRANSLATE(B33769,""en"",""es-ES"")"),"Los muchachos continúan reproduciendo y cuarto mientras cambian de lugar y miran a la cámara.")</f>
        <v>Los muchachos continúan reproduciendo y cuarto mientras cambian de lugar y miran a la cámara.</v>
      </c>
    </row>
    <row r="33770">
      <c r="A33770" s="4" t="s">
        <v>42494</v>
      </c>
      <c r="B33770" s="4" t="s">
        <v>42495</v>
      </c>
      <c r="C33770" s="5" t="str">
        <f>IFERROR(__xludf.DUMMYFUNCTION("GOOGLETRANSLATE(B33770,""en"",""es-ES"")"),"Se ve a una persona parada detrás de una bicicleta hablando con la cámara y mostrando primeros planos de la bicicleta.")</f>
        <v>Se ve a una persona parada detrás de una bicicleta hablando con la cámara y mostrando primeros planos de la bicicleta.</v>
      </c>
    </row>
    <row r="33771">
      <c r="A33771" s="4" t="s">
        <v>42494</v>
      </c>
      <c r="B33771" s="4" t="s">
        <v>42496</v>
      </c>
      <c r="C33771" s="5" t="str">
        <f>IFERROR(__xludf.DUMMYFUNCTION("GOOGLETRANSLATE(B33771,""en"",""es-ES"")"),"La persona continúa hablando mientras muestra su equipo y lo lleva a ajustar la configuración en su bicicleta.")</f>
        <v>La persona continúa hablando mientras muestra su equipo y lo lleva a ajustar la configuración en su bicicleta.</v>
      </c>
    </row>
    <row r="33772">
      <c r="A33772" s="4" t="s">
        <v>42497</v>
      </c>
      <c r="B33772" s="4" t="s">
        <v>42498</v>
      </c>
      <c r="C33772" s="5" t="str">
        <f>IFERROR(__xludf.DUMMYFUNCTION("GOOGLETRANSLATE(B33772,""en"",""es-ES"")"),"Una mujer vestida con un top negro está hablando de servicios de aseo estadounidenses para mascotas.")</f>
        <v>Una mujer vestida con un top negro está hablando de servicios de aseo estadounidenses para mascotas.</v>
      </c>
    </row>
    <row r="33773">
      <c r="A33773" s="4" t="s">
        <v>42497</v>
      </c>
      <c r="B33773" s="4" t="s">
        <v>42499</v>
      </c>
      <c r="C33773" s="5" t="str">
        <f>IFERROR(__xludf.DUMMYFUNCTION("GOOGLETRANSLATE(B33773,""en"",""es-ES"")"),"Ella demuestra todos los diversos servicios de aseo que su compañía brinda a las mascotas.")</f>
        <v>Ella demuestra todos los diversos servicios de aseo que su compañía brinda a las mascotas.</v>
      </c>
    </row>
    <row r="33774">
      <c r="A33774" s="4" t="s">
        <v>42497</v>
      </c>
      <c r="B33774" s="4" t="s">
        <v>42500</v>
      </c>
      <c r="C33774" s="5" t="str">
        <f>IFERROR(__xludf.DUMMYFUNCTION("GOOGLETRANSLATE(B33774,""en"",""es-ES"")"),"Hay varios peluqueros trabajando en perros mientras recortan y cortan el pelo de las mascotas y se cortan las uñas.")</f>
        <v>Hay varios peluqueros trabajando en perros mientras recortan y cortan el pelo de las mascotas y se cortan las uñas.</v>
      </c>
    </row>
    <row r="33775">
      <c r="A33775" s="4" t="s">
        <v>42497</v>
      </c>
      <c r="B33775" s="4" t="s">
        <v>42501</v>
      </c>
      <c r="C33775" s="5" t="str">
        <f>IFERROR(__xludf.DUMMYFUNCTION("GOOGLETRANSLATE(B33775,""en"",""es-ES"")"),"Los peluqueros hablan sobre de dónde se han graduado y cómo fueron contratados para el trabajo.")</f>
        <v>Los peluqueros hablan sobre de dónde se han graduado y cómo fueron contratados para el trabajo.</v>
      </c>
    </row>
    <row r="33776">
      <c r="A33776" s="4" t="s">
        <v>42497</v>
      </c>
      <c r="B33776" s="4" t="s">
        <v>42502</v>
      </c>
      <c r="C33776" s="5" t="str">
        <f>IFERROR(__xludf.DUMMYFUNCTION("GOOGLETRANSLATE(B33776,""en"",""es-ES"")"),"El video muestra cómo los diferentes perros son preparados para peluqueros profesionales que brindan servicios de calidad.")</f>
        <v>El video muestra cómo los diferentes perros son preparados para peluqueros profesionales que brindan servicios de calidad.</v>
      </c>
    </row>
    <row r="33777">
      <c r="A33777" s="4" t="s">
        <v>42503</v>
      </c>
      <c r="B33777" s="4" t="s">
        <v>42504</v>
      </c>
      <c r="C33777" s="5" t="str">
        <f>IFERROR(__xludf.DUMMYFUNCTION("GOOGLETRANSLATE(B33777,""en"",""es-ES"")"),"Varios tiros de personas que caminan por una montaña nevada son seguidos por una persona que juega en caballos.")</f>
        <v>Varios tiros de personas que caminan por una montaña nevada son seguidos por una persona que juega en caballos.</v>
      </c>
    </row>
    <row r="33778">
      <c r="A33778" s="4" t="s">
        <v>42503</v>
      </c>
      <c r="B33778" s="4" t="s">
        <v>42505</v>
      </c>
      <c r="C33778" s="5" t="str">
        <f>IFERROR(__xludf.DUMMYFUNCTION("GOOGLETRANSLATE(B33778,""en"",""es-ES"")"),"Muchas personas de lujo se ven mirando al margen mientras el juego de caballos continúa y se elige un ganador.")</f>
        <v>Muchas personas de lujo se ven mirando al margen mientras el juego de caballos continúa y se elige un ganador.</v>
      </c>
    </row>
    <row r="33779">
      <c r="A33779" s="4" t="s">
        <v>42503</v>
      </c>
      <c r="B33779" s="4" t="s">
        <v>42506</v>
      </c>
      <c r="C33779" s="5" t="str">
        <f>IFERROR(__xludf.DUMMYFUNCTION("GOOGLETRANSLATE(B33779,""en"",""es-ES"")"),"Luego, la gente llega tarde en la noche vestida y posando para fotos.")</f>
        <v>Luego, la gente llega tarde en la noche vestida y posando para fotos.</v>
      </c>
    </row>
    <row r="33780">
      <c r="A33780" s="4" t="s">
        <v>42507</v>
      </c>
      <c r="B33780" s="4" t="s">
        <v>42508</v>
      </c>
      <c r="C33780" s="5" t="str">
        <f>IFERROR(__xludf.DUMMYFUNCTION("GOOGLETRANSLATE(B33780,""en"",""es-ES"")"),"Se ve a un pequeño grupo de personas jugando varios partidos de Ping Pong entre sí en una línea de mesas.")</f>
        <v>Se ve a un pequeño grupo de personas jugando varios partidos de Ping Pong entre sí en una línea de mesas.</v>
      </c>
    </row>
    <row r="33781">
      <c r="A33781" s="4" t="s">
        <v>42507</v>
      </c>
      <c r="B33781" s="4" t="s">
        <v>42509</v>
      </c>
      <c r="C33781" s="5" t="str">
        <f>IFERROR(__xludf.DUMMYFUNCTION("GOOGLETRANSLATE(B33781,""en"",""es-ES"")"),"La gente que continúa golpeando la pelota y cuarto mientras la cámara los captura desde varios ángulos y un primer plano de un niño al final.")</f>
        <v>La gente que continúa golpeando la pelota y cuarto mientras la cámara los captura desde varios ángulos y un primer plano de un niño al final.</v>
      </c>
    </row>
    <row r="33782">
      <c r="A33782" s="4" t="s">
        <v>42510</v>
      </c>
      <c r="B33782" s="4" t="s">
        <v>42511</v>
      </c>
      <c r="C33782" s="5" t="str">
        <f>IFERROR(__xludf.DUMMYFUNCTION("GOOGLETRANSLATE(B33782,""en"",""es-ES"")"),"Una mujer está sentada en una mesa en un restaurante de comida rápida mientras come.")</f>
        <v>Una mujer está sentada en una mesa en un restaurante de comida rápida mientras come.</v>
      </c>
    </row>
    <row r="33783">
      <c r="A33783" s="4" t="s">
        <v>42510</v>
      </c>
      <c r="B33783" s="4" t="s">
        <v>42512</v>
      </c>
      <c r="C33783" s="5" t="str">
        <f>IFERROR(__xludf.DUMMYFUNCTION("GOOGLETRANSLATE(B33783,""en"",""es-ES"")"),"Ella continuamente habla a nadie mientras come.")</f>
        <v>Ella continuamente habla a nadie mientras come.</v>
      </c>
    </row>
    <row r="33784">
      <c r="A33784" s="4" t="s">
        <v>42510</v>
      </c>
      <c r="B33784" s="4" t="s">
        <v>42513</v>
      </c>
      <c r="C33784" s="5" t="str">
        <f>IFERROR(__xludf.DUMMYFUNCTION("GOOGLETRANSLATE(B33784,""en"",""es-ES"")"),"Ella se levanta y agarra su bolso, continuando hablando y riendo mientras se va.")</f>
        <v>Ella se levanta y agarra su bolso, continuando hablando y riendo mientras se va.</v>
      </c>
    </row>
    <row r="33785">
      <c r="A33785" s="4" t="s">
        <v>42514</v>
      </c>
      <c r="B33785" s="4" t="s">
        <v>42515</v>
      </c>
      <c r="C33785" s="5" t="str">
        <f>IFERROR(__xludf.DUMMYFUNCTION("GOOGLETRANSLATE(B33785,""en"",""es-ES"")"),"Vemos una balsa llena de gente en un río áspero y vemos muchas imágenes fijas.")</f>
        <v>Vemos una balsa llena de gente en un río áspero y vemos muchas imágenes fijas.</v>
      </c>
    </row>
    <row r="33786">
      <c r="A33786" s="4" t="s">
        <v>42514</v>
      </c>
      <c r="B33786" s="4" t="s">
        <v>42516</v>
      </c>
      <c r="C33786" s="5" t="str">
        <f>IFERROR(__xludf.DUMMYFUNCTION("GOOGLETRANSLATE(B33786,""en"",""es-ES"")"),"Vemos a la gente en disparos.")</f>
        <v>Vemos a la gente en disparos.</v>
      </c>
    </row>
    <row r="33787">
      <c r="A33787" s="4" t="s">
        <v>42514</v>
      </c>
      <c r="B33787" s="4" t="s">
        <v>42517</v>
      </c>
      <c r="C33787" s="5" t="str">
        <f>IFERROR(__xludf.DUMMYFUNCTION("GOOGLETRANSLATE(B33787,""en"",""es-ES"")"),"Vemos la pantalla del título.")</f>
        <v>Vemos la pantalla del título.</v>
      </c>
    </row>
    <row r="33788">
      <c r="A33788" s="4" t="s">
        <v>42514</v>
      </c>
      <c r="B33788" s="4" t="s">
        <v>42518</v>
      </c>
      <c r="C33788" s="5" t="str">
        <f>IFERROR(__xludf.DUMMYFUNCTION("GOOGLETRANSLATE(B33788,""en"",""es-ES"")"),"Vemos un helicóptero sobre un río.")</f>
        <v>Vemos un helicóptero sobre un río.</v>
      </c>
    </row>
    <row r="33789">
      <c r="A33789" s="4" t="s">
        <v>42514</v>
      </c>
      <c r="B33789" s="4" t="s">
        <v>42519</v>
      </c>
      <c r="C33789" s="5" t="str">
        <f>IFERROR(__xludf.DUMMYFUNCTION("GOOGLETRANSLATE(B33789,""en"",""es-ES"")"),"La balsa se da vuelta y una dama se ríe.")</f>
        <v>La balsa se da vuelta y una dama se ríe.</v>
      </c>
    </row>
    <row r="33790">
      <c r="A33790" s="4" t="s">
        <v>42514</v>
      </c>
      <c r="B33790" s="4" t="s">
        <v>42520</v>
      </c>
      <c r="C33790" s="5" t="str">
        <f>IFERROR(__xludf.DUMMYFUNCTION("GOOGLETRANSLATE(B33790,""en"",""es-ES"")"),"Vemos un autobús que conduce por la calle.")</f>
        <v>Vemos un autobús que conduce por la calle.</v>
      </c>
    </row>
    <row r="33791">
      <c r="A33791" s="4" t="s">
        <v>42514</v>
      </c>
      <c r="B33791" s="4" t="s">
        <v>42521</v>
      </c>
      <c r="C33791" s="5" t="str">
        <f>IFERROR(__xludf.DUMMYFUNCTION("GOOGLETRANSLATE(B33791,""en"",""es-ES"")"),"Vemos el cañón desde lejos.")</f>
        <v>Vemos el cañón desde lejos.</v>
      </c>
    </row>
    <row r="33792">
      <c r="A33792" s="4" t="s">
        <v>42514</v>
      </c>
      <c r="B33792" s="4" t="s">
        <v>42522</v>
      </c>
      <c r="C33792" s="5" t="str">
        <f>IFERROR(__xludf.DUMMYFUNCTION("GOOGLETRANSLATE(B33792,""en"",""es-ES"")"),"Vemos un túnel y una lancha rápida.")</f>
        <v>Vemos un túnel y una lancha rápida.</v>
      </c>
    </row>
    <row r="33793">
      <c r="A33793" s="4" t="s">
        <v>42514</v>
      </c>
      <c r="B33793" s="4" t="s">
        <v>42523</v>
      </c>
      <c r="C33793" s="5" t="str">
        <f>IFERROR(__xludf.DUMMYFUNCTION("GOOGLETRANSLATE(B33793,""en"",""es-ES"")"),"Vemos tiros de las vigas.")</f>
        <v>Vemos tiros de las vigas.</v>
      </c>
    </row>
    <row r="33794">
      <c r="A33794" s="4" t="s">
        <v>42514</v>
      </c>
      <c r="B33794" s="4" t="s">
        <v>777</v>
      </c>
      <c r="C33794" s="5" t="str">
        <f>IFERROR(__xludf.DUMMYFUNCTION("GOOGLETRANSLATE(B33794,""en"",""es-ES"")"),"Vemos la pantalla de título final.")</f>
        <v>Vemos la pantalla de título final.</v>
      </c>
    </row>
    <row r="33795">
      <c r="A33795" s="4" t="s">
        <v>42524</v>
      </c>
      <c r="B33795" s="4" t="s">
        <v>42525</v>
      </c>
      <c r="C33795" s="5" t="str">
        <f>IFERROR(__xludf.DUMMYFUNCTION("GOOGLETRANSLATE(B33795,""en"",""es-ES"")"),"Se ve a un hombre empujando un tablero hacia el suelo para empujar la alfombra hacia abajo.")</f>
        <v>Se ve a un hombre empujando un tablero hacia el suelo para empujar la alfombra hacia abajo.</v>
      </c>
    </row>
    <row r="33796">
      <c r="A33796" s="4" t="s">
        <v>42524</v>
      </c>
      <c r="B33796" s="4" t="s">
        <v>42526</v>
      </c>
      <c r="C33796" s="5" t="str">
        <f>IFERROR(__xludf.DUMMYFUNCTION("GOOGLETRANSLATE(B33796,""en"",""es-ES"")"),"Continúa cortando la alfombra y empujándola hacia abajo con una viga grande.")</f>
        <v>Continúa cortando la alfombra y empujándola hacia abajo con una viga grande.</v>
      </c>
    </row>
    <row r="33797">
      <c r="A33797" s="4" t="s">
        <v>42527</v>
      </c>
      <c r="B33797" s="4" t="s">
        <v>42528</v>
      </c>
      <c r="C33797" s="5" t="str">
        <f>IFERROR(__xludf.DUMMYFUNCTION("GOOGLETRANSLATE(B33797,""en"",""es-ES"")"),"Un toro en un anillo comienza a perseguir a dos hombres.")</f>
        <v>Un toro en un anillo comienza a perseguir a dos hombres.</v>
      </c>
    </row>
    <row r="33798">
      <c r="A33798" s="4" t="s">
        <v>42527</v>
      </c>
      <c r="B33798" s="4" t="s">
        <v>42529</v>
      </c>
      <c r="C33798" s="5" t="str">
        <f>IFERROR(__xludf.DUMMYFUNCTION("GOOGLETRANSLATE(B33798,""en"",""es-ES"")"),"Varios otros corren hacia el ring, y el toro se voltea mientras agarran sus cuernos y cola.")</f>
        <v>Varios otros corren hacia el ring, y el toro se voltea mientras agarran sus cuernos y cola.</v>
      </c>
    </row>
    <row r="33799">
      <c r="A33799" s="4" t="s">
        <v>42527</v>
      </c>
      <c r="B33799" s="4" t="s">
        <v>42530</v>
      </c>
      <c r="C33799" s="5" t="str">
        <f>IFERROR(__xludf.DUMMYFUNCTION("GOOGLETRANSLATE(B33799,""en"",""es-ES"")"),"Abren la puerta, pero no logran que el toro vuelva a entrar mientras los carga.")</f>
        <v>Abren la puerta, pero no logran que el toro vuelva a entrar mientras los carga.</v>
      </c>
    </row>
    <row r="33800">
      <c r="A33800" s="4" t="s">
        <v>42531</v>
      </c>
      <c r="B33800" s="4" t="s">
        <v>42532</v>
      </c>
      <c r="C33800" s="5" t="str">
        <f>IFERROR(__xludf.DUMMYFUNCTION("GOOGLETRANSLATE(B33800,""en"",""es-ES"")"),"Una persona muestra y explica un apretón de limón y muestra que la parte fue el limón.")</f>
        <v>Una persona muestra y explica un apretón de limón y muestra que la parte fue el limón.</v>
      </c>
    </row>
    <row r="33801">
      <c r="A33801" s="4" t="s">
        <v>42531</v>
      </c>
      <c r="B33801" s="4" t="s">
        <v>42533</v>
      </c>
      <c r="C33801" s="5" t="str">
        <f>IFERROR(__xludf.DUMMYFUNCTION("GOOGLETRANSLATE(B33801,""en"",""es-ES"")"),"Luego, la persona apunta a dos jarras en una mesa.")</f>
        <v>Luego, la persona apunta a dos jarras en una mesa.</v>
      </c>
    </row>
    <row r="33802">
      <c r="A33802" s="4" t="s">
        <v>42531</v>
      </c>
      <c r="B33802" s="4" t="s">
        <v>42534</v>
      </c>
      <c r="C33802" s="5" t="str">
        <f>IFERROR(__xludf.DUMMYFUNCTION("GOOGLETRANSLATE(B33802,""en"",""es-ES"")"),"Luego, la persona pone hielo en una taza y luego aprieta un limón con el apretón de limón, agrega jarabe y agua de las jarras.")</f>
        <v>Luego, la persona pone hielo en una taza y luego aprieta un limón con el apretón de limón, agrega jarabe y agua de las jarras.</v>
      </c>
    </row>
    <row r="33803">
      <c r="A33803" s="4" t="s">
        <v>42531</v>
      </c>
      <c r="B33803" s="4" t="s">
        <v>42535</v>
      </c>
      <c r="C33803" s="5" t="str">
        <f>IFERROR(__xludf.DUMMYFUNCTION("GOOGLETRANSLATE(B33803,""en"",""es-ES"")"),"Luego, la persona puso una cubierta en la taza y agite la mezcla.")</f>
        <v>Luego, la persona puso una cubierta en la taza y agite la mezcla.</v>
      </c>
    </row>
    <row r="33804">
      <c r="A33804" s="4" t="s">
        <v>42536</v>
      </c>
      <c r="B33804" s="4" t="s">
        <v>42537</v>
      </c>
      <c r="C33804" s="5" t="str">
        <f>IFERROR(__xludf.DUMMYFUNCTION("GOOGLETRANSLATE(B33804,""en"",""es-ES"")"),"Una mujer está trabajando en una máquina elíptica.")</f>
        <v>Una mujer está trabajando en una máquina elíptica.</v>
      </c>
    </row>
    <row r="33805">
      <c r="A33805" s="4" t="s">
        <v>42536</v>
      </c>
      <c r="B33805" s="4" t="s">
        <v>37573</v>
      </c>
      <c r="C33805" s="5" t="str">
        <f>IFERROR(__xludf.DUMMYFUNCTION("GOOGLETRANSLATE(B33805,""en"",""es-ES"")"),"Un hombre está trabajando en una máquina elíptica.")</f>
        <v>Un hombre está trabajando en una máquina elíptica.</v>
      </c>
    </row>
    <row r="33806">
      <c r="A33806" s="4" t="s">
        <v>42536</v>
      </c>
      <c r="B33806" s="4" t="s">
        <v>42538</v>
      </c>
      <c r="C33806" s="5" t="str">
        <f>IFERROR(__xludf.DUMMYFUNCTION("GOOGLETRANSLATE(B33806,""en"",""es-ES"")"),"Una persona conecta un teléfono celular a la máquina.")</f>
        <v>Una persona conecta un teléfono celular a la máquina.</v>
      </c>
    </row>
    <row r="33807">
      <c r="A33807" s="4" t="s">
        <v>42539</v>
      </c>
      <c r="B33807" s="4" t="s">
        <v>42540</v>
      </c>
      <c r="C33807" s="5" t="str">
        <f>IFERROR(__xludf.DUMMYFUNCTION("GOOGLETRANSLATE(B33807,""en"",""es-ES"")"),"La ciudad con edificios y rascacielos está en la parte de atrás y una mujer que sostiene un pastel está caminando y está escrita cómo envolver regalos.")</f>
        <v>La ciudad con edificios y rascacielos está en la parte de atrás y una mujer que sostiene un pastel está caminando y está escrita cómo envolver regalos.</v>
      </c>
    </row>
    <row r="33808">
      <c r="A33808" s="4" t="s">
        <v>42539</v>
      </c>
      <c r="B33808" s="4" t="s">
        <v>42541</v>
      </c>
      <c r="C33808" s="5" t="str">
        <f>IFERROR(__xludf.DUMMYFUNCTION("GOOGLETRANSLATE(B33808,""en"",""es-ES"")"),"Wmoan está sentado en una mesa y tiene una caja y una envoltura de regalo en la parte superior y muestra cómo envolver el regalo y hablar de ello.")</f>
        <v>Wmoan está sentado en una mesa y tiene una caja y una envoltura de regalo en la parte superior y muestra cómo envolver el regalo y hablar de ello.</v>
      </c>
    </row>
    <row r="33809">
      <c r="A33809" s="4" t="s">
        <v>42539</v>
      </c>
      <c r="B33809" s="4" t="s">
        <v>42542</v>
      </c>
      <c r="C33809" s="5" t="str">
        <f>IFERROR(__xludf.DUMMYFUNCTION("GOOGLETRANSLATE(B33809,""en"",""es-ES"")"),"Las cintas decoatorias se usan para hacer que una cinta supere el regalo y muestra cómo hacer cintas con ropa diferente.")</f>
        <v>Las cintas decoatorias se usan para hacer que una cinta supere el regalo y muestra cómo hacer cintas con ropa diferente.</v>
      </c>
    </row>
    <row r="33810">
      <c r="A33810" s="4" t="s">
        <v>42543</v>
      </c>
      <c r="B33810" s="4" t="s">
        <v>42544</v>
      </c>
      <c r="C33810" s="5" t="str">
        <f>IFERROR(__xludf.DUMMYFUNCTION("GOOGLETRANSLATE(B33810,""en"",""es-ES"")"),"Una niña juega un acordeo.")</f>
        <v>Una niña juega un acordeo.</v>
      </c>
    </row>
    <row r="33811">
      <c r="A33811" s="4" t="s">
        <v>42543</v>
      </c>
      <c r="B33811" s="4" t="s">
        <v>42545</v>
      </c>
      <c r="C33811" s="5" t="str">
        <f>IFERROR(__xludf.DUMMYFUNCTION("GOOGLETRANSLATE(B33811,""en"",""es-ES"")"),"La niña gira la cabeza hacia la derecha.")</f>
        <v>La niña gira la cabeza hacia la derecha.</v>
      </c>
    </row>
    <row r="33812">
      <c r="A33812" s="4" t="s">
        <v>42543</v>
      </c>
      <c r="B33812" s="4" t="s">
        <v>42546</v>
      </c>
      <c r="C33812" s="5" t="str">
        <f>IFERROR(__xludf.DUMMYFUNCTION("GOOGLETRANSLATE(B33812,""en"",""es-ES"")"),"La niña está jugando se ralentiza.")</f>
        <v>La niña está jugando se ralentiza.</v>
      </c>
    </row>
    <row r="33813">
      <c r="A33813" s="4" t="s">
        <v>42547</v>
      </c>
      <c r="B33813" s="4" t="s">
        <v>42548</v>
      </c>
      <c r="C33813" s="5" t="str">
        <f>IFERROR(__xludf.DUMMYFUNCTION("GOOGLETRANSLATE(B33813,""en"",""es-ES"")"),"Se ve a una mujer curvarse el cabello mientras habla con la cámara y lo lleva a hablar frente a los jueces.")</f>
        <v>Se ve a una mujer curvarse el cabello mientras habla con la cámara y lo lleva a hablar frente a los jueces.</v>
      </c>
    </row>
    <row r="33814">
      <c r="A33814" s="4" t="s">
        <v>42547</v>
      </c>
      <c r="B33814" s="4" t="s">
        <v>42549</v>
      </c>
      <c r="C33814" s="5" t="str">
        <f>IFERROR(__xludf.DUMMYFUNCTION("GOOGLETRANSLATE(B33814,""en"",""es-ES"")"),"Los jueces la critican y ella huye feliz y saltando del edificio.")</f>
        <v>Los jueces la critican y ella huye feliz y saltando del edificio.</v>
      </c>
    </row>
    <row r="33815">
      <c r="A33815" s="4" t="s">
        <v>42550</v>
      </c>
      <c r="B33815" s="4" t="s">
        <v>42551</v>
      </c>
      <c r="C33815" s="5" t="str">
        <f>IFERROR(__xludf.DUMMYFUNCTION("GOOGLETRANSLATE(B33815,""en"",""es-ES"")"),"Dos hombres están sentados, con los zapatos a la vista.")</f>
        <v>Dos hombres están sentados, con los zapatos a la vista.</v>
      </c>
    </row>
    <row r="33816">
      <c r="A33816" s="4" t="s">
        <v>42550</v>
      </c>
      <c r="B33816" s="4" t="s">
        <v>42552</v>
      </c>
      <c r="C33816" s="5" t="str">
        <f>IFERROR(__xludf.DUMMYFUNCTION("GOOGLETRANSLATE(B33816,""en"",""es-ES"")"),"Un hombre recoge un zapato y lo pone en su pie.")</f>
        <v>Un hombre recoge un zapato y lo pone en su pie.</v>
      </c>
    </row>
    <row r="33817">
      <c r="A33817" s="4" t="s">
        <v>42550</v>
      </c>
      <c r="B33817" s="4" t="s">
        <v>42553</v>
      </c>
      <c r="C33817" s="5" t="str">
        <f>IFERROR(__xludf.DUMMYFUNCTION("GOOGLETRANSLATE(B33817,""en"",""es-ES"")"),"Luego aplica el otro zapato, luego ata los cordones.")</f>
        <v>Luego aplica el otro zapato, luego ata los cordones.</v>
      </c>
    </row>
    <row r="33818">
      <c r="A33818" s="4" t="s">
        <v>42554</v>
      </c>
      <c r="B33818" s="4" t="s">
        <v>42555</v>
      </c>
      <c r="C33818" s="5" t="str">
        <f>IFERROR(__xludf.DUMMYFUNCTION("GOOGLETRANSLATE(B33818,""en"",""es-ES"")"),"El hombre está masticando chicle sentado en los grados.")</f>
        <v>El hombre está masticando chicle sentado en los grados.</v>
      </c>
    </row>
    <row r="33819">
      <c r="A33819" s="4" t="s">
        <v>42554</v>
      </c>
      <c r="B33819" s="4" t="s">
        <v>42556</v>
      </c>
      <c r="C33819" s="5" t="str">
        <f>IFERROR(__xludf.DUMMYFUNCTION("GOOGLETRANSLATE(B33819,""en"",""es-ES"")"),"El hombre está de pie en Ractrack sosteniendo un gran poste y corriendo para hacer un lanzamiento de jabalina.")</f>
        <v>El hombre está de pie en Ractrack sosteniendo un gran poste y corriendo para hacer un lanzamiento de jabalina.</v>
      </c>
    </row>
    <row r="33820">
      <c r="A33820" s="4" t="s">
        <v>42554</v>
      </c>
      <c r="B33820" s="4" t="s">
        <v>42557</v>
      </c>
      <c r="C33820" s="5" t="str">
        <f>IFERROR(__xludf.DUMMYFUNCTION("GOOGLETRANSLATE(B33820,""en"",""es-ES"")"),"La gente baja por las escaleras.")</f>
        <v>La gente baja por las escaleras.</v>
      </c>
    </row>
    <row r="33821">
      <c r="A33821" s="4" t="s">
        <v>42558</v>
      </c>
      <c r="B33821" s="4" t="s">
        <v>42559</v>
      </c>
      <c r="C33821" s="5" t="str">
        <f>IFERROR(__xludf.DUMMYFUNCTION("GOOGLETRANSLATE(B33821,""en"",""es-ES"")"),"Una persona se afeita las piernas.")</f>
        <v>Una persona se afeita las piernas.</v>
      </c>
    </row>
    <row r="33822">
      <c r="A33822" s="4" t="s">
        <v>42558</v>
      </c>
      <c r="B33822" s="4" t="s">
        <v>42560</v>
      </c>
      <c r="C33822" s="5" t="str">
        <f>IFERROR(__xludf.DUMMYFUNCTION("GOOGLETRANSLATE(B33822,""en"",""es-ES"")"),"Una mano pulida gestica a la persona que se afeita.")</f>
        <v>Una mano pulida gestica a la persona que se afeita.</v>
      </c>
    </row>
    <row r="33823">
      <c r="A33823" s="4" t="s">
        <v>42558</v>
      </c>
      <c r="B33823" s="4" t="s">
        <v>42561</v>
      </c>
      <c r="C33823" s="5" t="str">
        <f>IFERROR(__xludf.DUMMYFUNCTION("GOOGLETRANSLATE(B33823,""en"",""es-ES"")"),"La persona mueve la cabeza para ver debajo de su pierna.")</f>
        <v>La persona mueve la cabeza para ver debajo de su pierna.</v>
      </c>
    </row>
    <row r="33824">
      <c r="A33824" s="4" t="s">
        <v>42562</v>
      </c>
      <c r="B33824" s="4" t="s">
        <v>42563</v>
      </c>
      <c r="C33824" s="5" t="str">
        <f>IFERROR(__xludf.DUMMYFUNCTION("GOOGLETRANSLATE(B33824,""en"",""es-ES"")"),"Se ve a una mujer doblándose frente a un gran conjunto de pesas y comienza a levantarla a sus hombros.")</f>
        <v>Se ve a una mujer doblándose frente a un gran conjunto de pesas y comienza a levantarla a sus hombros.</v>
      </c>
    </row>
    <row r="33825">
      <c r="A33825" s="4" t="s">
        <v>42562</v>
      </c>
      <c r="B33825" s="4" t="s">
        <v>42564</v>
      </c>
      <c r="C33825" s="5" t="str">
        <f>IFERROR(__xludf.DUMMYFUNCTION("GOOGLETRANSLATE(B33825,""en"",""es-ES"")"),"Luego se inclina hacia abajo y vuelve a poner los pesos.")</f>
        <v>Luego se inclina hacia abajo y vuelve a poner los pesos.</v>
      </c>
    </row>
    <row r="33826">
      <c r="A33826" s="4" t="s">
        <v>42565</v>
      </c>
      <c r="B33826" s="4" t="s">
        <v>42566</v>
      </c>
      <c r="C33826" s="5" t="str">
        <f>IFERROR(__xludf.DUMMYFUNCTION("GOOGLETRANSLATE(B33826,""en"",""es-ES"")"),"Se muestran varias fotos de una playa y paisajes, así como personas que caminan por la playa.")</f>
        <v>Se muestran varias fotos de una playa y paisajes, así como personas que caminan por la playa.</v>
      </c>
    </row>
    <row r="33827">
      <c r="A33827" s="4" t="s">
        <v>42565</v>
      </c>
      <c r="B33827" s="4" t="s">
        <v>42567</v>
      </c>
      <c r="C33827" s="5" t="str">
        <f>IFERROR(__xludf.DUMMYFUNCTION("GOOGLETRANSLATE(B33827,""en"",""es-ES"")"),"Luego se muestran varios clips de personas que viajan a lo largo del agua y surfean las olas.")</f>
        <v>Luego se muestran varios clips de personas que viajan a lo largo del agua y surfean las olas.</v>
      </c>
    </row>
    <row r="33828">
      <c r="A33828" s="4" t="s">
        <v>42565</v>
      </c>
      <c r="B33828" s="4" t="s">
        <v>42568</v>
      </c>
      <c r="C33828" s="5" t="str">
        <f>IFERROR(__xludf.DUMMYFUNCTION("GOOGLETRANSLATE(B33828,""en"",""es-ES"")"),"Se muestran más disparos de personas que surgen en el agua.")</f>
        <v>Se muestran más disparos de personas que surgen en el agua.</v>
      </c>
    </row>
    <row r="33829">
      <c r="A33829" s="4" t="s">
        <v>42569</v>
      </c>
      <c r="B33829" s="4" t="s">
        <v>42570</v>
      </c>
      <c r="C33829" s="5" t="str">
        <f>IFERROR(__xludf.DUMMYFUNCTION("GOOGLETRANSLATE(B33829,""en"",""es-ES"")"),"Se ve a un hombre hablando con una mujer afuera que conduce a un juego de tijeras de papel rock.")</f>
        <v>Se ve a un hombre hablando con una mujer afuera que conduce a un juego de tijeras de papel rock.</v>
      </c>
    </row>
    <row r="33830">
      <c r="A33830" s="4" t="s">
        <v>42569</v>
      </c>
      <c r="B33830" s="4" t="s">
        <v>42571</v>
      </c>
      <c r="C33830" s="5" t="str">
        <f>IFERROR(__xludf.DUMMYFUNCTION("GOOGLETRANSLATE(B33830,""en"",""es-ES"")"),"Las chicas abofeten al hombre y él continúa jugando con varias otras chicas en la calle en varios lugares.")</f>
        <v>Las chicas abofeten al hombre y él continúa jugando con varias otras chicas en la calle en varios lugares.</v>
      </c>
    </row>
    <row r="33831">
      <c r="A33831" s="4" t="s">
        <v>42569</v>
      </c>
      <c r="B33831" s="4" t="s">
        <v>42572</v>
      </c>
      <c r="C33831" s="5" t="str">
        <f>IFERROR(__xludf.DUMMYFUNCTION("GOOGLETRANSLATE(B33831,""en"",""es-ES"")"),"Cuando el hombre gana, las chicas lo besan en la mejilla.")</f>
        <v>Cuando el hombre gana, las chicas lo besan en la mejilla.</v>
      </c>
    </row>
    <row r="33832">
      <c r="A33832" s="4" t="s">
        <v>42573</v>
      </c>
      <c r="B33832" s="4" t="s">
        <v>42574</v>
      </c>
      <c r="C33832" s="5" t="str">
        <f>IFERROR(__xludf.DUMMYFUNCTION("GOOGLETRANSLATE(B33832,""en"",""es-ES"")"),"Cuatro personas están en una piscina que golpea la pelota de un lado a otro sobre la red.")</f>
        <v>Cuatro personas están en una piscina que golpea la pelota de un lado a otro sobre la red.</v>
      </c>
    </row>
    <row r="33833">
      <c r="A33833" s="4" t="s">
        <v>42573</v>
      </c>
      <c r="B33833" s="4" t="s">
        <v>42575</v>
      </c>
      <c r="C33833" s="5" t="str">
        <f>IFERROR(__xludf.DUMMYFUNCTION("GOOGLETRANSLATE(B33833,""en"",""es-ES"")"),"Mientras juegan, alguien cruza la cámara y luego un conjunto de niños se acerca mientras sirven la pelota.")</f>
        <v>Mientras juegan, alguien cruza la cámara y luego un conjunto de niños se acerca mientras sirven la pelota.</v>
      </c>
    </row>
    <row r="33834">
      <c r="A33834" s="4" t="s">
        <v>42573</v>
      </c>
      <c r="B33834" s="4" t="s">
        <v>42576</v>
      </c>
      <c r="C33834" s="5" t="str">
        <f>IFERROR(__xludf.DUMMYFUNCTION("GOOGLETRANSLATE(B33834,""en"",""es-ES"")"),"La pelota se apaga a ambos lados y se ven obligados a salir e ir y conseguirla.")</f>
        <v>La pelota se apaga a ambos lados y se ven obligados a salir e ir y conseguirla.</v>
      </c>
    </row>
    <row r="33835">
      <c r="A33835" s="4" t="s">
        <v>42573</v>
      </c>
      <c r="B33835" s="4" t="s">
        <v>42577</v>
      </c>
      <c r="C33835" s="5" t="str">
        <f>IFERROR(__xludf.DUMMYFUNCTION("GOOGLETRANSLATE(B33835,""en"",""es-ES"")"),"Retroceden la gran pelota de playa y continúan golpeando la red entre sí.")</f>
        <v>Retroceden la gran pelota de playa y continúan golpeando la red entre sí.</v>
      </c>
    </row>
    <row r="33836">
      <c r="A33836" s="4" t="s">
        <v>42578</v>
      </c>
      <c r="B33836" s="4" t="s">
        <v>42579</v>
      </c>
      <c r="C33836" s="5" t="str">
        <f>IFERROR(__xludf.DUMMYFUNCTION("GOOGLETRANSLATE(B33836,""en"",""es-ES"")"),"Vemos a una persona cometiendo en el mar.")</f>
        <v>Vemos a una persona cometiendo en el mar.</v>
      </c>
    </row>
    <row r="33837">
      <c r="A33837" s="4" t="s">
        <v>42578</v>
      </c>
      <c r="B33837" s="4" t="s">
        <v>42580</v>
      </c>
      <c r="C33837" s="5" t="str">
        <f>IFERROR(__xludf.DUMMYFUNCTION("GOOGLETRANSLATE(B33837,""en"",""es-ES"")"),"La persona nos pasa y se da vuelta.")</f>
        <v>La persona nos pasa y se da vuelta.</v>
      </c>
    </row>
    <row r="33838">
      <c r="A33838" s="4" t="s">
        <v>42578</v>
      </c>
      <c r="B33838" s="4" t="s">
        <v>42581</v>
      </c>
      <c r="C33838" s="5" t="str">
        <f>IFERROR(__xludf.DUMMYFUNCTION("GOOGLETRANSLATE(B33838,""en"",""es-ES"")"),"La persona se detiene antes de despegar de nuevo.")</f>
        <v>La persona se detiene antes de despegar de nuevo.</v>
      </c>
    </row>
    <row r="33839">
      <c r="A33839" s="4" t="s">
        <v>42582</v>
      </c>
      <c r="B33839" s="4" t="s">
        <v>42583</v>
      </c>
      <c r="C33839" s="5" t="str">
        <f>IFERROR(__xludf.DUMMYFUNCTION("GOOGLETRANSLATE(B33839,""en"",""es-ES"")"),"Cinco personas diferentes arroja un obsequio en el aire y un perro salta y atrapa el obsequio en su boca, el perro luego pasa a la siguiente persona y hace lo mismo que muchas personas miran desde un distancias.")</f>
        <v>Cinco personas diferentes arroja un obsequio en el aire y un perro salta y atrapa el obsequio en su boca, el perro luego pasa a la siguiente persona y hace lo mismo que muchas personas miran desde un distancias.</v>
      </c>
    </row>
    <row r="33840">
      <c r="A33840" s="4" t="s">
        <v>42582</v>
      </c>
      <c r="B33840" s="4" t="s">
        <v>42584</v>
      </c>
      <c r="C33840" s="5" t="str">
        <f>IFERROR(__xludf.DUMMYFUNCTION("GOOGLETRANSLATE(B33840,""en"",""es-ES"")"),"Ahora hay dos perros que están saltando el aire atrapando regalos mientras hacen trucos.")</f>
        <v>Ahora hay dos perros que están saltando el aire atrapando regalos mientras hacen trucos.</v>
      </c>
    </row>
    <row r="33841">
      <c r="A33841" s="4" t="s">
        <v>42582</v>
      </c>
      <c r="B33841" s="4" t="s">
        <v>42585</v>
      </c>
      <c r="C33841" s="5" t="str">
        <f>IFERROR(__xludf.DUMMYFUNCTION("GOOGLETRANSLATE(B33841,""en"",""es-ES"")"),"Ahora hay una dama con un perro haciendo trucos y el perro atrapa el obsequio mientras la señora lo arroja en el aire.")</f>
        <v>Ahora hay una dama con un perro haciendo trucos y el perro atrapa el obsequio mientras la señora lo arroja en el aire.</v>
      </c>
    </row>
    <row r="33842">
      <c r="A33842" s="4" t="s">
        <v>42586</v>
      </c>
      <c r="B33842" s="4" t="s">
        <v>42587</v>
      </c>
      <c r="C33842" s="5" t="str">
        <f>IFERROR(__xludf.DUMMYFUNCTION("GOOGLETRANSLATE(B33842,""en"",""es-ES"")"),"Un hombre corta la hierba alrededor de un árbol.")</f>
        <v>Un hombre corta la hierba alrededor de un árbol.</v>
      </c>
    </row>
    <row r="33843">
      <c r="A33843" s="4" t="s">
        <v>42586</v>
      </c>
      <c r="B33843" s="4" t="s">
        <v>42588</v>
      </c>
      <c r="C33843" s="5" t="str">
        <f>IFERROR(__xludf.DUMMYFUNCTION("GOOGLETRANSLATE(B33843,""en"",""es-ES"")"),"El hombre se atasca y el cortacésped se apaga, y el hombre tiene que tirar del encendedor.")</f>
        <v>El hombre se atasca y el cortacésped se apaga, y el hombre tiene que tirar del encendedor.</v>
      </c>
    </row>
    <row r="33844">
      <c r="A33844" s="4" t="s">
        <v>42586</v>
      </c>
      <c r="B33844" s="4" t="s">
        <v>42589</v>
      </c>
      <c r="C33844" s="5" t="str">
        <f>IFERROR(__xludf.DUMMYFUNCTION("GOOGLETRANSLATE(B33844,""en"",""es-ES"")"),"Luego, el hombre continúa cortando la hierba alrededor del árbol.")</f>
        <v>Luego, el hombre continúa cortando la hierba alrededor del árbol.</v>
      </c>
    </row>
    <row r="33845">
      <c r="A33845" s="4" t="s">
        <v>42590</v>
      </c>
      <c r="B33845" s="4" t="s">
        <v>42591</v>
      </c>
      <c r="C33845" s="5" t="str">
        <f>IFERROR(__xludf.DUMMYFUNCTION("GOOGLETRANSLATE(B33845,""en"",""es-ES"")"),"Un hombre está sentado en un toro en una puerta.")</f>
        <v>Un hombre está sentado en un toro en una puerta.</v>
      </c>
    </row>
    <row r="33846">
      <c r="A33846" s="4" t="s">
        <v>42590</v>
      </c>
      <c r="B33846" s="4" t="s">
        <v>42592</v>
      </c>
      <c r="C33846" s="5" t="str">
        <f>IFERROR(__xludf.DUMMYFUNCTION("GOOGLETRANSLATE(B33846,""en"",""es-ES"")"),"El toro se libera y un hombre en un caballo lo persigue.")</f>
        <v>El toro se libera y un hombre en un caballo lo persigue.</v>
      </c>
    </row>
    <row r="33847">
      <c r="A33847" s="4" t="s">
        <v>42590</v>
      </c>
      <c r="B33847" s="4" t="s">
        <v>42593</v>
      </c>
      <c r="C33847" s="5" t="str">
        <f>IFERROR(__xludf.DUMMYFUNCTION("GOOGLETRANSLATE(B33847,""en"",""es-ES"")"),"El hombre salta del caballo y ata el toro.")</f>
        <v>El hombre salta del caballo y ata el toro.</v>
      </c>
    </row>
    <row r="33848">
      <c r="A33848" s="4" t="s">
        <v>42590</v>
      </c>
      <c r="B33848" s="4" t="s">
        <v>42594</v>
      </c>
      <c r="C33848" s="5" t="str">
        <f>IFERROR(__xludf.DUMMYFUNCTION("GOOGLETRANSLATE(B33848,""en"",""es-ES"")"),"El hombre se levanta y camina de regreso a su caballo.")</f>
        <v>El hombre se levanta y camina de regreso a su caballo.</v>
      </c>
    </row>
    <row r="33849">
      <c r="A33849" s="4" t="s">
        <v>42595</v>
      </c>
      <c r="B33849" s="4" t="s">
        <v>42596</v>
      </c>
      <c r="C33849" s="5" t="str">
        <f>IFERROR(__xludf.DUMMYFUNCTION("GOOGLETRANSLATE(B33849,""en"",""es-ES"")"),"Un niño está flotando en una balsa mientras su padre tiene una cuerda unida a ella.")</f>
        <v>Un niño está flotando en una balsa mientras su padre tiene una cuerda unida a ella.</v>
      </c>
    </row>
    <row r="33850">
      <c r="A33850" s="4" t="s">
        <v>42595</v>
      </c>
      <c r="B33850" s="4" t="s">
        <v>42597</v>
      </c>
      <c r="C33850" s="5" t="str">
        <f>IFERROR(__xludf.DUMMYFUNCTION("GOOGLETRANSLATE(B33850,""en"",""es-ES"")"),"El bote flota lentamente, tirando del niño mientras se para en su balsa.")</f>
        <v>El bote flota lentamente, tirando del niño mientras se para en su balsa.</v>
      </c>
    </row>
    <row r="33851">
      <c r="A33851" s="4" t="s">
        <v>42595</v>
      </c>
      <c r="B33851" s="4" t="s">
        <v>42598</v>
      </c>
      <c r="C33851" s="5" t="str">
        <f>IFERROR(__xludf.DUMMYFUNCTION("GOOGLETRANSLATE(B33851,""en"",""es-ES"")"),"Luego es llevado hacia los dos hombres en el bote.")</f>
        <v>Luego es llevado hacia los dos hombres en el bote.</v>
      </c>
    </row>
    <row r="33852">
      <c r="A33852" s="4" t="s">
        <v>42599</v>
      </c>
      <c r="B33852" s="4" t="s">
        <v>42600</v>
      </c>
      <c r="C33852" s="5" t="str">
        <f>IFERROR(__xludf.DUMMYFUNCTION("GOOGLETRANSLATE(B33852,""en"",""es-ES"")"),"Un niño está parado en el bosque con otro niño.")</f>
        <v>Un niño está parado en el bosque con otro niño.</v>
      </c>
    </row>
    <row r="33853">
      <c r="A33853" s="4" t="s">
        <v>42599</v>
      </c>
      <c r="B33853" s="4" t="s">
        <v>42601</v>
      </c>
      <c r="C33853" s="5" t="str">
        <f>IFERROR(__xludf.DUMMYFUNCTION("GOOGLETRANSLATE(B33853,""en"",""es-ES"")"),"Lumía un fuego, luego lo arroja a una pila.")</f>
        <v>Lumía un fuego, luego lo arroja a una pila.</v>
      </c>
    </row>
    <row r="33854">
      <c r="A33854" s="4" t="s">
        <v>42599</v>
      </c>
      <c r="B33854" s="4" t="s">
        <v>42602</v>
      </c>
      <c r="C33854" s="5" t="str">
        <f>IFERROR(__xludf.DUMMYFUNCTION("GOOGLETRANSLATE(B33854,""en"",""es-ES"")"),"Los dos muchachos miran la pila mientras arde.")</f>
        <v>Los dos muchachos miran la pila mientras arde.</v>
      </c>
    </row>
    <row r="33855">
      <c r="A33855" s="4" t="s">
        <v>42603</v>
      </c>
      <c r="B33855" s="4" t="s">
        <v>42604</v>
      </c>
      <c r="C33855" s="5" t="str">
        <f>IFERROR(__xludf.DUMMYFUNCTION("GOOGLETRANSLATE(B33855,""en"",""es-ES"")"),"Las verduras chioppadas están en un tazones en la parte superior de la mesa.")</f>
        <v>Las verduras chioppadas están en un tazones en la parte superior de la mesa.</v>
      </c>
    </row>
    <row r="33856">
      <c r="A33856" s="4" t="s">
        <v>42603</v>
      </c>
      <c r="B33856" s="4" t="s">
        <v>42605</v>
      </c>
      <c r="C33856" s="5" t="str">
        <f>IFERROR(__xludf.DUMMYFUNCTION("GOOGLETRANSLATE(B33856,""en"",""es-ES"")"),"Los ingredientes se mezclan dentro de un tazón junto con aceite, pimienta y mayonesa.")</f>
        <v>Los ingredientes se mezclan dentro de un tazón junto con aceite, pimienta y mayonesa.</v>
      </c>
    </row>
    <row r="33857">
      <c r="A33857" s="4" t="s">
        <v>42606</v>
      </c>
      <c r="B33857" s="4" t="s">
        <v>42607</v>
      </c>
      <c r="C33857" s="5" t="str">
        <f>IFERROR(__xludf.DUMMYFUNCTION("GOOGLETRANSLATE(B33857,""en"",""es-ES"")"),"Un hombre realiza un lanzamiento de martillo en un área al aire libre, enjaulado, rodeado de multitudes de personas que observan.")</f>
        <v>Un hombre realiza un lanzamiento de martillo en un área al aire libre, enjaulado, rodeado de multitudes de personas que observan.</v>
      </c>
    </row>
    <row r="33858">
      <c r="A33858" s="4" t="s">
        <v>42606</v>
      </c>
      <c r="B33858" s="4" t="s">
        <v>42608</v>
      </c>
      <c r="C33858" s="5" t="str">
        <f>IFERROR(__xludf.DUMMYFUNCTION("GOOGLETRANSLATE(B33858,""en"",""es-ES"")"),"Un hombre con una camiseta roja se acerca al círculo de jugadores en el suelo dentro de un área de cerca de metal cerrada.")</f>
        <v>Un hombre con una camiseta roja se acerca al círculo de jugadores en el suelo dentro de un área de cerca de metal cerrada.</v>
      </c>
    </row>
    <row r="33859">
      <c r="A33859" s="4" t="s">
        <v>42606</v>
      </c>
      <c r="B33859" s="4" t="s">
        <v>42609</v>
      </c>
      <c r="C33859" s="5" t="str">
        <f>IFERROR(__xludf.DUMMYFUNCTION("GOOGLETRANSLATE(B33859,""en"",""es-ES"")"),"El hombre gira una pelota, unida a una cuerda, alrededor y alrededor.")</f>
        <v>El hombre gira una pelota, unida a una cuerda, alrededor y alrededor.</v>
      </c>
    </row>
    <row r="33860">
      <c r="A33860" s="4" t="s">
        <v>42606</v>
      </c>
      <c r="B33860" s="4" t="s">
        <v>42610</v>
      </c>
      <c r="C33860" s="5" t="str">
        <f>IFERROR(__xludf.DUMMYFUNCTION("GOOGLETRANSLATE(B33860,""en"",""es-ES"")"),"El hombre deja ir la pelota y observa mientras aterriza fuera de la pantalla.")</f>
        <v>El hombre deja ir la pelota y observa mientras aterriza fuera de la pantalla.</v>
      </c>
    </row>
    <row r="33861">
      <c r="A33861" s="4" t="s">
        <v>42611</v>
      </c>
      <c r="B33861" s="4" t="s">
        <v>42612</v>
      </c>
      <c r="C33861" s="5" t="str">
        <f>IFERROR(__xludf.DUMMYFUNCTION("GOOGLETRANSLATE(B33861,""en"",""es-ES"")"),"Una mujer joven está practicando en una pista de atletismo, corriendo y saltando de altura sobre una barra alta y aterrizando en sus pies, mientras que tres hombres en el fondo están observando su práctica.")</f>
        <v>Una mujer joven está practicando en una pista de atletismo, corriendo y saltando de altura sobre una barra alta y aterrizando en sus pies, mientras que tres hombres en el fondo están observando su práctica.</v>
      </c>
    </row>
    <row r="33862">
      <c r="A33862" s="4" t="s">
        <v>42611</v>
      </c>
      <c r="B33862" s="4" t="s">
        <v>42613</v>
      </c>
      <c r="C33862" s="5" t="str">
        <f>IFERROR(__xludf.DUMMYFUNCTION("GOOGLETRANSLATE(B33862,""en"",""es-ES"")"),"La mujer salta de nuevo, esta vez corriendo un poco más rápido.")</f>
        <v>La mujer salta de nuevo, esta vez corriendo un poco más rápido.</v>
      </c>
    </row>
    <row r="33863">
      <c r="A33863" s="4" t="s">
        <v>42611</v>
      </c>
      <c r="B33863" s="4" t="s">
        <v>42614</v>
      </c>
      <c r="C33863" s="5" t="str">
        <f>IFERROR(__xludf.DUMMYFUNCTION("GOOGLETRANSLATE(B33863,""en"",""es-ES"")"),"La mujer salta de nuevo con una carrera más larga.")</f>
        <v>La mujer salta de nuevo con una carrera más larga.</v>
      </c>
    </row>
    <row r="33864">
      <c r="A33864" s="4" t="s">
        <v>42611</v>
      </c>
      <c r="B33864" s="4" t="s">
        <v>42615</v>
      </c>
      <c r="C33864" s="5" t="str">
        <f>IFERROR(__xludf.DUMMYFUNCTION("GOOGLETRANSLATE(B33864,""en"",""es-ES"")"),"Otra joven en el fondo está corriendo.")</f>
        <v>Otra joven en el fondo está corriendo.</v>
      </c>
    </row>
    <row r="33865">
      <c r="A33865" s="4" t="s">
        <v>42611</v>
      </c>
      <c r="B33865" s="4" t="s">
        <v>42616</v>
      </c>
      <c r="C33865" s="5" t="str">
        <f>IFERROR(__xludf.DUMMYFUNCTION("GOOGLETRANSLATE(B33865,""en"",""es-ES"")"),"La mujer salta nuevamente con una carrera aún más larga y agrega un pequeño salto/salto a su carrera inicial.")</f>
        <v>La mujer salta nuevamente con una carrera aún más larga y agrega un pequeño salto/salto a su carrera inicial.</v>
      </c>
    </row>
    <row r="33866">
      <c r="A33866" s="4" t="s">
        <v>42611</v>
      </c>
      <c r="B33866" s="4" t="s">
        <v>42617</v>
      </c>
      <c r="C33866" s="5" t="str">
        <f>IFERROR(__xludf.DUMMYFUNCTION("GOOGLETRANSLATE(B33866,""en"",""es-ES"")"),"Un hombre en el fondo está trotando en el campo mientras otro hombre se para y estira las piernas.")</f>
        <v>Un hombre en el fondo está trotando en el campo mientras otro hombre se para y estira las piernas.</v>
      </c>
    </row>
    <row r="33867">
      <c r="A33867" s="4" t="s">
        <v>42611</v>
      </c>
      <c r="B33867" s="4" t="s">
        <v>42618</v>
      </c>
      <c r="C33867" s="5" t="str">
        <f>IFERROR(__xludf.DUMMYFUNCTION("GOOGLETRANSLATE(B33867,""en"",""es-ES"")"),"La mujer no limpia perfectamente la barra y se cae de sus postes.")</f>
        <v>La mujer no limpia perfectamente la barra y se cae de sus postes.</v>
      </c>
    </row>
    <row r="33868">
      <c r="A33868" s="4" t="s">
        <v>42611</v>
      </c>
      <c r="B33868" s="4" t="s">
        <v>42619</v>
      </c>
      <c r="C33868" s="5" t="str">
        <f>IFERROR(__xludf.DUMMYFUNCTION("GOOGLETRANSLATE(B33868,""en"",""es-ES"")"),"La mujer salta nuevamente con una carrera aún más larga y un salto/salto más poderoso para comenzar su carrera.")</f>
        <v>La mujer salta nuevamente con una carrera aún más larga y un salto/salto más poderoso para comenzar su carrera.</v>
      </c>
    </row>
    <row r="33869">
      <c r="A33869" s="4" t="s">
        <v>42611</v>
      </c>
      <c r="B33869" s="4" t="s">
        <v>42620</v>
      </c>
      <c r="C33869" s="5" t="str">
        <f>IFERROR(__xludf.DUMMYFUNCTION("GOOGLETRANSLATE(B33869,""en"",""es-ES"")"),"La mujer salta nuevamente con la larga carrera y el poderoso salto al principio.")</f>
        <v>La mujer salta nuevamente con la larga carrera y el poderoso salto al principio.</v>
      </c>
    </row>
    <row r="33870">
      <c r="A33870" s="4" t="s">
        <v>42621</v>
      </c>
      <c r="B33870" s="4" t="s">
        <v>42622</v>
      </c>
      <c r="C33870" s="5" t="str">
        <f>IFERROR(__xludf.DUMMYFUNCTION("GOOGLETRANSLATE(B33870,""en"",""es-ES"")"),"Un par de personas están en una cancha de tenis interior.")</f>
        <v>Un par de personas están en una cancha de tenis interior.</v>
      </c>
    </row>
    <row r="33871">
      <c r="A33871" s="4" t="s">
        <v>42621</v>
      </c>
      <c r="B33871" s="4" t="s">
        <v>42623</v>
      </c>
      <c r="C33871" s="5" t="str">
        <f>IFERROR(__xludf.DUMMYFUNCTION("GOOGLETRANSLATE(B33871,""en"",""es-ES"")"),"Lanzan la pelota de un lado a otro, jugando un juego de tenis.")</f>
        <v>Lanzan la pelota de un lado a otro, jugando un juego de tenis.</v>
      </c>
    </row>
    <row r="33872">
      <c r="A33872" s="4" t="s">
        <v>42621</v>
      </c>
      <c r="B33872" s="4" t="s">
        <v>42624</v>
      </c>
      <c r="C33872" s="5" t="str">
        <f>IFERROR(__xludf.DUMMYFUNCTION("GOOGLETRANSLATE(B33872,""en"",""es-ES"")"),"Continúan jugando, tratando de ganar el juego.")</f>
        <v>Continúan jugando, tratando de ganar el juego.</v>
      </c>
    </row>
    <row r="33873">
      <c r="A33873" s="4" t="s">
        <v>42625</v>
      </c>
      <c r="B33873" s="4" t="s">
        <v>42626</v>
      </c>
      <c r="C33873" s="5" t="str">
        <f>IFERROR(__xludf.DUMMYFUNCTION("GOOGLETRANSLATE(B33873,""en"",""es-ES"")"),"La pantalla está llena de burbujas y palabras blancas, mientras que un par de manos toca el piano.")</f>
        <v>La pantalla está llena de burbujas y palabras blancas, mientras que un par de manos toca el piano.</v>
      </c>
    </row>
    <row r="33874">
      <c r="A33874" s="4" t="s">
        <v>42625</v>
      </c>
      <c r="B33874" s="4" t="s">
        <v>42627</v>
      </c>
      <c r="C33874" s="5" t="str">
        <f>IFERROR(__xludf.DUMMYFUNCTION("GOOGLETRANSLATE(B33874,""en"",""es-ES"")"),"Las burbujas y las palabras desaparecen y son solo las manos que se mueven sobre el teclado.")</f>
        <v>Las burbujas y las palabras desaparecen y son solo las manos que se mueven sobre el teclado.</v>
      </c>
    </row>
    <row r="33875">
      <c r="A33875" s="4" t="s">
        <v>42625</v>
      </c>
      <c r="B33875" s="4" t="s">
        <v>42628</v>
      </c>
      <c r="C33875" s="5" t="str">
        <f>IFERROR(__xludf.DUMMYFUNCTION("GOOGLETRANSLATE(B33875,""en"",""es-ES"")"),"Las manos desaparecen y es solo el teclado.")</f>
        <v>Las manos desaparecen y es solo el teclado.</v>
      </c>
    </row>
    <row r="33876">
      <c r="A33876" s="4" t="s">
        <v>42625</v>
      </c>
      <c r="B33876" s="4" t="s">
        <v>34352</v>
      </c>
      <c r="C33876" s="5" t="str">
        <f>IFERROR(__xludf.DUMMYFUNCTION("GOOGLETRANSLATE(B33876,""en"",""es-ES"")"),"La pantalla se desvanece hasta negra.")</f>
        <v>La pantalla se desvanece hasta negra.</v>
      </c>
    </row>
    <row r="33877">
      <c r="A33877" s="4" t="s">
        <v>42629</v>
      </c>
      <c r="B33877" s="4" t="s">
        <v>42630</v>
      </c>
      <c r="C33877" s="5" t="str">
        <f>IFERROR(__xludf.DUMMYFUNCTION("GOOGLETRANSLATE(B33877,""en"",""es-ES"")"),"Un hombre aparece antes de varios objetivos en una pared trasera.")</f>
        <v>Un hombre aparece antes de varios objetivos en una pared trasera.</v>
      </c>
    </row>
    <row r="33878">
      <c r="A33878" s="4" t="s">
        <v>42629</v>
      </c>
      <c r="B33878" s="4" t="s">
        <v>42631</v>
      </c>
      <c r="C33878" s="5" t="str">
        <f>IFERROR(__xludf.DUMMYFUNCTION("GOOGLETRANSLATE(B33878,""en"",""es-ES"")"),"Habla sobre los conceptos básicos del tiro con arco.")</f>
        <v>Habla sobre los conceptos básicos del tiro con arco.</v>
      </c>
    </row>
    <row r="33879">
      <c r="A33879" s="4" t="s">
        <v>42629</v>
      </c>
      <c r="B33879" s="4" t="s">
        <v>42632</v>
      </c>
      <c r="C33879" s="5" t="str">
        <f>IFERROR(__xludf.DUMMYFUNCTION("GOOGLETRANSLATE(B33879,""en"",""es-ES"")"),"Se muestra una mujer con un juego de tiro con arco.")</f>
        <v>Se muestra una mujer con un juego de tiro con arco.</v>
      </c>
    </row>
    <row r="33880">
      <c r="A33880" s="4" t="s">
        <v>42629</v>
      </c>
      <c r="B33880" s="4" t="s">
        <v>42633</v>
      </c>
      <c r="C33880" s="5" t="str">
        <f>IFERROR(__xludf.DUMMYFUNCTION("GOOGLETRANSLATE(B33880,""en"",""es-ES"")"),"Ella retira la flecha, luego dispara a su objetivo mientras habla.")</f>
        <v>Ella retira la flecha, luego dispara a su objetivo mientras habla.</v>
      </c>
    </row>
    <row r="33881">
      <c r="A33881" s="4" t="s">
        <v>42634</v>
      </c>
      <c r="B33881" s="4" t="s">
        <v>42635</v>
      </c>
      <c r="C33881" s="5" t="str">
        <f>IFERROR(__xludf.DUMMYFUNCTION("GOOGLETRANSLATE(B33881,""en"",""es-ES"")"),"Se muestran un montón de flores coloridas, incluidas sus etiquetas de identificación.")</f>
        <v>Se muestran un montón de flores coloridas, incluidas sus etiquetas de identificación.</v>
      </c>
    </row>
    <row r="33882">
      <c r="A33882" s="4" t="s">
        <v>42634</v>
      </c>
      <c r="B33882" s="4" t="s">
        <v>42636</v>
      </c>
      <c r="C33882" s="5" t="str">
        <f>IFERROR(__xludf.DUMMYFUNCTION("GOOGLETRANSLATE(B33882,""en"",""es-ES"")"),"Un hombre muestra abejas y diferentes razas, incluido un árbol.")</f>
        <v>Un hombre muestra abejas y diferentes razas, incluido un árbol.</v>
      </c>
    </row>
    <row r="33883">
      <c r="A33883" s="4" t="s">
        <v>42634</v>
      </c>
      <c r="B33883" s="4" t="s">
        <v>42637</v>
      </c>
      <c r="C33883" s="5" t="str">
        <f>IFERROR(__xludf.DUMMYFUNCTION("GOOGLETRANSLATE(B33883,""en"",""es-ES"")"),"Nos enseña cómo acolchar un árbol correctamente.")</f>
        <v>Nos enseña cómo acolchar un árbol correctamente.</v>
      </c>
    </row>
    <row r="33884">
      <c r="A33884" s="4" t="s">
        <v>42638</v>
      </c>
      <c r="B33884" s="4" t="s">
        <v>42639</v>
      </c>
      <c r="C33884" s="5" t="str">
        <f>IFERROR(__xludf.DUMMYFUNCTION("GOOGLETRANSLATE(B33884,""en"",""es-ES"")"),"Se muestra una botella transparente de detergente y una persona comienza a limpiar una taza con un paño.")</f>
        <v>Se muestra una botella transparente de detergente y una persona comienza a limpiar una taza con un paño.</v>
      </c>
    </row>
    <row r="33885">
      <c r="A33885" s="4" t="s">
        <v>42638</v>
      </c>
      <c r="B33885" s="4" t="s">
        <v>42640</v>
      </c>
      <c r="C33885" s="5" t="str">
        <f>IFERROR(__xludf.DUMMYFUNCTION("GOOGLETRANSLATE(B33885,""en"",""es-ES"")"),"La persona se muestra a sí misma poniéndose el guante y vuelve a lavar la taza antes de finalmente mostrar su libro sobre el producto.")</f>
        <v>La persona se muestra a sí misma poniéndose el guante y vuelve a lavar la taza antes de finalmente mostrar su libro sobre el producto.</v>
      </c>
    </row>
    <row r="33886">
      <c r="A33886" s="4" t="s">
        <v>42641</v>
      </c>
      <c r="B33886" s="4" t="s">
        <v>42642</v>
      </c>
      <c r="C33886" s="5" t="str">
        <f>IFERROR(__xludf.DUMMYFUNCTION("GOOGLETRANSLATE(B33886,""en"",""es-ES"")"),"Se muestra una revista sobre saxofones justo antes de que se muestren un par de manos tocando un saxofón.")</f>
        <v>Se muestra una revista sobre saxofones justo antes de que se muestren un par de manos tocando un saxofón.</v>
      </c>
    </row>
    <row r="33887">
      <c r="A33887" s="4" t="s">
        <v>42641</v>
      </c>
      <c r="B33887" s="4" t="s">
        <v>42643</v>
      </c>
      <c r="C33887" s="5" t="str">
        <f>IFERROR(__xludf.DUMMYFUNCTION("GOOGLETRANSLATE(B33887,""en"",""es-ES"")"),"Comienzan a aparecer varias pantallas, mostrando las manos tocando varias notas en la pantalla.")</f>
        <v>Comienzan a aparecer varias pantallas, mostrando las manos tocando varias notas en la pantalla.</v>
      </c>
    </row>
    <row r="33888">
      <c r="A33888" s="4" t="s">
        <v>42641</v>
      </c>
      <c r="B33888" s="4" t="s">
        <v>42644</v>
      </c>
      <c r="C33888" s="5" t="str">
        <f>IFERROR(__xludf.DUMMYFUNCTION("GOOGLETRANSLATE(B33888,""en"",""es-ES"")"),"La pantalla vuelve hacia atrás hasta que termina el video.")</f>
        <v>La pantalla vuelve hacia atrás hasta que termina el video.</v>
      </c>
    </row>
    <row r="33889">
      <c r="A33889" s="4" t="s">
        <v>42645</v>
      </c>
      <c r="B33889" s="4" t="s">
        <v>42646</v>
      </c>
      <c r="C33889" s="5" t="str">
        <f>IFERROR(__xludf.DUMMYFUNCTION("GOOGLETRANSLATE(B33889,""en"",""es-ES"")"),"Las pantallas de título aparecen en el video.")</f>
        <v>Las pantallas de título aparecen en el video.</v>
      </c>
    </row>
    <row r="33890">
      <c r="A33890" s="4" t="s">
        <v>42645</v>
      </c>
      <c r="B33890" s="4" t="s">
        <v>42647</v>
      </c>
      <c r="C33890" s="5" t="str">
        <f>IFERROR(__xludf.DUMMYFUNCTION("GOOGLETRANSLATE(B33890,""en"",""es-ES"")"),"Una mujer sostiene una tela en una cocina.")</f>
        <v>Una mujer sostiene una tela en una cocina.</v>
      </c>
    </row>
    <row r="33891">
      <c r="A33891" s="4" t="s">
        <v>42645</v>
      </c>
      <c r="B33891" s="4" t="s">
        <v>42648</v>
      </c>
      <c r="C33891" s="5" t="str">
        <f>IFERROR(__xludf.DUMMYFUNCTION("GOOGLETRANSLATE(B33891,""en"",""es-ES"")"),"La mujer comienza a correr agua en una bañera y un fregadero.")</f>
        <v>La mujer comienza a correr agua en una bañera y un fregadero.</v>
      </c>
    </row>
    <row r="33892">
      <c r="A33892" s="4" t="s">
        <v>42645</v>
      </c>
      <c r="B33892" s="4" t="s">
        <v>42649</v>
      </c>
      <c r="C33892" s="5" t="str">
        <f>IFERROR(__xludf.DUMMYFUNCTION("GOOGLETRANSLATE(B33892,""en"",""es-ES"")"),"La mujer lava una tela en el fregadero.")</f>
        <v>La mujer lava una tela en el fregadero.</v>
      </c>
    </row>
    <row r="33893">
      <c r="A33893" s="4" t="s">
        <v>42645</v>
      </c>
      <c r="B33893" s="4" t="s">
        <v>42650</v>
      </c>
      <c r="C33893" s="5" t="str">
        <f>IFERROR(__xludf.DUMMYFUNCTION("GOOGLETRANSLATE(B33893,""en"",""es-ES"")"),"La mujer coloca la tela húmeda en una seca y la seca.")</f>
        <v>La mujer coloca la tela húmeda en una seca y la seca.</v>
      </c>
    </row>
    <row r="33894">
      <c r="A33894" s="4" t="s">
        <v>42645</v>
      </c>
      <c r="B33894" s="4" t="s">
        <v>42651</v>
      </c>
      <c r="C33894" s="5" t="str">
        <f>IFERROR(__xludf.DUMMYFUNCTION("GOOGLETRANSLATE(B33894,""en"",""es-ES"")"),"La mujer pone el par de pantalones en una tabla de planchar.")</f>
        <v>La mujer pone el par de pantalones en una tabla de planchar.</v>
      </c>
    </row>
    <row r="33895">
      <c r="A33895" s="4" t="s">
        <v>42645</v>
      </c>
      <c r="B33895" s="4" t="s">
        <v>42652</v>
      </c>
      <c r="C33895" s="5" t="str">
        <f>IFERROR(__xludf.DUMMYFUNCTION("GOOGLETRANSLATE(B33895,""en"",""es-ES"")"),"Aparecen los créditos finales.")</f>
        <v>Aparecen los créditos finales.</v>
      </c>
    </row>
    <row r="33896">
      <c r="A33896" s="4" t="s">
        <v>42653</v>
      </c>
      <c r="B33896" s="4" t="s">
        <v>42654</v>
      </c>
      <c r="C33896" s="5" t="str">
        <f>IFERROR(__xludf.DUMMYFUNCTION("GOOGLETRANSLATE(B33896,""en"",""es-ES"")"),"Se ve a una gimnasta de pie preparada con los brazos hacia arriba que la lleva a correr y hacer voltea por una pista en un pozo.")</f>
        <v>Se ve a una gimnasta de pie preparada con los brazos hacia arriba que la lleva a correr y hacer voltea por una pista en un pozo.</v>
      </c>
    </row>
    <row r="33897">
      <c r="A33897" s="4" t="s">
        <v>42653</v>
      </c>
      <c r="B33897" s="4" t="s">
        <v>42655</v>
      </c>
      <c r="C33897" s="5" t="str">
        <f>IFERROR(__xludf.DUMMYFUNCTION("GOOGLETRANSLATE(B33897,""en"",""es-ES"")"),"Ella pone los brazos para terminar y sus saltos se muestran varias veces más en cámara lenta.")</f>
        <v>Ella pone los brazos para terminar y sus saltos se muestran varias veces más en cámara lenta.</v>
      </c>
    </row>
    <row r="33898">
      <c r="A33898" s="4" t="s">
        <v>42656</v>
      </c>
      <c r="B33898" s="4" t="s">
        <v>42657</v>
      </c>
      <c r="C33898" s="5" t="str">
        <f>IFERROR(__xludf.DUMMYFUNCTION("GOOGLETRANSLATE(B33898,""en"",""es-ES"")"),"Se muestran varios clips de muchas personas paradas en una tabla de surf y empujándose por el agua con una paleta.")</f>
        <v>Se muestran varios clips de muchas personas paradas en una tabla de surf y empujándose por el agua con una paleta.</v>
      </c>
    </row>
    <row r="33899">
      <c r="A33899" s="4" t="s">
        <v>42656</v>
      </c>
      <c r="B33899" s="4" t="s">
        <v>42658</v>
      </c>
      <c r="C33899" s="5" t="str">
        <f>IFERROR(__xludf.DUMMYFUNCTION("GOOGLETRANSLATE(B33899,""en"",""es-ES"")"),"La gente continúa remando alrededor del agua mientras se ve a muchas personas sentadas.")</f>
        <v>La gente continúa remando alrededor del agua mientras se ve a muchas personas sentadas.</v>
      </c>
    </row>
    <row r="33900">
      <c r="A33900" s="4" t="s">
        <v>42659</v>
      </c>
      <c r="B33900" s="4" t="s">
        <v>42660</v>
      </c>
      <c r="C33900" s="5" t="str">
        <f>IFERROR(__xludf.DUMMYFUNCTION("GOOGLETRANSLATE(B33900,""en"",""es-ES"")"),"Vemos a una persona montando un ascensor de esquí.")</f>
        <v>Vemos a una persona montando un ascensor de esquí.</v>
      </c>
    </row>
    <row r="33901">
      <c r="A33901" s="4" t="s">
        <v>42659</v>
      </c>
      <c r="B33901" s="4" t="s">
        <v>42661</v>
      </c>
      <c r="C33901" s="5" t="str">
        <f>IFERROR(__xludf.DUMMYFUNCTION("GOOGLETRANSLATE(B33901,""en"",""es-ES"")"),"La persona levanta la barra en la silla.")</f>
        <v>La persona levanta la barra en la silla.</v>
      </c>
    </row>
    <row r="33902">
      <c r="A33902" s="4" t="s">
        <v>42659</v>
      </c>
      <c r="B33902" s="4" t="s">
        <v>42662</v>
      </c>
      <c r="C33902" s="5" t="str">
        <f>IFERROR(__xludf.DUMMYFUNCTION("GOOGLETRANSLATE(B33902,""en"",""es-ES"")"),"La persona salta del ascensor y sube a la pendiente.")</f>
        <v>La persona salta del ascensor y sube a la pendiente.</v>
      </c>
    </row>
    <row r="33903">
      <c r="A33903" s="4" t="s">
        <v>42659</v>
      </c>
      <c r="B33903" s="4" t="s">
        <v>42663</v>
      </c>
      <c r="C33903" s="5" t="str">
        <f>IFERROR(__xludf.DUMMYFUNCTION("GOOGLETRANSLATE(B33903,""en"",""es-ES"")"),"La persona se pone sus postes de esquí.")</f>
        <v>La persona se pone sus postes de esquí.</v>
      </c>
    </row>
    <row r="33904">
      <c r="A33904" s="4" t="s">
        <v>42659</v>
      </c>
      <c r="B33904" s="4" t="s">
        <v>42664</v>
      </c>
      <c r="C33904" s="5" t="str">
        <f>IFERROR(__xludf.DUMMYFUNCTION("GOOGLETRANSLATE(B33904,""en"",""es-ES"")"),"La persona esquía rápidamente por la pendiente de esquí.")</f>
        <v>La persona esquía rápidamente por la pendiente de esquí.</v>
      </c>
    </row>
    <row r="33905">
      <c r="A33905" s="4" t="s">
        <v>42659</v>
      </c>
      <c r="B33905" s="4" t="s">
        <v>42665</v>
      </c>
      <c r="C33905" s="5" t="str">
        <f>IFERROR(__xludf.DUMMYFUNCTION("GOOGLETRANSLATE(B33905,""en"",""es-ES"")"),"La persona llega a la parte inferior de la pendiente y mira hacia arriba.")</f>
        <v>La persona llega a la parte inferior de la pendiente y mira hacia arriba.</v>
      </c>
    </row>
    <row r="33906">
      <c r="A33906" s="4" t="s">
        <v>42659</v>
      </c>
      <c r="B33906" s="4" t="s">
        <v>42666</v>
      </c>
      <c r="C33906" s="5" t="str">
        <f>IFERROR(__xludf.DUMMYFUNCTION("GOOGLETRANSLATE(B33906,""en"",""es-ES"")"),"320 La mano de la persona llega a la pantalla para apagar la cámara.")</f>
        <v>320 La mano de la persona llega a la pantalla para apagar la cámara.</v>
      </c>
    </row>
    <row r="33907">
      <c r="A33907" s="4" t="s">
        <v>42667</v>
      </c>
      <c r="B33907" s="4" t="s">
        <v>42668</v>
      </c>
      <c r="C33907" s="5" t="str">
        <f>IFERROR(__xludf.DUMMYFUNCTION("GOOGLETRANSLATE(B33907,""en"",""es-ES"")"),"Un hombre está parado en una patineta.")</f>
        <v>Un hombre está parado en una patineta.</v>
      </c>
    </row>
    <row r="33908">
      <c r="A33908" s="4" t="s">
        <v>42667</v>
      </c>
      <c r="B33908" s="4" t="s">
        <v>42669</v>
      </c>
      <c r="C33908" s="5" t="str">
        <f>IFERROR(__xludf.DUMMYFUNCTION("GOOGLETRANSLATE(B33908,""en"",""es-ES"")"),"Él recoge la patineta y la sostiene en su mano.")</f>
        <v>Él recoge la patineta y la sostiene en su mano.</v>
      </c>
    </row>
    <row r="33909">
      <c r="A33909" s="4" t="s">
        <v>42667</v>
      </c>
      <c r="B33909" s="4" t="s">
        <v>42670</v>
      </c>
      <c r="C33909" s="5" t="str">
        <f>IFERROR(__xludf.DUMMYFUNCTION("GOOGLETRANSLATE(B33909,""en"",""es-ES"")"),"Él vuelve a poner la patineta y continúa el skate.")</f>
        <v>Él vuelve a poner la patineta y continúa el skate.</v>
      </c>
    </row>
    <row r="33910">
      <c r="A33910" s="4" t="s">
        <v>42671</v>
      </c>
      <c r="B33910" s="4" t="s">
        <v>42672</v>
      </c>
      <c r="C33910" s="5" t="str">
        <f>IFERROR(__xludf.DUMMYFUNCTION("GOOGLETRANSLATE(B33910,""en"",""es-ES"")"),"Las personas se bucean en el agua con traje de buceo, peces pequeños y grandes nadan cerca de los buzos.")</f>
        <v>Las personas se bucean en el agua con traje de buceo, peces pequeños y grandes nadan cerca de los buzos.</v>
      </c>
    </row>
    <row r="33911">
      <c r="A33911" s="4" t="s">
        <v>42671</v>
      </c>
      <c r="B33911" s="4" t="s">
        <v>42673</v>
      </c>
      <c r="C33911" s="5" t="str">
        <f>IFERROR(__xludf.DUMMYFUNCTION("GOOGLETRANSLATE(B33911,""en"",""es-ES"")"),"El buceador se arrodilla en el fondo del mar agitando las manos.")</f>
        <v>El buceador se arrodilla en el fondo del mar agitando las manos.</v>
      </c>
    </row>
    <row r="33912">
      <c r="A33912" s="4" t="s">
        <v>42671</v>
      </c>
      <c r="B33912" s="4" t="s">
        <v>42674</v>
      </c>
      <c r="C33912" s="5" t="str">
        <f>IFERROR(__xludf.DUMMYFUNCTION("GOOGLETRANSLATE(B33912,""en"",""es-ES"")"),"Manta peces y un gran pez nadan en el agua.")</f>
        <v>Manta peces y un gran pez nadan en el agua.</v>
      </c>
    </row>
    <row r="33913">
      <c r="A33913" s="4" t="s">
        <v>42671</v>
      </c>
      <c r="B33913" s="4" t="s">
        <v>42675</v>
      </c>
      <c r="C33913" s="5" t="str">
        <f>IFERROR(__xludf.DUMMYFUNCTION("GOOGLETRANSLATE(B33913,""en"",""es-ES"")"),"Los buzos se para y continúan nadando en el agua.")</f>
        <v>Los buzos se para y continúan nadando en el agua.</v>
      </c>
    </row>
    <row r="33914">
      <c r="A33914" s="4" t="s">
        <v>42676</v>
      </c>
      <c r="B33914" s="4" t="s">
        <v>42677</v>
      </c>
      <c r="C33914" s="5" t="str">
        <f>IFERROR(__xludf.DUMMYFUNCTION("GOOGLETRANSLATE(B33914,""en"",""es-ES"")"),"Los hombres sostienen los techos de nieve de un depósito.")</f>
        <v>Los hombres sostienen los techos de nieve de un depósito.</v>
      </c>
    </row>
    <row r="33915">
      <c r="A33915" s="4" t="s">
        <v>42676</v>
      </c>
      <c r="B33915" s="4" t="s">
        <v>42678</v>
      </c>
      <c r="C33915" s="5" t="str">
        <f>IFERROR(__xludf.DUMMYFUNCTION("GOOGLETRANSLATE(B33915,""en"",""es-ES"")"),"Old Woman está sentada en Snowslide y está bajando por una pendiente nevada.")</f>
        <v>Old Woman está sentada en Snowslide y está bajando por una pendiente nevada.</v>
      </c>
    </row>
    <row r="33916">
      <c r="A33916" s="4" t="s">
        <v>42676</v>
      </c>
      <c r="B33916" s="4" t="s">
        <v>42679</v>
      </c>
      <c r="C33916" s="5" t="str">
        <f>IFERROR(__xludf.DUMMYFUNCTION("GOOGLETRANSLATE(B33916,""en"",""es-ES"")"),"Old Woman está en Snowslide que va por la pista de nieve.")</f>
        <v>Old Woman está en Snowslide que va por la pista de nieve.</v>
      </c>
    </row>
    <row r="33917">
      <c r="A33917" s="4" t="s">
        <v>42676</v>
      </c>
      <c r="B33917" s="4" t="s">
        <v>42680</v>
      </c>
      <c r="C33917" s="5" t="str">
        <f>IFERROR(__xludf.DUMMYFUNCTION("GOOGLETRANSLATE(B33917,""en"",""es-ES"")"),"Un hombre y una mujer están agarrando a la anciana de la espalda en un tobogán.")</f>
        <v>Un hombre y una mujer están agarrando a la anciana de la espalda en un tobogán.</v>
      </c>
    </row>
    <row r="33918">
      <c r="A33918" s="4" t="s">
        <v>42676</v>
      </c>
      <c r="B33918" s="4" t="s">
        <v>42681</v>
      </c>
      <c r="C33918" s="5" t="str">
        <f>IFERROR(__xludf.DUMMYFUNCTION("GOOGLETRANSLATE(B33918,""en"",""es-ES"")"),"Diferentes personas están bajando por la pendiente sosteniendo los techos de nieve con una cuerda.")</f>
        <v>Diferentes personas están bajando por la pendiente sosteniendo los techos de nieve con una cuerda.</v>
      </c>
    </row>
    <row r="33919">
      <c r="A33919" s="4" t="s">
        <v>42676</v>
      </c>
      <c r="B33919" s="4" t="s">
        <v>42682</v>
      </c>
      <c r="C33919" s="5" t="str">
        <f>IFERROR(__xludf.DUMMYFUNCTION("GOOGLETRANSLATE(B33919,""en"",""es-ES"")"),"Las ancianas están sentadas en el banco de Woodn hablando con la cámara.")</f>
        <v>Las ancianas están sentadas en el banco de Woodn hablando con la cámara.</v>
      </c>
    </row>
    <row r="33920">
      <c r="A33920" s="4" t="s">
        <v>42676</v>
      </c>
      <c r="B33920" s="4" t="s">
        <v>42683</v>
      </c>
      <c r="C33920" s="5" t="str">
        <f>IFERROR(__xludf.DUMMYFUNCTION("GOOGLETRANSLATE(B33920,""en"",""es-ES"")"),"Las personas mayores están sentadas y paradas frente a una cámara posando para una foto.")</f>
        <v>Las personas mayores están sentadas y paradas frente a una cámara posando para una foto.</v>
      </c>
    </row>
    <row r="33921">
      <c r="A33921" s="4" t="s">
        <v>42684</v>
      </c>
      <c r="B33921" s="4" t="s">
        <v>42685</v>
      </c>
      <c r="C33921" s="5" t="str">
        <f>IFERROR(__xludf.DUMMYFUNCTION("GOOGLETRANSLATE(B33921,""en"",""es-ES"")"),"El texto aparece en la pantalla con un enlace.")</f>
        <v>El texto aparece en la pantalla con un enlace.</v>
      </c>
    </row>
    <row r="33922">
      <c r="A33922" s="4" t="s">
        <v>42684</v>
      </c>
      <c r="B33922" s="4" t="s">
        <v>42686</v>
      </c>
      <c r="C33922" s="5" t="str">
        <f>IFERROR(__xludf.DUMMYFUNCTION("GOOGLETRANSLATE(B33922,""en"",""es-ES"")"),"La gente del uniforme marcha por la calle.")</f>
        <v>La gente del uniforme marcha por la calle.</v>
      </c>
    </row>
    <row r="33923">
      <c r="A33923" s="4" t="s">
        <v>42684</v>
      </c>
      <c r="B33923" s="4" t="s">
        <v>42687</v>
      </c>
      <c r="C33923" s="5" t="str">
        <f>IFERROR(__xludf.DUMMYFUNCTION("GOOGLETRANSLATE(B33923,""en"",""es-ES"")"),"Se corta a la multitud mirando.")</f>
        <v>Se corta a la multitud mirando.</v>
      </c>
    </row>
    <row r="33924">
      <c r="A33924" s="4" t="s">
        <v>42684</v>
      </c>
      <c r="B33924" s="4" t="s">
        <v>42688</v>
      </c>
      <c r="C33924" s="5" t="str">
        <f>IFERROR(__xludf.DUMMYFUNCTION("GOOGLETRANSLATE(B33924,""en"",""es-ES"")"),"Una banda de Marchign comienza a caminar por la calle.")</f>
        <v>Una banda de Marchign comienza a caminar por la calle.</v>
      </c>
    </row>
    <row r="33925">
      <c r="A33925" s="4" t="s">
        <v>42684</v>
      </c>
      <c r="B33925" s="4" t="s">
        <v>42689</v>
      </c>
      <c r="C33925" s="5" t="str">
        <f>IFERROR(__xludf.DUMMYFUNCTION("GOOGLETRANSLATE(B33925,""en"",""es-ES"")"),"Otro conjunto de personas uniformadas camina por la calle.")</f>
        <v>Otro conjunto de personas uniformadas camina por la calle.</v>
      </c>
    </row>
    <row r="33926">
      <c r="A33926" s="4" t="s">
        <v>42684</v>
      </c>
      <c r="B33926" s="4" t="s">
        <v>42690</v>
      </c>
      <c r="C33926" s="5" t="str">
        <f>IFERROR(__xludf.DUMMYFUNCTION("GOOGLETRANSLATE(B33926,""en"",""es-ES"")"),"Se detienen y saludan a la multitud.")</f>
        <v>Se detienen y saludan a la multitud.</v>
      </c>
    </row>
    <row r="33927">
      <c r="A33927" s="4" t="s">
        <v>42684</v>
      </c>
      <c r="B33927" s="4" t="s">
        <v>42691</v>
      </c>
      <c r="C33927" s="5" t="str">
        <f>IFERROR(__xludf.DUMMYFUNCTION("GOOGLETRANSLATE(B33927,""en"",""es-ES"")"),"Se remonta a la banda de música.")</f>
        <v>Se remonta a la banda de música.</v>
      </c>
    </row>
    <row r="33928">
      <c r="A33928" s="4" t="s">
        <v>42684</v>
      </c>
      <c r="B33928" s="4" t="s">
        <v>42692</v>
      </c>
      <c r="C33928" s="5" t="str">
        <f>IFERROR(__xludf.DUMMYFUNCTION("GOOGLETRANSLATE(B33928,""en"",""es-ES"")"),"Un caballo y un carruaje caminan por la calle seguido de la gente con uniforme.")</f>
        <v>Un caballo y un carruaje caminan por la calle seguido de la gente con uniforme.</v>
      </c>
    </row>
    <row r="33929">
      <c r="A33929" s="4" t="s">
        <v>42684</v>
      </c>
      <c r="B33929" s="4" t="s">
        <v>42693</v>
      </c>
      <c r="C33929" s="5" t="str">
        <f>IFERROR(__xludf.DUMMYFUNCTION("GOOGLETRANSLATE(B33929,""en"",""es-ES"")"),"Dos mujeres oldan las banderas.")</f>
        <v>Dos mujeres oldan las banderas.</v>
      </c>
    </row>
    <row r="33930">
      <c r="A33930" s="4" t="s">
        <v>42684</v>
      </c>
      <c r="B33930" s="4" t="s">
        <v>42694</v>
      </c>
      <c r="C33930" s="5" t="str">
        <f>IFERROR(__xludf.DUMMYFUNCTION("GOOGLETRANSLATE(B33930,""en"",""es-ES"")"),"El resto de la gente continúa marchando por la calle.")</f>
        <v>El resto de la gente continúa marchando por la calle.</v>
      </c>
    </row>
    <row r="33931">
      <c r="A33931" s="4" t="s">
        <v>42695</v>
      </c>
      <c r="B33931" s="4" t="s">
        <v>42696</v>
      </c>
      <c r="C33931" s="5" t="str">
        <f>IFERROR(__xludf.DUMMYFUNCTION("GOOGLETRANSLATE(B33931,""en"",""es-ES"")"),"Una niña atraviesa bares de mono en un patio de recreo.")</f>
        <v>Una niña atraviesa bares de mono en un patio de recreo.</v>
      </c>
    </row>
    <row r="33932">
      <c r="A33932" s="4" t="s">
        <v>42695</v>
      </c>
      <c r="B33932" s="4" t="s">
        <v>42697</v>
      </c>
      <c r="C33932" s="5" t="str">
        <f>IFERROR(__xludf.DUMMYFUNCTION("GOOGLETRANSLATE(B33932,""en"",""es-ES"")"),"Ella llega al final y salta al suelo.")</f>
        <v>Ella llega al final y salta al suelo.</v>
      </c>
    </row>
    <row r="33933">
      <c r="A33933" s="4" t="s">
        <v>42695</v>
      </c>
      <c r="B33933" s="4" t="s">
        <v>42698</v>
      </c>
      <c r="C33933" s="5" t="str">
        <f>IFERROR(__xludf.DUMMYFUNCTION("GOOGLETRANSLATE(B33933,""en"",""es-ES"")"),"Ella levanta las manos en el aire.")</f>
        <v>Ella levanta las manos en el aire.</v>
      </c>
    </row>
    <row r="33934">
      <c r="A33934" s="4" t="s">
        <v>42699</v>
      </c>
      <c r="B33934" s="4" t="s">
        <v>42700</v>
      </c>
      <c r="C33934" s="5" t="str">
        <f>IFERROR(__xludf.DUMMYFUNCTION("GOOGLETRANSLATE(B33934,""en"",""es-ES"")"),"Algunas mujeres están en un bote intentando descubrir cómo jugar ShuffleBoard.")</f>
        <v>Algunas mujeres están en un bote intentando descubrir cómo jugar ShuffleBoard.</v>
      </c>
    </row>
    <row r="33935">
      <c r="A33935" s="4" t="s">
        <v>42699</v>
      </c>
      <c r="B33935" s="4" t="s">
        <v>42701</v>
      </c>
      <c r="C33935" s="5" t="str">
        <f>IFERROR(__xludf.DUMMYFUNCTION("GOOGLETRANSLATE(B33935,""en"",""es-ES"")"),"La niña hace un shuffleboard ehot y todas las chicas comienzan a celebrar.")</f>
        <v>La niña hace un shuffleboard ehot y todas las chicas comienzan a celebrar.</v>
      </c>
    </row>
    <row r="33936">
      <c r="A33936" s="4" t="s">
        <v>42699</v>
      </c>
      <c r="B33936" s="4" t="s">
        <v>42702</v>
      </c>
      <c r="C33936" s="5" t="str">
        <f>IFERROR(__xludf.DUMMYFUNCTION("GOOGLETRANSLATE(B33936,""en"",""es-ES"")"),"Ella continúa intentando hacer disparos y actuar tonto.")</f>
        <v>Ella continúa intentando hacer disparos y actuar tonto.</v>
      </c>
    </row>
    <row r="33937">
      <c r="A33937" s="4" t="s">
        <v>42699</v>
      </c>
      <c r="B33937" s="4" t="s">
        <v>42703</v>
      </c>
      <c r="C33937" s="5" t="str">
        <f>IFERROR(__xludf.DUMMYFUNCTION("GOOGLETRANSLATE(B33937,""en"",""es-ES"")"),"Ella pone la barra de barras y el video termina.")</f>
        <v>Ella pone la barra de barras y el video termina.</v>
      </c>
    </row>
    <row r="33938">
      <c r="A33938" s="4" t="s">
        <v>42704</v>
      </c>
      <c r="B33938" s="4" t="s">
        <v>42705</v>
      </c>
      <c r="C33938" s="5" t="str">
        <f>IFERROR(__xludf.DUMMYFUNCTION("GOOGLETRANSLATE(B33938,""en"",""es-ES"")"),"Los videos de varios hombres que lanzan el disco se muestran a su vez, con los hombres que son audiencias y jueces, y los lanzamientos se reproducen en cámara lenta después.")</f>
        <v>Los videos de varios hombres que lanzan el disco se muestran a su vez, con los hombres que son audiencias y jueces, y los lanzamientos se reproducen en cámara lenta después.</v>
      </c>
    </row>
    <row r="33939">
      <c r="A33939" s="4" t="s">
        <v>42704</v>
      </c>
      <c r="B33939" s="4" t="s">
        <v>42706</v>
      </c>
      <c r="C33939" s="5" t="str">
        <f>IFERROR(__xludf.DUMMYFUNCTION("GOOGLETRANSLATE(B33939,""en"",""es-ES"")"),"Se muestra a los jueces evaluando la distancia de uno de los lanzamientos.")</f>
        <v>Se muestra a los jueces evaluando la distancia de uno de los lanzamientos.</v>
      </c>
    </row>
    <row r="33940">
      <c r="A33940" s="4" t="s">
        <v>42704</v>
      </c>
      <c r="B33940" s="4" t="s">
        <v>42707</v>
      </c>
      <c r="C33940" s="5" t="str">
        <f>IFERROR(__xludf.DUMMYFUNCTION("GOOGLETRANSLATE(B33940,""en"",""es-ES"")"),"Se muestra una vez más a los jueces evaluando la distancia de uno de los lanzamientos.")</f>
        <v>Se muestra una vez más a los jueces evaluando la distancia de uno de los lanzamientos.</v>
      </c>
    </row>
    <row r="33941">
      <c r="A33941" s="4" t="s">
        <v>42708</v>
      </c>
      <c r="B33941" s="4" t="s">
        <v>42709</v>
      </c>
      <c r="C33941" s="5" t="str">
        <f>IFERROR(__xludf.DUMMYFUNCTION("GOOGLETRANSLATE(B33941,""en"",""es-ES"")"),"Un hombre con una camisa negra se encuentra en una sala de estar con un acordeón rojo y negro.")</f>
        <v>Un hombre con una camisa negra se encuentra en una sala de estar con un acordeón rojo y negro.</v>
      </c>
    </row>
    <row r="33942">
      <c r="A33942" s="4" t="s">
        <v>42708</v>
      </c>
      <c r="B33942" s="4" t="s">
        <v>42710</v>
      </c>
      <c r="C33942" s="5" t="str">
        <f>IFERROR(__xludf.DUMMYFUNCTION("GOOGLETRANSLATE(B33942,""en"",""es-ES"")"),"El músico sentado en una silla sosteniendo un acordeón negro y se prepara para demostrar cómo tocar un acordeón.")</f>
        <v>El músico sentado en una silla sosteniendo un acordeón negro y se prepara para demostrar cómo tocar un acordeón.</v>
      </c>
    </row>
    <row r="33943">
      <c r="A33943" s="4" t="s">
        <v>42708</v>
      </c>
      <c r="B33943" s="4" t="s">
        <v>42711</v>
      </c>
      <c r="C33943" s="5" t="str">
        <f>IFERROR(__xludf.DUMMYFUNCTION("GOOGLETRANSLATE(B33943,""en"",""es-ES"")"),"El hombre demuestra jugar a un acordeo usando un acordeón marrón.")</f>
        <v>El hombre demuestra jugar a un acordeo usando un acordeón marrón.</v>
      </c>
    </row>
    <row r="33944">
      <c r="A33944" s="4" t="s">
        <v>42712</v>
      </c>
      <c r="B33944" s="4" t="s">
        <v>42713</v>
      </c>
      <c r="C33944" s="5" t="str">
        <f>IFERROR(__xludf.DUMMYFUNCTION("GOOGLETRANSLATE(B33944,""en"",""es-ES"")"),"Se ve una cometa volando alrededor del aire con una persona que cabalga detrás de la cometa en la arena.")</f>
        <v>Se ve una cometa volando alrededor del aire con una persona que cabalga detrás de la cometa en la arena.</v>
      </c>
    </row>
    <row r="33945">
      <c r="A33945" s="4" t="s">
        <v>42712</v>
      </c>
      <c r="B33945" s="4" t="s">
        <v>42714</v>
      </c>
      <c r="C33945" s="5" t="str">
        <f>IFERROR(__xludf.DUMMYFUNCTION("GOOGLETRANSLATE(B33945,""en"",""es-ES"")"),"La cámara continúa paseando por la playa capturando a la persona que vuela una cometa y él paseando y sosteniéndola.")</f>
        <v>La cámara continúa paseando por la playa capturando a la persona que vuela una cometa y él paseando y sosteniéndola.</v>
      </c>
    </row>
    <row r="33946">
      <c r="A33946" s="4" t="s">
        <v>42715</v>
      </c>
      <c r="B33946" s="4" t="s">
        <v>42716</v>
      </c>
      <c r="C33946" s="5" t="str">
        <f>IFERROR(__xludf.DUMMYFUNCTION("GOOGLETRANSLATE(B33946,""en"",""es-ES"")"),"Una persona con cabello loco aparece y la lleva a una nave espacial con gravedad esencialmente apagado.")</f>
        <v>Una persona con cabello loco aparece y la lleva a una nave espacial con gravedad esencialmente apagado.</v>
      </c>
    </row>
    <row r="33947">
      <c r="A33947" s="4" t="s">
        <v>42715</v>
      </c>
      <c r="B33947" s="4" t="s">
        <v>42717</v>
      </c>
      <c r="C33947" s="5" t="str">
        <f>IFERROR(__xludf.DUMMYFUNCTION("GOOGLETRANSLATE(B33947,""en"",""es-ES"")"),"Muestra los diversos artículos llevados a cabo una nave espacial y le pone una loción en el cabello.")</f>
        <v>Muestra los diversos artículos llevados a cabo una nave espacial y le pone una loción en el cabello.</v>
      </c>
    </row>
    <row r="33948">
      <c r="A33948" s="4" t="s">
        <v>42715</v>
      </c>
      <c r="B33948" s="4" t="s">
        <v>42718</v>
      </c>
      <c r="C33948" s="5" t="str">
        <f>IFERROR(__xludf.DUMMYFUNCTION("GOOGLETRANSLATE(B33948,""en"",""es-ES"")"),"Ella tira la loción a fondo y se seca la cabeza con una toalla.")</f>
        <v>Ella tira la loción a fondo y se seca la cabeza con una toalla.</v>
      </c>
    </row>
    <row r="33949">
      <c r="A33949" s="4" t="s">
        <v>42715</v>
      </c>
      <c r="B33949" s="4" t="s">
        <v>42719</v>
      </c>
      <c r="C33949" s="5" t="str">
        <f>IFERROR(__xludf.DUMMYFUNCTION("GOOGLETRANSLATE(B33949,""en"",""es-ES"")"),"Ella señala la cámara y se peina a través de su cabello por última vez.")</f>
        <v>Ella señala la cámara y se peina a través de su cabello por última vez.</v>
      </c>
    </row>
    <row r="33950">
      <c r="A33950" s="4" t="s">
        <v>42720</v>
      </c>
      <c r="B33950" s="4" t="s">
        <v>42721</v>
      </c>
      <c r="C33950" s="5" t="str">
        <f>IFERROR(__xludf.DUMMYFUNCTION("GOOGLETRANSLATE(B33950,""en"",""es-ES"")"),"Este hombre está sentado al aire libre puliendo los zapatos de otro hombre y ninguna de sus caras se muestra.")</f>
        <v>Este hombre está sentado al aire libre puliendo los zapatos de otro hombre y ninguna de sus caras se muestra.</v>
      </c>
    </row>
    <row r="33951">
      <c r="A33951" s="4" t="s">
        <v>42720</v>
      </c>
      <c r="B33951" s="4" t="s">
        <v>42722</v>
      </c>
      <c r="C33951" s="5" t="str">
        <f>IFERROR(__xludf.DUMMYFUNCTION("GOOGLETRANSLATE(B33951,""en"",""es-ES"")"),"El hombre está sentado en el suelo y está usando una toalla marrón para pulir los zapatos del hombre.")</f>
        <v>El hombre está sentado en el suelo y está usando una toalla marrón para pulir los zapatos del hombre.</v>
      </c>
    </row>
    <row r="33952">
      <c r="A33952" s="4" t="s">
        <v>42720</v>
      </c>
      <c r="B33952" s="4" t="s">
        <v>42723</v>
      </c>
      <c r="C33952" s="5" t="str">
        <f>IFERROR(__xludf.DUMMYFUNCTION("GOOGLETRANSLATE(B33952,""en"",""es-ES"")"),"También pone líquido en un pequeño cepillo y lo pone en los zapatos del hombre.")</f>
        <v>También pone líquido en un pequeño cepillo y lo pone en los zapatos del hombre.</v>
      </c>
    </row>
    <row r="33953">
      <c r="A33953" s="4" t="s">
        <v>42724</v>
      </c>
      <c r="B33953" s="4" t="s">
        <v>42725</v>
      </c>
      <c r="C33953" s="5" t="str">
        <f>IFERROR(__xludf.DUMMYFUNCTION("GOOGLETRANSLATE(B33953,""en"",""es-ES"")"),"Una niña voltea frente a una habitación llena de niños.")</f>
        <v>Una niña voltea frente a una habitación llena de niños.</v>
      </c>
    </row>
    <row r="33954">
      <c r="A33954" s="4" t="s">
        <v>42724</v>
      </c>
      <c r="B33954" s="4" t="s">
        <v>42726</v>
      </c>
      <c r="C33954" s="5" t="str">
        <f>IFERROR(__xludf.DUMMYFUNCTION("GOOGLETRANSLATE(B33954,""en"",""es-ES"")"),"Ella usa un hula hoop para ir en círculos.")</f>
        <v>Ella usa un hula hoop para ir en círculos.</v>
      </c>
    </row>
    <row r="33955">
      <c r="A33955" s="4" t="s">
        <v>42724</v>
      </c>
      <c r="B33955" s="4" t="s">
        <v>42727</v>
      </c>
      <c r="C33955" s="5" t="str">
        <f>IFERROR(__xludf.DUMMYFUNCTION("GOOGLETRANSLATE(B33955,""en"",""es-ES"")"),"Ella actúa tonta mientras demuestra cómo puede usar el hula hoop.")</f>
        <v>Ella actúa tonta mientras demuestra cómo puede usar el hula hoop.</v>
      </c>
    </row>
    <row r="33956">
      <c r="A33956" s="4" t="s">
        <v>42728</v>
      </c>
      <c r="B33956" s="4" t="s">
        <v>42729</v>
      </c>
      <c r="C33956" s="5" t="str">
        <f>IFERROR(__xludf.DUMMYFUNCTION("GOOGLETRANSLATE(B33956,""en"",""es-ES"")"),"Varios jugadores están en una pista de hielo.")</f>
        <v>Varios jugadores están en una pista de hielo.</v>
      </c>
    </row>
    <row r="33957">
      <c r="A33957" s="4" t="s">
        <v>42728</v>
      </c>
      <c r="B33957" s="4" t="s">
        <v>42730</v>
      </c>
      <c r="C33957" s="5" t="str">
        <f>IFERROR(__xludf.DUMMYFUNCTION("GOOGLETRANSLATE(B33957,""en"",""es-ES"")"),"Están jugando hockey uno contra el otro.")</f>
        <v>Están jugando hockey uno contra el otro.</v>
      </c>
    </row>
    <row r="33958">
      <c r="A33958" s="4" t="s">
        <v>42728</v>
      </c>
      <c r="B33958" s="4" t="s">
        <v>42731</v>
      </c>
      <c r="C33958" s="5" t="str">
        <f>IFERROR(__xludf.DUMMYFUNCTION("GOOGLETRANSLATE(B33958,""en"",""es-ES"")"),"Un equipo anota un gol.")</f>
        <v>Un equipo anota un gol.</v>
      </c>
    </row>
    <row r="33959">
      <c r="A33959" s="4" t="s">
        <v>42728</v>
      </c>
      <c r="B33959" s="4" t="s">
        <v>42732</v>
      </c>
      <c r="C33959" s="5" t="str">
        <f>IFERROR(__xludf.DUMMYFUNCTION("GOOGLETRANSLATE(B33959,""en"",""es-ES"")"),"Todos aplauden sobre el objetivo.")</f>
        <v>Todos aplauden sobre el objetivo.</v>
      </c>
    </row>
    <row r="33960">
      <c r="A33960" s="4" t="s">
        <v>42733</v>
      </c>
      <c r="B33960" s="4" t="s">
        <v>42734</v>
      </c>
      <c r="C33960" s="5" t="str">
        <f>IFERROR(__xludf.DUMMYFUNCTION("GOOGLETRANSLATE(B33960,""en"",""es-ES"")"),"Vemos a un hombre meterse en el soplador de hojas.")</f>
        <v>Vemos a un hombre meterse en el soplador de hojas.</v>
      </c>
    </row>
    <row r="33961">
      <c r="A33961" s="4" t="s">
        <v>42733</v>
      </c>
      <c r="B33961" s="4" t="s">
        <v>42735</v>
      </c>
      <c r="C33961" s="5" t="str">
        <f>IFERROR(__xludf.DUMMYFUNCTION("GOOGLETRANSLATE(B33961,""en"",""es-ES"")"),"Vemos las hojas voladas en el suelo.")</f>
        <v>Vemos las hojas voladas en el suelo.</v>
      </c>
    </row>
    <row r="33962">
      <c r="A33962" s="4" t="s">
        <v>42733</v>
      </c>
      <c r="B33962" s="4" t="s">
        <v>42736</v>
      </c>
      <c r="C33962" s="5" t="str">
        <f>IFERROR(__xludf.DUMMYFUNCTION("GOOGLETRANSLATE(B33962,""en"",""es-ES"")"),"Vemos una tubería en la máquina.")</f>
        <v>Vemos una tubería en la máquina.</v>
      </c>
    </row>
    <row r="33963">
      <c r="A33963" s="4" t="s">
        <v>42733</v>
      </c>
      <c r="B33963" s="4" t="s">
        <v>42737</v>
      </c>
      <c r="C33963" s="5" t="str">
        <f>IFERROR(__xludf.DUMMYFUNCTION("GOOGLETRANSLATE(B33963,""en"",""es-ES"")"),"Volvemos a ver las hojas voladas.")</f>
        <v>Volvemos a ver las hojas voladas.</v>
      </c>
    </row>
    <row r="33964">
      <c r="A33964" s="4" t="s">
        <v>42733</v>
      </c>
      <c r="B33964" s="4" t="s">
        <v>42738</v>
      </c>
      <c r="C33964" s="5" t="str">
        <f>IFERROR(__xludf.DUMMYFUNCTION("GOOGLETRANSLATE(B33964,""en"",""es-ES"")"),"Vemos hojas soplando en la calle.")</f>
        <v>Vemos hojas soplando en la calle.</v>
      </c>
    </row>
    <row r="33965">
      <c r="A33965" s="4" t="s">
        <v>42733</v>
      </c>
      <c r="B33965" s="4" t="s">
        <v>777</v>
      </c>
      <c r="C33965" s="5" t="str">
        <f>IFERROR(__xludf.DUMMYFUNCTION("GOOGLETRANSLATE(B33965,""en"",""es-ES"")"),"Vemos la pantalla de título final.")</f>
        <v>Vemos la pantalla de título final.</v>
      </c>
    </row>
    <row r="33966">
      <c r="A33966" s="4" t="s">
        <v>42739</v>
      </c>
      <c r="B33966" s="4" t="s">
        <v>42740</v>
      </c>
      <c r="C33966" s="5" t="str">
        <f>IFERROR(__xludf.DUMMYFUNCTION("GOOGLETRANSLATE(B33966,""en"",""es-ES"")"),"Desde el techo vemos la calle donde un automóvil está estacionado y un hombre de pie en la habitación, el hombre comienza a subir las tejas del techo.")</f>
        <v>Desde el techo vemos la calle donde un automóvil está estacionado y un hombre de pie en la habitación, el hombre comienza a subir las tejas del techo.</v>
      </c>
    </row>
    <row r="33967">
      <c r="A33967" s="4" t="s">
        <v>42739</v>
      </c>
      <c r="B33967" s="4" t="s">
        <v>42741</v>
      </c>
      <c r="C33967" s="5" t="str">
        <f>IFERROR(__xludf.DUMMYFUNCTION("GOOGLETRANSLATE(B33967,""en"",""es-ES"")"),"El hombre agrega una pieza fija de tejas y clavos en el dobladillo.")</f>
        <v>El hombre agrega una pieza fija de tejas y clavos en el dobladillo.</v>
      </c>
    </row>
    <row r="33968">
      <c r="A33968" s="4" t="s">
        <v>42739</v>
      </c>
      <c r="B33968" s="4" t="s">
        <v>42742</v>
      </c>
      <c r="C33968" s="5" t="str">
        <f>IFERROR(__xludf.DUMMYFUNCTION("GOOGLETRANSLATE(B33968,""en"",""es-ES"")"),"El hombre termina y se aleja.")</f>
        <v>El hombre termina y se aleja.</v>
      </c>
    </row>
    <row r="33969">
      <c r="A33969" s="4" t="s">
        <v>42739</v>
      </c>
      <c r="B33969" s="4" t="s">
        <v>42743</v>
      </c>
      <c r="C33969" s="5" t="str">
        <f>IFERROR(__xludf.DUMMYFUNCTION("GOOGLETRANSLATE(B33969,""en"",""es-ES"")"),"Vemos el ruck en la calle para la compañía de techos.")</f>
        <v>Vemos el ruck en la calle para la compañía de techos.</v>
      </c>
    </row>
    <row r="33970">
      <c r="A33970" s="4" t="s">
        <v>42744</v>
      </c>
      <c r="B33970" s="4" t="s">
        <v>42745</v>
      </c>
      <c r="C33970" s="5" t="str">
        <f>IFERROR(__xludf.DUMMYFUNCTION("GOOGLETRANSLATE(B33970,""en"",""es-ES"")"),"Se muestra a este hombre de pie en el agua con su gorra de piscina y sus gafas están encima de su frente.")</f>
        <v>Se muestra a este hombre de pie en el agua con su gorra de piscina y sus gafas están encima de su frente.</v>
      </c>
    </row>
    <row r="33971">
      <c r="A33971" s="4" t="s">
        <v>42744</v>
      </c>
      <c r="B33971" s="4" t="s">
        <v>42746</v>
      </c>
      <c r="C33971" s="5" t="str">
        <f>IFERROR(__xludf.DUMMYFUNCTION("GOOGLETRANSLATE(B33971,""en"",""es-ES"")"),"Luego se pone las gafas y nos muestra un par de técnicas de natación en el agua y vuelve a hablar.")</f>
        <v>Luego se pone las gafas y nos muestra un par de técnicas de natación en el agua y vuelve a hablar.</v>
      </c>
    </row>
    <row r="33972">
      <c r="A33972" s="4" t="s">
        <v>42747</v>
      </c>
      <c r="B33972" s="4" t="s">
        <v>42748</v>
      </c>
      <c r="C33972" s="5" t="str">
        <f>IFERROR(__xludf.DUMMYFUNCTION("GOOGLETRANSLATE(B33972,""en"",""es-ES"")"),"Una mujer habla en un patio trasero con ropa suelta.")</f>
        <v>Una mujer habla en un patio trasero con ropa suelta.</v>
      </c>
    </row>
    <row r="33973">
      <c r="A33973" s="4" t="s">
        <v>42747</v>
      </c>
      <c r="B33973" s="4" t="s">
        <v>42749</v>
      </c>
      <c r="C33973" s="5" t="str">
        <f>IFERROR(__xludf.DUMMYFUNCTION("GOOGLETRANSLATE(B33973,""en"",""es-ES"")"),"La mujer hace ejercicio pisando el tapete.")</f>
        <v>La mujer hace ejercicio pisando el tapete.</v>
      </c>
    </row>
    <row r="33974">
      <c r="A33974" s="4" t="s">
        <v>42750</v>
      </c>
      <c r="B33974" s="4" t="s">
        <v>42751</v>
      </c>
      <c r="C33974" s="5" t="str">
        <f>IFERROR(__xludf.DUMMYFUNCTION("GOOGLETRANSLATE(B33974,""en"",""es-ES"")"),"Dos hombres están sentados frente a un mostrador en una cocina.")</f>
        <v>Dos hombres están sentados frente a un mostrador en una cocina.</v>
      </c>
    </row>
    <row r="33975">
      <c r="A33975" s="4" t="s">
        <v>42750</v>
      </c>
      <c r="B33975" s="4" t="s">
        <v>42752</v>
      </c>
      <c r="C33975" s="5" t="str">
        <f>IFERROR(__xludf.DUMMYFUNCTION("GOOGLETRANSLATE(B33975,""en"",""es-ES"")"),"Los hombres comienzan a mezclar un pastel.")</f>
        <v>Los hombres comienzan a mezclar un pastel.</v>
      </c>
    </row>
    <row r="33976">
      <c r="A33976" s="4" t="s">
        <v>42750</v>
      </c>
      <c r="B33976" s="4" t="s">
        <v>42753</v>
      </c>
      <c r="C33976" s="5" t="str">
        <f>IFERROR(__xludf.DUMMYFUNCTION("GOOGLETRANSLATE(B33976,""en"",""es-ES"")"),"El hombre está en la cocina y vierte algunos ingredientes dentro de una olla de cocción y mezcle mientras hirve agua y coloca la olla encima del agua hervida.")</f>
        <v>El hombre está en la cocina y vierte algunos ingredientes dentro de una olla de cocción y mezcle mientras hirve agua y coloca la olla encima del agua hervida.</v>
      </c>
    </row>
    <row r="33977">
      <c r="A33977" s="4" t="s">
        <v>42750</v>
      </c>
      <c r="B33977" s="4" t="s">
        <v>42754</v>
      </c>
      <c r="C33977" s="5" t="str">
        <f>IFERROR(__xludf.DUMMYFUNCTION("GOOGLETRANSLATE(B33977,""en"",""es-ES"")"),"El hombre comienza a mezclar una ayuda para la cocina y crear una crema blanca.")</f>
        <v>El hombre comienza a mezclar una ayuda para la cocina y crear una crema blanca.</v>
      </c>
    </row>
    <row r="33978">
      <c r="A33978" s="4" t="s">
        <v>42755</v>
      </c>
      <c r="B33978" s="4" t="s">
        <v>42756</v>
      </c>
      <c r="C33978" s="5" t="str">
        <f>IFERROR(__xludf.DUMMYFUNCTION("GOOGLETRANSLATE(B33978,""en"",""es-ES"")"),"Se ve a un gran grupo de personas de pie alrededor de una playa, así como varias tomas de automóviles y personas que montan toros.")</f>
        <v>Se ve a un gran grupo de personas de pie alrededor de una playa, así como varias tomas de automóviles y personas que montan toros.</v>
      </c>
    </row>
    <row r="33979">
      <c r="A33979" s="4" t="s">
        <v>42755</v>
      </c>
      <c r="B33979" s="4" t="s">
        <v>42757</v>
      </c>
      <c r="C33979" s="5" t="str">
        <f>IFERROR(__xludf.DUMMYFUNCTION("GOOGLETRANSLATE(B33979,""en"",""es-ES"")"),"Varias personas viajan en los Bulls y se sientan en los autos, así como terminan con un juego de voleibol y celebrando.")</f>
        <v>Varias personas viajan en los Bulls y se sientan en los autos, así como terminan con un juego de voleibol y celebrando.</v>
      </c>
    </row>
    <row r="33980">
      <c r="A33980" s="4" t="s">
        <v>42758</v>
      </c>
      <c r="B33980" s="4" t="s">
        <v>42759</v>
      </c>
      <c r="C33980" s="5" t="str">
        <f>IFERROR(__xludf.DUMMYFUNCTION("GOOGLETRANSLATE(B33980,""en"",""es-ES"")"),"Una bicicleta con un neumático desinflado atraviesa la tierra.")</f>
        <v>Una bicicleta con un neumático desinflado atraviesa la tierra.</v>
      </c>
    </row>
    <row r="33981">
      <c r="A33981" s="4" t="s">
        <v>42758</v>
      </c>
      <c r="B33981" s="4" t="s">
        <v>42760</v>
      </c>
      <c r="C33981" s="5" t="str">
        <f>IFERROR(__xludf.DUMMYFUNCTION("GOOGLETRANSLATE(B33981,""en"",""es-ES"")"),"Un hombre se sale de la bicicleta para mirarla.")</f>
        <v>Un hombre se sale de la bicicleta para mirarla.</v>
      </c>
    </row>
    <row r="33982">
      <c r="A33982" s="4" t="s">
        <v>42758</v>
      </c>
      <c r="B33982" s="4" t="s">
        <v>42761</v>
      </c>
      <c r="C33982" s="5" t="str">
        <f>IFERROR(__xludf.DUMMYFUNCTION("GOOGLETRANSLATE(B33982,""en"",""es-ES"")"),"Elimina el neumático de la bicicleta.")</f>
        <v>Elimina el neumático de la bicicleta.</v>
      </c>
    </row>
    <row r="33983">
      <c r="A33983" s="4" t="s">
        <v>42758</v>
      </c>
      <c r="B33983" s="4" t="s">
        <v>42762</v>
      </c>
      <c r="C33983" s="5" t="str">
        <f>IFERROR(__xludf.DUMMYFUNCTION("GOOGLETRANSLATE(B33983,""en"",""es-ES"")"),"Él reemplaza el tubo del neumático y fija la bicicleta.")</f>
        <v>Él reemplaza el tubo del neumático y fija la bicicleta.</v>
      </c>
    </row>
    <row r="33984">
      <c r="A33984" s="4" t="s">
        <v>42763</v>
      </c>
      <c r="B33984" s="4" t="s">
        <v>42764</v>
      </c>
      <c r="C33984" s="5" t="str">
        <f>IFERROR(__xludf.DUMMYFUNCTION("GOOGLETRANSLATE(B33984,""en"",""es-ES"")"),"Un hombre con un traje rojo húmedo está sentado en una carroza hablando de manera casual.")</f>
        <v>Un hombre con un traje rojo húmedo está sentado en una carroza hablando de manera casual.</v>
      </c>
    </row>
    <row r="33985">
      <c r="A33985" s="4" t="s">
        <v>42763</v>
      </c>
      <c r="B33985" s="4" t="s">
        <v>42765</v>
      </c>
      <c r="C33985" s="5" t="str">
        <f>IFERROR(__xludf.DUMMYFUNCTION("GOOGLETRANSLATE(B33985,""en"",""es-ES"")"),"Junto a Hime hay muchas otras personas en sus propias carrozas, solo relajándose.")</f>
        <v>Junto a Hime hay muchas otras personas en sus propias carrozas, solo relajándose.</v>
      </c>
    </row>
    <row r="33986">
      <c r="A33986" s="4" t="s">
        <v>42763</v>
      </c>
      <c r="B33986" s="4" t="s">
        <v>42766</v>
      </c>
      <c r="C33986" s="5" t="str">
        <f>IFERROR(__xludf.DUMMYFUNCTION("GOOGLETRANSLATE(B33986,""en"",""es-ES"")"),"Están flotando a través del río pasando todo el paisaje verde.")</f>
        <v>Están flotando a través del río pasando todo el paisaje verde.</v>
      </c>
    </row>
    <row r="33987">
      <c r="A33987" s="4" t="s">
        <v>42763</v>
      </c>
      <c r="B33987" s="4" t="s">
        <v>42767</v>
      </c>
      <c r="C33987" s="5" t="str">
        <f>IFERROR(__xludf.DUMMYFUNCTION("GOOGLETRANSLATE(B33987,""en"",""es-ES"")"),"El hombre con el traje rojo húmedo está liderando el camino.")</f>
        <v>El hombre con el traje rojo húmedo está liderando el camino.</v>
      </c>
    </row>
    <row r="33988">
      <c r="A33988" s="4" t="s">
        <v>42768</v>
      </c>
      <c r="B33988" s="4" t="s">
        <v>42769</v>
      </c>
      <c r="C33988" s="5" t="str">
        <f>IFERROR(__xludf.DUMMYFUNCTION("GOOGLETRANSLATE(B33988,""en"",""es-ES"")"),"Un niño surfe en una gran ola.")</f>
        <v>Un niño surfe en una gran ola.</v>
      </c>
    </row>
    <row r="33989">
      <c r="A33989" s="4" t="s">
        <v>42768</v>
      </c>
      <c r="B33989" s="4" t="s">
        <v>42770</v>
      </c>
      <c r="C33989" s="5" t="str">
        <f>IFERROR(__xludf.DUMMYFUNCTION("GOOGLETRANSLATE(B33989,""en"",""es-ES"")"),"Un grupo de personas se enciende en las tablas de surf en una ola.")</f>
        <v>Un grupo de personas se enciende en las tablas de surf en una ola.</v>
      </c>
    </row>
    <row r="33990">
      <c r="A33990" s="4" t="s">
        <v>42768</v>
      </c>
      <c r="B33990" s="4" t="s">
        <v>42771</v>
      </c>
      <c r="C33990" s="5" t="str">
        <f>IFERROR(__xludf.DUMMYFUNCTION("GOOGLETRANSLATE(B33990,""en"",""es-ES"")"),"De repente, un niño se encuentra con un surf debajo de la ola.")</f>
        <v>De repente, un niño se encuentra con un surf debajo de la ola.</v>
      </c>
    </row>
    <row r="33991">
      <c r="A33991" s="4" t="s">
        <v>42768</v>
      </c>
      <c r="B33991" s="4" t="s">
        <v>42772</v>
      </c>
      <c r="C33991" s="5" t="str">
        <f>IFERROR(__xludf.DUMMYFUNCTION("GOOGLETRANSLATE(B33991,""en"",""es-ES"")"),"Los hombres se paran en la playa con tablas de surf.")</f>
        <v>Los hombres se paran en la playa con tablas de surf.</v>
      </c>
    </row>
    <row r="33992">
      <c r="A33992" s="4" t="s">
        <v>42773</v>
      </c>
      <c r="B33992" s="4" t="s">
        <v>42774</v>
      </c>
      <c r="C33992" s="5" t="str">
        <f>IFERROR(__xludf.DUMMYFUNCTION("GOOGLETRANSLATE(B33992,""en"",""es-ES"")"),"Se muestra una foto del moño de una joven y luego aparece la dama.")</f>
        <v>Se muestra una foto del moño de una joven y luego aparece la dama.</v>
      </c>
    </row>
    <row r="33993">
      <c r="A33993" s="4" t="s">
        <v>42773</v>
      </c>
      <c r="B33993" s="4" t="s">
        <v>42775</v>
      </c>
      <c r="C33993" s="5" t="str">
        <f>IFERROR(__xludf.DUMMYFUNCTION("GOOGLETRANSLATE(B33993,""en"",""es-ES"")"),"Ella comienza trenzándose un lado de su cabello y luego lo gira y hace lo mismo en el otro lado.")</f>
        <v>Ella comienza trenzándose un lado de su cabello y luego lo gira y hace lo mismo en el otro lado.</v>
      </c>
    </row>
    <row r="33994">
      <c r="A33994" s="4" t="s">
        <v>42773</v>
      </c>
      <c r="B33994" s="4" t="s">
        <v>42776</v>
      </c>
      <c r="C33994" s="5" t="str">
        <f>IFERROR(__xludf.DUMMYFUNCTION("GOOGLETRANSLATE(B33994,""en"",""es-ES"")"),"Con un giro, lo levanta y lo pasea con el otro lado.")</f>
        <v>Con un giro, lo levanta y lo pasea con el otro lado.</v>
      </c>
    </row>
    <row r="33995">
      <c r="A33995" s="4" t="s">
        <v>42773</v>
      </c>
      <c r="B33995" s="4" t="s">
        <v>42777</v>
      </c>
      <c r="C33995" s="5" t="str">
        <f>IFERROR(__xludf.DUMMYFUNCTION("GOOGLETRANSLATE(B33995,""en"",""es-ES"")"),"El estilo del cabello se completa y ella se muestran nuevamente del producto de acabado.")</f>
        <v>El estilo del cabello se completa y ella se muestran nuevamente del producto de acabado.</v>
      </c>
    </row>
    <row r="33996">
      <c r="A33996" s="4" t="s">
        <v>42778</v>
      </c>
      <c r="B33996" s="4" t="s">
        <v>42779</v>
      </c>
      <c r="C33996" s="5" t="str">
        <f>IFERROR(__xludf.DUMMYFUNCTION("GOOGLETRANSLATE(B33996,""en"",""es-ES"")"),"Una hembra izquierda pierna y un pie está en una bañera mientras la señora se afeita la pierna.")</f>
        <v>Una hembra izquierda pierna y un pie está en una bañera mientras la señora se afeita la pierna.</v>
      </c>
    </row>
    <row r="33997">
      <c r="A33997" s="4" t="s">
        <v>42778</v>
      </c>
      <c r="B33997" s="4" t="s">
        <v>42780</v>
      </c>
      <c r="C33997" s="5" t="str">
        <f>IFERROR(__xludf.DUMMYFUNCTION("GOOGLETRANSLATE(B33997,""en"",""es-ES"")"),"Una vez que termina con el frente, gira las piernas hacia la izquierda y la derecha y afeita los lados con un movimiento ascendente.")</f>
        <v>Una vez que termina con el frente, gira las piernas hacia la izquierda y la derecha y afeita los lados con un movimiento ascendente.</v>
      </c>
    </row>
    <row r="33998">
      <c r="A33998" s="4" t="s">
        <v>42781</v>
      </c>
      <c r="B33998" s="4" t="s">
        <v>42782</v>
      </c>
      <c r="C33998" s="5" t="str">
        <f>IFERROR(__xludf.DUMMYFUNCTION("GOOGLETRANSLATE(B33998,""en"",""es-ES"")"),"Un gran grupo de hombres con uniforme se reúne para jugar un poco de paintball.")</f>
        <v>Un gran grupo de hombres con uniforme se reúne para jugar un poco de paintball.</v>
      </c>
    </row>
    <row r="33999">
      <c r="A33999" s="4" t="s">
        <v>42781</v>
      </c>
      <c r="B33999" s="4" t="s">
        <v>42783</v>
      </c>
      <c r="C33999" s="5" t="str">
        <f>IFERROR(__xludf.DUMMYFUNCTION("GOOGLETRANSLATE(B33999,""en"",""es-ES"")"),"Comienzan a huir y todos se escabullen tratando de atrapar y disparar a otras personas sin ser atrapados.")</f>
        <v>Comienzan a huir y todos se escabullen tratando de atrapar y disparar a otras personas sin ser atrapados.</v>
      </c>
    </row>
    <row r="34000">
      <c r="A34000" s="4" t="s">
        <v>42781</v>
      </c>
      <c r="B34000" s="4" t="s">
        <v>42784</v>
      </c>
      <c r="C34000" s="5" t="str">
        <f>IFERROR(__xludf.DUMMYFUNCTION("GOOGLETRANSLATE(B34000,""en"",""es-ES"")"),"El campo en el que están jugando es genial, tiene muchos escondites diferentes.")</f>
        <v>El campo en el que están jugando es genial, tiene muchos escondites diferentes.</v>
      </c>
    </row>
    <row r="34001">
      <c r="A34001" s="4" t="s">
        <v>42781</v>
      </c>
      <c r="B34001" s="4" t="s">
        <v>42785</v>
      </c>
      <c r="C34001" s="5" t="str">
        <f>IFERROR(__xludf.DUMMYFUNCTION("GOOGLETRANSLATE(B34001,""en"",""es-ES"")"),"Al final, todos toman la mayor parte de su equipo de cabeza y comienzan a caminar de regreso.")</f>
        <v>Al final, todos toman la mayor parte de su equipo de cabeza y comienzan a caminar de regreso.</v>
      </c>
    </row>
    <row r="34002">
      <c r="A34002" s="4" t="s">
        <v>42786</v>
      </c>
      <c r="B34002" s="4" t="s">
        <v>42787</v>
      </c>
      <c r="C34002" s="5" t="str">
        <f>IFERROR(__xludf.DUMMYFUNCTION("GOOGLETRANSLATE(B34002,""en"",""es-ES"")"),"Un hombre pinta una manguera en el frente una cerca en un patio trasero.")</f>
        <v>Un hombre pinta una manguera en el frente una cerca en un patio trasero.</v>
      </c>
    </row>
    <row r="34003">
      <c r="A34003" s="4" t="s">
        <v>42786</v>
      </c>
      <c r="B34003" s="4" t="s">
        <v>42788</v>
      </c>
      <c r="C34003" s="5" t="str">
        <f>IFERROR(__xludf.DUMMYFUNCTION("GOOGLETRANSLATE(B34003,""en"",""es-ES"")"),"El hombre pinta la cerca de arriba a abajo.")</f>
        <v>El hombre pinta la cerca de arriba a abajo.</v>
      </c>
    </row>
    <row r="34004">
      <c r="A34004" s="4" t="s">
        <v>42789</v>
      </c>
      <c r="B34004" s="4" t="s">
        <v>42790</v>
      </c>
      <c r="C34004" s="5" t="str">
        <f>IFERROR(__xludf.DUMMYFUNCTION("GOOGLETRANSLATE(B34004,""en"",""es-ES"")"),"Hay una mujer vestida con un vestido dorado brillante es comer una barra de helado de trufa de chocolate magnum.")</f>
        <v>Hay una mujer vestida con un vestido dorado brillante es comer una barra de helado de trufa de chocolate magnum.</v>
      </c>
    </row>
    <row r="34005">
      <c r="A34005" s="4" t="s">
        <v>42789</v>
      </c>
      <c r="B34005" s="4" t="s">
        <v>42791</v>
      </c>
      <c r="C34005" s="5" t="str">
        <f>IFERROR(__xludf.DUMMYFUNCTION("GOOGLETRANSLATE(B34005,""en"",""es-ES"")"),"Ella habla de que su sabor favorito es el chocolate.")</f>
        <v>Ella habla de que su sabor favorito es el chocolate.</v>
      </c>
    </row>
    <row r="34006">
      <c r="A34006" s="4" t="s">
        <v>42789</v>
      </c>
      <c r="B34006" s="4" t="s">
        <v>42792</v>
      </c>
      <c r="C34006" s="5" t="str">
        <f>IFERROR(__xludf.DUMMYFUNCTION("GOOGLETRANSLATE(B34006,""en"",""es-ES"")"),"Quita un mordisco de la barra de helados mientras saborea el rico sabor.")</f>
        <v>Quita un mordisco de la barra de helados mientras saborea el rico sabor.</v>
      </c>
    </row>
    <row r="34007">
      <c r="A34007" s="4" t="s">
        <v>42789</v>
      </c>
      <c r="B34007" s="4" t="s">
        <v>42793</v>
      </c>
      <c r="C34007" s="5" t="str">
        <f>IFERROR(__xludf.DUMMYFUNCTION("GOOGLETRANSLATE(B34007,""en"",""es-ES"")"),"Ella responde preguntas sobre la necesidad de tener tiempo de inactividad como actor y disfrutar de su bar de helados favorito.")</f>
        <v>Ella responde preguntas sobre la necesidad de tener tiempo de inactividad como actor y disfrutar de su bar de helados favorito.</v>
      </c>
    </row>
    <row r="34008">
      <c r="A34008" s="4" t="s">
        <v>42789</v>
      </c>
      <c r="B34008" s="4" t="s">
        <v>42794</v>
      </c>
      <c r="C34008" s="5" t="str">
        <f>IFERROR(__xludf.DUMMYFUNCTION("GOOGLETRANSLATE(B34008,""en"",""es-ES"")"),"El video termina con una decadente barra de helado de chocolate que se rocía con un rico chocolate.")</f>
        <v>El video termina con una decadente barra de helado de chocolate que se rocía con un rico chocolate.</v>
      </c>
    </row>
    <row r="34009">
      <c r="A34009" s="4" t="s">
        <v>42795</v>
      </c>
      <c r="B34009" s="4" t="s">
        <v>42796</v>
      </c>
      <c r="C34009" s="5" t="str">
        <f>IFERROR(__xludf.DUMMYFUNCTION("GOOGLETRANSLATE(B34009,""en"",""es-ES"")"),"Se ve a un hombre mayor riéndose de la cámara y tocando un gran juego de tambores de bongo.")</f>
        <v>Se ve a un hombre mayor riéndose de la cámara y tocando un gran juego de tambores de bongo.</v>
      </c>
    </row>
    <row r="34010">
      <c r="A34010" s="4" t="s">
        <v>42795</v>
      </c>
      <c r="B34010" s="4" t="s">
        <v>42797</v>
      </c>
      <c r="C34010" s="5" t="str">
        <f>IFERROR(__xludf.DUMMYFUNCTION("GOOGLETRANSLATE(B34010,""en"",""es-ES"")"),"Continúa jugando más rápido y más rápido y termina abofeteando al tambor una última vez.")</f>
        <v>Continúa jugando más rápido y más rápido y termina abofeteando al tambor una última vez.</v>
      </c>
    </row>
    <row r="34011">
      <c r="A34011" s="4" t="s">
        <v>42798</v>
      </c>
      <c r="B34011" s="4" t="s">
        <v>42799</v>
      </c>
      <c r="C34011" s="5" t="str">
        <f>IFERROR(__xludf.DUMMYFUNCTION("GOOGLETRANSLATE(B34011,""en"",""es-ES"")"),"Se ve a una persona cerca cabalgando en la parte posterior de una bicicleta disparando una bola de pintura a lo lejos.")</f>
        <v>Se ve a una persona cerca cabalgando en la parte posterior de una bicicleta disparando una bola de pintura a lo lejos.</v>
      </c>
    </row>
    <row r="34012">
      <c r="A34012" s="4" t="s">
        <v>42798</v>
      </c>
      <c r="B34012" s="4" t="s">
        <v>42800</v>
      </c>
      <c r="C34012" s="5" t="str">
        <f>IFERROR(__xludf.DUMMYFUNCTION("GOOGLETRANSLATE(B34012,""en"",""es-ES"")"),"Se muestran varios disparos de personas que viajan en autos disparando bolas de pintura entre sí.")</f>
        <v>Se muestran varios disparos de personas que viajan en autos disparando bolas de pintura entre sí.</v>
      </c>
    </row>
    <row r="34013">
      <c r="A34013" s="4" t="s">
        <v>42798</v>
      </c>
      <c r="B34013" s="4" t="s">
        <v>42801</v>
      </c>
      <c r="C34013" s="5" t="str">
        <f>IFERROR(__xludf.DUMMYFUNCTION("GOOGLETRANSLATE(B34013,""en"",""es-ES"")"),"La gente continúa montando en máquinas y saltando sobre obstáculos.")</f>
        <v>La gente continúa montando en máquinas y saltando sobre obstáculos.</v>
      </c>
    </row>
    <row r="34014">
      <c r="A34014" s="4" t="s">
        <v>42802</v>
      </c>
      <c r="B34014" s="4" t="s">
        <v>42803</v>
      </c>
      <c r="C34014" s="5" t="str">
        <f>IFERROR(__xludf.DUMMYFUNCTION("GOOGLETRANSLATE(B34014,""en"",""es-ES"")"),"Una cámara se mueve alrededor del interior de un automóvil mirando hacia afuera mostrando otros autos conduciendo.")</f>
        <v>Una cámara se mueve alrededor del interior de un automóvil mirando hacia afuera mostrando otros autos conduciendo.</v>
      </c>
    </row>
    <row r="34015">
      <c r="A34015" s="4" t="s">
        <v>42802</v>
      </c>
      <c r="B34015" s="4" t="s">
        <v>42804</v>
      </c>
      <c r="C34015" s="5" t="str">
        <f>IFERROR(__xludf.DUMMYFUNCTION("GOOGLETRANSLATE(B34015,""en"",""es-ES"")"),"El auto comienza a moverse mientras mira alrededor del área arenosa y muestra a la gente dentro del automóvil.")</f>
        <v>El auto comienza a moverse mientras mira alrededor del área arenosa y muestra a la gente dentro del automóvil.</v>
      </c>
    </row>
    <row r="34016">
      <c r="A34016" s="4" t="s">
        <v>42802</v>
      </c>
      <c r="B34016" s="4" t="s">
        <v>42805</v>
      </c>
      <c r="C34016" s="5" t="str">
        <f>IFERROR(__xludf.DUMMYFUNCTION("GOOGLETRANSLATE(B34016,""en"",""es-ES"")"),"La cámara conduce a tomas de personas que viajan en camellos y conducen a disparos de personas que montan en los camellos.")</f>
        <v>La cámara conduce a tomas de personas que viajan en camellos y conducen a disparos de personas que montan en los camellos.</v>
      </c>
    </row>
    <row r="34017">
      <c r="A34017" s="4" t="s">
        <v>42806</v>
      </c>
      <c r="B34017" s="4" t="s">
        <v>42807</v>
      </c>
      <c r="C34017" s="5" t="str">
        <f>IFERROR(__xludf.DUMMYFUNCTION("GOOGLETRANSLATE(B34017,""en"",""es-ES"")"),"Una persona para patinar hasta la rampa, una mujer se muestra en la pantalla del teléfono y luego en un hombre.")</f>
        <v>Una persona para patinar hasta la rampa, una mujer se muestra en la pantalla del teléfono y luego en un hombre.</v>
      </c>
    </row>
    <row r="34018">
      <c r="A34018" s="4" t="s">
        <v>42806</v>
      </c>
      <c r="B34018" s="4" t="s">
        <v>42808</v>
      </c>
      <c r="C34018" s="5" t="str">
        <f>IFERROR(__xludf.DUMMYFUNCTION("GOOGLETRANSLATE(B34018,""en"",""es-ES"")"),"Un niño rollerskate por las barandas blancas mientras otros dos hombres se acercaban a él para darle cinco.")</f>
        <v>Un niño rollerskate por las barandas blancas mientras otros dos hombres se acercaban a él para darle cinco.</v>
      </c>
    </row>
    <row r="34019">
      <c r="A34019" s="4" t="s">
        <v>42806</v>
      </c>
      <c r="B34019" s="4" t="s">
        <v>42809</v>
      </c>
      <c r="C34019" s="5" t="str">
        <f>IFERROR(__xludf.DUMMYFUNCTION("GOOGLETRANSLATE(B34019,""en"",""es-ES"")"),"Un joven con hojas de rodillos blue top en la barandilla y da altos cinco a sus compañeros.")</f>
        <v>Un joven con hojas de rodillos blue top en la barandilla y da altos cinco a sus compañeros.</v>
      </c>
    </row>
    <row r="34020">
      <c r="A34020" s="4" t="s">
        <v>42810</v>
      </c>
      <c r="B34020" s="4" t="s">
        <v>42811</v>
      </c>
      <c r="C34020" s="5" t="str">
        <f>IFERROR(__xludf.DUMMYFUNCTION("GOOGLETRANSLATE(B34020,""en"",""es-ES"")"),"Un pequeño grupo de personas se ve de pie alrededor de la mesa hablando y riendo el uno al otro.")</f>
        <v>Un pequeño grupo de personas se ve de pie alrededor de la mesa hablando y riendo el uno al otro.</v>
      </c>
    </row>
    <row r="34021">
      <c r="A34021" s="4" t="s">
        <v>42810</v>
      </c>
      <c r="B34021" s="4" t="s">
        <v>42812</v>
      </c>
      <c r="C34021" s="5" t="str">
        <f>IFERROR(__xludf.DUMMYFUNCTION("GOOGLETRANSLATE(B34021,""en"",""es-ES"")"),"Dos hombres luego beben con contenedores de hielo y conducen a más personas que beben de los contenedores.")</f>
        <v>Dos hombres luego beben con contenedores de hielo y conducen a más personas que beben de los contenedores.</v>
      </c>
    </row>
    <row r="34022">
      <c r="A34022" s="4" t="s">
        <v>42810</v>
      </c>
      <c r="B34022" s="4" t="s">
        <v>42813</v>
      </c>
      <c r="C34022" s="5" t="str">
        <f>IFERROR(__xludf.DUMMYFUNCTION("GOOGLETRANSLATE(B34022,""en"",""es-ES"")"),"Un equipo termina antes que el otro y todos celebran.")</f>
        <v>Un equipo termina antes que el otro y todos celebran.</v>
      </c>
    </row>
    <row r="34023">
      <c r="A34023" s="4" t="s">
        <v>42814</v>
      </c>
      <c r="B34023" s="4" t="s">
        <v>42815</v>
      </c>
      <c r="C34023" s="5" t="str">
        <f>IFERROR(__xludf.DUMMYFUNCTION("GOOGLETRANSLATE(B34023,""en"",""es-ES"")"),"Hay muchas mujeres en un gimnasio, con guantes de boxeo y golpes de equipo deportivo en bolsas colgantes.")</f>
        <v>Hay muchas mujeres en un gimnasio, con guantes de boxeo y golpes de equipo deportivo en bolsas colgantes.</v>
      </c>
    </row>
    <row r="34024">
      <c r="A34024" s="4" t="s">
        <v>42814</v>
      </c>
      <c r="B34024" s="4" t="s">
        <v>42816</v>
      </c>
      <c r="C34024" s="5" t="str">
        <f>IFERROR(__xludf.DUMMYFUNCTION("GOOGLETRANSLATE(B34024,""en"",""es-ES"")"),"La cámara se maneja para mostrar una pared y las palabras ""Ilovekickboxing Dot Com"" está en la pared junto con un logotipo que incluye un corazón con alas y guantes de boxeo que cuelgan desde la parte inferior del ala derecha.")</f>
        <v>La cámara se maneja para mostrar una pared y las palabras "Ilovekickboxing Dot Com" está en la pared junto con un logotipo que incluye un corazón con alas y guantes de boxeo que cuelgan desde la parte inferior del ala derecha.</v>
      </c>
    </row>
    <row r="34025">
      <c r="A34025" s="4" t="s">
        <v>42814</v>
      </c>
      <c r="B34025" s="4" t="s">
        <v>42817</v>
      </c>
      <c r="C34025" s="5" t="str">
        <f>IFERROR(__xludf.DUMMYFUNCTION("GOOGLETRANSLATE(B34025,""en"",""es-ES"")"),"La habitación se remonta al resto de la habitación y continúa mostrando a muchas mujeres que todavía golpean los sacos de boxeo.")</f>
        <v>La habitación se remonta al resto de la habitación y continúa mostrando a muchas mujeres que todavía golpean los sacos de boxeo.</v>
      </c>
    </row>
    <row r="34026">
      <c r="A34026" s="4" t="s">
        <v>42818</v>
      </c>
      <c r="B34026" s="4" t="s">
        <v>42819</v>
      </c>
      <c r="C34026" s="5" t="str">
        <f>IFERROR(__xludf.DUMMYFUNCTION("GOOGLETRANSLATE(B34026,""en"",""es-ES"")"),"Los niños balancean una escoba en una piñata en un patio trasero.")</f>
        <v>Los niños balancean una escoba en una piñata en un patio trasero.</v>
      </c>
    </row>
    <row r="34027">
      <c r="A34027" s="4" t="s">
        <v>42818</v>
      </c>
      <c r="B34027" s="4" t="s">
        <v>42820</v>
      </c>
      <c r="C34027" s="5" t="str">
        <f>IFERROR(__xludf.DUMMYFUNCTION("GOOGLETRANSLATE(B34027,""en"",""es-ES"")"),"El niño rompe la piñata y los dulces se derraman en el suelo.")</f>
        <v>El niño rompe la piñata y los dulces se derraman en el suelo.</v>
      </c>
    </row>
    <row r="34028">
      <c r="A34028" s="4" t="s">
        <v>42818</v>
      </c>
      <c r="B34028" s="4" t="s">
        <v>42821</v>
      </c>
      <c r="C34028" s="5" t="str">
        <f>IFERROR(__xludf.DUMMYFUNCTION("GOOGLETRANSLATE(B34028,""en"",""es-ES"")"),"Una mujer corre y ajusta la piñata.")</f>
        <v>Una mujer corre y ajusta la piñata.</v>
      </c>
    </row>
    <row r="34029">
      <c r="A34029" s="4" t="s">
        <v>42818</v>
      </c>
      <c r="B34029" s="4" t="s">
        <v>42822</v>
      </c>
      <c r="C34029" s="5" t="str">
        <f>IFERROR(__xludf.DUMMYFUNCTION("GOOGLETRANSLATE(B34029,""en"",""es-ES"")"),"Una mujer corre para obtener la escoba, pero esquiva para no ser golpeado por el niño con los ojos vendados.")</f>
        <v>Una mujer corre para obtener la escoba, pero esquiva para no ser golpeado por el niño con los ojos vendados.</v>
      </c>
    </row>
    <row r="34030">
      <c r="A34030" s="4" t="s">
        <v>42818</v>
      </c>
      <c r="B34030" s="4" t="s">
        <v>42823</v>
      </c>
      <c r="C34030" s="5" t="str">
        <f>IFERROR(__xludf.DUMMYFUNCTION("GOOGLETRANSLATE(B34030,""en"",""es-ES"")"),"La mujer guía al niño que tiene los ojos vendados hacia el árbol.")</f>
        <v>La mujer guía al niño que tiene los ojos vendados hacia el árbol.</v>
      </c>
    </row>
    <row r="34031">
      <c r="A34031" s="4" t="s">
        <v>42824</v>
      </c>
      <c r="B34031" s="4" t="s">
        <v>42825</v>
      </c>
      <c r="C34031" s="5" t="str">
        <f>IFERROR(__xludf.DUMMYFUNCTION("GOOGLETRANSLATE(B34031,""en"",""es-ES"")"),"Se ve a una mujer parada detrás de otra mujer sentada en una silla y comienza a peinar su cabello.")</f>
        <v>Se ve a una mujer parada detrás de otra mujer sentada en una silla y comienza a peinar su cabello.</v>
      </c>
    </row>
    <row r="34032">
      <c r="A34032" s="4" t="s">
        <v>42824</v>
      </c>
      <c r="B34032" s="4" t="s">
        <v>42826</v>
      </c>
      <c r="C34032" s="5" t="str">
        <f>IFERROR(__xludf.DUMMYFUNCTION("GOOGLETRANSLATE(B34032,""en"",""es-ES"")"),"La mujer cepilla y repite su anuncio de cabello comienza a trenzar el cabello y sujetarlo en varios lugares.")</f>
        <v>La mujer cepilla y repite su anuncio de cabello comienza a trenzar el cabello y sujetarlo en varios lugares.</v>
      </c>
    </row>
    <row r="34033">
      <c r="A34033" s="4" t="s">
        <v>42824</v>
      </c>
      <c r="B34033" s="4" t="s">
        <v>42827</v>
      </c>
      <c r="C34033" s="5" t="str">
        <f>IFERROR(__xludf.DUMMYFUNCTION("GOOGLETRANSLATE(B34033,""en"",""es-ES"")"),"La mujer muestra su cabello terminado mientras mira y sonríe a la cámara.")</f>
        <v>La mujer muestra su cabello terminado mientras mira y sonríe a la cámara.</v>
      </c>
    </row>
    <row r="34034">
      <c r="A34034" s="4" t="s">
        <v>42828</v>
      </c>
      <c r="B34034" s="4" t="s">
        <v>42829</v>
      </c>
      <c r="C34034" s="5" t="str">
        <f>IFERROR(__xludf.DUMMYFUNCTION("GOOGLETRANSLATE(B34034,""en"",""es-ES"")"),"Una niña está en un parque y agarrando y colgando de triángulos que cuelgan y se dirige hacia adelante y a través de 7 triángulos.")</f>
        <v>Una niña está en un parque y agarrando y colgando de triángulos que cuelgan y se dirige hacia adelante y a través de 7 triángulos.</v>
      </c>
    </row>
    <row r="34035">
      <c r="A34035" s="4" t="s">
        <v>42828</v>
      </c>
      <c r="B34035" s="4" t="s">
        <v>42830</v>
      </c>
      <c r="C34035" s="5" t="str">
        <f>IFERROR(__xludf.DUMMYFUNCTION("GOOGLETRANSLATE(B34035,""en"",""es-ES"")"),"Tan pronto como llega al final, regresa 3 triángulos sin darse la vuelta y luego se da vuelta en el cuarto triángulo y continúa de regreso a donde comenzó.")</f>
        <v>Tan pronto como llega al final, regresa 3 triángulos sin darse la vuelta y luego se da vuelta en el cuarto triángulo y continúa de regreso a donde comenzó.</v>
      </c>
    </row>
    <row r="34036">
      <c r="A34036" s="4" t="s">
        <v>42828</v>
      </c>
      <c r="B34036" s="4" t="s">
        <v>42831</v>
      </c>
      <c r="C34036" s="5" t="str">
        <f>IFERROR(__xludf.DUMMYFUNCTION("GOOGLETRANSLATE(B34036,""en"",""es-ES"")"),"La joven salta sobre la plataforma, sonríe y ondas.")</f>
        <v>La joven salta sobre la plataforma, sonríe y ondas.</v>
      </c>
    </row>
    <row r="34037">
      <c r="A34037" s="4" t="s">
        <v>42832</v>
      </c>
      <c r="B34037" s="4" t="s">
        <v>42833</v>
      </c>
      <c r="C34037" s="5" t="str">
        <f>IFERROR(__xludf.DUMMYFUNCTION("GOOGLETRANSLATE(B34037,""en"",""es-ES"")"),"Una niña con dos trenzas bajando por la espalda está parada afuera.")</f>
        <v>Una niña con dos trenzas bajando por la espalda está parada afuera.</v>
      </c>
    </row>
    <row r="34038">
      <c r="A34038" s="4" t="s">
        <v>42832</v>
      </c>
      <c r="B34038" s="4" t="s">
        <v>42834</v>
      </c>
      <c r="C34038" s="5" t="str">
        <f>IFERROR(__xludf.DUMMYFUNCTION("GOOGLETRANSLATE(B34038,""en"",""es-ES"")"),"Ella se vuelve hacia la cámara, y su cabello ahora está abajo.")</f>
        <v>Ella se vuelve hacia la cámara, y su cabello ahora está abajo.</v>
      </c>
    </row>
    <row r="34039">
      <c r="A34039" s="4" t="s">
        <v>42832</v>
      </c>
      <c r="B34039" s="4" t="s">
        <v>42835</v>
      </c>
      <c r="C34039" s="5" t="str">
        <f>IFERROR(__xludf.DUMMYFUNCTION("GOOGLETRANSLATE(B34039,""en"",""es-ES"")"),"Ella se acuesta en una silla estilista, mostrando cómo se hizo el estilo.")</f>
        <v>Ella se acuesta en una silla estilista, mostrando cómo se hizo el estilo.</v>
      </c>
    </row>
    <row r="34040">
      <c r="A34040" s="4" t="s">
        <v>42836</v>
      </c>
      <c r="B34040" s="4" t="s">
        <v>42837</v>
      </c>
      <c r="C34040" s="5" t="str">
        <f>IFERROR(__xludf.DUMMYFUNCTION("GOOGLETRANSLATE(B34040,""en"",""es-ES"")"),"Esta mujer muestra a los espectadores cómo hace una toma de tarta de queso.")</f>
        <v>Esta mujer muestra a los espectadores cómo hace una toma de tarta de queso.</v>
      </c>
    </row>
    <row r="34041">
      <c r="A34041" s="4" t="s">
        <v>42836</v>
      </c>
      <c r="B34041" s="4" t="s">
        <v>42838</v>
      </c>
      <c r="C34041" s="5" t="str">
        <f>IFERROR(__xludf.DUMMYFUNCTION("GOOGLETRANSLATE(B34041,""en"",""es-ES"")"),"Primero pone 3 cuartos de una onza de Baileys y la misma cantidad de jugo de piña.")</f>
        <v>Primero pone 3 cuartos de una onza de Baileys y la misma cantidad de jugo de piña.</v>
      </c>
    </row>
    <row r="34042">
      <c r="A34042" s="4" t="s">
        <v>42836</v>
      </c>
      <c r="B34042" s="4" t="s">
        <v>42839</v>
      </c>
      <c r="C34042" s="5" t="str">
        <f>IFERROR(__xludf.DUMMYFUNCTION("GOOGLETRANSLATE(B34042,""en"",""es-ES"")"),"Luego pone un cuarto de onza de otro líquido y obtiene un vaso de chupito de 2 onzas y tensa la bebida del hielo en el agitador para ponerlo en el vaso.")</f>
        <v>Luego pone un cuarto de onza de otro líquido y obtiene un vaso de chupito de 2 onzas y tensa la bebida del hielo en el agitador para ponerlo en el vaso.</v>
      </c>
    </row>
    <row r="34043">
      <c r="A34043" s="4" t="s">
        <v>42840</v>
      </c>
      <c r="B34043" s="4" t="s">
        <v>42841</v>
      </c>
      <c r="C34043" s="5" t="str">
        <f>IFERROR(__xludf.DUMMYFUNCTION("GOOGLETRANSLATE(B34043,""en"",""es-ES"")"),"Se muestran dos hombres de pie en un estudio de grabación tocando instrumentos.")</f>
        <v>Se muestran dos hombres de pie en un estudio de grabación tocando instrumentos.</v>
      </c>
    </row>
    <row r="34044">
      <c r="A34044" s="4" t="s">
        <v>42840</v>
      </c>
      <c r="B34044" s="4" t="s">
        <v>42842</v>
      </c>
      <c r="C34044" s="5" t="str">
        <f>IFERROR(__xludf.DUMMYFUNCTION("GOOGLETRANSLATE(B34044,""en"",""es-ES"")"),"Uno está tocando la guitarra mientras la otra toca la flauta juntos.")</f>
        <v>Uno está tocando la guitarra mientras la otra toca la flauta juntos.</v>
      </c>
    </row>
    <row r="34045">
      <c r="A34045" s="4" t="s">
        <v>42840</v>
      </c>
      <c r="B34045" s="4" t="s">
        <v>42843</v>
      </c>
      <c r="C34045" s="5" t="str">
        <f>IFERROR(__xludf.DUMMYFUNCTION("GOOGLETRANSLATE(B34045,""en"",""es-ES"")"),"Terminan su canción y uno le da un gesto de mano a la cámara mientras los otros sonríen.")</f>
        <v>Terminan su canción y uno le da un gesto de mano a la cámara mientras los otros sonríen.</v>
      </c>
    </row>
    <row r="34046">
      <c r="A34046" s="4" t="s">
        <v>42844</v>
      </c>
      <c r="B34046" s="4" t="s">
        <v>42845</v>
      </c>
      <c r="C34046" s="5" t="str">
        <f>IFERROR(__xludf.DUMMYFUNCTION("GOOGLETRANSLATE(B34046,""en"",""es-ES"")"),"Un hombre sostiene un cubo de Rubiks.")</f>
        <v>Un hombre sostiene un cubo de Rubiks.</v>
      </c>
    </row>
    <row r="34047">
      <c r="A34047" s="4" t="s">
        <v>42844</v>
      </c>
      <c r="B34047" s="4" t="s">
        <v>42846</v>
      </c>
      <c r="C34047" s="5" t="str">
        <f>IFERROR(__xludf.DUMMYFUNCTION("GOOGLETRANSLATE(B34047,""en"",""es-ES"")"),"Luego comienza a girarlo.")</f>
        <v>Luego comienza a girarlo.</v>
      </c>
    </row>
    <row r="34048">
      <c r="A34048" s="4" t="s">
        <v>42844</v>
      </c>
      <c r="B34048" s="4" t="s">
        <v>42847</v>
      </c>
      <c r="C34048" s="5" t="str">
        <f>IFERROR(__xludf.DUMMYFUNCTION("GOOGLETRANSLATE(B34048,""en"",""es-ES"")"),"Se detiene y lo mira.")</f>
        <v>Se detiene y lo mira.</v>
      </c>
    </row>
    <row r="34049">
      <c r="A34049" s="4" t="s">
        <v>42844</v>
      </c>
      <c r="B34049" s="4" t="s">
        <v>42848</v>
      </c>
      <c r="C34049" s="5" t="str">
        <f>IFERROR(__xludf.DUMMYFUNCTION("GOOGLETRANSLATE(B34049,""en"",""es-ES"")"),"Finalmente lo resuelve y muestra su tiempo.")</f>
        <v>Finalmente lo resuelve y muestra su tiempo.</v>
      </c>
    </row>
    <row r="34050">
      <c r="A34050" s="4" t="s">
        <v>42849</v>
      </c>
      <c r="B34050" s="4" t="s">
        <v>42850</v>
      </c>
      <c r="C34050" s="5" t="str">
        <f>IFERROR(__xludf.DUMMYFUNCTION("GOOGLETRANSLATE(B34050,""en"",""es-ES"")"),"Un niño aparece en la pantalla y obtiene una taza de agua y la gola.")</f>
        <v>Un niño aparece en la pantalla y obtiene una taza de agua y la gola.</v>
      </c>
    </row>
    <row r="34051">
      <c r="A34051" s="4" t="s">
        <v>42849</v>
      </c>
      <c r="B34051" s="4" t="s">
        <v>42851</v>
      </c>
      <c r="C34051" s="5" t="str">
        <f>IFERROR(__xludf.DUMMYFUNCTION("GOOGLETRANSLATE(B34051,""en"",""es-ES"")"),"Él sonríe y sale de la pantalla por un momento.")</f>
        <v>Él sonríe y sale de la pantalla por un momento.</v>
      </c>
    </row>
    <row r="34052">
      <c r="A34052" s="4" t="s">
        <v>42849</v>
      </c>
      <c r="B34052" s="4" t="s">
        <v>42852</v>
      </c>
      <c r="C34052" s="5" t="str">
        <f>IFERROR(__xludf.DUMMYFUNCTION("GOOGLETRANSLATE(B34052,""en"",""es-ES"")"),"Él regresa y continúa gragmando y riendo.")</f>
        <v>Él regresa y continúa gragmando y riendo.</v>
      </c>
    </row>
    <row r="34053">
      <c r="A34053" s="4" t="s">
        <v>42849</v>
      </c>
      <c r="B34053" s="4" t="s">
        <v>42853</v>
      </c>
      <c r="C34053" s="5" t="str">
        <f>IFERROR(__xludf.DUMMYFUNCTION("GOOGLETRANSLATE(B34053,""en"",""es-ES"")"),"Un hombre entra en la pantalla e invita a las personas a suscribirse a sus videos.")</f>
        <v>Un hombre entra en la pantalla e invita a las personas a suscribirse a sus videos.</v>
      </c>
    </row>
    <row r="34054">
      <c r="A34054" s="4" t="s">
        <v>42854</v>
      </c>
      <c r="B34054" s="4" t="s">
        <v>42855</v>
      </c>
      <c r="C34054" s="5" t="str">
        <f>IFERROR(__xludf.DUMMYFUNCTION("GOOGLETRANSLATE(B34054,""en"",""es-ES"")"),"La mujer está hablando con la cámara.")</f>
        <v>La mujer está hablando con la cámara.</v>
      </c>
    </row>
    <row r="34055">
      <c r="A34055" s="4" t="s">
        <v>42854</v>
      </c>
      <c r="B34055" s="4" t="s">
        <v>42856</v>
      </c>
      <c r="C34055" s="5" t="str">
        <f>IFERROR(__xludf.DUMMYFUNCTION("GOOGLETRANSLATE(B34055,""en"",""es-ES"")"),"Los niños corren en el escenario y saltan la cuerda.")</f>
        <v>Los niños corren en el escenario y saltan la cuerda.</v>
      </c>
    </row>
    <row r="34056">
      <c r="A34056" s="4" t="s">
        <v>42854</v>
      </c>
      <c r="B34056" s="4" t="s">
        <v>42857</v>
      </c>
      <c r="C34056" s="5" t="str">
        <f>IFERROR(__xludf.DUMMYFUNCTION("GOOGLETRANSLATE(B34056,""en"",""es-ES"")"),"Los niños se encuentran en la cancha observando la competencia de cuerda de omisión.")</f>
        <v>Los niños se encuentran en la cancha observando la competencia de cuerda de omisión.</v>
      </c>
    </row>
    <row r="34057">
      <c r="A34057" s="4" t="s">
        <v>42858</v>
      </c>
      <c r="B34057" s="4" t="s">
        <v>42859</v>
      </c>
      <c r="C34057" s="5" t="str">
        <f>IFERROR(__xludf.DUMMYFUNCTION("GOOGLETRANSLATE(B34057,""en"",""es-ES"")"),"Una mujer pone hielo en un vaso.")</f>
        <v>Una mujer pone hielo en un vaso.</v>
      </c>
    </row>
    <row r="34058">
      <c r="A34058" s="4" t="s">
        <v>42858</v>
      </c>
      <c r="B34058" s="4" t="s">
        <v>42860</v>
      </c>
      <c r="C34058" s="5" t="str">
        <f>IFERROR(__xludf.DUMMYFUNCTION("GOOGLETRANSLATE(B34058,""en"",""es-ES"")"),"Ella arroja una botella en el vaso y agrega jugo.")</f>
        <v>Ella arroja una botella en el vaso y agrega jugo.</v>
      </c>
    </row>
    <row r="34059">
      <c r="A34059" s="4" t="s">
        <v>42858</v>
      </c>
      <c r="B34059" s="4" t="s">
        <v>42861</v>
      </c>
      <c r="C34059" s="5" t="str">
        <f>IFERROR(__xludf.DUMMYFUNCTION("GOOGLETRANSLATE(B34059,""en"",""es-ES"")"),"Ella agita la bebida y la coloca en el mostrador.")</f>
        <v>Ella agita la bebida y la coloca en el mostrador.</v>
      </c>
    </row>
    <row r="34060">
      <c r="A34060" s="4" t="s">
        <v>42862</v>
      </c>
      <c r="B34060" s="4" t="s">
        <v>42863</v>
      </c>
      <c r="C34060" s="5" t="str">
        <f>IFERROR(__xludf.DUMMYFUNCTION("GOOGLETRANSLATE(B34060,""en"",""es-ES"")"),"Un hombre que lleva una gorra verde se sienta en un automóvil con una taza de café hablando.")</f>
        <v>Un hombre que lleva una gorra verde se sienta en un automóvil con una taza de café hablando.</v>
      </c>
    </row>
    <row r="34061">
      <c r="A34061" s="4" t="s">
        <v>42862</v>
      </c>
      <c r="B34061" s="4" t="s">
        <v>42864</v>
      </c>
      <c r="C34061" s="5" t="str">
        <f>IFERROR(__xludf.DUMMYFUNCTION("GOOGLETRANSLATE(B34061,""en"",""es-ES"")"),"Él coloca la cámara en su tablero y continúa hablando.")</f>
        <v>Él coloca la cámara en su tablero y continúa hablando.</v>
      </c>
    </row>
    <row r="34062">
      <c r="A34062" s="4" t="s">
        <v>42862</v>
      </c>
      <c r="B34062" s="4" t="s">
        <v>42865</v>
      </c>
      <c r="C34062" s="5" t="str">
        <f>IFERROR(__xludf.DUMMYFUNCTION("GOOGLETRANSLATE(B34062,""en"",""es-ES"")"),"Sostiene el café y toma varios sorbos.")</f>
        <v>Sostiene el café y toma varios sorbos.</v>
      </c>
    </row>
    <row r="34063">
      <c r="A34063" s="4" t="s">
        <v>42862</v>
      </c>
      <c r="B34063" s="4" t="s">
        <v>42866</v>
      </c>
      <c r="C34063" s="5" t="str">
        <f>IFERROR(__xludf.DUMMYFUNCTION("GOOGLETRANSLATE(B34063,""en"",""es-ES"")"),"Continúa hablando mientras sostiene la copa en su mano.")</f>
        <v>Continúa hablando mientras sostiene la copa en su mano.</v>
      </c>
    </row>
    <row r="34064">
      <c r="A34064" s="4" t="s">
        <v>42867</v>
      </c>
      <c r="B34064" s="4" t="s">
        <v>42868</v>
      </c>
      <c r="C34064" s="5" t="str">
        <f>IFERROR(__xludf.DUMMYFUNCTION("GOOGLETRANSLATE(B34064,""en"",""es-ES"")"),"Un primer plano de un caballo se muestra atado a una cerca cuando un hombre entra con un soplador de arrecife y lo empuja hacia los caballos.")</f>
        <v>Un primer plano de un caballo se muestra atado a una cerca cuando un hombre entra con un soplador de arrecife y lo empuja hacia los caballos.</v>
      </c>
    </row>
    <row r="34065">
      <c r="A34065" s="4" t="s">
        <v>42867</v>
      </c>
      <c r="B34065" s="4" t="s">
        <v>42869</v>
      </c>
      <c r="C34065" s="5" t="str">
        <f>IFERROR(__xludf.DUMMYFUNCTION("GOOGLETRANSLATE(B34065,""en"",""es-ES"")"),"Se mueve alrededor de los animales que fluyen el aire sobre su pelaje a medida que los caballos se mueven.")</f>
        <v>Se mueve alrededor de los animales que fluyen el aire sobre su pelaje a medida que los caballos se mueven.</v>
      </c>
    </row>
    <row r="34066">
      <c r="A34066" s="4" t="s">
        <v>42870</v>
      </c>
      <c r="B34066" s="4" t="s">
        <v>42871</v>
      </c>
      <c r="C34066" s="5" t="str">
        <f>IFERROR(__xludf.DUMMYFUNCTION("GOOGLETRANSLATE(B34066,""en"",""es-ES"")"),"Un hombre, con una camiseta blanca y de falda escocesa toca las gaitas mientras está parado afuera de un estacionamiento de strips, mientras pasan los autos.")</f>
        <v>Un hombre, con una camiseta blanca y de falda escocesa toca las gaitas mientras está parado afuera de un estacionamiento de strips, mientras pasan los autos.</v>
      </c>
    </row>
    <row r="34067">
      <c r="A34067" s="4" t="s">
        <v>42870</v>
      </c>
      <c r="B34067" s="4" t="s">
        <v>42872</v>
      </c>
      <c r="C34067" s="5" t="str">
        <f>IFERROR(__xludf.DUMMYFUNCTION("GOOGLETRANSLATE(B34067,""en"",""es-ES"")"),"Un hombre se encuentra afuera junto a una hidrante de fuego amarillo y juega las gaitas cuando pasan los autos.")</f>
        <v>Un hombre se encuentra afuera junto a una hidrante de fuego amarillo y juega las gaitas cuando pasan los autos.</v>
      </c>
    </row>
    <row r="34068">
      <c r="A34068" s="4" t="s">
        <v>42870</v>
      </c>
      <c r="B34068" s="4" t="s">
        <v>42873</v>
      </c>
      <c r="C34068" s="5" t="str">
        <f>IFERROR(__xludf.DUMMYFUNCTION("GOOGLETRANSLATE(B34068,""en"",""es-ES"")"),"El hombre se acerca a los autos o al borde de la acera mientras juega.")</f>
        <v>El hombre se acerca a los autos o al borde de la acera mientras juega.</v>
      </c>
    </row>
    <row r="34069">
      <c r="A34069" s="4" t="s">
        <v>42870</v>
      </c>
      <c r="B34069" s="4" t="s">
        <v>42874</v>
      </c>
      <c r="C34069" s="5" t="str">
        <f>IFERROR(__xludf.DUMMYFUNCTION("GOOGLETRANSLATE(B34069,""en"",""es-ES"")"),"El hombre continúa jugando gaita en la acera hasta que la escena se desvanece hacia las negras.")</f>
        <v>El hombre continúa jugando gaita en la acera hasta que la escena se desvanece hacia las negras.</v>
      </c>
    </row>
    <row r="34070">
      <c r="A34070" s="4" t="s">
        <v>42875</v>
      </c>
      <c r="B34070" s="4" t="s">
        <v>42876</v>
      </c>
      <c r="C34070" s="5" t="str">
        <f>IFERROR(__xludf.DUMMYFUNCTION("GOOGLETRANSLATE(B34070,""en"",""es-ES"")"),"Una mujer se está peinando el cabello mientras mira la cámara.")</f>
        <v>Una mujer se está peinando el cabello mientras mira la cámara.</v>
      </c>
    </row>
    <row r="34071">
      <c r="A34071" s="4" t="s">
        <v>42875</v>
      </c>
      <c r="B34071" s="4" t="s">
        <v>42877</v>
      </c>
      <c r="C34071" s="5" t="str">
        <f>IFERROR(__xludf.DUMMYFUNCTION("GOOGLETRANSLATE(B34071,""en"",""es-ES"")"),"Luego cepilla su golpe en línea recta.")</f>
        <v>Luego cepilla su golpe en línea recta.</v>
      </c>
    </row>
    <row r="34072">
      <c r="A34072" s="4" t="s">
        <v>42875</v>
      </c>
      <c r="B34072" s="4" t="s">
        <v>42878</v>
      </c>
      <c r="C34072" s="5" t="str">
        <f>IFERROR(__xludf.DUMMYFUNCTION("GOOGLETRANSLATE(B34072,""en"",""es-ES"")"),"Ella continúa cepillando con el peine y su mano.")</f>
        <v>Ella continúa cepillando con el peine y su mano.</v>
      </c>
    </row>
    <row r="34073">
      <c r="A34073" s="4" t="s">
        <v>42879</v>
      </c>
      <c r="B34073" s="4" t="s">
        <v>42880</v>
      </c>
      <c r="C34073" s="5" t="str">
        <f>IFERROR(__xludf.DUMMYFUNCTION("GOOGLETRANSLATE(B34073,""en"",""es-ES"")"),"Un hombre está parado afuera de una pared con algún tipo de máquina y comienza a hablar.")</f>
        <v>Un hombre está parado afuera de una pared con algún tipo de máquina y comienza a hablar.</v>
      </c>
    </row>
    <row r="34074">
      <c r="A34074" s="4" t="s">
        <v>42879</v>
      </c>
      <c r="B34074" s="4" t="s">
        <v>42881</v>
      </c>
      <c r="C34074" s="5" t="str">
        <f>IFERROR(__xludf.DUMMYFUNCTION("GOOGLETRANSLATE(B34074,""en"",""es-ES"")"),"El hombre toma la manguera y la presión lava la cerca antes de caledirla.")</f>
        <v>El hombre toma la manguera y la presión lava la cerca antes de caledirla.</v>
      </c>
    </row>
    <row r="34075">
      <c r="A34075" s="4" t="s">
        <v>42879</v>
      </c>
      <c r="B34075" s="4" t="s">
        <v>42882</v>
      </c>
      <c r="C34075" s="5" t="str">
        <f>IFERROR(__xludf.DUMMYFUNCTION("GOOGLETRANSLATE(B34075,""en"",""es-ES"")"),"Luego se pone de rodillas y agrega pintura en aerosol a la máquina y pinta la pared.")</f>
        <v>Luego se pone de rodillas y agrega pintura en aerosol a la máquina y pinta la pared.</v>
      </c>
    </row>
    <row r="34076">
      <c r="A34076" s="4" t="s">
        <v>42879</v>
      </c>
      <c r="B34076" s="4" t="s">
        <v>42883</v>
      </c>
      <c r="C34076" s="5" t="str">
        <f>IFERROR(__xludf.DUMMYFUNCTION("GOOGLETRANSLATE(B34076,""en"",""es-ES"")"),"Finalmente, regresa a la pared con su pincel y llena los espacios que faltan.")</f>
        <v>Finalmente, regresa a la pared con su pincel y llena los espacios que faltan.</v>
      </c>
    </row>
    <row r="34077">
      <c r="A34077" s="4" t="s">
        <v>42884</v>
      </c>
      <c r="B34077" s="4" t="s">
        <v>42885</v>
      </c>
      <c r="C34077" s="5" t="str">
        <f>IFERROR(__xludf.DUMMYFUNCTION("GOOGLETRANSLATE(B34077,""en"",""es-ES"")"),"Se ve a una mujer bucear a través de pancartas coloridas.")</f>
        <v>Se ve a una mujer bucear a través de pancartas coloridas.</v>
      </c>
    </row>
    <row r="34078">
      <c r="A34078" s="4" t="s">
        <v>42884</v>
      </c>
      <c r="B34078" s="4" t="s">
        <v>42886</v>
      </c>
      <c r="C34078" s="5" t="str">
        <f>IFERROR(__xludf.DUMMYFUNCTION("GOOGLETRANSLATE(B34078,""en"",""es-ES"")"),"Se muestra el exterior de un edificio.")</f>
        <v>Se muestra el exterior de un edificio.</v>
      </c>
    </row>
    <row r="34079">
      <c r="A34079" s="4" t="s">
        <v>42884</v>
      </c>
      <c r="B34079" s="4" t="s">
        <v>42887</v>
      </c>
      <c r="C34079" s="5" t="str">
        <f>IFERROR(__xludf.DUMMYFUNCTION("GOOGLETRANSLATE(B34079,""en"",""es-ES"")"),"Vemos un marcador, luego a las mujeres que son preparadas para nadar por sus entrenadores.")</f>
        <v>Vemos un marcador, luego a las mujeres que son preparadas para nadar por sus entrenadores.</v>
      </c>
    </row>
    <row r="34080">
      <c r="A34080" s="4" t="s">
        <v>42884</v>
      </c>
      <c r="B34080" s="4" t="s">
        <v>42888</v>
      </c>
      <c r="C34080" s="5" t="str">
        <f>IFERROR(__xludf.DUMMYFUNCTION("GOOGLETRANSLATE(B34080,""en"",""es-ES"")"),"Las mujeres se turnan para zambullirse del tablero alto, volteando a medida que avanzan.")</f>
        <v>Las mujeres se turnan para zambullirse del tablero alto, volteando a medida que avanzan.</v>
      </c>
    </row>
    <row r="34081">
      <c r="A34081" s="4" t="s">
        <v>42884</v>
      </c>
      <c r="B34081" s="4" t="s">
        <v>42889</v>
      </c>
      <c r="C34081" s="5" t="str">
        <f>IFERROR(__xludf.DUMMYFUNCTION("GOOGLETRANSLATE(B34081,""en"",""es-ES"")"),"El ganador posa con una medalla mientras todos aplauden.")</f>
        <v>El ganador posa con una medalla mientras todos aplauden.</v>
      </c>
    </row>
    <row r="34082">
      <c r="A34082" s="4" t="s">
        <v>42890</v>
      </c>
      <c r="B34082" s="4" t="s">
        <v>42891</v>
      </c>
      <c r="C34082" s="5" t="str">
        <f>IFERROR(__xludf.DUMMYFUNCTION("GOOGLETRANSLATE(B34082,""en"",""es-ES"")"),"Una mujer le sujetan el ombligo con una abrazadera blanca.")</f>
        <v>Una mujer le sujetan el ombligo con una abrazadera blanca.</v>
      </c>
    </row>
    <row r="34083">
      <c r="A34083" s="4" t="s">
        <v>42890</v>
      </c>
      <c r="B34083" s="4" t="s">
        <v>42892</v>
      </c>
      <c r="C34083" s="5" t="str">
        <f>IFERROR(__xludf.DUMMYFUNCTION("GOOGLETRANSLATE(B34083,""en"",""es-ES"")"),"Luego se perfora el ombligo.")</f>
        <v>Luego se perfora el ombligo.</v>
      </c>
    </row>
    <row r="34084">
      <c r="A34084" s="4" t="s">
        <v>42890</v>
      </c>
      <c r="B34084" s="4" t="s">
        <v>42893</v>
      </c>
      <c r="C34084" s="5" t="str">
        <f>IFERROR(__xludf.DUMMYFUNCTION("GOOGLETRANSLATE(B34084,""en"",""es-ES"")"),"La persona elimina la abrazadera y la limpia con una toalla.")</f>
        <v>La persona elimina la abrazadera y la limpia con una toalla.</v>
      </c>
    </row>
    <row r="34085">
      <c r="A34085" s="4" t="s">
        <v>42894</v>
      </c>
      <c r="B34085" s="4" t="s">
        <v>38202</v>
      </c>
      <c r="C34085" s="5" t="str">
        <f>IFERROR(__xludf.DUMMYFUNCTION("GOOGLETRANSLATE(B34085,""en"",""es-ES"")"),"Un grupo de personas está dentro de un gimnasio.")</f>
        <v>Un grupo de personas está dentro de un gimnasio.</v>
      </c>
    </row>
    <row r="34086">
      <c r="A34086" s="4" t="s">
        <v>42894</v>
      </c>
      <c r="B34086" s="4" t="s">
        <v>42895</v>
      </c>
      <c r="C34086" s="5" t="str">
        <f>IFERROR(__xludf.DUMMYFUNCTION("GOOGLETRANSLATE(B34086,""en"",""es-ES"")"),"Están utilizando a los esteperios para hacer ejercicio.")</f>
        <v>Están utilizando a los esteperios para hacer ejercicio.</v>
      </c>
    </row>
    <row r="34087">
      <c r="A34087" s="4" t="s">
        <v>42894</v>
      </c>
      <c r="B34087" s="4" t="s">
        <v>42896</v>
      </c>
      <c r="C34087" s="5" t="str">
        <f>IFERROR(__xludf.DUMMYFUNCTION("GOOGLETRANSLATE(B34087,""en"",""es-ES"")"),"Saltan y suben de un lado a otro sobre los steppers.")</f>
        <v>Saltan y suben de un lado a otro sobre los steppers.</v>
      </c>
    </row>
    <row r="34088">
      <c r="A34088" s="4" t="s">
        <v>42897</v>
      </c>
      <c r="B34088" s="4" t="s">
        <v>42898</v>
      </c>
      <c r="C34088" s="5" t="str">
        <f>IFERROR(__xludf.DUMMYFUNCTION("GOOGLETRANSLATE(B34088,""en"",""es-ES"")"),"Una mujer con una camisa blanca está bailando.")</f>
        <v>Una mujer con una camisa blanca está bailando.</v>
      </c>
    </row>
    <row r="34089">
      <c r="A34089" s="4" t="s">
        <v>42897</v>
      </c>
      <c r="B34089" s="4" t="s">
        <v>42899</v>
      </c>
      <c r="C34089" s="5" t="str">
        <f>IFERROR(__xludf.DUMMYFUNCTION("GOOGLETRANSLATE(B34089,""en"",""es-ES"")"),"Ella sostiene una plancha rizada en su cabello.")</f>
        <v>Ella sostiene una plancha rizada en su cabello.</v>
      </c>
    </row>
    <row r="34090">
      <c r="A34090" s="4" t="s">
        <v>42897</v>
      </c>
      <c r="B34090" s="4" t="s">
        <v>42900</v>
      </c>
      <c r="C34090" s="5" t="str">
        <f>IFERROR(__xludf.DUMMYFUNCTION("GOOGLETRANSLATE(B34090,""en"",""es-ES"")"),"Ella saca la plancha de rizado de su cabello.")</f>
        <v>Ella saca la plancha de rizado de su cabello.</v>
      </c>
    </row>
    <row r="34091">
      <c r="A34091" s="4" t="s">
        <v>42901</v>
      </c>
      <c r="B34091" s="4" t="s">
        <v>42902</v>
      </c>
      <c r="C34091" s="5" t="str">
        <f>IFERROR(__xludf.DUMMYFUNCTION("GOOGLETRANSLATE(B34091,""en"",""es-ES"")"),"El video muestra un tutorial de HowCast sobre cómo crear volumen en un corte de pelo.")</f>
        <v>El video muestra un tutorial de HowCast sobre cómo crear volumen en un corte de pelo.</v>
      </c>
    </row>
    <row r="34092">
      <c r="A34092" s="4" t="s">
        <v>42901</v>
      </c>
      <c r="B34092" s="4" t="s">
        <v>42903</v>
      </c>
      <c r="C34092" s="5" t="str">
        <f>IFERROR(__xludf.DUMMYFUNCTION("GOOGLETRANSLATE(B34092,""en"",""es-ES"")"),"Un peluquero de dama con una camisa verde y pantalones está demostrando un corte de pelo en una modelo con una camiseta sin mangas negra.")</f>
        <v>Un peluquero de dama con una camisa verde y pantalones está demostrando un corte de pelo en una modelo con una camiseta sin mangas negra.</v>
      </c>
    </row>
    <row r="34093">
      <c r="A34093" s="4" t="s">
        <v>42901</v>
      </c>
      <c r="B34093" s="4" t="s">
        <v>42904</v>
      </c>
      <c r="C34093" s="5" t="str">
        <f>IFERROR(__xludf.DUMMYFUNCTION("GOOGLETRANSLATE(B34093,""en"",""es-ES"")"),"Ella muestra cómo seccionar el cabello de la dama y corta el cabello de una manera inclinada.")</f>
        <v>Ella muestra cómo seccionar el cabello de la dama y corta el cabello de una manera inclinada.</v>
      </c>
    </row>
    <row r="34094">
      <c r="A34094" s="4" t="s">
        <v>42901</v>
      </c>
      <c r="B34094" s="4" t="s">
        <v>42905</v>
      </c>
      <c r="C34094" s="5" t="str">
        <f>IFERROR(__xludf.DUMMYFUNCTION("GOOGLETRANSLATE(B34094,""en"",""es-ES"")"),"Ella explica cómo esta técnica ayuda a crear un volumen adicional en la corona de la cabeza.")</f>
        <v>Ella explica cómo esta técnica ayuda a crear un volumen adicional en la corona de la cabeza.</v>
      </c>
    </row>
    <row r="34095">
      <c r="A34095" s="4" t="s">
        <v>42906</v>
      </c>
      <c r="B34095" s="4" t="s">
        <v>42907</v>
      </c>
      <c r="C34095" s="5" t="str">
        <f>IFERROR(__xludf.DUMMYFUNCTION("GOOGLETRANSLATE(B34095,""en"",""es-ES"")"),"Una niña y gimnasta realiza un ejercicio de gimnasia en la viga de equilibrio en un evento deportivo profesional frente a muchos fotógrafos y una audiencia en las gradas.")</f>
        <v>Una niña y gimnasta realiza un ejercicio de gimnasia en la viga de equilibrio en un evento deportivo profesional frente a muchos fotógrafos y una audiencia en las gradas.</v>
      </c>
    </row>
    <row r="34096">
      <c r="A34096" s="4" t="s">
        <v>42906</v>
      </c>
      <c r="B34096" s="4" t="s">
        <v>42908</v>
      </c>
      <c r="C34096" s="5" t="str">
        <f>IFERROR(__xludf.DUMMYFUNCTION("GOOGLETRANSLATE(B34096,""en"",""es-ES"")"),"Una joven gimnasta con un atuendo azul se encuentra frente a un rayo de equilibrio, salta sobre ella y comienza a realizar una rutina que involucra flips.")</f>
        <v>Una joven gimnasta con un atuendo azul se encuentra frente a un rayo de equilibrio, salta sobre ella y comienza a realizar una rutina que involucra flips.</v>
      </c>
    </row>
    <row r="34097">
      <c r="A34097" s="4" t="s">
        <v>42906</v>
      </c>
      <c r="B34097" s="4" t="s">
        <v>42909</v>
      </c>
      <c r="C34097" s="5" t="str">
        <f>IFERROR(__xludf.DUMMYFUNCTION("GOOGLETRANSLATE(B34097,""en"",""es-ES"")"),"La niña realiza varios volteos en el rayo de equilibrio y saltos de altura usando sus brazos para equilibrar su postura antes de realizar un flip final del haz y pegar el aterrizaje después de lo cual camina abraza a un entrenador antes de mirar el marcad"&amp;"or y hablar brevemente con un hombre sentado en una silla blanca.")</f>
        <v>La niña realiza varios volteos en el rayo de equilibrio y saltos de altura usando sus brazos para equilibrar su postura antes de realizar un flip final del haz y pegar el aterrizaje después de lo cual camina abraza a un entrenador antes de mirar el marcador y hablar brevemente con un hombre sentado en una silla blanca.</v>
      </c>
    </row>
    <row r="34098">
      <c r="A34098" s="4" t="s">
        <v>42910</v>
      </c>
      <c r="B34098" s="4" t="s">
        <v>42911</v>
      </c>
      <c r="C34098" s="5" t="str">
        <f>IFERROR(__xludf.DUMMYFUNCTION("GOOGLETRANSLATE(B34098,""en"",""es-ES"")"),"Varias personas en balsa de agua blanca y kayak en grandes balsas inflables y kayaks en un cuerpo de agua violento, estrecho y rodeado de grandes rocas.")</f>
        <v>Varias personas en balsa de agua blanca y kayak en grandes balsas inflables y kayaks en un cuerpo de agua violento, estrecho y rodeado de grandes rocas.</v>
      </c>
    </row>
    <row r="34099">
      <c r="A34099" s="4" t="s">
        <v>42910</v>
      </c>
      <c r="B34099" s="4" t="s">
        <v>42912</v>
      </c>
      <c r="C34099" s="5" t="str">
        <f>IFERROR(__xludf.DUMMYFUNCTION("GOOGLETRANSLATE(B34099,""en"",""es-ES"")"),"Un grupo de personas en una paleta de balsa de agua azul contra una corriente violenta/cuerpo de agua.")</f>
        <v>Un grupo de personas en una paleta de balsa de agua azul contra una corriente violenta/cuerpo de agua.</v>
      </c>
    </row>
    <row r="34100">
      <c r="A34100" s="4" t="s">
        <v>42910</v>
      </c>
      <c r="B34100" s="4" t="s">
        <v>42913</v>
      </c>
      <c r="C34100" s="5" t="str">
        <f>IFERROR(__xludf.DUMMYFUNCTION("GOOGLETRANSLATE(B34100,""en"",""es-ES"")"),"Varias personas solitarias reman en pequeños kayaks contra el mismo agua violenta.")</f>
        <v>Varias personas solitarias reman en pequeños kayaks contra el mismo agua violenta.</v>
      </c>
    </row>
    <row r="34101">
      <c r="A34101" s="4" t="s">
        <v>42910</v>
      </c>
      <c r="B34101" s="4" t="s">
        <v>42914</v>
      </c>
      <c r="C34101" s="5" t="str">
        <f>IFERROR(__xludf.DUMMYFUNCTION("GOOGLETRANSLATE(B34101,""en"",""es-ES"")"),"Una persona navega por las olas rocosas en una gran balsa de agua.")</f>
        <v>Una persona navega por las olas rocosas en una gran balsa de agua.</v>
      </c>
    </row>
    <row r="34102">
      <c r="A34102" s="4" t="s">
        <v>42910</v>
      </c>
      <c r="B34102" s="4" t="s">
        <v>42915</v>
      </c>
      <c r="C34102" s="5" t="str">
        <f>IFERROR(__xludf.DUMMYFUNCTION("GOOGLETRANSLATE(B34102,""en"",""es-ES"")"),"Las vigas y los kayakistas continúan luchando contra la fuerza del agua a medida que la escena se enfrenta a un mantra positividad y luego a Black.")</f>
        <v>Las vigas y los kayakistas continúan luchando contra la fuerza del agua a medida que la escena se enfrenta a un mantra positividad y luego a Black.</v>
      </c>
    </row>
    <row r="34103">
      <c r="A34103" s="4" t="s">
        <v>42916</v>
      </c>
      <c r="B34103" s="4" t="s">
        <v>42917</v>
      </c>
      <c r="C34103" s="5" t="str">
        <f>IFERROR(__xludf.DUMMYFUNCTION("GOOGLETRANSLATE(B34103,""en"",""es-ES"")"),"Un SUV lleno de amigos sale de un estacionamiento hacia un resort.")</f>
        <v>Un SUV lleno de amigos sale de un estacionamiento hacia un resort.</v>
      </c>
    </row>
    <row r="34104">
      <c r="A34104" s="4" t="s">
        <v>42916</v>
      </c>
      <c r="B34104" s="4" t="s">
        <v>42918</v>
      </c>
      <c r="C34104" s="5" t="str">
        <f>IFERROR(__xludf.DUMMYFUNCTION("GOOGLETRANSLATE(B34104,""en"",""es-ES"")"),"Una niña que estaba en el auto sale del auto.")</f>
        <v>Una niña que estaba en el auto sale del auto.</v>
      </c>
    </row>
    <row r="34105">
      <c r="A34105" s="4" t="s">
        <v>42916</v>
      </c>
      <c r="B34105" s="4" t="s">
        <v>42919</v>
      </c>
      <c r="C34105" s="5" t="str">
        <f>IFERROR(__xludf.DUMMYFUNCTION("GOOGLETRANSLATE(B34105,""en"",""es-ES"")"),"El grupo de amigos bucean entre peces en una gran piscina.")</f>
        <v>El grupo de amigos bucean entre peces en una gran piscina.</v>
      </c>
    </row>
    <row r="34106">
      <c r="A34106" s="4" t="s">
        <v>42916</v>
      </c>
      <c r="B34106" s="4" t="s">
        <v>42920</v>
      </c>
      <c r="C34106" s="5" t="str">
        <f>IFERROR(__xludf.DUMMYFUNCTION("GOOGLETRANSLATE(B34106,""en"",""es-ES"")"),"Dejan la piscina emocionada y feliz.")</f>
        <v>Dejan la piscina emocionada y feliz.</v>
      </c>
    </row>
    <row r="34107">
      <c r="A34107" s="4" t="s">
        <v>42916</v>
      </c>
      <c r="B34107" s="4" t="s">
        <v>42921</v>
      </c>
      <c r="C34107" s="5" t="str">
        <f>IFERROR(__xludf.DUMMYFUNCTION("GOOGLETRANSLATE(B34107,""en"",""es-ES"")"),"Una de las chicas que estaba en el viaje le da un pulgar hacia arriba.")</f>
        <v>Una de las chicas que estaba en el viaje le da un pulgar hacia arriba.</v>
      </c>
    </row>
    <row r="34108">
      <c r="A34108" s="4" t="s">
        <v>42922</v>
      </c>
      <c r="B34108" s="4" t="s">
        <v>42923</v>
      </c>
      <c r="C34108" s="5" t="str">
        <f>IFERROR(__xludf.DUMMYFUNCTION("GOOGLETRANSLATE(B34108,""en"",""es-ES"")"),"Se ve a un hombre que organiza un nuevo segmento que conduce a un gran grupo de personas de pie y marchando por un campo.")</f>
        <v>Se ve a un hombre que organiza un nuevo segmento que conduce a un gran grupo de personas de pie y marchando por un campo.</v>
      </c>
    </row>
    <row r="34109">
      <c r="A34109" s="4" t="s">
        <v>42922</v>
      </c>
      <c r="B34109" s="4" t="s">
        <v>42924</v>
      </c>
      <c r="C34109" s="5" t="str">
        <f>IFERROR(__xludf.DUMMYFUNCTION("GOOGLETRANSLATE(B34109,""en"",""es-ES"")"),"Luego se ve a la gente cabalgando en caballos jugando un juego entre sí.")</f>
        <v>Luego se ve a la gente cabalgando en caballos jugando un juego entre sí.</v>
      </c>
    </row>
    <row r="34110">
      <c r="A34110" s="4" t="s">
        <v>42922</v>
      </c>
      <c r="B34110" s="4" t="s">
        <v>42925</v>
      </c>
      <c r="C34110" s="5" t="str">
        <f>IFERROR(__xludf.DUMMYFUNCTION("GOOGLETRANSLATE(B34110,""en"",""es-ES"")"),"Los jugadores hablan con la cámara, así como con la audiencia y termina con un equipo parado juntos.")</f>
        <v>Los jugadores hablan con la cámara, así como con la audiencia y termina con un equipo parado juntos.</v>
      </c>
    </row>
    <row r="34111">
      <c r="A34111" s="4" t="s">
        <v>42926</v>
      </c>
      <c r="B34111" s="4" t="s">
        <v>42927</v>
      </c>
      <c r="C34111" s="5" t="str">
        <f>IFERROR(__xludf.DUMMYFUNCTION("GOOGLETRANSLATE(B34111,""en"",""es-ES"")"),"Un hombre vierte un huevo en una sartén pequeña.")</f>
        <v>Un hombre vierte un huevo en una sartén pequeña.</v>
      </c>
    </row>
    <row r="34112">
      <c r="A34112" s="4" t="s">
        <v>42926</v>
      </c>
      <c r="B34112" s="4" t="s">
        <v>42928</v>
      </c>
      <c r="C34112" s="5" t="str">
        <f>IFERROR(__xludf.DUMMYFUNCTION("GOOGLETRANSLATE(B34112,""en"",""es-ES"")"),"Él coloca la sartén en una estufa.")</f>
        <v>Él coloca la sartén en una estufa.</v>
      </c>
    </row>
    <row r="34113">
      <c r="A34113" s="4" t="s">
        <v>42926</v>
      </c>
      <c r="B34113" s="4" t="s">
        <v>42929</v>
      </c>
      <c r="C34113" s="5" t="str">
        <f>IFERROR(__xludf.DUMMYFUNCTION("GOOGLETRANSLATE(B34113,""en"",""es-ES"")"),"Él arroja la comida sobre un plato.")</f>
        <v>Él arroja la comida sobre un plato.</v>
      </c>
    </row>
    <row r="34114">
      <c r="A34114" s="4" t="s">
        <v>42930</v>
      </c>
      <c r="B34114" s="4" t="s">
        <v>42931</v>
      </c>
      <c r="C34114" s="5" t="str">
        <f>IFERROR(__xludf.DUMMYFUNCTION("GOOGLETRANSLATE(B34114,""en"",""es-ES"")"),"Un salto con pértiga de hombre sobre una cuerda en una pista de un campo deportivo.")</f>
        <v>Un salto con pértiga de hombre sobre una cuerda en una pista de un campo deportivo.</v>
      </c>
    </row>
    <row r="34115">
      <c r="A34115" s="4" t="s">
        <v>42930</v>
      </c>
      <c r="B34115" s="4" t="s">
        <v>42932</v>
      </c>
      <c r="C34115" s="5" t="str">
        <f>IFERROR(__xludf.DUMMYFUNCTION("GOOGLETRANSLATE(B34115,""en"",""es-ES"")"),"El hombre apenas hace su cuerpo sobre la cuerda.")</f>
        <v>El hombre apenas hace su cuerpo sobre la cuerda.</v>
      </c>
    </row>
    <row r="34116">
      <c r="A34116" s="4" t="s">
        <v>42933</v>
      </c>
      <c r="B34116" s="4" t="s">
        <v>42934</v>
      </c>
      <c r="C34116" s="5" t="str">
        <f>IFERROR(__xludf.DUMMYFUNCTION("GOOGLETRANSLATE(B34116,""en"",""es-ES"")"),"Un hombre que usa vasos está hablando en un estacionamiento.")</f>
        <v>Un hombre que usa vasos está hablando en un estacionamiento.</v>
      </c>
    </row>
    <row r="34117">
      <c r="A34117" s="4" t="s">
        <v>42933</v>
      </c>
      <c r="B34117" s="4" t="s">
        <v>42935</v>
      </c>
      <c r="C34117" s="5" t="str">
        <f>IFERROR(__xludf.DUMMYFUNCTION("GOOGLETRANSLATE(B34117,""en"",""es-ES"")"),"Entra en un lavado de autos, donde se rocía una sustancia verde sobre los autos.")</f>
        <v>Entra en un lavado de autos, donde se rocía una sustancia verde sobre los autos.</v>
      </c>
    </row>
    <row r="34118">
      <c r="A34118" s="4" t="s">
        <v>42933</v>
      </c>
      <c r="B34118" s="4" t="s">
        <v>42936</v>
      </c>
      <c r="C34118" s="5" t="str">
        <f>IFERROR(__xludf.DUMMYFUNCTION("GOOGLETRANSLATE(B34118,""en"",""es-ES"")"),"El jabón se enjuaga con mangueras.")</f>
        <v>El jabón se enjuaga con mangueras.</v>
      </c>
    </row>
    <row r="34119">
      <c r="A34119" s="4" t="s">
        <v>42937</v>
      </c>
      <c r="B34119" s="4" t="s">
        <v>42938</v>
      </c>
      <c r="C34119" s="5" t="str">
        <f>IFERROR(__xludf.DUMMYFUNCTION("GOOGLETRANSLATE(B34119,""en"",""es-ES"")"),"Se ve a una gran banda de música caminando por una calle con un gran grupo de personas paradas y observando.")</f>
        <v>Se ve a una gran banda de música caminando por una calle con un gran grupo de personas paradas y observando.</v>
      </c>
    </row>
    <row r="34120">
      <c r="A34120" s="4" t="s">
        <v>42937</v>
      </c>
      <c r="B34120" s="4" t="s">
        <v>42939</v>
      </c>
      <c r="C34120" s="5" t="str">
        <f>IFERROR(__xludf.DUMMYFUNCTION("GOOGLETRANSLATE(B34120,""en"",""es-ES"")"),"La gente continúa marchando y la cámara termina con una escena de crédito.")</f>
        <v>La gente continúa marchando y la cámara termina con una escena de crédito.</v>
      </c>
    </row>
    <row r="34121">
      <c r="A34121" s="4" t="s">
        <v>42940</v>
      </c>
      <c r="B34121" s="4" t="s">
        <v>42941</v>
      </c>
      <c r="C34121" s="5" t="str">
        <f>IFERROR(__xludf.DUMMYFUNCTION("GOOGLETRANSLATE(B34121,""en"",""es-ES"")"),"Se ve a un niño pequeño con piezas de oreja en su cabeza y soplando alrededor de la hierba.")</f>
        <v>Se ve a un niño pequeño con piezas de oreja en su cabeza y soplando alrededor de la hierba.</v>
      </c>
    </row>
    <row r="34122">
      <c r="A34122" s="4" t="s">
        <v>42940</v>
      </c>
      <c r="B34122" s="4" t="s">
        <v>42942</v>
      </c>
      <c r="C34122" s="5" t="str">
        <f>IFERROR(__xludf.DUMMYFUNCTION("GOOGLETRANSLATE(B34122,""en"",""es-ES"")"),"Está sosteniendo una máquina grande y se lo ve empujándola por todo el patio.")</f>
        <v>Está sosteniendo una máquina grande y se lo ve empujándola por todo el patio.</v>
      </c>
    </row>
    <row r="34123">
      <c r="A34123" s="4" t="s">
        <v>42940</v>
      </c>
      <c r="B34123" s="4" t="s">
        <v>42943</v>
      </c>
      <c r="C34123" s="5" t="str">
        <f>IFERROR(__xludf.DUMMYFUNCTION("GOOGLETRANSLATE(B34123,""en"",""es-ES"")"),"Hace una pausa por un momento para jugar con la hierba, seguido de él trabajando más.")</f>
        <v>Hace una pausa por un momento para jugar con la hierba, seguido de él trabajando más.</v>
      </c>
    </row>
    <row r="34124">
      <c r="A34124" s="4" t="s">
        <v>42944</v>
      </c>
      <c r="B34124" s="4" t="s">
        <v>42945</v>
      </c>
      <c r="C34124" s="5" t="str">
        <f>IFERROR(__xludf.DUMMYFUNCTION("GOOGLETRANSLATE(B34124,""en"",""es-ES"")"),"Un grupo de niñas se reúne en una habitación.")</f>
        <v>Un grupo de niñas se reúne en una habitación.</v>
      </c>
    </row>
    <row r="34125">
      <c r="A34125" s="4" t="s">
        <v>42944</v>
      </c>
      <c r="B34125" s="4" t="s">
        <v>42946</v>
      </c>
      <c r="C34125" s="5" t="str">
        <f>IFERROR(__xludf.DUMMYFUNCTION("GOOGLETRANSLATE(B34125,""en"",""es-ES"")"),"Se muestran en una serie de imágenes posando juntas.")</f>
        <v>Se muestran en una serie de imágenes posando juntas.</v>
      </c>
    </row>
    <row r="34126">
      <c r="A34126" s="4" t="s">
        <v>42944</v>
      </c>
      <c r="B34126" s="4" t="s">
        <v>42947</v>
      </c>
      <c r="C34126" s="5" t="str">
        <f>IFERROR(__xludf.DUMMYFUNCTION("GOOGLETRANSLATE(B34126,""en"",""es-ES"")"),"También varios muchachos posamos antes de jugar un juego de Foosball.")</f>
        <v>También varios muchachos posamos antes de jugar un juego de Foosball.</v>
      </c>
    </row>
    <row r="34127">
      <c r="A34127" s="4" t="s">
        <v>42948</v>
      </c>
      <c r="B34127" s="4" t="s">
        <v>42949</v>
      </c>
      <c r="C34127" s="5" t="str">
        <f>IFERROR(__xludf.DUMMYFUNCTION("GOOGLETRANSLATE(B34127,""en"",""es-ES"")"),"Un hombre se acerca a un micrófono mientras toca el saxo.")</f>
        <v>Un hombre se acerca a un micrófono mientras toca el saxo.</v>
      </c>
    </row>
    <row r="34128">
      <c r="A34128" s="4" t="s">
        <v>42948</v>
      </c>
      <c r="B34128" s="4" t="s">
        <v>42950</v>
      </c>
      <c r="C34128" s="5" t="str">
        <f>IFERROR(__xludf.DUMMYFUNCTION("GOOGLETRANSLATE(B34128,""en"",""es-ES"")"),"Un grupo de jugadores de béisbol esperan en el campo.")</f>
        <v>Un grupo de jugadores de béisbol esperan en el campo.</v>
      </c>
    </row>
    <row r="34129">
      <c r="A34129" s="4" t="s">
        <v>42948</v>
      </c>
      <c r="B34129" s="4" t="s">
        <v>42951</v>
      </c>
      <c r="C34129" s="5" t="str">
        <f>IFERROR(__xludf.DUMMYFUNCTION("GOOGLETRANSLATE(B34129,""en"",""es-ES"")"),"El hombre continúa jugando el saxofón para la multitud.")</f>
        <v>El hombre continúa jugando el saxofón para la multitud.</v>
      </c>
    </row>
    <row r="34130">
      <c r="A34130" s="4" t="s">
        <v>42952</v>
      </c>
      <c r="B34130" s="4" t="s">
        <v>42953</v>
      </c>
      <c r="C34130" s="5" t="str">
        <f>IFERROR(__xludf.DUMMYFUNCTION("GOOGLETRANSLATE(B34130,""en"",""es-ES"")"),"Hay un joven principal en una camiseta sin mangas blanca y pantalones cortos beige que practican bailando con una mujer con una camisa gris y pantalones cortos azules.")</f>
        <v>Hay un joven principal en una camiseta sin mangas blanca y pantalones cortos beige que practican bailando con una mujer con una camisa gris y pantalones cortos azules.</v>
      </c>
    </row>
    <row r="34131">
      <c r="A34131" s="4" t="s">
        <v>42952</v>
      </c>
      <c r="B34131" s="4" t="s">
        <v>42954</v>
      </c>
      <c r="C34131" s="5" t="str">
        <f>IFERROR(__xludf.DUMMYFUNCTION("GOOGLETRANSLATE(B34131,""en"",""es-ES"")"),"Están practicando bailar en su sala de estar con un televisor de pantalla plana que cuelga en la pared.")</f>
        <v>Están practicando bailar en su sala de estar con un televisor de pantalla plana que cuelga en la pared.</v>
      </c>
    </row>
    <row r="34132">
      <c r="A34132" s="4" t="s">
        <v>42952</v>
      </c>
      <c r="B34132" s="4" t="s">
        <v>42955</v>
      </c>
      <c r="C34132" s="5" t="str">
        <f>IFERROR(__xludf.DUMMYFUNCTION("GOOGLETRANSLATE(B34132,""en"",""es-ES"")"),"Están tomados de la mano mientras giran y bailan.")</f>
        <v>Están tomados de la mano mientras giran y bailan.</v>
      </c>
    </row>
    <row r="34133">
      <c r="A34133" s="4" t="s">
        <v>42956</v>
      </c>
      <c r="B34133" s="4" t="s">
        <v>16179</v>
      </c>
      <c r="C34133" s="5" t="str">
        <f>IFERROR(__xludf.DUMMYFUNCTION("GOOGLETRANSLATE(B34133,""en"",""es-ES"")"),"Las mujeres bailan en un escenario.")</f>
        <v>Las mujeres bailan en un escenario.</v>
      </c>
    </row>
    <row r="34134">
      <c r="A34134" s="4" t="s">
        <v>42956</v>
      </c>
      <c r="B34134" s="4" t="s">
        <v>42957</v>
      </c>
      <c r="C34134" s="5" t="str">
        <f>IFERROR(__xludf.DUMMYFUNCTION("GOOGLETRANSLATE(B34134,""en"",""es-ES"")"),"Están balanceando sus caderas de lado a lado.")</f>
        <v>Están balanceando sus caderas de lado a lado.</v>
      </c>
    </row>
    <row r="34135">
      <c r="A34135" s="4" t="s">
        <v>42956</v>
      </c>
      <c r="B34135" s="4" t="s">
        <v>42958</v>
      </c>
      <c r="C34135" s="5" t="str">
        <f>IFERROR(__xludf.DUMMYFUNCTION("GOOGLETRANSLATE(B34135,""en"",""es-ES"")"),"Se supone que el baile es sexy.")</f>
        <v>Se supone que el baile es sexy.</v>
      </c>
    </row>
    <row r="34136">
      <c r="A34136" s="4" t="s">
        <v>42956</v>
      </c>
      <c r="B34136" s="4" t="s">
        <v>42959</v>
      </c>
      <c r="C34136" s="5" t="str">
        <f>IFERROR(__xludf.DUMMYFUNCTION("GOOGLETRANSLATE(B34136,""en"",""es-ES"")"),"Forman una línea mientras bailan.")</f>
        <v>Forman una línea mientras bailan.</v>
      </c>
    </row>
    <row r="34137">
      <c r="A34137" s="4" t="s">
        <v>42956</v>
      </c>
      <c r="B34137" s="4" t="s">
        <v>42960</v>
      </c>
      <c r="C34137" s="5" t="str">
        <f>IFERROR(__xludf.DUMMYFUNCTION("GOOGLETRANSLATE(B34137,""en"",""es-ES"")"),"Dan la espalda a la audiencia y bailan.")</f>
        <v>Dan la espalda a la audiencia y bailan.</v>
      </c>
    </row>
    <row r="34138">
      <c r="A34138" s="4" t="s">
        <v>42956</v>
      </c>
      <c r="B34138" s="4" t="s">
        <v>42961</v>
      </c>
      <c r="C34138" s="5" t="str">
        <f>IFERROR(__xludf.DUMMYFUNCTION("GOOGLETRANSLATE(B34138,""en"",""es-ES"")"),"Las luces bajan.")</f>
        <v>Las luces bajan.</v>
      </c>
    </row>
    <row r="34139">
      <c r="A34139" s="4" t="s">
        <v>42956</v>
      </c>
      <c r="B34139" s="4" t="s">
        <v>42962</v>
      </c>
      <c r="C34139" s="5" t="str">
        <f>IFERROR(__xludf.DUMMYFUNCTION("GOOGLETRANSLATE(B34139,""en"",""es-ES"")"),"El baile ha terminado.")</f>
        <v>El baile ha terminado.</v>
      </c>
    </row>
    <row r="34140">
      <c r="A34140" s="4" t="s">
        <v>42963</v>
      </c>
      <c r="B34140" s="4" t="s">
        <v>42964</v>
      </c>
      <c r="C34140" s="5" t="str">
        <f>IFERROR(__xludf.DUMMYFUNCTION("GOOGLETRANSLATE(B34140,""en"",""es-ES"")"),"La gente se encuentra y habla en una mesas.")</f>
        <v>La gente se encuentra y habla en una mesas.</v>
      </c>
    </row>
    <row r="34141">
      <c r="A34141" s="4" t="s">
        <v>42963</v>
      </c>
      <c r="B34141" s="4" t="s">
        <v>42965</v>
      </c>
      <c r="C34141" s="5" t="str">
        <f>IFERROR(__xludf.DUMMYFUNCTION("GOOGLETRANSLATE(B34141,""en"",""es-ES"")"),"Los equipos de jugadores juegan fútbol de playa.")</f>
        <v>Los equipos de jugadores juegan fútbol de playa.</v>
      </c>
    </row>
    <row r="34142">
      <c r="A34142" s="4" t="s">
        <v>42963</v>
      </c>
      <c r="B34142" s="4" t="s">
        <v>42966</v>
      </c>
      <c r="C34142" s="5" t="str">
        <f>IFERROR(__xludf.DUMMYFUNCTION("GOOGLETRANSLATE(B34142,""en"",""es-ES"")"),"Un jugador anota un gol con el balón de fútbol.")</f>
        <v>Un jugador anota un gol con el balón de fútbol.</v>
      </c>
    </row>
    <row r="34143">
      <c r="A34143" s="4" t="s">
        <v>42967</v>
      </c>
      <c r="B34143" s="4" t="s">
        <v>42968</v>
      </c>
      <c r="C34143" s="5" t="str">
        <f>IFERROR(__xludf.DUMMYFUNCTION("GOOGLETRANSLATE(B34143,""en"",""es-ES"")"),"La pantalla es negra y vemos a una bailarina bailar en el escenario derramando plumas.")</f>
        <v>La pantalla es negra y vemos a una bailarina bailar en el escenario derramando plumas.</v>
      </c>
    </row>
    <row r="34144">
      <c r="A34144" s="4" t="s">
        <v>42967</v>
      </c>
      <c r="B34144" s="4" t="s">
        <v>42969</v>
      </c>
      <c r="C34144" s="5" t="str">
        <f>IFERROR(__xludf.DUMMYFUNCTION("GOOGLETRANSLATE(B34144,""en"",""es-ES"")"),"La persona mueve su cabeza como un pollo.")</f>
        <v>La persona mueve su cabeza como un pollo.</v>
      </c>
    </row>
    <row r="34145">
      <c r="A34145" s="4" t="s">
        <v>42967</v>
      </c>
      <c r="B34145" s="4" t="s">
        <v>42970</v>
      </c>
      <c r="C34145" s="5" t="str">
        <f>IFERROR(__xludf.DUMMYFUNCTION("GOOGLETRANSLATE(B34145,""en"",""es-ES"")"),"La persona hace una baraja y baila, luego cae al suelo antes de levantarse y bailar más.")</f>
        <v>La persona hace una baraja y baila, luego cae al suelo antes de levantarse y bailar más.</v>
      </c>
    </row>
    <row r="34146">
      <c r="A34146" s="4" t="s">
        <v>42967</v>
      </c>
      <c r="B34146" s="4" t="s">
        <v>42971</v>
      </c>
      <c r="C34146" s="5" t="str">
        <f>IFERROR(__xludf.DUMMYFUNCTION("GOOGLETRANSLATE(B34146,""en"",""es-ES"")"),"La persona pone sus manos en una pose de oración.")</f>
        <v>La persona pone sus manos en una pose de oración.</v>
      </c>
    </row>
    <row r="34147">
      <c r="A34147" s="4" t="s">
        <v>42967</v>
      </c>
      <c r="B34147" s="4" t="s">
        <v>42972</v>
      </c>
      <c r="C34147" s="5" t="str">
        <f>IFERROR(__xludf.DUMMYFUNCTION("GOOGLETRANSLATE(B34147,""en"",""es-ES"")"),"La persona levanta plumas del suelo y las rocía y luego baila y cae al suelo y la escena termina.")</f>
        <v>La persona levanta plumas del suelo y las rocía y luego baila y cae al suelo y la escena termina.</v>
      </c>
    </row>
    <row r="34148">
      <c r="A34148" s="4" t="s">
        <v>42973</v>
      </c>
      <c r="B34148" s="4" t="s">
        <v>42974</v>
      </c>
      <c r="C34148" s="5" t="str">
        <f>IFERROR(__xludf.DUMMYFUNCTION("GOOGLETRANSLATE(B34148,""en"",""es-ES"")"),"Se ve a una persona sentada detrás de una mesa resolviendo un cubo de Rubix mientras un temporizador la registra.")</f>
        <v>Se ve a una persona sentada detrás de una mesa resolviendo un cubo de Rubix mientras un temporizador la registra.</v>
      </c>
    </row>
    <row r="34149">
      <c r="A34149" s="4" t="s">
        <v>42973</v>
      </c>
      <c r="B34149" s="4" t="s">
        <v>42975</v>
      </c>
      <c r="C34149" s="5" t="str">
        <f>IFERROR(__xludf.DUMMYFUNCTION("GOOGLETRANSLATE(B34149,""en"",""es-ES"")"),"Se ve a dos hombres parados a su alrededor y escriben cosas cuando la niña finalmente termina.")</f>
        <v>Se ve a dos hombres parados a su alrededor y escriben cosas cuando la niña finalmente termina.</v>
      </c>
    </row>
    <row r="34150">
      <c r="A34150" s="4" t="s">
        <v>42976</v>
      </c>
      <c r="B34150" s="4" t="s">
        <v>42977</v>
      </c>
      <c r="C34150" s="5" t="str">
        <f>IFERROR(__xludf.DUMMYFUNCTION("GOOGLETRANSLATE(B34150,""en"",""es-ES"")"),"La gente está sentada y conduciendo en un montón de tarjetas de parachoques en una pista.")</f>
        <v>La gente está sentada y conduciendo en un montón de tarjetas de parachoques en una pista.</v>
      </c>
    </row>
    <row r="34151">
      <c r="A34151" s="4" t="s">
        <v>42976</v>
      </c>
      <c r="B34151" s="4" t="s">
        <v>42978</v>
      </c>
      <c r="C34151" s="5" t="str">
        <f>IFERROR(__xludf.DUMMYFUNCTION("GOOGLETRANSLATE(B34151,""en"",""es-ES"")"),"Se golpean y se topan entre sí, divirtiéndose.")</f>
        <v>Se golpean y se topan entre sí, divirtiéndose.</v>
      </c>
    </row>
    <row r="34152">
      <c r="A34152" s="4" t="s">
        <v>42979</v>
      </c>
      <c r="B34152" s="4" t="s">
        <v>42980</v>
      </c>
      <c r="C34152" s="5" t="str">
        <f>IFERROR(__xludf.DUMMYFUNCTION("GOOGLETRANSLATE(B34152,""en"",""es-ES"")"),"Se ve una gran montaña cubierta de nieve con árboles escasos.")</f>
        <v>Se ve una gran montaña cubierta de nieve con árboles escasos.</v>
      </c>
    </row>
    <row r="34153">
      <c r="A34153" s="4" t="s">
        <v>42979</v>
      </c>
      <c r="B34153" s="4" t="s">
        <v>42981</v>
      </c>
      <c r="C34153" s="5" t="str">
        <f>IFERROR(__xludf.DUMMYFUNCTION("GOOGLETRANSLATE(B34153,""en"",""es-ES"")"),"Alguien comienza a esquiar y luego un hombre con un traje de nieve naranja comienza a hablar.")</f>
        <v>Alguien comienza a esquiar y luego un hombre con un traje de nieve naranja comienza a hablar.</v>
      </c>
    </row>
    <row r="34154">
      <c r="A34154" s="4" t="s">
        <v>42979</v>
      </c>
      <c r="B34154" s="4" t="s">
        <v>42982</v>
      </c>
      <c r="C34154" s="5" t="str">
        <f>IFERROR(__xludf.DUMMYFUNCTION("GOOGLETRANSLATE(B34154,""en"",""es-ES"")"),"La persona continúa esquiando y luego dos hombres aparecen hablando entre sí.")</f>
        <v>La persona continúa esquiando y luego dos hombres aparecen hablando entre sí.</v>
      </c>
    </row>
    <row r="34155">
      <c r="A34155" s="4" t="s">
        <v>42979</v>
      </c>
      <c r="B34155" s="4" t="s">
        <v>42983</v>
      </c>
      <c r="C34155" s="5" t="str">
        <f>IFERROR(__xludf.DUMMYFUNCTION("GOOGLETRANSLATE(B34155,""en"",""es-ES"")"),"La persona esquiando luego va de la cima de la montaña a la parte inferior y luego se esconde detrás de una roca de hielo.")</f>
        <v>La persona esquiando luego va de la cima de la montaña a la parte inferior y luego se esconde detrás de una roca de hielo.</v>
      </c>
    </row>
    <row r="34156">
      <c r="A34156" s="4" t="s">
        <v>42984</v>
      </c>
      <c r="B34156" s="4" t="s">
        <v>42985</v>
      </c>
      <c r="C34156" s="5" t="str">
        <f>IFERROR(__xludf.DUMMYFUNCTION("GOOGLETRANSLATE(B34156,""en"",""es-ES"")"),"Dos reporteros informan sobre una historia sobre tomar demasiado café en una transmisión en vivo de noticias.")</f>
        <v>Dos reporteros informan sobre una historia sobre tomar demasiado café en una transmisión en vivo de noticias.</v>
      </c>
    </row>
    <row r="34157">
      <c r="A34157" s="4" t="s">
        <v>42984</v>
      </c>
      <c r="B34157" s="4" t="s">
        <v>42986</v>
      </c>
      <c r="C34157" s="5" t="str">
        <f>IFERROR(__xludf.DUMMYFUNCTION("GOOGLETRANSLATE(B34157,""en"",""es-ES"")"),"Una reportera mujer de pelo oscuro habla en cámara antes de que la cámara le corta a un reportero de cabello rubio que también habla en cámara.")</f>
        <v>Una reportera mujer de pelo oscuro habla en cámara antes de que la cámara le corta a un reportero de cabello rubio que también habla en cámara.</v>
      </c>
    </row>
    <row r="34158">
      <c r="A34158" s="4" t="s">
        <v>42984</v>
      </c>
      <c r="B34158" s="4" t="s">
        <v>42987</v>
      </c>
      <c r="C34158" s="5" t="str">
        <f>IFERROR(__xludf.DUMMYFUNCTION("GOOGLETRANSLATE(B34158,""en"",""es-ES"")"),"La cámara corta el video de una taza de café que se llena de café mientras una plantilla escrita que explica de qué se trata la historia aparece debajo de la taza.")</f>
        <v>La cámara corta el video de una taza de café que se llena de café mientras una plantilla escrita que explica de qué se trata la historia aparece debajo de la taza.</v>
      </c>
    </row>
    <row r="34159">
      <c r="A34159" s="4" t="s">
        <v>42984</v>
      </c>
      <c r="B34159" s="4" t="s">
        <v>42988</v>
      </c>
      <c r="C34159" s="5" t="str">
        <f>IFERROR(__xludf.DUMMYFUNCTION("GOOGLETRANSLATE(B34159,""en"",""es-ES"")"),"La cámara luego corta a un panel de personas de cuatro personas que hablan en cámara.")</f>
        <v>La cámara luego corta a un panel de personas de cuatro personas que hablan en cámara.</v>
      </c>
    </row>
    <row r="34160">
      <c r="A34160" s="4" t="s">
        <v>42989</v>
      </c>
      <c r="B34160" s="4" t="s">
        <v>42990</v>
      </c>
      <c r="C34160" s="5" t="str">
        <f>IFERROR(__xludf.DUMMYFUNCTION("GOOGLETRANSLATE(B34160,""en"",""es-ES"")"),"Sailboat está en mar abierto con algunas personas paradas en él.")</f>
        <v>Sailboat está en mar abierto con algunas personas paradas en él.</v>
      </c>
    </row>
    <row r="34161">
      <c r="A34161" s="4" t="s">
        <v>42989</v>
      </c>
      <c r="B34161" s="4" t="s">
        <v>42991</v>
      </c>
      <c r="C34161" s="5" t="str">
        <f>IFERROR(__xludf.DUMMYFUNCTION("GOOGLETRANSLATE(B34161,""en"",""es-ES"")"),"Los hombres se encuentran en el velero y lo están conduciendo y hablando entre ellos.")</f>
        <v>Los hombres se encuentran en el velero y lo están conduciendo y hablando entre ellos.</v>
      </c>
    </row>
    <row r="34162">
      <c r="A34162" s="4" t="s">
        <v>42992</v>
      </c>
      <c r="B34162" s="4" t="s">
        <v>42993</v>
      </c>
      <c r="C34162" s="5" t="str">
        <f>IFERROR(__xludf.DUMMYFUNCTION("GOOGLETRANSLATE(B34162,""en"",""es-ES"")"),"Un grupo de niños juega y practica lanzamientos y técnicas de baloncesto en un gimnasio interior frente a entrenadores y otros niños.")</f>
        <v>Un grupo de niños juega y practica lanzamientos y técnicas de baloncesto en un gimnasio interior frente a entrenadores y otros niños.</v>
      </c>
    </row>
    <row r="34163">
      <c r="A34163" s="4" t="s">
        <v>42992</v>
      </c>
      <c r="B34163" s="4" t="s">
        <v>42994</v>
      </c>
      <c r="C34163" s="5" t="str">
        <f>IFERROR(__xludf.DUMMYFUNCTION("GOOGLETRANSLATE(B34163,""en"",""es-ES"")"),"Un grupo de niños se turnan para arrojar bolas de naranja y blanca en la red y correr hacia la red también.")</f>
        <v>Un grupo de niños se turnan para arrojar bolas de naranja y blanca en la red y correr hacia la red también.</v>
      </c>
    </row>
    <row r="34164">
      <c r="A34164" s="4" t="s">
        <v>42992</v>
      </c>
      <c r="B34164" s="4" t="s">
        <v>42995</v>
      </c>
      <c r="C34164" s="5" t="str">
        <f>IFERROR(__xludf.DUMMYFUNCTION("GOOGLETRANSLATE(B34164,""en"",""es-ES"")"),"Los entrenadores los siguen mientras juegan, en el momento, tratando de bloquear los lanzamientos con las manos.")</f>
        <v>Los entrenadores los siguen mientras juegan, en el momento, tratando de bloquear los lanzamientos con las manos.</v>
      </c>
    </row>
    <row r="34165">
      <c r="A34165" s="4" t="s">
        <v>42996</v>
      </c>
      <c r="B34165" s="4" t="s">
        <v>42997</v>
      </c>
      <c r="C34165" s="5" t="str">
        <f>IFERROR(__xludf.DUMMYFUNCTION("GOOGLETRANSLATE(B34165,""en"",""es-ES"")"),"Se ve a un hombre hablando con la cámara mientras se mueve alrededor del área y se sube a una máquina.")</f>
        <v>Se ve a un hombre hablando con la cámara mientras se mueve alrededor del área y se sube a una máquina.</v>
      </c>
    </row>
    <row r="34166">
      <c r="A34166" s="4" t="s">
        <v>42996</v>
      </c>
      <c r="B34166" s="4" t="s">
        <v>42998</v>
      </c>
      <c r="C34166" s="5" t="str">
        <f>IFERROR(__xludf.DUMMYFUNCTION("GOOGLETRANSLATE(B34166,""en"",""es-ES"")"),"Utiliza la máquina para romper el techo y termina con un primer plano de la máquina.")</f>
        <v>Utiliza la máquina para romper el techo y termina con un primer plano de la máquina.</v>
      </c>
    </row>
    <row r="34167">
      <c r="A34167" s="4" t="s">
        <v>42999</v>
      </c>
      <c r="B34167" s="4" t="s">
        <v>43000</v>
      </c>
      <c r="C34167" s="5" t="str">
        <f>IFERROR(__xludf.DUMMYFUNCTION("GOOGLETRANSLATE(B34167,""en"",""es-ES"")"),"Se muestran varios clips de personas que nadan en el agua que conduce a una mujer mirando la cámara y que aún se mueve debajo del agua.")</f>
        <v>Se muestran varios clips de personas que nadan en el agua que conduce a una mujer mirando la cámara y que aún se mueve debajo del agua.</v>
      </c>
    </row>
    <row r="34168">
      <c r="A34168" s="4" t="s">
        <v>42999</v>
      </c>
      <c r="B34168" s="4" t="s">
        <v>43001</v>
      </c>
      <c r="C34168" s="5" t="str">
        <f>IFERROR(__xludf.DUMMYFUNCTION("GOOGLETRANSLATE(B34168,""en"",""es-ES"")"),"La mujer continúa flotando en el agua seguido de agarrar un tablero de boogie y realizar varios movimientos alrededor del agua.")</f>
        <v>La mujer continúa flotando en el agua seguido de agarrar un tablero de boogie y realizar varios movimientos alrededor del agua.</v>
      </c>
    </row>
    <row r="34169">
      <c r="A34169" s="4" t="s">
        <v>43002</v>
      </c>
      <c r="B34169" s="4" t="s">
        <v>43003</v>
      </c>
      <c r="C34169" s="5" t="str">
        <f>IFERROR(__xludf.DUMMYFUNCTION("GOOGLETRANSLATE(B34169,""en"",""es-ES"")"),"Se muestran varias tomas de paisajes que de regreso de las personas de pie en un puente.")</f>
        <v>Se muestran varias tomas de paisajes que de regreso de las personas de pie en un puente.</v>
      </c>
    </row>
    <row r="34170">
      <c r="A34170" s="4" t="s">
        <v>43002</v>
      </c>
      <c r="B34170" s="4" t="s">
        <v>43004</v>
      </c>
      <c r="C34170" s="5" t="str">
        <f>IFERROR(__xludf.DUMMYFUNCTION("GOOGLETRANSLATE(B34170,""en"",""es-ES"")"),"Se muestran tomas de personas que saltan del costado del puente, mientras que la cámara captura más paisajes.")</f>
        <v>Se muestran tomas de personas que saltan del costado del puente, mientras que la cámara captura más paisajes.</v>
      </c>
    </row>
    <row r="34171">
      <c r="A34171" s="4" t="s">
        <v>43002</v>
      </c>
      <c r="B34171" s="4" t="s">
        <v>43005</v>
      </c>
      <c r="C34171" s="5" t="str">
        <f>IFERROR(__xludf.DUMMYFUNCTION("GOOGLETRANSLATE(B34171,""en"",""es-ES"")"),"Se ve a varias personas más alineadas viendo que conducen a más personas saltando del costado.")</f>
        <v>Se ve a varias personas más alineadas viendo que conducen a más personas saltando del costado.</v>
      </c>
    </row>
    <row r="34172">
      <c r="A34172" s="4" t="s">
        <v>43006</v>
      </c>
      <c r="B34172" s="4" t="s">
        <v>43007</v>
      </c>
      <c r="C34172" s="5" t="str">
        <f>IFERROR(__xludf.DUMMYFUNCTION("GOOGLETRANSLATE(B34172,""en"",""es-ES"")"),"Una niña está sentada en una cama con los ojos cerrados.")</f>
        <v>Una niña está sentada en una cama con los ojos cerrados.</v>
      </c>
    </row>
    <row r="34173">
      <c r="A34173" s="4" t="s">
        <v>43006</v>
      </c>
      <c r="B34173" s="4" t="s">
        <v>43008</v>
      </c>
      <c r="C34173" s="5" t="str">
        <f>IFERROR(__xludf.DUMMYFUNCTION("GOOGLETRANSLATE(B34173,""en"",""es-ES"")"),"Una mujer se arrodilla y pone el revestimiento de los ojos a la niña.")</f>
        <v>Una mujer se arrodilla y pone el revestimiento de los ojos a la niña.</v>
      </c>
    </row>
    <row r="34174">
      <c r="A34174" s="4" t="s">
        <v>43006</v>
      </c>
      <c r="B34174" s="4" t="s">
        <v>43009</v>
      </c>
      <c r="C34174" s="5" t="str">
        <f>IFERROR(__xludf.DUMMYFUNCTION("GOOGLETRANSLATE(B34174,""en"",""es-ES"")"),"La niña abre su ojo y sonríe.")</f>
        <v>La niña abre su ojo y sonríe.</v>
      </c>
    </row>
    <row r="34175">
      <c r="A34175" s="4" t="s">
        <v>43010</v>
      </c>
      <c r="B34175" s="4" t="s">
        <v>43011</v>
      </c>
      <c r="C34175" s="5" t="str">
        <f>IFERROR(__xludf.DUMMYFUNCTION("GOOGLETRANSLATE(B34175,""en"",""es-ES"")"),"Una persona repara una cadena de bicicletas e instala la cadena en una bicicleta intercalada con una imagen de una mujer que habla.")</f>
        <v>Una persona repara una cadena de bicicletas e instala la cadena en una bicicleta intercalada con una imagen de una mujer que habla.</v>
      </c>
    </row>
    <row r="34176">
      <c r="A34176" s="4" t="s">
        <v>43010</v>
      </c>
      <c r="B34176" s="4" t="s">
        <v>43012</v>
      </c>
      <c r="C34176" s="5" t="str">
        <f>IFERROR(__xludf.DUMMYFUNCTION("GOOGLETRANSLATE(B34176,""en"",""es-ES"")"),"Una mujer mira a una cámara y sonríe mientras habla antes de que la escena se corte a un par de manos trabajando en una cadena de bicicletas.")</f>
        <v>Una mujer mira a una cámara y sonríe mientras habla antes de que la escena se corte a un par de manos trabajando en una cadena de bicicletas.</v>
      </c>
    </row>
    <row r="34177">
      <c r="A34177" s="4" t="s">
        <v>43010</v>
      </c>
      <c r="B34177" s="4" t="s">
        <v>43013</v>
      </c>
      <c r="C34177" s="5" t="str">
        <f>IFERROR(__xludf.DUMMYFUNCTION("GOOGLETRANSLATE(B34177,""en"",""es-ES"")"),"Un par de manos trabajan en una cadena de bicicletas con herramientas y pernos.")</f>
        <v>Un par de manos trabajan en una cadena de bicicletas con herramientas y pernos.</v>
      </c>
    </row>
    <row r="34178">
      <c r="A34178" s="4" t="s">
        <v>43010</v>
      </c>
      <c r="B34178" s="4" t="s">
        <v>43014</v>
      </c>
      <c r="C34178" s="5" t="str">
        <f>IFERROR(__xludf.DUMMYFUNCTION("GOOGLETRANSLATE(B34178,""en"",""es-ES"")"),"Las manos instalan la cadena en una bicicleta azul en una superficie de tierra de tierra.")</f>
        <v>Las manos instalan la cadena en una bicicleta azul en una superficie de tierra de tierra.</v>
      </c>
    </row>
    <row r="34179">
      <c r="A34179" s="4" t="s">
        <v>43015</v>
      </c>
      <c r="B34179" s="4" t="s">
        <v>43016</v>
      </c>
      <c r="C34179" s="5" t="str">
        <f>IFERROR(__xludf.DUMMYFUNCTION("GOOGLETRANSLATE(B34179,""en"",""es-ES"")"),"Una mujer que sostiene toallas habla con la cámara.")</f>
        <v>Una mujer que sostiene toallas habla con la cámara.</v>
      </c>
    </row>
    <row r="34180">
      <c r="A34180" s="4" t="s">
        <v>43015</v>
      </c>
      <c r="B34180" s="4" t="s">
        <v>43017</v>
      </c>
      <c r="C34180" s="5" t="str">
        <f>IFERROR(__xludf.DUMMYFUNCTION("GOOGLETRANSLATE(B34180,""en"",""es-ES"")"),"La mujer limpia la ventana detrás de ella con una toalla.")</f>
        <v>La mujer limpia la ventana detrás de ella con una toalla.</v>
      </c>
    </row>
    <row r="34181">
      <c r="A34181" s="4" t="s">
        <v>43015</v>
      </c>
      <c r="B34181" s="4" t="s">
        <v>43018</v>
      </c>
      <c r="C34181" s="5" t="str">
        <f>IFERROR(__xludf.DUMMYFUNCTION("GOOGLETRANSLATE(B34181,""en"",""es-ES"")"),"La mujer rocía un líquido en la ventana.")</f>
        <v>La mujer rocía un líquido en la ventana.</v>
      </c>
    </row>
    <row r="34182">
      <c r="A34182" s="4" t="s">
        <v>43015</v>
      </c>
      <c r="B34182" s="4" t="s">
        <v>43019</v>
      </c>
      <c r="C34182" s="5" t="str">
        <f>IFERROR(__xludf.DUMMYFUNCTION("GOOGLETRANSLATE(B34182,""en"",""es-ES"")"),"La mujer se reanuda limpiando la ventana.")</f>
        <v>La mujer se reanuda limpiando la ventana.</v>
      </c>
    </row>
    <row r="34183">
      <c r="A34183" s="4" t="s">
        <v>43015</v>
      </c>
      <c r="B34183" s="4" t="s">
        <v>43020</v>
      </c>
      <c r="C34183" s="5" t="str">
        <f>IFERROR(__xludf.DUMMYFUNCTION("GOOGLETRANSLATE(B34183,""en"",""es-ES"")"),"La mujer vuelve a hablar con la cámara.")</f>
        <v>La mujer vuelve a hablar con la cámara.</v>
      </c>
    </row>
    <row r="34184">
      <c r="A34184" s="4" t="s">
        <v>43021</v>
      </c>
      <c r="B34184" s="4" t="s">
        <v>43022</v>
      </c>
      <c r="C34184" s="5" t="str">
        <f>IFERROR(__xludf.DUMMYFUNCTION("GOOGLETRANSLATE(B34184,""en"",""es-ES"")"),"Dos niños realizan la lucha libre de los brazos mientras la gente mira, de repente los niños liberan sus manos.")</f>
        <v>Dos niños realizan la lucha libre de los brazos mientras la gente mira, de repente los niños liberan sus manos.</v>
      </c>
    </row>
    <row r="34185">
      <c r="A34185" s="4" t="s">
        <v>43021</v>
      </c>
      <c r="B34185" s="4" t="s">
        <v>43023</v>
      </c>
      <c r="C34185" s="5" t="str">
        <f>IFERROR(__xludf.DUMMYFUNCTION("GOOGLETRANSLATE(B34185,""en"",""es-ES"")"),"Después, continúan compitiendo, luego el niño que usa camiseta púrpura dobla la mano de su rival.")</f>
        <v>Después, continúan compitiendo, luego el niño que usa camiseta púrpura dobla la mano de su rival.</v>
      </c>
    </row>
    <row r="34186">
      <c r="A34186" s="4" t="s">
        <v>43021</v>
      </c>
      <c r="B34186" s="4" t="s">
        <v>43024</v>
      </c>
      <c r="C34186" s="5" t="str">
        <f>IFERROR(__xludf.DUMMYFUNCTION("GOOGLETRANSLATE(B34186,""en"",""es-ES"")"),"Después, continúa realizando la lucha libre del brazo y luego libera nuevamente las manos.")</f>
        <v>Después, continúa realizando la lucha libre del brazo y luego libera nuevamente las manos.</v>
      </c>
    </row>
    <row r="34187">
      <c r="A34187" s="4" t="s">
        <v>43025</v>
      </c>
      <c r="B34187" s="4" t="s">
        <v>43026</v>
      </c>
      <c r="C34187" s="5" t="str">
        <f>IFERROR(__xludf.DUMMYFUNCTION("GOOGLETRANSLATE(B34187,""en"",""es-ES"")"),"Un hombre de azul se encuentra en un auditorio.")</f>
        <v>Un hombre de azul se encuentra en un auditorio.</v>
      </c>
    </row>
    <row r="34188">
      <c r="A34188" s="4" t="s">
        <v>43025</v>
      </c>
      <c r="B34188" s="4" t="s">
        <v>43027</v>
      </c>
      <c r="C34188" s="5" t="str">
        <f>IFERROR(__xludf.DUMMYFUNCTION("GOOGLETRANSLATE(B34188,""en"",""es-ES"")"),"Hace gimnasia en algunos equipos.")</f>
        <v>Hace gimnasia en algunos equipos.</v>
      </c>
    </row>
    <row r="34189">
      <c r="A34189" s="4" t="s">
        <v>43025</v>
      </c>
      <c r="B34189" s="4" t="s">
        <v>43028</v>
      </c>
      <c r="C34189" s="5" t="str">
        <f>IFERROR(__xludf.DUMMYFUNCTION("GOOGLETRANSLATE(B34189,""en"",""es-ES"")"),"La gente está mirando desde las gradas.")</f>
        <v>La gente está mirando desde las gradas.</v>
      </c>
    </row>
    <row r="34190">
      <c r="A34190" s="4" t="s">
        <v>43025</v>
      </c>
      <c r="B34190" s="4" t="s">
        <v>43029</v>
      </c>
      <c r="C34190" s="5" t="str">
        <f>IFERROR(__xludf.DUMMYFUNCTION("GOOGLETRANSLATE(B34190,""en"",""es-ES"")"),"Él gira su cuerpo.")</f>
        <v>Él gira su cuerpo.</v>
      </c>
    </row>
    <row r="34191">
      <c r="A34191" s="4" t="s">
        <v>43030</v>
      </c>
      <c r="B34191" s="4" t="s">
        <v>43031</v>
      </c>
      <c r="C34191" s="5" t="str">
        <f>IFERROR(__xludf.DUMMYFUNCTION("GOOGLETRANSLATE(B34191,""en"",""es-ES"")"),"Dos personas en balsa de agua blanca sobre un cuerpo de agua rocoso, climático, en canoas estrechas y con paletas.")</f>
        <v>Dos personas en balsa de agua blanca sobre un cuerpo de agua rocoso, climático, en canoas estrechas y con paletas.</v>
      </c>
    </row>
    <row r="34192">
      <c r="A34192" s="4" t="s">
        <v>43030</v>
      </c>
      <c r="B34192" s="4" t="s">
        <v>43032</v>
      </c>
      <c r="C34192" s="5" t="str">
        <f>IFERROR(__xludf.DUMMYFUNCTION("GOOGLETRANSLATE(B34192,""en"",""es-ES"")"),"Una persona vestida con un atuendo rojo y negro se encuentra en una canoa roja y comienza a ponerse un equipo negro.")</f>
        <v>Una persona vestida con un atuendo rojo y negro se encuentra en una canoa roja y comienza a ponerse un equipo negro.</v>
      </c>
    </row>
    <row r="34193">
      <c r="A34193" s="4" t="s">
        <v>43030</v>
      </c>
      <c r="B34193" s="4" t="s">
        <v>43033</v>
      </c>
      <c r="C34193" s="5" t="str">
        <f>IFERROR(__xludf.DUMMYFUNCTION("GOOGLETRANSLATE(B34193,""en"",""es-ES"")"),"La persona en el atuendo rojo y negro comienza a rafting en la canoa roja sobre un tumultuoso cuerpo de agua lleno de grandes rocas.")</f>
        <v>La persona en el atuendo rojo y negro comienza a rafting en la canoa roja sobre un tumultuoso cuerpo de agua lleno de grandes rocas.</v>
      </c>
    </row>
    <row r="34194">
      <c r="A34194" s="4" t="s">
        <v>43030</v>
      </c>
      <c r="B34194" s="4" t="s">
        <v>43034</v>
      </c>
      <c r="C34194" s="5" t="str">
        <f>IFERROR(__xludf.DUMMYFUNCTION("GOOGLETRANSLATE(B34194,""en"",""es-ES"")"),"La persona en la canoa roja se acerca a otra canoa en el agua, esta azul, la canoa roja y la balsa de canoa azul a través de las aguas una detrás de la otra mientras la escena se desvanece hacia las negras.")</f>
        <v>La persona en la canoa roja se acerca a otra canoa en el agua, esta azul, la canoa roja y la balsa de canoa azul a través de las aguas una detrás de la otra mientras la escena se desvanece hacia las negras.</v>
      </c>
    </row>
    <row r="34195">
      <c r="A34195" s="4" t="s">
        <v>43035</v>
      </c>
      <c r="B34195" s="4" t="s">
        <v>43036</v>
      </c>
      <c r="C34195" s="5" t="str">
        <f>IFERROR(__xludf.DUMMYFUNCTION("GOOGLETRANSLATE(B34195,""en"",""es-ES"")"),"Las personas compiten en bicicleta en un camino lleno de baches.")</f>
        <v>Las personas compiten en bicicleta en un camino lleno de baches.</v>
      </c>
    </row>
    <row r="34196">
      <c r="A34196" s="4" t="s">
        <v>43035</v>
      </c>
      <c r="B34196" s="4" t="s">
        <v>43037</v>
      </c>
      <c r="C34196" s="5" t="str">
        <f>IFERROR(__xludf.DUMMYFUNCTION("GOOGLETRANSLATE(B34196,""en"",""es-ES"")"),"Una persona rocía agua en el camino lleno de baches donde pasan los ciclistas.")</f>
        <v>Una persona rocía agua en el camino lleno de baches donde pasan los ciclistas.</v>
      </c>
    </row>
    <row r="34197">
      <c r="A34197" s="4" t="s">
        <v>43035</v>
      </c>
      <c r="B34197" s="4" t="s">
        <v>43038</v>
      </c>
      <c r="C34197" s="5" t="str">
        <f>IFERROR(__xludf.DUMMYFUNCTION("GOOGLETRANSLATE(B34197,""en"",""es-ES"")"),"Un grupo de ciclistas deja la línea de salida para comenzar la competencia de motocross, mientras que otros grupos comienzan a correr bicicletas.")</f>
        <v>Un grupo de ciclistas deja la línea de salida para comenzar la competencia de motocross, mientras que otros grupos comienzan a correr bicicletas.</v>
      </c>
    </row>
    <row r="34198">
      <c r="A34198" s="4" t="s">
        <v>43035</v>
      </c>
      <c r="B34198" s="4" t="s">
        <v>43039</v>
      </c>
      <c r="C34198" s="5" t="str">
        <f>IFERROR(__xludf.DUMMYFUNCTION("GOOGLETRANSLATE(B34198,""en"",""es-ES"")"),"Una persona que usa top blanca toma fotos a los ciclistas.")</f>
        <v>Una persona que usa top blanca toma fotos a los ciclistas.</v>
      </c>
    </row>
    <row r="34199">
      <c r="A34199" s="4" t="s">
        <v>43035</v>
      </c>
      <c r="B34199" s="4" t="s">
        <v>43040</v>
      </c>
      <c r="C34199" s="5" t="str">
        <f>IFERROR(__xludf.DUMMYFUNCTION("GOOGLETRANSLATE(B34199,""en"",""es-ES"")"),"Los nuevos grupos de ciclistas comienzan a correr en el camino lleno de baches para competir en bicicleta.")</f>
        <v>Los nuevos grupos de ciclistas comienzan a correr en el camino lleno de baches para competir en bicicleta.</v>
      </c>
    </row>
    <row r="34200">
      <c r="A34200" s="4" t="s">
        <v>43041</v>
      </c>
      <c r="B34200" s="4" t="s">
        <v>43042</v>
      </c>
      <c r="C34200" s="5" t="str">
        <f>IFERROR(__xludf.DUMMYFUNCTION("GOOGLETRANSLATE(B34200,""en"",""es-ES"")"),"Un niño usa zapatos de salto para rebotar frente a un edificio y en un parque infantil.")</f>
        <v>Un niño usa zapatos de salto para rebotar frente a un edificio y en un parque infantil.</v>
      </c>
    </row>
    <row r="34201">
      <c r="A34201" s="4" t="s">
        <v>43041</v>
      </c>
      <c r="B34201" s="4" t="s">
        <v>43043</v>
      </c>
      <c r="C34201" s="5" t="str">
        <f>IFERROR(__xludf.DUMMYFUNCTION("GOOGLETRANSLATE(B34201,""en"",""es-ES"")"),"Luego, el niño sube los escalones de un edificio, y luego da grandes pasos y salta hacia abajo.")</f>
        <v>Luego, el niño sube los escalones de un edificio, y luego da grandes pasos y salta hacia abajo.</v>
      </c>
    </row>
    <row r="34202">
      <c r="A34202" s="4" t="s">
        <v>43041</v>
      </c>
      <c r="B34202" s="4" t="s">
        <v>43044</v>
      </c>
      <c r="C34202" s="5" t="str">
        <f>IFERROR(__xludf.DUMMYFUNCTION("GOOGLETRANSLATE(B34202,""en"",""es-ES"")"),"Una familia de cuatro espera al niño para pasar la calle.")</f>
        <v>Una familia de cuatro espera al niño para pasar la calle.</v>
      </c>
    </row>
    <row r="34203">
      <c r="A34203" s="4" t="s">
        <v>43041</v>
      </c>
      <c r="B34203" s="4" t="s">
        <v>43045</v>
      </c>
      <c r="C34203" s="5" t="str">
        <f>IFERROR(__xludf.DUMMYFUNCTION("GOOGLETRANSLATE(B34203,""en"",""es-ES"")"),"Luego, el niño regresa al patio de recreo y salta sobre una piedra.")</f>
        <v>Luego, el niño regresa al patio de recreo y salta sobre una piedra.</v>
      </c>
    </row>
    <row r="34204">
      <c r="A34204" s="4" t="s">
        <v>43041</v>
      </c>
      <c r="B34204" s="4" t="s">
        <v>43046</v>
      </c>
      <c r="C34204" s="5" t="str">
        <f>IFERROR(__xludf.DUMMYFUNCTION("GOOGLETRANSLATE(B34204,""en"",""es-ES"")"),"Después, el niño salta alto en la calle hasta que llega a un estacionamiento.")</f>
        <v>Después, el niño salta alto en la calle hasta que llega a un estacionamiento.</v>
      </c>
    </row>
    <row r="34205">
      <c r="A34205" s="4" t="s">
        <v>43047</v>
      </c>
      <c r="B34205" s="4" t="s">
        <v>20672</v>
      </c>
      <c r="C34205" s="5" t="str">
        <f>IFERROR(__xludf.DUMMYFUNCTION("GOOGLETRANSLATE(B34205,""en"",""es-ES"")"),"Una niña salta a un rayo de equilibrio.")</f>
        <v>Una niña salta a un rayo de equilibrio.</v>
      </c>
    </row>
    <row r="34206">
      <c r="A34206" s="4" t="s">
        <v>43047</v>
      </c>
      <c r="B34206" s="4" t="s">
        <v>32035</v>
      </c>
      <c r="C34206" s="5" t="str">
        <f>IFERROR(__xludf.DUMMYFUNCTION("GOOGLETRANSLATE(B34206,""en"",""es-ES"")"),"Ella hace una rutina de gimnasia en la viga de equilibrio.")</f>
        <v>Ella hace una rutina de gimnasia en la viga de equilibrio.</v>
      </c>
    </row>
    <row r="34207">
      <c r="A34207" s="4" t="s">
        <v>43047</v>
      </c>
      <c r="B34207" s="4" t="s">
        <v>43048</v>
      </c>
      <c r="C34207" s="5" t="str">
        <f>IFERROR(__xludf.DUMMYFUNCTION("GOOGLETRANSLATE(B34207,""en"",""es-ES"")"),"Ella desmonta y aterriza en la colchoneta con los brazos en alto.")</f>
        <v>Ella desmonta y aterriza en la colchoneta con los brazos en alto.</v>
      </c>
    </row>
    <row r="34208">
      <c r="A34208" s="4" t="s">
        <v>43049</v>
      </c>
      <c r="B34208" s="4" t="s">
        <v>43050</v>
      </c>
      <c r="C34208" s="5" t="str">
        <f>IFERROR(__xludf.DUMMYFUNCTION("GOOGLETRANSLATE(B34208,""en"",""es-ES"")"),"Vemos a una chica patear y sentarse.")</f>
        <v>Vemos a una chica patear y sentarse.</v>
      </c>
    </row>
    <row r="34209">
      <c r="A34209" s="4" t="s">
        <v>43049</v>
      </c>
      <c r="B34209" s="4" t="s">
        <v>43051</v>
      </c>
      <c r="C34209" s="5" t="str">
        <f>IFERROR(__xludf.DUMMYFUNCTION("GOOGLETRANSLATE(B34209,""en"",""es-ES"")"),"Un niño se une a ella y comen helado.")</f>
        <v>Un niño se une a ella y comen helado.</v>
      </c>
    </row>
    <row r="34210">
      <c r="A34210" s="4" t="s">
        <v>43049</v>
      </c>
      <c r="B34210" s="4" t="s">
        <v>43052</v>
      </c>
      <c r="C34210" s="5" t="str">
        <f>IFERROR(__xludf.DUMMYFUNCTION("GOOGLETRANSLATE(B34210,""en"",""es-ES"")"),"El niño pone su cono frente a la cámara.")</f>
        <v>El niño pone su cono frente a la cámara.</v>
      </c>
    </row>
    <row r="34211">
      <c r="A34211" s="4" t="s">
        <v>43049</v>
      </c>
      <c r="B34211" s="4" t="s">
        <v>43053</v>
      </c>
      <c r="C34211" s="5" t="str">
        <f>IFERROR(__xludf.DUMMYFUNCTION("GOOGLETRANSLATE(B34211,""en"",""es-ES"")"),"El niño lame su helado salvajemente.")</f>
        <v>El niño lame su helado salvajemente.</v>
      </c>
    </row>
    <row r="34212">
      <c r="A34212" s="4" t="s">
        <v>43049</v>
      </c>
      <c r="B34212" s="4" t="s">
        <v>43054</v>
      </c>
      <c r="C34212" s="5" t="str">
        <f>IFERROR(__xludf.DUMMYFUNCTION("GOOGLETRANSLATE(B34212,""en"",""es-ES"")"),"Un niño arroja algo al niño con helado.")</f>
        <v>Un niño arroja algo al niño con helado.</v>
      </c>
    </row>
    <row r="34213">
      <c r="A34213" s="4" t="s">
        <v>43055</v>
      </c>
      <c r="B34213" s="4" t="s">
        <v>43056</v>
      </c>
      <c r="C34213" s="5" t="str">
        <f>IFERROR(__xludf.DUMMYFUNCTION("GOOGLETRANSLATE(B34213,""en"",""es-ES"")"),"Un niño bebe algo de una taza pequeña en un baño.")</f>
        <v>Un niño bebe algo de una taza pequeña en un baño.</v>
      </c>
    </row>
    <row r="34214">
      <c r="A34214" s="4" t="s">
        <v>43055</v>
      </c>
      <c r="B34214" s="4" t="s">
        <v>43057</v>
      </c>
      <c r="C34214" s="5" t="str">
        <f>IFERROR(__xludf.DUMMYFUNCTION("GOOGLETRANSLATE(B34214,""en"",""es-ES"")"),"El niño corre hacia la habitación y salta a la cama.")</f>
        <v>El niño corre hacia la habitación y salta a la cama.</v>
      </c>
    </row>
    <row r="34215">
      <c r="A34215" s="4" t="s">
        <v>43055</v>
      </c>
      <c r="B34215" s="4" t="s">
        <v>43058</v>
      </c>
      <c r="C34215" s="5" t="str">
        <f>IFERROR(__xludf.DUMMYFUNCTION("GOOGLETRANSLATE(B34215,""en"",""es-ES"")"),"El niño se traga el artículo en su boca y se cubre la boca con las manos.")</f>
        <v>El niño se traga el artículo en su boca y se cubre la boca con las manos.</v>
      </c>
    </row>
    <row r="34216">
      <c r="A34216" s="4" t="s">
        <v>43059</v>
      </c>
      <c r="B34216" s="4" t="s">
        <v>43060</v>
      </c>
      <c r="C34216" s="5" t="str">
        <f>IFERROR(__xludf.DUMMYFUNCTION("GOOGLETRANSLATE(B34216,""en"",""es-ES"")"),"Se ve a una persona sentada a lo largo del agua en un kayak sosteniendo una paleta.")</f>
        <v>Se ve a una persona sentada a lo largo del agua en un kayak sosteniendo una paleta.</v>
      </c>
    </row>
    <row r="34217">
      <c r="A34217" s="4" t="s">
        <v>43059</v>
      </c>
      <c r="B34217" s="4" t="s">
        <v>43061</v>
      </c>
      <c r="C34217" s="5" t="str">
        <f>IFERROR(__xludf.DUMMYFUNCTION("GOOGLETRANSLATE(B34217,""en"",""es-ES"")"),"La persona luego comienza a moverse a lo largo del agua en el kayak.")</f>
        <v>La persona luego comienza a moverse a lo largo del agua en el kayak.</v>
      </c>
    </row>
    <row r="34218">
      <c r="A34218" s="4" t="s">
        <v>43059</v>
      </c>
      <c r="B34218" s="4" t="s">
        <v>43062</v>
      </c>
      <c r="C34218" s="5" t="str">
        <f>IFERROR(__xludf.DUMMYFUNCTION("GOOGLETRANSLATE(B34218,""en"",""es-ES"")"),"La persona continúa remando y luego es retirada por una cuerda y sus brazos animando.")</f>
        <v>La persona continúa remando y luego es retirada por una cuerda y sus brazos animando.</v>
      </c>
    </row>
    <row r="34219">
      <c r="A34219" s="4" t="s">
        <v>43063</v>
      </c>
      <c r="B34219" s="4" t="s">
        <v>43064</v>
      </c>
      <c r="C34219" s="5" t="str">
        <f>IFERROR(__xludf.DUMMYFUNCTION("GOOGLETRANSLATE(B34219,""en"",""es-ES"")"),"Se ve a un gran grupo de personas en varias áreas de un edificio, mientras que algunas se inscriben para una carrera.")</f>
        <v>Se ve a un gran grupo de personas en varias áreas de un edificio, mientras que algunas se inscriben para una carrera.</v>
      </c>
    </row>
    <row r="34220">
      <c r="A34220" s="4" t="s">
        <v>43063</v>
      </c>
      <c r="B34220" s="4" t="s">
        <v>43065</v>
      </c>
      <c r="C34220" s="5" t="str">
        <f>IFERROR(__xludf.DUMMYFUNCTION("GOOGLETRANSLATE(B34220,""en"",""es-ES"")"),"La gente se sienta alrededor de una pista y conduce a niños pequeños que realizan varios saltos de larga duración.")</f>
        <v>La gente se sienta alrededor de una pista y conduce a niños pequeños que realizan varios saltos de larga duración.</v>
      </c>
    </row>
    <row r="34221">
      <c r="A34221" s="4" t="s">
        <v>43063</v>
      </c>
      <c r="B34221" s="4" t="s">
        <v>43066</v>
      </c>
      <c r="C34221" s="5" t="str">
        <f>IFERROR(__xludf.DUMMYFUNCTION("GOOGLETRANSLATE(B34221,""en"",""es-ES"")"),"Un hombre mayor anuncia premios al final y los ganadores se mantienen y obtienen sus cintas.")</f>
        <v>Un hombre mayor anuncia premios al final y los ganadores se mantienen y obtienen sus cintas.</v>
      </c>
    </row>
    <row r="34222">
      <c r="A34222" s="4" t="s">
        <v>43067</v>
      </c>
      <c r="B34222" s="4" t="s">
        <v>43068</v>
      </c>
      <c r="C34222" s="5" t="str">
        <f>IFERROR(__xludf.DUMMYFUNCTION("GOOGLETRANSLATE(B34222,""en"",""es-ES"")"),"Una tostadora blanca Breville está sentada en un mostrador que está conectado.")</f>
        <v>Una tostadora blanca Breville está sentada en un mostrador que está conectado.</v>
      </c>
    </row>
    <row r="34223">
      <c r="A34223" s="4" t="s">
        <v>43067</v>
      </c>
      <c r="B34223" s="4" t="s">
        <v>43069</v>
      </c>
      <c r="C34223" s="5" t="str">
        <f>IFERROR(__xludf.DUMMYFUNCTION("GOOGLETRANSLATE(B34223,""en"",""es-ES"")"),"Frente a la tostadora, un bloque de crema blanca y un plátano está sentado en un plato blanco.")</f>
        <v>Frente a la tostadora, un bloque de crema blanca y un plátano está sentado en un plato blanco.</v>
      </c>
    </row>
    <row r="34224">
      <c r="A34224" s="4" t="s">
        <v>43067</v>
      </c>
      <c r="B34224" s="4" t="s">
        <v>43070</v>
      </c>
      <c r="C34224" s="5" t="str">
        <f>IFERROR(__xludf.DUMMYFUNCTION("GOOGLETRANSLATE(B34224,""en"",""es-ES"")"),"Luego, dos rebanadas de pan están en la tostadora subiendo y bajando.")</f>
        <v>Luego, dos rebanadas de pan están en la tostadora subiendo y bajando.</v>
      </c>
    </row>
    <row r="34225">
      <c r="A34225" s="4" t="s">
        <v>43067</v>
      </c>
      <c r="B34225" s="4" t="s">
        <v>43071</v>
      </c>
      <c r="C34225" s="5" t="str">
        <f>IFERROR(__xludf.DUMMYFUNCTION("GOOGLETRANSLATE(B34225,""en"",""es-ES"")"),"Una vez que el pan está terminado, se coloca en el plato y la propagación se coloca en ambas rebanadas del Brad, luego se corta el plátano y se pone el pan en la parte superior de los plátanos.")</f>
        <v>Una vez que el pan está terminado, se coloca en el plato y la propagación se coloca en ambas rebanadas del Brad, luego se corta el plátano y se pone el pan en la parte superior de los plátanos.</v>
      </c>
    </row>
    <row r="34226">
      <c r="A34226" s="4" t="s">
        <v>43067</v>
      </c>
      <c r="B34226" s="4" t="s">
        <v>43072</v>
      </c>
      <c r="C34226" s="5" t="str">
        <f>IFERROR(__xludf.DUMMYFUNCTION("GOOGLETRANSLATE(B34226,""en"",""es-ES"")"),"Ahora, el sándwich está cortado es la mitad y la persona comienza a comerlo.")</f>
        <v>Ahora, el sándwich está cortado es la mitad y la persona comienza a comerlo.</v>
      </c>
    </row>
    <row r="34227">
      <c r="A34227" s="4" t="s">
        <v>43073</v>
      </c>
      <c r="B34227" s="4" t="s">
        <v>43074</v>
      </c>
      <c r="C34227" s="5" t="str">
        <f>IFERROR(__xludf.DUMMYFUNCTION("GOOGLETRANSLATE(B34227,""en"",""es-ES"")"),"Se ve a un hombre mayor arrodillado en medio de un gimnasio con varias personas a su alrededor.")</f>
        <v>Se ve a un hombre mayor arrodillado en medio de un gimnasio con varias personas a su alrededor.</v>
      </c>
    </row>
    <row r="34228">
      <c r="A34228" s="4" t="s">
        <v>43073</v>
      </c>
      <c r="B34228" s="4" t="s">
        <v>43075</v>
      </c>
      <c r="C34228" s="5" t="str">
        <f>IFERROR(__xludf.DUMMYFUNCTION("GOOGLETRANSLATE(B34228,""en"",""es-ES"")"),"El hombre tira de un equipo de ejercicio trabajando en sus brazos hacia atrás y cuarto.")</f>
        <v>El hombre tira de un equipo de ejercicio trabajando en sus brazos hacia atrás y cuarto.</v>
      </c>
    </row>
    <row r="34229">
      <c r="A34229" s="4" t="s">
        <v>43076</v>
      </c>
      <c r="B34229" s="4" t="s">
        <v>43077</v>
      </c>
      <c r="C34229" s="5" t="str">
        <f>IFERROR(__xludf.DUMMYFUNCTION("GOOGLETRANSLATE(B34229,""en"",""es-ES"")"),"Se ve a una mujer sentada en el consultorio de un médico con un médico hablando con ella y la cámara.")</f>
        <v>Se ve a una mujer sentada en el consultorio de un médico con un médico hablando con ella y la cámara.</v>
      </c>
    </row>
    <row r="34230">
      <c r="A34230" s="4" t="s">
        <v>43076</v>
      </c>
      <c r="B34230" s="4" t="s">
        <v>43078</v>
      </c>
      <c r="C34230" s="5" t="str">
        <f>IFERROR(__xludf.DUMMYFUNCTION("GOOGLETRANSLATE(B34230,""en"",""es-ES"")"),"El médico luego sostiene un objeto en el labio de la niña.")</f>
        <v>El médico luego sostiene un objeto en el labio de la niña.</v>
      </c>
    </row>
    <row r="34231">
      <c r="A34231" s="4" t="s">
        <v>43076</v>
      </c>
      <c r="B34231" s="4" t="s">
        <v>43079</v>
      </c>
      <c r="C34231" s="5" t="str">
        <f>IFERROR(__xludf.DUMMYFUNCTION("GOOGLETRANSLATE(B34231,""en"",""es-ES"")"),"Finalmente, el hombre perfora el labio de las chicas y le sonríe.")</f>
        <v>Finalmente, el hombre perfora el labio de las chicas y le sonríe.</v>
      </c>
    </row>
    <row r="34232">
      <c r="A34232" s="4" t="s">
        <v>43080</v>
      </c>
      <c r="B34232" s="4" t="s">
        <v>43081</v>
      </c>
      <c r="C34232" s="5" t="str">
        <f>IFERROR(__xludf.DUMMYFUNCTION("GOOGLETRANSLATE(B34232,""en"",""es-ES"")"),"Un niño se encuentra en un podio, hablando en un micrófono.")</f>
        <v>Un niño se encuentra en un podio, hablando en un micrófono.</v>
      </c>
    </row>
    <row r="34233">
      <c r="A34233" s="4" t="s">
        <v>43080</v>
      </c>
      <c r="B34233" s="4" t="s">
        <v>43082</v>
      </c>
      <c r="C34233" s="5" t="str">
        <f>IFERROR(__xludf.DUMMYFUNCTION("GOOGLETRANSLATE(B34233,""en"",""es-ES"")"),"Un grupo de niñas está en el escenario juntas.")</f>
        <v>Un grupo de niñas está en el escenario juntas.</v>
      </c>
    </row>
    <row r="34234">
      <c r="A34234" s="4" t="s">
        <v>43080</v>
      </c>
      <c r="B34234" s="4" t="s">
        <v>43083</v>
      </c>
      <c r="C34234" s="5" t="str">
        <f>IFERROR(__xludf.DUMMYFUNCTION("GOOGLETRANSLATE(B34234,""en"",""es-ES"")"),"Comienzan a bailar mientras usan Hula Hoops.")</f>
        <v>Comienzan a bailar mientras usan Hula Hoops.</v>
      </c>
    </row>
    <row r="34235">
      <c r="A34235" s="4" t="s">
        <v>43080</v>
      </c>
      <c r="B34235" s="4" t="s">
        <v>43084</v>
      </c>
      <c r="C34235" s="5" t="str">
        <f>IFERROR(__xludf.DUMMYFUNCTION("GOOGLETRANSLATE(B34235,""en"",""es-ES"")"),"Cuando terminan, una niña reúne los aros y la multitud aplaude cuando se cierra la cortina.")</f>
        <v>Cuando terminan, una niña reúne los aros y la multitud aplaude cuando se cierra la cortina.</v>
      </c>
    </row>
    <row r="34236">
      <c r="A34236" s="4" t="s">
        <v>43085</v>
      </c>
      <c r="B34236" s="4" t="s">
        <v>43086</v>
      </c>
      <c r="C34236" s="5" t="str">
        <f>IFERROR(__xludf.DUMMYFUNCTION("GOOGLETRANSLATE(B34236,""en"",""es-ES"")"),"Se ve a una mujer sentada en el suelo mientras sostiene un gato y corta sus garras.")</f>
        <v>Se ve a una mujer sentada en el suelo mientras sostiene un gato y corta sus garras.</v>
      </c>
    </row>
    <row r="34237">
      <c r="A34237" s="4" t="s">
        <v>43085</v>
      </c>
      <c r="B34237" s="4" t="s">
        <v>43087</v>
      </c>
      <c r="C34237" s="5" t="str">
        <f>IFERROR(__xludf.DUMMYFUNCTION("GOOGLETRANSLATE(B34237,""en"",""es-ES"")"),"La mujer continúa sosteniendo al gato cortando sus garras y luego se levanta y se escapa al final.")</f>
        <v>La mujer continúa sosteniendo al gato cortando sus garras y luego se levanta y se escapa al final.</v>
      </c>
    </row>
    <row r="34238">
      <c r="A34238" s="4" t="s">
        <v>43088</v>
      </c>
      <c r="B34238" s="4" t="s">
        <v>43089</v>
      </c>
      <c r="C34238" s="5" t="str">
        <f>IFERROR(__xludf.DUMMYFUNCTION("GOOGLETRANSLATE(B34238,""en"",""es-ES"")"),"Las palabras ""Gimnasia artística femenina (WAG)"" aparecen en una pantalla roja.")</f>
        <v>Las palabras "Gimnasia artística femenina (WAG)" aparecen en una pantalla roja.</v>
      </c>
    </row>
    <row r="34239">
      <c r="A34239" s="4" t="s">
        <v>43088</v>
      </c>
      <c r="B34239" s="4" t="s">
        <v>43090</v>
      </c>
      <c r="C34239" s="5" t="str">
        <f>IFERROR(__xludf.DUMMYFUNCTION("GOOGLETRANSLATE(B34239,""en"",""es-ES"")"),"""Código de puntos 2013-2016"" aparece brevemente.")</f>
        <v>"Código de puntos 2013-2016" aparece brevemente.</v>
      </c>
    </row>
    <row r="34240">
      <c r="A34240" s="4" t="s">
        <v>43088</v>
      </c>
      <c r="B34240" s="4" t="s">
        <v>43091</v>
      </c>
      <c r="C34240" s="5" t="str">
        <f>IFERROR(__xludf.DUMMYFUNCTION("GOOGLETRANSLATE(B34240,""en"",""es-ES"")"),"Se muestran clips de Chellsie Memmel que realizan pruebas olímpicas de gimnasia.")</f>
        <v>Se muestran clips de Chellsie Memmel que realizan pruebas olímpicas de gimnasia.</v>
      </c>
    </row>
    <row r="34241">
      <c r="A34241" s="4" t="s">
        <v>43088</v>
      </c>
      <c r="B34241" s="4" t="s">
        <v>43092</v>
      </c>
      <c r="C34241" s="5" t="str">
        <f>IFERROR(__xludf.DUMMYFUNCTION("GOOGLETRANSLATE(B34241,""en"",""es-ES"")"),"Varias estadísticas de su actuación se muestran en la pantalla.")</f>
        <v>Varias estadísticas de su actuación se muestran en la pantalla.</v>
      </c>
    </row>
    <row r="34242">
      <c r="A34242" s="4" t="s">
        <v>43093</v>
      </c>
      <c r="B34242" s="4" t="s">
        <v>43094</v>
      </c>
      <c r="C34242" s="5" t="str">
        <f>IFERROR(__xludf.DUMMYFUNCTION("GOOGLETRANSLATE(B34242,""en"",""es-ES"")"),"Esta mujer está haciendo un tutorial de uñas de cómo crear uñas de gatos de Nyan.")</f>
        <v>Esta mujer está haciendo un tutorial de uñas de cómo crear uñas de gatos de Nyan.</v>
      </c>
    </row>
    <row r="34243">
      <c r="A34243" s="4" t="s">
        <v>43093</v>
      </c>
      <c r="B34243" s="4" t="s">
        <v>43095</v>
      </c>
      <c r="C34243" s="5" t="str">
        <f>IFERROR(__xludf.DUMMYFUNCTION("GOOGLETRANSLATE(B34243,""en"",""es-ES"")"),"Primero pinte todas tus uñas azules y haz una gran franja blanca sobre ellas y salpican las pequeñas estrellas.")</f>
        <v>Primero pinte todas tus uñas azules y haz una gran franja blanca sobre ellas y salpican las pequeñas estrellas.</v>
      </c>
    </row>
    <row r="34244">
      <c r="A34244" s="4" t="s">
        <v>43093</v>
      </c>
      <c r="B34244" s="4" t="s">
        <v>43096</v>
      </c>
      <c r="C34244" s="5" t="str">
        <f>IFERROR(__xludf.DUMMYFUNCTION("GOOGLETRANSLATE(B34244,""en"",""es-ES"")"),"Luego use un pequeño pincel para colocar los colores del arco iris y luego use una bolsa de sándwich de plástico para hacer un gato de Nyan y lo empuja sobre su uña.")</f>
        <v>Luego use un pequeño pincel para colocar los colores del arco iris y luego use una bolsa de sándwich de plástico para hacer un gato de Nyan y lo empuja sobre su uña.</v>
      </c>
    </row>
    <row r="34245">
      <c r="A34245" s="4" t="s">
        <v>43097</v>
      </c>
      <c r="B34245" s="4" t="s">
        <v>43098</v>
      </c>
      <c r="C34245" s="5" t="str">
        <f>IFERROR(__xludf.DUMMYFUNCTION("GOOGLETRANSLATE(B34245,""en"",""es-ES"")"),"Una dama discute y dobla una toalla.")</f>
        <v>Una dama discute y dobla una toalla.</v>
      </c>
    </row>
    <row r="34246">
      <c r="A34246" s="4" t="s">
        <v>43097</v>
      </c>
      <c r="B34246" s="4" t="s">
        <v>43099</v>
      </c>
      <c r="C34246" s="5" t="str">
        <f>IFERROR(__xludf.DUMMYFUNCTION("GOOGLETRANSLATE(B34246,""en"",""es-ES"")"),"La señora se lava la cara con un polvo de una caja.")</f>
        <v>La señora se lava la cara con un polvo de una caja.</v>
      </c>
    </row>
    <row r="34247">
      <c r="A34247" s="4" t="s">
        <v>43097</v>
      </c>
      <c r="B34247" s="4" t="s">
        <v>43100</v>
      </c>
      <c r="C34247" s="5" t="str">
        <f>IFERROR(__xludf.DUMMYFUNCTION("GOOGLETRANSLATE(B34247,""en"",""es-ES"")"),"La señora enjuague su rostro y usa una toalla para secarse.")</f>
        <v>La señora enjuague su rostro y usa una toalla para secarse.</v>
      </c>
    </row>
    <row r="34248">
      <c r="A34248" s="4" t="s">
        <v>43101</v>
      </c>
      <c r="B34248" s="4" t="s">
        <v>43102</v>
      </c>
      <c r="C34248" s="5" t="str">
        <f>IFERROR(__xludf.DUMMYFUNCTION("GOOGLETRANSLATE(B34248,""en"",""es-ES"")"),"Una mujer que intenta instruir la forma en que Big Bang Theory de tocar papel de rock sichiss Lizard Spock.")</f>
        <v>Una mujer que intenta instruir la forma en que Big Bang Theory de tocar papel de rock sichiss Lizard Spock.</v>
      </c>
    </row>
    <row r="34249">
      <c r="A34249" s="4" t="s">
        <v>43101</v>
      </c>
      <c r="B34249" s="4" t="s">
        <v>43103</v>
      </c>
      <c r="C34249" s="5" t="str">
        <f>IFERROR(__xludf.DUMMYFUNCTION("GOOGLETRANSLATE(B34249,""en"",""es-ES"")"),"Muestra un clip rápido de Sheldon de Big Bang Theory en realidad.")</f>
        <v>Muestra un clip rápido de Sheldon de Big Bang Theory en realidad.</v>
      </c>
    </row>
    <row r="34250">
      <c r="A34250" s="4" t="s">
        <v>43101</v>
      </c>
      <c r="B34250" s="4" t="s">
        <v>43104</v>
      </c>
      <c r="C34250" s="5" t="str">
        <f>IFERROR(__xludf.DUMMYFUNCTION("GOOGLETRANSLATE(B34250,""en"",""es-ES"")"),"Luego, ella trata de demostrarlo varias veces para los espectadores.")</f>
        <v>Luego, ella trata de demostrarlo varias veces para los espectadores.</v>
      </c>
    </row>
    <row r="34251">
      <c r="A34251" s="4" t="s">
        <v>43101</v>
      </c>
      <c r="B34251" s="4" t="s">
        <v>43105</v>
      </c>
      <c r="C34251" s="5" t="str">
        <f>IFERROR(__xludf.DUMMYFUNCTION("GOOGLETRANSLATE(B34251,""en"",""es-ES"")"),"Al final, ella sonríe y lo termina con otra imagen de la teoría de Big Bang.")</f>
        <v>Al final, ella sonríe y lo termina con otra imagen de la teoría de Big Bang.</v>
      </c>
    </row>
    <row r="34252">
      <c r="A34252" s="4" t="s">
        <v>43106</v>
      </c>
      <c r="B34252" s="4" t="s">
        <v>1251</v>
      </c>
      <c r="C34252" s="5" t="str">
        <f>IFERROR(__xludf.DUMMYFUNCTION("GOOGLETRANSLATE(B34252,""en"",""es-ES"")"),"Se muestran los créditos del clip.")</f>
        <v>Se muestran los créditos del clip.</v>
      </c>
    </row>
    <row r="34253">
      <c r="A34253" s="4" t="s">
        <v>43106</v>
      </c>
      <c r="B34253" s="4" t="s">
        <v>43107</v>
      </c>
      <c r="C34253" s="5" t="str">
        <f>IFERROR(__xludf.DUMMYFUNCTION("GOOGLETRANSLATE(B34253,""en"",""es-ES"")"),"Un hombre balancea un objeto de metal de mano en mano.")</f>
        <v>Un hombre balancea un objeto de metal de mano en mano.</v>
      </c>
    </row>
    <row r="34254">
      <c r="A34254" s="4" t="s">
        <v>43106</v>
      </c>
      <c r="B34254" s="4" t="s">
        <v>43108</v>
      </c>
      <c r="C34254" s="5" t="str">
        <f>IFERROR(__xludf.DUMMYFUNCTION("GOOGLETRANSLATE(B34254,""en"",""es-ES"")"),"El hombre gira y libera un objeto detrás de él, y se muestran los créditos del video.")</f>
        <v>El hombre gira y libera un objeto detrás de él, y se muestran los créditos del video.</v>
      </c>
    </row>
    <row r="34255">
      <c r="A34255" s="4" t="s">
        <v>43109</v>
      </c>
      <c r="B34255" s="4" t="s">
        <v>43110</v>
      </c>
      <c r="C34255" s="5" t="str">
        <f>IFERROR(__xludf.DUMMYFUNCTION("GOOGLETRANSLATE(B34255,""en"",""es-ES"")"),"Un hombre y una mujer están parados en una cocina detrás de una isla con frutas sobre ellos.")</f>
        <v>Un hombre y una mujer están parados en una cocina detrás de una isla con frutas sobre ellos.</v>
      </c>
    </row>
    <row r="34256">
      <c r="A34256" s="4" t="s">
        <v>43109</v>
      </c>
      <c r="B34256" s="4" t="s">
        <v>43111</v>
      </c>
      <c r="C34256" s="5" t="str">
        <f>IFERROR(__xludf.DUMMYFUNCTION("GOOGLETRANSLATE(B34256,""en"",""es-ES"")"),"Una vez que el hombre termina de hablar, la mujer comienza a rehuir un vegetal y cortar una naranja por la mitad.")</f>
        <v>Una vez que el hombre termina de hablar, la mujer comienza a rehuir un vegetal y cortar una naranja por la mitad.</v>
      </c>
    </row>
    <row r="34257">
      <c r="A34257" s="4" t="s">
        <v>43109</v>
      </c>
      <c r="B34257" s="4" t="s">
        <v>43112</v>
      </c>
      <c r="C34257" s="5" t="str">
        <f>IFERROR(__xludf.DUMMYFUNCTION("GOOGLETRANSLATE(B34257,""en"",""es-ES"")"),"Luego aprieta la naranja en un tazón de vidrio transparente y la condimenta y la mezcla con los ingredientes previamente cortados.")</f>
        <v>Luego aprieta la naranja en un tazón de vidrio transparente y la condimenta y la mezcla con los ingredientes previamente cortados.</v>
      </c>
    </row>
    <row r="34258">
      <c r="A34258" s="4" t="s">
        <v>43113</v>
      </c>
      <c r="B34258" s="4" t="s">
        <v>43114</v>
      </c>
      <c r="C34258" s="5" t="str">
        <f>IFERROR(__xludf.DUMMYFUNCTION("GOOGLETRANSLATE(B34258,""en"",""es-ES"")"),"Se ve a una persona mirando a la cámara en varias tomas, así como un primer plano de una bicicleta de tierra.")</f>
        <v>Se ve a una persona mirando a la cámara en varias tomas, así como un primer plano de una bicicleta de tierra.</v>
      </c>
    </row>
    <row r="34259">
      <c r="A34259" s="4" t="s">
        <v>43113</v>
      </c>
      <c r="B34259" s="4" t="s">
        <v>43115</v>
      </c>
      <c r="C34259" s="5" t="str">
        <f>IFERROR(__xludf.DUMMYFUNCTION("GOOGLETRANSLATE(B34259,""en"",""es-ES"")"),"Las personas se muestran en varios disparos que viajan alrededor de una pista y realizan trucos.")</f>
        <v>Las personas se muestran en varios disparos que viajan alrededor de una pista y realizan trucos.</v>
      </c>
    </row>
    <row r="34260">
      <c r="A34260" s="4" t="s">
        <v>43113</v>
      </c>
      <c r="B34260" s="4" t="s">
        <v>43116</v>
      </c>
      <c r="C34260" s="5" t="str">
        <f>IFERROR(__xludf.DUMMYFUNCTION("GOOGLETRANSLATE(B34260,""en"",""es-ES"")"),"Los hombres viajan alrededor de áreas boscosas, así como pistas en muchos disparos.")</f>
        <v>Los hombres viajan alrededor de áreas boscosas, así como pistas en muchos disparos.</v>
      </c>
    </row>
    <row r="34261">
      <c r="A34261" s="4" t="s">
        <v>43117</v>
      </c>
      <c r="B34261" s="4" t="s">
        <v>43118</v>
      </c>
      <c r="C34261" s="5" t="str">
        <f>IFERROR(__xludf.DUMMYFUNCTION("GOOGLETRANSLATE(B34261,""en"",""es-ES"")"),"Hay muchas personas diferentes en la piscina que nadan y las palabras ""Speedo Cómo guiar la serie Cómo 'respirar' durante su natación de aguas abiertas"" aparecen en la pantalla.")</f>
        <v>Hay muchas personas diferentes en la piscina que nadan y las palabras "Speedo Cómo guiar la serie Cómo 'respirar' durante su natación de aguas abiertas" aparecen en la pantalla.</v>
      </c>
    </row>
    <row r="34262">
      <c r="A34262" s="4" t="s">
        <v>43117</v>
      </c>
      <c r="B34262" s="4" t="s">
        <v>43119</v>
      </c>
      <c r="C34262" s="5" t="str">
        <f>IFERROR(__xludf.DUMMYFUNCTION("GOOGLETRANSLATE(B34262,""en"",""es-ES"")"),"Una joven con traje de baño y una gorra de ducha está sentada al costado de la piscina que habla mientras se muestran los clips de su natación, y su nombre es Keri-Anne Payne y es el medallista olímpico de plata abierta de 10 km.")</f>
        <v>Una joven con traje de baño y una gorra de ducha está sentada al costado de la piscina que habla mientras se muestran los clips de su natación, y su nombre es Keri-Anne Payne y es el medallista olímpico de plata abierta de 10 km.</v>
      </c>
    </row>
    <row r="34263">
      <c r="A34263" s="4" t="s">
        <v>43117</v>
      </c>
      <c r="B34263" s="4" t="s">
        <v>43120</v>
      </c>
      <c r="C34263" s="5" t="str">
        <f>IFERROR(__xludf.DUMMYFUNCTION("GOOGLETRANSLATE(B34263,""en"",""es-ES"")"),"Aparece el outro y es una pantalla negra con un logotipo de Speedo y la palabra speedo.")</f>
        <v>Aparece el outro y es una pantalla negra con un logotipo de Speedo y la palabra speedo.</v>
      </c>
    </row>
    <row r="34264">
      <c r="A34264" s="4" t="s">
        <v>43121</v>
      </c>
      <c r="B34264" s="4" t="s">
        <v>43122</v>
      </c>
      <c r="C34264" s="5" t="str">
        <f>IFERROR(__xludf.DUMMYFUNCTION("GOOGLETRANSLATE(B34264,""en"",""es-ES"")"),"Una introducción conduce a varios clips de personas que entran en caballos arrojando una cuerda y agarrando la pantorrilla en medio de un pozo.")</f>
        <v>Una introducción conduce a varios clips de personas que entran en caballos arrojando una cuerda y agarrando la pantorrilla en medio de un pozo.</v>
      </c>
    </row>
    <row r="34265">
      <c r="A34265" s="4" t="s">
        <v>43121</v>
      </c>
      <c r="B34265" s="4" t="s">
        <v>43123</v>
      </c>
      <c r="C34265" s="5" t="str">
        <f>IFERROR(__xludf.DUMMYFUNCTION("GOOGLETRANSLATE(B34265,""en"",""es-ES"")"),"Se muestran más clips de personas con terneros en el pozo y terminan con imágenes de personas que se desempeñan.")</f>
        <v>Se muestran más clips de personas con terneros en el pozo y terminan con imágenes de personas que se desempeñan.</v>
      </c>
    </row>
    <row r="34266">
      <c r="A34266" s="4" t="s">
        <v>43124</v>
      </c>
      <c r="B34266" s="4" t="s">
        <v>43125</v>
      </c>
      <c r="C34266" s="5" t="str">
        <f>IFERROR(__xludf.DUMMYFUNCTION("GOOGLETRANSLATE(B34266,""en"",""es-ES"")"),"Un grupo de mujeres y un hombre están jugando voleibol en la arena en una playa.")</f>
        <v>Un grupo de mujeres y un hombre están jugando voleibol en la arena en una playa.</v>
      </c>
    </row>
    <row r="34267">
      <c r="A34267" s="4" t="s">
        <v>43124</v>
      </c>
      <c r="B34267" s="4" t="s">
        <v>43126</v>
      </c>
      <c r="C34267" s="5" t="str">
        <f>IFERROR(__xludf.DUMMYFUNCTION("GOOGLETRANSLATE(B34267,""en"",""es-ES"")"),"Lanzan la pelota rosa de un lado a otro por la red.")</f>
        <v>Lanzan la pelota rosa de un lado a otro por la red.</v>
      </c>
    </row>
    <row r="34268">
      <c r="A34268" s="4" t="s">
        <v>43124</v>
      </c>
      <c r="B34268" s="4" t="s">
        <v>43127</v>
      </c>
      <c r="C34268" s="5" t="str">
        <f>IFERROR(__xludf.DUMMYFUNCTION("GOOGLETRANSLATE(B34268,""en"",""es-ES"")"),"Una mujer va detrás de un equipo para agarrar la pelota.")</f>
        <v>Una mujer va detrás de un equipo para agarrar la pelota.</v>
      </c>
    </row>
    <row r="34269">
      <c r="A34269" s="4" t="s">
        <v>43128</v>
      </c>
      <c r="B34269" s="4" t="s">
        <v>43129</v>
      </c>
      <c r="C34269" s="5" t="str">
        <f>IFERROR(__xludf.DUMMYFUNCTION("GOOGLETRANSLATE(B34269,""en"",""es-ES"")"),"Se ve a un gran grupo de mujeres moviéndose alrededor de un escenario y comienza con dos mujeres realizando una rutina de baile del vientre.")</f>
        <v>Se ve a un gran grupo de mujeres moviéndose alrededor de un escenario y comienza con dos mujeres realizando una rutina de baile del vientre.</v>
      </c>
    </row>
    <row r="34270">
      <c r="A34270" s="4" t="s">
        <v>43128</v>
      </c>
      <c r="B34270" s="4" t="s">
        <v>43130</v>
      </c>
      <c r="C34270" s="5" t="str">
        <f>IFERROR(__xludf.DUMMYFUNCTION("GOOGLETRANSLATE(B34270,""en"",""es-ES"")"),"Las mujeres continúan bailando por el escenario y terminan sosteniendo una pose y chocando entre ellas.")</f>
        <v>Las mujeres continúan bailando por el escenario y terminan sosteniendo una pose y chocando entre ellas.</v>
      </c>
    </row>
    <row r="34271">
      <c r="A34271" s="4" t="s">
        <v>43131</v>
      </c>
      <c r="B34271" s="4" t="s">
        <v>43132</v>
      </c>
      <c r="C34271" s="5" t="str">
        <f>IFERROR(__xludf.DUMMYFUNCTION("GOOGLETRANSLATE(B34271,""en"",""es-ES"")"),"Varias botellas y herramientas de uñas se sientan en una mesa.")</f>
        <v>Varias botellas y herramientas de uñas se sientan en una mesa.</v>
      </c>
    </row>
    <row r="34272">
      <c r="A34272" s="4" t="s">
        <v>43131</v>
      </c>
      <c r="B34272" s="4" t="s">
        <v>43133</v>
      </c>
      <c r="C34272" s="5" t="str">
        <f>IFERROR(__xludf.DUMMYFUNCTION("GOOGLETRANSLATE(B34272,""en"",""es-ES"")"),"Una mujer está presentando sus uñas sobre la mesa con una barra blanca.")</f>
        <v>Una mujer está presentando sus uñas sobre la mesa con una barra blanca.</v>
      </c>
    </row>
    <row r="34273">
      <c r="A34273" s="4" t="s">
        <v>43131</v>
      </c>
      <c r="B34273" s="4" t="s">
        <v>43134</v>
      </c>
      <c r="C34273" s="5" t="str">
        <f>IFERROR(__xludf.DUMMYFUNCTION("GOOGLETRANSLATE(B34273,""en"",""es-ES"")"),"Luego se pinta las uñas.")</f>
        <v>Luego se pinta las uñas.</v>
      </c>
    </row>
    <row r="34274">
      <c r="A34274" s="4" t="s">
        <v>43131</v>
      </c>
      <c r="B34274" s="4" t="s">
        <v>43135</v>
      </c>
      <c r="C34274" s="5" t="str">
        <f>IFERROR(__xludf.DUMMYFUNCTION("GOOGLETRANSLATE(B34274,""en"",""es-ES"")"),"Luego coloca las uñas de los dedos en una caja blanca que está iluminada.")</f>
        <v>Luego coloca las uñas de los dedos en una caja blanca que está iluminada.</v>
      </c>
    </row>
    <row r="34275">
      <c r="A34275" s="4" t="s">
        <v>43131</v>
      </c>
      <c r="B34275" s="4" t="s">
        <v>43136</v>
      </c>
      <c r="C34275" s="5" t="str">
        <f>IFERROR(__xludf.DUMMYFUNCTION("GOOGLETRANSLATE(B34275,""en"",""es-ES"")"),"La luz se apaga y ella saca la mano y la pone sobre la mesa.")</f>
        <v>La luz se apaga y ella saca la mano y la pone sobre la mesa.</v>
      </c>
    </row>
    <row r="34276">
      <c r="A34276" s="4" t="s">
        <v>43131</v>
      </c>
      <c r="B34276" s="4" t="s">
        <v>43137</v>
      </c>
      <c r="C34276" s="5" t="str">
        <f>IFERROR(__xludf.DUMMYFUNCTION("GOOGLETRANSLATE(B34276,""en"",""es-ES"")"),"Se muestra una botella de esmalte de uñas en la pantalla.")</f>
        <v>Se muestra una botella de esmalte de uñas en la pantalla.</v>
      </c>
    </row>
    <row r="34277">
      <c r="A34277" s="4" t="s">
        <v>43131</v>
      </c>
      <c r="B34277" s="4" t="s">
        <v>43138</v>
      </c>
      <c r="C34277" s="5" t="str">
        <f>IFERROR(__xludf.DUMMYFUNCTION("GOOGLETRANSLATE(B34277,""en"",""es-ES"")"),"Se pinta las uñas con ese esmalte.")</f>
        <v>Se pinta las uñas con ese esmalte.</v>
      </c>
    </row>
    <row r="34278">
      <c r="A34278" s="4" t="s">
        <v>43131</v>
      </c>
      <c r="B34278" s="4" t="s">
        <v>43139</v>
      </c>
      <c r="C34278" s="5" t="str">
        <f>IFERROR(__xludf.DUMMYFUNCTION("GOOGLETRANSLATE(B34278,""en"",""es-ES"")"),"Ella vuelve a poner su mano en la caja iluminada sobre la mesa.")</f>
        <v>Ella vuelve a poner su mano en la caja iluminada sobre la mesa.</v>
      </c>
    </row>
    <row r="34279">
      <c r="A34279" s="4" t="s">
        <v>43131</v>
      </c>
      <c r="B34279" s="4" t="s">
        <v>43140</v>
      </c>
      <c r="C34279" s="5" t="str">
        <f>IFERROR(__xludf.DUMMYFUNCTION("GOOGLETRANSLATE(B34279,""en"",""es-ES"")"),"Ella hace otro abrigo del esmalte de uñas.")</f>
        <v>Ella hace otro abrigo del esmalte de uñas.</v>
      </c>
    </row>
    <row r="34280">
      <c r="A34280" s="4" t="s">
        <v>43131</v>
      </c>
      <c r="B34280" s="4" t="s">
        <v>43141</v>
      </c>
      <c r="C34280" s="5" t="str">
        <f>IFERROR(__xludf.DUMMYFUNCTION("GOOGLETRANSLATE(B34280,""en"",""es-ES"")"),"Ella vuelve a poner su mano en la caja iluminada.")</f>
        <v>Ella vuelve a poner su mano en la caja iluminada.</v>
      </c>
    </row>
    <row r="34281">
      <c r="A34281" s="4" t="s">
        <v>43131</v>
      </c>
      <c r="B34281" s="4" t="s">
        <v>43142</v>
      </c>
      <c r="C34281" s="5" t="str">
        <f>IFERROR(__xludf.DUMMYFUNCTION("GOOGLETRANSLATE(B34281,""en"",""es-ES"")"),"Se muestra una botella en la mesa.")</f>
        <v>Se muestra una botella en la mesa.</v>
      </c>
    </row>
    <row r="34282">
      <c r="A34282" s="4" t="s">
        <v>43131</v>
      </c>
      <c r="B34282" s="4" t="s">
        <v>43143</v>
      </c>
      <c r="C34282" s="5" t="str">
        <f>IFERROR(__xludf.DUMMYFUNCTION("GOOGLETRANSLATE(B34282,""en"",""es-ES"")"),"Ella pone las manos planas sobre la mesa.")</f>
        <v>Ella pone las manos planas sobre la mesa.</v>
      </c>
    </row>
    <row r="34283">
      <c r="A34283" s="4" t="s">
        <v>43144</v>
      </c>
      <c r="B34283" s="4" t="s">
        <v>43145</v>
      </c>
      <c r="C34283" s="5" t="str">
        <f>IFERROR(__xludf.DUMMYFUNCTION("GOOGLETRANSLATE(B34283,""en"",""es-ES"")"),"Los limones se arrojan sobre un mostrador y las gafas de ayuda de limón aparecen con hielo en frascos de albañil en el mostrador.")</f>
        <v>Los limones se arrojan sobre un mostrador y las gafas de ayuda de limón aparecen con hielo en frascos de albañil en el mostrador.</v>
      </c>
    </row>
    <row r="34284">
      <c r="A34284" s="4" t="s">
        <v>43144</v>
      </c>
      <c r="B34284" s="4" t="s">
        <v>43146</v>
      </c>
      <c r="C34284" s="5" t="str">
        <f>IFERROR(__xludf.DUMMYFUNCTION("GOOGLETRANSLATE(B34284,""en"",""es-ES"")"),"Luego, los limones se rodan contra el mostrador de un lado a otro con la palma de una mano usando presión firme.")</f>
        <v>Luego, los limones se rodan contra el mostrador de un lado a otro con la palma de una mano usando presión firme.</v>
      </c>
    </row>
    <row r="34285">
      <c r="A34285" s="4" t="s">
        <v>43144</v>
      </c>
      <c r="B34285" s="4" t="s">
        <v>43147</v>
      </c>
      <c r="C34285" s="5" t="str">
        <f>IFERROR(__xludf.DUMMYFUNCTION("GOOGLETRANSLATE(B34285,""en"",""es-ES"")"),"Los limones se raspan de un lado a otro contra un rallador de alimentos de metal para sacar el rallado de ellos dejando la piel del limón en un tazón.")</f>
        <v>Los limones se raspan de un lado a otro contra un rallador de alimentos de metal para sacar el rallado de ellos dejando la piel del limón en un tazón.</v>
      </c>
    </row>
    <row r="34286">
      <c r="A34286" s="4" t="s">
        <v>43144</v>
      </c>
      <c r="B34286" s="4" t="s">
        <v>43148</v>
      </c>
      <c r="C34286" s="5" t="str">
        <f>IFERROR(__xludf.DUMMYFUNCTION("GOOGLETRANSLATE(B34286,""en"",""es-ES"")"),"El agua se agrega a una cacerola junto con azúcar, y luego la ralladura de limón que se extrajo con la trituradora de metal también se agrega al agua.")</f>
        <v>El agua se agrega a una cacerola junto con azúcar, y luego la ralladura de limón que se extrajo con la trituradora de metal también se agrega al agua.</v>
      </c>
    </row>
    <row r="34287">
      <c r="A34287" s="4" t="s">
        <v>43144</v>
      </c>
      <c r="B34287" s="4" t="s">
        <v>43149</v>
      </c>
      <c r="C34287" s="5" t="str">
        <f>IFERROR(__xludf.DUMMYFUNCTION("GOOGLETRANSLATE(B34287,""en"",""es-ES"")"),"Los limones se cortan y se juzgan sobre un tazón de vidrio y luego el jugo se vierte a través de un colador junto con el agua de azúcar con ralladura que previamente se mezclaba en la cacerola.")</f>
        <v>Los limones se cortan y se juzgan sobre un tazón de vidrio y luego el jugo se vierte a través de un colador junto con el agua de azúcar con ralladura que previamente se mezclaba en la cacerola.</v>
      </c>
    </row>
    <row r="34288">
      <c r="A34288" s="4" t="s">
        <v>43144</v>
      </c>
      <c r="B34288" s="4" t="s">
        <v>43150</v>
      </c>
      <c r="C34288" s="5" t="str">
        <f>IFERROR(__xludf.DUMMYFUNCTION("GOOGLETRANSLATE(B34288,""en"",""es-ES"")"),"La mezcla se agita con agua agregada y se agrega hielo.")</f>
        <v>La mezcla se agita con agua agregada y se agrega hielo.</v>
      </c>
    </row>
    <row r="34289">
      <c r="A34289" s="4" t="s">
        <v>43151</v>
      </c>
      <c r="B34289" s="4" t="s">
        <v>43152</v>
      </c>
      <c r="C34289" s="5" t="str">
        <f>IFERROR(__xludf.DUMMYFUNCTION("GOOGLETRANSLATE(B34289,""en"",""es-ES"")"),"Se ve a un hombre de pie con un hombre en un dormitorio.")</f>
        <v>Se ve a un hombre de pie con un hombre en un dormitorio.</v>
      </c>
    </row>
    <row r="34290">
      <c r="A34290" s="4" t="s">
        <v>43151</v>
      </c>
      <c r="B34290" s="4" t="s">
        <v>43153</v>
      </c>
      <c r="C34290" s="5" t="str">
        <f>IFERROR(__xludf.DUMMYFUNCTION("GOOGLETRANSLATE(B34290,""en"",""es-ES"")"),"Se dobla y comienza a recoger al otro hombre.")</f>
        <v>Se dobla y comienza a recoger al otro hombre.</v>
      </c>
    </row>
    <row r="34291">
      <c r="A34291" s="4" t="s">
        <v>43151</v>
      </c>
      <c r="B34291" s="4" t="s">
        <v>43154</v>
      </c>
      <c r="C34291" s="5" t="str">
        <f>IFERROR(__xludf.DUMMYFUNCTION("GOOGLETRANSLATE(B34291,""en"",""es-ES"")"),"Finalmente arroja al hombre hacia la cama.")</f>
        <v>Finalmente arroja al hombre hacia la cama.</v>
      </c>
    </row>
    <row r="34292">
      <c r="A34292" s="4" t="s">
        <v>43155</v>
      </c>
      <c r="B34292" s="4" t="s">
        <v>43156</v>
      </c>
      <c r="C34292" s="5" t="str">
        <f>IFERROR(__xludf.DUMMYFUNCTION("GOOGLETRANSLATE(B34292,""en"",""es-ES"")"),"Dos grupos de niños compiten Tug of War Rope, mientras que un hombre supervisan el juego y otras personas miran.")</f>
        <v>Dos grupos de niños compiten Tug of War Rope, mientras que un hombre supervisan el juego y otras personas miran.</v>
      </c>
    </row>
    <row r="34293">
      <c r="A34293" s="4" t="s">
        <v>43155</v>
      </c>
      <c r="B34293" s="4" t="s">
        <v>43157</v>
      </c>
      <c r="C34293" s="5" t="str">
        <f>IFERROR(__xludf.DUMMYFUNCTION("GOOGLETRANSLATE(B34293,""en"",""es-ES"")"),"Una persona toma una foto.")</f>
        <v>Una persona toma una foto.</v>
      </c>
    </row>
    <row r="34294">
      <c r="A34294" s="4" t="s">
        <v>43155</v>
      </c>
      <c r="B34294" s="4" t="s">
        <v>43158</v>
      </c>
      <c r="C34294" s="5" t="str">
        <f>IFERROR(__xludf.DUMMYFUNCTION("GOOGLETRANSLATE(B34294,""en"",""es-ES"")"),"El equipo de la izquierda gana la competencia.")</f>
        <v>El equipo de la izquierda gana la competencia.</v>
      </c>
    </row>
    <row r="34295">
      <c r="A34295" s="4" t="s">
        <v>43159</v>
      </c>
      <c r="B34295" s="4" t="s">
        <v>43160</v>
      </c>
      <c r="C34295" s="5" t="str">
        <f>IFERROR(__xludf.DUMMYFUNCTION("GOOGLETRANSLATE(B34295,""en"",""es-ES"")"),"El video conduce a varias tomas de personas paradas en una playa y juega en la arena.")</f>
        <v>El video conduce a varias tomas de personas paradas en una playa y juega en la arena.</v>
      </c>
    </row>
    <row r="34296">
      <c r="A34296" s="4" t="s">
        <v>43159</v>
      </c>
      <c r="B34296" s="4" t="s">
        <v>43161</v>
      </c>
      <c r="C34296" s="5" t="str">
        <f>IFERROR(__xludf.DUMMYFUNCTION("GOOGLETRANSLATE(B34296,""en"",""es-ES"")"),"Se muestran varias imágenes más de personas que se mueven a lo largo de la playa, así como ayudan a otros y tomas del paisaje.")</f>
        <v>Se muestran varias imágenes más de personas que se mueven a lo largo de la playa, así como ayudan a otros y tomas del paisaje.</v>
      </c>
    </row>
    <row r="34297">
      <c r="A34297" s="4" t="s">
        <v>43162</v>
      </c>
      <c r="B34297" s="4" t="s">
        <v>43163</v>
      </c>
      <c r="C34297" s="5" t="str">
        <f>IFERROR(__xludf.DUMMYFUNCTION("GOOGLETRANSLATE(B34297,""en"",""es-ES"")"),"Vemos que los créditos rodantes suben la pantalla.")</f>
        <v>Vemos que los créditos rodantes suben la pantalla.</v>
      </c>
    </row>
    <row r="34298">
      <c r="A34298" s="4" t="s">
        <v>43162</v>
      </c>
      <c r="B34298" s="4" t="s">
        <v>43164</v>
      </c>
      <c r="C34298" s="5" t="str">
        <f>IFERROR(__xludf.DUMMYFUNCTION("GOOGLETRANSLATE(B34298,""en"",""es-ES"")"),"Vemos a tres personas montando bicicletas estacionarias en un gimnasio.")</f>
        <v>Vemos a tres personas montando bicicletas estacionarias en un gimnasio.</v>
      </c>
    </row>
    <row r="34299">
      <c r="A34299" s="4" t="s">
        <v>43162</v>
      </c>
      <c r="B34299" s="4" t="s">
        <v>43165</v>
      </c>
      <c r="C34299" s="5" t="str">
        <f>IFERROR(__xludf.DUMMYFUNCTION("GOOGLETRANSLATE(B34299,""en"",""es-ES"")"),"La cámara se acerca a los ciclistas.")</f>
        <v>La cámara se acerca a los ciclistas.</v>
      </c>
    </row>
    <row r="34300">
      <c r="A34300" s="4" t="s">
        <v>43162</v>
      </c>
      <c r="B34300" s="4" t="s">
        <v>43166</v>
      </c>
      <c r="C34300" s="5" t="str">
        <f>IFERROR(__xludf.DUMMYFUNCTION("GOOGLETRANSLATE(B34300,""en"",""es-ES"")"),"La señora se detiene y ajusta algo en su bicicleta.")</f>
        <v>La señora se detiene y ajusta algo en su bicicleta.</v>
      </c>
    </row>
    <row r="34301">
      <c r="A34301" s="4" t="s">
        <v>43162</v>
      </c>
      <c r="B34301" s="4" t="s">
        <v>43167</v>
      </c>
      <c r="C34301" s="5" t="str">
        <f>IFERROR(__xludf.DUMMYFUNCTION("GOOGLETRANSLATE(B34301,""en"",""es-ES"")"),"Nos vamos al cuarto piloto en la escena.")</f>
        <v>Nos vamos al cuarto piloto en la escena.</v>
      </c>
    </row>
    <row r="34302">
      <c r="A34302" s="4" t="s">
        <v>43162</v>
      </c>
      <c r="B34302" s="4" t="s">
        <v>43168</v>
      </c>
      <c r="C34302" s="5" t="str">
        <f>IFERROR(__xludf.DUMMYFUNCTION("GOOGLETRANSLATE(B34302,""en"",""es-ES"")"),"La señora está montando su bicicleta más lentamente.")</f>
        <v>La señora está montando su bicicleta más lentamente.</v>
      </c>
    </row>
    <row r="34303">
      <c r="A34303" s="4" t="s">
        <v>43162</v>
      </c>
      <c r="B34303" s="4" t="s">
        <v>43169</v>
      </c>
      <c r="C34303" s="5" t="str">
        <f>IFERROR(__xludf.DUMMYFUNCTION("GOOGLETRANSLATE(B34303,""en"",""es-ES"")"),"La señora está montando su bicicleta lentamente.")</f>
        <v>La señora está montando su bicicleta lentamente.</v>
      </c>
    </row>
    <row r="34304">
      <c r="A34304" s="4" t="s">
        <v>43162</v>
      </c>
      <c r="B34304" s="4" t="s">
        <v>43170</v>
      </c>
      <c r="C34304" s="5" t="str">
        <f>IFERROR(__xludf.DUMMYFUNCTION("GOOGLETRANSLATE(B34304,""en"",""es-ES"")"),"Vemos la pantalla de cierre sobre un fondo azul.")</f>
        <v>Vemos la pantalla de cierre sobre un fondo azul.</v>
      </c>
    </row>
    <row r="34305">
      <c r="A34305" s="4" t="s">
        <v>43171</v>
      </c>
      <c r="B34305" s="4" t="s">
        <v>43172</v>
      </c>
      <c r="C34305" s="5" t="str">
        <f>IFERROR(__xludf.DUMMYFUNCTION("GOOGLETRANSLATE(B34305,""en"",""es-ES"")"),"Hay un niño pequeño sentado en una cama en el dormitorio.")</f>
        <v>Hay un niño pequeño sentado en una cama en el dormitorio.</v>
      </c>
    </row>
    <row r="34306">
      <c r="A34306" s="4" t="s">
        <v>43171</v>
      </c>
      <c r="B34306" s="4" t="s">
        <v>43173</v>
      </c>
      <c r="C34306" s="5" t="str">
        <f>IFERROR(__xludf.DUMMYFUNCTION("GOOGLETRANSLATE(B34306,""en"",""es-ES"")"),"Hay una canasta de lavandería y mucha ropa en la cama.")</f>
        <v>Hay una canasta de lavandería y mucha ropa en la cama.</v>
      </c>
    </row>
    <row r="34307">
      <c r="A34307" s="4" t="s">
        <v>43171</v>
      </c>
      <c r="B34307" s="4" t="s">
        <v>43174</v>
      </c>
      <c r="C34307" s="5" t="str">
        <f>IFERROR(__xludf.DUMMYFUNCTION("GOOGLETRANSLATE(B34307,""en"",""es-ES"")"),"La madre del niño que está filmando el video muestra una aspiradora.")</f>
        <v>La madre del niño que está filmando el video muestra una aspiradora.</v>
      </c>
    </row>
    <row r="34308">
      <c r="A34308" s="4" t="s">
        <v>43171</v>
      </c>
      <c r="B34308" s="4" t="s">
        <v>43175</v>
      </c>
      <c r="C34308" s="5" t="str">
        <f>IFERROR(__xludf.DUMMYFUNCTION("GOOGLETRANSLATE(B34308,""en"",""es-ES"")"),"Luego enciende la aspiradora y comienza a aspirar el piso del dormitorio.")</f>
        <v>Luego enciende la aspiradora y comienza a aspirar el piso del dormitorio.</v>
      </c>
    </row>
    <row r="34309">
      <c r="A34309" s="4" t="s">
        <v>43171</v>
      </c>
      <c r="B34309" s="4" t="s">
        <v>43176</v>
      </c>
      <c r="C34309" s="5" t="str">
        <f>IFERROR(__xludf.DUMMYFUNCTION("GOOGLETRANSLATE(B34309,""en"",""es-ES"")"),"El niño observa la aspiradora de su madre mientras salta sobre la cama.")</f>
        <v>El niño observa la aspiradora de su madre mientras salta sobre la cama.</v>
      </c>
    </row>
    <row r="34310">
      <c r="A34310" s="4" t="s">
        <v>43171</v>
      </c>
      <c r="B34310" s="4" t="s">
        <v>43177</v>
      </c>
      <c r="C34310" s="5" t="str">
        <f>IFERROR(__xludf.DUMMYFUNCTION("GOOGLETRANSLATE(B34310,""en"",""es-ES"")"),"El niño luego se acuesta en la cama mientras ve a su madre terminar el trabajo.")</f>
        <v>El niño luego se acuesta en la cama mientras ve a su madre terminar el trabajo.</v>
      </c>
    </row>
    <row r="34311">
      <c r="A34311" s="4" t="s">
        <v>43171</v>
      </c>
      <c r="B34311" s="4" t="s">
        <v>43178</v>
      </c>
      <c r="C34311" s="5" t="str">
        <f>IFERROR(__xludf.DUMMYFUNCTION("GOOGLETRANSLATE(B34311,""en"",""es-ES"")"),"Luego, el niño se sale de la cama y salta al suelo para mirar debajo de la mesita de noche.")</f>
        <v>Luego, el niño se sale de la cama y salta al suelo para mirar debajo de la mesita de noche.</v>
      </c>
    </row>
    <row r="34312">
      <c r="A34312" s="4" t="s">
        <v>43179</v>
      </c>
      <c r="B34312" s="4" t="s">
        <v>43180</v>
      </c>
      <c r="C34312" s="5" t="str">
        <f>IFERROR(__xludf.DUMMYFUNCTION("GOOGLETRANSLATE(B34312,""en"",""es-ES"")"),"Un hombre está hablando dentro de un gimnasio de piscina.")</f>
        <v>Un hombre está hablando dentro de un gimnasio de piscina.</v>
      </c>
    </row>
    <row r="34313">
      <c r="A34313" s="4" t="s">
        <v>43179</v>
      </c>
      <c r="B34313" s="4" t="s">
        <v>43181</v>
      </c>
      <c r="C34313" s="5" t="str">
        <f>IFERROR(__xludf.DUMMYFUNCTION("GOOGLETRANSLATE(B34313,""en"",""es-ES"")"),"Se muestra una vista debajo del agua, luego le devuelve a él hablando.")</f>
        <v>Se muestra una vista debajo del agua, luego le devuelve a él hablando.</v>
      </c>
    </row>
    <row r="34314">
      <c r="A34314" s="4" t="s">
        <v>43182</v>
      </c>
      <c r="B34314" s="4" t="s">
        <v>43183</v>
      </c>
      <c r="C34314" s="5" t="str">
        <f>IFERROR(__xludf.DUMMYFUNCTION("GOOGLETRANSLATE(B34314,""en"",""es-ES"")"),"Un chico se prepara para levantar el peso.")</f>
        <v>Un chico se prepara para levantar el peso.</v>
      </c>
    </row>
    <row r="34315">
      <c r="A34315" s="4" t="s">
        <v>43182</v>
      </c>
      <c r="B34315" s="4" t="s">
        <v>43184</v>
      </c>
      <c r="C34315" s="5" t="str">
        <f>IFERROR(__xludf.DUMMYFUNCTION("GOOGLETRANSLATE(B34315,""en"",""es-ES"")"),"El chico levanta el peso.")</f>
        <v>El chico levanta el peso.</v>
      </c>
    </row>
    <row r="34316">
      <c r="A34316" s="4" t="s">
        <v>43182</v>
      </c>
      <c r="B34316" s="4" t="s">
        <v>43185</v>
      </c>
      <c r="C34316" s="5" t="str">
        <f>IFERROR(__xludf.DUMMYFUNCTION("GOOGLETRANSLATE(B34316,""en"",""es-ES"")"),"El chico baila y luego sale del escenario.")</f>
        <v>El chico baila y luego sale del escenario.</v>
      </c>
    </row>
    <row r="34317">
      <c r="A34317" s="4" t="s">
        <v>43182</v>
      </c>
      <c r="B34317" s="4" t="s">
        <v>43186</v>
      </c>
      <c r="C34317" s="5" t="str">
        <f>IFERROR(__xludf.DUMMYFUNCTION("GOOGLETRANSLATE(B34317,""en"",""es-ES"")"),"Un hombre lleva una caja al escenario.")</f>
        <v>Un hombre lleva una caja al escenario.</v>
      </c>
    </row>
    <row r="34318">
      <c r="A34318" s="4" t="s">
        <v>43187</v>
      </c>
      <c r="B34318" s="4" t="s">
        <v>43188</v>
      </c>
      <c r="C34318" s="5" t="str">
        <f>IFERROR(__xludf.DUMMYFUNCTION("GOOGLETRANSLATE(B34318,""en"",""es-ES"")"),"Un niño está sonriendo con el hombre cuyo zapato está brillando.")</f>
        <v>Un niño está sonriendo con el hombre cuyo zapato está brillando.</v>
      </c>
    </row>
    <row r="34319">
      <c r="A34319" s="4" t="s">
        <v>43187</v>
      </c>
      <c r="B34319" s="4" t="s">
        <v>43189</v>
      </c>
      <c r="C34319" s="5" t="str">
        <f>IFERROR(__xludf.DUMMYFUNCTION("GOOGLETRANSLATE(B34319,""en"",""es-ES"")"),"El hombre está mirando al niño.")</f>
        <v>El hombre está mirando al niño.</v>
      </c>
    </row>
    <row r="34320">
      <c r="A34320" s="4" t="s">
        <v>43187</v>
      </c>
      <c r="B34320" s="4" t="s">
        <v>43190</v>
      </c>
      <c r="C34320" s="5" t="str">
        <f>IFERROR(__xludf.DUMMYFUNCTION("GOOGLETRANSLATE(B34320,""en"",""es-ES"")"),"El niño está brillando los zapatos de los hombres.")</f>
        <v>El niño está brillando los zapatos de los hombres.</v>
      </c>
    </row>
    <row r="34321">
      <c r="A34321" s="4" t="s">
        <v>43187</v>
      </c>
      <c r="B34321" s="4" t="s">
        <v>43191</v>
      </c>
      <c r="C34321" s="5" t="str">
        <f>IFERROR(__xludf.DUMMYFUNCTION("GOOGLETRANSLATE(B34321,""en"",""es-ES"")"),"El niño está hablando con Passerbys y señalando.")</f>
        <v>El niño está hablando con Passerbys y señalando.</v>
      </c>
    </row>
    <row r="34322">
      <c r="A34322" s="4" t="s">
        <v>43187</v>
      </c>
      <c r="B34322" s="4" t="s">
        <v>43192</v>
      </c>
      <c r="C34322" s="5" t="str">
        <f>IFERROR(__xludf.DUMMYFUNCTION("GOOGLETRANSLATE(B34322,""en"",""es-ES"")"),"Un niño pequeño se aleja de la pared.")</f>
        <v>Un niño pequeño se aleja de la pared.</v>
      </c>
    </row>
    <row r="34323">
      <c r="A34323" s="4" t="s">
        <v>43187</v>
      </c>
      <c r="B34323" s="4" t="s">
        <v>43193</v>
      </c>
      <c r="C34323" s="5" t="str">
        <f>IFERROR(__xludf.DUMMYFUNCTION("GOOGLETRANSLATE(B34323,""en"",""es-ES"")"),"El niño está limpiando los zapatos de los hombres con una toalla.")</f>
        <v>El niño está limpiando los zapatos de los hombres con una toalla.</v>
      </c>
    </row>
    <row r="34324">
      <c r="A34324" s="4" t="s">
        <v>43187</v>
      </c>
      <c r="B34324" s="4" t="s">
        <v>43194</v>
      </c>
      <c r="C34324" s="5" t="str">
        <f>IFERROR(__xludf.DUMMYFUNCTION("GOOGLETRANSLATE(B34324,""en"",""es-ES"")"),"Ha comenzado a frotar con el bloque.")</f>
        <v>Ha comenzado a frotar con el bloque.</v>
      </c>
    </row>
    <row r="34325">
      <c r="A34325" s="4" t="s">
        <v>43187</v>
      </c>
      <c r="B34325" s="4" t="s">
        <v>43195</v>
      </c>
      <c r="C34325" s="5" t="str">
        <f>IFERROR(__xludf.DUMMYFUNCTION("GOOGLETRANSLATE(B34325,""en"",""es-ES"")"),"El niño da un signo de paz y sonríe.")</f>
        <v>El niño da un signo de paz y sonríe.</v>
      </c>
    </row>
    <row r="34326">
      <c r="A34326" s="4" t="s">
        <v>43196</v>
      </c>
      <c r="B34326" s="4" t="s">
        <v>43197</v>
      </c>
      <c r="C34326" s="5" t="str">
        <f>IFERROR(__xludf.DUMMYFUNCTION("GOOGLETRANSLATE(B34326,""en"",""es-ES"")"),"Una dama está acostada sobre una cama negra, una mujer con suéter negro y con guantes negros está frotando un algodón blanco en el ombligo de la dama.")</f>
        <v>Una dama está acostada sobre una cama negra, una mujer con suéter negro y con guantes negros está frotando un algodón blanco en el ombligo de la dama.</v>
      </c>
    </row>
    <row r="34327">
      <c r="A34327" s="4" t="s">
        <v>43196</v>
      </c>
      <c r="B34327" s="4" t="s">
        <v>43198</v>
      </c>
      <c r="C34327" s="5" t="str">
        <f>IFERROR(__xludf.DUMMYFUNCTION("GOOGLETRANSLATE(B34327,""en"",""es-ES"")"),"Luego, la mujer dibuja un punto en el ombligo, perforando el ombligo con una tanga, luego la mujer insertó un palo de metal, luego limpió el perforador, luego la mujer insertó el accesorio del botón del vientre y apretó luego limpió la perforación.")</f>
        <v>Luego, la mujer dibuja un punto en el ombligo, perforando el ombligo con una tanga, luego la mujer insertó un palo de metal, luego limpió el perforador, luego la mujer insertó el accesorio del botón del vientre y apretó luego limpió la perforación.</v>
      </c>
    </row>
    <row r="34328">
      <c r="A34328" s="4" t="s">
        <v>43199</v>
      </c>
      <c r="B34328" s="4" t="s">
        <v>43200</v>
      </c>
      <c r="C34328" s="5" t="str">
        <f>IFERROR(__xludf.DUMMYFUNCTION("GOOGLETRANSLATE(B34328,""en"",""es-ES"")"),"Hay varias personas en trineo por una pendiente nevada en tubos de nieve redondos.")</f>
        <v>Hay varias personas en trineo por una pendiente nevada en tubos de nieve redondos.</v>
      </c>
    </row>
    <row r="34329">
      <c r="A34329" s="4" t="s">
        <v>43199</v>
      </c>
      <c r="B34329" s="4" t="s">
        <v>43201</v>
      </c>
      <c r="C34329" s="5" t="str">
        <f>IFERROR(__xludf.DUMMYFUNCTION("GOOGLETRANSLATE(B34329,""en"",""es-ES"")"),"Están bajando por la empinada pendiente nevada a alta velocidad.")</f>
        <v>Están bajando por la empinada pendiente nevada a alta velocidad.</v>
      </c>
    </row>
    <row r="34330">
      <c r="A34330" s="4" t="s">
        <v>43199</v>
      </c>
      <c r="B34330" s="4" t="s">
        <v>43202</v>
      </c>
      <c r="C34330" s="5" t="str">
        <f>IFERROR(__xludf.DUMMYFUNCTION("GOOGLETRANSLATE(B34330,""en"",""es-ES"")"),"Una de las personas que bajan por la pendiente levanta su mano a su amigo mientras va cuesta abajo.")</f>
        <v>Una de las personas que bajan por la pendiente levanta su mano a su amigo mientras va cuesta abajo.</v>
      </c>
    </row>
    <row r="34331">
      <c r="A34331" s="4" t="s">
        <v>43203</v>
      </c>
      <c r="B34331" s="4" t="s">
        <v>43204</v>
      </c>
      <c r="C34331" s="5" t="str">
        <f>IFERROR(__xludf.DUMMYFUNCTION("GOOGLETRANSLATE(B34331,""en"",""es-ES"")"),"Un hombre limpia una ventana grande con un mango de mango largo.")</f>
        <v>Un hombre limpia una ventana grande con un mango de mango largo.</v>
      </c>
    </row>
    <row r="34332">
      <c r="A34332" s="4" t="s">
        <v>43203</v>
      </c>
      <c r="B34332" s="4" t="s">
        <v>43205</v>
      </c>
      <c r="C34332" s="5" t="str">
        <f>IFERROR(__xludf.DUMMYFUNCTION("GOOGLETRANSLATE(B34332,""en"",""es-ES"")"),"Luego, el hombre usa un largo limpiaparabrisas de acero para limpiar la ventana de derecha a izquierda.")</f>
        <v>Luego, el hombre usa un largo limpiaparabrisas de acero para limpiar la ventana de derecha a izquierda.</v>
      </c>
    </row>
    <row r="34333">
      <c r="A34333" s="4" t="s">
        <v>43203</v>
      </c>
      <c r="B34333" s="4" t="s">
        <v>43206</v>
      </c>
      <c r="C34333" s="5" t="str">
        <f>IFERROR(__xludf.DUMMYFUNCTION("GOOGLETRANSLATE(B34333,""en"",""es-ES"")"),"Después, el hombre toma un paño y limpia la parte inferior de la ventana, luego continúa limpiando con una escobilla y una toallita de acero.")</f>
        <v>Después, el hombre toma un paño y limpia la parte inferior de la ventana, luego continúa limpiando con una escobilla y una toallita de acero.</v>
      </c>
    </row>
    <row r="34334">
      <c r="A34334" s="4" t="s">
        <v>43207</v>
      </c>
      <c r="B34334" s="4" t="s">
        <v>43208</v>
      </c>
      <c r="C34334" s="5" t="str">
        <f>IFERROR(__xludf.DUMMYFUNCTION("GOOGLETRANSLATE(B34334,""en"",""es-ES"")"),"Un hombre calvo lidera una orquesta.")</f>
        <v>Un hombre calvo lidera una orquesta.</v>
      </c>
    </row>
    <row r="34335">
      <c r="A34335" s="4" t="s">
        <v>43207</v>
      </c>
      <c r="B34335" s="4" t="s">
        <v>43209</v>
      </c>
      <c r="C34335" s="5" t="str">
        <f>IFERROR(__xludf.DUMMYFUNCTION("GOOGLETRANSLATE(B34335,""en"",""es-ES"")"),"Varias cantantes cantan mientras un coro de personas más jóvenes cantan respaldo.")</f>
        <v>Varias cantantes cantan mientras un coro de personas más jóvenes cantan respaldo.</v>
      </c>
    </row>
    <row r="34336">
      <c r="A34336" s="4" t="s">
        <v>43207</v>
      </c>
      <c r="B34336" s="4" t="s">
        <v>43210</v>
      </c>
      <c r="C34336" s="5" t="str">
        <f>IFERROR(__xludf.DUMMYFUNCTION("GOOGLETRANSLATE(B34336,""en"",""es-ES"")"),"Un joven baterista y un hombre tocando el piano están cerca el uno del otro mientras el joven mira a su alrededor.")</f>
        <v>Un joven baterista y un hombre tocando el piano están cerca el uno del otro mientras el joven mira a su alrededor.</v>
      </c>
    </row>
    <row r="34337">
      <c r="A34337" s="4" t="s">
        <v>43207</v>
      </c>
      <c r="B34337" s="4" t="s">
        <v>43211</v>
      </c>
      <c r="C34337" s="5" t="str">
        <f>IFERROR(__xludf.DUMMYFUNCTION("GOOGLETRANSLATE(B34337,""en"",""es-ES"")"),"Mientras los cantantes y músicos terminan la canción, el director agita su varita para terminar la música.")</f>
        <v>Mientras los cantantes y músicos terminan la canción, el director agita su varita para terminar la música.</v>
      </c>
    </row>
    <row r="34338">
      <c r="A34338" s="4" t="s">
        <v>43212</v>
      </c>
      <c r="B34338" s="4" t="s">
        <v>43213</v>
      </c>
      <c r="C34338" s="5" t="str">
        <f>IFERROR(__xludf.DUMMYFUNCTION("GOOGLETRANSLATE(B34338,""en"",""es-ES"")"),"Vemos chicas en un gimnasio de vestuario rojo que realizan una rutina de batón.")</f>
        <v>Vemos chicas en un gimnasio de vestuario rojo que realizan una rutina de batón.</v>
      </c>
    </row>
    <row r="34339">
      <c r="A34339" s="4" t="s">
        <v>43212</v>
      </c>
      <c r="B34339" s="4" t="s">
        <v>43214</v>
      </c>
      <c r="C34339" s="5" t="str">
        <f>IFERROR(__xludf.DUMMYFUNCTION("GOOGLETRANSLATE(B34339,""en"",""es-ES"")"),"Tres chicas pasan en el fondo.")</f>
        <v>Tres chicas pasan en el fondo.</v>
      </c>
    </row>
    <row r="34340">
      <c r="A34340" s="4" t="s">
        <v>43212</v>
      </c>
      <c r="B34340" s="4" t="s">
        <v>43215</v>
      </c>
      <c r="C34340" s="5" t="str">
        <f>IFERROR(__xludf.DUMMYFUNCTION("GOOGLETRANSLATE(B34340,""en"",""es-ES"")"),"Las chicas a su lado en rosa realizan su rutina.")</f>
        <v>Las chicas a su lado en rosa realizan su rutina.</v>
      </c>
    </row>
    <row r="34341">
      <c r="A34341" s="4" t="s">
        <v>43212</v>
      </c>
      <c r="B34341" s="4" t="s">
        <v>43216</v>
      </c>
      <c r="C34341" s="5" t="str">
        <f>IFERROR(__xludf.DUMMYFUNCTION("GOOGLETRANSLATE(B34341,""en"",""es-ES"")"),"Las chicas con los uniformes rojos terminan y se alejan.")</f>
        <v>Las chicas con los uniformes rojos terminan y se alejan.</v>
      </c>
    </row>
    <row r="34342">
      <c r="A34342" s="4" t="s">
        <v>43212</v>
      </c>
      <c r="B34342" s="4" t="s">
        <v>43217</v>
      </c>
      <c r="C34342" s="5" t="str">
        <f>IFERROR(__xludf.DUMMYFUNCTION("GOOGLETRANSLATE(B34342,""en"",""es-ES"")"),"Un equipo de chicas en negro y neón pasó detrás de las chicas.")</f>
        <v>Un equipo de chicas en negro y neón pasó detrás de las chicas.</v>
      </c>
    </row>
    <row r="34343">
      <c r="A34343" s="4" t="s">
        <v>43212</v>
      </c>
      <c r="B34343" s="4" t="s">
        <v>43218</v>
      </c>
      <c r="C34343" s="5" t="str">
        <f>IFERROR(__xludf.DUMMYFUNCTION("GOOGLETRANSLATE(B34343,""en"",""es-ES"")"),"Las chicas de rosa terminan su rutina.")</f>
        <v>Las chicas de rosa terminan su rutina.</v>
      </c>
    </row>
    <row r="34344">
      <c r="A34344" s="4" t="s">
        <v>43219</v>
      </c>
      <c r="B34344" s="4" t="s">
        <v>43220</v>
      </c>
      <c r="C34344" s="5" t="str">
        <f>IFERROR(__xludf.DUMMYFUNCTION("GOOGLETRANSLATE(B34344,""en"",""es-ES"")"),"Una introducción conduce a varios clips de personas que intentan luchar contra los toros de muchas generaciones.")</f>
        <v>Una introducción conduce a varios clips de personas que intentan luchar contra los toros de muchas generaciones.</v>
      </c>
    </row>
    <row r="34345">
      <c r="A34345" s="4" t="s">
        <v>43219</v>
      </c>
      <c r="B34345" s="4" t="s">
        <v>43221</v>
      </c>
      <c r="C34345" s="5" t="str">
        <f>IFERROR(__xludf.DUMMYFUNCTION("GOOGLETRANSLATE(B34345,""en"",""es-ES"")"),"Se muestran varios clips de personas que interactúan con los Bulls, así como corriendo y la gente de las personas.")</f>
        <v>Se muestran varios clips de personas que interactúan con los Bulls, así como corriendo y la gente de las personas.</v>
      </c>
    </row>
    <row r="34346">
      <c r="A34346" s="4" t="s">
        <v>43222</v>
      </c>
      <c r="B34346" s="4" t="s">
        <v>43223</v>
      </c>
      <c r="C34346" s="5" t="str">
        <f>IFERROR(__xludf.DUMMYFUNCTION("GOOGLETRANSLATE(B34346,""en"",""es-ES"")"),"Se ve a una mujer arrodillada sobre un cubo en un viejo programa de televisión.")</f>
        <v>Se ve a una mujer arrodillada sobre un cubo en un viejo programa de televisión.</v>
      </c>
    </row>
    <row r="34347">
      <c r="A34347" s="4" t="s">
        <v>43222</v>
      </c>
      <c r="B34347" s="4" t="s">
        <v>43224</v>
      </c>
      <c r="C34347" s="5" t="str">
        <f>IFERROR(__xludf.DUMMYFUNCTION("GOOGLETRANSLATE(B34347,""en"",""es-ES"")"),"Se la ve lavando la ropa en el cubo mientras mira a lo lejos.")</f>
        <v>Se la ve lavando la ropa en el cubo mientras mira a lo lejos.</v>
      </c>
    </row>
    <row r="34348">
      <c r="A34348" s="4" t="s">
        <v>43222</v>
      </c>
      <c r="B34348" s="4" t="s">
        <v>43225</v>
      </c>
      <c r="C34348" s="5" t="str">
        <f>IFERROR(__xludf.DUMMYFUNCTION("GOOGLETRANSLATE(B34348,""en"",""es-ES"")"),"Ella suspira para sí misma en agotamiento y continúa lavando la ropa cuando se muestra una foto de una lavadora.")</f>
        <v>Ella suspira para sí misma en agotamiento y continúa lavando la ropa cuando se muestra una foto de una lavadora.</v>
      </c>
    </row>
    <row r="34349">
      <c r="A34349" s="4" t="s">
        <v>43226</v>
      </c>
      <c r="B34349" s="4" t="s">
        <v>43227</v>
      </c>
      <c r="C34349" s="5" t="str">
        <f>IFERROR(__xludf.DUMMYFUNCTION("GOOGLETRANSLATE(B34349,""en"",""es-ES"")"),"Un hombre está detrás de un mostrador de zapatos y describe cómo limpiarlos.")</f>
        <v>Un hombre está detrás de un mostrador de zapatos y describe cómo limpiarlos.</v>
      </c>
    </row>
    <row r="34350">
      <c r="A34350" s="4" t="s">
        <v>43226</v>
      </c>
      <c r="B34350" s="4" t="s">
        <v>43228</v>
      </c>
      <c r="C34350" s="5" t="str">
        <f>IFERROR(__xludf.DUMMYFUNCTION("GOOGLETRANSLATE(B34350,""en"",""es-ES"")"),"El hombre habla sobre el programa de tres pasos y responde preguntas frecuentes.")</f>
        <v>El hombre habla sobre el programa de tres pasos y responde preguntas frecuentes.</v>
      </c>
    </row>
    <row r="34351">
      <c r="A34351" s="4" t="s">
        <v>43226</v>
      </c>
      <c r="B34351" s="4" t="s">
        <v>43229</v>
      </c>
      <c r="C34351" s="5" t="str">
        <f>IFERROR(__xludf.DUMMYFUNCTION("GOOGLETRANSLATE(B34351,""en"",""es-ES"")"),"El hombre se frota para brillar el zapato y agrega un poco de esmalte y luego los rocía.")</f>
        <v>El hombre se frota para brillar el zapato y agrega un poco de esmalte y luego los rocía.</v>
      </c>
    </row>
    <row r="34352">
      <c r="A34352" s="4" t="s">
        <v>43230</v>
      </c>
      <c r="B34352" s="4" t="s">
        <v>43231</v>
      </c>
      <c r="C34352" s="5" t="str">
        <f>IFERROR(__xludf.DUMMYFUNCTION("GOOGLETRANSLATE(B34352,""en"",""es-ES"")"),"Se ve a una persona montando un kayak a lo largo de un río áspero y girándose a sí mismo.")</f>
        <v>Se ve a una persona montando un kayak a lo largo de un río áspero y girándose a sí mismo.</v>
      </c>
    </row>
    <row r="34353">
      <c r="A34353" s="4" t="s">
        <v>43230</v>
      </c>
      <c r="B34353" s="4" t="s">
        <v>43232</v>
      </c>
      <c r="C34353" s="5" t="str">
        <f>IFERROR(__xludf.DUMMYFUNCTION("GOOGLETRANSLATE(B34353,""en"",""es-ES"")"),"Se muestran más disparos de él y continúa volteando en el agua.")</f>
        <v>Se muestran más disparos de él y continúa volteando en el agua.</v>
      </c>
    </row>
    <row r="34354">
      <c r="A34354" s="4" t="s">
        <v>43233</v>
      </c>
      <c r="B34354" s="4" t="s">
        <v>43234</v>
      </c>
      <c r="C34354" s="5" t="str">
        <f>IFERROR(__xludf.DUMMYFUNCTION("GOOGLETRANSLATE(B34354,""en"",""es-ES"")"),"Un grupo de personas está hablando al lado de una mesa con tazas solistas rojas y latas de cerveza.")</f>
        <v>Un grupo de personas está hablando al lado de una mesa con tazas solistas rojas y latas de cerveza.</v>
      </c>
    </row>
    <row r="34355">
      <c r="A34355" s="4" t="s">
        <v>43233</v>
      </c>
      <c r="B34355" s="4" t="s">
        <v>43235</v>
      </c>
      <c r="C34355" s="5" t="str">
        <f>IFERROR(__xludf.DUMMYFUNCTION("GOOGLETRANSLATE(B34355,""en"",""es-ES"")"),"Una mujer pone una copa sola roja debajo de la nariz de un hombre.")</f>
        <v>Una mujer pone una copa sola roja debajo de la nariz de un hombre.</v>
      </c>
    </row>
    <row r="34356">
      <c r="A34356" s="4" t="s">
        <v>43233</v>
      </c>
      <c r="B34356" s="4" t="s">
        <v>43236</v>
      </c>
      <c r="C34356" s="5" t="str">
        <f>IFERROR(__xludf.DUMMYFUNCTION("GOOGLETRANSLATE(B34356,""en"",""es-ES"")"),"Un hombre arroja una pelota de ping pong en una taza solista roja.")</f>
        <v>Un hombre arroja una pelota de ping pong en una taza solista roja.</v>
      </c>
    </row>
    <row r="34357">
      <c r="A34357" s="4" t="s">
        <v>43233</v>
      </c>
      <c r="B34357" s="4" t="s">
        <v>43237</v>
      </c>
      <c r="C34357" s="5" t="str">
        <f>IFERROR(__xludf.DUMMYFUNCTION("GOOGLETRANSLATE(B34357,""en"",""es-ES"")"),"El piso se muestra junto con el pie de una persona.")</f>
        <v>El piso se muestra junto con el pie de una persona.</v>
      </c>
    </row>
    <row r="34358">
      <c r="A34358" s="4" t="s">
        <v>43238</v>
      </c>
      <c r="B34358" s="4" t="s">
        <v>43239</v>
      </c>
      <c r="C34358" s="5" t="str">
        <f>IFERROR(__xludf.DUMMYFUNCTION("GOOGLETRANSLATE(B34358,""en"",""es-ES"")"),"Se muestra un primer plano de una bicicleta seguido por una persona desenrosque las manijas en la bicicleta y ajustando los lados.")</f>
        <v>Se muestra un primer plano de una bicicleta seguido por una persona desenrosque las manijas en la bicicleta y ajustando los lados.</v>
      </c>
    </row>
    <row r="34359">
      <c r="A34359" s="4" t="s">
        <v>43238</v>
      </c>
      <c r="B34359" s="4" t="s">
        <v>43240</v>
      </c>
      <c r="C34359" s="5" t="str">
        <f>IFERROR(__xludf.DUMMYFUNCTION("GOOGLETRANSLATE(B34359,""en"",""es-ES"")"),"Luego, la persona lo atornilló una luz frente al manillar y los sostiene en su lugar.")</f>
        <v>Luego, la persona lo atornilló una luz frente al manillar y los sostiene en su lugar.</v>
      </c>
    </row>
    <row r="34360">
      <c r="A34360" s="4" t="s">
        <v>43241</v>
      </c>
      <c r="B34360" s="4" t="s">
        <v>43242</v>
      </c>
      <c r="C34360" s="5" t="str">
        <f>IFERROR(__xludf.DUMMYFUNCTION("GOOGLETRANSLATE(B34360,""en"",""es-ES"")"),"Los hombres corren por una pista y saltan hacia atrás sobre un bar.")</f>
        <v>Los hombres corren por una pista y saltan hacia atrás sobre un bar.</v>
      </c>
    </row>
    <row r="34361">
      <c r="A34361" s="4" t="s">
        <v>43241</v>
      </c>
      <c r="B34361" s="4" t="s">
        <v>43243</v>
      </c>
      <c r="C34361" s="5" t="str">
        <f>IFERROR(__xludf.DUMMYFUNCTION("GOOGLETRANSLATE(B34361,""en"",""es-ES"")"),"Un hombre agita una bandera blanca una vez que la tierra.")</f>
        <v>Un hombre agita una bandera blanca una vez que la tierra.</v>
      </c>
    </row>
    <row r="34362">
      <c r="A34362" s="4" t="s">
        <v>43241</v>
      </c>
      <c r="B34362" s="4" t="s">
        <v>43244</v>
      </c>
      <c r="C34362" s="5" t="str">
        <f>IFERROR(__xludf.DUMMYFUNCTION("GOOGLETRANSLATE(B34362,""en"",""es-ES"")"),"Una audiencia los está viendo saltar.")</f>
        <v>Una audiencia los está viendo saltar.</v>
      </c>
    </row>
    <row r="34363">
      <c r="A34363" s="4" t="s">
        <v>43245</v>
      </c>
      <c r="B34363" s="4" t="s">
        <v>43246</v>
      </c>
      <c r="C34363" s="5" t="str">
        <f>IFERROR(__xludf.DUMMYFUNCTION("GOOGLETRANSLATE(B34363,""en"",""es-ES"")"),"Un hombre puso pintura en la pared con una manguera, mientras que una persona usa un trapeador plano para extender la pintura.")</f>
        <v>Un hombre puso pintura en la pared con una manguera, mientras que una persona usa un trapeador plano para extender la pintura.</v>
      </c>
    </row>
    <row r="34364">
      <c r="A34364" s="4" t="s">
        <v>43245</v>
      </c>
      <c r="B34364" s="4" t="s">
        <v>43247</v>
      </c>
      <c r="C34364" s="5" t="str">
        <f>IFERROR(__xludf.DUMMYFUNCTION("GOOGLETRANSLATE(B34364,""en"",""es-ES"")"),"Luego, el hombre pone pintura alrededor de la ventana.")</f>
        <v>Luego, el hombre pone pintura alrededor de la ventana.</v>
      </c>
    </row>
    <row r="34365">
      <c r="A34365" s="4" t="s">
        <v>43248</v>
      </c>
      <c r="B34365" s="4" t="s">
        <v>43249</v>
      </c>
      <c r="C34365" s="5" t="str">
        <f>IFERROR(__xludf.DUMMYFUNCTION("GOOGLETRANSLATE(B34365,""en"",""es-ES"")"),"Una mujer elimina un perno de una llanta.")</f>
        <v>Una mujer elimina un perno de una llanta.</v>
      </c>
    </row>
    <row r="34366">
      <c r="A34366" s="4" t="s">
        <v>43248</v>
      </c>
      <c r="B34366" s="4" t="s">
        <v>43250</v>
      </c>
      <c r="C34366" s="5" t="str">
        <f>IFERROR(__xludf.DUMMYFUNCTION("GOOGLETRANSLATE(B34366,""en"",""es-ES"")"),"La mujer elimina un segundo perno.")</f>
        <v>La mujer elimina un segundo perno.</v>
      </c>
    </row>
    <row r="34367">
      <c r="A34367" s="4" t="s">
        <v>43248</v>
      </c>
      <c r="B34367" s="4" t="s">
        <v>43251</v>
      </c>
      <c r="C34367" s="5" t="str">
        <f>IFERROR(__xludf.DUMMYFUNCTION("GOOGLETRANSLATE(B34367,""en"",""es-ES"")"),"La mujer elimina un tercer perno.")</f>
        <v>La mujer elimina un tercer perno.</v>
      </c>
    </row>
    <row r="34368">
      <c r="A34368" s="4" t="s">
        <v>43248</v>
      </c>
      <c r="B34368" s="4" t="s">
        <v>43252</v>
      </c>
      <c r="C34368" s="5" t="str">
        <f>IFERROR(__xludf.DUMMYFUNCTION("GOOGLETRANSLATE(B34368,""en"",""es-ES"")"),"Por último, la mujer elimina un cuarto perno.")</f>
        <v>Por último, la mujer elimina un cuarto perno.</v>
      </c>
    </row>
    <row r="34369">
      <c r="A34369" s="4" t="s">
        <v>43248</v>
      </c>
      <c r="B34369" s="4" t="s">
        <v>43253</v>
      </c>
      <c r="C34369" s="5" t="str">
        <f>IFERROR(__xludf.DUMMYFUNCTION("GOOGLETRANSLATE(B34369,""en"",""es-ES"")"),"La mujer saca el neumático del auto.")</f>
        <v>La mujer saca el neumático del auto.</v>
      </c>
    </row>
    <row r="34370">
      <c r="A34370" s="4" t="s">
        <v>43254</v>
      </c>
      <c r="B34370" s="4" t="s">
        <v>43255</v>
      </c>
      <c r="C34370" s="5" t="str">
        <f>IFERROR(__xludf.DUMMYFUNCTION("GOOGLETRANSLATE(B34370,""en"",""es-ES"")"),"Una niña con un uniforme escolar azul y a cuadros se encuentra en un baño de la escuela que se cepilla los dientes y se prepara en el espejo.")</f>
        <v>Una niña con un uniforme escolar azul y a cuadros se encuentra en un baño de la escuela que se cepilla los dientes y se prepara en el espejo.</v>
      </c>
    </row>
    <row r="34371">
      <c r="A34371" s="4" t="s">
        <v>43254</v>
      </c>
      <c r="B34371" s="4" t="s">
        <v>43256</v>
      </c>
      <c r="C34371" s="5" t="str">
        <f>IFERROR(__xludf.DUMMYFUNCTION("GOOGLETRANSLATE(B34371,""en"",""es-ES"")"),"La niña comienza a mirar hacia la cámara y cepillándose los dientes, inclinándose hacia la cámara en un punto antes de inclinarse hacia atrás para continuar cepillando los dientes.")</f>
        <v>La niña comienza a mirar hacia la cámara y cepillándose los dientes, inclinándose hacia la cámara en un punto antes de inclinarse hacia atrás para continuar cepillando los dientes.</v>
      </c>
    </row>
    <row r="34372">
      <c r="A34372" s="4" t="s">
        <v>43254</v>
      </c>
      <c r="B34372" s="4" t="s">
        <v>43257</v>
      </c>
      <c r="C34372" s="5" t="str">
        <f>IFERROR(__xludf.DUMMYFUNCTION("GOOGLETRANSLATE(B34372,""en"",""es-ES"")"),"Luego, la niña se gira hacia el espejo del baño y escupe en el lavabo del baño, luego regresa a cepillarse los dientes y mirar hacia la cámara nuevamente.")</f>
        <v>Luego, la niña se gira hacia el espejo del baño y escupe en el lavabo del baño, luego regresa a cepillarse los dientes y mirar hacia la cámara nuevamente.</v>
      </c>
    </row>
    <row r="34373">
      <c r="A34373" s="4" t="s">
        <v>43254</v>
      </c>
      <c r="B34373" s="4" t="s">
        <v>43258</v>
      </c>
      <c r="C34373" s="5" t="str">
        <f>IFERROR(__xludf.DUMMYFUNCTION("GOOGLETRANSLATE(B34373,""en"",""es-ES"")"),"Luego, la niña se mueve a otro fregadero que está más atrás en el baño, juega con su cabello, prime en el espejo, todo mientras que otra niña en un uniforme escolar entra en el baño y entra en el puesto de baño.")</f>
        <v>Luego, la niña se mueve a otro fregadero que está más atrás en el baño, juega con su cabello, prime en el espejo, todo mientras que otra niña en un uniforme escolar entra en el baño y entra en el puesto de baño.</v>
      </c>
    </row>
    <row r="34374">
      <c r="A34374" s="4" t="s">
        <v>43259</v>
      </c>
      <c r="B34374" s="4" t="s">
        <v>43260</v>
      </c>
      <c r="C34374" s="5" t="str">
        <f>IFERROR(__xludf.DUMMYFUNCTION("GOOGLETRANSLATE(B34374,""en"",""es-ES"")"),"Dos hombres hablan acaloradamente hasta que un hombre viene y los separa.")</f>
        <v>Dos hombres hablan acaloradamente hasta que un hombre viene y los separa.</v>
      </c>
    </row>
    <row r="34375">
      <c r="A34375" s="4" t="s">
        <v>43259</v>
      </c>
      <c r="B34375" s="4" t="s">
        <v>43261</v>
      </c>
      <c r="C34375" s="5" t="str">
        <f>IFERROR(__xludf.DUMMYFUNCTION("GOOGLETRANSLATE(B34375,""en"",""es-ES"")"),"El número 99 hojas luego vuelve a terminar de hablar.")</f>
        <v>El número 99 hojas luego vuelve a terminar de hablar.</v>
      </c>
    </row>
    <row r="34376">
      <c r="A34376" s="4" t="s">
        <v>43259</v>
      </c>
      <c r="B34376" s="4" t="s">
        <v>43262</v>
      </c>
      <c r="C34376" s="5" t="str">
        <f>IFERROR(__xludf.DUMMYFUNCTION("GOOGLETRANSLATE(B34376,""en"",""es-ES"")"),"Número 69 camina por el campo.")</f>
        <v>Número 69 camina por el campo.</v>
      </c>
    </row>
    <row r="34377">
      <c r="A34377" s="4" t="s">
        <v>43259</v>
      </c>
      <c r="B34377" s="4" t="s">
        <v>43263</v>
      </c>
      <c r="C34377" s="5" t="str">
        <f>IFERROR(__xludf.DUMMYFUNCTION("GOOGLETRANSLATE(B34377,""en"",""es-ES"")"),"Vemos que el número 69 golpeó la pelota.")</f>
        <v>Vemos que el número 69 golpeó la pelota.</v>
      </c>
    </row>
    <row r="34378">
      <c r="A34378" s="4" t="s">
        <v>43259</v>
      </c>
      <c r="B34378" s="4" t="s">
        <v>43264</v>
      </c>
      <c r="C34378" s="5" t="str">
        <f>IFERROR(__xludf.DUMMYFUNCTION("GOOGLETRANSLATE(B34378,""en"",""es-ES"")"),"Luego discute con el receptor.")</f>
        <v>Luego discute con el receptor.</v>
      </c>
    </row>
    <row r="34379">
      <c r="A34379" s="4" t="s">
        <v>43259</v>
      </c>
      <c r="B34379" s="4" t="s">
        <v>43265</v>
      </c>
      <c r="C34379" s="5" t="str">
        <f>IFERROR(__xludf.DUMMYFUNCTION("GOOGLETRANSLATE(B34379,""en"",""es-ES"")"),"Un lanzador comienza a lanzar.")</f>
        <v>Un lanzador comienza a lanzar.</v>
      </c>
    </row>
    <row r="34380">
      <c r="A34380" s="4" t="s">
        <v>43266</v>
      </c>
      <c r="B34380" s="4" t="s">
        <v>43267</v>
      </c>
      <c r="C34380" s="5" t="str">
        <f>IFERROR(__xludf.DUMMYFUNCTION("GOOGLETRANSLATE(B34380,""en"",""es-ES"")"),"Un niño camina hacia el fregadero.")</f>
        <v>Un niño camina hacia el fregadero.</v>
      </c>
    </row>
    <row r="34381">
      <c r="A34381" s="4" t="s">
        <v>43266</v>
      </c>
      <c r="B34381" s="4" t="s">
        <v>43268</v>
      </c>
      <c r="C34381" s="5" t="str">
        <f>IFERROR(__xludf.DUMMYFUNCTION("GOOGLETRANSLATE(B34381,""en"",""es-ES"")"),"El niño se para al frente del fregadero y pone la pasta de dientes en el cepillo y luego cepilla los dientes.")</f>
        <v>El niño se para al frente del fregadero y pone la pasta de dientes en el cepillo y luego cepilla los dientes.</v>
      </c>
    </row>
    <row r="34382">
      <c r="A34382" s="4" t="s">
        <v>43266</v>
      </c>
      <c r="B34382" s="4" t="s">
        <v>43269</v>
      </c>
      <c r="C34382" s="5" t="str">
        <f>IFERROR(__xludf.DUMMYFUNCTION("GOOGLETRANSLATE(B34382,""en"",""es-ES"")"),"Luego, el niño enjuague la boca y luego muestra dientes y boca seca.")</f>
        <v>Luego, el niño enjuague la boca y luego muestra dientes y boca seca.</v>
      </c>
    </row>
    <row r="34383">
      <c r="A34383" s="4" t="s">
        <v>43270</v>
      </c>
      <c r="B34383" s="4" t="s">
        <v>43271</v>
      </c>
      <c r="C34383" s="5" t="str">
        <f>IFERROR(__xludf.DUMMYFUNCTION("GOOGLETRANSLATE(B34383,""en"",""es-ES"")"),"Una persona está haciendo volteos en un escenario frente a la gente.")</f>
        <v>Una persona está haciendo volteos en un escenario frente a la gente.</v>
      </c>
    </row>
    <row r="34384">
      <c r="A34384" s="4" t="s">
        <v>43270</v>
      </c>
      <c r="B34384" s="4" t="s">
        <v>43272</v>
      </c>
      <c r="C34384" s="5" t="str">
        <f>IFERROR(__xludf.DUMMYFUNCTION("GOOGLETRANSLATE(B34384,""en"",""es-ES"")"),"La gente está parada en la esquina tocando la batería.")</f>
        <v>La gente está parada en la esquina tocando la batería.</v>
      </c>
    </row>
    <row r="34385">
      <c r="A34385" s="4" t="s">
        <v>43270</v>
      </c>
      <c r="B34385" s="4" t="s">
        <v>43273</v>
      </c>
      <c r="C34385" s="5" t="str">
        <f>IFERROR(__xludf.DUMMYFUNCTION("GOOGLETRANSLATE(B34385,""en"",""es-ES"")"),"Un hombre hace una mano en el escenario.")</f>
        <v>Un hombre hace una mano en el escenario.</v>
      </c>
    </row>
    <row r="34386">
      <c r="A34386" s="4" t="s">
        <v>43274</v>
      </c>
      <c r="B34386" s="4" t="s">
        <v>43275</v>
      </c>
      <c r="C34386" s="5" t="str">
        <f>IFERROR(__xludf.DUMMYFUNCTION("GOOGLETRANSLATE(B34386,""en"",""es-ES"")"),"Varios corredores de bicicletas vestidos con trajes de motocross y con cascos están alineados en la línea de salida, esperando correr.")</f>
        <v>Varios corredores de bicicletas vestidos con trajes de motocross y con cascos están alineados en la línea de salida, esperando correr.</v>
      </c>
    </row>
    <row r="34387">
      <c r="A34387" s="4" t="s">
        <v>43274</v>
      </c>
      <c r="B34387" s="4" t="s">
        <v>43276</v>
      </c>
      <c r="C34387" s="5" t="str">
        <f>IFERROR(__xludf.DUMMYFUNCTION("GOOGLETRANSLATE(B34387,""en"",""es-ES"")"),"Comienza la carrera, y todos los ciclistas corren cuesta abajo, hacia un salto.")</f>
        <v>Comienza la carrera, y todos los ciclistas corren cuesta abajo, hacia un salto.</v>
      </c>
    </row>
    <row r="34388">
      <c r="A34388" s="4" t="s">
        <v>43274</v>
      </c>
      <c r="B34388" s="4" t="s">
        <v>43277</v>
      </c>
      <c r="C34388" s="5" t="str">
        <f>IFERROR(__xludf.DUMMYFUNCTION("GOOGLETRANSLATE(B34388,""en"",""es-ES"")"),"Los ciclistas saltan de una colina, pero uno de los ciclistas, vestidos de rojo y negro, cae al suelo.")</f>
        <v>Los ciclistas saltan de una colina, pero uno de los ciclistas, vestidos de rojo y negro, cae al suelo.</v>
      </c>
    </row>
    <row r="34389">
      <c r="A34389" s="4" t="s">
        <v>43274</v>
      </c>
      <c r="B34389" s="4" t="s">
        <v>43278</v>
      </c>
      <c r="C34389" s="5" t="str">
        <f>IFERROR(__xludf.DUMMYFUNCTION("GOOGLETRANSLATE(B34389,""en"",""es-ES"")"),"El motociclista inmediatamente detrás de él, vestido de rojo, blanco y azul, trata de evitar al motociclista caído y también cae al suelo.")</f>
        <v>El motociclista inmediatamente detrás de él, vestido de rojo, blanco y azul, trata de evitar al motociclista caído y también cae al suelo.</v>
      </c>
    </row>
    <row r="34390">
      <c r="A34390" s="4" t="s">
        <v>43274</v>
      </c>
      <c r="B34390" s="4" t="s">
        <v>43279</v>
      </c>
      <c r="C34390" s="5" t="str">
        <f>IFERROR(__xludf.DUMMYFUNCTION("GOOGLETRANSLATE(B34390,""en"",""es-ES"")"),"Los otros ciclistas corren corriendo.")</f>
        <v>Los otros ciclistas corren corriendo.</v>
      </c>
    </row>
    <row r="34391">
      <c r="A34391" s="4" t="s">
        <v>43274</v>
      </c>
      <c r="B34391" s="4" t="s">
        <v>43280</v>
      </c>
      <c r="C34391" s="5" t="str">
        <f>IFERROR(__xludf.DUMMYFUNCTION("GOOGLETRANSLATE(B34391,""en"",""es-ES"")"),"El motociclista de negro y rojo inmediatamente saca la pista, mientras que el motociclista en rojo, blanco y azul, claramente está herido y lucha por ponerse de rodillas.")</f>
        <v>El motociclista de negro y rojo inmediatamente saca la pista, mientras que el motociclista en rojo, blanco y azul, claramente está herido y lucha por ponerse de rodillas.</v>
      </c>
    </row>
    <row r="34392">
      <c r="A34392" s="4" t="s">
        <v>43274</v>
      </c>
      <c r="B34392" s="4" t="s">
        <v>43281</v>
      </c>
      <c r="C34392" s="5" t="str">
        <f>IFERROR(__xludf.DUMMYFUNCTION("GOOGLETRANSLATE(B34392,""en"",""es-ES"")"),"Tres hombres vestidos con chaquetas negras acuden en ayuda del primer motociclista.")</f>
        <v>Tres hombres vestidos con chaquetas negras acuden en ayuda del primer motociclista.</v>
      </c>
    </row>
    <row r="34393">
      <c r="A34393" s="4" t="s">
        <v>43282</v>
      </c>
      <c r="B34393" s="4" t="s">
        <v>43283</v>
      </c>
      <c r="C34393" s="5" t="str">
        <f>IFERROR(__xludf.DUMMYFUNCTION("GOOGLETRANSLATE(B34393,""en"",""es-ES"")"),"Se muestra un edificio de recreación y se muestra a los niños que realizan varias actividades que van desde el baloncesto hasta la natación.")</f>
        <v>Se muestra un edificio de recreación y se muestra a los niños que realizan varias actividades que van desde el baloncesto hasta la natación.</v>
      </c>
    </row>
    <row r="34394">
      <c r="A34394" s="4" t="s">
        <v>43282</v>
      </c>
      <c r="B34394" s="4" t="s">
        <v>43284</v>
      </c>
      <c r="C34394" s="5" t="str">
        <f>IFERROR(__xludf.DUMMYFUNCTION("GOOGLETRANSLATE(B34394,""en"",""es-ES"")"),"Un conjunto de niños jóvenes se imagina el agua en sus espaldas sosteniendo una bola verde y uno lo arroja a la portería.")</f>
        <v>Un conjunto de niños jóvenes se imagina el agua en sus espaldas sosteniendo una bola verde y uno lo arroja a la portería.</v>
      </c>
    </row>
    <row r="34395">
      <c r="A34395" s="4" t="s">
        <v>43282</v>
      </c>
      <c r="B34395" s="4" t="s">
        <v>43285</v>
      </c>
      <c r="C34395" s="5" t="str">
        <f>IFERROR(__xludf.DUMMYFUNCTION("GOOGLETRANSLATE(B34395,""en"",""es-ES"")"),"El exterior del edificio se muestra nuevamente y aparece un flash de un automóvil estacionado afuera en el estacionamiento.")</f>
        <v>El exterior del edificio se muestra nuevamente y aparece un flash de un automóvil estacionado afuera en el estacionamiento.</v>
      </c>
    </row>
    <row r="34396">
      <c r="A34396" s="4" t="s">
        <v>43286</v>
      </c>
      <c r="B34396" s="4" t="s">
        <v>43287</v>
      </c>
      <c r="C34396" s="5" t="str">
        <f>IFERROR(__xludf.DUMMYFUNCTION("GOOGLETRANSLATE(B34396,""en"",""es-ES"")"),"Un hombre en mono se sienta frente a una gran rueda de metal.")</f>
        <v>Un hombre en mono se sienta frente a una gran rueda de metal.</v>
      </c>
    </row>
    <row r="34397">
      <c r="A34397" s="4" t="s">
        <v>43286</v>
      </c>
      <c r="B34397" s="4" t="s">
        <v>43288</v>
      </c>
      <c r="C34397" s="5" t="str">
        <f>IFERROR(__xludf.DUMMYFUNCTION("GOOGLETRANSLATE(B34397,""en"",""es-ES"")"),"Él recoge una antorcha y comienza a soldar.")</f>
        <v>Él recoge una antorcha y comienza a soldar.</v>
      </c>
    </row>
    <row r="34398">
      <c r="A34398" s="4" t="s">
        <v>43286</v>
      </c>
      <c r="B34398" s="4" t="s">
        <v>43289</v>
      </c>
      <c r="C34398" s="5" t="str">
        <f>IFERROR(__xludf.DUMMYFUNCTION("GOOGLETRANSLATE(B34398,""en"",""es-ES"")"),"Las chispas vuelan mientras usa su máscara, soldando el equipo.")</f>
        <v>Las chispas vuelan mientras usa su máscara, soldando el equipo.</v>
      </c>
    </row>
    <row r="34399">
      <c r="A34399" s="4" t="s">
        <v>43290</v>
      </c>
      <c r="B34399" s="4" t="s">
        <v>43291</v>
      </c>
      <c r="C34399" s="5" t="str">
        <f>IFERROR(__xludf.DUMMYFUNCTION("GOOGLETRANSLATE(B34399,""en"",""es-ES"")"),"El video conduce a varias tomas de atletas de jabalina arrojando postes por una gran pista.")</f>
        <v>El video conduce a varias tomas de atletas de jabalina arrojando postes por una gran pista.</v>
      </c>
    </row>
    <row r="34400">
      <c r="A34400" s="4" t="s">
        <v>43290</v>
      </c>
      <c r="B34400" s="4" t="s">
        <v>43292</v>
      </c>
      <c r="C34400" s="5" t="str">
        <f>IFERROR(__xludf.DUMMYFUNCTION("GOOGLETRANSLATE(B34400,""en"",""es-ES"")"),"Muchas personas se muestran corriendo por la pista arrojando la jabalina y observando dónde aterriza su pole.")</f>
        <v>Muchas personas se muestran corriendo por la pista arrojando la jabalina y observando dónde aterriza su pole.</v>
      </c>
    </row>
    <row r="34401">
      <c r="A34401" s="4" t="s">
        <v>43293</v>
      </c>
      <c r="B34401" s="4" t="s">
        <v>43294</v>
      </c>
      <c r="C34401" s="5" t="str">
        <f>IFERROR(__xludf.DUMMYFUNCTION("GOOGLETRANSLATE(B34401,""en"",""es-ES"")"),"Los hombres están haciendo movimientos de karate en un gimnasio.")</f>
        <v>Los hombres están haciendo movimientos de karate en un gimnasio.</v>
      </c>
    </row>
    <row r="34402">
      <c r="A34402" s="4" t="s">
        <v>43293</v>
      </c>
      <c r="B34402" s="4" t="s">
        <v>43295</v>
      </c>
      <c r="C34402" s="5" t="str">
        <f>IFERROR(__xludf.DUMMYFUNCTION("GOOGLETRANSLATE(B34402,""en"",""es-ES"")"),"La gente está tocando instrumentos a su lado.")</f>
        <v>La gente está tocando instrumentos a su lado.</v>
      </c>
    </row>
    <row r="34403">
      <c r="A34403" s="4" t="s">
        <v>43293</v>
      </c>
      <c r="B34403" s="4" t="s">
        <v>43296</v>
      </c>
      <c r="C34403" s="5" t="str">
        <f>IFERROR(__xludf.DUMMYFUNCTION("GOOGLETRANSLATE(B34403,""en"",""es-ES"")"),"Un hombre con una camisa blanca toca la batería frente a él.")</f>
        <v>Un hombre con una camisa blanca toca la batería frente a él.</v>
      </c>
    </row>
    <row r="34404">
      <c r="A34404" s="4" t="s">
        <v>43297</v>
      </c>
      <c r="B34404" s="4" t="s">
        <v>43298</v>
      </c>
      <c r="C34404" s="5" t="str">
        <f>IFERROR(__xludf.DUMMYFUNCTION("GOOGLETRANSLATE(B34404,""en"",""es-ES"")"),"Una pantalla de introducción que muestra a un hombre que realiza artes marciales brasileñas aparece en la pantalla.")</f>
        <v>Una pantalla de introducción que muestra a un hombre que realiza artes marciales brasileñas aparece en la pantalla.</v>
      </c>
    </row>
    <row r="34405">
      <c r="A34405" s="4" t="s">
        <v>43297</v>
      </c>
      <c r="B34405" s="4" t="s">
        <v>43299</v>
      </c>
      <c r="C34405" s="5" t="str">
        <f>IFERROR(__xludf.DUMMYFUNCTION("GOOGLETRANSLATE(B34405,""en"",""es-ES"")"),"Luego muestra a un hombre haciendo las mismas artes marciales en cámara lenta en un césped en lo que parece un parque.")</f>
        <v>Luego muestra a un hombre haciendo las mismas artes marciales en cámara lenta en un césped en lo que parece un parque.</v>
      </c>
    </row>
    <row r="34406">
      <c r="A34406" s="4" t="s">
        <v>43297</v>
      </c>
      <c r="B34406" s="4" t="s">
        <v>43300</v>
      </c>
      <c r="C34406" s="5" t="str">
        <f>IFERROR(__xludf.DUMMYFUNCTION("GOOGLETRANSLATE(B34406,""en"",""es-ES"")"),"El hombre gira y patea continuamente y es altamente hábil.")</f>
        <v>El hombre gira y patea continuamente y es altamente hábil.</v>
      </c>
    </row>
    <row r="34407">
      <c r="A34407" s="4" t="s">
        <v>43297</v>
      </c>
      <c r="B34407" s="4" t="s">
        <v>43301</v>
      </c>
      <c r="C34407" s="5" t="str">
        <f>IFERROR(__xludf.DUMMYFUNCTION("GOOGLETRANSLATE(B34407,""en"",""es-ES"")"),"Luego, el video muestra a otro hombre en interiores dando un pulgar hacia arriba, antes de saltar a otros dos hombres actuando en un escenario.")</f>
        <v>Luego, el video muestra a otro hombre en interiores dando un pulgar hacia arriba, antes de saltar a otros dos hombres actuando en un escenario.</v>
      </c>
    </row>
    <row r="34408">
      <c r="A34408" s="4" t="s">
        <v>43297</v>
      </c>
      <c r="B34408" s="4" t="s">
        <v>43302</v>
      </c>
      <c r="C34408" s="5" t="str">
        <f>IFERROR(__xludf.DUMMYFUNCTION("GOOGLETRANSLATE(B34408,""en"",""es-ES"")"),"Un grupo de otros hombres realizan artes marciales dentro de un gimnasio y aula, mientras que otro hombre habla con la cámara.")</f>
        <v>Un grupo de otros hombres realizan artes marciales dentro de un gimnasio y aula, mientras que otro hombre habla con la cámara.</v>
      </c>
    </row>
    <row r="34409">
      <c r="A34409" s="4" t="s">
        <v>43303</v>
      </c>
      <c r="B34409" s="4" t="s">
        <v>43304</v>
      </c>
      <c r="C34409" s="5" t="str">
        <f>IFERROR(__xludf.DUMMYFUNCTION("GOOGLETRANSLATE(B34409,""en"",""es-ES"")"),"Se ve a un hombre sentado frente a una cámara sosteniendo una armónica en sus manos.")</f>
        <v>Se ve a un hombre sentado frente a una cámara sosteniendo una armónica en sus manos.</v>
      </c>
    </row>
    <row r="34410">
      <c r="A34410" s="4" t="s">
        <v>43303</v>
      </c>
      <c r="B34410" s="4" t="s">
        <v>43305</v>
      </c>
      <c r="C34410" s="5" t="str">
        <f>IFERROR(__xludf.DUMMYFUNCTION("GOOGLETRANSLATE(B34410,""en"",""es-ES"")"),"El hombre luego comienza a tocar varias canciones mientras se detiene en el medio.")</f>
        <v>El hombre luego comienza a tocar varias canciones mientras se detiene en el medio.</v>
      </c>
    </row>
    <row r="34411">
      <c r="A34411" s="4" t="s">
        <v>43303</v>
      </c>
      <c r="B34411" s="4" t="s">
        <v>43306</v>
      </c>
      <c r="C34411" s="5" t="str">
        <f>IFERROR(__xludf.DUMMYFUNCTION("GOOGLETRANSLATE(B34411,""en"",""es-ES"")"),"Continúa tocando el instrumento mientras mira a lo lejos.")</f>
        <v>Continúa tocando el instrumento mientras mira a lo lejos.</v>
      </c>
    </row>
    <row r="34412">
      <c r="A34412" s="4" t="s">
        <v>43307</v>
      </c>
      <c r="B34412" s="4" t="s">
        <v>43308</v>
      </c>
      <c r="C34412" s="5" t="str">
        <f>IFERROR(__xludf.DUMMYFUNCTION("GOOGLETRANSLATE(B34412,""en"",""es-ES"")"),"Una foto de una persona saltando de un bote al agua.")</f>
        <v>Una foto de una persona saltando de un bote al agua.</v>
      </c>
    </row>
    <row r="34413">
      <c r="A34413" s="4" t="s">
        <v>43307</v>
      </c>
      <c r="B34413" s="4" t="s">
        <v>24164</v>
      </c>
      <c r="C34413" s="5" t="str">
        <f>IFERROR(__xludf.DUMMYFUNCTION("GOOGLETRANSLATE(B34413,""en"",""es-ES"")"),"Un bote está en el agua.")</f>
        <v>Un bote está en el agua.</v>
      </c>
    </row>
    <row r="34414">
      <c r="A34414" s="4" t="s">
        <v>43307</v>
      </c>
      <c r="B34414" s="4" t="s">
        <v>43309</v>
      </c>
      <c r="C34414" s="5" t="str">
        <f>IFERROR(__xludf.DUMMYFUNCTION("GOOGLETRANSLATE(B34414,""en"",""es-ES"")"),"Un barco de vela está en el agua con gente.")</f>
        <v>Un barco de vela está en el agua con gente.</v>
      </c>
    </row>
    <row r="34415">
      <c r="A34415" s="4" t="s">
        <v>43307</v>
      </c>
      <c r="B34415" s="4" t="s">
        <v>43310</v>
      </c>
      <c r="C34415" s="5" t="str">
        <f>IFERROR(__xludf.DUMMYFUNCTION("GOOGLETRANSLATE(B34415,""en"",""es-ES"")"),"La gente está sentada en el bote hablando.")</f>
        <v>La gente está sentada en el bote hablando.</v>
      </c>
    </row>
    <row r="34416">
      <c r="A34416" s="4" t="s">
        <v>43307</v>
      </c>
      <c r="B34416" s="4" t="s">
        <v>43311</v>
      </c>
      <c r="C34416" s="5" t="str">
        <f>IFERROR(__xludf.DUMMYFUNCTION("GOOGLETRANSLATE(B34416,""en"",""es-ES"")"),"Una mujer con bikini blanco se encuentra en la proa del bote y un hombre se para detrás de ella.")</f>
        <v>Una mujer con bikini blanco se encuentra en la proa del bote y un hombre se para detrás de ella.</v>
      </c>
    </row>
    <row r="34417">
      <c r="A34417" s="4" t="s">
        <v>43307</v>
      </c>
      <c r="B34417" s="4" t="s">
        <v>43312</v>
      </c>
      <c r="C34417" s="5" t="str">
        <f>IFERROR(__xludf.DUMMYFUNCTION("GOOGLETRANSLATE(B34417,""en"",""es-ES"")"),"La gente está sentada en la reverencia del bote.")</f>
        <v>La gente está sentada en la reverencia del bote.</v>
      </c>
    </row>
    <row r="34418">
      <c r="A34418" s="4" t="s">
        <v>43307</v>
      </c>
      <c r="B34418" s="4" t="s">
        <v>43313</v>
      </c>
      <c r="C34418" s="5" t="str">
        <f>IFERROR(__xludf.DUMMYFUNCTION("GOOGLETRANSLATE(B34418,""en"",""es-ES"")"),"Una mujer se acuesta de espaldas con un bikini en el bote.")</f>
        <v>Una mujer se acuesta de espaldas con un bikini en el bote.</v>
      </c>
    </row>
    <row r="34419">
      <c r="A34419" s="4" t="s">
        <v>43307</v>
      </c>
      <c r="B34419" s="4" t="s">
        <v>43314</v>
      </c>
      <c r="C34419" s="5" t="str">
        <f>IFERROR(__xludf.DUMMYFUNCTION("GOOGLETRANSLATE(B34419,""en"",""es-ES"")"),"La gente camina en la arena frente a la cámara.")</f>
        <v>La gente camina en la arena frente a la cámara.</v>
      </c>
    </row>
    <row r="34420">
      <c r="A34420" s="4" t="s">
        <v>43307</v>
      </c>
      <c r="B34420" s="4" t="s">
        <v>43315</v>
      </c>
      <c r="C34420" s="5" t="str">
        <f>IFERROR(__xludf.DUMMYFUNCTION("GOOGLETRANSLATE(B34420,""en"",""es-ES"")"),"Se muestra una vista del agua y la playa.")</f>
        <v>Se muestra una vista del agua y la playa.</v>
      </c>
    </row>
    <row r="34421">
      <c r="A34421" s="4" t="s">
        <v>43307</v>
      </c>
      <c r="B34421" s="4" t="s">
        <v>43316</v>
      </c>
      <c r="C34421" s="5" t="str">
        <f>IFERROR(__xludf.DUMMYFUNCTION("GOOGLETRANSLATE(B34421,""en"",""es-ES"")"),"La gente camina sobre la arena de la playa.")</f>
        <v>La gente camina sobre la arena de la playa.</v>
      </c>
    </row>
    <row r="34422">
      <c r="A34422" s="4" t="s">
        <v>43307</v>
      </c>
      <c r="B34422" s="4" t="s">
        <v>43317</v>
      </c>
      <c r="C34422" s="5" t="str">
        <f>IFERROR(__xludf.DUMMYFUNCTION("GOOGLETRANSLATE(B34422,""en"",""es-ES"")"),"Un grupo de personas posa para una foto.")</f>
        <v>Un grupo de personas posa para una foto.</v>
      </c>
    </row>
    <row r="34423">
      <c r="A34423" s="4" t="s">
        <v>43307</v>
      </c>
      <c r="B34423" s="4" t="s">
        <v>43318</v>
      </c>
      <c r="C34423" s="5" t="str">
        <f>IFERROR(__xludf.DUMMYFUNCTION("GOOGLETRANSLATE(B34423,""en"",""es-ES"")"),"La gente está tomando fotos en el bote.")</f>
        <v>La gente está tomando fotos en el bote.</v>
      </c>
    </row>
    <row r="34424">
      <c r="A34424" s="4" t="s">
        <v>43319</v>
      </c>
      <c r="B34424" s="4" t="s">
        <v>43320</v>
      </c>
      <c r="C34424" s="5" t="str">
        <f>IFERROR(__xludf.DUMMYFUNCTION("GOOGLETRANSLATE(B34424,""en"",""es-ES"")"),"Se muestra un primer plano de una mujer hablando con la cámara sosteniendo un helado frente a su cara.")</f>
        <v>Se muestra un primer plano de una mujer hablando con la cámara sosteniendo un helado frente a su cara.</v>
      </c>
    </row>
    <row r="34425">
      <c r="A34425" s="4" t="s">
        <v>43319</v>
      </c>
      <c r="B34425" s="4" t="s">
        <v>43321</v>
      </c>
      <c r="C34425" s="5" t="str">
        <f>IFERROR(__xludf.DUMMYFUNCTION("GOOGLETRANSLATE(B34425,""en"",""es-ES"")"),"Ella toma múltiples bocados del helado mientras la cámara se mueve alrededor de su cuerpo y varias otras personas la rodean.")</f>
        <v>Ella toma múltiples bocados del helado mientras la cámara se mueve alrededor de su cuerpo y varias otras personas la rodean.</v>
      </c>
    </row>
    <row r="34426">
      <c r="A34426" s="4" t="s">
        <v>43322</v>
      </c>
      <c r="B34426" s="4" t="s">
        <v>43323</v>
      </c>
      <c r="C34426" s="5" t="str">
        <f>IFERROR(__xludf.DUMMYFUNCTION("GOOGLETRANSLATE(B34426,""en"",""es-ES"")"),"Una niña salta a través del pavimento.")</f>
        <v>Una niña salta a través del pavimento.</v>
      </c>
    </row>
    <row r="34427">
      <c r="A34427" s="4" t="s">
        <v>43322</v>
      </c>
      <c r="B34427" s="4" t="s">
        <v>43324</v>
      </c>
      <c r="C34427" s="5" t="str">
        <f>IFERROR(__xludf.DUMMYFUNCTION("GOOGLETRANSLATE(B34427,""en"",""es-ES"")"),"Una niña más joven la mira.")</f>
        <v>Una niña más joven la mira.</v>
      </c>
    </row>
    <row r="34428">
      <c r="A34428" s="4" t="s">
        <v>43322</v>
      </c>
      <c r="B34428" s="4" t="s">
        <v>43325</v>
      </c>
      <c r="C34428" s="5" t="str">
        <f>IFERROR(__xludf.DUMMYFUNCTION("GOOGLETRANSLATE(B34428,""en"",""es-ES"")"),"Un brazo de hombre está en primer plano.")</f>
        <v>Un brazo de hombre está en primer plano.</v>
      </c>
    </row>
    <row r="34429">
      <c r="A34429" s="4" t="s">
        <v>43322</v>
      </c>
      <c r="B34429" s="4" t="s">
        <v>43326</v>
      </c>
      <c r="C34429" s="5" t="str">
        <f>IFERROR(__xludf.DUMMYFUNCTION("GOOGLETRANSLATE(B34429,""en"",""es-ES"")"),"También hay una cubierta de madera.")</f>
        <v>También hay una cubierta de madera.</v>
      </c>
    </row>
    <row r="34430">
      <c r="A34430" s="4" t="s">
        <v>43327</v>
      </c>
      <c r="B34430" s="4" t="s">
        <v>43328</v>
      </c>
      <c r="C34430" s="5" t="str">
        <f>IFERROR(__xludf.DUMMYFUNCTION("GOOGLETRANSLATE(B34430,""en"",""es-ES"")"),"White Text dice que el video trata sobre cómo hacer un pastel de barriga.")</f>
        <v>White Text dice que el video trata sobre cómo hacer un pastel de barriga.</v>
      </c>
    </row>
    <row r="34431">
      <c r="A34431" s="4" t="s">
        <v>43327</v>
      </c>
      <c r="B34431" s="4" t="s">
        <v>43329</v>
      </c>
      <c r="C34431" s="5" t="str">
        <f>IFERROR(__xludf.DUMMYFUNCTION("GOOGLETRANSLATE(B34431,""en"",""es-ES"")"),"Se muestran dos piezas de pastel de chocolate envuelto cuando una mano se ajusta y las toca.")</f>
        <v>Se muestran dos piezas de pastel de chocolate envuelto cuando una mano se ajusta y las toca.</v>
      </c>
    </row>
    <row r="34432">
      <c r="A34432" s="4" t="s">
        <v>43327</v>
      </c>
      <c r="B34432" s="4" t="s">
        <v>43330</v>
      </c>
      <c r="C34432" s="5" t="str">
        <f>IFERROR(__xludf.DUMMYFUNCTION("GOOGLETRANSLATE(B34432,""en"",""es-ES"")"),"Las instrucciones aparecen en la parte inferior de la pantalla antes de que se muestren las piezas del bebé de fondant después de que el pastel está esmerilado.")</f>
        <v>Las instrucciones aparecen en la parte inferior de la pantalla antes de que se muestren las piezas del bebé de fondant después de que el pastel está esmerilado.</v>
      </c>
    </row>
    <row r="34433">
      <c r="A34433" s="4" t="s">
        <v>43327</v>
      </c>
      <c r="B34433" s="4" t="s">
        <v>43331</v>
      </c>
      <c r="C34433" s="5" t="str">
        <f>IFERROR(__xludf.DUMMYFUNCTION("GOOGLETRANSLATE(B34433,""en"",""es-ES"")"),"El pastel está completo como el estómago de una mujer con un pie de bebé que sobresale de su vestido.")</f>
        <v>El pastel está completo como el estómago de una mujer con un pie de bebé que sobresale de su vestido.</v>
      </c>
    </row>
    <row r="34434">
      <c r="A34434" s="4" t="s">
        <v>43332</v>
      </c>
      <c r="B34434" s="4" t="s">
        <v>43333</v>
      </c>
      <c r="C34434" s="5" t="str">
        <f>IFERROR(__xludf.DUMMYFUNCTION("GOOGLETRANSLATE(B34434,""en"",""es-ES"")"),"Se ve a una mujer que organiza un segmento de noticias que conduce a varios clips de personas que se miden y hablan con la cámara.")</f>
        <v>Se ve a una mujer que organiza un segmento de noticias que conduce a varios clips de personas que se miden y hablan con la cámara.</v>
      </c>
    </row>
    <row r="34435">
      <c r="A34435" s="4" t="s">
        <v>43332</v>
      </c>
      <c r="B34435" s="4" t="s">
        <v>43334</v>
      </c>
      <c r="C34435" s="5" t="str">
        <f>IFERROR(__xludf.DUMMYFUNCTION("GOOGLETRANSLATE(B34435,""en"",""es-ES"")"),"Se muestran muchos disparos de personas bebiendo café mientras sostienen pantalones más grandes y muestran el peso que habían perdido.")</f>
        <v>Se muestran muchos disparos de personas bebiendo café mientras sostienen pantalones más grandes y muestran el peso que habían perdido.</v>
      </c>
    </row>
    <row r="34436">
      <c r="A34436" s="4" t="s">
        <v>43332</v>
      </c>
      <c r="B34436" s="4" t="s">
        <v>43335</v>
      </c>
      <c r="C34436" s="5" t="str">
        <f>IFERROR(__xludf.DUMMYFUNCTION("GOOGLETRANSLATE(B34436,""en"",""es-ES"")"),"Se ve a más personas hablando con la cámara, mientras que se muestran más productos, así como alimentos que se presentan y una mujer que muestra su armario.")</f>
        <v>Se ve a más personas hablando con la cámara, mientras que se muestran más productos, así como alimentos que se presentan y una mujer que muestra su armario.</v>
      </c>
    </row>
    <row r="34437">
      <c r="A34437" s="4" t="s">
        <v>43336</v>
      </c>
      <c r="B34437" s="4" t="s">
        <v>43337</v>
      </c>
      <c r="C34437" s="5" t="str">
        <f>IFERROR(__xludf.DUMMYFUNCTION("GOOGLETRANSLATE(B34437,""en"",""es-ES"")"),"Un niño con una camiseta blanca recoge a su hermano sobre la cabeza y el cuerpo lo golpea en la cama.")</f>
        <v>Un niño con una camiseta blanca recoge a su hermano sobre la cabeza y el cuerpo lo golpea en la cama.</v>
      </c>
    </row>
    <row r="34438">
      <c r="A34438" s="4" t="s">
        <v>43336</v>
      </c>
      <c r="B34438" s="4" t="s">
        <v>43338</v>
      </c>
      <c r="C34438" s="5" t="str">
        <f>IFERROR(__xludf.DUMMYFUNCTION("GOOGLETRANSLATE(B34438,""en"",""es-ES"")"),"El hermano de la camisa de color del ejército se levanta de la cama.")</f>
        <v>El hermano de la camisa de color del ejército se levanta de la cama.</v>
      </c>
    </row>
    <row r="34439">
      <c r="A34439" s="4" t="s">
        <v>43339</v>
      </c>
      <c r="B34439" s="4" t="s">
        <v>43340</v>
      </c>
      <c r="C34439" s="5" t="str">
        <f>IFERROR(__xludf.DUMMYFUNCTION("GOOGLETRANSLATE(B34439,""en"",""es-ES"")"),"Vemos a un patinador caminar con su tabla.")</f>
        <v>Vemos a un patinador caminar con su tabla.</v>
      </c>
    </row>
    <row r="34440">
      <c r="A34440" s="4" t="s">
        <v>43339</v>
      </c>
      <c r="B34440" s="4" t="s">
        <v>43341</v>
      </c>
      <c r="C34440" s="5" t="str">
        <f>IFERROR(__xludf.DUMMYFUNCTION("GOOGLETRANSLATE(B34440,""en"",""es-ES"")"),"El hombre luego patina por una calle concurrida.")</f>
        <v>El hombre luego patina por una calle concurrida.</v>
      </c>
    </row>
    <row r="34441">
      <c r="A34441" s="4" t="s">
        <v>43339</v>
      </c>
      <c r="B34441" s="4" t="s">
        <v>43342</v>
      </c>
      <c r="C34441" s="5" t="str">
        <f>IFERROR(__xludf.DUMMYFUNCTION("GOOGLETRANSLATE(B34441,""en"",""es-ES"")"),"El huésped tiene la mano en el suelo mientras patina.")</f>
        <v>El huésped tiene la mano en el suelo mientras patina.</v>
      </c>
    </row>
    <row r="34442">
      <c r="A34442" s="4" t="s">
        <v>43339</v>
      </c>
      <c r="B34442" s="4" t="s">
        <v>43343</v>
      </c>
      <c r="C34442" s="5" t="str">
        <f>IFERROR(__xludf.DUMMYFUNCTION("GOOGLETRANSLATE(B34442,""en"",""es-ES"")"),"El huésped da un giro a la derecha.")</f>
        <v>El huésped da un giro a la derecha.</v>
      </c>
    </row>
    <row r="34443">
      <c r="A34443" s="4" t="s">
        <v>43339</v>
      </c>
      <c r="B34443" s="4" t="s">
        <v>43344</v>
      </c>
      <c r="C34443" s="5" t="str">
        <f>IFERROR(__xludf.DUMMYFUNCTION("GOOGLETRANSLATE(B34443,""en"",""es-ES"")"),"Los autos pasan y la escena termina.")</f>
        <v>Los autos pasan y la escena termina.</v>
      </c>
    </row>
    <row r="34444">
      <c r="A34444" s="4" t="s">
        <v>43345</v>
      </c>
      <c r="B34444" s="4" t="s">
        <v>43346</v>
      </c>
      <c r="C34444" s="5" t="str">
        <f>IFERROR(__xludf.DUMMYFUNCTION("GOOGLETRANSLATE(B34444,""en"",""es-ES"")"),"Se muestra una carrera de moto en la suciedad.")</f>
        <v>Se muestra una carrera de moto en la suciedad.</v>
      </c>
    </row>
    <row r="34445">
      <c r="A34445" s="4" t="s">
        <v>43345</v>
      </c>
      <c r="B34445" s="4" t="s">
        <v>43347</v>
      </c>
      <c r="C34445" s="5" t="str">
        <f>IFERROR(__xludf.DUMMYFUNCTION("GOOGLETRANSLATE(B34445,""en"",""es-ES"")"),"Los preparativos incluyen mujeres con poca ropa.")</f>
        <v>Los preparativos incluyen mujeres con poca ropa.</v>
      </c>
    </row>
    <row r="34446">
      <c r="A34446" s="4" t="s">
        <v>43345</v>
      </c>
      <c r="B34446" s="4" t="s">
        <v>43348</v>
      </c>
      <c r="C34446" s="5" t="str">
        <f>IFERROR(__xludf.DUMMYFUNCTION("GOOGLETRANSLATE(B34446,""en"",""es-ES"")"),"Luego se muestran motos saltando y haciendo cosas de agilidad.")</f>
        <v>Luego se muestran motos saltando y haciendo cosas de agilidad.</v>
      </c>
    </row>
    <row r="34447">
      <c r="A34447" s="4" t="s">
        <v>43349</v>
      </c>
      <c r="B34447" s="4" t="s">
        <v>43350</v>
      </c>
      <c r="C34447" s="5" t="str">
        <f>IFERROR(__xludf.DUMMYFUNCTION("GOOGLETRANSLATE(B34447,""en"",""es-ES"")"),"Un hombre se sube a una máquina roja.")</f>
        <v>Un hombre se sube a una máquina roja.</v>
      </c>
    </row>
    <row r="34448">
      <c r="A34448" s="4" t="s">
        <v>43349</v>
      </c>
      <c r="B34448" s="4" t="s">
        <v>43351</v>
      </c>
      <c r="C34448" s="5" t="str">
        <f>IFERROR(__xludf.DUMMYFUNCTION("GOOGLETRANSLATE(B34448,""en"",""es-ES"")"),"Luego retrocede y comienza a soplar hojas con ella.")</f>
        <v>Luego retrocede y comienza a soplar hojas con ella.</v>
      </c>
    </row>
    <row r="34449">
      <c r="A34449" s="4" t="s">
        <v>43349</v>
      </c>
      <c r="B34449" s="4" t="s">
        <v>43352</v>
      </c>
      <c r="C34449" s="5" t="str">
        <f>IFERROR(__xludf.DUMMYFUNCTION("GOOGLETRANSLATE(B34449,""en"",""es-ES"")"),"Las hojas soplan por todo el camino de entrada.")</f>
        <v>Las hojas soplan por todo el camino de entrada.</v>
      </c>
    </row>
    <row r="34450">
      <c r="A34450" s="4" t="s">
        <v>43349</v>
      </c>
      <c r="B34450" s="4" t="s">
        <v>43353</v>
      </c>
      <c r="C34450" s="5" t="str">
        <f>IFERROR(__xludf.DUMMYFUNCTION("GOOGLETRANSLATE(B34450,""en"",""es-ES"")"),"Finalmente, el camino de entrada está despejado de las hojas.")</f>
        <v>Finalmente, el camino de entrada está despejado de las hojas.</v>
      </c>
    </row>
    <row r="34451">
      <c r="A34451" s="4" t="s">
        <v>43354</v>
      </c>
      <c r="B34451" s="4" t="s">
        <v>20672</v>
      </c>
      <c r="C34451" s="5" t="str">
        <f>IFERROR(__xludf.DUMMYFUNCTION("GOOGLETRANSLATE(B34451,""en"",""es-ES"")"),"Una niña salta a un rayo de equilibrio.")</f>
        <v>Una niña salta a un rayo de equilibrio.</v>
      </c>
    </row>
    <row r="34452">
      <c r="A34452" s="4" t="s">
        <v>43354</v>
      </c>
      <c r="B34452" s="4" t="s">
        <v>32035</v>
      </c>
      <c r="C34452" s="5" t="str">
        <f>IFERROR(__xludf.DUMMYFUNCTION("GOOGLETRANSLATE(B34452,""en"",""es-ES"")"),"Ella hace una rutina de gimnasia en la viga de equilibrio.")</f>
        <v>Ella hace una rutina de gimnasia en la viga de equilibrio.</v>
      </c>
    </row>
    <row r="34453">
      <c r="A34453" s="4" t="s">
        <v>43354</v>
      </c>
      <c r="B34453" s="4" t="s">
        <v>43355</v>
      </c>
      <c r="C34453" s="5" t="str">
        <f>IFERROR(__xludf.DUMMYFUNCTION("GOOGLETRANSLATE(B34453,""en"",""es-ES"")"),"Ella desmonta y aterriza en la colchoneta al lado de la viga.")</f>
        <v>Ella desmonta y aterriza en la colchoneta al lado de la viga.</v>
      </c>
    </row>
    <row r="34454">
      <c r="A34454" s="4" t="s">
        <v>43356</v>
      </c>
      <c r="B34454" s="4" t="s">
        <v>43357</v>
      </c>
      <c r="C34454" s="5" t="str">
        <f>IFERROR(__xludf.DUMMYFUNCTION("GOOGLETRANSLATE(B34454,""en"",""es-ES"")"),"Un hombre se sienta encima de un camello.")</f>
        <v>Un hombre se sienta encima de un camello.</v>
      </c>
    </row>
    <row r="34455">
      <c r="A34455" s="4" t="s">
        <v>43356</v>
      </c>
      <c r="B34455" s="4" t="s">
        <v>43358</v>
      </c>
      <c r="C34455" s="5" t="str">
        <f>IFERROR(__xludf.DUMMYFUNCTION("GOOGLETRANSLATE(B34455,""en"",""es-ES"")"),"El camello se pone de pie y un hombre al frente lo lidera.")</f>
        <v>El camello se pone de pie y un hombre al frente lo lidera.</v>
      </c>
    </row>
    <row r="34456">
      <c r="A34456" s="4" t="s">
        <v>43356</v>
      </c>
      <c r="B34456" s="4" t="s">
        <v>43359</v>
      </c>
      <c r="C34456" s="5" t="str">
        <f>IFERROR(__xludf.DUMMYFUNCTION("GOOGLETRANSLATE(B34456,""en"",""es-ES"")"),"Se ve un granero rojo detrás de ellos.")</f>
        <v>Se ve un granero rojo detrás de ellos.</v>
      </c>
    </row>
    <row r="34457">
      <c r="A34457" s="4" t="s">
        <v>43356</v>
      </c>
      <c r="B34457" s="4" t="s">
        <v>43360</v>
      </c>
      <c r="C34457" s="5" t="str">
        <f>IFERROR(__xludf.DUMMYFUNCTION("GOOGLETRANSLATE(B34457,""en"",""es-ES"")"),"El camello se sienta de nuevo y el hombre se baja.")</f>
        <v>El camello se sienta de nuevo y el hombre se baja.</v>
      </c>
    </row>
    <row r="34458">
      <c r="A34458" s="4" t="s">
        <v>43361</v>
      </c>
      <c r="B34458" s="4" t="s">
        <v>43362</v>
      </c>
      <c r="C34458" s="5" t="str">
        <f>IFERROR(__xludf.DUMMYFUNCTION("GOOGLETRANSLATE(B34458,""en"",""es-ES"")"),"Se ve a una mujer parada frente a los cubos y hablando con la cámara.")</f>
        <v>Se ve a una mujer parada frente a los cubos y hablando con la cámara.</v>
      </c>
    </row>
    <row r="34459">
      <c r="A34459" s="4" t="s">
        <v>43361</v>
      </c>
      <c r="B34459" s="4" t="s">
        <v>43363</v>
      </c>
      <c r="C34459" s="5" t="str">
        <f>IFERROR(__xludf.DUMMYFUNCTION("GOOGLETRANSLATE(B34459,""en"",""es-ES"")"),"Ella vierte agua en un cubo mientras lo arrastra y mezcla la limpieza y comienza a volcar la ropa.")</f>
        <v>Ella vierte agua en un cubo mientras lo arrastra y mezcla la limpieza y comienza a volcar la ropa.</v>
      </c>
    </row>
    <row r="34460">
      <c r="A34460" s="4" t="s">
        <v>43361</v>
      </c>
      <c r="B34460" s="4" t="s">
        <v>43364</v>
      </c>
      <c r="C34460" s="5" t="str">
        <f>IFERROR(__xludf.DUMMYFUNCTION("GOOGLETRANSLATE(B34460,""en"",""es-ES"")"),"La mujer sumerge la ropa en el cubo y muestra dónde la cuelga y saluda a la cámara.")</f>
        <v>La mujer sumerge la ropa en el cubo y muestra dónde la cuelga y saluda a la cámara.</v>
      </c>
    </row>
    <row r="34461">
      <c r="A34461" s="4" t="s">
        <v>43365</v>
      </c>
      <c r="B34461" s="4" t="s">
        <v>43366</v>
      </c>
      <c r="C34461" s="5" t="str">
        <f>IFERROR(__xludf.DUMMYFUNCTION("GOOGLETRANSLATE(B34461,""en"",""es-ES"")"),"Un hombre lava cuidadosamente el costado de un automóvil con una esponja.")</f>
        <v>Un hombre lava cuidadosamente el costado de un automóvil con una esponja.</v>
      </c>
    </row>
    <row r="34462">
      <c r="A34462" s="4" t="s">
        <v>43365</v>
      </c>
      <c r="B34462" s="4" t="s">
        <v>43367</v>
      </c>
      <c r="C34462" s="5" t="str">
        <f>IFERROR(__xludf.DUMMYFUNCTION("GOOGLETRANSLATE(B34462,""en"",""es-ES"")"),"El hombre se levanta y lava el parabrisas.")</f>
        <v>El hombre se levanta y lava el parabrisas.</v>
      </c>
    </row>
    <row r="34463">
      <c r="A34463" s="4" t="s">
        <v>43365</v>
      </c>
      <c r="B34463" s="4" t="s">
        <v>43368</v>
      </c>
      <c r="C34463" s="5" t="str">
        <f>IFERROR(__xludf.DUMMYFUNCTION("GOOGLETRANSLATE(B34463,""en"",""es-ES"")"),"Luego se mueve por la parte trasera del automóvil lavando el spoiler.")</f>
        <v>Luego se mueve por la parte trasera del automóvil lavando el spoiler.</v>
      </c>
    </row>
    <row r="34464">
      <c r="A34464" s="4" t="s">
        <v>43369</v>
      </c>
      <c r="B34464" s="4" t="s">
        <v>43370</v>
      </c>
      <c r="C34464" s="5" t="str">
        <f>IFERROR(__xludf.DUMMYFUNCTION("GOOGLETRANSLATE(B34464,""en"",""es-ES"")"),"Una mujer asiática de pie que usa maquillaje está hablando con un grupo de mujeres asiáticas que no tienen maquillaje en sus rostros.")</f>
        <v>Una mujer asiática de pie que usa maquillaje está hablando con un grupo de mujeres asiáticas que no tienen maquillaje en sus rostros.</v>
      </c>
    </row>
    <row r="34465">
      <c r="A34465" s="4" t="s">
        <v>43369</v>
      </c>
      <c r="B34465" s="4" t="s">
        <v>43371</v>
      </c>
      <c r="C34465" s="5" t="str">
        <f>IFERROR(__xludf.DUMMYFUNCTION("GOOGLETRANSLATE(B34465,""en"",""es-ES"")"),"La mujer asiática con aplausos de maquillaje y luego golpea un reloj que tiene un temporizador de 10 segundos.")</f>
        <v>La mujer asiática con aplausos de maquillaje y luego golpea un reloj que tiene un temporizador de 10 segundos.</v>
      </c>
    </row>
    <row r="34466">
      <c r="A34466" s="4" t="s">
        <v>43369</v>
      </c>
      <c r="B34466" s="4" t="s">
        <v>43372</v>
      </c>
      <c r="C34466" s="5" t="str">
        <f>IFERROR(__xludf.DUMMYFUNCTION("GOOGLETRANSLATE(B34466,""en"",""es-ES"")"),"Las mujeres sin maquillaje comienzan rápidamente a aplicar maquillaje antes de que se agote el tiempo.")</f>
        <v>Las mujeres sin maquillaje comienzan rápidamente a aplicar maquillaje antes de que se agote el tiempo.</v>
      </c>
    </row>
    <row r="34467">
      <c r="A34467" s="4" t="s">
        <v>43369</v>
      </c>
      <c r="B34467" s="4" t="s">
        <v>43373</v>
      </c>
      <c r="C34467" s="5" t="str">
        <f>IFERROR(__xludf.DUMMYFUNCTION("GOOGLETRANSLATE(B34467,""en"",""es-ES"")"),"Dos mujeres rápidamente aplican maquillaje a sus rostros, pero cuando terminan, han molestado las miradas en sus rostros.")</f>
        <v>Dos mujeres rápidamente aplican maquillaje a sus rostros, pero cuando terminan, han molestado las miradas en sus rostros.</v>
      </c>
    </row>
    <row r="34468">
      <c r="A34468" s="4" t="s">
        <v>43369</v>
      </c>
      <c r="B34468" s="4" t="s">
        <v>43374</v>
      </c>
      <c r="C34468" s="5" t="str">
        <f>IFERROR(__xludf.DUMMYFUNCTION("GOOGLETRANSLATE(B34468,""en"",""es-ES"")"),"La tercera mujer coloca el maquillaje y las pestañas postizas en una bandeja frente a ella y luego golpea su rostro en la bandeja y la roda de lado a lado.")</f>
        <v>La tercera mujer coloca el maquillaje y las pestañas postizas en una bandeja frente a ella y luego golpea su rostro en la bandeja y la roda de lado a lado.</v>
      </c>
    </row>
    <row r="34469">
      <c r="A34469" s="4" t="s">
        <v>43369</v>
      </c>
      <c r="B34469" s="4" t="s">
        <v>43375</v>
      </c>
      <c r="C34469" s="5" t="str">
        <f>IFERROR(__xludf.DUMMYFUNCTION("GOOGLETRANSLATE(B34469,""en"",""es-ES"")"),"Cuando levanta la cabeza, su maquillaje es perfecta y al mismo tiempo se saca el cabello de una cola de caballo y se sacude el cabello.")</f>
        <v>Cuando levanta la cabeza, su maquillaje es perfecta y al mismo tiempo se saca el cabello de una cola de caballo y se sacude el cabello.</v>
      </c>
    </row>
    <row r="34470">
      <c r="A34470" s="4" t="s">
        <v>43369</v>
      </c>
      <c r="B34470" s="4" t="s">
        <v>43376</v>
      </c>
      <c r="C34470" s="5" t="str">
        <f>IFERROR(__xludf.DUMMYFUNCTION("GOOGLETRANSLATE(B34470,""en"",""es-ES"")"),"El video de Outro es una pantalla púrpura con palabras blancas que leen ""hermosas y rápidas"" y termina con una pantalla blanca que tiene lecturas de palabras moradas ""Windows 8"" y el logotipo de Microsoft.")</f>
        <v>El video de Outro es una pantalla púrpura con palabras blancas que leen "hermosas y rápidas" y termina con una pantalla blanca que tiene lecturas de palabras moradas "Windows 8" y el logotipo de Microsoft.</v>
      </c>
    </row>
    <row r="34471">
      <c r="A34471" s="4" t="s">
        <v>43377</v>
      </c>
      <c r="B34471" s="4" t="s">
        <v>43378</v>
      </c>
      <c r="C34471" s="5" t="str">
        <f>IFERROR(__xludf.DUMMYFUNCTION("GOOGLETRANSLATE(B34471,""en"",""es-ES"")"),"Un hombre está hablando en una cancha de racquetball.")</f>
        <v>Un hombre está hablando en una cancha de racquetball.</v>
      </c>
    </row>
    <row r="34472">
      <c r="A34472" s="4" t="s">
        <v>43377</v>
      </c>
      <c r="B34472" s="4" t="s">
        <v>43379</v>
      </c>
      <c r="C34472" s="5" t="str">
        <f>IFERROR(__xludf.DUMMYFUNCTION("GOOGLETRANSLATE(B34472,""en"",""es-ES"")"),"Habla sobre cómo posar y balancear la raqueta.")</f>
        <v>Habla sobre cómo posar y balancear la raqueta.</v>
      </c>
    </row>
    <row r="34473">
      <c r="A34473" s="4" t="s">
        <v>43377</v>
      </c>
      <c r="B34473" s="4" t="s">
        <v>43380</v>
      </c>
      <c r="C34473" s="5" t="str">
        <f>IFERROR(__xludf.DUMMYFUNCTION("GOOGLETRANSLATE(B34473,""en"",""es-ES"")"),"Él demuestra golpeando la pelota de un lado a otro contra la pared.")</f>
        <v>Él demuestra golpeando la pelota de un lado a otro contra la pared.</v>
      </c>
    </row>
    <row r="34474">
      <c r="A34474" s="4" t="s">
        <v>43381</v>
      </c>
      <c r="B34474" s="4" t="s">
        <v>43382</v>
      </c>
      <c r="C34474" s="5" t="str">
        <f>IFERROR(__xludf.DUMMYFUNCTION("GOOGLETRANSLATE(B34474,""en"",""es-ES"")"),"Un motociclista hombre y mujer está parado afuera de un evento.")</f>
        <v>Un motociclista hombre y mujer está parado afuera de un evento.</v>
      </c>
    </row>
    <row r="34475">
      <c r="A34475" s="4" t="s">
        <v>43381</v>
      </c>
      <c r="B34475" s="4" t="s">
        <v>43383</v>
      </c>
      <c r="C34475" s="5" t="str">
        <f>IFERROR(__xludf.DUMMYFUNCTION("GOOGLETRANSLATE(B34475,""en"",""es-ES"")"),"Se meten en una balsa y lo empujan a un río.")</f>
        <v>Se meten en una balsa y lo empujan a un río.</v>
      </c>
    </row>
    <row r="34476">
      <c r="A34476" s="4" t="s">
        <v>43381</v>
      </c>
      <c r="B34476" s="4" t="s">
        <v>43384</v>
      </c>
      <c r="C34476" s="5" t="str">
        <f>IFERROR(__xludf.DUMMYFUNCTION("GOOGLETRANSLATE(B34476,""en"",""es-ES"")"),"Montan los rápidos, pasan por las caídas y reman a medida que avanzan.")</f>
        <v>Montan los rápidos, pasan por las caídas y reman a medida que avanzan.</v>
      </c>
    </row>
    <row r="34477">
      <c r="A34477" s="4" t="s">
        <v>43385</v>
      </c>
      <c r="B34477" s="4" t="s">
        <v>43386</v>
      </c>
      <c r="C34477" s="5" t="str">
        <f>IFERROR(__xludf.DUMMYFUNCTION("GOOGLETRANSLATE(B34477,""en"",""es-ES"")"),"El hombre está de pie en una habitación tocando la flauta.")</f>
        <v>El hombre está de pie en una habitación tocando la flauta.</v>
      </c>
    </row>
    <row r="34478">
      <c r="A34478" s="4" t="s">
        <v>43385</v>
      </c>
      <c r="B34478" s="4" t="s">
        <v>43387</v>
      </c>
      <c r="C34478" s="5" t="str">
        <f>IFERROR(__xludf.DUMMYFUNCTION("GOOGLETRANSLATE(B34478,""en"",""es-ES"")"),"El hombre termina para jugar y reír y gracias al público.")</f>
        <v>El hombre termina para jugar y reír y gracias al público.</v>
      </c>
    </row>
    <row r="34479">
      <c r="A34479" s="4" t="s">
        <v>43385</v>
      </c>
      <c r="B34479" s="4" t="s">
        <v>43388</v>
      </c>
      <c r="C34479" s="5" t="str">
        <f>IFERROR(__xludf.DUMMYFUNCTION("GOOGLETRANSLATE(B34479,""en"",""es-ES"")"),"El hombre lleva una camisa azul y está sentado detrás del hombre tocando la flauta.")</f>
        <v>El hombre lleva una camisa azul y está sentado detrás del hombre tocando la flauta.</v>
      </c>
    </row>
    <row r="34480">
      <c r="A34480" s="4" t="s">
        <v>43389</v>
      </c>
      <c r="B34480" s="4" t="s">
        <v>43390</v>
      </c>
      <c r="C34480" s="5" t="str">
        <f>IFERROR(__xludf.DUMMYFUNCTION("GOOGLETRANSLATE(B34480,""en"",""es-ES"")"),"Un hombre habla con una cámara desde una escena al aire libre por una pendiente.")</f>
        <v>Un hombre habla con una cámara desde una escena al aire libre por una pendiente.</v>
      </c>
    </row>
    <row r="34481">
      <c r="A34481" s="4" t="s">
        <v>43389</v>
      </c>
      <c r="B34481" s="4" t="s">
        <v>43391</v>
      </c>
      <c r="C34481" s="5" t="str">
        <f>IFERROR(__xludf.DUMMYFUNCTION("GOOGLETRANSLATE(B34481,""en"",""es-ES"")"),"Se muestran varios cortes rápidos que explican los términos detrás del aseguramiento en el contexto de la escalada.")</f>
        <v>Se muestran varios cortes rápidos que explican los términos detrás del aseguramiento en el contexto de la escalada.</v>
      </c>
    </row>
    <row r="34482">
      <c r="A34482" s="4" t="s">
        <v>43389</v>
      </c>
      <c r="B34482" s="4" t="s">
        <v>22880</v>
      </c>
      <c r="C34482" s="5" t="str">
        <f>IFERROR(__xludf.DUMMYFUNCTION("GOOGLETRANSLATE(B34482,""en"",""es-ES"")"),"El hombre vuelve a hablar con la cámara.")</f>
        <v>El hombre vuelve a hablar con la cámara.</v>
      </c>
    </row>
    <row r="34483">
      <c r="A34483" s="4" t="s">
        <v>43389</v>
      </c>
      <c r="B34483" s="4" t="s">
        <v>43392</v>
      </c>
      <c r="C34483" s="5" t="str">
        <f>IFERROR(__xludf.DUMMYFUNCTION("GOOGLETRANSLATE(B34483,""en"",""es-ES"")"),"Se muestran más escenas rápidas que explican el proceso detrás de la aseguramiento en el contexto de la escalada.")</f>
        <v>Se muestran más escenas rápidas que explican el proceso detrás de la aseguramiento en el contexto de la escalada.</v>
      </c>
    </row>
    <row r="34484">
      <c r="A34484" s="4" t="s">
        <v>43389</v>
      </c>
      <c r="B34484" s="4" t="s">
        <v>43393</v>
      </c>
      <c r="C34484" s="5" t="str">
        <f>IFERROR(__xludf.DUMMYFUNCTION("GOOGLETRANSLATE(B34484,""en"",""es-ES"")"),"El hombre habla con la cámara una vez más.")</f>
        <v>El hombre habla con la cámara una vez más.</v>
      </c>
    </row>
    <row r="34485">
      <c r="A34485" s="4" t="s">
        <v>43394</v>
      </c>
      <c r="B34485" s="4" t="s">
        <v>43395</v>
      </c>
      <c r="C34485" s="5" t="str">
        <f>IFERROR(__xludf.DUMMYFUNCTION("GOOGLETRANSLATE(B34485,""en"",""es-ES"")"),"La gimnasta se acerca al bar con un salto.")</f>
        <v>La gimnasta se acerca al bar con un salto.</v>
      </c>
    </row>
    <row r="34486">
      <c r="A34486" s="4" t="s">
        <v>43394</v>
      </c>
      <c r="B34486" s="4" t="s">
        <v>43396</v>
      </c>
      <c r="C34486" s="5" t="str">
        <f>IFERROR(__xludf.DUMMYFUNCTION("GOOGLETRANSLATE(B34486,""en"",""es-ES"")"),"Ella agarra la barra y comienza a voltearse alrededor de la barra antes de saltar a la siguiente barra y impulsarse por ella y sobre ella repetidamente.")</f>
        <v>Ella agarra la barra y comienza a voltearse alrededor de la barra antes de saltar a la siguiente barra y impulsarse por ella y sobre ella repetidamente.</v>
      </c>
    </row>
    <row r="34487">
      <c r="A34487" s="4" t="s">
        <v>43394</v>
      </c>
      <c r="B34487" s="4" t="s">
        <v>43397</v>
      </c>
      <c r="C34487" s="5" t="str">
        <f>IFERROR(__xludf.DUMMYFUNCTION("GOOGLETRANSLATE(B34487,""en"",""es-ES"")"),"Se lanza en el aire y aterriza en la colchoneta.")</f>
        <v>Se lanza en el aire y aterriza en la colchoneta.</v>
      </c>
    </row>
    <row r="34488">
      <c r="A34488" s="4" t="s">
        <v>43398</v>
      </c>
      <c r="B34488" s="4" t="s">
        <v>43399</v>
      </c>
      <c r="C34488" s="5" t="str">
        <f>IFERROR(__xludf.DUMMYFUNCTION("GOOGLETRANSLATE(B34488,""en"",""es-ES"")"),"Un montón de autos conducen mientras están inclinados por un lado.")</f>
        <v>Un montón de autos conducen mientras están inclinados por un lado.</v>
      </c>
    </row>
    <row r="34489">
      <c r="A34489" s="4" t="s">
        <v>43398</v>
      </c>
      <c r="B34489" s="4" t="s">
        <v>43400</v>
      </c>
      <c r="C34489" s="5" t="str">
        <f>IFERROR(__xludf.DUMMYFUNCTION("GOOGLETRANSLATE(B34489,""en"",""es-ES"")"),"Los neumáticos se sacan de uno de los autos.")</f>
        <v>Los neumáticos se sacan de uno de los autos.</v>
      </c>
    </row>
    <row r="34490">
      <c r="A34490" s="4" t="s">
        <v>43401</v>
      </c>
      <c r="B34490" s="4" t="s">
        <v>43402</v>
      </c>
      <c r="C34490" s="5" t="str">
        <f>IFERROR(__xludf.DUMMYFUNCTION("GOOGLETRANSLATE(B34490,""en"",""es-ES"")"),"Se ve a un hombre hablando con la cámara y conduce al clip de su camioneta conduciendo y a las personas que conducen.")</f>
        <v>Se ve a un hombre hablando con la cámara y conduce al clip de su camioneta conduciendo y a las personas que conducen.</v>
      </c>
    </row>
    <row r="34491">
      <c r="A34491" s="4" t="s">
        <v>43401</v>
      </c>
      <c r="B34491" s="4" t="s">
        <v>43403</v>
      </c>
      <c r="C34491" s="5" t="str">
        <f>IFERROR(__xludf.DUMMYFUNCTION("GOOGLETRANSLATE(B34491,""en"",""es-ES"")"),"Un hombre habla al suelo con un palo mientras deambulan por un área desierta y muestra varias plantas y vida silvestre en el área.")</f>
        <v>Un hombre habla al suelo con un palo mientras deambulan por un área desierta y muestra varias plantas y vida silvestre en el área.</v>
      </c>
    </row>
    <row r="34492">
      <c r="A34492" s="4" t="s">
        <v>43401</v>
      </c>
      <c r="B34492" s="4" t="s">
        <v>43404</v>
      </c>
      <c r="C34492" s="5" t="str">
        <f>IFERROR(__xludf.DUMMYFUNCTION("GOOGLETRANSLATE(B34492,""en"",""es-ES"")"),"Pone ropa blanca en todo su cuerpo y varios otros y conduce a las personas que viajan en camellos con otros que conducen al frente.")</f>
        <v>Pone ropa blanca en todo su cuerpo y varios otros y conduce a las personas que viajan en camellos con otros que conducen al frente.</v>
      </c>
    </row>
    <row r="34493">
      <c r="A34493" s="4" t="s">
        <v>43405</v>
      </c>
      <c r="B34493" s="4" t="s">
        <v>43406</v>
      </c>
      <c r="C34493" s="5" t="str">
        <f>IFERROR(__xludf.DUMMYFUNCTION("GOOGLETRANSLATE(B34493,""en"",""es-ES"")"),"Se muestra una bandera saludando donde está atascada en el suelo.")</f>
        <v>Se muestra una bandera saludando donde está atascada en el suelo.</v>
      </c>
    </row>
    <row r="34494">
      <c r="A34494" s="4" t="s">
        <v>43405</v>
      </c>
      <c r="B34494" s="4" t="s">
        <v>43407</v>
      </c>
      <c r="C34494" s="5" t="str">
        <f>IFERROR(__xludf.DUMMYFUNCTION("GOOGLETRANSLATE(B34494,""en"",""es-ES"")"),"Un grupo de personas está parado afuera del edificio, algunas comiendo.")</f>
        <v>Un grupo de personas está parado afuera del edificio, algunas comiendo.</v>
      </c>
    </row>
    <row r="34495">
      <c r="A34495" s="4" t="s">
        <v>43405</v>
      </c>
      <c r="B34495" s="4" t="s">
        <v>43408</v>
      </c>
      <c r="C34495" s="5" t="str">
        <f>IFERROR(__xludf.DUMMYFUNCTION("GOOGLETRANSLATE(B34495,""en"",""es-ES"")"),"Un hombre arroja a la cámara cuando comienza un juego.")</f>
        <v>Un hombre arroja a la cámara cuando comienza un juego.</v>
      </c>
    </row>
    <row r="34496">
      <c r="A34496" s="4" t="s">
        <v>43409</v>
      </c>
      <c r="B34496" s="4" t="s">
        <v>43410</v>
      </c>
      <c r="C34496" s="5" t="str">
        <f>IFERROR(__xludf.DUMMYFUNCTION("GOOGLETRANSLATE(B34496,""en"",""es-ES"")"),"Un niño pequeño está inmerso en el agua de la piscina mientras mira a su alrededor.")</f>
        <v>Un niño pequeño está inmerso en el agua de la piscina mientras mira a su alrededor.</v>
      </c>
    </row>
    <row r="34497">
      <c r="A34497" s="4" t="s">
        <v>43409</v>
      </c>
      <c r="B34497" s="4" t="s">
        <v>43411</v>
      </c>
      <c r="C34497" s="5" t="str">
        <f>IFERROR(__xludf.DUMMYFUNCTION("GOOGLETRANSLATE(B34497,""en"",""es-ES"")"),"Él flota y nada con la ayuda de su madre.")</f>
        <v>Él flota y nada con la ayuda de su madre.</v>
      </c>
    </row>
    <row r="34498">
      <c r="A34498" s="4" t="s">
        <v>43409</v>
      </c>
      <c r="B34498" s="4" t="s">
        <v>43412</v>
      </c>
      <c r="C34498" s="5" t="str">
        <f>IFERROR(__xludf.DUMMYFUNCTION("GOOGLETRANSLATE(B34498,""en"",""es-ES"")"),"Él sopla burbujas y ella lo saca del agua.")</f>
        <v>Él sopla burbujas y ella lo saca del agua.</v>
      </c>
    </row>
    <row r="34499">
      <c r="A34499" s="4" t="s">
        <v>43413</v>
      </c>
      <c r="B34499" s="4" t="s">
        <v>43414</v>
      </c>
      <c r="C34499" s="5" t="str">
        <f>IFERROR(__xludf.DUMMYFUNCTION("GOOGLETRANSLATE(B34499,""en"",""es-ES"")"),"Una mujer está sentada frente a una cámara.")</f>
        <v>Una mujer está sentada frente a una cámara.</v>
      </c>
    </row>
    <row r="34500">
      <c r="A34500" s="4" t="s">
        <v>43413</v>
      </c>
      <c r="B34500" s="4" t="s">
        <v>43415</v>
      </c>
      <c r="C34500" s="5" t="str">
        <f>IFERROR(__xludf.DUMMYFUNCTION("GOOGLETRANSLATE(B34500,""en"",""es-ES"")"),"Ella comienza a cepillarse su cabello parcialmente húmedo.")</f>
        <v>Ella comienza a cepillarse su cabello parcialmente húmedo.</v>
      </c>
    </row>
    <row r="34501">
      <c r="A34501" s="4" t="s">
        <v>43413</v>
      </c>
      <c r="B34501" s="4" t="s">
        <v>43416</v>
      </c>
      <c r="C34501" s="5" t="str">
        <f>IFERROR(__xludf.DUMMYFUNCTION("GOOGLETRANSLATE(B34501,""en"",""es-ES"")"),"Ella continúa cepillando, luego se detiene y mira la cámara.")</f>
        <v>Ella continúa cepillando, luego se detiene y mira la cámara.</v>
      </c>
    </row>
    <row r="34502">
      <c r="A34502" s="4" t="s">
        <v>43417</v>
      </c>
      <c r="B34502" s="4" t="s">
        <v>43418</v>
      </c>
      <c r="C34502" s="5" t="str">
        <f>IFERROR(__xludf.DUMMYFUNCTION("GOOGLETRANSLATE(B34502,""en"",""es-ES"")"),"Se ve a un hombre parado en una cancha de tenis a un lado de la cerca.")</f>
        <v>Se ve a un hombre parado en una cancha de tenis a un lado de la cerca.</v>
      </c>
    </row>
    <row r="34503">
      <c r="A34503" s="4" t="s">
        <v>43417</v>
      </c>
      <c r="B34503" s="4" t="s">
        <v>43419</v>
      </c>
      <c r="C34503" s="5" t="str">
        <f>IFERROR(__xludf.DUMMYFUNCTION("GOOGLETRANSLATE(B34503,""en"",""es-ES"")"),"Se ve a otra persona parada al otro lado y luego golpea una pelota entre sí.")</f>
        <v>Se ve a otra persona parada al otro lado y luego golpea una pelota entre sí.</v>
      </c>
    </row>
    <row r="34504">
      <c r="A34504" s="4" t="s">
        <v>43417</v>
      </c>
      <c r="B34504" s="4" t="s">
        <v>43420</v>
      </c>
      <c r="C34504" s="5" t="str">
        <f>IFERROR(__xludf.DUMMYFUNCTION("GOOGLETRANSLATE(B34504,""en"",""es-ES"")"),"La persona pierde el birdie y camina hacia él.")</f>
        <v>La persona pierde el birdie y camina hacia él.</v>
      </c>
    </row>
    <row r="34505">
      <c r="A34505" s="4" t="s">
        <v>43421</v>
      </c>
      <c r="B34505" s="4" t="s">
        <v>43422</v>
      </c>
      <c r="C34505" s="5" t="str">
        <f>IFERROR(__xludf.DUMMYFUNCTION("GOOGLETRANSLATE(B34505,""en"",""es-ES"")"),"Un hombre se para en un muelle con una camisa verde.")</f>
        <v>Un hombre se para en un muelle con una camisa verde.</v>
      </c>
    </row>
    <row r="34506">
      <c r="A34506" s="4" t="s">
        <v>43421</v>
      </c>
      <c r="B34506" s="4" t="s">
        <v>43423</v>
      </c>
      <c r="C34506" s="5" t="str">
        <f>IFERROR(__xludf.DUMMYFUNCTION("GOOGLETRANSLATE(B34506,""en"",""es-ES"")"),"Luego monta un bote con una vela.")</f>
        <v>Luego monta un bote con una vela.</v>
      </c>
    </row>
    <row r="34507">
      <c r="A34507" s="4" t="s">
        <v>43421</v>
      </c>
      <c r="B34507" s="4" t="s">
        <v>43424</v>
      </c>
      <c r="C34507" s="5" t="str">
        <f>IFERROR(__xludf.DUMMYFUNCTION("GOOGLETRANSLATE(B34507,""en"",""es-ES"")"),"Lo dirige a través del lago.")</f>
        <v>Lo dirige a través del lago.</v>
      </c>
    </row>
    <row r="34508">
      <c r="A34508" s="4" t="s">
        <v>43421</v>
      </c>
      <c r="B34508" s="4" t="s">
        <v>43425</v>
      </c>
      <c r="C34508" s="5" t="str">
        <f>IFERROR(__xludf.DUMMYFUNCTION("GOOGLETRANSLATE(B34508,""en"",""es-ES"")"),"Se encuentra en el muelle nuevamente al final.")</f>
        <v>Se encuentra en el muelle nuevamente al final.</v>
      </c>
    </row>
    <row r="34509">
      <c r="A34509" s="4" t="s">
        <v>43426</v>
      </c>
      <c r="B34509" s="4" t="s">
        <v>43427</v>
      </c>
      <c r="C34509" s="5" t="str">
        <f>IFERROR(__xludf.DUMMYFUNCTION("GOOGLETRANSLATE(B34509,""en"",""es-ES"")"),"Una pareja está parada en una ladera nevada.")</f>
        <v>Una pareja está parada en una ladera nevada.</v>
      </c>
    </row>
    <row r="34510">
      <c r="A34510" s="4" t="s">
        <v>43426</v>
      </c>
      <c r="B34510" s="4" t="s">
        <v>43428</v>
      </c>
      <c r="C34510" s="5" t="str">
        <f>IFERROR(__xludf.DUMMYFUNCTION("GOOGLETRANSLATE(B34510,""en"",""es-ES"")"),"Un hombre se acerca a una pequeña bandera roja.")</f>
        <v>Un hombre se acerca a una pequeña bandera roja.</v>
      </c>
    </row>
    <row r="34511">
      <c r="A34511" s="4" t="s">
        <v>43426</v>
      </c>
      <c r="B34511" s="4" t="s">
        <v>43429</v>
      </c>
      <c r="C34511" s="5" t="str">
        <f>IFERROR(__xludf.DUMMYFUNCTION("GOOGLETRANSLATE(B34511,""en"",""es-ES"")"),"Él quita la bandera, luego saca una línea del suelo.")</f>
        <v>Él quita la bandera, luego saca una línea del suelo.</v>
      </c>
    </row>
    <row r="34512">
      <c r="A34512" s="4" t="s">
        <v>43426</v>
      </c>
      <c r="B34512" s="4" t="s">
        <v>43430</v>
      </c>
      <c r="C34512" s="5" t="str">
        <f>IFERROR(__xludf.DUMMYFUNCTION("GOOGLETRANSLATE(B34512,""en"",""es-ES"")"),"Levanta un pez gigante que atrapó.")</f>
        <v>Levanta un pez gigante que atrapó.</v>
      </c>
    </row>
    <row r="34513">
      <c r="A34513" s="4" t="s">
        <v>43431</v>
      </c>
      <c r="B34513" s="4" t="s">
        <v>43432</v>
      </c>
      <c r="C34513" s="5" t="str">
        <f>IFERROR(__xludf.DUMMYFUNCTION("GOOGLETRANSLATE(B34513,""en"",""es-ES"")"),"Vemos gente jugando voleibol en arena con un perro.")</f>
        <v>Vemos gente jugando voleibol en arena con un perro.</v>
      </c>
    </row>
    <row r="34514">
      <c r="A34514" s="4" t="s">
        <v>43431</v>
      </c>
      <c r="B34514" s="4" t="s">
        <v>43433</v>
      </c>
      <c r="C34514" s="5" t="str">
        <f>IFERROR(__xludf.DUMMYFUNCTION("GOOGLETRANSLATE(B34514,""en"",""es-ES"")"),"Vemos a un hombre acostado en la arena.")</f>
        <v>Vemos a un hombre acostado en la arena.</v>
      </c>
    </row>
    <row r="34515">
      <c r="A34515" s="4" t="s">
        <v>43431</v>
      </c>
      <c r="B34515" s="4" t="s">
        <v>43434</v>
      </c>
      <c r="C34515" s="5" t="str">
        <f>IFERROR(__xludf.DUMMYFUNCTION("GOOGLETRANSLATE(B34515,""en"",""es-ES"")"),"El perro corre por la pelota.")</f>
        <v>El perro corre por la pelota.</v>
      </c>
    </row>
    <row r="34516">
      <c r="A34516" s="4" t="s">
        <v>43431</v>
      </c>
      <c r="B34516" s="4" t="s">
        <v>43435</v>
      </c>
      <c r="C34516" s="5" t="str">
        <f>IFERROR(__xludf.DUMMYFUNCTION("GOOGLETRANSLATE(B34516,""en"",""es-ES"")"),"Una persona arroja la pelota hacia atrás y el perro regresa.")</f>
        <v>Una persona arroja la pelota hacia atrás y el perro regresa.</v>
      </c>
    </row>
    <row r="34517">
      <c r="A34517" s="4" t="s">
        <v>43431</v>
      </c>
      <c r="B34517" s="4" t="s">
        <v>43436</v>
      </c>
      <c r="C34517" s="5" t="str">
        <f>IFERROR(__xludf.DUMMYFUNCTION("GOOGLETRANSLATE(B34517,""en"",""es-ES"")"),"El perro intenta conseguir la pelota.")</f>
        <v>El perro intenta conseguir la pelota.</v>
      </c>
    </row>
    <row r="34518">
      <c r="A34518" s="4" t="s">
        <v>43431</v>
      </c>
      <c r="B34518" s="4" t="s">
        <v>43437</v>
      </c>
      <c r="C34518" s="5" t="str">
        <f>IFERROR(__xludf.DUMMYFUNCTION("GOOGLETRANSLATE(B34518,""en"",""es-ES"")"),"Un hombre patea arena y poca al perro.")</f>
        <v>Un hombre patea arena y poca al perro.</v>
      </c>
    </row>
    <row r="34519">
      <c r="A34519" s="4" t="s">
        <v>43438</v>
      </c>
      <c r="B34519" s="4" t="s">
        <v>43439</v>
      </c>
      <c r="C34519" s="5" t="str">
        <f>IFERROR(__xludf.DUMMYFUNCTION("GOOGLETRANSLATE(B34519,""en"",""es-ES"")"),"Un hombre raspa un zapato en la calle mientras otra persona se sienta y mira.")</f>
        <v>Un hombre raspa un zapato en la calle mientras otra persona se sienta y mira.</v>
      </c>
    </row>
    <row r="34520">
      <c r="A34520" s="4" t="s">
        <v>43438</v>
      </c>
      <c r="B34520" s="4" t="s">
        <v>43440</v>
      </c>
      <c r="C34520" s="5" t="str">
        <f>IFERROR(__xludf.DUMMYFUNCTION("GOOGLETRANSLATE(B34520,""en"",""es-ES"")"),"Ella habla con el hombre y mueve sus manos para seguir su movimiento.")</f>
        <v>Ella habla con el hombre y mueve sus manos para seguir su movimiento.</v>
      </c>
    </row>
    <row r="34521">
      <c r="A34521" s="4" t="s">
        <v>43441</v>
      </c>
      <c r="B34521" s="4" t="s">
        <v>23870</v>
      </c>
      <c r="C34521" s="5" t="str">
        <f>IFERROR(__xludf.DUMMYFUNCTION("GOOGLETRANSLATE(B34521,""en"",""es-ES"")"),"Un hombre está de pie en una habitación hablando.")</f>
        <v>Un hombre está de pie en una habitación hablando.</v>
      </c>
    </row>
    <row r="34522">
      <c r="A34522" s="4" t="s">
        <v>43441</v>
      </c>
      <c r="B34522" s="4" t="s">
        <v>43442</v>
      </c>
      <c r="C34522" s="5" t="str">
        <f>IFERROR(__xludf.DUMMYFUNCTION("GOOGLETRANSLATE(B34522,""en"",""es-ES"")"),"Él está mostrando un shuffleboard.")</f>
        <v>Él está mostrando un shuffleboard.</v>
      </c>
    </row>
    <row r="34523">
      <c r="A34523" s="4" t="s">
        <v>43441</v>
      </c>
      <c r="B34523" s="4" t="s">
        <v>43443</v>
      </c>
      <c r="C34523" s="5" t="str">
        <f>IFERROR(__xludf.DUMMYFUNCTION("GOOGLETRANSLATE(B34523,""en"",""es-ES"")"),"Camina hasta el final del ShuffleBoard y otro hombre está al otro lado.")</f>
        <v>Camina hasta el final del ShuffleBoard y otro hombre está al otro lado.</v>
      </c>
    </row>
    <row r="34524">
      <c r="A34524" s="4" t="s">
        <v>43441</v>
      </c>
      <c r="B34524" s="4" t="s">
        <v>43444</v>
      </c>
      <c r="C34524" s="5" t="str">
        <f>IFERROR(__xludf.DUMMYFUNCTION("GOOGLETRANSLATE(B34524,""en"",""es-ES"")"),"Comienza a jugar arrojando uno por el tablero.")</f>
        <v>Comienza a jugar arrojando uno por el tablero.</v>
      </c>
    </row>
    <row r="34525">
      <c r="A34525" s="4" t="s">
        <v>43445</v>
      </c>
      <c r="B34525" s="4" t="s">
        <v>43446</v>
      </c>
      <c r="C34525" s="5" t="str">
        <f>IFERROR(__xludf.DUMMYFUNCTION("GOOGLETRANSLATE(B34525,""en"",""es-ES"")"),"Vemos algunas pantallas de apertura.")</f>
        <v>Vemos algunas pantallas de apertura.</v>
      </c>
    </row>
    <row r="34526">
      <c r="A34526" s="4" t="s">
        <v>43445</v>
      </c>
      <c r="B34526" s="4" t="s">
        <v>43447</v>
      </c>
      <c r="C34526" s="5" t="str">
        <f>IFERROR(__xludf.DUMMYFUNCTION("GOOGLETRANSLATE(B34526,""en"",""es-ES"")"),"Vemos a una señora realizar una rutina de batón en una arena.")</f>
        <v>Vemos a una señora realizar una rutina de batón en una arena.</v>
      </c>
    </row>
    <row r="34527">
      <c r="A34527" s="4" t="s">
        <v>43445</v>
      </c>
      <c r="B34527" s="4" t="s">
        <v>43448</v>
      </c>
      <c r="C34527" s="5" t="str">
        <f>IFERROR(__xludf.DUMMYFUNCTION("GOOGLETRANSLATE(B34527,""en"",""es-ES"")"),"La señora gira y atrapa su bastón.")</f>
        <v>La señora gira y atrapa su bastón.</v>
      </c>
    </row>
    <row r="34528">
      <c r="A34528" s="4" t="s">
        <v>43445</v>
      </c>
      <c r="B34528" s="4" t="s">
        <v>43449</v>
      </c>
      <c r="C34528" s="5" t="str">
        <f>IFERROR(__xludf.DUMMYFUNCTION("GOOGLETRANSLATE(B34528,""en"",""es-ES"")"),"La señora voltea hacia adelante y hacia atrás y atrapa su bastón.")</f>
        <v>La señora voltea hacia adelante y hacia atrás y atrapa su bastón.</v>
      </c>
    </row>
    <row r="34529">
      <c r="A34529" s="4" t="s">
        <v>43445</v>
      </c>
      <c r="B34529" s="4" t="s">
        <v>43450</v>
      </c>
      <c r="C34529" s="5" t="str">
        <f>IFERROR(__xludf.DUMMYFUNCTION("GOOGLETRANSLATE(B34529,""en"",""es-ES"")"),"La señora gira y atrapa su bastón nuevamente.")</f>
        <v>La señora gira y atrapa su bastón nuevamente.</v>
      </c>
    </row>
    <row r="34530">
      <c r="A34530" s="4" t="s">
        <v>43445</v>
      </c>
      <c r="B34530" s="4" t="s">
        <v>43451</v>
      </c>
      <c r="C34530" s="5" t="str">
        <f>IFERROR(__xludf.DUMMYFUNCTION("GOOGLETRANSLATE(B34530,""en"",""es-ES"")"),"La señora voltea varias veces y atrapa su bastón antes de posar.")</f>
        <v>La señora voltea varias veces y atrapa su bastón antes de posar.</v>
      </c>
    </row>
    <row r="34531">
      <c r="A34531" s="4" t="s">
        <v>43445</v>
      </c>
      <c r="B34531" s="4" t="s">
        <v>43452</v>
      </c>
      <c r="C34531" s="5" t="str">
        <f>IFERROR(__xludf.DUMMYFUNCTION("GOOGLETRANSLATE(B34531,""en"",""es-ES"")"),"La multitud aplaude y la dama saluda.")</f>
        <v>La multitud aplaude y la dama saluda.</v>
      </c>
    </row>
    <row r="34532">
      <c r="A34532" s="4" t="s">
        <v>43453</v>
      </c>
      <c r="B34532" s="4" t="s">
        <v>43454</v>
      </c>
      <c r="C34532" s="5" t="str">
        <f>IFERROR(__xludf.DUMMYFUNCTION("GOOGLETRANSLATE(B34532,""en"",""es-ES"")"),"El video comienza con una pantalla de título y una introducción que muestra varias obras de arte.")</f>
        <v>El video comienza con una pantalla de título y una introducción que muestra varias obras de arte.</v>
      </c>
    </row>
    <row r="34533">
      <c r="A34533" s="4" t="s">
        <v>43453</v>
      </c>
      <c r="B34533" s="4" t="s">
        <v>43455</v>
      </c>
      <c r="C34533" s="5" t="str">
        <f>IFERROR(__xludf.DUMMYFUNCTION("GOOGLETRANSLATE(B34533,""en"",""es-ES"")"),"El tema se trata de pinturas chinas de cascadas y rocas.")</f>
        <v>El tema se trata de pinturas chinas de cascadas y rocas.</v>
      </c>
    </row>
    <row r="34534">
      <c r="A34534" s="4" t="s">
        <v>43453</v>
      </c>
      <c r="B34534" s="4" t="s">
        <v>43456</v>
      </c>
      <c r="C34534" s="5" t="str">
        <f>IFERROR(__xludf.DUMMYFUNCTION("GOOGLETRANSLATE(B34534,""en"",""es-ES"")"),"Un hombre chino mayor habla con la cámara.")</f>
        <v>Un hombre chino mayor habla con la cámara.</v>
      </c>
    </row>
    <row r="34535">
      <c r="A34535" s="4" t="s">
        <v>43453</v>
      </c>
      <c r="B34535" s="4" t="s">
        <v>43457</v>
      </c>
      <c r="C34535" s="5" t="str">
        <f>IFERROR(__xludf.DUMMYFUNCTION("GOOGLETRANSLATE(B34535,""en"",""es-ES"")"),"Luego comienza a pintar mientras la cámara se desplaza para ver cómo lo hace.")</f>
        <v>Luego comienza a pintar mientras la cámara se desplaza para ver cómo lo hace.</v>
      </c>
    </row>
    <row r="34536">
      <c r="A34536" s="4" t="s">
        <v>43453</v>
      </c>
      <c r="B34536" s="4" t="s">
        <v>43458</v>
      </c>
      <c r="C34536" s="5" t="str">
        <f>IFERROR(__xludf.DUMMYFUNCTION("GOOGLETRANSLATE(B34536,""en"",""es-ES"")"),"En un momento, la cámara se enfoca en su rostro por un momento.")</f>
        <v>En un momento, la cámara se enfoca en su rostro por un momento.</v>
      </c>
    </row>
    <row r="34537">
      <c r="A34537" s="4" t="s">
        <v>43453</v>
      </c>
      <c r="B34537" s="4" t="s">
        <v>43459</v>
      </c>
      <c r="C34537" s="5" t="str">
        <f>IFERROR(__xludf.DUMMYFUNCTION("GOOGLETRANSLATE(B34537,""en"",""es-ES"")"),"El video termina con otra pantalla de título.")</f>
        <v>El video termina con otra pantalla de título.</v>
      </c>
    </row>
    <row r="34538">
      <c r="A34538" s="4" t="s">
        <v>43460</v>
      </c>
      <c r="B34538" s="4" t="s">
        <v>43461</v>
      </c>
      <c r="C34538" s="5" t="str">
        <f>IFERROR(__xludf.DUMMYFUNCTION("GOOGLETRANSLATE(B34538,""en"",""es-ES"")"),"Una cometa está volando sobre una playa.")</f>
        <v>Una cometa está volando sobre una playa.</v>
      </c>
    </row>
    <row r="34539">
      <c r="A34539" s="4" t="s">
        <v>43460</v>
      </c>
      <c r="B34539" s="4" t="s">
        <v>43462</v>
      </c>
      <c r="C34539" s="5" t="str">
        <f>IFERROR(__xludf.DUMMYFUNCTION("GOOGLETRANSLATE(B34539,""en"",""es-ES"")"),"Varias personas se sientan en la playa.")</f>
        <v>Varias personas se sientan en la playa.</v>
      </c>
    </row>
    <row r="34540">
      <c r="A34540" s="4" t="s">
        <v>43460</v>
      </c>
      <c r="B34540" s="4" t="s">
        <v>43463</v>
      </c>
      <c r="C34540" s="5" t="str">
        <f>IFERROR(__xludf.DUMMYFUNCTION("GOOGLETRANSLATE(B34540,""en"",""es-ES"")"),"La cometa se eleva a través del cielo.")</f>
        <v>La cometa se eleva a través del cielo.</v>
      </c>
    </row>
    <row r="34541">
      <c r="A34541" s="4" t="s">
        <v>43460</v>
      </c>
      <c r="B34541" s="4" t="s">
        <v>43464</v>
      </c>
      <c r="C34541" s="5" t="str">
        <f>IFERROR(__xludf.DUMMYFUNCTION("GOOGLETRANSLATE(B34541,""en"",""es-ES"")"),"Varias personas están en el agua.")</f>
        <v>Varias personas están en el agua.</v>
      </c>
    </row>
    <row r="34542">
      <c r="A34542" s="4" t="s">
        <v>43465</v>
      </c>
      <c r="B34542" s="4" t="s">
        <v>43466</v>
      </c>
      <c r="C34542" s="5" t="str">
        <f>IFERROR(__xludf.DUMMYFUNCTION("GOOGLETRANSLATE(B34542,""en"",""es-ES"")"),"Un viejo toca el ukelele y un niño toca los tam-tams en la calle.")</f>
        <v>Un viejo toca el ukelele y un niño toca los tam-tams en la calle.</v>
      </c>
    </row>
    <row r="34543">
      <c r="A34543" s="4" t="s">
        <v>43465</v>
      </c>
      <c r="B34543" s="4" t="s">
        <v>43467</v>
      </c>
      <c r="C34543" s="5" t="str">
        <f>IFERROR(__xludf.DUMMYFUNCTION("GOOGLETRANSLATE(B34543,""en"",""es-ES"")"),"Una persona pasa al frente de los jugadores.")</f>
        <v>Una persona pasa al frente de los jugadores.</v>
      </c>
    </row>
    <row r="34544">
      <c r="A34544" s="4" t="s">
        <v>43468</v>
      </c>
      <c r="B34544" s="4" t="s">
        <v>43469</v>
      </c>
      <c r="C34544" s="5" t="str">
        <f>IFERROR(__xludf.DUMMYFUNCTION("GOOGLETRANSLATE(B34544,""en"",""es-ES"")"),"Se muestra un conjunto de instrucciones en transición y cuarto entre un hombre que coloca alfombra en un juego de escaleras.")</f>
        <v>Se muestra un conjunto de instrucciones en transición y cuarto entre un hombre que coloca alfombra en un juego de escaleras.</v>
      </c>
    </row>
    <row r="34545">
      <c r="A34545" s="4" t="s">
        <v>43468</v>
      </c>
      <c r="B34545" s="4" t="s">
        <v>43470</v>
      </c>
      <c r="C34545" s="5" t="str">
        <f>IFERROR(__xludf.DUMMYFUNCTION("GOOGLETRANSLATE(B34545,""en"",""es-ES"")"),"El texto continúa mostrando mientras el hombre coloca papel por las escaleras.")</f>
        <v>El texto continúa mostrando mientras el hombre coloca papel por las escaleras.</v>
      </c>
    </row>
    <row r="34546">
      <c r="A34546" s="4" t="s">
        <v>43471</v>
      </c>
      <c r="B34546" s="4" t="s">
        <v>43472</v>
      </c>
      <c r="C34546" s="5" t="str">
        <f>IFERROR(__xludf.DUMMYFUNCTION("GOOGLETRANSLATE(B34546,""en"",""es-ES"")"),"Se ve a una mujer caminando por un campo y arrojando una cuerda de salto a otra.")</f>
        <v>Se ve a una mujer caminando por un campo y arrojando una cuerda de salto a otra.</v>
      </c>
    </row>
    <row r="34547">
      <c r="A34547" s="4" t="s">
        <v>43471</v>
      </c>
      <c r="B34547" s="4" t="s">
        <v>43473</v>
      </c>
      <c r="C34547" s="5" t="str">
        <f>IFERROR(__xludf.DUMMYFUNCTION("GOOGLETRANSLATE(B34547,""en"",""es-ES"")"),"Varios clips son seguidos por personas que saltan cuerda en varios lugares, así como entre sí.")</f>
        <v>Varios clips son seguidos por personas que saltan cuerda en varios lugares, así como entre sí.</v>
      </c>
    </row>
    <row r="34548">
      <c r="A34548" s="4" t="s">
        <v>43471</v>
      </c>
      <c r="B34548" s="4" t="s">
        <v>43474</v>
      </c>
      <c r="C34548" s="5" t="str">
        <f>IFERROR(__xludf.DUMMYFUNCTION("GOOGLETRANSLATE(B34548,""en"",""es-ES"")"),"El grupo continúa bailando y saltando por lugares públicos y termina con un bebé sosteniendo una cuerda.")</f>
        <v>El grupo continúa bailando y saltando por lugares públicos y termina con un bebé sosteniendo una cuerda.</v>
      </c>
    </row>
    <row r="34549">
      <c r="A34549" s="4" t="s">
        <v>43475</v>
      </c>
      <c r="B34549" s="4" t="s">
        <v>43476</v>
      </c>
      <c r="C34549" s="5" t="str">
        <f>IFERROR(__xludf.DUMMYFUNCTION("GOOGLETRANSLATE(B34549,""en"",""es-ES"")"),"Vemos a dos hombres en una calle de la ciudad y el título de cargas.")</f>
        <v>Vemos a dos hombres en una calle de la ciudad y el título de cargas.</v>
      </c>
    </row>
    <row r="34550">
      <c r="A34550" s="4" t="s">
        <v>43475</v>
      </c>
      <c r="B34550" s="4" t="s">
        <v>43477</v>
      </c>
      <c r="C34550" s="5" t="str">
        <f>IFERROR(__xludf.DUMMYFUNCTION("GOOGLETRANSLATE(B34550,""en"",""es-ES"")"),"Un hombre se quita el capó y habla con la cámara.")</f>
        <v>Un hombre se quita el capó y habla con la cámara.</v>
      </c>
    </row>
    <row r="34551">
      <c r="A34551" s="4" t="s">
        <v>43475</v>
      </c>
      <c r="B34551" s="4" t="s">
        <v>43478</v>
      </c>
      <c r="C34551" s="5" t="str">
        <f>IFERROR(__xludf.DUMMYFUNCTION("GOOGLETRANSLATE(B34551,""en"",""es-ES"")"),"Vemos a los hombres con cuchillas de rodillos caer y luego patinar por una barandilla.")</f>
        <v>Vemos a los hombres con cuchillas de rodillos caer y luego patinar por una barandilla.</v>
      </c>
    </row>
    <row r="34552">
      <c r="A34552" s="4" t="s">
        <v>43475</v>
      </c>
      <c r="B34552" s="4" t="s">
        <v>43479</v>
      </c>
      <c r="C34552" s="5" t="str">
        <f>IFERROR(__xludf.DUMMYFUNCTION("GOOGLETRANSLATE(B34552,""en"",""es-ES"")"),"Una persona muestra una luz en la cámara.")</f>
        <v>Una persona muestra una luz en la cámara.</v>
      </c>
    </row>
    <row r="34553">
      <c r="A34553" s="4" t="s">
        <v>43475</v>
      </c>
      <c r="B34553" s="4" t="s">
        <v>43480</v>
      </c>
      <c r="C34553" s="5" t="str">
        <f>IFERROR(__xludf.DUMMYFUNCTION("GOOGLETRANSLATE(B34553,""en"",""es-ES"")"),"Un hombre cae sobre la barandilla.")</f>
        <v>Un hombre cae sobre la barandilla.</v>
      </c>
    </row>
    <row r="34554">
      <c r="A34554" s="4" t="s">
        <v>43475</v>
      </c>
      <c r="B34554" s="4" t="s">
        <v>43481</v>
      </c>
      <c r="C34554" s="5" t="str">
        <f>IFERROR(__xludf.DUMMYFUNCTION("GOOGLETRANSLATE(B34554,""en"",""es-ES"")"),"Una persona cae en el fondo de las escaleras y luego la luz está parpadeando nuevamente.")</f>
        <v>Una persona cae en el fondo de las escaleras y luego la luz está parpadeando nuevamente.</v>
      </c>
    </row>
    <row r="34555">
      <c r="A34555" s="4" t="s">
        <v>43475</v>
      </c>
      <c r="B34555" s="4" t="s">
        <v>43482</v>
      </c>
      <c r="C34555" s="5" t="str">
        <f>IFERROR(__xludf.DUMMYFUNCTION("GOOGLETRANSLATE(B34555,""en"",""es-ES"")"),"Vemos a un hombre caer por la barandilla tres veces.")</f>
        <v>Vemos a un hombre caer por la barandilla tres veces.</v>
      </c>
    </row>
    <row r="34556">
      <c r="A34556" s="4" t="s">
        <v>43475</v>
      </c>
      <c r="B34556" s="4" t="s">
        <v>43483</v>
      </c>
      <c r="C34556" s="5" t="str">
        <f>IFERROR(__xludf.DUMMYFUNCTION("GOOGLETRANSLATE(B34556,""en"",""es-ES"")"),"Vemos a los hombres hablar y estrechar la mano antes de ver la pantalla final.")</f>
        <v>Vemos a los hombres hablar y estrechar la mano antes de ver la pantalla final.</v>
      </c>
    </row>
    <row r="34557">
      <c r="A34557" s="4" t="s">
        <v>43484</v>
      </c>
      <c r="B34557" s="4" t="s">
        <v>43485</v>
      </c>
      <c r="C34557" s="5" t="str">
        <f>IFERROR(__xludf.DUMMYFUNCTION("GOOGLETRANSLATE(B34557,""en"",""es-ES"")"),"Un hombre golpea una pelota con una raqueta de tenis.")</f>
        <v>Un hombre golpea una pelota con una raqueta de tenis.</v>
      </c>
    </row>
    <row r="34558">
      <c r="A34558" s="4" t="s">
        <v>43484</v>
      </c>
      <c r="B34558" s="4" t="s">
        <v>43486</v>
      </c>
      <c r="C34558" s="5" t="str">
        <f>IFERROR(__xludf.DUMMYFUNCTION("GOOGLETRANSLATE(B34558,""en"",""es-ES"")"),"Otro hombre se une a él poco después.")</f>
        <v>Otro hombre se une a él poco después.</v>
      </c>
    </row>
    <row r="34559">
      <c r="A34559" s="4" t="s">
        <v>43484</v>
      </c>
      <c r="B34559" s="4" t="s">
        <v>43487</v>
      </c>
      <c r="C34559" s="5" t="str">
        <f>IFERROR(__xludf.DUMMYFUNCTION("GOOGLETRANSLATE(B34559,""en"",""es-ES"")"),"Se muestran varios ángulos diferentes a medida que el grupo de cuatro juega antes de una audiencia, golpeando la pelota de un lado a otro rápidamente.")</f>
        <v>Se muestran varios ángulos diferentes a medida que el grupo de cuatro juega antes de una audiencia, golpeando la pelota de un lado a otro rápidamente.</v>
      </c>
    </row>
    <row r="34560">
      <c r="A34560" s="4" t="s">
        <v>43484</v>
      </c>
      <c r="B34560" s="4" t="s">
        <v>43488</v>
      </c>
      <c r="C34560" s="5" t="str">
        <f>IFERROR(__xludf.DUMMYFUNCTION("GOOGLETRANSLATE(B34560,""en"",""es-ES"")"),"Cuando terminan, los hombres se alejan, acariciándose en la espalda.")</f>
        <v>Cuando terminan, los hombres se alejan, acariciándose en la espalda.</v>
      </c>
    </row>
    <row r="34561">
      <c r="A34561" s="4" t="s">
        <v>43489</v>
      </c>
      <c r="B34561" s="4" t="s">
        <v>43490</v>
      </c>
      <c r="C34561" s="5" t="str">
        <f>IFERROR(__xludf.DUMMYFUNCTION("GOOGLETRANSLATE(B34561,""en"",""es-ES"")"),"Un grupo de mujeres bailan en una clase aeróbica en un grupo dentro de un estudio de gimnasia.")</f>
        <v>Un grupo de mujeres bailan en una clase aeróbica en un grupo dentro de un estudio de gimnasia.</v>
      </c>
    </row>
    <row r="34562">
      <c r="A34562" s="4" t="s">
        <v>43489</v>
      </c>
      <c r="B34562" s="4" t="s">
        <v>43491</v>
      </c>
      <c r="C34562" s="5" t="str">
        <f>IFERROR(__xludf.DUMMYFUNCTION("GOOGLETRANSLATE(B34562,""en"",""es-ES"")"),"Las mujeres saltan hacia arriba y hacia abajo en pies alternativos.")</f>
        <v>Las mujeres saltan hacia arriba y hacia abajo en pies alternativos.</v>
      </c>
    </row>
    <row r="34563">
      <c r="A34563" s="4" t="s">
        <v>43489</v>
      </c>
      <c r="B34563" s="4" t="s">
        <v>43492</v>
      </c>
      <c r="C34563" s="5" t="str">
        <f>IFERROR(__xludf.DUMMYFUNCTION("GOOGLETRANSLATE(B34563,""en"",""es-ES"")"),"La mujer camina en un camino dando unos pasos y luego retrocede en el otro sentido durante la rutina.")</f>
        <v>La mujer camina en un camino dando unos pasos y luego retrocede en el otro sentido durante la rutina.</v>
      </c>
    </row>
    <row r="34564">
      <c r="A34564" s="4" t="s">
        <v>43493</v>
      </c>
      <c r="B34564" s="4" t="s">
        <v>43494</v>
      </c>
      <c r="C34564" s="5" t="str">
        <f>IFERROR(__xludf.DUMMYFUNCTION("GOOGLETRANSLATE(B34564,""en"",""es-ES"")"),"Un hombre está detrás de una barra que habla con la cámara.")</f>
        <v>Un hombre está detrás de una barra que habla con la cámara.</v>
      </c>
    </row>
    <row r="34565">
      <c r="A34565" s="4" t="s">
        <v>43493</v>
      </c>
      <c r="B34565" s="4" t="s">
        <v>43495</v>
      </c>
      <c r="C34565" s="5" t="str">
        <f>IFERROR(__xludf.DUMMYFUNCTION("GOOGLETRANSLATE(B34565,""en"",""es-ES"")"),"El hombre sostiene una bebida y la baja.")</f>
        <v>El hombre sostiene una bebida y la baja.</v>
      </c>
    </row>
    <row r="34566">
      <c r="A34566" s="4" t="s">
        <v>43493</v>
      </c>
      <c r="B34566" s="4" t="s">
        <v>43496</v>
      </c>
      <c r="C34566" s="5" t="str">
        <f>IFERROR(__xludf.DUMMYFUNCTION("GOOGLETRANSLATE(B34566,""en"",""es-ES"")"),"El hombre agrega hielo a un vaso y dos disparos de licor rojo que otro.")</f>
        <v>El hombre agrega hielo a un vaso y dos disparos de licor rojo que otro.</v>
      </c>
    </row>
    <row r="34567">
      <c r="A34567" s="4" t="s">
        <v>43493</v>
      </c>
      <c r="B34567" s="4" t="s">
        <v>43497</v>
      </c>
      <c r="C34567" s="5" t="str">
        <f>IFERROR(__xludf.DUMMYFUNCTION("GOOGLETRANSLATE(B34567,""en"",""es-ES"")"),"El hombre pone un colador sobre el vidrio y revuelve el vidrio con un largo palo de metal.")</f>
        <v>El hombre pone un colador sobre el vidrio y revuelve el vidrio con un largo palo de metal.</v>
      </c>
    </row>
    <row r="34568">
      <c r="A34568" s="4" t="s">
        <v>43493</v>
      </c>
      <c r="B34568" s="4" t="s">
        <v>43498</v>
      </c>
      <c r="C34568" s="5" t="str">
        <f>IFERROR(__xludf.DUMMYFUNCTION("GOOGLETRANSLATE(B34568,""en"",""es-ES"")"),"El hombre lo vierte en una copa de martini.")</f>
        <v>El hombre lo vierte en una copa de martini.</v>
      </c>
    </row>
    <row r="34569">
      <c r="A34569" s="4" t="s">
        <v>43493</v>
      </c>
      <c r="B34569" s="4" t="s">
        <v>43499</v>
      </c>
      <c r="C34569" s="5" t="str">
        <f>IFERROR(__xludf.DUMMYFUNCTION("GOOGLETRANSLATE(B34569,""en"",""es-ES"")"),"El hombre sonríe y sostiene la bebida en el aire.")</f>
        <v>El hombre sonríe y sostiene la bebida en el aire.</v>
      </c>
    </row>
    <row r="34570">
      <c r="A34570" s="4" t="s">
        <v>43500</v>
      </c>
      <c r="B34570" s="4" t="s">
        <v>43501</v>
      </c>
      <c r="C34570" s="5" t="str">
        <f>IFERROR(__xludf.DUMMYFUNCTION("GOOGLETRANSLATE(B34570,""en"",""es-ES"")"),"Una niña demuestra aplicar lentes de contacto a sus ojos en un video extremo de primer plano.")</f>
        <v>Una niña demuestra aplicar lentes de contacto a sus ojos en un video extremo de primer plano.</v>
      </c>
    </row>
    <row r="34571">
      <c r="A34571" s="4" t="s">
        <v>43500</v>
      </c>
      <c r="B34571" s="4" t="s">
        <v>43502</v>
      </c>
      <c r="C34571" s="5" t="str">
        <f>IFERROR(__xludf.DUMMYFUNCTION("GOOGLETRANSLATE(B34571,""en"",""es-ES"")"),"Una diapositiva rosa parece aconsejar que la persona no es buena para aplicar lentes de contacto.")</f>
        <v>Una diapositiva rosa parece aconsejar que la persona no es buena para aplicar lentes de contacto.</v>
      </c>
    </row>
    <row r="34572">
      <c r="A34572" s="4" t="s">
        <v>43500</v>
      </c>
      <c r="B34572" s="4" t="s">
        <v>43503</v>
      </c>
      <c r="C34572" s="5" t="str">
        <f>IFERROR(__xludf.DUMMYFUNCTION("GOOGLETRANSLATE(B34572,""en"",""es-ES"")"),"Una chica con cabello rubio y largas uñas rosadas procede a aplicar lentes de contacto a sus ojos en un video de primer plano que captura la lente y el ojo antes y después.")</f>
        <v>Una chica con cabello rubio y largas uñas rosadas procede a aplicar lentes de contacto a sus ojos en un video de primer plano que captura la lente y el ojo antes y después.</v>
      </c>
    </row>
    <row r="34573">
      <c r="A34573" s="4" t="s">
        <v>43504</v>
      </c>
      <c r="B34573" s="4" t="s">
        <v>43505</v>
      </c>
      <c r="C34573" s="5" t="str">
        <f>IFERROR(__xludf.DUMMYFUNCTION("GOOGLETRANSLATE(B34573,""en"",""es-ES"")"),"Se ve a dos jóvenes hablando con la cámara y jugando entre ellas.")</f>
        <v>Se ve a dos jóvenes hablando con la cámara y jugando entre ellas.</v>
      </c>
    </row>
    <row r="34574">
      <c r="A34574" s="4" t="s">
        <v>43504</v>
      </c>
      <c r="B34574" s="4" t="s">
        <v>43506</v>
      </c>
      <c r="C34574" s="5" t="str">
        <f>IFERROR(__xludf.DUMMYFUNCTION("GOOGLETRANSLATE(B34574,""en"",""es-ES"")"),"Luego, una niña saca una botella de esmalte de uñas mientras la otra saluda a la cámara.")</f>
        <v>Luego, una niña saca una botella de esmalte de uñas mientras la otra saluda a la cámara.</v>
      </c>
    </row>
    <row r="34575">
      <c r="A34575" s="4" t="s">
        <v>43504</v>
      </c>
      <c r="B34575" s="4" t="s">
        <v>43507</v>
      </c>
      <c r="C34575" s="5" t="str">
        <f>IFERROR(__xludf.DUMMYFUNCTION("GOOGLETRANSLATE(B34575,""en"",""es-ES"")"),"Se muestran más clips de una chica que intenta pintar las uñas de la otra y termina agitando a la cámara.")</f>
        <v>Se muestran más clips de una chica que intenta pintar las uñas de la otra y termina agitando a la cámara.</v>
      </c>
    </row>
    <row r="34576">
      <c r="A34576" s="4" t="s">
        <v>43508</v>
      </c>
      <c r="B34576" s="4" t="s">
        <v>43509</v>
      </c>
      <c r="C34576" s="5" t="str">
        <f>IFERROR(__xludf.DUMMYFUNCTION("GOOGLETRANSLATE(B34576,""en"",""es-ES"")"),"Se muestra un video de movimiento rápido de varias personas rastrando hojas alrededor de un patio.")</f>
        <v>Se muestra un video de movimiento rápido de varias personas rastrando hojas alrededor de un patio.</v>
      </c>
    </row>
    <row r="34577">
      <c r="A34577" s="4" t="s">
        <v>43508</v>
      </c>
      <c r="B34577" s="4" t="s">
        <v>43510</v>
      </c>
      <c r="C34577" s="5" t="str">
        <f>IFERROR(__xludf.DUMMYFUNCTION("GOOGLETRANSLATE(B34577,""en"",""es-ES"")"),"Dos niños miran hacia el otro y continúan rastrillando las fugas hasta que el patio esté listo.")</f>
        <v>Dos niños miran hacia el otro y continúan rastrillando las fugas hasta que el patio esté listo.</v>
      </c>
    </row>
    <row r="34578">
      <c r="A34578" s="4" t="s">
        <v>43511</v>
      </c>
      <c r="B34578" s="4" t="s">
        <v>43512</v>
      </c>
      <c r="C34578" s="5" t="str">
        <f>IFERROR(__xludf.DUMMYFUNCTION("GOOGLETRANSLATE(B34578,""en"",""es-ES"")"),"Un hombre gira su cuerpo, preparándose para lanzar su disco.")</f>
        <v>Un hombre gira su cuerpo, preparándose para lanzar su disco.</v>
      </c>
    </row>
    <row r="34579">
      <c r="A34579" s="4" t="s">
        <v>43511</v>
      </c>
      <c r="B34579" s="4" t="s">
        <v>43513</v>
      </c>
      <c r="C34579" s="5" t="str">
        <f>IFERROR(__xludf.DUMMYFUNCTION("GOOGLETRANSLATE(B34579,""en"",""es-ES"")"),"El hombre lanza el disco muy fuerte.")</f>
        <v>El hombre lanza el disco muy fuerte.</v>
      </c>
    </row>
    <row r="34580">
      <c r="A34580" s="4" t="s">
        <v>43511</v>
      </c>
      <c r="B34580" s="4" t="s">
        <v>43514</v>
      </c>
      <c r="C34580" s="5" t="str">
        <f>IFERROR(__xludf.DUMMYFUNCTION("GOOGLETRANSLATE(B34580,""en"",""es-ES"")"),"El hombre observa por delante después de su disco.")</f>
        <v>El hombre observa por delante después de su disco.</v>
      </c>
    </row>
    <row r="34581">
      <c r="A34581" s="4" t="s">
        <v>43515</v>
      </c>
      <c r="B34581" s="4" t="s">
        <v>43516</v>
      </c>
      <c r="C34581" s="5" t="str">
        <f>IFERROR(__xludf.DUMMYFUNCTION("GOOGLETRANSLATE(B34581,""en"",""es-ES"")"),"Se ve a un joven vistiendo gafas y hablando con la cámara seguido de él saltando a la piscina.")</f>
        <v>Se ve a un joven vistiendo gafas y hablando con la cámara seguido de él saltando a la piscina.</v>
      </c>
    </row>
    <row r="34582">
      <c r="A34582" s="4" t="s">
        <v>43515</v>
      </c>
      <c r="B34582" s="4" t="s">
        <v>43517</v>
      </c>
      <c r="C34582" s="5" t="str">
        <f>IFERROR(__xludf.DUMMYFUNCTION("GOOGLETRANSLATE(B34582,""en"",""es-ES"")"),"El niño sale y se lo ve una vez más saltando a la piscina y nadando hacia un lado para presentar un objeto.")</f>
        <v>El niño sale y se lo ve una vez más saltando a la piscina y nadando hacia un lado para presentar un objeto.</v>
      </c>
    </row>
    <row r="34583">
      <c r="A34583" s="4" t="s">
        <v>43518</v>
      </c>
      <c r="B34583" s="4" t="s">
        <v>43519</v>
      </c>
      <c r="C34583" s="5" t="str">
        <f>IFERROR(__xludf.DUMMYFUNCTION("GOOGLETRANSLATE(B34583,""en"",""es-ES"")"),"Un hombre presenta los conceptos de baloncesto del video a la cámara.")</f>
        <v>Un hombre presenta los conceptos de baloncesto del video a la cámara.</v>
      </c>
    </row>
    <row r="34584">
      <c r="A34584" s="4" t="s">
        <v>43518</v>
      </c>
      <c r="B34584" s="4" t="s">
        <v>43520</v>
      </c>
      <c r="C34584" s="5" t="str">
        <f>IFERROR(__xludf.DUMMYFUNCTION("GOOGLETRANSLATE(B34584,""en"",""es-ES"")"),"El jugador comienza desde un lado de la cancha y corre y coloca el baloncesto en la red.")</f>
        <v>El jugador comienza desde un lado de la cancha y corre y coloca el baloncesto en la red.</v>
      </c>
    </row>
    <row r="34585">
      <c r="A34585" s="4" t="s">
        <v>43518</v>
      </c>
      <c r="B34585" s="4" t="s">
        <v>43521</v>
      </c>
      <c r="C34585" s="5" t="str">
        <f>IFERROR(__xludf.DUMMYFUNCTION("GOOGLETRANSLATE(B34585,""en"",""es-ES"")"),"Repita alrededor de la cancha desde todos los ángulos.")</f>
        <v>Repita alrededor de la cancha desde todos los ángulos.</v>
      </c>
    </row>
    <row r="34586">
      <c r="A34586" s="4" t="s">
        <v>43518</v>
      </c>
      <c r="B34586" s="4" t="s">
        <v>43522</v>
      </c>
      <c r="C34586" s="5" t="str">
        <f>IFERROR(__xludf.DUMMYFUNCTION("GOOGLETRANSLATE(B34586,""en"",""es-ES"")"),"El hombre regresa para repasar los conceptos nuevamente cuando se cierra el video.")</f>
        <v>El hombre regresa para repasar los conceptos nuevamente cuando se cierra el video.</v>
      </c>
    </row>
    <row r="34587">
      <c r="A34587" s="4" t="s">
        <v>43523</v>
      </c>
      <c r="B34587" s="4" t="s">
        <v>43524</v>
      </c>
      <c r="C34587" s="5" t="str">
        <f>IFERROR(__xludf.DUMMYFUNCTION("GOOGLETRANSLATE(B34587,""en"",""es-ES"")"),"El atleta se está equilibrando en el frijol cuando el hombre sacó el jersey de primavera.")</f>
        <v>El atleta se está equilibrando en el frijol cuando el hombre sacó el jersey de primavera.</v>
      </c>
    </row>
    <row r="34588">
      <c r="A34588" s="4" t="s">
        <v>43523</v>
      </c>
      <c r="B34588" s="4" t="s">
        <v>43525</v>
      </c>
      <c r="C34588" s="5" t="str">
        <f>IFERROR(__xludf.DUMMYFUNCTION("GOOGLETRANSLATE(B34588,""en"",""es-ES"")"),"El atleta hizo la voltereta en la viga cuando la multitud aplaudió.")</f>
        <v>El atleta hizo la voltereta en la viga cuando la multitud aplaudió.</v>
      </c>
    </row>
    <row r="34589">
      <c r="A34589" s="4" t="s">
        <v>43523</v>
      </c>
      <c r="B34589" s="4" t="s">
        <v>43526</v>
      </c>
      <c r="C34589" s="5" t="str">
        <f>IFERROR(__xludf.DUMMYFUNCTION("GOOGLETRANSLATE(B34589,""en"",""es-ES"")"),"Cuando la atleta femenina terminó su número, saltó de la rueda de carreras por la alfombra azul.")</f>
        <v>Cuando la atleta femenina terminó su número, saltó de la rueda de carreras por la alfombra azul.</v>
      </c>
    </row>
    <row r="34590">
      <c r="A34590" s="4" t="s">
        <v>43527</v>
      </c>
      <c r="B34590" s="4" t="s">
        <v>43528</v>
      </c>
      <c r="C34590" s="5" t="str">
        <f>IFERROR(__xludf.DUMMYFUNCTION("GOOGLETRANSLATE(B34590,""en"",""es-ES"")"),"El video muestra clips de jugadores de gimnasia que realizan trucos a lo largo de un área acolchada, mientras que los jueces y espectadores observan y animan.")</f>
        <v>El video muestra clips de jugadores de gimnasia que realizan trucos a lo largo de un área acolchada, mientras que los jueces y espectadores observan y animan.</v>
      </c>
    </row>
    <row r="34591">
      <c r="A34591" s="4" t="s">
        <v>43527</v>
      </c>
      <c r="B34591" s="4" t="s">
        <v>43529</v>
      </c>
      <c r="C34591" s="5" t="str">
        <f>IFERROR(__xludf.DUMMYFUNCTION("GOOGLETRANSLATE(B34591,""en"",""es-ES"")"),"El primer jugador le golpea la cabeza al final de su actuación.")</f>
        <v>El primer jugador le golpea la cabeza al final de su actuación.</v>
      </c>
    </row>
    <row r="34592">
      <c r="A34592" s="4" t="s">
        <v>43527</v>
      </c>
      <c r="B34592" s="4" t="s">
        <v>43530</v>
      </c>
      <c r="C34592" s="5" t="str">
        <f>IFERROR(__xludf.DUMMYFUNCTION("GOOGLETRANSLATE(B34592,""en"",""es-ES"")"),"El video continúa mostrando a muchas otras gimnastas compitiendo, con la audiencia vitoreando después de la finalización de cada actuación.")</f>
        <v>El video continúa mostrando a muchas otras gimnastas compitiendo, con la audiencia vitoreando después de la finalización de cada actuación.</v>
      </c>
    </row>
    <row r="34593">
      <c r="A34593" s="4" t="s">
        <v>43527</v>
      </c>
      <c r="B34593" s="4" t="s">
        <v>43531</v>
      </c>
      <c r="C34593" s="5" t="str">
        <f>IFERROR(__xludf.DUMMYFUNCTION("GOOGLETRANSLATE(B34593,""en"",""es-ES"")"),"El video termina con un artista masculino.")</f>
        <v>El video termina con un artista masculino.</v>
      </c>
    </row>
    <row r="34594">
      <c r="A34594" s="4" t="s">
        <v>43532</v>
      </c>
      <c r="B34594" s="4" t="s">
        <v>43533</v>
      </c>
      <c r="C34594" s="5" t="str">
        <f>IFERROR(__xludf.DUMMYFUNCTION("GOOGLETRANSLATE(B34594,""en"",""es-ES"")"),"Una mujer aparece y desaparece bajo el agua mientras nada en una piscina olímpica.")</f>
        <v>Una mujer aparece y desaparece bajo el agua mientras nada en una piscina olímpica.</v>
      </c>
    </row>
    <row r="34595">
      <c r="A34595" s="4" t="s">
        <v>43532</v>
      </c>
      <c r="B34595" s="4" t="s">
        <v>43534</v>
      </c>
      <c r="C34595" s="5" t="str">
        <f>IFERROR(__xludf.DUMMYFUNCTION("GOOGLETRANSLATE(B34595,""en"",""es-ES"")"),"Se la ve nadando de manera similar a peces debajo del agua.")</f>
        <v>Se la ve nadando de manera similar a peces debajo del agua.</v>
      </c>
    </row>
    <row r="34596">
      <c r="A34596" s="4" t="s">
        <v>43532</v>
      </c>
      <c r="B34596" s="4" t="s">
        <v>43535</v>
      </c>
      <c r="C34596" s="5" t="str">
        <f>IFERROR(__xludf.DUMMYFUNCTION("GOOGLETRANSLATE(B34596,""en"",""es-ES"")"),"Ella muestra varios estilos y movimientos de natación diferentes.")</f>
        <v>Ella muestra varios estilos y movimientos de natación diferentes.</v>
      </c>
    </row>
    <row r="34597">
      <c r="A34597" s="4" t="s">
        <v>43536</v>
      </c>
      <c r="B34597" s="4" t="s">
        <v>43537</v>
      </c>
      <c r="C34597" s="5" t="str">
        <f>IFERROR(__xludf.DUMMYFUNCTION("GOOGLETRANSLATE(B34597,""en"",""es-ES"")"),"Aparece una introducción de efecto especial que parece un tablero de tiza en la madera y las palabras dicen que la escuela de esquí en la esquina superior izquierda, y las palabras intermedias dicen ""Consejos de esquí: rotación del pie"" junto con un sit"&amp;"io web en la parte inferior y un icono de círculo azul en la esquina superior derecha.")</f>
        <v>Aparece una introducción de efecto especial que parece un tablero de tiza en la madera y las palabras dicen que la escuela de esquí en la esquina superior izquierda, y las palabras intermedias dicen "Consejos de esquí: rotación del pie" junto con un sitio web en la parte inferior y un icono de círculo azul en la esquina superior derecha.</v>
      </c>
    </row>
    <row r="34598">
      <c r="A34598" s="4" t="s">
        <v>43536</v>
      </c>
      <c r="B34598" s="4" t="s">
        <v>43538</v>
      </c>
      <c r="C34598" s="5" t="str">
        <f>IFERROR(__xludf.DUMMYFUNCTION("GOOGLETRANSLATE(B34598,""en"",""es-ES"")"),"Un hombre esquía a la vista y está parado en una montaña nevada con muchos árboles y está hablando y parece que está dando consejos sobre cómo esquiar como lo demuestra físicamente y continúa hablando todo el tiempo.")</f>
        <v>Un hombre esquía a la vista y está parado en una montaña nevada con muchos árboles y está hablando y parece que está dando consejos sobre cómo esquiar como lo demuestra físicamente y continúa hablando todo el tiempo.</v>
      </c>
    </row>
    <row r="34599">
      <c r="A34599" s="4" t="s">
        <v>43536</v>
      </c>
      <c r="B34599" s="4" t="s">
        <v>43539</v>
      </c>
      <c r="C34599" s="5" t="str">
        <f>IFERROR(__xludf.DUMMYFUNCTION("GOOGLETRANSLATE(B34599,""en"",""es-ES"")"),"El hombre ahora está de vuelta en su punto de partida donde originalmente estaba parado y está hablando nuevamente.")</f>
        <v>El hombre ahora está de vuelta en su punto de partida donde originalmente estaba parado y está hablando nuevamente.</v>
      </c>
    </row>
    <row r="34600">
      <c r="A34600" s="4" t="s">
        <v>43536</v>
      </c>
      <c r="B34600" s="4" t="s">
        <v>43540</v>
      </c>
      <c r="C34600" s="5" t="str">
        <f>IFERROR(__xludf.DUMMYFUNCTION("GOOGLETRANSLATE(B34600,""en"",""es-ES"")"),"La pantalla de afecto especial aparece con un fondo de madera y 4 imágenes diferentes en la pantalla con palabras debajo de ellas.")</f>
        <v>La pantalla de afecto especial aparece con un fondo de madera y 4 imágenes diferentes en la pantalla con palabras debajo de ellas.</v>
      </c>
    </row>
    <row r="34601">
      <c r="A34601" s="4" t="s">
        <v>43541</v>
      </c>
      <c r="B34601" s="4" t="s">
        <v>43542</v>
      </c>
      <c r="C34601" s="5" t="str">
        <f>IFERROR(__xludf.DUMMYFUNCTION("GOOGLETRANSLATE(B34601,""en"",""es-ES"")"),"Dos hombres están parados en un gol de baloncesto.")</f>
        <v>Dos hombres están parados en un gol de baloncesto.</v>
      </c>
    </row>
    <row r="34602">
      <c r="A34602" s="4" t="s">
        <v>43541</v>
      </c>
      <c r="B34602" s="4" t="s">
        <v>43543</v>
      </c>
      <c r="C34602" s="5" t="str">
        <f>IFERROR(__xludf.DUMMYFUNCTION("GOOGLETRANSLATE(B34602,""en"",""es-ES"")"),"Comienzan a hacer bandejas, luego se paran a hablar con la cámara nuevamente.")</f>
        <v>Comienzan a hacer bandejas, luego se paran a hablar con la cámara nuevamente.</v>
      </c>
    </row>
    <row r="34603">
      <c r="A34603" s="4" t="s">
        <v>43544</v>
      </c>
      <c r="B34603" s="4" t="s">
        <v>43545</v>
      </c>
      <c r="C34603" s="5" t="str">
        <f>IFERROR(__xludf.DUMMYFUNCTION("GOOGLETRANSLATE(B34603,""en"",""es-ES"")"),"El hombre habla con el video de la cámara.")</f>
        <v>El hombre habla con el video de la cámara.</v>
      </c>
    </row>
    <row r="34604">
      <c r="A34604" s="4" t="s">
        <v>43544</v>
      </c>
      <c r="B34604" s="4" t="s">
        <v>43546</v>
      </c>
      <c r="C34604" s="5" t="str">
        <f>IFERROR(__xludf.DUMMYFUNCTION("GOOGLETRANSLATE(B34604,""en"",""es-ES"")"),"Se muestra a los jugadores de fútbol practicando sus movimientos.")</f>
        <v>Se muestra a los jugadores de fútbol practicando sus movimientos.</v>
      </c>
    </row>
    <row r="34605">
      <c r="A34605" s="4" t="s">
        <v>43544</v>
      </c>
      <c r="B34605" s="4" t="s">
        <v>43547</v>
      </c>
      <c r="C34605" s="5" t="str">
        <f>IFERROR(__xludf.DUMMYFUNCTION("GOOGLETRANSLATE(B34605,""en"",""es-ES"")"),"Los jugadores de fútbol toman disparos.")</f>
        <v>Los jugadores de fútbol toman disparos.</v>
      </c>
    </row>
    <row r="34606">
      <c r="A34606" s="4" t="s">
        <v>43544</v>
      </c>
      <c r="B34606" s="4" t="s">
        <v>43548</v>
      </c>
      <c r="C34606" s="5" t="str">
        <f>IFERROR(__xludf.DUMMYFUNCTION("GOOGLETRANSLATE(B34606,""en"",""es-ES"")"),"El hombre es empujado fuera de la cancha.")</f>
        <v>El hombre es empujado fuera de la cancha.</v>
      </c>
    </row>
    <row r="34607">
      <c r="A34607" s="4" t="s">
        <v>43544</v>
      </c>
      <c r="B34607" s="4" t="s">
        <v>43549</v>
      </c>
      <c r="C34607" s="5" t="str">
        <f>IFERROR(__xludf.DUMMYFUNCTION("GOOGLETRANSLATE(B34607,""en"",""es-ES"")"),"El hombre es felicitado por su objetivo.")</f>
        <v>El hombre es felicitado por su objetivo.</v>
      </c>
    </row>
    <row r="34608">
      <c r="A34608" s="4" t="s">
        <v>43544</v>
      </c>
      <c r="B34608" s="4" t="s">
        <v>43550</v>
      </c>
      <c r="C34608" s="5" t="str">
        <f>IFERROR(__xludf.DUMMYFUNCTION("GOOGLETRANSLATE(B34608,""en"",""es-ES"")"),"El hombre le da la mano a la cámara.")</f>
        <v>El hombre le da la mano a la cámara.</v>
      </c>
    </row>
    <row r="34609">
      <c r="A34609" s="4" t="s">
        <v>43551</v>
      </c>
      <c r="B34609" s="4" t="s">
        <v>43552</v>
      </c>
      <c r="C34609" s="5" t="str">
        <f>IFERROR(__xludf.DUMMYFUNCTION("GOOGLETRANSLATE(B34609,""en"",""es-ES"")"),"Estas personas juegan tira y afloja contra el luchador de sumo que son más de 4 veces su tamaño y las personas pequeñas ganan contra ellos.")</f>
        <v>Estas personas juegan tira y afloja contra el luchador de sumo que son más de 4 veces su tamaño y las personas pequeñas ganan contra ellos.</v>
      </c>
    </row>
    <row r="34610">
      <c r="A34610" s="4" t="s">
        <v>43551</v>
      </c>
      <c r="B34610" s="4" t="s">
        <v>43553</v>
      </c>
      <c r="C34610" s="5" t="str">
        <f>IFERROR(__xludf.DUMMYFUNCTION("GOOGLETRANSLATE(B34610,""en"",""es-ES"")"),"Al final, las personas y los luchadores de sumo se toman selfies y los luchadores de sumo abren la fanta y se arrojan el uno al otro.")</f>
        <v>Al final, las personas y los luchadores de sumo se toman selfies y los luchadores de sumo abren la fanta y se arrojan el uno al otro.</v>
      </c>
    </row>
    <row r="34611">
      <c r="A34611" s="4" t="s">
        <v>43554</v>
      </c>
      <c r="B34611" s="4" t="s">
        <v>43555</v>
      </c>
      <c r="C34611" s="5" t="str">
        <f>IFERROR(__xludf.DUMMYFUNCTION("GOOGLETRANSLATE(B34611,""en"",""es-ES"")"),"Un hombre que lleva un sombrero negro está hablando.")</f>
        <v>Un hombre que lleva un sombrero negro está hablando.</v>
      </c>
    </row>
    <row r="34612">
      <c r="A34612" s="4" t="s">
        <v>43554</v>
      </c>
      <c r="B34612" s="4" t="s">
        <v>43556</v>
      </c>
      <c r="C34612" s="5" t="str">
        <f>IFERROR(__xludf.DUMMYFUNCTION("GOOGLETRANSLATE(B34612,""en"",""es-ES"")"),"Un hombre regate un baloncesto alrededor de algunos conos y dispara la pelota.")</f>
        <v>Un hombre regate un baloncesto alrededor de algunos conos y dispara la pelota.</v>
      </c>
    </row>
    <row r="34613">
      <c r="A34613" s="4" t="s">
        <v>43554</v>
      </c>
      <c r="B34613" s="4" t="s">
        <v>43557</v>
      </c>
      <c r="C34613" s="5" t="str">
        <f>IFERROR(__xludf.DUMMYFUNCTION("GOOGLETRANSLATE(B34613,""en"",""es-ES"")"),"Dos personas están jugando baloncesto.")</f>
        <v>Dos personas están jugando baloncesto.</v>
      </c>
    </row>
    <row r="34614">
      <c r="A34614" s="4" t="s">
        <v>43554</v>
      </c>
      <c r="B34614" s="4" t="s">
        <v>43558</v>
      </c>
      <c r="C34614" s="5" t="str">
        <f>IFERROR(__xludf.DUMMYFUNCTION("GOOGLETRANSLATE(B34614,""en"",""es-ES"")"),"Un hombre está goteando un baloncesto en una cancha.")</f>
        <v>Un hombre está goteando un baloncesto en una cancha.</v>
      </c>
    </row>
    <row r="34615">
      <c r="A34615" s="4" t="s">
        <v>43559</v>
      </c>
      <c r="B34615" s="4" t="s">
        <v>43560</v>
      </c>
      <c r="C34615" s="5" t="str">
        <f>IFERROR(__xludf.DUMMYFUNCTION("GOOGLETRANSLATE(B34615,""en"",""es-ES"")"),"Un hombre está sentado en un taburete mientras el perro está frente a él, el perro lleva una correa roja.")</f>
        <v>Un hombre está sentado en un taburete mientras el perro está frente a él, el perro lleva una correa roja.</v>
      </c>
    </row>
    <row r="34616">
      <c r="A34616" s="4" t="s">
        <v>43559</v>
      </c>
      <c r="B34616" s="4" t="s">
        <v>43561</v>
      </c>
      <c r="C34616" s="5" t="str">
        <f>IFERROR(__xludf.DUMMYFUNCTION("GOOGLETRANSLATE(B34616,""en"",""es-ES"")"),"Un perro blanco se esconde detrás de la pared.")</f>
        <v>Un perro blanco se esconde detrás de la pared.</v>
      </c>
    </row>
    <row r="34617">
      <c r="A34617" s="4" t="s">
        <v>43559</v>
      </c>
      <c r="B34617" s="4" t="s">
        <v>43562</v>
      </c>
      <c r="C34617" s="5" t="str">
        <f>IFERROR(__xludf.DUMMYFUNCTION("GOOGLETRANSLATE(B34617,""en"",""es-ES"")"),"Un hombre está cepillando el pelaje del perro de su lado primero en la parte posterior.")</f>
        <v>Un hombre está cepillando el pelaje del perro de su lado primero en la parte posterior.</v>
      </c>
    </row>
    <row r="34618">
      <c r="A34618" s="4" t="s">
        <v>43559</v>
      </c>
      <c r="B34618" s="4" t="s">
        <v>43563</v>
      </c>
      <c r="C34618" s="5" t="str">
        <f>IFERROR(__xludf.DUMMYFUNCTION("GOOGLETRANSLATE(B34618,""en"",""es-ES"")"),"El hombre comenzó a afeitarse la pierna delantera del perro.")</f>
        <v>El hombre comenzó a afeitarse la pierna delantera del perro.</v>
      </c>
    </row>
    <row r="34619">
      <c r="A34619" s="4" t="s">
        <v>43559</v>
      </c>
      <c r="B34619" s="4" t="s">
        <v>43564</v>
      </c>
      <c r="C34619" s="5" t="str">
        <f>IFERROR(__xludf.DUMMYFUNCTION("GOOGLETRANSLATE(B34619,""en"",""es-ES"")"),"Un perro blanco está acostado en la cama marrón.")</f>
        <v>Un perro blanco está acostado en la cama marrón.</v>
      </c>
    </row>
    <row r="34620">
      <c r="A34620" s="4" t="s">
        <v>43559</v>
      </c>
      <c r="B34620" s="4" t="s">
        <v>43565</v>
      </c>
      <c r="C34620" s="5" t="str">
        <f>IFERROR(__xludf.DUMMYFUNCTION("GOOGLETRANSLATE(B34620,""en"",""es-ES"")"),"El perro beige está acostado en la alfombra mientras el hombre se afeita el beige.")</f>
        <v>El perro beige está acostado en la alfombra mientras el hombre se afeita el beige.</v>
      </c>
    </row>
    <row r="34621">
      <c r="A34621" s="4" t="s">
        <v>43559</v>
      </c>
      <c r="B34621" s="4" t="s">
        <v>43566</v>
      </c>
      <c r="C34621" s="5" t="str">
        <f>IFERROR(__xludf.DUMMYFUNCTION("GOOGLETRANSLATE(B34621,""en"",""es-ES"")"),"El perro blanco frotando su cara en la mesa de vidrio, luego el perro beige está de pie sobre el vaso sentado y luego sentado sobre la mesa, luego el perro blanco está parado al lado del perro beige.")</f>
        <v>El perro blanco frotando su cara en la mesa de vidrio, luego el perro beige está de pie sobre el vaso sentado y luego sentado sobre la mesa, luego el perro blanco está parado al lado del perro beige.</v>
      </c>
    </row>
    <row r="34622">
      <c r="A34622" s="4" t="s">
        <v>43567</v>
      </c>
      <c r="B34622" s="4" t="s">
        <v>43568</v>
      </c>
      <c r="C34622" s="5" t="str">
        <f>IFERROR(__xludf.DUMMYFUNCTION("GOOGLETRANSLATE(B34622,""en"",""es-ES"")"),"Vemos a una persona con engranajes de hockey patinar sobre el hielo.")</f>
        <v>Vemos a una persona con engranajes de hockey patinar sobre el hielo.</v>
      </c>
    </row>
    <row r="34623">
      <c r="A34623" s="4" t="s">
        <v>43567</v>
      </c>
      <c r="B34623" s="4" t="s">
        <v>43569</v>
      </c>
      <c r="C34623" s="5" t="str">
        <f>IFERROR(__xludf.DUMMYFUNCTION("GOOGLETRANSLATE(B34623,""en"",""es-ES"")"),"Otra persona entra y vemos a dos personas jugar hockey.")</f>
        <v>Otra persona entra y vemos a dos personas jugar hockey.</v>
      </c>
    </row>
    <row r="34624">
      <c r="A34624" s="4" t="s">
        <v>43567</v>
      </c>
      <c r="B34624" s="4" t="s">
        <v>43570</v>
      </c>
      <c r="C34624" s="5" t="str">
        <f>IFERROR(__xludf.DUMMYFUNCTION("GOOGLETRANSLATE(B34624,""en"",""es-ES"")"),"Vemos que el disco cae frente a la cámara.")</f>
        <v>Vemos que el disco cae frente a la cámara.</v>
      </c>
    </row>
    <row r="34625">
      <c r="A34625" s="4" t="s">
        <v>43567</v>
      </c>
      <c r="B34625" s="4" t="s">
        <v>43571</v>
      </c>
      <c r="C34625" s="5" t="str">
        <f>IFERROR(__xludf.DUMMYFUNCTION("GOOGLETRANSLATE(B34625,""en"",""es-ES"")"),"La persona golpea al portero al suelo.")</f>
        <v>La persona golpea al portero al suelo.</v>
      </c>
    </row>
    <row r="34626">
      <c r="A34626" s="4" t="s">
        <v>43567</v>
      </c>
      <c r="B34626" s="4" t="s">
        <v>43572</v>
      </c>
      <c r="C34626" s="5" t="str">
        <f>IFERROR(__xludf.DUMMYFUNCTION("GOOGLETRANSLATE(B34626,""en"",""es-ES"")"),"El portero patina hasta la cámara.")</f>
        <v>El portero patina hasta la cámara.</v>
      </c>
    </row>
    <row r="34627">
      <c r="A34627" s="4" t="s">
        <v>43573</v>
      </c>
      <c r="B34627" s="4" t="s">
        <v>43574</v>
      </c>
      <c r="C34627" s="5" t="str">
        <f>IFERROR(__xludf.DUMMYFUNCTION("GOOGLETRANSLATE(B34627,""en"",""es-ES"")"),"Un tipo está dando una lección sobre las tablas de nieve que pone una gran marca de roce en el tablero para mantener los plantadores de pie en su lugar.")</f>
        <v>Un tipo está dando una lección sobre las tablas de nieve que pone una gran marca de roce en el tablero para mantener los plantadores de pie en su lugar.</v>
      </c>
    </row>
    <row r="34628">
      <c r="A34628" s="4" t="s">
        <v>43573</v>
      </c>
      <c r="B34628" s="4" t="s">
        <v>43575</v>
      </c>
      <c r="C34628" s="5" t="str">
        <f>IFERROR(__xludf.DUMMYFUNCTION("GOOGLETRANSLATE(B34628,""en"",""es-ES"")"),"El tipo muestra la diferencia entre las tablas de nieve y los pone en un objeto para suavizar el fondo del tablero para un mejor esquí.")</f>
        <v>El tipo muestra la diferencia entre las tablas de nieve y los pone en un objeto para suavizar el fondo del tablero para un mejor esquí.</v>
      </c>
    </row>
    <row r="34629">
      <c r="A34629" s="4" t="s">
        <v>43576</v>
      </c>
      <c r="B34629" s="4" t="s">
        <v>43577</v>
      </c>
      <c r="C34629" s="5" t="str">
        <f>IFERROR(__xludf.DUMMYFUNCTION("GOOGLETRANSLATE(B34629,""en"",""es-ES"")"),"Una mujer está dibujando un tablero de rayos en el suelo en la tiza.")</f>
        <v>Una mujer está dibujando un tablero de rayos en el suelo en la tiza.</v>
      </c>
    </row>
    <row r="34630">
      <c r="A34630" s="4" t="s">
        <v>43576</v>
      </c>
      <c r="B34630" s="4" t="s">
        <v>43578</v>
      </c>
      <c r="C34630" s="5" t="str">
        <f>IFERROR(__xludf.DUMMYFUNCTION("GOOGLETRANSLATE(B34630,""en"",""es-ES"")"),"Ella se pone de pie y camina hacia el frente del tablero de rayos de lomo.")</f>
        <v>Ella se pone de pie y camina hacia el frente del tablero de rayos de lomo.</v>
      </c>
    </row>
    <row r="34631">
      <c r="A34631" s="4" t="s">
        <v>43576</v>
      </c>
      <c r="B34631" s="4" t="s">
        <v>43579</v>
      </c>
      <c r="C34631" s="5" t="str">
        <f>IFERROR(__xludf.DUMMYFUNCTION("GOOGLETRANSLATE(B34631,""en"",""es-ES"")"),"Ella comienza a saltar sobre el tablero.")</f>
        <v>Ella comienza a saltar sobre el tablero.</v>
      </c>
    </row>
    <row r="34632">
      <c r="A34632" s="4" t="s">
        <v>43580</v>
      </c>
      <c r="B34632" s="4" t="s">
        <v>43581</v>
      </c>
      <c r="C34632" s="5" t="str">
        <f>IFERROR(__xludf.DUMMYFUNCTION("GOOGLETRANSLATE(B34632,""en"",""es-ES"")"),"La gente camina por la cancha de baloncesto.")</f>
        <v>La gente camina por la cancha de baloncesto.</v>
      </c>
    </row>
    <row r="34633">
      <c r="A34633" s="4" t="s">
        <v>43580</v>
      </c>
      <c r="B34633" s="4" t="s">
        <v>43582</v>
      </c>
      <c r="C34633" s="5" t="str">
        <f>IFERROR(__xludf.DUMMYFUNCTION("GOOGLETRANSLATE(B34633,""en"",""es-ES"")"),"Un equipo de bailarines camina hacia la cancha de baloncesto y está de atención.")</f>
        <v>Un equipo de bailarines camina hacia la cancha de baloncesto y está de atención.</v>
      </c>
    </row>
    <row r="34634">
      <c r="A34634" s="4" t="s">
        <v>43580</v>
      </c>
      <c r="B34634" s="4" t="s">
        <v>43583</v>
      </c>
      <c r="C34634" s="5" t="str">
        <f>IFERROR(__xludf.DUMMYFUNCTION("GOOGLETRANSLATE(B34634,""en"",""es-ES"")"),"Como los espectadores aplauden, el equipo se da vuelta al unísono.")</f>
        <v>Como los espectadores aplauden, el equipo se da vuelta al unísono.</v>
      </c>
    </row>
    <row r="34635">
      <c r="A34635" s="4" t="s">
        <v>43580</v>
      </c>
      <c r="B34635" s="4" t="s">
        <v>43584</v>
      </c>
      <c r="C34635" s="5" t="str">
        <f>IFERROR(__xludf.DUMMYFUNCTION("GOOGLETRANSLATE(B34635,""en"",""es-ES"")"),"El equipo hace su rutina.")</f>
        <v>El equipo hace su rutina.</v>
      </c>
    </row>
    <row r="34636">
      <c r="A34636" s="4" t="s">
        <v>43580</v>
      </c>
      <c r="B34636" s="4" t="s">
        <v>43585</v>
      </c>
      <c r="C34636" s="5" t="str">
        <f>IFERROR(__xludf.DUMMYFUNCTION("GOOGLETRANSLATE(B34636,""en"",""es-ES"")"),"El equipo termina su rutina y sale del piso.")</f>
        <v>El equipo termina su rutina y sale del piso.</v>
      </c>
    </row>
    <row r="34637">
      <c r="A34637" s="4" t="s">
        <v>43586</v>
      </c>
      <c r="B34637" s="4" t="s">
        <v>43587</v>
      </c>
      <c r="C34637" s="5" t="str">
        <f>IFERROR(__xludf.DUMMYFUNCTION("GOOGLETRANSLATE(B34637,""en"",""es-ES"")"),"Un hombre apuntala su pierna al costado de una bañera.")</f>
        <v>Un hombre apuntala su pierna al costado de una bañera.</v>
      </c>
    </row>
    <row r="34638">
      <c r="A34638" s="4" t="s">
        <v>43586</v>
      </c>
      <c r="B34638" s="4" t="s">
        <v>43588</v>
      </c>
      <c r="C34638" s="5" t="str">
        <f>IFERROR(__xludf.DUMMYFUNCTION("GOOGLETRANSLATE(B34638,""en"",""es-ES"")"),"Se afeita la pierna con una navaja de afeitar, revelando un tatuaje debajo.")</f>
        <v>Se afeita la pierna con una navaja de afeitar, revelando un tatuaje debajo.</v>
      </c>
    </row>
    <row r="34639">
      <c r="A34639" s="4" t="s">
        <v>43586</v>
      </c>
      <c r="B34639" s="4" t="s">
        <v>43589</v>
      </c>
      <c r="C34639" s="5" t="str">
        <f>IFERROR(__xludf.DUMMYFUNCTION("GOOGLETRANSLATE(B34639,""en"",""es-ES"")"),"Cuando termina, se limpia el cabello y muestra un tatuaje de Homer Simpson como el Grim Reaper.")</f>
        <v>Cuando termina, se limpia el cabello y muestra un tatuaje de Homer Simpson como el Grim Reaper.</v>
      </c>
    </row>
    <row r="34640">
      <c r="A34640" s="4" t="s">
        <v>43590</v>
      </c>
      <c r="B34640" s="4" t="s">
        <v>43591</v>
      </c>
      <c r="C34640" s="5" t="str">
        <f>IFERROR(__xludf.DUMMYFUNCTION("GOOGLETRANSLATE(B34640,""en"",""es-ES"")"),"Un anuncio de tubería está en la pantalla.")</f>
        <v>Un anuncio de tubería está en la pantalla.</v>
      </c>
    </row>
    <row r="34641">
      <c r="A34641" s="4" t="s">
        <v>43590</v>
      </c>
      <c r="B34641" s="4" t="s">
        <v>43592</v>
      </c>
      <c r="C34641" s="5" t="str">
        <f>IFERROR(__xludf.DUMMYFUNCTION("GOOGLETRANSLATE(B34641,""en"",""es-ES"")"),"Los tubérculos van por el río.")</f>
        <v>Los tubérculos van por el río.</v>
      </c>
    </row>
    <row r="34642">
      <c r="A34642" s="4" t="s">
        <v>43590</v>
      </c>
      <c r="B34642" s="4" t="s">
        <v>43593</v>
      </c>
      <c r="C34642" s="5" t="str">
        <f>IFERROR(__xludf.DUMMYFUNCTION("GOOGLETRANSLATE(B34642,""en"",""es-ES"")"),"El anuncio de West Virginia está en la pantalla.")</f>
        <v>El anuncio de West Virginia está en la pantalla.</v>
      </c>
    </row>
    <row r="34643">
      <c r="A34643" s="4" t="s">
        <v>43590</v>
      </c>
      <c r="B34643" s="4" t="s">
        <v>43594</v>
      </c>
      <c r="C34643" s="5" t="str">
        <f>IFERROR(__xludf.DUMMYFUNCTION("GOOGLETRANSLATE(B34643,""en"",""es-ES"")"),"Un tubérculo va debajo de un tablón con un perro.")</f>
        <v>Un tubérculo va debajo de un tablón con un perro.</v>
      </c>
    </row>
    <row r="34644">
      <c r="A34644" s="4" t="s">
        <v>43590</v>
      </c>
      <c r="B34644" s="4" t="s">
        <v>43595</v>
      </c>
      <c r="C34644" s="5" t="str">
        <f>IFERROR(__xludf.DUMMYFUNCTION("GOOGLETRANSLATE(B34644,""en"",""es-ES"")"),"La cámara apunta hacia el cielo y los árboles.")</f>
        <v>La cámara apunta hacia el cielo y los árboles.</v>
      </c>
    </row>
    <row r="34645">
      <c r="A34645" s="4" t="s">
        <v>43590</v>
      </c>
      <c r="B34645" s="4" t="s">
        <v>43596</v>
      </c>
      <c r="C34645" s="5" t="str">
        <f>IFERROR(__xludf.DUMMYFUNCTION("GOOGLETRANSLATE(B34645,""en"",""es-ES"")"),"Un tubérculo se encuentra con ramas, uno se levanta y se cae.")</f>
        <v>Un tubérculo se encuentra con ramas, uno se levanta y se cae.</v>
      </c>
    </row>
    <row r="34646">
      <c r="A34646" s="4" t="s">
        <v>43590</v>
      </c>
      <c r="B34646" s="4" t="s">
        <v>43597</v>
      </c>
      <c r="C34646" s="5" t="str">
        <f>IFERROR(__xludf.DUMMYFUNCTION("GOOGLETRANSLATE(B34646,""en"",""es-ES"")"),"El camarógrafo gira círculos en su tubo y luego tiene un refrigerio.")</f>
        <v>El camarógrafo gira círculos en su tubo y luego tiene un refrigerio.</v>
      </c>
    </row>
    <row r="34647">
      <c r="A34647" s="4" t="s">
        <v>43590</v>
      </c>
      <c r="B34647" s="4" t="s">
        <v>43598</v>
      </c>
      <c r="C34647" s="5" t="str">
        <f>IFERROR(__xludf.DUMMYFUNCTION("GOOGLETRANSLATE(B34647,""en"",""es-ES"")"),"Un chico se enreda la cabeza en las ramas.")</f>
        <v>Un chico se enreda la cabeza en las ramas.</v>
      </c>
    </row>
    <row r="34648">
      <c r="A34648" s="4" t="s">
        <v>43590</v>
      </c>
      <c r="B34648" s="4" t="s">
        <v>43599</v>
      </c>
      <c r="C34648" s="5" t="str">
        <f>IFERROR(__xludf.DUMMYFUNCTION("GOOGLETRANSLATE(B34648,""en"",""es-ES"")"),"El video termina con anuncios.")</f>
        <v>El video termina con anuncios.</v>
      </c>
    </row>
    <row r="34649">
      <c r="A34649" s="4" t="s">
        <v>43600</v>
      </c>
      <c r="B34649" s="4" t="s">
        <v>43601</v>
      </c>
      <c r="C34649" s="5" t="str">
        <f>IFERROR(__xludf.DUMMYFUNCTION("GOOGLETRANSLATE(B34649,""en"",""es-ES"")"),"Un logotipo deportivo parpadea en la pantalla.")</f>
        <v>Un logotipo deportivo parpadea en la pantalla.</v>
      </c>
    </row>
    <row r="34650">
      <c r="A34650" s="4" t="s">
        <v>43600</v>
      </c>
      <c r="B34650" s="4" t="s">
        <v>43602</v>
      </c>
      <c r="C34650" s="5" t="str">
        <f>IFERROR(__xludf.DUMMYFUNCTION("GOOGLETRANSLATE(B34650,""en"",""es-ES"")"),"Una mujer que habla en un micrófono con una camisa blanca.")</f>
        <v>Una mujer que habla en un micrófono con una camisa blanca.</v>
      </c>
    </row>
    <row r="34651">
      <c r="A34651" s="4" t="s">
        <v>43600</v>
      </c>
      <c r="B34651" s="4" t="s">
        <v>43603</v>
      </c>
      <c r="C34651" s="5" t="str">
        <f>IFERROR(__xludf.DUMMYFUNCTION("GOOGLETRANSLATE(B34651,""en"",""es-ES"")"),"Un hombre está jugando a un billar detrás de una mesa de billar azul.")</f>
        <v>Un hombre está jugando a un billar detrás de una mesa de billar azul.</v>
      </c>
    </row>
    <row r="34652">
      <c r="A34652" s="4" t="s">
        <v>43600</v>
      </c>
      <c r="B34652" s="4" t="s">
        <v>43604</v>
      </c>
      <c r="C34652" s="5" t="str">
        <f>IFERROR(__xludf.DUMMYFUNCTION("GOOGLETRANSLATE(B34652,""en"",""es-ES"")"),"La mujer continúa hablando frente a la mesa de billar.")</f>
        <v>La mujer continúa hablando frente a la mesa de billar.</v>
      </c>
    </row>
    <row r="34653">
      <c r="A34653" s="4" t="s">
        <v>43600</v>
      </c>
      <c r="B34653" s="4" t="s">
        <v>43605</v>
      </c>
      <c r="C34653" s="5" t="str">
        <f>IFERROR(__xludf.DUMMYFUNCTION("GOOGLETRANSLATE(B34653,""en"",""es-ES"")"),"La mujer y el hombre hablan entre sí.")</f>
        <v>La mujer y el hombre hablan entre sí.</v>
      </c>
    </row>
    <row r="34654">
      <c r="A34654" s="4" t="s">
        <v>43600</v>
      </c>
      <c r="B34654" s="4" t="s">
        <v>43606</v>
      </c>
      <c r="C34654" s="5" t="str">
        <f>IFERROR(__xludf.DUMMYFUNCTION("GOOGLETRANSLATE(B34654,""en"",""es-ES"")"),"Un trofeo parpadea en la pantalla.")</f>
        <v>Un trofeo parpadea en la pantalla.</v>
      </c>
    </row>
    <row r="34655">
      <c r="A34655" s="4" t="s">
        <v>43600</v>
      </c>
      <c r="B34655" s="4" t="s">
        <v>43607</v>
      </c>
      <c r="C34655" s="5" t="str">
        <f>IFERROR(__xludf.DUMMYFUNCTION("GOOGLETRANSLATE(B34655,""en"",""es-ES"")"),"El hombre y la mujer continúan hablando.")</f>
        <v>El hombre y la mujer continúan hablando.</v>
      </c>
    </row>
    <row r="34656">
      <c r="A34656" s="4" t="s">
        <v>43600</v>
      </c>
      <c r="B34656" s="4" t="s">
        <v>43608</v>
      </c>
      <c r="C34656" s="5" t="str">
        <f>IFERROR(__xludf.DUMMYFUNCTION("GOOGLETRANSLATE(B34656,""en"",""es-ES"")"),"El hombre vuelve a jugar al billar.")</f>
        <v>El hombre vuelve a jugar al billar.</v>
      </c>
    </row>
    <row r="34657">
      <c r="A34657" s="4" t="s">
        <v>43600</v>
      </c>
      <c r="B34657" s="4" t="s">
        <v>43609</v>
      </c>
      <c r="C34657" s="5" t="str">
        <f>IFERROR(__xludf.DUMMYFUNCTION("GOOGLETRANSLATE(B34657,""en"",""es-ES"")"),"El hombre y la mujer continúan hablando entre ellos.")</f>
        <v>El hombre y la mujer continúan hablando entre ellos.</v>
      </c>
    </row>
    <row r="34658">
      <c r="A34658" s="4" t="s">
        <v>43600</v>
      </c>
      <c r="B34658" s="4" t="s">
        <v>43610</v>
      </c>
      <c r="C34658" s="5" t="str">
        <f>IFERROR(__xludf.DUMMYFUNCTION("GOOGLETRANSLATE(B34658,""en"",""es-ES"")"),"Regresa a la mesa de billar.")</f>
        <v>Regresa a la mesa de billar.</v>
      </c>
    </row>
    <row r="34659">
      <c r="A34659" s="4" t="s">
        <v>43600</v>
      </c>
      <c r="B34659" s="4" t="s">
        <v>43611</v>
      </c>
      <c r="C34659" s="5" t="str">
        <f>IFERROR(__xludf.DUMMYFUNCTION("GOOGLETRANSLATE(B34659,""en"",""es-ES"")"),"El hombre y la mujer continúan hablando y la mujer se ríe de lo que dice el hombre.")</f>
        <v>El hombre y la mujer continúan hablando y la mujer se ríe de lo que dice el hombre.</v>
      </c>
    </row>
    <row r="34660">
      <c r="A34660" s="4" t="s">
        <v>43600</v>
      </c>
      <c r="B34660" s="4" t="s">
        <v>43612</v>
      </c>
      <c r="C34660" s="5" t="str">
        <f>IFERROR(__xludf.DUMMYFUNCTION("GOOGLETRANSLATE(B34660,""en"",""es-ES"")"),"El hombre ahora le está enseñando a la mujer cómo disparar a la bola de la piscina mientras está de pie detrás de ella.")</f>
        <v>El hombre ahora le está enseñando a la mujer cómo disparar a la bola de la piscina mientras está de pie detrás de ella.</v>
      </c>
    </row>
    <row r="34661">
      <c r="A34661" s="4" t="s">
        <v>43600</v>
      </c>
      <c r="B34661" s="4" t="s">
        <v>43613</v>
      </c>
      <c r="C34661" s="5" t="str">
        <f>IFERROR(__xludf.DUMMYFUNCTION("GOOGLETRANSLATE(B34661,""en"",""es-ES"")"),"La mujer hace el tiro y celebran con un máximo.")</f>
        <v>La mujer hace el tiro y celebran con un máximo.</v>
      </c>
    </row>
    <row r="34662">
      <c r="A34662" s="4" t="s">
        <v>43600</v>
      </c>
      <c r="B34662" s="4" t="s">
        <v>43614</v>
      </c>
      <c r="C34662" s="5" t="str">
        <f>IFERROR(__xludf.DUMMYFUNCTION("GOOGLETRANSLATE(B34662,""en"",""es-ES"")"),"El hombre le dice a la mujer cómo hacer otra oportunidad.")</f>
        <v>El hombre le dice a la mujer cómo hacer otra oportunidad.</v>
      </c>
    </row>
    <row r="34663">
      <c r="A34663" s="4" t="s">
        <v>43600</v>
      </c>
      <c r="B34663" s="4" t="s">
        <v>43615</v>
      </c>
      <c r="C34663" s="5" t="str">
        <f>IFERROR(__xludf.DUMMYFUNCTION("GOOGLETRANSLATE(B34663,""en"",""es-ES"")"),"Ella intenta el disparo y lo hace y ellos son cinco nuevamente.")</f>
        <v>Ella intenta el disparo y lo hace y ellos son cinco nuevamente.</v>
      </c>
    </row>
    <row r="34664">
      <c r="A34664" s="4" t="s">
        <v>43600</v>
      </c>
      <c r="B34664" s="4" t="s">
        <v>43616</v>
      </c>
      <c r="C34664" s="5" t="str">
        <f>IFERROR(__xludf.DUMMYFUNCTION("GOOGLETRANSLATE(B34664,""en"",""es-ES"")"),"Continúan hablando y riendo.")</f>
        <v>Continúan hablando y riendo.</v>
      </c>
    </row>
    <row r="34665">
      <c r="A34665" s="4" t="s">
        <v>43600</v>
      </c>
      <c r="B34665" s="4" t="s">
        <v>43617</v>
      </c>
      <c r="C34665" s="5" t="str">
        <f>IFERROR(__xludf.DUMMYFUNCTION("GOOGLETRANSLATE(B34665,""en"",""es-ES"")"),"La mujer se acuesta en la mesa de billar y él le dispara una pelota de la boca.")</f>
        <v>La mujer se acuesta en la mesa de billar y él le dispara una pelota de la boca.</v>
      </c>
    </row>
    <row r="34666">
      <c r="A34666" s="4" t="s">
        <v>43600</v>
      </c>
      <c r="B34666" s="4" t="s">
        <v>43618</v>
      </c>
      <c r="C34666" s="5" t="str">
        <f>IFERROR(__xludf.DUMMYFUNCTION("GOOGLETRANSLATE(B34666,""en"",""es-ES"")"),"La mujer está sentada en una silla al lado de la mesa de billar hablando con el micrófono.")</f>
        <v>La mujer está sentada en una silla al lado de la mesa de billar hablando con el micrófono.</v>
      </c>
    </row>
    <row r="34667">
      <c r="A34667" s="4" t="s">
        <v>43600</v>
      </c>
      <c r="B34667" s="4" t="s">
        <v>43619</v>
      </c>
      <c r="C34667" s="5" t="str">
        <f>IFERROR(__xludf.DUMMYFUNCTION("GOOGLETRANSLATE(B34667,""en"",""es-ES"")"),"Un logotipo de Maxim parpadea en la pantalla.")</f>
        <v>Un logotipo de Maxim parpadea en la pantalla.</v>
      </c>
    </row>
    <row r="34668">
      <c r="A34668" s="4" t="s">
        <v>43620</v>
      </c>
      <c r="B34668" s="4" t="s">
        <v>43621</v>
      </c>
      <c r="C34668" s="5" t="str">
        <f>IFERROR(__xludf.DUMMYFUNCTION("GOOGLETRANSLATE(B34668,""en"",""es-ES"")"),"Un hombre demuestra cómo aplicar el maquillaje a una cara aplicando el maquillaje en su propia cara en la cámara.")</f>
        <v>Un hombre demuestra cómo aplicar el maquillaje a una cara aplicando el maquillaje en su propia cara en la cámara.</v>
      </c>
    </row>
    <row r="34669">
      <c r="A34669" s="4" t="s">
        <v>43620</v>
      </c>
      <c r="B34669" s="4" t="s">
        <v>43622</v>
      </c>
      <c r="C34669" s="5" t="str">
        <f>IFERROR(__xludf.DUMMYFUNCTION("GOOGLETRANSLATE(B34669,""en"",""es-ES"")"),"Un hombre habla con la cámara, de cerca, mientras está parado frente a un espejo.")</f>
        <v>Un hombre habla con la cámara, de cerca, mientras está parado frente a un espejo.</v>
      </c>
    </row>
    <row r="34670">
      <c r="A34670" s="4" t="s">
        <v>43620</v>
      </c>
      <c r="B34670" s="4" t="s">
        <v>43623</v>
      </c>
      <c r="C34670" s="5" t="str">
        <f>IFERROR(__xludf.DUMMYFUNCTION("GOOGLETRANSLATE(B34670,""en"",""es-ES"")"),"El hombre comienza a ponerse rubor de maquillaje con un cepillo y cepillando las manzanas de sus mejillas.")</f>
        <v>El hombre comienza a ponerse rubor de maquillaje con un cepillo y cepillando las manzanas de sus mejillas.</v>
      </c>
    </row>
    <row r="34671">
      <c r="A34671" s="4" t="s">
        <v>43620</v>
      </c>
      <c r="B34671" s="4" t="s">
        <v>43624</v>
      </c>
      <c r="C34671" s="5" t="str">
        <f>IFERROR(__xludf.DUMMYFUNCTION("GOOGLETRANSLATE(B34671,""en"",""es-ES"")"),"Luego, el hombre dirige una herramienta de maquillaje como un crayón en sus mejillas antes de regresar para aplicar sonrojo a sus mejillas y frente.")</f>
        <v>Luego, el hombre dirige una herramienta de maquillaje como un crayón en sus mejillas antes de regresar para aplicar sonrojo a sus mejillas y frente.</v>
      </c>
    </row>
    <row r="34672">
      <c r="A34672" s="4" t="s">
        <v>43620</v>
      </c>
      <c r="B34672" s="4" t="s">
        <v>43625</v>
      </c>
      <c r="C34672" s="5" t="str">
        <f>IFERROR(__xludf.DUMMYFUNCTION("GOOGLETRANSLATE(B34672,""en"",""es-ES"")"),"Luego, el hombre usa un cepillo estrecho y ancho en sus mejillas y luego de regreso al cepillo normal para las mismas áreas de su rostro.")</f>
        <v>Luego, el hombre usa un cepillo estrecho y ancho en sus mejillas y luego de regreso al cepillo normal para las mismas áreas de su rostro.</v>
      </c>
    </row>
    <row r="34673">
      <c r="A34673" s="4" t="s">
        <v>43626</v>
      </c>
      <c r="B34673" s="4" t="s">
        <v>43627</v>
      </c>
      <c r="C34673" s="5" t="str">
        <f>IFERROR(__xludf.DUMMYFUNCTION("GOOGLETRANSLATE(B34673,""en"",""es-ES"")"),"Una introducción conduce a un hombre que sostiene un violín y juega con las manos.")</f>
        <v>Una introducción conduce a un hombre que sostiene un violín y juega con las manos.</v>
      </c>
    </row>
    <row r="34674">
      <c r="A34674" s="4" t="s">
        <v>43626</v>
      </c>
      <c r="B34674" s="4" t="s">
        <v>43628</v>
      </c>
      <c r="C34674" s="5" t="str">
        <f>IFERROR(__xludf.DUMMYFUNCTION("GOOGLETRANSLATE(B34674,""en"",""es-ES"")"),"El hombre continúa jugando y luego se detiene para hablar con la cámara al tiempo que demuestra cómo jugar correctamente.")</f>
        <v>El hombre continúa jugando y luego se detiene para hablar con la cámara al tiempo que demuestra cómo jugar correctamente.</v>
      </c>
    </row>
    <row r="34675">
      <c r="A34675" s="4" t="s">
        <v>43629</v>
      </c>
      <c r="B34675" s="4" t="s">
        <v>43630</v>
      </c>
      <c r="C34675" s="5" t="str">
        <f>IFERROR(__xludf.DUMMYFUNCTION("GOOGLETRANSLATE(B34675,""en"",""es-ES"")"),"Un hombre está limpiando las plantas de sus zapatillas con el delgado extremo de metal de una manguera.")</f>
        <v>Un hombre está limpiando las plantas de sus zapatillas con el delgado extremo de metal de una manguera.</v>
      </c>
    </row>
    <row r="34676">
      <c r="A34676" s="4" t="s">
        <v>43629</v>
      </c>
      <c r="B34676" s="4" t="s">
        <v>43631</v>
      </c>
      <c r="C34676" s="5" t="str">
        <f>IFERROR(__xludf.DUMMYFUNCTION("GOOGLETRANSLATE(B34676,""en"",""es-ES"")"),"El hombre coloca la manguera y comienza a irse.")</f>
        <v>El hombre coloca la manguera y comienza a irse.</v>
      </c>
    </row>
    <row r="34677">
      <c r="A34677" s="4" t="s">
        <v>43632</v>
      </c>
      <c r="B34677" s="4" t="s">
        <v>43633</v>
      </c>
      <c r="C34677" s="5" t="str">
        <f>IFERROR(__xludf.DUMMYFUNCTION("GOOGLETRANSLATE(B34677,""en"",""es-ES"")"),"Un hombre está bailando en un escenario con pantalones blancos.")</f>
        <v>Un hombre está bailando en un escenario con pantalones blancos.</v>
      </c>
    </row>
    <row r="34678">
      <c r="A34678" s="4" t="s">
        <v>43632</v>
      </c>
      <c r="B34678" s="4" t="s">
        <v>43634</v>
      </c>
      <c r="C34678" s="5" t="str">
        <f>IFERROR(__xludf.DUMMYFUNCTION("GOOGLETRANSLATE(B34678,""en"",""es-ES"")"),"Dos personas comienzan a bailar juntas en un escenario.")</f>
        <v>Dos personas comienzan a bailar juntas en un escenario.</v>
      </c>
    </row>
    <row r="34679">
      <c r="A34679" s="4" t="s">
        <v>43632</v>
      </c>
      <c r="B34679" s="4" t="s">
        <v>43635</v>
      </c>
      <c r="C34679" s="5" t="str">
        <f>IFERROR(__xludf.DUMMYFUNCTION("GOOGLETRANSLATE(B34679,""en"",""es-ES"")"),"Un hombre hace varias volteidades en el escenario.")</f>
        <v>Un hombre hace varias volteidades en el escenario.</v>
      </c>
    </row>
    <row r="34680">
      <c r="A34680" s="4" t="s">
        <v>43632</v>
      </c>
      <c r="B34680" s="4" t="s">
        <v>43636</v>
      </c>
      <c r="C34680" s="5" t="str">
        <f>IFERROR(__xludf.DUMMYFUNCTION("GOOGLETRANSLATE(B34680,""en"",""es-ES"")"),"Una persona está tocando un tambor.")</f>
        <v>Una persona está tocando un tambor.</v>
      </c>
    </row>
    <row r="34681">
      <c r="A34681" s="4" t="s">
        <v>43637</v>
      </c>
      <c r="B34681" s="4" t="s">
        <v>43638</v>
      </c>
      <c r="C34681" s="5" t="str">
        <f>IFERROR(__xludf.DUMMYFUNCTION("GOOGLETRANSLATE(B34681,""en"",""es-ES"")"),"Varias personas son vistas bajando por una colina en las cuchillas de los rodillos mientras una persona en una bicicleta de policía se mueve al frente.")</f>
        <v>Varias personas son vistas bajando por una colina en las cuchillas de los rodillos mientras una persona en una bicicleta de policía se mueve al frente.</v>
      </c>
    </row>
    <row r="34682">
      <c r="A34682" s="4" t="s">
        <v>43637</v>
      </c>
      <c r="B34682" s="4" t="s">
        <v>43639</v>
      </c>
      <c r="C34682" s="5" t="str">
        <f>IFERROR(__xludf.DUMMYFUNCTION("GOOGLETRANSLATE(B34682,""en"",""es-ES"")"),"En un momento, varias personas caen y tropezan entre sí, pero siguen montando sus cuchillas.")</f>
        <v>En un momento, varias personas caen y tropezan entre sí, pero siguen montando sus cuchillas.</v>
      </c>
    </row>
    <row r="34683">
      <c r="A34683" s="4" t="s">
        <v>43640</v>
      </c>
      <c r="B34683" s="4" t="s">
        <v>43641</v>
      </c>
      <c r="C34683" s="5" t="str">
        <f>IFERROR(__xludf.DUMMYFUNCTION("GOOGLETRANSLATE(B34683,""en"",""es-ES"")"),"Un hombre montado en un caballo persigue a una vaca.")</f>
        <v>Un hombre montado en un caballo persigue a una vaca.</v>
      </c>
    </row>
    <row r="34684">
      <c r="A34684" s="4" t="s">
        <v>43640</v>
      </c>
      <c r="B34684" s="4" t="s">
        <v>43642</v>
      </c>
      <c r="C34684" s="5" t="str">
        <f>IFERROR(__xludf.DUMMYFUNCTION("GOOGLETRANSLATE(B34684,""en"",""es-ES"")"),"Atrapa a la vaca con una cuerda.")</f>
        <v>Atrapa a la vaca con una cuerda.</v>
      </c>
    </row>
    <row r="34685">
      <c r="A34685" s="4" t="s">
        <v>43640</v>
      </c>
      <c r="B34685" s="4" t="s">
        <v>43643</v>
      </c>
      <c r="C34685" s="5" t="str">
        <f>IFERROR(__xludf.DUMMYFUNCTION("GOOGLETRANSLATE(B34685,""en"",""es-ES"")"),"Se monta del caballo y golpea la vaca varias veces.")</f>
        <v>Se monta del caballo y golpea la vaca varias veces.</v>
      </c>
    </row>
    <row r="34686">
      <c r="A34686" s="4" t="s">
        <v>43644</v>
      </c>
      <c r="B34686" s="4" t="s">
        <v>43645</v>
      </c>
      <c r="C34686" s="5" t="str">
        <f>IFERROR(__xludf.DUMMYFUNCTION("GOOGLETRANSLATE(B34686,""en"",""es-ES"")"),"Un hombre se para alrededor de un pozo de fuego, hablando.")</f>
        <v>Un hombre se para alrededor de un pozo de fuego, hablando.</v>
      </c>
    </row>
    <row r="34687">
      <c r="A34687" s="4" t="s">
        <v>43644</v>
      </c>
      <c r="B34687" s="4" t="s">
        <v>43646</v>
      </c>
      <c r="C34687" s="5" t="str">
        <f>IFERROR(__xludf.DUMMYFUNCTION("GOOGLETRANSLATE(B34687,""en"",""es-ES"")"),"El hombre enciende una antorcha.")</f>
        <v>El hombre enciende una antorcha.</v>
      </c>
    </row>
    <row r="34688">
      <c r="A34688" s="4" t="s">
        <v>43644</v>
      </c>
      <c r="B34688" s="4" t="s">
        <v>43647</v>
      </c>
      <c r="C34688" s="5" t="str">
        <f>IFERROR(__xludf.DUMMYFUNCTION("GOOGLETRANSLATE(B34688,""en"",""es-ES"")"),"El hombre usa la antorcha para encender la madera en el pozo de fuego.")</f>
        <v>El hombre usa la antorcha para encender la madera en el pozo de fuego.</v>
      </c>
    </row>
    <row r="34689">
      <c r="A34689" s="4" t="s">
        <v>43644</v>
      </c>
      <c r="B34689" s="4" t="s">
        <v>43648</v>
      </c>
      <c r="C34689" s="5" t="str">
        <f>IFERROR(__xludf.DUMMYFUNCTION("GOOGLETRANSLATE(B34689,""en"",""es-ES"")"),"El hombre se sienta junto al pozo de fuego, disfrutando del calor.")</f>
        <v>El hombre se sienta junto al pozo de fuego, disfrutando del calor.</v>
      </c>
    </row>
    <row r="34690">
      <c r="A34690" s="4" t="s">
        <v>43649</v>
      </c>
      <c r="B34690" s="4" t="s">
        <v>43650</v>
      </c>
      <c r="C34690" s="5" t="str">
        <f>IFERROR(__xludf.DUMMYFUNCTION("GOOGLETRANSLATE(B34690,""en"",""es-ES"")"),"Un hombre con una camisa negra está revisando comida en una tienda de sándwiches.")</f>
        <v>Un hombre con una camisa negra está revisando comida en una tienda de sándwiches.</v>
      </c>
    </row>
    <row r="34691">
      <c r="A34691" s="4" t="s">
        <v>43649</v>
      </c>
      <c r="B34691" s="4" t="s">
        <v>43651</v>
      </c>
      <c r="C34691" s="5" t="str">
        <f>IFERROR(__xludf.DUMMYFUNCTION("GOOGLETRANSLATE(B34691,""en"",""es-ES"")"),"Luego, el hombre se mueve rápidamente para hacer un sándwich de hoagie agregando ingredientes de los contenedores.")</f>
        <v>Luego, el hombre se mueve rápidamente para hacer un sándwich de hoagie agregando ingredientes de los contenedores.</v>
      </c>
    </row>
    <row r="34692">
      <c r="A34692" s="4" t="s">
        <v>43649</v>
      </c>
      <c r="B34692" s="4" t="s">
        <v>43652</v>
      </c>
      <c r="C34692" s="5" t="str">
        <f>IFERROR(__xludf.DUMMYFUNCTION("GOOGLETRANSLATE(B34692,""en"",""es-ES"")"),"El hombre envuelve el sándwich en papel y lo pone en una bolsa de plástico.")</f>
        <v>El hombre envuelve el sándwich en papel y lo pone en una bolsa de plástico.</v>
      </c>
    </row>
    <row r="34693">
      <c r="A34693" s="4" t="s">
        <v>43649</v>
      </c>
      <c r="B34693" s="4" t="s">
        <v>43653</v>
      </c>
      <c r="C34693" s="5" t="str">
        <f>IFERROR(__xludf.DUMMYFUNCTION("GOOGLETRANSLATE(B34693,""en"",""es-ES"")"),"Vemos en un teléfono que el hombre hizo el sándwich en 41 segundos.")</f>
        <v>Vemos en un teléfono que el hombre hizo el sándwich en 41 segundos.</v>
      </c>
    </row>
    <row r="34694">
      <c r="A34694" s="4" t="s">
        <v>43649</v>
      </c>
      <c r="B34694" s="4" t="s">
        <v>43654</v>
      </c>
      <c r="C34694" s="5" t="str">
        <f>IFERROR(__xludf.DUMMYFUNCTION("GOOGLETRANSLATE(B34694,""en"",""es-ES"")"),"El hombre luego se separa el sándwich en la espalda.")</f>
        <v>El hombre luego se separa el sándwich en la espalda.</v>
      </c>
    </row>
    <row r="34695">
      <c r="A34695" s="4" t="s">
        <v>43655</v>
      </c>
      <c r="B34695" s="4" t="s">
        <v>6935</v>
      </c>
      <c r="C34695" s="5" t="str">
        <f>IFERROR(__xludf.DUMMYFUNCTION("GOOGLETRANSLATE(B34695,""en"",""es-ES"")"),"El texto aparece en la pantalla brevemente.")</f>
        <v>El texto aparece en la pantalla brevemente.</v>
      </c>
    </row>
    <row r="34696">
      <c r="A34696" s="4" t="s">
        <v>43655</v>
      </c>
      <c r="B34696" s="4" t="s">
        <v>43656</v>
      </c>
      <c r="C34696" s="5" t="str">
        <f>IFERROR(__xludf.DUMMYFUNCTION("GOOGLETRANSLATE(B34696,""en"",""es-ES"")"),"La cámara se mueve por el costado de una cerca.")</f>
        <v>La cámara se mueve por el costado de una cerca.</v>
      </c>
    </row>
    <row r="34697">
      <c r="A34697" s="4" t="s">
        <v>43655</v>
      </c>
      <c r="B34697" s="4" t="s">
        <v>43657</v>
      </c>
      <c r="C34697" s="5" t="str">
        <f>IFERROR(__xludf.DUMMYFUNCTION("GOOGLETRANSLATE(B34697,""en"",""es-ES"")"),"Se detiene en una sección rota.")</f>
        <v>Se detiene en una sección rota.</v>
      </c>
    </row>
    <row r="34698">
      <c r="A34698" s="4" t="s">
        <v>43655</v>
      </c>
      <c r="B34698" s="4" t="s">
        <v>43658</v>
      </c>
      <c r="C34698" s="5" t="str">
        <f>IFERROR(__xludf.DUMMYFUNCTION("GOOGLETRANSLATE(B34698,""en"",""es-ES"")"),"Continúa desplazando la cerca.")</f>
        <v>Continúa desplazando la cerca.</v>
      </c>
    </row>
    <row r="34699">
      <c r="A34699" s="4" t="s">
        <v>43655</v>
      </c>
      <c r="B34699" s="4" t="s">
        <v>43659</v>
      </c>
      <c r="C34699" s="5" t="str">
        <f>IFERROR(__xludf.DUMMYFUNCTION("GOOGLETRANSLATE(B34699,""en"",""es-ES"")"),"Las uñas son martilladas en la cerca.")</f>
        <v>Las uñas son martilladas en la cerca.</v>
      </c>
    </row>
    <row r="34700">
      <c r="A34700" s="4" t="s">
        <v>43655</v>
      </c>
      <c r="B34700" s="4" t="s">
        <v>43660</v>
      </c>
      <c r="C34700" s="5" t="str">
        <f>IFERROR(__xludf.DUMMYFUNCTION("GOOGLETRANSLATE(B34700,""en"",""es-ES"")"),"Continúan por la cerca y eliminan algunas plantas muertas.")</f>
        <v>Continúan por la cerca y eliminan algunas plantas muertas.</v>
      </c>
    </row>
    <row r="34701">
      <c r="A34701" s="4" t="s">
        <v>43655</v>
      </c>
      <c r="B34701" s="4" t="s">
        <v>43661</v>
      </c>
      <c r="C34701" s="5" t="str">
        <f>IFERROR(__xludf.DUMMYFUNCTION("GOOGLETRANSLATE(B34701,""en"",""es-ES"")"),"Muestran un producto utilizado para limpiar la cerca.")</f>
        <v>Muestran un producto utilizado para limpiar la cerca.</v>
      </c>
    </row>
    <row r="34702">
      <c r="A34702" s="4" t="s">
        <v>43655</v>
      </c>
      <c r="B34702" s="4" t="s">
        <v>43662</v>
      </c>
      <c r="C34702" s="5" t="str">
        <f>IFERROR(__xludf.DUMMYFUNCTION("GOOGLETRANSLATE(B34702,""en"",""es-ES"")"),"Un hombre rocía la cerca con el producto.")</f>
        <v>Un hombre rocía la cerca con el producto.</v>
      </c>
    </row>
    <row r="34703">
      <c r="A34703" s="4" t="s">
        <v>43655</v>
      </c>
      <c r="B34703" s="4" t="s">
        <v>43663</v>
      </c>
      <c r="C34703" s="5" t="str">
        <f>IFERROR(__xludf.DUMMYFUNCTION("GOOGLETRANSLATE(B34703,""en"",""es-ES"")"),"Lo deja caer y recibe algo de pintura.")</f>
        <v>Lo deja caer y recibe algo de pintura.</v>
      </c>
    </row>
    <row r="34704">
      <c r="A34704" s="4" t="s">
        <v>43655</v>
      </c>
      <c r="B34704" s="4" t="s">
        <v>43664</v>
      </c>
      <c r="C34704" s="5" t="str">
        <f>IFERROR(__xludf.DUMMYFUNCTION("GOOGLETRANSLATE(B34704,""en"",""es-ES"")"),"Se muestra una sección pintada de la cerca.")</f>
        <v>Se muestra una sección pintada de la cerca.</v>
      </c>
    </row>
    <row r="34705">
      <c r="A34705" s="4" t="s">
        <v>43665</v>
      </c>
      <c r="B34705" s="4" t="s">
        <v>43666</v>
      </c>
      <c r="C34705" s="5" t="str">
        <f>IFERROR(__xludf.DUMMYFUNCTION("GOOGLETRANSLATE(B34705,""en"",""es-ES"")"),"Un poco en una camisa rosa cruza los bares de mono.")</f>
        <v>Un poco en una camisa rosa cruza los bares de mono.</v>
      </c>
    </row>
    <row r="34706">
      <c r="A34706" s="4" t="s">
        <v>43665</v>
      </c>
      <c r="B34706" s="4" t="s">
        <v>43667</v>
      </c>
      <c r="C34706" s="5" t="str">
        <f>IFERROR(__xludf.DUMMYFUNCTION("GOOGLETRANSLATE(B34706,""en"",""es-ES"")"),"Ella cuelga boca abajo de las barras.")</f>
        <v>Ella cuelga boca abajo de las barras.</v>
      </c>
    </row>
    <row r="34707">
      <c r="A34707" s="4" t="s">
        <v>43665</v>
      </c>
      <c r="B34707" s="4" t="s">
        <v>43668</v>
      </c>
      <c r="C34707" s="5" t="str">
        <f>IFERROR(__xludf.DUMMYFUNCTION("GOOGLETRANSLATE(B34707,""en"",""es-ES"")"),"Ella sonríe a la cámara.")</f>
        <v>Ella sonríe a la cámara.</v>
      </c>
    </row>
    <row r="34708">
      <c r="A34708" s="4" t="s">
        <v>43669</v>
      </c>
      <c r="B34708" s="4" t="s">
        <v>43670</v>
      </c>
      <c r="C34708" s="5" t="str">
        <f>IFERROR(__xludf.DUMMYFUNCTION("GOOGLETRANSLATE(B34708,""en"",""es-ES"")"),"Aparece una pantalla de título para un tutorial para la agilidad de hockey.")</f>
        <v>Aparece una pantalla de título para un tutorial para la agilidad de hockey.</v>
      </c>
    </row>
    <row r="34709">
      <c r="A34709" s="4" t="s">
        <v>43669</v>
      </c>
      <c r="B34709" s="4" t="s">
        <v>43671</v>
      </c>
      <c r="C34709" s="5" t="str">
        <f>IFERROR(__xludf.DUMMYFUNCTION("GOOGLETRANSLATE(B34709,""en"",""es-ES"")"),"Un jugador de hockey pasa por varias rutinas que muestran calentamientos de agilidad con un palo de hockey y un disco y taladren con neumáticos, pequeños conos.")</f>
        <v>Un jugador de hockey pasa por varias rutinas que muestran calentamientos de agilidad con un palo de hockey y un disco y taladren con neumáticos, pequeños conos.</v>
      </c>
    </row>
    <row r="34710">
      <c r="A34710" s="4" t="s">
        <v>43669</v>
      </c>
      <c r="B34710" s="4" t="s">
        <v>43672</v>
      </c>
      <c r="C34710" s="5" t="str">
        <f>IFERROR(__xludf.DUMMYFUNCTION("GOOGLETRANSLATE(B34710,""en"",""es-ES"")"),"Otra pantalla de título aparece con un sitio web justo debajo.")</f>
        <v>Otra pantalla de título aparece con un sitio web justo debajo.</v>
      </c>
    </row>
    <row r="34711">
      <c r="A34711" s="4" t="s">
        <v>43673</v>
      </c>
      <c r="B34711" s="4" t="s">
        <v>43674</v>
      </c>
      <c r="C34711" s="5" t="str">
        <f>IFERROR(__xludf.DUMMYFUNCTION("GOOGLETRANSLATE(B34711,""en"",""es-ES"")"),"Una persona observa a otra persona que usa un soplador de hojas en un patio desde una ventana elevada.")</f>
        <v>Una persona observa a otra persona que usa un soplador de hojas en un patio desde una ventana elevada.</v>
      </c>
    </row>
    <row r="34712">
      <c r="A34712" s="4" t="s">
        <v>43673</v>
      </c>
      <c r="B34712" s="4" t="s">
        <v>43675</v>
      </c>
      <c r="C34712" s="5" t="str">
        <f>IFERROR(__xludf.DUMMYFUNCTION("GOOGLETRANSLATE(B34712,""en"",""es-ES"")"),"Una persona con ropa oscura sopla hojas en un pedazo de propiedad frente a dos puertas de garaje abiertas.")</f>
        <v>Una persona con ropa oscura sopla hojas en un pedazo de propiedad frente a dos puertas de garaje abiertas.</v>
      </c>
    </row>
    <row r="34713">
      <c r="A34713" s="4" t="s">
        <v>43673</v>
      </c>
      <c r="B34713" s="4" t="s">
        <v>43676</v>
      </c>
      <c r="C34713" s="5" t="str">
        <f>IFERROR(__xludf.DUMMYFUNCTION("GOOGLETRANSLATE(B34713,""en"",""es-ES"")"),"Otra persona se mueve con la cámara mientras mira desde una ventana en una habitación elevada contra un alféizar de la ventana blanca.")</f>
        <v>Otra persona se mueve con la cámara mientras mira desde una ventana en una habitación elevada contra un alféizar de la ventana blanca.</v>
      </c>
    </row>
    <row r="34714">
      <c r="A34714" s="4" t="s">
        <v>43673</v>
      </c>
      <c r="B34714" s="4" t="s">
        <v>43677</v>
      </c>
      <c r="C34714" s="5" t="str">
        <f>IFERROR(__xludf.DUMMYFUNCTION("GOOGLETRANSLATE(B34714,""en"",""es-ES"")"),"La persona que sopla las hojas se mueve alrededor del patio y continúa haciendo el mantenimiento del césped.")</f>
        <v>La persona que sopla las hojas se mueve alrededor del patio y continúa haciendo el mantenimiento del césped.</v>
      </c>
    </row>
    <row r="34715">
      <c r="A34715" s="4" t="s">
        <v>43678</v>
      </c>
      <c r="B34715" s="4" t="s">
        <v>43679</v>
      </c>
      <c r="C34715" s="5" t="str">
        <f>IFERROR(__xludf.DUMMYFUNCTION("GOOGLETRANSLATE(B34715,""en"",""es-ES"")"),"Una mujer habla mientras está en una máquina de escaleras en un gimnasio y muestra una base adecuada.")</f>
        <v>Una mujer habla mientras está en una máquina de escaleras en un gimnasio y muestra una base adecuada.</v>
      </c>
    </row>
    <row r="34716">
      <c r="A34716" s="4" t="s">
        <v>43678</v>
      </c>
      <c r="B34716" s="4" t="s">
        <v>43680</v>
      </c>
      <c r="C34716" s="5" t="str">
        <f>IFERROR(__xludf.DUMMYFUNCTION("GOOGLETRANSLATE(B34716,""en"",""es-ES"")"),"La mujer camina en una máquina aeróbica en el gimnasio sin las manijas.")</f>
        <v>La mujer camina en una máquina aeróbica en el gimnasio sin las manijas.</v>
      </c>
    </row>
    <row r="34717">
      <c r="A34717" s="4" t="s">
        <v>43678</v>
      </c>
      <c r="B34717" s="4" t="s">
        <v>43681</v>
      </c>
      <c r="C34717" s="5" t="str">
        <f>IFERROR(__xludf.DUMMYFUNCTION("GOOGLETRANSLATE(B34717,""en"",""es-ES"")"),"La mujer usa las barras de brazo mientras camina sobre la máquina aeróbica.")</f>
        <v>La mujer usa las barras de brazo mientras camina sobre la máquina aeróbica.</v>
      </c>
    </row>
    <row r="34718">
      <c r="A34718" s="4" t="s">
        <v>43678</v>
      </c>
      <c r="B34718" s="4" t="s">
        <v>43682</v>
      </c>
      <c r="C34718" s="5" t="str">
        <f>IFERROR(__xludf.DUMMYFUNCTION("GOOGLETRANSLATE(B34718,""en"",""es-ES"")"),"La mujer sostiene los agarres del brazo para salir de la máquina.")</f>
        <v>La mujer sostiene los agarres del brazo para salir de la máquina.</v>
      </c>
    </row>
    <row r="34719">
      <c r="A34719" s="4" t="s">
        <v>43683</v>
      </c>
      <c r="B34719" s="4" t="s">
        <v>43684</v>
      </c>
      <c r="C34719" s="5" t="str">
        <f>IFERROR(__xludf.DUMMYFUNCTION("GOOGLETRANSLATE(B34719,""en"",""es-ES"")"),"Se ve la mano de una persona sosteniendo un pincel.")</f>
        <v>Se ve la mano de una persona sosteniendo un pincel.</v>
      </c>
    </row>
    <row r="34720">
      <c r="A34720" s="4" t="s">
        <v>43683</v>
      </c>
      <c r="B34720" s="4" t="s">
        <v>43685</v>
      </c>
      <c r="C34720" s="5" t="str">
        <f>IFERROR(__xludf.DUMMYFUNCTION("GOOGLETRANSLATE(B34720,""en"",""es-ES"")"),"La mano luego pone gotas de tinta en el papel.")</f>
        <v>La mano luego pone gotas de tinta en el papel.</v>
      </c>
    </row>
    <row r="34721">
      <c r="A34721" s="4" t="s">
        <v>43683</v>
      </c>
      <c r="B34721" s="4" t="s">
        <v>43686</v>
      </c>
      <c r="C34721" s="5" t="str">
        <f>IFERROR(__xludf.DUMMYFUNCTION("GOOGLETRANSLATE(B34721,""en"",""es-ES"")"),"La mano de la persona se ve nuevamente con el pincel.")</f>
        <v>La mano de la persona se ve nuevamente con el pincel.</v>
      </c>
    </row>
    <row r="34722">
      <c r="A34722" s="4" t="s">
        <v>43683</v>
      </c>
      <c r="B34722" s="4" t="s">
        <v>43687</v>
      </c>
      <c r="C34722" s="5" t="str">
        <f>IFERROR(__xludf.DUMMYFUNCTION("GOOGLETRANSLATE(B34722,""en"",""es-ES"")"),"La mano regresa con un gotero de tinta y crea imágenes con tinta.")</f>
        <v>La mano regresa con un gotero de tinta y crea imágenes con tinta.</v>
      </c>
    </row>
    <row r="34723">
      <c r="A34723" s="4" t="s">
        <v>43683</v>
      </c>
      <c r="B34723" s="4" t="s">
        <v>43688</v>
      </c>
      <c r="C34723" s="5" t="str">
        <f>IFERROR(__xludf.DUMMYFUNCTION("GOOGLETRANSLATE(B34723,""en"",""es-ES"")"),"La mano toca suavemente la imagen con una toalla de papel.")</f>
        <v>La mano toca suavemente la imagen con una toalla de papel.</v>
      </c>
    </row>
    <row r="34724">
      <c r="A34724" s="4" t="s">
        <v>43689</v>
      </c>
      <c r="B34724" s="4" t="s">
        <v>43690</v>
      </c>
      <c r="C34724" s="5" t="str">
        <f>IFERROR(__xludf.DUMMYFUNCTION("GOOGLETRANSLATE(B34724,""en"",""es-ES"")"),"La mujer con camisa negra se dobla y golpea la pelota con mazo.")</f>
        <v>La mujer con camisa negra se dobla y golpea la pelota con mazo.</v>
      </c>
    </row>
    <row r="34725">
      <c r="A34725" s="4" t="s">
        <v>43689</v>
      </c>
      <c r="B34725" s="4" t="s">
        <v>43691</v>
      </c>
      <c r="C34725" s="5" t="str">
        <f>IFERROR(__xludf.DUMMYFUNCTION("GOOGLETRANSLATE(B34725,""en"",""es-ES"")"),"La mujer golpeó de nuevo la bola verde haciendo que golpee el pequeño poste.")</f>
        <v>La mujer golpeó de nuevo la bola verde haciendo que golpee el pequeño poste.</v>
      </c>
    </row>
    <row r="34726">
      <c r="A34726" s="4" t="s">
        <v>43689</v>
      </c>
      <c r="B34726" s="4" t="s">
        <v>43692</v>
      </c>
      <c r="C34726" s="5" t="str">
        <f>IFERROR(__xludf.DUMMYFUNCTION("GOOGLETRANSLATE(B34726,""en"",""es-ES"")"),"La mujer de negro vitoreó y comenzó a caminar.")</f>
        <v>La mujer de negro vitoreó y comenzó a caminar.</v>
      </c>
    </row>
    <row r="34727">
      <c r="A34727" s="4" t="s">
        <v>43693</v>
      </c>
      <c r="B34727" s="4" t="s">
        <v>43694</v>
      </c>
      <c r="C34727" s="5" t="str">
        <f>IFERROR(__xludf.DUMMYFUNCTION("GOOGLETRANSLATE(B34727,""en"",""es-ES"")"),"Se muestra un cronómetro y una multitud se reúne para un juego de hockey sobre césped.")</f>
        <v>Se muestra un cronómetro y una multitud se reúne para un juego de hockey sobre césped.</v>
      </c>
    </row>
    <row r="34728">
      <c r="A34728" s="4" t="s">
        <v>43693</v>
      </c>
      <c r="B34728" s="4" t="s">
        <v>43695</v>
      </c>
      <c r="C34728" s="5" t="str">
        <f>IFERROR(__xludf.DUMMYFUNCTION("GOOGLETRANSLATE(B34728,""en"",""es-ES"")"),"El documental presenta la voz de un ex jugador como metraje de archivo se muestra en color.")</f>
        <v>El documental presenta la voz de un ex jugador como metraje de archivo se muestra en color.</v>
      </c>
    </row>
    <row r="34729">
      <c r="A34729" s="4" t="s">
        <v>43693</v>
      </c>
      <c r="B34729" s="4" t="s">
        <v>43696</v>
      </c>
      <c r="C34729" s="5" t="str">
        <f>IFERROR(__xludf.DUMMYFUNCTION("GOOGLETRANSLATE(B34729,""en"",""es-ES"")"),"Fotos y video en blanco y negro representan la historia del juego.")</f>
        <v>Fotos y video en blanco y negro representan la historia del juego.</v>
      </c>
    </row>
    <row r="34730">
      <c r="A34730" s="4" t="s">
        <v>43693</v>
      </c>
      <c r="B34730" s="4" t="s">
        <v>43697</v>
      </c>
      <c r="C34730" s="5" t="str">
        <f>IFERROR(__xludf.DUMMYFUNCTION("GOOGLETRANSLATE(B34730,""en"",""es-ES"")"),"El documental se centra en un jugador famoso.")</f>
        <v>El documental se centra en un jugador famoso.</v>
      </c>
    </row>
    <row r="34731">
      <c r="A34731" s="4" t="s">
        <v>43693</v>
      </c>
      <c r="B34731" s="4" t="s">
        <v>43698</v>
      </c>
      <c r="C34731" s="5" t="str">
        <f>IFERROR(__xludf.DUMMYFUNCTION("GOOGLETRANSLATE(B34731,""en"",""es-ES"")"),"Después de eso, se destaca un gerente famoso y los ex jugadores hablan de él.")</f>
        <v>Después de eso, se destaca un gerente famoso y los ex jugadores hablan de él.</v>
      </c>
    </row>
    <row r="34732">
      <c r="A34732" s="4" t="s">
        <v>43699</v>
      </c>
      <c r="B34732" s="4" t="s">
        <v>43700</v>
      </c>
      <c r="C34732" s="5" t="str">
        <f>IFERROR(__xludf.DUMMYFUNCTION("GOOGLETRANSLATE(B34732,""en"",""es-ES"")"),"Una mujer habla con una cámara y luego demuestra ejercicios que se pueden hacer desde el patio de recreo utilizando equipos de juegos, incluidos bares de mono.")</f>
        <v>Una mujer habla con una cámara y luego demuestra ejercicios que se pueden hacer desde el patio de recreo utilizando equipos de juegos, incluidos bares de mono.</v>
      </c>
    </row>
    <row r="34733">
      <c r="A34733" s="4" t="s">
        <v>43699</v>
      </c>
      <c r="B34733" s="4" t="s">
        <v>43701</v>
      </c>
      <c r="C34733" s="5" t="str">
        <f>IFERROR(__xludf.DUMMYFUNCTION("GOOGLETRANSLATE(B34733,""en"",""es-ES"")"),"Una mujer con una camisa roja de manga corta se encuentra en la arena de un parque infantil y habla frente a la cámara, mientras está de pie junto a algunos bares de mono.")</f>
        <v>Una mujer con una camisa roja de manga corta se encuentra en la arena de un parque infantil y habla frente a la cámara, mientras está de pie junto a algunos bares de mono.</v>
      </c>
    </row>
    <row r="34734">
      <c r="A34734" s="4" t="s">
        <v>43699</v>
      </c>
      <c r="B34734" s="4" t="s">
        <v>43702</v>
      </c>
      <c r="C34734" s="5" t="str">
        <f>IFERROR(__xludf.DUMMYFUNCTION("GOOGLETRANSLATE(B34734,""en"",""es-ES"")"),"La mujer comienza a usar las barras de mono y se tira a través de toda la extensión de la barra sin usar los pies para la propulsión de una barra a otra, usando solo la fuerza del brazo y el núcleo para atravesar las barras.")</f>
        <v>La mujer comienza a usar las barras de mono y se tira a través de toda la extensión de la barra sin usar los pies para la propulsión de una barra a otra, usando solo la fuerza del brazo y el núcleo para atravesar las barras.</v>
      </c>
    </row>
    <row r="34735">
      <c r="A34735" s="4" t="s">
        <v>43699</v>
      </c>
      <c r="B34735" s="4" t="s">
        <v>43703</v>
      </c>
      <c r="C34735" s="5" t="str">
        <f>IFERROR(__xludf.DUMMYFUNCTION("GOOGLETRANSLATE(B34735,""en"",""es-ES"")"),"Luego, la mujer sube una pared y salta en un gimnasia voltea hacia la arena y comienza a hablar con la cámara nuevamente.")</f>
        <v>Luego, la mujer sube una pared y salta en un gimnasia voltea hacia la arena y comienza a hablar con la cámara nuevamente.</v>
      </c>
    </row>
    <row r="34736">
      <c r="A34736" s="4" t="s">
        <v>43704</v>
      </c>
      <c r="B34736" s="4" t="s">
        <v>43705</v>
      </c>
      <c r="C34736" s="5" t="str">
        <f>IFERROR(__xludf.DUMMYFUNCTION("GOOGLETRANSLATE(B34736,""en"",""es-ES"")"),"Se ve a un hombre sentado al margen seguido de un gran grupo de personas que juegan lacrosse.")</f>
        <v>Se ve a un hombre sentado al margen seguido de un gran grupo de personas que juegan lacrosse.</v>
      </c>
    </row>
    <row r="34737">
      <c r="A34737" s="4" t="s">
        <v>43704</v>
      </c>
      <c r="B34737" s="4" t="s">
        <v>43706</v>
      </c>
      <c r="C34737" s="5" t="str">
        <f>IFERROR(__xludf.DUMMYFUNCTION("GOOGLETRANSLATE(B34737,""en"",""es-ES"")"),"Los jugadores continúan avanzando por el campo y muchos mirando a los lados.")</f>
        <v>Los jugadores continúan avanzando por el campo y muchos mirando a los lados.</v>
      </c>
    </row>
    <row r="34738">
      <c r="A34738" s="4" t="s">
        <v>43704</v>
      </c>
      <c r="B34738" s="4" t="s">
        <v>43707</v>
      </c>
      <c r="C34738" s="5" t="str">
        <f>IFERROR(__xludf.DUMMYFUNCTION("GOOGLETRANSLATE(B34738,""en"",""es-ES"")"),"El grupo continúa jugando y terminando anotando un gol y el árbitro reaccionando.")</f>
        <v>El grupo continúa jugando y terminando anotando un gol y el árbitro reaccionando.</v>
      </c>
    </row>
    <row r="34739">
      <c r="A34739" s="4" t="s">
        <v>43708</v>
      </c>
      <c r="B34739" s="4" t="s">
        <v>43709</v>
      </c>
      <c r="C34739" s="5" t="str">
        <f>IFERROR(__xludf.DUMMYFUNCTION("GOOGLETRANSLATE(B34739,""en"",""es-ES"")"),"Un grupo de cadetes en ropa oscura aparece en lo que parece ser una plaza del centro de la ciudad.")</f>
        <v>Un grupo de cadetes en ropa oscura aparece en lo que parece ser una plaza del centro de la ciudad.</v>
      </c>
    </row>
    <row r="34740">
      <c r="A34740" s="4" t="s">
        <v>43708</v>
      </c>
      <c r="B34740" s="4" t="s">
        <v>43710</v>
      </c>
      <c r="C34740" s="5" t="str">
        <f>IFERROR(__xludf.DUMMYFUNCTION("GOOGLETRANSLATE(B34740,""en"",""es-ES"")"),"Se escucha una batería de batería con orgullo mientras los cadetes marchan por la calle.")</f>
        <v>Se escucha una batería de batería con orgullo mientras los cadetes marchan por la calle.</v>
      </c>
    </row>
    <row r="34741">
      <c r="A34741" s="4" t="s">
        <v>43708</v>
      </c>
      <c r="B34741" s="4" t="s">
        <v>43711</v>
      </c>
      <c r="C34741" s="5" t="str">
        <f>IFERROR(__xludf.DUMMYFUNCTION("GOOGLETRANSLATE(B34741,""en"",""es-ES"")"),"Los manifestantes comienzan a saludar a la multitud y saludando a los espectadores.")</f>
        <v>Los manifestantes comienzan a saludar a la multitud y saludando a los espectadores.</v>
      </c>
    </row>
    <row r="34742">
      <c r="A34742" s="4" t="s">
        <v>43708</v>
      </c>
      <c r="B34742" s="4" t="s">
        <v>43712</v>
      </c>
      <c r="C34742" s="5" t="str">
        <f>IFERROR(__xludf.DUMMYFUNCTION("GOOGLETRANSLATE(B34742,""en"",""es-ES"")"),"Se escucha un largo silbato de tren mientras los cadetes continúan saludando a la multitud.")</f>
        <v>Se escucha un largo silbato de tren mientras los cadetes continúan saludando a la multitud.</v>
      </c>
    </row>
    <row r="34743">
      <c r="A34743" s="4" t="s">
        <v>43708</v>
      </c>
      <c r="B34743" s="4" t="s">
        <v>43713</v>
      </c>
      <c r="C34743" s="5" t="str">
        <f>IFERROR(__xludf.DUMMYFUNCTION("GOOGLETRANSLATE(B34743,""en"",""es-ES"")"),"Detrás de los cadetes, aparece a la vista una banda de música, vestida de blanco.")</f>
        <v>Detrás de los cadetes, aparece a la vista una banda de música, vestida de blanco.</v>
      </c>
    </row>
    <row r="34744">
      <c r="A34744" s="4" t="s">
        <v>43708</v>
      </c>
      <c r="B34744" s="4" t="s">
        <v>43714</v>
      </c>
      <c r="C34744" s="5" t="str">
        <f>IFERROR(__xludf.DUMMYFUNCTION("GOOGLETRANSLATE(B34744,""en"",""es-ES"")"),"La banda marcha mientras toca canciones de cadetes.")</f>
        <v>La banda marcha mientras toca canciones de cadetes.</v>
      </c>
    </row>
    <row r="34745">
      <c r="A34745" s="4" t="s">
        <v>43715</v>
      </c>
      <c r="B34745" s="4" t="s">
        <v>43716</v>
      </c>
      <c r="C34745" s="5" t="str">
        <f>IFERROR(__xludf.DUMMYFUNCTION("GOOGLETRANSLATE(B34745,""en"",""es-ES"")"),"Las letras español se muestran en el video.")</f>
        <v>Las letras español se muestran en el video.</v>
      </c>
    </row>
    <row r="34746">
      <c r="A34746" s="4" t="s">
        <v>43715</v>
      </c>
      <c r="B34746" s="4" t="s">
        <v>43717</v>
      </c>
      <c r="C34746" s="5" t="str">
        <f>IFERROR(__xludf.DUMMYFUNCTION("GOOGLETRANSLATE(B34746,""en"",""es-ES"")"),"Baby Kid está bailando en la parte superior de una mesa con un pañal blanco en la cocina y una mujer lo está filmando.")</f>
        <v>Baby Kid está bailando en la parte superior de una mesa con un pañal blanco en la cocina y una mujer lo está filmando.</v>
      </c>
    </row>
    <row r="34747">
      <c r="A34747" s="4" t="s">
        <v>43718</v>
      </c>
      <c r="B34747" s="4" t="s">
        <v>43719</v>
      </c>
      <c r="C34747" s="5" t="str">
        <f>IFERROR(__xludf.DUMMYFUNCTION("GOOGLETRANSLATE(B34747,""en"",""es-ES"")"),"Una gimnasta se dobla para subir de peso sobre su cabeza, mientras que otros hombres se sientan en el gimnasio lo miran.")</f>
        <v>Una gimnasta se dobla para subir de peso sobre su cabeza, mientras que otros hombres se sientan en el gimnasio lo miran.</v>
      </c>
    </row>
    <row r="34748">
      <c r="A34748" s="4" t="s">
        <v>43718</v>
      </c>
      <c r="B34748" s="4" t="s">
        <v>43720</v>
      </c>
      <c r="C34748" s="5" t="str">
        <f>IFERROR(__xludf.DUMMYFUNCTION("GOOGLETRANSLATE(B34748,""en"",""es-ES"")"),"La gimnasta deja caer el peso al piso.")</f>
        <v>La gimnasta deja caer el peso al piso.</v>
      </c>
    </row>
    <row r="34749">
      <c r="A34749" s="4" t="s">
        <v>43721</v>
      </c>
      <c r="B34749" s="4" t="s">
        <v>43722</v>
      </c>
      <c r="C34749" s="5" t="str">
        <f>IFERROR(__xludf.DUMMYFUNCTION("GOOGLETRANSLATE(B34749,""en"",""es-ES"")"),"Se muestra a un hombre sentado en una cerca y hablando con la cámara mientras señala caballos.")</f>
        <v>Se muestra a un hombre sentado en una cerca y hablando con la cámara mientras señala caballos.</v>
      </c>
    </row>
    <row r="34750">
      <c r="A34750" s="4" t="s">
        <v>43721</v>
      </c>
      <c r="B34750" s="4" t="s">
        <v>43723</v>
      </c>
      <c r="C34750" s="5" t="str">
        <f>IFERROR(__xludf.DUMMYFUNCTION("GOOGLETRANSLATE(B34750,""en"",""es-ES"")"),"Se muestra a una niña montando un caballo mientras otros tres se aferran al caballo y ayudan.")</f>
        <v>Se muestra a una niña montando un caballo mientras otros tres se aferran al caballo y ayudan.</v>
      </c>
    </row>
    <row r="34751">
      <c r="A34751" s="4" t="s">
        <v>43721</v>
      </c>
      <c r="B34751" s="4" t="s">
        <v>43724</v>
      </c>
      <c r="C34751" s="5" t="str">
        <f>IFERROR(__xludf.DUMMYFUNCTION("GOOGLETRANSLATE(B34751,""en"",""es-ES"")"),"Estas personas ayudan a varias personas dentro y fuera de los caballos.")</f>
        <v>Estas personas ayudan a varias personas dentro y fuera de los caballos.</v>
      </c>
    </row>
    <row r="34752">
      <c r="A34752" s="4" t="s">
        <v>43721</v>
      </c>
      <c r="B34752" s="4" t="s">
        <v>43725</v>
      </c>
      <c r="C34752" s="5" t="str">
        <f>IFERROR(__xludf.DUMMYFUNCTION("GOOGLETRANSLATE(B34752,""en"",""es-ES"")"),"La gente también camina por los cursos de obstáculos con los caballos y mantiene una mano segura en todo momento.")</f>
        <v>La gente también camina por los cursos de obstáculos con los caballos y mantiene una mano segura en todo momento.</v>
      </c>
    </row>
    <row r="34753">
      <c r="A34753" s="4" t="s">
        <v>43721</v>
      </c>
      <c r="B34753" s="4" t="s">
        <v>43726</v>
      </c>
      <c r="C34753" s="5" t="str">
        <f>IFERROR(__xludf.DUMMYFUNCTION("GOOGLETRANSLATE(B34753,""en"",""es-ES"")"),"El hombre se para en el medio aplaudiendo a los jinetes y dando la dirección de los caballos.")</f>
        <v>El hombre se para en el medio aplaudiendo a los jinetes y dando la dirección de los caballos.</v>
      </c>
    </row>
    <row r="34754">
      <c r="A34754" s="4" t="s">
        <v>43721</v>
      </c>
      <c r="B34754" s="4" t="s">
        <v>43727</v>
      </c>
      <c r="C34754" s="5" t="str">
        <f>IFERROR(__xludf.DUMMYFUNCTION("GOOGLETRANSLATE(B34754,""en"",""es-ES"")"),"Un niño sonríe cuando sale del caballo y varias personas lo felicitan.")</f>
        <v>Un niño sonríe cuando sale del caballo y varias personas lo felicitan.</v>
      </c>
    </row>
    <row r="34755">
      <c r="A34755" s="4" t="s">
        <v>43721</v>
      </c>
      <c r="B34755" s="4" t="s">
        <v>43728</v>
      </c>
      <c r="C34755" s="5" t="str">
        <f>IFERROR(__xludf.DUMMYFUNCTION("GOOGLETRANSLATE(B34755,""en"",""es-ES"")"),"El hombre termina hablando de su campamento y por qué deberías unirte.")</f>
        <v>El hombre termina hablando de su campamento y por qué deberías unirte.</v>
      </c>
    </row>
    <row r="34756">
      <c r="A34756" s="4" t="s">
        <v>43729</v>
      </c>
      <c r="B34756" s="4" t="s">
        <v>43730</v>
      </c>
      <c r="C34756" s="5" t="str">
        <f>IFERROR(__xludf.DUMMYFUNCTION("GOOGLETRANSLATE(B34756,""en"",""es-ES"")"),"Se ve a dos niños caminando alrededor de un patio, juega crochet entre sí y se ríen a un lado.")</f>
        <v>Se ve a dos niños caminando alrededor de un patio, juega crochet entre sí y se ríen a un lado.</v>
      </c>
    </row>
    <row r="34757">
      <c r="A34757" s="4" t="s">
        <v>43729</v>
      </c>
      <c r="B34757" s="4" t="s">
        <v>43731</v>
      </c>
      <c r="C34757" s="5" t="str">
        <f>IFERROR(__xludf.DUMMYFUNCTION("GOOGLETRANSLATE(B34757,""en"",""es-ES"")"),"Los niños continúan jugando entre ellos mientras la cámara se desplaza alrededor de sus movimientos.")</f>
        <v>Los niños continúan jugando entre ellos mientras la cámara se desplaza alrededor de sus movimientos.</v>
      </c>
    </row>
    <row r="34758">
      <c r="A34758" s="4" t="s">
        <v>43732</v>
      </c>
      <c r="B34758" s="4" t="s">
        <v>43733</v>
      </c>
      <c r="C34758" s="5" t="str">
        <f>IFERROR(__xludf.DUMMYFUNCTION("GOOGLETRANSLATE(B34758,""en"",""es-ES"")"),"Se muestra un gran patio seguido por un niño pequeño que empuja una cortadora de césped.")</f>
        <v>Se muestra un gran patio seguido por un niño pequeño que empuja una cortadora de césped.</v>
      </c>
    </row>
    <row r="34759">
      <c r="A34759" s="4" t="s">
        <v>43732</v>
      </c>
      <c r="B34759" s="4" t="s">
        <v>43734</v>
      </c>
      <c r="C34759" s="5" t="str">
        <f>IFERROR(__xludf.DUMMYFUNCTION("GOOGLETRANSLATE(B34759,""en"",""es-ES"")"),"El niño continúa empujando el cortacésped mientras la cámara observa desde un lado.")</f>
        <v>El niño continúa empujando el cortacésped mientras la cámara observa desde un lado.</v>
      </c>
    </row>
    <row r="34760">
      <c r="A34760" s="4" t="s">
        <v>43732</v>
      </c>
      <c r="B34760" s="4" t="s">
        <v>43735</v>
      </c>
      <c r="C34760" s="5" t="str">
        <f>IFERROR(__xludf.DUMMYFUNCTION("GOOGLETRANSLATE(B34760,""en"",""es-ES"")"),"El niño mueve el cortacésped a lo largo del patio.")</f>
        <v>El niño mueve el cortacésped a lo largo del patio.</v>
      </c>
    </row>
    <row r="34761">
      <c r="A34761" s="4" t="s">
        <v>43736</v>
      </c>
      <c r="B34761" s="4" t="s">
        <v>43737</v>
      </c>
      <c r="C34761" s="5" t="str">
        <f>IFERROR(__xludf.DUMMYFUNCTION("GOOGLETRANSLATE(B34761,""en"",""es-ES"")"),"Se ve a una mujer hablando con la cámara y la lleva a sostener varios esmaltes de uñas y comenzar a un juego de uñas falsas.")</f>
        <v>Se ve a una mujer hablando con la cámara y la lleva a sostener varios esmaltes de uñas y comenzar a un juego de uñas falsas.</v>
      </c>
    </row>
    <row r="34762">
      <c r="A34762" s="4" t="s">
        <v>43736</v>
      </c>
      <c r="B34762" s="4" t="s">
        <v>43738</v>
      </c>
      <c r="C34762" s="5" t="str">
        <f>IFERROR(__xludf.DUMMYFUNCTION("GOOGLETRANSLATE(B34762,""en"",""es-ES"")"),"Ella continúa pintando en las uñas usa varios colores diferentes y presenta la uña a la cámara al final.")</f>
        <v>Ella continúa pintando en las uñas usa varios colores diferentes y presenta la uña a la cámara al final.</v>
      </c>
    </row>
    <row r="34763">
      <c r="A34763" s="4" t="s">
        <v>43739</v>
      </c>
      <c r="B34763" s="4" t="s">
        <v>43740</v>
      </c>
      <c r="C34763" s="5" t="str">
        <f>IFERROR(__xludf.DUMMYFUNCTION("GOOGLETRANSLATE(B34763,""en"",""es-ES"")"),"Un grupo de chicas mira un paseo en un parque de diversiones y saluda las manos con miedo y anticipación.")</f>
        <v>Un grupo de chicas mira un paseo en un parque de diversiones y saluda las manos con miedo y anticipación.</v>
      </c>
    </row>
    <row r="34764">
      <c r="A34764" s="4" t="s">
        <v>43739</v>
      </c>
      <c r="B34764" s="4" t="s">
        <v>43741</v>
      </c>
      <c r="C34764" s="5" t="str">
        <f>IFERROR(__xludf.DUMMYFUNCTION("GOOGLETRANSLATE(B34764,""en"",""es-ES"")"),"Las chicas se pusieron arneses de seguridad.")</f>
        <v>Las chicas se pusieron arneses de seguridad.</v>
      </c>
    </row>
    <row r="34765">
      <c r="A34765" s="4" t="s">
        <v>43739</v>
      </c>
      <c r="B34765" s="4" t="s">
        <v>43742</v>
      </c>
      <c r="C34765" s="5" t="str">
        <f>IFERROR(__xludf.DUMMYFUNCTION("GOOGLETRANSLATE(B34765,""en"",""es-ES"")"),"El grupo sube por las escaleras hasta la cima de la plataforma.")</f>
        <v>El grupo sube por las escaleras hasta la cima de la plataforma.</v>
      </c>
    </row>
    <row r="34766">
      <c r="A34766" s="4" t="s">
        <v>43739</v>
      </c>
      <c r="B34766" s="4" t="s">
        <v>43743</v>
      </c>
      <c r="C34766" s="5" t="str">
        <f>IFERROR(__xludf.DUMMYFUNCTION("GOOGLETRANSLATE(B34766,""en"",""es-ES"")"),"Una niña se encuentra en la parte superior de la plataforma con una cuerda y arnés y se prepara para saltar.")</f>
        <v>Una niña se encuentra en la parte superior de la plataforma con una cuerda y arnés y se prepara para saltar.</v>
      </c>
    </row>
    <row r="34767">
      <c r="A34767" s="4" t="s">
        <v>43739</v>
      </c>
      <c r="B34767" s="4" t="s">
        <v>43744</v>
      </c>
      <c r="C34767" s="5" t="str">
        <f>IFERROR(__xludf.DUMMYFUNCTION("GOOGLETRANSLATE(B34767,""en"",""es-ES"")"),"Se ve a una banda pop cantando una canción y bailando.")</f>
        <v>Se ve a una banda pop cantando una canción y bailando.</v>
      </c>
    </row>
    <row r="34768">
      <c r="A34768" s="4" t="s">
        <v>43739</v>
      </c>
      <c r="B34768" s="4" t="s">
        <v>43745</v>
      </c>
      <c r="C34768" s="5" t="str">
        <f>IFERROR(__xludf.DUMMYFUNCTION("GOOGLETRANSLATE(B34768,""en"",""es-ES"")"),"La niña salta de la plataforma y rebota en el cordón de puenting en el aire.")</f>
        <v>La niña salta de la plataforma y rebota en el cordón de puenting en el aire.</v>
      </c>
    </row>
    <row r="34769">
      <c r="A34769" s="4" t="s">
        <v>43739</v>
      </c>
      <c r="B34769" s="4" t="s">
        <v>43746</v>
      </c>
      <c r="C34769" s="5" t="str">
        <f>IFERROR(__xludf.DUMMYFUNCTION("GOOGLETRANSLATE(B34769,""en"",""es-ES"")"),"La niña es recibida por los miembros del grupo que la felicitan por el salto.")</f>
        <v>La niña es recibida por los miembros del grupo que la felicitan por el salto.</v>
      </c>
    </row>
    <row r="34770">
      <c r="A34770" s="4" t="s">
        <v>43747</v>
      </c>
      <c r="B34770" s="4" t="s">
        <v>43748</v>
      </c>
      <c r="C34770" s="5" t="str">
        <f>IFERROR(__xludf.DUMMYFUNCTION("GOOGLETRANSLATE(B34770,""en"",""es-ES"")"),"Un hombre con una camisa azul está barriendo el piso en un gimnasio.")</f>
        <v>Un hombre con una camisa azul está barriendo el piso en un gimnasio.</v>
      </c>
    </row>
    <row r="34771">
      <c r="A34771" s="4" t="s">
        <v>43747</v>
      </c>
      <c r="B34771" s="4" t="s">
        <v>43749</v>
      </c>
      <c r="C34771" s="5" t="str">
        <f>IFERROR(__xludf.DUMMYFUNCTION("GOOGLETRANSLATE(B34771,""en"",""es-ES"")"),"Él voltea la escoba y la coloca en el piso.")</f>
        <v>Él voltea la escoba y la coloca en el piso.</v>
      </c>
    </row>
    <row r="34772">
      <c r="A34772" s="4" t="s">
        <v>43747</v>
      </c>
      <c r="B34772" s="4" t="s">
        <v>43750</v>
      </c>
      <c r="C34772" s="5" t="str">
        <f>IFERROR(__xludf.DUMMYFUNCTION("GOOGLETRANSLATE(B34772,""en"",""es-ES"")"),"Comienza a aspirarse por el suelo.")</f>
        <v>Comienza a aspirarse por el suelo.</v>
      </c>
    </row>
    <row r="34773">
      <c r="A34773" s="4" t="s">
        <v>43747</v>
      </c>
      <c r="B34773" s="4" t="s">
        <v>43751</v>
      </c>
      <c r="C34773" s="5" t="str">
        <f>IFERROR(__xludf.DUMMYFUNCTION("GOOGLETRANSLATE(B34773,""en"",""es-ES"")"),"Haga aspiraciones el fondo de la escoba.")</f>
        <v>Haga aspiraciones el fondo de la escoba.</v>
      </c>
    </row>
    <row r="34774">
      <c r="A34774" s="4" t="s">
        <v>43752</v>
      </c>
      <c r="B34774" s="4" t="s">
        <v>43753</v>
      </c>
      <c r="C34774" s="5" t="str">
        <f>IFERROR(__xludf.DUMMYFUNCTION("GOOGLETRANSLATE(B34774,""en"",""es-ES"")"),"Dos hombres juegan a Ping Pong en una multitud.")</f>
        <v>Dos hombres juegan a Ping Pong en una multitud.</v>
      </c>
    </row>
    <row r="34775">
      <c r="A34775" s="4" t="s">
        <v>43752</v>
      </c>
      <c r="B34775" s="4" t="s">
        <v>43754</v>
      </c>
      <c r="C34775" s="5" t="str">
        <f>IFERROR(__xludf.DUMMYFUNCTION("GOOGLETRANSLATE(B34775,""en"",""es-ES"")"),"Cuando la persona con chaqueta negra sirve, la pelota aterriza en la red, también el joven no sirve bien y la pelota aterriza fuera de la mesa.")</f>
        <v>Cuando la persona con chaqueta negra sirve, la pelota aterriza en la red, también el joven no sirve bien y la pelota aterriza fuera de la mesa.</v>
      </c>
    </row>
    <row r="34776">
      <c r="A34776" s="4" t="s">
        <v>43752</v>
      </c>
      <c r="B34776" s="4" t="s">
        <v>43755</v>
      </c>
      <c r="C34776" s="5" t="str">
        <f>IFERROR(__xludf.DUMMYFUNCTION("GOOGLETRANSLATE(B34776,""en"",""es-ES"")"),"El joven gana y levanta las manos, mientras su oponente lo abraza.")</f>
        <v>El joven gana y levanta las manos, mientras su oponente lo abraza.</v>
      </c>
    </row>
    <row r="34777">
      <c r="A34777" s="4" t="s">
        <v>43752</v>
      </c>
      <c r="B34777" s="4" t="s">
        <v>43756</v>
      </c>
      <c r="C34777" s="5" t="str">
        <f>IFERROR(__xludf.DUMMYFUNCTION("GOOGLETRANSLATE(B34777,""en"",""es-ES"")"),"La gente toma una foto a los hombres.")</f>
        <v>La gente toma una foto a los hombres.</v>
      </c>
    </row>
    <row r="34778">
      <c r="A34778" s="4" t="s">
        <v>43757</v>
      </c>
      <c r="B34778" s="4" t="s">
        <v>43758</v>
      </c>
      <c r="C34778" s="5" t="str">
        <f>IFERROR(__xludf.DUMMYFUNCTION("GOOGLETRANSLATE(B34778,""en"",""es-ES"")"),"Una cámara muestra varios ingredientes diferentes establecidos en una mesa seguido de alguien que mezcla los ingredientes.")</f>
        <v>Una cámara muestra varios ingredientes diferentes establecidos en una mesa seguido de alguien que mezcla los ingredientes.</v>
      </c>
    </row>
    <row r="34779">
      <c r="A34779" s="4" t="s">
        <v>43757</v>
      </c>
      <c r="B34779" s="4" t="s">
        <v>43759</v>
      </c>
      <c r="C34779" s="5" t="str">
        <f>IFERROR(__xludf.DUMMYFUNCTION("GOOGLETRANSLATE(B34779,""en"",""es-ES"")"),"Pusieron la mezcla en una sartén para crear galletas en el horno y mostrar los resultados finales.")</f>
        <v>Pusieron la mezcla en una sartén para crear galletas en el horno y mostrar los resultados finales.</v>
      </c>
    </row>
    <row r="34780">
      <c r="A34780" s="4" t="s">
        <v>43760</v>
      </c>
      <c r="B34780" s="4" t="s">
        <v>43761</v>
      </c>
      <c r="C34780" s="5" t="str">
        <f>IFERROR(__xludf.DUMMYFUNCTION("GOOGLETRANSLATE(B34780,""en"",""es-ES"")"),"Se ven dos hombres corriendo alrededor de un círculo rodeado de personas y realizando movimientos de artes marciales.")</f>
        <v>Se ven dos hombres corriendo alrededor de un círculo rodeado de personas y realizando movimientos de artes marciales.</v>
      </c>
    </row>
    <row r="34781">
      <c r="A34781" s="4" t="s">
        <v>43760</v>
      </c>
      <c r="B34781" s="4" t="s">
        <v>43762</v>
      </c>
      <c r="C34781" s="5" t="str">
        <f>IFERROR(__xludf.DUMMYFUNCTION("GOOGLETRANSLATE(B34781,""en"",""es-ES"")"),"Más personas vienen en el círculo y las personas continúan girando entre sí y luchando entre sí.")</f>
        <v>Más personas vienen en el círculo y las personas continúan girando entre sí y luchando entre sí.</v>
      </c>
    </row>
    <row r="34782">
      <c r="A34782" s="4" t="s">
        <v>43763</v>
      </c>
      <c r="B34782" s="4" t="s">
        <v>43764</v>
      </c>
      <c r="C34782" s="5" t="str">
        <f>IFERROR(__xludf.DUMMYFUNCTION("GOOGLETRANSLATE(B34782,""en"",""es-ES"")"),"Cuatro chicos están lanzando pelotas de golf por una mesa para golpear vasos de plástico.")</f>
        <v>Cuatro chicos están lanzando pelotas de golf por una mesa para golpear vasos de plástico.</v>
      </c>
    </row>
    <row r="34783">
      <c r="A34783" s="4" t="s">
        <v>43763</v>
      </c>
      <c r="B34783" s="4" t="s">
        <v>43765</v>
      </c>
      <c r="C34783" s="5" t="str">
        <f>IFERROR(__xludf.DUMMYFUNCTION("GOOGLETRANSLATE(B34783,""en"",""es-ES"")"),"Dos chicos de cinco años después de que un chico ponga la pelota de golf en la copa de plástico.")</f>
        <v>Dos chicos de cinco años después de que un chico ponga la pelota de golf en la copa de plástico.</v>
      </c>
    </row>
    <row r="34784">
      <c r="A34784" s="4" t="s">
        <v>43763</v>
      </c>
      <c r="B34784" s="4" t="s">
        <v>43766</v>
      </c>
      <c r="C34784" s="5" t="str">
        <f>IFERROR(__xludf.DUMMYFUNCTION("GOOGLETRANSLATE(B34784,""en"",""es-ES"")"),"Los chicos señalan la cámara y se ríen.")</f>
        <v>Los chicos señalan la cámara y se ríen.</v>
      </c>
    </row>
    <row r="34785">
      <c r="A34785" s="4" t="s">
        <v>43763</v>
      </c>
      <c r="B34785" s="4" t="s">
        <v>43767</v>
      </c>
      <c r="C34785" s="5" t="str">
        <f>IFERROR(__xludf.DUMMYFUNCTION("GOOGLETRANSLATE(B34785,""en"",""es-ES"")"),"Un chico saca la pelota de golf de la copa e intenta beber el líquido.")</f>
        <v>Un chico saca la pelota de golf de la copa e intenta beber el líquido.</v>
      </c>
    </row>
    <row r="34786">
      <c r="A34786" s="4" t="s">
        <v>43763</v>
      </c>
      <c r="B34786" s="4" t="s">
        <v>43768</v>
      </c>
      <c r="C34786" s="5" t="str">
        <f>IFERROR(__xludf.DUMMYFUNCTION("GOOGLETRANSLATE(B34786,""en"",""es-ES"")"),"Un chico lanza una pelota de golf con la espalda hacia la mesa, la aterriza dentro de la taza y sale de la habitación.")</f>
        <v>Un chico lanza una pelota de golf con la espalda hacia la mesa, la aterriza dentro de la taza y sale de la habitación.</v>
      </c>
    </row>
    <row r="34787">
      <c r="A34787" s="4" t="s">
        <v>43763</v>
      </c>
      <c r="B34787" s="4" t="s">
        <v>43769</v>
      </c>
      <c r="C34787" s="5" t="str">
        <f>IFERROR(__xludf.DUMMYFUNCTION("GOOGLETRANSLATE(B34787,""en"",""es-ES"")"),"Los muchachos celebran y dan cinco cinco.")</f>
        <v>Los muchachos celebran y dan cinco cinco.</v>
      </c>
    </row>
    <row r="34788">
      <c r="A34788" s="4" t="s">
        <v>43770</v>
      </c>
      <c r="B34788" s="4" t="s">
        <v>43771</v>
      </c>
      <c r="C34788" s="5" t="str">
        <f>IFERROR(__xludf.DUMMYFUNCTION("GOOGLETRANSLATE(B34788,""en"",""es-ES"")"),"Se ve a una persona dibujando al costado de una calabaza y luego conduce a cortar los contornos.")</f>
        <v>Se ve a una persona dibujando al costado de una calabaza y luego conduce a cortar los contornos.</v>
      </c>
    </row>
    <row r="34789">
      <c r="A34789" s="4" t="s">
        <v>43770</v>
      </c>
      <c r="B34789" s="4" t="s">
        <v>43772</v>
      </c>
      <c r="C34789" s="5" t="str">
        <f>IFERROR(__xludf.DUMMYFUNCTION("GOOGLETRANSLATE(B34789,""en"",""es-ES"")"),"La persona luego limpia un trapo sobre la calabaza limpiando sus lados.")</f>
        <v>La persona luego limpia un trapo sobre la calabaza limpiando sus lados.</v>
      </c>
    </row>
    <row r="34790">
      <c r="A34790" s="4" t="s">
        <v>43773</v>
      </c>
      <c r="B34790" s="4" t="s">
        <v>43774</v>
      </c>
      <c r="C34790" s="5" t="str">
        <f>IFERROR(__xludf.DUMMYFUNCTION("GOOGLETRANSLATE(B34790,""en"",""es-ES"")"),"Un hombre se acerca lentamente y saca algunos equipos de la pared mientras suena música dramática.")</f>
        <v>Un hombre se acerca lentamente y saca algunos equipos de la pared mientras suena música dramática.</v>
      </c>
    </row>
    <row r="34791">
      <c r="A34791" s="4" t="s">
        <v>43773</v>
      </c>
      <c r="B34791" s="4" t="s">
        <v>43775</v>
      </c>
      <c r="C34791" s="5" t="str">
        <f>IFERROR(__xludf.DUMMYFUNCTION("GOOGLETRANSLATE(B34791,""en"",""es-ES"")"),"Él prepara el arco y obtiene sus flechas.")</f>
        <v>Él prepara el arco y obtiene sus flechas.</v>
      </c>
    </row>
    <row r="34792">
      <c r="A34792" s="4" t="s">
        <v>43773</v>
      </c>
      <c r="B34792" s="4" t="s">
        <v>43776</v>
      </c>
      <c r="C34792" s="5" t="str">
        <f>IFERROR(__xludf.DUMMYFUNCTION("GOOGLETRANSLATE(B34792,""en"",""es-ES"")"),"Luego lo vemos al aire libre mientras camina por un poco de hierba hacia un objetivo.")</f>
        <v>Luego lo vemos al aire libre mientras camina por un poco de hierba hacia un objetivo.</v>
      </c>
    </row>
    <row r="34793">
      <c r="A34793" s="4" t="s">
        <v>43773</v>
      </c>
      <c r="B34793" s="4" t="s">
        <v>43777</v>
      </c>
      <c r="C34793" s="5" t="str">
        <f>IFERROR(__xludf.DUMMYFUNCTION("GOOGLETRANSLATE(B34793,""en"",""es-ES"")"),"Él saca una flecha y la pone en su arco.")</f>
        <v>Él saca una flecha y la pone en su arco.</v>
      </c>
    </row>
    <row r="34794">
      <c r="A34794" s="4" t="s">
        <v>43773</v>
      </c>
      <c r="B34794" s="4" t="s">
        <v>43778</v>
      </c>
      <c r="C34794" s="5" t="str">
        <f>IFERROR(__xludf.DUMMYFUNCTION("GOOGLETRANSLATE(B34794,""en"",""es-ES"")"),"Después de algunos intentos, tiene un ojo de toros.")</f>
        <v>Después de algunos intentos, tiene un ojo de toros.</v>
      </c>
    </row>
    <row r="34795">
      <c r="A34795" s="4" t="s">
        <v>43773</v>
      </c>
      <c r="B34795" s="4" t="s">
        <v>43779</v>
      </c>
      <c r="C34795" s="5" t="str">
        <f>IFERROR(__xludf.DUMMYFUNCTION("GOOGLETRANSLATE(B34795,""en"",""es-ES"")"),"Él coloca su arco y sus flechas hacia abajo en una plataforma de madera.")</f>
        <v>Él coloca su arco y sus flechas hacia abajo en una plataforma de madera.</v>
      </c>
    </row>
    <row r="34796">
      <c r="A34796" s="4" t="s">
        <v>43780</v>
      </c>
      <c r="B34796" s="4" t="s">
        <v>43781</v>
      </c>
      <c r="C34796" s="5" t="str">
        <f>IFERROR(__xludf.DUMMYFUNCTION("GOOGLETRANSLATE(B34796,""en"",""es-ES"")"),"Cuatro personas juegan mesa de fútbol en interiores.")</f>
        <v>Cuatro personas juegan mesa de fútbol en interiores.</v>
      </c>
    </row>
    <row r="34797">
      <c r="A34797" s="4" t="s">
        <v>43780</v>
      </c>
      <c r="B34797" s="4" t="s">
        <v>43782</v>
      </c>
      <c r="C34797" s="5" t="str">
        <f>IFERROR(__xludf.DUMMYFUNCTION("GOOGLETRANSLATE(B34797,""en"",""es-ES"")"),"Un hombre muestra una pelota en un palo y demuestra el movimiento de la pelota en la mesa de fútbol.")</f>
        <v>Un hombre muestra una pelota en un palo y demuestra el movimiento de la pelota en la mesa de fútbol.</v>
      </c>
    </row>
    <row r="34798">
      <c r="A34798" s="4" t="s">
        <v>43780</v>
      </c>
      <c r="B34798" s="4" t="s">
        <v>43783</v>
      </c>
      <c r="C34798" s="5" t="str">
        <f>IFERROR(__xludf.DUMMYFUNCTION("GOOGLETRANSLATE(B34798,""en"",""es-ES"")"),"Luego, el Mans muestra la pelota a los jugadores, y uno de ellos toma la pelota y otros juegan.")</f>
        <v>Luego, el Mans muestra la pelota a los jugadores, y uno de ellos toma la pelota y otros juegan.</v>
      </c>
    </row>
    <row r="34799">
      <c r="A34799" s="4" t="s">
        <v>43784</v>
      </c>
      <c r="B34799" s="4" t="s">
        <v>43785</v>
      </c>
      <c r="C34799" s="5" t="str">
        <f>IFERROR(__xludf.DUMMYFUNCTION("GOOGLETRANSLATE(B34799,""en"",""es-ES"")"),"Se ve a un hombre sentado en un banco con otros limpiando la oreja con limpiador.")</f>
        <v>Se ve a un hombre sentado en un banco con otros limpiando la oreja con limpiador.</v>
      </c>
    </row>
    <row r="34800">
      <c r="A34800" s="4" t="s">
        <v>43784</v>
      </c>
      <c r="B34800" s="4" t="s">
        <v>43786</v>
      </c>
      <c r="C34800" s="5" t="str">
        <f>IFERROR(__xludf.DUMMYFUNCTION("GOOGLETRANSLATE(B34800,""en"",""es-ES"")"),"El hombre mira su teléfono mientras el otro comienza a perforar sus orejas.")</f>
        <v>El hombre mira su teléfono mientras el otro comienza a perforar sus orejas.</v>
      </c>
    </row>
    <row r="34801">
      <c r="A34801" s="4" t="s">
        <v>43784</v>
      </c>
      <c r="B34801" s="4" t="s">
        <v>43787</v>
      </c>
      <c r="C34801" s="5" t="str">
        <f>IFERROR(__xludf.DUMMYFUNCTION("GOOGLETRANSLATE(B34801,""en"",""es-ES"")"),"El hombre pone un arete en cada hoyo mientras todavía habla con el hombre y se quita el arete.")</f>
        <v>El hombre pone un arete en cada hoyo mientras todavía habla con el hombre y se quita el arete.</v>
      </c>
    </row>
    <row r="34802">
      <c r="A34802" s="4" t="s">
        <v>43788</v>
      </c>
      <c r="B34802" s="4" t="s">
        <v>43789</v>
      </c>
      <c r="C34802" s="5" t="str">
        <f>IFERROR(__xludf.DUMMYFUNCTION("GOOGLETRANSLATE(B34802,""en"",""es-ES"")"),"Un hombre celebra con los brazos en el aire.")</f>
        <v>Un hombre celebra con los brazos en el aire.</v>
      </c>
    </row>
    <row r="34803">
      <c r="A34803" s="4" t="s">
        <v>43788</v>
      </c>
      <c r="B34803" s="4" t="s">
        <v>43790</v>
      </c>
      <c r="C34803" s="5" t="str">
        <f>IFERROR(__xludf.DUMMYFUNCTION("GOOGLETRANSLATE(B34803,""en"",""es-ES"")"),"Se le muestra girando en un campo.")</f>
        <v>Se le muestra girando en un campo.</v>
      </c>
    </row>
    <row r="34804">
      <c r="A34804" s="4" t="s">
        <v>43788</v>
      </c>
      <c r="B34804" s="4" t="s">
        <v>43791</v>
      </c>
      <c r="C34804" s="5" t="str">
        <f>IFERROR(__xludf.DUMMYFUNCTION("GOOGLETRANSLATE(B34804,""en"",""es-ES"")"),"Luego tira la pelota lejos y se mide.")</f>
        <v>Luego tira la pelota lejos y se mide.</v>
      </c>
    </row>
    <row r="34805">
      <c r="A34805" s="4" t="s">
        <v>43792</v>
      </c>
      <c r="B34805" s="4" t="s">
        <v>43793</v>
      </c>
      <c r="C34805" s="5" t="str">
        <f>IFERROR(__xludf.DUMMYFUNCTION("GOOGLETRANSLATE(B34805,""en"",""es-ES"")"),"Una mujer de mediana edad habla sobre un producto de limpieza.")</f>
        <v>Una mujer de mediana edad habla sobre un producto de limpieza.</v>
      </c>
    </row>
    <row r="34806">
      <c r="A34806" s="4" t="s">
        <v>43792</v>
      </c>
      <c r="B34806" s="4" t="s">
        <v>43794</v>
      </c>
      <c r="C34806" s="5" t="str">
        <f>IFERROR(__xludf.DUMMYFUNCTION("GOOGLETRANSLATE(B34806,""en"",""es-ES"")"),"La hembra abre un recipiente de limpiador y lo pone en un trapo.")</f>
        <v>La hembra abre un recipiente de limpiador y lo pone en un trapo.</v>
      </c>
    </row>
    <row r="34807">
      <c r="A34807" s="4" t="s">
        <v>43792</v>
      </c>
      <c r="B34807" s="4" t="s">
        <v>43795</v>
      </c>
      <c r="C34807" s="5" t="str">
        <f>IFERROR(__xludf.DUMMYFUNCTION("GOOGLETRANSLATE(B34807,""en"",""es-ES"")"),"La hembra luego usa el trapo para frotar el interior del fregadero.")</f>
        <v>La hembra luego usa el trapo para frotar el interior del fregadero.</v>
      </c>
    </row>
    <row r="34808">
      <c r="A34808" s="4" t="s">
        <v>43792</v>
      </c>
      <c r="B34808" s="4" t="s">
        <v>43796</v>
      </c>
      <c r="C34808" s="5" t="str">
        <f>IFERROR(__xludf.DUMMYFUNCTION("GOOGLETRANSLATE(B34808,""en"",""es-ES"")"),"La misma hembra usa un trapo diferente para frotar la superficie del fregadero.")</f>
        <v>La misma hembra usa un trapo diferente para frotar la superficie del fregadero.</v>
      </c>
    </row>
    <row r="34809">
      <c r="A34809" s="4" t="s">
        <v>43792</v>
      </c>
      <c r="B34809" s="4" t="s">
        <v>43797</v>
      </c>
      <c r="C34809" s="5" t="str">
        <f>IFERROR(__xludf.DUMMYFUNCTION("GOOGLETRANSLATE(B34809,""en"",""es-ES"")"),"La hembra pone más más limpia en el trapo y limpia la encimera.")</f>
        <v>La hembra pone más más limpia en el trapo y limpia la encimera.</v>
      </c>
    </row>
    <row r="34810">
      <c r="A34810" s="4" t="s">
        <v>43798</v>
      </c>
      <c r="B34810" s="4" t="s">
        <v>43799</v>
      </c>
      <c r="C34810" s="5" t="str">
        <f>IFERROR(__xludf.DUMMYFUNCTION("GOOGLETRANSLATE(B34810,""en"",""es-ES"")"),"Se ve a un hombre hablando con la cámara y lo lleva a presentar varios objetos y afilar un cuchillo en un tablero.")</f>
        <v>Se ve a un hombre hablando con la cámara y lo lleva a presentar varios objetos y afilar un cuchillo en un tablero.</v>
      </c>
    </row>
    <row r="34811">
      <c r="A34811" s="4" t="s">
        <v>43798</v>
      </c>
      <c r="B34811" s="4" t="s">
        <v>43800</v>
      </c>
      <c r="C34811" s="5" t="str">
        <f>IFERROR(__xludf.DUMMYFUNCTION("GOOGLETRANSLATE(B34811,""en"",""es-ES"")"),"El hombre demuestra cómo afilar adecuadamente el cuchillo usando las herramientas y sus manos mientras continúa afilando el cuchillo en el tablero.")</f>
        <v>El hombre demuestra cómo afilar adecuadamente el cuchillo usando las herramientas y sus manos mientras continúa afilando el cuchillo en el tablero.</v>
      </c>
    </row>
    <row r="34812">
      <c r="A34812" s="4" t="s">
        <v>43801</v>
      </c>
      <c r="B34812" s="4" t="s">
        <v>43802</v>
      </c>
      <c r="C34812" s="5" t="str">
        <f>IFERROR(__xludf.DUMMYFUNCTION("GOOGLETRANSLATE(B34812,""en"",""es-ES"")"),"Una mujer habla y muestra una pequeña botella.")</f>
        <v>Una mujer habla y muestra una pequeña botella.</v>
      </c>
    </row>
    <row r="34813">
      <c r="A34813" s="4" t="s">
        <v>43801</v>
      </c>
      <c r="B34813" s="4" t="s">
        <v>43803</v>
      </c>
      <c r="C34813" s="5" t="str">
        <f>IFERROR(__xludf.DUMMYFUNCTION("GOOGLETRANSLATE(B34813,""en"",""es-ES"")"),"Luego, la mujer se puso los ojos en las lentes de contacto blancos y continúa explicando.")</f>
        <v>Luego, la mujer se puso los ojos en las lentes de contacto blancos y continúa explicando.</v>
      </c>
    </row>
    <row r="34814">
      <c r="A34814" s="4" t="s">
        <v>43804</v>
      </c>
      <c r="B34814" s="4" t="s">
        <v>43805</v>
      </c>
      <c r="C34814" s="5" t="str">
        <f>IFERROR(__xludf.DUMMYFUNCTION("GOOGLETRANSLATE(B34814,""en"",""es-ES"")"),"Un par de juguetes están luchando en una mesa junto a una pila de DVD.")</f>
        <v>Un par de juguetes están luchando en una mesa junto a una pila de DVD.</v>
      </c>
    </row>
    <row r="34815">
      <c r="A34815" s="4" t="s">
        <v>43804</v>
      </c>
      <c r="B34815" s="4" t="s">
        <v>43806</v>
      </c>
      <c r="C34815" s="5" t="str">
        <f>IFERROR(__xludf.DUMMYFUNCTION("GOOGLETRANSLATE(B34815,""en"",""es-ES"")"),"Se patean y se empujan hacia abajo.")</f>
        <v>Se patean y se empujan hacia abajo.</v>
      </c>
    </row>
    <row r="34816">
      <c r="A34816" s="4" t="s">
        <v>43804</v>
      </c>
      <c r="B34816" s="4" t="s">
        <v>43807</v>
      </c>
      <c r="C34816" s="5" t="str">
        <f>IFERROR(__xludf.DUMMYFUNCTION("GOOGLETRANSLATE(B34816,""en"",""es-ES"")"),"Se muestra una pantalla de estrellas en un cielo negro.")</f>
        <v>Se muestra una pantalla de estrellas en un cielo negro.</v>
      </c>
    </row>
    <row r="34817">
      <c r="A34817" s="4" t="s">
        <v>43808</v>
      </c>
      <c r="B34817" s="4" t="s">
        <v>43809</v>
      </c>
      <c r="C34817" s="5" t="str">
        <f>IFERROR(__xludf.DUMMYFUNCTION("GOOGLETRANSLATE(B34817,""en"",""es-ES"")"),"Un ternero y un caballo salen corriendo de una puerta.")</f>
        <v>Un ternero y un caballo salen corriendo de una puerta.</v>
      </c>
    </row>
    <row r="34818">
      <c r="A34818" s="4" t="s">
        <v>43808</v>
      </c>
      <c r="B34818" s="4" t="s">
        <v>43810</v>
      </c>
      <c r="C34818" s="5" t="str">
        <f>IFERROR(__xludf.DUMMYFUNCTION("GOOGLETRANSLATE(B34818,""en"",""es-ES"")"),"El hombre atrapa la pantorrilla y la ata.")</f>
        <v>El hombre atrapa la pantorrilla y la ata.</v>
      </c>
    </row>
    <row r="34819">
      <c r="A34819" s="4" t="s">
        <v>43811</v>
      </c>
      <c r="B34819" s="4" t="s">
        <v>43812</v>
      </c>
      <c r="C34819" s="5" t="str">
        <f>IFERROR(__xludf.DUMMYFUNCTION("GOOGLETRANSLATE(B34819,""en"",""es-ES"")"),"Un hombre que usa una camisa negra está demostrando cómo pulir la madera y otras superficies con esmalte líquido y un paño blanco suave.")</f>
        <v>Un hombre que usa una camisa negra está demostrando cómo pulir la madera y otras superficies con esmalte líquido y un paño blanco suave.</v>
      </c>
    </row>
    <row r="34820">
      <c r="A34820" s="4" t="s">
        <v>43811</v>
      </c>
      <c r="B34820" s="4" t="s">
        <v>43813</v>
      </c>
      <c r="C34820" s="5" t="str">
        <f>IFERROR(__xludf.DUMMYFUNCTION("GOOGLETRANSLATE(B34820,""en"",""es-ES"")"),"Vierte parte del esmalte de la botella sobre la tela y lo usa para frotar suavemente el anuncio frotarlo sobre los muebles y la mesa.")</f>
        <v>Vierte parte del esmalte de la botella sobre la tela y lo usa para frotar suavemente el anuncio frotarlo sobre los muebles y la mesa.</v>
      </c>
    </row>
    <row r="34821">
      <c r="A34821" s="4" t="s">
        <v>43811</v>
      </c>
      <c r="B34821" s="4" t="s">
        <v>43814</v>
      </c>
      <c r="C34821" s="5" t="str">
        <f>IFERROR(__xludf.DUMMYFUNCTION("GOOGLETRANSLATE(B34821,""en"",""es-ES"")"),"Lo usa sobre varias superficies para limpiar y pulir las superficies de madera, vinilo y cuero.")</f>
        <v>Lo usa sobre varias superficies para limpiar y pulir las superficies de madera, vinilo y cuero.</v>
      </c>
    </row>
    <row r="34822">
      <c r="A34822" s="4" t="s">
        <v>43815</v>
      </c>
      <c r="B34822" s="4" t="s">
        <v>43816</v>
      </c>
      <c r="C34822" s="5" t="str">
        <f>IFERROR(__xludf.DUMMYFUNCTION("GOOGLETRANSLATE(B34822,""en"",""es-ES"")"),"Los niños se reúnen alrededor de una mesa de madera en una cocina.")</f>
        <v>Los niños se reúnen alrededor de una mesa de madera en una cocina.</v>
      </c>
    </row>
    <row r="34823">
      <c r="A34823" s="4" t="s">
        <v>43815</v>
      </c>
      <c r="B34823" s="4" t="s">
        <v>43817</v>
      </c>
      <c r="C34823" s="5" t="str">
        <f>IFERROR(__xludf.DUMMYFUNCTION("GOOGLETRANSLATE(B34823,""en"",""es-ES"")"),"La mujer está cortando naranjas y lo muestra a los niños y lo apretan en un vaso en la mesa.")</f>
        <v>La mujer está cortando naranjas y lo muestra a los niños y lo apretan en un vaso en la mesa.</v>
      </c>
    </row>
    <row r="34824">
      <c r="A34824" s="4" t="s">
        <v>43818</v>
      </c>
      <c r="B34824" s="4" t="s">
        <v>43819</v>
      </c>
      <c r="C34824" s="5" t="str">
        <f>IFERROR(__xludf.DUMMYFUNCTION("GOOGLETRANSLATE(B34824,""en"",""es-ES"")"),"Un hombre hace varias volteidades en una alfombra roja.")</f>
        <v>Un hombre hace varias volteidades en una alfombra roja.</v>
      </c>
    </row>
    <row r="34825">
      <c r="A34825" s="4" t="s">
        <v>43818</v>
      </c>
      <c r="B34825" s="4" t="s">
        <v>43820</v>
      </c>
      <c r="C34825" s="5" t="str">
        <f>IFERROR(__xludf.DUMMYFUNCTION("GOOGLETRANSLATE(B34825,""en"",""es-ES"")"),"Una mujer con una camisa negra lo ve pasar y aplaudir.")</f>
        <v>Una mujer con una camisa negra lo ve pasar y aplaudir.</v>
      </c>
    </row>
    <row r="34826">
      <c r="A34826" s="4" t="s">
        <v>43818</v>
      </c>
      <c r="B34826" s="4" t="s">
        <v>43821</v>
      </c>
      <c r="C34826" s="5" t="str">
        <f>IFERROR(__xludf.DUMMYFUNCTION("GOOGLETRANSLATE(B34826,""en"",""es-ES"")"),"Se levanta y se aleja.")</f>
        <v>Se levanta y se aleja.</v>
      </c>
    </row>
    <row r="34827">
      <c r="A34827" s="4" t="s">
        <v>43822</v>
      </c>
      <c r="B34827" s="4" t="s">
        <v>43823</v>
      </c>
      <c r="C34827" s="5" t="str">
        <f>IFERROR(__xludf.DUMMYFUNCTION("GOOGLETRANSLATE(B34827,""en"",""es-ES"")"),"Se muestra varios texto en la pantalla que conduce a un hombre que organiza un segmento de noticias.")</f>
        <v>Se muestra varios texto en la pantalla que conduce a un hombre que organiza un segmento de noticias.</v>
      </c>
    </row>
    <row r="34828">
      <c r="A34828" s="4" t="s">
        <v>43822</v>
      </c>
      <c r="B34828" s="4" t="s">
        <v>43824</v>
      </c>
      <c r="C34828" s="5" t="str">
        <f>IFERROR(__xludf.DUMMYFUNCTION("GOOGLETRANSLATE(B34828,""en"",""es-ES"")"),"Luego se ve a un atleta girando en círculos y arrojando un objeto a la distancia.")</f>
        <v>Luego se ve a un atleta girando en círculos y arrojando un objeto a la distancia.</v>
      </c>
    </row>
    <row r="34829">
      <c r="A34829" s="4" t="s">
        <v>43822</v>
      </c>
      <c r="B34829" s="4" t="s">
        <v>43825</v>
      </c>
      <c r="C34829" s="5" t="str">
        <f>IFERROR(__xludf.DUMMYFUNCTION("GOOGLETRANSLATE(B34829,""en"",""es-ES"")"),"Se muestra más texto en la pantalla.")</f>
        <v>Se muestra más texto en la pantalla.</v>
      </c>
    </row>
    <row r="34830">
      <c r="A34830" s="4" t="s">
        <v>43826</v>
      </c>
      <c r="B34830" s="4" t="s">
        <v>43827</v>
      </c>
      <c r="C34830" s="5" t="str">
        <f>IFERROR(__xludf.DUMMYFUNCTION("GOOGLETRANSLATE(B34830,""en"",""es-ES"")"),"Un canal está mostrando algunos videos geniales e increíbles.")</f>
        <v>Un canal está mostrando algunos videos geniales e increíbles.</v>
      </c>
    </row>
    <row r="34831">
      <c r="A34831" s="4" t="s">
        <v>43826</v>
      </c>
      <c r="B34831" s="4" t="s">
        <v>43828</v>
      </c>
      <c r="C34831" s="5" t="str">
        <f>IFERROR(__xludf.DUMMYFUNCTION("GOOGLETRANSLATE(B34831,""en"",""es-ES"")"),"Un niño está sentado al aire libre en un banco de madera y tambores en una batería que está hecha de placas de acero, latas y macetas.")</f>
        <v>Un niño está sentado al aire libre en un banco de madera y tambores en una batería que está hecha de placas de acero, latas y macetas.</v>
      </c>
    </row>
    <row r="34832">
      <c r="A34832" s="4" t="s">
        <v>43826</v>
      </c>
      <c r="B34832" s="4" t="s">
        <v>43829</v>
      </c>
      <c r="C34832" s="5" t="str">
        <f>IFERROR(__xludf.DUMMYFUNCTION("GOOGLETRANSLATE(B34832,""en"",""es-ES"")"),"Un hombre acaba de pasar junto a él mientras el niño tocaba en voz alta.")</f>
        <v>Un hombre acaba de pasar junto a él mientras el niño tocaba en voz alta.</v>
      </c>
    </row>
    <row r="34833">
      <c r="A34833" s="4" t="s">
        <v>43826</v>
      </c>
      <c r="B34833" s="4" t="s">
        <v>43830</v>
      </c>
      <c r="C34833" s="5" t="str">
        <f>IFERROR(__xludf.DUMMYFUNCTION("GOOGLETRANSLATE(B34833,""en"",""es-ES"")"),"Continúa tambaleando en el set de la batería hecha a mano rítmicamente.")</f>
        <v>Continúa tambaleando en el set de la batería hecha a mano rítmicamente.</v>
      </c>
    </row>
    <row r="34834">
      <c r="A34834" s="4" t="s">
        <v>43826</v>
      </c>
      <c r="B34834" s="4" t="s">
        <v>43831</v>
      </c>
      <c r="C34834" s="5" t="str">
        <f>IFERROR(__xludf.DUMMYFUNCTION("GOOGLETRANSLATE(B34834,""en"",""es-ES"")"),"Juega de manera rápida sin detenerse.")</f>
        <v>Juega de manera rápida sin detenerse.</v>
      </c>
    </row>
    <row r="34835">
      <c r="A34835" s="4" t="s">
        <v>43826</v>
      </c>
      <c r="B34835" s="4" t="s">
        <v>43832</v>
      </c>
      <c r="C34835" s="5" t="str">
        <f>IFERROR(__xludf.DUMMYFUNCTION("GOOGLETRANSLATE(B34835,""en"",""es-ES"")"),"La pantalla muestra detalles de cómo suscribirse al canal.")</f>
        <v>La pantalla muestra detalles de cómo suscribirse al canal.</v>
      </c>
    </row>
    <row r="34836">
      <c r="A34836" s="4" t="s">
        <v>43833</v>
      </c>
      <c r="B34836" s="4" t="s">
        <v>43834</v>
      </c>
      <c r="C34836" s="5" t="str">
        <f>IFERROR(__xludf.DUMMYFUNCTION("GOOGLETRANSLATE(B34836,""en"",""es-ES"")"),"Un video de compilación/tributo para un discusión húngara que arroja el Olímpico comienza con algunas fotos de él en acción.")</f>
        <v>Un video de compilación/tributo para un discusión húngara que arroja el Olímpico comienza con algunas fotos de él en acción.</v>
      </c>
    </row>
    <row r="34837">
      <c r="A34837" s="4" t="s">
        <v>43833</v>
      </c>
      <c r="B34837" s="4" t="s">
        <v>43835</v>
      </c>
      <c r="C34837" s="5" t="str">
        <f>IFERROR(__xludf.DUMMYFUNCTION("GOOGLETRANSLATE(B34837,""en"",""es-ES"")"),"Un intento con él girando rápidamente comienza y se lanza el disco.")</f>
        <v>Un intento con él girando rápidamente comienza y se lanza el disco.</v>
      </c>
    </row>
    <row r="34838">
      <c r="A34838" s="4" t="s">
        <v>43833</v>
      </c>
      <c r="B34838" s="4" t="s">
        <v>43836</v>
      </c>
      <c r="C34838" s="5" t="str">
        <f>IFERROR(__xludf.DUMMYFUNCTION("GOOGLETRANSLATE(B34838,""en"",""es-ES"")"),"Se reproducen más fotos, mostrando al competidor en diferentes posiciones.")</f>
        <v>Se reproducen más fotos, mostrando al competidor en diferentes posiciones.</v>
      </c>
    </row>
    <row r="34839">
      <c r="A34839" s="4" t="s">
        <v>43833</v>
      </c>
      <c r="B34839" s="4" t="s">
        <v>43837</v>
      </c>
      <c r="C34839" s="5" t="str">
        <f>IFERROR(__xludf.DUMMYFUNCTION("GOOGLETRANSLATE(B34839,""en"",""es-ES"")"),"Dos intentos consecutivos con un poderoso giro dan como resultado el disco que vuela lejos en ambas ocasiones.")</f>
        <v>Dos intentos consecutivos con un poderoso giro dan como resultado el disco que vuela lejos en ambas ocasiones.</v>
      </c>
    </row>
    <row r="34840">
      <c r="A34840" s="4" t="s">
        <v>43833</v>
      </c>
      <c r="B34840" s="4" t="s">
        <v>43838</v>
      </c>
      <c r="C34840" s="5" t="str">
        <f>IFERROR(__xludf.DUMMYFUNCTION("GOOGLETRANSLATE(B34840,""en"",""es-ES"")"),"Esto es seguido por más fotos.")</f>
        <v>Esto es seguido por más fotos.</v>
      </c>
    </row>
    <row r="34841">
      <c r="A34841" s="4" t="s">
        <v>43833</v>
      </c>
      <c r="B34841" s="4" t="s">
        <v>43839</v>
      </c>
      <c r="C34841" s="5" t="str">
        <f>IFERROR(__xludf.DUMMYFUNCTION("GOOGLETRANSLATE(B34841,""en"",""es-ES"")"),"Otro intento juega, seguido de otra lista de fotos.")</f>
        <v>Otro intento juega, seguido de otra lista de fotos.</v>
      </c>
    </row>
    <row r="34842">
      <c r="A34842" s="4" t="s">
        <v>43833</v>
      </c>
      <c r="B34842" s="4" t="s">
        <v>43840</v>
      </c>
      <c r="C34842" s="5" t="str">
        <f>IFERROR(__xludf.DUMMYFUNCTION("GOOGLETRANSLATE(B34842,""en"",""es-ES"")"),"El siguiente intento ocurre frente a una gran red verde, el disco se lanza como un cohete y el lanzador celebra.")</f>
        <v>El siguiente intento ocurre frente a una gran red verde, el disco se lanza como un cohete y el lanzador celebra.</v>
      </c>
    </row>
    <row r="34843">
      <c r="A34843" s="4" t="s">
        <v>43833</v>
      </c>
      <c r="B34843" s="4" t="s">
        <v>43841</v>
      </c>
      <c r="C34843" s="5" t="str">
        <f>IFERROR(__xludf.DUMMYFUNCTION("GOOGLETRANSLATE(B34843,""en"",""es-ES"")"),"Otro conjunto de fotos cierre el montaje.")</f>
        <v>Otro conjunto de fotos cierre el montaje.</v>
      </c>
    </row>
    <row r="34844">
      <c r="A34844" s="4" t="s">
        <v>43842</v>
      </c>
      <c r="B34844" s="4" t="s">
        <v>43843</v>
      </c>
      <c r="C34844" s="5" t="str">
        <f>IFERROR(__xludf.DUMMYFUNCTION("GOOGLETRANSLATE(B34844,""en"",""es-ES"")"),"Un hombre está parado en un patio de hierba verde y se muestra cortando el césped y cuando termina hay un breve intercambio de una mano que le da una billete de un dólar.")</f>
        <v>Un hombre está parado en un patio de hierba verde y se muestra cortando el césped y cuando termina hay un breve intercambio de una mano que le da una billete de un dólar.</v>
      </c>
    </row>
    <row r="34845">
      <c r="A34845" s="4" t="s">
        <v>43842</v>
      </c>
      <c r="B34845" s="4" t="s">
        <v>43844</v>
      </c>
      <c r="C34845" s="5" t="str">
        <f>IFERROR(__xludf.DUMMYFUNCTION("GOOGLETRANSLATE(B34845,""en"",""es-ES"")"),"Luego se muestra al hombre moviendo la hierba nuevamente y cuando termina, una vez más está en el interior y esta vez recibe tres billetes de un dólar entregados.")</f>
        <v>Luego se muestra al hombre moviendo la hierba nuevamente y cuando termina, una vez más está en el interior y esta vez recibe tres billetes de un dólar entregados.</v>
      </c>
    </row>
    <row r="34846">
      <c r="A34846" s="4" t="s">
        <v>43842</v>
      </c>
      <c r="B34846" s="4" t="s">
        <v>43845</v>
      </c>
      <c r="C34846" s="5" t="str">
        <f>IFERROR(__xludf.DUMMYFUNCTION("GOOGLETRANSLATE(B34846,""en"",""es-ES"")"),"Una vez más está de vuelta en el patio, pero esta vez tiene el contenedor lleno de hierba cortada y un efecto especial hace que parezca que la hierba cortada salta a su contenedor.")</f>
        <v>Una vez más está de vuelta en el patio, pero esta vez tiene el contenedor lleno de hierba cortada y un efecto especial hace que parezca que la hierba cortada salta a su contenedor.</v>
      </c>
    </row>
    <row r="34847">
      <c r="A34847" s="4" t="s">
        <v>43842</v>
      </c>
      <c r="B34847" s="4" t="s">
        <v>43846</v>
      </c>
      <c r="C34847" s="5" t="str">
        <f>IFERROR(__xludf.DUMMYFUNCTION("GOOGLETRANSLATE(B34847,""en"",""es-ES"")"),"Un efecto especial muestra al hombre rápidamente en un lugar y luego en otro lugar que varía mucho durante todo el patio.")</f>
        <v>Un efecto especial muestra al hombre rápidamente en un lugar y luego en otro lugar que varía mucho durante todo el patio.</v>
      </c>
    </row>
    <row r="34848">
      <c r="A34848" s="4" t="s">
        <v>43842</v>
      </c>
      <c r="B34848" s="4" t="s">
        <v>43847</v>
      </c>
      <c r="C34848" s="5" t="str">
        <f>IFERROR(__xludf.DUMMYFUNCTION("GOOGLETRANSLATE(B34848,""en"",""es-ES"")"),"El hombre vuelve a cortar el patio y luego hacia atrás para que le entreguen un dólar más.")</f>
        <v>El hombre vuelve a cortar el patio y luego hacia atrás para que le entreguen un dólar más.</v>
      </c>
    </row>
    <row r="34849">
      <c r="A34849" s="4" t="s">
        <v>43842</v>
      </c>
      <c r="B34849" s="4" t="s">
        <v>43848</v>
      </c>
      <c r="C34849" s="5" t="str">
        <f>IFERROR(__xludf.DUMMYFUNCTION("GOOGLETRANSLATE(B34849,""en"",""es-ES"")"),"El hombre está muy contento con esto y está de vuelta en el patio celebrando saltando y cortando un poco más el patio.")</f>
        <v>El hombre está muy contento con esto y está de vuelta en el patio celebrando saltando y cortando un poco más el patio.</v>
      </c>
    </row>
    <row r="34850">
      <c r="A34850" s="4" t="s">
        <v>43842</v>
      </c>
      <c r="B34850" s="4" t="s">
        <v>43849</v>
      </c>
      <c r="C34850" s="5" t="str">
        <f>IFERROR(__xludf.DUMMYFUNCTION("GOOGLETRANSLATE(B34850,""en"",""es-ES"")"),"El hombre regresa en el interior y un efecto especial muestra un montón de dinero volando en el aire y directamente en sus manos y termina con un hombre que sostiene un montón de dinero en sus manos mientras se mueven.")</f>
        <v>El hombre regresa en el interior y un efecto especial muestra un montón de dinero volando en el aire y directamente en sus manos y termina con un hombre que sostiene un montón de dinero en sus manos mientras se mueven.</v>
      </c>
    </row>
    <row r="34851">
      <c r="A34851" s="4" t="s">
        <v>43850</v>
      </c>
      <c r="B34851" s="4" t="s">
        <v>43851</v>
      </c>
      <c r="C34851" s="5" t="str">
        <f>IFERROR(__xludf.DUMMYFUNCTION("GOOGLETRANSLATE(B34851,""en"",""es-ES"")"),"Vemos a un hombre hablando en un barco para bicicletas.")</f>
        <v>Vemos a un hombre hablando en un barco para bicicletas.</v>
      </c>
    </row>
    <row r="34852">
      <c r="A34852" s="4" t="s">
        <v>43850</v>
      </c>
      <c r="B34852" s="4" t="s">
        <v>43852</v>
      </c>
      <c r="C34852" s="5" t="str">
        <f>IFERROR(__xludf.DUMMYFUNCTION("GOOGLETRANSLATE(B34852,""en"",""es-ES"")"),"El hombre apunta en una bicicleta.")</f>
        <v>El hombre apunta en una bicicleta.</v>
      </c>
    </row>
    <row r="34853">
      <c r="A34853" s="4" t="s">
        <v>43850</v>
      </c>
      <c r="B34853" s="4" t="s">
        <v>43853</v>
      </c>
      <c r="C34853" s="5" t="str">
        <f>IFERROR(__xludf.DUMMYFUNCTION("GOOGLETRANSLATE(B34853,""en"",""es-ES"")"),"El hombre se quita el manillar en una bicicleta y los ajusta.")</f>
        <v>El hombre se quita el manillar en una bicicleta y los ajusta.</v>
      </c>
    </row>
    <row r="34854">
      <c r="A34854" s="4" t="s">
        <v>43850</v>
      </c>
      <c r="B34854" s="4" t="s">
        <v>43854</v>
      </c>
      <c r="C34854" s="5" t="str">
        <f>IFERROR(__xludf.DUMMYFUNCTION("GOOGLETRANSLATE(B34854,""en"",""es-ES"")"),"El hombre vuelve a poner el manillar.")</f>
        <v>El hombre vuelve a poner el manillar.</v>
      </c>
    </row>
    <row r="34855">
      <c r="A34855" s="4" t="s">
        <v>43850</v>
      </c>
      <c r="B34855" s="4" t="s">
        <v>43855</v>
      </c>
      <c r="C34855" s="5" t="str">
        <f>IFERROR(__xludf.DUMMYFUNCTION("GOOGLETRANSLATE(B34855,""en"",""es-ES"")"),"El hombre se mueve al frente de la bicicleta para ajustar el manillar.")</f>
        <v>El hombre se mueve al frente de la bicicleta para ajustar el manillar.</v>
      </c>
    </row>
    <row r="34856">
      <c r="A34856" s="4" t="s">
        <v>43850</v>
      </c>
      <c r="B34856" s="4" t="s">
        <v>43856</v>
      </c>
      <c r="C34856" s="5" t="str">
        <f>IFERROR(__xludf.DUMMYFUNCTION("GOOGLETRANSLATE(B34856,""en"",""es-ES"")"),"El hombre luego termina de apretar el perno en el manillar.")</f>
        <v>El hombre luego termina de apretar el perno en el manillar.</v>
      </c>
    </row>
    <row r="34857">
      <c r="A34857" s="4" t="s">
        <v>43850</v>
      </c>
      <c r="B34857" s="4" t="s">
        <v>43857</v>
      </c>
      <c r="C34857" s="5" t="str">
        <f>IFERROR(__xludf.DUMMYFUNCTION("GOOGLETRANSLATE(B34857,""en"",""es-ES"")"),"El hombre retrocede cuando termina.")</f>
        <v>El hombre retrocede cuando termina.</v>
      </c>
    </row>
    <row r="34858">
      <c r="A34858" s="4" t="s">
        <v>43858</v>
      </c>
      <c r="B34858" s="4" t="s">
        <v>43859</v>
      </c>
      <c r="C34858" s="5" t="str">
        <f>IFERROR(__xludf.DUMMYFUNCTION("GOOGLETRANSLATE(B34858,""en"",""es-ES"")"),"Dos hombres hablan con la cámara, intercalados con imágenes de acción de ellos jugando lacrosse.")</f>
        <v>Dos hombres hablan con la cámara, intercalados con imágenes de acción de ellos jugando lacrosse.</v>
      </c>
    </row>
    <row r="34859">
      <c r="A34859" s="4" t="s">
        <v>43858</v>
      </c>
      <c r="B34859" s="4" t="s">
        <v>43860</v>
      </c>
      <c r="C34859" s="5" t="str">
        <f>IFERROR(__xludf.DUMMYFUNCTION("GOOGLETRANSLATE(B34859,""en"",""es-ES"")"),"El hombre vestido con naranja habla con la cámara.")</f>
        <v>El hombre vestido con naranja habla con la cámara.</v>
      </c>
    </row>
    <row r="34860">
      <c r="A34860" s="4" t="s">
        <v>43858</v>
      </c>
      <c r="B34860" s="4" t="s">
        <v>43861</v>
      </c>
      <c r="C34860" s="5" t="str">
        <f>IFERROR(__xludf.DUMMYFUNCTION("GOOGLETRANSLATE(B34860,""en"",""es-ES"")"),"El hombre de naranja demuestra pasar la pelota de lacrosse contra la pared.")</f>
        <v>El hombre de naranja demuestra pasar la pelota de lacrosse contra la pared.</v>
      </c>
    </row>
    <row r="34861">
      <c r="A34861" s="4" t="s">
        <v>43858</v>
      </c>
      <c r="B34861" s="4" t="s">
        <v>43862</v>
      </c>
      <c r="C34861" s="5" t="str">
        <f>IFERROR(__xludf.DUMMYFUNCTION("GOOGLETRANSLATE(B34861,""en"",""es-ES"")"),"El hombre de naranja habla nuevamente con la cámara.")</f>
        <v>El hombre de naranja habla nuevamente con la cámara.</v>
      </c>
    </row>
    <row r="34862">
      <c r="A34862" s="4" t="s">
        <v>43858</v>
      </c>
      <c r="B34862" s="4" t="s">
        <v>43863</v>
      </c>
      <c r="C34862" s="5" t="str">
        <f>IFERROR(__xludf.DUMMYFUNCTION("GOOGLETRANSLATE(B34862,""en"",""es-ES"")"),"Ambos hombres demuestran pasar la pelota de lacrosse contra la pared.")</f>
        <v>Ambos hombres demuestran pasar la pelota de lacrosse contra la pared.</v>
      </c>
    </row>
    <row r="34863">
      <c r="A34863" s="4" t="s">
        <v>43858</v>
      </c>
      <c r="B34863" s="4" t="s">
        <v>43864</v>
      </c>
      <c r="C34863" s="5" t="str">
        <f>IFERROR(__xludf.DUMMYFUNCTION("GOOGLETRANSLATE(B34863,""en"",""es-ES"")"),"El hombre de naranja habla con la cámara por tercera vez mientras se demuestra con su palo de lacrosse.")</f>
        <v>El hombre de naranja habla con la cámara por tercera vez mientras se demuestra con su palo de lacrosse.</v>
      </c>
    </row>
    <row r="34864">
      <c r="A34864" s="4" t="s">
        <v>43858</v>
      </c>
      <c r="B34864" s="4" t="s">
        <v>43865</v>
      </c>
      <c r="C34864" s="5" t="str">
        <f>IFERROR(__xludf.DUMMYFUNCTION("GOOGLETRANSLATE(B34864,""en"",""es-ES"")"),"El hombre es interrumpido brevemente por una escena de él pasando la pelota contra la pared.")</f>
        <v>El hombre es interrumpido brevemente por una escena de él pasando la pelota contra la pared.</v>
      </c>
    </row>
    <row r="34865">
      <c r="A34865" s="4" t="s">
        <v>43858</v>
      </c>
      <c r="B34865" s="4" t="s">
        <v>43866</v>
      </c>
      <c r="C34865" s="5" t="str">
        <f>IFERROR(__xludf.DUMMYFUNCTION("GOOGLETRANSLATE(B34865,""en"",""es-ES"")"),"Los dos hombres practican pasar la pelota entre sí con la pared.")</f>
        <v>Los dos hombres practican pasar la pelota entre sí con la pared.</v>
      </c>
    </row>
    <row r="34866">
      <c r="A34866" s="4" t="s">
        <v>43858</v>
      </c>
      <c r="B34866" s="4" t="s">
        <v>43867</v>
      </c>
      <c r="C34866" s="5" t="str">
        <f>IFERROR(__xludf.DUMMYFUNCTION("GOOGLETRANSLATE(B34866,""en"",""es-ES"")"),"El hombre de naranja habla con la cámara por última vez.")</f>
        <v>El hombre de naranja habla con la cámara por última vez.</v>
      </c>
    </row>
    <row r="34867">
      <c r="A34867" s="4" t="s">
        <v>43868</v>
      </c>
      <c r="B34867" s="4" t="s">
        <v>43869</v>
      </c>
      <c r="C34867" s="5" t="str">
        <f>IFERROR(__xludf.DUMMYFUNCTION("GOOGLETRANSLATE(B34867,""en"",""es-ES"")"),"Se ve a una mujer sentada en una cuerda mientras otros miran a su alrededor.")</f>
        <v>Se ve a una mujer sentada en una cuerda mientras otros miran a su alrededor.</v>
      </c>
    </row>
    <row r="34868">
      <c r="A34868" s="4" t="s">
        <v>43868</v>
      </c>
      <c r="B34868" s="4" t="s">
        <v>43870</v>
      </c>
      <c r="C34868" s="5" t="str">
        <f>IFERROR(__xludf.DUMMYFUNCTION("GOOGLETRANSLATE(B34868,""en"",""es-ES"")"),"Se muestra a un hombre hablando con la cámara, mientras que otros toman su equilibrio de turnos en la cuerda.")</f>
        <v>Se muestra a un hombre hablando con la cámara, mientras que otros toman su equilibrio de turnos en la cuerda.</v>
      </c>
    </row>
    <row r="34869">
      <c r="A34869" s="4" t="s">
        <v>43868</v>
      </c>
      <c r="B34869" s="4" t="s">
        <v>43871</v>
      </c>
      <c r="C34869" s="5" t="str">
        <f>IFERROR(__xludf.DUMMYFUNCTION("GOOGLETRANSLATE(B34869,""en"",""es-ES"")"),"Se muestran más disparos de las personas que caminan entre sí.")</f>
        <v>Se muestran más disparos de las personas que caminan entre sí.</v>
      </c>
    </row>
    <row r="34870">
      <c r="A34870" s="4" t="s">
        <v>43872</v>
      </c>
      <c r="B34870" s="4" t="s">
        <v>43873</v>
      </c>
      <c r="C34870" s="5" t="str">
        <f>IFERROR(__xludf.DUMMYFUNCTION("GOOGLETRANSLATE(B34870,""en"",""es-ES"")"),"Se ve a una mujer caminando hacia una puerta y sonriendo a la cámara mientras colgaba de su abrigo.")</f>
        <v>Se ve a una mujer caminando hacia una puerta y sonriendo a la cámara mientras colgaba de su abrigo.</v>
      </c>
    </row>
    <row r="34871">
      <c r="A34871" s="4" t="s">
        <v>43872</v>
      </c>
      <c r="B34871" s="4" t="s">
        <v>43874</v>
      </c>
      <c r="C34871" s="5" t="str">
        <f>IFERROR(__xludf.DUMMYFUNCTION("GOOGLETRANSLATE(B34871,""en"",""es-ES"")"),"Ella pone un delantal y vierte pintura en un cubo mientras habla con la cámara.")</f>
        <v>Ella pone un delantal y vierte pintura en un cubo mientras habla con la cámara.</v>
      </c>
    </row>
    <row r="34872">
      <c r="A34872" s="4" t="s">
        <v>43872</v>
      </c>
      <c r="B34872" s="4" t="s">
        <v>43875</v>
      </c>
      <c r="C34872" s="5" t="str">
        <f>IFERROR(__xludf.DUMMYFUNCTION("GOOGLETRANSLATE(B34872,""en"",""es-ES"")"),"Se le muestra pintando varios muebles, además de mostrarlo al final.")</f>
        <v>Se le muestra pintando varios muebles, además de mostrarlo al final.</v>
      </c>
    </row>
    <row r="34873">
      <c r="A34873" s="4" t="s">
        <v>43876</v>
      </c>
      <c r="B34873" s="4" t="s">
        <v>43877</v>
      </c>
      <c r="C34873" s="5" t="str">
        <f>IFERROR(__xludf.DUMMYFUNCTION("GOOGLETRANSLATE(B34873,""en"",""es-ES"")"),"Se ve a una mujer sentada en una silla mientras habla con la cámara y conduce al primer plano de un árbol y la mujer poniendo adornos.")</f>
        <v>Se ve a una mujer sentada en una silla mientras habla con la cámara y conduce al primer plano de un árbol y la mujer poniendo adornos.</v>
      </c>
    </row>
    <row r="34874">
      <c r="A34874" s="4" t="s">
        <v>43876</v>
      </c>
      <c r="B34874" s="4" t="s">
        <v>43878</v>
      </c>
      <c r="C34874" s="5" t="str">
        <f>IFERROR(__xludf.DUMMYFUNCTION("GOOGLETRANSLATE(B34874,""en"",""es-ES"")"),"La mujer ata todo el árbol mientras la cámara se desplaza y termina con ella mostrando el resultado final y hablando con la cámara.")</f>
        <v>La mujer ata todo el árbol mientras la cámara se desplaza y termina con ella mostrando el resultado final y hablando con la cámara.</v>
      </c>
    </row>
    <row r="34875">
      <c r="A34875" s="4" t="s">
        <v>43879</v>
      </c>
      <c r="B34875" s="4" t="s">
        <v>43880</v>
      </c>
      <c r="C34875" s="5" t="str">
        <f>IFERROR(__xludf.DUMMYFUNCTION("GOOGLETRANSLATE(B34875,""en"",""es-ES"")"),"Un niño está sentado en una rampa con las aletas en su bicicleta de tierra esperando para ir al curso.")</f>
        <v>Un niño está sentado en una rampa con las aletas en su bicicleta de tierra esperando para ir al curso.</v>
      </c>
    </row>
    <row r="34876">
      <c r="A34876" s="4" t="s">
        <v>43879</v>
      </c>
      <c r="B34876" s="4" t="s">
        <v>43881</v>
      </c>
      <c r="C34876" s="5" t="str">
        <f>IFERROR(__xludf.DUMMYFUNCTION("GOOGLETRANSLATE(B34876,""en"",""es-ES"")"),"El niño luego regresa y comienza a mover los pedales en la bicicleta y luego se levanta en la bicicleta.")</f>
        <v>El niño luego regresa y comienza a mover los pedales en la bicicleta y luego se levanta en la bicicleta.</v>
      </c>
    </row>
    <row r="34877">
      <c r="A34877" s="4" t="s">
        <v>43879</v>
      </c>
      <c r="B34877" s="4" t="s">
        <v>43882</v>
      </c>
      <c r="C34877" s="5" t="str">
        <f>IFERROR(__xludf.DUMMYFUNCTION("GOOGLETRANSLATE(B34877,""en"",""es-ES"")"),"Se muestra otro ángulo y las rampas se decepcionan y el niño comienza a bajar por el pavimento.")</f>
        <v>Se muestra otro ángulo y las rampas se decepcionan y el niño comienza a bajar por el pavimento.</v>
      </c>
    </row>
    <row r="34878">
      <c r="A34878" s="4" t="s">
        <v>43883</v>
      </c>
      <c r="B34878" s="4" t="s">
        <v>43884</v>
      </c>
      <c r="C34878" s="5" t="str">
        <f>IFERROR(__xludf.DUMMYFUNCTION("GOOGLETRANSLATE(B34878,""en"",""es-ES"")"),"Un adolescente se sienta en una silla hablando.")</f>
        <v>Un adolescente se sienta en una silla hablando.</v>
      </c>
    </row>
    <row r="34879">
      <c r="A34879" s="4" t="s">
        <v>43883</v>
      </c>
      <c r="B34879" s="4" t="s">
        <v>43885</v>
      </c>
      <c r="C34879" s="5" t="str">
        <f>IFERROR(__xludf.DUMMYFUNCTION("GOOGLETRANSLATE(B34879,""en"",""es-ES"")"),"El niño se para y lo vemos rebotando en una línea de holgura en varios lugares.")</f>
        <v>El niño se para y lo vemos rebotando en una línea de holgura en varios lugares.</v>
      </c>
    </row>
    <row r="34880">
      <c r="A34880" s="4" t="s">
        <v>43883</v>
      </c>
      <c r="B34880" s="4" t="s">
        <v>43886</v>
      </c>
      <c r="C34880" s="5" t="str">
        <f>IFERROR(__xludf.DUMMYFUNCTION("GOOGLETRANSLATE(B34880,""en"",""es-ES"")"),"Hay un segundo chico en una línea diferente que se aleja.")</f>
        <v>Hay un segundo chico en una línea diferente que se aleja.</v>
      </c>
    </row>
    <row r="34881">
      <c r="A34881" s="4" t="s">
        <v>43883</v>
      </c>
      <c r="B34881" s="4" t="s">
        <v>43887</v>
      </c>
      <c r="C34881" s="5" t="str">
        <f>IFERROR(__xludf.DUMMYFUNCTION("GOOGLETRANSLATE(B34881,""en"",""es-ES"")"),"El niño casi cae y se estabiliza.")</f>
        <v>El niño casi cae y se estabiliza.</v>
      </c>
    </row>
    <row r="34882">
      <c r="A34882" s="4" t="s">
        <v>43883</v>
      </c>
      <c r="B34882" s="4" t="s">
        <v>43888</v>
      </c>
      <c r="C34882" s="5" t="str">
        <f>IFERROR(__xludf.DUMMYFUNCTION("GOOGLETRANSLATE(B34882,""en"",""es-ES"")"),"El niño se baja y se aleja.")</f>
        <v>El niño se baja y se aleja.</v>
      </c>
    </row>
    <row r="34883">
      <c r="A34883" s="4" t="s">
        <v>43883</v>
      </c>
      <c r="B34883" s="4" t="s">
        <v>43889</v>
      </c>
      <c r="C34883" s="5" t="str">
        <f>IFERROR(__xludf.DUMMYFUNCTION("GOOGLETRANSLATE(B34883,""en"",""es-ES"")"),"El niño camina hacia la cámara y hace un gesto con las manos.")</f>
        <v>El niño camina hacia la cámara y hace un gesto con las manos.</v>
      </c>
    </row>
    <row r="34884">
      <c r="A34884" s="4" t="s">
        <v>43890</v>
      </c>
      <c r="B34884" s="4" t="s">
        <v>43891</v>
      </c>
      <c r="C34884" s="5" t="str">
        <f>IFERROR(__xludf.DUMMYFUNCTION("GOOGLETRANSLATE(B34884,""en"",""es-ES"")"),"Aparece una pantalla de introducción negra con palabras blancas y letras que dicen ""Los dardos de TV Únelgentes de TV únicos de Eric Bristow se filman 1983 vs J Wilson"".")</f>
        <v>Aparece una pantalla de introducción negra con palabras blancas y letras que dicen "Los dardos de TV Únelgentes de TV únicos de Eric Bristow se filman 1983 vs J Wilson".</v>
      </c>
    </row>
    <row r="34885">
      <c r="A34885" s="4" t="s">
        <v>43890</v>
      </c>
      <c r="B34885" s="4" t="s">
        <v>43892</v>
      </c>
      <c r="C34885" s="5" t="str">
        <f>IFERROR(__xludf.DUMMYFUNCTION("GOOGLETRANSLATE(B34885,""en"",""es-ES"")"),"Comienza un video de aspecto más antiguo y dos hombres diferentes están lanzando dardos a un tablero de dardos.")</f>
        <v>Comienza un video de aspecto más antiguo y dos hombres diferentes están lanzando dardos a un tablero de dardos.</v>
      </c>
    </row>
    <row r="34886">
      <c r="A34886" s="4" t="s">
        <v>43890</v>
      </c>
      <c r="B34886" s="4" t="s">
        <v>43893</v>
      </c>
      <c r="C34886" s="5" t="str">
        <f>IFERROR(__xludf.DUMMYFUNCTION("GOOGLETRANSLATE(B34886,""en"",""es-ES"")"),"Cuando los hombres terminan de lanzar dardos, se muestra un tablero de dardos y las letras azules se desplazan hacia arriba desde la parte inferior hasta la parte superior.")</f>
        <v>Cuando los hombres terminan de lanzar dardos, se muestra un tablero de dardos y las letras azules se desplazan hacia arriba desde la parte inferior hasta la parte superior.</v>
      </c>
    </row>
    <row r="34887">
      <c r="A34887" s="4" t="s">
        <v>43894</v>
      </c>
      <c r="B34887" s="4" t="s">
        <v>43895</v>
      </c>
      <c r="C34887" s="5" t="str">
        <f>IFERROR(__xludf.DUMMYFUNCTION("GOOGLETRANSLATE(B34887,""en"",""es-ES"")"),"Una introducción llega a la pantalla para un video sobre cómo hacer lingüino con salsa de almejas.")</f>
        <v>Una introducción llega a la pantalla para un video sobre cómo hacer lingüino con salsa de almejas.</v>
      </c>
    </row>
    <row r="34888">
      <c r="A34888" s="4" t="s">
        <v>43894</v>
      </c>
      <c r="B34888" s="4" t="s">
        <v>43896</v>
      </c>
      <c r="C34888" s="5" t="str">
        <f>IFERROR(__xludf.DUMMYFUNCTION("GOOGLETRANSLATE(B34888,""en"",""es-ES"")"),"El agua se hace hervir en una olla y la pasta se agrega a la olla.")</f>
        <v>El agua se hace hervir en una olla y la pasta se agrega a la olla.</v>
      </c>
    </row>
    <row r="34889">
      <c r="A34889" s="4" t="s">
        <v>43894</v>
      </c>
      <c r="B34889" s="4" t="s">
        <v>43897</v>
      </c>
      <c r="C34889" s="5" t="str">
        <f>IFERROR(__xludf.DUMMYFUNCTION("GOOGLETRANSLATE(B34889,""en"",""es-ES"")"),"El perejil está finamente picado junto con un poco de ajo, y las almejas se drenan en un tazón para separarlos del jugo.")</f>
        <v>El perejil está finamente picado junto con un poco de ajo, y las almejas se drenan en un tazón para separarlos del jugo.</v>
      </c>
    </row>
    <row r="34890">
      <c r="A34890" s="4" t="s">
        <v>43894</v>
      </c>
      <c r="B34890" s="4" t="s">
        <v>43898</v>
      </c>
      <c r="C34890" s="5" t="str">
        <f>IFERROR(__xludf.DUMMYFUNCTION("GOOGLETRANSLATE(B34890,""en"",""es-ES"")"),"El aceite de oliva entra en la sartén con el ajo, el pimiento rojo, el perejil, el vino blanco, la albahaca, la sal y el jugo de almeja a fuego lento, y las almejas se agregan a la mezcla al final.")</f>
        <v>El aceite de oliva entra en la sartén con el ajo, el pimiento rojo, el perejil, el vino blanco, la albahaca, la sal y el jugo de almeja a fuego lento, y las almejas se agregan a la mezcla al final.</v>
      </c>
    </row>
    <row r="34891">
      <c r="A34891" s="4" t="s">
        <v>43894</v>
      </c>
      <c r="B34891" s="4" t="s">
        <v>43899</v>
      </c>
      <c r="C34891" s="5" t="str">
        <f>IFERROR(__xludf.DUMMYFUNCTION("GOOGLETRANSLATE(B34891,""en"",""es-ES"")"),"La pasta está drenada y se agrega a la sartén con la salsa.")</f>
        <v>La pasta está drenada y se agrega a la sartén con la salsa.</v>
      </c>
    </row>
    <row r="34892">
      <c r="A34892" s="4" t="s">
        <v>43894</v>
      </c>
      <c r="B34892" s="4" t="s">
        <v>43900</v>
      </c>
      <c r="C34892" s="5" t="str">
        <f>IFERROR(__xludf.DUMMYFUNCTION("GOOGLETRANSLATE(B34892,""en"",""es-ES"")"),"La pasta se sirve con queso rallado en la parte superior.")</f>
        <v>La pasta se sirve con queso rallado en la parte superior.</v>
      </c>
    </row>
    <row r="34893">
      <c r="A34893" s="4" t="s">
        <v>43901</v>
      </c>
      <c r="B34893" s="4" t="s">
        <v>43902</v>
      </c>
      <c r="C34893" s="5" t="str">
        <f>IFERROR(__xludf.DUMMYFUNCTION("GOOGLETRANSLATE(B34893,""en"",""es-ES"")"),"Se ve a una mujer con cabello largo hablando con la cámara mientras se mueve los brazos y sonríe mientras habla.")</f>
        <v>Se ve a una mujer con cabello largo hablando con la cámara mientras se mueve los brazos y sonríe mientras habla.</v>
      </c>
    </row>
    <row r="34894">
      <c r="A34894" s="4" t="s">
        <v>43901</v>
      </c>
      <c r="B34894" s="4" t="s">
        <v>43903</v>
      </c>
      <c r="C34894" s="5" t="str">
        <f>IFERROR(__xludf.DUMMYFUNCTION("GOOGLETRANSLATE(B34894,""en"",""es-ES"")"),"Luego comienza a quitarse el pelo largo y sonreír a la cámara y saludar.")</f>
        <v>Luego comienza a quitarse el pelo largo y sonreír a la cámara y saludar.</v>
      </c>
    </row>
    <row r="34895">
      <c r="A34895" s="4" t="s">
        <v>43904</v>
      </c>
      <c r="B34895" s="4" t="s">
        <v>43905</v>
      </c>
      <c r="C34895" s="5" t="str">
        <f>IFERROR(__xludf.DUMMYFUNCTION("GOOGLETRANSLATE(B34895,""en"",""es-ES"")"),"Una niña camina por el centro del escenario y se mete con los pies y se pone en posición.")</f>
        <v>Una niña camina por el centro del escenario y se mete con los pies y se pone en posición.</v>
      </c>
    </row>
    <row r="34896">
      <c r="A34896" s="4" t="s">
        <v>43904</v>
      </c>
      <c r="B34896" s="4" t="s">
        <v>43906</v>
      </c>
      <c r="C34896" s="5" t="str">
        <f>IFERROR(__xludf.DUMMYFUNCTION("GOOGLETRANSLATE(B34896,""en"",""es-ES"")"),"Se detiene en esa posición antes de comenzar a bailar.")</f>
        <v>Se detiene en esa posición antes de comenzar a bailar.</v>
      </c>
    </row>
    <row r="34897">
      <c r="A34897" s="4" t="s">
        <v>43904</v>
      </c>
      <c r="B34897" s="4" t="s">
        <v>43907</v>
      </c>
      <c r="C34897" s="5" t="str">
        <f>IFERROR(__xludf.DUMMYFUNCTION("GOOGLETRANSLATE(B34897,""en"",""es-ES"")"),"Ella hace una división y algunas poses por todas partes.")</f>
        <v>Ella hace una división y algunas poses por todas partes.</v>
      </c>
    </row>
    <row r="34898">
      <c r="A34898" s="4" t="s">
        <v>43904</v>
      </c>
      <c r="B34898" s="4" t="s">
        <v>43908</v>
      </c>
      <c r="C34898" s="5" t="str">
        <f>IFERROR(__xludf.DUMMYFUNCTION("GOOGLETRANSLATE(B34898,""en"",""es-ES"")"),"Ella hace algunas ruedas de carro y más bailando en toda la cancha y finalmente termina.")</f>
        <v>Ella hace algunas ruedas de carro y más bailando en toda la cancha y finalmente termina.</v>
      </c>
    </row>
    <row r="34899">
      <c r="A34899" s="4" t="s">
        <v>43909</v>
      </c>
      <c r="B34899" s="4" t="s">
        <v>43910</v>
      </c>
      <c r="C34899" s="5" t="str">
        <f>IFERROR(__xludf.DUMMYFUNCTION("GOOGLETRANSLATE(B34899,""en"",""es-ES"")"),"Se muestra a un gran grupo de personas caminando con arcos y flechas y una haciendo un tiro.")</f>
        <v>Se muestra a un gran grupo de personas caminando con arcos y flechas y una haciendo un tiro.</v>
      </c>
    </row>
    <row r="34900">
      <c r="A34900" s="4" t="s">
        <v>43909</v>
      </c>
      <c r="B34900" s="4" t="s">
        <v>43911</v>
      </c>
      <c r="C34900" s="5" t="str">
        <f>IFERROR(__xludf.DUMMYFUNCTION("GOOGLETRANSLATE(B34900,""en"",""es-ES"")"),"Varias personas más se muestran haciendo tiros con sus arcos y flechas y celebrando al final y parados en un podio agitando.")</f>
        <v>Varias personas más se muestran haciendo tiros con sus arcos y flechas y celebrando al final y parados en un podio agitando.</v>
      </c>
    </row>
    <row r="34901">
      <c r="A34901" s="4" t="s">
        <v>43912</v>
      </c>
      <c r="B34901" s="4" t="s">
        <v>43913</v>
      </c>
      <c r="C34901" s="5" t="str">
        <f>IFERROR(__xludf.DUMMYFUNCTION("GOOGLETRANSLATE(B34901,""en"",""es-ES"")"),"Vemos a un hombre esquí acuático.")</f>
        <v>Vemos a un hombre esquí acuático.</v>
      </c>
    </row>
    <row r="34902">
      <c r="A34902" s="4" t="s">
        <v>43912</v>
      </c>
      <c r="B34902" s="4" t="s">
        <v>43914</v>
      </c>
      <c r="C34902" s="5" t="str">
        <f>IFERROR(__xludf.DUMMYFUNCTION("GOOGLETRANSLATE(B34902,""en"",""es-ES"")"),"Vemos el agua rociando a la izquierda.")</f>
        <v>Vemos el agua rociando a la izquierda.</v>
      </c>
    </row>
    <row r="34903">
      <c r="A34903" s="4" t="s">
        <v>43912</v>
      </c>
      <c r="B34903" s="4" t="s">
        <v>43915</v>
      </c>
      <c r="C34903" s="5" t="str">
        <f>IFERROR(__xludf.DUMMYFUNCTION("GOOGLETRANSLATE(B34903,""en"",""es-ES"")"),"El hombre salta hacia la derecha.")</f>
        <v>El hombre salta hacia la derecha.</v>
      </c>
    </row>
    <row r="34904">
      <c r="A34904" s="4" t="s">
        <v>43912</v>
      </c>
      <c r="B34904" s="4" t="s">
        <v>43916</v>
      </c>
      <c r="C34904" s="5" t="str">
        <f>IFERROR(__xludf.DUMMYFUNCTION("GOOGLETRANSLATE(B34904,""en"",""es-ES"")"),"El hombre se inclina en la tabla de surf.")</f>
        <v>El hombre se inclina en la tabla de surf.</v>
      </c>
    </row>
    <row r="34905">
      <c r="A34905" s="4" t="s">
        <v>43912</v>
      </c>
      <c r="B34905" s="4" t="s">
        <v>43917</v>
      </c>
      <c r="C34905" s="5" t="str">
        <f>IFERROR(__xludf.DUMMYFUNCTION("GOOGLETRANSLATE(B34905,""en"",""es-ES"")"),"El hombre realiza un flip.")</f>
        <v>El hombre realiza un flip.</v>
      </c>
    </row>
    <row r="34906">
      <c r="A34906" s="4" t="s">
        <v>43918</v>
      </c>
      <c r="B34906" s="4" t="s">
        <v>43919</v>
      </c>
      <c r="C34906" s="5" t="str">
        <f>IFERROR(__xludf.DUMMYFUNCTION("GOOGLETRANSLATE(B34906,""en"",""es-ES"")"),"Un par de manos femeninas usa un hierro en un trozo de ropa para bebés.")</f>
        <v>Un par de manos femeninas usa un hierro en un trozo de ropa para bebés.</v>
      </c>
    </row>
    <row r="34907">
      <c r="A34907" s="4" t="s">
        <v>43918</v>
      </c>
      <c r="B34907" s="4" t="s">
        <v>43920</v>
      </c>
      <c r="C34907" s="5" t="str">
        <f>IFERROR(__xludf.DUMMYFUNCTION("GOOGLETRANSLATE(B34907,""en"",""es-ES"")"),"La mujer aparta el hierro a un lado y voltea la ropa.")</f>
        <v>La mujer aparta el hierro a un lado y voltea la ropa.</v>
      </c>
    </row>
    <row r="34908">
      <c r="A34908" s="4" t="s">
        <v>43918</v>
      </c>
      <c r="B34908" s="4" t="s">
        <v>43921</v>
      </c>
      <c r="C34908" s="5" t="str">
        <f>IFERROR(__xludf.DUMMYFUNCTION("GOOGLETRANSLATE(B34908,""en"",""es-ES"")"),"La mujer usa el hierro al otro lado de la ropa.")</f>
        <v>La mujer usa el hierro al otro lado de la ropa.</v>
      </c>
    </row>
    <row r="34909">
      <c r="A34909" s="4" t="s">
        <v>43918</v>
      </c>
      <c r="B34909" s="4" t="s">
        <v>43922</v>
      </c>
      <c r="C34909" s="5" t="str">
        <f>IFERROR(__xludf.DUMMYFUNCTION("GOOGLETRANSLATE(B34909,""en"",""es-ES"")"),"La mujer aparta el hierro a un lado.")</f>
        <v>La mujer aparta el hierro a un lado.</v>
      </c>
    </row>
    <row r="34910">
      <c r="A34910" s="4" t="s">
        <v>43923</v>
      </c>
      <c r="B34910" s="4" t="s">
        <v>43924</v>
      </c>
      <c r="C34910" s="5" t="str">
        <f>IFERROR(__xludf.DUMMYFUNCTION("GOOGLETRANSLATE(B34910,""en"",""es-ES"")"),"Un hombre está tomando una bebida en la playa.")</f>
        <v>Un hombre está tomando una bebida en la playa.</v>
      </c>
    </row>
    <row r="34911">
      <c r="A34911" s="4" t="s">
        <v>43923</v>
      </c>
      <c r="B34911" s="4" t="s">
        <v>43925</v>
      </c>
      <c r="C34911" s="5" t="str">
        <f>IFERROR(__xludf.DUMMYFUNCTION("GOOGLETRANSLATE(B34911,""en"",""es-ES"")"),"Una niña está aplicando chorros de loción sunna en sus cuerpos.")</f>
        <v>Una niña está aplicando chorros de loción sunna en sus cuerpos.</v>
      </c>
    </row>
    <row r="34912">
      <c r="A34912" s="4" t="s">
        <v>43923</v>
      </c>
      <c r="B34912" s="4" t="s">
        <v>43926</v>
      </c>
      <c r="C34912" s="5" t="str">
        <f>IFERROR(__xludf.DUMMYFUNCTION("GOOGLETRANSLATE(B34912,""en"",""es-ES"")"),"Luego entra en el agua, nadando y caminando en las olas.")</f>
        <v>Luego entra en el agua, nadando y caminando en las olas.</v>
      </c>
    </row>
    <row r="34913">
      <c r="A34913" s="4" t="s">
        <v>43927</v>
      </c>
      <c r="B34913" s="4" t="s">
        <v>43928</v>
      </c>
      <c r="C34913" s="5" t="str">
        <f>IFERROR(__xludf.DUMMYFUNCTION("GOOGLETRANSLATE(B34913,""en"",""es-ES"")"),"Se ve a un hombre hablando con la cámara mientras sostiene una estera de goma de espuma.")</f>
        <v>Se ve a un hombre hablando con la cámara mientras sostiene una estera de goma de espuma.</v>
      </c>
    </row>
    <row r="34914">
      <c r="A34914" s="4" t="s">
        <v>43927</v>
      </c>
      <c r="B34914" s="4" t="s">
        <v>43929</v>
      </c>
      <c r="C34914" s="5" t="str">
        <f>IFERROR(__xludf.DUMMYFUNCTION("GOOGLETRANSLATE(B34914,""en"",""es-ES"")"),"La cámara se desplaza alrededor de más alfombras que se presentan mientras el hombre todavía habla con la cámara.")</f>
        <v>La cámara se desplaza alrededor de más alfombras que se presentan mientras el hombre todavía habla con la cámara.</v>
      </c>
    </row>
    <row r="34915">
      <c r="A34915" s="4" t="s">
        <v>43930</v>
      </c>
      <c r="B34915" s="4" t="s">
        <v>43931</v>
      </c>
      <c r="C34915" s="5" t="str">
        <f>IFERROR(__xludf.DUMMYFUNCTION("GOOGLETRANSLATE(B34915,""en"",""es-ES"")"),"Una mujer comienza a hablar con la cámara sonriendo y lleva a su venida el cabello de otra mujer.")</f>
        <v>Una mujer comienza a hablar con la cámara sonriendo y lleva a su venida el cabello de otra mujer.</v>
      </c>
    </row>
    <row r="34916">
      <c r="A34916" s="4" t="s">
        <v>43930</v>
      </c>
      <c r="B34916" s="4" t="s">
        <v>43932</v>
      </c>
      <c r="C34916" s="5" t="str">
        <f>IFERROR(__xludf.DUMMYFUNCTION("GOOGLETRANSLATE(B34916,""en"",""es-ES"")"),"Ella separa el cabello en secciones y coloca rodillos en el cabello de la mujer y habla con la cámara.")</f>
        <v>Ella separa el cabello en secciones y coloca rodillos en el cabello de la mujer y habla con la cámara.</v>
      </c>
    </row>
    <row r="34917">
      <c r="A34917" s="4" t="s">
        <v>43933</v>
      </c>
      <c r="B34917" s="4" t="s">
        <v>43934</v>
      </c>
      <c r="C34917" s="5" t="str">
        <f>IFERROR(__xludf.DUMMYFUNCTION("GOOGLETRANSLATE(B34917,""en"",""es-ES"")"),"Dos personas levantan un gran peso sobre sus cabezas.")</f>
        <v>Dos personas levantan un gran peso sobre sus cabezas.</v>
      </c>
    </row>
    <row r="34918">
      <c r="A34918" s="4" t="s">
        <v>43933</v>
      </c>
      <c r="B34918" s="4" t="s">
        <v>43935</v>
      </c>
      <c r="C34918" s="5" t="str">
        <f>IFERROR(__xludf.DUMMYFUNCTION("GOOGLETRANSLATE(B34918,""en"",""es-ES"")"),"Dejan caer el peso al suelo.")</f>
        <v>Dejan caer el peso al suelo.</v>
      </c>
    </row>
    <row r="34919">
      <c r="A34919" s="4" t="s">
        <v>43933</v>
      </c>
      <c r="B34919" s="4" t="s">
        <v>43936</v>
      </c>
      <c r="C34919" s="5" t="str">
        <f>IFERROR(__xludf.DUMMYFUNCTION("GOOGLETRANSLATE(B34919,""en"",""es-ES"")"),"Los pesos se muestran en cada lado.")</f>
        <v>Los pesos se muestran en cada lado.</v>
      </c>
    </row>
    <row r="34920">
      <c r="A34920" s="4" t="s">
        <v>43937</v>
      </c>
      <c r="B34920" s="4" t="s">
        <v>43938</v>
      </c>
      <c r="C34920" s="5" t="str">
        <f>IFERROR(__xludf.DUMMYFUNCTION("GOOGLETRANSLATE(B34920,""en"",""es-ES"")"),"Se ven dos autos estacionados fuera de un garaje mientras un hombre enfoca su cámara.")</f>
        <v>Se ven dos autos estacionados fuera de un garaje mientras un hombre enfoca su cámara.</v>
      </c>
    </row>
    <row r="34921">
      <c r="A34921" s="4" t="s">
        <v>43937</v>
      </c>
      <c r="B34921" s="4" t="s">
        <v>43939</v>
      </c>
      <c r="C34921" s="5" t="str">
        <f>IFERROR(__xludf.DUMMYFUNCTION("GOOGLETRANSLATE(B34921,""en"",""es-ES"")"),"Una vez que la cámara es posición de pecado, se muestra a un hombre con una máscara de acero mientras golpea una pieza en un concreto.")</f>
        <v>Una vez que la cámara es posición de pecado, se muestra a un hombre con una máscara de acero mientras golpea una pieza en un concreto.</v>
      </c>
    </row>
    <row r="34922">
      <c r="A34922" s="4" t="s">
        <v>43937</v>
      </c>
      <c r="B34922" s="4" t="s">
        <v>43940</v>
      </c>
      <c r="C34922" s="5" t="str">
        <f>IFERROR(__xludf.DUMMYFUNCTION("GOOGLETRANSLATE(B34922,""en"",""es-ES"")"),"La pieza está en el concreto y pone el fondo de la máscara y comienza a quemar el metal.")</f>
        <v>La pieza está en el concreto y pone el fondo de la máscara y comienza a quemar el metal.</v>
      </c>
    </row>
    <row r="34923">
      <c r="A34923" s="4" t="s">
        <v>43941</v>
      </c>
      <c r="B34923" s="4" t="s">
        <v>43942</v>
      </c>
      <c r="C34923" s="5" t="str">
        <f>IFERROR(__xludf.DUMMYFUNCTION("GOOGLETRANSLATE(B34923,""en"",""es-ES"")"),"Una mujer con atuendo de bailarín está en el escenario.")</f>
        <v>Una mujer con atuendo de bailarín está en el escenario.</v>
      </c>
    </row>
    <row r="34924">
      <c r="A34924" s="4" t="s">
        <v>43941</v>
      </c>
      <c r="B34924" s="4" t="s">
        <v>43943</v>
      </c>
      <c r="C34924" s="5" t="str">
        <f>IFERROR(__xludf.DUMMYFUNCTION("GOOGLETRANSLATE(B34924,""en"",""es-ES"")"),"Ella camina por el carril mientras baila y canta.")</f>
        <v>Ella camina por el carril mientras baila y canta.</v>
      </c>
    </row>
    <row r="34925">
      <c r="A34925" s="4" t="s">
        <v>43941</v>
      </c>
      <c r="B34925" s="4" t="s">
        <v>43944</v>
      </c>
      <c r="C34925" s="5" t="str">
        <f>IFERROR(__xludf.DUMMYFUNCTION("GOOGLETRANSLATE(B34925,""en"",""es-ES"")"),"Ella gira sus caderas y brazos mientras actúa.")</f>
        <v>Ella gira sus caderas y brazos mientras actúa.</v>
      </c>
    </row>
    <row r="34926">
      <c r="A34926" s="4" t="s">
        <v>43945</v>
      </c>
      <c r="B34926" s="4" t="s">
        <v>43946</v>
      </c>
      <c r="C34926" s="5" t="str">
        <f>IFERROR(__xludf.DUMMYFUNCTION("GOOGLETRANSLATE(B34926,""en"",""es-ES"")"),"Se muestra un video sobre cómo hacer un reventón sin frizz.")</f>
        <v>Se muestra un video sobre cómo hacer un reventón sin frizz.</v>
      </c>
    </row>
    <row r="34927">
      <c r="A34927" s="4" t="s">
        <v>43945</v>
      </c>
      <c r="B34927" s="4" t="s">
        <v>43947</v>
      </c>
      <c r="C34927" s="5" t="str">
        <f>IFERROR(__xludf.DUMMYFUNCTION("GOOGLETRANSLATE(B34927,""en"",""es-ES"")"),"Después del lavado y el acondicionamiento, el producto se aplica y se seca.")</f>
        <v>Después del lavado y el acondicionamiento, el producto se aplica y se seca.</v>
      </c>
    </row>
    <row r="34928">
      <c r="A34928" s="4" t="s">
        <v>43945</v>
      </c>
      <c r="B34928" s="4" t="s">
        <v>43948</v>
      </c>
      <c r="C34928" s="5" t="str">
        <f>IFERROR(__xludf.DUMMYFUNCTION("GOOGLETRANSLATE(B34928,""en"",""es-ES"")"),"Luego se completa el resto del procedimiento.")</f>
        <v>Luego se completa el resto del procedimiento.</v>
      </c>
    </row>
    <row r="34929">
      <c r="A34929" s="4" t="s">
        <v>43949</v>
      </c>
      <c r="B34929" s="4" t="s">
        <v>43950</v>
      </c>
      <c r="C34929" s="5" t="str">
        <f>IFERROR(__xludf.DUMMYFUNCTION("GOOGLETRANSLATE(B34929,""en"",""es-ES"")"),"Un hombre está ayudando a una niña a bajar por un tobogán.")</f>
        <v>Un hombre está ayudando a una niña a bajar por un tobogán.</v>
      </c>
    </row>
    <row r="34930">
      <c r="A34930" s="4" t="s">
        <v>43949</v>
      </c>
      <c r="B34930" s="4" t="s">
        <v>43951</v>
      </c>
      <c r="C34930" s="5" t="str">
        <f>IFERROR(__xludf.DUMMYFUNCTION("GOOGLETRANSLATE(B34930,""en"",""es-ES"")"),"Ella baja por el tobogán sobre su vientre.")</f>
        <v>Ella baja por el tobogán sobre su vientre.</v>
      </c>
    </row>
    <row r="34931">
      <c r="A34931" s="4" t="s">
        <v>43949</v>
      </c>
      <c r="B34931" s="4" t="s">
        <v>43952</v>
      </c>
      <c r="C34931" s="5" t="str">
        <f>IFERROR(__xludf.DUMMYFUNCTION("GOOGLETRANSLATE(B34931,""en"",""es-ES"")"),"Ella sube por el costado del patio de recreo y baja por el tobogán nuevamente.")</f>
        <v>Ella sube por el costado del patio de recreo y baja por el tobogán nuevamente.</v>
      </c>
    </row>
    <row r="34932">
      <c r="A34932" s="4" t="s">
        <v>43953</v>
      </c>
      <c r="B34932" s="4" t="s">
        <v>43954</v>
      </c>
      <c r="C34932" s="5" t="str">
        <f>IFERROR(__xludf.DUMMYFUNCTION("GOOGLETRANSLATE(B34932,""en"",""es-ES"")"),"Se ve a un gran grupo de atletas de pie alrededor de una pista mientras algunos sostienen los brazos al aplaudir.")</f>
        <v>Se ve a un gran grupo de atletas de pie alrededor de una pista mientras algunos sostienen los brazos al aplaudir.</v>
      </c>
    </row>
    <row r="34933">
      <c r="A34933" s="4" t="s">
        <v>43953</v>
      </c>
      <c r="B34933" s="4" t="s">
        <v>43955</v>
      </c>
      <c r="C34933" s="5" t="str">
        <f>IFERROR(__xludf.DUMMYFUNCTION("GOOGLETRANSLATE(B34933,""en"",""es-ES"")"),"Un corredor se abre paso por la pista y salta a un gran pozo de arena y se aleja.")</f>
        <v>Un corredor se abre paso por la pista y salta a un gran pozo de arena y se aleja.</v>
      </c>
    </row>
    <row r="34934">
      <c r="A34934" s="4" t="s">
        <v>43956</v>
      </c>
      <c r="B34934" s="4" t="s">
        <v>43957</v>
      </c>
      <c r="C34934" s="5" t="str">
        <f>IFERROR(__xludf.DUMMYFUNCTION("GOOGLETRANSLATE(B34934,""en"",""es-ES"")"),"Un hombre de rojo corre y voltea un obstáculo.")</f>
        <v>Un hombre de rojo corre y voltea un obstáculo.</v>
      </c>
    </row>
    <row r="34935">
      <c r="A34935" s="4" t="s">
        <v>43956</v>
      </c>
      <c r="B34935" s="4" t="s">
        <v>43958</v>
      </c>
      <c r="C34935" s="5" t="str">
        <f>IFERROR(__xludf.DUMMYFUNCTION("GOOGLETRANSLATE(B34935,""en"",""es-ES"")"),"Se hace una y otra vez en cámara lenta.")</f>
        <v>Se hace una y otra vez en cámara lenta.</v>
      </c>
    </row>
    <row r="34936">
      <c r="A34936" s="4" t="s">
        <v>43956</v>
      </c>
      <c r="B34936" s="4" t="s">
        <v>43959</v>
      </c>
      <c r="C34936" s="5" t="str">
        <f>IFERROR(__xludf.DUMMYFUNCTION("GOOGLETRANSLATE(B34936,""en"",""es-ES"")"),"Luego lo hace de nuevo por una última vez.")</f>
        <v>Luego lo hace de nuevo por una última vez.</v>
      </c>
    </row>
    <row r="34937">
      <c r="A34937" s="4" t="s">
        <v>43956</v>
      </c>
      <c r="B34937" s="4" t="s">
        <v>43960</v>
      </c>
      <c r="C34937" s="5" t="str">
        <f>IFERROR(__xludf.DUMMYFUNCTION("GOOGLETRANSLATE(B34937,""en"",""es-ES"")"),"Luego, finalmente, comienzan una carrera en un campo Un hombre que usa negro cruza primero la línea de meta.")</f>
        <v>Luego, finalmente, comienzan una carrera en un campo Un hombre que usa negro cruza primero la línea de meta.</v>
      </c>
    </row>
    <row r="34938">
      <c r="A34938" s="4" t="s">
        <v>43961</v>
      </c>
      <c r="B34938" s="4" t="s">
        <v>43962</v>
      </c>
      <c r="C34938" s="5" t="str">
        <f>IFERROR(__xludf.DUMMYFUNCTION("GOOGLETRANSLATE(B34938,""en"",""es-ES"")"),"Una mujer que usa el número 177 está en su lugar, cruza su corazón y se prepara para correr.")</f>
        <v>Una mujer que usa el número 177 está en su lugar, cruza su corazón y se prepara para correr.</v>
      </c>
    </row>
    <row r="34939">
      <c r="A34939" s="4" t="s">
        <v>43961</v>
      </c>
      <c r="B34939" s="4" t="s">
        <v>43963</v>
      </c>
      <c r="C34939" s="5" t="str">
        <f>IFERROR(__xludf.DUMMYFUNCTION("GOOGLETRANSLATE(B34939,""en"",""es-ES"")"),"Ella respira profundamente y comienza a correr muy rápido por el campo.")</f>
        <v>Ella respira profundamente y comienza a correr muy rápido por el campo.</v>
      </c>
    </row>
    <row r="34940">
      <c r="A34940" s="4" t="s">
        <v>43961</v>
      </c>
      <c r="B34940" s="4" t="s">
        <v>43964</v>
      </c>
      <c r="C34940" s="5" t="str">
        <f>IFERROR(__xludf.DUMMYFUNCTION("GOOGLETRANSLATE(B34940,""en"",""es-ES"")"),"Ella salta alto y aterriza en la arena hacia su trasero, muestran repeticiones mulitple de su actuación.")</f>
        <v>Ella salta alto y aterriza en la arena hacia su trasero, muestran repeticiones mulitple de su actuación.</v>
      </c>
    </row>
    <row r="34941">
      <c r="A34941" s="4" t="s">
        <v>43961</v>
      </c>
      <c r="B34941" s="4" t="s">
        <v>43965</v>
      </c>
      <c r="C34941" s="5" t="str">
        <f>IFERROR(__xludf.DUMMYFUNCTION("GOOGLETRANSLATE(B34941,""en"",""es-ES"")"),"Ella se inclina y arregla su uniforme, desempolvando su trasero mientras se aleja.")</f>
        <v>Ella se inclina y arregla su uniforme, desempolvando su trasero mientras se aleja.</v>
      </c>
    </row>
    <row r="34942">
      <c r="A34942" s="4" t="s">
        <v>43966</v>
      </c>
      <c r="B34942" s="4" t="s">
        <v>43967</v>
      </c>
      <c r="C34942" s="5" t="str">
        <f>IFERROR(__xludf.DUMMYFUNCTION("GOOGLETRANSLATE(B34942,""en"",""es-ES"")"),"La gente está enrollando frente a un edificio.")</f>
        <v>La gente está enrollando frente a un edificio.</v>
      </c>
    </row>
    <row r="34943">
      <c r="A34943" s="4" t="s">
        <v>43966</v>
      </c>
      <c r="B34943" s="4" t="s">
        <v>43968</v>
      </c>
      <c r="C34943" s="5" t="str">
        <f>IFERROR(__xludf.DUMMYFUNCTION("GOOGLETRANSLATE(B34943,""en"",""es-ES"")"),"Un hombre de rolleros rápidamente.")</f>
        <v>Un hombre de rolleros rápidamente.</v>
      </c>
    </row>
    <row r="34944">
      <c r="A34944" s="4" t="s">
        <v>43966</v>
      </c>
      <c r="B34944" s="4" t="s">
        <v>43969</v>
      </c>
      <c r="C34944" s="5" t="str">
        <f>IFERROR(__xludf.DUMMYFUNCTION("GOOGLETRANSLATE(B34944,""en"",""es-ES"")"),"El hombre levanta las manos en el aire y comienza a detener sus cuchillas.")</f>
        <v>El hombre levanta las manos en el aire y comienza a detener sus cuchillas.</v>
      </c>
    </row>
    <row r="34945">
      <c r="A34945" s="4" t="s">
        <v>43970</v>
      </c>
      <c r="B34945" s="4" t="s">
        <v>43971</v>
      </c>
      <c r="C34945" s="5" t="str">
        <f>IFERROR(__xludf.DUMMYFUNCTION("GOOGLETRANSLATE(B34945,""en"",""es-ES"")"),"Gente Windsurf en un gran cuerpo de agua.")</f>
        <v>Gente Windsurf en un gran cuerpo de agua.</v>
      </c>
    </row>
    <row r="34946">
      <c r="A34946" s="4" t="s">
        <v>43970</v>
      </c>
      <c r="B34946" s="4" t="s">
        <v>43972</v>
      </c>
      <c r="C34946" s="5" t="str">
        <f>IFERROR(__xludf.DUMMYFUNCTION("GOOGLETRANSLATE(B34946,""en"",""es-ES"")"),"Se muestra un letrero del parque que dice ""Bienvenido al Kanaha Beach Park"".")</f>
        <v>Se muestra un letrero del parque que dice "Bienvenido al Kanaha Beach Park".</v>
      </c>
    </row>
    <row r="34947">
      <c r="A34947" s="4" t="s">
        <v>43970</v>
      </c>
      <c r="B34947" s="4" t="s">
        <v>43973</v>
      </c>
      <c r="C34947" s="5" t="str">
        <f>IFERROR(__xludf.DUMMYFUNCTION("GOOGLETRANSLATE(B34947,""en"",""es-ES"")"),"Se muestran más windsurfers corriendo por el agua.")</f>
        <v>Se muestran más windsurfers corriendo por el agua.</v>
      </c>
    </row>
    <row r="34948">
      <c r="A34948" s="4" t="s">
        <v>43974</v>
      </c>
      <c r="B34948" s="4" t="s">
        <v>43975</v>
      </c>
      <c r="C34948" s="5" t="str">
        <f>IFERROR(__xludf.DUMMYFUNCTION("GOOGLETRANSLATE(B34948,""en"",""es-ES"")"),"El hombre en la esquina patea la pelota directamente en la red.")</f>
        <v>El hombre en la esquina patea la pelota directamente en la red.</v>
      </c>
    </row>
    <row r="34949">
      <c r="A34949" s="4" t="s">
        <v>43974</v>
      </c>
      <c r="B34949" s="4" t="s">
        <v>43976</v>
      </c>
      <c r="C34949" s="5" t="str">
        <f>IFERROR(__xludf.DUMMYFUNCTION("GOOGLETRANSLATE(B34949,""en"",""es-ES"")"),"El equipo corre por la cancha celebrando.")</f>
        <v>El equipo corre por la cancha celebrando.</v>
      </c>
    </row>
    <row r="34950">
      <c r="A34950" s="4" t="s">
        <v>43974</v>
      </c>
      <c r="B34950" s="4" t="s">
        <v>43977</v>
      </c>
      <c r="C34950" s="5" t="str">
        <f>IFERROR(__xludf.DUMMYFUNCTION("GOOGLETRANSLATE(B34950,""en"",""es-ES"")"),"Un hombre en las gradas sube sobre la barandilla y corre hacia la cancha celebrando.")</f>
        <v>Un hombre en las gradas sube sobre la barandilla y corre hacia la cancha celebrando.</v>
      </c>
    </row>
    <row r="34951">
      <c r="A34951" s="4" t="s">
        <v>43974</v>
      </c>
      <c r="B34951" s="4" t="s">
        <v>43978</v>
      </c>
      <c r="C34951" s="5" t="str">
        <f>IFERROR(__xludf.DUMMYFUNCTION("GOOGLETRANSLATE(B34951,""en"",""es-ES"")"),"El grupo está en un grupo celebrando en la cancha.")</f>
        <v>El grupo está en un grupo celebrando en la cancha.</v>
      </c>
    </row>
    <row r="34952">
      <c r="A34952" s="4" t="s">
        <v>43974</v>
      </c>
      <c r="B34952" s="4" t="s">
        <v>43979</v>
      </c>
      <c r="C34952" s="5" t="str">
        <f>IFERROR(__xludf.DUMMYFUNCTION("GOOGLETRANSLATE(B34952,""en"",""es-ES"")"),"Uno de los jugadores patea la pelota en las gradas y se va con la cabeza hacia abajo.")</f>
        <v>Uno de los jugadores patea la pelota en las gradas y se va con la cabeza hacia abajo.</v>
      </c>
    </row>
    <row r="34953">
      <c r="A34953" s="4" t="s">
        <v>43974</v>
      </c>
      <c r="B34953" s="4" t="s">
        <v>43980</v>
      </c>
      <c r="C34953" s="5" t="str">
        <f>IFERROR(__xludf.DUMMYFUNCTION("GOOGLETRANSLATE(B34953,""en"",""es-ES"")"),"Algunos jugadores están parados en la esquina como si estuvieran discutiendo.")</f>
        <v>Algunos jugadores están parados en la esquina como si estuvieran discutiendo.</v>
      </c>
    </row>
    <row r="34954">
      <c r="A34954" s="4" t="s">
        <v>43974</v>
      </c>
      <c r="B34954" s="4" t="s">
        <v>43981</v>
      </c>
      <c r="C34954" s="5" t="str">
        <f>IFERROR(__xludf.DUMMYFUNCTION("GOOGLETRANSLATE(B34954,""en"",""es-ES"")"),"Un grupo de jugadores y espectadores corren la cancha hacia el combate cuerpo a cuerpo.")</f>
        <v>Un grupo de jugadores y espectadores corren la cancha hacia el combate cuerpo a cuerpo.</v>
      </c>
    </row>
    <row r="34955">
      <c r="A34955" s="4" t="s">
        <v>43974</v>
      </c>
      <c r="B34955" s="4" t="s">
        <v>43982</v>
      </c>
      <c r="C34955" s="5" t="str">
        <f>IFERROR(__xludf.DUMMYFUNCTION("GOOGLETRANSLATE(B34955,""en"",""es-ES"")"),"Los hombres están corriendo a lo largo del borde de la cancha.")</f>
        <v>Los hombres están corriendo a lo largo del borde de la cancha.</v>
      </c>
    </row>
    <row r="34956">
      <c r="A34956" s="4" t="s">
        <v>43974</v>
      </c>
      <c r="B34956" s="4" t="s">
        <v>43983</v>
      </c>
      <c r="C34956" s="5" t="str">
        <f>IFERROR(__xludf.DUMMYFUNCTION("GOOGLETRANSLATE(B34956,""en"",""es-ES"")"),"El pequeño grupo todavía está discutiendo y conteniendo peleas.")</f>
        <v>El pequeño grupo todavía está discutiendo y conteniendo peleas.</v>
      </c>
    </row>
    <row r="34957">
      <c r="A34957" s="4" t="s">
        <v>43974</v>
      </c>
      <c r="B34957" s="4" t="s">
        <v>43984</v>
      </c>
      <c r="C34957" s="5" t="str">
        <f>IFERROR(__xludf.DUMMYFUNCTION("GOOGLETRANSLATE(B34957,""en"",""es-ES"")"),"Un grupo pequeño está teniendo una discusión animada.")</f>
        <v>Un grupo pequeño está teniendo una discusión animada.</v>
      </c>
    </row>
    <row r="34958">
      <c r="A34958" s="4" t="s">
        <v>43974</v>
      </c>
      <c r="B34958" s="4" t="s">
        <v>43985</v>
      </c>
      <c r="C34958" s="5" t="str">
        <f>IFERROR(__xludf.DUMMYFUNCTION("GOOGLETRANSLATE(B34958,""en"",""es-ES"")"),"Los dos hombres caminan de regreso a la cancha cuando el grupo comienza a hablar nuevamente por el piso de la cancha y el borde.")</f>
        <v>Los dos hombres caminan de regreso a la cancha cuando el grupo comienza a hablar nuevamente por el piso de la cancha y el borde.</v>
      </c>
    </row>
    <row r="34959">
      <c r="A34959" s="4" t="s">
        <v>43986</v>
      </c>
      <c r="B34959" s="4" t="s">
        <v>43987</v>
      </c>
      <c r="C34959" s="5" t="str">
        <f>IFERROR(__xludf.DUMMYFUNCTION("GOOGLETRANSLATE(B34959,""en"",""es-ES"")"),"Una mujer habla mientras está sentada en el suelo.")</f>
        <v>Una mujer habla mientras está sentada en el suelo.</v>
      </c>
    </row>
    <row r="34960">
      <c r="A34960" s="4" t="s">
        <v>43986</v>
      </c>
      <c r="B34960" s="4" t="s">
        <v>43988</v>
      </c>
      <c r="C34960" s="5" t="str">
        <f>IFERROR(__xludf.DUMMYFUNCTION("GOOGLETRANSLATE(B34960,""en"",""es-ES"")"),"Ella muestra un par de tijeras de recorte.")</f>
        <v>Ella muestra un par de tijeras de recorte.</v>
      </c>
    </row>
    <row r="34961">
      <c r="A34961" s="4" t="s">
        <v>43986</v>
      </c>
      <c r="B34961" s="4" t="s">
        <v>43989</v>
      </c>
      <c r="C34961" s="5" t="str">
        <f>IFERROR(__xludf.DUMMYFUNCTION("GOOGLETRANSLATE(B34961,""en"",""es-ES"")"),"Luego los usa para recortar suavemente pero rápidamente las uñas de un gato, mientras que otra mujer la ayuda.")</f>
        <v>Luego los usa para recortar suavemente pero rápidamente las uñas de un gato, mientras que otra mujer la ayuda.</v>
      </c>
    </row>
    <row r="34962">
      <c r="A34962" s="4" t="s">
        <v>43990</v>
      </c>
      <c r="B34962" s="4" t="s">
        <v>43991</v>
      </c>
      <c r="C34962" s="5" t="str">
        <f>IFERROR(__xludf.DUMMYFUNCTION("GOOGLETRANSLATE(B34962,""en"",""es-ES"")"),"La gente balsa por un río estrecho entre dos montañas.")</f>
        <v>La gente balsa por un río estrecho entre dos montañas.</v>
      </c>
    </row>
    <row r="34963">
      <c r="A34963" s="4" t="s">
        <v>43990</v>
      </c>
      <c r="B34963" s="4" t="s">
        <v>43992</v>
      </c>
      <c r="C34963" s="5" t="str">
        <f>IFERROR(__xludf.DUMMYFUNCTION("GOOGLETRANSLATE(B34963,""en"",""es-ES"")"),"La gente rafting pasando aguas problemáticas en el río estrecho.")</f>
        <v>La gente rafting pasando aguas problemáticas en el río estrecho.</v>
      </c>
    </row>
    <row r="34964">
      <c r="A34964" s="4" t="s">
        <v>43990</v>
      </c>
      <c r="B34964" s="4" t="s">
        <v>43993</v>
      </c>
      <c r="C34964" s="5" t="str">
        <f>IFERROR(__xludf.DUMMYFUNCTION("GOOGLETRANSLATE(B34964,""en"",""es-ES"")"),"La gente navega por el río Rocky en un espacio abierto.")</f>
        <v>La gente navega por el río Rocky en un espacio abierto.</v>
      </c>
    </row>
    <row r="34965">
      <c r="A34965" s="4" t="s">
        <v>43994</v>
      </c>
      <c r="B34965" s="4" t="s">
        <v>43995</v>
      </c>
      <c r="C34965" s="5" t="str">
        <f>IFERROR(__xludf.DUMMYFUNCTION("GOOGLETRANSLATE(B34965,""en"",""es-ES"")"),"Un hombre está sentado al frente de una iglesia y toca una canción en un acordeón.")</f>
        <v>Un hombre está sentado al frente de una iglesia y toca una canción en un acordeón.</v>
      </c>
    </row>
    <row r="34966">
      <c r="A34966" s="4" t="s">
        <v>43994</v>
      </c>
      <c r="B34966" s="4" t="s">
        <v>43996</v>
      </c>
      <c r="C34966" s="5" t="str">
        <f>IFERROR(__xludf.DUMMYFUNCTION("GOOGLETRANSLATE(B34966,""en"",""es-ES"")"),"El hombre baja por la escala que retroceder al final de la canción.")</f>
        <v>El hombre baja por la escala que retroceder al final de la canción.</v>
      </c>
    </row>
    <row r="34967">
      <c r="A34967" s="4" t="s">
        <v>43994</v>
      </c>
      <c r="B34967" s="4" t="s">
        <v>43997</v>
      </c>
      <c r="C34967" s="5" t="str">
        <f>IFERROR(__xludf.DUMMYFUNCTION("GOOGLETRANSLATE(B34967,""en"",""es-ES"")"),"El hombre termina la canción y las sonrisas.")</f>
        <v>El hombre termina la canción y las sonrisas.</v>
      </c>
    </row>
    <row r="34968">
      <c r="A34968" s="4" t="s">
        <v>43998</v>
      </c>
      <c r="B34968" s="4" t="s">
        <v>43999</v>
      </c>
      <c r="C34968" s="5" t="str">
        <f>IFERROR(__xludf.DUMMYFUNCTION("GOOGLETRANSLATE(B34968,""en"",""es-ES"")"),"Se ve a un hombre cabalgando en una patineta por una colina sobre su cabeza.")</f>
        <v>Se ve a un hombre cabalgando en una patineta por una colina sobre su cabeza.</v>
      </c>
    </row>
    <row r="34969">
      <c r="A34969" s="4" t="s">
        <v>43998</v>
      </c>
      <c r="B34969" s="4" t="s">
        <v>44000</v>
      </c>
      <c r="C34969" s="5" t="str">
        <f>IFERROR(__xludf.DUMMYFUNCTION("GOOGLETRANSLATE(B34969,""en"",""es-ES"")"),"Se muestran más tomas de personas que realizan trucos en las patinetas alrededor de un área.")</f>
        <v>Se muestran más tomas de personas que realizan trucos en las patinetas alrededor de un área.</v>
      </c>
    </row>
    <row r="34970">
      <c r="A34970" s="4" t="s">
        <v>43998</v>
      </c>
      <c r="B34970" s="4" t="s">
        <v>44001</v>
      </c>
      <c r="C34970" s="5" t="str">
        <f>IFERROR(__xludf.DUMMYFUNCTION("GOOGLETRANSLATE(B34970,""en"",""es-ES"")"),"La gente continúa realizando trucos y viajando mientras otras personas miran a un lado.")</f>
        <v>La gente continúa realizando trucos y viajando mientras otras personas miran a un lado.</v>
      </c>
    </row>
    <row r="34971">
      <c r="A34971" s="4" t="s">
        <v>44002</v>
      </c>
      <c r="B34971" s="4" t="s">
        <v>44003</v>
      </c>
      <c r="C34971" s="5" t="str">
        <f>IFERROR(__xludf.DUMMYFUNCTION("GOOGLETRANSLATE(B34971,""en"",""es-ES"")"),"Un grupo de compañeros de banda está afuera en un parque.")</f>
        <v>Un grupo de compañeros de banda está afuera en un parque.</v>
      </c>
    </row>
    <row r="34972">
      <c r="A34972" s="4" t="s">
        <v>44002</v>
      </c>
      <c r="B34972" s="4" t="s">
        <v>44004</v>
      </c>
      <c r="C34972" s="5" t="str">
        <f>IFERROR(__xludf.DUMMYFUNCTION("GOOGLETRANSLATE(B34972,""en"",""es-ES"")"),"Llevan trajes de la era de la Guerra Revolucionaria.")</f>
        <v>Llevan trajes de la era de la Guerra Revolucionaria.</v>
      </c>
    </row>
    <row r="34973">
      <c r="A34973" s="4" t="s">
        <v>44002</v>
      </c>
      <c r="B34973" s="4" t="s">
        <v>44005</v>
      </c>
      <c r="C34973" s="5" t="str">
        <f>IFERROR(__xludf.DUMMYFUNCTION("GOOGLETRANSLATE(B34973,""en"",""es-ES"")"),"Tocan la batería al unísono a un ritmo.")</f>
        <v>Tocan la batería al unísono a un ritmo.</v>
      </c>
    </row>
    <row r="34974">
      <c r="A34974" s="4" t="s">
        <v>44006</v>
      </c>
      <c r="B34974" s="4" t="s">
        <v>44007</v>
      </c>
      <c r="C34974" s="5" t="str">
        <f>IFERROR(__xludf.DUMMYFUNCTION("GOOGLETRANSLATE(B34974,""en"",""es-ES"")"),"Se ve a un hombre arrodillado sobre un piso sosteniendo un poco de alfombra y hablando con la cámara.")</f>
        <v>Se ve a un hombre arrodillado sobre un piso sosteniendo un poco de alfombra y hablando con la cámara.</v>
      </c>
    </row>
    <row r="34975">
      <c r="A34975" s="4" t="s">
        <v>44006</v>
      </c>
      <c r="B34975" s="4" t="s">
        <v>44008</v>
      </c>
      <c r="C34975" s="5" t="str">
        <f>IFERROR(__xludf.DUMMYFUNCTION("GOOGLETRANSLATE(B34975,""en"",""es-ES"")"),"Se despega de las capas y comienza a frotar la alfombra.")</f>
        <v>Se despega de las capas y comienza a frotar la alfombra.</v>
      </c>
    </row>
    <row r="34976">
      <c r="A34976" s="4" t="s">
        <v>44006</v>
      </c>
      <c r="B34976" s="4" t="s">
        <v>44009</v>
      </c>
      <c r="C34976" s="5" t="str">
        <f>IFERROR(__xludf.DUMMYFUNCTION("GOOGLETRANSLATE(B34976,""en"",""es-ES"")"),"Vierte líquido sobre la alfombra y lo acaricia con una toalla de papel.")</f>
        <v>Vierte líquido sobre la alfombra y lo acaricia con una toalla de papel.</v>
      </c>
    </row>
    <row r="34977">
      <c r="A34977" s="4" t="s">
        <v>44006</v>
      </c>
      <c r="B34977" s="4" t="s">
        <v>44010</v>
      </c>
      <c r="C34977" s="5" t="str">
        <f>IFERROR(__xludf.DUMMYFUNCTION("GOOGLETRANSLATE(B34977,""en"",""es-ES"")"),"Finalmente, la persona aspira la alfombra y se ve de pie junto al vacío.")</f>
        <v>Finalmente, la persona aspira la alfombra y se ve de pie junto al vacío.</v>
      </c>
    </row>
    <row r="34978">
      <c r="A34978" s="4" t="s">
        <v>44011</v>
      </c>
      <c r="B34978" s="4" t="s">
        <v>44012</v>
      </c>
      <c r="C34978" s="5" t="str">
        <f>IFERROR(__xludf.DUMMYFUNCTION("GOOGLETRANSLATE(B34978,""en"",""es-ES"")"),"Tres personas están en el gimnasio, uno de los hombres está arrodillado y sacudiendo un bar mientras el otro le da un masaje a una mujer.")</f>
        <v>Tres personas están en el gimnasio, uno de los hombres está arrodillado y sacudiendo un bar mientras el otro le da un masaje a una mujer.</v>
      </c>
    </row>
    <row r="34979">
      <c r="A34979" s="4" t="s">
        <v>44011</v>
      </c>
      <c r="B34979" s="4" t="s">
        <v>44013</v>
      </c>
      <c r="C34979" s="5" t="str">
        <f>IFERROR(__xludf.DUMMYFUNCTION("GOOGLETRANSLATE(B34979,""en"",""es-ES"")"),"El macho con la barra levanta los pesos, lo deja caer y luego salta de alegría que ha levantado el peso, cae el cinturón y se va.")</f>
        <v>El macho con la barra levanta los pesos, lo deja caer y luego salta de alegría que ha levantado el peso, cae el cinturón y se va.</v>
      </c>
    </row>
    <row r="34980">
      <c r="A34980" s="4" t="s">
        <v>44014</v>
      </c>
      <c r="B34980" s="4" t="s">
        <v>44015</v>
      </c>
      <c r="C34980" s="5" t="str">
        <f>IFERROR(__xludf.DUMMYFUNCTION("GOOGLETRANSLATE(B34980,""en"",""es-ES"")"),"Se ve a un niño pequeño ajustando la cámara y mostrando su rostro.")</f>
        <v>Se ve a un niño pequeño ajustando la cámara y mostrando su rostro.</v>
      </c>
    </row>
    <row r="34981">
      <c r="A34981" s="4" t="s">
        <v>44014</v>
      </c>
      <c r="B34981" s="4" t="s">
        <v>44016</v>
      </c>
      <c r="C34981" s="5" t="str">
        <f>IFERROR(__xludf.DUMMYFUNCTION("GOOGLETRANSLATE(B34981,""en"",""es-ES"")"),"Ella toma un poco de maquillaje y comienza a ponerlo en toda la cara.")</f>
        <v>Ella toma un poco de maquillaje y comienza a ponerlo en toda la cara.</v>
      </c>
    </row>
    <row r="34982">
      <c r="A34982" s="4" t="s">
        <v>44014</v>
      </c>
      <c r="B34982" s="4" t="s">
        <v>44017</v>
      </c>
      <c r="C34982" s="5" t="str">
        <f>IFERROR(__xludf.DUMMYFUNCTION("GOOGLETRANSLATE(B34982,""en"",""es-ES"")"),"Ella continúa haciendo más maquillaje y mostrándolo a la cámara.")</f>
        <v>Ella continúa haciendo más maquillaje y mostrándolo a la cámara.</v>
      </c>
    </row>
    <row r="34983">
      <c r="A34983" s="4" t="s">
        <v>44018</v>
      </c>
      <c r="B34983" s="4" t="s">
        <v>44019</v>
      </c>
      <c r="C34983" s="5" t="str">
        <f>IFERROR(__xludf.DUMMYFUNCTION("GOOGLETRANSLATE(B34983,""en"",""es-ES"")"),"Un hombre corre por una pista.")</f>
        <v>Un hombre corre por una pista.</v>
      </c>
    </row>
    <row r="34984">
      <c r="A34984" s="4" t="s">
        <v>44018</v>
      </c>
      <c r="B34984" s="4" t="s">
        <v>44020</v>
      </c>
      <c r="C34984" s="5" t="str">
        <f>IFERROR(__xludf.DUMMYFUNCTION("GOOGLETRANSLATE(B34984,""en"",""es-ES"")"),"El hombre salta al final de la pista.")</f>
        <v>El hombre salta al final de la pista.</v>
      </c>
    </row>
    <row r="34985">
      <c r="A34985" s="4" t="s">
        <v>44018</v>
      </c>
      <c r="B34985" s="4" t="s">
        <v>44021</v>
      </c>
      <c r="C34985" s="5" t="str">
        <f>IFERROR(__xludf.DUMMYFUNCTION("GOOGLETRANSLATE(B34985,""en"",""es-ES"")"),"El salto del hombre se muestra desde diferentes ángulos y en cámara lenta.")</f>
        <v>El salto del hombre se muestra desde diferentes ángulos y en cámara lenta.</v>
      </c>
    </row>
    <row r="34986">
      <c r="A34986" s="4" t="s">
        <v>44022</v>
      </c>
      <c r="B34986" s="4" t="s">
        <v>44023</v>
      </c>
      <c r="C34986" s="5" t="str">
        <f>IFERROR(__xludf.DUMMYFUNCTION("GOOGLETRANSLATE(B34986,""en"",""es-ES"")"),"Una cámara se mueve alrededor de grandes edificios de la ciudad y conduce a personas que montan bicicletas de motocross.")</f>
        <v>Una cámara se mueve alrededor de grandes edificios de la ciudad y conduce a personas que montan bicicletas de motocross.</v>
      </c>
    </row>
    <row r="34987">
      <c r="A34987" s="4" t="s">
        <v>44022</v>
      </c>
      <c r="B34987" s="4" t="s">
        <v>44024</v>
      </c>
      <c r="C34987" s="5" t="str">
        <f>IFERROR(__xludf.DUMMYFUNCTION("GOOGLETRANSLATE(B34987,""en"",""es-ES"")"),"Se ve más clips de personas que realizan trucos en la bicicleta mientras cientos miran al margen.")</f>
        <v>Se ve más clips de personas que realizan trucos en la bicicleta mientras cientos miran al margen.</v>
      </c>
    </row>
    <row r="34988">
      <c r="A34988" s="4" t="s">
        <v>44022</v>
      </c>
      <c r="B34988" s="4" t="s">
        <v>44025</v>
      </c>
      <c r="C34988" s="5" t="str">
        <f>IFERROR(__xludf.DUMMYFUNCTION("GOOGLETRANSLATE(B34988,""en"",""es-ES"")"),"Se ve a más personas cabalgando y agitando las manos al final.")</f>
        <v>Se ve a más personas cabalgando y agitando las manos al final.</v>
      </c>
    </row>
    <row r="34989">
      <c r="A34989" s="4" t="s">
        <v>44026</v>
      </c>
      <c r="B34989" s="4" t="s">
        <v>44027</v>
      </c>
      <c r="C34989" s="5" t="str">
        <f>IFERROR(__xludf.DUMMYFUNCTION("GOOGLETRANSLATE(B34989,""en"",""es-ES"")"),"La gente comienza a jugar un juego de piscina.")</f>
        <v>La gente comienza a jugar un juego de piscina.</v>
      </c>
    </row>
    <row r="34990">
      <c r="A34990" s="4" t="s">
        <v>44026</v>
      </c>
      <c r="B34990" s="4" t="s">
        <v>44028</v>
      </c>
      <c r="C34990" s="5" t="str">
        <f>IFERROR(__xludf.DUMMYFUNCTION("GOOGLETRANSLATE(B34990,""en"",""es-ES"")"),"Un hombre habla con la cámara y se ríe.")</f>
        <v>Un hombre habla con la cámara y se ríe.</v>
      </c>
    </row>
    <row r="34991">
      <c r="A34991" s="4" t="s">
        <v>44026</v>
      </c>
      <c r="B34991" s="4" t="s">
        <v>1599</v>
      </c>
      <c r="C34991" s="5" t="str">
        <f>IFERROR(__xludf.DUMMYFUNCTION("GOOGLETRANSLATE(B34991,""en"",""es-ES"")"),"Las palabras se muestran en la pantalla.")</f>
        <v>Las palabras se muestran en la pantalla.</v>
      </c>
    </row>
    <row r="34992">
      <c r="A34992" s="4" t="s">
        <v>44029</v>
      </c>
      <c r="B34992" s="4" t="s">
        <v>44030</v>
      </c>
      <c r="C34992" s="5" t="str">
        <f>IFERROR(__xludf.DUMMYFUNCTION("GOOGLETRANSLATE(B34992,""en"",""es-ES"")"),"Cuatro personas están haciendo sentadillas en el suelo.")</f>
        <v>Cuatro personas están haciendo sentadillas en el suelo.</v>
      </c>
    </row>
    <row r="34993">
      <c r="A34993" s="4" t="s">
        <v>44029</v>
      </c>
      <c r="B34993" s="4" t="s">
        <v>44031</v>
      </c>
      <c r="C34993" s="5" t="str">
        <f>IFERROR(__xludf.DUMMYFUNCTION("GOOGLETRANSLATE(B34993,""en"",""es-ES"")"),"La tercera persona se detiene.")</f>
        <v>La tercera persona se detiene.</v>
      </c>
    </row>
    <row r="34994">
      <c r="A34994" s="4" t="s">
        <v>44029</v>
      </c>
      <c r="B34994" s="4" t="s">
        <v>44032</v>
      </c>
      <c r="C34994" s="5" t="str">
        <f>IFERROR(__xludf.DUMMYFUNCTION("GOOGLETRANSLATE(B34994,""en"",""es-ES"")"),"La persona más lejana es apenas visible.")</f>
        <v>La persona más lejana es apenas visible.</v>
      </c>
    </row>
    <row r="34995">
      <c r="A34995" s="4" t="s">
        <v>44033</v>
      </c>
      <c r="B34995" s="4" t="s">
        <v>44034</v>
      </c>
      <c r="C34995" s="5" t="str">
        <f>IFERROR(__xludf.DUMMYFUNCTION("GOOGLETRANSLATE(B34995,""en"",""es-ES"")"),"La gente está de pie alrededor de una arena con sombreros de vaquero.")</f>
        <v>La gente está de pie alrededor de una arena con sombreros de vaquero.</v>
      </c>
    </row>
    <row r="34996">
      <c r="A34996" s="4" t="s">
        <v>44033</v>
      </c>
      <c r="B34996" s="4" t="s">
        <v>44035</v>
      </c>
      <c r="C34996" s="5" t="str">
        <f>IFERROR(__xludf.DUMMYFUNCTION("GOOGLETRANSLATE(B34996,""en"",""es-ES"")"),"Liberan una pantorrilla de una caja.")</f>
        <v>Liberan una pantorrilla de una caja.</v>
      </c>
    </row>
    <row r="34997">
      <c r="A34997" s="4" t="s">
        <v>44033</v>
      </c>
      <c r="B34997" s="4" t="s">
        <v>44036</v>
      </c>
      <c r="C34997" s="5" t="str">
        <f>IFERROR(__xludf.DUMMYFUNCTION("GOOGLETRANSLATE(B34997,""en"",""es-ES"")"),"Un hombre en un caballo corre después de la pantorrilla.")</f>
        <v>Un hombre en un caballo corre después de la pantorrilla.</v>
      </c>
    </row>
    <row r="34998">
      <c r="A34998" s="4" t="s">
        <v>44033</v>
      </c>
      <c r="B34998" s="4" t="s">
        <v>44037</v>
      </c>
      <c r="C34998" s="5" t="str">
        <f>IFERROR(__xludf.DUMMYFUNCTION("GOOGLETRANSLATE(B34998,""en"",""es-ES"")"),"Él ata las piernas de la pantorrilla y se levanta y se aleja.")</f>
        <v>Él ata las piernas de la pantorrilla y se levanta y se aleja.</v>
      </c>
    </row>
    <row r="34999">
      <c r="A34999" s="4" t="s">
        <v>44038</v>
      </c>
      <c r="B34999" s="4" t="s">
        <v>44039</v>
      </c>
      <c r="C34999" s="5" t="str">
        <f>IFERROR(__xludf.DUMMYFUNCTION("GOOGLETRANSLATE(B34999,""en"",""es-ES"")"),"Un hombre está parado sobre un fregadero y con su mano derecha sostiene un taladro que tiene una papa unida al final, y la mano derecha sostiene el pelador de la mano cuando el taladro mueve la papa y el pelado lo pega.")</f>
        <v>Un hombre está parado sobre un fregadero y con su mano derecha sostiene un taladro que tiene una papa unida al final, y la mano derecha sostiene el pelador de la mano cuando el taladro mueve la papa y el pelado lo pega.</v>
      </c>
    </row>
    <row r="35000">
      <c r="A35000" s="4" t="s">
        <v>44038</v>
      </c>
      <c r="B35000" s="4" t="s">
        <v>44040</v>
      </c>
      <c r="C35000" s="5" t="str">
        <f>IFERROR(__xludf.DUMMYFUNCTION("GOOGLETRANSLATE(B35000,""en"",""es-ES"")"),"El hombre detiene temporalmente el taladro para sacar un pequeño trozo de papa y se muestra una larga pieza de metal sobresaliendo del taladro.")</f>
        <v>El hombre detiene temporalmente el taladro para sacar un pequeño trozo de papa y se muestra una larga pieza de metal sobresaliendo del taladro.</v>
      </c>
    </row>
    <row r="35001">
      <c r="A35001" s="4" t="s">
        <v>44038</v>
      </c>
      <c r="B35001" s="4" t="s">
        <v>44041</v>
      </c>
      <c r="C35001" s="5" t="str">
        <f>IFERROR(__xludf.DUMMYFUNCTION("GOOGLETRANSLATE(B35001,""en"",""es-ES"")"),"El hombre luego pone otra papa en la pieza de metal puntiaguda y continúa pelando la papa.")</f>
        <v>El hombre luego pone otra papa en la pieza de metal puntiaguda y continúa pelando la papa.</v>
      </c>
    </row>
    <row r="35002">
      <c r="A35002" s="4" t="s">
        <v>44038</v>
      </c>
      <c r="B35002" s="4" t="s">
        <v>44042</v>
      </c>
      <c r="C35002" s="5" t="str">
        <f>IFERROR(__xludf.DUMMYFUNCTION("GOOGLETRANSLATE(B35002,""en"",""es-ES"")"),"Una vez más se detiene y luego se limpia su pelador y luego regresa para pelar el resto de la papa.")</f>
        <v>Una vez más se detiene y luego se limpia su pelador y luego regresa para pelar el resto de la papa.</v>
      </c>
    </row>
    <row r="35003">
      <c r="A35003" s="4" t="s">
        <v>44038</v>
      </c>
      <c r="B35003" s="4" t="s">
        <v>44043</v>
      </c>
      <c r="C35003" s="5" t="str">
        <f>IFERROR(__xludf.DUMMYFUNCTION("GOOGLETRANSLATE(B35003,""en"",""es-ES"")"),"El hombre detiene el taladro por última vez, deja ir y limpia el pelador una vez más con ambas manos mientras arroja el contenido al fregadero y.")</f>
        <v>El hombre detiene el taladro por última vez, deja ir y limpia el pelador una vez más con ambas manos mientras arroja el contenido al fregadero y.</v>
      </c>
    </row>
    <row r="35004">
      <c r="A35004" s="4" t="s">
        <v>44044</v>
      </c>
      <c r="B35004" s="4" t="s">
        <v>44045</v>
      </c>
      <c r="C35004" s="5" t="str">
        <f>IFERROR(__xludf.DUMMYFUNCTION("GOOGLETRANSLATE(B35004,""en"",""es-ES"")"),"Una dama se levanta de su asiento y vemos la orquesta tocando música.")</f>
        <v>Una dama se levanta de su asiento y vemos la orquesta tocando música.</v>
      </c>
    </row>
    <row r="35005">
      <c r="A35005" s="4" t="s">
        <v>44044</v>
      </c>
      <c r="B35005" s="4" t="s">
        <v>44046</v>
      </c>
      <c r="C35005" s="5" t="str">
        <f>IFERROR(__xludf.DUMMYFUNCTION("GOOGLETRANSLATE(B35005,""en"",""es-ES"")"),"La mujer hace una rutina de baile del vientre en el escenario.")</f>
        <v>La mujer hace una rutina de baile del vientre en el escenario.</v>
      </c>
    </row>
    <row r="35006">
      <c r="A35006" s="4" t="s">
        <v>44044</v>
      </c>
      <c r="B35006" s="4" t="s">
        <v>44047</v>
      </c>
      <c r="C35006" s="5" t="str">
        <f>IFERROR(__xludf.DUMMYFUNCTION("GOOGLETRANSLATE(B35006,""en"",""es-ES"")"),"Vemos una cámara entrar en la escena a la derecha.")</f>
        <v>Vemos una cámara entrar en la escena a la derecha.</v>
      </c>
    </row>
    <row r="35007">
      <c r="A35007" s="4" t="s">
        <v>44044</v>
      </c>
      <c r="B35007" s="4" t="s">
        <v>44048</v>
      </c>
      <c r="C35007" s="5" t="str">
        <f>IFERROR(__xludf.DUMMYFUNCTION("GOOGLETRANSLATE(B35007,""en"",""es-ES"")"),"Vemos la parte posterior de la cabeza de un hombre.")</f>
        <v>Vemos la parte posterior de la cabeza de un hombre.</v>
      </c>
    </row>
    <row r="35008">
      <c r="A35008" s="4" t="s">
        <v>44044</v>
      </c>
      <c r="B35008" s="4" t="s">
        <v>44049</v>
      </c>
      <c r="C35008" s="5" t="str">
        <f>IFERROR(__xludf.DUMMYFUNCTION("GOOGLETRANSLATE(B35008,""en"",""es-ES"")"),"Luego vemos a la mujer al lado del hombre.")</f>
        <v>Luego vemos a la mujer al lado del hombre.</v>
      </c>
    </row>
    <row r="35009">
      <c r="A35009" s="4" t="s">
        <v>44044</v>
      </c>
      <c r="B35009" s="4" t="s">
        <v>44050</v>
      </c>
      <c r="C35009" s="5" t="str">
        <f>IFERROR(__xludf.DUMMYFUNCTION("GOOGLETRANSLATE(B35009,""en"",""es-ES"")"),"La mujer termina su baile y recoge su envoltura.")</f>
        <v>La mujer termina su baile y recoge su envoltura.</v>
      </c>
    </row>
    <row r="35010">
      <c r="A35010" s="4" t="s">
        <v>44044</v>
      </c>
      <c r="B35010" s="4" t="s">
        <v>44051</v>
      </c>
      <c r="C35010" s="5" t="str">
        <f>IFERROR(__xludf.DUMMYFUNCTION("GOOGLETRANSLATE(B35010,""en"",""es-ES"")"),"Vemos a una dama sombría sosteniendo un micrófono.")</f>
        <v>Vemos a una dama sombría sosteniendo un micrófono.</v>
      </c>
    </row>
    <row r="35011">
      <c r="A35011" s="4" t="s">
        <v>44052</v>
      </c>
      <c r="B35011" s="4" t="s">
        <v>44053</v>
      </c>
      <c r="C35011" s="5" t="str">
        <f>IFERROR(__xludf.DUMMYFUNCTION("GOOGLETRANSLATE(B35011,""en"",""es-ES"")"),"Un hombre está limpiando un piso de baño público sucio.")</f>
        <v>Un hombre está limpiando un piso de baño público sucio.</v>
      </c>
    </row>
    <row r="35012">
      <c r="A35012" s="4" t="s">
        <v>44052</v>
      </c>
      <c r="B35012" s="4" t="s">
        <v>44054</v>
      </c>
      <c r="C35012" s="5" t="str">
        <f>IFERROR(__xludf.DUMMYFUNCTION("GOOGLETRANSLATE(B35012,""en"",""es-ES"")"),"Empuja al trapeador de un lado a otro, limpiando el piso y brillante.")</f>
        <v>Empuja al trapeador de un lado a otro, limpiando el piso y brillante.</v>
      </c>
    </row>
    <row r="35013">
      <c r="A35013" s="4" t="s">
        <v>44055</v>
      </c>
      <c r="B35013" s="4" t="s">
        <v>44056</v>
      </c>
      <c r="C35013" s="5" t="str">
        <f>IFERROR(__xludf.DUMMYFUNCTION("GOOGLETRANSLATE(B35013,""en"",""es-ES"")"),"Un hombre grande vestido mientras Batman corre haciendo cosas extrañas sin sentido.")</f>
        <v>Un hombre grande vestido mientras Batman corre haciendo cosas extrañas sin sentido.</v>
      </c>
    </row>
    <row r="35014">
      <c r="A35014" s="4" t="s">
        <v>44055</v>
      </c>
      <c r="B35014" s="4" t="s">
        <v>44057</v>
      </c>
      <c r="C35014" s="5" t="str">
        <f>IFERROR(__xludf.DUMMYFUNCTION("GOOGLETRANSLATE(B35014,""en"",""es-ES"")"),"Corre dentro de la casa y comienza a comenzar a dar instrucciones sobre cómo hacer el sándwich de Batman perfecto.")</f>
        <v>Corre dentro de la casa y comienza a comenzar a dar instrucciones sobre cómo hacer el sándwich de Batman perfecto.</v>
      </c>
    </row>
    <row r="35015">
      <c r="A35015" s="4" t="s">
        <v>44055</v>
      </c>
      <c r="B35015" s="4" t="s">
        <v>44058</v>
      </c>
      <c r="C35015" s="5" t="str">
        <f>IFERROR(__xludf.DUMMYFUNCTION("GOOGLETRANSLATE(B35015,""en"",""es-ES"")"),"Está cortando queso y agregando jamón al sándwich.")</f>
        <v>Está cortando queso y agregando jamón al sándwich.</v>
      </c>
    </row>
    <row r="35016">
      <c r="A35016" s="4" t="s">
        <v>44055</v>
      </c>
      <c r="B35016" s="4" t="s">
        <v>44059</v>
      </c>
      <c r="C35016" s="5" t="str">
        <f>IFERROR(__xludf.DUMMYFUNCTION("GOOGLETRANSLATE(B35016,""en"",""es-ES"")"),"Incluso corta el pan en forma de Batman antes de finalmente hacerlo.")</f>
        <v>Incluso corta el pan en forma de Batman antes de finalmente hacerlo.</v>
      </c>
    </row>
    <row r="35017">
      <c r="A35017" s="4" t="s">
        <v>44060</v>
      </c>
      <c r="B35017" s="4" t="s">
        <v>44061</v>
      </c>
      <c r="C35017" s="5" t="str">
        <f>IFERROR(__xludf.DUMMYFUNCTION("GOOGLETRANSLATE(B35017,""en"",""es-ES"")"),"Dos hombres están en un pequeño boxeo de gimnasia y peleando entre ellos.")</f>
        <v>Dos hombres están en un pequeño boxeo de gimnasia y peleando entre ellos.</v>
      </c>
    </row>
    <row r="35018">
      <c r="A35018" s="4" t="s">
        <v>44060</v>
      </c>
      <c r="B35018" s="4" t="s">
        <v>44062</v>
      </c>
      <c r="C35018" s="5" t="str">
        <f>IFERROR(__xludf.DUMMYFUNCTION("GOOGLETRANSLATE(B35018,""en"",""es-ES"")"),"Continúan peleando y golpeándose unos a otros mientras una persona se para en la esquina mostrándolos.")</f>
        <v>Continúan peleando y golpeándose unos a otros mientras una persona se para en la esquina mostrándolos.</v>
      </c>
    </row>
    <row r="35019">
      <c r="A35019" s="4" t="s">
        <v>44060</v>
      </c>
      <c r="B35019" s="4" t="s">
        <v>44063</v>
      </c>
      <c r="C35019" s="5" t="str">
        <f>IFERROR(__xludf.DUMMYFUNCTION("GOOGLETRANSLATE(B35019,""en"",""es-ES"")"),"Después de un tiempo, terminan de pelear y permanecen quietas unos de otros en el gimnasio.")</f>
        <v>Después de un tiempo, terminan de pelear y permanecen quietas unos de otros en el gimnasio.</v>
      </c>
    </row>
    <row r="35020">
      <c r="A35020" s="4" t="s">
        <v>44064</v>
      </c>
      <c r="B35020" s="4" t="s">
        <v>44065</v>
      </c>
      <c r="C35020" s="5" t="str">
        <f>IFERROR(__xludf.DUMMYFUNCTION("GOOGLETRANSLATE(B35020,""en"",""es-ES"")"),"Un hombre con un traje lee un papel.")</f>
        <v>Un hombre con un traje lee un papel.</v>
      </c>
    </row>
    <row r="35021">
      <c r="A35021" s="4" t="s">
        <v>44064</v>
      </c>
      <c r="B35021" s="4" t="s">
        <v>44066</v>
      </c>
      <c r="C35021" s="5" t="str">
        <f>IFERROR(__xludf.DUMMYFUNCTION("GOOGLETRANSLATE(B35021,""en"",""es-ES"")"),"Una mujer luego comienza a informar una noticia.")</f>
        <v>Una mujer luego comienza a informar una noticia.</v>
      </c>
    </row>
    <row r="35022">
      <c r="A35022" s="4" t="s">
        <v>44064</v>
      </c>
      <c r="B35022" s="4" t="s">
        <v>44067</v>
      </c>
      <c r="C35022" s="5" t="str">
        <f>IFERROR(__xludf.DUMMYFUNCTION("GOOGLETRANSLATE(B35022,""en"",""es-ES"")"),"Un niño toca la armónica en la calle.")</f>
        <v>Un niño toca la armónica en la calle.</v>
      </c>
    </row>
    <row r="35023">
      <c r="A35023" s="4" t="s">
        <v>44064</v>
      </c>
      <c r="B35023" s="4" t="s">
        <v>44068</v>
      </c>
      <c r="C35023" s="5" t="str">
        <f>IFERROR(__xludf.DUMMYFUNCTION("GOOGLETRANSLATE(B35023,""en"",""es-ES"")"),"Se encuentra en un muelle que cuenta su historia.")</f>
        <v>Se encuentra en un muelle que cuenta su historia.</v>
      </c>
    </row>
    <row r="35024">
      <c r="A35024" s="4" t="s">
        <v>44069</v>
      </c>
      <c r="B35024" s="4" t="s">
        <v>44070</v>
      </c>
      <c r="C35024" s="5" t="str">
        <f>IFERROR(__xludf.DUMMYFUNCTION("GOOGLETRANSLATE(B35024,""en"",""es-ES"")"),"Se muestra a un hombre en la cámara haciendo varios movimientos con los brazos y las piernas mientras sonríe en la cámara.")</f>
        <v>Se muestra a un hombre en la cámara haciendo varios movimientos con los brazos y las piernas mientras sonríe en la cámara.</v>
      </c>
    </row>
    <row r="35025">
      <c r="A35025" s="4" t="s">
        <v>44069</v>
      </c>
      <c r="B35025" s="4" t="s">
        <v>44071</v>
      </c>
      <c r="C35025" s="5" t="str">
        <f>IFERROR(__xludf.DUMMYFUNCTION("GOOGLETRANSLATE(B35025,""en"",""es-ES"")"),"Realiza varios movimientos más lentamente y continúa hablando y sonreír a la cámara.")</f>
        <v>Realiza varios movimientos más lentamente y continúa hablando y sonreír a la cámara.</v>
      </c>
    </row>
    <row r="35026">
      <c r="A35026" s="4" t="s">
        <v>44072</v>
      </c>
      <c r="B35026" s="4" t="s">
        <v>44073</v>
      </c>
      <c r="C35026" s="5" t="str">
        <f>IFERROR(__xludf.DUMMYFUNCTION("GOOGLETRANSLATE(B35026,""en"",""es-ES"")"),"Una mujer está bañando a un cachorro blanco y marrón en una bañera.")</f>
        <v>Una mujer está bañando a un cachorro blanco y marrón en una bañera.</v>
      </c>
    </row>
    <row r="35027">
      <c r="A35027" s="4" t="s">
        <v>44072</v>
      </c>
      <c r="B35027" s="4" t="s">
        <v>44074</v>
      </c>
      <c r="C35027" s="5" t="str">
        <f>IFERROR(__xludf.DUMMYFUNCTION("GOOGLETRANSLATE(B35027,""en"",""es-ES"")"),"La mujer está usando una ducha a mano para lavar al perro.")</f>
        <v>La mujer está usando una ducha a mano para lavar al perro.</v>
      </c>
    </row>
    <row r="35028">
      <c r="A35028" s="4" t="s">
        <v>44072</v>
      </c>
      <c r="B35028" s="4" t="s">
        <v>44075</v>
      </c>
      <c r="C35028" s="5" t="str">
        <f>IFERROR(__xludf.DUMMYFUNCTION("GOOGLETRANSLATE(B35028,""en"",""es-ES"")"),"La mujer sostiene al perro con sus dos patas delanteras.")</f>
        <v>La mujer sostiene al perro con sus dos patas delanteras.</v>
      </c>
    </row>
    <row r="35029">
      <c r="A35029" s="4" t="s">
        <v>44072</v>
      </c>
      <c r="B35029" s="4" t="s">
        <v>44076</v>
      </c>
      <c r="C35029" s="5" t="str">
        <f>IFERROR(__xludf.DUMMYFUNCTION("GOOGLETRANSLATE(B35029,""en"",""es-ES"")"),"Ella continúa lavando al perro con la ducha.")</f>
        <v>Ella continúa lavando al perro con la ducha.</v>
      </c>
    </row>
    <row r="35030">
      <c r="A35030" s="4" t="s">
        <v>44077</v>
      </c>
      <c r="B35030" s="4" t="s">
        <v>44078</v>
      </c>
      <c r="C35030" s="5" t="str">
        <f>IFERROR(__xludf.DUMMYFUNCTION("GOOGLETRANSLATE(B35030,""en"",""es-ES"")"),"Varias personas están en una fiesta.")</f>
        <v>Varias personas están en una fiesta.</v>
      </c>
    </row>
    <row r="35031">
      <c r="A35031" s="4" t="s">
        <v>44077</v>
      </c>
      <c r="B35031" s="4" t="s">
        <v>44079</v>
      </c>
      <c r="C35031" s="5" t="str">
        <f>IFERROR(__xludf.DUMMYFUNCTION("GOOGLETRANSLATE(B35031,""en"",""es-ES"")"),"Están bebiendo y jugando cerveza pong.")</f>
        <v>Están bebiendo y jugando cerveza pong.</v>
      </c>
    </row>
    <row r="35032">
      <c r="A35032" s="4" t="s">
        <v>44077</v>
      </c>
      <c r="B35032" s="4" t="s">
        <v>44080</v>
      </c>
      <c r="C35032" s="5" t="str">
        <f>IFERROR(__xludf.DUMMYFUNCTION("GOOGLETRANSLATE(B35032,""en"",""es-ES"")"),"Hay personas bailando y mirando sus teléfonos.")</f>
        <v>Hay personas bailando y mirando sus teléfonos.</v>
      </c>
    </row>
    <row r="35033">
      <c r="A35033" s="4" t="s">
        <v>44081</v>
      </c>
      <c r="B35033" s="4" t="s">
        <v>44082</v>
      </c>
      <c r="C35033" s="5" t="str">
        <f>IFERROR(__xludf.DUMMYFUNCTION("GOOGLETRANSLATE(B35033,""en"",""es-ES"")"),"El nombre Seppe Smits aparece en la pantalla seguido de ""Nieve Boarding 2400 horas al día"".")</f>
        <v>El nombre Seppe Smits aparece en la pantalla seguido de "Nieve Boarding 2400 horas al día".</v>
      </c>
    </row>
    <row r="35034">
      <c r="A35034" s="4" t="s">
        <v>44081</v>
      </c>
      <c r="B35034" s="4" t="s">
        <v>44083</v>
      </c>
      <c r="C35034" s="5" t="str">
        <f>IFERROR(__xludf.DUMMYFUNCTION("GOOGLETRANSLATE(B35034,""en"",""es-ES"")"),"El video de Smits que comienza el día está entremezclado con tomas de él snowboard.")</f>
        <v>El video de Smits que comienza el día está entremezclado con tomas de él snowboard.</v>
      </c>
    </row>
    <row r="35035">
      <c r="A35035" s="4" t="s">
        <v>44081</v>
      </c>
      <c r="B35035" s="4" t="s">
        <v>44084</v>
      </c>
      <c r="C35035" s="5" t="str">
        <f>IFERROR(__xludf.DUMMYFUNCTION("GOOGLETRANSLATE(B35035,""en"",""es-ES"")"),"Los hashtags de las redes sociales se muestran en la pantalla.")</f>
        <v>Los hashtags de las redes sociales se muestran en la pantalla.</v>
      </c>
    </row>
    <row r="35036">
      <c r="A35036" s="4" t="s">
        <v>44085</v>
      </c>
      <c r="B35036" s="4" t="s">
        <v>44086</v>
      </c>
      <c r="C35036" s="5" t="str">
        <f>IFERROR(__xludf.DUMMYFUNCTION("GOOGLETRANSLATE(B35036,""en"",""es-ES"")"),"La mujer está de pie en una cocina hablando con la cámara con una bolsa de pasta.")</f>
        <v>La mujer está de pie en una cocina hablando con la cámara con una bolsa de pasta.</v>
      </c>
    </row>
    <row r="35037">
      <c r="A35037" s="4" t="s">
        <v>44085</v>
      </c>
      <c r="B35037" s="4" t="s">
        <v>44087</v>
      </c>
      <c r="C35037" s="5" t="str">
        <f>IFERROR(__xludf.DUMMYFUNCTION("GOOGLETRANSLATE(B35037,""en"",""es-ES"")"),"Mujer agarra un poco de pasta y los pone en agua hervida.")</f>
        <v>Mujer agarra un poco de pasta y los pone en agua hervida.</v>
      </c>
    </row>
    <row r="35038">
      <c r="A35038" s="4" t="s">
        <v>44085</v>
      </c>
      <c r="B35038" s="4" t="s">
        <v>44088</v>
      </c>
      <c r="C35038" s="5" t="str">
        <f>IFERROR(__xludf.DUMMYFUNCTION("GOOGLETRANSLATE(B35038,""en"",""es-ES"")"),"Mujer agarra un espagueti y lo come para ver si está cocinado y explica cómo saberlo.")</f>
        <v>Mujer agarra un espagueti y lo come para ver si está cocinado y explica cómo saberlo.</v>
      </c>
    </row>
    <row r="35039">
      <c r="A35039" s="4" t="s">
        <v>44085</v>
      </c>
      <c r="B35039" s="4" t="s">
        <v>44089</v>
      </c>
      <c r="C35039" s="5" t="str">
        <f>IFERROR(__xludf.DUMMYFUNCTION("GOOGLETRANSLATE(B35039,""en"",""es-ES"")"),"Tire el agua en el fregadero y ralle el queso en la pasta y un pequeño oegano y sirva en un plato blanco.")</f>
        <v>Tire el agua en el fregadero y ralle el queso en la pasta y un pequeño oegano y sirva en un plato blanco.</v>
      </c>
    </row>
    <row r="35040">
      <c r="A35040" s="4" t="s">
        <v>44090</v>
      </c>
      <c r="B35040" s="4" t="s">
        <v>44091</v>
      </c>
      <c r="C35040" s="5" t="str">
        <f>IFERROR(__xludf.DUMMYFUNCTION("GOOGLETRANSLATE(B35040,""en"",""es-ES"")"),"Un grupo de hombres está en una playa de arena jugando fútbol mientras mucha gente mira.")</f>
        <v>Un grupo de hombres está en una playa de arena jugando fútbol mientras mucha gente mira.</v>
      </c>
    </row>
    <row r="35041">
      <c r="A35041" s="4" t="s">
        <v>44090</v>
      </c>
      <c r="B35041" s="4" t="s">
        <v>44092</v>
      </c>
      <c r="C35041" s="5" t="str">
        <f>IFERROR(__xludf.DUMMYFUNCTION("GOOGLETRANSLATE(B35041,""en"",""es-ES"")"),"Un hombre patea la pelota muy fuerte, lo llega a la meta y arroja sus dos brazos al aire y le da a un compañero de equipo un alto y todos corren para ponerse en su lugar para la próxima jugada.")</f>
        <v>Un hombre patea la pelota muy fuerte, lo llega a la meta y arroja sus dos brazos al aire y le da a un compañero de equipo un alto y todos corren para ponerse en su lugar para la próxima jugada.</v>
      </c>
    </row>
    <row r="35042">
      <c r="A35042" s="4" t="s">
        <v>44090</v>
      </c>
      <c r="B35042" s="4" t="s">
        <v>44093</v>
      </c>
      <c r="C35042" s="5" t="str">
        <f>IFERROR(__xludf.DUMMYFUNCTION("GOOGLETRANSLATE(B35042,""en"",""es-ES"")"),"La repetición del objetivo que se pateó se reproduce pero en cámara lenta.")</f>
        <v>La repetición del objetivo que se pateó se reproduce pero en cámara lenta.</v>
      </c>
    </row>
    <row r="35043">
      <c r="A35043" s="4" t="s">
        <v>44094</v>
      </c>
      <c r="B35043" s="4" t="s">
        <v>44095</v>
      </c>
      <c r="C35043" s="5" t="str">
        <f>IFERROR(__xludf.DUMMYFUNCTION("GOOGLETRANSLATE(B35043,""en"",""es-ES"")"),"Un hombre sostiene una cámara mientras se para hablar junto a un lago.")</f>
        <v>Un hombre sostiene una cámara mientras se para hablar junto a un lago.</v>
      </c>
    </row>
    <row r="35044">
      <c r="A35044" s="4" t="s">
        <v>44094</v>
      </c>
      <c r="B35044" s="4" t="s">
        <v>44096</v>
      </c>
      <c r="C35044" s="5" t="str">
        <f>IFERROR(__xludf.DUMMYFUNCTION("GOOGLETRANSLATE(B35044,""en"",""es-ES"")"),"Él atraviesa túneles, camina por los puentes y se para sobre los acantilados.")</f>
        <v>Él atraviesa túneles, camina por los puentes y se para sobre los acantilados.</v>
      </c>
    </row>
    <row r="35045">
      <c r="A35045" s="4" t="s">
        <v>44094</v>
      </c>
      <c r="B35045" s="4" t="s">
        <v>44097</v>
      </c>
      <c r="C35045" s="5" t="str">
        <f>IFERROR(__xludf.DUMMYFUNCTION("GOOGLETRANSLATE(B35045,""en"",""es-ES"")"),"Él conduce por una carretera y registra rafting en un río de aguas blancas.")</f>
        <v>Él conduce por una carretera y registra rafting en un río de aguas blancas.</v>
      </c>
    </row>
    <row r="35046">
      <c r="A35046" s="4" t="s">
        <v>44094</v>
      </c>
      <c r="B35046" s="4" t="s">
        <v>44098</v>
      </c>
      <c r="C35046" s="5" t="str">
        <f>IFERROR(__xludf.DUMMYFUNCTION("GOOGLETRANSLATE(B35046,""en"",""es-ES"")"),"Se muestra a las personas sumergirse en aguas profundas de los acantilados antes de rafting nuevamente.")</f>
        <v>Se muestra a las personas sumergirse en aguas profundas de los acantilados antes de rafting nuevamente.</v>
      </c>
    </row>
    <row r="35047">
      <c r="A35047" s="4" t="s">
        <v>44099</v>
      </c>
      <c r="B35047" s="4" t="s">
        <v>44100</v>
      </c>
      <c r="C35047" s="5" t="str">
        <f>IFERROR(__xludf.DUMMYFUNCTION("GOOGLETRANSLATE(B35047,""en"",""es-ES"")"),"Una cámara sale de la espalda de un hombre seguido de un hombre que realizaba una inmersión en una piscina.")</f>
        <v>Una cámara sale de la espalda de un hombre seguido de un hombre que realizaba una inmersión en una piscina.</v>
      </c>
    </row>
    <row r="35048">
      <c r="A35048" s="4" t="s">
        <v>44099</v>
      </c>
      <c r="B35048" s="4" t="s">
        <v>44101</v>
      </c>
      <c r="C35048" s="5" t="str">
        <f>IFERROR(__xludf.DUMMYFUNCTION("GOOGLETRANSLATE(B35048,""en"",""es-ES"")"),"Se le muestra dos veces más realizando inmersiones impresionantes del tablero de buceo y en la piscina.")</f>
        <v>Se le muestra dos veces más realizando inmersiones impresionantes del tablero de buceo y en la piscina.</v>
      </c>
    </row>
    <row r="35049">
      <c r="A35049" s="4" t="s">
        <v>44102</v>
      </c>
      <c r="B35049" s="4" t="s">
        <v>44103</v>
      </c>
      <c r="C35049" s="5" t="str">
        <f>IFERROR(__xludf.DUMMYFUNCTION("GOOGLETRANSLATE(B35049,""en"",""es-ES"")"),"Se ve a una persona salir de un automóvil y caminar hacia el tronco para tomar una tabla de surf.")</f>
        <v>Se ve a una persona salir de un automóvil y caminar hacia el tronco para tomar una tabla de surf.</v>
      </c>
    </row>
    <row r="35050">
      <c r="A35050" s="4" t="s">
        <v>44102</v>
      </c>
      <c r="B35050" s="4" t="s">
        <v>44104</v>
      </c>
      <c r="C35050" s="5" t="str">
        <f>IFERROR(__xludf.DUMMYFUNCTION("GOOGLETRANSLATE(B35050,""en"",""es-ES"")"),"Luego se ve a la persona usando un traje y corriendo por un paseo marítimo seguido de él surfeando.")</f>
        <v>Luego se ve a la persona usando un traje y corriendo por un paseo marítimo seguido de él surfeando.</v>
      </c>
    </row>
    <row r="35051">
      <c r="A35051" s="4" t="s">
        <v>44102</v>
      </c>
      <c r="B35051" s="4" t="s">
        <v>44105</v>
      </c>
      <c r="C35051" s="5" t="str">
        <f>IFERROR(__xludf.DUMMYFUNCTION("GOOGLETRANSLATE(B35051,""en"",""es-ES"")"),"El hombre se desliza a lo largo del agua en cámara lenta y luego se lo ve hablando con la cámara.")</f>
        <v>El hombre se desliza a lo largo del agua en cámara lenta y luego se lo ve hablando con la cámara.</v>
      </c>
    </row>
    <row r="35052">
      <c r="A35052" s="4" t="s">
        <v>44106</v>
      </c>
      <c r="B35052" s="4" t="s">
        <v>44107</v>
      </c>
      <c r="C35052" s="5" t="str">
        <f>IFERROR(__xludf.DUMMYFUNCTION("GOOGLETRANSLATE(B35052,""en"",""es-ES"")"),"Una mujer rubia está sentada en una cama en una habitación de hotel que se graba en video en un espejo con un teléfono blanco y habla con la cámara.")</f>
        <v>Una mujer rubia está sentada en una cama en una habitación de hotel que se graba en video en un espejo con un teléfono blanco y habla con la cámara.</v>
      </c>
    </row>
    <row r="35053">
      <c r="A35053" s="4" t="s">
        <v>44106</v>
      </c>
      <c r="B35053" s="4" t="s">
        <v>44108</v>
      </c>
      <c r="C35053" s="5" t="str">
        <f>IFERROR(__xludf.DUMMYFUNCTION("GOOGLETRANSLATE(B35053,""en"",""es-ES"")"),"La mujer se levanta y apunta la cámara a la puerta al baño donde un hombre se lava las zapatillas en el fregadero con un cepillo.")</f>
        <v>La mujer se levanta y apunta la cámara a la puerta al baño donde un hombre se lava las zapatillas en el fregadero con un cepillo.</v>
      </c>
    </row>
    <row r="35054">
      <c r="A35054" s="4" t="s">
        <v>44106</v>
      </c>
      <c r="B35054" s="4" t="s">
        <v>44109</v>
      </c>
      <c r="C35054" s="5" t="str">
        <f>IFERROR(__xludf.DUMMYFUNCTION("GOOGLETRANSLATE(B35054,""en"",""es-ES"")"),"La mujer rubia regresa a la habitación y muestra todos los diversos pares de zapatillas que el hombre tiene en toda la habitación del hotel.")</f>
        <v>La mujer rubia regresa a la habitación y muestra todos los diversos pares de zapatillas que el hombre tiene en toda la habitación del hotel.</v>
      </c>
    </row>
    <row r="35055">
      <c r="A35055" s="4" t="s">
        <v>44106</v>
      </c>
      <c r="B35055" s="4" t="s">
        <v>44110</v>
      </c>
      <c r="C35055" s="5" t="str">
        <f>IFERROR(__xludf.DUMMYFUNCTION("GOOGLETRANSLATE(B35055,""en"",""es-ES"")"),"La mujer rubia regresa al baño y cinta adhesiva al hombre que sostiene las zapatillas blancas.")</f>
        <v>La mujer rubia regresa al baño y cinta adhesiva al hombre que sostiene las zapatillas blancas.</v>
      </c>
    </row>
    <row r="35056">
      <c r="A35056" s="4" t="s">
        <v>44106</v>
      </c>
      <c r="B35056" s="4" t="s">
        <v>44111</v>
      </c>
      <c r="C35056" s="5" t="str">
        <f>IFERROR(__xludf.DUMMYFUNCTION("GOOGLETRANSLATE(B35056,""en"",""es-ES"")"),"El hombre ahora está afuera colocando cinta adhesiva y plástico en las zapatillas de deporte y las detalla con un cepillo de dientes.")</f>
        <v>El hombre ahora está afuera colocando cinta adhesiva y plástico en las zapatillas de deporte y las detalla con un cepillo de dientes.</v>
      </c>
    </row>
    <row r="35057">
      <c r="A35057" s="4" t="s">
        <v>44106</v>
      </c>
      <c r="B35057" s="4" t="s">
        <v>44112</v>
      </c>
      <c r="C35057" s="5" t="str">
        <f>IFERROR(__xludf.DUMMYFUNCTION("GOOGLETRANSLATE(B35057,""en"",""es-ES"")"),"Hay varias imágenes del producto final de zapatillas limpias.")</f>
        <v>Hay varias imágenes del producto final de zapatillas limpias.</v>
      </c>
    </row>
    <row r="35058">
      <c r="A35058" s="4" t="s">
        <v>44113</v>
      </c>
      <c r="B35058" s="4" t="s">
        <v>44114</v>
      </c>
      <c r="C35058" s="5" t="str">
        <f>IFERROR(__xludf.DUMMYFUNCTION("GOOGLETRANSLATE(B35058,""en"",""es-ES"")"),"Se ve a un gran grupo de personas de pie en un círculo tocando la batería con una persona en el medio instruyendo.")</f>
        <v>Se ve a un gran grupo de personas de pie en un círculo tocando la batería con una persona en el medio instruyendo.</v>
      </c>
    </row>
    <row r="35059">
      <c r="A35059" s="4" t="s">
        <v>44113</v>
      </c>
      <c r="B35059" s="4" t="s">
        <v>44115</v>
      </c>
      <c r="C35059" s="5" t="str">
        <f>IFERROR(__xludf.DUMMYFUNCTION("GOOGLETRANSLATE(B35059,""en"",""es-ES"")"),"La cámara se desplaza alrededor del grupo tocando la batería mientras los personas los sienten a un lado.")</f>
        <v>La cámara se desplaza alrededor del grupo tocando la batería mientras los personas los sienten a un lado.</v>
      </c>
    </row>
    <row r="35060">
      <c r="A35060" s="4" t="s">
        <v>44116</v>
      </c>
      <c r="B35060" s="4" t="s">
        <v>44117</v>
      </c>
      <c r="C35060" s="5" t="str">
        <f>IFERROR(__xludf.DUMMYFUNCTION("GOOGLETRANSLATE(B35060,""en"",""es-ES"")"),"Una mujer corta la madera en una cuadra con un hacha.")</f>
        <v>Una mujer corta la madera en una cuadra con un hacha.</v>
      </c>
    </row>
    <row r="35061">
      <c r="A35061" s="4" t="s">
        <v>44116</v>
      </c>
      <c r="B35061" s="4" t="s">
        <v>44118</v>
      </c>
      <c r="C35061" s="5" t="str">
        <f>IFERROR(__xludf.DUMMYFUNCTION("GOOGLETRANSLATE(B35061,""en"",""es-ES"")"),"Le cuesta mucho sacar el hacha del madera.")</f>
        <v>Le cuesta mucho sacar el hacha del madera.</v>
      </c>
    </row>
    <row r="35062">
      <c r="A35062" s="4" t="s">
        <v>44116</v>
      </c>
      <c r="B35062" s="4" t="s">
        <v>44119</v>
      </c>
      <c r="C35062" s="5" t="str">
        <f>IFERROR(__xludf.DUMMYFUNCTION("GOOGLETRANSLATE(B35062,""en"",""es-ES"")"),"Alguien más viene e intenta sacarlo, pero no pueden.")</f>
        <v>Alguien más viene e intenta sacarlo, pero no pueden.</v>
      </c>
    </row>
    <row r="35063">
      <c r="A35063" s="4" t="s">
        <v>44116</v>
      </c>
      <c r="B35063" s="4" t="s">
        <v>44120</v>
      </c>
      <c r="C35063" s="5" t="str">
        <f>IFERROR(__xludf.DUMMYFUNCTION("GOOGLETRANSLATE(B35063,""en"",""es-ES"")"),"La primera chica regresa y continúa tratando de sacar el hacha del bosque.")</f>
        <v>La primera chica regresa y continúa tratando de sacar el hacha del bosque.</v>
      </c>
    </row>
    <row r="35064">
      <c r="A35064" s="4" t="s">
        <v>44121</v>
      </c>
      <c r="B35064" s="4" t="s">
        <v>44122</v>
      </c>
      <c r="C35064" s="5" t="str">
        <f>IFERROR(__xludf.DUMMYFUNCTION("GOOGLETRANSLATE(B35064,""en"",""es-ES"")"),"Un joven recorta el cabello de varios hombres mayores en una silla de peluquería al aire libre.")</f>
        <v>Un joven recorta el cabello de varios hombres mayores en una silla de peluquería al aire libre.</v>
      </c>
    </row>
    <row r="35065">
      <c r="A35065" s="4" t="s">
        <v>44121</v>
      </c>
      <c r="B35065" s="4" t="s">
        <v>44123</v>
      </c>
      <c r="C35065" s="5" t="str">
        <f>IFERROR(__xludf.DUMMYFUNCTION("GOOGLETRANSLATE(B35065,""en"",""es-ES"")"),"El hombre que se corta el cabello está dentro de una barbería hablando.")</f>
        <v>El hombre que se corta el cabello está dentro de una barbería hablando.</v>
      </c>
    </row>
    <row r="35066">
      <c r="A35066" s="4" t="s">
        <v>44121</v>
      </c>
      <c r="B35066" s="4" t="s">
        <v>44124</v>
      </c>
      <c r="C35066" s="5" t="str">
        <f>IFERROR(__xludf.DUMMYFUNCTION("GOOGLETRANSLATE(B35066,""en"",""es-ES"")"),"Se muestran algunas tomas fijas del hombre que se corta el cabello.")</f>
        <v>Se muestran algunas tomas fijas del hombre que se corta el cabello.</v>
      </c>
    </row>
    <row r="35067">
      <c r="A35067" s="4" t="s">
        <v>44121</v>
      </c>
      <c r="B35067" s="4" t="s">
        <v>44125</v>
      </c>
      <c r="C35067" s="5" t="str">
        <f>IFERROR(__xludf.DUMMYFUNCTION("GOOGLETRANSLATE(B35067,""en"",""es-ES"")"),"El hombre se ve nuevamente cortando un cabello de hombre en la silla de peluquería al aire libre.")</f>
        <v>El hombre se ve nuevamente cortando un cabello de hombre en la silla de peluquería al aire libre.</v>
      </c>
    </row>
    <row r="35068">
      <c r="A35068" s="4" t="s">
        <v>44126</v>
      </c>
      <c r="B35068" s="4" t="s">
        <v>44127</v>
      </c>
      <c r="C35068" s="5" t="str">
        <f>IFERROR(__xludf.DUMMYFUNCTION("GOOGLETRANSLATE(B35068,""en"",""es-ES"")"),"Un hombre está vertiendo disparos de alcohol en una licuadora.")</f>
        <v>Un hombre está vertiendo disparos de alcohol en una licuadora.</v>
      </c>
    </row>
    <row r="35069">
      <c r="A35069" s="4" t="s">
        <v>44126</v>
      </c>
      <c r="B35069" s="4" t="s">
        <v>44128</v>
      </c>
      <c r="C35069" s="5" t="str">
        <f>IFERROR(__xludf.DUMMYFUNCTION("GOOGLETRANSLATE(B35069,""en"",""es-ES"")"),"Él combina la bebida juntos.")</f>
        <v>Él combina la bebida juntos.</v>
      </c>
    </row>
    <row r="35070">
      <c r="A35070" s="4" t="s">
        <v>44126</v>
      </c>
      <c r="B35070" s="4" t="s">
        <v>44129</v>
      </c>
      <c r="C35070" s="5" t="str">
        <f>IFERROR(__xludf.DUMMYFUNCTION("GOOGLETRANSLATE(B35070,""en"",""es-ES"")"),"Pone rodajas de naranja en dos vasos.")</f>
        <v>Pone rodajas de naranja en dos vasos.</v>
      </c>
    </row>
    <row r="35071">
      <c r="A35071" s="4" t="s">
        <v>44126</v>
      </c>
      <c r="B35071" s="4" t="s">
        <v>44130</v>
      </c>
      <c r="C35071" s="5" t="str">
        <f>IFERROR(__xludf.DUMMYFUNCTION("GOOGLETRANSLATE(B35071,""en"",""es-ES"")"),"Vierta la bebida de la licuadora en las gafas y agrega pajitas.")</f>
        <v>Vierta la bebida de la licuadora en las gafas y agrega pajitas.</v>
      </c>
    </row>
    <row r="35072">
      <c r="A35072" s="4" t="s">
        <v>44131</v>
      </c>
      <c r="B35072" s="4" t="s">
        <v>44132</v>
      </c>
      <c r="C35072" s="5" t="str">
        <f>IFERROR(__xludf.DUMMYFUNCTION("GOOGLETRANSLATE(B35072,""en"",""es-ES"")"),"Un hombre está talando una calabaza.")</f>
        <v>Un hombre está talando una calabaza.</v>
      </c>
    </row>
    <row r="35073">
      <c r="A35073" s="4" t="s">
        <v>44131</v>
      </c>
      <c r="B35073" s="4" t="s">
        <v>44133</v>
      </c>
      <c r="C35073" s="5" t="str">
        <f>IFERROR(__xludf.DUMMYFUNCTION("GOOGLETRANSLATE(B35073,""en"",""es-ES"")"),"Se muestra un hombre con un disfraz de Batman.")</f>
        <v>Se muestra un hombre con un disfraz de Batman.</v>
      </c>
    </row>
    <row r="35074">
      <c r="A35074" s="4" t="s">
        <v>44131</v>
      </c>
      <c r="B35074" s="4" t="s">
        <v>44134</v>
      </c>
      <c r="C35074" s="5" t="str">
        <f>IFERROR(__xludf.DUMMYFUNCTION("GOOGLETRANSLATE(B35074,""en"",""es-ES"")"),"El hombre continúa talando la calabaza.")</f>
        <v>El hombre continúa talando la calabaza.</v>
      </c>
    </row>
    <row r="35075">
      <c r="A35075" s="4" t="s">
        <v>44131</v>
      </c>
      <c r="B35075" s="4" t="s">
        <v>44135</v>
      </c>
      <c r="C35075" s="5" t="str">
        <f>IFERROR(__xludf.DUMMYFUNCTION("GOOGLETRANSLATE(B35075,""en"",""es-ES"")"),"Un perro está masticando una pelota azul.")</f>
        <v>Un perro está masticando una pelota azul.</v>
      </c>
    </row>
    <row r="35076">
      <c r="A35076" s="4" t="s">
        <v>44136</v>
      </c>
      <c r="B35076" s="4" t="s">
        <v>44137</v>
      </c>
      <c r="C35076" s="5" t="str">
        <f>IFERROR(__xludf.DUMMYFUNCTION("GOOGLETRANSLATE(B35076,""en"",""es-ES"")"),"Se ve a un grupo de niños jóvenes pasando pelotas de fútbol a cada uno a lo largo de una gran playa de arena.")</f>
        <v>Se ve a un grupo de niños jóvenes pasando pelotas de fútbol a cada uno a lo largo de una gran playa de arena.</v>
      </c>
    </row>
    <row r="35077">
      <c r="A35077" s="4" t="s">
        <v>44136</v>
      </c>
      <c r="B35077" s="4" t="s">
        <v>44138</v>
      </c>
      <c r="C35077" s="5" t="str">
        <f>IFERROR(__xludf.DUMMYFUNCTION("GOOGLETRANSLATE(B35077,""en"",""es-ES"")"),"Continúan corriendo de regreso y cuarto en la arena y pasando la pelota entre sí.")</f>
        <v>Continúan corriendo de regreso y cuarto en la arena y pasando la pelota entre sí.</v>
      </c>
    </row>
    <row r="35078">
      <c r="A35078" s="4" t="s">
        <v>44139</v>
      </c>
      <c r="B35078" s="4" t="s">
        <v>44140</v>
      </c>
      <c r="C35078" s="5" t="str">
        <f>IFERROR(__xludf.DUMMYFUNCTION("GOOGLETRANSLATE(B35078,""en"",""es-ES"")"),"Un hombre está sentado junto a una carretera puliendo un zapato.")</f>
        <v>Un hombre está sentado junto a una carretera puliendo un zapato.</v>
      </c>
    </row>
    <row r="35079">
      <c r="A35079" s="4" t="s">
        <v>44139</v>
      </c>
      <c r="B35079" s="4" t="s">
        <v>44141</v>
      </c>
      <c r="C35079" s="5" t="str">
        <f>IFERROR(__xludf.DUMMYFUNCTION("GOOGLETRANSLATE(B35079,""en"",""es-ES"")"),"Algunas otras personas están sentadas cerca, y muchas personas pasan junto a él.")</f>
        <v>Algunas otras personas están sentadas cerca, y muchas personas pasan junto a él.</v>
      </c>
    </row>
    <row r="35080">
      <c r="A35080" s="4" t="s">
        <v>44139</v>
      </c>
      <c r="B35080" s="4" t="s">
        <v>44142</v>
      </c>
      <c r="C35080" s="5" t="str">
        <f>IFERROR(__xludf.DUMMYFUNCTION("GOOGLETRANSLATE(B35080,""en"",""es-ES"")"),"Una motocicleta pasa por el camino.")</f>
        <v>Una motocicleta pasa por el camino.</v>
      </c>
    </row>
    <row r="35081">
      <c r="A35081" s="4" t="s">
        <v>44139</v>
      </c>
      <c r="B35081" s="4" t="s">
        <v>44143</v>
      </c>
      <c r="C35081" s="5" t="str">
        <f>IFERROR(__xludf.DUMMYFUNCTION("GOOGLETRANSLATE(B35081,""en"",""es-ES"")"),"El hombre baja el zapato y recoge otro para pulir.")</f>
        <v>El hombre baja el zapato y recoge otro para pulir.</v>
      </c>
    </row>
    <row r="35082">
      <c r="A35082" s="4" t="s">
        <v>44144</v>
      </c>
      <c r="B35082" s="4" t="s">
        <v>44145</v>
      </c>
      <c r="C35082" s="5" t="str">
        <f>IFERROR(__xludf.DUMMYFUNCTION("GOOGLETRANSLATE(B35082,""en"",""es-ES"")"),"Un hombre con un polo rojo demuestra el afilador Kleva Sharp.")</f>
        <v>Un hombre con un polo rojo demuestra el afilador Kleva Sharp.</v>
      </c>
    </row>
    <row r="35083">
      <c r="A35083" s="4" t="s">
        <v>44144</v>
      </c>
      <c r="B35083" s="4" t="s">
        <v>44146</v>
      </c>
      <c r="C35083" s="5" t="str">
        <f>IFERROR(__xludf.DUMMYFUNCTION("GOOGLETRANSLATE(B35083,""en"",""es-ES"")"),"Acarta un cuchillo de carnicero opaco y corta un tomate.")</f>
        <v>Acarta un cuchillo de carnicero opaco y corta un tomate.</v>
      </c>
    </row>
    <row r="35084">
      <c r="A35084" s="4" t="s">
        <v>44144</v>
      </c>
      <c r="B35084" s="4" t="s">
        <v>44147</v>
      </c>
      <c r="C35084" s="5" t="str">
        <f>IFERROR(__xludf.DUMMYFUNCTION("GOOGLETRANSLATE(B35084,""en"",""es-ES"")"),"El hombre de la camisa roja luego agudiza un cuchillo de carne aburrida y corta un tomate en rodajas y luego corta un pepino en rodajas.")</f>
        <v>El hombre de la camisa roja luego agudiza un cuchillo de carne aburrida y corta un tomate en rodajas y luego corta un pepino en rodajas.</v>
      </c>
    </row>
    <row r="35085">
      <c r="A35085" s="4" t="s">
        <v>44144</v>
      </c>
      <c r="B35085" s="4" t="s">
        <v>44148</v>
      </c>
      <c r="C35085" s="5" t="str">
        <f>IFERROR(__xludf.DUMMYFUNCTION("GOOGLETRANSLATE(B35085,""en"",""es-ES"")"),"El hombre que demuestra el afilador de kleva, agudiza un cortacésped de jardín y corta una zanahoria.")</f>
        <v>El hombre que demuestra el afilador de kleva, agudiza un cortacésped de jardín y corta una zanahoria.</v>
      </c>
    </row>
    <row r="35086">
      <c r="A35086" s="4" t="s">
        <v>44144</v>
      </c>
      <c r="B35086" s="4" t="s">
        <v>44149</v>
      </c>
      <c r="C35086" s="5" t="str">
        <f>IFERROR(__xludf.DUMMYFUNCTION("GOOGLETRANSLATE(B35086,""en"",""es-ES"")"),"El manifestante luego agudiza un cuchillo de pan en serie y corta una barra de pan.")</f>
        <v>El manifestante luego agudiza un cuchillo de pan en serie y corta una barra de pan.</v>
      </c>
    </row>
    <row r="35087">
      <c r="A35087" s="4" t="s">
        <v>44144</v>
      </c>
      <c r="B35087" s="4" t="s">
        <v>44150</v>
      </c>
      <c r="C35087" s="5" t="str">
        <f>IFERROR(__xludf.DUMMYFUNCTION("GOOGLETRANSLATE(B35087,""en"",""es-ES"")"),"Una serie de demostraciones de diferentes cuchillos que cortan diferentes alimentos.")</f>
        <v>Una serie de demostraciones de diferentes cuchillos que cortan diferentes alimentos.</v>
      </c>
    </row>
    <row r="35088">
      <c r="A35088" s="4" t="s">
        <v>44144</v>
      </c>
      <c r="B35088" s="4" t="s">
        <v>44151</v>
      </c>
      <c r="C35088" s="5" t="str">
        <f>IFERROR(__xludf.DUMMYFUNCTION("GOOGLETRANSLATE(B35088,""en"",""es-ES"")"),"El afilador de kleva se desmonta de la mesa y se almacena en un cajón de gabinete.")</f>
        <v>El afilador de kleva se desmonta de la mesa y se almacena en un cajón de gabinete.</v>
      </c>
    </row>
    <row r="35089">
      <c r="A35089" s="4" t="s">
        <v>44144</v>
      </c>
      <c r="B35089" s="4" t="s">
        <v>44152</v>
      </c>
      <c r="C35089" s="5" t="str">
        <f>IFERROR(__xludf.DUMMYFUNCTION("GOOGLETRANSLATE(B35089,""en"",""es-ES"")"),"El afilador de kleva está montado en el refrigerador en una pared y en la mesa.")</f>
        <v>El afilador de kleva está montado en el refrigerador en una pared y en la mesa.</v>
      </c>
    </row>
    <row r="35090">
      <c r="A35090" s="4" t="s">
        <v>44144</v>
      </c>
      <c r="B35090" s="4" t="s">
        <v>44153</v>
      </c>
      <c r="C35090" s="5" t="str">
        <f>IFERROR(__xludf.DUMMYFUNCTION("GOOGLETRANSLATE(B35090,""en"",""es-ES"")"),"Demuestra el mecanismo de bloqueo.")</f>
        <v>Demuestra el mecanismo de bloqueo.</v>
      </c>
    </row>
    <row r="35091">
      <c r="A35091" s="4" t="s">
        <v>44154</v>
      </c>
      <c r="B35091" s="4" t="s">
        <v>44155</v>
      </c>
      <c r="C35091" s="5" t="str">
        <f>IFERROR(__xludf.DUMMYFUNCTION("GOOGLETRANSLATE(B35091,""en"",""es-ES"")"),"Una mujer habla mientras está de pie junto a un entrenador elíptico.")</f>
        <v>Una mujer habla mientras está de pie junto a un entrenador elíptico.</v>
      </c>
    </row>
    <row r="35092">
      <c r="A35092" s="4" t="s">
        <v>44154</v>
      </c>
      <c r="B35092" s="4" t="s">
        <v>44156</v>
      </c>
      <c r="C35092" s="5" t="str">
        <f>IFERROR(__xludf.DUMMYFUNCTION("GOOGLETRANSLATE(B35092,""en"",""es-ES"")"),"Se muestra la mecánica de la máquina elíptica.")</f>
        <v>Se muestra la mecánica de la máquina elíptica.</v>
      </c>
    </row>
    <row r="35093">
      <c r="A35093" s="4" t="s">
        <v>44154</v>
      </c>
      <c r="B35093" s="4" t="s">
        <v>44157</v>
      </c>
      <c r="C35093" s="5" t="str">
        <f>IFERROR(__xludf.DUMMYFUNCTION("GOOGLETRANSLATE(B35093,""en"",""es-ES"")"),"Luego vemos a la mujer en la máquina, demostrando cómo funciona.")</f>
        <v>Luego vemos a la mujer en la máquina, demostrando cómo funciona.</v>
      </c>
    </row>
    <row r="35094">
      <c r="A35094" s="4" t="s">
        <v>44158</v>
      </c>
      <c r="B35094" s="4" t="s">
        <v>44159</v>
      </c>
      <c r="C35094" s="5" t="str">
        <f>IFERROR(__xludf.DUMMYFUNCTION("GOOGLETRANSLATE(B35094,""en"",""es-ES"")"),"Un hombre se muestra en una bicicleta que pase por la nieve.")</f>
        <v>Un hombre se muestra en una bicicleta que pase por la nieve.</v>
      </c>
    </row>
    <row r="35095">
      <c r="A35095" s="4" t="s">
        <v>44158</v>
      </c>
      <c r="B35095" s="4" t="s">
        <v>44160</v>
      </c>
      <c r="C35095" s="5" t="str">
        <f>IFERROR(__xludf.DUMMYFUNCTION("GOOGLETRANSLATE(B35095,""en"",""es-ES"")"),"Luego, otro grupo de personas montando en un carro a través de la nieve.")</f>
        <v>Luego, otro grupo de personas montando en un carro a través de la nieve.</v>
      </c>
    </row>
    <row r="35096">
      <c r="A35096" s="4" t="s">
        <v>44158</v>
      </c>
      <c r="B35096" s="4" t="s">
        <v>44161</v>
      </c>
      <c r="C35096" s="5" t="str">
        <f>IFERROR(__xludf.DUMMYFUNCTION("GOOGLETRANSLATE(B35096,""en"",""es-ES"")"),"Se representan tres esquiadores en la cima de una montaña de nieve y comienzan a esquiar.")</f>
        <v>Se representan tres esquiadores en la cima de una montaña de nieve y comienzan a esquiar.</v>
      </c>
    </row>
    <row r="35097">
      <c r="A35097" s="4" t="s">
        <v>44158</v>
      </c>
      <c r="B35097" s="4" t="s">
        <v>44162</v>
      </c>
      <c r="C35097" s="5" t="str">
        <f>IFERROR(__xludf.DUMMYFUNCTION("GOOGLETRANSLATE(B35097,""en"",""es-ES"")"),"Luego se critica un esquiador arriba y abajo sosteniendo un conjunto de esquís y personas en bicicletas de montaña y comienzan a correr.")</f>
        <v>Luego se critica un esquiador arriba y abajo sosteniendo un conjunto de esquís y personas en bicicletas de montaña y comienzan a correr.</v>
      </c>
    </row>
    <row r="35098">
      <c r="A35098" s="4" t="s">
        <v>44163</v>
      </c>
      <c r="B35098" s="4" t="s">
        <v>44164</v>
      </c>
      <c r="C35098" s="5" t="str">
        <f>IFERROR(__xludf.DUMMYFUNCTION("GOOGLETRANSLATE(B35098,""en"",""es-ES"")"),"Una mujer pone rodillos a una joven, peinando una porción del cabello y luego se enrolla sobre un rodillo.")</f>
        <v>Una mujer pone rodillos a una joven, peinando una porción del cabello y luego se enrolla sobre un rodillo.</v>
      </c>
    </row>
    <row r="35099">
      <c r="A35099" s="4" t="s">
        <v>44163</v>
      </c>
      <c r="B35099" s="4" t="s">
        <v>44165</v>
      </c>
      <c r="C35099" s="5" t="str">
        <f>IFERROR(__xludf.DUMMYFUNCTION("GOOGLETRANSLATE(B35099,""en"",""es-ES"")"),"La joven dama levanta su mano izquierda para pasar un rodillo a la mujer mientras toma.")</f>
        <v>La joven dama levanta su mano izquierda para pasar un rodillo a la mujer mientras toma.</v>
      </c>
    </row>
    <row r="35100">
      <c r="A35100" s="4" t="s">
        <v>44163</v>
      </c>
      <c r="B35100" s="4" t="s">
        <v>44166</v>
      </c>
      <c r="C35100" s="5" t="str">
        <f>IFERROR(__xludf.DUMMYFUNCTION("GOOGLETRANSLATE(B35100,""en"",""es-ES"")"),"La joven puso una toalla en la cara.")</f>
        <v>La joven puso una toalla en la cara.</v>
      </c>
    </row>
    <row r="35101">
      <c r="A35101" s="4" t="s">
        <v>44167</v>
      </c>
      <c r="B35101" s="4" t="s">
        <v>44168</v>
      </c>
      <c r="C35101" s="5" t="str">
        <f>IFERROR(__xludf.DUMMYFUNCTION("GOOGLETRANSLATE(B35101,""en"",""es-ES"")"),"Se muestran varias vistas de una máquina desde diferentes ángulos.")</f>
        <v>Se muestran varias vistas de una máquina desde diferentes ángulos.</v>
      </c>
    </row>
    <row r="35102">
      <c r="A35102" s="4" t="s">
        <v>44167</v>
      </c>
      <c r="B35102" s="4" t="s">
        <v>44169</v>
      </c>
      <c r="C35102" s="5" t="str">
        <f>IFERROR(__xludf.DUMMYFUNCTION("GOOGLETRANSLATE(B35102,""en"",""es-ES"")"),"Una mujer usa un accesorio para chupar las arrugas de una camisa.")</f>
        <v>Una mujer usa un accesorio para chupar las arrugas de una camisa.</v>
      </c>
    </row>
    <row r="35103">
      <c r="A35103" s="4" t="s">
        <v>44167</v>
      </c>
      <c r="B35103" s="4" t="s">
        <v>44170</v>
      </c>
      <c r="C35103" s="5" t="str">
        <f>IFERROR(__xludf.DUMMYFUNCTION("GOOGLETRANSLATE(B35103,""en"",""es-ES"")"),"Luego cuelga un par de pantalones, y le permite suave, creando un pliegue.")</f>
        <v>Luego cuelga un par de pantalones, y le permite suave, creando un pliegue.</v>
      </c>
    </row>
    <row r="35104">
      <c r="A35104" s="4" t="s">
        <v>44171</v>
      </c>
      <c r="B35104" s="4" t="s">
        <v>44172</v>
      </c>
      <c r="C35104" s="5" t="str">
        <f>IFERROR(__xludf.DUMMYFUNCTION("GOOGLETRANSLATE(B35104,""en"",""es-ES"")"),"Vemos a un hombre en la esquina superior y fuera sobre el capó de un automóvil mientras conduce.")</f>
        <v>Vemos a un hombre en la esquina superior y fuera sobre el capó de un automóvil mientras conduce.</v>
      </c>
    </row>
    <row r="35105">
      <c r="A35105" s="4" t="s">
        <v>44171</v>
      </c>
      <c r="B35105" s="4" t="s">
        <v>44173</v>
      </c>
      <c r="C35105" s="5" t="str">
        <f>IFERROR(__xludf.DUMMYFUNCTION("GOOGLETRANSLATE(B35105,""en"",""es-ES"")"),"El auto se detiene en una intersección.")</f>
        <v>El auto se detiene en una intersección.</v>
      </c>
    </row>
    <row r="35106">
      <c r="A35106" s="4" t="s">
        <v>44171</v>
      </c>
      <c r="B35106" s="4" t="s">
        <v>44174</v>
      </c>
      <c r="C35106" s="5" t="str">
        <f>IFERROR(__xludf.DUMMYFUNCTION("GOOGLETRANSLATE(B35106,""en"",""es-ES"")"),"El auto hace un giro en U.")</f>
        <v>El auto hace un giro en U.</v>
      </c>
    </row>
    <row r="35107">
      <c r="A35107" s="4" t="s">
        <v>44171</v>
      </c>
      <c r="B35107" s="4" t="s">
        <v>44175</v>
      </c>
      <c r="C35107" s="5" t="str">
        <f>IFERROR(__xludf.DUMMYFUNCTION("GOOGLETRANSLATE(B35107,""en"",""es-ES"")"),"El hombre conduce a un lavado de autos y sale.")</f>
        <v>El hombre conduce a un lavado de autos y sale.</v>
      </c>
    </row>
    <row r="35108">
      <c r="A35108" s="4" t="s">
        <v>44171</v>
      </c>
      <c r="B35108" s="4" t="s">
        <v>44176</v>
      </c>
      <c r="C35108" s="5" t="str">
        <f>IFERROR(__xludf.DUMMYFUNCTION("GOOGLETRANSLATE(B35108,""en"",""es-ES"")"),"La presión del hombre lava el hielo de su auto y continúa enjuagando su auto.")</f>
        <v>La presión del hombre lava el hielo de su auto y continúa enjuagando su auto.</v>
      </c>
    </row>
    <row r="35109">
      <c r="A35109" s="4" t="s">
        <v>44171</v>
      </c>
      <c r="B35109" s="4" t="s">
        <v>44177</v>
      </c>
      <c r="C35109" s="5" t="str">
        <f>IFERROR(__xludf.DUMMYFUNCTION("GOOGLETRANSLATE(B35109,""en"",""es-ES"")"),"El hombre muestra su auto mojado.")</f>
        <v>El hombre muestra su auto mojado.</v>
      </c>
    </row>
    <row r="35110">
      <c r="A35110" s="4" t="s">
        <v>44178</v>
      </c>
      <c r="B35110" s="4" t="s">
        <v>44179</v>
      </c>
      <c r="C35110" s="5" t="str">
        <f>IFERROR(__xludf.DUMMYFUNCTION("GOOGLETRANSLATE(B35110,""en"",""es-ES"")"),"El hombre está hablando con la cámara es un día nevado fuera de una casa.")</f>
        <v>El hombre está hablando con la cámara es un día nevado fuera de una casa.</v>
      </c>
    </row>
    <row r="35111">
      <c r="A35111" s="4" t="s">
        <v>44178</v>
      </c>
      <c r="B35111" s="4" t="s">
        <v>44180</v>
      </c>
      <c r="C35111" s="5" t="str">
        <f>IFERROR(__xludf.DUMMYFUNCTION("GOOGLETRANSLATE(B35111,""en"",""es-ES"")"),"El hombre sostiene una pala y limpia el camino de la nieve.")</f>
        <v>El hombre sostiene una pala y limpia el camino de la nieve.</v>
      </c>
    </row>
    <row r="35112">
      <c r="A35112" s="4" t="s">
        <v>44178</v>
      </c>
      <c r="B35112" s="4" t="s">
        <v>44181</v>
      </c>
      <c r="C35112" s="5" t="str">
        <f>IFERROR(__xludf.DUMMYFUNCTION("GOOGLETRANSLATE(B35112,""en"",""es-ES"")"),"Pequeño niño lleva ropa de nieve roja y está de pie a NXT a un automóvil.")</f>
        <v>Pequeño niño lleva ropa de nieve roja y está de pie a NXT a un automóvil.</v>
      </c>
    </row>
    <row r="35113">
      <c r="A35113" s="4" t="s">
        <v>44178</v>
      </c>
      <c r="B35113" s="4" t="s">
        <v>44182</v>
      </c>
      <c r="C35113" s="5" t="str">
        <f>IFERROR(__xludf.DUMMYFUNCTION("GOOGLETRANSLATE(B35113,""en"",""es-ES"")"),"El hombre se detiene y nuevamente está hablando con la cámara con la pala en sus manos.")</f>
        <v>El hombre se detiene y nuevamente está hablando con la cámara con la pala en sus manos.</v>
      </c>
    </row>
    <row r="35114">
      <c r="A35114" s="4" t="s">
        <v>44183</v>
      </c>
      <c r="B35114" s="4" t="s">
        <v>44184</v>
      </c>
      <c r="C35114" s="5" t="str">
        <f>IFERROR(__xludf.DUMMYFUNCTION("GOOGLETRANSLATE(B35114,""en"",""es-ES"")"),"Una dama con una camiseta sin mangas negra da instrucciones sobre cómo secar el cabello de una niña con una camiseta azul.")</f>
        <v>Una dama con una camiseta sin mangas negra da instrucciones sobre cómo secar el cabello de una niña con una camiseta azul.</v>
      </c>
    </row>
    <row r="35115">
      <c r="A35115" s="4" t="s">
        <v>44183</v>
      </c>
      <c r="B35115" s="4" t="s">
        <v>44185</v>
      </c>
      <c r="C35115" s="5" t="str">
        <f>IFERROR(__xludf.DUMMYFUNCTION("GOOGLETRANSLATE(B35115,""en"",""es-ES"")"),"El estilista primero coloca un líquido en su mano y lo frota en el cabello de las modelos y luego cepilla el cabello de los clientes.")</f>
        <v>El estilista primero coloca un líquido en su mano y lo frota en el cabello de las modelos y luego cepilla el cabello de los clientes.</v>
      </c>
    </row>
    <row r="35116">
      <c r="A35116" s="4" t="s">
        <v>44183</v>
      </c>
      <c r="B35116" s="4" t="s">
        <v>44186</v>
      </c>
      <c r="C35116" s="5" t="str">
        <f>IFERROR(__xludf.DUMMYFUNCTION("GOOGLETRANSLATE(B35116,""en"",""es-ES"")"),"La señora en la camiseta de tanque negra usa el secador de soplado mientras peina el cabello con un cepillo.")</f>
        <v>La señora en la camiseta de tanque negra usa el secador de soplado mientras peina el cabello con un cepillo.</v>
      </c>
    </row>
    <row r="35117">
      <c r="A35117" s="4" t="s">
        <v>44183</v>
      </c>
      <c r="B35117" s="4" t="s">
        <v>44187</v>
      </c>
      <c r="C35117" s="5" t="str">
        <f>IFERROR(__xludf.DUMMYFUNCTION("GOOGLETRANSLATE(B35117,""en"",""es-ES"")"),"Escenas del producto terminado que muestra vistas laterales y respaldos del cabello de los modelos.")</f>
        <v>Escenas del producto terminado que muestra vistas laterales y respaldos del cabello de los modelos.</v>
      </c>
    </row>
    <row r="35118">
      <c r="A35118" s="4" t="s">
        <v>44188</v>
      </c>
      <c r="B35118" s="4" t="s">
        <v>44189</v>
      </c>
      <c r="C35118" s="5" t="str">
        <f>IFERROR(__xludf.DUMMYFUNCTION("GOOGLETRANSLATE(B35118,""en"",""es-ES"")"),"Se ve a una mujer moviéndose hacia arriba y hacia abajo en una barra de ejercicios, mientras que se muestran varios disparos de su ejercicio.")</f>
        <v>Se ve a una mujer moviéndose hacia arriba y hacia abajo en una barra de ejercicios, mientras que se muestran varios disparos de su ejercicio.</v>
      </c>
    </row>
    <row r="35119">
      <c r="A35119" s="4" t="s">
        <v>44188</v>
      </c>
      <c r="B35119" s="4" t="s">
        <v>44190</v>
      </c>
      <c r="C35119" s="5" t="str">
        <f>IFERROR(__xludf.DUMMYFUNCTION("GOOGLETRANSLATE(B35119,""en"",""es-ES"")"),"Se ha mostrado nuevamente sosteniendo pesas y haciendo ejercicios mientras está de pie en la viga y se tumba.")</f>
        <v>Se ha mostrado nuevamente sosteniendo pesas y haciendo ejercicios mientras está de pie en la viga y se tumba.</v>
      </c>
    </row>
    <row r="35120">
      <c r="A35120" s="4" t="s">
        <v>44191</v>
      </c>
      <c r="B35120" s="4" t="s">
        <v>44192</v>
      </c>
      <c r="C35120" s="5" t="str">
        <f>IFERROR(__xludf.DUMMYFUNCTION("GOOGLETRANSLATE(B35120,""en"",""es-ES"")"),"El hombre está sentado en un asiento del auto mirando por la ventana.")</f>
        <v>El hombre está sentado en un asiento del auto mirando por la ventana.</v>
      </c>
    </row>
    <row r="35121">
      <c r="A35121" s="4" t="s">
        <v>44191</v>
      </c>
      <c r="B35121" s="4" t="s">
        <v>44193</v>
      </c>
      <c r="C35121" s="5" t="str">
        <f>IFERROR(__xludf.DUMMYFUNCTION("GOOGLETRANSLATE(B35121,""en"",""es-ES"")"),"El hombre está snowboard en pendiente nevada haciendo saltos de altura.")</f>
        <v>El hombre está snowboard en pendiente nevada haciendo saltos de altura.</v>
      </c>
    </row>
    <row r="35122">
      <c r="A35122" s="4" t="s">
        <v>44191</v>
      </c>
      <c r="B35122" s="4" t="s">
        <v>44194</v>
      </c>
      <c r="C35122" s="5" t="str">
        <f>IFERROR(__xludf.DUMMYFUNCTION("GOOGLETRANSLATE(B35122,""en"",""es-ES"")"),"Los hombres están en una habitación oscura con macetas.")</f>
        <v>Los hombres están en una habitación oscura con macetas.</v>
      </c>
    </row>
    <row r="35123">
      <c r="A35123" s="4" t="s">
        <v>44195</v>
      </c>
      <c r="B35123" s="4" t="s">
        <v>25249</v>
      </c>
      <c r="C35123" s="5" t="str">
        <f>IFERROR(__xludf.DUMMYFUNCTION("GOOGLETRANSLATE(B35123,""en"",""es-ES"")"),"Se muestran los créditos de los clips.")</f>
        <v>Se muestran los créditos de los clips.</v>
      </c>
    </row>
    <row r="35124">
      <c r="A35124" s="4" t="s">
        <v>44195</v>
      </c>
      <c r="B35124" s="4" t="s">
        <v>44196</v>
      </c>
      <c r="C35124" s="5" t="str">
        <f>IFERROR(__xludf.DUMMYFUNCTION("GOOGLETRANSLATE(B35124,""en"",""es-ES"")"),"Los chicos practican Polo Sport en una arena de tierra.")</f>
        <v>Los chicos practican Polo Sport en una arena de tierra.</v>
      </c>
    </row>
    <row r="35125">
      <c r="A35125" s="4" t="s">
        <v>44195</v>
      </c>
      <c r="B35125" s="4" t="s">
        <v>573</v>
      </c>
      <c r="C35125" s="5" t="str">
        <f>IFERROR(__xludf.DUMMYFUNCTION("GOOGLETRANSLATE(B35125,""en"",""es-ES"")"),"Se muestran los créditos del video.")</f>
        <v>Se muestran los créditos del video.</v>
      </c>
    </row>
    <row r="35126">
      <c r="A35126" s="4" t="s">
        <v>44197</v>
      </c>
      <c r="B35126" s="4" t="s">
        <v>44198</v>
      </c>
      <c r="C35126" s="5" t="str">
        <f>IFERROR(__xludf.DUMMYFUNCTION("GOOGLETRANSLATE(B35126,""en"",""es-ES"")"),"Una introducción conduce a un segmento de Fox News con dos presentadores hablando.")</f>
        <v>Una introducción conduce a un segmento de Fox News con dos presentadores hablando.</v>
      </c>
    </row>
    <row r="35127">
      <c r="A35127" s="4" t="s">
        <v>44197</v>
      </c>
      <c r="B35127" s="4" t="s">
        <v>44199</v>
      </c>
      <c r="C35127" s="5" t="str">
        <f>IFERROR(__xludf.DUMMYFUNCTION("GOOGLETRANSLATE(B35127,""en"",""es-ES"")"),"Luego se entrevista a una mujer seguida de varias fotos de hongos y personas que hablan entre sí.")</f>
        <v>Luego se entrevista a una mujer seguida de varias fotos de hongos y personas que hablan entre sí.</v>
      </c>
    </row>
    <row r="35128">
      <c r="A35128" s="4" t="s">
        <v>44197</v>
      </c>
      <c r="B35128" s="4" t="s">
        <v>44200</v>
      </c>
      <c r="C35128" s="5" t="str">
        <f>IFERROR(__xludf.DUMMYFUNCTION("GOOGLETRANSLATE(B35128,""en"",""es-ES"")"),"Un médico examina a un hombre y entrevista a la cámara seguida de personas que usan productos para el hogar y entrevistando al reportero.")</f>
        <v>Un médico examina a un hombre y entrevista a la cámara seguida de personas que usan productos para el hogar y entrevistando al reportero.</v>
      </c>
    </row>
    <row r="35129">
      <c r="A35129" s="4" t="s">
        <v>44201</v>
      </c>
      <c r="B35129" s="4" t="s">
        <v>1828</v>
      </c>
      <c r="C35129" s="5" t="str">
        <f>IFERROR(__xludf.DUMMYFUNCTION("GOOGLETRANSLATE(B35129,""en"",""es-ES"")"),"Vemos una pantalla de apertura en blanco.")</f>
        <v>Vemos una pantalla de apertura en blanco.</v>
      </c>
    </row>
    <row r="35130">
      <c r="A35130" s="4" t="s">
        <v>44201</v>
      </c>
      <c r="B35130" s="4" t="s">
        <v>44202</v>
      </c>
      <c r="C35130" s="5" t="str">
        <f>IFERROR(__xludf.DUMMYFUNCTION("GOOGLETRANSLATE(B35130,""en"",""es-ES"")"),"Vemos a una dama sentada en el piso con un zapato, un cubo de agua, cepillo y jabón.")</f>
        <v>Vemos a una dama sentada en el piso con un zapato, un cubo de agua, cepillo y jabón.</v>
      </c>
    </row>
    <row r="35131">
      <c r="A35131" s="4" t="s">
        <v>44201</v>
      </c>
      <c r="B35131" s="4" t="s">
        <v>44203</v>
      </c>
      <c r="C35131" s="5" t="str">
        <f>IFERROR(__xludf.DUMMYFUNCTION("GOOGLETRANSLATE(B35131,""en"",""es-ES"")"),"La señora nos muestra los artículos uno a la vez.")</f>
        <v>La señora nos muestra los artículos uno a la vez.</v>
      </c>
    </row>
    <row r="35132">
      <c r="A35132" s="4" t="s">
        <v>44201</v>
      </c>
      <c r="B35132" s="4" t="s">
        <v>44204</v>
      </c>
      <c r="C35132" s="5" t="str">
        <f>IFERROR(__xludf.DUMMYFUNCTION("GOOGLETRANSLATE(B35132,""en"",""es-ES"")"),"Vemos una ilustración de un termómetro.")</f>
        <v>Vemos una ilustración de un termómetro.</v>
      </c>
    </row>
    <row r="35133">
      <c r="A35133" s="4" t="s">
        <v>44201</v>
      </c>
      <c r="B35133" s="4" t="s">
        <v>44205</v>
      </c>
      <c r="C35133" s="5" t="str">
        <f>IFERROR(__xludf.DUMMYFUNCTION("GOOGLETRANSLATE(B35133,""en"",""es-ES"")"),"Vemos una ilustración de una lavadora.")</f>
        <v>Vemos una ilustración de una lavadora.</v>
      </c>
    </row>
    <row r="35134">
      <c r="A35134" s="4" t="s">
        <v>44201</v>
      </c>
      <c r="B35134" s="4" t="s">
        <v>44206</v>
      </c>
      <c r="C35134" s="5" t="str">
        <f>IFERROR(__xludf.DUMMYFUNCTION("GOOGLETRANSLATE(B35134,""en"",""es-ES"")"),"La señora pone su zapato en el cubo y lo frota con un cepillo.")</f>
        <v>La señora pone su zapato en el cubo y lo frota con un cepillo.</v>
      </c>
    </row>
    <row r="35135">
      <c r="A35135" s="4" t="s">
        <v>44201</v>
      </c>
      <c r="B35135" s="4" t="s">
        <v>44207</v>
      </c>
      <c r="C35135" s="5" t="str">
        <f>IFERROR(__xludf.DUMMYFUNCTION("GOOGLETRANSLATE(B35135,""en"",""es-ES"")"),"Ella nos muestra el zapato ya limpiado.")</f>
        <v>Ella nos muestra el zapato ya limpiado.</v>
      </c>
    </row>
    <row r="35136">
      <c r="A35136" s="4" t="s">
        <v>44201</v>
      </c>
      <c r="B35136" s="4" t="s">
        <v>44208</v>
      </c>
      <c r="C35136" s="5" t="str">
        <f>IFERROR(__xludf.DUMMYFUNCTION("GOOGLETRANSLATE(B35136,""en"",""es-ES"")"),"Vemos una ilustración del radiador.")</f>
        <v>Vemos una ilustración del radiador.</v>
      </c>
    </row>
    <row r="35137">
      <c r="A35137" s="4" t="s">
        <v>44201</v>
      </c>
      <c r="B35137" s="4" t="s">
        <v>44209</v>
      </c>
      <c r="C35137" s="5" t="str">
        <f>IFERROR(__xludf.DUMMYFUNCTION("GOOGLETRANSLATE(B35137,""en"",""es-ES"")"),"La señora recoge el jabón y vemos una ilustración de un estante.")</f>
        <v>La señora recoge el jabón y vemos una ilustración de un estante.</v>
      </c>
    </row>
    <row r="35138">
      <c r="A35138" s="4" t="s">
        <v>44201</v>
      </c>
      <c r="B35138" s="4" t="s">
        <v>44210</v>
      </c>
      <c r="C35138" s="5" t="str">
        <f>IFERROR(__xludf.DUMMYFUNCTION("GOOGLETRANSLATE(B35138,""en"",""es-ES"")"),"Se reproduce la pantalla del título final.")</f>
        <v>Se reproduce la pantalla del título final.</v>
      </c>
    </row>
    <row r="35139">
      <c r="A35139" s="4" t="s">
        <v>44211</v>
      </c>
      <c r="B35139" s="4" t="s">
        <v>44212</v>
      </c>
      <c r="C35139" s="5" t="str">
        <f>IFERROR(__xludf.DUMMYFUNCTION("GOOGLETRANSLATE(B35139,""en"",""es-ES"")"),"Una mujer y su hijo están fuera de una cabaña sentada en una mesa de madera hablando entre sí.")</f>
        <v>Una mujer y su hijo están fuera de una cabaña sentada en una mesa de madera hablando entre sí.</v>
      </c>
    </row>
    <row r="35140">
      <c r="A35140" s="4" t="s">
        <v>44211</v>
      </c>
      <c r="B35140" s="4" t="s">
        <v>44213</v>
      </c>
      <c r="C35140" s="5" t="str">
        <f>IFERROR(__xludf.DUMMYFUNCTION("GOOGLETRANSLATE(B35140,""en"",""es-ES"")"),"La cámara luego se muestra en la cabaña y se muestra una gran montaña de nieve.")</f>
        <v>La cámara luego se muestra en la cabaña y se muestra una gran montaña de nieve.</v>
      </c>
    </row>
    <row r="35141">
      <c r="A35141" s="4" t="s">
        <v>44211</v>
      </c>
      <c r="B35141" s="4" t="s">
        <v>44214</v>
      </c>
      <c r="C35141" s="5" t="str">
        <f>IFERROR(__xludf.DUMMYFUNCTION("GOOGLETRANSLATE(B35141,""en"",""es-ES"")"),"Después, la mujer y su hija son vistas en un ascensor de esquí de pie con grandes tubos de rosquilla que siguen detrás de ellos.")</f>
        <v>Después, la mujer y su hija son vistas en un ascensor de esquí de pie con grandes tubos de rosquilla que siguen detrás de ellos.</v>
      </c>
    </row>
    <row r="35142">
      <c r="A35142" s="4" t="s">
        <v>44211</v>
      </c>
      <c r="B35142" s="4" t="s">
        <v>44215</v>
      </c>
      <c r="C35142" s="5" t="str">
        <f>IFERROR(__xludf.DUMMYFUNCTION("GOOGLETRANSLATE(B35142,""en"",""es-ES"")"),"Una vez que están en la parte superior, entran en los tubos y corren hacia la parte inferior junto con otras personas que también están en el lugar.")</f>
        <v>Una vez que están en la parte superior, entran en los tubos y corren hacia la parte inferior junto con otras personas que también están en el lugar.</v>
      </c>
    </row>
    <row r="35143">
      <c r="A35143" s="4" t="s">
        <v>44216</v>
      </c>
      <c r="B35143" s="4" t="s">
        <v>44217</v>
      </c>
      <c r="C35143" s="5" t="str">
        <f>IFERROR(__xludf.DUMMYFUNCTION("GOOGLETRANSLATE(B35143,""en"",""es-ES"")"),"Se ve a un hombre parado frente a un tablero de tiza sosteniendo un instrumento musical y la transición al tablero de tiza de vez en cuando.")</f>
        <v>Se ve a un hombre parado frente a un tablero de tiza sosteniendo un instrumento musical y la transición al tablero de tiza de vez en cuando.</v>
      </c>
    </row>
    <row r="35144">
      <c r="A35144" s="4" t="s">
        <v>44216</v>
      </c>
      <c r="B35144" s="4" t="s">
        <v>44218</v>
      </c>
      <c r="C35144" s="5" t="str">
        <f>IFERROR(__xludf.DUMMYFUNCTION("GOOGLETRANSLATE(B35144,""en"",""es-ES"")"),"La mano de una persona se ve usando un iPod seguido de más tomas de la persona que habla y escribe en un artículo.")</f>
        <v>La mano de una persona se ve usando un iPod seguido de más tomas de la persona que habla y escribe en un artículo.</v>
      </c>
    </row>
    <row r="35145">
      <c r="A35145" s="4" t="s">
        <v>44216</v>
      </c>
      <c r="B35145" s="4" t="s">
        <v>44219</v>
      </c>
      <c r="C35145" s="5" t="str">
        <f>IFERROR(__xludf.DUMMYFUNCTION("GOOGLETRANSLATE(B35145,""en"",""es-ES"")"),"El hombre luego toca el instrumento mientras la cámara lo captura desde varios ángulos mientras se detiene para hablar.")</f>
        <v>El hombre luego toca el instrumento mientras la cámara lo captura desde varios ángulos mientras se detiene para hablar.</v>
      </c>
    </row>
    <row r="35146">
      <c r="A35146" s="4" t="s">
        <v>44220</v>
      </c>
      <c r="B35146" s="4" t="s">
        <v>44221</v>
      </c>
      <c r="C35146" s="5" t="str">
        <f>IFERROR(__xludf.DUMMYFUNCTION("GOOGLETRANSLATE(B35146,""en"",""es-ES"")"),"Un hombre con camisa blanca y pantalones cortos grises está parado en el centro de la cancha, mientras que los jóvenes con blusa y pantalones cortos negros están parados detrás de él.")</f>
        <v>Un hombre con camisa blanca y pantalones cortos grises está parado en el centro de la cancha, mientras que los jóvenes con blusa y pantalones cortos negros están parados detrás de él.</v>
      </c>
    </row>
    <row r="35147">
      <c r="A35147" s="4" t="s">
        <v>44220</v>
      </c>
      <c r="B35147" s="4" t="s">
        <v>44222</v>
      </c>
      <c r="C35147" s="5" t="str">
        <f>IFERROR(__xludf.DUMMYFUNCTION("GOOGLETRANSLATE(B35147,""en"",""es-ES"")"),"Los jóvenes donde están de pie en forma de triángulo, el joven en el centro comienza a actuar al tener los brazos en alto y luego saltar y volver a hacerlo y algunas de las chicas siguieron lo que él está haciendo.")</f>
        <v>Los jóvenes donde están de pie en forma de triángulo, el joven en el centro comienza a actuar al tener los brazos en alto y luego saltar y volver a hacerlo y algunas de las chicas siguieron lo que él está haciendo.</v>
      </c>
    </row>
    <row r="35148">
      <c r="A35148" s="4" t="s">
        <v>44223</v>
      </c>
      <c r="B35148" s="4" t="s">
        <v>44224</v>
      </c>
      <c r="C35148" s="5" t="str">
        <f>IFERROR(__xludf.DUMMYFUNCTION("GOOGLETRANSLATE(B35148,""en"",""es-ES"")"),"Una mujer está sentada sosteniendo un violín.")</f>
        <v>Una mujer está sentada sosteniendo un violín.</v>
      </c>
    </row>
    <row r="35149">
      <c r="A35149" s="4" t="s">
        <v>44223</v>
      </c>
      <c r="B35149" s="4" t="s">
        <v>44225</v>
      </c>
      <c r="C35149" s="5" t="str">
        <f>IFERROR(__xludf.DUMMYFUNCTION("GOOGLETRANSLATE(B35149,""en"",""es-ES"")"),"Ella levanta el violín y comienza a jugarlo.")</f>
        <v>Ella levanta el violín y comienza a jugarlo.</v>
      </c>
    </row>
    <row r="35150">
      <c r="A35150" s="4" t="s">
        <v>44223</v>
      </c>
      <c r="B35150" s="4" t="s">
        <v>44226</v>
      </c>
      <c r="C35150" s="5" t="str">
        <f>IFERROR(__xludf.DUMMYFUNCTION("GOOGLETRANSLATE(B35150,""en"",""es-ES"")"),"Ella termina y baja el violín.")</f>
        <v>Ella termina y baja el violín.</v>
      </c>
    </row>
    <row r="35151">
      <c r="A35151" s="4" t="s">
        <v>44227</v>
      </c>
      <c r="B35151" s="4" t="s">
        <v>44228</v>
      </c>
      <c r="C35151" s="5" t="str">
        <f>IFERROR(__xludf.DUMMYFUNCTION("GOOGLETRANSLATE(B35151,""en"",""es-ES"")"),"Se ve a un gran grupo de personas entrando en una oficina y entrevistando a un hombre en la televisión.")</f>
        <v>Se ve a un gran grupo de personas entrando en una oficina y entrevistando a un hombre en la televisión.</v>
      </c>
    </row>
    <row r="35152">
      <c r="A35152" s="4" t="s">
        <v>44227</v>
      </c>
      <c r="B35152" s="4" t="s">
        <v>44229</v>
      </c>
      <c r="C35152" s="5" t="str">
        <f>IFERROR(__xludf.DUMMYFUNCTION("GOOGLETRANSLATE(B35152,""en"",""es-ES"")"),"Muchas personas están viendo la entrevista y un hombre habla con una mujer enojada.")</f>
        <v>Muchas personas están viendo la entrevista y un hombre habla con una mujer enojada.</v>
      </c>
    </row>
    <row r="35153">
      <c r="A35153" s="4" t="s">
        <v>44227</v>
      </c>
      <c r="B35153" s="4" t="s">
        <v>44230</v>
      </c>
      <c r="C35153" s="5" t="str">
        <f>IFERROR(__xludf.DUMMYFUNCTION("GOOGLETRANSLATE(B35153,""en"",""es-ES"")"),"La mujer golpea al hombre y se ve a más personas caminando y hablando.")</f>
        <v>La mujer golpea al hombre y se ve a más personas caminando y hablando.</v>
      </c>
    </row>
    <row r="35154">
      <c r="A35154" s="4" t="s">
        <v>44227</v>
      </c>
      <c r="B35154" s="4" t="s">
        <v>44231</v>
      </c>
      <c r="C35154" s="5" t="str">
        <f>IFERROR(__xludf.DUMMYFUNCTION("GOOGLETRANSLATE(B35154,""en"",""es-ES"")"),"La gente entra a un bar y comienza a jugar al billar y hablando.")</f>
        <v>La gente entra a un bar y comienza a jugar al billar y hablando.</v>
      </c>
    </row>
    <row r="35155">
      <c r="A35155" s="4" t="s">
        <v>44232</v>
      </c>
      <c r="B35155" s="4" t="s">
        <v>44233</v>
      </c>
      <c r="C35155" s="5" t="str">
        <f>IFERROR(__xludf.DUMMYFUNCTION("GOOGLETRANSLATE(B35155,""en"",""es-ES"")"),"Se ve a un pequeño grupo de mujeres de pie alrededor de una cocina con un ingrediente revolvente en una olla grande.")</f>
        <v>Se ve a un pequeño grupo de mujeres de pie alrededor de una cocina con un ingrediente revolvente en una olla grande.</v>
      </c>
    </row>
    <row r="35156">
      <c r="A35156" s="4" t="s">
        <v>44232</v>
      </c>
      <c r="B35156" s="4" t="s">
        <v>44234</v>
      </c>
      <c r="C35156" s="5" t="str">
        <f>IFERROR(__xludf.DUMMYFUNCTION("GOOGLETRANSLATE(B35156,""en"",""es-ES"")"),"Otra mujer camina en el marco cuando una mujer se vierte más en el tazón y lo mezcla.")</f>
        <v>Otra mujer camina en el marco cuando una mujer se vierte más en el tazón y lo mezcla.</v>
      </c>
    </row>
    <row r="35157">
      <c r="A35157" s="4" t="s">
        <v>44232</v>
      </c>
      <c r="B35157" s="4" t="s">
        <v>44235</v>
      </c>
      <c r="C35157" s="5" t="str">
        <f>IFERROR(__xludf.DUMMYFUNCTION("GOOGLETRANSLATE(B35157,""en"",""es-ES"")"),"Ella entrega una cucharada para que una niña intente y otra quita el tazón de la mesa.")</f>
        <v>Ella entrega una cucharada para que una niña intente y otra quita el tazón de la mesa.</v>
      </c>
    </row>
    <row r="35158">
      <c r="A35158" s="4" t="s">
        <v>44236</v>
      </c>
      <c r="B35158" s="4" t="s">
        <v>44237</v>
      </c>
      <c r="C35158" s="5" t="str">
        <f>IFERROR(__xludf.DUMMYFUNCTION("GOOGLETRANSLATE(B35158,""en"",""es-ES"")"),"Se ve a un hombre con los ojos vendados mientras sostiene un palo y otros dos a su alrededor.")</f>
        <v>Se ve a un hombre con los ojos vendados mientras sostiene un palo y otros dos a su alrededor.</v>
      </c>
    </row>
    <row r="35159">
      <c r="A35159" s="4" t="s">
        <v>44236</v>
      </c>
      <c r="B35159" s="4" t="s">
        <v>44238</v>
      </c>
      <c r="C35159" s="5" t="str">
        <f>IFERROR(__xludf.DUMMYFUNCTION("GOOGLETRANSLATE(B35159,""en"",""es-ES"")"),"El hombre luego se balancea violentamente en la piadata cuando alguien la mueve más alto y luego deja caer la piñata justo encima de su cabeza.")</f>
        <v>El hombre luego se balancea violentamente en la piadata cuando alguien la mueve más alto y luego deja caer la piñata justo encima de su cabeza.</v>
      </c>
    </row>
    <row r="35160">
      <c r="A35160" s="4" t="s">
        <v>44239</v>
      </c>
      <c r="B35160" s="4" t="s">
        <v>44240</v>
      </c>
      <c r="C35160" s="5" t="str">
        <f>IFERROR(__xludf.DUMMYFUNCTION("GOOGLETRANSLATE(B35160,""en"",""es-ES"")"),"El video trata sobre un tutorial de tenis y taladro de Edgar Giffenig.")</f>
        <v>El video trata sobre un tutorial de tenis y taladro de Edgar Giffenig.</v>
      </c>
    </row>
    <row r="35161">
      <c r="A35161" s="4" t="s">
        <v>44239</v>
      </c>
      <c r="B35161" s="4" t="s">
        <v>44241</v>
      </c>
      <c r="C35161" s="5" t="str">
        <f>IFERROR(__xludf.DUMMYFUNCTION("GOOGLETRANSLATE(B35161,""en"",""es-ES"")"),"Hay dos jugadoras de tenis en una cancha de arcilla que están demostrando cómo arrojar la pelota al tanto al compañero.")</f>
        <v>Hay dos jugadoras de tenis en una cancha de arcilla que están demostrando cómo arrojar la pelota al tanto al compañero.</v>
      </c>
    </row>
    <row r="35162">
      <c r="A35162" s="4" t="s">
        <v>44239</v>
      </c>
      <c r="B35162" s="4" t="s">
        <v>44242</v>
      </c>
      <c r="C35162" s="5" t="str">
        <f>IFERROR(__xludf.DUMMYFUNCTION("GOOGLETRANSLATE(B35162,""en"",""es-ES"")"),"El jugador se está arrastrando detrás de la red y poniendo la raqueta al revés entre los tiros.")</f>
        <v>El jugador se está arrastrando detrás de la red y poniendo la raqueta al revés entre los tiros.</v>
      </c>
    </row>
    <row r="35163">
      <c r="A35163" s="4" t="s">
        <v>44239</v>
      </c>
      <c r="B35163" s="4" t="s">
        <v>44243</v>
      </c>
      <c r="C35163" s="5" t="str">
        <f>IFERROR(__xludf.DUMMYFUNCTION("GOOGLETRANSLATE(B35163,""en"",""es-ES"")"),"Luego, los jugadores demuestran otro simulacro mientras barajan en la cancha de tenis entre tiros y devuelven las bolas.")</f>
        <v>Luego, los jugadores demuestran otro simulacro mientras barajan en la cancha de tenis entre tiros y devuelven las bolas.</v>
      </c>
    </row>
    <row r="35164">
      <c r="A35164" s="4" t="s">
        <v>44239</v>
      </c>
      <c r="B35164" s="4" t="s">
        <v>44244</v>
      </c>
      <c r="C35164" s="5" t="str">
        <f>IFERROR(__xludf.DUMMYFUNCTION("GOOGLETRANSLATE(B35164,""en"",""es-ES"")"),"El jugador rebota en la pelota con la punta del mango de raqueta.")</f>
        <v>El jugador rebota en la pelota con la punta del mango de raqueta.</v>
      </c>
    </row>
    <row r="35165">
      <c r="A35165" s="4" t="s">
        <v>44239</v>
      </c>
      <c r="B35165" s="4" t="s">
        <v>44245</v>
      </c>
      <c r="C35165" s="5" t="str">
        <f>IFERROR(__xludf.DUMMYFUNCTION("GOOGLETRANSLATE(B35165,""en"",""es-ES"")"),"Continúan jugando mientras demuestran el taladro de tenis.")</f>
        <v>Continúan jugando mientras demuestran el taladro de tenis.</v>
      </c>
    </row>
    <row r="35166">
      <c r="A35166" s="4" t="s">
        <v>44246</v>
      </c>
      <c r="B35166" s="4" t="s">
        <v>44247</v>
      </c>
      <c r="C35166" s="5" t="str">
        <f>IFERROR(__xludf.DUMMYFUNCTION("GOOGLETRANSLATE(B35166,""en"",""es-ES"")"),"Se ve a una persona pelar las papas en una caja con una pausa para hablar un poco con la cámara.")</f>
        <v>Se ve a una persona pelar las papas en una caja con una pausa para hablar un poco con la cámara.</v>
      </c>
    </row>
    <row r="35167">
      <c r="A35167" s="4" t="s">
        <v>44246</v>
      </c>
      <c r="B35167" s="4" t="s">
        <v>44248</v>
      </c>
      <c r="C35167" s="5" t="str">
        <f>IFERROR(__xludf.DUMMYFUNCTION("GOOGLETRANSLATE(B35167,""en"",""es-ES"")"),"La persona pelea varias papas y espectáculos de un tazón lleno de papas mientras se pela aún más.")</f>
        <v>La persona pelea varias papas y espectáculos de un tazón lleno de papas mientras se pela aún más.</v>
      </c>
    </row>
    <row r="35168">
      <c r="A35168" s="4" t="s">
        <v>44249</v>
      </c>
      <c r="B35168" s="4" t="s">
        <v>44250</v>
      </c>
      <c r="C35168" s="5" t="str">
        <f>IFERROR(__xludf.DUMMYFUNCTION("GOOGLETRANSLATE(B35168,""en"",""es-ES"")"),"Un hombre se agacha en el suelo, limpiando algo.")</f>
        <v>Un hombre se agacha en el suelo, limpiando algo.</v>
      </c>
    </row>
    <row r="35169">
      <c r="A35169" s="4" t="s">
        <v>44249</v>
      </c>
      <c r="B35169" s="4" t="s">
        <v>44251</v>
      </c>
      <c r="C35169" s="5" t="str">
        <f>IFERROR(__xludf.DUMMYFUNCTION("GOOGLETRANSLATE(B35169,""en"",""es-ES"")"),"Varios autos están estacionados en un estacionamiento.")</f>
        <v>Varios autos están estacionados en un estacionamiento.</v>
      </c>
    </row>
    <row r="35170">
      <c r="A35170" s="4" t="s">
        <v>44249</v>
      </c>
      <c r="B35170" s="4" t="s">
        <v>44252</v>
      </c>
      <c r="C35170" s="5" t="str">
        <f>IFERROR(__xludf.DUMMYFUNCTION("GOOGLETRANSLATE(B35170,""en"",""es-ES"")"),"La gente está viendo lavar los autos con agua y agua.")</f>
        <v>La gente está viendo lavar los autos con agua y agua.</v>
      </c>
    </row>
    <row r="35171">
      <c r="A35171" s="4" t="s">
        <v>44253</v>
      </c>
      <c r="B35171" s="4" t="s">
        <v>44254</v>
      </c>
      <c r="C35171" s="5" t="str">
        <f>IFERROR(__xludf.DUMMYFUNCTION("GOOGLETRANSLATE(B35171,""en"",""es-ES"")"),"Se ven tres personas volando una cometa en un campo y aparece texto en la pantalla.")</f>
        <v>Se ven tres personas volando una cometa en un campo y aparece texto en la pantalla.</v>
      </c>
    </row>
    <row r="35172">
      <c r="A35172" s="4" t="s">
        <v>44253</v>
      </c>
      <c r="B35172" s="4" t="s">
        <v>44255</v>
      </c>
      <c r="C35172" s="5" t="str">
        <f>IFERROR(__xludf.DUMMYFUNCTION("GOOGLETRANSLATE(B35172,""en"",""es-ES"")"),"Una chica aterradora aparece luego conduce a fotos de kites voladores de niños.")</f>
        <v>Una chica aterradora aparece luego conduce a fotos de kites voladores de niños.</v>
      </c>
    </row>
    <row r="35173">
      <c r="A35173" s="4" t="s">
        <v>44256</v>
      </c>
      <c r="B35173" s="4" t="s">
        <v>44257</v>
      </c>
      <c r="C35173" s="5" t="str">
        <f>IFERROR(__xludf.DUMMYFUNCTION("GOOGLETRANSLATE(B35173,""en"",""es-ES"")"),"Un buff hombre entra en círculo y pone el lanzamiento de peso en este hombro.")</f>
        <v>Un buff hombre entra en círculo y pone el lanzamiento de peso en este hombro.</v>
      </c>
    </row>
    <row r="35174">
      <c r="A35174" s="4" t="s">
        <v>44256</v>
      </c>
      <c r="B35174" s="4" t="s">
        <v>44258</v>
      </c>
      <c r="C35174" s="5" t="str">
        <f>IFERROR(__xludf.DUMMYFUNCTION("GOOGLETRANSLATE(B35174,""en"",""es-ES"")"),"El hombre luego gira y arroja la pelota al campo.")</f>
        <v>El hombre luego gira y arroja la pelota al campo.</v>
      </c>
    </row>
    <row r="35175">
      <c r="A35175" s="4" t="s">
        <v>44256</v>
      </c>
      <c r="B35175" s="4" t="s">
        <v>44259</v>
      </c>
      <c r="C35175" s="5" t="str">
        <f>IFERROR(__xludf.DUMMYFUNCTION("GOOGLETRANSLATE(B35175,""en"",""es-ES"")"),"Una vez completado, se pone una gran camisa de neón.")</f>
        <v>Una vez completado, se pone una gran camisa de neón.</v>
      </c>
    </row>
    <row r="35176">
      <c r="A35176" s="4" t="s">
        <v>44256</v>
      </c>
      <c r="B35176" s="4" t="s">
        <v>44260</v>
      </c>
      <c r="C35176" s="5" t="str">
        <f>IFERROR(__xludf.DUMMYFUNCTION("GOOGLETRANSLATE(B35176,""en"",""es-ES"")"),"Otro hombre se acerca al Cirle y hace lo mismo cuando alguien llega al campo y mide qué tan lejos llegó la pelota.")</f>
        <v>Otro hombre se acerca al Cirle y hace lo mismo cuando alguien llega al campo y mide qué tan lejos llegó la pelota.</v>
      </c>
    </row>
    <row r="35177">
      <c r="A35177" s="4" t="s">
        <v>44256</v>
      </c>
      <c r="B35177" s="4" t="s">
        <v>44261</v>
      </c>
      <c r="C35177" s="5" t="str">
        <f>IFERROR(__xludf.DUMMYFUNCTION("GOOGLETRANSLATE(B35177,""en"",""es-ES"")"),"Luego, los concursantes regresan y comienzan a hablar entre ellos antes de que se muestren sus puntajes.")</f>
        <v>Luego, los concursantes regresan y comienzan a hablar entre ellos antes de que se muestren sus puntajes.</v>
      </c>
    </row>
    <row r="35178">
      <c r="A35178" s="4" t="s">
        <v>44256</v>
      </c>
      <c r="B35178" s="4" t="s">
        <v>44262</v>
      </c>
      <c r="C35178" s="5" t="str">
        <f>IFERROR(__xludf.DUMMYFUNCTION("GOOGLETRANSLATE(B35178,""en"",""es-ES"")"),"Luego se proporciona una vista aérea, luego la cámara critica a la multitud.")</f>
        <v>Luego se proporciona una vista aérea, luego la cámara critica a la multitud.</v>
      </c>
    </row>
    <row r="35179">
      <c r="A35179" s="4" t="s">
        <v>44263</v>
      </c>
      <c r="B35179" s="4" t="s">
        <v>44264</v>
      </c>
      <c r="C35179" s="5" t="str">
        <f>IFERROR(__xludf.DUMMYFUNCTION("GOOGLETRANSLATE(B35179,""en"",""es-ES"")"),"Se muestra un primer plano de una mesa de póker seguido por la cámara que se desplaza a otras mesas en el área, así como a las personas que juegan.")</f>
        <v>Se muestra un primer plano de una mesa de póker seguido por la cámara que se desplaza a otras mesas en el área, así como a las personas que juegan.</v>
      </c>
    </row>
    <row r="35180">
      <c r="A35180" s="4" t="s">
        <v>44263</v>
      </c>
      <c r="B35180" s="4" t="s">
        <v>44265</v>
      </c>
      <c r="C35180" s="5" t="str">
        <f>IFERROR(__xludf.DUMMYFUNCTION("GOOGLETRANSLATE(B35180,""en"",""es-ES"")"),"Se muestran varios clips de personas sentadas en las mesas juegos de azar, así como riendo a la cámara.")</f>
        <v>Se muestran varios clips de personas sentadas en las mesas juegos de azar, así como riendo a la cámara.</v>
      </c>
    </row>
    <row r="35181">
      <c r="A35181" s="4" t="s">
        <v>44263</v>
      </c>
      <c r="B35181" s="4" t="s">
        <v>44266</v>
      </c>
      <c r="C35181" s="5" t="str">
        <f>IFERROR(__xludf.DUMMYFUNCTION("GOOGLETRANSLATE(B35181,""en"",""es-ES"")"),"Se muestran más imágenes de las personas en el casino, así como un video de ellas deambulando por el área.")</f>
        <v>Se muestran más imágenes de las personas en el casino, así como un video de ellas deambulando por el área.</v>
      </c>
    </row>
    <row r="35182">
      <c r="A35182" s="4" t="s">
        <v>44267</v>
      </c>
      <c r="B35182" s="4" t="s">
        <v>44268</v>
      </c>
      <c r="C35182" s="5" t="str">
        <f>IFERROR(__xludf.DUMMYFUNCTION("GOOGLETRANSLATE(B35182,""en"",""es-ES"")"),"Se muestra a esta chica acercándose a los dientes de las personas, los ojos y otras cosas en la cara.")</f>
        <v>Se muestra a esta chica acercándose a los dientes de las personas, los ojos y otras cosas en la cara.</v>
      </c>
    </row>
    <row r="35183">
      <c r="A35183" s="4" t="s">
        <v>44267</v>
      </c>
      <c r="B35183" s="4" t="s">
        <v>44269</v>
      </c>
      <c r="C35183" s="5" t="str">
        <f>IFERROR(__xludf.DUMMYFUNCTION("GOOGLETRANSLATE(B35183,""en"",""es-ES"")"),"Luego nos muestra el juego de Dodge Ball.")</f>
        <v>Luego nos muestra el juego de Dodge Ball.</v>
      </c>
    </row>
    <row r="35184">
      <c r="A35184" s="4" t="s">
        <v>44270</v>
      </c>
      <c r="B35184" s="4" t="s">
        <v>44271</v>
      </c>
      <c r="C35184" s="5" t="str">
        <f>IFERROR(__xludf.DUMMYFUNCTION("GOOGLETRANSLATE(B35184,""en"",""es-ES"")"),"Un hombre camina hacia un campo ante una multitud, sosteniendo una pelota pesada en el aire.")</f>
        <v>Un hombre camina hacia un campo ante una multitud, sosteniendo una pelota pesada en el aire.</v>
      </c>
    </row>
    <row r="35185">
      <c r="A35185" s="4" t="s">
        <v>44270</v>
      </c>
      <c r="B35185" s="4" t="s">
        <v>44272</v>
      </c>
      <c r="C35185" s="5" t="str">
        <f>IFERROR(__xludf.DUMMYFUNCTION("GOOGLETRANSLATE(B35185,""en"",""es-ES"")"),"Él gira, luego lanza la pelota lo más lejos que puede.")</f>
        <v>Él gira, luego lanza la pelota lo más lejos que puede.</v>
      </c>
    </row>
    <row r="35186">
      <c r="A35186" s="4" t="s">
        <v>44270</v>
      </c>
      <c r="B35186" s="4" t="s">
        <v>44273</v>
      </c>
      <c r="C35186" s="5" t="str">
        <f>IFERROR(__xludf.DUMMYFUNCTION("GOOGLETRANSLATE(B35186,""en"",""es-ES"")"),"Una mujer y varios otros siguen, haciendo lo mismo.")</f>
        <v>Una mujer y varios otros siguen, haciendo lo mismo.</v>
      </c>
    </row>
    <row r="35187">
      <c r="A35187" s="4" t="s">
        <v>44270</v>
      </c>
      <c r="B35187" s="4" t="s">
        <v>44274</v>
      </c>
      <c r="C35187" s="5" t="str">
        <f>IFERROR(__xludf.DUMMYFUNCTION("GOOGLETRANSLATE(B35187,""en"",""es-ES"")"),"Los ganadores celebran, sosteniendo banderas y abrazándose alegremente.")</f>
        <v>Los ganadores celebran, sosteniendo banderas y abrazándose alegremente.</v>
      </c>
    </row>
    <row r="35188">
      <c r="A35188" s="4" t="s">
        <v>44275</v>
      </c>
      <c r="B35188" s="4" t="s">
        <v>44276</v>
      </c>
      <c r="C35188" s="5" t="str">
        <f>IFERROR(__xludf.DUMMYFUNCTION("GOOGLETRANSLATE(B35188,""en"",""es-ES"")"),"Se ve a un hombre nadando en una piscina sosteniendo varios objetos en sus manos y mostrando cómo ponerselos.")</f>
        <v>Se ve a un hombre nadando en una piscina sosteniendo varios objetos en sus manos y mostrando cómo ponerselos.</v>
      </c>
    </row>
    <row r="35189">
      <c r="A35189" s="4" t="s">
        <v>44275</v>
      </c>
      <c r="B35189" s="4" t="s">
        <v>44277</v>
      </c>
      <c r="C35189" s="5" t="str">
        <f>IFERROR(__xludf.DUMMYFUNCTION("GOOGLETRANSLATE(B35189,""en"",""es-ES"")"),"Luego nada por la piscina con un golpe de pecho hasta el final y regresa.")</f>
        <v>Luego nada por la piscina con un golpe de pecho hasta el final y regresa.</v>
      </c>
    </row>
    <row r="35190">
      <c r="A35190" s="4" t="s">
        <v>44278</v>
      </c>
      <c r="B35190" s="4" t="s">
        <v>44279</v>
      </c>
      <c r="C35190" s="5" t="str">
        <f>IFERROR(__xludf.DUMMYFUNCTION("GOOGLETRANSLATE(B35190,""en"",""es-ES"")"),"Una chica que sostiene una guitarra habla con la cámara.")</f>
        <v>Una chica que sostiene una guitarra habla con la cámara.</v>
      </c>
    </row>
    <row r="35191">
      <c r="A35191" s="4" t="s">
        <v>44278</v>
      </c>
      <c r="B35191" s="4" t="s">
        <v>44280</v>
      </c>
      <c r="C35191" s="5" t="str">
        <f>IFERROR(__xludf.DUMMYFUNCTION("GOOGLETRANSLATE(B35191,""en"",""es-ES"")"),"La niña toca la guitarra mientras se sienta en el sofá.")</f>
        <v>La niña toca la guitarra mientras se sienta en el sofá.</v>
      </c>
    </row>
    <row r="35192">
      <c r="A35192" s="4" t="s">
        <v>44278</v>
      </c>
      <c r="B35192" s="4" t="s">
        <v>44281</v>
      </c>
      <c r="C35192" s="5" t="str">
        <f>IFERROR(__xludf.DUMMYFUNCTION("GOOGLETRANSLATE(B35192,""en"",""es-ES"")"),"La niña deja de jugar y habla con la cámara nuevamente mientras se demuestra.")</f>
        <v>La niña deja de jugar y habla con la cámara nuevamente mientras se demuestra.</v>
      </c>
    </row>
    <row r="35193">
      <c r="A35193" s="4" t="s">
        <v>44282</v>
      </c>
      <c r="B35193" s="4" t="s">
        <v>44283</v>
      </c>
      <c r="C35193" s="5" t="str">
        <f>IFERROR(__xludf.DUMMYFUNCTION("GOOGLETRANSLATE(B35193,""en"",""es-ES"")"),"El video tiene lugar en una arena de gimnasia.")</f>
        <v>El video tiene lugar en una arena de gimnasia.</v>
      </c>
    </row>
    <row r="35194">
      <c r="A35194" s="4" t="s">
        <v>44282</v>
      </c>
      <c r="B35194" s="4" t="s">
        <v>44284</v>
      </c>
      <c r="C35194" s="5" t="str">
        <f>IFERROR(__xludf.DUMMYFUNCTION("GOOGLETRANSLATE(B35194,""en"",""es-ES"")"),"Un hombre está realizando gimnasia en una viga mientras varios otros están mirando.")</f>
        <v>Un hombre está realizando gimnasia en una viga mientras varios otros están mirando.</v>
      </c>
    </row>
    <row r="35195">
      <c r="A35195" s="4" t="s">
        <v>44282</v>
      </c>
      <c r="B35195" s="4" t="s">
        <v>44285</v>
      </c>
      <c r="C35195" s="5" t="str">
        <f>IFERROR(__xludf.DUMMYFUNCTION("GOOGLETRANSLATE(B35195,""en"",""es-ES"")"),"El hombre comienza en el haz al revés.")</f>
        <v>El hombre comienza en el haz al revés.</v>
      </c>
    </row>
    <row r="35196">
      <c r="A35196" s="4" t="s">
        <v>44282</v>
      </c>
      <c r="B35196" s="4" t="s">
        <v>44286</v>
      </c>
      <c r="C35196" s="5" t="str">
        <f>IFERROR(__xludf.DUMMYFUNCTION("GOOGLETRANSLATE(B35196,""en"",""es-ES"")"),"Luego hace varios volteos.")</f>
        <v>Luego hace varios volteos.</v>
      </c>
    </row>
    <row r="35197">
      <c r="A35197" s="4" t="s">
        <v>44282</v>
      </c>
      <c r="B35197" s="4" t="s">
        <v>44287</v>
      </c>
      <c r="C35197" s="5" t="str">
        <f>IFERROR(__xludf.DUMMYFUNCTION("GOOGLETRANSLATE(B35197,""en"",""es-ES"")"),"El video termina mientras realiza un volteo final y salta de la viga.")</f>
        <v>El video termina mientras realiza un volteo final y salta de la viga.</v>
      </c>
    </row>
    <row r="35198">
      <c r="A35198" s="4" t="s">
        <v>44288</v>
      </c>
      <c r="B35198" s="4" t="s">
        <v>44289</v>
      </c>
      <c r="C35198" s="5" t="str">
        <f>IFERROR(__xludf.DUMMYFUNCTION("GOOGLETRANSLATE(B35198,""en"",""es-ES"")"),"Se muestran varios clips de jugadores de cricket.")</f>
        <v>Se muestran varios clips de jugadores de cricket.</v>
      </c>
    </row>
    <row r="35199">
      <c r="A35199" s="4" t="s">
        <v>44288</v>
      </c>
      <c r="B35199" s="4" t="s">
        <v>44290</v>
      </c>
      <c r="C35199" s="5" t="str">
        <f>IFERROR(__xludf.DUMMYFUNCTION("GOOGLETRANSLATE(B35199,""en"",""es-ES"")"),"En ellos, alguien arroja una pelota a un jugador.")</f>
        <v>En ellos, alguien arroja una pelota a un jugador.</v>
      </c>
    </row>
    <row r="35200">
      <c r="A35200" s="4" t="s">
        <v>44288</v>
      </c>
      <c r="B35200" s="4" t="s">
        <v>44291</v>
      </c>
      <c r="C35200" s="5" t="str">
        <f>IFERROR(__xludf.DUMMYFUNCTION("GOOGLETRANSLATE(B35200,""en"",""es-ES"")"),"Otro jugador golpea la pelota con su bate.")</f>
        <v>Otro jugador golpea la pelota con su bate.</v>
      </c>
    </row>
    <row r="35201">
      <c r="A35201" s="4" t="s">
        <v>44288</v>
      </c>
      <c r="B35201" s="4" t="s">
        <v>44292</v>
      </c>
      <c r="C35201" s="5" t="str">
        <f>IFERROR(__xludf.DUMMYFUNCTION("GOOGLETRANSLATE(B35201,""en"",""es-ES"")"),"Otro jugador luego atrapa la pelota.")</f>
        <v>Otro jugador luego atrapa la pelota.</v>
      </c>
    </row>
    <row r="35202">
      <c r="A35202" s="4" t="s">
        <v>44293</v>
      </c>
      <c r="B35202" s="4" t="s">
        <v>44294</v>
      </c>
      <c r="C35202" s="5" t="str">
        <f>IFERROR(__xludf.DUMMYFUNCTION("GOOGLETRANSLATE(B35202,""en"",""es-ES"")"),"Se ve a una mujer hablando con la cámara y la lleva a lijar una tabla en varios lugares.")</f>
        <v>Se ve a una mujer hablando con la cámara y la lleva a lijar una tabla en varios lugares.</v>
      </c>
    </row>
    <row r="35203">
      <c r="A35203" s="4" t="s">
        <v>44293</v>
      </c>
      <c r="B35203" s="4" t="s">
        <v>44295</v>
      </c>
      <c r="C35203" s="5" t="str">
        <f>IFERROR(__xludf.DUMMYFUNCTION("GOOGLETRANSLATE(B35203,""en"",""es-ES"")"),"Luego arena más objetos y muestra una gran selección de herramientas que tiene.")</f>
        <v>Luego arena más objetos y muestra una gran selección de herramientas que tiene.</v>
      </c>
    </row>
    <row r="35204">
      <c r="A35204" s="4" t="s">
        <v>44293</v>
      </c>
      <c r="B35204" s="4" t="s">
        <v>44296</v>
      </c>
      <c r="C35204" s="5" t="str">
        <f>IFERROR(__xludf.DUMMYFUNCTION("GOOGLETRANSLATE(B35204,""en"",""es-ES"")"),"Ella golpea por los lados del tablero y termina con ella pintando el tablero.")</f>
        <v>Ella golpea por los lados del tablero y termina con ella pintando el tablero.</v>
      </c>
    </row>
    <row r="35205">
      <c r="A35205" s="4" t="s">
        <v>44297</v>
      </c>
      <c r="B35205" s="4" t="s">
        <v>44298</v>
      </c>
      <c r="C35205" s="5" t="str">
        <f>IFERROR(__xludf.DUMMYFUNCTION("GOOGLETRANSLATE(B35205,""en"",""es-ES"")"),"El equipo líder de Cheer caminó hacia el escenario, mientras que en la audiencia, sus compañeros de equipo, que llevan uniformes rojos y blancos están animando.")</f>
        <v>El equipo líder de Cheer caminó hacia el escenario, mientras que en la audiencia, sus compañeros de equipo, que llevan uniformes rojos y blancos están animando.</v>
      </c>
    </row>
    <row r="35206">
      <c r="A35206" s="4" t="s">
        <v>44297</v>
      </c>
      <c r="B35206" s="4" t="s">
        <v>44299</v>
      </c>
      <c r="C35206" s="5" t="str">
        <f>IFERROR(__xludf.DUMMYFUNCTION("GOOGLETRANSLATE(B35206,""en"",""es-ES"")"),"El equipo comenzó su baile de alegría, donde las mujeres se pusieron de pie en las manos de los hombres, hicieron pasantes, saltaron en el aire, sostenían algunas pancartas en el aire, saltaron en el aire y cayeron sobre los brazos de su compañero de equi"&amp;"po.")</f>
        <v>El equipo comenzó su baile de alegría, donde las mujeres se pusieron de pie en las manos de los hombres, hicieron pasantes, saltaron en el aire, sostenían algunas pancartas en el aire, saltaron en el aire y cayeron sobre los brazos de su compañero de equipo.</v>
      </c>
    </row>
    <row r="35207">
      <c r="A35207" s="4" t="s">
        <v>44300</v>
      </c>
      <c r="B35207" s="4" t="s">
        <v>44301</v>
      </c>
      <c r="C35207" s="5" t="str">
        <f>IFERROR(__xludf.DUMMYFUNCTION("GOOGLETRANSLATE(B35207,""en"",""es-ES"")"),"Se muestra el video de la década de 1980.")</f>
        <v>Se muestra el video de la década de 1980.</v>
      </c>
    </row>
    <row r="35208">
      <c r="A35208" s="4" t="s">
        <v>44300</v>
      </c>
      <c r="B35208" s="4" t="s">
        <v>44302</v>
      </c>
      <c r="C35208" s="5" t="str">
        <f>IFERROR(__xludf.DUMMYFUNCTION("GOOGLETRANSLATE(B35208,""en"",""es-ES"")"),"Las celebridades juegan un juego de tira y afloja al aire libre.")</f>
        <v>Las celebridades juegan un juego de tira y afloja al aire libre.</v>
      </c>
    </row>
    <row r="35209">
      <c r="A35209" s="4" t="s">
        <v>44300</v>
      </c>
      <c r="B35209" s="4" t="s">
        <v>44303</v>
      </c>
      <c r="C35209" s="5" t="str">
        <f>IFERROR(__xludf.DUMMYFUNCTION("GOOGLETRANSLATE(B35209,""en"",""es-ES"")"),"El equipo con Lou Ferrigno jugando en él gana el concurso.")</f>
        <v>El equipo con Lou Ferrigno jugando en él gana el concurso.</v>
      </c>
    </row>
    <row r="35210">
      <c r="A35210" s="4" t="s">
        <v>44300</v>
      </c>
      <c r="B35210" s="4" t="s">
        <v>44304</v>
      </c>
      <c r="C35210" s="5" t="str">
        <f>IFERROR(__xludf.DUMMYFUNCTION("GOOGLETRANSLATE(B35210,""en"",""es-ES"")"),"Ferrigno y otras celebridades son entrevistados.")</f>
        <v>Ferrigno y otras celebridades son entrevistados.</v>
      </c>
    </row>
    <row r="35211">
      <c r="A35211" s="4" t="s">
        <v>44305</v>
      </c>
      <c r="B35211" s="4" t="s">
        <v>44306</v>
      </c>
      <c r="C35211" s="5" t="str">
        <f>IFERROR(__xludf.DUMMYFUNCTION("GOOGLETRANSLATE(B35211,""en"",""es-ES"")"),"Un grupo de niñas está afuera debajo de una tienda de campaña.")</f>
        <v>Un grupo de niñas está afuera debajo de una tienda de campaña.</v>
      </c>
    </row>
    <row r="35212">
      <c r="A35212" s="4" t="s">
        <v>44305</v>
      </c>
      <c r="B35212" s="4" t="s">
        <v>44307</v>
      </c>
      <c r="C35212" s="5" t="str">
        <f>IFERROR(__xludf.DUMMYFUNCTION("GOOGLETRANSLATE(B35212,""en"",""es-ES"")"),"Una niña limpia un plato amarillo con una toalla.")</f>
        <v>Una niña limpia un plato amarillo con una toalla.</v>
      </c>
    </row>
    <row r="35213">
      <c r="A35213" s="4" t="s">
        <v>44305</v>
      </c>
      <c r="B35213" s="4" t="s">
        <v>44308</v>
      </c>
      <c r="C35213" s="5" t="str">
        <f>IFERROR(__xludf.DUMMYFUNCTION("GOOGLETRANSLATE(B35213,""en"",""es-ES"")"),"Tres niñas están lavando platos en bañeras grandes.")</f>
        <v>Tres niñas están lavando platos en bañeras grandes.</v>
      </c>
    </row>
    <row r="35214">
      <c r="A35214" s="4" t="s">
        <v>44309</v>
      </c>
      <c r="B35214" s="4" t="s">
        <v>44310</v>
      </c>
      <c r="C35214" s="5" t="str">
        <f>IFERROR(__xludf.DUMMYFUNCTION("GOOGLETRANSLATE(B35214,""en"",""es-ES"")"),"Se ve a una mujer hablando con la cámara y la lleva a poner varios ingredientes dentro de un frasco de albañil.")</f>
        <v>Se ve a una mujer hablando con la cámara y la lleva a poner varios ingredientes dentro de un frasco de albañil.</v>
      </c>
    </row>
    <row r="35215">
      <c r="A35215" s="4" t="s">
        <v>44309</v>
      </c>
      <c r="B35215" s="4" t="s">
        <v>44311</v>
      </c>
      <c r="C35215" s="5" t="str">
        <f>IFERROR(__xludf.DUMMYFUNCTION("GOOGLETRANSLATE(B35215,""en"",""es-ES"")"),"La mujer usa pinzas para colocar los elementos en el frasco y luego coloca una tapa en la parte superior.")</f>
        <v>La mujer usa pinzas para colocar los elementos en el frasco y luego coloca una tapa en la parte superior.</v>
      </c>
    </row>
    <row r="35216">
      <c r="A35216" s="4" t="s">
        <v>44309</v>
      </c>
      <c r="B35216" s="4" t="s">
        <v>44312</v>
      </c>
      <c r="C35216" s="5" t="str">
        <f>IFERROR(__xludf.DUMMYFUNCTION("GOOGLETRANSLATE(B35216,""en"",""es-ES"")"),"La mujer pone una cinta alrededor del costado, así como una etiqueta y sonríe a la cámara.")</f>
        <v>La mujer pone una cinta alrededor del costado, así como una etiqueta y sonríe a la cámara.</v>
      </c>
    </row>
    <row r="35217">
      <c r="A35217" s="4" t="s">
        <v>44313</v>
      </c>
      <c r="B35217" s="4" t="s">
        <v>44314</v>
      </c>
      <c r="C35217" s="5" t="str">
        <f>IFERROR(__xludf.DUMMYFUNCTION("GOOGLETRANSLATE(B35217,""en"",""es-ES"")"),"Las personas hacen ejercicio en varios equipos.")</f>
        <v>Las personas hacen ejercicio en varios equipos.</v>
      </c>
    </row>
    <row r="35218">
      <c r="A35218" s="4" t="s">
        <v>44313</v>
      </c>
      <c r="B35218" s="4" t="s">
        <v>44315</v>
      </c>
      <c r="C35218" s="5" t="str">
        <f>IFERROR(__xludf.DUMMYFUNCTION("GOOGLETRANSLATE(B35218,""en"",""es-ES"")"),"Un hombre y una mujer se mueven de un lado a otro.")</f>
        <v>Un hombre y una mujer se mueven de un lado a otro.</v>
      </c>
    </row>
    <row r="35219">
      <c r="A35219" s="4" t="s">
        <v>44316</v>
      </c>
      <c r="B35219" s="4" t="s">
        <v>44317</v>
      </c>
      <c r="C35219" s="5" t="str">
        <f>IFERROR(__xludf.DUMMYFUNCTION("GOOGLETRANSLATE(B35219,""en"",""es-ES"")"),"Hay una pareja de mediana edad que demuestra cómo bailar en la sala de pelota.")</f>
        <v>Hay una pareja de mediana edad que demuestra cómo bailar en la sala de pelota.</v>
      </c>
    </row>
    <row r="35220">
      <c r="A35220" s="4" t="s">
        <v>44316</v>
      </c>
      <c r="B35220" s="4" t="s">
        <v>44318</v>
      </c>
      <c r="C35220" s="5" t="str">
        <f>IFERROR(__xludf.DUMMYFUNCTION("GOOGLETRANSLATE(B35220,""en"",""es-ES"")"),"Están en una habitación con grandes espejos en una pared y pisos de madera.")</f>
        <v>Están en una habitación con grandes espejos en una pared y pisos de madera.</v>
      </c>
    </row>
    <row r="35221">
      <c r="A35221" s="4" t="s">
        <v>44316</v>
      </c>
      <c r="B35221" s="4" t="s">
        <v>44319</v>
      </c>
      <c r="C35221" s="5" t="str">
        <f>IFERROR(__xludf.DUMMYFUNCTION("GOOGLETRANSLATE(B35221,""en"",""es-ES"")"),"Están mostrando cómo mover el pie de un ritmo mientras giran sus caderas.")</f>
        <v>Están mostrando cómo mover el pie de un ritmo mientras giran sus caderas.</v>
      </c>
    </row>
    <row r="35222">
      <c r="A35222" s="4" t="s">
        <v>44320</v>
      </c>
      <c r="B35222" s="4" t="s">
        <v>44321</v>
      </c>
      <c r="C35222" s="5" t="str">
        <f>IFERROR(__xludf.DUMMYFUNCTION("GOOGLETRANSLATE(B35222,""en"",""es-ES"")"),"Un vaquero sale corriendo de una puerta en un caballo.")</f>
        <v>Un vaquero sale corriendo de una puerta en un caballo.</v>
      </c>
    </row>
    <row r="35223">
      <c r="A35223" s="4" t="s">
        <v>44320</v>
      </c>
      <c r="B35223" s="4" t="s">
        <v>44322</v>
      </c>
      <c r="C35223" s="5" t="str">
        <f>IFERROR(__xludf.DUMMYFUNCTION("GOOGLETRANSLATE(B35223,""en"",""es-ES"")"),"Utiliza un lazo para cuerda de un ternero.")</f>
        <v>Utiliza un lazo para cuerda de un ternero.</v>
      </c>
    </row>
    <row r="35224">
      <c r="A35224" s="4" t="s">
        <v>44320</v>
      </c>
      <c r="B35224" s="4" t="s">
        <v>44323</v>
      </c>
      <c r="C35224" s="5" t="str">
        <f>IFERROR(__xludf.DUMMYFUNCTION("GOOGLETRANSLATE(B35224,""en"",""es-ES"")"),"Intenta atar el ternero, perdiendo su cuerda.")</f>
        <v>Intenta atar el ternero, perdiendo su cuerda.</v>
      </c>
    </row>
    <row r="35225">
      <c r="A35225" s="4" t="s">
        <v>44324</v>
      </c>
      <c r="B35225" s="4" t="s">
        <v>44325</v>
      </c>
      <c r="C35225" s="5" t="str">
        <f>IFERROR(__xludf.DUMMYFUNCTION("GOOGLETRANSLATE(B35225,""en"",""es-ES"")"),"Una niña que lleva una blusa negra describe cómo hornear en una cocina.")</f>
        <v>Una niña que lleva una blusa negra describe cómo hornear en una cocina.</v>
      </c>
    </row>
    <row r="35226">
      <c r="A35226" s="4" t="s">
        <v>44324</v>
      </c>
      <c r="B35226" s="4" t="s">
        <v>44326</v>
      </c>
      <c r="C35226" s="5" t="str">
        <f>IFERROR(__xludf.DUMMYFUNCTION("GOOGLETRANSLATE(B35226,""en"",""es-ES"")"),"El panadero vierte la harina en un tazón transparente con una taza de medición.")</f>
        <v>El panadero vierte la harina en un tazón transparente con una taza de medición.</v>
      </c>
    </row>
    <row r="35227">
      <c r="A35227" s="4" t="s">
        <v>44324</v>
      </c>
      <c r="B35227" s="4" t="s">
        <v>44327</v>
      </c>
      <c r="C35227" s="5" t="str">
        <f>IFERROR(__xludf.DUMMYFUNCTION("GOOGLETRANSLATE(B35227,""en"",""es-ES"")"),"El panadero luego saca cucharadas de cuatro niveles de un recipiente amarillo de maicena y lo abarca al tazón de harina.")</f>
        <v>El panadero luego saca cucharadas de cuatro niveles de un recipiente amarillo de maicena y lo abarca al tazón de harina.</v>
      </c>
    </row>
    <row r="35228">
      <c r="A35228" s="4" t="s">
        <v>44324</v>
      </c>
      <c r="B35228" s="4" t="s">
        <v>44328</v>
      </c>
      <c r="C35228" s="5" t="str">
        <f>IFERROR(__xludf.DUMMYFUNCTION("GOOGLETRANSLATE(B35228,""en"",""es-ES"")"),"El panadero vierte la mezcla de harina y maicena en un tamiz y comienza a tamizar los ingredientes tres veces.")</f>
        <v>El panadero vierte la mezcla de harina y maicena en un tamiz y comienza a tamizar los ingredientes tres veces.</v>
      </c>
    </row>
    <row r="35229">
      <c r="A35229" s="4" t="s">
        <v>44329</v>
      </c>
      <c r="B35229" s="4" t="s">
        <v>44330</v>
      </c>
      <c r="C35229" s="5" t="str">
        <f>IFERROR(__xludf.DUMMYFUNCTION("GOOGLETRANSLATE(B35229,""en"",""es-ES"")"),"Se ve a una persona corriendo por una larga pista mientras sostiene un poste.")</f>
        <v>Se ve a una persona corriendo por una larga pista mientras sostiene un poste.</v>
      </c>
    </row>
    <row r="35230">
      <c r="A35230" s="4" t="s">
        <v>44329</v>
      </c>
      <c r="B35230" s="4" t="s">
        <v>44331</v>
      </c>
      <c r="C35230" s="5" t="str">
        <f>IFERROR(__xludf.DUMMYFUNCTION("GOOGLETRANSLATE(B35230,""en"",""es-ES"")"),"El poste de la persona voltia sobre la viga sobre una estera y se muestra nuevamente en cámara lenta.")</f>
        <v>El poste de la persona voltia sobre la viga sobre una estera y se muestra nuevamente en cámara lenta.</v>
      </c>
    </row>
    <row r="35231">
      <c r="A35231" s="4" t="s">
        <v>44332</v>
      </c>
      <c r="B35231" s="4" t="s">
        <v>44333</v>
      </c>
      <c r="C35231" s="5" t="str">
        <f>IFERROR(__xludf.DUMMYFUNCTION("GOOGLETRANSLATE(B35231,""en"",""es-ES"")"),"Un joven pone lápiz labial en sus labios.")</f>
        <v>Un joven pone lápiz labial en sus labios.</v>
      </c>
    </row>
    <row r="35232">
      <c r="A35232" s="4" t="s">
        <v>44332</v>
      </c>
      <c r="B35232" s="4" t="s">
        <v>44334</v>
      </c>
      <c r="C35232" s="5" t="str">
        <f>IFERROR(__xludf.DUMMYFUNCTION("GOOGLETRANSLATE(B35232,""en"",""es-ES"")"),"Dos reporteros hablan en un televisor con audiencia.")</f>
        <v>Dos reporteros hablan en un televisor con audiencia.</v>
      </c>
    </row>
    <row r="35233">
      <c r="A35233" s="4" t="s">
        <v>44332</v>
      </c>
      <c r="B35233" s="4" t="s">
        <v>44335</v>
      </c>
      <c r="C35233" s="5" t="str">
        <f>IFERROR(__xludf.DUMMYFUNCTION("GOOGLETRANSLATE(B35233,""en"",""es-ES"")"),"Luego, el joven se cepilla la cara, luego la gente de la audiencia habla.")</f>
        <v>Luego, el joven se cepilla la cara, luego la gente de la audiencia habla.</v>
      </c>
    </row>
    <row r="35234">
      <c r="A35234" s="4" t="s">
        <v>44332</v>
      </c>
      <c r="B35234" s="4" t="s">
        <v>44336</v>
      </c>
      <c r="C35234" s="5" t="str">
        <f>IFERROR(__xludf.DUMMYFUNCTION("GOOGLETRANSLATE(B35234,""en"",""es-ES"")"),"Después, los jóvenes muestran su rostro con maquillaje.")</f>
        <v>Después, los jóvenes muestran su rostro con maquillaje.</v>
      </c>
    </row>
    <row r="35235">
      <c r="A35235" s="4" t="s">
        <v>44337</v>
      </c>
      <c r="B35235" s="4" t="s">
        <v>44338</v>
      </c>
      <c r="C35235" s="5" t="str">
        <f>IFERROR(__xludf.DUMMYFUNCTION("GOOGLETRANSLATE(B35235,""en"",""es-ES"")"),"Un hombre vestido con fatiga del ejército está jugando gaita mientras otras personas miran.")</f>
        <v>Un hombre vestido con fatiga del ejército está jugando gaita mientras otras personas miran.</v>
      </c>
    </row>
    <row r="35236">
      <c r="A35236" s="4" t="s">
        <v>44337</v>
      </c>
      <c r="B35236" s="4" t="s">
        <v>44339</v>
      </c>
      <c r="C35236" s="5" t="str">
        <f>IFERROR(__xludf.DUMMYFUNCTION("GOOGLETRANSLATE(B35236,""en"",""es-ES"")"),"Una mujer se muestra en el fondo bailando mientras juega.")</f>
        <v>Una mujer se muestra en el fondo bailando mientras juega.</v>
      </c>
    </row>
    <row r="35237">
      <c r="A35237" s="4" t="s">
        <v>44337</v>
      </c>
      <c r="B35237" s="4" t="s">
        <v>44340</v>
      </c>
      <c r="C35237" s="5" t="str">
        <f>IFERROR(__xludf.DUMMYFUNCTION("GOOGLETRANSLATE(B35237,""en"",""es-ES"")"),"Cuando termina, afirman que se ríe y bromea con las otras personas.")</f>
        <v>Cuando termina, afirman que se ríe y bromea con las otras personas.</v>
      </c>
    </row>
    <row r="35238">
      <c r="A35238" s="4" t="s">
        <v>44341</v>
      </c>
      <c r="B35238" s="4" t="s">
        <v>44342</v>
      </c>
      <c r="C35238" s="5" t="str">
        <f>IFERROR(__xludf.DUMMYFUNCTION("GOOGLETRANSLATE(B35238,""en"",""es-ES"")"),"Un hombre se hace un tatuaje en el área de la cintura de una mujer que usa una aguja.")</f>
        <v>Un hombre se hace un tatuaje en el área de la cintura de una mujer que usa una aguja.</v>
      </c>
    </row>
    <row r="35239">
      <c r="A35239" s="4" t="s">
        <v>44341</v>
      </c>
      <c r="B35239" s="4" t="s">
        <v>44343</v>
      </c>
      <c r="C35239" s="5" t="str">
        <f>IFERROR(__xludf.DUMMYFUNCTION("GOOGLETRANSLATE(B35239,""en"",""es-ES"")"),"El hombre limpia el área del tatuaje con un pañuelo.")</f>
        <v>El hombre limpia el área del tatuaje con un pañuelo.</v>
      </c>
    </row>
    <row r="35240">
      <c r="A35240" s="4" t="s">
        <v>44341</v>
      </c>
      <c r="B35240" s="4" t="s">
        <v>44344</v>
      </c>
      <c r="C35240" s="5" t="str">
        <f>IFERROR(__xludf.DUMMYFUNCTION("GOOGLETRANSLATE(B35240,""en"",""es-ES"")"),"El hombre continúa haciendo el tatuaje y la limpieza.")</f>
        <v>El hombre continúa haciendo el tatuaje y la limpieza.</v>
      </c>
    </row>
    <row r="35241">
      <c r="A35241" s="4" t="s">
        <v>44345</v>
      </c>
      <c r="B35241" s="4" t="s">
        <v>44346</v>
      </c>
      <c r="C35241" s="5" t="str">
        <f>IFERROR(__xludf.DUMMYFUNCTION("GOOGLETRANSLATE(B35241,""en"",""es-ES"")"),"Se muestra la imagen y la etiqueta del presentador o estilista.")</f>
        <v>Se muestra la imagen y la etiqueta del presentador o estilista.</v>
      </c>
    </row>
    <row r="35242">
      <c r="A35242" s="4" t="s">
        <v>44345</v>
      </c>
      <c r="B35242" s="4" t="s">
        <v>44347</v>
      </c>
      <c r="C35242" s="5" t="str">
        <f>IFERROR(__xludf.DUMMYFUNCTION("GOOGLETRANSLATE(B35242,""en"",""es-ES"")"),"El presentador estiliza el cabello de un cliente.")</f>
        <v>El presentador estiliza el cabello de un cliente.</v>
      </c>
    </row>
    <row r="35243">
      <c r="A35243" s="4" t="s">
        <v>44345</v>
      </c>
      <c r="B35243" s="4" t="s">
        <v>44348</v>
      </c>
      <c r="C35243" s="5" t="str">
        <f>IFERROR(__xludf.DUMMYFUNCTION("GOOGLETRANSLATE(B35243,""en"",""es-ES"")"),"El presentador habla directamente en la cámara.")</f>
        <v>El presentador habla directamente en la cámara.</v>
      </c>
    </row>
    <row r="35244">
      <c r="A35244" s="4" t="s">
        <v>44345</v>
      </c>
      <c r="B35244" s="4" t="s">
        <v>44349</v>
      </c>
      <c r="C35244" s="5" t="str">
        <f>IFERROR(__xludf.DUMMYFUNCTION("GOOGLETRANSLATE(B35244,""en"",""es-ES"")"),"El cliente gira lentamente en una silla para presentar su cabello.")</f>
        <v>El cliente gira lentamente en una silla para presentar su cabello.</v>
      </c>
    </row>
    <row r="35245">
      <c r="A35245" s="4" t="s">
        <v>44345</v>
      </c>
      <c r="B35245" s="4" t="s">
        <v>44350</v>
      </c>
      <c r="C35245" s="5" t="str">
        <f>IFERROR(__xludf.DUMMYFUNCTION("GOOGLETRANSLATE(B35245,""en"",""es-ES"")"),"El estilista hará el cabello del cliente.")</f>
        <v>El estilista hará el cabello del cliente.</v>
      </c>
    </row>
    <row r="35246">
      <c r="A35246" s="4" t="s">
        <v>44345</v>
      </c>
      <c r="B35246" s="4" t="s">
        <v>44351</v>
      </c>
      <c r="C35246" s="5" t="str">
        <f>IFERROR(__xludf.DUMMYFUNCTION("GOOGLETRANSLATE(B35246,""en"",""es-ES"")"),"El estilista separa el cabello del cliente.")</f>
        <v>El estilista separa el cabello del cliente.</v>
      </c>
    </row>
    <row r="35247">
      <c r="A35247" s="4" t="s">
        <v>44345</v>
      </c>
      <c r="B35247" s="4" t="s">
        <v>44352</v>
      </c>
      <c r="C35247" s="5" t="str">
        <f>IFERROR(__xludf.DUMMYFUNCTION("GOOGLETRANSLATE(B35247,""en"",""es-ES"")"),"El estilista usa un cepillo y un secador para agregar volumen, textura y curl en el cabello del cliente.")</f>
        <v>El estilista usa un cepillo y un secador para agregar volumen, textura y curl en el cabello del cliente.</v>
      </c>
    </row>
    <row r="35248">
      <c r="A35248" s="4" t="s">
        <v>44345</v>
      </c>
      <c r="B35248" s="4" t="s">
        <v>44353</v>
      </c>
      <c r="C35248" s="5" t="str">
        <f>IFERROR(__xludf.DUMMYFUNCTION("GOOGLETRANSLATE(B35248,""en"",""es-ES"")"),"El estilista rocía el cabello del cliente.")</f>
        <v>El estilista rocía el cabello del cliente.</v>
      </c>
    </row>
    <row r="35249">
      <c r="A35249" s="4" t="s">
        <v>44345</v>
      </c>
      <c r="B35249" s="4" t="s">
        <v>44354</v>
      </c>
      <c r="C35249" s="5" t="str">
        <f>IFERROR(__xludf.DUMMYFUNCTION("GOOGLETRANSLATE(B35249,""en"",""es-ES"")"),"El estilista usa su mano para colocar el flequillo.")</f>
        <v>El estilista usa su mano para colocar el flequillo.</v>
      </c>
    </row>
    <row r="35250">
      <c r="A35250" s="4" t="s">
        <v>44345</v>
      </c>
      <c r="B35250" s="4" t="s">
        <v>44355</v>
      </c>
      <c r="C35250" s="5" t="str">
        <f>IFERROR(__xludf.DUMMYFUNCTION("GOOGLETRANSLATE(B35250,""en"",""es-ES"")"),"El estilista usa su mano para agregar un producto de gel al cabello del cliente.")</f>
        <v>El estilista usa su mano para agregar un producto de gel al cabello del cliente.</v>
      </c>
    </row>
    <row r="35251">
      <c r="A35251" s="4" t="s">
        <v>44345</v>
      </c>
      <c r="B35251" s="4" t="s">
        <v>44356</v>
      </c>
      <c r="C35251" s="5" t="str">
        <f>IFERROR(__xludf.DUMMYFUNCTION("GOOGLETRANSLATE(B35251,""en"",""es-ES"")"),"El cliente gira lentamente en la silla para mostrar su peinado.")</f>
        <v>El cliente gira lentamente en la silla para mostrar su peinado.</v>
      </c>
    </row>
    <row r="35252">
      <c r="A35252" s="4" t="s">
        <v>44345</v>
      </c>
      <c r="B35252" s="4" t="s">
        <v>44357</v>
      </c>
      <c r="C35252" s="5" t="str">
        <f>IFERROR(__xludf.DUMMYFUNCTION("GOOGLETRANSLATE(B35252,""en"",""es-ES"")"),"Se muestran el nombre del estilista y los créditos.")</f>
        <v>Se muestran el nombre del estilista y los créditos.</v>
      </c>
    </row>
    <row r="35253">
      <c r="A35253" s="4" t="s">
        <v>44358</v>
      </c>
      <c r="B35253" s="4" t="s">
        <v>44359</v>
      </c>
      <c r="C35253" s="5" t="str">
        <f>IFERROR(__xludf.DUMMYFUNCTION("GOOGLETRANSLATE(B35253,""en"",""es-ES"")"),"Un hombre con un chaleco negro está de pie en una habitación.")</f>
        <v>Un hombre con un chaleco negro está de pie en una habitación.</v>
      </c>
    </row>
    <row r="35254">
      <c r="A35254" s="4" t="s">
        <v>44358</v>
      </c>
      <c r="B35254" s="4" t="s">
        <v>44360</v>
      </c>
      <c r="C35254" s="5" t="str">
        <f>IFERROR(__xludf.DUMMYFUNCTION("GOOGLETRANSLATE(B35254,""en"",""es-ES"")"),"Lanza dardos a un tablero de dardos en la pared.")</f>
        <v>Lanza dardos a un tablero de dardos en la pared.</v>
      </c>
    </row>
    <row r="35255">
      <c r="A35255" s="4" t="s">
        <v>44358</v>
      </c>
      <c r="B35255" s="4" t="s">
        <v>44361</v>
      </c>
      <c r="C35255" s="5" t="str">
        <f>IFERROR(__xludf.DUMMYFUNCTION("GOOGLETRANSLATE(B35255,""en"",""es-ES"")"),"Una mujer se encuentra junto a él mirando.")</f>
        <v>Una mujer se encuentra junto a él mirando.</v>
      </c>
    </row>
    <row r="35256">
      <c r="A35256" s="4" t="s">
        <v>44358</v>
      </c>
      <c r="B35256" s="4" t="s">
        <v>44362</v>
      </c>
      <c r="C35256" s="5" t="str">
        <f>IFERROR(__xludf.DUMMYFUNCTION("GOOGLETRANSLATE(B35256,""en"",""es-ES"")"),"Un hombre camina y saca el dardo del tablero.")</f>
        <v>Un hombre camina y saca el dardo del tablero.</v>
      </c>
    </row>
    <row r="35257">
      <c r="A35257" s="4" t="s">
        <v>44363</v>
      </c>
      <c r="B35257" s="4" t="s">
        <v>44364</v>
      </c>
      <c r="C35257" s="5" t="str">
        <f>IFERROR(__xludf.DUMMYFUNCTION("GOOGLETRANSLATE(B35257,""en"",""es-ES"")"),"Una pantalla de título de ""Finale Coppa Italia"" Beach Soccer aparece con Sambenedettese y Catania.")</f>
        <v>Una pantalla de título de "Finale Coppa Italia" Beach Soccer aparece con Sambenedettese y Catania.</v>
      </c>
    </row>
    <row r="35258">
      <c r="A35258" s="4" t="s">
        <v>44363</v>
      </c>
      <c r="B35258" s="4" t="s">
        <v>44365</v>
      </c>
      <c r="C35258" s="5" t="str">
        <f>IFERROR(__xludf.DUMMYFUNCTION("GOOGLETRANSLATE(B35258,""en"",""es-ES"")"),"Los hombres juegan fútbol profesional en una playa cerca del agua.")</f>
        <v>Los hombres juegan fútbol profesional en una playa cerca del agua.</v>
      </c>
    </row>
    <row r="35259">
      <c r="A35259" s="4" t="s">
        <v>44363</v>
      </c>
      <c r="B35259" s="4" t="s">
        <v>44366</v>
      </c>
      <c r="C35259" s="5" t="str">
        <f>IFERROR(__xludf.DUMMYFUNCTION("GOOGLETRANSLATE(B35259,""en"",""es-ES"")"),"Los jugadores en el campo celebran una victoria y posan para una foto.")</f>
        <v>Los jugadores en el campo celebran una victoria y posan para una foto.</v>
      </c>
    </row>
    <row r="35260">
      <c r="A35260" s="4" t="s">
        <v>44367</v>
      </c>
      <c r="B35260" s="4" t="s">
        <v>44368</v>
      </c>
      <c r="C35260" s="5" t="str">
        <f>IFERROR(__xludf.DUMMYFUNCTION("GOOGLETRANSLATE(B35260,""en"",""es-ES"")"),"Se muestra una cortadora de césped en el suelo.")</f>
        <v>Se muestra una cortadora de césped en el suelo.</v>
      </c>
    </row>
    <row r="35261">
      <c r="A35261" s="4" t="s">
        <v>44367</v>
      </c>
      <c r="B35261" s="4" t="s">
        <v>44369</v>
      </c>
      <c r="C35261" s="5" t="str">
        <f>IFERROR(__xludf.DUMMYFUNCTION("GOOGLETRANSLATE(B35261,""en"",""es-ES"")"),"Un hombre comienza el cortacésped y comienza a cortar el césped.")</f>
        <v>Un hombre comienza el cortacésped y comienza a cortar el césped.</v>
      </c>
    </row>
    <row r="35262">
      <c r="A35262" s="4" t="s">
        <v>44367</v>
      </c>
      <c r="B35262" s="4" t="s">
        <v>44370</v>
      </c>
      <c r="C35262" s="5" t="str">
        <f>IFERROR(__xludf.DUMMYFUNCTION("GOOGLETRANSLATE(B35262,""en"",""es-ES"")"),"Terminan de cortar el césped y se muestra el césped.")</f>
        <v>Terminan de cortar el césped y se muestra el césped.</v>
      </c>
    </row>
    <row r="35263">
      <c r="A35263" s="4" t="s">
        <v>44371</v>
      </c>
      <c r="B35263" s="4" t="s">
        <v>44372</v>
      </c>
      <c r="C35263" s="5" t="str">
        <f>IFERROR(__xludf.DUMMYFUNCTION("GOOGLETRANSLATE(B35263,""en"",""es-ES"")"),"Se ve a un hombre sosteniendo un palo en sus manos y hablando con la cámara.")</f>
        <v>Se ve a un hombre sosteniendo un palo en sus manos y hablando con la cámara.</v>
      </c>
    </row>
    <row r="35264">
      <c r="A35264" s="4" t="s">
        <v>44371</v>
      </c>
      <c r="B35264" s="4" t="s">
        <v>44373</v>
      </c>
      <c r="C35264" s="5" t="str">
        <f>IFERROR(__xludf.DUMMYFUNCTION("GOOGLETRANSLATE(B35264,""en"",""es-ES"")"),"El hombre intenta varias veces golpear la pelota seguido de él recogiéndolo y golpearlo en la distancia.")</f>
        <v>El hombre intenta varias veces golpear la pelota seguido de él recogiéndolo y golpearlo en la distancia.</v>
      </c>
    </row>
    <row r="35265">
      <c r="A35265" s="4" t="s">
        <v>44374</v>
      </c>
      <c r="B35265" s="4" t="s">
        <v>44375</v>
      </c>
      <c r="C35265" s="5" t="str">
        <f>IFERROR(__xludf.DUMMYFUNCTION("GOOGLETRANSLATE(B35265,""en"",""es-ES"")"),"Un grupo de hombres está parado en una habitación vestida.")</f>
        <v>Un grupo de hombres está parado en una habitación vestida.</v>
      </c>
    </row>
    <row r="35266">
      <c r="A35266" s="4" t="s">
        <v>44374</v>
      </c>
      <c r="B35266" s="4" t="s">
        <v>44376</v>
      </c>
      <c r="C35266" s="5" t="str">
        <f>IFERROR(__xludf.DUMMYFUNCTION("GOOGLETRANSLATE(B35266,""en"",""es-ES"")"),"De repente, se muestran muchas mujeres y actividades de playa, como natación, voleibol y beber.")</f>
        <v>De repente, se muestran muchas mujeres y actividades de playa, como natación, voleibol y beber.</v>
      </c>
    </row>
    <row r="35267">
      <c r="A35267" s="4" t="s">
        <v>44374</v>
      </c>
      <c r="B35267" s="4" t="s">
        <v>44377</v>
      </c>
      <c r="C35267" s="5" t="str">
        <f>IFERROR(__xludf.DUMMYFUNCTION("GOOGLETRANSLATE(B35267,""en"",""es-ES"")"),"A continuación, el hombre reaparece, pero se le une compañeros de equipo que juegan un juego de fútbol de playa en un estadio rodeado de personas.")</f>
        <v>A continuación, el hombre reaparece, pero se le une compañeros de equipo que juegan un juego de fútbol de playa en un estadio rodeado de personas.</v>
      </c>
    </row>
    <row r="35268">
      <c r="A35268" s="4" t="s">
        <v>44374</v>
      </c>
      <c r="B35268" s="4" t="s">
        <v>44378</v>
      </c>
      <c r="C35268" s="5" t="str">
        <f>IFERROR(__xludf.DUMMYFUNCTION("GOOGLETRANSLATE(B35268,""en"",""es-ES"")"),"Un equipo gana y se les muestra trayendo a casa su trofeo y vítores y luego se vuelve a mostrar al resto del equipo compitiendo.")</f>
        <v>Un equipo gana y se les muestra trayendo a casa su trofeo y vítores y luego se vuelve a mostrar al resto del equipo compitiendo.</v>
      </c>
    </row>
    <row r="35269">
      <c r="A35269" s="4" t="s">
        <v>44379</v>
      </c>
      <c r="B35269" s="4" t="s">
        <v>44380</v>
      </c>
      <c r="C35269" s="5" t="str">
        <f>IFERROR(__xludf.DUMMYFUNCTION("GOOGLETRANSLATE(B35269,""en"",""es-ES"")"),"Se ve a una mujer llevando un soplador de nieve y empujándolo a lo largo de un camino.")</f>
        <v>Se ve a una mujer llevando un soplador de nieve y empujándolo a lo largo de un camino.</v>
      </c>
    </row>
    <row r="35270">
      <c r="A35270" s="4" t="s">
        <v>44379</v>
      </c>
      <c r="B35270" s="4" t="s">
        <v>44381</v>
      </c>
      <c r="C35270" s="5" t="str">
        <f>IFERROR(__xludf.DUMMYFUNCTION("GOOGLETRANSLATE(B35270,""en"",""es-ES"")"),"La mujer continúa empujando la nieve que sopla a lo largo de la nieve con la cámara siguiendo sus movimientos.")</f>
        <v>La mujer continúa empujando la nieve que sopla a lo largo de la nieve con la cámara siguiendo sus movimientos.</v>
      </c>
    </row>
    <row r="35271">
      <c r="A35271" s="4" t="s">
        <v>44379</v>
      </c>
      <c r="B35271" s="4" t="s">
        <v>44382</v>
      </c>
      <c r="C35271" s="5" t="str">
        <f>IFERROR(__xludf.DUMMYFUNCTION("GOOGLETRANSLATE(B35271,""en"",""es-ES"")"),"Se mueve hacia atrás y cuarto mientras se detiene para hablar con la cámara y continúa moviéndose.")</f>
        <v>Se mueve hacia atrás y cuarto mientras se detiene para hablar con la cámara y continúa moviéndose.</v>
      </c>
    </row>
    <row r="35272">
      <c r="A35272" s="4" t="s">
        <v>44383</v>
      </c>
      <c r="B35272" s="4" t="s">
        <v>44384</v>
      </c>
      <c r="C35272" s="5" t="str">
        <f>IFERROR(__xludf.DUMMYFUNCTION("GOOGLETRANSLATE(B35272,""en"",""es-ES"")"),"Un grupo de esquiadores está bajando por una colina.")</f>
        <v>Un grupo de esquiadores está bajando por una colina.</v>
      </c>
    </row>
    <row r="35273">
      <c r="A35273" s="4" t="s">
        <v>44383</v>
      </c>
      <c r="B35273" s="4" t="s">
        <v>44385</v>
      </c>
      <c r="C35273" s="5" t="str">
        <f>IFERROR(__xludf.DUMMYFUNCTION("GOOGLETRANSLATE(B35273,""en"",""es-ES"")"),"Dividen su línea y crean múltiples líneas.")</f>
        <v>Dividen su línea y crean múltiples líneas.</v>
      </c>
    </row>
    <row r="35274">
      <c r="A35274" s="4" t="s">
        <v>44383</v>
      </c>
      <c r="B35274" s="4" t="s">
        <v>44386</v>
      </c>
      <c r="C35274" s="5" t="str">
        <f>IFERROR(__xludf.DUMMYFUNCTION("GOOGLETRANSLATE(B35274,""en"",""es-ES"")"),"Se separaron de nuevo para hacer 4 líneas diferentes.")</f>
        <v>Se separaron de nuevo para hacer 4 líneas diferentes.</v>
      </c>
    </row>
    <row r="35275">
      <c r="A35275" s="4" t="s">
        <v>44383</v>
      </c>
      <c r="B35275" s="4" t="s">
        <v>44387</v>
      </c>
      <c r="C35275" s="5" t="str">
        <f>IFERROR(__xludf.DUMMYFUNCTION("GOOGLETRANSLATE(B35275,""en"",""es-ES"")"),"El todo y termina al mismo tiempo.")</f>
        <v>El todo y termina al mismo tiempo.</v>
      </c>
    </row>
    <row r="35276">
      <c r="A35276" s="4" t="s">
        <v>44388</v>
      </c>
      <c r="B35276" s="4" t="s">
        <v>44389</v>
      </c>
      <c r="C35276" s="5" t="str">
        <f>IFERROR(__xludf.DUMMYFUNCTION("GOOGLETRANSLATE(B35276,""en"",""es-ES"")"),"Una persona arroja un pesado en un estadio lleno de personas, luego la gente mide dónde aterrizó la pelota.")</f>
        <v>Una persona arroja un pesado en un estadio lleno de personas, luego la gente mide dónde aterrizó la pelota.</v>
      </c>
    </row>
    <row r="35277">
      <c r="A35277" s="4" t="s">
        <v>44388</v>
      </c>
      <c r="B35277" s="4" t="s">
        <v>44390</v>
      </c>
      <c r="C35277" s="5" t="str">
        <f>IFERROR(__xludf.DUMMYFUNCTION("GOOGLETRANSLATE(B35277,""en"",""es-ES"")"),"Luego, el hombre camina mientras los periodistas y camarógrafos lo siguen en el campo.")</f>
        <v>Luego, el hombre camina mientras los periodistas y camarógrafos lo siguen en el campo.</v>
      </c>
    </row>
    <row r="35278">
      <c r="A35278" s="4" t="s">
        <v>44388</v>
      </c>
      <c r="B35278" s="4" t="s">
        <v>44391</v>
      </c>
      <c r="C35278" s="5" t="str">
        <f>IFERROR(__xludf.DUMMYFUNCTION("GOOGLETRANSLATE(B35278,""en"",""es-ES"")"),"Después, el hombre se pone una camisa de manga larga mientras un camarógrafo lo filtra.")</f>
        <v>Después, el hombre se pone una camisa de manga larga mientras un camarógrafo lo filtra.</v>
      </c>
    </row>
    <row r="35279">
      <c r="A35279" s="4" t="s">
        <v>44392</v>
      </c>
      <c r="B35279" s="4" t="s">
        <v>44393</v>
      </c>
      <c r="C35279" s="5" t="str">
        <f>IFERROR(__xludf.DUMMYFUNCTION("GOOGLETRANSLATE(B35279,""en"",""es-ES"")"),"Una mujer está de pie en una mesa con un montón de tijeras y suministros.")</f>
        <v>Una mujer está de pie en una mesa con un montón de tijeras y suministros.</v>
      </c>
    </row>
    <row r="35280">
      <c r="A35280" s="4" t="s">
        <v>44392</v>
      </c>
      <c r="B35280" s="4" t="s">
        <v>44394</v>
      </c>
      <c r="C35280" s="5" t="str">
        <f>IFERROR(__xludf.DUMMYFUNCTION("GOOGLETRANSLATE(B35280,""en"",""es-ES"")"),"Ella demuestra cómo cortar celofán y envolverlo alrededor de un regalo.")</f>
        <v>Ella demuestra cómo cortar celofán y envolverlo alrededor de un regalo.</v>
      </c>
    </row>
    <row r="35281">
      <c r="A35281" s="4" t="s">
        <v>44392</v>
      </c>
      <c r="B35281" s="4" t="s">
        <v>44395</v>
      </c>
      <c r="C35281" s="5" t="str">
        <f>IFERROR(__xludf.DUMMYFUNCTION("GOOGLETRANSLATE(B35281,""en"",""es-ES"")"),"Ella ata una cuerda alrededor del regalo, mostrando el producto final.")</f>
        <v>Ella ata una cuerda alrededor del regalo, mostrando el producto final.</v>
      </c>
    </row>
    <row r="35282">
      <c r="A35282" s="4" t="s">
        <v>44396</v>
      </c>
      <c r="B35282" s="4" t="s">
        <v>1251</v>
      </c>
      <c r="C35282" s="5" t="str">
        <f>IFERROR(__xludf.DUMMYFUNCTION("GOOGLETRANSLATE(B35282,""en"",""es-ES"")"),"Se muestran los créditos del clip.")</f>
        <v>Se muestran los créditos del clip.</v>
      </c>
    </row>
    <row r="35283">
      <c r="A35283" s="4" t="s">
        <v>44396</v>
      </c>
      <c r="B35283" s="4" t="s">
        <v>44397</v>
      </c>
      <c r="C35283" s="5" t="str">
        <f>IFERROR(__xludf.DUMMYFUNCTION("GOOGLETRANSLATE(B35283,""en"",""es-ES"")"),"Una chica en una cola de caballo está hablando.")</f>
        <v>Una chica en una cola de caballo está hablando.</v>
      </c>
    </row>
    <row r="35284">
      <c r="A35284" s="4" t="s">
        <v>44396</v>
      </c>
      <c r="B35284" s="4" t="s">
        <v>44398</v>
      </c>
      <c r="C35284" s="5" t="str">
        <f>IFERROR(__xludf.DUMMYFUNCTION("GOOGLETRANSLATE(B35284,""en"",""es-ES"")"),"La niña con el pelo abajo está hablando en un baño y coloca su mano sobre el fregadero.")</f>
        <v>La niña con el pelo abajo está hablando en un baño y coloca su mano sobre el fregadero.</v>
      </c>
    </row>
    <row r="35285">
      <c r="A35285" s="4" t="s">
        <v>44396</v>
      </c>
      <c r="B35285" s="4" t="s">
        <v>44399</v>
      </c>
      <c r="C35285" s="5" t="str">
        <f>IFERROR(__xludf.DUMMYFUNCTION("GOOGLETRANSLATE(B35285,""en"",""es-ES"")"),"La niña enciende el grifo para humedecer su cepillo de dientes.")</f>
        <v>La niña enciende el grifo para humedecer su cepillo de dientes.</v>
      </c>
    </row>
    <row r="35286">
      <c r="A35286" s="4" t="s">
        <v>44396</v>
      </c>
      <c r="B35286" s="4" t="s">
        <v>44400</v>
      </c>
      <c r="C35286" s="5" t="str">
        <f>IFERROR(__xludf.DUMMYFUNCTION("GOOGLETRANSLATE(B35286,""en"",""es-ES"")"),"La niña apaga el grifo, desenrosca la pasta de dientes y pone una pasta de dientes en su cepillo de dientes.")</f>
        <v>La niña apaga el grifo, desenrosca la pasta de dientes y pone una pasta de dientes en su cepillo de dientes.</v>
      </c>
    </row>
    <row r="35287">
      <c r="A35287" s="4" t="s">
        <v>44396</v>
      </c>
      <c r="B35287" s="4" t="s">
        <v>44401</v>
      </c>
      <c r="C35287" s="5" t="str">
        <f>IFERROR(__xludf.DUMMYFUNCTION("GOOGLETRANSLATE(B35287,""en"",""es-ES"")"),"La niña se cepilla los dientes y escupe en el fregadero.")</f>
        <v>La niña se cepilla los dientes y escupe en el fregadero.</v>
      </c>
    </row>
    <row r="35288">
      <c r="A35288" s="4" t="s">
        <v>44396</v>
      </c>
      <c r="B35288" s="4" t="s">
        <v>44402</v>
      </c>
      <c r="C35288" s="5" t="str">
        <f>IFERROR(__xludf.DUMMYFUNCTION("GOOGLETRANSLATE(B35288,""en"",""es-ES"")"),"La niña enjuague su cepillo de dientes y coloca al costado del fregadero.")</f>
        <v>La niña enjuague su cepillo de dientes y coloca al costado del fregadero.</v>
      </c>
    </row>
    <row r="35289">
      <c r="A35289" s="4" t="s">
        <v>44396</v>
      </c>
      <c r="B35289" s="4" t="s">
        <v>44403</v>
      </c>
      <c r="C35289" s="5" t="str">
        <f>IFERROR(__xludf.DUMMYFUNCTION("GOOGLETRANSLATE(B35289,""en"",""es-ES"")"),"Los créditos del video se muestran en las imágenes del video.")</f>
        <v>Los créditos del video se muestran en las imágenes del video.</v>
      </c>
    </row>
    <row r="35290">
      <c r="A35290" s="4" t="s">
        <v>44404</v>
      </c>
      <c r="B35290" s="4" t="s">
        <v>33402</v>
      </c>
      <c r="C35290" s="5" t="str">
        <f>IFERROR(__xludf.DUMMYFUNCTION("GOOGLETRANSLATE(B35290,""en"",""es-ES"")"),"Una gran ola se estrella hacia la orilla.")</f>
        <v>Una gran ola se estrella hacia la orilla.</v>
      </c>
    </row>
    <row r="35291">
      <c r="A35291" s="4" t="s">
        <v>44404</v>
      </c>
      <c r="B35291" s="4" t="s">
        <v>44405</v>
      </c>
      <c r="C35291" s="5" t="str">
        <f>IFERROR(__xludf.DUMMYFUNCTION("GOOGLETRANSLATE(B35291,""en"",""es-ES"")"),"La gente navega detrás de la ola gigante.")</f>
        <v>La gente navega detrás de la ola gigante.</v>
      </c>
    </row>
    <row r="35292">
      <c r="A35292" s="4" t="s">
        <v>44404</v>
      </c>
      <c r="B35292" s="4" t="s">
        <v>44406</v>
      </c>
      <c r="C35292" s="5" t="str">
        <f>IFERROR(__xludf.DUMMYFUNCTION("GOOGLETRANSLATE(B35292,""en"",""es-ES"")"),"El surfista mantiene su equilibrio mientras surfe y va por debajo de una segunda ola.")</f>
        <v>El surfista mantiene su equilibrio mientras surfe y va por debajo de una segunda ola.</v>
      </c>
    </row>
    <row r="35293">
      <c r="A35293" s="4" t="s">
        <v>44407</v>
      </c>
      <c r="B35293" s="4" t="s">
        <v>44408</v>
      </c>
      <c r="C35293" s="5" t="str">
        <f>IFERROR(__xludf.DUMMYFUNCTION("GOOGLETRANSLATE(B35293,""en"",""es-ES"")"),"Vemos la pantalla de apertura y vemos paisajes y una espada.")</f>
        <v>Vemos la pantalla de apertura y vemos paisajes y una espada.</v>
      </c>
    </row>
    <row r="35294">
      <c r="A35294" s="4" t="s">
        <v>44407</v>
      </c>
      <c r="B35294" s="4" t="s">
        <v>44409</v>
      </c>
      <c r="C35294" s="5" t="str">
        <f>IFERROR(__xludf.DUMMYFUNCTION("GOOGLETRANSLATE(B35294,""en"",""es-ES"")"),"Vemos a una dama hablando, luego un hombre.")</f>
        <v>Vemos a una dama hablando, luego un hombre.</v>
      </c>
    </row>
    <row r="35295">
      <c r="A35295" s="4" t="s">
        <v>44407</v>
      </c>
      <c r="B35295" s="4" t="s">
        <v>44410</v>
      </c>
      <c r="C35295" s="5" t="str">
        <f>IFERROR(__xludf.DUMMYFUNCTION("GOOGLETRANSLATE(B35295,""en"",""es-ES"")"),"Vemos a mucha gente snowboard.")</f>
        <v>Vemos a mucha gente snowboard.</v>
      </c>
    </row>
    <row r="35296">
      <c r="A35296" s="4" t="s">
        <v>44407</v>
      </c>
      <c r="B35296" s="4" t="s">
        <v>44411</v>
      </c>
      <c r="C35296" s="5" t="str">
        <f>IFERROR(__xludf.DUMMYFUNCTION("GOOGLETRANSLATE(B35296,""en"",""es-ES"")"),"Dos personas se dan la mano en el aterrizaje.")</f>
        <v>Dos personas se dan la mano en el aterrizaje.</v>
      </c>
    </row>
    <row r="35297">
      <c r="A35297" s="4" t="s">
        <v>44407</v>
      </c>
      <c r="B35297" s="4" t="s">
        <v>44412</v>
      </c>
      <c r="C35297" s="5" t="str">
        <f>IFERROR(__xludf.DUMMYFUNCTION("GOOGLETRANSLATE(B35297,""en"",""es-ES"")"),"Se entrevista a un hombre en una habitación negra y luego vemos a un hombre afuera hablando.")</f>
        <v>Se entrevista a un hombre en una habitación negra y luego vemos a un hombre afuera hablando.</v>
      </c>
    </row>
    <row r="35298">
      <c r="A35298" s="4" t="s">
        <v>44407</v>
      </c>
      <c r="B35298" s="4" t="s">
        <v>44413</v>
      </c>
      <c r="C35298" s="5" t="str">
        <f>IFERROR(__xludf.DUMMYFUNCTION("GOOGLETRANSLATE(B35298,""en"",""es-ES"")"),"La gente está en los cinco y vemos a una dama hablando.")</f>
        <v>La gente está en los cinco y vemos a una dama hablando.</v>
      </c>
    </row>
    <row r="35299">
      <c r="A35299" s="4" t="s">
        <v>44407</v>
      </c>
      <c r="B35299" s="4" t="s">
        <v>44414</v>
      </c>
      <c r="C35299" s="5" t="str">
        <f>IFERROR(__xludf.DUMMYFUNCTION("GOOGLETRANSLATE(B35299,""en"",""es-ES"")"),"Una señora arroja sus brazos al aire, a la gente rociada y un hombre con una espada.")</f>
        <v>Una señora arroja sus brazos al aire, a la gente rociada y un hombre con una espada.</v>
      </c>
    </row>
    <row r="35300">
      <c r="A35300" s="4" t="s">
        <v>44415</v>
      </c>
      <c r="B35300" s="4" t="s">
        <v>44416</v>
      </c>
      <c r="C35300" s="5" t="str">
        <f>IFERROR(__xludf.DUMMYFUNCTION("GOOGLETRANSLATE(B35300,""en"",""es-ES"")"),"Una mujer está hablando con una cámara dentro de una cocina.")</f>
        <v>Una mujer está hablando con una cámara dentro de una cocina.</v>
      </c>
    </row>
    <row r="35301">
      <c r="A35301" s="4" t="s">
        <v>44415</v>
      </c>
      <c r="B35301" s="4" t="s">
        <v>44417</v>
      </c>
      <c r="C35301" s="5" t="str">
        <f>IFERROR(__xludf.DUMMYFUNCTION("GOOGLETRANSLATE(B35301,""en"",""es-ES"")"),"Ella enciende el agua, mostrando cómo jabón adecuadamente sus manos.")</f>
        <v>Ella enciende el agua, mostrando cómo jabón adecuadamente sus manos.</v>
      </c>
    </row>
    <row r="35302">
      <c r="A35302" s="4" t="s">
        <v>44415</v>
      </c>
      <c r="B35302" s="4" t="s">
        <v>44418</v>
      </c>
      <c r="C35302" s="5" t="str">
        <f>IFERROR(__xludf.DUMMYFUNCTION("GOOGLETRANSLATE(B35302,""en"",""es-ES"")"),"Luego enjuague y los seca.")</f>
        <v>Luego enjuague y los seca.</v>
      </c>
    </row>
    <row r="35303">
      <c r="A35303" s="4" t="s">
        <v>44419</v>
      </c>
      <c r="B35303" s="4" t="s">
        <v>44420</v>
      </c>
      <c r="C35303" s="5" t="str">
        <f>IFERROR(__xludf.DUMMYFUNCTION("GOOGLETRANSLATE(B35303,""en"",""es-ES"")"),"El motociclista está en bicicleta y saltando sobre las grandes rampas.")</f>
        <v>El motociclista está en bicicleta y saltando sobre las grandes rampas.</v>
      </c>
    </row>
    <row r="35304">
      <c r="A35304" s="4" t="s">
        <v>44419</v>
      </c>
      <c r="B35304" s="4" t="s">
        <v>44421</v>
      </c>
      <c r="C35304" s="5" t="str">
        <f>IFERROR(__xludf.DUMMYFUNCTION("GOOGLETRANSLATE(B35304,""en"",""es-ES"")"),"El motociclista salta a la rampa con su bicicleta en frente.")</f>
        <v>El motociclista salta a la rampa con su bicicleta en frente.</v>
      </c>
    </row>
    <row r="35305">
      <c r="A35305" s="4" t="s">
        <v>44419</v>
      </c>
      <c r="B35305" s="4" t="s">
        <v>44422</v>
      </c>
      <c r="C35305" s="5" t="str">
        <f>IFERROR(__xludf.DUMMYFUNCTION("GOOGLETRANSLATE(B35305,""en"",""es-ES"")"),"Cuatro ciclistas corrieron y saltaron sobre las rampas, el motociclista de White lidera en la carrera.")</f>
        <v>Cuatro ciclistas corrieron y saltaron sobre las rampas, el motociclista de White lidera en la carrera.</v>
      </c>
    </row>
    <row r="35306">
      <c r="A35306" s="4" t="s">
        <v>44423</v>
      </c>
      <c r="B35306" s="4" t="s">
        <v>44424</v>
      </c>
      <c r="C35306" s="5" t="str">
        <f>IFERROR(__xludf.DUMMYFUNCTION("GOOGLETRANSLATE(B35306,""en"",""es-ES"")"),"Un hombre y una mujer están parados frente a la cámara y una mujer muestra cómo realizar adecuadamente el tango.")</f>
        <v>Un hombre y una mujer están parados frente a la cámara y una mujer muestra cómo realizar adecuadamente el tango.</v>
      </c>
    </row>
    <row r="35307">
      <c r="A35307" s="4" t="s">
        <v>44423</v>
      </c>
      <c r="B35307" s="4" t="s">
        <v>44425</v>
      </c>
      <c r="C35307" s="5" t="str">
        <f>IFERROR(__xludf.DUMMYFUNCTION("GOOGLETRANSLATE(B35307,""en"",""es-ES"")"),"Mueve sus pies en los brazos en un movimiento particular mientras el hombre hace lo mismo desde un ángulo diferente.")</f>
        <v>Mueve sus pies en los brazos en un movimiento particular mientras el hombre hace lo mismo desde un ángulo diferente.</v>
      </c>
    </row>
    <row r="35308">
      <c r="A35308" s="4" t="s">
        <v>44423</v>
      </c>
      <c r="B35308" s="4" t="s">
        <v>44426</v>
      </c>
      <c r="C35308" s="5" t="str">
        <f>IFERROR(__xludf.DUMMYFUNCTION("GOOGLETRANSLATE(B35308,""en"",""es-ES"")"),"El hombre y la mujer finalmente juntan sus instrucciones y realizan los movimientos de tango juntos.")</f>
        <v>El hombre y la mujer finalmente juntan sus instrucciones y realizan los movimientos de tango juntos.</v>
      </c>
    </row>
    <row r="35309">
      <c r="A35309" s="4" t="s">
        <v>44427</v>
      </c>
      <c r="B35309" s="4" t="s">
        <v>44428</v>
      </c>
      <c r="C35309" s="5" t="str">
        <f>IFERROR(__xludf.DUMMYFUNCTION("GOOGLETRANSLATE(B35309,""en"",""es-ES"")"),"Los jugadores sostienen un bate plano y corren hacia las bolas.")</f>
        <v>Los jugadores sostienen un bate plano y corren hacia las bolas.</v>
      </c>
    </row>
    <row r="35310">
      <c r="A35310" s="4" t="s">
        <v>44427</v>
      </c>
      <c r="B35310" s="4" t="s">
        <v>44429</v>
      </c>
      <c r="C35310" s="5" t="str">
        <f>IFERROR(__xludf.DUMMYFUNCTION("GOOGLETRANSLATE(B35310,""en"",""es-ES"")"),"Los jugadores rebotaron en el bate, algunos de ellos recogieron las bolas del suelo usando el bate.")</f>
        <v>Los jugadores rebotaron en el bate, algunos de ellos recogieron las bolas del suelo usando el bate.</v>
      </c>
    </row>
    <row r="35311">
      <c r="A35311" s="4" t="s">
        <v>44427</v>
      </c>
      <c r="B35311" s="4" t="s">
        <v>44430</v>
      </c>
      <c r="C35311" s="5" t="str">
        <f>IFERROR(__xludf.DUMMYFUNCTION("GOOGLETRANSLATE(B35311,""en"",""es-ES"")"),"La niña con chaqueta azul rebotó la pelota en su bate y ella caminó hacia adelante, pero la pelota cayó en el suelo.")</f>
        <v>La niña con chaqueta azul rebotó la pelota en su bate y ella caminó hacia adelante, pero la pelota cayó en el suelo.</v>
      </c>
    </row>
    <row r="35312">
      <c r="A35312" s="4" t="s">
        <v>44427</v>
      </c>
      <c r="B35312" s="4" t="s">
        <v>44431</v>
      </c>
      <c r="C35312" s="5" t="str">
        <f>IFERROR(__xludf.DUMMYFUNCTION("GOOGLETRANSLATE(B35312,""en"",""es-ES"")"),"Una chica en el chaleco negro está recogiendo la pelota del suelo usando su bate.")</f>
        <v>Una chica en el chaleco negro está recogiendo la pelota del suelo usando su bate.</v>
      </c>
    </row>
    <row r="35313">
      <c r="A35313" s="4" t="s">
        <v>44427</v>
      </c>
      <c r="B35313" s="4" t="s">
        <v>44432</v>
      </c>
      <c r="C35313" s="5" t="str">
        <f>IFERROR(__xludf.DUMMYFUNCTION("GOOGLETRANSLATE(B35313,""en"",""es-ES"")"),"Dos chicas caminaron normalmente sin perseguir las bolas.")</f>
        <v>Dos chicas caminaron normalmente sin perseguir las bolas.</v>
      </c>
    </row>
    <row r="35314">
      <c r="A35314" s="4" t="s">
        <v>44427</v>
      </c>
      <c r="B35314" s="4" t="s">
        <v>44433</v>
      </c>
      <c r="C35314" s="5" t="str">
        <f>IFERROR(__xludf.DUMMYFUNCTION("GOOGLETRANSLATE(B35314,""en"",""es-ES"")"),"Una chica en el campo está tratando de recoger la pelota.")</f>
        <v>Una chica en el campo está tratando de recoger la pelota.</v>
      </c>
    </row>
    <row r="35315">
      <c r="A35315" s="4" t="s">
        <v>44427</v>
      </c>
      <c r="B35315" s="4" t="s">
        <v>44434</v>
      </c>
      <c r="C35315" s="5" t="str">
        <f>IFERROR(__xludf.DUMMYFUNCTION("GOOGLETRANSLATE(B35315,""en"",""es-ES"")"),"Los jugadores están alineados y listos para recoger las bolas del suelo usando sus murciélagos.")</f>
        <v>Los jugadores están alineados y listos para recoger las bolas del suelo usando sus murciélagos.</v>
      </c>
    </row>
    <row r="35316">
      <c r="A35316" s="4" t="s">
        <v>44427</v>
      </c>
      <c r="B35316" s="4" t="s">
        <v>44435</v>
      </c>
      <c r="C35316" s="5" t="str">
        <f>IFERROR(__xludf.DUMMYFUNCTION("GOOGLETRANSLATE(B35316,""en"",""es-ES"")"),"Los jugadores comenzaron a rebotar sus bolas en su bate mientras corrían hacia adelante, algunas de las pelotas cayeron en el suelo y los jugadores tienen que recogerlas usando el bate.")</f>
        <v>Los jugadores comenzaron a rebotar sus bolas en su bate mientras corrían hacia adelante, algunas de las pelotas cayeron en el suelo y los jugadores tienen que recogerlas usando el bate.</v>
      </c>
    </row>
    <row r="35317">
      <c r="A35317" s="4" t="s">
        <v>44436</v>
      </c>
      <c r="B35317" s="4" t="s">
        <v>44437</v>
      </c>
      <c r="C35317" s="5" t="str">
        <f>IFERROR(__xludf.DUMMYFUNCTION("GOOGLETRANSLATE(B35317,""en"",""es-ES"")"),"Un hombre está en un caballo galopante en el deporte.")</f>
        <v>Un hombre está en un caballo galopante en el deporte.</v>
      </c>
    </row>
    <row r="35318">
      <c r="A35318" s="4" t="s">
        <v>44436</v>
      </c>
      <c r="B35318" s="4" t="s">
        <v>44438</v>
      </c>
      <c r="C35318" s="5" t="str">
        <f>IFERROR(__xludf.DUMMYFUNCTION("GOOGLETRANSLATE(B35318,""en"",""es-ES"")"),"La conducción de la espalda de caballos se considera un deporte, divertido pero aún funciona.")</f>
        <v>La conducción de la espalda de caballos se considera un deporte, divertido pero aún funciona.</v>
      </c>
    </row>
    <row r="35319">
      <c r="A35319" s="4" t="s">
        <v>44436</v>
      </c>
      <c r="B35319" s="4" t="s">
        <v>44439</v>
      </c>
      <c r="C35319" s="5" t="str">
        <f>IFERROR(__xludf.DUMMYFUNCTION("GOOGLETRANSLATE(B35319,""en"",""es-ES"")"),"Al igual que trabajar con un equipo, también tienes que trabajar con un caballo, debes comunicarte con un caballo que no habla.")</f>
        <v>Al igual que trabajar con un equipo, también tienes que trabajar con un caballo, debes comunicarte con un caballo que no habla.</v>
      </c>
    </row>
    <row r="35320">
      <c r="A35320" s="4" t="s">
        <v>44436</v>
      </c>
      <c r="B35320" s="4" t="s">
        <v>44440</v>
      </c>
      <c r="C35320" s="5" t="str">
        <f>IFERROR(__xludf.DUMMYFUNCTION("GOOGLETRANSLATE(B35320,""en"",""es-ES"")"),"Haga saber cuándo necesita ir más rápido, cuándo necesita saltar y tal.")</f>
        <v>Haga saber cuándo necesita ir más rápido, cuándo necesita saltar y tal.</v>
      </c>
    </row>
    <row r="35321">
      <c r="A35321" s="4" t="s">
        <v>44441</v>
      </c>
      <c r="B35321" s="4" t="s">
        <v>44442</v>
      </c>
      <c r="C35321" s="5" t="str">
        <f>IFERROR(__xludf.DUMMYFUNCTION("GOOGLETRANSLATE(B35321,""en"",""es-ES"")"),"Se ve a un pequeño grupo de personas empujando una pelota a lo largo del agua y anotando la meta.")</f>
        <v>Se ve a un pequeño grupo de personas empujando una pelota a lo largo del agua y anotando la meta.</v>
      </c>
    </row>
    <row r="35322">
      <c r="A35322" s="4" t="s">
        <v>44441</v>
      </c>
      <c r="B35322" s="4" t="s">
        <v>44443</v>
      </c>
      <c r="C35322" s="5" t="str">
        <f>IFERROR(__xludf.DUMMYFUNCTION("GOOGLETRANSLATE(B35322,""en"",""es-ES"")"),"La gente continúa jugando con la pelota y nadando a lo largo del agua.")</f>
        <v>La gente continúa jugando con la pelota y nadando a lo largo del agua.</v>
      </c>
    </row>
    <row r="35323">
      <c r="A35323" s="4" t="s">
        <v>44441</v>
      </c>
      <c r="B35323" s="4" t="s">
        <v>44444</v>
      </c>
      <c r="C35323" s="5" t="str">
        <f>IFERROR(__xludf.DUMMYFUNCTION("GOOGLETRANSLATE(B35323,""en"",""es-ES"")"),"La pelota se pasa a otro para marcar un gol y luego el juego continúa.")</f>
        <v>La pelota se pasa a otro para marcar un gol y luego el juego continúa.</v>
      </c>
    </row>
    <row r="35324">
      <c r="A35324" s="4" t="s">
        <v>44445</v>
      </c>
      <c r="B35324" s="4" t="s">
        <v>44446</v>
      </c>
      <c r="C35324" s="5" t="str">
        <f>IFERROR(__xludf.DUMMYFUNCTION("GOOGLETRANSLATE(B35324,""en"",""es-ES"")"),"Se ve a una mujer arrodillada sobre una estera de yoga mientras se dobla hacia adelante.")</f>
        <v>Se ve a una mujer arrodillada sobre una estera de yoga mientras se dobla hacia adelante.</v>
      </c>
    </row>
    <row r="35325">
      <c r="A35325" s="4" t="s">
        <v>44445</v>
      </c>
      <c r="B35325" s="4" t="s">
        <v>44447</v>
      </c>
      <c r="C35325" s="5" t="str">
        <f>IFERROR(__xludf.DUMMYFUNCTION("GOOGLETRANSLATE(B35325,""en"",""es-ES"")"),"La mujer luego mueve la pierna frente a ella y se dobla aún más creando un estiramiento.")</f>
        <v>La mujer luego mueve la pierna frente a ella y se dobla aún más creando un estiramiento.</v>
      </c>
    </row>
    <row r="35326">
      <c r="A35326" s="4" t="s">
        <v>44448</v>
      </c>
      <c r="B35326" s="4" t="s">
        <v>44449</v>
      </c>
      <c r="C35326" s="5" t="str">
        <f>IFERROR(__xludf.DUMMYFUNCTION("GOOGLETRANSLATE(B35326,""en"",""es-ES"")"),"Se ve a un atleta girando y lanzando una discusión mientras los hombres en el campo corren para rastrear su puntaje.")</f>
        <v>Se ve a un atleta girando y lanzando una discusión mientras los hombres en el campo corren para rastrear su puntaje.</v>
      </c>
    </row>
    <row r="35327">
      <c r="A35327" s="4" t="s">
        <v>44448</v>
      </c>
      <c r="B35327" s="4" t="s">
        <v>44450</v>
      </c>
      <c r="C35327" s="5" t="str">
        <f>IFERROR(__xludf.DUMMYFUNCTION("GOOGLETRANSLATE(B35327,""en"",""es-ES"")"),"El atleta se aleja y otro sube y arroja la discusión.")</f>
        <v>El atleta se aleja y otro sube y arroja la discusión.</v>
      </c>
    </row>
    <row r="35328">
      <c r="A35328" s="4" t="s">
        <v>44448</v>
      </c>
      <c r="B35328" s="4" t="s">
        <v>44451</v>
      </c>
      <c r="C35328" s="5" t="str">
        <f>IFERROR(__xludf.DUMMYFUNCTION("GOOGLETRANSLATE(B35328,""en"",""es-ES"")"),"Varias personas más dan un paso adelante para lanzar el objeto y terminan con un atleta ganando y alejándose.")</f>
        <v>Varias personas más dan un paso adelante para lanzar el objeto y terminan con un atleta ganando y alejándose.</v>
      </c>
    </row>
    <row r="35329">
      <c r="A35329" s="4" t="s">
        <v>44452</v>
      </c>
      <c r="B35329" s="4" t="s">
        <v>44453</v>
      </c>
      <c r="C35329" s="5" t="str">
        <f>IFERROR(__xludf.DUMMYFUNCTION("GOOGLETRANSLATE(B35329,""en"",""es-ES"")"),"Hay dos niños en el columpio, mientras que dos ancianas paradas a su lado balanceándolas.")</f>
        <v>Hay dos niños en el columpio, mientras que dos ancianas paradas a su lado balanceándolas.</v>
      </c>
    </row>
    <row r="35330">
      <c r="A35330" s="4" t="s">
        <v>44452</v>
      </c>
      <c r="B35330" s="4" t="s">
        <v>44454</v>
      </c>
      <c r="C35330" s="5" t="str">
        <f>IFERROR(__xludf.DUMMYFUNCTION("GOOGLETRANSLATE(B35330,""en"",""es-ES"")"),"La anciana en top rosa se fue, mientras que la otra anciana en púrpura continúa balanceando al niño.")</f>
        <v>La anciana en top rosa se fue, mientras que la otra anciana en púrpura continúa balanceando al niño.</v>
      </c>
    </row>
    <row r="35331">
      <c r="A35331" s="4" t="s">
        <v>44452</v>
      </c>
      <c r="B35331" s="4" t="s">
        <v>44455</v>
      </c>
      <c r="C35331" s="5" t="str">
        <f>IFERROR(__xludf.DUMMYFUNCTION("GOOGLETRANSLATE(B35331,""en"",""es-ES"")"),"La anciana con camisa rosa regresó con un trozo de papel para abanizarle un poco de aire, mientras un niño pequeño camina hacia la parte delantera del banco.")</f>
        <v>La anciana con camisa rosa regresó con un trozo de papel para abanizarle un poco de aire, mientras un niño pequeño camina hacia la parte delantera del banco.</v>
      </c>
    </row>
    <row r="35332">
      <c r="A35332" s="4" t="s">
        <v>44452</v>
      </c>
      <c r="B35332" s="4" t="s">
        <v>44456</v>
      </c>
      <c r="C35332" s="5" t="str">
        <f>IFERROR(__xludf.DUMMYFUNCTION("GOOGLETRANSLATE(B35332,""en"",""es-ES"")"),"La anciana de púrpura continúa balanceando al niño, mientras que la anciana en la parte superior rosada estaba de pie y descansaba en la barra roja del columpio.")</f>
        <v>La anciana de púrpura continúa balanceando al niño, mientras que la anciana en la parte superior rosada estaba de pie y descansaba en la barra roja del columpio.</v>
      </c>
    </row>
    <row r="35333">
      <c r="A35333" s="4" t="s">
        <v>44452</v>
      </c>
      <c r="B35333" s="4" t="s">
        <v>44457</v>
      </c>
      <c r="C35333" s="5" t="str">
        <f>IFERROR(__xludf.DUMMYFUNCTION("GOOGLETRANSLATE(B35333,""en"",""es-ES"")"),"La dama en la parte superior rosa se acercó al otro chico con camisa blanca, y habló con él, comenzó a empujarlo en el columpio, darle un beso y continuar balanceándolo desde el costado del columpio.")</f>
        <v>La dama en la parte superior rosa se acercó al otro chico con camisa blanca, y habló con él, comenzó a empujarlo en el columpio, darle un beso y continuar balanceándolo desde el costado del columpio.</v>
      </c>
    </row>
    <row r="35334">
      <c r="A35334" s="4" t="s">
        <v>44452</v>
      </c>
      <c r="B35334" s="4" t="s">
        <v>44458</v>
      </c>
      <c r="C35334" s="5" t="str">
        <f>IFERROR(__xludf.DUMMYFUNCTION("GOOGLETRANSLATE(B35334,""en"",""es-ES"")"),"La niña más pequeña cerca del banco se sentó para recoger algo del suelo azul.")</f>
        <v>La niña más pequeña cerca del banco se sentó para recoger algo del suelo azul.</v>
      </c>
    </row>
    <row r="35335">
      <c r="A35335" s="4" t="s">
        <v>44459</v>
      </c>
      <c r="B35335" s="4" t="s">
        <v>44460</v>
      </c>
      <c r="C35335" s="5" t="str">
        <f>IFERROR(__xludf.DUMMYFUNCTION("GOOGLETRANSLATE(B35335,""en"",""es-ES"")"),"Un hombre que usa anteojos está en un escenario.")</f>
        <v>Un hombre que usa anteojos está en un escenario.</v>
      </c>
    </row>
    <row r="35336">
      <c r="A35336" s="4" t="s">
        <v>44459</v>
      </c>
      <c r="B35336" s="4" t="s">
        <v>44461</v>
      </c>
      <c r="C35336" s="5" t="str">
        <f>IFERROR(__xludf.DUMMYFUNCTION("GOOGLETRANSLATE(B35336,""en"",""es-ES"")"),"Lanza Darts a un tablero, tratando de golpear al objetivo mientras la multitud aplaude.")</f>
        <v>Lanza Darts a un tablero, tratando de golpear al objetivo mientras la multitud aplaude.</v>
      </c>
    </row>
    <row r="35337">
      <c r="A35337" s="4" t="s">
        <v>44459</v>
      </c>
      <c r="B35337" s="4" t="s">
        <v>44462</v>
      </c>
      <c r="C35337" s="5" t="str">
        <f>IFERROR(__xludf.DUMMYFUNCTION("GOOGLETRANSLATE(B35337,""en"",""es-ES"")"),"Aparece otro competidor, haciendo lo mismo.")</f>
        <v>Aparece otro competidor, haciendo lo mismo.</v>
      </c>
    </row>
    <row r="35338">
      <c r="A35338" s="4" t="s">
        <v>44459</v>
      </c>
      <c r="B35338" s="4" t="s">
        <v>44463</v>
      </c>
      <c r="C35338" s="5" t="str">
        <f>IFERROR(__xludf.DUMMYFUNCTION("GOOGLETRANSLATE(B35338,""en"",""es-ES"")"),"El ganador entra al escenario mientras la cámara flash, celebrando.")</f>
        <v>El ganador entra al escenario mientras la cámara flash, celebrando.</v>
      </c>
    </row>
    <row r="35339">
      <c r="A35339" s="4" t="s">
        <v>44464</v>
      </c>
      <c r="B35339" s="4" t="s">
        <v>44465</v>
      </c>
      <c r="C35339" s="5" t="str">
        <f>IFERROR(__xludf.DUMMYFUNCTION("GOOGLETRANSLATE(B35339,""en"",""es-ES"")"),"Se ve a dos niños jugando un juego de shuffleboard en el costado de un bote mientras la cámara observa.")</f>
        <v>Se ve a dos niños jugando un juego de shuffleboard en el costado de un bote mientras la cámara observa.</v>
      </c>
    </row>
    <row r="35340">
      <c r="A35340" s="4" t="s">
        <v>44464</v>
      </c>
      <c r="B35340" s="4" t="s">
        <v>44466</v>
      </c>
      <c r="C35340" s="5" t="str">
        <f>IFERROR(__xludf.DUMMYFUNCTION("GOOGLETRANSLATE(B35340,""en"",""es-ES"")"),"Los niños continúan tomando turnos mientras corren por el camino en el bote.")</f>
        <v>Los niños continúan tomando turnos mientras corren por el camino en el bote.</v>
      </c>
    </row>
    <row r="35341">
      <c r="A35341" s="4" t="s">
        <v>44467</v>
      </c>
      <c r="B35341" s="4" t="s">
        <v>44468</v>
      </c>
      <c r="C35341" s="5" t="str">
        <f>IFERROR(__xludf.DUMMYFUNCTION("GOOGLETRANSLATE(B35341,""en"",""es-ES"")"),"Un médico habla mientras una enfermera se sienta a su lado en un consultorio médico.")</f>
        <v>Un médico habla mientras una enfermera se sienta a su lado en un consultorio médico.</v>
      </c>
    </row>
    <row r="35342">
      <c r="A35342" s="4" t="s">
        <v>44467</v>
      </c>
      <c r="B35342" s="4" t="s">
        <v>44469</v>
      </c>
      <c r="C35342" s="5" t="str">
        <f>IFERROR(__xludf.DUMMYFUNCTION("GOOGLETRANSLATE(B35342,""en"",""es-ES"")"),"Levanta una botella de limpiador y usa un trapo para limpiarlo en la cara de la mujer, antes de limpiarla nuevamente.")</f>
        <v>Levanta una botella de limpiador y usa un trapo para limpiarlo en la cara de la mujer, antes de limpiarla nuevamente.</v>
      </c>
    </row>
    <row r="35343">
      <c r="A35343" s="4" t="s">
        <v>44467</v>
      </c>
      <c r="B35343" s="4" t="s">
        <v>44470</v>
      </c>
      <c r="C35343" s="5" t="str">
        <f>IFERROR(__xludf.DUMMYFUNCTION("GOOGLETRANSLATE(B35343,""en"",""es-ES"")"),"También se frota en sus manos.")</f>
        <v>También se frota en sus manos.</v>
      </c>
    </row>
    <row r="35344">
      <c r="A35344" s="4" t="s">
        <v>44471</v>
      </c>
      <c r="B35344" s="4" t="s">
        <v>44472</v>
      </c>
      <c r="C35344" s="5" t="str">
        <f>IFERROR(__xludf.DUMMYFUNCTION("GOOGLETRANSLATE(B35344,""en"",""es-ES"")"),"Un chef está parado frente a una mesa y comienza a girar en una estufa con una sartén.")</f>
        <v>Un chef está parado frente a una mesa y comienza a girar en una estufa con una sartén.</v>
      </c>
    </row>
    <row r="35345">
      <c r="A35345" s="4" t="s">
        <v>44471</v>
      </c>
      <c r="B35345" s="4" t="s">
        <v>44473</v>
      </c>
      <c r="C35345" s="5" t="str">
        <f>IFERROR(__xludf.DUMMYFUNCTION("GOOGLETRANSLATE(B35345,""en"",""es-ES"")"),"Luego, el hombre mezcla varios ingredientes y finalmente coloca los ingredientes en la estufa.")</f>
        <v>Luego, el hombre mezcla varios ingredientes y finalmente coloca los ingredientes en la estufa.</v>
      </c>
    </row>
    <row r="35346">
      <c r="A35346" s="4" t="s">
        <v>44471</v>
      </c>
      <c r="B35346" s="4" t="s">
        <v>44474</v>
      </c>
      <c r="C35346" s="5" t="str">
        <f>IFERROR(__xludf.DUMMYFUNCTION("GOOGLETRANSLATE(B35346,""en"",""es-ES"")"),"Termina el plato haciendo una tortilla y la sirve en un plato y lo corta.")</f>
        <v>Termina el plato haciendo una tortilla y la sirve en un plato y lo corta.</v>
      </c>
    </row>
    <row r="35347">
      <c r="A35347" s="4" t="s">
        <v>44475</v>
      </c>
      <c r="B35347" s="4" t="s">
        <v>44476</v>
      </c>
      <c r="C35347" s="5" t="str">
        <f>IFERROR(__xludf.DUMMYFUNCTION("GOOGLETRANSLATE(B35347,""en"",""es-ES"")"),"La gente está en un campamento con muchos camellos sentados en el piso.")</f>
        <v>La gente está en un campamento con muchos camellos sentados en el piso.</v>
      </c>
    </row>
    <row r="35348">
      <c r="A35348" s="4" t="s">
        <v>44475</v>
      </c>
      <c r="B35348" s="4" t="s">
        <v>44477</v>
      </c>
      <c r="C35348" s="5" t="str">
        <f>IFERROR(__xludf.DUMMYFUNCTION("GOOGLETRANSLATE(B35348,""en"",""es-ES"")"),"Un hombre monta un camello y comienza a caminar en el postre que pasa por los pirámides mientras un hombre los guía con una cuerda.")</f>
        <v>Un hombre monta un camello y comienza a caminar en el postre que pasa por los pirámides mientras un hombre los guía con una cuerda.</v>
      </c>
    </row>
    <row r="35349">
      <c r="A35349" s="4" t="s">
        <v>44475</v>
      </c>
      <c r="B35349" s="4" t="s">
        <v>44478</v>
      </c>
      <c r="C35349" s="5" t="str">
        <f>IFERROR(__xludf.DUMMYFUNCTION("GOOGLETRANSLATE(B35349,""en"",""es-ES"")"),"Los camellos se detienen y un hombre está tomando una foto.")</f>
        <v>Los camellos se detienen y un hombre está tomando una foto.</v>
      </c>
    </row>
    <row r="35350">
      <c r="A35350" s="4" t="s">
        <v>44475</v>
      </c>
      <c r="B35350" s="4" t="s">
        <v>44479</v>
      </c>
      <c r="C35350" s="5" t="str">
        <f>IFERROR(__xludf.DUMMYFUNCTION("GOOGLETRANSLATE(B35350,""en"",""es-ES"")"),"Los hombres montan camellos en el postre.")</f>
        <v>Los hombres montan camellos en el postre.</v>
      </c>
    </row>
    <row r="35351">
      <c r="A35351" s="4" t="s">
        <v>44480</v>
      </c>
      <c r="B35351" s="4" t="s">
        <v>44481</v>
      </c>
      <c r="C35351" s="5" t="str">
        <f>IFERROR(__xludf.DUMMYFUNCTION("GOOGLETRANSLATE(B35351,""en"",""es-ES"")"),"Vemos a un perro pequeño en una bañera con el título por encima.")</f>
        <v>Vemos a un perro pequeño en una bañera con el título por encima.</v>
      </c>
    </row>
    <row r="35352">
      <c r="A35352" s="4" t="s">
        <v>44480</v>
      </c>
      <c r="B35352" s="4" t="s">
        <v>44482</v>
      </c>
      <c r="C35352" s="5" t="str">
        <f>IFERROR(__xludf.DUMMYFUNCTION("GOOGLETRANSLATE(B35352,""en"",""es-ES"")"),"Una persona hará al perro y le pone champú.")</f>
        <v>Una persona hará al perro y le pone champú.</v>
      </c>
    </row>
    <row r="35353">
      <c r="A35353" s="4" t="s">
        <v>44480</v>
      </c>
      <c r="B35353" s="4" t="s">
        <v>44483</v>
      </c>
      <c r="C35353" s="5" t="str">
        <f>IFERROR(__xludf.DUMMYFUNCTION("GOOGLETRANSLATE(B35353,""en"",""es-ES"")"),"La persona lava al perro con las manos.")</f>
        <v>La persona lava al perro con las manos.</v>
      </c>
    </row>
    <row r="35354">
      <c r="A35354" s="4" t="s">
        <v>44480</v>
      </c>
      <c r="B35354" s="4" t="s">
        <v>44484</v>
      </c>
      <c r="C35354" s="5" t="str">
        <f>IFERROR(__xludf.DUMMYFUNCTION("GOOGLETRANSLATE(B35354,""en"",""es-ES"")"),"Parten al perro y lo lavan.")</f>
        <v>Parten al perro y lo lavan.</v>
      </c>
    </row>
    <row r="35355">
      <c r="A35355" s="4" t="s">
        <v>44480</v>
      </c>
      <c r="B35355" s="4" t="s">
        <v>44485</v>
      </c>
      <c r="C35355" s="5" t="str">
        <f>IFERROR(__xludf.DUMMYFUNCTION("GOOGLETRANSLATE(B35355,""en"",""es-ES"")"),"Enjuagan el jabón del perro.")</f>
        <v>Enjuagan el jabón del perro.</v>
      </c>
    </row>
    <row r="35356">
      <c r="A35356" s="4" t="s">
        <v>44480</v>
      </c>
      <c r="B35356" s="4" t="s">
        <v>44486</v>
      </c>
      <c r="C35356" s="5" t="str">
        <f>IFERROR(__xludf.DUMMYFUNCTION("GOOGLETRANSLATE(B35356,""en"",""es-ES"")"),"Vemos al perro pequeño mojado desde arriba.")</f>
        <v>Vemos al perro pequeño mojado desde arriba.</v>
      </c>
    </row>
    <row r="35357">
      <c r="A35357" s="4" t="s">
        <v>44487</v>
      </c>
      <c r="B35357" s="4" t="s">
        <v>44488</v>
      </c>
      <c r="C35357" s="5" t="str">
        <f>IFERROR(__xludf.DUMMYFUNCTION("GOOGLETRANSLATE(B35357,""en"",""es-ES"")"),"Una mujer está limpiando ropa en una mesa.")</f>
        <v>Una mujer está limpiando ropa en una mesa.</v>
      </c>
    </row>
    <row r="35358">
      <c r="A35358" s="4" t="s">
        <v>44487</v>
      </c>
      <c r="B35358" s="4" t="s">
        <v>44489</v>
      </c>
      <c r="C35358" s="5" t="str">
        <f>IFERROR(__xludf.DUMMYFUNCTION("GOOGLETRANSLATE(B35358,""en"",""es-ES"")"),"Ella vierte un cubo de agua sobre la ropa.")</f>
        <v>Ella vierte un cubo de agua sobre la ropa.</v>
      </c>
    </row>
    <row r="35359">
      <c r="A35359" s="4" t="s">
        <v>44487</v>
      </c>
      <c r="B35359" s="4" t="s">
        <v>44490</v>
      </c>
      <c r="C35359" s="5" t="str">
        <f>IFERROR(__xludf.DUMMYFUNCTION("GOOGLETRANSLATE(B35359,""en"",""es-ES"")"),"Ella toma un cepillo y frota la ropa.")</f>
        <v>Ella toma un cepillo y frota la ropa.</v>
      </c>
    </row>
    <row r="35360">
      <c r="A35360" s="4" t="s">
        <v>44487</v>
      </c>
      <c r="B35360" s="4" t="s">
        <v>44491</v>
      </c>
      <c r="C35360" s="5" t="str">
        <f>IFERROR(__xludf.DUMMYFUNCTION("GOOGLETRANSLATE(B35360,""en"",""es-ES"")"),"Ella vierte más agua sobre la ropa.")</f>
        <v>Ella vierte más agua sobre la ropa.</v>
      </c>
    </row>
    <row r="35361">
      <c r="A35361" s="4" t="s">
        <v>44487</v>
      </c>
      <c r="B35361" s="4" t="s">
        <v>44492</v>
      </c>
      <c r="C35361" s="5" t="str">
        <f>IFERROR(__xludf.DUMMYFUNCTION("GOOGLETRANSLATE(B35361,""en"",""es-ES"")"),"Ella recoge la ropa y la coloca a su lado.")</f>
        <v>Ella recoge la ropa y la coloca a su lado.</v>
      </c>
    </row>
    <row r="35362">
      <c r="A35362" s="4" t="s">
        <v>44493</v>
      </c>
      <c r="B35362" s="4" t="s">
        <v>44494</v>
      </c>
      <c r="C35362" s="5" t="str">
        <f>IFERROR(__xludf.DUMMYFUNCTION("GOOGLETRANSLATE(B35362,""en"",""es-ES"")"),"Vemos a un gimnasta masculino prepararse para usar el caballo de pomo.")</f>
        <v>Vemos a un gimnasta masculino prepararse para usar el caballo de pomo.</v>
      </c>
    </row>
    <row r="35363">
      <c r="A35363" s="4" t="s">
        <v>44493</v>
      </c>
      <c r="B35363" s="4" t="s">
        <v>44495</v>
      </c>
      <c r="C35363" s="5" t="str">
        <f>IFERROR(__xludf.DUMMYFUNCTION("GOOGLETRANSLATE(B35363,""en"",""es-ES"")"),"El hombre monta el caballo de pomo y gira sus piernas a su alrededor.")</f>
        <v>El hombre monta el caballo de pomo y gira sus piernas a su alrededor.</v>
      </c>
    </row>
    <row r="35364">
      <c r="A35364" s="4" t="s">
        <v>44493</v>
      </c>
      <c r="B35364" s="4" t="s">
        <v>859</v>
      </c>
      <c r="C35364" s="5" t="str">
        <f>IFERROR(__xludf.DUMMYFUNCTION("GOOGLETRANSLATE(B35364,""en"",""es-ES"")"),"El hombre hace una parada de manos y desmonta.")</f>
        <v>El hombre hace una parada de manos y desmonta.</v>
      </c>
    </row>
    <row r="35365">
      <c r="A35365" s="4" t="s">
        <v>44493</v>
      </c>
      <c r="B35365" s="4" t="s">
        <v>44496</v>
      </c>
      <c r="C35365" s="5" t="str">
        <f>IFERROR(__xludf.DUMMYFUNCTION("GOOGLETRANSLATE(B35365,""en"",""es-ES"")"),"El hombre hace un arco y comienza a alejarse.")</f>
        <v>El hombre hace un arco y comienza a alejarse.</v>
      </c>
    </row>
    <row r="35366">
      <c r="A35366" s="4" t="s">
        <v>44497</v>
      </c>
      <c r="B35366" s="4" t="s">
        <v>44498</v>
      </c>
      <c r="C35366" s="5" t="str">
        <f>IFERROR(__xludf.DUMMYFUNCTION("GOOGLETRANSLATE(B35366,""en"",""es-ES"")"),"Una niña se para en un patio sosteniendo un rastrillo.")</f>
        <v>Una niña se para en un patio sosteniendo un rastrillo.</v>
      </c>
    </row>
    <row r="35367">
      <c r="A35367" s="4" t="s">
        <v>44497</v>
      </c>
      <c r="B35367" s="4" t="s">
        <v>44499</v>
      </c>
      <c r="C35367" s="5" t="str">
        <f>IFERROR(__xludf.DUMMYFUNCTION("GOOGLETRANSLATE(B35367,""en"",""es-ES"")"),"La niña rasca las hojas en una pila.")</f>
        <v>La niña rasca las hojas en una pila.</v>
      </c>
    </row>
    <row r="35368">
      <c r="A35368" s="4" t="s">
        <v>44497</v>
      </c>
      <c r="B35368" s="4" t="s">
        <v>44500</v>
      </c>
      <c r="C35368" s="5" t="str">
        <f>IFERROR(__xludf.DUMMYFUNCTION("GOOGLETRANSLATE(B35368,""en"",""es-ES"")"),"La niña camina hacia un trampolín y obtiene un rastrillo diferente y rastrilla las hojas en un círculo.")</f>
        <v>La niña camina hacia un trampolín y obtiene un rastrillo diferente y rastrilla las hojas en un círculo.</v>
      </c>
    </row>
    <row r="35369">
      <c r="A35369" s="4" t="s">
        <v>44497</v>
      </c>
      <c r="B35369" s="4" t="s">
        <v>44501</v>
      </c>
      <c r="C35369" s="5" t="str">
        <f>IFERROR(__xludf.DUMMYFUNCTION("GOOGLETRANSLATE(B35369,""en"",""es-ES"")"),"La niña volvió a poner el rastrillo en el trampolín y habla con la cámara.")</f>
        <v>La niña volvió a poner el rastrillo en el trampolín y habla con la cámara.</v>
      </c>
    </row>
    <row r="35370">
      <c r="A35370" s="4" t="s">
        <v>44497</v>
      </c>
      <c r="B35370" s="4" t="s">
        <v>44502</v>
      </c>
      <c r="C35370" s="5" t="str">
        <f>IFERROR(__xludf.DUMMYFUNCTION("GOOGLETRANSLATE(B35370,""en"",""es-ES"")"),"La niña salta, rueda y tira las hojas antes de pararse y hablar con la cámara.")</f>
        <v>La niña salta, rueda y tira las hojas antes de pararse y hablar con la cámara.</v>
      </c>
    </row>
    <row r="35371">
      <c r="A35371" s="4" t="s">
        <v>44503</v>
      </c>
      <c r="B35371" s="4" t="s">
        <v>44504</v>
      </c>
      <c r="C35371" s="5" t="str">
        <f>IFERROR(__xludf.DUMMYFUNCTION("GOOGLETRANSLATE(B35371,""en"",""es-ES"")"),"Un hombre con traje está hablando en un micrófono.")</f>
        <v>Un hombre con traje está hablando en un micrófono.</v>
      </c>
    </row>
    <row r="35372">
      <c r="A35372" s="4" t="s">
        <v>44503</v>
      </c>
      <c r="B35372" s="4" t="s">
        <v>44505</v>
      </c>
      <c r="C35372" s="5" t="str">
        <f>IFERROR(__xludf.DUMMYFUNCTION("GOOGLETRANSLATE(B35372,""en"",""es-ES"")"),"La gente está esquiando en agua en el agua.")</f>
        <v>La gente está esquiando en agua en el agua.</v>
      </c>
    </row>
    <row r="35373">
      <c r="A35373" s="4" t="s">
        <v>44503</v>
      </c>
      <c r="B35373" s="4" t="s">
        <v>44506</v>
      </c>
      <c r="C35373" s="5" t="str">
        <f>IFERROR(__xludf.DUMMYFUNCTION("GOOGLETRANSLATE(B35373,""en"",""es-ES"")"),"Un hombre cae y es arrastrado por el bote a través del agua.")</f>
        <v>Un hombre cae y es arrastrado por el bote a través del agua.</v>
      </c>
    </row>
    <row r="35374">
      <c r="A35374" s="4" t="s">
        <v>44503</v>
      </c>
      <c r="B35374" s="4" t="s">
        <v>44507</v>
      </c>
      <c r="C35374" s="5" t="str">
        <f>IFERROR(__xludf.DUMMYFUNCTION("GOOGLETRANSLATE(B35374,""en"",""es-ES"")"),"Un hombre se da vuelta mientras esquía acuático y sostiene la cuerda con el pie.")</f>
        <v>Un hombre se da vuelta mientras esquía acuático y sostiene la cuerda con el pie.</v>
      </c>
    </row>
    <row r="35375">
      <c r="A35375" s="4" t="s">
        <v>44503</v>
      </c>
      <c r="B35375" s="4" t="s">
        <v>44508</v>
      </c>
      <c r="C35375" s="5" t="str">
        <f>IFERROR(__xludf.DUMMYFUNCTION("GOOGLETRANSLATE(B35375,""en"",""es-ES"")"),"Se estrella y cae al agua.")</f>
        <v>Se estrella y cae al agua.</v>
      </c>
    </row>
    <row r="35376">
      <c r="A35376" s="4" t="s">
        <v>44509</v>
      </c>
      <c r="B35376" s="4" t="s">
        <v>44510</v>
      </c>
      <c r="C35376" s="5" t="str">
        <f>IFERROR(__xludf.DUMMYFUNCTION("GOOGLETRANSLATE(B35376,""en"",""es-ES"")"),"Dos hombres están haciendo capoeira rodeada por un círculo de personas.")</f>
        <v>Dos hombres están haciendo capoeira rodeada por un círculo de personas.</v>
      </c>
    </row>
    <row r="35377">
      <c r="A35377" s="4" t="s">
        <v>44509</v>
      </c>
      <c r="B35377" s="4" t="s">
        <v>44511</v>
      </c>
      <c r="C35377" s="5" t="str">
        <f>IFERROR(__xludf.DUMMYFUNCTION("GOOGLETRANSLATE(B35377,""en"",""es-ES"")"),"Los hombres se toman un descanso y se actúan nuevamente para la gente.")</f>
        <v>Los hombres se toman un descanso y se actúan nuevamente para la gente.</v>
      </c>
    </row>
    <row r="35378">
      <c r="A35378" s="4" t="s">
        <v>44509</v>
      </c>
      <c r="B35378" s="4" t="s">
        <v>44512</v>
      </c>
      <c r="C35378" s="5" t="str">
        <f>IFERROR(__xludf.DUMMYFUNCTION("GOOGLETRANSLATE(B35378,""en"",""es-ES"")"),"Se dan la mano y dejan el círculo permitiendo que otros dos hombres ingresen al círculo.")</f>
        <v>Se dan la mano y dejan el círculo permitiendo que otros dos hombres ingresen al círculo.</v>
      </c>
    </row>
    <row r="35379">
      <c r="A35379" s="4" t="s">
        <v>44509</v>
      </c>
      <c r="B35379" s="4" t="s">
        <v>44513</v>
      </c>
      <c r="C35379" s="5" t="str">
        <f>IFERROR(__xludf.DUMMYFUNCTION("GOOGLETRANSLATE(B35379,""en"",""es-ES"")"),"Un hombre de azul y un hombre en gris se saludan en el medio del círculo.")</f>
        <v>Un hombre de azul y un hombre en gris se saludan en el medio del círculo.</v>
      </c>
    </row>
    <row r="35380">
      <c r="A35380" s="4" t="s">
        <v>44509</v>
      </c>
      <c r="B35380" s="4" t="s">
        <v>44514</v>
      </c>
      <c r="C35380" s="5" t="str">
        <f>IFERROR(__xludf.DUMMYFUNCTION("GOOGLETRANSLATE(B35380,""en"",""es-ES"")"),"Los otros dos hombres comienzan a realizar capoeira para la multitud.")</f>
        <v>Los otros dos hombres comienzan a realizar capoeira para la multitud.</v>
      </c>
    </row>
    <row r="35381">
      <c r="A35381" s="4" t="s">
        <v>44515</v>
      </c>
      <c r="B35381" s="4" t="s">
        <v>3714</v>
      </c>
      <c r="C35381" s="5" t="str">
        <f>IFERROR(__xludf.DUMMYFUNCTION("GOOGLETRANSLATE(B35381,""en"",""es-ES"")"),"Vemos una pantalla de apertura oscura.")</f>
        <v>Vemos una pantalla de apertura oscura.</v>
      </c>
    </row>
    <row r="35382">
      <c r="A35382" s="4" t="s">
        <v>44515</v>
      </c>
      <c r="B35382" s="4" t="s">
        <v>44516</v>
      </c>
      <c r="C35382" s="5" t="str">
        <f>IFERROR(__xludf.DUMMYFUNCTION("GOOGLETRANSLATE(B35382,""en"",""es-ES"")"),"Vemos gente preparando a varios perros.")</f>
        <v>Vemos gente preparando a varios perros.</v>
      </c>
    </row>
    <row r="35383">
      <c r="A35383" s="4" t="s">
        <v>44515</v>
      </c>
      <c r="B35383" s="4" t="s">
        <v>44517</v>
      </c>
      <c r="C35383" s="5" t="str">
        <f>IFERROR(__xludf.DUMMYFUNCTION("GOOGLETRANSLATE(B35383,""en"",""es-ES"")"),"Vemos a un hombre esponjoso el pelaje en un perro grande.")</f>
        <v>Vemos a un hombre esponjoso el pelaje en un perro grande.</v>
      </c>
    </row>
    <row r="35384">
      <c r="A35384" s="4" t="s">
        <v>44515</v>
      </c>
      <c r="B35384" s="4" t="s">
        <v>44518</v>
      </c>
      <c r="C35384" s="5" t="str">
        <f>IFERROR(__xludf.DUMMYFUNCTION("GOOGLETRANSLATE(B35384,""en"",""es-ES"")"),"Vemos a un hombre secar a un perro.")</f>
        <v>Vemos a un hombre secar a un perro.</v>
      </c>
    </row>
    <row r="35385">
      <c r="A35385" s="4" t="s">
        <v>44515</v>
      </c>
      <c r="B35385" s="4" t="s">
        <v>44519</v>
      </c>
      <c r="C35385" s="5" t="str">
        <f>IFERROR(__xludf.DUMMYFUNCTION("GOOGLETRANSLATE(B35385,""en"",""es-ES"")"),"Vemos a un gran perro negro que se seca.")</f>
        <v>Vemos a un gran perro negro que se seca.</v>
      </c>
    </row>
    <row r="35386">
      <c r="A35386" s="4" t="s">
        <v>44515</v>
      </c>
      <c r="B35386" s="4" t="s">
        <v>44520</v>
      </c>
      <c r="C35386" s="5" t="str">
        <f>IFERROR(__xludf.DUMMYFUNCTION("GOOGLETRANSLATE(B35386,""en"",""es-ES"")"),"Un hombre se peina a un cabello de perros directamente.")</f>
        <v>Un hombre se peina a un cabello de perros directamente.</v>
      </c>
    </row>
    <row r="35387">
      <c r="A35387" s="4" t="s">
        <v>44515</v>
      </c>
      <c r="B35387" s="4" t="s">
        <v>44521</v>
      </c>
      <c r="C35387" s="5" t="str">
        <f>IFERROR(__xludf.DUMMYFUNCTION("GOOGLETRANSLATE(B35387,""en"",""es-ES"")"),"Vemos dos pantallas de finalización oscura.")</f>
        <v>Vemos dos pantallas de finalización oscura.</v>
      </c>
    </row>
    <row r="35388">
      <c r="A35388" s="4" t="s">
        <v>44522</v>
      </c>
      <c r="B35388" s="4" t="s">
        <v>44523</v>
      </c>
      <c r="C35388" s="5" t="str">
        <f>IFERROR(__xludf.DUMMYFUNCTION("GOOGLETRANSLATE(B35388,""en"",""es-ES"")"),"`Una cookie se muestra en un plato.")</f>
        <v>`Una cookie se muestra en un plato.</v>
      </c>
    </row>
    <row r="35389">
      <c r="A35389" s="4" t="s">
        <v>44522</v>
      </c>
      <c r="B35389" s="4" t="s">
        <v>44524</v>
      </c>
      <c r="C35389" s="5" t="str">
        <f>IFERROR(__xludf.DUMMYFUNCTION("GOOGLETRANSLATE(B35389,""en"",""es-ES"")"),"Los ingredientes se agregan a un tazón de vidrio y se mezclan.")</f>
        <v>Los ingredientes se agregan a un tazón de vidrio y se mezclan.</v>
      </c>
    </row>
    <row r="35390">
      <c r="A35390" s="4" t="s">
        <v>44522</v>
      </c>
      <c r="B35390" s="4" t="s">
        <v>44525</v>
      </c>
      <c r="C35390" s="5" t="str">
        <f>IFERROR(__xludf.DUMMYFUNCTION("GOOGLETRANSLATE(B35390,""en"",""es-ES"")"),"Se agregan chispas de chocolate a la masa.")</f>
        <v>Se agregan chispas de chocolate a la masa.</v>
      </c>
    </row>
    <row r="35391">
      <c r="A35391" s="4" t="s">
        <v>44522</v>
      </c>
      <c r="B35391" s="4" t="s">
        <v>44526</v>
      </c>
      <c r="C35391" s="5" t="str">
        <f>IFERROR(__xludf.DUMMYFUNCTION("GOOGLETRANSLATE(B35391,""en"",""es-ES"")"),"La masa se aplana en una bandeja para galletas.")</f>
        <v>La masa se aplana en una bandeja para galletas.</v>
      </c>
    </row>
    <row r="35392">
      <c r="A35392" s="4" t="s">
        <v>44522</v>
      </c>
      <c r="B35392" s="4" t="s">
        <v>44527</v>
      </c>
      <c r="C35392" s="5" t="str">
        <f>IFERROR(__xludf.DUMMYFUNCTION("GOOGLETRANSLATE(B35392,""en"",""es-ES"")"),"El chocolate se rocía por encima.")</f>
        <v>El chocolate se rocía por encima.</v>
      </c>
    </row>
    <row r="35393">
      <c r="A35393" s="4" t="s">
        <v>44522</v>
      </c>
      <c r="B35393" s="4" t="s">
        <v>44528</v>
      </c>
      <c r="C35393" s="5" t="str">
        <f>IFERROR(__xludf.DUMMYFUNCTION("GOOGLETRANSLATE(B35393,""en"",""es-ES"")"),"Los dulces se colocan encima de la galleta.")</f>
        <v>Los dulces se colocan encima de la galleta.</v>
      </c>
    </row>
    <row r="35394">
      <c r="A35394" s="4" t="s">
        <v>44522</v>
      </c>
      <c r="B35394" s="4" t="s">
        <v>44529</v>
      </c>
      <c r="C35394" s="5" t="str">
        <f>IFERROR(__xludf.DUMMYFUNCTION("GOOGLETRANSLATE(B35394,""en"",""es-ES"")"),"La galleta se corta y se coloca en un plato.")</f>
        <v>La galleta se corta y se coloca en un plato.</v>
      </c>
    </row>
    <row r="35395">
      <c r="A35395" s="4" t="s">
        <v>44522</v>
      </c>
      <c r="B35395" s="4" t="s">
        <v>44530</v>
      </c>
      <c r="C35395" s="5" t="str">
        <f>IFERROR(__xludf.DUMMYFUNCTION("GOOGLETRANSLATE(B35395,""en"",""es-ES"")"),"Se muestra un tenedor comiendo la galleta.")</f>
        <v>Se muestra un tenedor comiendo la galleta.</v>
      </c>
    </row>
    <row r="35396">
      <c r="A35396" s="4" t="s">
        <v>44531</v>
      </c>
      <c r="B35396" s="4" t="s">
        <v>44532</v>
      </c>
      <c r="C35396" s="5" t="str">
        <f>IFERROR(__xludf.DUMMYFUNCTION("GOOGLETRANSLATE(B35396,""en"",""es-ES"")"),"Una mujer está sentada en una cabina.")</f>
        <v>Una mujer está sentada en una cabina.</v>
      </c>
    </row>
    <row r="35397">
      <c r="A35397" s="4" t="s">
        <v>44531</v>
      </c>
      <c r="B35397" s="4" t="s">
        <v>44533</v>
      </c>
      <c r="C35397" s="5" t="str">
        <f>IFERROR(__xludf.DUMMYFUNCTION("GOOGLETRANSLATE(B35397,""en"",""es-ES"")"),"Su pequeña niña empuja un cono de helado de vainilla en la cara y se ríe.")</f>
        <v>Su pequeña niña empuja un cono de helado de vainilla en la cara y se ríe.</v>
      </c>
    </row>
    <row r="35398">
      <c r="A35398" s="4" t="s">
        <v>44531</v>
      </c>
      <c r="B35398" s="4" t="s">
        <v>44534</v>
      </c>
      <c r="C35398" s="5" t="str">
        <f>IFERROR(__xludf.DUMMYFUNCTION("GOOGLETRANSLATE(B35398,""en"",""es-ES"")"),"La niña continúa haciéndolo, y la mujer tiene que limpiarse la boca y la nariz varias veces.")</f>
        <v>La niña continúa haciéndolo, y la mujer tiene que limpiarse la boca y la nariz varias veces.</v>
      </c>
    </row>
    <row r="35399">
      <c r="A35399" s="4" t="s">
        <v>44535</v>
      </c>
      <c r="B35399" s="4" t="s">
        <v>44536</v>
      </c>
      <c r="C35399" s="5" t="str">
        <f>IFERROR(__xludf.DUMMYFUNCTION("GOOGLETRANSLATE(B35399,""en"",""es-ES"")"),"El jugador sirve al birdie para comenzar el partido.")</f>
        <v>El jugador sirve al birdie para comenzar el partido.</v>
      </c>
    </row>
    <row r="35400">
      <c r="A35400" s="4" t="s">
        <v>44535</v>
      </c>
      <c r="B35400" s="4" t="s">
        <v>44537</v>
      </c>
      <c r="C35400" s="5" t="str">
        <f>IFERROR(__xludf.DUMMYFUNCTION("GOOGLETRANSLATE(B35400,""en"",""es-ES"")"),"Dos equipos compiten en un juego de bádminton en Gymnasium.")</f>
        <v>Dos equipos compiten en un juego de bádminton en Gymnasium.</v>
      </c>
    </row>
    <row r="35401">
      <c r="A35401" s="4" t="s">
        <v>44535</v>
      </c>
      <c r="B35401" s="4" t="s">
        <v>44538</v>
      </c>
      <c r="C35401" s="5" t="str">
        <f>IFERROR(__xludf.DUMMYFUNCTION("GOOGLETRANSLATE(B35401,""en"",""es-ES"")"),"Los equipos tienen una volea larga durante el juego.")</f>
        <v>Los equipos tienen una volea larga durante el juego.</v>
      </c>
    </row>
    <row r="35402">
      <c r="A35402" s="4" t="s">
        <v>44535</v>
      </c>
      <c r="B35402" s="4" t="s">
        <v>44539</v>
      </c>
      <c r="C35402" s="5" t="str">
        <f>IFERROR(__xludf.DUMMYFUNCTION("GOOGLETRANSLATE(B35402,""en"",""es-ES"")"),"El jugador golpea el birdie con fuerza y ​​anota un punto.")</f>
        <v>El jugador golpea el birdie con fuerza y ​​anota un punto.</v>
      </c>
    </row>
    <row r="35403">
      <c r="A35403" s="4" t="s">
        <v>44540</v>
      </c>
      <c r="B35403" s="4" t="s">
        <v>44541</v>
      </c>
      <c r="C35403" s="5" t="str">
        <f>IFERROR(__xludf.DUMMYFUNCTION("GOOGLETRANSLATE(B35403,""en"",""es-ES"")"),"Se muestra un guerrero de sumo sosteniendo un buscapersonas.")</f>
        <v>Se muestra un guerrero de sumo sosteniendo un buscapersonas.</v>
      </c>
    </row>
    <row r="35404">
      <c r="A35404" s="4" t="s">
        <v>44540</v>
      </c>
      <c r="B35404" s="4" t="s">
        <v>44542</v>
      </c>
      <c r="C35404" s="5" t="str">
        <f>IFERROR(__xludf.DUMMYFUNCTION("GOOGLETRANSLATE(B35404,""en"",""es-ES"")"),"Se muestra un guerrero de sumo más grande sosteniendo otro buscapersonas.")</f>
        <v>Se muestra un guerrero de sumo más grande sosteniendo otro buscapersonas.</v>
      </c>
    </row>
    <row r="35405">
      <c r="A35405" s="4" t="s">
        <v>44540</v>
      </c>
      <c r="B35405" s="4" t="s">
        <v>44543</v>
      </c>
      <c r="C35405" s="5" t="str">
        <f>IFERROR(__xludf.DUMMYFUNCTION("GOOGLETRANSLATE(B35405,""en"",""es-ES"")"),"Los guerreros de sumo se enfrentan y el más grande se sienta y hace que el más pequeño desaparezca.")</f>
        <v>Los guerreros de sumo se enfrentan y el más grande se sienta y hace que el más pequeño desaparezca.</v>
      </c>
    </row>
    <row r="35406">
      <c r="A35406" s="4" t="s">
        <v>44544</v>
      </c>
      <c r="B35406" s="4" t="s">
        <v>44545</v>
      </c>
      <c r="C35406" s="5" t="str">
        <f>IFERROR(__xludf.DUMMYFUNCTION("GOOGLETRANSLATE(B35406,""en"",""es-ES"")"),"Una cámara se mueve alrededor de una imagen de un caballo seguido de una persona cepillando y aspirando el cabello de un caballo.")</f>
        <v>Una cámara se mueve alrededor de una imagen de un caballo seguido de una persona cepillando y aspirando el cabello de un caballo.</v>
      </c>
    </row>
    <row r="35407">
      <c r="A35407" s="4" t="s">
        <v>44544</v>
      </c>
      <c r="B35407" s="4" t="s">
        <v>44546</v>
      </c>
      <c r="C35407" s="5" t="str">
        <f>IFERROR(__xludf.DUMMYFUNCTION("GOOGLETRANSLATE(B35407,""en"",""es-ES"")"),"La persona continúa cepillando y aspirando el cabello y terminando con la imagen de los dos.")</f>
        <v>La persona continúa cepillando y aspirando el cabello y terminando con la imagen de los dos.</v>
      </c>
    </row>
    <row r="35408">
      <c r="A35408" s="4" t="s">
        <v>44547</v>
      </c>
      <c r="B35408" s="4" t="s">
        <v>44548</v>
      </c>
      <c r="C35408" s="5" t="str">
        <f>IFERROR(__xludf.DUMMYFUNCTION("GOOGLETRANSLATE(B35408,""en"",""es-ES"")"),"Un hombre y una mujer están sentados frente a un piano jugando juntos.")</f>
        <v>Un hombre y una mujer están sentados frente a un piano jugando juntos.</v>
      </c>
    </row>
    <row r="35409">
      <c r="A35409" s="4" t="s">
        <v>44547</v>
      </c>
      <c r="B35409" s="4" t="s">
        <v>44549</v>
      </c>
      <c r="C35409" s="5" t="str">
        <f>IFERROR(__xludf.DUMMYFUNCTION("GOOGLETRANSLATE(B35409,""en"",""es-ES"")"),"La gente se reúne alrededor del piano mirando a la gente sentada en el piano.")</f>
        <v>La gente se reúne alrededor del piano mirando a la gente sentada en el piano.</v>
      </c>
    </row>
    <row r="35410">
      <c r="A35410" s="4" t="s">
        <v>44547</v>
      </c>
      <c r="B35410" s="4" t="s">
        <v>44550</v>
      </c>
      <c r="C35410" s="5" t="str">
        <f>IFERROR(__xludf.DUMMYFUNCTION("GOOGLETRANSLATE(B35410,""en"",""es-ES"")"),"Las personas en el piano se encuentran y cambian la posición en FORNT del piano.")</f>
        <v>Las personas en el piano se encuentran y cambian la posición en FORNT del piano.</v>
      </c>
    </row>
    <row r="35411">
      <c r="A35411" s="4" t="s">
        <v>44551</v>
      </c>
      <c r="B35411" s="4" t="s">
        <v>44552</v>
      </c>
      <c r="C35411" s="5" t="str">
        <f>IFERROR(__xludf.DUMMYFUNCTION("GOOGLETRANSLATE(B35411,""en"",""es-ES"")"),"Un hombre vestido con equipo de invierno está sentado en invierno en un lago congelado.")</f>
        <v>Un hombre vestido con equipo de invierno está sentado en invierno en un lago congelado.</v>
      </c>
    </row>
    <row r="35412">
      <c r="A35412" s="4" t="s">
        <v>44551</v>
      </c>
      <c r="B35412" s="4" t="s">
        <v>44553</v>
      </c>
      <c r="C35412" s="5" t="str">
        <f>IFERROR(__xludf.DUMMYFUNCTION("GOOGLETRANSLATE(B35412,""en"",""es-ES"")"),"Está sentado allí con equipo de pesca pescando en el lago congelado.")</f>
        <v>Está sentado allí con equipo de pesca pescando en el lago congelado.</v>
      </c>
    </row>
    <row r="35413">
      <c r="A35413" s="4" t="s">
        <v>44551</v>
      </c>
      <c r="B35413" s="4" t="s">
        <v>44554</v>
      </c>
      <c r="C35413" s="5" t="str">
        <f>IFERROR(__xludf.DUMMYFUNCTION("GOOGLETRANSLATE(B35413,""en"",""es-ES"")"),"Utiliza un cebo para pescar y atrapa un pez gris de tamaño medio.")</f>
        <v>Utiliza un cebo para pescar y atrapa un pez gris de tamaño medio.</v>
      </c>
    </row>
    <row r="35414">
      <c r="A35414" s="4" t="s">
        <v>44551</v>
      </c>
      <c r="B35414" s="4" t="s">
        <v>44555</v>
      </c>
      <c r="C35414" s="5" t="str">
        <f>IFERROR(__xludf.DUMMYFUNCTION("GOOGLETRANSLATE(B35414,""en"",""es-ES"")"),"Muestra a los dos peces que ha atrapado.")</f>
        <v>Muestra a los dos peces que ha atrapado.</v>
      </c>
    </row>
    <row r="35415">
      <c r="A35415" s="4" t="s">
        <v>44551</v>
      </c>
      <c r="B35415" s="4" t="s">
        <v>44556</v>
      </c>
      <c r="C35415" s="5" t="str">
        <f>IFERROR(__xludf.DUMMYFUNCTION("GOOGLETRANSLATE(B35415,""en"",""es-ES"")"),"Luego pone su red de pesca en un agujero en el lago y continúa pescando.")</f>
        <v>Luego pone su red de pesca en un agujero en el lago y continúa pescando.</v>
      </c>
    </row>
    <row r="35416">
      <c r="A35416" s="4" t="s">
        <v>44551</v>
      </c>
      <c r="B35416" s="4" t="s">
        <v>44557</v>
      </c>
      <c r="C35416" s="5" t="str">
        <f>IFERROR(__xludf.DUMMYFUNCTION("GOOGLETRANSLATE(B35416,""en"",""es-ES"")"),"Coge otro pez gris oscuro y lo arroja a su caja.")</f>
        <v>Coge otro pez gris oscuro y lo arroja a su caja.</v>
      </c>
    </row>
    <row r="35417">
      <c r="A35417" s="4" t="s">
        <v>44551</v>
      </c>
      <c r="B35417" s="4" t="s">
        <v>44558</v>
      </c>
      <c r="C35417" s="5" t="str">
        <f>IFERROR(__xludf.DUMMYFUNCTION("GOOGLETRANSLATE(B35417,""en"",""es-ES"")"),"Continúa pescando y atrapa más peces en ese mismo agujero.")</f>
        <v>Continúa pescando y atrapa más peces en ese mismo agujero.</v>
      </c>
    </row>
    <row r="35418">
      <c r="A35418" s="4" t="s">
        <v>44551</v>
      </c>
      <c r="B35418" s="4" t="s">
        <v>44559</v>
      </c>
      <c r="C35418" s="5" t="str">
        <f>IFERROR(__xludf.DUMMYFUNCTION("GOOGLETRANSLATE(B35418,""en"",""es-ES"")"),"Recoge el pez en un cubo blanco.")</f>
        <v>Recoge el pez en un cubo blanco.</v>
      </c>
    </row>
    <row r="35419">
      <c r="A35419" s="4" t="s">
        <v>44560</v>
      </c>
      <c r="B35419" s="4" t="s">
        <v>44561</v>
      </c>
      <c r="C35419" s="5" t="str">
        <f>IFERROR(__xludf.DUMMYFUNCTION("GOOGLETRANSLATE(B35419,""en"",""es-ES"")"),"Una mujer se para en una pista.")</f>
        <v>Una mujer se para en una pista.</v>
      </c>
    </row>
    <row r="35420">
      <c r="A35420" s="4" t="s">
        <v>44560</v>
      </c>
      <c r="B35420" s="4" t="s">
        <v>44562</v>
      </c>
      <c r="C35420" s="5" t="str">
        <f>IFERROR(__xludf.DUMMYFUNCTION("GOOGLETRANSLATE(B35420,""en"",""es-ES"")"),"Ella se inclina en la pista.")</f>
        <v>Ella se inclina en la pista.</v>
      </c>
    </row>
    <row r="35421">
      <c r="A35421" s="4" t="s">
        <v>44560</v>
      </c>
      <c r="B35421" s="4" t="s">
        <v>44563</v>
      </c>
      <c r="C35421" s="5" t="str">
        <f>IFERROR(__xludf.DUMMYFUNCTION("GOOGLETRANSLATE(B35421,""en"",""es-ES"")"),"Luego corre por la pista.")</f>
        <v>Luego corre por la pista.</v>
      </c>
    </row>
    <row r="35422">
      <c r="A35422" s="4" t="s">
        <v>44560</v>
      </c>
      <c r="B35422" s="4" t="s">
        <v>44564</v>
      </c>
      <c r="C35422" s="5" t="str">
        <f>IFERROR(__xludf.DUMMYFUNCTION("GOOGLETRANSLATE(B35422,""en"",""es-ES"")"),"Ella salta y aterriza en la arena.")</f>
        <v>Ella salta y aterriza en la arena.</v>
      </c>
    </row>
    <row r="35423">
      <c r="A35423" s="4" t="s">
        <v>44565</v>
      </c>
      <c r="B35423" s="4" t="s">
        <v>44566</v>
      </c>
      <c r="C35423" s="5" t="str">
        <f>IFERROR(__xludf.DUMMYFUNCTION("GOOGLETRANSLATE(B35423,""en"",""es-ES"")"),"Un hombre está sentado en un corredor de olas en el agua.")</f>
        <v>Un hombre está sentado en un corredor de olas en el agua.</v>
      </c>
    </row>
    <row r="35424">
      <c r="A35424" s="4" t="s">
        <v>44565</v>
      </c>
      <c r="B35424" s="4" t="s">
        <v>44567</v>
      </c>
      <c r="C35424" s="5" t="str">
        <f>IFERROR(__xludf.DUMMYFUNCTION("GOOGLETRANSLATE(B35424,""en"",""es-ES"")"),"Una persona está navegando en una gran ola en el agua.")</f>
        <v>Una persona está navegando en una gran ola en el agua.</v>
      </c>
    </row>
    <row r="35425">
      <c r="A35425" s="4" t="s">
        <v>44565</v>
      </c>
      <c r="B35425" s="4" t="s">
        <v>44568</v>
      </c>
      <c r="C35425" s="5" t="str">
        <f>IFERROR(__xludf.DUMMYFUNCTION("GOOGLETRANSLATE(B35425,""en"",""es-ES"")"),"La ola se estrella sobre el surfista.")</f>
        <v>La ola se estrella sobre el surfista.</v>
      </c>
    </row>
    <row r="35426">
      <c r="A35426" s="4" t="s">
        <v>44569</v>
      </c>
      <c r="B35426" s="4" t="s">
        <v>44570</v>
      </c>
      <c r="C35426" s="5" t="str">
        <f>IFERROR(__xludf.DUMMYFUNCTION("GOOGLETRANSLATE(B35426,""en"",""es-ES"")"),"Una mujer y un hombre bailando provocativamente fuera de un restaurante.")</f>
        <v>Una mujer y un hombre bailando provocativamente fuera de un restaurante.</v>
      </c>
    </row>
    <row r="35427">
      <c r="A35427" s="4" t="s">
        <v>44569</v>
      </c>
      <c r="B35427" s="4" t="s">
        <v>44571</v>
      </c>
      <c r="C35427" s="5" t="str">
        <f>IFERROR(__xludf.DUMMYFUNCTION("GOOGLETRANSLATE(B35427,""en"",""es-ES"")"),"Ella lleva un vestido corto muy sexy y pateando las piernas arriba y abajo con tacones.")</f>
        <v>Ella lleva un vestido corto muy sexy y pateando las piernas arriba y abajo con tacones.</v>
      </c>
    </row>
    <row r="35428">
      <c r="A35428" s="4" t="s">
        <v>44569</v>
      </c>
      <c r="B35428" s="4" t="s">
        <v>44572</v>
      </c>
      <c r="C35428" s="5" t="str">
        <f>IFERROR(__xludf.DUMMYFUNCTION("GOOGLETRANSLATE(B35428,""en"",""es-ES"")"),"La gente está saliendo del restaurante.")</f>
        <v>La gente está saliendo del restaurante.</v>
      </c>
    </row>
    <row r="35429">
      <c r="A35429" s="4" t="s">
        <v>44569</v>
      </c>
      <c r="B35429" s="4" t="s">
        <v>44573</v>
      </c>
      <c r="C35429" s="5" t="str">
        <f>IFERROR(__xludf.DUMMYFUNCTION("GOOGLETRANSLATE(B35429,""en"",""es-ES"")"),"Uno de los trabajadores está sentado en un taburete fumando hasta que terminan su baile en el suelo.")</f>
        <v>Uno de los trabajadores está sentado en un taburete fumando hasta que terminan su baile en el suelo.</v>
      </c>
    </row>
    <row r="35430">
      <c r="A35430" s="4" t="s">
        <v>44574</v>
      </c>
      <c r="B35430" s="4" t="s">
        <v>44575</v>
      </c>
      <c r="C35430" s="5" t="str">
        <f>IFERROR(__xludf.DUMMYFUNCTION("GOOGLETRANSLATE(B35430,""en"",""es-ES"")"),"Varias personas están golpeando un instrumento con palos.")</f>
        <v>Varias personas están golpeando un instrumento con palos.</v>
      </c>
    </row>
    <row r="35431">
      <c r="A35431" s="4" t="s">
        <v>44574</v>
      </c>
      <c r="B35431" s="4" t="s">
        <v>44576</v>
      </c>
      <c r="C35431" s="5" t="str">
        <f>IFERROR(__xludf.DUMMYFUNCTION("GOOGLETRANSLATE(B35431,""en"",""es-ES"")"),"Dos hombres hacen volteos uno frente al otro.")</f>
        <v>Dos hombres hacen volteos uno frente al otro.</v>
      </c>
    </row>
    <row r="35432">
      <c r="A35432" s="4" t="s">
        <v>44574</v>
      </c>
      <c r="B35432" s="4" t="s">
        <v>44577</v>
      </c>
      <c r="C35432" s="5" t="str">
        <f>IFERROR(__xludf.DUMMYFUNCTION("GOOGLETRANSLATE(B35432,""en"",""es-ES"")"),"Varios grupos más de personas parecen estar haciendo algún tipo de danza de artes marciales.")</f>
        <v>Varios grupos más de personas parecen estar haciendo algún tipo de danza de artes marciales.</v>
      </c>
    </row>
    <row r="35433">
      <c r="A35433" s="4" t="s">
        <v>44574</v>
      </c>
      <c r="B35433" s="4" t="s">
        <v>44578</v>
      </c>
      <c r="C35433" s="5" t="str">
        <f>IFERROR(__xludf.DUMMYFUNCTION("GOOGLETRANSLATE(B35433,""en"",""es-ES"")"),"Se sienten atendidos por los espectadores aplaudidos.")</f>
        <v>Se sienten atendidos por los espectadores aplaudidos.</v>
      </c>
    </row>
    <row r="35434">
      <c r="A35434" s="4" t="s">
        <v>44579</v>
      </c>
      <c r="B35434" s="4" t="s">
        <v>44580</v>
      </c>
      <c r="C35434" s="5" t="str">
        <f>IFERROR(__xludf.DUMMYFUNCTION("GOOGLETRANSLATE(B35434,""en"",""es-ES"")"),"Se ve a un hombre parado frente a un gol sosteniendo un palo y hablando con la cámara.")</f>
        <v>Se ve a un hombre parado frente a un gol sosteniendo un palo y hablando con la cámara.</v>
      </c>
    </row>
    <row r="35435">
      <c r="A35435" s="4" t="s">
        <v>44579</v>
      </c>
      <c r="B35435" s="4" t="s">
        <v>44581</v>
      </c>
      <c r="C35435" s="5" t="str">
        <f>IFERROR(__xludf.DUMMYFUNCTION("GOOGLETRANSLATE(B35435,""en"",""es-ES"")"),"Se muestran varios disparos de él hablando y demuestra cómo ser un portero adecuado.")</f>
        <v>Se muestran varios disparos de él hablando y demuestra cómo ser un portero adecuado.</v>
      </c>
    </row>
    <row r="35436">
      <c r="A35436" s="4" t="s">
        <v>44579</v>
      </c>
      <c r="B35436" s="4" t="s">
        <v>44582</v>
      </c>
      <c r="C35436" s="5" t="str">
        <f>IFERROR(__xludf.DUMMYFUNCTION("GOOGLETRANSLATE(B35436,""en"",""es-ES"")"),"Se mueve hacia atrás y el cuarto un poco mientras se mueve el palo mientras sigue sosteniendo los brazos hacia arriba y hablando con la cámara.")</f>
        <v>Se mueve hacia atrás y el cuarto un poco mientras se mueve el palo mientras sigue sosteniendo los brazos hacia arriba y hablando con la cámara.</v>
      </c>
    </row>
    <row r="35437">
      <c r="A35437" s="4" t="s">
        <v>44583</v>
      </c>
      <c r="B35437" s="4" t="s">
        <v>44584</v>
      </c>
      <c r="C35437" s="5" t="str">
        <f>IFERROR(__xludf.DUMMYFUNCTION("GOOGLETRANSLATE(B35437,""en"",""es-ES"")"),"Un niño pequeño está jugando escocés en el pavimento.")</f>
        <v>Un niño pequeño está jugando escocés en el pavimento.</v>
      </c>
    </row>
    <row r="35438">
      <c r="A35438" s="4" t="s">
        <v>44583</v>
      </c>
      <c r="B35438" s="4" t="s">
        <v>44585</v>
      </c>
      <c r="C35438" s="5" t="str">
        <f>IFERROR(__xludf.DUMMYFUNCTION("GOOGLETRANSLATE(B35438,""en"",""es-ES"")"),"Hay un camión detrás de él.")</f>
        <v>Hay un camión detrás de él.</v>
      </c>
    </row>
    <row r="35439">
      <c r="A35439" s="4" t="s">
        <v>44583</v>
      </c>
      <c r="B35439" s="4" t="s">
        <v>44586</v>
      </c>
      <c r="C35439" s="5" t="str">
        <f>IFERROR(__xludf.DUMMYFUNCTION("GOOGLETRANSLATE(B35439,""en"",""es-ES"")"),"Realmente no lo juega bien.")</f>
        <v>Realmente no lo juega bien.</v>
      </c>
    </row>
    <row r="35440">
      <c r="A35440" s="4" t="s">
        <v>44583</v>
      </c>
      <c r="B35440" s="4" t="s">
        <v>44587</v>
      </c>
      <c r="C35440" s="5" t="str">
        <f>IFERROR(__xludf.DUMMYFUNCTION("GOOGLETRANSLATE(B35440,""en"",""es-ES"")"),"Él salta sobre todos los números.")</f>
        <v>Él salta sobre todos los números.</v>
      </c>
    </row>
    <row r="35441">
      <c r="A35441" s="4" t="s">
        <v>44583</v>
      </c>
      <c r="B35441" s="4" t="s">
        <v>44588</v>
      </c>
      <c r="C35441" s="5" t="str">
        <f>IFERROR(__xludf.DUMMYFUNCTION("GOOGLETRANSLATE(B35441,""en"",""es-ES"")"),"Él corre por el juego.")</f>
        <v>Él corre por el juego.</v>
      </c>
    </row>
    <row r="35442">
      <c r="A35442" s="4" t="s">
        <v>44589</v>
      </c>
      <c r="B35442" s="4" t="s">
        <v>44590</v>
      </c>
      <c r="C35442" s="5" t="str">
        <f>IFERROR(__xludf.DUMMYFUNCTION("GOOGLETRANSLATE(B35442,""en"",""es-ES"")"),"Se ve a un atleta de pie listo sosteniendo una jabalina y arrojándola a la distancia.")</f>
        <v>Se ve a un atleta de pie listo sosteniendo una jabalina y arrojándola a la distancia.</v>
      </c>
    </row>
    <row r="35443">
      <c r="A35443" s="4" t="s">
        <v>44589</v>
      </c>
      <c r="B35443" s="4" t="s">
        <v>44591</v>
      </c>
      <c r="C35443" s="5" t="str">
        <f>IFERROR(__xludf.DUMMYFUNCTION("GOOGLETRANSLATE(B35443,""en"",""es-ES"")"),"Varias personas más se ven lanzando una jabalina con su lanzamiento que se muestra nuevamente después.")</f>
        <v>Varias personas más se ven lanzando una jabalina con su lanzamiento que se muestra nuevamente después.</v>
      </c>
    </row>
    <row r="35444">
      <c r="A35444" s="4" t="s">
        <v>44589</v>
      </c>
      <c r="B35444" s="4" t="s">
        <v>44592</v>
      </c>
      <c r="C35444" s="5" t="str">
        <f>IFERROR(__xludf.DUMMYFUNCTION("GOOGLETRANSLATE(B35444,""en"",""es-ES"")"),"La cámara se mueve alrededor de la mujer al final y muestra su puntaje.")</f>
        <v>La cámara se mueve alrededor de la mujer al final y muestra su puntaje.</v>
      </c>
    </row>
    <row r="35445">
      <c r="A35445" s="4" t="s">
        <v>44593</v>
      </c>
      <c r="B35445" s="4" t="s">
        <v>44594</v>
      </c>
      <c r="C35445" s="5" t="str">
        <f>IFERROR(__xludf.DUMMYFUNCTION("GOOGLETRANSLATE(B35445,""en"",""es-ES"")"),"Un hombre habla sobre el entrenamiento de la gimnasia.")</f>
        <v>Un hombre habla sobre el entrenamiento de la gimnasia.</v>
      </c>
    </row>
    <row r="35446">
      <c r="A35446" s="4" t="s">
        <v>44593</v>
      </c>
      <c r="B35446" s="4" t="s">
        <v>44595</v>
      </c>
      <c r="C35446" s="5" t="str">
        <f>IFERROR(__xludf.DUMMYFUNCTION("GOOGLETRANSLATE(B35446,""en"",""es-ES"")"),"Una niña comienza a hacer una rutina en las barras desiguales.")</f>
        <v>Una niña comienza a hacer una rutina en las barras desiguales.</v>
      </c>
    </row>
    <row r="35447">
      <c r="A35447" s="4" t="s">
        <v>44596</v>
      </c>
      <c r="B35447" s="4" t="s">
        <v>44597</v>
      </c>
      <c r="C35447" s="5" t="str">
        <f>IFERROR(__xludf.DUMMYFUNCTION("GOOGLETRANSLATE(B35447,""en"",""es-ES"")"),"Se ve a un hombre arrodillado en el piso y hablando con la cámara.")</f>
        <v>Se ve a un hombre arrodillado en el piso y hablando con la cámara.</v>
      </c>
    </row>
    <row r="35448">
      <c r="A35448" s="4" t="s">
        <v>44596</v>
      </c>
      <c r="B35448" s="4" t="s">
        <v>44598</v>
      </c>
      <c r="C35448" s="5" t="str">
        <f>IFERROR(__xludf.DUMMYFUNCTION("GOOGLETRANSLATE(B35448,""en"",""es-ES"")"),"El hombre se voltea y comienza a hacer ejercicios de piernas.")</f>
        <v>El hombre se voltea y comienza a hacer ejercicios de piernas.</v>
      </c>
    </row>
    <row r="35449">
      <c r="A35449" s="4" t="s">
        <v>44596</v>
      </c>
      <c r="B35449" s="4" t="s">
        <v>44599</v>
      </c>
      <c r="C35449" s="5" t="str">
        <f>IFERROR(__xludf.DUMMYFUNCTION("GOOGLETRANSLATE(B35449,""en"",""es-ES"")"),"Su mueve su cuerpo, demostrando ejercicios adecuados mientras sigue mirando y hablando con la cámara.")</f>
        <v>Su mueve su cuerpo, demostrando ejercicios adecuados mientras sigue mirando y hablando con la cámara.</v>
      </c>
    </row>
    <row r="35450">
      <c r="A35450" s="4" t="s">
        <v>44600</v>
      </c>
      <c r="B35450" s="4" t="s">
        <v>44601</v>
      </c>
      <c r="C35450" s="5" t="str">
        <f>IFERROR(__xludf.DUMMYFUNCTION("GOOGLETRANSLATE(B35450,""en"",""es-ES"")"),"Un hombre establece una cámara en una barra.")</f>
        <v>Un hombre establece una cámara en una barra.</v>
      </c>
    </row>
    <row r="35451">
      <c r="A35451" s="4" t="s">
        <v>44600</v>
      </c>
      <c r="B35451" s="4" t="s">
        <v>44602</v>
      </c>
      <c r="C35451" s="5" t="str">
        <f>IFERROR(__xludf.DUMMYFUNCTION("GOOGLETRANSLATE(B35451,""en"",""es-ES"")"),"El hombre luego habla con la cámara.")</f>
        <v>El hombre luego habla con la cámara.</v>
      </c>
    </row>
    <row r="35452">
      <c r="A35452" s="4" t="s">
        <v>44600</v>
      </c>
      <c r="B35452" s="4" t="s">
        <v>44603</v>
      </c>
      <c r="C35452" s="5" t="str">
        <f>IFERROR(__xludf.DUMMYFUNCTION("GOOGLETRANSLATE(B35452,""en"",""es-ES"")"),"El hombre dispara solo a la piscina.")</f>
        <v>El hombre dispara solo a la piscina.</v>
      </c>
    </row>
    <row r="35453">
      <c r="A35453" s="4" t="s">
        <v>44600</v>
      </c>
      <c r="B35453" s="4" t="s">
        <v>44604</v>
      </c>
      <c r="C35453" s="5" t="str">
        <f>IFERROR(__xludf.DUMMYFUNCTION("GOOGLETRANSLATE(B35453,""en"",""es-ES"")"),"El hombre barbudo pasa por la mesa.")</f>
        <v>El hombre barbudo pasa por la mesa.</v>
      </c>
    </row>
    <row r="35454">
      <c r="A35454" s="4" t="s">
        <v>44600</v>
      </c>
      <c r="B35454" s="4" t="s">
        <v>44605</v>
      </c>
      <c r="C35454" s="5" t="str">
        <f>IFERROR(__xludf.DUMMYFUNCTION("GOOGLETRANSLATE(B35454,""en"",""es-ES"")"),"El hombre termina y habla con la cámara antes de apagarla.")</f>
        <v>El hombre termina y habla con la cámara antes de apagarla.</v>
      </c>
    </row>
    <row r="35455">
      <c r="A35455" s="4" t="s">
        <v>44606</v>
      </c>
      <c r="B35455" s="4" t="s">
        <v>44607</v>
      </c>
      <c r="C35455" s="5" t="str">
        <f>IFERROR(__xludf.DUMMYFUNCTION("GOOGLETRANSLATE(B35455,""en"",""es-ES"")"),"Una persona vierte agua a una taza.")</f>
        <v>Una persona vierte agua a una taza.</v>
      </c>
    </row>
    <row r="35456">
      <c r="A35456" s="4" t="s">
        <v>44606</v>
      </c>
      <c r="B35456" s="4" t="s">
        <v>44608</v>
      </c>
      <c r="C35456" s="5" t="str">
        <f>IFERROR(__xludf.DUMMYFUNCTION("GOOGLETRANSLATE(B35456,""en"",""es-ES"")"),"Una mujer habla en un bar que muestra botellas de licor.")</f>
        <v>Una mujer habla en un bar que muestra botellas de licor.</v>
      </c>
    </row>
    <row r="35457">
      <c r="A35457" s="4" t="s">
        <v>44606</v>
      </c>
      <c r="B35457" s="4" t="s">
        <v>44609</v>
      </c>
      <c r="C35457" s="5" t="str">
        <f>IFERROR(__xludf.DUMMYFUNCTION("GOOGLETRANSLATE(B35457,""en"",""es-ES"")"),"Luego, la mujer puso hielo en un vaso, luego agrega licores de tres botellas.")</f>
        <v>Luego, la mujer puso hielo en un vaso, luego agrega licores de tres botellas.</v>
      </c>
    </row>
    <row r="35458">
      <c r="A35458" s="4" t="s">
        <v>44606</v>
      </c>
      <c r="B35458" s="4" t="s">
        <v>44610</v>
      </c>
      <c r="C35458" s="5" t="str">
        <f>IFERROR(__xludf.DUMMYFUNCTION("GOOGLETRANSLATE(B35458,""en"",""es-ES"")"),"Después, la mujer agrega refrescos y puso una pajita.")</f>
        <v>Después, la mujer agrega refrescos y puso una pajita.</v>
      </c>
    </row>
    <row r="35459">
      <c r="A35459" s="4" t="s">
        <v>44611</v>
      </c>
      <c r="B35459" s="4" t="s">
        <v>44612</v>
      </c>
      <c r="C35459" s="5" t="str">
        <f>IFERROR(__xludf.DUMMYFUNCTION("GOOGLETRANSLATE(B35459,""en"",""es-ES"")"),"Un buzo está en el océano en las llaves de Florida, tiene una calabaza en la mano.")</f>
        <v>Un buzo está en el océano en las llaves de Florida, tiene una calabaza en la mano.</v>
      </c>
    </row>
    <row r="35460">
      <c r="A35460" s="4" t="s">
        <v>44611</v>
      </c>
      <c r="B35460" s="4" t="s">
        <v>44613</v>
      </c>
      <c r="C35460" s="5" t="str">
        <f>IFERROR(__xludf.DUMMYFUNCTION("GOOGLETRANSLATE(B35460,""en"",""es-ES"")"),"Él cae con otro buzo y comienzan a tallar las calabazas debajo del agua.")</f>
        <v>Él cae con otro buzo y comienzan a tallar las calabazas debajo del agua.</v>
      </c>
    </row>
    <row r="35461">
      <c r="A35461" s="4" t="s">
        <v>44611</v>
      </c>
      <c r="B35461" s="4" t="s">
        <v>44614</v>
      </c>
      <c r="C35461" s="5" t="str">
        <f>IFERROR(__xludf.DUMMYFUNCTION("GOOGLETRANSLATE(B35461,""en"",""es-ES"")"),"Anhelan alrededor de cinco o seis de ellos haciendo diferentes caras.")</f>
        <v>Anhelan alrededor de cinco o seis de ellos haciendo diferentes caras.</v>
      </c>
    </row>
    <row r="35462">
      <c r="A35462" s="4" t="s">
        <v>44611</v>
      </c>
      <c r="B35462" s="4" t="s">
        <v>44615</v>
      </c>
      <c r="C35462" s="5" t="str">
        <f>IFERROR(__xludf.DUMMYFUNCTION("GOOGLETRANSLATE(B35462,""en"",""es-ES"")"),"Luego los alinean y ponen algo de luz dentro o algo mientras los peces nadan a su alrededor casualmente.")</f>
        <v>Luego los alinean y ponen algo de luz dentro o algo mientras los peces nadan a su alrededor casualmente.</v>
      </c>
    </row>
    <row r="35463">
      <c r="A35463" s="4" t="s">
        <v>44616</v>
      </c>
      <c r="B35463" s="4" t="s">
        <v>44617</v>
      </c>
      <c r="C35463" s="5" t="str">
        <f>IFERROR(__xludf.DUMMYFUNCTION("GOOGLETRANSLATE(B35463,""en"",""es-ES"")"),"Se ven las manos de una persona sosteniendo un rube y girándolo.")</f>
        <v>Se ven las manos de una persona sosteniendo un rube y girándolo.</v>
      </c>
    </row>
    <row r="35464">
      <c r="A35464" s="4" t="s">
        <v>44616</v>
      </c>
      <c r="B35464" s="4" t="s">
        <v>44618</v>
      </c>
      <c r="C35464" s="5" t="str">
        <f>IFERROR(__xludf.DUMMYFUNCTION("GOOGLETRANSLATE(B35464,""en"",""es-ES"")"),"La persona gira el cubo por todos lados mientras intenta resolver el rompecabezas.")</f>
        <v>La persona gira el cubo por todos lados mientras intenta resolver el rompecabezas.</v>
      </c>
    </row>
    <row r="35465">
      <c r="A35465" s="4" t="s">
        <v>44616</v>
      </c>
      <c r="B35465" s="4" t="s">
        <v>44619</v>
      </c>
      <c r="C35465" s="5" t="str">
        <f>IFERROR(__xludf.DUMMYFUNCTION("GOOGLETRANSLATE(B35465,""en"",""es-ES"")"),"El hombre conecta todos los lados y lo muestra a la cámara.")</f>
        <v>El hombre conecta todos los lados y lo muestra a la cámara.</v>
      </c>
    </row>
    <row r="35466">
      <c r="A35466" s="4" t="s">
        <v>44620</v>
      </c>
      <c r="B35466" s="4" t="s">
        <v>44621</v>
      </c>
      <c r="C35466" s="5" t="str">
        <f>IFERROR(__xludf.DUMMYFUNCTION("GOOGLETRANSLATE(B35466,""en"",""es-ES"")"),"Se ve un primer plano de una mesa de fooseball, seguido de personas que se sostienen a los lados.")</f>
        <v>Se ve un primer plano de una mesa de fooseball, seguido de personas que se sostienen a los lados.</v>
      </c>
    </row>
    <row r="35467">
      <c r="A35467" s="4" t="s">
        <v>44620</v>
      </c>
      <c r="B35467" s="4" t="s">
        <v>44622</v>
      </c>
      <c r="C35467" s="5" t="str">
        <f>IFERROR(__xludf.DUMMYFUNCTION("GOOGLETRANSLATE(B35467,""en"",""es-ES"")"),"La gente juega el juego y cuarto mientras la cámara captura sus movimientos.")</f>
        <v>La gente juega el juego y cuarto mientras la cámara captura sus movimientos.</v>
      </c>
    </row>
    <row r="35468">
      <c r="A35468" s="4" t="s">
        <v>44620</v>
      </c>
      <c r="B35468" s="4" t="s">
        <v>44623</v>
      </c>
      <c r="C35468" s="5" t="str">
        <f>IFERROR(__xludf.DUMMYFUNCTION("GOOGLETRANSLATE(B35468,""en"",""es-ES"")"),"Los hombres continúan jugando sobre la mesa y el video se desvanece hasta el blanco.")</f>
        <v>Los hombres continúan jugando sobre la mesa y el video se desvanece hasta el blanco.</v>
      </c>
    </row>
    <row r="35469">
      <c r="A35469" s="4" t="s">
        <v>44624</v>
      </c>
      <c r="B35469" s="4" t="s">
        <v>44625</v>
      </c>
      <c r="C35469" s="5" t="str">
        <f>IFERROR(__xludf.DUMMYFUNCTION("GOOGLETRANSLATE(B35469,""en"",""es-ES"")"),"Un hombre y una mujer están parados en el mostrador de una cocina.")</f>
        <v>Un hombre y una mujer están parados en el mostrador de una cocina.</v>
      </c>
    </row>
    <row r="35470">
      <c r="A35470" s="4" t="s">
        <v>44624</v>
      </c>
      <c r="B35470" s="4" t="s">
        <v>44626</v>
      </c>
      <c r="C35470" s="5" t="str">
        <f>IFERROR(__xludf.DUMMYFUNCTION("GOOGLETRANSLATE(B35470,""en"",""es-ES"")"),"Vieren ingredientes en un tazón grande y los mezclan.")</f>
        <v>Vieren ingredientes en un tazón grande y los mezclan.</v>
      </c>
    </row>
    <row r="35471">
      <c r="A35471" s="4" t="s">
        <v>44624</v>
      </c>
      <c r="B35471" s="4" t="s">
        <v>44627</v>
      </c>
      <c r="C35471" s="5" t="str">
        <f>IFERROR(__xludf.DUMMYFUNCTION("GOOGLETRANSLATE(B35471,""en"",""es-ES"")"),"Vierten la mezcla en dos sartenes redondos.")</f>
        <v>Vierten la mezcla en dos sartenes redondos.</v>
      </c>
    </row>
    <row r="35472">
      <c r="A35472" s="4" t="s">
        <v>44624</v>
      </c>
      <c r="B35472" s="4" t="s">
        <v>44628</v>
      </c>
      <c r="C35472" s="5" t="str">
        <f>IFERROR(__xludf.DUMMYFUNCTION("GOOGLETRANSLATE(B35472,""en"",""es-ES"")"),"Luego toman los pasteles y los apilan junto con glaseado en el medio.")</f>
        <v>Luego toman los pasteles y los apilan junto con glaseado en el medio.</v>
      </c>
    </row>
    <row r="35473">
      <c r="A35473" s="4" t="s">
        <v>44624</v>
      </c>
      <c r="B35473" s="4" t="s">
        <v>44629</v>
      </c>
      <c r="C35473" s="5" t="str">
        <f>IFERROR(__xludf.DUMMYFUNCTION("GOOGLETRANSLATE(B35473,""en"",""es-ES"")"),"Comen el pastel al final.")</f>
        <v>Comen el pastel al final.</v>
      </c>
    </row>
    <row r="35474">
      <c r="A35474" s="4" t="s">
        <v>44630</v>
      </c>
      <c r="B35474" s="4" t="s">
        <v>44631</v>
      </c>
      <c r="C35474" s="5" t="str">
        <f>IFERROR(__xludf.DUMMYFUNCTION("GOOGLETRANSLATE(B35474,""en"",""es-ES"")"),"Un joven toca la batería en un escenario con luces bailando en el fondo.")</f>
        <v>Un joven toca la batería en un escenario con luces bailando en el fondo.</v>
      </c>
    </row>
    <row r="35475">
      <c r="A35475" s="4" t="s">
        <v>44630</v>
      </c>
      <c r="B35475" s="4" t="s">
        <v>44632</v>
      </c>
      <c r="C35475" s="5" t="str">
        <f>IFERROR(__xludf.DUMMYFUNCTION("GOOGLETRANSLATE(B35475,""en"",""es-ES"")"),"Termina y se levanta tocando la batería de aire.")</f>
        <v>Termina y se levanta tocando la batería de aire.</v>
      </c>
    </row>
    <row r="35476">
      <c r="A35476" s="4" t="s">
        <v>44633</v>
      </c>
      <c r="B35476" s="4" t="s">
        <v>44634</v>
      </c>
      <c r="C35476" s="5" t="str">
        <f>IFERROR(__xludf.DUMMYFUNCTION("GOOGLETRANSLATE(B35476,""en"",""es-ES"")"),"Se ve a una niña fregando a un pequeño perro con jabón junto a una bañera llena de agua.")</f>
        <v>Se ve a una niña fregando a un pequeño perro con jabón junto a una bañera llena de agua.</v>
      </c>
    </row>
    <row r="35477">
      <c r="A35477" s="4" t="s">
        <v>44633</v>
      </c>
      <c r="B35477" s="4" t="s">
        <v>44635</v>
      </c>
      <c r="C35477" s="5" t="str">
        <f>IFERROR(__xludf.DUMMYFUNCTION("GOOGLETRANSLATE(B35477,""en"",""es-ES"")"),"Ella vierte más jabón sobre el perro y lo arrastra y conduce a fotos del perro, todo limpiado.")</f>
        <v>Ella vierte más jabón sobre el perro y lo arrastra y conduce a fotos del perro, todo limpiado.</v>
      </c>
    </row>
    <row r="35478">
      <c r="A35478" s="4" t="s">
        <v>44636</v>
      </c>
      <c r="B35478" s="4" t="s">
        <v>44637</v>
      </c>
      <c r="C35478" s="5" t="str">
        <f>IFERROR(__xludf.DUMMYFUNCTION("GOOGLETRANSLATE(B35478,""en"",""es-ES"")"),"Una persona aplica diseños de pintura a una uña roja en una mano de plástico con una extremidad negra flexible etiquetada como ""entrenador de uñas"".")</f>
        <v>Una persona aplica diseños de pintura a una uña roja en una mano de plástico con una extremidad negra flexible etiquetada como "entrenador de uñas".</v>
      </c>
    </row>
    <row r="35479">
      <c r="A35479" s="4" t="s">
        <v>44636</v>
      </c>
      <c r="B35479" s="4" t="s">
        <v>44638</v>
      </c>
      <c r="C35479" s="5" t="str">
        <f>IFERROR(__xludf.DUMMYFUNCTION("GOOGLETRANSLATE(B35479,""en"",""es-ES"")"),"Aparece una mano de plástico marrón con un brazo de plástico negro con puntas de uñas blancas y uñas rojas.")</f>
        <v>Aparece una mano de plástico marrón con un brazo de plástico negro con puntas de uñas blancas y uñas rojas.</v>
      </c>
    </row>
    <row r="35480">
      <c r="A35480" s="4" t="s">
        <v>44636</v>
      </c>
      <c r="B35480" s="4" t="s">
        <v>44639</v>
      </c>
      <c r="C35480" s="5" t="str">
        <f>IFERROR(__xludf.DUMMYFUNCTION("GOOGLETRANSLATE(B35480,""en"",""es-ES"")"),"La mano real de una persona aparece y comienza a aplicar diseños blancos en una de las uñas rojas en la mano de plástico.")</f>
        <v>La mano real de una persona aparece y comienza a aplicar diseños blancos en una de las uñas rojas en la mano de plástico.</v>
      </c>
    </row>
    <row r="35481">
      <c r="A35481" s="4" t="s">
        <v>44636</v>
      </c>
      <c r="B35481" s="4" t="s">
        <v>44640</v>
      </c>
      <c r="C35481" s="5" t="str">
        <f>IFERROR(__xludf.DUMMYFUNCTION("GOOGLETRANSLATE(B35481,""en"",""es-ES"")"),"La escena luego se desvanece a un primer plano de una uña roja terminada con un diseño blanco completo de la mano de plástico.")</f>
        <v>La escena luego se desvanece a un primer plano de una uña roja terminada con un diseño blanco completo de la mano de plástico.</v>
      </c>
    </row>
    <row r="35482">
      <c r="A35482" s="4" t="s">
        <v>44641</v>
      </c>
      <c r="B35482" s="4" t="s">
        <v>44642</v>
      </c>
      <c r="C35482" s="5" t="str">
        <f>IFERROR(__xludf.DUMMYFUNCTION("GOOGLETRANSLATE(B35482,""en"",""es-ES"")"),"Los autos conducen por una carretera.")</f>
        <v>Los autos conducen por una carretera.</v>
      </c>
    </row>
    <row r="35483">
      <c r="A35483" s="4" t="s">
        <v>44641</v>
      </c>
      <c r="B35483" s="4" t="s">
        <v>4423</v>
      </c>
      <c r="C35483" s="5" t="str">
        <f>IFERROR(__xludf.DUMMYFUNCTION("GOOGLETRANSLATE(B35483,""en"",""es-ES"")"),"La gente está haciendo snowboard cuesta abajo por una colina de nieve.")</f>
        <v>La gente está haciendo snowboard cuesta abajo por una colina de nieve.</v>
      </c>
    </row>
    <row r="35484">
      <c r="A35484" s="4" t="s">
        <v>44641</v>
      </c>
      <c r="B35484" s="4" t="s">
        <v>44643</v>
      </c>
      <c r="C35484" s="5" t="str">
        <f>IFERROR(__xludf.DUMMYFUNCTION("GOOGLETRANSLATE(B35484,""en"",""es-ES"")"),"La gente regresa a su automóvil y pone la tabla de snowboard en la parte superior del automóvil.")</f>
        <v>La gente regresa a su automóvil y pone la tabla de snowboard en la parte superior del automóvil.</v>
      </c>
    </row>
    <row r="35485">
      <c r="A35485" s="4" t="s">
        <v>44644</v>
      </c>
      <c r="B35485" s="4" t="s">
        <v>44645</v>
      </c>
      <c r="C35485" s="5" t="str">
        <f>IFERROR(__xludf.DUMMYFUNCTION("GOOGLETRANSLATE(B35485,""en"",""es-ES"")"),"Se ve a un hombre de pie ante un conjunto de barras desiguales con los brazos en alto.")</f>
        <v>Se ve a un hombre de pie ante un conjunto de barras desiguales con los brazos en alto.</v>
      </c>
    </row>
    <row r="35486">
      <c r="A35486" s="4" t="s">
        <v>44644</v>
      </c>
      <c r="B35486" s="4" t="s">
        <v>44646</v>
      </c>
      <c r="C35486" s="5" t="str">
        <f>IFERROR(__xludf.DUMMYFUNCTION("GOOGLETRANSLATE(B35486,""en"",""es-ES"")"),"Luego salta sobre la viga y se balancea.")</f>
        <v>Luego salta sobre la viga y se balancea.</v>
      </c>
    </row>
    <row r="35487">
      <c r="A35487" s="4" t="s">
        <v>44644</v>
      </c>
      <c r="B35487" s="4" t="s">
        <v>44647</v>
      </c>
      <c r="C35487" s="5" t="str">
        <f>IFERROR(__xludf.DUMMYFUNCTION("GOOGLETRANSLATE(B35487,""en"",""es-ES"")"),"El hombre continúa girando sobre las barras y termina saltando del costado y alejándose.")</f>
        <v>El hombre continúa girando sobre las barras y termina saltando del costado y alejándose.</v>
      </c>
    </row>
    <row r="35488">
      <c r="A35488" s="4" t="s">
        <v>44648</v>
      </c>
      <c r="B35488" s="4" t="s">
        <v>44649</v>
      </c>
      <c r="C35488" s="5" t="str">
        <f>IFERROR(__xludf.DUMMYFUNCTION("GOOGLETRANSLATE(B35488,""en"",""es-ES"")"),"Luego se muestra realizando varios ejercicios diferentes, además de viajar en una bicicleta y liderar una clase.")</f>
        <v>Luego se muestra realizando varios ejercicios diferentes, además de viajar en una bicicleta y liderar una clase.</v>
      </c>
    </row>
    <row r="35489">
      <c r="A35489" s="4" t="s">
        <v>44648</v>
      </c>
      <c r="B35489" s="4" t="s">
        <v>44650</v>
      </c>
      <c r="C35489" s="5" t="str">
        <f>IFERROR(__xludf.DUMMYFUNCTION("GOOGLETRANSLATE(B35489,""en"",""es-ES"")"),"Se muestran más tomas de ella montando en la bicicleta y con un auricular para hablar con otros.")</f>
        <v>Se muestran más tomas de ella montando en la bicicleta y con un auricular para hablar con otros.</v>
      </c>
    </row>
    <row r="35490">
      <c r="A35490" s="4" t="s">
        <v>44651</v>
      </c>
      <c r="B35490" s="4" t="s">
        <v>44652</v>
      </c>
      <c r="C35490" s="5" t="str">
        <f>IFERROR(__xludf.DUMMYFUNCTION("GOOGLETRANSLATE(B35490,""en"",""es-ES"")"),"Un hombre con una camisa rosa está sosteniendo un cordón en la mano.")</f>
        <v>Un hombre con una camisa rosa está sosteniendo un cordón en la mano.</v>
      </c>
    </row>
    <row r="35491">
      <c r="A35491" s="4" t="s">
        <v>44651</v>
      </c>
      <c r="B35491" s="4" t="s">
        <v>44653</v>
      </c>
      <c r="C35491" s="5" t="str">
        <f>IFERROR(__xludf.DUMMYFUNCTION("GOOGLETRANSLATE(B35491,""en"",""es-ES"")"),"Comienza a aspirar la alfombra frente a él.")</f>
        <v>Comienza a aspirar la alfombra frente a él.</v>
      </c>
    </row>
    <row r="35492">
      <c r="A35492" s="4" t="s">
        <v>44654</v>
      </c>
      <c r="B35492" s="4" t="s">
        <v>44655</v>
      </c>
      <c r="C35492" s="5" t="str">
        <f>IFERROR(__xludf.DUMMYFUNCTION("GOOGLETRANSLATE(B35492,""en"",""es-ES"")"),"Una mujer está haciendo un tutorial sobre cómo hacer uñas de mármol de agua usando agua.")</f>
        <v>Una mujer está haciendo un tutorial sobre cómo hacer uñas de mármol de agua usando agua.</v>
      </c>
    </row>
    <row r="35493">
      <c r="A35493" s="4" t="s">
        <v>44654</v>
      </c>
      <c r="B35493" s="4" t="s">
        <v>44656</v>
      </c>
      <c r="C35493" s="5" t="str">
        <f>IFERROR(__xludf.DUMMYFUNCTION("GOOGLETRANSLATE(B35493,""en"",""es-ES"")"),"Ella usa un pincel de esmalte de uñas y lo sumerge en agua.")</f>
        <v>Ella usa un pincel de esmalte de uñas y lo sumerge en agua.</v>
      </c>
    </row>
    <row r="35494">
      <c r="A35494" s="4" t="s">
        <v>44654</v>
      </c>
      <c r="B35494" s="4" t="s">
        <v>44657</v>
      </c>
      <c r="C35494" s="5" t="str">
        <f>IFERROR(__xludf.DUMMYFUNCTION("GOOGLETRANSLATE(B35494,""en"",""es-ES"")"),"Ella da las instrucciones sobre cómo comenzar con una capa base de esmalte de uñas.")</f>
        <v>Ella da las instrucciones sobre cómo comenzar con una capa base de esmalte de uñas.</v>
      </c>
    </row>
    <row r="35495">
      <c r="A35495" s="4" t="s">
        <v>44654</v>
      </c>
      <c r="B35495" s="4" t="s">
        <v>44658</v>
      </c>
      <c r="C35495" s="5" t="str">
        <f>IFERROR(__xludf.DUMMYFUNCTION("GOOGLETRANSLATE(B35495,""en"",""es-ES"")"),"Luego pone gotas de esmalte de uñas de diferentes colores en la superficie del agua.")</f>
        <v>Luego pone gotas de esmalte de uñas de diferentes colores en la superficie del agua.</v>
      </c>
    </row>
    <row r="35496">
      <c r="A35496" s="4" t="s">
        <v>44654</v>
      </c>
      <c r="B35496" s="4" t="s">
        <v>44659</v>
      </c>
      <c r="C35496" s="5" t="str">
        <f>IFERROR(__xludf.DUMMYFUNCTION("GOOGLETRANSLATE(B35496,""en"",""es-ES"")"),"Luego sumerge su uña en esa pintura.")</f>
        <v>Luego sumerge su uña en esa pintura.</v>
      </c>
    </row>
    <row r="35497">
      <c r="A35497" s="4" t="s">
        <v>44654</v>
      </c>
      <c r="B35497" s="4" t="s">
        <v>44660</v>
      </c>
      <c r="C35497" s="5" t="str">
        <f>IFERROR(__xludf.DUMMYFUNCTION("GOOGLETRANSLATE(B35497,""en"",""es-ES"")"),"Ella limpia cualquier exceso de esmalte de uñas que se haya manchado en el costado de las uñas con un pincel y una punta Q.")</f>
        <v>Ella limpia cualquier exceso de esmalte de uñas que se haya manchado en el costado de las uñas con un pincel y una punta Q.</v>
      </c>
    </row>
    <row r="35498">
      <c r="A35498" s="4" t="s">
        <v>44654</v>
      </c>
      <c r="B35498" s="4" t="s">
        <v>44661</v>
      </c>
      <c r="C35498" s="5" t="str">
        <f>IFERROR(__xludf.DUMMYFUNCTION("GOOGLETRANSLATE(B35498,""en"",""es-ES"")"),"Finalmente comparte información sobre ella y sus cuentas de redes sociales.")</f>
        <v>Finalmente comparte información sobre ella y sus cuentas de redes sociales.</v>
      </c>
    </row>
    <row r="35499">
      <c r="A35499" s="4" t="s">
        <v>44662</v>
      </c>
      <c r="B35499" s="4" t="s">
        <v>44663</v>
      </c>
      <c r="C35499" s="5" t="str">
        <f>IFERROR(__xludf.DUMMYFUNCTION("GOOGLETRANSLATE(B35499,""en"",""es-ES"")"),"Una mujer está en una cocina, con un vestido y embarazada.")</f>
        <v>Una mujer está en una cocina, con un vestido y embarazada.</v>
      </c>
    </row>
    <row r="35500">
      <c r="A35500" s="4" t="s">
        <v>44662</v>
      </c>
      <c r="B35500" s="4" t="s">
        <v>44664</v>
      </c>
      <c r="C35500" s="5" t="str">
        <f>IFERROR(__xludf.DUMMYFUNCTION("GOOGLETRANSLATE(B35500,""en"",""es-ES"")"),"Ella está lavando platos en el fregadero y hablando con la persona con la cámara.")</f>
        <v>Ella está lavando platos en el fregadero y hablando con la persona con la cámara.</v>
      </c>
    </row>
    <row r="35501">
      <c r="A35501" s="4" t="s">
        <v>44662</v>
      </c>
      <c r="B35501" s="4" t="s">
        <v>44665</v>
      </c>
      <c r="C35501" s="5" t="str">
        <f>IFERROR(__xludf.DUMMYFUNCTION("GOOGLETRANSLATE(B35501,""en"",""es-ES"")"),"Ella sonríe cuando la cámara se acerca a su ojo derecho.")</f>
        <v>Ella sonríe cuando la cámara se acerca a su ojo derecho.</v>
      </c>
    </row>
    <row r="35502">
      <c r="A35502" s="4" t="s">
        <v>44666</v>
      </c>
      <c r="B35502" s="4" t="s">
        <v>44667</v>
      </c>
      <c r="C35502" s="5" t="str">
        <f>IFERROR(__xludf.DUMMYFUNCTION("GOOGLETRANSLATE(B35502,""en"",""es-ES"")"),"Una mujer se balancea en un columpio.")</f>
        <v>Una mujer se balancea en un columpio.</v>
      </c>
    </row>
    <row r="35503">
      <c r="A35503" s="4" t="s">
        <v>44666</v>
      </c>
      <c r="B35503" s="4" t="s">
        <v>44668</v>
      </c>
      <c r="C35503" s="5" t="str">
        <f>IFERROR(__xludf.DUMMYFUNCTION("GOOGLETRANSLATE(B35503,""en"",""es-ES"")"),"Un bebé se balancea a su lado.")</f>
        <v>Un bebé se balancea a su lado.</v>
      </c>
    </row>
    <row r="35504">
      <c r="A35504" s="4" t="s">
        <v>44666</v>
      </c>
      <c r="B35504" s="4" t="s">
        <v>44669</v>
      </c>
      <c r="C35504" s="5" t="str">
        <f>IFERROR(__xludf.DUMMYFUNCTION("GOOGLETRANSLATE(B35504,""en"",""es-ES"")"),"Ambos llevan rojo.")</f>
        <v>Ambos llevan rojo.</v>
      </c>
    </row>
    <row r="35505">
      <c r="A35505" s="4" t="s">
        <v>44666</v>
      </c>
      <c r="B35505" s="4" t="s">
        <v>44670</v>
      </c>
      <c r="C35505" s="5" t="str">
        <f>IFERROR(__xludf.DUMMYFUNCTION("GOOGLETRANSLATE(B35505,""en"",""es-ES"")"),"La mujer se ve feliz de balancearse.")</f>
        <v>La mujer se ve feliz de balancearse.</v>
      </c>
    </row>
    <row r="35506">
      <c r="A35506" s="4" t="s">
        <v>44671</v>
      </c>
      <c r="B35506" s="4" t="s">
        <v>44672</v>
      </c>
      <c r="C35506" s="5" t="str">
        <f>IFERROR(__xludf.DUMMYFUNCTION("GOOGLETRANSLATE(B35506,""en"",""es-ES"")"),"Dos niños están parados en una sala de estar al lado de un árbol y comienzan a sacar adornos de dos contenedores de plástico y decorar el árbol.")</f>
        <v>Dos niños están parados en una sala de estar al lado de un árbol y comienzan a sacar adornos de dos contenedores de plástico y decorar el árbol.</v>
      </c>
    </row>
    <row r="35507">
      <c r="A35507" s="4" t="s">
        <v>44671</v>
      </c>
      <c r="B35507" s="4" t="s">
        <v>44673</v>
      </c>
      <c r="C35507" s="5" t="str">
        <f>IFERROR(__xludf.DUMMYFUNCTION("GOOGLETRANSLATE(B35507,""en"",""es-ES"")"),"A medida que los niños continúan, el exterior de la casa se muestra cuando la lluvia viene truena.")</f>
        <v>A medida que los niños continúan, el exterior de la casa se muestra cuando la lluvia viene truena.</v>
      </c>
    </row>
    <row r="35508">
      <c r="A35508" s="4" t="s">
        <v>44671</v>
      </c>
      <c r="B35508" s="4" t="s">
        <v>44674</v>
      </c>
      <c r="C35508" s="5" t="str">
        <f>IFERROR(__xludf.DUMMYFUNCTION("GOOGLETRANSLATE(B35508,""en"",""es-ES"")"),"Después, los muchachos reciben ayuda de un hombre y pone al topper del árbol.")</f>
        <v>Después, los muchachos reciben ayuda de un hombre y pone al topper del árbol.</v>
      </c>
    </row>
    <row r="35509">
      <c r="A35509" s="4" t="s">
        <v>44671</v>
      </c>
      <c r="B35509" s="4" t="s">
        <v>44675</v>
      </c>
      <c r="C35509" s="5" t="str">
        <f>IFERROR(__xludf.DUMMYFUNCTION("GOOGLETRANSLATE(B35509,""en"",""es-ES"")"),"Una vez terminado, los jóvenes se abrazan y se besan y se muestra el producto final del árbol.")</f>
        <v>Una vez terminado, los jóvenes se abrazan y se besan y se muestra el producto final del árbol.</v>
      </c>
    </row>
    <row r="35510">
      <c r="A35510" s="4" t="s">
        <v>44676</v>
      </c>
      <c r="B35510" s="4" t="s">
        <v>44677</v>
      </c>
      <c r="C35510" s="5" t="str">
        <f>IFERROR(__xludf.DUMMYFUNCTION("GOOGLETRANSLATE(B35510,""en"",""es-ES"")"),"Varias personas animadas están en el agua.")</f>
        <v>Varias personas animadas están en el agua.</v>
      </c>
    </row>
    <row r="35511">
      <c r="A35511" s="4" t="s">
        <v>44676</v>
      </c>
      <c r="B35511" s="4" t="s">
        <v>44678</v>
      </c>
      <c r="C35511" s="5" t="str">
        <f>IFERROR(__xludf.DUMMYFUNCTION("GOOGLETRANSLATE(B35511,""en"",""es-ES"")"),"Dos personas en equipo de buceo se encuentran en la repisa de una plataforma, mientras que otras dos personas miran desde una plataforma arriba.")</f>
        <v>Dos personas en equipo de buceo se encuentran en la repisa de una plataforma, mientras que otras dos personas miran desde una plataforma arriba.</v>
      </c>
    </row>
    <row r="35512">
      <c r="A35512" s="4" t="s">
        <v>44676</v>
      </c>
      <c r="B35512" s="4" t="s">
        <v>44679</v>
      </c>
      <c r="C35512" s="5" t="str">
        <f>IFERROR(__xludf.DUMMYFUNCTION("GOOGLETRANSLATE(B35512,""en"",""es-ES"")"),"Las dos personas en equipo de buceo saltan en el agua.")</f>
        <v>Las dos personas en equipo de buceo saltan en el agua.</v>
      </c>
    </row>
    <row r="35513">
      <c r="A35513" s="4" t="s">
        <v>44676</v>
      </c>
      <c r="B35513" s="4" t="s">
        <v>44680</v>
      </c>
      <c r="C35513" s="5" t="str">
        <f>IFERROR(__xludf.DUMMYFUNCTION("GOOGLETRANSLATE(B35513,""en"",""es-ES"")"),"Una persona en equipo de buceo se aferra a la otra persona en equipo de buceo y le hace algo a su tanque.")</f>
        <v>Una persona en equipo de buceo se aferra a la otra persona en equipo de buceo y le hace algo a su tanque.</v>
      </c>
    </row>
    <row r="35514">
      <c r="A35514" s="4" t="s">
        <v>44676</v>
      </c>
      <c r="B35514" s="4" t="s">
        <v>44681</v>
      </c>
      <c r="C35514" s="5" t="str">
        <f>IFERROR(__xludf.DUMMYFUNCTION("GOOGLETRANSLATE(B35514,""en"",""es-ES"")"),"Una persona empuja a la otra.")</f>
        <v>Una persona empuja a la otra.</v>
      </c>
    </row>
    <row r="35515">
      <c r="A35515" s="4" t="s">
        <v>44676</v>
      </c>
      <c r="B35515" s="4" t="s">
        <v>44682</v>
      </c>
      <c r="C35515" s="5" t="str">
        <f>IFERROR(__xludf.DUMMYFUNCTION("GOOGLETRANSLATE(B35515,""en"",""es-ES"")"),"Varias personas en equipo de buceo se reúnen con una persona todavía en el fondo.")</f>
        <v>Varias personas en equipo de buceo se reúnen con una persona todavía en el fondo.</v>
      </c>
    </row>
    <row r="35516">
      <c r="A35516" s="4" t="s">
        <v>44676</v>
      </c>
      <c r="B35516" s="4" t="s">
        <v>44683</v>
      </c>
      <c r="C35516" s="5" t="str">
        <f>IFERROR(__xludf.DUMMYFUNCTION("GOOGLETRANSLATE(B35516,""en"",""es-ES"")"),"La gente de la lucha de los equipos y la máscara de una persona flota.")</f>
        <v>La gente de la lucha de los equipos y la máscara de una persona flota.</v>
      </c>
    </row>
    <row r="35517">
      <c r="A35517" s="4" t="s">
        <v>44684</v>
      </c>
      <c r="B35517" s="4" t="s">
        <v>44685</v>
      </c>
      <c r="C35517" s="5" t="str">
        <f>IFERROR(__xludf.DUMMYFUNCTION("GOOGLETRANSLATE(B35517,""en"",""es-ES"")"),"Un gran perro negro y una niña con una blusa blanca llevan dos hoolahoops en la sala de estar.")</f>
        <v>Un gran perro negro y una niña con una blusa blanca llevan dos hoolahoops en la sala de estar.</v>
      </c>
    </row>
    <row r="35518">
      <c r="A35518" s="4" t="s">
        <v>44684</v>
      </c>
      <c r="B35518" s="4" t="s">
        <v>44686</v>
      </c>
      <c r="C35518" s="5" t="str">
        <f>IFERROR(__xludf.DUMMYFUNCTION("GOOGLETRANSLATE(B35518,""en"",""es-ES"")"),"La niña sostiene un aro de hoola frente al perro y el perro camina por el hoolahoop.")</f>
        <v>La niña sostiene un aro de hoola frente al perro y el perro camina por el hoolahoop.</v>
      </c>
    </row>
    <row r="35519">
      <c r="A35519" s="4" t="s">
        <v>44684</v>
      </c>
      <c r="B35519" s="4" t="s">
        <v>44687</v>
      </c>
      <c r="C35519" s="5" t="str">
        <f>IFERROR(__xludf.DUMMYFUNCTION("GOOGLETRANSLATE(B35519,""en"",""es-ES"")"),"La niña gira el otro aro de Hoola alrededor de sus desechos y lo gira 10 o 12 veces.")</f>
        <v>La niña gira el otro aro de Hoola alrededor de sus desechos y lo gira 10 o 12 veces.</v>
      </c>
    </row>
    <row r="35520">
      <c r="A35520" s="4" t="s">
        <v>44684</v>
      </c>
      <c r="B35520" s="4" t="s">
        <v>44688</v>
      </c>
      <c r="C35520" s="5" t="str">
        <f>IFERROR(__xludf.DUMMYFUNCTION("GOOGLETRANSLATE(B35520,""en"",""es-ES"")"),"La niña camina hacia el perro negro y deja que el perro le lamiera la mano.")</f>
        <v>La niña camina hacia el perro negro y deja que el perro le lamiera la mano.</v>
      </c>
    </row>
    <row r="35521">
      <c r="A35521" s="4" t="s">
        <v>44689</v>
      </c>
      <c r="B35521" s="4" t="s">
        <v>44690</v>
      </c>
      <c r="C35521" s="5" t="str">
        <f>IFERROR(__xludf.DUMMYFUNCTION("GOOGLETRANSLATE(B35521,""en"",""es-ES"")"),"Se muestran a cinco niños caminando en un patio de recreo.")</f>
        <v>Se muestran a cinco niños caminando en un patio de recreo.</v>
      </c>
    </row>
    <row r="35522">
      <c r="A35522" s="4" t="s">
        <v>44689</v>
      </c>
      <c r="B35522" s="4" t="s">
        <v>44691</v>
      </c>
      <c r="C35522" s="5" t="str">
        <f>IFERROR(__xludf.DUMMYFUNCTION("GOOGLETRANSLATE(B35522,""en"",""es-ES"")"),"Los chicos entran en los columpios y comienzan a mostrar cómo hacer trucos.")</f>
        <v>Los chicos entran en los columpios y comienzan a mostrar cómo hacer trucos.</v>
      </c>
    </row>
    <row r="35523">
      <c r="A35523" s="4" t="s">
        <v>44689</v>
      </c>
      <c r="B35523" s="4" t="s">
        <v>44692</v>
      </c>
      <c r="C35523" s="5" t="str">
        <f>IFERROR(__xludf.DUMMYFUNCTION("GOOGLETRANSLATE(B35523,""en"",""es-ES"")"),"Para el final, los cinco tipos entran en los columpios y realizan un volteo de espalda.")</f>
        <v>Para el final, los cinco tipos entran en los columpios y realizan un volteo de espalda.</v>
      </c>
    </row>
    <row r="35524">
      <c r="A35524" s="4" t="s">
        <v>44693</v>
      </c>
      <c r="B35524" s="4" t="s">
        <v>44694</v>
      </c>
      <c r="C35524" s="5" t="str">
        <f>IFERROR(__xludf.DUMMYFUNCTION("GOOGLETRANSLATE(B35524,""en"",""es-ES"")"),"Una mujer joven se pone en posición de actuar con un bastón.")</f>
        <v>Una mujer joven se pone en posición de actuar con un bastón.</v>
      </c>
    </row>
    <row r="35525">
      <c r="A35525" s="4" t="s">
        <v>44693</v>
      </c>
      <c r="B35525" s="4" t="s">
        <v>44695</v>
      </c>
      <c r="C35525" s="5" t="str">
        <f>IFERROR(__xludf.DUMMYFUNCTION("GOOGLETRANSLATE(B35525,""en"",""es-ES"")"),"Ella realiza una rutina de gimnasia y giración.")</f>
        <v>Ella realiza una rutina de gimnasia y giración.</v>
      </c>
    </row>
    <row r="35526">
      <c r="A35526" s="4" t="s">
        <v>44693</v>
      </c>
      <c r="B35526" s="4" t="s">
        <v>44696</v>
      </c>
      <c r="C35526" s="5" t="str">
        <f>IFERROR(__xludf.DUMMYFUNCTION("GOOGLETRANSLATE(B35526,""en"",""es-ES"")"),"Ella hace volteretas como parte de su rutina.")</f>
        <v>Ella hace volteretas como parte de su rutina.</v>
      </c>
    </row>
    <row r="35527">
      <c r="A35527" s="4" t="s">
        <v>44693</v>
      </c>
      <c r="B35527" s="4" t="s">
        <v>44697</v>
      </c>
      <c r="C35527" s="5" t="str">
        <f>IFERROR(__xludf.DUMMYFUNCTION("GOOGLETRANSLATE(B35527,""en"",""es-ES"")"),"Ella deja caer el bastón, pero lo recupera y continúa con la rutina.")</f>
        <v>Ella deja caer el bastón, pero lo recupera y continúa con la rutina.</v>
      </c>
    </row>
    <row r="35528">
      <c r="A35528" s="4" t="s">
        <v>44693</v>
      </c>
      <c r="B35528" s="4" t="s">
        <v>44698</v>
      </c>
      <c r="C35528" s="5" t="str">
        <f>IFERROR(__xludf.DUMMYFUNCTION("GOOGLETRANSLATE(B35528,""en"",""es-ES"")"),"Ella pierde el equilibrio pero puede recuperarse.")</f>
        <v>Ella pierde el equilibrio pero puede recuperarse.</v>
      </c>
    </row>
    <row r="35529">
      <c r="A35529" s="4" t="s">
        <v>44699</v>
      </c>
      <c r="B35529" s="4" t="s">
        <v>44700</v>
      </c>
      <c r="C35529" s="5" t="str">
        <f>IFERROR(__xludf.DUMMYFUNCTION("GOOGLETRANSLATE(B35529,""en"",""es-ES"")"),"Se ve a una mujer empujando una cortadora de césped a través de un poco de hierba mientras habla con la cámara.")</f>
        <v>Se ve a una mujer empujando una cortadora de césped a través de un poco de hierba mientras habla con la cámara.</v>
      </c>
    </row>
    <row r="35530">
      <c r="A35530" s="4" t="s">
        <v>44699</v>
      </c>
      <c r="B35530" s="4" t="s">
        <v>44701</v>
      </c>
      <c r="C35530" s="5" t="str">
        <f>IFERROR(__xludf.DUMMYFUNCTION("GOOGLETRANSLATE(B35530,""en"",""es-ES"")"),"La cámara se acerca a las plantas en el patio y continúa siguiendo a la mujer mientras corta la hierba.")</f>
        <v>La cámara se acerca a las plantas en el patio y continúa siguiendo a la mujer mientras corta la hierba.</v>
      </c>
    </row>
    <row r="35531">
      <c r="A35531" s="4" t="s">
        <v>44699</v>
      </c>
      <c r="B35531" s="4" t="s">
        <v>44702</v>
      </c>
      <c r="C35531" s="5" t="str">
        <f>IFERROR(__xludf.DUMMYFUNCTION("GOOGLETRANSLATE(B35531,""en"",""es-ES"")"),"La cámara deambula a través de un montón de plantas y árboles al final.")</f>
        <v>La cámara deambula a través de un montón de plantas y árboles al final.</v>
      </c>
    </row>
    <row r="35532">
      <c r="A35532" s="4" t="s">
        <v>44703</v>
      </c>
      <c r="B35532" s="4" t="s">
        <v>44704</v>
      </c>
      <c r="C35532" s="5" t="str">
        <f>IFERROR(__xludf.DUMMYFUNCTION("GOOGLETRANSLATE(B35532,""en"",""es-ES"")"),"Un hombre con equipo de esquí está parado en una colina nevada.")</f>
        <v>Un hombre con equipo de esquí está parado en una colina nevada.</v>
      </c>
    </row>
    <row r="35533">
      <c r="A35533" s="4" t="s">
        <v>44703</v>
      </c>
      <c r="B35533" s="4" t="s">
        <v>44705</v>
      </c>
      <c r="C35533" s="5" t="str">
        <f>IFERROR(__xludf.DUMMYFUNCTION("GOOGLETRANSLATE(B35533,""en"",""es-ES"")"),"Él y otros comienzan a esquiar por las laderas, pateando nieve y viajando a través de túneles.")</f>
        <v>Él y otros comienzan a esquiar por las laderas, pateando nieve y viajando a través de túneles.</v>
      </c>
    </row>
    <row r="35534">
      <c r="A35534" s="4" t="s">
        <v>44706</v>
      </c>
      <c r="B35534" s="4" t="s">
        <v>44707</v>
      </c>
      <c r="C35534" s="5" t="str">
        <f>IFERROR(__xludf.DUMMYFUNCTION("GOOGLETRANSLATE(B35534,""en"",""es-ES"")"),"Los hombres están trabajando en una mesa en el fondo, un hombre en el centro de la habitación comienza a caminar en círculos y hace baile de break, una pantalla colgando está tocando un video de rap.")</f>
        <v>Los hombres están trabajando en una mesa en el fondo, un hombre en el centro de la habitación comienza a caminar en círculos y hace baile de break, una pantalla colgando está tocando un video de rap.</v>
      </c>
    </row>
    <row r="35535">
      <c r="A35535" s="4" t="s">
        <v>44706</v>
      </c>
      <c r="B35535" s="4" t="s">
        <v>44708</v>
      </c>
      <c r="C35535" s="5" t="str">
        <f>IFERROR(__xludf.DUMMYFUNCTION("GOOGLETRANSLATE(B35535,""en"",""es-ES"")"),"La pantalla está reproduciendo un video y los créditos están en el lado derecho.")</f>
        <v>La pantalla está reproduciendo un video y los créditos están en el lado derecho.</v>
      </c>
    </row>
    <row r="35536">
      <c r="A35536" s="4" t="s">
        <v>44709</v>
      </c>
      <c r="B35536" s="4" t="s">
        <v>44710</v>
      </c>
      <c r="C35536" s="5" t="str">
        <f>IFERROR(__xludf.DUMMYFUNCTION("GOOGLETRANSLATE(B35536,""en"",""es-ES"")"),"Un jugador de hockey está lesionado y es ayudado desde el hielo por el entrenador.")</f>
        <v>Un jugador de hockey está lesionado y es ayudado desde el hielo por el entrenador.</v>
      </c>
    </row>
    <row r="35537">
      <c r="A35537" s="4" t="s">
        <v>44709</v>
      </c>
      <c r="B35537" s="4" t="s">
        <v>44711</v>
      </c>
      <c r="C35537" s="5" t="str">
        <f>IFERROR(__xludf.DUMMYFUNCTION("GOOGLETRANSLATE(B35537,""en"",""es-ES"")"),"El entrenador escolta del hielo escolte del hielo.")</f>
        <v>El entrenador escolta del hielo escolte del hielo.</v>
      </c>
    </row>
    <row r="35538">
      <c r="A35538" s="4" t="s">
        <v>44709</v>
      </c>
      <c r="B35538" s="4" t="s">
        <v>44712</v>
      </c>
      <c r="C35538" s="5" t="str">
        <f>IFERROR(__xludf.DUMMYFUNCTION("GOOGLETRANSLATE(B35538,""en"",""es-ES"")"),"Una repetición muestra al jugador de hockey que está siendo golpeado en la cara por el disco y cae al hielo.")</f>
        <v>Una repetición muestra al jugador de hockey que está siendo golpeado en la cara por el disco y cae al hielo.</v>
      </c>
    </row>
    <row r="35539">
      <c r="A35539" s="4" t="s">
        <v>44709</v>
      </c>
      <c r="B35539" s="4" t="s">
        <v>44713</v>
      </c>
      <c r="C35539" s="5" t="str">
        <f>IFERROR(__xludf.DUMMYFUNCTION("GOOGLETRANSLATE(B35539,""en"",""es-ES"")"),"Los equipos se unen alrededor de un círculo y se enfrentan para comenzar el partido.")</f>
        <v>Los equipos se unen alrededor de un círculo y se enfrentan para comenzar el partido.</v>
      </c>
    </row>
    <row r="35540">
      <c r="A35540" s="4" t="s">
        <v>44709</v>
      </c>
      <c r="B35540" s="4" t="s">
        <v>44714</v>
      </c>
      <c r="C35540" s="5" t="str">
        <f>IFERROR(__xludf.DUMMYFUNCTION("GOOGLETRANSLATE(B35540,""en"",""es-ES"")"),"El jugador de hockey juega un juego y patina alrededor del hielo que pasa de un lado a otro.")</f>
        <v>El jugador de hockey juega un juego y patina alrededor del hielo que pasa de un lado a otro.</v>
      </c>
    </row>
    <row r="35541">
      <c r="A35541" s="4" t="s">
        <v>44715</v>
      </c>
      <c r="B35541" s="4" t="s">
        <v>44716</v>
      </c>
      <c r="C35541" s="5" t="str">
        <f>IFERROR(__xludf.DUMMYFUNCTION("GOOGLETRANSLATE(B35541,""en"",""es-ES"")"),"Vemos agua en una pantalla de apertura.")</f>
        <v>Vemos agua en una pantalla de apertura.</v>
      </c>
    </row>
    <row r="35542">
      <c r="A35542" s="4" t="s">
        <v>44715</v>
      </c>
      <c r="B35542" s="4" t="s">
        <v>44717</v>
      </c>
      <c r="C35542" s="5" t="str">
        <f>IFERROR(__xludf.DUMMYFUNCTION("GOOGLETRANSLATE(B35542,""en"",""es-ES"")"),"Un hombre está midiendo y cortando la alfombra mientras se arrodilla.")</f>
        <v>Un hombre está midiendo y cortando la alfombra mientras se arrodilla.</v>
      </c>
    </row>
    <row r="35543">
      <c r="A35543" s="4" t="s">
        <v>44715</v>
      </c>
      <c r="B35543" s="4" t="s">
        <v>44718</v>
      </c>
      <c r="C35543" s="5" t="str">
        <f>IFERROR(__xludf.DUMMYFUNCTION("GOOGLETRANSLATE(B35543,""en"",""es-ES"")"),"El hombre agrega una tira y pone una herramienta en la costura.")</f>
        <v>El hombre agrega una tira y pone una herramienta en la costura.</v>
      </c>
    </row>
    <row r="35544">
      <c r="A35544" s="4" t="s">
        <v>44715</v>
      </c>
      <c r="B35544" s="4" t="s">
        <v>44719</v>
      </c>
      <c r="C35544" s="5" t="str">
        <f>IFERROR(__xludf.DUMMYFUNCTION("GOOGLETRANSLATE(B35544,""en"",""es-ES"")"),"El hombre ejecuta un elemento negro sobre la costura repetidamente y luego se encuentra.")</f>
        <v>El hombre ejecuta un elemento negro sobre la costura repetidamente y luego se encuentra.</v>
      </c>
    </row>
    <row r="35545">
      <c r="A35545" s="4" t="s">
        <v>44715</v>
      </c>
      <c r="B35545" s="4" t="s">
        <v>2892</v>
      </c>
      <c r="C35545" s="5" t="str">
        <f>IFERROR(__xludf.DUMMYFUNCTION("GOOGLETRANSLATE(B35545,""en"",""es-ES"")"),"Vemos la pantalla de título de cierre.")</f>
        <v>Vemos la pantalla de título de cierre.</v>
      </c>
    </row>
    <row r="35546">
      <c r="A35546" s="4" t="s">
        <v>44720</v>
      </c>
      <c r="B35546" s="4" t="s">
        <v>44721</v>
      </c>
      <c r="C35546" s="5" t="str">
        <f>IFERROR(__xludf.DUMMYFUNCTION("GOOGLETRANSLATE(B35546,""en"",""es-ES"")"),"Se ve a dos hombres corriendo alrededor de una habitación cerrada que sostiene raquetas de tenis y golpeando una pelota por la habitación.")</f>
        <v>Se ve a dos hombres corriendo alrededor de una habitación cerrada que sostiene raquetas de tenis y golpeando una pelota por la habitación.</v>
      </c>
    </row>
    <row r="35547">
      <c r="A35547" s="4" t="s">
        <v>44720</v>
      </c>
      <c r="B35547" s="4" t="s">
        <v>44722</v>
      </c>
      <c r="C35547" s="5" t="str">
        <f>IFERROR(__xludf.DUMMYFUNCTION("GOOGLETRANSLATE(B35547,""en"",""es-ES"")"),"Los hombres continúan golpeando la pelota por la habitación mientras la cámara continúa siguiendo sus movimientos.")</f>
        <v>Los hombres continúan golpeando la pelota por la habitación mientras la cámara continúa siguiendo sus movimientos.</v>
      </c>
    </row>
    <row r="35548">
      <c r="A35548" s="4" t="s">
        <v>44723</v>
      </c>
      <c r="B35548" s="4" t="s">
        <v>44724</v>
      </c>
      <c r="C35548" s="5" t="str">
        <f>IFERROR(__xludf.DUMMYFUNCTION("GOOGLETRANSLATE(B35548,""en"",""es-ES"")"),"Los hombres están nadando más o menos sincronizados con las voleibolas.")</f>
        <v>Los hombres están nadando más o menos sincronizados con las voleibolas.</v>
      </c>
    </row>
    <row r="35549">
      <c r="A35549" s="4" t="s">
        <v>44723</v>
      </c>
      <c r="B35549" s="4" t="s">
        <v>44725</v>
      </c>
      <c r="C35549" s="5" t="str">
        <f>IFERROR(__xludf.DUMMYFUNCTION("GOOGLETRANSLATE(B35549,""en"",""es-ES"")"),"Se detienen y obtienen un círculo en la piscina y comienzan a tirar la pelota entre ellos.")</f>
        <v>Se detienen y obtienen un círculo en la piscina y comienzan a tirar la pelota entre ellos.</v>
      </c>
    </row>
    <row r="35550">
      <c r="A35550" s="4" t="s">
        <v>44723</v>
      </c>
      <c r="B35550" s="4" t="s">
        <v>44726</v>
      </c>
      <c r="C35550" s="5" t="str">
        <f>IFERROR(__xludf.DUMMYFUNCTION("GOOGLETRANSLATE(B35550,""en"",""es-ES"")"),"Después de eso comienzan a nadar y tiran un poco.")</f>
        <v>Después de eso comienzan a nadar y tiran un poco.</v>
      </c>
    </row>
    <row r="35551">
      <c r="A35551" s="4" t="s">
        <v>44723</v>
      </c>
      <c r="B35551" s="4" t="s">
        <v>44727</v>
      </c>
      <c r="C35551" s="5" t="str">
        <f>IFERROR(__xludf.DUMMYFUNCTION("GOOGLETRANSLATE(B35551,""en"",""es-ES"")"),"Después, lo pusieron todo junto y todos se unen para jugar.")</f>
        <v>Después, lo pusieron todo junto y todos se unen para jugar.</v>
      </c>
    </row>
    <row r="35552">
      <c r="A35552" s="4" t="s">
        <v>44728</v>
      </c>
      <c r="B35552" s="4" t="s">
        <v>44729</v>
      </c>
      <c r="C35552" s="5" t="str">
        <f>IFERROR(__xludf.DUMMYFUNCTION("GOOGLETRANSLATE(B35552,""en"",""es-ES"")"),"Un niño sentado en la mesa del restaurante coloca sus manos en un postre.")</f>
        <v>Un niño sentado en la mesa del restaurante coloca sus manos en un postre.</v>
      </c>
    </row>
    <row r="35553">
      <c r="A35553" s="4" t="s">
        <v>44728</v>
      </c>
      <c r="B35553" s="4" t="s">
        <v>44730</v>
      </c>
      <c r="C35553" s="5" t="str">
        <f>IFERROR(__xludf.DUMMYFUNCTION("GOOGLETRANSLATE(B35553,""en"",""es-ES"")"),"El niño usa sus manos para comer la comida.")</f>
        <v>El niño usa sus manos para comer la comida.</v>
      </c>
    </row>
    <row r="35554">
      <c r="A35554" s="4" t="s">
        <v>44728</v>
      </c>
      <c r="B35554" s="4" t="s">
        <v>44731</v>
      </c>
      <c r="C35554" s="5" t="str">
        <f>IFERROR(__xludf.DUMMYFUNCTION("GOOGLETRANSLATE(B35554,""en"",""es-ES"")"),"El adulto evita que el niño derrame la comida en el piso y ayuda a alimentarlo.")</f>
        <v>El adulto evita que el niño derrame la comida en el piso y ayuda a alimentarlo.</v>
      </c>
    </row>
    <row r="35555">
      <c r="A35555" s="4" t="s">
        <v>44732</v>
      </c>
      <c r="B35555" s="4" t="s">
        <v>44733</v>
      </c>
      <c r="C35555" s="5" t="str">
        <f>IFERROR(__xludf.DUMMYFUNCTION("GOOGLETRANSLATE(B35555,""en"",""es-ES"")"),"El video comienza a mostrar el logotipo de la compañía para una empresa de techado.")</f>
        <v>El video comienza a mostrar el logotipo de la compañía para una empresa de techado.</v>
      </c>
    </row>
    <row r="35556">
      <c r="A35556" s="4" t="s">
        <v>44732</v>
      </c>
      <c r="B35556" s="4" t="s">
        <v>44734</v>
      </c>
      <c r="C35556" s="5" t="str">
        <f>IFERROR(__xludf.DUMMYFUNCTION("GOOGLETRANSLATE(B35556,""en"",""es-ES"")"),"Se escucha una voz recitando los pasos para aplicar crestas en un techo.")</f>
        <v>Se escucha una voz recitando los pasos para aplicar crestas en un techo.</v>
      </c>
    </row>
    <row r="35557">
      <c r="A35557" s="4" t="s">
        <v>44732</v>
      </c>
      <c r="B35557" s="4" t="s">
        <v>44735</v>
      </c>
      <c r="C35557" s="5" t="str">
        <f>IFERROR(__xludf.DUMMYFUNCTION("GOOGLETRANSLATE(B35557,""en"",""es-ES"")"),"A medida que la voz recita los pasos, se muestra un hombre mayor en video que realiza estos pasos a un techo.")</f>
        <v>A medida que la voz recita los pasos, se muestra un hombre mayor en video que realiza estos pasos a un techo.</v>
      </c>
    </row>
    <row r="35558">
      <c r="A35558" s="4" t="s">
        <v>44732</v>
      </c>
      <c r="B35558" s="4" t="s">
        <v>44736</v>
      </c>
      <c r="C35558" s="5" t="str">
        <f>IFERROR(__xludf.DUMMYFUNCTION("GOOGLETRANSLATE(B35558,""en"",""es-ES"")"),"Como la voz dice que los pasos están completos, la toma final muestra un primer plano de las crestas completadas.")</f>
        <v>Como la voz dice que los pasos están completos, la toma final muestra un primer plano de las crestas completadas.</v>
      </c>
    </row>
    <row r="35559">
      <c r="A35559" s="4" t="s">
        <v>44732</v>
      </c>
      <c r="B35559" s="4" t="s">
        <v>44737</v>
      </c>
      <c r="C35559" s="5" t="str">
        <f>IFERROR(__xludf.DUMMYFUNCTION("GOOGLETRANSLATE(B35559,""en"",""es-ES"")"),"El video termina con el logotipo de la compañía.")</f>
        <v>El video termina con el logotipo de la compañía.</v>
      </c>
    </row>
    <row r="35560">
      <c r="A35560" s="4" t="s">
        <v>44738</v>
      </c>
      <c r="B35560" s="4" t="s">
        <v>44739</v>
      </c>
      <c r="C35560" s="5" t="str">
        <f>IFERROR(__xludf.DUMMYFUNCTION("GOOGLETRANSLATE(B35560,""en"",""es-ES"")"),"Un joven está lavando ropa dentro de un fregadero de baño mientras habla con la cámara.")</f>
        <v>Un joven está lavando ropa dentro de un fregadero de baño mientras habla con la cámara.</v>
      </c>
    </row>
    <row r="35561">
      <c r="A35561" s="4" t="s">
        <v>44738</v>
      </c>
      <c r="B35561" s="4" t="s">
        <v>44740</v>
      </c>
      <c r="C35561" s="5" t="str">
        <f>IFERROR(__xludf.DUMMYFUNCTION("GOOGLETRANSLATE(B35561,""en"",""es-ES"")"),"Inicialmente comienza a lavar la ropa con ambas manos.")</f>
        <v>Inicialmente comienza a lavar la ropa con ambas manos.</v>
      </c>
    </row>
    <row r="35562">
      <c r="A35562" s="4" t="s">
        <v>44738</v>
      </c>
      <c r="B35562" s="4" t="s">
        <v>44741</v>
      </c>
      <c r="C35562" s="5" t="str">
        <f>IFERROR(__xludf.DUMMYFUNCTION("GOOGLETRANSLATE(B35562,""en"",""es-ES"")"),"Luego agrega más jabón usando dos botellas diferentes al fregadero.")</f>
        <v>Luego agrega más jabón usando dos botellas diferentes al fregadero.</v>
      </c>
    </row>
    <row r="35563">
      <c r="A35563" s="4" t="s">
        <v>44738</v>
      </c>
      <c r="B35563" s="4" t="s">
        <v>44742</v>
      </c>
      <c r="C35563" s="5" t="str">
        <f>IFERROR(__xludf.DUMMYFUNCTION("GOOGLETRANSLATE(B35563,""en"",""es-ES"")"),"Posteriormente sigue lavando la ropa mientras habla con la cámara.")</f>
        <v>Posteriormente sigue lavando la ropa mientras habla con la cámara.</v>
      </c>
    </row>
    <row r="35564">
      <c r="A35564" s="4" t="s">
        <v>44743</v>
      </c>
      <c r="B35564" s="4" t="s">
        <v>44744</v>
      </c>
      <c r="C35564" s="5" t="str">
        <f>IFERROR(__xludf.DUMMYFUNCTION("GOOGLETRANSLATE(B35564,""en"",""es-ES"")"),"Un hombre con camisas negras con un diseño gráfico está sentado cerca de una mesa con botellas de licor y un agitador.")</f>
        <v>Un hombre con camisas negras con un diseño gráfico está sentado cerca de una mesa con botellas de licor y un agitador.</v>
      </c>
    </row>
    <row r="35565">
      <c r="A35565" s="4" t="s">
        <v>44743</v>
      </c>
      <c r="B35565" s="4" t="s">
        <v>44745</v>
      </c>
      <c r="C35565" s="5" t="str">
        <f>IFERROR(__xludf.DUMMYFUNCTION("GOOGLETRANSLATE(B35565,""en"",""es-ES"")"),"Es una demostración de cómo hacer una bebida alcohólica de temporada.")</f>
        <v>Es una demostración de cómo hacer una bebida alcohólica de temporada.</v>
      </c>
    </row>
    <row r="35566">
      <c r="A35566" s="4" t="s">
        <v>44743</v>
      </c>
      <c r="B35566" s="4" t="s">
        <v>44746</v>
      </c>
      <c r="C35566" s="5" t="str">
        <f>IFERROR(__xludf.DUMMYFUNCTION("GOOGLETRANSLATE(B35566,""en"",""es-ES"")"),"Recoge las botellas de licor que usará para las bebidas.")</f>
        <v>Recoge las botellas de licor que usará para las bebidas.</v>
      </c>
    </row>
    <row r="35567">
      <c r="A35567" s="4" t="s">
        <v>44743</v>
      </c>
      <c r="B35567" s="4" t="s">
        <v>44747</v>
      </c>
      <c r="C35567" s="5" t="str">
        <f>IFERROR(__xludf.DUMMYFUNCTION("GOOGLETRANSLATE(B35567,""en"",""es-ES"")"),"Utiliza el jigger para medir y luego vierte los ingredientes necesarios en el agitador.")</f>
        <v>Utiliza el jigger para medir y luego vierte los ingredientes necesarios en el agitador.</v>
      </c>
    </row>
    <row r="35568">
      <c r="A35568" s="4" t="s">
        <v>44743</v>
      </c>
      <c r="B35568" s="4" t="s">
        <v>44748</v>
      </c>
      <c r="C35568" s="5" t="str">
        <f>IFERROR(__xludf.DUMMYFUNCTION("GOOGLETRANSLATE(B35568,""en"",""es-ES"")"),"Luego agrega un poco de crema a la mezcla.")</f>
        <v>Luego agrega un poco de crema a la mezcla.</v>
      </c>
    </row>
    <row r="35569">
      <c r="A35569" s="4" t="s">
        <v>44743</v>
      </c>
      <c r="B35569" s="4" t="s">
        <v>44749</v>
      </c>
      <c r="C35569" s="5" t="str">
        <f>IFERROR(__xludf.DUMMYFUNCTION("GOOGLETRANSLATE(B35569,""en"",""es-ES"")"),"Agrega algunos cubos de hielo al agitador.")</f>
        <v>Agrega algunos cubos de hielo al agitador.</v>
      </c>
    </row>
    <row r="35570">
      <c r="A35570" s="4" t="s">
        <v>44743</v>
      </c>
      <c r="B35570" s="4" t="s">
        <v>44750</v>
      </c>
      <c r="C35570" s="5" t="str">
        <f>IFERROR(__xludf.DUMMYFUNCTION("GOOGLETRANSLATE(B35570,""en"",""es-ES"")"),"Luego sacude la bebida vigorosamente y se vierte en un vaso cónico.")</f>
        <v>Luego sacude la bebida vigorosamente y se vierte en un vaso cónico.</v>
      </c>
    </row>
    <row r="35571">
      <c r="A35571" s="4" t="s">
        <v>44743</v>
      </c>
      <c r="B35571" s="4" t="s">
        <v>44751</v>
      </c>
      <c r="C35571" s="5" t="str">
        <f>IFERROR(__xludf.DUMMYFUNCTION("GOOGLETRANSLATE(B35571,""en"",""es-ES"")"),"Luego encabeza la bebida con crema batida de una lata y pone una cereza en la parte superior.")</f>
        <v>Luego encabeza la bebida con crema batida de una lata y pone una cereza en la parte superior.</v>
      </c>
    </row>
    <row r="35572">
      <c r="A35572" s="4" t="s">
        <v>44743</v>
      </c>
      <c r="B35572" s="4" t="s">
        <v>44752</v>
      </c>
      <c r="C35572" s="5" t="str">
        <f>IFERROR(__xludf.DUMMYFUNCTION("GOOGLETRANSLATE(B35572,""en"",""es-ES"")"),"Da información sobre su página de Facebook y otros detalles.")</f>
        <v>Da información sobre su página de Facebook y otros detalles.</v>
      </c>
    </row>
    <row r="35573">
      <c r="A35573" s="4" t="s">
        <v>44753</v>
      </c>
      <c r="B35573" s="4" t="s">
        <v>44754</v>
      </c>
      <c r="C35573" s="5" t="str">
        <f>IFERROR(__xludf.DUMMYFUNCTION("GOOGLETRANSLATE(B35573,""en"",""es-ES"")"),"Una mujer está usando una plancha en un tablero.")</f>
        <v>Una mujer está usando una plancha en un tablero.</v>
      </c>
    </row>
    <row r="35574">
      <c r="A35574" s="4" t="s">
        <v>44753</v>
      </c>
      <c r="B35574" s="4" t="s">
        <v>44755</v>
      </c>
      <c r="C35574" s="5" t="str">
        <f>IFERROR(__xludf.DUMMYFUNCTION("GOOGLETRANSLATE(B35574,""en"",""es-ES"")"),"Ella está mostrando cómo planchar ropa de bebé.")</f>
        <v>Ella está mostrando cómo planchar ropa de bebé.</v>
      </c>
    </row>
    <row r="35575">
      <c r="A35575" s="4" t="s">
        <v>44753</v>
      </c>
      <c r="B35575" s="4" t="s">
        <v>44756</v>
      </c>
      <c r="C35575" s="5" t="str">
        <f>IFERROR(__xludf.DUMMYFUNCTION("GOOGLETRANSLATE(B35575,""en"",""es-ES"")"),"Ella voltea la ropa, lo abotonando a medida que avanza.")</f>
        <v>Ella voltea la ropa, lo abotonando a medida que avanza.</v>
      </c>
    </row>
    <row r="35576">
      <c r="A35576" s="4" t="s">
        <v>44757</v>
      </c>
      <c r="B35576" s="4" t="s">
        <v>44758</v>
      </c>
      <c r="C35576" s="5" t="str">
        <f>IFERROR(__xludf.DUMMYFUNCTION("GOOGLETRANSLATE(B35576,""en"",""es-ES"")"),"Un hombre conecta una máquina de corte, luego empuja el cortacésped para cortar el césped en un patio trasero.")</f>
        <v>Un hombre conecta una máquina de corte, luego empuja el cortacésped para cortar el césped en un patio trasero.</v>
      </c>
    </row>
    <row r="35577">
      <c r="A35577" s="4" t="s">
        <v>44757</v>
      </c>
      <c r="B35577" s="4" t="s">
        <v>44759</v>
      </c>
      <c r="C35577" s="5" t="str">
        <f>IFERROR(__xludf.DUMMYFUNCTION("GOOGLETRANSLATE(B35577,""en"",""es-ES"")"),"Después, el hombre corta la hierba en las fronteras con tijeras de jardín.")</f>
        <v>Después, el hombre corta la hierba en las fronteras con tijeras de jardín.</v>
      </c>
    </row>
    <row r="35578">
      <c r="A35578" s="4" t="s">
        <v>44760</v>
      </c>
      <c r="B35578" s="4" t="s">
        <v>44761</v>
      </c>
      <c r="C35578" s="5" t="str">
        <f>IFERROR(__xludf.DUMMYFUNCTION("GOOGLETRANSLATE(B35578,""en"",""es-ES"")"),"Dos luchadores están en un anillo discutiendo.")</f>
        <v>Dos luchadores están en un anillo discutiendo.</v>
      </c>
    </row>
    <row r="35579">
      <c r="A35579" s="4" t="s">
        <v>44760</v>
      </c>
      <c r="B35579" s="4" t="s">
        <v>44762</v>
      </c>
      <c r="C35579" s="5" t="str">
        <f>IFERROR(__xludf.DUMMYFUNCTION("GOOGLETRANSLATE(B35579,""en"",""es-ES"")"),"El árbitro se mantiene, instruyéndolos sobre qué hacer.")</f>
        <v>El árbitro se mantiene, instruyéndolos sobre qué hacer.</v>
      </c>
    </row>
    <row r="35580">
      <c r="A35580" s="4" t="s">
        <v>44760</v>
      </c>
      <c r="B35580" s="4" t="s">
        <v>44763</v>
      </c>
      <c r="C35580" s="5" t="str">
        <f>IFERROR(__xludf.DUMMYFUNCTION("GOOGLETRANSLATE(B35580,""en"",""es-ES"")"),"Finalmente llegan a la lucha del brazo.")</f>
        <v>Finalmente llegan a la lucha del brazo.</v>
      </c>
    </row>
    <row r="35581">
      <c r="A35581" s="4" t="s">
        <v>44760</v>
      </c>
      <c r="B35581" s="4" t="s">
        <v>44764</v>
      </c>
      <c r="C35581" s="5" t="str">
        <f>IFERROR(__xludf.DUMMYFUNCTION("GOOGLETRANSLATE(B35581,""en"",""es-ES"")"),"La multitud a su alrededor aplaude.")</f>
        <v>La multitud a su alrededor aplaude.</v>
      </c>
    </row>
    <row r="35582">
      <c r="A35582" s="4" t="s">
        <v>44760</v>
      </c>
      <c r="B35582" s="4" t="s">
        <v>44765</v>
      </c>
      <c r="C35582" s="5" t="str">
        <f>IFERROR(__xludf.DUMMYFUNCTION("GOOGLETRANSLATE(B35582,""en"",""es-ES"")"),"Un chico salta al ring y comienza a pelear con uno de los luchadores.")</f>
        <v>Un chico salta al ring y comienza a pelear con uno de los luchadores.</v>
      </c>
    </row>
    <row r="35583">
      <c r="A35583" s="4" t="s">
        <v>44760</v>
      </c>
      <c r="B35583" s="4" t="s">
        <v>44766</v>
      </c>
      <c r="C35583" s="5" t="str">
        <f>IFERROR(__xludf.DUMMYFUNCTION("GOOGLETRANSLATE(B35583,""en"",""es-ES"")"),"El hombre deja el ring y el luchador se acerca al otro luchador y lo golpea al suelo.")</f>
        <v>El hombre deja el ring y el luchador se acerca al otro luchador y lo golpea al suelo.</v>
      </c>
    </row>
    <row r="35584">
      <c r="A35584" s="4" t="s">
        <v>44760</v>
      </c>
      <c r="B35584" s="4" t="s">
        <v>44767</v>
      </c>
      <c r="C35584" s="5" t="str">
        <f>IFERROR(__xludf.DUMMYFUNCTION("GOOGLETRANSLATE(B35584,""en"",""es-ES"")"),"El luchador celebra su victoria.")</f>
        <v>El luchador celebra su victoria.</v>
      </c>
    </row>
    <row r="35585">
      <c r="A35585" s="4" t="s">
        <v>44768</v>
      </c>
      <c r="B35585" s="4" t="s">
        <v>44769</v>
      </c>
      <c r="C35585" s="5" t="str">
        <f>IFERROR(__xludf.DUMMYFUNCTION("GOOGLETRANSLATE(B35585,""en"",""es-ES"")"),"Dos niños pequeños rastrillan las hojas en un patio trasero mientras una niña mira y camina con ellos mientras rastrillan.")</f>
        <v>Dos niños pequeños rastrillan las hojas en un patio trasero mientras una niña mira y camina con ellos mientras rastrillan.</v>
      </c>
    </row>
    <row r="35586">
      <c r="A35586" s="4" t="s">
        <v>44768</v>
      </c>
      <c r="B35586" s="4" t="s">
        <v>44770</v>
      </c>
      <c r="C35586" s="5" t="str">
        <f>IFERROR(__xludf.DUMMYFUNCTION("GOOGLETRANSLATE(B35586,""en"",""es-ES"")"),"Los dos niños pequeños rastrillan las hojas con rastrillos de manejo rojo y una niña las mira y se queda mientras rastrillan.")</f>
        <v>Los dos niños pequeños rastrillan las hojas con rastrillos de manejo rojo y una niña las mira y se queda mientras rastrillan.</v>
      </c>
    </row>
    <row r="35587">
      <c r="A35587" s="4" t="s">
        <v>44768</v>
      </c>
      <c r="B35587" s="4" t="s">
        <v>44771</v>
      </c>
      <c r="C35587" s="5" t="str">
        <f>IFERROR(__xludf.DUMMYFUNCTION("GOOGLETRANSLATE(B35587,""en"",""es-ES"")"),"Los dos muchachos comienzan a rastrillar a la derecha del césped y la niña corre detrás de ellos.")</f>
        <v>Los dos muchachos comienzan a rastrillar a la derecha del césped y la niña corre detrás de ellos.</v>
      </c>
    </row>
    <row r="35588">
      <c r="A35588" s="4" t="s">
        <v>44768</v>
      </c>
      <c r="B35588" s="4" t="s">
        <v>44772</v>
      </c>
      <c r="C35588" s="5" t="str">
        <f>IFERROR(__xludf.DUMMYFUNCTION("GOOGLETRANSLATE(B35588,""en"",""es-ES"")"),"Luego, los muchachos se dan la vuelta y comienzan a rasparse al lado derecho del césped.")</f>
        <v>Luego, los muchachos se dan la vuelta y comienzan a rasparse al lado derecho del césped.</v>
      </c>
    </row>
    <row r="35589">
      <c r="A35589" s="4" t="s">
        <v>44773</v>
      </c>
      <c r="B35589" s="4" t="s">
        <v>44774</v>
      </c>
      <c r="C35589" s="5" t="str">
        <f>IFERROR(__xludf.DUMMYFUNCTION("GOOGLETRANSLATE(B35589,""en"",""es-ES"")"),"Little Kid está parado en una piscina para colgar un cubo amarillo en el agua y otro peolpe está sentado en bancos alrededor de la piscina.")</f>
        <v>Little Kid está parado en una piscina para colgar un cubo amarillo en el agua y otro peolpe está sentado en bancos alrededor de la piscina.</v>
      </c>
    </row>
    <row r="35590">
      <c r="A35590" s="4" t="s">
        <v>44773</v>
      </c>
      <c r="B35590" s="4" t="s">
        <v>44775</v>
      </c>
      <c r="C35590" s="5" t="str">
        <f>IFERROR(__xludf.DUMMYFUNCTION("GOOGLETRANSLATE(B35590,""en"",""es-ES"")"),"La mujer lleva al niño de espaldas y luego ella está con un hombre y el niño montando bicicletas en el parque.")</f>
        <v>La mujer lleva al niño de espaldas y luego ella está con un hombre y el niño montando bicicletas en el parque.</v>
      </c>
    </row>
    <row r="35591">
      <c r="A35591" s="4" t="s">
        <v>44773</v>
      </c>
      <c r="B35591" s="4" t="s">
        <v>44776</v>
      </c>
      <c r="C35591" s="5" t="str">
        <f>IFERROR(__xludf.DUMMYFUNCTION("GOOGLETRANSLATE(B35591,""en"",""es-ES"")"),"Kid corre dentro de una cancha de canasta techada.")</f>
        <v>Kid corre dentro de una cancha de canasta techada.</v>
      </c>
    </row>
    <row r="35592">
      <c r="A35592" s="4" t="s">
        <v>44773</v>
      </c>
      <c r="B35592" s="4" t="s">
        <v>44777</v>
      </c>
      <c r="C35592" s="5" t="str">
        <f>IFERROR(__xludf.DUMMYFUNCTION("GOOGLETRANSLATE(B35592,""en"",""es-ES"")"),"Kid está acostado con una raqueta de tenis.")</f>
        <v>Kid está acostado con una raqueta de tenis.</v>
      </c>
    </row>
    <row r="35593">
      <c r="A35593" s="4" t="s">
        <v>44778</v>
      </c>
      <c r="B35593" s="4" t="s">
        <v>44779</v>
      </c>
      <c r="C35593" s="5" t="str">
        <f>IFERROR(__xludf.DUMMYFUNCTION("GOOGLETRANSLATE(B35593,""en"",""es-ES"")"),"Un niño está de pie junto a un patio de juegos.")</f>
        <v>Un niño está de pie junto a un patio de juegos.</v>
      </c>
    </row>
    <row r="35594">
      <c r="A35594" s="4" t="s">
        <v>44778</v>
      </c>
      <c r="B35594" s="4" t="s">
        <v>44780</v>
      </c>
      <c r="C35594" s="5" t="str">
        <f>IFERROR(__xludf.DUMMYFUNCTION("GOOGLETRANSLATE(B35594,""en"",""es-ES"")"),"Una persona está saltando una cuerda en una estera blanca.")</f>
        <v>Una persona está saltando una cuerda en una estera blanca.</v>
      </c>
    </row>
    <row r="35595">
      <c r="A35595" s="4" t="s">
        <v>44778</v>
      </c>
      <c r="B35595" s="4" t="s">
        <v>44781</v>
      </c>
      <c r="C35595" s="5" t="str">
        <f>IFERROR(__xludf.DUMMYFUNCTION("GOOGLETRANSLATE(B35595,""en"",""es-ES"")"),"Un hombre está arrodillado en el suelo frente a una mesa roja.")</f>
        <v>Un hombre está arrodillado en el suelo frente a una mesa roja.</v>
      </c>
    </row>
    <row r="35596">
      <c r="A35596" s="4" t="s">
        <v>44778</v>
      </c>
      <c r="B35596" s="4" t="s">
        <v>44782</v>
      </c>
      <c r="C35596" s="5" t="str">
        <f>IFERROR(__xludf.DUMMYFUNCTION("GOOGLETRANSLATE(B35596,""en"",""es-ES"")"),"Se levanta y comienza a saltar la cuerda.")</f>
        <v>Se levanta y comienza a saltar la cuerda.</v>
      </c>
    </row>
    <row r="35597">
      <c r="A35597" s="4" t="s">
        <v>44783</v>
      </c>
      <c r="B35597" s="4" t="s">
        <v>44784</v>
      </c>
      <c r="C35597" s="5" t="str">
        <f>IFERROR(__xludf.DUMMYFUNCTION("GOOGLETRANSLATE(B35597,""en"",""es-ES"")"),"Un niño actúa en las barras dobles y desiguales, mientras se voltea alrededor de las barras.")</f>
        <v>Un niño actúa en las barras dobles y desiguales, mientras se voltea alrededor de las barras.</v>
      </c>
    </row>
    <row r="35598">
      <c r="A35598" s="4" t="s">
        <v>44783</v>
      </c>
      <c r="B35598" s="4" t="s">
        <v>44785</v>
      </c>
      <c r="C35598" s="5" t="str">
        <f>IFERROR(__xludf.DUMMYFUNCTION("GOOGLETRANSLATE(B35598,""en"",""es-ES"")"),"Luego, el niño voltea y aterriza en el piso, luego camina.")</f>
        <v>Luego, el niño voltea y aterriza en el piso, luego camina.</v>
      </c>
    </row>
    <row r="35599">
      <c r="A35599" s="4" t="s">
        <v>44786</v>
      </c>
      <c r="B35599" s="4" t="s">
        <v>44787</v>
      </c>
      <c r="C35599" s="5" t="str">
        <f>IFERROR(__xludf.DUMMYFUNCTION("GOOGLETRANSLATE(B35599,""en"",""es-ES"")"),"El video conduce a varios clips de corredores de pista que saltan sobre un bar con su salto se muestra nuevamente en cámara lenta.")</f>
        <v>El video conduce a varios clips de corredores de pista que saltan sobre un bar con su salto se muestra nuevamente en cámara lenta.</v>
      </c>
    </row>
    <row r="35600">
      <c r="A35600" s="4" t="s">
        <v>44786</v>
      </c>
      <c r="B35600" s="4" t="s">
        <v>44788</v>
      </c>
      <c r="C35600" s="5" t="str">
        <f>IFERROR(__xludf.DUMMYFUNCTION("GOOGLETRANSLATE(B35600,""en"",""es-ES"")"),"Se muestra a varias personas más saltando sobre la barra con una golpeando la barra y no saltar.")</f>
        <v>Se muestra a varias personas más saltando sobre la barra con una golpeando la barra y no saltar.</v>
      </c>
    </row>
    <row r="35601">
      <c r="A35601" s="4" t="s">
        <v>44789</v>
      </c>
      <c r="B35601" s="4" t="s">
        <v>44790</v>
      </c>
      <c r="C35601" s="5" t="str">
        <f>IFERROR(__xludf.DUMMYFUNCTION("GOOGLETRANSLATE(B35601,""en"",""es-ES"")"),"Un niño se sienta al volante del automóvil, conduciendo y hablando con los otros pasajeros en el automóvil.")</f>
        <v>Un niño se sienta al volante del automóvil, conduciendo y hablando con los otros pasajeros en el automóvil.</v>
      </c>
    </row>
    <row r="35602">
      <c r="A35602" s="4" t="s">
        <v>44789</v>
      </c>
      <c r="B35602" s="4" t="s">
        <v>44791</v>
      </c>
      <c r="C35602" s="5" t="str">
        <f>IFERROR(__xludf.DUMMYFUNCTION("GOOGLETRANSLATE(B35602,""en"",""es-ES"")"),"El automóvil viaja por una carretera sinuosa mientras la cámara se dirige entre las personas que hablan en ese momento.")</f>
        <v>El automóvil viaja por una carretera sinuosa mientras la cámara se dirige entre las personas que hablan en ese momento.</v>
      </c>
    </row>
    <row r="35603">
      <c r="A35603" s="4" t="s">
        <v>44789</v>
      </c>
      <c r="B35603" s="4" t="s">
        <v>44792</v>
      </c>
      <c r="C35603" s="5" t="str">
        <f>IFERROR(__xludf.DUMMYFUNCTION("GOOGLETRANSLATE(B35603,""en"",""es-ES"")"),"La gente en el automóvil finalmente llega a una pendiente cubierta de nieve donde se ponen ropa de esquí y comienzan a esquiar en las flips de pendiente, bajando las colinas y saltando de plataformas elevadas.")</f>
        <v>La gente en el automóvil finalmente llega a una pendiente cubierta de nieve donde se ponen ropa de esquí y comienzan a esquiar en las flips de pendiente, bajando las colinas y saltando de plataformas elevadas.</v>
      </c>
    </row>
    <row r="35604">
      <c r="A35604" s="4" t="s">
        <v>44789</v>
      </c>
      <c r="B35604" s="4" t="s">
        <v>44793</v>
      </c>
      <c r="C35604" s="5" t="str">
        <f>IFERROR(__xludf.DUMMYFUNCTION("GOOGLETRANSLATE(B35604,""en"",""es-ES"")"),"En un momento de los niños cae en el suelo y se acurruca en la posición fetal en la nieve.")</f>
        <v>En un momento de los niños cae en el suelo y se acurruca en la posición fetal en la nieve.</v>
      </c>
    </row>
    <row r="35605">
      <c r="A35605" s="4" t="s">
        <v>44789</v>
      </c>
      <c r="B35605" s="4" t="s">
        <v>44794</v>
      </c>
      <c r="C35605" s="5" t="str">
        <f>IFERROR(__xludf.DUMMYFUNCTION("GOOGLETRANSLATE(B35605,""en"",""es-ES"")"),"La escena luego corta a los niños de regreso en casa en la cocina, las cosas con una imagen final de un niño de pie en el bosque cubierto de nieve que habla con la cámara.")</f>
        <v>La escena luego corta a los niños de regreso en casa en la cocina, las cosas con una imagen final de un niño de pie en el bosque cubierto de nieve que habla con la cámara.</v>
      </c>
    </row>
    <row r="35606">
      <c r="A35606" s="4" t="s">
        <v>44795</v>
      </c>
      <c r="B35606" s="4" t="s">
        <v>44796</v>
      </c>
      <c r="C35606" s="5" t="str">
        <f>IFERROR(__xludf.DUMMYFUNCTION("GOOGLETRANSLATE(B35606,""en"",""es-ES"")"),"Se ve a un pequeño grupo de personas de pie en un gimnasio con un hombre que conduce al frente.")</f>
        <v>Se ve a un pequeño grupo de personas de pie en un gimnasio con un hombre que conduce al frente.</v>
      </c>
    </row>
    <row r="35607">
      <c r="A35607" s="4" t="s">
        <v>44795</v>
      </c>
      <c r="B35607" s="4" t="s">
        <v>44797</v>
      </c>
      <c r="C35607" s="5" t="str">
        <f>IFERROR(__xludf.DUMMYFUNCTION("GOOGLETRANSLATE(B35607,""en"",""es-ES"")"),"El hombre lidera al grupo en una clase de ejercicio que involucra un haz en el piso.")</f>
        <v>El hombre lidera al grupo en una clase de ejercicio que involucra un haz en el piso.</v>
      </c>
    </row>
    <row r="35608">
      <c r="A35608" s="4" t="s">
        <v>44795</v>
      </c>
      <c r="B35608" s="4" t="s">
        <v>44798</v>
      </c>
      <c r="C35608" s="5" t="str">
        <f>IFERROR(__xludf.DUMMYFUNCTION("GOOGLETRANSLATE(B35608,""en"",""es-ES"")"),"La gente se mueve hacia arriba y hacia abajo de la viga mientras el hombre aplaude y sonríe al grupo.")</f>
        <v>La gente se mueve hacia arriba y hacia abajo de la viga mientras el hombre aplaude y sonríe al grupo.</v>
      </c>
    </row>
    <row r="35609">
      <c r="A35609" s="4" t="s">
        <v>44799</v>
      </c>
      <c r="B35609" s="4" t="s">
        <v>44800</v>
      </c>
      <c r="C35609" s="5" t="str">
        <f>IFERROR(__xludf.DUMMYFUNCTION("GOOGLETRANSLATE(B35609,""en"",""es-ES"")"),"Una gimnasta corre, luego voltea varias veces por una pista interior.")</f>
        <v>Una gimnasta corre, luego voltea varias veces por una pista interior.</v>
      </c>
    </row>
    <row r="35610">
      <c r="A35610" s="4" t="s">
        <v>44799</v>
      </c>
      <c r="B35610" s="4" t="s">
        <v>44801</v>
      </c>
      <c r="C35610" s="5" t="str">
        <f>IFERROR(__xludf.DUMMYFUNCTION("GOOGLETRANSLATE(B35610,""en"",""es-ES"")"),"Otras chicas hacen lo mismo, volteando rápidamente a medida que avanzan.")</f>
        <v>Otras chicas hacen lo mismo, volteando rápidamente a medida que avanzan.</v>
      </c>
    </row>
    <row r="35611">
      <c r="A35611" s="4" t="s">
        <v>44799</v>
      </c>
      <c r="B35611" s="4" t="s">
        <v>44802</v>
      </c>
      <c r="C35611" s="5" t="str">
        <f>IFERROR(__xludf.DUMMYFUNCTION("GOOGLETRANSLATE(B35611,""en"",""es-ES"")"),"Desmontan al final, brazos en el aire.")</f>
        <v>Desmontan al final, brazos en el aire.</v>
      </c>
    </row>
    <row r="35612">
      <c r="A35612" s="4" t="s">
        <v>44803</v>
      </c>
      <c r="B35612" s="4" t="s">
        <v>44804</v>
      </c>
      <c r="C35612" s="5" t="str">
        <f>IFERROR(__xludf.DUMMYFUNCTION("GOOGLETRANSLATE(B35612,""en"",""es-ES"")"),"Un niño rubio con cabello grande se sienta en una mesa y sostiene un ojo de contacto y se pone los contactos en sus ojos.")</f>
        <v>Un niño rubio con cabello grande se sienta en una mesa y sostiene un ojo de contacto y se pone los contactos en sus ojos.</v>
      </c>
    </row>
    <row r="35613">
      <c r="A35613" s="4" t="s">
        <v>44803</v>
      </c>
      <c r="B35613" s="4" t="s">
        <v>44805</v>
      </c>
      <c r="C35613" s="5" t="str">
        <f>IFERROR(__xludf.DUMMYFUNCTION("GOOGLETRANSLATE(B35613,""en"",""es-ES"")"),"Little Kid está hablando con la cámara y está en una mesa Wearnig, un uniforme rojo que le pone lentes de contacto en los ojos.")</f>
        <v>Little Kid está hablando con la cámara y está en una mesa Wearnig, un uniforme rojo que le pone lentes de contacto en los ojos.</v>
      </c>
    </row>
    <row r="35614">
      <c r="A35614" s="4" t="s">
        <v>44806</v>
      </c>
      <c r="B35614" s="4" t="s">
        <v>44807</v>
      </c>
      <c r="C35614" s="5" t="str">
        <f>IFERROR(__xludf.DUMMYFUNCTION("GOOGLETRANSLATE(B35614,""en"",""es-ES"")"),"El hombre está corriendo en un gimnasio techo y haciendo un salto de altura.")</f>
        <v>El hombre está corriendo en un gimnasio techo y haciendo un salto de altura.</v>
      </c>
    </row>
    <row r="35615">
      <c r="A35615" s="4" t="s">
        <v>44806</v>
      </c>
      <c r="B35615" s="4" t="s">
        <v>44808</v>
      </c>
      <c r="C35615" s="5" t="str">
        <f>IFERROR(__xludf.DUMMYFUNCTION("GOOGLETRANSLATE(B35615,""en"",""es-ES"")"),"El hombre está haciendo un salto mortal en un gimnasio techo.")</f>
        <v>El hombre está haciendo un salto mortal en un gimnasio techo.</v>
      </c>
    </row>
    <row r="35616">
      <c r="A35616" s="4" t="s">
        <v>44806</v>
      </c>
      <c r="B35616" s="4" t="s">
        <v>44809</v>
      </c>
      <c r="C35616" s="5" t="str">
        <f>IFERROR(__xludf.DUMMYFUNCTION("GOOGLETRANSLATE(B35616,""en"",""es-ES"")"),"Dos mujeres están de pie en el gimnasio por el hombre saltador.")</f>
        <v>Dos mujeres están de pie en el gimnasio por el hombre saltador.</v>
      </c>
    </row>
    <row r="35617">
      <c r="A35617" s="4" t="s">
        <v>44806</v>
      </c>
      <c r="B35617" s="4" t="s">
        <v>44810</v>
      </c>
      <c r="C35617" s="5" t="str">
        <f>IFERROR(__xludf.DUMMYFUNCTION("GOOGLETRANSLATE(B35617,""en"",""es-ES"")"),"El hombre está haciendo un salto mortal en un gimnasio techo en una pista de carreras.")</f>
        <v>El hombre está haciendo un salto mortal en un gimnasio techo en una pista de carreras.</v>
      </c>
    </row>
    <row r="35618">
      <c r="A35618" s="4" t="s">
        <v>44811</v>
      </c>
      <c r="B35618" s="4" t="s">
        <v>44812</v>
      </c>
      <c r="C35618" s="5" t="str">
        <f>IFERROR(__xludf.DUMMYFUNCTION("GOOGLETRANSLATE(B35618,""en"",""es-ES"")"),"Hay una gimnasta de niña vestida con leotardos púrpuras haciendo flips en una barra de caballos en un gran estadio interior lleno de espectadores.")</f>
        <v>Hay una gimnasta de niña vestida con leotardos púrpuras haciendo flips en una barra de caballos en un gran estadio interior lleno de espectadores.</v>
      </c>
    </row>
    <row r="35619">
      <c r="A35619" s="4" t="s">
        <v>44811</v>
      </c>
      <c r="B35619" s="4" t="s">
        <v>44813</v>
      </c>
      <c r="C35619" s="5" t="str">
        <f>IFERROR(__xludf.DUMMYFUNCTION("GOOGLETRANSLATE(B35619,""en"",""es-ES"")"),"Ella continúa haciendo volteretas delanteras y girando su cuerpo sobre la barra de caballos.")</f>
        <v>Ella continúa haciendo volteretas delanteras y girando su cuerpo sobre la barra de caballos.</v>
      </c>
    </row>
    <row r="35620">
      <c r="A35620" s="4" t="s">
        <v>44811</v>
      </c>
      <c r="B35620" s="4" t="s">
        <v>44814</v>
      </c>
      <c r="C35620" s="5" t="str">
        <f>IFERROR(__xludf.DUMMYFUNCTION("GOOGLETRANSLATE(B35620,""en"",""es-ES"")"),"Camina toda la barra de caballos y finalmente salta de la barra de caballos para terminar con éxito su ronda.")</f>
        <v>Camina toda la barra de caballos y finalmente salta de la barra de caballos para terminar con éxito su ronda.</v>
      </c>
    </row>
    <row r="35621">
      <c r="A35621" s="4" t="s">
        <v>44811</v>
      </c>
      <c r="B35621" s="4" t="s">
        <v>44815</v>
      </c>
      <c r="C35621" s="5" t="str">
        <f>IFERROR(__xludf.DUMMYFUNCTION("GOOGLETRANSLATE(B35621,""en"",""es-ES"")"),"Mientras salta y se aleja, la multitud anima y aplaude en voz alta.")</f>
        <v>Mientras salta y se aleja, la multitud anima y aplaude en voz alta.</v>
      </c>
    </row>
    <row r="35622">
      <c r="A35622" s="4" t="s">
        <v>44816</v>
      </c>
      <c r="B35622" s="4" t="s">
        <v>44817</v>
      </c>
      <c r="C35622" s="5" t="str">
        <f>IFERROR(__xludf.DUMMYFUNCTION("GOOGLETRANSLATE(B35622,""en"",""es-ES"")"),"Se muestra una balsa azul y se muestra un grupo de personas arrojándolos en una pila.")</f>
        <v>Se muestra una balsa azul y se muestra un grupo de personas arrojándolos en una pila.</v>
      </c>
    </row>
    <row r="35623">
      <c r="A35623" s="4" t="s">
        <v>44816</v>
      </c>
      <c r="B35623" s="4" t="s">
        <v>44818</v>
      </c>
      <c r="C35623" s="5" t="str">
        <f>IFERROR(__xludf.DUMMYFUNCTION("GOOGLETRANSLATE(B35623,""en"",""es-ES"")"),"Finalmente, están junto al agua y unos ocho de ellos están sentados en la balsa que viajan por el agua.")</f>
        <v>Finalmente, están junto al agua y unos ocho de ellos están sentados en la balsa que viajan por el agua.</v>
      </c>
    </row>
    <row r="35624">
      <c r="A35624" s="4" t="s">
        <v>44816</v>
      </c>
      <c r="B35624" s="4" t="s">
        <v>44819</v>
      </c>
      <c r="C35624" s="5" t="str">
        <f>IFERROR(__xludf.DUMMYFUNCTION("GOOGLETRANSLATE(B35624,""en"",""es-ES"")"),"Después de una cierta distancia, se encuentran con una roca y una gran ola y todos salen de la balsa.")</f>
        <v>Después de una cierta distancia, se encuentran con una roca y una gran ola y todos salen de la balsa.</v>
      </c>
    </row>
    <row r="35625">
      <c r="A35625" s="4" t="s">
        <v>44816</v>
      </c>
      <c r="B35625" s="4" t="s">
        <v>44820</v>
      </c>
      <c r="C35625" s="5" t="str">
        <f>IFERROR(__xludf.DUMMYFUNCTION("GOOGLETRANSLATE(B35625,""en"",""es-ES"")"),"El rafting continúa y, finalmente, todos se muestran parados afuera en un campo en un círculo grande que habla y bebe sobre un trabajo bien hecho.")</f>
        <v>El rafting continúa y, finalmente, todos se muestran parados afuera en un campo en un círculo grande que habla y bebe sobre un trabajo bien hecho.</v>
      </c>
    </row>
    <row r="35626">
      <c r="A35626" s="4" t="s">
        <v>44821</v>
      </c>
      <c r="B35626" s="4" t="s">
        <v>44822</v>
      </c>
      <c r="C35626" s="5" t="str">
        <f>IFERROR(__xludf.DUMMYFUNCTION("GOOGLETRANSLATE(B35626,""en"",""es-ES"")"),"Las damas están jugando volea a la pelota afuera.")</f>
        <v>Las damas están jugando volea a la pelota afuera.</v>
      </c>
    </row>
    <row r="35627">
      <c r="A35627" s="4" t="s">
        <v>44821</v>
      </c>
      <c r="B35627" s="4" t="s">
        <v>44823</v>
      </c>
      <c r="C35627" s="5" t="str">
        <f>IFERROR(__xludf.DUMMYFUNCTION("GOOGLETRANSLATE(B35627,""en"",""es-ES"")"),"Una mujer golpea la pelota dos veces.")</f>
        <v>Una mujer golpea la pelota dos veces.</v>
      </c>
    </row>
    <row r="35628">
      <c r="A35628" s="4" t="s">
        <v>44821</v>
      </c>
      <c r="B35628" s="4" t="s">
        <v>44824</v>
      </c>
      <c r="C35628" s="5" t="str">
        <f>IFERROR(__xludf.DUMMYFUNCTION("GOOGLETRANSLATE(B35628,""en"",""es-ES"")"),"Una dama toca el brazo de un compañero de equipo.")</f>
        <v>Una dama toca el brazo de un compañero de equipo.</v>
      </c>
    </row>
    <row r="35629">
      <c r="A35629" s="4" t="s">
        <v>44825</v>
      </c>
      <c r="B35629" s="4" t="s">
        <v>44826</v>
      </c>
      <c r="C35629" s="5" t="str">
        <f>IFERROR(__xludf.DUMMYFUNCTION("GOOGLETRANSLATE(B35629,""en"",""es-ES"")"),"Un entrenador alineando a un grupo de adolescentes en una cancha de baloncesto, el adolescente en delante tiene una pelota de baloncesto.")</f>
        <v>Un entrenador alineando a un grupo de adolescentes en una cancha de baloncesto, el adolescente en delante tiene una pelota de baloncesto.</v>
      </c>
    </row>
    <row r="35630">
      <c r="A35630" s="4" t="s">
        <v>44825</v>
      </c>
      <c r="B35630" s="4" t="s">
        <v>44827</v>
      </c>
      <c r="C35630" s="5" t="str">
        <f>IFERROR(__xludf.DUMMYFUNCTION("GOOGLETRANSLATE(B35630,""en"",""es-ES"")"),"Tres adolescentes corren y un niño arroja el baloncesto a la canasta, luego el segundo adolescente agarra la pelota y pasa la pelota a dos adolescentes disputando para tener la pelota.")</f>
        <v>Tres adolescentes corren y un niño arroja el baloncesto a la canasta, luego el segundo adolescente agarra la pelota y pasa la pelota a dos adolescentes disputando para tener la pelota.</v>
      </c>
    </row>
    <row r="35631">
      <c r="A35631" s="4" t="s">
        <v>44825</v>
      </c>
      <c r="B35631" s="4" t="s">
        <v>44828</v>
      </c>
      <c r="C35631" s="5" t="str">
        <f>IFERROR(__xludf.DUMMYFUNCTION("GOOGLETRANSLATE(B35631,""en"",""es-ES"")"),"Luego, tres niños más corren para practicar los mismos pasos.")</f>
        <v>Luego, tres niños más corren para practicar los mismos pasos.</v>
      </c>
    </row>
    <row r="35632">
      <c r="A35632" s="4" t="s">
        <v>44825</v>
      </c>
      <c r="B35632" s="4" t="s">
        <v>44829</v>
      </c>
      <c r="C35632" s="5" t="str">
        <f>IFERROR(__xludf.DUMMYFUNCTION("GOOGLETRANSLATE(B35632,""en"",""es-ES"")"),"Un joven que lleva una camiseta amarilla practica el baloncesto en el otro gol de baloncesto.")</f>
        <v>Un joven que lleva una camiseta amarilla practica el baloncesto en el otro gol de baloncesto.</v>
      </c>
    </row>
    <row r="35633">
      <c r="A35633" s="4" t="s">
        <v>44825</v>
      </c>
      <c r="B35633" s="4" t="s">
        <v>44830</v>
      </c>
      <c r="C35633" s="5" t="str">
        <f>IFERROR(__xludf.DUMMYFUNCTION("GOOGLETRANSLATE(B35633,""en"",""es-ES"")"),"Después, un grupo de tres niños corre para practicar disparos de baloncesto y bloqueo.")</f>
        <v>Después, un grupo de tres niños corre para practicar disparos de baloncesto y bloqueo.</v>
      </c>
    </row>
    <row r="35634">
      <c r="A35634" s="4" t="s">
        <v>44831</v>
      </c>
      <c r="B35634" s="4" t="s">
        <v>44832</v>
      </c>
      <c r="C35634" s="5" t="str">
        <f>IFERROR(__xludf.DUMMYFUNCTION("GOOGLETRANSLATE(B35634,""en"",""es-ES"")"),"Un atleta está parado en un campo.")</f>
        <v>Un atleta está parado en un campo.</v>
      </c>
    </row>
    <row r="35635">
      <c r="A35635" s="4" t="s">
        <v>44831</v>
      </c>
      <c r="B35635" s="4" t="s">
        <v>44833</v>
      </c>
      <c r="C35635" s="5" t="str">
        <f>IFERROR(__xludf.DUMMYFUNCTION("GOOGLETRANSLATE(B35635,""en"",""es-ES"")"),"Él está sosteniendo una gran bola de acero.")</f>
        <v>Él está sosteniendo una gran bola de acero.</v>
      </c>
    </row>
    <row r="35636">
      <c r="A35636" s="4" t="s">
        <v>44831</v>
      </c>
      <c r="B35636" s="4" t="s">
        <v>44834</v>
      </c>
      <c r="C35636" s="5" t="str">
        <f>IFERROR(__xludf.DUMMYFUNCTION("GOOGLETRANSLATE(B35636,""en"",""es-ES"")"),"Él gira y lanza la pelota, luego camina por la pista esperando su próximo turno.")</f>
        <v>Él gira y lanza la pelota, luego camina por la pista esperando su próximo turno.</v>
      </c>
    </row>
    <row r="35637">
      <c r="A35637" s="4" t="s">
        <v>44835</v>
      </c>
      <c r="B35637" s="4" t="s">
        <v>44836</v>
      </c>
      <c r="C35637" s="5" t="str">
        <f>IFERROR(__xludf.DUMMYFUNCTION("GOOGLETRANSLATE(B35637,""en"",""es-ES"")"),"Hay algunas personas que juegan croquet en su patio trasero que está cubierto de hojas de otoño.")</f>
        <v>Hay algunas personas que juegan croquet en su patio trasero que está cubierto de hojas de otoño.</v>
      </c>
    </row>
    <row r="35638">
      <c r="A35638" s="4" t="s">
        <v>44835</v>
      </c>
      <c r="B35638" s="4" t="s">
        <v>44837</v>
      </c>
      <c r="C35638" s="5" t="str">
        <f>IFERROR(__xludf.DUMMYFUNCTION("GOOGLETRANSLATE(B35638,""en"",""es-ES"")"),"Hay un adolescente y una adolescente tocando croquet en algunos tableros de madera.")</f>
        <v>Hay un adolescente y una adolescente tocando croquet en algunos tableros de madera.</v>
      </c>
    </row>
    <row r="35639">
      <c r="A35639" s="4" t="s">
        <v>44835</v>
      </c>
      <c r="B35639" s="4" t="s">
        <v>44838</v>
      </c>
      <c r="C35639" s="5" t="str">
        <f>IFERROR(__xludf.DUMMYFUNCTION("GOOGLETRANSLATE(B35639,""en"",""es-ES"")"),"Usan su mazo de madera para golpear la pelota por los tableros de madera.")</f>
        <v>Usan su mazo de madera para golpear la pelota por los tableros de madera.</v>
      </c>
    </row>
    <row r="35640">
      <c r="A35640" s="4" t="s">
        <v>44835</v>
      </c>
      <c r="B35640" s="4" t="s">
        <v>44839</v>
      </c>
      <c r="C35640" s="5" t="str">
        <f>IFERROR(__xludf.DUMMYFUNCTION("GOOGLETRANSLATE(B35640,""en"",""es-ES"")"),"Otro grupo de jóvenes adolescentes también está jugando croquet en el patio.")</f>
        <v>Otro grupo de jóvenes adolescentes también está jugando croquet en el patio.</v>
      </c>
    </row>
    <row r="35641">
      <c r="A35641" s="4" t="s">
        <v>44835</v>
      </c>
      <c r="B35641" s="4" t="s">
        <v>44840</v>
      </c>
      <c r="C35641" s="5" t="str">
        <f>IFERROR(__xludf.DUMMYFUNCTION("GOOGLETRANSLATE(B35641,""en"",""es-ES"")"),"Uno de los adolescentes con una camisa amarilla finge que su mazo es una guitarra y la toca.")</f>
        <v>Uno de los adolescentes con una camisa amarilla finge que su mazo es una guitarra y la toca.</v>
      </c>
    </row>
    <row r="35642">
      <c r="A35642" s="4" t="s">
        <v>44835</v>
      </c>
      <c r="B35642" s="4" t="s">
        <v>44841</v>
      </c>
      <c r="C35642" s="5" t="str">
        <f>IFERROR(__xludf.DUMMYFUNCTION("GOOGLETRANSLATE(B35642,""en"",""es-ES"")"),"Los adolescentes continúan jugando croquet mientras se turnan para golpear la pelota con el mazo mientras otro niño juega con un gato blanco y negro.")</f>
        <v>Los adolescentes continúan jugando croquet mientras se turnan para golpear la pelota con el mazo mientras otro niño juega con un gato blanco y negro.</v>
      </c>
    </row>
    <row r="35643">
      <c r="A35643" s="4" t="s">
        <v>44835</v>
      </c>
      <c r="B35643" s="4" t="s">
        <v>44842</v>
      </c>
      <c r="C35643" s="5" t="str">
        <f>IFERROR(__xludf.DUMMYFUNCTION("GOOGLETRANSLATE(B35643,""en"",""es-ES"")"),"Los adolescentes continúan jugando mientras el gato los observa.")</f>
        <v>Los adolescentes continúan jugando mientras el gato los observa.</v>
      </c>
    </row>
    <row r="35644">
      <c r="A35644" s="4" t="s">
        <v>44835</v>
      </c>
      <c r="B35644" s="4" t="s">
        <v>44843</v>
      </c>
      <c r="C35644" s="5" t="str">
        <f>IFERROR(__xludf.DUMMYFUNCTION("GOOGLETRANSLATE(B35644,""en"",""es-ES"")"),"El adolescente con la camisa amarilla juega con el gato blanco y negro.")</f>
        <v>El adolescente con la camisa amarilla juega con el gato blanco y negro.</v>
      </c>
    </row>
    <row r="35645">
      <c r="A35645" s="4" t="s">
        <v>44835</v>
      </c>
      <c r="B35645" s="4" t="s">
        <v>44844</v>
      </c>
      <c r="C35645" s="5" t="str">
        <f>IFERROR(__xludf.DUMMYFUNCTION("GOOGLETRANSLATE(B35645,""en"",""es-ES"")"),"Uno de los adolescentes pose y tiene como objetivo golpear la pelota con su mazo mientras los otros dos adolescentes lo miran.")</f>
        <v>Uno de los adolescentes pose y tiene como objetivo golpear la pelota con su mazo mientras los otros dos adolescentes lo miran.</v>
      </c>
    </row>
    <row r="35646">
      <c r="A35646" s="4" t="s">
        <v>44835</v>
      </c>
      <c r="B35646" s="4" t="s">
        <v>44845</v>
      </c>
      <c r="C35646" s="5" t="str">
        <f>IFERROR(__xludf.DUMMYFUNCTION("GOOGLETRANSLATE(B35646,""en"",""es-ES"")"),"Continúan jugando croquet mientras se turnan para golpear las pelotas una por una con los mazos.")</f>
        <v>Continúan jugando croquet mientras se turnan para golpear las pelotas una por una con los mazos.</v>
      </c>
    </row>
    <row r="35647">
      <c r="A35647" s="4" t="s">
        <v>44835</v>
      </c>
      <c r="B35647" s="4" t="s">
        <v>44846</v>
      </c>
      <c r="C35647" s="5" t="str">
        <f>IFERROR(__xludf.DUMMYFUNCTION("GOOGLETRANSLATE(B35647,""en"",""es-ES"")"),"Uno de los adolescentes simplemente deja caer su mazo, mientras que los otros dos adolescentes se dan altas cinco.")</f>
        <v>Uno de los adolescentes simplemente deja caer su mazo, mientras que los otros dos adolescentes se dan altas cinco.</v>
      </c>
    </row>
    <row r="35648">
      <c r="A35648" s="4" t="s">
        <v>44847</v>
      </c>
      <c r="B35648" s="4" t="s">
        <v>44848</v>
      </c>
      <c r="C35648" s="5" t="str">
        <f>IFERROR(__xludf.DUMMYFUNCTION("GOOGLETRANSLATE(B35648,""en"",""es-ES"")"),"Una mujer está poniendo papel de pared en una pared.")</f>
        <v>Una mujer está poniendo papel de pared en una pared.</v>
      </c>
    </row>
    <row r="35649">
      <c r="A35649" s="4" t="s">
        <v>44847</v>
      </c>
      <c r="B35649" s="4" t="s">
        <v>44849</v>
      </c>
      <c r="C35649" s="5" t="str">
        <f>IFERROR(__xludf.DUMMYFUNCTION("GOOGLETRANSLATE(B35649,""en"",""es-ES"")"),"Ella suaviza el papel de la pared con las manos.")</f>
        <v>Ella suaviza el papel de la pared con las manos.</v>
      </c>
    </row>
    <row r="35650">
      <c r="A35650" s="4" t="s">
        <v>44847</v>
      </c>
      <c r="B35650" s="4" t="s">
        <v>44850</v>
      </c>
      <c r="C35650" s="5" t="str">
        <f>IFERROR(__xludf.DUMMYFUNCTION("GOOGLETRANSLATE(B35650,""en"",""es-ES"")"),"Ella está rodando el papel de la pared sobre la pared.")</f>
        <v>Ella está rodando el papel de la pared sobre la pared.</v>
      </c>
    </row>
    <row r="35651">
      <c r="A35651" s="4" t="s">
        <v>44851</v>
      </c>
      <c r="B35651" s="4" t="s">
        <v>44852</v>
      </c>
      <c r="C35651" s="5" t="str">
        <f>IFERROR(__xludf.DUMMYFUNCTION("GOOGLETRANSLATE(B35651,""en"",""es-ES"")"),"Un hombre se sienta en una mesa y sostiene un destornillador que lo presiona contra la mesa.")</f>
        <v>Un hombre se sienta en una mesa y sostiene un destornillador que lo presiona contra la mesa.</v>
      </c>
    </row>
    <row r="35652">
      <c r="A35652" s="4" t="s">
        <v>44851</v>
      </c>
      <c r="B35652" s="4" t="s">
        <v>44853</v>
      </c>
      <c r="C35652" s="5" t="str">
        <f>IFERROR(__xludf.DUMMYFUNCTION("GOOGLETRANSLATE(B35652,""en"",""es-ES"")"),"El hombre pretende tiempo y usa la herramienta de destornillador para perforar un agujero en una lata de cerveza completa que rocía algunos de sus contenidos.")</f>
        <v>El hombre pretende tiempo y usa la herramienta de destornillador para perforar un agujero en una lata de cerveza completa que rocía algunos de sus contenidos.</v>
      </c>
    </row>
    <row r="35653">
      <c r="A35653" s="4" t="s">
        <v>44851</v>
      </c>
      <c r="B35653" s="4" t="s">
        <v>44854</v>
      </c>
      <c r="C35653" s="5" t="str">
        <f>IFERROR(__xludf.DUMMYFUNCTION("GOOGLETRANSLATE(B35653,""en"",""es-ES"")"),"El hombre levanta la lata con el agujero hacia arriba.")</f>
        <v>El hombre levanta la lata con el agujero hacia arriba.</v>
      </c>
    </row>
    <row r="35654">
      <c r="A35654" s="4" t="s">
        <v>44851</v>
      </c>
      <c r="B35654" s="4" t="s">
        <v>44855</v>
      </c>
      <c r="C35654" s="5" t="str">
        <f>IFERROR(__xludf.DUMMYFUNCTION("GOOGLETRANSLATE(B35654,""en"",""es-ES"")"),"El hombre bebe el contenido de la lata de cerveza desde el agujero después de abrir la parte superior.")</f>
        <v>El hombre bebe el contenido de la lata de cerveza desde el agujero después de abrir la parte superior.</v>
      </c>
    </row>
    <row r="35655">
      <c r="A35655" s="4" t="s">
        <v>44856</v>
      </c>
      <c r="B35655" s="4" t="s">
        <v>44857</v>
      </c>
      <c r="C35655" s="5" t="str">
        <f>IFERROR(__xludf.DUMMYFUNCTION("GOOGLETRANSLATE(B35655,""en"",""es-ES"")"),"Un grupo de personas está en un campo bien cortado.")</f>
        <v>Un grupo de personas está en un campo bien cortado.</v>
      </c>
    </row>
    <row r="35656">
      <c r="A35656" s="4" t="s">
        <v>44856</v>
      </c>
      <c r="B35656" s="4" t="s">
        <v>44858</v>
      </c>
      <c r="C35656" s="5" t="str">
        <f>IFERROR(__xludf.DUMMYFUNCTION("GOOGLETRANSLATE(B35656,""en"",""es-ES"")"),"Están jugando un juego de Croquette.")</f>
        <v>Están jugando un juego de Croquette.</v>
      </c>
    </row>
    <row r="35657">
      <c r="A35657" s="4" t="s">
        <v>44856</v>
      </c>
      <c r="B35657" s="4" t="s">
        <v>44859</v>
      </c>
      <c r="C35657" s="5" t="str">
        <f>IFERROR(__xludf.DUMMYFUNCTION("GOOGLETRANSLATE(B35657,""en"",""es-ES"")"),"Golpearon las bolas a través de los aros con mazos.")</f>
        <v>Golpearon las bolas a través de los aros con mazos.</v>
      </c>
    </row>
    <row r="35658">
      <c r="A35658" s="4" t="s">
        <v>44860</v>
      </c>
      <c r="B35658" s="4" t="s">
        <v>44861</v>
      </c>
      <c r="C35658" s="5" t="str">
        <f>IFERROR(__xludf.DUMMYFUNCTION("GOOGLETRANSLATE(B35658,""en"",""es-ES"")"),"Un niño lleva un pañuelo y corta un gran patio.")</f>
        <v>Un niño lleva un pañuelo y corta un gran patio.</v>
      </c>
    </row>
    <row r="35659">
      <c r="A35659" s="4" t="s">
        <v>44860</v>
      </c>
      <c r="B35659" s="4" t="s">
        <v>44862</v>
      </c>
      <c r="C35659" s="5" t="str">
        <f>IFERROR(__xludf.DUMMYFUNCTION("GOOGLETRANSLATE(B35659,""en"",""es-ES"")"),"Se aleja de la cámara mientras empuja al cortacésped.")</f>
        <v>Se aleja de la cámara mientras empuja al cortacésped.</v>
      </c>
    </row>
    <row r="35660">
      <c r="A35660" s="4" t="s">
        <v>44860</v>
      </c>
      <c r="B35660" s="4" t="s">
        <v>44863</v>
      </c>
      <c r="C35660" s="5" t="str">
        <f>IFERROR(__xludf.DUMMYFUNCTION("GOOGLETRANSLATE(B35660,""en"",""es-ES"")"),"Luego se detiene de repente, persiguiendo a la persona con la cámara y derribándolas.")</f>
        <v>Luego se detiene de repente, persiguiendo a la persona con la cámara y derribándolas.</v>
      </c>
    </row>
    <row r="35661">
      <c r="A35661" s="4" t="s">
        <v>44864</v>
      </c>
      <c r="B35661" s="4" t="s">
        <v>44865</v>
      </c>
      <c r="C35661" s="5" t="str">
        <f>IFERROR(__xludf.DUMMYFUNCTION("GOOGLETRANSLATE(B35661,""en"",""es-ES"")"),"Vemos una animación en la pantalla de título de apertura.")</f>
        <v>Vemos una animación en la pantalla de título de apertura.</v>
      </c>
    </row>
    <row r="35662">
      <c r="A35662" s="4" t="s">
        <v>44864</v>
      </c>
      <c r="B35662" s="4" t="s">
        <v>44866</v>
      </c>
      <c r="C35662" s="5" t="str">
        <f>IFERROR(__xludf.DUMMYFUNCTION("GOOGLETRANSLATE(B35662,""en"",""es-ES"")"),"Una persona lava y pega una papa.")</f>
        <v>Una persona lava y pega una papa.</v>
      </c>
    </row>
    <row r="35663">
      <c r="A35663" s="4" t="s">
        <v>44864</v>
      </c>
      <c r="B35663" s="4" t="s">
        <v>44867</v>
      </c>
      <c r="C35663" s="5" t="str">
        <f>IFERROR(__xludf.DUMMYFUNCTION("GOOGLETRANSLATE(B35663,""en"",""es-ES"")"),"La persona enjuague a la persona enjuagada la papa pelada en un tazón.")</f>
        <v>La persona enjuague a la persona enjuagada la papa pelada en un tazón.</v>
      </c>
    </row>
    <row r="35664">
      <c r="A35664" s="4" t="s">
        <v>44864</v>
      </c>
      <c r="B35664" s="4" t="s">
        <v>44868</v>
      </c>
      <c r="C35664" s="5" t="str">
        <f>IFERROR(__xludf.DUMMYFUNCTION("GOOGLETRANSLATE(B35664,""en"",""es-ES"")"),"La persona luego corta la papa.")</f>
        <v>La persona luego corta la papa.</v>
      </c>
    </row>
    <row r="35665">
      <c r="A35665" s="4" t="s">
        <v>44864</v>
      </c>
      <c r="B35665" s="4" t="s">
        <v>5107</v>
      </c>
      <c r="C35665" s="5" t="str">
        <f>IFERROR(__xludf.DUMMYFUNCTION("GOOGLETRANSLATE(B35665,""en"",""es-ES"")"),"Luego vemos la pantalla de título final.")</f>
        <v>Luego vemos la pantalla de título final.</v>
      </c>
    </row>
    <row r="35666">
      <c r="A35666" s="4" t="s">
        <v>44869</v>
      </c>
      <c r="B35666" s="4" t="s">
        <v>44870</v>
      </c>
      <c r="C35666" s="5" t="str">
        <f>IFERROR(__xludf.DUMMYFUNCTION("GOOGLETRANSLATE(B35666,""en"",""es-ES"")"),"Se ve a un niño pequeño sentado una parte superior de un tobogán con la lengua sobresaliendo.")</f>
        <v>Se ve a un niño pequeño sentado una parte superior de un tobogán con la lengua sobresaliendo.</v>
      </c>
    </row>
    <row r="35667">
      <c r="A35667" s="4" t="s">
        <v>44869</v>
      </c>
      <c r="B35667" s="4" t="s">
        <v>44871</v>
      </c>
      <c r="C35667" s="5" t="str">
        <f>IFERROR(__xludf.DUMMYFUNCTION("GOOGLETRANSLATE(B35667,""en"",""es-ES"")"),"Comienza a bajar por el tobogán, pero se cae del costado y es visto acostado en el suelo.")</f>
        <v>Comienza a bajar por el tobogán, pero se cae del costado y es visto acostado en el suelo.</v>
      </c>
    </row>
    <row r="35668">
      <c r="A35668" s="4" t="s">
        <v>44872</v>
      </c>
      <c r="B35668" s="4" t="s">
        <v>44873</v>
      </c>
      <c r="C35668" s="5" t="str">
        <f>IFERROR(__xludf.DUMMYFUNCTION("GOOGLETRANSLATE(B35668,""en"",""es-ES"")"),"Se muestra la técnica general para lanzar jabalinas.")</f>
        <v>Se muestra la técnica general para lanzar jabalinas.</v>
      </c>
    </row>
    <row r="35669">
      <c r="A35669" s="4" t="s">
        <v>44872</v>
      </c>
      <c r="B35669" s="4" t="s">
        <v>44874</v>
      </c>
      <c r="C35669" s="5" t="str">
        <f>IFERROR(__xludf.DUMMYFUNCTION("GOOGLETRANSLATE(B35669,""en"",""es-ES"")"),"Luego muestra cómo hacerlo con crossovers.")</f>
        <v>Luego muestra cómo hacerlo con crossovers.</v>
      </c>
    </row>
    <row r="35670">
      <c r="A35670" s="4" t="s">
        <v>44875</v>
      </c>
      <c r="B35670" s="4" t="s">
        <v>44876</v>
      </c>
      <c r="C35670" s="5" t="str">
        <f>IFERROR(__xludf.DUMMYFUNCTION("GOOGLETRANSLATE(B35670,""en"",""es-ES"")"),"Un primer plano de una mesa de billar es seguido por un hombre que golpea una pelota.")</f>
        <v>Un primer plano de una mesa de billar es seguido por un hombre que golpea una pelota.</v>
      </c>
    </row>
    <row r="35671">
      <c r="A35671" s="4" t="s">
        <v>44875</v>
      </c>
      <c r="B35671" s="4" t="s">
        <v>44877</v>
      </c>
      <c r="C35671" s="5" t="str">
        <f>IFERROR(__xludf.DUMMYFUNCTION("GOOGLETRANSLATE(B35671,""en"",""es-ES"")"),"Otro hombre da un paso adelante con la piscina para apuntar su tiro y golpea las bolas.")</f>
        <v>Otro hombre da un paso adelante con la piscina para apuntar su tiro y golpea las bolas.</v>
      </c>
    </row>
    <row r="35672">
      <c r="A35672" s="4" t="s">
        <v>44875</v>
      </c>
      <c r="B35672" s="4" t="s">
        <v>44878</v>
      </c>
      <c r="C35672" s="5" t="str">
        <f>IFERROR(__xludf.DUMMYFUNCTION("GOOGLETRANSLATE(B35672,""en"",""es-ES"")"),"Los hombres se turnan para el billar de juego y cuarto hasta que uno gana y la cámara se maneja a un hombre que mira.")</f>
        <v>Los hombres se turnan para el billar de juego y cuarto hasta que uno gana y la cámara se maneja a un hombre que mira.</v>
      </c>
    </row>
    <row r="35673">
      <c r="A35673" s="4" t="s">
        <v>44879</v>
      </c>
      <c r="B35673" s="4" t="s">
        <v>44880</v>
      </c>
      <c r="C35673" s="5" t="str">
        <f>IFERROR(__xludf.DUMMYFUNCTION("GOOGLETRANSLATE(B35673,""en"",""es-ES"")"),"Se ve a un joven sentado antes de un instrumento con otro sentado en una batería.")</f>
        <v>Se ve a un joven sentado antes de un instrumento con otro sentado en una batería.</v>
      </c>
    </row>
    <row r="35674">
      <c r="A35674" s="4" t="s">
        <v>44879</v>
      </c>
      <c r="B35674" s="4" t="s">
        <v>44881</v>
      </c>
      <c r="C35674" s="5" t="str">
        <f>IFERROR(__xludf.DUMMYFUNCTION("GOOGLETRANSLATE(B35674,""en"",""es-ES"")"),"El hombre se mueve se mueve mientras mira hacia la distancia y comienza a jugar.")</f>
        <v>El hombre se mueve se mueve mientras mira hacia la distancia y comienza a jugar.</v>
      </c>
    </row>
    <row r="35675">
      <c r="A35675" s="4" t="s">
        <v>44879</v>
      </c>
      <c r="B35675" s="4" t="s">
        <v>44882</v>
      </c>
      <c r="C35675" s="5" t="str">
        <f>IFERROR(__xludf.DUMMYFUNCTION("GOOGLETRANSLATE(B35675,""en"",""es-ES"")"),"Otro niño entra y sale del marco y comienza a cantar en un micrófono.")</f>
        <v>Otro niño entra y sale del marco y comienza a cantar en un micrófono.</v>
      </c>
    </row>
    <row r="35676">
      <c r="A35676" s="4" t="s">
        <v>44883</v>
      </c>
      <c r="B35676" s="4" t="s">
        <v>44884</v>
      </c>
      <c r="C35676" s="5" t="str">
        <f>IFERROR(__xludf.DUMMYFUNCTION("GOOGLETRANSLATE(B35676,""en"",""es-ES"")"),"Un esquiador sostiene un palo de esquí en la mano izquierda y un poste en la mano derecha.")</f>
        <v>Un esquiador sostiene un palo de esquí en la mano izquierda y un poste en la mano derecha.</v>
      </c>
    </row>
    <row r="35677">
      <c r="A35677" s="4" t="s">
        <v>44883</v>
      </c>
      <c r="B35677" s="4" t="s">
        <v>44885</v>
      </c>
      <c r="C35677" s="5" t="str">
        <f>IFERROR(__xludf.DUMMYFUNCTION("GOOGLETRANSLATE(B35677,""en"",""es-ES"")"),"Luego, el hombre esquía por la colina cubierto de nieve.")</f>
        <v>Luego, el hombre esquía por la colina cubierto de nieve.</v>
      </c>
    </row>
    <row r="35678">
      <c r="A35678" s="4" t="s">
        <v>44883</v>
      </c>
      <c r="B35678" s="4" t="s">
        <v>44886</v>
      </c>
      <c r="C35678" s="5" t="str">
        <f>IFERROR(__xludf.DUMMYFUNCTION("GOOGLETRANSLATE(B35678,""en"",""es-ES"")"),"El hombre se detiene en la mitad de la colina.")</f>
        <v>El hombre se detiene en la mitad de la colina.</v>
      </c>
    </row>
    <row r="35679">
      <c r="A35679" s="4" t="s">
        <v>44883</v>
      </c>
      <c r="B35679" s="4" t="s">
        <v>44887</v>
      </c>
      <c r="C35679" s="5" t="str">
        <f>IFERROR(__xludf.DUMMYFUNCTION("GOOGLETRANSLATE(B35679,""en"",""es-ES"")"),"Luego, el hombre continúa esquiando hasta que llega a una ciudad.")</f>
        <v>Luego, el hombre continúa esquiando hasta que llega a una ciudad.</v>
      </c>
    </row>
    <row r="35680">
      <c r="A35680" s="4" t="s">
        <v>44888</v>
      </c>
      <c r="B35680" s="4" t="s">
        <v>44889</v>
      </c>
      <c r="C35680" s="5" t="str">
        <f>IFERROR(__xludf.DUMMYFUNCTION("GOOGLETRANSLATE(B35680,""en"",""es-ES"")"),"Un hombre está en un campo en un círculo.")</f>
        <v>Un hombre está en un campo en un círculo.</v>
      </c>
    </row>
    <row r="35681">
      <c r="A35681" s="4" t="s">
        <v>44888</v>
      </c>
      <c r="B35681" s="4" t="s">
        <v>44890</v>
      </c>
      <c r="C35681" s="5" t="str">
        <f>IFERROR(__xludf.DUMMYFUNCTION("GOOGLETRANSLATE(B35681,""en"",""es-ES"")"),"Comienza a girar una pelota en círculos.")</f>
        <v>Comienza a girar una pelota en círculos.</v>
      </c>
    </row>
    <row r="35682">
      <c r="A35682" s="4" t="s">
        <v>44888</v>
      </c>
      <c r="B35682" s="4" t="s">
        <v>44891</v>
      </c>
      <c r="C35682" s="5" t="str">
        <f>IFERROR(__xludf.DUMMYFUNCTION("GOOGLETRANSLATE(B35682,""en"",""es-ES"")"),"Luego lanza la pelota lo más lejos que puede, pero se cae.")</f>
        <v>Luego lanza la pelota lo más lejos que puede, pero se cae.</v>
      </c>
    </row>
    <row r="35683">
      <c r="A35683" s="4" t="s">
        <v>44892</v>
      </c>
      <c r="B35683" s="4" t="s">
        <v>44893</v>
      </c>
      <c r="C35683" s="5" t="str">
        <f>IFERROR(__xludf.DUMMYFUNCTION("GOOGLETRANSLATE(B35683,""en"",""es-ES"")"),"Un joven que yacía propenso a un piso de baldosas con estas manos detrás de su cabeza y sus rodillas dobladas intentan realizar un sentimiento frente a unos pocos amigos.")</f>
        <v>Un joven que yacía propenso a un piso de baldosas con estas manos detrás de su cabeza y sus rodillas dobladas intentan realizar un sentimiento frente a unos pocos amigos.</v>
      </c>
    </row>
    <row r="35684">
      <c r="A35684" s="4" t="s">
        <v>44892</v>
      </c>
      <c r="B35684" s="4" t="s">
        <v>44894</v>
      </c>
      <c r="C35684" s="5" t="str">
        <f>IFERROR(__xludf.DUMMYFUNCTION("GOOGLETRANSLATE(B35684,""en"",""es-ES"")"),"Mientras trae los codos hacia sus rodillas, se puede escuchar un fuerte grieta mientras el hombre se ríe, ""Eso me duele el culo.")</f>
        <v>Mientras trae los codos hacia sus rodillas, se puede escuchar un fuerte grieta mientras el hombre se ríe, "Eso me duele el culo.</v>
      </c>
    </row>
    <row r="35685">
      <c r="A35685" s="4" t="s">
        <v>44892</v>
      </c>
      <c r="B35685" s="4" t="s">
        <v>44895</v>
      </c>
      <c r="C35685" s="5" t="str">
        <f>IFERROR(__xludf.DUMMYFUNCTION("GOOGLETRANSLATE(B35685,""en"",""es-ES"")"),"""Intenta una segunda sentadilla y con otro sonido agrietado, exclama y se agarra de las nalgas.")</f>
        <v>"Intenta una segunda sentadilla y con otro sonido agrietado, exclama y se agarra de las nalgas.</v>
      </c>
    </row>
    <row r="35686">
      <c r="A35686" s="4" t="s">
        <v>44892</v>
      </c>
      <c r="B35686" s="4" t="s">
        <v>44896</v>
      </c>
      <c r="C35686" s="5" t="str">
        <f>IFERROR(__xludf.DUMMYFUNCTION("GOOGLETRANSLATE(B35686,""en"",""es-ES"")"),"El hombre dice: ""Uno más"" e intenta otra vez, después de lo cual dice: ""Eso se sintió horrible.")</f>
        <v>El hombre dice: "Uno más" e intenta otra vez, después de lo cual dice: "Eso se sintió horrible.</v>
      </c>
    </row>
    <row r="35687">
      <c r="A35687" s="4" t="s">
        <v>44892</v>
      </c>
      <c r="B35687" s="4" t="s">
        <v>44897</v>
      </c>
      <c r="C35687" s="5" t="str">
        <f>IFERROR(__xludf.DUMMYFUNCTION("GOOGLETRANSLATE(B35687,""en"",""es-ES"")"),"""El hombre lucha a través de nueve intentos más antes de renunciar a la diversión de sus amigos.")</f>
        <v>"El hombre lucha a través de nueve intentos más antes de renunciar a la diversión de sus amigos.</v>
      </c>
    </row>
    <row r="35688">
      <c r="A35688" s="4" t="s">
        <v>44898</v>
      </c>
      <c r="B35688" s="4" t="s">
        <v>44899</v>
      </c>
      <c r="C35688" s="5" t="str">
        <f>IFERROR(__xludf.DUMMYFUNCTION("GOOGLETRANSLATE(B35688,""en"",""es-ES"")"),"Se muestra un primer plano de un seto, así como un hombre que usa una herramienta para cortar el seto.")</f>
        <v>Se muestra un primer plano de un seto, así como un hombre que usa una herramienta para cortar el seto.</v>
      </c>
    </row>
    <row r="35689">
      <c r="A35689" s="4" t="s">
        <v>44898</v>
      </c>
      <c r="B35689" s="4" t="s">
        <v>44900</v>
      </c>
      <c r="C35689" s="5" t="str">
        <f>IFERROR(__xludf.DUMMYFUNCTION("GOOGLETRANSLATE(B35689,""en"",""es-ES"")"),"El hombre habla con la cámara y continúa usando la herramienta en el seto.")</f>
        <v>El hombre habla con la cámara y continúa usando la herramienta en el seto.</v>
      </c>
    </row>
    <row r="35690">
      <c r="A35690" s="4" t="s">
        <v>44898</v>
      </c>
      <c r="B35690" s="4" t="s">
        <v>44901</v>
      </c>
      <c r="C35690" s="5" t="str">
        <f>IFERROR(__xludf.DUMMYFUNCTION("GOOGLETRANSLATE(B35690,""en"",""es-ES"")"),"Se muestran varias tomas de su entorno, así como otras herramientas que puede usar y que se cortan más hierba.")</f>
        <v>Se muestran varias tomas de su entorno, así como otras herramientas que puede usar y que se cortan más hierba.</v>
      </c>
    </row>
    <row r="35691">
      <c r="A35691" s="4" t="s">
        <v>44902</v>
      </c>
      <c r="B35691" s="4" t="s">
        <v>44903</v>
      </c>
      <c r="C35691" s="5" t="str">
        <f>IFERROR(__xludf.DUMMYFUNCTION("GOOGLETRANSLATE(B35691,""en"",""es-ES"")"),"Una introducción lleva a un joven que lleva una gorra de béisbol hacia atrás tocando la guitarra en una cama.")</f>
        <v>Una introducción lleva a un joven que lleva una gorra de béisbol hacia atrás tocando la guitarra en una cama.</v>
      </c>
    </row>
    <row r="35692">
      <c r="A35692" s="4" t="s">
        <v>44902</v>
      </c>
      <c r="B35692" s="4" t="s">
        <v>44904</v>
      </c>
      <c r="C35692" s="5" t="str">
        <f>IFERROR(__xludf.DUMMYFUNCTION("GOOGLETRANSLATE(B35692,""en"",""es-ES"")"),"El hombre acaricia sus dedos arriba y abajo del cuello de la guitarra mientras toca la cuerda y mira hacia el cuello.")</f>
        <v>El hombre acaricia sus dedos arriba y abajo del cuello de la guitarra mientras toca la cuerda y mira hacia el cuello.</v>
      </c>
    </row>
    <row r="35693">
      <c r="A35693" s="4" t="s">
        <v>44905</v>
      </c>
      <c r="B35693" s="4" t="s">
        <v>44906</v>
      </c>
      <c r="C35693" s="5" t="str">
        <f>IFERROR(__xludf.DUMMYFUNCTION("GOOGLETRANSLATE(B35693,""en"",""es-ES"")"),"Un hombre está parado en un mostrador.")</f>
        <v>Un hombre está parado en un mostrador.</v>
      </c>
    </row>
    <row r="35694">
      <c r="A35694" s="4" t="s">
        <v>44905</v>
      </c>
      <c r="B35694" s="4" t="s">
        <v>44907</v>
      </c>
      <c r="C35694" s="5" t="str">
        <f>IFERROR(__xludf.DUMMYFUNCTION("GOOGLETRANSLATE(B35694,""en"",""es-ES"")"),"El frente de la tienda se muestra a la puerta.")</f>
        <v>El frente de la tienda se muestra a la puerta.</v>
      </c>
    </row>
    <row r="35695">
      <c r="A35695" s="4" t="s">
        <v>44905</v>
      </c>
      <c r="B35695" s="4" t="s">
        <v>44908</v>
      </c>
      <c r="C35695" s="5" t="str">
        <f>IFERROR(__xludf.DUMMYFUNCTION("GOOGLETRANSLATE(B35695,""en"",""es-ES"")"),"El hombre todavía está en el mostrador hablando.")</f>
        <v>El hombre todavía está en el mostrador hablando.</v>
      </c>
    </row>
    <row r="35696">
      <c r="A35696" s="4" t="s">
        <v>44905</v>
      </c>
      <c r="B35696" s="4" t="s">
        <v>44909</v>
      </c>
      <c r="C35696" s="5" t="str">
        <f>IFERROR(__xludf.DUMMYFUNCTION("GOOGLETRANSLATE(B35696,""en"",""es-ES"")"),"Un hombre es ejecutado alrededor de un curso con una pistola.")</f>
        <v>Un hombre es ejecutado alrededor de un curso con una pistola.</v>
      </c>
    </row>
    <row r="35697">
      <c r="A35697" s="4" t="s">
        <v>44905</v>
      </c>
      <c r="B35697" s="4" t="s">
        <v>44910</v>
      </c>
      <c r="C35697" s="5" t="str">
        <f>IFERROR(__xludf.DUMMYFUNCTION("GOOGLETRANSLATE(B35697,""en"",""es-ES"")"),"El hombre todavía está hablando en el mostrador.")</f>
        <v>El hombre todavía está hablando en el mostrador.</v>
      </c>
    </row>
    <row r="35698">
      <c r="A35698" s="4" t="s">
        <v>44905</v>
      </c>
      <c r="B35698" s="4" t="s">
        <v>44911</v>
      </c>
      <c r="C35698" s="5" t="str">
        <f>IFERROR(__xludf.DUMMYFUNCTION("GOOGLETRANSLATE(B35698,""en"",""es-ES"")"),"Un hombre en el curso apunta su arma.")</f>
        <v>Un hombre en el curso apunta su arma.</v>
      </c>
    </row>
    <row r="35699">
      <c r="A35699" s="4" t="s">
        <v>44905</v>
      </c>
      <c r="B35699" s="4" t="s">
        <v>44912</v>
      </c>
      <c r="C35699" s="5" t="str">
        <f>IFERROR(__xludf.DUMMYFUNCTION("GOOGLETRANSLATE(B35699,""en"",""es-ES"")"),"El hombre en el mostrador muestra una pistola en particular.")</f>
        <v>El hombre en el mostrador muestra una pistola en particular.</v>
      </c>
    </row>
    <row r="35700">
      <c r="A35700" s="4" t="s">
        <v>44905</v>
      </c>
      <c r="B35700" s="4" t="s">
        <v>44913</v>
      </c>
      <c r="C35700" s="5" t="str">
        <f>IFERROR(__xludf.DUMMYFUNCTION("GOOGLETRANSLATE(B35700,""en"",""es-ES"")"),"Un hombre en el curso corre apuntando y disparando su arma.")</f>
        <v>Un hombre en el curso corre apuntando y disparando su arma.</v>
      </c>
    </row>
    <row r="35701">
      <c r="A35701" s="4" t="s">
        <v>44905</v>
      </c>
      <c r="B35701" s="4" t="s">
        <v>44914</v>
      </c>
      <c r="C35701" s="5" t="str">
        <f>IFERROR(__xludf.DUMMYFUNCTION("GOOGLETRANSLATE(B35701,""en"",""es-ES"")"),"El hombre en el mostrador todavía está sosteniendo el arma hablando.")</f>
        <v>El hombre en el mostrador todavía está sosteniendo el arma hablando.</v>
      </c>
    </row>
    <row r="35702">
      <c r="A35702" s="4" t="s">
        <v>44905</v>
      </c>
      <c r="B35702" s="4" t="s">
        <v>44915</v>
      </c>
      <c r="C35702" s="5" t="str">
        <f>IFERROR(__xludf.DUMMYFUNCTION("GOOGLETRANSLATE(B35702,""en"",""es-ES"")"),"El hombre en el curso corre y dispara.")</f>
        <v>El hombre en el curso corre y dispara.</v>
      </c>
    </row>
    <row r="35703">
      <c r="A35703" s="4" t="s">
        <v>44905</v>
      </c>
      <c r="B35703" s="4" t="s">
        <v>44916</v>
      </c>
      <c r="C35703" s="5" t="str">
        <f>IFERROR(__xludf.DUMMYFUNCTION("GOOGLETRANSLATE(B35703,""en"",""es-ES"")"),"El hombre en el mostrador continúa hablando con el arma en su mano.")</f>
        <v>El hombre en el mostrador continúa hablando con el arma en su mano.</v>
      </c>
    </row>
    <row r="35704">
      <c r="A35704" s="4" t="s">
        <v>44905</v>
      </c>
      <c r="B35704" s="4" t="s">
        <v>44917</v>
      </c>
      <c r="C35704" s="5" t="str">
        <f>IFERROR(__xludf.DUMMYFUNCTION("GOOGLETRANSLATE(B35704,""en"",""es-ES"")"),"El hombre en el curso mira a una esquina apuntando con su arma.")</f>
        <v>El hombre en el curso mira a una esquina apuntando con su arma.</v>
      </c>
    </row>
    <row r="35705">
      <c r="A35705" s="4" t="s">
        <v>44905</v>
      </c>
      <c r="B35705" s="4" t="s">
        <v>44918</v>
      </c>
      <c r="C35705" s="5" t="str">
        <f>IFERROR(__xludf.DUMMYFUNCTION("GOOGLETRANSLATE(B35705,""en"",""es-ES"")"),"El hombre en el mostrador está hablando y haciendo un gesto con el arma en la mano.")</f>
        <v>El hombre en el mostrador está hablando y haciendo un gesto con el arma en la mano.</v>
      </c>
    </row>
    <row r="35706">
      <c r="A35706" s="4" t="s">
        <v>44919</v>
      </c>
      <c r="B35706" s="4" t="s">
        <v>44920</v>
      </c>
      <c r="C35706" s="5" t="str">
        <f>IFERROR(__xludf.DUMMYFUNCTION("GOOGLETRANSLATE(B35706,""en"",""es-ES"")"),"Los hombres están parados en contra de la cerca, las puertas están levantadas y un jinete está esperando comenzar.")</f>
        <v>Los hombres están parados en contra de la cerca, las puertas están levantadas y un jinete está esperando comenzar.</v>
      </c>
    </row>
    <row r="35707">
      <c r="A35707" s="4" t="s">
        <v>44919</v>
      </c>
      <c r="B35707" s="4" t="s">
        <v>44921</v>
      </c>
      <c r="C35707" s="5" t="str">
        <f>IFERROR(__xludf.DUMMYFUNCTION("GOOGLETRANSLATE(B35707,""en"",""es-ES"")"),"Una vez que la puerta abre una pequeña vaca se agota y el caballo persigue.")</f>
        <v>Una vez que la puerta abre una pequeña vaca se agota y el caballo persigue.</v>
      </c>
    </row>
    <row r="35708">
      <c r="A35708" s="4" t="s">
        <v>44919</v>
      </c>
      <c r="B35708" s="4" t="s">
        <v>44922</v>
      </c>
      <c r="C35708" s="5" t="str">
        <f>IFERROR(__xludf.DUMMYFUNCTION("GOOGLETRANSLATE(B35708,""en"",""es-ES"")"),"El jinete arroja una cuerda a la vaca tratando de atraparla y luego salta del caballo.")</f>
        <v>El jinete arroja una cuerda a la vaca tratando de atraparla y luego salta del caballo.</v>
      </c>
    </row>
    <row r="35709">
      <c r="A35709" s="4" t="s">
        <v>44919</v>
      </c>
      <c r="B35709" s="4" t="s">
        <v>44923</v>
      </c>
      <c r="C35709" s="5" t="str">
        <f>IFERROR(__xludf.DUMMYFUNCTION("GOOGLETRANSLATE(B35709,""en"",""es-ES"")"),"Después de saltar del caballo, comienza a clavar la vaca y ate la cuerda alrededor de sus piernas muy bruscamente.")</f>
        <v>Después de saltar del caballo, comienza a clavar la vaca y ate la cuerda alrededor de sus piernas muy bruscamente.</v>
      </c>
    </row>
    <row r="35710">
      <c r="A35710" s="4" t="s">
        <v>44924</v>
      </c>
      <c r="B35710" s="4" t="s">
        <v>44925</v>
      </c>
      <c r="C35710" s="5" t="str">
        <f>IFERROR(__xludf.DUMMYFUNCTION("GOOGLETRANSLATE(B35710,""en"",""es-ES"")"),"Se ve a un niño sosteniendo una cortadora de césped y empujándolo a lo largo del patio.")</f>
        <v>Se ve a un niño sosteniendo una cortadora de césped y empujándolo a lo largo del patio.</v>
      </c>
    </row>
    <row r="35711">
      <c r="A35711" s="4" t="s">
        <v>44924</v>
      </c>
      <c r="B35711" s="4" t="s">
        <v>44926</v>
      </c>
      <c r="C35711" s="5" t="str">
        <f>IFERROR(__xludf.DUMMYFUNCTION("GOOGLETRANSLATE(B35711,""en"",""es-ES"")"),"El niño continúa empujando al cortacésped mientras la cámara captura sus movimientos.")</f>
        <v>El niño continúa empujando al cortacésped mientras la cámara captura sus movimientos.</v>
      </c>
    </row>
    <row r="35712">
      <c r="A35712" s="4" t="s">
        <v>44924</v>
      </c>
      <c r="B35712" s="4" t="s">
        <v>44927</v>
      </c>
      <c r="C35712" s="5" t="str">
        <f>IFERROR(__xludf.DUMMYFUNCTION("GOOGLETRANSLATE(B35712,""en"",""es-ES"")"),"Empuja al cortacésped donde comenzó y mira hacia la cámara.")</f>
        <v>Empuja al cortacésped donde comenzó y mira hacia la cámara.</v>
      </c>
    </row>
    <row r="35713">
      <c r="A35713" s="4" t="s">
        <v>44928</v>
      </c>
      <c r="B35713" s="4" t="s">
        <v>1251</v>
      </c>
      <c r="C35713" s="5" t="str">
        <f>IFERROR(__xludf.DUMMYFUNCTION("GOOGLETRANSLATE(B35713,""en"",""es-ES"")"),"Se muestran los créditos del clip.")</f>
        <v>Se muestran los créditos del clip.</v>
      </c>
    </row>
    <row r="35714">
      <c r="A35714" s="4" t="s">
        <v>44928</v>
      </c>
      <c r="B35714" s="4" t="s">
        <v>44929</v>
      </c>
      <c r="C35714" s="5" t="str">
        <f>IFERROR(__xludf.DUMMYFUNCTION("GOOGLETRANSLATE(B35714,""en"",""es-ES"")"),"Los vehículos se están moviendo por una carretera.")</f>
        <v>Los vehículos se están moviendo por una carretera.</v>
      </c>
    </row>
    <row r="35715">
      <c r="A35715" s="4" t="s">
        <v>44928</v>
      </c>
      <c r="B35715" s="4" t="s">
        <v>44930</v>
      </c>
      <c r="C35715" s="5" t="str">
        <f>IFERROR(__xludf.DUMMYFUNCTION("GOOGLETRANSLATE(B35715,""en"",""es-ES"")"),"Una dama se para y discute.")</f>
        <v>Una dama se para y discute.</v>
      </c>
    </row>
    <row r="35716">
      <c r="A35716" s="4" t="s">
        <v>44928</v>
      </c>
      <c r="B35716" s="4" t="s">
        <v>44931</v>
      </c>
      <c r="C35716" s="5" t="str">
        <f>IFERROR(__xludf.DUMMYFUNCTION("GOOGLETRANSLATE(B35716,""en"",""es-ES"")"),"La gente está remando por un cuerpo rocoso de agua.")</f>
        <v>La gente está remando por un cuerpo rocoso de agua.</v>
      </c>
    </row>
    <row r="35717">
      <c r="A35717" s="4" t="s">
        <v>44928</v>
      </c>
      <c r="B35717" s="4" t="s">
        <v>44932</v>
      </c>
      <c r="C35717" s="5" t="str">
        <f>IFERROR(__xludf.DUMMYFUNCTION("GOOGLETRANSLATE(B35717,""en"",""es-ES"")"),"Una persona intenta levantar a un individuo en el bote inflado.")</f>
        <v>Una persona intenta levantar a un individuo en el bote inflado.</v>
      </c>
    </row>
    <row r="35718">
      <c r="A35718" s="4" t="s">
        <v>44928</v>
      </c>
      <c r="B35718" s="4" t="s">
        <v>44933</v>
      </c>
      <c r="C35718" s="5" t="str">
        <f>IFERROR(__xludf.DUMMYFUNCTION("GOOGLETRANSLATE(B35718,""en"",""es-ES"")"),"Una señora se aleja del bote inflado.")</f>
        <v>Una señora se aleja del bote inflado.</v>
      </c>
    </row>
    <row r="35719">
      <c r="A35719" s="4" t="s">
        <v>44928</v>
      </c>
      <c r="B35719" s="4" t="s">
        <v>44934</v>
      </c>
      <c r="C35719" s="5" t="str">
        <f>IFERROR(__xludf.DUMMYFUNCTION("GOOGLETRANSLATE(B35719,""en"",""es-ES"")"),"La señora usó sus manos sobre su rostro.")</f>
        <v>La señora usó sus manos sobre su rostro.</v>
      </c>
    </row>
    <row r="35720">
      <c r="A35720" s="4" t="s">
        <v>44928</v>
      </c>
      <c r="B35720" s="4" t="s">
        <v>44935</v>
      </c>
      <c r="C35720" s="5" t="str">
        <f>IFERROR(__xludf.DUMMYFUNCTION("GOOGLETRANSLATE(B35720,""en"",""es-ES"")"),"Las personas que están sentadas en un bote inflado levantan sus paletas.")</f>
        <v>Las personas que están sentadas en un bote inflado levantan sus paletas.</v>
      </c>
    </row>
    <row r="35721">
      <c r="A35721" s="4" t="s">
        <v>44928</v>
      </c>
      <c r="B35721" s="4" t="s">
        <v>44936</v>
      </c>
      <c r="C35721" s="5" t="str">
        <f>IFERROR(__xludf.DUMMYFUNCTION("GOOGLETRANSLATE(B35721,""en"",""es-ES"")"),"Un barco inflado se voltea y los ocupantes caen por la borda.")</f>
        <v>Un barco inflado se voltea y los ocupantes caen por la borda.</v>
      </c>
    </row>
    <row r="35722">
      <c r="A35722" s="4" t="s">
        <v>44928</v>
      </c>
      <c r="B35722" s="4" t="s">
        <v>44937</v>
      </c>
      <c r="C35722" s="5" t="str">
        <f>IFERROR(__xludf.DUMMYFUNCTION("GOOGLETRANSLATE(B35722,""en"",""es-ES"")"),"La dama se quita el casco.")</f>
        <v>La dama se quita el casco.</v>
      </c>
    </row>
    <row r="35723">
      <c r="A35723" s="4" t="s">
        <v>44928</v>
      </c>
      <c r="B35723" s="4" t="s">
        <v>44938</v>
      </c>
      <c r="C35723" s="5" t="str">
        <f>IFERROR(__xludf.DUMMYFUNCTION("GOOGLETRANSLATE(B35723,""en"",""es-ES"")"),"Un chico le da a la dama sus sandalias blancas.")</f>
        <v>Un chico le da a la dama sus sandalias blancas.</v>
      </c>
    </row>
    <row r="35724">
      <c r="A35724" s="4" t="s">
        <v>44928</v>
      </c>
      <c r="B35724" s="4" t="s">
        <v>44939</v>
      </c>
      <c r="C35724" s="5" t="str">
        <f>IFERROR(__xludf.DUMMYFUNCTION("GOOGLETRANSLATE(B35724,""en"",""es-ES"")"),"La señora sopla un beso.")</f>
        <v>La señora sopla un beso.</v>
      </c>
    </row>
    <row r="35725">
      <c r="A35725" s="4" t="s">
        <v>44928</v>
      </c>
      <c r="B35725" s="4" t="s">
        <v>44940</v>
      </c>
      <c r="C35725" s="5" t="str">
        <f>IFERROR(__xludf.DUMMYFUNCTION("GOOGLETRANSLATE(B35725,""en"",""es-ES"")"),"Los chicos están jugando fútbol afuera.")</f>
        <v>Los chicos están jugando fútbol afuera.</v>
      </c>
    </row>
    <row r="35726">
      <c r="A35726" s="4" t="s">
        <v>44928</v>
      </c>
      <c r="B35726" s="4" t="s">
        <v>44941</v>
      </c>
      <c r="C35726" s="5" t="str">
        <f>IFERROR(__xludf.DUMMYFUNCTION("GOOGLETRANSLATE(B35726,""en"",""es-ES"")"),"Dos jugadores del equipo rojo golpe en el pecho.")</f>
        <v>Dos jugadores del equipo rojo golpe en el pecho.</v>
      </c>
    </row>
    <row r="35727">
      <c r="A35727" s="4" t="s">
        <v>44928</v>
      </c>
      <c r="B35727" s="4" t="s">
        <v>1251</v>
      </c>
      <c r="C35727" s="5" t="str">
        <f>IFERROR(__xludf.DUMMYFUNCTION("GOOGLETRANSLATE(B35727,""en"",""es-ES"")"),"Se muestran los créditos del clip.")</f>
        <v>Se muestran los créditos del clip.</v>
      </c>
    </row>
    <row r="35728">
      <c r="A35728" s="4" t="s">
        <v>44942</v>
      </c>
      <c r="B35728" s="4" t="s">
        <v>44943</v>
      </c>
      <c r="C35728" s="5" t="str">
        <f>IFERROR(__xludf.DUMMYFUNCTION("GOOGLETRANSLATE(B35728,""en"",""es-ES"")"),"Una introducción conduce a disparos fuera de los peluqueros de perros y en el interior donde varios perros la atan.")</f>
        <v>Una introducción conduce a disparos fuera de los peluqueros de perros y en el interior donde varios perros la atan.</v>
      </c>
    </row>
    <row r="35729">
      <c r="A35729" s="4" t="s">
        <v>44942</v>
      </c>
      <c r="B35729" s="4" t="s">
        <v>44944</v>
      </c>
      <c r="C35729" s="5" t="str">
        <f>IFERROR(__xludf.DUMMYFUNCTION("GOOGLETRANSLATE(B35729,""en"",""es-ES"")"),"Se muestra a muchas mujeres cepillando a los perros y recortando su pelaje mientras les dan rasguños en la cabeza.")</f>
        <v>Se muestra a muchas mujeres cepillando a los perros y recortando su pelaje mientras les dan rasguños en la cabeza.</v>
      </c>
    </row>
    <row r="35730">
      <c r="A35730" s="4" t="s">
        <v>44942</v>
      </c>
      <c r="B35730" s="4" t="s">
        <v>44945</v>
      </c>
      <c r="C35730" s="5" t="str">
        <f>IFERROR(__xludf.DUMMYFUNCTION("GOOGLETRANSLATE(B35730,""en"",""es-ES"")"),"Se ve más perros sentados en cajas y ladrando la cámara mientras el viento los sopla.")</f>
        <v>Se ve más perros sentados en cajas y ladrando la cámara mientras el viento los sopla.</v>
      </c>
    </row>
    <row r="35731">
      <c r="A35731" s="4" t="s">
        <v>44946</v>
      </c>
      <c r="B35731" s="4" t="s">
        <v>44947</v>
      </c>
      <c r="C35731" s="5" t="str">
        <f>IFERROR(__xludf.DUMMYFUNCTION("GOOGLETRANSLATE(B35731,""en"",""es-ES"")"),"Se ve a los compañeros de equipo caminando hacia un campo rodeado por docenas de personas y están listos sobre una cuerda sosteniendo los brazos.")</f>
        <v>Se ve a los compañeros de equipo caminando hacia un campo rodeado por docenas de personas y están listos sobre una cuerda sosteniendo los brazos.</v>
      </c>
    </row>
    <row r="35732">
      <c r="A35732" s="4" t="s">
        <v>44946</v>
      </c>
      <c r="B35732" s="4" t="s">
        <v>44948</v>
      </c>
      <c r="C35732" s="5" t="str">
        <f>IFERROR(__xludf.DUMMYFUNCTION("GOOGLETRANSLATE(B35732,""en"",""es-ES"")"),"Los hombres luego sacan la cuerda contra otro equipo y terminan cayendo.")</f>
        <v>Los hombres luego sacan la cuerda contra otro equipo y terminan cayendo.</v>
      </c>
    </row>
    <row r="35733">
      <c r="A35733" s="4" t="s">
        <v>44949</v>
      </c>
      <c r="B35733" s="4" t="s">
        <v>44950</v>
      </c>
      <c r="C35733" s="5" t="str">
        <f>IFERROR(__xludf.DUMMYFUNCTION("GOOGLETRANSLATE(B35733,""en"",""es-ES"")"),"Se ve a un hombre sosteniendo un hacha y mirando hacia atrás para sonreír a la cámara.")</f>
        <v>Se ve a un hombre sosteniendo un hacha y mirando hacia atrás para sonreír a la cámara.</v>
      </c>
    </row>
    <row r="35734">
      <c r="A35734" s="4" t="s">
        <v>44949</v>
      </c>
      <c r="B35734" s="4" t="s">
        <v>44951</v>
      </c>
      <c r="C35734" s="5" t="str">
        <f>IFERROR(__xludf.DUMMYFUNCTION("GOOGLETRANSLATE(B35734,""en"",""es-ES"")"),"El hombre luego balancea el hacha y golpea un tronco de madera que todavía sonríe a la cámara.")</f>
        <v>El hombre luego balancea el hacha y golpea un tronco de madera que todavía sonríe a la cámara.</v>
      </c>
    </row>
    <row r="35735">
      <c r="A35735" s="4" t="s">
        <v>44952</v>
      </c>
      <c r="B35735" s="4" t="s">
        <v>44953</v>
      </c>
      <c r="C35735" s="5" t="str">
        <f>IFERROR(__xludf.DUMMYFUNCTION("GOOGLETRANSLATE(B35735,""en"",""es-ES"")"),"La pintura se muestra mezclada en una placa de espuma de poliestireno.")</f>
        <v>La pintura se muestra mezclada en una placa de espuma de poliestireno.</v>
      </c>
    </row>
    <row r="35736">
      <c r="A35736" s="4" t="s">
        <v>44952</v>
      </c>
      <c r="B35736" s="4" t="s">
        <v>44954</v>
      </c>
      <c r="C35736" s="5" t="str">
        <f>IFERROR(__xludf.DUMMYFUNCTION("GOOGLETRANSLATE(B35736,""en"",""es-ES"")"),"Una mano se dibuja en un trozo de papel con un cepillo y la pintura mixta.")</f>
        <v>Una mano se dibuja en un trozo de papel con un cepillo y la pintura mixta.</v>
      </c>
    </row>
    <row r="35737">
      <c r="A35737" s="4" t="s">
        <v>44955</v>
      </c>
      <c r="B35737" s="4" t="s">
        <v>44956</v>
      </c>
      <c r="C35737" s="5" t="str">
        <f>IFERROR(__xludf.DUMMYFUNCTION("GOOGLETRANSLATE(B35737,""en"",""es-ES"")"),"Se ve a un chef hablando con una mujer y lo lleva a sostener cuchillos y afilar los lados.")</f>
        <v>Se ve a un chef hablando con una mujer y lo lleva a sostener cuchillos y afilar los lados.</v>
      </c>
    </row>
    <row r="35738">
      <c r="A35738" s="4" t="s">
        <v>44955</v>
      </c>
      <c r="B35738" s="4" t="s">
        <v>44957</v>
      </c>
      <c r="C35738" s="5" t="str">
        <f>IFERROR(__xludf.DUMMYFUNCTION("GOOGLETRANSLATE(B35738,""en"",""es-ES"")"),"Luego limpia el cuchillo con un trapo y continúa afilando los cuchillos.")</f>
        <v>Luego limpia el cuchillo con un trapo y continúa afilando los cuchillos.</v>
      </c>
    </row>
    <row r="35739">
      <c r="A35739" s="4" t="s">
        <v>44958</v>
      </c>
      <c r="B35739" s="4" t="s">
        <v>7239</v>
      </c>
      <c r="C35739" s="5" t="str">
        <f>IFERROR(__xludf.DUMMYFUNCTION("GOOGLETRANSLATE(B35739,""en"",""es-ES"")"),"Vemos una pantalla de título negro.")</f>
        <v>Vemos una pantalla de título negro.</v>
      </c>
    </row>
    <row r="35740">
      <c r="A35740" s="4" t="s">
        <v>44958</v>
      </c>
      <c r="B35740" s="4" t="s">
        <v>44959</v>
      </c>
      <c r="C35740" s="5" t="str">
        <f>IFERROR(__xludf.DUMMYFUNCTION("GOOGLETRANSLATE(B35740,""en"",""es-ES"")"),"Vemos que conducen por la calle y luego vemos al hombre en el auto.")</f>
        <v>Vemos que conducen por la calle y luego vemos al hombre en el auto.</v>
      </c>
    </row>
    <row r="35741">
      <c r="A35741" s="4" t="s">
        <v>44958</v>
      </c>
      <c r="B35741" s="4" t="s">
        <v>44960</v>
      </c>
      <c r="C35741" s="5" t="str">
        <f>IFERROR(__xludf.DUMMYFUNCTION("GOOGLETRANSLATE(B35741,""en"",""es-ES"")"),"El hombre sale y toma suministros de neumáticos pinchados.")</f>
        <v>El hombre sale y toma suministros de neumáticos pinchados.</v>
      </c>
    </row>
    <row r="35742">
      <c r="A35742" s="4" t="s">
        <v>44958</v>
      </c>
      <c r="B35742" s="4" t="s">
        <v>44961</v>
      </c>
      <c r="C35742" s="5" t="str">
        <f>IFERROR(__xludf.DUMMYFUNCTION("GOOGLETRANSLATE(B35742,""en"",""es-ES"")"),"El hombre se sienta en el auto y piensa en cómo cambiar un neumático.")</f>
        <v>El hombre se sienta en el auto y piensa en cómo cambiar un neumático.</v>
      </c>
    </row>
    <row r="35743">
      <c r="A35743" s="4" t="s">
        <v>44958</v>
      </c>
      <c r="B35743" s="4" t="s">
        <v>44962</v>
      </c>
      <c r="C35743" s="5" t="str">
        <f>IFERROR(__xludf.DUMMYFUNCTION("GOOGLETRANSLATE(B35743,""en"",""es-ES"")"),"El tipo afloja atornillada, sube el auto y se quita el piso.")</f>
        <v>El tipo afloja atornillada, sube el auto y se quita el piso.</v>
      </c>
    </row>
    <row r="35744">
      <c r="A35744" s="4" t="s">
        <v>44958</v>
      </c>
      <c r="B35744" s="4" t="s">
        <v>44963</v>
      </c>
      <c r="C35744" s="5" t="str">
        <f>IFERROR(__xludf.DUMMYFUNCTION("GOOGLETRANSLATE(B35744,""en"",""es-ES"")"),"El tipo luego pone la llanta de repuesto en el auto.")</f>
        <v>El tipo luego pone la llanta de repuesto en el auto.</v>
      </c>
    </row>
    <row r="35745">
      <c r="A35745" s="4" t="s">
        <v>44958</v>
      </c>
      <c r="B35745" s="4" t="s">
        <v>44964</v>
      </c>
      <c r="C35745" s="5" t="str">
        <f>IFERROR(__xludf.DUMMYFUNCTION("GOOGLETRANSLATE(B35745,""en"",""es-ES"")"),"Vemos los tornillos de cerca en una línea.")</f>
        <v>Vemos los tornillos de cerca en una línea.</v>
      </c>
    </row>
    <row r="35746">
      <c r="A35746" s="4" t="s">
        <v>44958</v>
      </c>
      <c r="B35746" s="4" t="s">
        <v>44965</v>
      </c>
      <c r="C35746" s="5" t="str">
        <f>IFERROR(__xludf.DUMMYFUNCTION("GOOGLETRANSLATE(B35746,""en"",""es-ES"")"),"El hombre pone la llanta de repuesto en el automóvil y sube al auto.")</f>
        <v>El hombre pone la llanta de repuesto en el automóvil y sube al auto.</v>
      </c>
    </row>
    <row r="35747">
      <c r="A35747" s="4" t="s">
        <v>44958</v>
      </c>
      <c r="B35747" s="4" t="s">
        <v>44966</v>
      </c>
      <c r="C35747" s="5" t="str">
        <f>IFERROR(__xludf.DUMMYFUNCTION("GOOGLETRANSLATE(B35747,""en"",""es-ES"")"),"Hace una llamada y enciende la radio.")</f>
        <v>Hace una llamada y enciende la radio.</v>
      </c>
    </row>
    <row r="35748">
      <c r="A35748" s="4" t="s">
        <v>44958</v>
      </c>
      <c r="B35748" s="4" t="s">
        <v>44967</v>
      </c>
      <c r="C35748" s="5" t="str">
        <f>IFERROR(__xludf.DUMMYFUNCTION("GOOGLETRANSLATE(B35748,""en"",""es-ES"")"),"El hombre gira en U y se va.")</f>
        <v>El hombre gira en U y se va.</v>
      </c>
    </row>
    <row r="35749">
      <c r="A35749" s="4" t="s">
        <v>44958</v>
      </c>
      <c r="B35749" s="4" t="s">
        <v>44968</v>
      </c>
      <c r="C35749" s="5" t="str">
        <f>IFERROR(__xludf.DUMMYFUNCTION("GOOGLETRANSLATE(B35749,""en"",""es-ES"")"),"Vemos el título final.")</f>
        <v>Vemos el título final.</v>
      </c>
    </row>
    <row r="35750">
      <c r="A35750" s="4" t="s">
        <v>44969</v>
      </c>
      <c r="B35750" s="4" t="s">
        <v>44970</v>
      </c>
      <c r="C35750" s="5" t="str">
        <f>IFERROR(__xludf.DUMMYFUNCTION("GOOGLETRANSLATE(B35750,""en"",""es-ES"")"),"Un estilista muestra un contenedor de crema para peinar.")</f>
        <v>Un estilista muestra un contenedor de crema para peinar.</v>
      </c>
    </row>
    <row r="35751">
      <c r="A35751" s="4" t="s">
        <v>44969</v>
      </c>
      <c r="B35751" s="4" t="s">
        <v>44971</v>
      </c>
      <c r="C35751" s="5" t="str">
        <f>IFERROR(__xludf.DUMMYFUNCTION("GOOGLETRANSLATE(B35751,""en"",""es-ES"")"),"Ella lo aplica a la piel de una morena sentada.")</f>
        <v>Ella lo aplica a la piel de una morena sentada.</v>
      </c>
    </row>
    <row r="35752">
      <c r="A35752" s="4" t="s">
        <v>44969</v>
      </c>
      <c r="B35752" s="4" t="s">
        <v>44972</v>
      </c>
      <c r="C35752" s="5" t="str">
        <f>IFERROR(__xludf.DUMMYFUNCTION("GOOGLETRANSLATE(B35752,""en"",""es-ES"")"),"Luego demuestra cómo funciona.")</f>
        <v>Luego demuestra cómo funciona.</v>
      </c>
    </row>
    <row r="35753">
      <c r="A35753" s="4" t="s">
        <v>44973</v>
      </c>
      <c r="B35753" s="4" t="s">
        <v>44974</v>
      </c>
      <c r="C35753" s="5" t="str">
        <f>IFERROR(__xludf.DUMMYFUNCTION("GOOGLETRANSLATE(B35753,""en"",""es-ES"")"),"Se ve a un hombre hablando con la cámara y se acerca a un techo que se está separando.")</f>
        <v>Se ve a un hombre hablando con la cámara y se acerca a un techo que se está separando.</v>
      </c>
    </row>
    <row r="35754">
      <c r="A35754" s="4" t="s">
        <v>44973</v>
      </c>
      <c r="B35754" s="4" t="s">
        <v>44975</v>
      </c>
      <c r="C35754" s="5" t="str">
        <f>IFERROR(__xludf.DUMMYFUNCTION("GOOGLETRANSLATE(B35754,""en"",""es-ES"")"),"Señala por todo el techo y muestra a un hombre trabajando en el techo mientras vuelve a buscar.")</f>
        <v>Señala por todo el techo y muestra a un hombre trabajando en el techo mientras vuelve a buscar.</v>
      </c>
    </row>
    <row r="35755">
      <c r="A35755" s="4" t="s">
        <v>44976</v>
      </c>
      <c r="B35755" s="4" t="s">
        <v>44977</v>
      </c>
      <c r="C35755" s="5" t="str">
        <f>IFERROR(__xludf.DUMMYFUNCTION("GOOGLETRANSLATE(B35755,""en"",""es-ES"")"),"Se ve a una mujer poniendo su cabello en una cola de caballo con un hombre mirándola a un lado.")</f>
        <v>Se ve a una mujer poniendo su cabello en una cola de caballo con un hombre mirándola a un lado.</v>
      </c>
    </row>
    <row r="35756">
      <c r="A35756" s="4" t="s">
        <v>44976</v>
      </c>
      <c r="B35756" s="4" t="s">
        <v>44978</v>
      </c>
      <c r="C35756" s="5" t="str">
        <f>IFERROR(__xludf.DUMMYFUNCTION("GOOGLETRANSLATE(B35756,""en"",""es-ES"")"),"Luego toca el piano mientras sonríe y el hombre continúa mirándola.")</f>
        <v>Luego toca el piano mientras sonríe y el hombre continúa mirándola.</v>
      </c>
    </row>
    <row r="35757">
      <c r="A35757" s="4" t="s">
        <v>44979</v>
      </c>
      <c r="B35757" s="4" t="s">
        <v>44980</v>
      </c>
      <c r="C35757" s="5" t="str">
        <f>IFERROR(__xludf.DUMMYFUNCTION("GOOGLETRANSLATE(B35757,""en"",""es-ES"")"),"La gente está remando en kayaks en un cuerpo de agua.")</f>
        <v>La gente está remando en kayaks en un cuerpo de agua.</v>
      </c>
    </row>
    <row r="35758">
      <c r="A35758" s="4" t="s">
        <v>44979</v>
      </c>
      <c r="B35758" s="4" t="s">
        <v>44981</v>
      </c>
      <c r="C35758" s="5" t="str">
        <f>IFERROR(__xludf.DUMMYFUNCTION("GOOGLETRANSLATE(B35758,""en"",""es-ES"")"),"Un hombre despega en un kayak verde.")</f>
        <v>Un hombre despega en un kayak verde.</v>
      </c>
    </row>
    <row r="35759">
      <c r="A35759" s="4" t="s">
        <v>44979</v>
      </c>
      <c r="B35759" s="4" t="s">
        <v>44982</v>
      </c>
      <c r="C35759" s="5" t="str">
        <f>IFERROR(__xludf.DUMMYFUNCTION("GOOGLETRANSLATE(B35759,""en"",""es-ES"")"),"Un hombre con una chaqueta roja está hablando con la cámara.")</f>
        <v>Un hombre con una chaqueta roja está hablando con la cámara.</v>
      </c>
    </row>
    <row r="35760">
      <c r="A35760" s="4" t="s">
        <v>44983</v>
      </c>
      <c r="B35760" s="4" t="s">
        <v>44984</v>
      </c>
      <c r="C35760" s="5" t="str">
        <f>IFERROR(__xludf.DUMMYFUNCTION("GOOGLETRANSLATE(B35760,""en"",""es-ES"")"),"Una mujer y un perro juegan en la hierba con un frisbee.")</f>
        <v>Una mujer y un perro juegan en la hierba con un frisbee.</v>
      </c>
    </row>
    <row r="35761">
      <c r="A35761" s="4" t="s">
        <v>44983</v>
      </c>
      <c r="B35761" s="4" t="s">
        <v>44985</v>
      </c>
      <c r="C35761" s="5" t="str">
        <f>IFERROR(__xludf.DUMMYFUNCTION("GOOGLETRANSLATE(B35761,""en"",""es-ES"")"),"El perro tiene el frisbee en su boca.")</f>
        <v>El perro tiene el frisbee en su boca.</v>
      </c>
    </row>
    <row r="35762">
      <c r="A35762" s="4" t="s">
        <v>44983</v>
      </c>
      <c r="B35762" s="4" t="s">
        <v>44986</v>
      </c>
      <c r="C35762" s="5" t="str">
        <f>IFERROR(__xludf.DUMMYFUNCTION("GOOGLETRANSLATE(B35762,""en"",""es-ES"")"),"La mujer y el perro están jugando con una cuerda.")</f>
        <v>La mujer y el perro están jugando con una cuerda.</v>
      </c>
    </row>
    <row r="35763">
      <c r="A35763" s="4" t="s">
        <v>44987</v>
      </c>
      <c r="B35763" s="4" t="s">
        <v>44988</v>
      </c>
      <c r="C35763" s="5" t="str">
        <f>IFERROR(__xludf.DUMMYFUNCTION("GOOGLETRANSLATE(B35763,""en"",""es-ES"")"),"En la playa, un grupo de pelotas de fútbol se encuentra junto a un hombre que los está pateando a la portería, protegido por un arquero.")</f>
        <v>En la playa, un grupo de pelotas de fútbol se encuentra junto a un hombre que los está pateando a la portería, protegido por un arquero.</v>
      </c>
    </row>
    <row r="35764">
      <c r="A35764" s="4" t="s">
        <v>44987</v>
      </c>
      <c r="B35764" s="4" t="s">
        <v>44989</v>
      </c>
      <c r="C35764" s="5" t="str">
        <f>IFERROR(__xludf.DUMMYFUNCTION("GOOGLETRANSLATE(B35764,""en"",""es-ES"")"),"Los lleva hacia arriba y fuera de su rodilla antes de disparar.")</f>
        <v>Los lleva hacia arriba y fuera de su rodilla antes de disparar.</v>
      </c>
    </row>
    <row r="35765">
      <c r="A35765" s="4" t="s">
        <v>44987</v>
      </c>
      <c r="B35765" s="4" t="s">
        <v>44990</v>
      </c>
      <c r="C35765" s="5" t="str">
        <f>IFERROR(__xludf.DUMMYFUNCTION("GOOGLETRANSLATE(B35765,""en"",""es-ES"")"),"Finalmente anota sobre el arquero.")</f>
        <v>Finalmente anota sobre el arquero.</v>
      </c>
    </row>
    <row r="35766">
      <c r="A35766" s="4" t="s">
        <v>44987</v>
      </c>
      <c r="B35766" s="4" t="s">
        <v>44991</v>
      </c>
      <c r="C35766" s="5" t="str">
        <f>IFERROR(__xludf.DUMMYFUNCTION("GOOGLETRANSLATE(B35766,""en"",""es-ES"")"),"El arquero salva una vez más su pelota.")</f>
        <v>El arquero salva una vez más su pelota.</v>
      </c>
    </row>
    <row r="35767">
      <c r="A35767" s="4" t="s">
        <v>44992</v>
      </c>
      <c r="B35767" s="4" t="s">
        <v>44993</v>
      </c>
      <c r="C35767" s="5" t="str">
        <f>IFERROR(__xludf.DUMMYFUNCTION("GOOGLETRANSLATE(B35767,""en"",""es-ES"")"),"Se muestra a una mujer que usa equipo de ejercicio hablando con la cámara y señala varias áreas de su cuerpo.")</f>
        <v>Se muestra a una mujer que usa equipo de ejercicio hablando con la cámara y señala varias áreas de su cuerpo.</v>
      </c>
    </row>
    <row r="35768">
      <c r="A35768" s="4" t="s">
        <v>44992</v>
      </c>
      <c r="B35768" s="4" t="s">
        <v>44994</v>
      </c>
      <c r="C35768" s="5" t="str">
        <f>IFERROR(__xludf.DUMMYFUNCTION("GOOGLETRANSLATE(B35768,""en"",""es-ES"")"),"Ella continúa hablando con la cámara mientras realiza varios abdominales AB para trabajar en su núcleo.")</f>
        <v>Ella continúa hablando con la cámara mientras realiza varios abdominales AB para trabajar en su núcleo.</v>
      </c>
    </row>
    <row r="35769">
      <c r="A35769" s="4" t="s">
        <v>44992</v>
      </c>
      <c r="B35769" s="4" t="s">
        <v>44995</v>
      </c>
      <c r="C35769" s="5" t="str">
        <f>IFERROR(__xludf.DUMMYFUNCTION("GOOGLETRANSLATE(B35769,""en"",""es-ES"")"),"Luego agarra un peso en ambas manos, así como un gato para usar como peso para el ejercicio.")</f>
        <v>Luego agarra un peso en ambas manos, así como un gato para usar como peso para el ejercicio.</v>
      </c>
    </row>
    <row r="35770">
      <c r="A35770" s="4" t="s">
        <v>44992</v>
      </c>
      <c r="B35770" s="4" t="s">
        <v>44996</v>
      </c>
      <c r="C35770" s="5" t="str">
        <f>IFERROR(__xludf.DUMMYFUNCTION("GOOGLETRANSLATE(B35770,""en"",""es-ES"")"),"Ella se inclina hacia adelante y continúa hablando con la cámara.")</f>
        <v>Ella se inclina hacia adelante y continúa hablando con la cámara.</v>
      </c>
    </row>
    <row r="35771">
      <c r="A35771" s="4" t="s">
        <v>44997</v>
      </c>
      <c r="B35771" s="4" t="s">
        <v>44998</v>
      </c>
      <c r="C35771" s="5" t="str">
        <f>IFERROR(__xludf.DUMMYFUNCTION("GOOGLETRANSLATE(B35771,""en"",""es-ES"")"),"Un hombre está sentado en una batería.")</f>
        <v>Un hombre está sentado en una batería.</v>
      </c>
    </row>
    <row r="35772">
      <c r="A35772" s="4" t="s">
        <v>44997</v>
      </c>
      <c r="B35772" s="4" t="s">
        <v>44999</v>
      </c>
      <c r="C35772" s="5" t="str">
        <f>IFERROR(__xludf.DUMMYFUNCTION("GOOGLETRANSLATE(B35772,""en"",""es-ES"")"),"Está tocando la batería y los platillos, y hablando con la cámara.")</f>
        <v>Está tocando la batería y los platillos, y hablando con la cámara.</v>
      </c>
    </row>
    <row r="35773">
      <c r="A35773" s="4" t="s">
        <v>44997</v>
      </c>
      <c r="B35773" s="4" t="s">
        <v>45000</v>
      </c>
      <c r="C35773" s="5" t="str">
        <f>IFERROR(__xludf.DUMMYFUNCTION("GOOGLETRANSLATE(B35773,""en"",""es-ES"")"),"Muestra la mecánica de los pedales y los efectos en la batería tal como los usa.")</f>
        <v>Muestra la mecánica de los pedales y los efectos en la batería tal como los usa.</v>
      </c>
    </row>
    <row r="35774">
      <c r="A35774" s="4" t="s">
        <v>45001</v>
      </c>
      <c r="B35774" s="4" t="s">
        <v>45002</v>
      </c>
      <c r="C35774" s="5" t="str">
        <f>IFERROR(__xludf.DUMMYFUNCTION("GOOGLETRANSLATE(B35774,""en"",""es-ES"")"),"Un grupo de personas que montan BMX Dirt Bikes suben un camino juntos.")</f>
        <v>Un grupo de personas que montan BMX Dirt Bikes suben un camino juntos.</v>
      </c>
    </row>
    <row r="35775">
      <c r="A35775" s="4" t="s">
        <v>45001</v>
      </c>
      <c r="B35775" s="4" t="s">
        <v>45003</v>
      </c>
      <c r="C35775" s="5" t="str">
        <f>IFERROR(__xludf.DUMMYFUNCTION("GOOGLETRANSLATE(B35775,""en"",""es-ES"")"),"Luego gire, girando giros y curvas en la pista.")</f>
        <v>Luego gire, girando giros y curvas en la pista.</v>
      </c>
    </row>
    <row r="35776">
      <c r="A35776" s="4" t="s">
        <v>45001</v>
      </c>
      <c r="B35776" s="4" t="s">
        <v>45004</v>
      </c>
      <c r="C35776" s="5" t="str">
        <f>IFERROR(__xludf.DUMMYFUNCTION("GOOGLETRANSLATE(B35776,""en"",""es-ES"")"),"Cuando termina la carrera, caminan entregando medallas y posando para fotos.")</f>
        <v>Cuando termina la carrera, caminan entregando medallas y posando para fotos.</v>
      </c>
    </row>
    <row r="35777">
      <c r="A35777" s="4" t="s">
        <v>45005</v>
      </c>
      <c r="B35777" s="4" t="s">
        <v>45006</v>
      </c>
      <c r="C35777" s="5" t="str">
        <f>IFERROR(__xludf.DUMMYFUNCTION("GOOGLETRANSLATE(B35777,""en"",""es-ES"")"),"Una dama se encuentra al final de una cancha de rayas de lágrimas.")</f>
        <v>Una dama se encuentra al final de una cancha de rayas de lágrimas.</v>
      </c>
    </row>
    <row r="35778">
      <c r="A35778" s="4" t="s">
        <v>45005</v>
      </c>
      <c r="B35778" s="4" t="s">
        <v>45007</v>
      </c>
      <c r="C35778" s="5" t="str">
        <f>IFERROR(__xludf.DUMMYFUNCTION("GOOGLETRANSLATE(B35778,""en"",""es-ES"")"),"La señora luego salta a través de la cancha de rayas de la derecha hacia la derecha.")</f>
        <v>La señora luego salta a través de la cancha de rayas de la derecha hacia la derecha.</v>
      </c>
    </row>
    <row r="35779">
      <c r="A35779" s="4" t="s">
        <v>45005</v>
      </c>
      <c r="B35779" s="4" t="s">
        <v>45008</v>
      </c>
      <c r="C35779" s="5" t="str">
        <f>IFERROR(__xludf.DUMMYFUNCTION("GOOGLETRANSLATE(B35779,""en"",""es-ES"")"),"La señora luego regresa donde ella comenzó.")</f>
        <v>La señora luego regresa donde ella comenzó.</v>
      </c>
    </row>
    <row r="35780">
      <c r="A35780" s="4" t="s">
        <v>45009</v>
      </c>
      <c r="B35780" s="4" t="s">
        <v>45010</v>
      </c>
      <c r="C35780" s="5" t="str">
        <f>IFERROR(__xludf.DUMMYFUNCTION("GOOGLETRANSLATE(B35780,""en"",""es-ES"")"),"Mujer está hablando con la cámara frente a un gran gimnasio con muchas bicicletas estáticas en el fondo y las personas haciendo ejercicio.")</f>
        <v>Mujer está hablando con la cámara frente a un gran gimnasio con muchas bicicletas estáticas en el fondo y las personas haciendo ejercicio.</v>
      </c>
    </row>
    <row r="35781">
      <c r="A35781" s="4" t="s">
        <v>45009</v>
      </c>
      <c r="B35781" s="4" t="s">
        <v>45011</v>
      </c>
      <c r="C35781" s="5" t="str">
        <f>IFERROR(__xludf.DUMMYFUNCTION("GOOGLETRANSLATE(B35781,""en"",""es-ES"")"),"La niña comienza a hacer ejercicio en la bicicleta elíptica.")</f>
        <v>La niña comienza a hacer ejercicio en la bicicleta elíptica.</v>
      </c>
    </row>
    <row r="35782">
      <c r="A35782" s="4" t="s">
        <v>45012</v>
      </c>
      <c r="B35782" s="4" t="s">
        <v>45013</v>
      </c>
      <c r="C35782" s="5" t="str">
        <f>IFERROR(__xludf.DUMMYFUNCTION("GOOGLETRANSLATE(B35782,""en"",""es-ES"")"),"Se muestran varias piezas de joyería del ombligo.")</f>
        <v>Se muestran varias piezas de joyería del ombligo.</v>
      </c>
    </row>
    <row r="35783">
      <c r="A35783" s="4" t="s">
        <v>45012</v>
      </c>
      <c r="B35783" s="4" t="s">
        <v>45014</v>
      </c>
      <c r="C35783" s="5" t="str">
        <f>IFERROR(__xludf.DUMMYFUNCTION("GOOGLETRANSLATE(B35783,""en"",""es-ES"")"),"Esto es seguido por un hombre que desinfecta el ombligo de una mujer.")</f>
        <v>Esto es seguido por un hombre que desinfecta el ombligo de una mujer.</v>
      </c>
    </row>
    <row r="35784">
      <c r="A35784" s="4" t="s">
        <v>45012</v>
      </c>
      <c r="B35784" s="4" t="s">
        <v>45015</v>
      </c>
      <c r="C35784" s="5" t="str">
        <f>IFERROR(__xludf.DUMMYFUNCTION("GOOGLETRANSLATE(B35784,""en"",""es-ES"")"),"Luego inserta una perforación con una abrazadera y una varilla.")</f>
        <v>Luego inserta una perforación con una abrazadera y una varilla.</v>
      </c>
    </row>
    <row r="35785">
      <c r="A35785" s="4" t="s">
        <v>45012</v>
      </c>
      <c r="B35785" s="4" t="s">
        <v>45016</v>
      </c>
      <c r="C35785" s="5" t="str">
        <f>IFERROR(__xludf.DUMMYFUNCTION("GOOGLETRANSLATE(B35785,""en"",""es-ES"")"),"La mujer observa mientras los sementales finales están en su lugar.")</f>
        <v>La mujer observa mientras los sementales finales están en su lugar.</v>
      </c>
    </row>
    <row r="35786">
      <c r="A35786" s="4" t="s">
        <v>45017</v>
      </c>
      <c r="B35786" s="4" t="s">
        <v>45018</v>
      </c>
      <c r="C35786" s="5" t="str">
        <f>IFERROR(__xludf.DUMMYFUNCTION("GOOGLETRANSLATE(B35786,""en"",""es-ES"")"),"Se ve a un gran grupo de personas corriendo por un campo de fútbol jugando un juego de fútbol.")</f>
        <v>Se ve a un gran grupo de personas corriendo por un campo de fútbol jugando un juego de fútbol.</v>
      </c>
    </row>
    <row r="35787">
      <c r="A35787" s="4" t="s">
        <v>45017</v>
      </c>
      <c r="B35787" s="4" t="s">
        <v>45019</v>
      </c>
      <c r="C35787" s="5" t="str">
        <f>IFERROR(__xludf.DUMMYFUNCTION("GOOGLETRANSLATE(B35787,""en"",""es-ES"")"),"Los niños continúan pateando la pelota entre sí mientras otros miran a un lado.")</f>
        <v>Los niños continúan pateando la pelota entre sí mientras otros miran a un lado.</v>
      </c>
    </row>
    <row r="35788">
      <c r="A35788" s="4" t="s">
        <v>45017</v>
      </c>
      <c r="B35788" s="4" t="s">
        <v>45020</v>
      </c>
      <c r="C35788" s="5" t="str">
        <f>IFERROR(__xludf.DUMMYFUNCTION("GOOGLETRANSLATE(B35788,""en"",""es-ES"")"),"Se muestran más tiros del juego, así como las personas que juegan entre sí.")</f>
        <v>Se muestran más tiros del juego, así como las personas que juegan entre sí.</v>
      </c>
    </row>
    <row r="35789">
      <c r="A35789" s="4" t="s">
        <v>45021</v>
      </c>
      <c r="B35789" s="4" t="s">
        <v>45022</v>
      </c>
      <c r="C35789" s="5" t="str">
        <f>IFERROR(__xludf.DUMMYFUNCTION("GOOGLETRANSLATE(B35789,""en"",""es-ES"")"),"Un hombre con una camisa blanca está sentada tocando una guitarra.")</f>
        <v>Un hombre con una camisa blanca está sentada tocando una guitarra.</v>
      </c>
    </row>
    <row r="35790">
      <c r="A35790" s="4" t="s">
        <v>45021</v>
      </c>
      <c r="B35790" s="4" t="s">
        <v>45023</v>
      </c>
      <c r="C35790" s="5" t="str">
        <f>IFERROR(__xludf.DUMMYFUNCTION("GOOGLETRANSLATE(B35790,""en"",""es-ES"")"),"Al lado del hombre hay una pantalla más pequeña de un video en blanco y negro de un hombre que canta y una mujer.")</f>
        <v>Al lado del hombre hay una pantalla más pequeña de un video en blanco y negro de un hombre que canta y una mujer.</v>
      </c>
    </row>
    <row r="35791">
      <c r="A35791" s="4" t="s">
        <v>45024</v>
      </c>
      <c r="B35791" s="4" t="s">
        <v>45025</v>
      </c>
      <c r="C35791" s="5" t="str">
        <f>IFERROR(__xludf.DUMMYFUNCTION("GOOGLETRANSLATE(B35791,""en"",""es-ES"")"),"Una niña cerca que sonríe y apuntando a su rostro se muestra seguido de un par de alicates que perforan su labio interior.")</f>
        <v>Una niña cerca que sonríe y apuntando a su rostro se muestra seguido de un par de alicates que perforan su labio interior.</v>
      </c>
    </row>
    <row r="35792">
      <c r="A35792" s="4" t="s">
        <v>45024</v>
      </c>
      <c r="B35792" s="4" t="s">
        <v>45026</v>
      </c>
      <c r="C35792" s="5" t="str">
        <f>IFERROR(__xludf.DUMMYFUNCTION("GOOGLETRANSLATE(B35792,""en"",""es-ES"")"),"El perforador empuja la tijera a través de su labio mientras lo sostiene y presenta la perforación al final.")</f>
        <v>El perforador empuja la tijera a través de su labio mientras lo sostiene y presenta la perforación al final.</v>
      </c>
    </row>
    <row r="35793">
      <c r="A35793" s="4" t="s">
        <v>45027</v>
      </c>
      <c r="B35793" s="4" t="s">
        <v>45028</v>
      </c>
      <c r="C35793" s="5" t="str">
        <f>IFERROR(__xludf.DUMMYFUNCTION("GOOGLETRANSLATE(B35793,""en"",""es-ES"")"),"Una mujer está dando instrucciones sobre cómo instalar y ajustar una silla de montar en una bicicleta.")</f>
        <v>Una mujer está dando instrucciones sobre cómo instalar y ajustar una silla de montar en una bicicleta.</v>
      </c>
    </row>
    <row r="35794">
      <c r="A35794" s="4" t="s">
        <v>45027</v>
      </c>
      <c r="B35794" s="4" t="s">
        <v>45029</v>
      </c>
      <c r="C35794" s="5" t="str">
        <f>IFERROR(__xludf.DUMMYFUNCTION("GOOGLETRANSLATE(B35794,""en"",""es-ES"")"),"Ella usa una llave de llave Allen para aflojar el perno.")</f>
        <v>Ella usa una llave de llave Allen para aflojar el perno.</v>
      </c>
    </row>
    <row r="35795">
      <c r="A35795" s="4" t="s">
        <v>45027</v>
      </c>
      <c r="B35795" s="4" t="s">
        <v>45030</v>
      </c>
      <c r="C35795" s="5" t="str">
        <f>IFERROR(__xludf.DUMMYFUNCTION("GOOGLETRANSLATE(B35795,""en"",""es-ES"")"),"Luego demuestra cómo puede mover la silla de montar después de aflojarla.")</f>
        <v>Luego demuestra cómo puede mover la silla de montar después de aflojarla.</v>
      </c>
    </row>
    <row r="35796">
      <c r="A35796" s="4" t="s">
        <v>45027</v>
      </c>
      <c r="B35796" s="4" t="s">
        <v>45031</v>
      </c>
      <c r="C35796" s="5" t="str">
        <f>IFERROR(__xludf.DUMMYFUNCTION("GOOGLETRANSLATE(B35796,""en"",""es-ES"")"),"Ella lo golpea con la mano para empujar la silla de montar atascada.")</f>
        <v>Ella lo golpea con la mano para empujar la silla de montar atascada.</v>
      </c>
    </row>
    <row r="35797">
      <c r="A35797" s="4" t="s">
        <v>45027</v>
      </c>
      <c r="B35797" s="4" t="s">
        <v>45032</v>
      </c>
      <c r="C35797" s="5" t="str">
        <f>IFERROR(__xludf.DUMMYFUNCTION("GOOGLETRANSLATE(B35797,""en"",""es-ES"")"),"Luego muestra cómo ajustar la silla de montar moviéndola de un lado a otro.")</f>
        <v>Luego muestra cómo ajustar la silla de montar moviéndola de un lado a otro.</v>
      </c>
    </row>
    <row r="35798">
      <c r="A35798" s="4" t="s">
        <v>45027</v>
      </c>
      <c r="B35798" s="4" t="s">
        <v>45033</v>
      </c>
      <c r="C35798" s="5" t="str">
        <f>IFERROR(__xludf.DUMMYFUNCTION("GOOGLETRANSLATE(B35798,""en"",""es-ES"")"),"Más tarde demuestra cómo eliminar la silla de montar.")</f>
        <v>Más tarde demuestra cómo eliminar la silla de montar.</v>
      </c>
    </row>
    <row r="35799">
      <c r="A35799" s="4" t="s">
        <v>45027</v>
      </c>
      <c r="B35799" s="4" t="s">
        <v>45034</v>
      </c>
      <c r="C35799" s="5" t="str">
        <f>IFERROR(__xludf.DUMMYFUNCTION("GOOGLETRANSLATE(B35799,""en"",""es-ES"")"),"Ella pone la nueva y luego usa herramientas para apretarlo.")</f>
        <v>Ella pone la nueva y luego usa herramientas para apretarlo.</v>
      </c>
    </row>
    <row r="35800">
      <c r="A35800" s="4" t="s">
        <v>45027</v>
      </c>
      <c r="B35800" s="4" t="s">
        <v>45035</v>
      </c>
      <c r="C35800" s="5" t="str">
        <f>IFERROR(__xludf.DUMMYFUNCTION("GOOGLETRANSLATE(B35800,""en"",""es-ES"")"),"Ella usa un destornillador para apretar los tornillos y ajustar el nivel.")</f>
        <v>Ella usa un destornillador para apretar los tornillos y ajustar el nivel.</v>
      </c>
    </row>
    <row r="35801">
      <c r="A35801" s="4" t="s">
        <v>45027</v>
      </c>
      <c r="B35801" s="4" t="s">
        <v>45036</v>
      </c>
      <c r="C35801" s="5" t="str">
        <f>IFERROR(__xludf.DUMMYFUNCTION("GOOGLETRANSLATE(B35801,""en"",""es-ES"")"),"Luego muestra otra silla y demuestra cómo apretar los pernos para ajustar el nivel de la silla de montar.")</f>
        <v>Luego muestra otra silla y demuestra cómo apretar los pernos para ajustar el nivel de la silla de montar.</v>
      </c>
    </row>
    <row r="35802">
      <c r="A35802" s="4" t="s">
        <v>45027</v>
      </c>
      <c r="B35802" s="4" t="s">
        <v>45037</v>
      </c>
      <c r="C35802" s="5" t="str">
        <f>IFERROR(__xludf.DUMMYFUNCTION("GOOGLETRANSLATE(B35802,""en"",""es-ES"")"),"Ella muestra cómo apretar el perno para asegurarse de que la silla se ajuste perfectamente.")</f>
        <v>Ella muestra cómo apretar el perno para asegurarse de que la silla se ajuste perfectamente.</v>
      </c>
    </row>
    <row r="35803">
      <c r="A35803" s="4" t="s">
        <v>45038</v>
      </c>
      <c r="B35803" s="4" t="s">
        <v>45039</v>
      </c>
      <c r="C35803" s="5" t="str">
        <f>IFERROR(__xludf.DUMMYFUNCTION("GOOGLETRANSLATE(B35803,""en"",""es-ES"")"),"Un niño de gris arroja una pelota a un niño al otro lado de la cancha.")</f>
        <v>Un niño de gris arroja una pelota a un niño al otro lado de la cancha.</v>
      </c>
    </row>
    <row r="35804">
      <c r="A35804" s="4" t="s">
        <v>45038</v>
      </c>
      <c r="B35804" s="4" t="s">
        <v>45040</v>
      </c>
      <c r="C35804" s="5" t="str">
        <f>IFERROR(__xludf.DUMMYFUNCTION("GOOGLETRANSLATE(B35804,""en"",""es-ES"")"),"Un niño de azul hace un cambio extraordinario en el aire después de atrapar la pelota y aterrizar.")</f>
        <v>Un niño de azul hace un cambio extraordinario en el aire después de atrapar la pelota y aterrizar.</v>
      </c>
    </row>
    <row r="35805">
      <c r="A35805" s="4" t="s">
        <v>45038</v>
      </c>
      <c r="B35805" s="4" t="s">
        <v>45041</v>
      </c>
      <c r="C35805" s="5" t="str">
        <f>IFERROR(__xludf.DUMMYFUNCTION("GOOGLETRANSLATE(B35805,""en"",""es-ES"")"),"Él arroja la pelota hacia el otro niño después de aterrizar.")</f>
        <v>Él arroja la pelota hacia el otro niño después de aterrizar.</v>
      </c>
    </row>
    <row r="35806">
      <c r="A35806" s="4" t="s">
        <v>45038</v>
      </c>
      <c r="B35806" s="4" t="s">
        <v>45042</v>
      </c>
      <c r="C35806" s="5" t="str">
        <f>IFERROR(__xludf.DUMMYFUNCTION("GOOGLETRANSLATE(B35806,""en"",""es-ES"")"),"Están siendo vigilados por un grupo de niños que están parados detrás de ellos.")</f>
        <v>Están siendo vigilados por un grupo de niños que están parados detrás de ellos.</v>
      </c>
    </row>
    <row r="35807">
      <c r="A35807" s="4" t="s">
        <v>45043</v>
      </c>
      <c r="B35807" s="4" t="s">
        <v>45044</v>
      </c>
      <c r="C35807" s="5" t="str">
        <f>IFERROR(__xludf.DUMMYFUNCTION("GOOGLETRANSLATE(B35807,""en"",""es-ES"")"),"Cuatro hombres están trabajando en el techo de una casa.")</f>
        <v>Cuatro hombres están trabajando en el techo de una casa.</v>
      </c>
    </row>
    <row r="35808">
      <c r="A35808" s="4" t="s">
        <v>45043</v>
      </c>
      <c r="B35808" s="4" t="s">
        <v>45045</v>
      </c>
      <c r="C35808" s="5" t="str">
        <f>IFERROR(__xludf.DUMMYFUNCTION("GOOGLETRANSLATE(B35808,""en"",""es-ES"")"),"Están raspando las tejas con palas, golpeando escombros al suelo mientras trabajan.")</f>
        <v>Están raspando las tejas con palas, golpeando escombros al suelo mientras trabajan.</v>
      </c>
    </row>
    <row r="35809">
      <c r="A35809" s="4" t="s">
        <v>45046</v>
      </c>
      <c r="B35809" s="4" t="s">
        <v>15882</v>
      </c>
      <c r="C35809" s="5" t="str">
        <f>IFERROR(__xludf.DUMMYFUNCTION("GOOGLETRANSLATE(B35809,""en"",""es-ES"")"),"Vemos las pantallas de título iniciales.")</f>
        <v>Vemos las pantallas de título iniciales.</v>
      </c>
    </row>
    <row r="35810">
      <c r="A35810" s="4" t="s">
        <v>45046</v>
      </c>
      <c r="B35810" s="4" t="s">
        <v>45047</v>
      </c>
      <c r="C35810" s="5" t="str">
        <f>IFERROR(__xludf.DUMMYFUNCTION("GOOGLETRANSLATE(B35810,""en"",""es-ES"")"),"Luego vemos a los hombres girando en el caballo de pomo con pantallas de título recortadas en el medio.")</f>
        <v>Luego vemos a los hombres girando en el caballo de pomo con pantallas de título recortadas en el medio.</v>
      </c>
    </row>
    <row r="35811">
      <c r="A35811" s="4" t="s">
        <v>45046</v>
      </c>
      <c r="B35811" s="4" t="s">
        <v>45048</v>
      </c>
      <c r="C35811" s="5" t="str">
        <f>IFERROR(__xludf.DUMMYFUNCTION("GOOGLETRANSLATE(B35811,""en"",""es-ES"")"),"Vemos a un hombre arrojando sus piernas sobre el caballo de pomo.")</f>
        <v>Vemos a un hombre arrojando sus piernas sobre el caballo de pomo.</v>
      </c>
    </row>
    <row r="35812">
      <c r="A35812" s="4" t="s">
        <v>45046</v>
      </c>
      <c r="B35812" s="4" t="s">
        <v>45049</v>
      </c>
      <c r="C35812" s="5" t="str">
        <f>IFERROR(__xludf.DUMMYFUNCTION("GOOGLETRANSLATE(B35812,""en"",""es-ES"")"),"Vemos a un hombre en rojo girando por el caballo de pomo rápidamente.")</f>
        <v>Vemos a un hombre en rojo girando por el caballo de pomo rápidamente.</v>
      </c>
    </row>
    <row r="35813">
      <c r="A35813" s="4" t="s">
        <v>45046</v>
      </c>
      <c r="B35813" s="4" t="s">
        <v>45050</v>
      </c>
      <c r="C35813" s="5" t="str">
        <f>IFERROR(__xludf.DUMMYFUNCTION("GOOGLETRANSLATE(B35813,""en"",""es-ES"")"),"Un hombre de rojo y amarillo gira rápidamente en el pomo.")</f>
        <v>Un hombre de rojo y amarillo gira rápidamente en el pomo.</v>
      </c>
    </row>
    <row r="35814">
      <c r="A35814" s="4" t="s">
        <v>45046</v>
      </c>
      <c r="B35814" s="4" t="s">
        <v>45051</v>
      </c>
      <c r="C35814" s="5" t="str">
        <f>IFERROR(__xludf.DUMMYFUNCTION("GOOGLETRANSLATE(B35814,""en"",""es-ES"")"),"Vemos a un hombre desmontar el pomo y arrojar sus brazos al aire.")</f>
        <v>Vemos a un hombre desmontar el pomo y arrojar sus brazos al aire.</v>
      </c>
    </row>
    <row r="35815">
      <c r="A35815" s="4" t="s">
        <v>45046</v>
      </c>
      <c r="B35815" s="4" t="s">
        <v>45052</v>
      </c>
      <c r="C35815" s="5" t="str">
        <f>IFERROR(__xludf.DUMMYFUNCTION("GOOGLETRANSLATE(B35815,""en"",""es-ES"")"),"Luego vemos las escenas de cierre.")</f>
        <v>Luego vemos las escenas de cierre.</v>
      </c>
    </row>
    <row r="35816">
      <c r="A35816" s="4" t="s">
        <v>45053</v>
      </c>
      <c r="B35816" s="4" t="s">
        <v>45054</v>
      </c>
      <c r="C35816" s="5" t="str">
        <f>IFERROR(__xludf.DUMMYFUNCTION("GOOGLETRANSLATE(B35816,""en"",""es-ES"")"),"Una mujer sostiene una caja con luz UV para encender el mango del refrigerador, su mano, el horno de microondas y los utensilios.")</f>
        <v>Una mujer sostiene una caja con luz UV para encender el mango del refrigerador, su mano, el horno de microondas y los utensilios.</v>
      </c>
    </row>
    <row r="35817">
      <c r="A35817" s="4" t="s">
        <v>45053</v>
      </c>
      <c r="B35817" s="4" t="s">
        <v>45055</v>
      </c>
      <c r="C35817" s="5" t="str">
        <f>IFERROR(__xludf.DUMMYFUNCTION("GOOGLETRANSLATE(B35817,""en"",""es-ES"")"),"Luego, la mujer lave y seca las manos y enciende una mano con la luz UV.")</f>
        <v>Luego, la mujer lave y seca las manos y enciende una mano con la luz UV.</v>
      </c>
    </row>
    <row r="35818">
      <c r="A35818" s="4" t="s">
        <v>45053</v>
      </c>
      <c r="B35818" s="4" t="s">
        <v>45056</v>
      </c>
      <c r="C35818" s="5" t="str">
        <f>IFERROR(__xludf.DUMMYFUNCTION("GOOGLETRANSLATE(B35818,""en"",""es-ES"")"),"Después, la mujer se quita el anillo y se lavó y lavá las manos con jabón y enjuague con agua.")</f>
        <v>Después, la mujer se quita el anillo y se lavó y lavá las manos con jabón y enjuague con agua.</v>
      </c>
    </row>
    <row r="35819">
      <c r="A35819" s="4" t="s">
        <v>45057</v>
      </c>
      <c r="B35819" s="4" t="s">
        <v>45058</v>
      </c>
      <c r="C35819" s="5" t="str">
        <f>IFERROR(__xludf.DUMMYFUNCTION("GOOGLETRANSLATE(B35819,""en"",""es-ES"")"),"Un hombre sostiene clips contra un soporte colocado en un escritorio de madera.")</f>
        <v>Un hombre sostiene clips contra un soporte colocado en un escritorio de madera.</v>
      </c>
    </row>
    <row r="35820">
      <c r="A35820" s="4" t="s">
        <v>45057</v>
      </c>
      <c r="B35820" s="4" t="s">
        <v>45059</v>
      </c>
      <c r="C35820" s="5" t="str">
        <f>IFERROR(__xludf.DUMMYFUNCTION("GOOGLETRANSLATE(B35820,""en"",""es-ES"")"),"Solda el soporte de metal.")</f>
        <v>Solda el soporte de metal.</v>
      </c>
    </row>
    <row r="35821">
      <c r="A35821" s="4" t="s">
        <v>45057</v>
      </c>
      <c r="B35821" s="4" t="s">
        <v>45060</v>
      </c>
      <c r="C35821" s="5" t="str">
        <f>IFERROR(__xludf.DUMMYFUNCTION("GOOGLETRANSLATE(B35821,""en"",""es-ES"")"),"El hombre termina de soldar y recoge un palo del escritorio de madera.")</f>
        <v>El hombre termina de soldar y recoge un palo del escritorio de madera.</v>
      </c>
    </row>
    <row r="35822">
      <c r="A35822" s="4" t="s">
        <v>45061</v>
      </c>
      <c r="B35822" s="4" t="s">
        <v>45062</v>
      </c>
      <c r="C35822" s="5" t="str">
        <f>IFERROR(__xludf.DUMMYFUNCTION("GOOGLETRANSLATE(B35822,""en"",""es-ES"")"),"Un hombre gordito está parado afuera en un campo y lanza una bola de medicina amarilla que demuestra hacer ejercicio para fortalecer a los atletas para el lanzamiento de bala.")</f>
        <v>Un hombre gordito está parado afuera en un campo y lanza una bola de medicina amarilla que demuestra hacer ejercicio para fortalecer a los atletas para el lanzamiento de bala.</v>
      </c>
    </row>
    <row r="35823">
      <c r="A35823" s="4" t="s">
        <v>45061</v>
      </c>
      <c r="B35823" s="4" t="s">
        <v>45063</v>
      </c>
      <c r="C35823" s="5" t="str">
        <f>IFERROR(__xludf.DUMMYFUNCTION("GOOGLETRANSLATE(B35823,""en"",""es-ES"")"),"El hombre se muestra en un gimnasio haciendo repeticiones con el bar y luego comienza a lanzar una pelota contra el árbol.")</f>
        <v>El hombre se muestra en un gimnasio haciendo repeticiones con el bar y luego comienza a lanzar una pelota contra el árbol.</v>
      </c>
    </row>
    <row r="35824">
      <c r="A35824" s="4" t="s">
        <v>45061</v>
      </c>
      <c r="B35824" s="4" t="s">
        <v>45064</v>
      </c>
      <c r="C35824" s="5" t="str">
        <f>IFERROR(__xludf.DUMMYFUNCTION("GOOGLETRANSLATE(B35824,""en"",""es-ES"")"),"Otro niño comienza a lanzar una bolsa de arena antes de que el hombre anterior regrese y comience a usar máquinas elípticas.")</f>
        <v>Otro niño comienza a lanzar una bolsa de arena antes de que el hombre anterior regrese y comience a usar máquinas elípticas.</v>
      </c>
    </row>
    <row r="35825">
      <c r="A35825" s="4" t="s">
        <v>45061</v>
      </c>
      <c r="B35825" s="4" t="s">
        <v>45065</v>
      </c>
      <c r="C35825" s="5" t="str">
        <f>IFERROR(__xludf.DUMMYFUNCTION("GOOGLETRANSLATE(B35825,""en"",""es-ES"")"),"Una vez terminado, regresa de regreso a un campo y comienza a tirar de la cadena por el campo y arrojar bolas de tetera.")</f>
        <v>Una vez terminado, regresa de regreso a un campo y comienza a tirar de la cadena por el campo y arrojar bolas de tetera.</v>
      </c>
    </row>
    <row r="35826">
      <c r="A35826" s="4" t="s">
        <v>45066</v>
      </c>
      <c r="B35826" s="4" t="s">
        <v>45067</v>
      </c>
      <c r="C35826" s="5" t="str">
        <f>IFERROR(__xludf.DUMMYFUNCTION("GOOGLETRANSLATE(B35826,""en"",""es-ES"")"),"Un hombre con un sombrero está parado afuera hablando.")</f>
        <v>Un hombre con un sombrero está parado afuera hablando.</v>
      </c>
    </row>
    <row r="35827">
      <c r="A35827" s="4" t="s">
        <v>45066</v>
      </c>
      <c r="B35827" s="4" t="s">
        <v>45068</v>
      </c>
      <c r="C35827" s="5" t="str">
        <f>IFERROR(__xludf.DUMMYFUNCTION("GOOGLETRANSLATE(B35827,""en"",""es-ES"")"),"La gente practica salto con pértiga en una alfombra azul.")</f>
        <v>La gente practica salto con pértiga en una alfombra azul.</v>
      </c>
    </row>
    <row r="35828">
      <c r="A35828" s="4" t="s">
        <v>45066</v>
      </c>
      <c r="B35828" s="4" t="s">
        <v>45069</v>
      </c>
      <c r="C35828" s="5" t="str">
        <f>IFERROR(__xludf.DUMMYFUNCTION("GOOGLETRANSLATE(B35828,""en"",""es-ES"")"),"Una persona está saltando sobre obstáculos en una pista.")</f>
        <v>Una persona está saltando sobre obstáculos en una pista.</v>
      </c>
    </row>
    <row r="35829">
      <c r="A35829" s="4" t="s">
        <v>45066</v>
      </c>
      <c r="B35829" s="4" t="s">
        <v>45070</v>
      </c>
      <c r="C35829" s="5" t="str">
        <f>IFERROR(__xludf.DUMMYFUNCTION("GOOGLETRANSLATE(B35829,""en"",""es-ES"")"),"La gente está acostada en una alfombra azul que se extiende.")</f>
        <v>La gente está acostada en una alfombra azul que se extiende.</v>
      </c>
    </row>
    <row r="35830">
      <c r="A35830" s="4" t="s">
        <v>45071</v>
      </c>
      <c r="B35830" s="4" t="s">
        <v>45072</v>
      </c>
      <c r="C35830" s="5" t="str">
        <f>IFERROR(__xludf.DUMMYFUNCTION("GOOGLETRANSLATE(B35830,""en"",""es-ES"")"),"Un grupo está en la playa, jugando voleibol.")</f>
        <v>Un grupo está en la playa, jugando voleibol.</v>
      </c>
    </row>
    <row r="35831">
      <c r="A35831" s="4" t="s">
        <v>45071</v>
      </c>
      <c r="B35831" s="4" t="s">
        <v>37395</v>
      </c>
      <c r="C35831" s="5" t="str">
        <f>IFERROR(__xludf.DUMMYFUNCTION("GOOGLETRANSLATE(B35831,""en"",""es-ES"")"),"Lanzan la pelota de un lado a otro por la red.")</f>
        <v>Lanzan la pelota de un lado a otro por la red.</v>
      </c>
    </row>
    <row r="35832">
      <c r="A35832" s="4" t="s">
        <v>45071</v>
      </c>
      <c r="B35832" s="4" t="s">
        <v>45073</v>
      </c>
      <c r="C35832" s="5" t="str">
        <f>IFERROR(__xludf.DUMMYFUNCTION("GOOGLETRANSLATE(B35832,""en"",""es-ES"")"),"La multitud los anima mientras continúan la competencia.")</f>
        <v>La multitud los anima mientras continúan la competencia.</v>
      </c>
    </row>
    <row r="35833">
      <c r="A35833" s="4" t="s">
        <v>45074</v>
      </c>
      <c r="B35833" s="4" t="s">
        <v>45075</v>
      </c>
      <c r="C35833" s="5" t="str">
        <f>IFERROR(__xludf.DUMMYFUNCTION("GOOGLETRANSLATE(B35833,""en"",""es-ES"")"),"Vemos hombres jugando hockey en una pista de hielo.")</f>
        <v>Vemos hombres jugando hockey en una pista de hielo.</v>
      </c>
    </row>
    <row r="35834">
      <c r="A35834" s="4" t="s">
        <v>45074</v>
      </c>
      <c r="B35834" s="4" t="s">
        <v>45076</v>
      </c>
      <c r="C35834" s="5" t="str">
        <f>IFERROR(__xludf.DUMMYFUNCTION("GOOGLETRANSLATE(B35834,""en"",""es-ES"")"),"Un jugador de azul va detrás de la portería cerca de la cámara.")</f>
        <v>Un jugador de azul va detrás de la portería cerca de la cámara.</v>
      </c>
    </row>
    <row r="35835">
      <c r="A35835" s="4" t="s">
        <v>45074</v>
      </c>
      <c r="B35835" s="4" t="s">
        <v>45077</v>
      </c>
      <c r="C35835" s="5" t="str">
        <f>IFERROR(__xludf.DUMMYFUNCTION("GOOGLETRANSLATE(B35835,""en"",""es-ES"")"),"El disco de hockey pasa al portero y hacia la red de goles.")</f>
        <v>El disco de hockey pasa al portero y hacia la red de goles.</v>
      </c>
    </row>
    <row r="35836">
      <c r="A35836" s="4" t="s">
        <v>45074</v>
      </c>
      <c r="B35836" s="4" t="s">
        <v>45078</v>
      </c>
      <c r="C35836" s="5" t="str">
        <f>IFERROR(__xludf.DUMMYFUNCTION("GOOGLETRANSLATE(B35836,""en"",""es-ES"")"),"El portero se levanta del suelo.")</f>
        <v>El portero se levanta del suelo.</v>
      </c>
    </row>
    <row r="35837">
      <c r="A35837" s="4" t="s">
        <v>45079</v>
      </c>
      <c r="B35837" s="4" t="s">
        <v>45080</v>
      </c>
      <c r="C35837" s="5" t="str">
        <f>IFERROR(__xludf.DUMMYFUNCTION("GOOGLETRANSLATE(B35837,""en"",""es-ES"")"),"Una dama camina hacia una barra.")</f>
        <v>Una dama camina hacia una barra.</v>
      </c>
    </row>
    <row r="35838">
      <c r="A35838" s="4" t="s">
        <v>45079</v>
      </c>
      <c r="B35838" s="4" t="s">
        <v>45081</v>
      </c>
      <c r="C35838" s="5" t="str">
        <f>IFERROR(__xludf.DUMMYFUNCTION("GOOGLETRANSLATE(B35838,""en"",""es-ES"")"),"Ella se dobla y agarra el poste.")</f>
        <v>Ella se dobla y agarra el poste.</v>
      </c>
    </row>
    <row r="35839">
      <c r="A35839" s="4" t="s">
        <v>45079</v>
      </c>
      <c r="B35839" s="4" t="s">
        <v>45082</v>
      </c>
      <c r="C35839" s="5" t="str">
        <f>IFERROR(__xludf.DUMMYFUNCTION("GOOGLETRANSLATE(B35839,""en"",""es-ES"")"),"La señora se para y levanta el peso sobre su cabeza.")</f>
        <v>La señora se para y levanta el peso sobre su cabeza.</v>
      </c>
    </row>
    <row r="35840">
      <c r="A35840" s="4" t="s">
        <v>45079</v>
      </c>
      <c r="B35840" s="4" t="s">
        <v>45083</v>
      </c>
      <c r="C35840" s="5" t="str">
        <f>IFERROR(__xludf.DUMMYFUNCTION("GOOGLETRANSLATE(B35840,""en"",""es-ES"")"),"La señora deja caer la barra y sonríe.")</f>
        <v>La señora deja caer la barra y sonríe.</v>
      </c>
    </row>
    <row r="35841">
      <c r="A35841" s="4" t="s">
        <v>45084</v>
      </c>
      <c r="B35841" s="4" t="s">
        <v>45085</v>
      </c>
      <c r="C35841" s="5" t="str">
        <f>IFERROR(__xludf.DUMMYFUNCTION("GOOGLETRANSLATE(B35841,""en"",""es-ES"")"),"Una mujer está de pie dentro de una cocina oscura, hablando.")</f>
        <v>Una mujer está de pie dentro de una cocina oscura, hablando.</v>
      </c>
    </row>
    <row r="35842">
      <c r="A35842" s="4" t="s">
        <v>45084</v>
      </c>
      <c r="B35842" s="4" t="s">
        <v>45086</v>
      </c>
      <c r="C35842" s="5" t="str">
        <f>IFERROR(__xludf.DUMMYFUNCTION("GOOGLETRANSLATE(B35842,""en"",""es-ES"")"),"Ella muestra un pastel enfriando en una rejilla de metal.")</f>
        <v>Ella muestra un pastel enfriando en una rejilla de metal.</v>
      </c>
    </row>
    <row r="35843">
      <c r="A35843" s="4" t="s">
        <v>45084</v>
      </c>
      <c r="B35843" s="4" t="s">
        <v>45087</v>
      </c>
      <c r="C35843" s="5" t="str">
        <f>IFERROR(__xludf.DUMMYFUNCTION("GOOGLETRANSLATE(B35843,""en"",""es-ES"")"),"Ella demuestra cómo mezclar los ingredientes en una batidora, luego hornear el pastel.")</f>
        <v>Ella demuestra cómo mezclar los ingredientes en una batidora, luego hornear el pastel.</v>
      </c>
    </row>
    <row r="35844">
      <c r="A35844" s="4" t="s">
        <v>45084</v>
      </c>
      <c r="B35844" s="4" t="s">
        <v>45088</v>
      </c>
      <c r="C35844" s="5" t="str">
        <f>IFERROR(__xludf.DUMMYFUNCTION("GOOGLETRANSLATE(B35844,""en"",""es-ES"")"),"Cuando esté listo, lo gira sobre la rejilla para que se enfríe.")</f>
        <v>Cuando esté listo, lo gira sobre la rejilla para que se enfríe.</v>
      </c>
    </row>
    <row r="35845">
      <c r="A35845" s="4" t="s">
        <v>45089</v>
      </c>
      <c r="B35845" s="4" t="s">
        <v>45090</v>
      </c>
      <c r="C35845" s="5" t="str">
        <f>IFERROR(__xludf.DUMMYFUNCTION("GOOGLETRANSLATE(B35845,""en"",""es-ES"")"),"La mujer está con dos hijos en nieve en tierra abierta y están en un inflable deslizándose por una montaña.")</f>
        <v>La mujer está con dos hijos en nieve en tierra abierta y están en un inflable deslizándose por una montaña.</v>
      </c>
    </row>
    <row r="35846">
      <c r="A35846" s="4" t="s">
        <v>45089</v>
      </c>
      <c r="B35846" s="4" t="s">
        <v>45091</v>
      </c>
      <c r="C35846" s="5" t="str">
        <f>IFERROR(__xludf.DUMMYFUNCTION("GOOGLETRANSLATE(B35846,""en"",""es-ES"")"),"Los niños caminan con el inflable en sus manos por el campo y corren hacia la montaña nuevamente.")</f>
        <v>Los niños caminan con el inflable en sus manos por el campo y corren hacia la montaña nuevamente.</v>
      </c>
    </row>
    <row r="35847">
      <c r="A35847" s="4" t="s">
        <v>45092</v>
      </c>
      <c r="B35847" s="4" t="s">
        <v>45093</v>
      </c>
      <c r="C35847" s="5" t="str">
        <f>IFERROR(__xludf.DUMMYFUNCTION("GOOGLETRANSLATE(B35847,""en"",""es-ES"")"),"Un niño tiene una camiseta de fútbol en blanco y negro y está sentado en el piso al lado de una cama y comienza a ponerse un largo calcetín negro de fútbol.")</f>
        <v>Un niño tiene una camiseta de fútbol en blanco y negro y está sentado en el piso al lado de una cama y comienza a ponerse un largo calcetín negro de fútbol.</v>
      </c>
    </row>
    <row r="35848">
      <c r="A35848" s="4" t="s">
        <v>45092</v>
      </c>
      <c r="B35848" s="4" t="s">
        <v>45094</v>
      </c>
      <c r="C35848" s="5" t="str">
        <f>IFERROR(__xludf.DUMMYFUNCTION("GOOGLETRANSLATE(B35848,""en"",""es-ES"")"),"El joven luego busca su guardia de espinilla y lo pone sobre su pierna derecha y luego dobla su calcetín sobre él.")</f>
        <v>El joven luego busca su guardia de espinilla y lo pone sobre su pierna derecha y luego dobla su calcetín sobre él.</v>
      </c>
    </row>
    <row r="35849">
      <c r="A35849" s="4" t="s">
        <v>45092</v>
      </c>
      <c r="B35849" s="4" t="s">
        <v>45095</v>
      </c>
      <c r="C35849" s="5" t="str">
        <f>IFERROR(__xludf.DUMMYFUNCTION("GOOGLETRANSLATE(B35849,""en"",""es-ES"")"),"Una vez terminado, se acerque a su otro calcetín y comienza a hacer lo mismo en la pierna izquierda.")</f>
        <v>Una vez terminado, se acerque a su otro calcetín y comienza a hacer lo mismo en la pierna izquierda.</v>
      </c>
    </row>
    <row r="35850">
      <c r="A35850" s="4" t="s">
        <v>45092</v>
      </c>
      <c r="B35850" s="4" t="s">
        <v>45096</v>
      </c>
      <c r="C35850" s="5" t="str">
        <f>IFERROR(__xludf.DUMMYFUNCTION("GOOGLETRANSLATE(B35850,""en"",""es-ES"")"),"Finalmente, se mueve hacia sus tacos y toma un par de tacos de fútbol adidas naranja y los ata.")</f>
        <v>Finalmente, se mueve hacia sus tacos y toma un par de tacos de fútbol adidas naranja y los ata.</v>
      </c>
    </row>
    <row r="35851">
      <c r="A35851" s="4" t="s">
        <v>45092</v>
      </c>
      <c r="B35851" s="4" t="s">
        <v>45097</v>
      </c>
      <c r="C35851" s="5" t="str">
        <f>IFERROR(__xludf.DUMMYFUNCTION("GOOGLETRANSLATE(B35851,""en"",""es-ES"")"),"Todo está completado y el niño se sienta cruzado y comienza a hablar con la cámara.")</f>
        <v>Todo está completado y el niño se sienta cruzado y comienza a hablar con la cámara.</v>
      </c>
    </row>
    <row r="35852">
      <c r="A35852" s="4" t="s">
        <v>45098</v>
      </c>
      <c r="B35852" s="4" t="s">
        <v>45099</v>
      </c>
      <c r="C35852" s="5" t="str">
        <f>IFERROR(__xludf.DUMMYFUNCTION("GOOGLETRANSLATE(B35852,""en"",""es-ES"")"),"Un primer plano se acerca a una pantalla.")</f>
        <v>Un primer plano se acerca a una pantalla.</v>
      </c>
    </row>
    <row r="35853">
      <c r="A35853" s="4" t="s">
        <v>45098</v>
      </c>
      <c r="B35853" s="4" t="s">
        <v>45100</v>
      </c>
      <c r="C35853" s="5" t="str">
        <f>IFERROR(__xludf.DUMMYFUNCTION("GOOGLETRANSLATE(B35853,""en"",""es-ES"")"),"Varios adultos y niños están al aire libre.")</f>
        <v>Varios adultos y niños están al aire libre.</v>
      </c>
    </row>
    <row r="35854">
      <c r="A35854" s="4" t="s">
        <v>45098</v>
      </c>
      <c r="B35854" s="4" t="s">
        <v>45101</v>
      </c>
      <c r="C35854" s="5" t="str">
        <f>IFERROR(__xludf.DUMMYFUNCTION("GOOGLETRANSLATE(B35854,""en"",""es-ES"")"),"Los niños montan bicicletas de tierra en una competencia.")</f>
        <v>Los niños montan bicicletas de tierra en una competencia.</v>
      </c>
    </row>
    <row r="35855">
      <c r="A35855" s="4" t="s">
        <v>45098</v>
      </c>
      <c r="B35855" s="4" t="s">
        <v>45102</v>
      </c>
      <c r="C35855" s="5" t="str">
        <f>IFERROR(__xludf.DUMMYFUNCTION("GOOGLETRANSLATE(B35855,""en"",""es-ES"")"),"Se muestran corriendo por un curso y sobre colinas y dando vueltas.")</f>
        <v>Se muestran corriendo por un curso y sobre colinas y dando vueltas.</v>
      </c>
    </row>
    <row r="35856">
      <c r="A35856" s="4" t="s">
        <v>45098</v>
      </c>
      <c r="B35856" s="4" t="s">
        <v>45103</v>
      </c>
      <c r="C35856" s="5" t="str">
        <f>IFERROR(__xludf.DUMMYFUNCTION("GOOGLETRANSLATE(B35856,""en"",""es-ES"")"),"Un niño en una bicicleta se detiene en la cámara, mirando atentamente.")</f>
        <v>Un niño en una bicicleta se detiene en la cámara, mirando atentamente.</v>
      </c>
    </row>
    <row r="35857">
      <c r="A35857" s="4" t="s">
        <v>45104</v>
      </c>
      <c r="B35857" s="4" t="s">
        <v>45105</v>
      </c>
      <c r="C35857" s="5" t="str">
        <f>IFERROR(__xludf.DUMMYFUNCTION("GOOGLETRANSLATE(B35857,""en"",""es-ES"")"),"Un hombre se inclina sobre la cámara que ha colocado sobre un perro.")</f>
        <v>Un hombre se inclina sobre la cámara que ha colocado sobre un perro.</v>
      </c>
    </row>
    <row r="35858">
      <c r="A35858" s="4" t="s">
        <v>45104</v>
      </c>
      <c r="B35858" s="4" t="s">
        <v>45106</v>
      </c>
      <c r="C35858" s="5" t="str">
        <f>IFERROR(__xludf.DUMMYFUNCTION("GOOGLETRANSLATE(B35858,""en"",""es-ES"")"),"El perro corre por diferentes habitaciones de la casa, luego hacia la puerta y afuera.")</f>
        <v>El perro corre por diferentes habitaciones de la casa, luego hacia la puerta y afuera.</v>
      </c>
    </row>
    <row r="35859">
      <c r="A35859" s="4" t="s">
        <v>45104</v>
      </c>
      <c r="B35859" s="4" t="s">
        <v>45107</v>
      </c>
      <c r="C35859" s="5" t="str">
        <f>IFERROR(__xludf.DUMMYFUNCTION("GOOGLETRANSLATE(B35859,""en"",""es-ES"")"),"Salen a caminar afuera con la gente y otros perros.")</f>
        <v>Salen a caminar afuera con la gente y otros perros.</v>
      </c>
    </row>
    <row r="35860">
      <c r="A35860" s="4" t="s">
        <v>45104</v>
      </c>
      <c r="B35860" s="4" t="s">
        <v>45108</v>
      </c>
      <c r="C35860" s="5" t="str">
        <f>IFERROR(__xludf.DUMMYFUNCTION("GOOGLETRANSLATE(B35860,""en"",""es-ES"")"),"Regresa a casa y mira en su tazón de agua.")</f>
        <v>Regresa a casa y mira en su tazón de agua.</v>
      </c>
    </row>
    <row r="35861">
      <c r="A35861" s="4" t="s">
        <v>45109</v>
      </c>
      <c r="B35861" s="4" t="s">
        <v>45110</v>
      </c>
      <c r="C35861" s="5" t="str">
        <f>IFERROR(__xludf.DUMMYFUNCTION("GOOGLETRANSLATE(B35861,""en"",""es-ES"")"),"Una mujer sentada en el piso habla con la cámara mientras acaricia a un perro.")</f>
        <v>Una mujer sentada en el piso habla con la cámara mientras acaricia a un perro.</v>
      </c>
    </row>
    <row r="35862">
      <c r="A35862" s="4" t="s">
        <v>45109</v>
      </c>
      <c r="B35862" s="4" t="s">
        <v>45111</v>
      </c>
      <c r="C35862" s="5" t="str">
        <f>IFERROR(__xludf.DUMMYFUNCTION("GOOGLETRANSLATE(B35862,""en"",""es-ES"")"),"La mujer sostiene algún tipo de herramienta mientras habla con la cámara.")</f>
        <v>La mujer sostiene algún tipo de herramienta mientras habla con la cámara.</v>
      </c>
    </row>
    <row r="35863">
      <c r="A35863" s="4" t="s">
        <v>45109</v>
      </c>
      <c r="B35863" s="4" t="s">
        <v>45112</v>
      </c>
      <c r="C35863" s="5" t="str">
        <f>IFERROR(__xludf.DUMMYFUNCTION("GOOGLETRANSLATE(B35863,""en"",""es-ES"")"),"La mujer usa la herramienta para cepillar al perro mientras habla.")</f>
        <v>La mujer usa la herramienta para cepillar al perro mientras habla.</v>
      </c>
    </row>
    <row r="35864">
      <c r="A35864" s="4" t="s">
        <v>45109</v>
      </c>
      <c r="B35864" s="4" t="s">
        <v>45113</v>
      </c>
      <c r="C35864" s="5" t="str">
        <f>IFERROR(__xludf.DUMMYFUNCTION("GOOGLETRANSLATE(B35864,""en"",""es-ES"")"),"La mujer coloca la herramienta y machaca al perro mientras habla con la cámara.")</f>
        <v>La mujer coloca la herramienta y machaca al perro mientras habla con la cámara.</v>
      </c>
    </row>
    <row r="35865">
      <c r="A35865" s="4" t="s">
        <v>45109</v>
      </c>
      <c r="B35865" s="4" t="s">
        <v>45114</v>
      </c>
      <c r="C35865" s="5" t="str">
        <f>IFERROR(__xludf.DUMMYFUNCTION("GOOGLETRANSLATE(B35865,""en"",""es-ES"")"),"La mujer habla con la cámara sobre la herramienta.")</f>
        <v>La mujer habla con la cámara sobre la herramienta.</v>
      </c>
    </row>
    <row r="35866">
      <c r="A35866" s="4" t="s">
        <v>45109</v>
      </c>
      <c r="B35866" s="4" t="s">
        <v>45115</v>
      </c>
      <c r="C35866" s="5" t="str">
        <f>IFERROR(__xludf.DUMMYFUNCTION("GOOGLETRANSLATE(B35866,""en"",""es-ES"")"),"El perro y las mujeres se levantan del suelo.")</f>
        <v>El perro y las mujeres se levantan del suelo.</v>
      </c>
    </row>
    <row r="35867">
      <c r="A35867" s="4" t="s">
        <v>45109</v>
      </c>
      <c r="B35867" s="4" t="s">
        <v>45116</v>
      </c>
      <c r="C35867" s="5" t="str">
        <f>IFERROR(__xludf.DUMMYFUNCTION("GOOGLETRANSLATE(B35867,""en"",""es-ES"")"),"Se muestra un proceso acelerado de dibujar un emblema de búho.")</f>
        <v>Se muestra un proceso acelerado de dibujar un emblema de búho.</v>
      </c>
    </row>
    <row r="35868">
      <c r="A35868" s="4" t="s">
        <v>45117</v>
      </c>
      <c r="B35868" s="4" t="s">
        <v>45118</v>
      </c>
      <c r="C35868" s="5" t="str">
        <f>IFERROR(__xludf.DUMMYFUNCTION("GOOGLETRANSLATE(B35868,""en"",""es-ES"")"),"Un esquiador usa un dron de viento para impulsarlo a través de una pendiente plana.")</f>
        <v>Un esquiador usa un dron de viento para impulsarlo a través de una pendiente plana.</v>
      </c>
    </row>
    <row r="35869">
      <c r="A35869" s="4" t="s">
        <v>45117</v>
      </c>
      <c r="B35869" s="4" t="s">
        <v>45119</v>
      </c>
      <c r="C35869" s="5" t="str">
        <f>IFERROR(__xludf.DUMMYFUNCTION("GOOGLETRANSLATE(B35869,""en"",""es-ES"")"),"El esquiador usa el dron del viento para hacer algunos pases en un área plana de una estación de esquí.")</f>
        <v>El esquiador usa el dron del viento para hacer algunos pases en un área plana de una estación de esquí.</v>
      </c>
    </row>
    <row r="35870">
      <c r="A35870" s="4" t="s">
        <v>45117</v>
      </c>
      <c r="B35870" s="4" t="s">
        <v>45120</v>
      </c>
      <c r="C35870" s="5" t="str">
        <f>IFERROR(__xludf.DUMMYFUNCTION("GOOGLETRANSLATE(B35870,""en"",""es-ES"")"),"La cámara se mueve sobre el área de esquí y las vistas de las montañas circundantes.")</f>
        <v>La cámara se mueve sobre el área de esquí y las vistas de las montañas circundantes.</v>
      </c>
    </row>
    <row r="35871">
      <c r="A35871" s="4" t="s">
        <v>45117</v>
      </c>
      <c r="B35871" s="4" t="s">
        <v>45121</v>
      </c>
      <c r="C35871" s="5" t="str">
        <f>IFERROR(__xludf.DUMMYFUNCTION("GOOGLETRANSLATE(B35871,""en"",""es-ES"")"),"El esquiador hace un pase en una gran área plana que va muy rápido.")</f>
        <v>El esquiador hace un pase en una gran área plana que va muy rápido.</v>
      </c>
    </row>
    <row r="35872">
      <c r="A35872" s="4" t="s">
        <v>45122</v>
      </c>
      <c r="B35872" s="4" t="s">
        <v>45123</v>
      </c>
      <c r="C35872" s="5" t="str">
        <f>IFERROR(__xludf.DUMMYFUNCTION("GOOGLETRANSLATE(B35872,""en"",""es-ES"")"),"Un hombre se pone en cuclillas y levanta una barra de pesas en un gimnasio.")</f>
        <v>Un hombre se pone en cuclillas y levanta una barra de pesas en un gimnasio.</v>
      </c>
    </row>
    <row r="35873">
      <c r="A35873" s="4" t="s">
        <v>45122</v>
      </c>
      <c r="B35873" s="4" t="s">
        <v>45124</v>
      </c>
      <c r="C35873" s="5" t="str">
        <f>IFERROR(__xludf.DUMMYFUNCTION("GOOGLETRANSLATE(B35873,""en"",""es-ES"")"),"Él arroja la barra hacia abajo y se estrella contra el piso y respira profundamente.")</f>
        <v>Él arroja la barra hacia abajo y se estrella contra el piso y respira profundamente.</v>
      </c>
    </row>
    <row r="35874">
      <c r="A35874" s="4" t="s">
        <v>45125</v>
      </c>
      <c r="B35874" s="4" t="s">
        <v>45126</v>
      </c>
      <c r="C35874" s="5" t="str">
        <f>IFERROR(__xludf.DUMMYFUNCTION("GOOGLETRANSLATE(B35874,""en"",""es-ES"")"),"Un niño se balancea en bares de mono.")</f>
        <v>Un niño se balancea en bares de mono.</v>
      </c>
    </row>
    <row r="35875">
      <c r="A35875" s="4" t="s">
        <v>45125</v>
      </c>
      <c r="B35875" s="4" t="s">
        <v>45127</v>
      </c>
      <c r="C35875" s="5" t="str">
        <f>IFERROR(__xludf.DUMMYFUNCTION("GOOGLETRANSLATE(B35875,""en"",""es-ES"")"),"El niño desmonta de los bares de mono.")</f>
        <v>El niño desmonta de los bares de mono.</v>
      </c>
    </row>
    <row r="35876">
      <c r="A35876" s="4" t="s">
        <v>45125</v>
      </c>
      <c r="B35876" s="4" t="s">
        <v>45128</v>
      </c>
      <c r="C35876" s="5" t="str">
        <f>IFERROR(__xludf.DUMMYFUNCTION("GOOGLETRANSLATE(B35876,""en"",""es-ES"")"),"El niño camina hacia la cámara.")</f>
        <v>El niño camina hacia la cámara.</v>
      </c>
    </row>
    <row r="35877">
      <c r="A35877" s="4" t="s">
        <v>45129</v>
      </c>
      <c r="B35877" s="4" t="s">
        <v>45130</v>
      </c>
      <c r="C35877" s="5" t="str">
        <f>IFERROR(__xludf.DUMMYFUNCTION("GOOGLETRANSLATE(B35877,""en"",""es-ES"")"),"El video muestra varios clips de luchadores de sumo luchando en un anillo mientras un árbitro y una audiencia observan.")</f>
        <v>El video muestra varios clips de luchadores de sumo luchando en un anillo mientras un árbitro y una audiencia observan.</v>
      </c>
    </row>
    <row r="35878">
      <c r="A35878" s="4" t="s">
        <v>45129</v>
      </c>
      <c r="B35878" s="4" t="s">
        <v>45131</v>
      </c>
      <c r="C35878" s="5" t="str">
        <f>IFERROR(__xludf.DUMMYFUNCTION("GOOGLETRANSLATE(B35878,""en"",""es-ES"")"),"En el primer clip, un luchador mucho más grande lucha a un hombre más pequeño que termina ganando.")</f>
        <v>En el primer clip, un luchador mucho más grande lucha a un hombre más pequeño que termina ganando.</v>
      </c>
    </row>
    <row r="35879">
      <c r="A35879" s="4" t="s">
        <v>45129</v>
      </c>
      <c r="B35879" s="4" t="s">
        <v>45132</v>
      </c>
      <c r="C35879" s="5" t="str">
        <f>IFERROR(__xludf.DUMMYFUNCTION("GOOGLETRANSLATE(B35879,""en"",""es-ES"")"),"El video continúa con varios otros clips de luchadores y cómo cada luchador gana la ronda.")</f>
        <v>El video continúa con varios otros clips de luchadores y cómo cada luchador gana la ronda.</v>
      </c>
    </row>
    <row r="35880">
      <c r="A35880" s="4" t="s">
        <v>45129</v>
      </c>
      <c r="B35880" s="4" t="s">
        <v>45133</v>
      </c>
      <c r="C35880" s="5" t="str">
        <f>IFERROR(__xludf.DUMMYFUNCTION("GOOGLETRANSLATE(B35880,""en"",""es-ES"")"),"El video termina con un comercial de comedia donde un luchador de sumo más pequeño se arrastra bajo otro muy grande, y termina atrapado en su atuendo de sumo.")</f>
        <v>El video termina con un comercial de comedia donde un luchador de sumo más pequeño se arrastra bajo otro muy grande, y termina atrapado en su atuendo de sumo.</v>
      </c>
    </row>
    <row r="35881">
      <c r="A35881" s="4" t="s">
        <v>45134</v>
      </c>
      <c r="B35881" s="4" t="s">
        <v>45135</v>
      </c>
      <c r="C35881" s="5" t="str">
        <f>IFERROR(__xludf.DUMMYFUNCTION("GOOGLETRANSLATE(B35881,""en"",""es-ES"")"),"Se ve una mascota corriendo alrededor de un campo mientras la cámara se desplaza alrededor de una gran audiencia.")</f>
        <v>Se ve una mascota corriendo alrededor de un campo mientras la cámara se desplaza alrededor de una gran audiencia.</v>
      </c>
    </row>
    <row r="35882">
      <c r="A35882" s="4" t="s">
        <v>45134</v>
      </c>
      <c r="B35882" s="4" t="s">
        <v>45136</v>
      </c>
      <c r="C35882" s="5" t="str">
        <f>IFERROR(__xludf.DUMMYFUNCTION("GOOGLETRANSLATE(B35882,""en"",""es-ES"")"),"Varias mascotas se ven palitos en un campo caminando entre sí y conduce a ellas persiguiendo una pelota.")</f>
        <v>Varias mascotas se ven palitos en un campo caminando entre sí y conduce a ellas persiguiendo una pelota.</v>
      </c>
    </row>
    <row r="35883">
      <c r="A35883" s="4" t="s">
        <v>45134</v>
      </c>
      <c r="B35883" s="4" t="s">
        <v>45137</v>
      </c>
      <c r="C35883" s="5" t="str">
        <f>IFERROR(__xludf.DUMMYFUNCTION("GOOGLETRANSLATE(B35883,""en"",""es-ES"")"),"El grupo continúa corriendo alrededor del campo a medida que las mascotas continúan persiguiendo la pelota una tras otra.")</f>
        <v>El grupo continúa corriendo alrededor del campo a medida que las mascotas continúan persiguiendo la pelota una tras otra.</v>
      </c>
    </row>
    <row r="35884">
      <c r="A35884" s="4" t="s">
        <v>45138</v>
      </c>
      <c r="B35884" s="4" t="s">
        <v>45139</v>
      </c>
      <c r="C35884" s="5" t="str">
        <f>IFERROR(__xludf.DUMMYFUNCTION("GOOGLETRANSLATE(B35884,""en"",""es-ES"")"),"Hay 3 personas en una tienda en una sección de zapatos y hay dos personas en el suelo probando botas.")</f>
        <v>Hay 3 personas en una tienda en una sección de zapatos y hay dos personas en el suelo probando botas.</v>
      </c>
    </row>
    <row r="35885">
      <c r="A35885" s="4" t="s">
        <v>45138</v>
      </c>
      <c r="B35885" s="4" t="s">
        <v>45140</v>
      </c>
      <c r="C35885" s="5" t="str">
        <f>IFERROR(__xludf.DUMMYFUNCTION("GOOGLETRANSLATE(B35885,""en"",""es-ES"")"),"El hombre en el suelo quita su bota rosa, la arroja a un lado y se levanta sonriendo.")</f>
        <v>El hombre en el suelo quita su bota rosa, la arroja a un lado y se levanta sonriendo.</v>
      </c>
    </row>
    <row r="35886">
      <c r="A35886" s="4" t="s">
        <v>45138</v>
      </c>
      <c r="B35886" s="4" t="s">
        <v>45141</v>
      </c>
      <c r="C35886" s="5" t="str">
        <f>IFERROR(__xludf.DUMMYFUNCTION("GOOGLETRANSLATE(B35886,""en"",""es-ES"")"),"La niña agarra su bota rosa, la intenta sobre su pie derecho y se sienta allí modelando mientras habla con las personas que la rodean.")</f>
        <v>La niña agarra su bota rosa, la intenta sobre su pie derecho y se sienta allí modelando mientras habla con las personas que la rodean.</v>
      </c>
    </row>
    <row r="35887">
      <c r="A35887" s="4" t="s">
        <v>45138</v>
      </c>
      <c r="B35887" s="4" t="s">
        <v>45142</v>
      </c>
      <c r="C35887" s="5" t="str">
        <f>IFERROR(__xludf.DUMMYFUNCTION("GOOGLETRANSLATE(B35887,""en"",""es-ES"")"),"Luego, la niña agarra la bota izquierda, elimina las cosas, lo intenta y se levanta para modelarlos.")</f>
        <v>Luego, la niña agarra la bota izquierda, elimina las cosas, lo intenta y se levanta para modelarlos.</v>
      </c>
    </row>
    <row r="35888">
      <c r="A35888" s="4" t="s">
        <v>45138</v>
      </c>
      <c r="B35888" s="4" t="s">
        <v>45143</v>
      </c>
      <c r="C35888" s="5" t="str">
        <f>IFERROR(__xludf.DUMMYFUNCTION("GOOGLETRANSLATE(B35888,""en"",""es-ES"")"),"La chica se para al lado del chico y sonríen, ella da un pulgar hacia arriba y él la abraza por detrás.")</f>
        <v>La chica se para al lado del chico y sonríen, ella da un pulgar hacia arriba y él la abraza por detrás.</v>
      </c>
    </row>
    <row r="35889">
      <c r="A35889" s="4" t="s">
        <v>45144</v>
      </c>
      <c r="B35889" s="4" t="s">
        <v>45145</v>
      </c>
      <c r="C35889" s="5" t="str">
        <f>IFERROR(__xludf.DUMMYFUNCTION("GOOGLETRANSLATE(B35889,""en"",""es-ES"")"),"Una imagen fija de un hombre vestido con una camisa de bajo armadura y un par de pantalones está parado en un lugar en una bolera.")</f>
        <v>Una imagen fija de un hombre vestido con una camisa de bajo armadura y un par de pantalones está parado en un lugar en una bolera.</v>
      </c>
    </row>
    <row r="35890">
      <c r="A35890" s="4" t="s">
        <v>45144</v>
      </c>
      <c r="B35890" s="4" t="s">
        <v>45146</v>
      </c>
      <c r="C35890" s="5" t="str">
        <f>IFERROR(__xludf.DUMMYFUNCTION("GOOGLETRANSLATE(B35890,""en"",""es-ES"")"),"El hombre finalmente se mueve y arroja la pelota por el callejón.")</f>
        <v>El hombre finalmente se mueve y arroja la pelota por el callejón.</v>
      </c>
    </row>
    <row r="35891">
      <c r="A35891" s="4" t="s">
        <v>45144</v>
      </c>
      <c r="B35891" s="4" t="s">
        <v>45147</v>
      </c>
      <c r="C35891" s="5" t="str">
        <f>IFERROR(__xludf.DUMMYFUNCTION("GOOGLETRANSLATE(B35891,""en"",""es-ES"")"),"Después, se muestra una repetición instantánea del video que se pica y se atornilla con un círculo que resalta la pelota antes de que se arroje por el carril.")</f>
        <v>Después, se muestra una repetición instantánea del video que se pica y se atornilla con un círculo que resalta la pelota antes de que se arroje por el carril.</v>
      </c>
    </row>
    <row r="35892">
      <c r="A35892" s="4" t="s">
        <v>45148</v>
      </c>
      <c r="B35892" s="4" t="s">
        <v>45149</v>
      </c>
      <c r="C35892" s="5" t="str">
        <f>IFERROR(__xludf.DUMMYFUNCTION("GOOGLETRANSLATE(B35892,""en"",""es-ES"")"),"Una mujer demuestra cómo hacer sentadillas, en una sala de gimnasia, usando una mujer que está simulando el ejercicio como ejemplo.")</f>
        <v>Una mujer demuestra cómo hacer sentadillas, en una sala de gimnasia, usando una mujer que está simulando el ejercicio como ejemplo.</v>
      </c>
    </row>
    <row r="35893">
      <c r="A35893" s="4" t="s">
        <v>45148</v>
      </c>
      <c r="B35893" s="4" t="s">
        <v>45150</v>
      </c>
      <c r="C35893" s="5" t="str">
        <f>IFERROR(__xludf.DUMMYFUNCTION("GOOGLETRANSLATE(B35893,""en"",""es-ES"")"),"Una mujer se arrodilla en los pisos de madera de una habitación de gimnasia y habla con la cámara.")</f>
        <v>Una mujer se arrodilla en los pisos de madera de una habitación de gimnasia y habla con la cámara.</v>
      </c>
    </row>
    <row r="35894">
      <c r="A35894" s="4" t="s">
        <v>45148</v>
      </c>
      <c r="B35894" s="4" t="s">
        <v>45151</v>
      </c>
      <c r="C35894" s="5" t="str">
        <f>IFERROR(__xludf.DUMMYFUNCTION("GOOGLETRANSLATE(B35894,""en"",""es-ES"")"),"La cámara sale y se revela a otra mujer acostada de espaldas en una alfombra de gimnasia mientras la mujer arrodillada sobre ella continúa hablando.")</f>
        <v>La cámara sale y se revela a otra mujer acostada de espaldas en una alfombra de gimnasia mientras la mujer arrodillada sobre ella continúa hablando.</v>
      </c>
    </row>
    <row r="35895">
      <c r="A35895" s="4" t="s">
        <v>45148</v>
      </c>
      <c r="B35895" s="4" t="s">
        <v>45152</v>
      </c>
      <c r="C35895" s="5" t="str">
        <f>IFERROR(__xludf.DUMMYFUNCTION("GOOGLETRANSLATE(B35895,""en"",""es-ES"")"),"La mujer acostada demuestra cómo sentarse y la otra mujer continúa hablando a veces tocando el estómago de la otra mujer.")</f>
        <v>La mujer acostada demuestra cómo sentarse y la otra mujer continúa hablando a veces tocando el estómago de la otra mujer.</v>
      </c>
    </row>
    <row r="35896">
      <c r="A35896" s="4" t="s">
        <v>45153</v>
      </c>
      <c r="B35896" s="4" t="s">
        <v>45154</v>
      </c>
      <c r="C35896" s="5" t="str">
        <f>IFERROR(__xludf.DUMMYFUNCTION("GOOGLETRANSLATE(B35896,""en"",""es-ES"")"),"Se ve a una persona parada en el medio de un círculo lanzando una discusión a la distancia.")</f>
        <v>Se ve a una persona parada en el medio de un círculo lanzando una discusión a la distancia.</v>
      </c>
    </row>
    <row r="35897">
      <c r="A35897" s="4" t="s">
        <v>45153</v>
      </c>
      <c r="B35897" s="4" t="s">
        <v>45155</v>
      </c>
      <c r="C35897" s="5" t="str">
        <f>IFERROR(__xludf.DUMMYFUNCTION("GOOGLETRANSLATE(B35897,""en"",""es-ES"")"),"El hombre regresa varias veces y se muestra continuando lanzando el objeto.")</f>
        <v>El hombre regresa varias veces y se muestra continuando lanzando el objeto.</v>
      </c>
    </row>
    <row r="35898">
      <c r="A35898" s="4" t="s">
        <v>45153</v>
      </c>
      <c r="B35898" s="4" t="s">
        <v>45156</v>
      </c>
      <c r="C35898" s="5" t="str">
        <f>IFERROR(__xludf.DUMMYFUNCTION("GOOGLETRANSLATE(B35898,""en"",""es-ES"")"),"El hombre continúa girando mientras tira el objeto a lo lejos.")</f>
        <v>El hombre continúa girando mientras tira el objeto a lo lejos.</v>
      </c>
    </row>
    <row r="35899">
      <c r="A35899" s="4" t="s">
        <v>45157</v>
      </c>
      <c r="B35899" s="4" t="s">
        <v>45158</v>
      </c>
      <c r="C35899" s="5" t="str">
        <f>IFERROR(__xludf.DUMMYFUNCTION("GOOGLETRANSLATE(B35899,""en"",""es-ES"")"),"Dos hombres están parados en una sala de canchas jugando squash.")</f>
        <v>Dos hombres están parados en una sala de canchas jugando squash.</v>
      </c>
    </row>
    <row r="35900">
      <c r="A35900" s="4" t="s">
        <v>45157</v>
      </c>
      <c r="B35900" s="4" t="s">
        <v>45159</v>
      </c>
      <c r="C35900" s="5" t="str">
        <f>IFERROR(__xludf.DUMMYFUNCTION("GOOGLETRANSLATE(B35900,""en"",""es-ES"")"),"El hombre lleva camisa blanca de pie en una sala de canchas.")</f>
        <v>El hombre lleva camisa blanca de pie en una sala de canchas.</v>
      </c>
    </row>
    <row r="35901">
      <c r="A35901" s="4" t="s">
        <v>45157</v>
      </c>
      <c r="B35901" s="4" t="s">
        <v>45160</v>
      </c>
      <c r="C35901" s="5" t="str">
        <f>IFERROR(__xludf.DUMMYFUNCTION("GOOGLETRANSLATE(B35901,""en"",""es-ES"")"),"Los hombres están parados en una sala de la corte detrás de las puertas transparentes.")</f>
        <v>Los hombres están parados en una sala de la corte detrás de las puertas transparentes.</v>
      </c>
    </row>
    <row r="35902">
      <c r="A35902" s="4" t="s">
        <v>45161</v>
      </c>
      <c r="B35902" s="4" t="s">
        <v>45162</v>
      </c>
      <c r="C35902" s="5" t="str">
        <f>IFERROR(__xludf.DUMMYFUNCTION("GOOGLETRANSLATE(B35902,""en"",""es-ES"")"),"Un niño pequeño está parado afuera en la acera, tiene los brazos detrás de su espalda sosteniendo algo.")</f>
        <v>Un niño pequeño está parado afuera en la acera, tiene los brazos detrás de su espalda sosteniendo algo.</v>
      </c>
    </row>
    <row r="35903">
      <c r="A35903" s="4" t="s">
        <v>45161</v>
      </c>
      <c r="B35903" s="4" t="s">
        <v>45163</v>
      </c>
      <c r="C35903" s="5" t="str">
        <f>IFERROR(__xludf.DUMMYFUNCTION("GOOGLETRANSLATE(B35903,""en"",""es-ES"")"),"Luego, de la nada, comienza a girar la cosa en su mano, parece realmente peligroso.")</f>
        <v>Luego, de la nada, comienza a girar la cosa en su mano, parece realmente peligroso.</v>
      </c>
    </row>
    <row r="35904">
      <c r="A35904" s="4" t="s">
        <v>45161</v>
      </c>
      <c r="B35904" s="4" t="s">
        <v>45164</v>
      </c>
      <c r="C35904" s="5" t="str">
        <f>IFERROR(__xludf.DUMMYFUNCTION("GOOGLETRANSLATE(B35904,""en"",""es-ES"")"),"Comienza a pasar junto con él cuando toma mucha velocidad.")</f>
        <v>Comienza a pasar junto con él cuando toma mucha velocidad.</v>
      </c>
    </row>
    <row r="35905">
      <c r="A35905" s="4" t="s">
        <v>45161</v>
      </c>
      <c r="B35905" s="4" t="s">
        <v>45165</v>
      </c>
      <c r="C35905" s="5" t="str">
        <f>IFERROR(__xludf.DUMMYFUNCTION("GOOGLETRANSLATE(B35905,""en"",""es-ES"")"),"Luego de repente pierde el control y termina cayendo al suelo.")</f>
        <v>Luego de repente pierde el control y termina cayendo al suelo.</v>
      </c>
    </row>
    <row r="35906">
      <c r="A35906" s="4" t="s">
        <v>45166</v>
      </c>
      <c r="B35906" s="4" t="s">
        <v>45167</v>
      </c>
      <c r="C35906" s="5" t="str">
        <f>IFERROR(__xludf.DUMMYFUNCTION("GOOGLETRANSLATE(B35906,""en"",""es-ES"")"),"Un hombre con una camisa roja está decorando un árbol de Navidad.")</f>
        <v>Un hombre con una camisa roja está decorando un árbol de Navidad.</v>
      </c>
    </row>
    <row r="35907">
      <c r="A35907" s="4" t="s">
        <v>45166</v>
      </c>
      <c r="B35907" s="4" t="s">
        <v>45168</v>
      </c>
      <c r="C35907" s="5" t="str">
        <f>IFERROR(__xludf.DUMMYFUNCTION("GOOGLETRANSLATE(B35907,""en"",""es-ES"")"),"Está usando luces blancas para envolver el árbol para decorarlo.")</f>
        <v>Está usando luces blancas para envolver el árbol para decorarlo.</v>
      </c>
    </row>
    <row r="35908">
      <c r="A35908" s="4" t="s">
        <v>45166</v>
      </c>
      <c r="B35908" s="4" t="s">
        <v>45169</v>
      </c>
      <c r="C35908" s="5" t="str">
        <f>IFERROR(__xludf.DUMMYFUNCTION("GOOGLETRANSLATE(B35908,""en"",""es-ES"")"),"Él da la vuelta al árbol varias veces.")</f>
        <v>Él da la vuelta al árbol varias veces.</v>
      </c>
    </row>
    <row r="35909">
      <c r="A35909" s="4" t="s">
        <v>45166</v>
      </c>
      <c r="B35909" s="4" t="s">
        <v>45170</v>
      </c>
      <c r="C35909" s="5" t="str">
        <f>IFERROR(__xludf.DUMMYFUNCTION("GOOGLETRANSLATE(B35909,""en"",""es-ES"")"),"Luego toma una guirnalda de color dorado y envuelve el árbol.")</f>
        <v>Luego toma una guirnalda de color dorado y envuelve el árbol.</v>
      </c>
    </row>
    <row r="35910">
      <c r="A35910" s="4" t="s">
        <v>45166</v>
      </c>
      <c r="B35910" s="4" t="s">
        <v>45171</v>
      </c>
      <c r="C35910" s="5" t="str">
        <f>IFERROR(__xludf.DUMMYFUNCTION("GOOGLETRANSLATE(B35910,""en"",""es-ES"")"),"Luego enciende las luces para iluminar el árbol.")</f>
        <v>Luego enciende las luces para iluminar el árbol.</v>
      </c>
    </row>
    <row r="35911">
      <c r="A35911" s="4" t="s">
        <v>45166</v>
      </c>
      <c r="B35911" s="4" t="s">
        <v>45172</v>
      </c>
      <c r="C35911" s="5" t="str">
        <f>IFERROR(__xludf.DUMMYFUNCTION("GOOGLETRANSLATE(B35911,""en"",""es-ES"")"),"Luego se para además del árbol, señalando después de que las luces se encienden.")</f>
        <v>Luego se para además del árbol, señalando después de que las luces se encienden.</v>
      </c>
    </row>
    <row r="35912">
      <c r="A35912" s="4" t="s">
        <v>45173</v>
      </c>
      <c r="B35912" s="4" t="s">
        <v>45174</v>
      </c>
      <c r="C35912" s="5" t="str">
        <f>IFERROR(__xludf.DUMMYFUNCTION("GOOGLETRANSLATE(B35912,""en"",""es-ES"")"),"Un hombre usa una manguera para rociar algo verticalmente en una pared de madera.")</f>
        <v>Un hombre usa una manguera para rociar algo verticalmente en una pared de madera.</v>
      </c>
    </row>
    <row r="35913">
      <c r="A35913" s="4" t="s">
        <v>45173</v>
      </c>
      <c r="B35913" s="4" t="s">
        <v>45175</v>
      </c>
      <c r="C35913" s="5" t="str">
        <f>IFERROR(__xludf.DUMMYFUNCTION("GOOGLETRANSLATE(B35913,""en"",""es-ES"")"),"El hombre cambia a rociar horizontalmente en la pared.")</f>
        <v>El hombre cambia a rociar horizontalmente en la pared.</v>
      </c>
    </row>
    <row r="35914">
      <c r="A35914" s="4" t="s">
        <v>45173</v>
      </c>
      <c r="B35914" s="4" t="s">
        <v>45176</v>
      </c>
      <c r="C35914" s="5" t="str">
        <f>IFERROR(__xludf.DUMMYFUNCTION("GOOGLETRANSLATE(B35914,""en"",""es-ES"")"),"El hombre manipula la punta de la boquilla de pulverización.")</f>
        <v>El hombre manipula la punta de la boquilla de pulverización.</v>
      </c>
    </row>
    <row r="35915">
      <c r="A35915" s="4" t="s">
        <v>45177</v>
      </c>
      <c r="B35915" s="4" t="s">
        <v>45178</v>
      </c>
      <c r="C35915" s="5" t="str">
        <f>IFERROR(__xludf.DUMMYFUNCTION("GOOGLETRANSLATE(B35915,""en"",""es-ES"")"),"Hay una gimnasta de niña vestida con leotardos azules brillantes que realizan gimnasia en una barra de caballos frente a muchos espectadores en un gran gimnasio.")</f>
        <v>Hay una gimnasta de niña vestida con leotardos azules brillantes que realizan gimnasia en una barra de caballos frente a muchos espectadores en un gran gimnasio.</v>
      </c>
    </row>
    <row r="35916">
      <c r="A35916" s="4" t="s">
        <v>45177</v>
      </c>
      <c r="B35916" s="4" t="s">
        <v>45179</v>
      </c>
      <c r="C35916" s="5" t="str">
        <f>IFERROR(__xludf.DUMMYFUNCTION("GOOGLETRANSLATE(B35916,""en"",""es-ES"")"),"Ella se sube a la barra de caballos y comienza a hacer volteretas delanteras y volteos traseros.")</f>
        <v>Ella se sube a la barra de caballos y comienza a hacer volteretas delanteras y volteos traseros.</v>
      </c>
    </row>
    <row r="35917">
      <c r="A35917" s="4" t="s">
        <v>45177</v>
      </c>
      <c r="B35917" s="4" t="s">
        <v>45180</v>
      </c>
      <c r="C35917" s="5" t="str">
        <f>IFERROR(__xludf.DUMMYFUNCTION("GOOGLETRANSLATE(B35917,""en"",""es-ES"")"),"Luego ella retorció la espalda voltea mientras aterrizan de forma segura en la barra de caballos.")</f>
        <v>Luego ella retorció la espalda voltea mientras aterrizan de forma segura en la barra de caballos.</v>
      </c>
    </row>
    <row r="35918">
      <c r="A35918" s="4" t="s">
        <v>45177</v>
      </c>
      <c r="B35918" s="4" t="s">
        <v>45181</v>
      </c>
      <c r="C35918" s="5" t="str">
        <f>IFERROR(__xludf.DUMMYFUNCTION("GOOGLETRANSLATE(B35918,""en"",""es-ES"")"),"Ella continúa con sus movimientos gimnásticos y luego salta de forma segura de la barra de caballos y aterriza en el suelo.")</f>
        <v>Ella continúa con sus movimientos gimnásticos y luego salta de forma segura de la barra de caballos y aterriza en el suelo.</v>
      </c>
    </row>
    <row r="35919">
      <c r="A35919" s="4" t="s">
        <v>45177</v>
      </c>
      <c r="B35919" s="4" t="s">
        <v>45182</v>
      </c>
      <c r="C35919" s="5" t="str">
        <f>IFERROR(__xludf.DUMMYFUNCTION("GOOGLETRANSLATE(B35919,""en"",""es-ES"")"),"Después de salir del bar, va y abraza a su entrenador.")</f>
        <v>Después de salir del bar, va y abraza a su entrenador.</v>
      </c>
    </row>
    <row r="35920">
      <c r="A35920" s="4" t="s">
        <v>45177</v>
      </c>
      <c r="B35920" s="4" t="s">
        <v>45183</v>
      </c>
      <c r="C35920" s="5" t="str">
        <f>IFERROR(__xludf.DUMMYFUNCTION("GOOGLETRANSLATE(B35920,""en"",""es-ES"")"),"Las acciones de cámara lenta de sus movimientos de gimnasia se reproducen para mostrar cómo aterrizó en el suelo desde la barra de caballos.")</f>
        <v>Las acciones de cámara lenta de sus movimientos de gimnasia se reproducen para mostrar cómo aterrizó en el suelo desde la barra de caballos.</v>
      </c>
    </row>
    <row r="35921">
      <c r="A35921" s="4" t="s">
        <v>45177</v>
      </c>
      <c r="B35921" s="4" t="s">
        <v>45184</v>
      </c>
      <c r="C35921" s="5" t="str">
        <f>IFERROR(__xludf.DUMMYFUNCTION("GOOGLETRANSLATE(B35921,""en"",""es-ES"")"),"Luego, la gimnasta pasa por el donde se sientan el panel de jueces.")</f>
        <v>Luego, la gimnasta pasa por el donde se sientan el panel de jueces.</v>
      </c>
    </row>
    <row r="35922">
      <c r="A35922" s="4" t="s">
        <v>45185</v>
      </c>
      <c r="B35922" s="4" t="s">
        <v>45186</v>
      </c>
      <c r="C35922" s="5" t="str">
        <f>IFERROR(__xludf.DUMMYFUNCTION("GOOGLETRANSLATE(B35922,""en"",""es-ES"")"),"Se ve a una mujer sentada en una roca y agarrando la ropa de un balde.")</f>
        <v>Se ve a una mujer sentada en una roca y agarrando la ropa de un balde.</v>
      </c>
    </row>
    <row r="35923">
      <c r="A35923" s="4" t="s">
        <v>45185</v>
      </c>
      <c r="B35923" s="4" t="s">
        <v>45187</v>
      </c>
      <c r="C35923" s="5" t="str">
        <f>IFERROR(__xludf.DUMMYFUNCTION("GOOGLETRANSLATE(B35923,""en"",""es-ES"")"),"Luego frota la ropa con un trapo mientras sonríe con la cámara.")</f>
        <v>Luego frota la ropa con un trapo mientras sonríe con la cámara.</v>
      </c>
    </row>
    <row r="35924">
      <c r="A35924" s="4" t="s">
        <v>45185</v>
      </c>
      <c r="B35924" s="4" t="s">
        <v>45188</v>
      </c>
      <c r="C35924" s="5" t="str">
        <f>IFERROR(__xludf.DUMMYFUNCTION("GOOGLETRANSLATE(B35924,""en"",""es-ES"")"),"Ella continúa limpiando la tela golpeándola en cemento y lavándola con agua.")</f>
        <v>Ella continúa limpiando la tela golpeándola en cemento y lavándola con agua.</v>
      </c>
    </row>
    <row r="35925">
      <c r="A35925" s="4" t="s">
        <v>45189</v>
      </c>
      <c r="B35925" s="4" t="s">
        <v>45190</v>
      </c>
      <c r="C35925" s="5" t="str">
        <f>IFERROR(__xludf.DUMMYFUNCTION("GOOGLETRANSLATE(B35925,""en"",""es-ES"")"),"Se ve un helicóptero conduciendo sobre un océano donde se ve a las personas surfear.")</f>
        <v>Se ve un helicóptero conduciendo sobre un océano donde se ve a las personas surfear.</v>
      </c>
    </row>
    <row r="35926">
      <c r="A35926" s="4" t="s">
        <v>45189</v>
      </c>
      <c r="B35926" s="4" t="s">
        <v>45191</v>
      </c>
      <c r="C35926" s="5" t="str">
        <f>IFERROR(__xludf.DUMMYFUNCTION("GOOGLETRANSLATE(B35926,""en"",""es-ES"")"),"Se muestran varios disparos de personas que viajan a lo largo del agua y otras sentadas.")</f>
        <v>Se muestran varios disparos de personas que viajan a lo largo del agua y otras sentadas.</v>
      </c>
    </row>
    <row r="35927">
      <c r="A35927" s="4" t="s">
        <v>45189</v>
      </c>
      <c r="B35927" s="4" t="s">
        <v>45192</v>
      </c>
      <c r="C35927" s="5" t="str">
        <f>IFERROR(__xludf.DUMMYFUNCTION("GOOGLETRANSLATE(B35927,""en"",""es-ES"")"),"La gente continúa montando por el agua mientras el helicóptero viaja.")</f>
        <v>La gente continúa montando por el agua mientras el helicóptero viaja.</v>
      </c>
    </row>
    <row r="35928">
      <c r="A35928" s="4" t="s">
        <v>45193</v>
      </c>
      <c r="B35928" s="4" t="s">
        <v>45194</v>
      </c>
      <c r="C35928" s="5" t="str">
        <f>IFERROR(__xludf.DUMMYFUNCTION("GOOGLETRANSLATE(B35928,""en"",""es-ES"")"),"A los jóvenes se les muestra jugando a Ping Pong entre ellos en un gran gimnasio que sirve uno tras otro.")</f>
        <v>A los jóvenes se les muestra jugando a Ping Pong entre ellos en un gran gimnasio que sirve uno tras otro.</v>
      </c>
    </row>
    <row r="35929">
      <c r="A35929" s="4" t="s">
        <v>45193</v>
      </c>
      <c r="B35929" s="4" t="s">
        <v>45195</v>
      </c>
      <c r="C35929" s="5" t="str">
        <f>IFERROR(__xludf.DUMMYFUNCTION("GOOGLETRANSLATE(B35929,""en"",""es-ES"")"),"Otro niño se acerca a la mesa y comienza a jugar con los otros chicos, que luego se convierte en un juego de dos contra dos de Ping Pong.")</f>
        <v>Otro niño se acerca a la mesa y comienza a jugar con los otros chicos, que luego se convierte en un juego de dos contra dos de Ping Pong.</v>
      </c>
    </row>
    <row r="35930">
      <c r="A35930" s="4" t="s">
        <v>45193</v>
      </c>
      <c r="B35930" s="4" t="s">
        <v>45196</v>
      </c>
      <c r="C35930" s="5" t="str">
        <f>IFERROR(__xludf.DUMMYFUNCTION("GOOGLETRANSLATE(B35930,""en"",""es-ES"")"),"Los chicos se turnan para servir puntos de puntuación al azar.")</f>
        <v>Los chicos se turnan para servir puntos de puntuación al azar.</v>
      </c>
    </row>
    <row r="35931">
      <c r="A35931" s="4" t="s">
        <v>45193</v>
      </c>
      <c r="B35931" s="4" t="s">
        <v>45197</v>
      </c>
      <c r="C35931" s="5" t="str">
        <f>IFERROR(__xludf.DUMMYFUNCTION("GOOGLETRANSLATE(B35931,""en"",""es-ES"")"),"El niño que se mostró por primera vez está jugando un tercer juego ahora que se está manteniendo en puntaje por un oficial y anota los primeros 4 puntos.")</f>
        <v>El niño que se mostró por primera vez está jugando un tercer juego ahora que se está manteniendo en puntaje por un oficial y anota los primeros 4 puntos.</v>
      </c>
    </row>
    <row r="35932">
      <c r="A35932" s="4" t="s">
        <v>45193</v>
      </c>
      <c r="B35932" s="4" t="s">
        <v>45198</v>
      </c>
      <c r="C35932" s="5" t="str">
        <f>IFERROR(__xludf.DUMMYFUNCTION("GOOGLETRANSLATE(B35932,""en"",""es-ES"")"),"El niño está jugando otro torneo con un niño diferente en Ping Pong y parece que posiblemente se está quedando atrás un poco en puntos.")</f>
        <v>El niño está jugando otro torneo con un niño diferente en Ping Pong y parece que posiblemente se está quedando atrás un poco en puntos.</v>
      </c>
    </row>
    <row r="35933">
      <c r="A35933" s="4" t="s">
        <v>45199</v>
      </c>
      <c r="B35933" s="4" t="s">
        <v>45200</v>
      </c>
      <c r="C35933" s="5" t="str">
        <f>IFERROR(__xludf.DUMMYFUNCTION("GOOGLETRANSLATE(B35933,""en"",""es-ES"")"),"Un hombre está mostrando su moto.")</f>
        <v>Un hombre está mostrando su moto.</v>
      </c>
    </row>
    <row r="35934">
      <c r="A35934" s="4" t="s">
        <v>45199</v>
      </c>
      <c r="B35934" s="4" t="s">
        <v>45201</v>
      </c>
      <c r="C35934" s="5" t="str">
        <f>IFERROR(__xludf.DUMMYFUNCTION("GOOGLETRANSLATE(B35934,""en"",""es-ES"")"),"Primero da una pequeña charla sobre su bicicleta.")</f>
        <v>Primero da una pequeña charla sobre su bicicleta.</v>
      </c>
    </row>
    <row r="35935">
      <c r="A35935" s="4" t="s">
        <v>45199</v>
      </c>
      <c r="B35935" s="4" t="s">
        <v>45202</v>
      </c>
      <c r="C35935" s="5" t="str">
        <f>IFERROR(__xludf.DUMMYFUNCTION("GOOGLETRANSLATE(B35935,""en"",""es-ES"")"),"Luego conduce su bicicleta en la pista.")</f>
        <v>Luego conduce su bicicleta en la pista.</v>
      </c>
    </row>
    <row r="35936">
      <c r="A35936" s="4" t="s">
        <v>45199</v>
      </c>
      <c r="B35936" s="4" t="s">
        <v>45203</v>
      </c>
      <c r="C35936" s="5" t="str">
        <f>IFERROR(__xludf.DUMMYFUNCTION("GOOGLETRANSLATE(B35936,""en"",""es-ES"")"),"Luego hace demostraciones rápidas sobre cómo se mueve su bicicleta y cómo se sienta.")</f>
        <v>Luego hace demostraciones rápidas sobre cómo se mueve su bicicleta y cómo se sienta.</v>
      </c>
    </row>
    <row r="35937">
      <c r="A35937" s="4" t="s">
        <v>45199</v>
      </c>
      <c r="B35937" s="4" t="s">
        <v>45204</v>
      </c>
      <c r="C35937" s="5" t="str">
        <f>IFERROR(__xludf.DUMMYFUNCTION("GOOGLETRANSLATE(B35937,""en"",""es-ES"")"),"Luego habla más sobre su bicicleta mientras está sentado en su bicicleta.")</f>
        <v>Luego habla más sobre su bicicleta mientras está sentado en su bicicleta.</v>
      </c>
    </row>
    <row r="35938">
      <c r="A35938" s="4" t="s">
        <v>45199</v>
      </c>
      <c r="B35938" s="4" t="s">
        <v>45205</v>
      </c>
      <c r="C35938" s="5" t="str">
        <f>IFERROR(__xludf.DUMMYFUNCTION("GOOGLETRANSLATE(B35938,""en"",""es-ES"")"),"Luego conduce alrededor de una pista de tierra plana mientras corta varias veces a sus charlas describiendo sus técnicas.")</f>
        <v>Luego conduce alrededor de una pista de tierra plana mientras corta varias veces a sus charlas describiendo sus técnicas.</v>
      </c>
    </row>
    <row r="35939">
      <c r="A35939" s="4" t="s">
        <v>45199</v>
      </c>
      <c r="B35939" s="4" t="s">
        <v>45206</v>
      </c>
      <c r="C35939" s="5" t="str">
        <f>IFERROR(__xludf.DUMMYFUNCTION("GOOGLETRANSLATE(B35939,""en"",""es-ES"")"),"Él termina hablando de su bicicleta un poco más.")</f>
        <v>Él termina hablando de su bicicleta un poco más.</v>
      </c>
    </row>
    <row r="35940">
      <c r="A35940" s="4" t="s">
        <v>45207</v>
      </c>
      <c r="B35940" s="4" t="s">
        <v>45208</v>
      </c>
      <c r="C35940" s="5" t="str">
        <f>IFERROR(__xludf.DUMMYFUNCTION("GOOGLETRANSLATE(B35940,""en"",""es-ES"")"),"Un nadador se pone un par de gafas preparándose.")</f>
        <v>Un nadador se pone un par de gafas preparándose.</v>
      </c>
    </row>
    <row r="35941">
      <c r="A35941" s="4" t="s">
        <v>45207</v>
      </c>
      <c r="B35941" s="4" t="s">
        <v>45209</v>
      </c>
      <c r="C35941" s="5" t="str">
        <f>IFERROR(__xludf.DUMMYFUNCTION("GOOGLETRANSLATE(B35941,""en"",""es-ES"")"),"El nadador tira de un músculo en la piscina y salta a la cubierta de la piscina y se extiende por la pierna.")</f>
        <v>El nadador tira de un músculo en la piscina y salta a la cubierta de la piscina y se extiende por la pierna.</v>
      </c>
    </row>
    <row r="35942">
      <c r="A35942" s="4" t="s">
        <v>45207</v>
      </c>
      <c r="B35942" s="4" t="s">
        <v>45210</v>
      </c>
      <c r="C35942" s="5" t="str">
        <f>IFERROR(__xludf.DUMMYFUNCTION("GOOGLETRANSLATE(B35942,""en"",""es-ES"")"),"Un nadador sale de un tablero hacia el agua con un chapoteo.")</f>
        <v>Un nadador sale de un tablero hacia el agua con un chapoteo.</v>
      </c>
    </row>
    <row r="35943">
      <c r="A35943" s="4" t="s">
        <v>45207</v>
      </c>
      <c r="B35943" s="4" t="s">
        <v>45211</v>
      </c>
      <c r="C35943" s="5" t="str">
        <f>IFERROR(__xludf.DUMMYFUNCTION("GOOGLETRANSLATE(B35943,""en"",""es-ES"")"),"El atleta nada en un carril y se tira junto con la línea flotante.")</f>
        <v>El atleta nada en un carril y se tira junto con la línea flotante.</v>
      </c>
    </row>
    <row r="35944">
      <c r="A35944" s="4" t="s">
        <v>45207</v>
      </c>
      <c r="B35944" s="4" t="s">
        <v>45212</v>
      </c>
      <c r="C35944" s="5" t="str">
        <f>IFERROR(__xludf.DUMMYFUNCTION("GOOGLETRANSLATE(B35944,""en"",""es-ES"")"),"El nadador nada bajo el agua y empuja del piso de la piscina.")</f>
        <v>El nadador nada bajo el agua y empuja del piso de la piscina.</v>
      </c>
    </row>
    <row r="35945">
      <c r="A35945" s="4" t="s">
        <v>45207</v>
      </c>
      <c r="B35945" s="4" t="s">
        <v>45213</v>
      </c>
      <c r="C35945" s="5" t="str">
        <f>IFERROR(__xludf.DUMMYFUNCTION("GOOGLETRANSLATE(B35945,""en"",""es-ES"")"),"El nadador hace un golpe de mariposa en el carril de la piscina.")</f>
        <v>El nadador hace un golpe de mariposa en el carril de la piscina.</v>
      </c>
    </row>
    <row r="35946">
      <c r="A35946" s="4" t="s">
        <v>45214</v>
      </c>
      <c r="B35946" s="4" t="s">
        <v>45215</v>
      </c>
      <c r="C35946" s="5" t="str">
        <f>IFERROR(__xludf.DUMMYFUNCTION("GOOGLETRANSLATE(B35946,""en"",""es-ES"")"),"Una gimnasta salta a un caballo de golpes.")</f>
        <v>Una gimnasta salta a un caballo de golpes.</v>
      </c>
    </row>
    <row r="35947">
      <c r="A35947" s="4" t="s">
        <v>45214</v>
      </c>
      <c r="B35947" s="4" t="s">
        <v>45216</v>
      </c>
      <c r="C35947" s="5" t="str">
        <f>IFERROR(__xludf.DUMMYFUNCTION("GOOGLETRANSLATE(B35947,""en"",""es-ES"")"),"El gimnasta realiza muchos giros alrededor del caballo mientras se sostiene en las dos barras en el caballo de Pummel.")</f>
        <v>El gimnasta realiza muchos giros alrededor del caballo mientras se sostiene en las dos barras en el caballo de Pummel.</v>
      </c>
    </row>
    <row r="35948">
      <c r="A35948" s="4" t="s">
        <v>45214</v>
      </c>
      <c r="B35948" s="4" t="s">
        <v>45217</v>
      </c>
      <c r="C35948" s="5" t="str">
        <f>IFERROR(__xludf.DUMMYFUNCTION("GOOGLETRANSLATE(B35948,""en"",""es-ES"")"),"Un par de jueces observan.")</f>
        <v>Un par de jueces observan.</v>
      </c>
    </row>
    <row r="35949">
      <c r="A35949" s="4" t="s">
        <v>45214</v>
      </c>
      <c r="B35949" s="4" t="s">
        <v>45218</v>
      </c>
      <c r="C35949" s="5" t="str">
        <f>IFERROR(__xludf.DUMMYFUNCTION("GOOGLETRANSLATE(B35949,""en"",""es-ES"")"),"La gimnasta salta del caballo de Pummel.")</f>
        <v>La gimnasta salta del caballo de Pummel.</v>
      </c>
    </row>
    <row r="35950">
      <c r="A35950" s="4" t="s">
        <v>45219</v>
      </c>
      <c r="B35950" s="4" t="s">
        <v>45220</v>
      </c>
      <c r="C35950" s="5" t="str">
        <f>IFERROR(__xludf.DUMMYFUNCTION("GOOGLETRANSLATE(B35950,""en"",""es-ES"")"),"Se ve a una gimnasta saltando sobre un conjunto de barras desiguales y realiza una rutina de gimnasia frente a una gran multitud.")</f>
        <v>Se ve a una gimnasta saltando sobre un conjunto de barras desiguales y realiza una rutina de gimnasia frente a una gran multitud.</v>
      </c>
    </row>
    <row r="35951">
      <c r="A35951" s="4" t="s">
        <v>45219</v>
      </c>
      <c r="B35951" s="4" t="s">
        <v>45221</v>
      </c>
      <c r="C35951" s="5" t="str">
        <f>IFERROR(__xludf.DUMMYFUNCTION("GOOGLETRANSLATE(B35951,""en"",""es-ES"")"),"El hombre voltea las vigas y termina con él saltando con los brazos hacia arriba y saludando a la multitud.")</f>
        <v>El hombre voltea las vigas y termina con él saltando con los brazos hacia arriba y saludando a la multitud.</v>
      </c>
    </row>
    <row r="35952">
      <c r="A35952" s="4" t="s">
        <v>45222</v>
      </c>
      <c r="B35952" s="4" t="s">
        <v>45223</v>
      </c>
      <c r="C35952" s="5" t="str">
        <f>IFERROR(__xludf.DUMMYFUNCTION("GOOGLETRANSLATE(B35952,""en"",""es-ES"")"),"Se ve a una mujer que lleva un sombrero sentada detrás de un gran juego de tambores de bongo.")</f>
        <v>Se ve a una mujer que lleva un sombrero sentada detrás de un gran juego de tambores de bongo.</v>
      </c>
    </row>
    <row r="35953">
      <c r="A35953" s="4" t="s">
        <v>45222</v>
      </c>
      <c r="B35953" s="4" t="s">
        <v>45224</v>
      </c>
      <c r="C35953" s="5" t="str">
        <f>IFERROR(__xludf.DUMMYFUNCTION("GOOGLETRANSLATE(B35953,""en"",""es-ES"")"),"La mujer toca en la batería continuamente.")</f>
        <v>La mujer toca en la batería continuamente.</v>
      </c>
    </row>
    <row r="35954">
      <c r="A35954" s="4" t="s">
        <v>45222</v>
      </c>
      <c r="B35954" s="4" t="s">
        <v>45225</v>
      </c>
      <c r="C35954" s="5" t="str">
        <f>IFERROR(__xludf.DUMMYFUNCTION("GOOGLETRANSLATE(B35954,""en"",""es-ES"")"),"La mujer continúa golpeando la batería y termina señalando la cámara y de pie.")</f>
        <v>La mujer continúa golpeando la batería y termina señalando la cámara y de pie.</v>
      </c>
    </row>
    <row r="35955">
      <c r="A35955" s="4" t="s">
        <v>45226</v>
      </c>
      <c r="B35955" s="4" t="s">
        <v>45227</v>
      </c>
      <c r="C35955" s="5" t="str">
        <f>IFERROR(__xludf.DUMMYFUNCTION("GOOGLETRANSLATE(B35955,""en"",""es-ES"")"),"Una niña atraviesa un juego de barras de mono.")</f>
        <v>Una niña atraviesa un juego de barras de mono.</v>
      </c>
    </row>
    <row r="35956">
      <c r="A35956" s="4" t="s">
        <v>45226</v>
      </c>
      <c r="B35956" s="4" t="s">
        <v>45228</v>
      </c>
      <c r="C35956" s="5" t="str">
        <f>IFERROR(__xludf.DUMMYFUNCTION("GOOGLETRANSLATE(B35956,""en"",""es-ES"")"),"Ella llega al final y se encuentra en una tabla de madera.")</f>
        <v>Ella llega al final y se encuentra en una tabla de madera.</v>
      </c>
    </row>
    <row r="35957">
      <c r="A35957" s="4" t="s">
        <v>45226</v>
      </c>
      <c r="B35957" s="4" t="s">
        <v>45229</v>
      </c>
      <c r="C35957" s="5" t="str">
        <f>IFERROR(__xludf.DUMMYFUNCTION("GOOGLETRANSLATE(B35957,""en"",""es-ES"")"),"Luego regresa a través de las barras de mono en la otra dirección.")</f>
        <v>Luego regresa a través de las barras de mono en la otra dirección.</v>
      </c>
    </row>
    <row r="35958">
      <c r="A35958" s="4" t="s">
        <v>45226</v>
      </c>
      <c r="B35958" s="4" t="s">
        <v>45230</v>
      </c>
      <c r="C35958" s="5" t="str">
        <f>IFERROR(__xludf.DUMMYFUNCTION("GOOGLETRANSLATE(B35958,""en"",""es-ES"")"),"Ella va a otra parte del patio de recreo y salta arriba y abajo.")</f>
        <v>Ella va a otra parte del patio de recreo y salta arriba y abajo.</v>
      </c>
    </row>
    <row r="35959">
      <c r="A35959" s="4" t="s">
        <v>45231</v>
      </c>
      <c r="B35959" s="4" t="s">
        <v>45232</v>
      </c>
      <c r="C35959" s="5" t="str">
        <f>IFERROR(__xludf.DUMMYFUNCTION("GOOGLETRANSLATE(B35959,""en"",""es-ES"")"),"El hombre está frente a un cajero automático y toma algo de dinero, y ve a hablar con algunos hombres en una habitación llena de gente.")</f>
        <v>El hombre está frente a un cajero automático y toma algo de dinero, y ve a hablar con algunos hombres en una habitación llena de gente.</v>
      </c>
    </row>
    <row r="35960">
      <c r="A35960" s="4" t="s">
        <v>45231</v>
      </c>
      <c r="B35960" s="4" t="s">
        <v>45233</v>
      </c>
      <c r="C35960" s="5" t="str">
        <f>IFERROR(__xludf.DUMMYFUNCTION("GOOGLETRANSLATE(B35960,""en"",""es-ES"")"),"Los hombres están en una mesa de blackjack y juegan en un casino y hablan entre ellos mientras la gente mira el juego y camina por la mesa.")</f>
        <v>Los hombres están en una mesa de blackjack y juegan en un casino y hablan entre ellos mientras la gente mira el juego y camina por la mesa.</v>
      </c>
    </row>
    <row r="35961">
      <c r="A35961" s="4" t="s">
        <v>45231</v>
      </c>
      <c r="B35961" s="4" t="s">
        <v>45234</v>
      </c>
      <c r="C35961" s="5" t="str">
        <f>IFERROR(__xludf.DUMMYFUNCTION("GOOGLETRANSLATE(B35961,""en"",""es-ES"")"),"Tratar es difundir las cartas y los hombres encienden un tabaco.")</f>
        <v>Tratar es difundir las cartas y los hombres encienden un tabaco.</v>
      </c>
    </row>
    <row r="35962">
      <c r="A35962" s="4" t="s">
        <v>45235</v>
      </c>
      <c r="B35962" s="4" t="s">
        <v>45236</v>
      </c>
      <c r="C35962" s="5" t="str">
        <f>IFERROR(__xludf.DUMMYFUNCTION("GOOGLETRANSLATE(B35962,""en"",""es-ES"")"),"Una mujer lava una olla con agua jabonosa mientras está de espaldas a la cámara en el fregadero de la cocina.")</f>
        <v>Una mujer lava una olla con agua jabonosa mientras está de espaldas a la cámara en el fregadero de la cocina.</v>
      </c>
    </row>
    <row r="35963">
      <c r="A35963" s="4" t="s">
        <v>45235</v>
      </c>
      <c r="B35963" s="4" t="s">
        <v>45237</v>
      </c>
      <c r="C35963" s="5" t="str">
        <f>IFERROR(__xludf.DUMMYFUNCTION("GOOGLETRANSLATE(B35963,""en"",""es-ES"")"),"La mujer se da vuelta y habla con la cámara mientras lava la olla y sonríe un poco mientras la cámara captura temblorosa la actividad.")</f>
        <v>La mujer se da vuelta y habla con la cámara mientras lava la olla y sonríe un poco mientras la cámara captura temblorosa la actividad.</v>
      </c>
    </row>
    <row r="35964">
      <c r="A35964" s="4" t="s">
        <v>45235</v>
      </c>
      <c r="B35964" s="4" t="s">
        <v>45238</v>
      </c>
      <c r="C35964" s="5" t="str">
        <f>IFERROR(__xludf.DUMMYFUNCTION("GOOGLETRANSLATE(B35964,""en"",""es-ES"")"),"La mujer enjuague la olla y luego se gira y la sostiene en el aire, goteando agua, haciendo una cara aterradora, como si fuera a atacar al camarógrafo con ella, pero luego se aleja del camarógrafo y hacia el fregadero encimera.")</f>
        <v>La mujer enjuague la olla y luego se gira y la sostiene en el aire, goteando agua, haciendo una cara aterradora, como si fuera a atacar al camarógrafo con ella, pero luego se aleja del camarógrafo y hacia el fregadero encimera.</v>
      </c>
    </row>
    <row r="35965">
      <c r="A35965" s="4" t="s">
        <v>45239</v>
      </c>
      <c r="B35965" s="4" t="s">
        <v>45240</v>
      </c>
      <c r="C35965" s="5" t="str">
        <f>IFERROR(__xludf.DUMMYFUNCTION("GOOGLETRANSLATE(B35965,""en"",""es-ES"")"),"Dos personas están pintando en la habitación y están redecorando.")</f>
        <v>Dos personas están pintando en la habitación y están redecorando.</v>
      </c>
    </row>
    <row r="35966">
      <c r="A35966" s="4" t="s">
        <v>45239</v>
      </c>
      <c r="B35966" s="4" t="s">
        <v>45241</v>
      </c>
      <c r="C35966" s="5" t="str">
        <f>IFERROR(__xludf.DUMMYFUNCTION("GOOGLETRANSLATE(B35966,""en"",""es-ES"")"),"Dos hombres se alternan subiendo y bajando sobre una escalera que pone pasta en la pared para el papel de la pared.")</f>
        <v>Dos hombres se alternan subiendo y bajando sobre una escalera que pone pasta en la pared para el papel de la pared.</v>
      </c>
    </row>
    <row r="35967">
      <c r="A35967" s="4" t="s">
        <v>45239</v>
      </c>
      <c r="B35967" s="4" t="s">
        <v>45242</v>
      </c>
      <c r="C35967" s="5" t="str">
        <f>IFERROR(__xludf.DUMMYFUNCTION("GOOGLETRANSLATE(B35967,""en"",""es-ES"")"),"Estas acciones continúan teniendo lugar hasta que toda la pared esté cubierta de papel de pared blanco con grandes flores azules sobre ellas mientras una niña se sienta detrás de una fila de libros.")</f>
        <v>Estas acciones continúan teniendo lugar hasta que toda la pared esté cubierta de papel de pared blanco con grandes flores azules sobre ellas mientras una niña se sienta detrás de una fila de libros.</v>
      </c>
    </row>
    <row r="35968">
      <c r="A35968" s="4" t="s">
        <v>45243</v>
      </c>
      <c r="B35968" s="4" t="s">
        <v>45244</v>
      </c>
      <c r="C35968" s="5" t="str">
        <f>IFERROR(__xludf.DUMMYFUNCTION("GOOGLETRANSLATE(B35968,""en"",""es-ES"")"),"Una mujer con una camisa roja está de pie en una habitación.")</f>
        <v>Una mujer con una camisa roja está de pie en una habitación.</v>
      </c>
    </row>
    <row r="35969">
      <c r="A35969" s="4" t="s">
        <v>45243</v>
      </c>
      <c r="B35969" s="4" t="s">
        <v>45245</v>
      </c>
      <c r="C35969" s="5" t="str">
        <f>IFERROR(__xludf.DUMMYFUNCTION("GOOGLETRANSLATE(B35969,""en"",""es-ES"")"),"Ella comienza a hacer ejercicio en una alfombra azul.")</f>
        <v>Ella comienza a hacer ejercicio en una alfombra azul.</v>
      </c>
    </row>
    <row r="35970">
      <c r="A35970" s="4" t="s">
        <v>45243</v>
      </c>
      <c r="B35970" s="4" t="s">
        <v>45246</v>
      </c>
      <c r="C35970" s="5" t="str">
        <f>IFERROR(__xludf.DUMMYFUNCTION("GOOGLETRANSLATE(B35970,""en"",""es-ES"")"),"Ella se detiene y habla con la cámara.")</f>
        <v>Ella se detiene y habla con la cámara.</v>
      </c>
    </row>
    <row r="35971">
      <c r="A35971" s="4" t="s">
        <v>45247</v>
      </c>
      <c r="B35971" s="4" t="s">
        <v>45248</v>
      </c>
      <c r="C35971" s="5" t="str">
        <f>IFERROR(__xludf.DUMMYFUNCTION("GOOGLETRANSLATE(B35971,""en"",""es-ES"")"),"Una gimnasta se extiende y sube a un conjunto de barras dobles paralelas.")</f>
        <v>Una gimnasta se extiende y sube a un conjunto de barras dobles paralelas.</v>
      </c>
    </row>
    <row r="35972">
      <c r="A35972" s="4" t="s">
        <v>45247</v>
      </c>
      <c r="B35972" s="4" t="s">
        <v>45249</v>
      </c>
      <c r="C35972" s="5" t="str">
        <f>IFERROR(__xludf.DUMMYFUNCTION("GOOGLETRANSLATE(B35972,""en"",""es-ES"")"),"La gimnasta hace una rutina en una competencia en las barras dobles con volteos y giros.")</f>
        <v>La gimnasta hace una rutina en una competencia en las barras dobles con volteos y giros.</v>
      </c>
    </row>
    <row r="35973">
      <c r="A35973" s="4" t="s">
        <v>45247</v>
      </c>
      <c r="B35973" s="4" t="s">
        <v>45250</v>
      </c>
      <c r="C35973" s="5" t="str">
        <f>IFERROR(__xludf.DUMMYFUNCTION("GOOGLETRANSLATE(B35973,""en"",""es-ES"")"),"La gimnasta desmonta del equipo y aterriza en el tapete.")</f>
        <v>La gimnasta desmonta del equipo y aterriza en el tapete.</v>
      </c>
    </row>
    <row r="35974">
      <c r="A35974" s="4" t="s">
        <v>45251</v>
      </c>
      <c r="B35974" s="4" t="s">
        <v>1251</v>
      </c>
      <c r="C35974" s="5" t="str">
        <f>IFERROR(__xludf.DUMMYFUNCTION("GOOGLETRANSLATE(B35974,""en"",""es-ES"")"),"Se muestran los créditos del clip.")</f>
        <v>Se muestran los créditos del clip.</v>
      </c>
    </row>
    <row r="35975">
      <c r="A35975" s="4" t="s">
        <v>45251</v>
      </c>
      <c r="B35975" s="4" t="s">
        <v>45252</v>
      </c>
      <c r="C35975" s="5" t="str">
        <f>IFERROR(__xludf.DUMMYFUNCTION("GOOGLETRANSLATE(B35975,""en"",""es-ES"")"),"Un chico está media rodilla en el piso de un gimnasio.")</f>
        <v>Un chico está media rodilla en el piso de un gimnasio.</v>
      </c>
    </row>
    <row r="35976">
      <c r="A35976" s="4" t="s">
        <v>45251</v>
      </c>
      <c r="B35976" s="4" t="s">
        <v>45253</v>
      </c>
      <c r="C35976" s="5" t="str">
        <f>IFERROR(__xludf.DUMMYFUNCTION("GOOGLETRANSLATE(B35976,""en"",""es-ES"")"),"El tipo comienza a presionar un peso en una mano.")</f>
        <v>El tipo comienza a presionar un peso en una mano.</v>
      </c>
    </row>
    <row r="35977">
      <c r="A35977" s="4" t="s">
        <v>45254</v>
      </c>
      <c r="B35977" s="4" t="s">
        <v>45255</v>
      </c>
      <c r="C35977" s="5" t="str">
        <f>IFERROR(__xludf.DUMMYFUNCTION("GOOGLETRANSLATE(B35977,""en"",""es-ES"")"),"Hay varios hombres jugando tira y afloja en un terreno arenoso rodeado de montañas.")</f>
        <v>Hay varios hombres jugando tira y afloja en un terreno arenoso rodeado de montañas.</v>
      </c>
    </row>
    <row r="35978">
      <c r="A35978" s="4" t="s">
        <v>45254</v>
      </c>
      <c r="B35978" s="4" t="s">
        <v>45256</v>
      </c>
      <c r="C35978" s="5" t="str">
        <f>IFERROR(__xludf.DUMMYFUNCTION("GOOGLETRANSLATE(B35978,""en"",""es-ES"")"),"Continúan tirando de la cuerda con fuerza.")</f>
        <v>Continúan tirando de la cuerda con fuerza.</v>
      </c>
    </row>
    <row r="35979">
      <c r="A35979" s="4" t="s">
        <v>45254</v>
      </c>
      <c r="B35979" s="4" t="s">
        <v>45257</v>
      </c>
      <c r="C35979" s="5" t="str">
        <f>IFERROR(__xludf.DUMMYFUNCTION("GOOGLETRANSLATE(B35979,""en"",""es-ES"")"),"Varios espectadores los están mirando y animándolos mientras continúan jugando.")</f>
        <v>Varios espectadores los están mirando y animándolos mientras continúan jugando.</v>
      </c>
    </row>
    <row r="35980">
      <c r="A35980" s="4" t="s">
        <v>45254</v>
      </c>
      <c r="B35980" s="4" t="s">
        <v>45258</v>
      </c>
      <c r="C35980" s="5" t="str">
        <f>IFERROR(__xludf.DUMMYFUNCTION("GOOGLETRANSLATE(B35980,""en"",""es-ES"")"),"Los jugadores continúan tirando de la cuerda con concentración.")</f>
        <v>Los jugadores continúan tirando de la cuerda con concentración.</v>
      </c>
    </row>
    <row r="35981">
      <c r="A35981" s="4" t="s">
        <v>45254</v>
      </c>
      <c r="B35981" s="4" t="s">
        <v>45259</v>
      </c>
      <c r="C35981" s="5" t="str">
        <f>IFERROR(__xludf.DUMMYFUNCTION("GOOGLETRANSLATE(B35981,""en"",""es-ES"")"),"Finalmente, el equipo victorioso levanta las manos y anima y baila en círculo.")</f>
        <v>Finalmente, el equipo victorioso levanta las manos y anima y baila en círculo.</v>
      </c>
    </row>
    <row r="35982">
      <c r="A35982" s="4" t="s">
        <v>45260</v>
      </c>
      <c r="B35982" s="4" t="s">
        <v>45261</v>
      </c>
      <c r="C35982" s="5" t="str">
        <f>IFERROR(__xludf.DUMMYFUNCTION("GOOGLETRANSLATE(B35982,""en"",""es-ES"")"),"Una joven mujer preadolescente está parada en la esquina de una habitación hablando.")</f>
        <v>Una joven mujer preadolescente está parada en la esquina de una habitación hablando.</v>
      </c>
    </row>
    <row r="35983">
      <c r="A35983" s="4" t="s">
        <v>45260</v>
      </c>
      <c r="B35983" s="4" t="s">
        <v>45262</v>
      </c>
      <c r="C35983" s="5" t="str">
        <f>IFERROR(__xludf.DUMMYFUNCTION("GOOGLETRANSLATE(B35983,""en"",""es-ES"")"),"La niña se muestra en un leotardo brillante dentro de un gimnasio.")</f>
        <v>La niña se muestra en un leotardo brillante dentro de un gimnasio.</v>
      </c>
    </row>
    <row r="35984">
      <c r="A35984" s="4" t="s">
        <v>45260</v>
      </c>
      <c r="B35984" s="4" t="s">
        <v>45263</v>
      </c>
      <c r="C35984" s="5" t="str">
        <f>IFERROR(__xludf.DUMMYFUNCTION("GOOGLETRANSLATE(B35984,""en"",""es-ES"")"),"Después, ella salta a la viga de equilibrio y comienza a hacer trucos antes de que salga del rayo de equilibrio.")</f>
        <v>Después, ella salta a la viga de equilibrio y comienza a hacer trucos antes de que salga del rayo de equilibrio.</v>
      </c>
    </row>
    <row r="35985">
      <c r="A35985" s="4" t="s">
        <v>45260</v>
      </c>
      <c r="B35985" s="4" t="s">
        <v>45264</v>
      </c>
      <c r="C35985" s="5" t="str">
        <f>IFERROR(__xludf.DUMMYFUNCTION("GOOGLETRANSLATE(B35985,""en"",""es-ES"")"),"Luego se retira de regreso a la cámara, dice algunas palabras breves y adiós.")</f>
        <v>Luego se retira de regreso a la cámara, dice algunas palabras breves y adiós.</v>
      </c>
    </row>
    <row r="35986">
      <c r="A35986" s="4" t="s">
        <v>45265</v>
      </c>
      <c r="B35986" s="4" t="s">
        <v>45266</v>
      </c>
      <c r="C35986" s="5" t="str">
        <f>IFERROR(__xludf.DUMMYFUNCTION("GOOGLETRANSLATE(B35986,""en"",""es-ES"")"),"La gente juega con ShuffleBoard en interiores y al aire libre.")</f>
        <v>La gente juega con ShuffleBoard en interiores y al aire libre.</v>
      </c>
    </row>
    <row r="35987">
      <c r="A35987" s="4" t="s">
        <v>45265</v>
      </c>
      <c r="B35987" s="4" t="s">
        <v>45267</v>
      </c>
      <c r="C35987" s="5" t="str">
        <f>IFERROR(__xludf.DUMMYFUNCTION("GOOGLETRANSLATE(B35987,""en"",""es-ES"")"),"Una persona observa cuando la gente toca ShuffleBoard en la calle.")</f>
        <v>Una persona observa cuando la gente toca ShuffleBoard en la calle.</v>
      </c>
    </row>
    <row r="35988">
      <c r="A35988" s="4" t="s">
        <v>45265</v>
      </c>
      <c r="B35988" s="4" t="s">
        <v>45268</v>
      </c>
      <c r="C35988" s="5" t="str">
        <f>IFERROR(__xludf.DUMMYFUNCTION("GOOGLETRANSLATE(B35988,""en"",""es-ES"")"),"Un par de personas mayores juegan al aire libre.")</f>
        <v>Un par de personas mayores juegan al aire libre.</v>
      </c>
    </row>
    <row r="35989">
      <c r="A35989" s="4" t="s">
        <v>45265</v>
      </c>
      <c r="B35989" s="4" t="s">
        <v>45269</v>
      </c>
      <c r="C35989" s="5" t="str">
        <f>IFERROR(__xludf.DUMMYFUNCTION("GOOGLETRANSLATE(B35989,""en"",""es-ES"")"),"Otras personas juegan a ShuffleBoard empujando las bolas en el triángulo.")</f>
        <v>Otras personas juegan a ShuffleBoard empujando las bolas en el triángulo.</v>
      </c>
    </row>
    <row r="35990">
      <c r="A35990" s="4" t="s">
        <v>45270</v>
      </c>
      <c r="B35990" s="4" t="s">
        <v>45271</v>
      </c>
      <c r="C35990" s="5" t="str">
        <f>IFERROR(__xludf.DUMMYFUNCTION("GOOGLETRANSLATE(B35990,""en"",""es-ES"")"),"Un hombre demuestra cómo lavar al cuerpo debajo de un automóvil.")</f>
        <v>Un hombre demuestra cómo lavar al cuerpo debajo de un automóvil.</v>
      </c>
    </row>
    <row r="35991">
      <c r="A35991" s="4" t="s">
        <v>45270</v>
      </c>
      <c r="B35991" s="4" t="s">
        <v>45272</v>
      </c>
      <c r="C35991" s="5" t="str">
        <f>IFERROR(__xludf.DUMMYFUNCTION("GOOGLETRANSLATE(B35991,""en"",""es-ES"")"),"Se muestra un automóvil pasando por un lavado comercial.")</f>
        <v>Se muestra un automóvil pasando por un lavado comercial.</v>
      </c>
    </row>
    <row r="35992">
      <c r="A35992" s="4" t="s">
        <v>45270</v>
      </c>
      <c r="B35992" s="4" t="s">
        <v>45273</v>
      </c>
      <c r="C35992" s="5" t="str">
        <f>IFERROR(__xludf.DUMMYFUNCTION("GOOGLETRANSLATE(B35992,""en"",""es-ES"")"),"Anuncian su experiencia en lavar automóviles.")</f>
        <v>Anuncian su experiencia en lavar automóviles.</v>
      </c>
    </row>
    <row r="35993">
      <c r="A35993" s="4" t="s">
        <v>45274</v>
      </c>
      <c r="B35993" s="4" t="s">
        <v>45275</v>
      </c>
      <c r="C35993" s="5" t="str">
        <f>IFERROR(__xludf.DUMMYFUNCTION("GOOGLETRANSLATE(B35993,""en"",""es-ES"")"),"Una anciana habla en una tienda de disfraces.")</f>
        <v>Una anciana habla en una tienda de disfraces.</v>
      </c>
    </row>
    <row r="35994">
      <c r="A35994" s="4" t="s">
        <v>45274</v>
      </c>
      <c r="B35994" s="4" t="s">
        <v>45276</v>
      </c>
      <c r="C35994" s="5" t="str">
        <f>IFERROR(__xludf.DUMMYFUNCTION("GOOGLETRANSLATE(B35994,""en"",""es-ES"")"),"Luego pone una prenda en la tabla de hierro, rocía agua y plancha el collar.")</f>
        <v>Luego pone una prenda en la tabla de hierro, rocía agua y plancha el collar.</v>
      </c>
    </row>
    <row r="35995">
      <c r="A35995" s="4" t="s">
        <v>45274</v>
      </c>
      <c r="B35995" s="4" t="s">
        <v>45277</v>
      </c>
      <c r="C35995" s="5" t="str">
        <f>IFERROR(__xludf.DUMMYFUNCTION("GOOGLETRANSLATE(B35995,""en"",""es-ES"")"),"Después, la mujer raya las mangas de la prenda y la parte del cuerpo.")</f>
        <v>Después, la mujer raya las mangas de la prenda y la parte del cuerpo.</v>
      </c>
    </row>
    <row r="35996">
      <c r="A35996" s="4" t="s">
        <v>45274</v>
      </c>
      <c r="B35996" s="4" t="s">
        <v>45278</v>
      </c>
      <c r="C35996" s="5" t="str">
        <f>IFERROR(__xludf.DUMMYFUNCTION("GOOGLETRANSLATE(B35996,""en"",""es-ES"")"),"Luego, la mujer muestra la prenda planchada.")</f>
        <v>Luego, la mujer muestra la prenda planchada.</v>
      </c>
    </row>
    <row r="35997">
      <c r="A35997" s="4" t="s">
        <v>45279</v>
      </c>
      <c r="B35997" s="4" t="s">
        <v>45280</v>
      </c>
      <c r="C35997" s="5" t="str">
        <f>IFERROR(__xludf.DUMMYFUNCTION("GOOGLETRANSLATE(B35997,""en"",""es-ES"")"),"Un hombre está colgando de papel tapiz en una pared.")</f>
        <v>Un hombre está colgando de papel tapiz en una pared.</v>
      </c>
    </row>
    <row r="35998">
      <c r="A35998" s="4" t="s">
        <v>45279</v>
      </c>
      <c r="B35998" s="4" t="s">
        <v>45281</v>
      </c>
      <c r="C35998" s="5" t="str">
        <f>IFERROR(__xludf.DUMMYFUNCTION("GOOGLETRANSLATE(B35998,""en"",""es-ES"")"),"Pega el lado pegajoso del papel de respaldo.")</f>
        <v>Pega el lado pegajoso del papel de respaldo.</v>
      </c>
    </row>
    <row r="35999">
      <c r="A35999" s="4" t="s">
        <v>45279</v>
      </c>
      <c r="B35999" s="4" t="s">
        <v>45282</v>
      </c>
      <c r="C35999" s="5" t="str">
        <f>IFERROR(__xludf.DUMMYFUNCTION("GOOGLETRANSLATE(B35999,""en"",""es-ES"")"),"Ahora está aplicando el lado pegajoso del papel a la pared.")</f>
        <v>Ahora está aplicando el lado pegajoso del papel a la pared.</v>
      </c>
    </row>
    <row r="36000">
      <c r="A36000" s="4" t="s">
        <v>45279</v>
      </c>
      <c r="B36000" s="4" t="s">
        <v>45283</v>
      </c>
      <c r="C36000" s="5" t="str">
        <f>IFERROR(__xludf.DUMMYFUNCTION("GOOGLETRANSLATE(B36000,""en"",""es-ES"")"),"Él repite esto varias veces más en diferentes partes de la pared.")</f>
        <v>Él repite esto varias veces más en diferentes partes de la pared.</v>
      </c>
    </row>
    <row r="36001">
      <c r="A36001" s="4" t="s">
        <v>45284</v>
      </c>
      <c r="B36001" s="4" t="s">
        <v>45285</v>
      </c>
      <c r="C36001" s="5" t="str">
        <f>IFERROR(__xludf.DUMMYFUNCTION("GOOGLETRANSLATE(B36001,""en"",""es-ES"")"),"Una mujer de noticias está hablando desde una sala de noticias.")</f>
        <v>Una mujer de noticias está hablando desde una sala de noticias.</v>
      </c>
    </row>
    <row r="36002">
      <c r="A36002" s="4" t="s">
        <v>45284</v>
      </c>
      <c r="B36002" s="4" t="s">
        <v>45286</v>
      </c>
      <c r="C36002" s="5" t="str">
        <f>IFERROR(__xludf.DUMMYFUNCTION("GOOGLETRANSLATE(B36002,""en"",""es-ES"")"),"Luego vemos videos de noticias de última hora en la pantalla.")</f>
        <v>Luego vemos videos de noticias de última hora en la pantalla.</v>
      </c>
    </row>
    <row r="36003">
      <c r="A36003" s="4" t="s">
        <v>45284</v>
      </c>
      <c r="B36003" s="4" t="s">
        <v>45287</v>
      </c>
      <c r="C36003" s="5" t="str">
        <f>IFERROR(__xludf.DUMMYFUNCTION("GOOGLETRANSLATE(B36003,""en"",""es-ES"")"),"Se muestra a una mujer bebiendo algún tipo de líquido en un desafío, y las mujeres se turnan para beber el líquido.")</f>
        <v>Se muestra a una mujer bebiendo algún tipo de líquido en un desafío, y las mujeres se turnan para beber el líquido.</v>
      </c>
    </row>
    <row r="36004">
      <c r="A36004" s="4" t="s">
        <v>45288</v>
      </c>
      <c r="B36004" s="4" t="s">
        <v>45289</v>
      </c>
      <c r="C36004" s="5" t="str">
        <f>IFERROR(__xludf.DUMMYFUNCTION("GOOGLETRANSLATE(B36004,""en"",""es-ES"")"),"Un hombre y una mujer vestida de parada negra y roja en el medio de una habitación rodeada de una gran cantidad de personas sentadas y mirándolas.")</f>
        <v>Un hombre y una mujer vestida de parada negra y roja en el medio de una habitación rodeada de una gran cantidad de personas sentadas y mirándolas.</v>
      </c>
    </row>
    <row r="36005">
      <c r="A36005" s="4" t="s">
        <v>45288</v>
      </c>
      <c r="B36005" s="4" t="s">
        <v>45290</v>
      </c>
      <c r="C36005" s="5" t="str">
        <f>IFERROR(__xludf.DUMMYFUNCTION("GOOGLETRANSLATE(B36005,""en"",""es-ES"")"),"Bailan y bailan trabajando muy bien juntos.")</f>
        <v>Bailan y bailan trabajando muy bien juntos.</v>
      </c>
    </row>
    <row r="36006">
      <c r="A36006" s="4" t="s">
        <v>45288</v>
      </c>
      <c r="B36006" s="4" t="s">
        <v>45291</v>
      </c>
      <c r="C36006" s="5" t="str">
        <f>IFERROR(__xludf.DUMMYFUNCTION("GOOGLETRANSLATE(B36006,""en"",""es-ES"")"),"Giran y giran e incluso hacen todo tipo de buenos movimientos juntos.")</f>
        <v>Giran y giran e incluso hacen todo tipo de buenos movimientos juntos.</v>
      </c>
    </row>
    <row r="36007">
      <c r="A36007" s="4" t="s">
        <v>45288</v>
      </c>
      <c r="B36007" s="4" t="s">
        <v>45292</v>
      </c>
      <c r="C36007" s="5" t="str">
        <f>IFERROR(__xludf.DUMMYFUNCTION("GOOGLETRANSLATE(B36007,""en"",""es-ES"")"),"El hombre se dobla y balancea a la hembra sobre su espalda, donde ella se voltea y termina el baile.")</f>
        <v>El hombre se dobla y balancea a la hembra sobre su espalda, donde ella se voltea y termina el baile.</v>
      </c>
    </row>
    <row r="36008">
      <c r="A36008" s="4" t="s">
        <v>45293</v>
      </c>
      <c r="B36008" s="4" t="s">
        <v>45294</v>
      </c>
      <c r="C36008" s="5" t="str">
        <f>IFERROR(__xludf.DUMMYFUNCTION("GOOGLETRANSLATE(B36008,""en"",""es-ES"")"),"Una chica está sentada hablando de la cámara.")</f>
        <v>Una chica está sentada hablando de la cámara.</v>
      </c>
    </row>
    <row r="36009">
      <c r="A36009" s="4" t="s">
        <v>45293</v>
      </c>
      <c r="B36009" s="4" t="s">
        <v>45295</v>
      </c>
      <c r="C36009" s="5" t="str">
        <f>IFERROR(__xludf.DUMMYFUNCTION("GOOGLETRANSLATE(B36009,""en"",""es-ES"")"),"La niña apunta la cámara al suelo.")</f>
        <v>La niña apunta la cámara al suelo.</v>
      </c>
    </row>
    <row r="36010">
      <c r="A36010" s="4" t="s">
        <v>45293</v>
      </c>
      <c r="B36010" s="4" t="s">
        <v>45296</v>
      </c>
      <c r="C36010" s="5" t="str">
        <f>IFERROR(__xludf.DUMMYFUNCTION("GOOGLETRANSLATE(B36010,""en"",""es-ES"")"),"Se ve una mano de media manicura de otra chica en el piso.")</f>
        <v>Se ve una mano de media manicura de otra chica en el piso.</v>
      </c>
    </row>
    <row r="36011">
      <c r="A36011" s="4" t="s">
        <v>45293</v>
      </c>
      <c r="B36011" s="4" t="s">
        <v>45297</v>
      </c>
      <c r="C36011" s="5" t="str">
        <f>IFERROR(__xludf.DUMMYFUNCTION("GOOGLETRANSLATE(B36011,""en"",""es-ES"")"),"La primera niña procede a pulir las uñas de la segunda niña.")</f>
        <v>La primera niña procede a pulir las uñas de la segunda niña.</v>
      </c>
    </row>
    <row r="36012">
      <c r="A36012" s="4" t="s">
        <v>45298</v>
      </c>
      <c r="B36012" s="4" t="s">
        <v>45299</v>
      </c>
      <c r="C36012" s="5" t="str">
        <f>IFERROR(__xludf.DUMMYFUNCTION("GOOGLETRANSLATE(B36012,""en"",""es-ES"")"),"Una animadora actúa gentilmente usando una barra que gira en su mano derecha.")</f>
        <v>Una animadora actúa gentilmente usando una barra que gira en su mano derecha.</v>
      </c>
    </row>
    <row r="36013">
      <c r="A36013" s="4" t="s">
        <v>45298</v>
      </c>
      <c r="B36013" s="4" t="s">
        <v>45300</v>
      </c>
      <c r="C36013" s="5" t="str">
        <f>IFERROR(__xludf.DUMMYFUNCTION("GOOGLETRANSLATE(B36013,""en"",""es-ES"")"),"Luego, toma otra barra para actuar y gira al mismo tiempo las varillas.")</f>
        <v>Luego, toma otra barra para actuar y gira al mismo tiempo las varillas.</v>
      </c>
    </row>
    <row r="36014">
      <c r="A36014" s="4" t="s">
        <v>45298</v>
      </c>
      <c r="B36014" s="4" t="s">
        <v>45301</v>
      </c>
      <c r="C36014" s="5" t="str">
        <f>IFERROR(__xludf.DUMMYFUNCTION("GOOGLETRANSLATE(B36014,""en"",""es-ES"")"),"Después, la animadora puso una caña en el piso y continúa actuando solo con una barra.")</f>
        <v>Después, la animadora puso una caña en el piso y continúa actuando solo con una barra.</v>
      </c>
    </row>
    <row r="36015">
      <c r="A36015" s="4" t="s">
        <v>45302</v>
      </c>
      <c r="B36015" s="4" t="s">
        <v>45303</v>
      </c>
      <c r="C36015" s="5" t="str">
        <f>IFERROR(__xludf.DUMMYFUNCTION("GOOGLETRANSLATE(B36015,""en"",""es-ES"")"),"Una clase de niños está afuera en la escuela vestida con uniformes con su maestro de pie junto a ellos.")</f>
        <v>Una clase de niños está afuera en la escuela vestida con uniformes con su maestro de pie junto a ellos.</v>
      </c>
    </row>
    <row r="36016">
      <c r="A36016" s="4" t="s">
        <v>45302</v>
      </c>
      <c r="B36016" s="4" t="s">
        <v>45304</v>
      </c>
      <c r="C36016" s="5" t="str">
        <f>IFERROR(__xludf.DUMMYFUNCTION("GOOGLETRANSLATE(B36016,""en"",""es-ES"")"),"Mientras están en la fila, una niña está en medio de un juego de escocés Hop, se da vuelta, termina y vuelve a la fila.")</f>
        <v>Mientras están en la fila, una niña está en medio de un juego de escocés Hop, se da vuelta, termina y vuelve a la fila.</v>
      </c>
    </row>
    <row r="36017">
      <c r="A36017" s="4" t="s">
        <v>45302</v>
      </c>
      <c r="B36017" s="4" t="s">
        <v>45305</v>
      </c>
      <c r="C36017" s="5" t="str">
        <f>IFERROR(__xludf.DUMMYFUNCTION("GOOGLETRANSLATE(B36017,""en"",""es-ES"")"),"Una vez que termina, todos los otros niños toman su turno uno por uno.")</f>
        <v>Una vez que termina, todos los otros niños toman su turno uno por uno.</v>
      </c>
    </row>
    <row r="36018">
      <c r="A36018" s="4" t="s">
        <v>45306</v>
      </c>
      <c r="B36018" s="4" t="s">
        <v>45307</v>
      </c>
      <c r="C36018" s="5" t="str">
        <f>IFERROR(__xludf.DUMMYFUNCTION("GOOGLETRANSLATE(B36018,""en"",""es-ES"")"),"Un hombre asiático con vasos, una camisa verde con rayas amarillas está sentada hablando en una habitación.")</f>
        <v>Un hombre asiático con vasos, una camisa verde con rayas amarillas está sentada hablando en una habitación.</v>
      </c>
    </row>
    <row r="36019">
      <c r="A36019" s="4" t="s">
        <v>45306</v>
      </c>
      <c r="B36019" s="4" t="s">
        <v>45308</v>
      </c>
      <c r="C36019" s="5" t="str">
        <f>IFERROR(__xludf.DUMMYFUNCTION("GOOGLETRANSLATE(B36019,""en"",""es-ES"")"),"Todavía aparecen fotos de un libro, y el hombre aparece hablando de nuevo, y luego aparece más texto negro en una pantalla blanca.")</f>
        <v>Todavía aparecen fotos de un libro, y el hombre aparece hablando de nuevo, y luego aparece más texto negro en una pantalla blanca.</v>
      </c>
    </row>
    <row r="36020">
      <c r="A36020" s="4" t="s">
        <v>45306</v>
      </c>
      <c r="B36020" s="4" t="s">
        <v>45309</v>
      </c>
      <c r="C36020" s="5" t="str">
        <f>IFERROR(__xludf.DUMMYFUNCTION("GOOGLETRANSLATE(B36020,""en"",""es-ES"")"),"El hombre aparece nuevamente, pero esta vez está al aire libre y está sosteniendo un tiro con arco muy grande y muestra la forma correcta e incorrecta de retirar su cuerda.")</f>
        <v>El hombre aparece nuevamente, pero esta vez está al aire libre y está sosteniendo un tiro con arco muy grande y muestra la forma correcta e incorrecta de retirar su cuerda.</v>
      </c>
    </row>
    <row r="36021">
      <c r="A36021" s="4" t="s">
        <v>45306</v>
      </c>
      <c r="B36021" s="4" t="s">
        <v>45310</v>
      </c>
      <c r="C36021" s="5" t="str">
        <f>IFERROR(__xludf.DUMMYFUNCTION("GOOGLETRANSLATE(B36021,""en"",""es-ES"")"),"Luego, el hombre mueve una planta y se para para que esté parado entre dos de ellos en el suelo y comienza a sostener su tiro con arco, y mostrando diferentes formas de sostenerlo.")</f>
        <v>Luego, el hombre mueve una planta y se para para que esté parado entre dos de ellos en el suelo y comienza a sostener su tiro con arco, y mostrando diferentes formas de sostenerlo.</v>
      </c>
    </row>
    <row r="36022">
      <c r="A36022" s="4" t="s">
        <v>45306</v>
      </c>
      <c r="B36022" s="4" t="s">
        <v>45311</v>
      </c>
      <c r="C36022" s="5" t="str">
        <f>IFERROR(__xludf.DUMMYFUNCTION("GOOGLETRANSLATE(B36022,""en"",""es-ES"")"),"El hombre aparece nuevamente en el interior y sentado hablando.")</f>
        <v>El hombre aparece nuevamente en el interior y sentado hablando.</v>
      </c>
    </row>
    <row r="36023">
      <c r="A36023" s="4" t="s">
        <v>45312</v>
      </c>
      <c r="B36023" s="4" t="s">
        <v>45313</v>
      </c>
      <c r="C36023" s="5" t="str">
        <f>IFERROR(__xludf.DUMMYFUNCTION("GOOGLETRANSLATE(B36023,""en"",""es-ES"")"),"Se ve a un joven mirando la cámara sosteniendo un cepillo de dientes.")</f>
        <v>Se ve a un joven mirando la cámara sosteniendo un cepillo de dientes.</v>
      </c>
    </row>
    <row r="36024">
      <c r="A36024" s="4" t="s">
        <v>45312</v>
      </c>
      <c r="B36024" s="4" t="s">
        <v>45314</v>
      </c>
      <c r="C36024" s="5" t="str">
        <f>IFERROR(__xludf.DUMMYFUNCTION("GOOGLETRANSLATE(B36024,""en"",""es-ES"")"),"El hombre luego comienza a cepillarse los dientes en varios disparos.")</f>
        <v>El hombre luego comienza a cepillarse los dientes en varios disparos.</v>
      </c>
    </row>
    <row r="36025">
      <c r="A36025" s="4" t="s">
        <v>45312</v>
      </c>
      <c r="B36025" s="4" t="s">
        <v>45315</v>
      </c>
      <c r="C36025" s="5" t="str">
        <f>IFERROR(__xludf.DUMMYFUNCTION("GOOGLETRANSLATE(B36025,""en"",""es-ES"")"),"Continúa cepillándose los dientes y mostrando la boca al final.")</f>
        <v>Continúa cepillándose los dientes y mostrando la boca al final.</v>
      </c>
    </row>
    <row r="36026">
      <c r="A36026" s="4" t="s">
        <v>45316</v>
      </c>
      <c r="B36026" s="4" t="s">
        <v>45317</v>
      </c>
      <c r="C36026" s="5" t="str">
        <f>IFERROR(__xludf.DUMMYFUNCTION("GOOGLETRANSLATE(B36026,""en"",""es-ES"")"),"Un atleta se para esperar ansiosamente su turno mientras los jueces se preparan para su rutina.")</f>
        <v>Un atleta se para esperar ansiosamente su turno mientras los jueces se preparan para su rutina.</v>
      </c>
    </row>
    <row r="36027">
      <c r="A36027" s="4" t="s">
        <v>45316</v>
      </c>
      <c r="B36027" s="4" t="s">
        <v>45318</v>
      </c>
      <c r="C36027" s="5" t="str">
        <f>IFERROR(__xludf.DUMMYFUNCTION("GOOGLETRANSLATE(B36027,""en"",""es-ES"")"),"Un comentarista extranjero comenta sobre su rutina mientras se voltea por el aire.")</f>
        <v>Un comentarista extranjero comenta sobre su rutina mientras se voltea por el aire.</v>
      </c>
    </row>
    <row r="36028">
      <c r="A36028" s="4" t="s">
        <v>45316</v>
      </c>
      <c r="B36028" s="4" t="s">
        <v>45319</v>
      </c>
      <c r="C36028" s="5" t="str">
        <f>IFERROR(__xludf.DUMMYFUNCTION("GOOGLETRANSLATE(B36028,""en"",""es-ES"")"),"El hombre continúa girando y volteando los bares para su rutina de gimnasia mientras los miembros de la audiencia animan en voz alta.")</f>
        <v>El hombre continúa girando y volteando los bares para su rutina de gimnasia mientras los miembros de la audiencia animan en voz alta.</v>
      </c>
    </row>
    <row r="36029">
      <c r="A36029" s="4" t="s">
        <v>45316</v>
      </c>
      <c r="B36029" s="4" t="s">
        <v>45320</v>
      </c>
      <c r="C36029" s="5" t="str">
        <f>IFERROR(__xludf.DUMMYFUNCTION("GOOGLETRANSLATE(B36029,""en"",""es-ES"")"),"El video se ralentiza y muestra los aspectos más destacados de la rutina en cámara lenta.")</f>
        <v>El video se ralentiza y muestra los aspectos más destacados de la rutina en cámara lenta.</v>
      </c>
    </row>
    <row r="36030">
      <c r="A36030" s="4" t="s">
        <v>45316</v>
      </c>
      <c r="B36030" s="4" t="s">
        <v>45321</v>
      </c>
      <c r="C36030" s="5" t="str">
        <f>IFERROR(__xludf.DUMMYFUNCTION("GOOGLETRANSLATE(B36030,""en"",""es-ES"")"),"El atleta descansa en el sofá mientras los jueces terminan sus críticas.")</f>
        <v>El atleta descansa en el sofá mientras los jueces terminan sus críticas.</v>
      </c>
    </row>
    <row r="36031">
      <c r="A36031" s="4" t="s">
        <v>45316</v>
      </c>
      <c r="B36031" s="4" t="s">
        <v>45322</v>
      </c>
      <c r="C36031" s="5" t="str">
        <f>IFERROR(__xludf.DUMMYFUNCTION("GOOGLETRANSLATE(B36031,""en"",""es-ES"")"),"Finalmente, el hombre escucha su puntaje y sonríe agradablemente.")</f>
        <v>Finalmente, el hombre escucha su puntaje y sonríe agradablemente.</v>
      </c>
    </row>
    <row r="36032">
      <c r="A36032" s="4" t="s">
        <v>45323</v>
      </c>
      <c r="B36032" s="4" t="s">
        <v>45324</v>
      </c>
      <c r="C36032" s="5" t="str">
        <f>IFERROR(__xludf.DUMMYFUNCTION("GOOGLETRANSLATE(B36032,""en"",""es-ES"")"),"Se ve a una niña sentada frente a la cámara con varios objetos sostenidos frente a su cara.")</f>
        <v>Se ve a una niña sentada frente a la cámara con varios objetos sostenidos frente a su cara.</v>
      </c>
    </row>
    <row r="36033">
      <c r="A36033" s="4" t="s">
        <v>45323</v>
      </c>
      <c r="B36033" s="4" t="s">
        <v>45325</v>
      </c>
      <c r="C36033" s="5" t="str">
        <f>IFERROR(__xludf.DUMMYFUNCTION("GOOGLETRANSLATE(B36033,""en"",""es-ES"")"),"Dos mano tiran de un tubo junto a ella y la mujer luego pone los tubos en el cabello de la niña.")</f>
        <v>Dos mano tiran de un tubo junto a ella y la mujer luego pone los tubos en el cabello de la niña.</v>
      </c>
    </row>
    <row r="36034">
      <c r="A36034" s="4" t="s">
        <v>45323</v>
      </c>
      <c r="B36034" s="4" t="s">
        <v>45326</v>
      </c>
      <c r="C36034" s="5" t="str">
        <f>IFERROR(__xludf.DUMMYFUNCTION("GOOGLETRANSLATE(B36034,""en"",""es-ES"")"),"Al final, la mujer saca los tubos y la niña continúa mirando la cámara.")</f>
        <v>Al final, la mujer saca los tubos y la niña continúa mirando la cámara.</v>
      </c>
    </row>
    <row r="36035">
      <c r="A36035" s="4" t="s">
        <v>45327</v>
      </c>
      <c r="B36035" s="4" t="s">
        <v>45328</v>
      </c>
      <c r="C36035" s="5" t="str">
        <f>IFERROR(__xludf.DUMMYFUNCTION("GOOGLETRANSLATE(B36035,""en"",""es-ES"")"),"Una niña comienza a subir los bares de mono.")</f>
        <v>Una niña comienza a subir los bares de mono.</v>
      </c>
    </row>
    <row r="36036">
      <c r="A36036" s="4" t="s">
        <v>45327</v>
      </c>
      <c r="B36036" s="4" t="s">
        <v>45329</v>
      </c>
      <c r="C36036" s="5" t="str">
        <f>IFERROR(__xludf.DUMMYFUNCTION("GOOGLETRANSLATE(B36036,""en"",""es-ES"")"),"Ella comienza a subir hacia el final.")</f>
        <v>Ella comienza a subir hacia el final.</v>
      </c>
    </row>
    <row r="36037">
      <c r="A36037" s="4" t="s">
        <v>45327</v>
      </c>
      <c r="B36037" s="4" t="s">
        <v>45330</v>
      </c>
      <c r="C36037" s="5" t="str">
        <f>IFERROR(__xludf.DUMMYFUNCTION("GOOGLETRANSLATE(B36037,""en"",""es-ES"")"),"Ella tiene dificultades en el medio de los bares.")</f>
        <v>Ella tiene dificultades en el medio de los bares.</v>
      </c>
    </row>
    <row r="36038">
      <c r="A36038" s="4" t="s">
        <v>45327</v>
      </c>
      <c r="B36038" s="4" t="s">
        <v>45331</v>
      </c>
      <c r="C36038" s="5" t="str">
        <f>IFERROR(__xludf.DUMMYFUNCTION("GOOGLETRANSLATE(B36038,""en"",""es-ES"")"),"Una mujer parece buscar ayudar.")</f>
        <v>Una mujer parece buscar ayudar.</v>
      </c>
    </row>
    <row r="36039">
      <c r="A36039" s="4" t="s">
        <v>45327</v>
      </c>
      <c r="B36039" s="4" t="s">
        <v>45332</v>
      </c>
      <c r="C36039" s="5" t="str">
        <f>IFERROR(__xludf.DUMMYFUNCTION("GOOGLETRANSLATE(B36039,""en"",""es-ES"")"),"Ella termina la subida muy feliz.")</f>
        <v>Ella termina la subida muy feliz.</v>
      </c>
    </row>
    <row r="36040">
      <c r="A36040" s="4" t="s">
        <v>45333</v>
      </c>
      <c r="B36040" s="4" t="s">
        <v>45334</v>
      </c>
      <c r="C36040" s="5" t="str">
        <f>IFERROR(__xludf.DUMMYFUNCTION("GOOGLETRANSLATE(B36040,""en"",""es-ES"")"),"Una persona está filmando una casa y un perro caminando hacia el marco.")</f>
        <v>Una persona está filmando una casa y un perro caminando hacia el marco.</v>
      </c>
    </row>
    <row r="36041">
      <c r="A36041" s="4" t="s">
        <v>45333</v>
      </c>
      <c r="B36041" s="4" t="s">
        <v>45335</v>
      </c>
      <c r="C36041" s="5" t="str">
        <f>IFERROR(__xludf.DUMMYFUNCTION("GOOGLETRANSLATE(B36041,""en"",""es-ES"")"),"Una niña pequeña está lavando el piso con un trapeador y hablando con el camarógrafo.")</f>
        <v>Una niña pequeña está lavando el piso con un trapeador y hablando con el camarógrafo.</v>
      </c>
    </row>
    <row r="36042">
      <c r="A36042" s="4" t="s">
        <v>45333</v>
      </c>
      <c r="B36042" s="4" t="s">
        <v>45336</v>
      </c>
      <c r="C36042" s="5" t="str">
        <f>IFERROR(__xludf.DUMMYFUNCTION("GOOGLETRANSLATE(B36042,""en"",""es-ES"")"),"El camarógrafo habla con la chica sobre la limpieza y por qué le gusta.")</f>
        <v>El camarógrafo habla con la chica sobre la limpieza y por qué le gusta.</v>
      </c>
    </row>
    <row r="36043">
      <c r="A36043" s="4" t="s">
        <v>45333</v>
      </c>
      <c r="B36043" s="4" t="s">
        <v>45337</v>
      </c>
      <c r="C36043" s="5" t="str">
        <f>IFERROR(__xludf.DUMMYFUNCTION("GOOGLETRANSLATE(B36043,""en"",""es-ES"")"),"La niña termina de lavar el piso.")</f>
        <v>La niña termina de lavar el piso.</v>
      </c>
    </row>
    <row r="36044">
      <c r="A36044" s="4" t="s">
        <v>45338</v>
      </c>
      <c r="B36044" s="4" t="s">
        <v>45339</v>
      </c>
      <c r="C36044" s="5" t="str">
        <f>IFERROR(__xludf.DUMMYFUNCTION("GOOGLETRANSLATE(B36044,""en"",""es-ES"")"),"Una introducción llega a la pantalla para un video sobre una competencia de cuerda de salto.")</f>
        <v>Una introducción llega a la pantalla para un video sobre una competencia de cuerda de salto.</v>
      </c>
    </row>
    <row r="36045">
      <c r="A36045" s="4" t="s">
        <v>45338</v>
      </c>
      <c r="B36045" s="4" t="s">
        <v>45340</v>
      </c>
      <c r="C36045" s="5" t="str">
        <f>IFERROR(__xludf.DUMMYFUNCTION("GOOGLETRANSLATE(B36045,""en"",""es-ES"")"),"Se muestra a una persona haciendo un conjunto de trucos de cuerda de salto.")</f>
        <v>Se muestra a una persona haciendo un conjunto de trucos de cuerda de salto.</v>
      </c>
    </row>
    <row r="36046">
      <c r="A36046" s="4" t="s">
        <v>45338</v>
      </c>
      <c r="B36046" s="4" t="s">
        <v>45341</v>
      </c>
      <c r="C36046" s="5" t="str">
        <f>IFERROR(__xludf.DUMMYFUNCTION("GOOGLETRANSLATE(B36046,""en"",""es-ES"")"),"Luego se muestran a dos personas haciendo más trucos de cuerda de salto.")</f>
        <v>Luego se muestran a dos personas haciendo más trucos de cuerda de salto.</v>
      </c>
    </row>
    <row r="36047">
      <c r="A36047" s="4" t="s">
        <v>45338</v>
      </c>
      <c r="B36047" s="4" t="s">
        <v>45342</v>
      </c>
      <c r="C36047" s="5" t="str">
        <f>IFERROR(__xludf.DUMMYFUNCTION("GOOGLETRANSLATE(B36047,""en"",""es-ES"")"),"A continuación, se muestran a cuatro personas haciendo trucos de cuerda de salto en el gimnasio.")</f>
        <v>A continuación, se muestran a cuatro personas haciendo trucos de cuerda de salto en el gimnasio.</v>
      </c>
    </row>
    <row r="36048">
      <c r="A36048" s="4" t="s">
        <v>45338</v>
      </c>
      <c r="B36048" s="4" t="s">
        <v>45343</v>
      </c>
      <c r="C36048" s="5" t="str">
        <f>IFERROR(__xludf.DUMMYFUNCTION("GOOGLETRANSLATE(B36048,""en"",""es-ES"")"),"A continuación, varias personas diferentes están mostrando una variedad de trucos en el piso del gimnasio.")</f>
        <v>A continuación, varias personas diferentes están mostrando una variedad de trucos en el piso del gimnasio.</v>
      </c>
    </row>
    <row r="36049">
      <c r="A36049" s="4" t="s">
        <v>45338</v>
      </c>
      <c r="B36049" s="4" t="s">
        <v>45344</v>
      </c>
      <c r="C36049" s="5" t="str">
        <f>IFERROR(__xludf.DUMMYFUNCTION("GOOGLETRANSLATE(B36049,""en"",""es-ES"")"),"El video termina con los créditos de cierre.")</f>
        <v>El video termina con los créditos de cierre.</v>
      </c>
    </row>
    <row r="36050">
      <c r="A36050" s="4" t="s">
        <v>45345</v>
      </c>
      <c r="B36050" s="4" t="s">
        <v>45346</v>
      </c>
      <c r="C36050" s="5" t="str">
        <f>IFERROR(__xludf.DUMMYFUNCTION("GOOGLETRANSLATE(B36050,""en"",""es-ES"")"),"Vemos una pantalla de apertura roja.")</f>
        <v>Vemos una pantalla de apertura roja.</v>
      </c>
    </row>
    <row r="36051">
      <c r="A36051" s="4" t="s">
        <v>45345</v>
      </c>
      <c r="B36051" s="4" t="s">
        <v>45347</v>
      </c>
      <c r="C36051" s="5" t="str">
        <f>IFERROR(__xludf.DUMMYFUNCTION("GOOGLETRANSLATE(B36051,""en"",""es-ES"")"),"Men salto con pértiga en un campo al aire libre.")</f>
        <v>Men salto con pértiga en un campo al aire libre.</v>
      </c>
    </row>
    <row r="36052">
      <c r="A36052" s="4" t="s">
        <v>45345</v>
      </c>
      <c r="B36052" s="4" t="s">
        <v>45348</v>
      </c>
      <c r="C36052" s="5" t="str">
        <f>IFERROR(__xludf.DUMMYFUNCTION("GOOGLETRANSLATE(B36052,""en"",""es-ES"")"),"La cara de un hombre a la izquierda de la pantalla se mueve hacia atrás y fuera de la toma.")</f>
        <v>La cara de un hombre a la izquierda de la pantalla se mueve hacia atrás y fuera de la toma.</v>
      </c>
    </row>
    <row r="36053">
      <c r="A36053" s="4" t="s">
        <v>45345</v>
      </c>
      <c r="B36053" s="4" t="s">
        <v>45349</v>
      </c>
      <c r="C36053" s="5" t="str">
        <f>IFERROR(__xludf.DUMMYFUNCTION("GOOGLETRANSLATE(B36053,""en"",""es-ES"")"),"El ángulo de la cámara cambia y seguimos observando a los hombres salto con pértiga.")</f>
        <v>El ángulo de la cámara cambia y seguimos observando a los hombres salto con pértiga.</v>
      </c>
    </row>
    <row r="36054">
      <c r="A36054" s="4" t="s">
        <v>45350</v>
      </c>
      <c r="B36054" s="4" t="s">
        <v>45351</v>
      </c>
      <c r="C36054" s="5" t="str">
        <f>IFERROR(__xludf.DUMMYFUNCTION("GOOGLETRANSLATE(B36054,""en"",""es-ES"")"),"Se ve a un hombre conferencias a una multitud mientras sostiene varios frisbees verdes en la mano.")</f>
        <v>Se ve a un hombre conferencias a una multitud mientras sostiene varios frisbees verdes en la mano.</v>
      </c>
    </row>
    <row r="36055">
      <c r="A36055" s="4" t="s">
        <v>45350</v>
      </c>
      <c r="B36055" s="4" t="s">
        <v>45352</v>
      </c>
      <c r="C36055" s="5" t="str">
        <f>IFERROR(__xludf.DUMMYFUNCTION("GOOGLETRANSLATE(B36055,""en"",""es-ES"")"),"Después de hablar con la multitud, grita y un perro se queda sin el escenario para él.")</f>
        <v>Después de hablar con la multitud, grita y un perro se queda sin el escenario para él.</v>
      </c>
    </row>
    <row r="36056">
      <c r="A36056" s="4" t="s">
        <v>45350</v>
      </c>
      <c r="B36056" s="4" t="s">
        <v>45353</v>
      </c>
      <c r="C36056" s="5" t="str">
        <f>IFERROR(__xludf.DUMMYFUNCTION("GOOGLETRANSLATE(B36056,""en"",""es-ES"")"),"Inicialmente, comienza a jugar con el perro y el perro siguió tratando de agarrar a los frisbees de los hombres, luego el hombre arroja a los frisbees al suelo y comienza a jugar a buscar con el perro.")</f>
        <v>Inicialmente, comienza a jugar con el perro y el perro siguió tratando de agarrar a los frisbees de los hombres, luego el hombre arroja a los frisbees al suelo y comienza a jugar a buscar con el perro.</v>
      </c>
    </row>
    <row r="36057">
      <c r="A36057" s="4" t="s">
        <v>45350</v>
      </c>
      <c r="B36057" s="4" t="s">
        <v>45354</v>
      </c>
      <c r="C36057" s="5" t="str">
        <f>IFERROR(__xludf.DUMMYFUNCTION("GOOGLETRANSLATE(B36057,""en"",""es-ES"")"),"En un momento, el perro comienza a saltar del hombre mientras persigue a Frisbees.")</f>
        <v>En un momento, el perro comienza a saltar del hombre mientras persigue a Frisbees.</v>
      </c>
    </row>
    <row r="36058">
      <c r="A36058" s="4" t="s">
        <v>45350</v>
      </c>
      <c r="B36058" s="4" t="s">
        <v>45355</v>
      </c>
      <c r="C36058" s="5" t="str">
        <f>IFERROR(__xludf.DUMMYFUNCTION("GOOGLETRANSLATE(B36058,""en"",""es-ES"")"),"También en otro momento, el hombre se apodera de un frisbee en un extremo y un perro en el otro extremo y comienza a girar al perro.")</f>
        <v>También en otro momento, el hombre se apodera de un frisbee en un extremo y un perro en el otro extremo y comienza a girar al perro.</v>
      </c>
    </row>
    <row r="36059">
      <c r="A36059" s="4" t="s">
        <v>45350</v>
      </c>
      <c r="B36059" s="4" t="s">
        <v>45356</v>
      </c>
      <c r="C36059" s="5" t="str">
        <f>IFERROR(__xludf.DUMMYFUNCTION("GOOGLETRANSLATE(B36059,""en"",""es-ES"")"),"Al final, el hombre realiza un truco con el perro y lo hace hacer un volteo de espalda y lo agarra y lo saca del escenario.")</f>
        <v>Al final, el hombre realiza un truco con el perro y lo hace hacer un volteo de espalda y lo agarra y lo saca del escenario.</v>
      </c>
    </row>
    <row r="36060">
      <c r="A36060" s="4" t="s">
        <v>45357</v>
      </c>
      <c r="B36060" s="4" t="s">
        <v>45358</v>
      </c>
      <c r="C36060" s="5" t="str">
        <f>IFERROR(__xludf.DUMMYFUNCTION("GOOGLETRANSLATE(B36060,""en"",""es-ES"")"),"Un bebé está sentado en una silla alta.")</f>
        <v>Un bebé está sentado en una silla alta.</v>
      </c>
    </row>
    <row r="36061">
      <c r="A36061" s="4" t="s">
        <v>45357</v>
      </c>
      <c r="B36061" s="4" t="s">
        <v>45359</v>
      </c>
      <c r="C36061" s="5" t="str">
        <f>IFERROR(__xludf.DUMMYFUNCTION("GOOGLETRANSLATE(B36061,""en"",""es-ES"")"),"Un pop de helado entra en su boca, y ella mastica un mordisco.")</f>
        <v>Un pop de helado entra en su boca, y ella mastica un mordisco.</v>
      </c>
    </row>
    <row r="36062">
      <c r="A36062" s="4" t="s">
        <v>45357</v>
      </c>
      <c r="B36062" s="4" t="s">
        <v>45360</v>
      </c>
      <c r="C36062" s="5" t="str">
        <f>IFERROR(__xludf.DUMMYFUNCTION("GOOGLETRANSLATE(B36062,""en"",""es-ES"")"),"Ella saca su lengua después de cada bocado, lamiendo el aire.")</f>
        <v>Ella saca su lengua después de cada bocado, lamiendo el aire.</v>
      </c>
    </row>
    <row r="36063">
      <c r="A36063" s="4" t="s">
        <v>45361</v>
      </c>
      <c r="B36063" s="4" t="s">
        <v>45362</v>
      </c>
      <c r="C36063" s="5" t="str">
        <f>IFERROR(__xludf.DUMMYFUNCTION("GOOGLETRANSLATE(B36063,""en"",""es-ES"")"),"Un hombre sostiene un recipiente amarillo mientras limpia un tablero de madera.")</f>
        <v>Un hombre sostiene un recipiente amarillo mientras limpia un tablero de madera.</v>
      </c>
    </row>
    <row r="36064">
      <c r="A36064" s="4" t="s">
        <v>45361</v>
      </c>
      <c r="B36064" s="4" t="s">
        <v>45363</v>
      </c>
      <c r="C36064" s="5" t="str">
        <f>IFERROR(__xludf.DUMMYFUNCTION("GOOGLETRANSLATE(B36064,""en"",""es-ES"")"),"Rocía la madera con el recipiente amarillo.")</f>
        <v>Rocía la madera con el recipiente amarillo.</v>
      </c>
    </row>
    <row r="36065">
      <c r="A36065" s="4" t="s">
        <v>45361</v>
      </c>
      <c r="B36065" s="4" t="s">
        <v>45364</v>
      </c>
      <c r="C36065" s="5" t="str">
        <f>IFERROR(__xludf.DUMMYFUNCTION("GOOGLETRANSLATE(B36065,""en"",""es-ES"")"),"Él toma un trapo y limpia la madera.")</f>
        <v>Él toma un trapo y limpia la madera.</v>
      </c>
    </row>
    <row r="36066">
      <c r="A36066" s="4" t="s">
        <v>45361</v>
      </c>
      <c r="B36066" s="4" t="s">
        <v>45365</v>
      </c>
      <c r="C36066" s="5" t="str">
        <f>IFERROR(__xludf.DUMMYFUNCTION("GOOGLETRANSLATE(B36066,""en"",""es-ES"")"),"Habla mientras muestra la madera y presiona sus dedos en el tablero.")</f>
        <v>Habla mientras muestra la madera y presiona sus dedos en el tablero.</v>
      </c>
    </row>
    <row r="36067">
      <c r="A36067" s="4" t="s">
        <v>45366</v>
      </c>
      <c r="B36067" s="4" t="s">
        <v>45367</v>
      </c>
      <c r="C36067" s="5" t="str">
        <f>IFERROR(__xludf.DUMMYFUNCTION("GOOGLETRANSLATE(B36067,""en"",""es-ES"")"),"Se muestra el exterior de un edificio, que incluye una bandera estadounidense que agita cerca de la puerta principal.")</f>
        <v>Se muestra el exterior de un edificio, que incluye una bandera estadounidense que agita cerca de la puerta principal.</v>
      </c>
    </row>
    <row r="36068">
      <c r="A36068" s="4" t="s">
        <v>45366</v>
      </c>
      <c r="B36068" s="4" t="s">
        <v>45368</v>
      </c>
      <c r="C36068" s="5" t="str">
        <f>IFERROR(__xludf.DUMMYFUNCTION("GOOGLETRANSLATE(B36068,""en"",""es-ES"")"),"Aparece un hombre y habla de un árbol cerca del frente del edificio.")</f>
        <v>Aparece un hombre y habla de un árbol cerca del frente del edificio.</v>
      </c>
    </row>
    <row r="36069">
      <c r="A36069" s="4" t="s">
        <v>45366</v>
      </c>
      <c r="B36069" s="4" t="s">
        <v>45369</v>
      </c>
      <c r="C36069" s="5" t="str">
        <f>IFERROR(__xludf.DUMMYFUNCTION("GOOGLETRANSLATE(B36069,""en"",""es-ES"")"),"Luego demuestra cómo recortar el árbol, recogiendo ramas a nivel de los ojos y usando una herramienta para ramas más altas.")</f>
        <v>Luego demuestra cómo recortar el árbol, recogiendo ramas a nivel de los ojos y usando una herramienta para ramas más altas.</v>
      </c>
    </row>
    <row r="36070">
      <c r="A36070" s="4" t="s">
        <v>45366</v>
      </c>
      <c r="B36070" s="4" t="s">
        <v>45370</v>
      </c>
      <c r="C36070" s="5" t="str">
        <f>IFERROR(__xludf.DUMMYFUNCTION("GOOGLETRANSLATE(B36070,""en"",""es-ES"")"),"El sombrero de la compañía se muestra en el escalón, rodeado de hojas.")</f>
        <v>El sombrero de la compañía se muestra en el escalón, rodeado de hojas.</v>
      </c>
    </row>
    <row r="36071">
      <c r="A36071" s="4" t="s">
        <v>45371</v>
      </c>
      <c r="B36071" s="4" t="s">
        <v>45372</v>
      </c>
      <c r="C36071" s="5" t="str">
        <f>IFERROR(__xludf.DUMMYFUNCTION("GOOGLETRANSLATE(B36071,""en"",""es-ES"")"),"En el centro de Sandy Field, tiene las vacas que luchan en el centro, mientras la audiencia está mirando a los lados, sentados en el suelo.")</f>
        <v>En el centro de Sandy Field, tiene las vacas que luchan en el centro, mientras la audiencia está mirando a los lados, sentados en el suelo.</v>
      </c>
    </row>
    <row r="36072">
      <c r="A36072" s="4" t="s">
        <v>45371</v>
      </c>
      <c r="B36072" s="4" t="s">
        <v>45373</v>
      </c>
      <c r="C36072" s="5" t="str">
        <f>IFERROR(__xludf.DUMMYFUNCTION("GOOGLETRANSLATE(B36072,""en"",""es-ES"")"),"Tres hombres están supervisando las corridas de toros, el toro se empujan entre sí con sus cuernos.")</f>
        <v>Tres hombres están supervisando las corridas de toros, el toro se empujan entre sí con sus cuernos.</v>
      </c>
    </row>
    <row r="36073">
      <c r="A36073" s="4" t="s">
        <v>45371</v>
      </c>
      <c r="B36073" s="4" t="s">
        <v>45374</v>
      </c>
      <c r="C36073" s="5" t="str">
        <f>IFERROR(__xludf.DUMMYFUNCTION("GOOGLETRANSLATE(B36073,""en"",""es-ES"")"),"Un hombre se bajó de su camioneta, el otro hombre sacó el toro de su camioneta, el toro está atado en un postes.")</f>
        <v>Un hombre se bajó de su camioneta, el otro hombre sacó el toro de su camioneta, el toro está atado en un postes.</v>
      </c>
    </row>
    <row r="36074">
      <c r="A36074" s="4" t="s">
        <v>45371</v>
      </c>
      <c r="B36074" s="4" t="s">
        <v>45375</v>
      </c>
      <c r="C36074" s="5" t="str">
        <f>IFERROR(__xludf.DUMMYFUNCTION("GOOGLETRANSLATE(B36074,""en"",""es-ES"")"),"Dos hombres sostienen cada extremo de la cuerda mientras el toro negro perplejo en el suelo.")</f>
        <v>Dos hombres sostienen cada extremo de la cuerda mientras el toro negro perplejo en el suelo.</v>
      </c>
    </row>
    <row r="36075">
      <c r="A36075" s="4" t="s">
        <v>45371</v>
      </c>
      <c r="B36075" s="4" t="s">
        <v>45376</v>
      </c>
      <c r="C36075" s="5" t="str">
        <f>IFERROR(__xludf.DUMMYFUNCTION("GOOGLETRANSLATE(B36075,""en"",""es-ES"")"),"Los Bulls están luchando en el centro del campo, y la gente está mirando, un toro corrió hacia la audiencia.")</f>
        <v>Los Bulls están luchando en el centro del campo, y la gente está mirando, un toro corrió hacia la audiencia.</v>
      </c>
    </row>
    <row r="36076">
      <c r="A36076" s="4" t="s">
        <v>45377</v>
      </c>
      <c r="B36076" s="4" t="s">
        <v>45378</v>
      </c>
      <c r="C36076" s="5" t="str">
        <f>IFERROR(__xludf.DUMMYFUNCTION("GOOGLETRANSLATE(B36076,""en"",""es-ES"")"),"Aparece una vista de un amplio océano tomado de un bote y se muestra a varios hombres haciendo cosas diferentes en el bote tanto en el interior como en el exterior e incluye dirigir la cubierta de la rueda o sentarse en las computadoras que monitorean las"&amp;" cosas.")</f>
        <v>Aparece una vista de un amplio océano tomado de un bote y se muestra a varios hombres haciendo cosas diferentes en el bote tanto en el interior como en el exterior e incluye dirigir la cubierta de la rueda o sentarse en las computadoras que monitorean las cosas.</v>
      </c>
    </row>
    <row r="36077">
      <c r="A36077" s="4" t="s">
        <v>45377</v>
      </c>
      <c r="B36077" s="4" t="s">
        <v>45379</v>
      </c>
      <c r="C36077" s="5" t="str">
        <f>IFERROR(__xludf.DUMMYFUNCTION("GOOGLETRANSLATE(B36077,""en"",""es-ES"")"),"Un hombre sentado en la cubierta del bote está hablando con la cámara mientras un hombre detrás de él está de pie y el hombre al lado de ese hombre de pie está controlando el volante del bote.")</f>
        <v>Un hombre sentado en la cubierta del bote está hablando con la cámara mientras un hombre detrás de él está de pie y el hombre al lado de ese hombre de pie está controlando el volante del bote.</v>
      </c>
    </row>
    <row r="36078">
      <c r="A36078" s="4" t="s">
        <v>45377</v>
      </c>
      <c r="B36078" s="4" t="s">
        <v>45380</v>
      </c>
      <c r="C36078" s="5" t="str">
        <f>IFERROR(__xludf.DUMMYFUNCTION("GOOGLETRANSLATE(B36078,""en"",""es-ES"")"),"El enfoque cambia a otro hombre en el bote y él también está hablando con la cámara.")</f>
        <v>El enfoque cambia a otro hombre en el bote y él también está hablando con la cámara.</v>
      </c>
    </row>
    <row r="36079">
      <c r="A36079" s="4" t="s">
        <v>45381</v>
      </c>
      <c r="B36079" s="4" t="s">
        <v>45382</v>
      </c>
      <c r="C36079" s="5" t="str">
        <f>IFERROR(__xludf.DUMMYFUNCTION("GOOGLETRANSLATE(B36079,""en"",""es-ES"")"),"Una mujer asiática está parada afuera en un gran campo con un lino rosa como un atuendo.")</f>
        <v>Una mujer asiática está parada afuera en un gran campo con un lino rosa como un atuendo.</v>
      </c>
    </row>
    <row r="36080">
      <c r="A36080" s="4" t="s">
        <v>45381</v>
      </c>
      <c r="B36080" s="4" t="s">
        <v>45383</v>
      </c>
      <c r="C36080" s="5" t="str">
        <f>IFERROR(__xludf.DUMMYFUNCTION("GOOGLETRANSLATE(B36080,""en"",""es-ES"")"),"Luego saca las piernas y las manos y comienza a moverse como un ninja en todo el campo.")</f>
        <v>Luego saca las piernas y las manos y comienza a moverse como un ninja en todo el campo.</v>
      </c>
    </row>
    <row r="36081">
      <c r="A36081" s="4" t="s">
        <v>45381</v>
      </c>
      <c r="B36081" s="4" t="s">
        <v>45384</v>
      </c>
      <c r="C36081" s="5" t="str">
        <f>IFERROR(__xludf.DUMMYFUNCTION("GOOGLETRANSLATE(B36081,""en"",""es-ES"")"),"Después de que se mudó a la izquierda y a la derecha a través del campo, luego regresa al centro del campo y se detiene para completar su rutina.")</f>
        <v>Después de que se mudó a la izquierda y a la derecha a través del campo, luego regresa al centro del campo y se detiene para completar su rutina.</v>
      </c>
    </row>
    <row r="36082">
      <c r="A36082" s="4" t="s">
        <v>45385</v>
      </c>
      <c r="B36082" s="4" t="s">
        <v>45386</v>
      </c>
      <c r="C36082" s="5" t="str">
        <f>IFERROR(__xludf.DUMMYFUNCTION("GOOGLETRANSLATE(B36082,""en"",""es-ES"")"),"Una mujer con una camisa naranja está bebiendo un vaso de cerveza.")</f>
        <v>Una mujer con una camisa naranja está bebiendo un vaso de cerveza.</v>
      </c>
    </row>
    <row r="36083">
      <c r="A36083" s="4" t="s">
        <v>45385</v>
      </c>
      <c r="B36083" s="4" t="s">
        <v>45387</v>
      </c>
      <c r="C36083" s="5" t="str">
        <f>IFERROR(__xludf.DUMMYFUNCTION("GOOGLETRANSLATE(B36083,""en"",""es-ES"")"),"La cerveza se está derramando por la parte delantera de su camisa.")</f>
        <v>La cerveza se está derramando por la parte delantera de su camisa.</v>
      </c>
    </row>
    <row r="36084">
      <c r="A36084" s="4" t="s">
        <v>45385</v>
      </c>
      <c r="B36084" s="4" t="s">
        <v>45388</v>
      </c>
      <c r="C36084" s="5" t="str">
        <f>IFERROR(__xludf.DUMMYFUNCTION("GOOGLETRANSLATE(B36084,""en"",""es-ES"")"),"La gente detrás de ella está bailando.")</f>
        <v>La gente detrás de ella está bailando.</v>
      </c>
    </row>
    <row r="36085">
      <c r="A36085" s="4" t="s">
        <v>45385</v>
      </c>
      <c r="B36085" s="4" t="s">
        <v>45389</v>
      </c>
      <c r="C36085" s="5" t="str">
        <f>IFERROR(__xludf.DUMMYFUNCTION("GOOGLETRANSLATE(B36085,""en"",""es-ES"")"),"Ella termina la bebida y la establece.")</f>
        <v>Ella termina la bebida y la establece.</v>
      </c>
    </row>
    <row r="36086">
      <c r="A36086" s="4" t="s">
        <v>45390</v>
      </c>
      <c r="B36086" s="4" t="s">
        <v>45391</v>
      </c>
      <c r="C36086" s="5" t="str">
        <f>IFERROR(__xludf.DUMMYFUNCTION("GOOGLETRANSLATE(B36086,""en"",""es-ES"")"),"Un hombre con una camisa bronceada está hablando.")</f>
        <v>Un hombre con una camisa bronceada está hablando.</v>
      </c>
    </row>
    <row r="36087">
      <c r="A36087" s="4" t="s">
        <v>45390</v>
      </c>
      <c r="B36087" s="4" t="s">
        <v>45392</v>
      </c>
      <c r="C36087" s="5" t="str">
        <f>IFERROR(__xludf.DUMMYFUNCTION("GOOGLETRANSLATE(B36087,""en"",""es-ES"")"),"Él coloca su raqueta de tenis en el suelo.")</f>
        <v>Él coloca su raqueta de tenis en el suelo.</v>
      </c>
    </row>
    <row r="36088">
      <c r="A36088" s="4" t="s">
        <v>45390</v>
      </c>
      <c r="B36088" s="4" t="s">
        <v>45393</v>
      </c>
      <c r="C36088" s="5" t="str">
        <f>IFERROR(__xludf.DUMMYFUNCTION("GOOGLETRANSLATE(B36088,""en"",""es-ES"")"),"Otro hombre corre en una cancha de tenis.")</f>
        <v>Otro hombre corre en una cancha de tenis.</v>
      </c>
    </row>
    <row r="36089">
      <c r="A36089" s="4" t="s">
        <v>45394</v>
      </c>
      <c r="B36089" s="4" t="s">
        <v>45395</v>
      </c>
      <c r="C36089" s="5" t="str">
        <f>IFERROR(__xludf.DUMMYFUNCTION("GOOGLETRANSLATE(B36089,""en"",""es-ES"")"),"Un perro blanco y negro está parado cerca de la puerta principal de una casa mientras escucha el sonido del helicóptero.")</f>
        <v>Un perro blanco y negro está parado cerca de la puerta principal de una casa mientras escucha el sonido del helicóptero.</v>
      </c>
    </row>
    <row r="36090">
      <c r="A36090" s="4" t="s">
        <v>45394</v>
      </c>
      <c r="B36090" s="4" t="s">
        <v>45396</v>
      </c>
      <c r="C36090" s="5" t="str">
        <f>IFERROR(__xludf.DUMMYFUNCTION("GOOGLETRANSLATE(B36090,""en"",""es-ES"")"),"Luego, la puerta principal se abre y el perro retrocede.")</f>
        <v>Luego, la puerta principal se abre y el perro retrocede.</v>
      </c>
    </row>
    <row r="36091">
      <c r="A36091" s="4" t="s">
        <v>45394</v>
      </c>
      <c r="B36091" s="4" t="s">
        <v>45397</v>
      </c>
      <c r="C36091" s="5" t="str">
        <f>IFERROR(__xludf.DUMMYFUNCTION("GOOGLETRANSLATE(B36091,""en"",""es-ES"")"),"Hay dos entrenadores de perros en una habitación cerrada entrenando a un perro para saltar y atrapar a varios frisbee.")</f>
        <v>Hay dos entrenadores de perros en una habitación cerrada entrenando a un perro para saltar y atrapar a varios frisbee.</v>
      </c>
    </row>
    <row r="36092">
      <c r="A36092" s="4" t="s">
        <v>45394</v>
      </c>
      <c r="B36092" s="4" t="s">
        <v>45398</v>
      </c>
      <c r="C36092" s="5" t="str">
        <f>IFERROR(__xludf.DUMMYFUNCTION("GOOGLETRANSLATE(B36092,""en"",""es-ES"")"),"El entrenador masculino arroja al Frisbee al perro y el perro salta y lo busca para él.")</f>
        <v>El entrenador masculino arroja al Frisbee al perro y el perro salta y lo busca para él.</v>
      </c>
    </row>
    <row r="36093">
      <c r="A36093" s="4" t="s">
        <v>45394</v>
      </c>
      <c r="B36093" s="4" t="s">
        <v>45399</v>
      </c>
      <c r="C36093" s="5" t="str">
        <f>IFERROR(__xludf.DUMMYFUNCTION("GOOGLETRANSLATE(B36093,""en"",""es-ES"")"),"El entrenador arroja continuamente el frisbee y el perro salta alto y agarra el frisbee cada vez.")</f>
        <v>El entrenador arroja continuamente el frisbee y el perro salta alto y agarra el frisbee cada vez.</v>
      </c>
    </row>
    <row r="36094">
      <c r="A36094" s="4" t="s">
        <v>45394</v>
      </c>
      <c r="B36094" s="4" t="s">
        <v>45400</v>
      </c>
      <c r="C36094" s="5" t="str">
        <f>IFERROR(__xludf.DUMMYFUNCTION("GOOGLETRANSLATE(B36094,""en"",""es-ES"")"),"Se muestran varios entrenadores diferentes entrenando y enseñando los trucos de sus perros.")</f>
        <v>Se muestran varios entrenadores diferentes entrenando y enseñando los trucos de sus perros.</v>
      </c>
    </row>
    <row r="36095">
      <c r="A36095" s="4" t="s">
        <v>45401</v>
      </c>
      <c r="B36095" s="4" t="s">
        <v>45402</v>
      </c>
      <c r="C36095" s="5" t="str">
        <f>IFERROR(__xludf.DUMMYFUNCTION("GOOGLETRANSLATE(B36095,""en"",""es-ES"")"),"Se muestra una introducción para una demostración de vacío en la pantalla.")</f>
        <v>Se muestra una introducción para una demostración de vacío en la pantalla.</v>
      </c>
    </row>
    <row r="36096">
      <c r="A36096" s="4" t="s">
        <v>45401</v>
      </c>
      <c r="B36096" s="4" t="s">
        <v>45403</v>
      </c>
      <c r="C36096" s="5" t="str">
        <f>IFERROR(__xludf.DUMMYFUNCTION("GOOGLETRANSLATE(B36096,""en"",""es-ES"")"),"El video muestra el vacío que se está probando con varios desafíos diferentes por un niño y su padre.")</f>
        <v>El video muestra el vacío que se está probando con varios desafíos diferentes por un niño y su padre.</v>
      </c>
    </row>
    <row r="36097">
      <c r="A36097" s="4" t="s">
        <v>45401</v>
      </c>
      <c r="B36097" s="4" t="s">
        <v>45404</v>
      </c>
      <c r="C36097" s="5" t="str">
        <f>IFERROR(__xludf.DUMMYFUNCTION("GOOGLETRANSLATE(B36097,""en"",""es-ES"")"),"El video termina con una pantalla que muestra el logotipo para la compañía de vacío.")</f>
        <v>El video termina con una pantalla que muestra el logotipo para la compañía de vacío.</v>
      </c>
    </row>
    <row r="36098">
      <c r="A36098" s="4" t="s">
        <v>45405</v>
      </c>
      <c r="B36098" s="4" t="s">
        <v>45406</v>
      </c>
      <c r="C36098" s="5" t="str">
        <f>IFERROR(__xludf.DUMMYFUNCTION("GOOGLETRANSLATE(B36098,""en"",""es-ES"")"),"Dos mujeres que llevan atuendos a juego están en sus micrófonos y a medias viendo a un niño jugar con un cubo de Rubix.")</f>
        <v>Dos mujeres que llevan atuendos a juego están en sus micrófonos y a medias viendo a un niño jugar con un cubo de Rubix.</v>
      </c>
    </row>
    <row r="36099">
      <c r="A36099" s="4" t="s">
        <v>45405</v>
      </c>
      <c r="B36099" s="4" t="s">
        <v>45407</v>
      </c>
      <c r="C36099" s="5" t="str">
        <f>IFERROR(__xludf.DUMMYFUNCTION("GOOGLETRANSLATE(B36099,""en"",""es-ES"")"),"El niño está resolviendo el cubo con bastante rapidez, la niña parece bastante sorprendida.")</f>
        <v>El niño está resolviendo el cubo con bastante rapidez, la niña parece bastante sorprendida.</v>
      </c>
    </row>
    <row r="36100">
      <c r="A36100" s="4" t="s">
        <v>45405</v>
      </c>
      <c r="B36100" s="4" t="s">
        <v>45408</v>
      </c>
      <c r="C36100" s="5" t="str">
        <f>IFERROR(__xludf.DUMMYFUNCTION("GOOGLETRANSLATE(B36100,""en"",""es-ES"")"),"Luego, un grupo de personas comienza a tratar de un rompecabezas para ver quién es el más rápido.")</f>
        <v>Luego, un grupo de personas comienza a tratar de un rompecabezas para ver quién es el más rápido.</v>
      </c>
    </row>
    <row r="36101">
      <c r="A36101" s="4" t="s">
        <v>45405</v>
      </c>
      <c r="B36101" s="4" t="s">
        <v>45409</v>
      </c>
      <c r="C36101" s="5" t="str">
        <f>IFERROR(__xludf.DUMMYFUNCTION("GOOGLETRANSLATE(B36101,""en"",""es-ES"")"),"Otro niño con una camisa azul aparece y comienza a resolverlo y cuando lo hace las chicas le dan un premio.")</f>
        <v>Otro niño con una camisa azul aparece y comienza a resolverlo y cuando lo hace las chicas le dan un premio.</v>
      </c>
    </row>
    <row r="36102">
      <c r="A36102" s="4" t="s">
        <v>45410</v>
      </c>
      <c r="B36102" s="4" t="s">
        <v>45411</v>
      </c>
      <c r="C36102" s="5" t="str">
        <f>IFERROR(__xludf.DUMMYFUNCTION("GOOGLETRANSLATE(B36102,""en"",""es-ES"")"),"Una persona observa un antiguo templo samurai.")</f>
        <v>Una persona observa un antiguo templo samurai.</v>
      </c>
    </row>
    <row r="36103">
      <c r="A36103" s="4" t="s">
        <v>45410</v>
      </c>
      <c r="B36103" s="4" t="s">
        <v>45412</v>
      </c>
      <c r="C36103" s="5" t="str">
        <f>IFERROR(__xludf.DUMMYFUNCTION("GOOGLETRANSLATE(B36103,""en"",""es-ES"")"),"Un hombre sostiene un arco y dispara flechas, mientras que los hombres se sientan en la carretera clasifica las flechas.")</f>
        <v>Un hombre sostiene un arco y dispara flechas, mientras que los hombres se sientan en la carretera clasifica las flechas.</v>
      </c>
    </row>
    <row r="36104">
      <c r="A36104" s="4" t="s">
        <v>45410</v>
      </c>
      <c r="B36104" s="4" t="s">
        <v>45413</v>
      </c>
      <c r="C36104" s="5" t="str">
        <f>IFERROR(__xludf.DUMMYFUNCTION("GOOGLETRANSLATE(B36104,""en"",""es-ES"")"),"Tres pequeñas tablas son arregladas en el suelo, de repente y Arrow golpea una tabla.")</f>
        <v>Tres pequeñas tablas son arregladas en el suelo, de repente y Arrow golpea una tabla.</v>
      </c>
    </row>
    <row r="36105">
      <c r="A36105" s="4" t="s">
        <v>45410</v>
      </c>
      <c r="B36105" s="4" t="s">
        <v>45414</v>
      </c>
      <c r="C36105" s="5" t="str">
        <f>IFERROR(__xludf.DUMMYFUNCTION("GOOGLETRANSLATE(B36105,""en"",""es-ES"")"),"La gente se reúne en un camino, luego un anciano le da una caja blanca a un hombre vestido con ropa blanca.")</f>
        <v>La gente se reúne en un camino, luego un anciano le da una caja blanca a un hombre vestido con ropa blanca.</v>
      </c>
    </row>
    <row r="36106">
      <c r="A36106" s="4" t="s">
        <v>45415</v>
      </c>
      <c r="B36106" s="4" t="s">
        <v>45416</v>
      </c>
      <c r="C36106" s="5" t="str">
        <f>IFERROR(__xludf.DUMMYFUNCTION("GOOGLETRANSLATE(B36106,""en"",""es-ES"")"),"Un niño hace volteretas y brotes en la hierba mientras un amigo observa y registra.")</f>
        <v>Un niño hace volteretas y brotes en la hierba mientras un amigo observa y registra.</v>
      </c>
    </row>
    <row r="36107">
      <c r="A36107" s="4" t="s">
        <v>45415</v>
      </c>
      <c r="B36107" s="4" t="s">
        <v>45417</v>
      </c>
      <c r="C36107" s="5" t="str">
        <f>IFERROR(__xludf.DUMMYFUNCTION("GOOGLETRANSLATE(B36107,""en"",""es-ES"")"),"Se detiene por un momento y se toma un descanso y luego continúa haciendo más volteretas.")</f>
        <v>Se detiene por un momento y se toma un descanso y luego continúa haciendo más volteretas.</v>
      </c>
    </row>
    <row r="36108">
      <c r="A36108" s="4" t="s">
        <v>45415</v>
      </c>
      <c r="B36108" s="4" t="s">
        <v>45418</v>
      </c>
      <c r="C36108" s="5" t="str">
        <f>IFERROR(__xludf.DUMMYFUNCTION("GOOGLETRANSLATE(B36108,""en"",""es-ES"")"),"Otro tipo entra en la pantalla e intenta hacer algunas volteidades en el césped.")</f>
        <v>Otro tipo entra en la pantalla e intenta hacer algunas volteidades en el césped.</v>
      </c>
    </row>
    <row r="36109">
      <c r="A36109" s="4" t="s">
        <v>45419</v>
      </c>
      <c r="B36109" s="4" t="s">
        <v>45420</v>
      </c>
      <c r="C36109" s="5" t="str">
        <f>IFERROR(__xludf.DUMMYFUNCTION("GOOGLETRANSLATE(B36109,""en"",""es-ES"")"),"Una niña sale de una habitación y baja por un pasillo.")</f>
        <v>Una niña sale de una habitación y baja por un pasillo.</v>
      </c>
    </row>
    <row r="36110">
      <c r="A36110" s="4" t="s">
        <v>45419</v>
      </c>
      <c r="B36110" s="4" t="s">
        <v>45421</v>
      </c>
      <c r="C36110" s="5" t="str">
        <f>IFERROR(__xludf.DUMMYFUNCTION("GOOGLETRANSLATE(B36110,""en"",""es-ES"")"),"Ella baja su bolsa de lona antes de acostarse sobre una mesa.")</f>
        <v>Ella baja su bolsa de lona antes de acostarse sobre una mesa.</v>
      </c>
    </row>
    <row r="36111">
      <c r="A36111" s="4" t="s">
        <v>45419</v>
      </c>
      <c r="B36111" s="4" t="s">
        <v>45422</v>
      </c>
      <c r="C36111" s="5" t="str">
        <f>IFERROR(__xludf.DUMMYFUNCTION("GOOGLETRANSLATE(B36111,""en"",""es-ES"")"),"Alguien le entrega una taza y ella la bebe, luego trabaja en tatuarse la lengua.")</f>
        <v>Alguien le entrega una taza y ella la bebe, luego trabaja en tatuarse la lengua.</v>
      </c>
    </row>
    <row r="36112">
      <c r="A36112" s="4" t="s">
        <v>45419</v>
      </c>
      <c r="B36112" s="4" t="s">
        <v>45423</v>
      </c>
      <c r="C36112" s="5" t="str">
        <f>IFERROR(__xludf.DUMMYFUNCTION("GOOGLETRANSLATE(B36112,""en"",""es-ES"")"),"Se inserta una barra en su tonue y se recorta, creando una perforación.")</f>
        <v>Se inserta una barra en su tonue y se recorta, creando una perforación.</v>
      </c>
    </row>
    <row r="36113">
      <c r="A36113" s="4" t="s">
        <v>45419</v>
      </c>
      <c r="B36113" s="4" t="s">
        <v>45424</v>
      </c>
      <c r="C36113" s="5" t="str">
        <f>IFERROR(__xludf.DUMMYFUNCTION("GOOGLETRANSLATE(B36113,""en"",""es-ES"")"),"Ella saca su lengua a la cámara, mostrando su perforación.")</f>
        <v>Ella saca su lengua a la cámara, mostrando su perforación.</v>
      </c>
    </row>
    <row r="36114">
      <c r="A36114" s="4" t="s">
        <v>45425</v>
      </c>
      <c r="B36114" s="4" t="s">
        <v>45426</v>
      </c>
      <c r="C36114" s="5" t="str">
        <f>IFERROR(__xludf.DUMMYFUNCTION("GOOGLETRANSLATE(B36114,""en"",""es-ES"")"),"Un custodio rocía el mostrador de un fregadero con una botella de spray.")</f>
        <v>Un custodio rocía el mostrador de un fregadero con una botella de spray.</v>
      </c>
    </row>
    <row r="36115">
      <c r="A36115" s="4" t="s">
        <v>45425</v>
      </c>
      <c r="B36115" s="4" t="s">
        <v>45427</v>
      </c>
      <c r="C36115" s="5" t="str">
        <f>IFERROR(__xludf.DUMMYFUNCTION("GOOGLETRANSLATE(B36115,""en"",""es-ES"")"),"El trabajador usa un cepillo para limpiar el fregadero.")</f>
        <v>El trabajador usa un cepillo para limpiar el fregadero.</v>
      </c>
    </row>
    <row r="36116">
      <c r="A36116" s="4" t="s">
        <v>45425</v>
      </c>
      <c r="B36116" s="4" t="s">
        <v>45428</v>
      </c>
      <c r="C36116" s="5" t="str">
        <f>IFERROR(__xludf.DUMMYFUNCTION("GOOGLETRANSLATE(B36116,""en"",""es-ES"")"),"El trabajador usa una toalla de mano para limpiar el líquido en el fregadero.")</f>
        <v>El trabajador usa una toalla de mano para limpiar el líquido en el fregadero.</v>
      </c>
    </row>
    <row r="36117">
      <c r="A36117" s="4" t="s">
        <v>45429</v>
      </c>
      <c r="B36117" s="4" t="s">
        <v>45430</v>
      </c>
      <c r="C36117" s="5" t="str">
        <f>IFERROR(__xludf.DUMMYFUNCTION("GOOGLETRANSLATE(B36117,""en"",""es-ES"")"),"Un hombre está hablando de lo que está sucediendo en la televisión detrás de él como una noticia.")</f>
        <v>Un hombre está hablando de lo que está sucediendo en la televisión detrás de él como una noticia.</v>
      </c>
    </row>
    <row r="36118">
      <c r="A36118" s="4" t="s">
        <v>45429</v>
      </c>
      <c r="B36118" s="4" t="s">
        <v>45431</v>
      </c>
      <c r="C36118" s="5" t="str">
        <f>IFERROR(__xludf.DUMMYFUNCTION("GOOGLETRANSLATE(B36118,""en"",""es-ES"")"),"Un grupo de personas está en el campo jugando un juego corriendo por todas partes.")</f>
        <v>Un grupo de personas está en el campo jugando un juego corriendo por todas partes.</v>
      </c>
    </row>
    <row r="36119">
      <c r="A36119" s="4" t="s">
        <v>45429</v>
      </c>
      <c r="B36119" s="4" t="s">
        <v>45432</v>
      </c>
      <c r="C36119" s="5" t="str">
        <f>IFERROR(__xludf.DUMMYFUNCTION("GOOGLETRANSLATE(B36119,""en"",""es-ES"")"),"Muchos de los jugadores pueden tener la oportunidad de hablar sobre el equipo y las cosas.")</f>
        <v>Muchos de los jugadores pueden tener la oportunidad de hablar sobre el equipo y las cosas.</v>
      </c>
    </row>
    <row r="36120">
      <c r="A36120" s="4" t="s">
        <v>45429</v>
      </c>
      <c r="B36120" s="4" t="s">
        <v>45433</v>
      </c>
      <c r="C36120" s="5" t="str">
        <f>IFERROR(__xludf.DUMMYFUNCTION("GOOGLETRANSLATE(B36120,""en"",""es-ES"")"),"Muestran la práctica y los jugadores y luego vuelven a los presentadores de noticias que continúan hablando un poco más al respecto.")</f>
        <v>Muestran la práctica y los jugadores y luego vuelven a los presentadores de noticias que continúan hablando un poco más al respecto.</v>
      </c>
    </row>
    <row r="36121">
      <c r="A36121" s="4" t="s">
        <v>45434</v>
      </c>
      <c r="B36121" s="4" t="s">
        <v>45435</v>
      </c>
      <c r="C36121" s="5" t="str">
        <f>IFERROR(__xludf.DUMMYFUNCTION("GOOGLETRANSLATE(B36121,""en"",""es-ES"")"),"Una mujer está de pie en una cocina mientras habla.")</f>
        <v>Una mujer está de pie en una cocina mientras habla.</v>
      </c>
    </row>
    <row r="36122">
      <c r="A36122" s="4" t="s">
        <v>45434</v>
      </c>
      <c r="B36122" s="4" t="s">
        <v>45436</v>
      </c>
      <c r="C36122" s="5" t="str">
        <f>IFERROR(__xludf.DUMMYFUNCTION("GOOGLETRANSLATE(B36122,""en"",""es-ES"")"),"Ella muestra una bolsa, empujándola con su puño.")</f>
        <v>Ella muestra una bolsa, empujándola con su puño.</v>
      </c>
    </row>
    <row r="36123">
      <c r="A36123" s="4" t="s">
        <v>45434</v>
      </c>
      <c r="B36123" s="4" t="s">
        <v>45437</v>
      </c>
      <c r="C36123" s="5" t="str">
        <f>IFERROR(__xludf.DUMMYFUNCTION("GOOGLETRANSLATE(B36123,""en"",""es-ES"")"),"Ella lo cierra y muestra cómo se mantiene en forma.")</f>
        <v>Ella lo cierra y muestra cómo se mantiene en forma.</v>
      </c>
    </row>
    <row r="36124">
      <c r="A36124" s="4" t="s">
        <v>45438</v>
      </c>
      <c r="B36124" s="4" t="s">
        <v>6759</v>
      </c>
      <c r="C36124" s="5" t="str">
        <f>IFERROR(__xludf.DUMMYFUNCTION("GOOGLETRANSLATE(B36124,""en"",""es-ES"")"),"La gente está parada en un campo de hierba.")</f>
        <v>La gente está parada en un campo de hierba.</v>
      </c>
    </row>
    <row r="36125">
      <c r="A36125" s="4" t="s">
        <v>45438</v>
      </c>
      <c r="B36125" s="4" t="s">
        <v>45439</v>
      </c>
      <c r="C36125" s="5" t="str">
        <f>IFERROR(__xludf.DUMMYFUNCTION("GOOGLETRANSLATE(B36125,""en"",""es-ES"")"),"Un hombre recoge un poste largo y comienza a correr por una pista.")</f>
        <v>Un hombre recoge un poste largo y comienza a correr por una pista.</v>
      </c>
    </row>
    <row r="36126">
      <c r="A36126" s="4" t="s">
        <v>45438</v>
      </c>
      <c r="B36126" s="4" t="s">
        <v>45440</v>
      </c>
      <c r="C36126" s="5" t="str">
        <f>IFERROR(__xludf.DUMMYFUNCTION("GOOGLETRANSLATE(B36126,""en"",""es-ES"")"),"Salta sobre una barra alta y aterriza en una estera.")</f>
        <v>Salta sobre una barra alta y aterriza en una estera.</v>
      </c>
    </row>
    <row r="36127">
      <c r="A36127" s="4" t="s">
        <v>45441</v>
      </c>
      <c r="B36127" s="4" t="s">
        <v>45442</v>
      </c>
      <c r="C36127" s="5" t="str">
        <f>IFERROR(__xludf.DUMMYFUNCTION("GOOGLETRANSLATE(B36127,""en"",""es-ES"")"),"Se ve a varias personas montar en equipos de ejercicio mientras hablan con la cámara.")</f>
        <v>Se ve a varias personas montar en equipos de ejercicio mientras hablan con la cámara.</v>
      </c>
    </row>
    <row r="36128">
      <c r="A36128" s="4" t="s">
        <v>45441</v>
      </c>
      <c r="B36128" s="4" t="s">
        <v>45443</v>
      </c>
      <c r="C36128" s="5" t="str">
        <f>IFERROR(__xludf.DUMMYFUNCTION("GOOGLETRANSLATE(B36128,""en"",""es-ES"")"),"Se ve a un hombre hablando con la cámara mientras se muestran más tomas del equipo.")</f>
        <v>Se ve a un hombre hablando con la cámara mientras se muestran más tomas del equipo.</v>
      </c>
    </row>
    <row r="36129">
      <c r="A36129" s="4" t="s">
        <v>45441</v>
      </c>
      <c r="B36129" s="4" t="s">
        <v>45444</v>
      </c>
      <c r="C36129" s="5" t="str">
        <f>IFERROR(__xludf.DUMMYFUNCTION("GOOGLETRANSLATE(B36129,""en"",""es-ES"")"),"Las personas se mueven alrededor de la máquina y conducen con el hombre hablando más y mostrando cómo ajustar la máquina.")</f>
        <v>Las personas se mueven alrededor de la máquina y conducen con el hombre hablando más y mostrando cómo ajustar la máquina.</v>
      </c>
    </row>
    <row r="36130">
      <c r="A36130" s="4" t="s">
        <v>45445</v>
      </c>
      <c r="B36130" s="4" t="s">
        <v>45446</v>
      </c>
      <c r="C36130" s="5" t="str">
        <f>IFERROR(__xludf.DUMMYFUNCTION("GOOGLETRANSLATE(B36130,""en"",""es-ES"")"),"Algunas personas están jugando a Beer Bong pasando un buen rato, el hombre arroja al puño y lo convierte en la Copa de Girls.")</f>
        <v>Algunas personas están jugando a Beer Bong pasando un buen rato, el hombre arroja al puño y lo convierte en la Copa de Girls.</v>
      </c>
    </row>
    <row r="36131">
      <c r="A36131" s="4" t="s">
        <v>45445</v>
      </c>
      <c r="B36131" s="4" t="s">
        <v>45447</v>
      </c>
      <c r="C36131" s="5" t="str">
        <f>IFERROR(__xludf.DUMMYFUNCTION("GOOGLETRANSLATE(B36131,""en"",""es-ES"")"),"Ella bebe su bebida y luego se hace bola en agua antes de tirar su pelota.")</f>
        <v>Ella bebe su bebida y luego se hace bola en agua antes de tirar su pelota.</v>
      </c>
    </row>
    <row r="36132">
      <c r="A36132" s="4" t="s">
        <v>45445</v>
      </c>
      <c r="B36132" s="4" t="s">
        <v>45448</v>
      </c>
      <c r="C36132" s="5" t="str">
        <f>IFERROR(__xludf.DUMMYFUNCTION("GOOGLETRANSLATE(B36132,""en"",""es-ES"")"),"Luego, ella toma asiento y el otro tipo toma su turno.")</f>
        <v>Luego, ella toma asiento y el otro tipo toma su turno.</v>
      </c>
    </row>
    <row r="36133">
      <c r="A36133" s="4" t="s">
        <v>45445</v>
      </c>
      <c r="B36133" s="4" t="s">
        <v>45449</v>
      </c>
      <c r="C36133" s="5" t="str">
        <f>IFERROR(__xludf.DUMMYFUNCTION("GOOGLETRANSLATE(B36133,""en"",""es-ES"")"),"Luego es la niña de los otros equipos, siguen tomando su turno y bebiendo, pasando un buen rato.")</f>
        <v>Luego es la niña de los otros equipos, siguen tomando su turno y bebiendo, pasando un buen rato.</v>
      </c>
    </row>
    <row r="36134">
      <c r="A36134" s="4" t="s">
        <v>45450</v>
      </c>
      <c r="B36134" s="4" t="s">
        <v>45451</v>
      </c>
      <c r="C36134" s="5" t="str">
        <f>IFERROR(__xludf.DUMMYFUNCTION("GOOGLETRANSLATE(B36134,""en"",""es-ES"")"),"Vemos a una dama detrás de un bar hablando.")</f>
        <v>Vemos a una dama detrás de un bar hablando.</v>
      </c>
    </row>
    <row r="36135">
      <c r="A36135" s="4" t="s">
        <v>45450</v>
      </c>
      <c r="B36135" s="4" t="s">
        <v>45452</v>
      </c>
      <c r="C36135" s="5" t="str">
        <f>IFERROR(__xludf.DUMMYFUNCTION("GOOGLETRANSLATE(B36135,""en"",""es-ES"")"),"La señora vierte hielo en vidrio.")</f>
        <v>La señora vierte hielo en vidrio.</v>
      </c>
    </row>
    <row r="36136">
      <c r="A36136" s="4" t="s">
        <v>45450</v>
      </c>
      <c r="B36136" s="4" t="s">
        <v>45453</v>
      </c>
      <c r="C36136" s="5" t="str">
        <f>IFERROR(__xludf.DUMMYFUNCTION("GOOGLETRANSLATE(B36136,""en"",""es-ES"")"),"La señora vierte tres disparos de licor en una taza.")</f>
        <v>La señora vierte tres disparos de licor en una taza.</v>
      </c>
    </row>
    <row r="36137">
      <c r="A36137" s="4" t="s">
        <v>45450</v>
      </c>
      <c r="B36137" s="4" t="s">
        <v>45454</v>
      </c>
      <c r="C36137" s="5" t="str">
        <f>IFERROR(__xludf.DUMMYFUNCTION("GOOGLETRANSLATE(B36137,""en"",""es-ES"")"),"La señora vierte otras cosas y lo sacude.")</f>
        <v>La señora vierte otras cosas y lo sacude.</v>
      </c>
    </row>
    <row r="36138">
      <c r="A36138" s="4" t="s">
        <v>45450</v>
      </c>
      <c r="B36138" s="4" t="s">
        <v>45455</v>
      </c>
      <c r="C36138" s="5" t="str">
        <f>IFERROR(__xludf.DUMMYFUNCTION("GOOGLETRANSLATE(B36138,""en"",""es-ES"")"),"La señora vierte la bebida en un vaso.")</f>
        <v>La señora vierte la bebida en un vaso.</v>
      </c>
    </row>
    <row r="36139">
      <c r="A36139" s="4" t="s">
        <v>45450</v>
      </c>
      <c r="B36139" s="4" t="s">
        <v>45456</v>
      </c>
      <c r="C36139" s="5" t="str">
        <f>IFERROR(__xludf.DUMMYFUNCTION("GOOGLETRANSLATE(B36139,""en"",""es-ES"")"),"La señora agrega algunas cosas rojas.")</f>
        <v>La señora agrega algunas cosas rojas.</v>
      </c>
    </row>
    <row r="36140">
      <c r="A36140" s="4" t="s">
        <v>45450</v>
      </c>
      <c r="B36140" s="4" t="s">
        <v>45457</v>
      </c>
      <c r="C36140" s="5" t="str">
        <f>IFERROR(__xludf.DUMMYFUNCTION("GOOGLETRANSLATE(B36140,""en"",""es-ES"")"),"La señora sostiene el vaso y sonríe.")</f>
        <v>La señora sostiene el vaso y sonríe.</v>
      </c>
    </row>
    <row r="36141">
      <c r="A36141" s="4" t="s">
        <v>45458</v>
      </c>
      <c r="B36141" s="4" t="s">
        <v>45459</v>
      </c>
      <c r="C36141" s="5" t="str">
        <f>IFERROR(__xludf.DUMMYFUNCTION("GOOGLETRANSLATE(B36141,""en"",""es-ES"")"),"Los niños están jugando lanzando en un gran campo verde.")</f>
        <v>Los niños están jugando lanzando en un gran campo verde.</v>
      </c>
    </row>
    <row r="36142">
      <c r="A36142" s="4" t="s">
        <v>45458</v>
      </c>
      <c r="B36142" s="4" t="s">
        <v>45460</v>
      </c>
      <c r="C36142" s="5" t="str">
        <f>IFERROR(__xludf.DUMMYFUNCTION("GOOGLETRANSLATE(B36142,""en"",""es-ES"")"),"Los niños están lijando a Al frente a la portería para hacer un tiro gratis.")</f>
        <v>Los niños están lijando a Al frente a la portería para hacer un tiro gratis.</v>
      </c>
    </row>
    <row r="36143">
      <c r="A36143" s="4" t="s">
        <v>45458</v>
      </c>
      <c r="B36143" s="4" t="s">
        <v>45461</v>
      </c>
      <c r="C36143" s="5" t="str">
        <f>IFERROR(__xludf.DUMMYFUNCTION("GOOGLETRANSLATE(B36143,""en"",""es-ES"")"),"Los niños posan para una foto en el campo verde.")</f>
        <v>Los niños posan para una foto en el campo verde.</v>
      </c>
    </row>
    <row r="36144">
      <c r="A36144" s="4" t="s">
        <v>45462</v>
      </c>
      <c r="B36144" s="4" t="s">
        <v>45463</v>
      </c>
      <c r="C36144" s="5" t="str">
        <f>IFERROR(__xludf.DUMMYFUNCTION("GOOGLETRANSLATE(B36144,""en"",""es-ES"")"),"Un perro grande está de pie en una bañera.")</f>
        <v>Un perro grande está de pie en una bañera.</v>
      </c>
    </row>
    <row r="36145">
      <c r="A36145" s="4" t="s">
        <v>45462</v>
      </c>
      <c r="B36145" s="4" t="s">
        <v>45464</v>
      </c>
      <c r="C36145" s="5" t="str">
        <f>IFERROR(__xludf.DUMMYFUNCTION("GOOGLETRANSLATE(B36145,""en"",""es-ES"")"),"Una mujer con una camisa rosa está fregando al perro con jabón.")</f>
        <v>Una mujer con una camisa rosa está fregando al perro con jabón.</v>
      </c>
    </row>
    <row r="36146">
      <c r="A36146" s="4" t="s">
        <v>45462</v>
      </c>
      <c r="B36146" s="4" t="s">
        <v>45465</v>
      </c>
      <c r="C36146" s="5" t="str">
        <f>IFERROR(__xludf.DUMMYFUNCTION("GOOGLETRANSLATE(B36146,""en"",""es-ES"")"),"Luego comienza a lavar al perro con una manguera.")</f>
        <v>Luego comienza a lavar al perro con una manguera.</v>
      </c>
    </row>
    <row r="36147">
      <c r="A36147" s="4" t="s">
        <v>45466</v>
      </c>
      <c r="B36147" s="4" t="s">
        <v>45467</v>
      </c>
      <c r="C36147" s="5" t="str">
        <f>IFERROR(__xludf.DUMMYFUNCTION("GOOGLETRANSLATE(B36147,""en"",""es-ES"")"),"Una mujer está sentada en el piso con los zapatos apagados.")</f>
        <v>Una mujer está sentada en el piso con los zapatos apagados.</v>
      </c>
    </row>
    <row r="36148">
      <c r="A36148" s="4" t="s">
        <v>45466</v>
      </c>
      <c r="B36148" s="4" t="s">
        <v>45468</v>
      </c>
      <c r="C36148" s="5" t="str">
        <f>IFERROR(__xludf.DUMMYFUNCTION("GOOGLETRANSLATE(B36148,""en"",""es-ES"")"),"La mujer se pone un zapato.")</f>
        <v>La mujer se pone un zapato.</v>
      </c>
    </row>
    <row r="36149">
      <c r="A36149" s="4" t="s">
        <v>45466</v>
      </c>
      <c r="B36149" s="4" t="s">
        <v>45469</v>
      </c>
      <c r="C36149" s="5" t="str">
        <f>IFERROR(__xludf.DUMMYFUNCTION("GOOGLETRANSLATE(B36149,""en"",""es-ES"")"),"Algo se arroja a la mujer e intenta atraparlo.")</f>
        <v>Algo se arroja a la mujer e intenta atraparlo.</v>
      </c>
    </row>
    <row r="36150">
      <c r="A36150" s="4" t="s">
        <v>45466</v>
      </c>
      <c r="B36150" s="4" t="s">
        <v>45470</v>
      </c>
      <c r="C36150" s="5" t="str">
        <f>IFERROR(__xludf.DUMMYFUNCTION("GOOGLETRANSLATE(B36150,""en"",""es-ES"")"),"La cámara cambia brevemente a la derecha para mostrar a otro individuo.")</f>
        <v>La cámara cambia brevemente a la derecha para mostrar a otro individuo.</v>
      </c>
    </row>
    <row r="36151">
      <c r="A36151" s="4" t="s">
        <v>45466</v>
      </c>
      <c r="B36151" s="4" t="s">
        <v>45471</v>
      </c>
      <c r="C36151" s="5" t="str">
        <f>IFERROR(__xludf.DUMMYFUNCTION("GOOGLETRANSLATE(B36151,""en"",""es-ES"")"),"La cámara regresa a la mujer que todavía se pone el zapato.")</f>
        <v>La cámara regresa a la mujer que todavía se pone el zapato.</v>
      </c>
    </row>
    <row r="36152">
      <c r="A36152" s="4" t="s">
        <v>45466</v>
      </c>
      <c r="B36152" s="4" t="s">
        <v>45472</v>
      </c>
      <c r="C36152" s="5" t="str">
        <f>IFERROR(__xludf.DUMMYFUNCTION("GOOGLETRANSLATE(B36152,""en"",""es-ES"")"),"La cámara cambia directamente a varias personas en la habitación, esperando que la mujer se ponga los zapatos.")</f>
        <v>La cámara cambia directamente a varias personas en la habitación, esperando que la mujer se ponga los zapatos.</v>
      </c>
    </row>
    <row r="36153">
      <c r="A36153" s="4" t="s">
        <v>45466</v>
      </c>
      <c r="B36153" s="4" t="s">
        <v>45473</v>
      </c>
      <c r="C36153" s="5" t="str">
        <f>IFERROR(__xludf.DUMMYFUNCTION("GOOGLETRANSLATE(B36153,""en"",""es-ES"")"),"La cámara vuelve a la mujer, todavía poniendo su zapato.")</f>
        <v>La cámara vuelve a la mujer, todavía poniendo su zapato.</v>
      </c>
    </row>
    <row r="36154">
      <c r="A36154" s="4" t="s">
        <v>45466</v>
      </c>
      <c r="B36154" s="4" t="s">
        <v>45474</v>
      </c>
      <c r="C36154" s="5" t="str">
        <f>IFERROR(__xludf.DUMMYFUNCTION("GOOGLETRANSLATE(B36154,""en"",""es-ES"")"),"La mujer comienza a ponerse el otro zapato.")</f>
        <v>La mujer comienza a ponerse el otro zapato.</v>
      </c>
    </row>
    <row r="36155">
      <c r="A36155" s="4" t="s">
        <v>45475</v>
      </c>
      <c r="B36155" s="4" t="s">
        <v>45476</v>
      </c>
      <c r="C36155" s="5" t="str">
        <f>IFERROR(__xludf.DUMMYFUNCTION("GOOGLETRANSLATE(B36155,""en"",""es-ES"")"),"Una diapositiva de imágenes muestra una banda de música y chicas que se mueven.")</f>
        <v>Una diapositiva de imágenes muestra una banda de música y chicas que se mueven.</v>
      </c>
    </row>
    <row r="36156">
      <c r="A36156" s="4" t="s">
        <v>45475</v>
      </c>
      <c r="B36156" s="4" t="s">
        <v>45477</v>
      </c>
      <c r="C36156" s="5" t="str">
        <f>IFERROR(__xludf.DUMMYFUNCTION("GOOGLETRANSLATE(B36156,""en"",""es-ES"")"),"Luego, las bandas de marcha son y las chicas actúan con banderas.")</f>
        <v>Luego, las bandas de marcha son y las chicas actúan con banderas.</v>
      </c>
    </row>
    <row r="36157">
      <c r="A36157" s="4" t="s">
        <v>45478</v>
      </c>
      <c r="B36157" s="4" t="s">
        <v>45479</v>
      </c>
      <c r="C36157" s="5" t="str">
        <f>IFERROR(__xludf.DUMMYFUNCTION("GOOGLETRANSLATE(B36157,""en"",""es-ES"")"),"Una joven está parada en un campo de tierra con un hacha en la mano intentando cortar un tronco.")</f>
        <v>Una joven está parada en un campo de tierra con un hacha en la mano intentando cortar un tronco.</v>
      </c>
    </row>
    <row r="36158">
      <c r="A36158" s="4" t="s">
        <v>45478</v>
      </c>
      <c r="B36158" s="4" t="s">
        <v>45480</v>
      </c>
      <c r="C36158" s="5" t="str">
        <f>IFERROR(__xludf.DUMMYFUNCTION("GOOGLETRANSLATE(B36158,""en"",""es-ES"")"),"La niña no tiene éxito en su primer intento, por lo que recoge el registro y lo intenta nuevamente.")</f>
        <v>La niña no tiene éxito en su primer intento, por lo que recoge el registro y lo intenta nuevamente.</v>
      </c>
    </row>
    <row r="36159">
      <c r="A36159" s="4" t="s">
        <v>45481</v>
      </c>
      <c r="B36159" s="4" t="s">
        <v>45482</v>
      </c>
      <c r="C36159" s="5" t="str">
        <f>IFERROR(__xludf.DUMMYFUNCTION("GOOGLETRANSLATE(B36159,""en"",""es-ES"")"),"Se ve a un grupo de personas cabalgando en tubos mientras se empujan por un buzo.")</f>
        <v>Se ve a un grupo de personas cabalgando en tubos mientras se empujan por un buzo.</v>
      </c>
    </row>
    <row r="36160">
      <c r="A36160" s="4" t="s">
        <v>45481</v>
      </c>
      <c r="B36160" s="4" t="s">
        <v>45483</v>
      </c>
      <c r="C36160" s="5" t="str">
        <f>IFERROR(__xludf.DUMMYFUNCTION("GOOGLETRANSLATE(B36160,""en"",""es-ES"")"),"La gente continúa montando en los tubos río abajo mientras mira hacia la cámara, así como riendo y sonriendo.")</f>
        <v>La gente continúa montando en los tubos río abajo mientras mira hacia la cámara, así como riendo y sonriendo.</v>
      </c>
    </row>
    <row r="36161">
      <c r="A36161" s="4" t="s">
        <v>45484</v>
      </c>
      <c r="B36161" s="4" t="s">
        <v>45485</v>
      </c>
      <c r="C36161" s="5" t="str">
        <f>IFERROR(__xludf.DUMMYFUNCTION("GOOGLETRANSLATE(B36161,""en"",""es-ES"")"),"Un hombre que usa negro está en un gimnasio.")</f>
        <v>Un hombre que usa negro está en un gimnasio.</v>
      </c>
    </row>
    <row r="36162">
      <c r="A36162" s="4" t="s">
        <v>45484</v>
      </c>
      <c r="B36162" s="4" t="s">
        <v>45486</v>
      </c>
      <c r="C36162" s="5" t="str">
        <f>IFERROR(__xludf.DUMMYFUNCTION("GOOGLETRANSLATE(B36162,""en"",""es-ES"")"),"Él recoge algunas pesas pesadas.")</f>
        <v>Él recoge algunas pesas pesadas.</v>
      </c>
    </row>
    <row r="36163">
      <c r="A36163" s="4" t="s">
        <v>45484</v>
      </c>
      <c r="B36163" s="4" t="s">
        <v>45487</v>
      </c>
      <c r="C36163" s="5" t="str">
        <f>IFERROR(__xludf.DUMMYFUNCTION("GOOGLETRANSLATE(B36163,""en"",""es-ES"")"),"Levanta las barras sobre su cabeza.")</f>
        <v>Levanta las barras sobre su cabeza.</v>
      </c>
    </row>
    <row r="36164">
      <c r="A36164" s="4" t="s">
        <v>45484</v>
      </c>
      <c r="B36164" s="4" t="s">
        <v>45488</v>
      </c>
      <c r="C36164" s="5" t="str">
        <f>IFERROR(__xludf.DUMMYFUNCTION("GOOGLETRANSLATE(B36164,""en"",""es-ES"")"),"Luego deja caer las barras sobre el suelo.")</f>
        <v>Luego deja caer las barras sobre el suelo.</v>
      </c>
    </row>
    <row r="36165">
      <c r="A36165" s="4" t="s">
        <v>45489</v>
      </c>
      <c r="B36165" s="4" t="s">
        <v>45490</v>
      </c>
      <c r="C36165" s="5" t="str">
        <f>IFERROR(__xludf.DUMMYFUNCTION("GOOGLETRANSLATE(B36165,""en"",""es-ES"")"),"Un hombre sale de un edificio y comienza a patinar.")</f>
        <v>Un hombre sale de un edificio y comienza a patinar.</v>
      </c>
    </row>
    <row r="36166">
      <c r="A36166" s="4" t="s">
        <v>45489</v>
      </c>
      <c r="B36166" s="4" t="s">
        <v>45491</v>
      </c>
      <c r="C36166" s="5" t="str">
        <f>IFERROR(__xludf.DUMMYFUNCTION("GOOGLETRANSLATE(B36166,""en"",""es-ES"")"),"Está patinando entre autos.")</f>
        <v>Está patinando entre autos.</v>
      </c>
    </row>
    <row r="36167">
      <c r="A36167" s="4" t="s">
        <v>45489</v>
      </c>
      <c r="B36167" s="4" t="s">
        <v>45492</v>
      </c>
      <c r="C36167" s="5" t="str">
        <f>IFERROR(__xludf.DUMMYFUNCTION("GOOGLETRANSLATE(B36167,""en"",""es-ES"")"),"Entra en un edificio y se sienta en una computadora.")</f>
        <v>Entra en un edificio y se sienta en una computadora.</v>
      </c>
    </row>
    <row r="36168">
      <c r="A36168" s="4" t="s">
        <v>45493</v>
      </c>
      <c r="B36168" s="4" t="s">
        <v>45494</v>
      </c>
      <c r="C36168" s="5" t="str">
        <f>IFERROR(__xludf.DUMMYFUNCTION("GOOGLETRANSLATE(B36168,""en"",""es-ES"")"),"Vemos a una dama tejiendo y cantando.")</f>
        <v>Vemos a una dama tejiendo y cantando.</v>
      </c>
    </row>
    <row r="36169">
      <c r="A36169" s="4" t="s">
        <v>45493</v>
      </c>
      <c r="B36169" s="4" t="s">
        <v>45495</v>
      </c>
      <c r="C36169" s="5" t="str">
        <f>IFERROR(__xludf.DUMMYFUNCTION("GOOGLETRANSLATE(B36169,""en"",""es-ES"")"),"Luego vemos un anuncio para una cerveza.")</f>
        <v>Luego vemos un anuncio para una cerveza.</v>
      </c>
    </row>
    <row r="36170">
      <c r="A36170" s="4" t="s">
        <v>45496</v>
      </c>
      <c r="B36170" s="4" t="s">
        <v>45497</v>
      </c>
      <c r="C36170" s="5" t="str">
        <f>IFERROR(__xludf.DUMMYFUNCTION("GOOGLETRANSLATE(B36170,""en"",""es-ES"")"),"Dos personas están en una habitación, con equipos de esgrima.")</f>
        <v>Dos personas están en una habitación, con equipos de esgrima.</v>
      </c>
    </row>
    <row r="36171">
      <c r="A36171" s="4" t="s">
        <v>45496</v>
      </c>
      <c r="B36171" s="4" t="s">
        <v>45498</v>
      </c>
      <c r="C36171" s="5" t="str">
        <f>IFERROR(__xludf.DUMMYFUNCTION("GOOGLETRANSLATE(B36171,""en"",""es-ES"")"),"Luchan con espadas, pasando de un lado a otro mientras se golpean el uno al otro.")</f>
        <v>Luchan con espadas, pasando de un lado a otro mientras se golpean el uno al otro.</v>
      </c>
    </row>
    <row r="36172">
      <c r="A36172" s="4" t="s">
        <v>45499</v>
      </c>
      <c r="B36172" s="4" t="s">
        <v>45500</v>
      </c>
      <c r="C36172" s="5" t="str">
        <f>IFERROR(__xludf.DUMMYFUNCTION("GOOGLETRANSLATE(B36172,""en"",""es-ES"")"),"Una cámara muestra a un grupo de personas sentadas alrededor de un piso de gimnasio con unos pocos de pie y una cruzando los brazos.")</f>
        <v>Una cámara muestra a un grupo de personas sentadas alrededor de un piso de gimnasio con unos pocos de pie y una cruzando los brazos.</v>
      </c>
    </row>
    <row r="36173">
      <c r="A36173" s="4" t="s">
        <v>45499</v>
      </c>
      <c r="B36173" s="4" t="s">
        <v>45501</v>
      </c>
      <c r="C36173" s="5" t="str">
        <f>IFERROR(__xludf.DUMMYFUNCTION("GOOGLETRANSLATE(B36173,""en"",""es-ES"")"),"De repente, un estudiante entra en el marco y salta sobre un poste a una colchoneta.")</f>
        <v>De repente, un estudiante entra en el marco y salta sobre un poste a una colchoneta.</v>
      </c>
    </row>
    <row r="36174">
      <c r="A36174" s="4" t="s">
        <v>45502</v>
      </c>
      <c r="B36174" s="4" t="s">
        <v>45503</v>
      </c>
      <c r="C36174" s="5" t="str">
        <f>IFERROR(__xludf.DUMMYFUNCTION("GOOGLETRANSLATE(B36174,""en"",""es-ES"")"),"Un hombre comienza a hacer cosas diferentes, como estornudar, cocinar, usar el baño y lavarse la cara que indica cuándo lavarse las manos.")</f>
        <v>Un hombre comienza a hacer cosas diferentes, como estornudar, cocinar, usar el baño y lavarse la cara que indica cuándo lavarse las manos.</v>
      </c>
    </row>
    <row r="36175">
      <c r="A36175" s="4" t="s">
        <v>45502</v>
      </c>
      <c r="B36175" s="4" t="s">
        <v>45504</v>
      </c>
      <c r="C36175" s="5" t="str">
        <f>IFERROR(__xludf.DUMMYFUNCTION("GOOGLETRANSLATE(B36175,""en"",""es-ES"")"),"Luego viene una mujer y camina hacia un fregadero en la cocina y comienza a enjuague las manos.")</f>
        <v>Luego viene una mujer y camina hacia un fregadero en la cocina y comienza a enjuague las manos.</v>
      </c>
    </row>
    <row r="36176">
      <c r="A36176" s="4" t="s">
        <v>45502</v>
      </c>
      <c r="B36176" s="4" t="s">
        <v>45505</v>
      </c>
      <c r="C36176" s="5" t="str">
        <f>IFERROR(__xludf.DUMMYFUNCTION("GOOGLETRANSLATE(B36176,""en"",""es-ES"")"),"Luego enciende el grifo y enjuague sus manos, las seca y pone la servilleta en el bote de basura.")</f>
        <v>Luego enciende el grifo y enjuague sus manos, las seca y pone la servilleta en el bote de basura.</v>
      </c>
    </row>
    <row r="36177">
      <c r="A36177" s="4" t="s">
        <v>45506</v>
      </c>
      <c r="B36177" s="4" t="s">
        <v>45507</v>
      </c>
      <c r="C36177" s="5" t="str">
        <f>IFERROR(__xludf.DUMMYFUNCTION("GOOGLETRANSLATE(B36177,""en"",""es-ES"")"),"Se ve a una persona vistiendo un paquete trasero y que se aleja de la cámara en las cuchillas de los rodillos.")</f>
        <v>Se ve a una persona vistiendo un paquete trasero y que se aleja de la cámara en las cuchillas de los rodillos.</v>
      </c>
    </row>
    <row r="36178">
      <c r="A36178" s="4" t="s">
        <v>45506</v>
      </c>
      <c r="B36178" s="4" t="s">
        <v>45508</v>
      </c>
      <c r="C36178" s="5" t="str">
        <f>IFERROR(__xludf.DUMMYFUNCTION("GOOGLETRANSLATE(B36178,""en"",""es-ES"")"),"La persona luego se mueve hacia atrás y se coloca en un letrero que se balanceaba y luego sonríe a la cámara.")</f>
        <v>La persona luego se mueve hacia atrás y se coloca en un letrero que se balanceaba y luego sonríe a la cámara.</v>
      </c>
    </row>
    <row r="36179">
      <c r="A36179" s="4" t="s">
        <v>45509</v>
      </c>
      <c r="B36179" s="4" t="s">
        <v>45510</v>
      </c>
      <c r="C36179" s="5" t="str">
        <f>IFERROR(__xludf.DUMMYFUNCTION("GOOGLETRANSLATE(B36179,""en"",""es-ES"")"),"Un hombre lleva un chaleco de seguridad.")</f>
        <v>Un hombre lleva un chaleco de seguridad.</v>
      </c>
    </row>
    <row r="36180">
      <c r="A36180" s="4" t="s">
        <v>45509</v>
      </c>
      <c r="B36180" s="4" t="s">
        <v>45511</v>
      </c>
      <c r="C36180" s="5" t="str">
        <f>IFERROR(__xludf.DUMMYFUNCTION("GOOGLETRANSLATE(B36180,""en"",""es-ES"")"),"Está trabajando con herramientas y arena.")</f>
        <v>Está trabajando con herramientas y arena.</v>
      </c>
    </row>
    <row r="36181">
      <c r="A36181" s="4" t="s">
        <v>45509</v>
      </c>
      <c r="B36181" s="4" t="s">
        <v>45512</v>
      </c>
      <c r="C36181" s="5" t="str">
        <f>IFERROR(__xludf.DUMMYFUNCTION("GOOGLETRANSLATE(B36181,""en"",""es-ES"")"),"Utiliza la arena para extenderse uniformemente contra las paredes.")</f>
        <v>Utiliza la arena para extenderse uniformemente contra las paredes.</v>
      </c>
    </row>
    <row r="36182">
      <c r="A36182" s="4" t="s">
        <v>45513</v>
      </c>
      <c r="B36182" s="4" t="s">
        <v>45514</v>
      </c>
      <c r="C36182" s="5" t="str">
        <f>IFERROR(__xludf.DUMMYFUNCTION("GOOGLETRANSLATE(B36182,""en"",""es-ES"")"),"Vemos a una persona soldar en la oscuridad.")</f>
        <v>Vemos a una persona soldar en la oscuridad.</v>
      </c>
    </row>
    <row r="36183">
      <c r="A36183" s="4" t="s">
        <v>45513</v>
      </c>
      <c r="B36183" s="4" t="s">
        <v>45515</v>
      </c>
      <c r="C36183" s="5" t="str">
        <f>IFERROR(__xludf.DUMMYFUNCTION("GOOGLETRANSLATE(B36183,""en"",""es-ES"")"),"La persona hace una pausa y ajusta su casco.")</f>
        <v>La persona hace una pausa y ajusta su casco.</v>
      </c>
    </row>
    <row r="36184">
      <c r="A36184" s="4" t="s">
        <v>45513</v>
      </c>
      <c r="B36184" s="4" t="s">
        <v>45516</v>
      </c>
      <c r="C36184" s="5" t="str">
        <f>IFERROR(__xludf.DUMMYFUNCTION("GOOGLETRANSLATE(B36184,""en"",""es-ES"")"),"El hombre levanta el casco brevemente.")</f>
        <v>El hombre levanta el casco brevemente.</v>
      </c>
    </row>
    <row r="36185">
      <c r="A36185" s="4" t="s">
        <v>45513</v>
      </c>
      <c r="B36185" s="4" t="s">
        <v>45517</v>
      </c>
      <c r="C36185" s="5" t="str">
        <f>IFERROR(__xludf.DUMMYFUNCTION("GOOGLETRANSLATE(B36185,""en"",""es-ES"")"),"El hombre levanta y baja su casco.")</f>
        <v>El hombre levanta y baja su casco.</v>
      </c>
    </row>
    <row r="36186">
      <c r="A36186" s="4" t="s">
        <v>45513</v>
      </c>
      <c r="B36186" s="4" t="s">
        <v>45518</v>
      </c>
      <c r="C36186" s="5" t="str">
        <f>IFERROR(__xludf.DUMMYFUNCTION("GOOGLETRANSLATE(B36186,""en"",""es-ES"")"),"El hombre mira desde debajo de su casco.")</f>
        <v>El hombre mira desde debajo de su casco.</v>
      </c>
    </row>
    <row r="36187">
      <c r="A36187" s="4" t="s">
        <v>45513</v>
      </c>
      <c r="B36187" s="4" t="s">
        <v>45519</v>
      </c>
      <c r="C36187" s="5" t="str">
        <f>IFERROR(__xludf.DUMMYFUNCTION("GOOGLETRANSLATE(B36187,""en"",""es-ES"")"),"El hombre termina y levanta el casco.")</f>
        <v>El hombre termina y levanta el casco.</v>
      </c>
    </row>
    <row r="36188">
      <c r="A36188" s="4" t="s">
        <v>45520</v>
      </c>
      <c r="B36188" s="4" t="s">
        <v>45521</v>
      </c>
      <c r="C36188" s="5" t="str">
        <f>IFERROR(__xludf.DUMMYFUNCTION("GOOGLETRANSLATE(B36188,""en"",""es-ES"")"),"Un macho une un palo hueco en un toro que lo persigue.")</f>
        <v>Un macho une un palo hueco en un toro que lo persigue.</v>
      </c>
    </row>
    <row r="36189">
      <c r="A36189" s="4" t="s">
        <v>45520</v>
      </c>
      <c r="B36189" s="4" t="s">
        <v>45522</v>
      </c>
      <c r="C36189" s="5" t="str">
        <f>IFERROR(__xludf.DUMMYFUNCTION("GOOGLETRANSLATE(B36189,""en"",""es-ES"")"),"Un chico se mete con un toro.")</f>
        <v>Un chico se mete con un toro.</v>
      </c>
    </row>
    <row r="36190">
      <c r="A36190" s="4" t="s">
        <v>45520</v>
      </c>
      <c r="B36190" s="4" t="s">
        <v>45523</v>
      </c>
      <c r="C36190" s="5" t="str">
        <f>IFERROR(__xludf.DUMMYFUNCTION("GOOGLETRANSLATE(B36190,""en"",""es-ES"")"),"Un toro empuja a un hombre hacia abajo.")</f>
        <v>Un toro empuja a un hombre hacia abajo.</v>
      </c>
    </row>
    <row r="36191">
      <c r="A36191" s="4" t="s">
        <v>45520</v>
      </c>
      <c r="B36191" s="4" t="s">
        <v>45524</v>
      </c>
      <c r="C36191" s="5" t="str">
        <f>IFERROR(__xludf.DUMMYFUNCTION("GOOGLETRANSLATE(B36191,""en"",""es-ES"")"),"El público aplaude mientras está de pie.")</f>
        <v>El público aplaude mientras está de pie.</v>
      </c>
    </row>
    <row r="36192">
      <c r="A36192" s="4" t="s">
        <v>45520</v>
      </c>
      <c r="B36192" s="4" t="s">
        <v>45525</v>
      </c>
      <c r="C36192" s="5" t="str">
        <f>IFERROR(__xludf.DUMMYFUNCTION("GOOGLETRANSLATE(B36192,""en"",""es-ES"")"),"El toro se atrae a un bolígrafo y las puertas están cerca.")</f>
        <v>El toro se atrae a un bolígrafo y las puertas están cerca.</v>
      </c>
    </row>
    <row r="36193">
      <c r="A36193" s="4" t="s">
        <v>45520</v>
      </c>
      <c r="B36193" s="4" t="s">
        <v>45526</v>
      </c>
      <c r="C36193" s="5" t="str">
        <f>IFERROR(__xludf.DUMMYFUNCTION("GOOGLETRANSLATE(B36193,""en"",""es-ES"")"),"El macho da un pulgar hacia arriba y sonríe.")</f>
        <v>El macho da un pulgar hacia arriba y sonríe.</v>
      </c>
    </row>
    <row r="36194">
      <c r="A36194" s="4" t="s">
        <v>45520</v>
      </c>
      <c r="B36194" s="4" t="s">
        <v>45527</v>
      </c>
      <c r="C36194" s="5" t="str">
        <f>IFERROR(__xludf.DUMMYFUNCTION("GOOGLETRANSLATE(B36194,""en"",""es-ES"")"),"Un macho adjunta dos palos huecos en un toro y se escapa.")</f>
        <v>Un macho adjunta dos palos huecos en un toro y se escapa.</v>
      </c>
    </row>
    <row r="36195">
      <c r="A36195" s="4" t="s">
        <v>45520</v>
      </c>
      <c r="B36195" s="4" t="s">
        <v>45528</v>
      </c>
      <c r="C36195" s="5" t="str">
        <f>IFERROR(__xludf.DUMMYFUNCTION("GOOGLETRANSLATE(B36195,""en"",""es-ES"")"),"El toro aborda al macho.")</f>
        <v>El toro aborda al macho.</v>
      </c>
    </row>
    <row r="36196">
      <c r="A36196" s="4" t="s">
        <v>45520</v>
      </c>
      <c r="B36196" s="4" t="s">
        <v>45529</v>
      </c>
      <c r="C36196" s="5" t="str">
        <f>IFERROR(__xludf.DUMMYFUNCTION("GOOGLETRANSLATE(B36196,""en"",""es-ES"")"),"El hombre se levanta y su rostro está sangriento.")</f>
        <v>El hombre se levanta y su rostro está sangriento.</v>
      </c>
    </row>
    <row r="36197">
      <c r="A36197" s="4" t="s">
        <v>45520</v>
      </c>
      <c r="B36197" s="4" t="s">
        <v>45530</v>
      </c>
      <c r="C36197" s="5" t="str">
        <f>IFERROR(__xludf.DUMMYFUNCTION("GOOGLETRANSLATE(B36197,""en"",""es-ES"")"),"La gente ayuda al hombre y lo lleva lejos.")</f>
        <v>La gente ayuda al hombre y lo lleva lejos.</v>
      </c>
    </row>
    <row r="36198">
      <c r="A36198" s="4" t="s">
        <v>45520</v>
      </c>
      <c r="B36198" s="4" t="s">
        <v>45531</v>
      </c>
      <c r="C36198" s="5" t="str">
        <f>IFERROR(__xludf.DUMMYFUNCTION("GOOGLETRANSLATE(B36198,""en"",""es-ES"")"),"El macho deja un zapato negro detrás.")</f>
        <v>El macho deja un zapato negro detrás.</v>
      </c>
    </row>
    <row r="36199">
      <c r="A36199" s="4" t="s">
        <v>45520</v>
      </c>
      <c r="B36199" s="4" t="s">
        <v>45532</v>
      </c>
      <c r="C36199" s="5" t="str">
        <f>IFERROR(__xludf.DUMMYFUNCTION("GOOGLETRANSLATE(B36199,""en"",""es-ES"")"),"La gente discute en un círculo.")</f>
        <v>La gente discute en un círculo.</v>
      </c>
    </row>
    <row r="36200">
      <c r="A36200" s="4" t="s">
        <v>45520</v>
      </c>
      <c r="B36200" s="4" t="s">
        <v>45533</v>
      </c>
      <c r="C36200" s="5" t="str">
        <f>IFERROR(__xludf.DUMMYFUNCTION("GOOGLETRANSLATE(B36200,""en"",""es-ES"")"),"El hombre asiente con la cabeza.")</f>
        <v>El hombre asiente con la cabeza.</v>
      </c>
    </row>
    <row r="36201">
      <c r="A36201" s="4" t="s">
        <v>45520</v>
      </c>
      <c r="B36201" s="4" t="s">
        <v>45534</v>
      </c>
      <c r="C36201" s="5" t="str">
        <f>IFERROR(__xludf.DUMMYFUNCTION("GOOGLETRANSLATE(B36201,""en"",""es-ES"")"),"La gente sale de la tierra del rodeo y el hombre se cubre la nariz.")</f>
        <v>La gente sale de la tierra del rodeo y el hombre se cubre la nariz.</v>
      </c>
    </row>
    <row r="36202">
      <c r="A36202" s="4" t="s">
        <v>45535</v>
      </c>
      <c r="B36202" s="4" t="s">
        <v>45536</v>
      </c>
      <c r="C36202" s="5" t="str">
        <f>IFERROR(__xludf.DUMMYFUNCTION("GOOGLETRANSLATE(B36202,""en"",""es-ES"")"),"Un equipo de animadoras de la competencia sale corriendo al campo y se forman en la formación.")</f>
        <v>Un equipo de animadoras de la competencia sale corriendo al campo y se forman en la formación.</v>
      </c>
    </row>
    <row r="36203">
      <c r="A36203" s="4" t="s">
        <v>45535</v>
      </c>
      <c r="B36203" s="4" t="s">
        <v>45537</v>
      </c>
      <c r="C36203" s="5" t="str">
        <f>IFERROR(__xludf.DUMMYFUNCTION("GOOGLETRANSLATE(B36203,""en"",""es-ES"")"),"Las chicas se ponen en custodia y comienzan a hacer su alegría, lo que consiste en varias acrobacias, trucos y salta por la colchoneta.")</f>
        <v>Las chicas se ponen en custodia y comienzan a hacer su alegría, lo que consiste en varias acrobacias, trucos y salta por la colchoneta.</v>
      </c>
    </row>
    <row r="36204">
      <c r="A36204" s="4" t="s">
        <v>45535</v>
      </c>
      <c r="B36204" s="4" t="s">
        <v>45538</v>
      </c>
      <c r="C36204" s="5" t="str">
        <f>IFERROR(__xludf.DUMMYFUNCTION("GOOGLETRANSLATE(B36204,""en"",""es-ES"")"),"Una vez que terminan, las chicas terminan en un truco y el truco sale corriendo al grupo.")</f>
        <v>Una vez que terminan, las chicas terminan en un truco y el truco sale corriendo al grupo.</v>
      </c>
    </row>
    <row r="36205">
      <c r="A36205" s="4" t="s">
        <v>45539</v>
      </c>
      <c r="B36205" s="4" t="s">
        <v>45540</v>
      </c>
      <c r="C36205" s="5" t="str">
        <f>IFERROR(__xludf.DUMMYFUNCTION("GOOGLETRANSLATE(B36205,""en"",""es-ES"")"),"Little Kid está colgando de un poste en un patio de recreo.")</f>
        <v>Little Kid está colgando de un poste en un patio de recreo.</v>
      </c>
    </row>
    <row r="36206">
      <c r="A36206" s="4" t="s">
        <v>45539</v>
      </c>
      <c r="B36206" s="4" t="s">
        <v>45541</v>
      </c>
      <c r="C36206" s="5" t="str">
        <f>IFERROR(__xludf.DUMMYFUNCTION("GOOGLETRANSLATE(B36206,""en"",""es-ES"")"),"El patio de recreo se muestra en un campo polvoriento en un gran parque.")</f>
        <v>El patio de recreo se muestra en un campo polvoriento en un gran parque.</v>
      </c>
    </row>
    <row r="36207">
      <c r="A36207" s="4" t="s">
        <v>45539</v>
      </c>
      <c r="B36207" s="4" t="s">
        <v>45542</v>
      </c>
      <c r="C36207" s="5" t="str">
        <f>IFERROR(__xludf.DUMMYFUNCTION("GOOGLETRANSLATE(B36207,""en"",""es-ES"")"),"Little Kid es una camisa rosa Wearng y colgando de un lado a otro.")</f>
        <v>Little Kid es una camisa rosa Wearng y colgando de un lado a otro.</v>
      </c>
    </row>
    <row r="36208">
      <c r="A36208" s="4" t="s">
        <v>45543</v>
      </c>
      <c r="B36208" s="4" t="s">
        <v>45544</v>
      </c>
      <c r="C36208" s="5" t="str">
        <f>IFERROR(__xludf.DUMMYFUNCTION("GOOGLETRANSLATE(B36208,""en"",""es-ES"")"),"Joe Morin de Titan Alloy está hablando de soldar aluminio.")</f>
        <v>Joe Morin de Titan Alloy está hablando de soldar aluminio.</v>
      </c>
    </row>
    <row r="36209">
      <c r="A36209" s="4" t="s">
        <v>45543</v>
      </c>
      <c r="B36209" s="4" t="s">
        <v>45545</v>
      </c>
      <c r="C36209" s="5" t="str">
        <f>IFERROR(__xludf.DUMMYFUNCTION("GOOGLETRANSLATE(B36209,""en"",""es-ES"")"),"Está haciendo un tutorial sobre cómo arreglar el aluminio.")</f>
        <v>Está haciendo un tutorial sobre cómo arreglar el aluminio.</v>
      </c>
    </row>
    <row r="36210">
      <c r="A36210" s="4" t="s">
        <v>45543</v>
      </c>
      <c r="B36210" s="4" t="s">
        <v>45546</v>
      </c>
      <c r="C36210" s="5" t="str">
        <f>IFERROR(__xludf.DUMMYFUNCTION("GOOGLETRANSLATE(B36210,""en"",""es-ES"")"),"Muestra un nuevo producto llamado Nova, que es un electrodo para limpiar el aluminio sucio.")</f>
        <v>Muestra un nuevo producto llamado Nova, que es un electrodo para limpiar el aluminio sucio.</v>
      </c>
    </row>
    <row r="36211">
      <c r="A36211" s="4" t="s">
        <v>45543</v>
      </c>
      <c r="B36211" s="4" t="s">
        <v>45547</v>
      </c>
      <c r="C36211" s="5" t="str">
        <f>IFERROR(__xludf.DUMMYFUNCTION("GOOGLETRANSLATE(B36211,""en"",""es-ES"")"),"Muestra dos placas de aluminio que se unen con fines de demostración.")</f>
        <v>Muestra dos placas de aluminio que se unen con fines de demostración.</v>
      </c>
    </row>
    <row r="36212">
      <c r="A36212" s="4" t="s">
        <v>45543</v>
      </c>
      <c r="B36212" s="4" t="s">
        <v>45548</v>
      </c>
      <c r="C36212" s="5" t="str">
        <f>IFERROR(__xludf.DUMMYFUNCTION("GOOGLETRANSLATE(B36212,""en"",""es-ES"")"),"Toma la barra Nova y muestra cómo puede soldar las dos piezas juntas.")</f>
        <v>Toma la barra Nova y muestra cómo puede soldar las dos piezas juntas.</v>
      </c>
    </row>
    <row r="36213">
      <c r="A36213" s="4" t="s">
        <v>45543</v>
      </c>
      <c r="B36213" s="4" t="s">
        <v>45549</v>
      </c>
      <c r="C36213" s="5" t="str">
        <f>IFERROR(__xludf.DUMMYFUNCTION("GOOGLETRANSLATE(B36213,""en"",""es-ES"")"),"Comienza a soldar las dos placas de aluminio.")</f>
        <v>Comienza a soldar las dos placas de aluminio.</v>
      </c>
    </row>
    <row r="36214">
      <c r="A36214" s="4" t="s">
        <v>45543</v>
      </c>
      <c r="B36214" s="4" t="s">
        <v>45550</v>
      </c>
      <c r="C36214" s="5" t="str">
        <f>IFERROR(__xludf.DUMMYFUNCTION("GOOGLETRANSLATE(B36214,""en"",""es-ES"")"),"Luego golpea las placas con un martillo y se quita el polvo.")</f>
        <v>Luego golpea las placas con un martillo y se quita el polvo.</v>
      </c>
    </row>
    <row r="36215">
      <c r="A36215" s="4" t="s">
        <v>45543</v>
      </c>
      <c r="B36215" s="4" t="s">
        <v>45551</v>
      </c>
      <c r="C36215" s="5" t="str">
        <f>IFERROR(__xludf.DUMMYFUNCTION("GOOGLETRANSLATE(B36215,""en"",""es-ES"")"),"Muestra la parte trasera de las placas y cómo se sueldan.")</f>
        <v>Muestra la parte trasera de las placas y cómo se sueldan.</v>
      </c>
    </row>
    <row r="36216">
      <c r="A36216" s="4" t="s">
        <v>45552</v>
      </c>
      <c r="B36216" s="4" t="s">
        <v>45553</v>
      </c>
      <c r="C36216" s="5" t="str">
        <f>IFERROR(__xludf.DUMMYFUNCTION("GOOGLETRANSLATE(B36216,""en"",""es-ES"")"),"Un hombre en un evento deportivo profesional, levanta un peso grande y pesado con rodillas, respaldo y fuerza del brazo mientras una mujer con un traje observa desde el costado.")</f>
        <v>Un hombre en un evento deportivo profesional, levanta un peso grande y pesado con rodillas, respaldo y fuerza del brazo mientras una mujer con un traje observa desde el costado.</v>
      </c>
    </row>
    <row r="36217">
      <c r="A36217" s="4" t="s">
        <v>45552</v>
      </c>
      <c r="B36217" s="4" t="s">
        <v>45554</v>
      </c>
      <c r="C36217" s="5" t="str">
        <f>IFERROR(__xludf.DUMMYFUNCTION("GOOGLETRANSLATE(B36217,""en"",""es-ES"")"),"Un hombre que lleva una camisa ""de EE. UU."" O uniforme de equipo se acerca a un peso de dos lados mientras una mujer observa desde un lado cerca de una puerta.")</f>
        <v>Un hombre que lleva una camisa "de EE. UU." O uniforme de equipo se acerca a un peso de dos lados mientras una mujer observa desde un lado cerca de una puerta.</v>
      </c>
    </row>
    <row r="36218">
      <c r="A36218" s="4" t="s">
        <v>45552</v>
      </c>
      <c r="B36218" s="4" t="s">
        <v>45555</v>
      </c>
      <c r="C36218" s="5" t="str">
        <f>IFERROR(__xludf.DUMMYFUNCTION("GOOGLETRANSLATE(B36218,""en"",""es-ES"")"),"El hombre levanta el peso y la cámara muestra el proceso en cámara lenta.")</f>
        <v>El hombre levanta el peso y la cámara muestra el proceso en cámara lenta.</v>
      </c>
    </row>
    <row r="36219">
      <c r="A36219" s="4" t="s">
        <v>45552</v>
      </c>
      <c r="B36219" s="4" t="s">
        <v>45556</v>
      </c>
      <c r="C36219" s="5" t="str">
        <f>IFERROR(__xludf.DUMMYFUNCTION("GOOGLETRANSLATE(B36219,""en"",""es-ES"")"),"El hombre levanta el peso sobre su cabeza y luego lo deja caer a la mitad del cuerpo antes de dejar que caiga al piso, en el que señala que renuncia a una audiencia invisible, todo mientras la mujer en la banca continúa observando.")</f>
        <v>El hombre levanta el peso sobre su cabeza y luego lo deja caer a la mitad del cuerpo antes de dejar que caiga al piso, en el que señala que renuncia a una audiencia invisible, todo mientras la mujer en la banca continúa observando.</v>
      </c>
    </row>
    <row r="36220">
      <c r="A36220" s="4" t="s">
        <v>45557</v>
      </c>
      <c r="B36220" s="4" t="s">
        <v>45558</v>
      </c>
      <c r="C36220" s="5" t="str">
        <f>IFERROR(__xludf.DUMMYFUNCTION("GOOGLETRANSLATE(B36220,""en"",""es-ES"")"),"Un niño con una camiseta azul rebota en dos baloncesto en un gimnasio mientras bloquea a otro jugador de baloncesto y hace un gol con el balón.")</f>
        <v>Un niño con una camiseta azul rebota en dos baloncesto en un gimnasio mientras bloquea a otro jugador de baloncesto y hace un gol con el balón.</v>
      </c>
    </row>
    <row r="36221">
      <c r="A36221" s="4" t="s">
        <v>45557</v>
      </c>
      <c r="B36221" s="4" t="s">
        <v>45559</v>
      </c>
      <c r="C36221" s="5" t="str">
        <f>IFERROR(__xludf.DUMMYFUNCTION("GOOGLETRANSLATE(B36221,""en"",""es-ES"")"),"Un niño rebota en dos baloncesto entre sus piernas.")</f>
        <v>Un niño rebota en dos baloncesto entre sus piernas.</v>
      </c>
    </row>
    <row r="36222">
      <c r="A36222" s="4" t="s">
        <v>45557</v>
      </c>
      <c r="B36222" s="4" t="s">
        <v>45560</v>
      </c>
      <c r="C36222" s="5" t="str">
        <f>IFERROR(__xludf.DUMMYFUNCTION("GOOGLETRANSLATE(B36222,""en"",""es-ES"")"),"Otro jugador de baloncesto se acerca a él e intenta quitarle el balón.")</f>
        <v>Otro jugador de baloncesto se acerca a él e intenta quitarle el balón.</v>
      </c>
    </row>
    <row r="36223">
      <c r="A36223" s="4" t="s">
        <v>45557</v>
      </c>
      <c r="B36223" s="4" t="s">
        <v>45561</v>
      </c>
      <c r="C36223" s="5" t="str">
        <f>IFERROR(__xludf.DUMMYFUNCTION("GOOGLETRANSLATE(B36223,""en"",""es-ES"")"),"El jugador de la camisa azul lo bloquea y obtiene el gol, y luego procede a hacerlo nuevamente, dos veces.")</f>
        <v>El jugador de la camisa azul lo bloquea y obtiene el gol, y luego procede a hacerlo nuevamente, dos veces.</v>
      </c>
    </row>
    <row r="36224">
      <c r="A36224" s="4" t="s">
        <v>45562</v>
      </c>
      <c r="B36224" s="4" t="s">
        <v>45563</v>
      </c>
      <c r="C36224" s="5" t="str">
        <f>IFERROR(__xludf.DUMMYFUNCTION("GOOGLETRANSLATE(B36224,""en"",""es-ES"")"),"El hombre está jugando piano con mucha gente reunida a su alrededor.")</f>
        <v>El hombre está jugando piano con mucha gente reunida a su alrededor.</v>
      </c>
    </row>
    <row r="36225">
      <c r="A36225" s="4" t="s">
        <v>45562</v>
      </c>
      <c r="B36225" s="4" t="s">
        <v>45564</v>
      </c>
      <c r="C36225" s="5" t="str">
        <f>IFERROR(__xludf.DUMMYFUNCTION("GOOGLETRANSLATE(B36225,""en"",""es-ES"")"),"El hombre sostiene un teléfono celular y está grabando al hombre en el piano.")</f>
        <v>El hombre sostiene un teléfono celular y está grabando al hombre en el piano.</v>
      </c>
    </row>
    <row r="36226">
      <c r="A36226" s="4" t="s">
        <v>45565</v>
      </c>
      <c r="B36226" s="4" t="s">
        <v>45566</v>
      </c>
      <c r="C36226" s="5" t="str">
        <f>IFERROR(__xludf.DUMMYFUNCTION("GOOGLETRANSLATE(B36226,""en"",""es-ES"")"),"Un hombre se para frente a la cámara que habla y se muestran varios viajes de personas y sitios.")</f>
        <v>Un hombre se para frente a la cámara que habla y se muestran varios viajes de personas y sitios.</v>
      </c>
    </row>
    <row r="36227">
      <c r="A36227" s="4" t="s">
        <v>45565</v>
      </c>
      <c r="B36227" s="4" t="s">
        <v>45567</v>
      </c>
      <c r="C36227" s="5" t="str">
        <f>IFERROR(__xludf.DUMMYFUNCTION("GOOGLETRANSLATE(B36227,""en"",""es-ES"")"),"Otro hombre es entrevistado seguido de varias tomas más del área.")</f>
        <v>Otro hombre es entrevistado seguido de varias tomas más del área.</v>
      </c>
    </row>
    <row r="36228">
      <c r="A36228" s="4" t="s">
        <v>45565</v>
      </c>
      <c r="B36228" s="4" t="s">
        <v>45568</v>
      </c>
      <c r="C36228" s="5" t="str">
        <f>IFERROR(__xludf.DUMMYFUNCTION("GOOGLETRANSLATE(B36228,""en"",""es-ES"")"),"Un panel de personas se habla entre sí y la gente se prepara para una carrera.")</f>
        <v>Un panel de personas se habla entre sí y la gente se prepara para una carrera.</v>
      </c>
    </row>
    <row r="36229">
      <c r="A36229" s="4" t="s">
        <v>45565</v>
      </c>
      <c r="B36229" s="4" t="s">
        <v>45569</v>
      </c>
      <c r="C36229" s="5" t="str">
        <f>IFERROR(__xludf.DUMMYFUNCTION("GOOGLETRANSLATE(B36229,""en"",""es-ES"")"),"Docenas de personas se alinean y comienzan a nadar en el océano para competir.")</f>
        <v>Docenas de personas se alinean y comienzan a nadar en el océano para competir.</v>
      </c>
    </row>
    <row r="36230">
      <c r="A36230" s="4" t="s">
        <v>45565</v>
      </c>
      <c r="B36230" s="4" t="s">
        <v>45570</v>
      </c>
      <c r="C36230" s="5" t="str">
        <f>IFERROR(__xludf.DUMMYFUNCTION("GOOGLETRANSLATE(B36230,""en"",""es-ES"")"),"Muchas más personas son entrevistadas mientras la carrera continúa y muchas personas miran y discuten los eventos.")</f>
        <v>Muchas más personas son entrevistadas mientras la carrera continúa y muchas personas miran y discuten los eventos.</v>
      </c>
    </row>
    <row r="36231">
      <c r="A36231" s="4" t="s">
        <v>45571</v>
      </c>
      <c r="B36231" s="4" t="s">
        <v>45572</v>
      </c>
      <c r="C36231" s="5" t="str">
        <f>IFERROR(__xludf.DUMMYFUNCTION("GOOGLETRANSLATE(B36231,""en"",""es-ES"")"),"Se ve a una niña sentada en una cama con dos agujas de tejer e hilo en sus manos.")</f>
        <v>Se ve a una niña sentada en una cama con dos agujas de tejer e hilo en sus manos.</v>
      </c>
    </row>
    <row r="36232">
      <c r="A36232" s="4" t="s">
        <v>45571</v>
      </c>
      <c r="B36232" s="4" t="s">
        <v>45573</v>
      </c>
      <c r="C36232" s="5" t="str">
        <f>IFERROR(__xludf.DUMMYFUNCTION("GOOGLETRANSLATE(B36232,""en"",""es-ES"")"),"La cámara se mueve a su alrededor y mira su punto mientras ella habla y mira a lo lejos.")</f>
        <v>La cámara se mueve a su alrededor y mira su punto mientras ella habla y mira a lo lejos.</v>
      </c>
    </row>
    <row r="36233">
      <c r="A36233" s="4" t="s">
        <v>45574</v>
      </c>
      <c r="B36233" s="4" t="s">
        <v>45575</v>
      </c>
      <c r="C36233" s="5" t="str">
        <f>IFERROR(__xludf.DUMMYFUNCTION("GOOGLETRANSLATE(B36233,""en"",""es-ES"")"),"Un niño con chaqueta roja sostiene una herramienta de raspador de ventana y retira la nieve del parabrisas de un automóvil.")</f>
        <v>Un niño con chaqueta roja sostiene una herramienta de raspador de ventana y retira la nieve del parabrisas de un automóvil.</v>
      </c>
    </row>
    <row r="36234">
      <c r="A36234" s="4" t="s">
        <v>45574</v>
      </c>
      <c r="B36234" s="4" t="s">
        <v>45576</v>
      </c>
      <c r="C36234" s="5" t="str">
        <f>IFERROR(__xludf.DUMMYFUNCTION("GOOGLETRANSLATE(B36234,""en"",""es-ES"")"),"El niño gira la herramienta y usa el borde de la esquina de borde brevemente.")</f>
        <v>El niño gira la herramienta y usa el borde de la esquina de borde brevemente.</v>
      </c>
    </row>
    <row r="36235">
      <c r="A36235" s="4" t="s">
        <v>45574</v>
      </c>
      <c r="B36235" s="4" t="s">
        <v>45577</v>
      </c>
      <c r="C36235" s="5" t="str">
        <f>IFERROR(__xludf.DUMMYFUNCTION("GOOGLETRANSLATE(B36235,""en"",""es-ES"")"),"El niño continúa raspando el parabrisas como antes con el lado ancho de la herramienta.")</f>
        <v>El niño continúa raspando el parabrisas como antes con el lado ancho de la herramienta.</v>
      </c>
    </row>
    <row r="36236">
      <c r="A36236" s="4" t="s">
        <v>45578</v>
      </c>
      <c r="B36236" s="4" t="s">
        <v>45579</v>
      </c>
      <c r="C36236" s="5" t="str">
        <f>IFERROR(__xludf.DUMMYFUNCTION("GOOGLETRANSLATE(B36236,""en"",""es-ES"")"),"Vemos la colorida tarjeta de título.")</f>
        <v>Vemos la colorida tarjeta de título.</v>
      </c>
    </row>
    <row r="36237">
      <c r="A36237" s="4" t="s">
        <v>45578</v>
      </c>
      <c r="B36237" s="4" t="s">
        <v>45580</v>
      </c>
      <c r="C36237" s="5" t="str">
        <f>IFERROR(__xludf.DUMMYFUNCTION("GOOGLETRANSLATE(B36237,""en"",""es-ES"")"),"Vemos niños jugando en el patio de recreo.")</f>
        <v>Vemos niños jugando en el patio de recreo.</v>
      </c>
    </row>
    <row r="36238">
      <c r="A36238" s="4" t="s">
        <v>45578</v>
      </c>
      <c r="B36238" s="4" t="s">
        <v>45581</v>
      </c>
      <c r="C36238" s="5" t="str">
        <f>IFERROR(__xludf.DUMMYFUNCTION("GOOGLETRANSLATE(B36238,""en"",""es-ES"")"),"El niño se sale del columpio y lo seguimos hasta el tobogán.")</f>
        <v>El niño se sale del columpio y lo seguimos hasta el tobogán.</v>
      </c>
    </row>
    <row r="36239">
      <c r="A36239" s="4" t="s">
        <v>45578</v>
      </c>
      <c r="B36239" s="4" t="s">
        <v>45582</v>
      </c>
      <c r="C36239" s="5" t="str">
        <f>IFERROR(__xludf.DUMMYFUNCTION("GOOGLETRANSLATE(B36239,""en"",""es-ES"")"),"El niño termina de deslizarse y va a una parte diferente del parque y juega.")</f>
        <v>El niño termina de deslizarse y va a una parte diferente del parque y juega.</v>
      </c>
    </row>
    <row r="36240">
      <c r="A36240" s="4" t="s">
        <v>45578</v>
      </c>
      <c r="B36240" s="4" t="s">
        <v>45583</v>
      </c>
      <c r="C36240" s="5" t="str">
        <f>IFERROR(__xludf.DUMMYFUNCTION("GOOGLETRANSLATE(B36240,""en"",""es-ES"")"),"El niño se desliza y cae sobre el puente antes de deslizarse hacia abajo.")</f>
        <v>El niño se desliza y cae sobre el puente antes de deslizarse hacia abajo.</v>
      </c>
    </row>
    <row r="36241">
      <c r="A36241" s="4" t="s">
        <v>45578</v>
      </c>
      <c r="B36241" s="4" t="s">
        <v>45584</v>
      </c>
      <c r="C36241" s="5" t="str">
        <f>IFERROR(__xludf.DUMMYFUNCTION("GOOGLETRANSLATE(B36241,""en"",""es-ES"")"),"Juega con el gran swing con otro niño.")</f>
        <v>Juega con el gran swing con otro niño.</v>
      </c>
    </row>
    <row r="36242">
      <c r="A36242" s="4" t="s">
        <v>45578</v>
      </c>
      <c r="B36242" s="4" t="s">
        <v>45585</v>
      </c>
      <c r="C36242" s="5" t="str">
        <f>IFERROR(__xludf.DUMMYFUNCTION("GOOGLETRANSLATE(B36242,""en"",""es-ES"")"),"Vemos la pantalla final.")</f>
        <v>Vemos la pantalla final.</v>
      </c>
    </row>
    <row r="36243">
      <c r="A36243" s="4" t="s">
        <v>45586</v>
      </c>
      <c r="B36243" s="4" t="s">
        <v>45587</v>
      </c>
      <c r="C36243" s="5" t="str">
        <f>IFERROR(__xludf.DUMMYFUNCTION("GOOGLETRANSLATE(B36243,""en"",""es-ES"")"),"Una persona está sosteniendo a alguien sobre sus hombros.")</f>
        <v>Una persona está sosteniendo a alguien sobre sus hombros.</v>
      </c>
    </row>
    <row r="36244">
      <c r="A36244" s="4" t="s">
        <v>45586</v>
      </c>
      <c r="B36244" s="4" t="s">
        <v>45588</v>
      </c>
      <c r="C36244" s="5" t="str">
        <f>IFERROR(__xludf.DUMMYFUNCTION("GOOGLETRANSLATE(B36244,""en"",""es-ES"")"),"Giran varias veces y caen sobre el piso.")</f>
        <v>Giran varias veces y caen sobre el piso.</v>
      </c>
    </row>
    <row r="36245">
      <c r="A36245" s="4" t="s">
        <v>45586</v>
      </c>
      <c r="B36245" s="4" t="s">
        <v>45589</v>
      </c>
      <c r="C36245" s="5" t="str">
        <f>IFERROR(__xludf.DUMMYFUNCTION("GOOGLETRANSLATE(B36245,""en"",""es-ES"")"),"El hombre se levanta y se sienta en la cama.")</f>
        <v>El hombre se levanta y se sienta en la cama.</v>
      </c>
    </row>
    <row r="36246">
      <c r="A36246" s="4" t="s">
        <v>45590</v>
      </c>
      <c r="B36246" s="4" t="s">
        <v>45591</v>
      </c>
      <c r="C36246" s="5" t="str">
        <f>IFERROR(__xludf.DUMMYFUNCTION("GOOGLETRANSLATE(B36246,""en"",""es-ES"")"),"A estas chicas se les muestra arrodillándose en el piso y jugando vestida con el chico de una niña, el palo de put en sus labios, mejillas, frente y debajo de sus ojos.")</f>
        <v>A estas chicas se les muestra arrodillándose en el piso y jugando vestida con el chico de una niña, el palo de put en sus labios, mejillas, frente y debajo de sus ojos.</v>
      </c>
    </row>
    <row r="36247">
      <c r="A36247" s="4" t="s">
        <v>45590</v>
      </c>
      <c r="B36247" s="4" t="s">
        <v>45592</v>
      </c>
      <c r="C36247" s="5" t="str">
        <f>IFERROR(__xludf.DUMMYFUNCTION("GOOGLETRANSLATE(B36247,""en"",""es-ES"")"),"Luego, otro maquillaje en la parte superior de sus ojos.")</f>
        <v>Luego, otro maquillaje en la parte superior de sus ojos.</v>
      </c>
    </row>
    <row r="36248">
      <c r="A36248" s="4" t="s">
        <v>45593</v>
      </c>
      <c r="B36248" s="4" t="s">
        <v>45594</v>
      </c>
      <c r="C36248" s="5" t="str">
        <f>IFERROR(__xludf.DUMMYFUNCTION("GOOGLETRANSLATE(B36248,""en"",""es-ES"")"),"Se ve a un niño pequeño de pie ante un automóvil sosteniendo un trapo y mirando la cámara.")</f>
        <v>Se ve a un niño pequeño de pie ante un automóvil sosteniendo un trapo y mirando la cámara.</v>
      </c>
    </row>
    <row r="36249">
      <c r="A36249" s="4" t="s">
        <v>45593</v>
      </c>
      <c r="B36249" s="4" t="s">
        <v>45595</v>
      </c>
      <c r="C36249" s="5" t="str">
        <f>IFERROR(__xludf.DUMMYFUNCTION("GOOGLETRANSLATE(B36249,""en"",""es-ES"")"),"El niño usa el trapo por todo el auto mientras la cámara sigue sus movimientos.")</f>
        <v>El niño usa el trapo por todo el auto mientras la cámara sigue sus movimientos.</v>
      </c>
    </row>
    <row r="36250">
      <c r="A36250" s="4" t="s">
        <v>45593</v>
      </c>
      <c r="B36250" s="4" t="s">
        <v>45596</v>
      </c>
      <c r="C36250" s="5" t="str">
        <f>IFERROR(__xludf.DUMMYFUNCTION("GOOGLETRANSLATE(B36250,""en"",""es-ES"")"),"Continúa moviéndose alrededor del auto mientras otro hombre rocía una manguera y el niño la limpia.")</f>
        <v>Continúa moviéndose alrededor del auto mientras otro hombre rocía una manguera y el niño la limpia.</v>
      </c>
    </row>
    <row r="36251">
      <c r="A36251" s="4" t="s">
        <v>45597</v>
      </c>
      <c r="B36251" s="4" t="s">
        <v>45598</v>
      </c>
      <c r="C36251" s="5" t="str">
        <f>IFERROR(__xludf.DUMMYFUNCTION("GOOGLETRANSLATE(B36251,""en"",""es-ES"")"),"Varias personas se ven perforando agujeros en el hielo mientras miran hacia abajo y hablan con la cámara.")</f>
        <v>Varias personas se ven perforando agujeros en el hielo mientras miran hacia abajo y hablan con la cámara.</v>
      </c>
    </row>
    <row r="36252">
      <c r="A36252" s="4" t="s">
        <v>45597</v>
      </c>
      <c r="B36252" s="4" t="s">
        <v>45599</v>
      </c>
      <c r="C36252" s="5" t="str">
        <f>IFERROR(__xludf.DUMMYFUNCTION("GOOGLETRANSLATE(B36252,""en"",""es-ES"")"),"Se muestran muchas imágenes de las personas que pescan y sacan peces de un agujero.")</f>
        <v>Se muestran muchas imágenes de las personas que pescan y sacan peces de un agujero.</v>
      </c>
    </row>
    <row r="36253">
      <c r="A36253" s="4" t="s">
        <v>45597</v>
      </c>
      <c r="B36253" s="4" t="s">
        <v>45600</v>
      </c>
      <c r="C36253" s="5" t="str">
        <f>IFERROR(__xludf.DUMMYFUNCTION("GOOGLETRANSLATE(B36253,""en"",""es-ES"")"),"Más personas se sientan junto a los agujeros y continúan sacando peces.")</f>
        <v>Más personas se sientan junto a los agujeros y continúan sacando peces.</v>
      </c>
    </row>
    <row r="36254">
      <c r="A36254" s="4" t="s">
        <v>45601</v>
      </c>
      <c r="B36254" s="4" t="s">
        <v>45602</v>
      </c>
      <c r="C36254" s="5" t="str">
        <f>IFERROR(__xludf.DUMMYFUNCTION("GOOGLETRANSLATE(B36254,""en"",""es-ES"")"),"Un grupo de personas está en una carrera de obstáculos juntos.")</f>
        <v>Un grupo de personas está en una carrera de obstáculos juntos.</v>
      </c>
    </row>
    <row r="36255">
      <c r="A36255" s="4" t="s">
        <v>45601</v>
      </c>
      <c r="B36255" s="4" t="s">
        <v>45603</v>
      </c>
      <c r="C36255" s="5" t="str">
        <f>IFERROR(__xludf.DUMMYFUNCTION("GOOGLETRANSLATE(B36255,""en"",""es-ES"")"),"Se esconden detrás de los obstáculos y se disparan el uno al otro con pistolas de pintura.")</f>
        <v>Se esconden detrás de los obstáculos y se disparan el uno al otro con pistolas de pintura.</v>
      </c>
    </row>
    <row r="36256">
      <c r="A36256" s="4" t="s">
        <v>45601</v>
      </c>
      <c r="B36256" s="4" t="s">
        <v>45604</v>
      </c>
      <c r="C36256" s="5" t="str">
        <f>IFERROR(__xludf.DUMMYFUNCTION("GOOGLETRANSLATE(B36256,""en"",""es-ES"")"),"Corren, luego se reúnen y se abrazan cuando hayan terminado.")</f>
        <v>Corren, luego se reúnen y se abrazan cuando hayan terminado.</v>
      </c>
    </row>
    <row r="36257">
      <c r="A36257" s="4" t="s">
        <v>45605</v>
      </c>
      <c r="B36257" s="4" t="s">
        <v>45606</v>
      </c>
      <c r="C36257" s="5" t="str">
        <f>IFERROR(__xludf.DUMMYFUNCTION("GOOGLETRANSLATE(B36257,""en"",""es-ES"")"),"Los ingredientes se mezclan en un tazón de plata.")</f>
        <v>Los ingredientes se mezclan en un tazón de plata.</v>
      </c>
    </row>
    <row r="36258">
      <c r="A36258" s="4" t="s">
        <v>45605</v>
      </c>
      <c r="B36258" s="4" t="s">
        <v>45607</v>
      </c>
      <c r="C36258" s="5" t="str">
        <f>IFERROR(__xludf.DUMMYFUNCTION("GOOGLETRANSLATE(B36258,""en"",""es-ES"")"),"Luego se coloca en una bandeja de galletas.")</f>
        <v>Luego se coloca en una bandeja de galletas.</v>
      </c>
    </row>
    <row r="36259">
      <c r="A36259" s="4" t="s">
        <v>45605</v>
      </c>
      <c r="B36259" s="4" t="s">
        <v>45608</v>
      </c>
      <c r="C36259" s="5" t="str">
        <f>IFERROR(__xludf.DUMMYFUNCTION("GOOGLETRANSLATE(B36259,""en"",""es-ES"")"),"La comida cocida se muestra y se rompe por la mitad.")</f>
        <v>La comida cocida se muestra y se rompe por la mitad.</v>
      </c>
    </row>
    <row r="36260">
      <c r="A36260" s="4" t="s">
        <v>45609</v>
      </c>
      <c r="B36260" s="4" t="s">
        <v>45610</v>
      </c>
      <c r="C36260" s="5" t="str">
        <f>IFERROR(__xludf.DUMMYFUNCTION("GOOGLETRANSLATE(B36260,""en"",""es-ES"")"),"Se muestra un campo junto con algunas montañas cuando una persona comienza a conducir por una carretera.")</f>
        <v>Se muestra un campo junto con algunas montañas cuando una persona comienza a conducir por una carretera.</v>
      </c>
    </row>
    <row r="36261">
      <c r="A36261" s="4" t="s">
        <v>45609</v>
      </c>
      <c r="B36261" s="4" t="s">
        <v>45611</v>
      </c>
      <c r="C36261" s="5" t="str">
        <f>IFERROR(__xludf.DUMMYFUNCTION("GOOGLETRANSLATE(B36261,""en"",""es-ES"")"),"Después, los hombres se muestran y salen y comienzan a patinar por un camino en el país.")</f>
        <v>Después, los hombres se muestran y salen y comienzan a patinar por un camino en el país.</v>
      </c>
    </row>
    <row r="36262">
      <c r="A36262" s="4" t="s">
        <v>45609</v>
      </c>
      <c r="B36262" s="4" t="s">
        <v>45612</v>
      </c>
      <c r="C36262" s="5" t="str">
        <f>IFERROR(__xludf.DUMMYFUNCTION("GOOGLETRANSLATE(B36262,""en"",""es-ES"")"),"A medida que continúa, un gran puesto de heno está en el medio de la carretera y todos lo pasan y terminan de patinar por el camino.")</f>
        <v>A medida que continúa, un gran puesto de heno está en el medio de la carretera y todos lo pasan y terminan de patinar por el camino.</v>
      </c>
    </row>
    <row r="36263">
      <c r="A36263" s="4" t="s">
        <v>45613</v>
      </c>
      <c r="B36263" s="4" t="s">
        <v>45614</v>
      </c>
      <c r="C36263" s="5" t="str">
        <f>IFERROR(__xludf.DUMMYFUNCTION("GOOGLETRANSLATE(B36263,""en"",""es-ES"")"),"Se muestra una pila de árboles soplando afuera en un camino adoquinado fuera de un edificio.")</f>
        <v>Se muestra una pila de árboles soplando afuera en un camino adoquinado fuera de un edificio.</v>
      </c>
    </row>
    <row r="36264">
      <c r="A36264" s="4" t="s">
        <v>45613</v>
      </c>
      <c r="B36264" s="4" t="s">
        <v>45615</v>
      </c>
      <c r="C36264" s="5" t="str">
        <f>IFERROR(__xludf.DUMMYFUNCTION("GOOGLETRANSLATE(B36264,""en"",""es-ES"")"),"Mientras las hojas continúan soplando, un niño entra en la escena despejando el camino con su soplador de hojas.")</f>
        <v>Mientras las hojas continúan soplando, un niño entra en la escena despejando el camino con su soplador de hojas.</v>
      </c>
    </row>
    <row r="36265">
      <c r="A36265" s="4" t="s">
        <v>45616</v>
      </c>
      <c r="B36265" s="4" t="s">
        <v>45617</v>
      </c>
      <c r="C36265" s="5" t="str">
        <f>IFERROR(__xludf.DUMMYFUNCTION("GOOGLETRANSLATE(B36265,""en"",""es-ES"")"),"Un hombre con traje toca una flauta en el escenario frente a un hombre tocando un piano.")</f>
        <v>Un hombre con traje toca una flauta en el escenario frente a un hombre tocando un piano.</v>
      </c>
    </row>
    <row r="36266">
      <c r="A36266" s="4" t="s">
        <v>45616</v>
      </c>
      <c r="B36266" s="4" t="s">
        <v>45618</v>
      </c>
      <c r="C36266" s="5" t="str">
        <f>IFERROR(__xludf.DUMMYFUNCTION("GOOGLETRANSLATE(B36266,""en"",""es-ES"")"),"Terminan de jugar y el hombre tocando el piano se pone de pie.")</f>
        <v>Terminan de jugar y el hombre tocando el piano se pone de pie.</v>
      </c>
    </row>
    <row r="36267">
      <c r="A36267" s="4" t="s">
        <v>45619</v>
      </c>
      <c r="B36267" s="4" t="s">
        <v>45620</v>
      </c>
      <c r="C36267" s="5" t="str">
        <f>IFERROR(__xludf.DUMMYFUNCTION("GOOGLETRANSLATE(B36267,""en"",""es-ES"")"),"Un buceador está debajo del agua con oxígeno en la boca.")</f>
        <v>Un buceador está debajo del agua con oxígeno en la boca.</v>
      </c>
    </row>
    <row r="36268">
      <c r="A36268" s="4" t="s">
        <v>45619</v>
      </c>
      <c r="B36268" s="4" t="s">
        <v>45621</v>
      </c>
      <c r="C36268" s="5" t="str">
        <f>IFERROR(__xludf.DUMMYFUNCTION("GOOGLETRANSLATE(B36268,""en"",""es-ES"")"),"El buzo sostiene la máscara de los ojos y se la puso.")</f>
        <v>El buzo sostiene la máscara de los ojos y se la puso.</v>
      </c>
    </row>
    <row r="36269">
      <c r="A36269" s="4" t="s">
        <v>45619</v>
      </c>
      <c r="B36269" s="4" t="s">
        <v>45622</v>
      </c>
      <c r="C36269" s="5" t="str">
        <f>IFERROR(__xludf.DUMMYFUNCTION("GOOGLETRANSLATE(B36269,""en"",""es-ES"")"),"Otro buceador se quitó las máscaras de los ojos, mientras que detrás de él hay otros buceadores que nadan, luego retrocedió y le dan una buena señal con los dedos.")</f>
        <v>Otro buceador se quitó las máscaras de los ojos, mientras que detrás de él hay otros buceadores que nadan, luego retrocedió y le dan una buena señal con los dedos.</v>
      </c>
    </row>
    <row r="36270">
      <c r="A36270" s="4" t="s">
        <v>45623</v>
      </c>
      <c r="B36270" s="4" t="s">
        <v>45624</v>
      </c>
      <c r="C36270" s="5" t="str">
        <f>IFERROR(__xludf.DUMMYFUNCTION("GOOGLETRANSLATE(B36270,""en"",""es-ES"")"),"Un hombre está cubriendo un arbusto en un patio.")</f>
        <v>Un hombre está cubriendo un arbusto en un patio.</v>
      </c>
    </row>
    <row r="36271">
      <c r="A36271" s="4" t="s">
        <v>45623</v>
      </c>
      <c r="B36271" s="4" t="s">
        <v>45625</v>
      </c>
      <c r="C36271" s="5" t="str">
        <f>IFERROR(__xludf.DUMMYFUNCTION("GOOGLETRANSLATE(B36271,""en"",""es-ES"")"),"Corta el grueso cepillo hacia arriba y hacia abajo.")</f>
        <v>Corta el grueso cepillo hacia arriba y hacia abajo.</v>
      </c>
    </row>
    <row r="36272">
      <c r="A36272" s="4" t="s">
        <v>45623</v>
      </c>
      <c r="B36272" s="4" t="s">
        <v>45626</v>
      </c>
      <c r="C36272" s="5" t="str">
        <f>IFERROR(__xludf.DUMMYFUNCTION("GOOGLETRANSLATE(B36272,""en"",""es-ES"")"),"Termina el seto, mostrando sus habilidades.")</f>
        <v>Termina el seto, mostrando sus habilidades.</v>
      </c>
    </row>
    <row r="36273">
      <c r="A36273" s="4" t="s">
        <v>45627</v>
      </c>
      <c r="B36273" s="4" t="s">
        <v>45628</v>
      </c>
      <c r="C36273" s="5" t="str">
        <f>IFERROR(__xludf.DUMMYFUNCTION("GOOGLETRANSLATE(B36273,""en"",""es-ES"")"),"Un Bulls corre en la calle que arroja gente y las arroja al piso, mientras que los toros están unidos a una cuerda.")</f>
        <v>Un Bulls corre en la calle que arroja gente y las arroja al piso, mientras que los toros están unidos a una cuerda.</v>
      </c>
    </row>
    <row r="36274">
      <c r="A36274" s="4" t="s">
        <v>45627</v>
      </c>
      <c r="B36274" s="4" t="s">
        <v>45629</v>
      </c>
      <c r="C36274" s="5" t="str">
        <f>IFERROR(__xludf.DUMMYFUNCTION("GOOGLETRANSLATE(B36274,""en"",""es-ES"")"),"El toro entra en una casa, luego el toro continúa engañando a la gente en la calle.")</f>
        <v>El toro entra en una casa, luego el toro continúa engañando a la gente en la calle.</v>
      </c>
    </row>
    <row r="36275">
      <c r="A36275" s="4" t="s">
        <v>45627</v>
      </c>
      <c r="B36275" s="4" t="s">
        <v>45630</v>
      </c>
      <c r="C36275" s="5" t="str">
        <f>IFERROR(__xludf.DUMMYFUNCTION("GOOGLETRANSLATE(B36275,""en"",""es-ES"")"),"El toro entra en un corral y ataca a una persona detrás de la cerca, luego el toro continúa goreando a la gente en la calle.")</f>
        <v>El toro entra en un corral y ataca a una persona detrás de la cerca, luego el toro continúa goreando a la gente en la calle.</v>
      </c>
    </row>
    <row r="36276">
      <c r="A36276" s="4" t="s">
        <v>45627</v>
      </c>
      <c r="B36276" s="4" t="s">
        <v>45631</v>
      </c>
      <c r="C36276" s="5" t="str">
        <f>IFERROR(__xludf.DUMMYFUNCTION("GOOGLETRANSLATE(B36276,""en"",""es-ES"")"),"Una persona acaricia el toro a través de una ventana, después de que el toro choca con otro toro que cae en el suelo.")</f>
        <v>Una persona acaricia el toro a través de una ventana, después de que el toro choca con otro toro que cae en el suelo.</v>
      </c>
    </row>
    <row r="36277">
      <c r="A36277" s="4" t="s">
        <v>45627</v>
      </c>
      <c r="B36277" s="4" t="s">
        <v>45632</v>
      </c>
      <c r="C36277" s="5" t="str">
        <f>IFERROR(__xludf.DUMMYFUNCTION("GOOGLETRANSLATE(B36277,""en"",""es-ES"")"),"El toro ataca a un perro sentado en una puerta.")</f>
        <v>El toro ataca a un perro sentado en una puerta.</v>
      </c>
    </row>
    <row r="36278">
      <c r="A36278" s="4" t="s">
        <v>45627</v>
      </c>
      <c r="B36278" s="4" t="s">
        <v>45633</v>
      </c>
      <c r="C36278" s="5" t="str">
        <f>IFERROR(__xludf.DUMMYFUNCTION("GOOGLETRANSLATE(B36278,""en"",""es-ES"")"),"El toro gora a las personas y también ataca a las personas en la acera.")</f>
        <v>El toro gora a las personas y también ataca a las personas en la acera.</v>
      </c>
    </row>
    <row r="36279">
      <c r="A36279" s="4" t="s">
        <v>45627</v>
      </c>
      <c r="B36279" s="4" t="s">
        <v>45634</v>
      </c>
      <c r="C36279" s="5" t="str">
        <f>IFERROR(__xludf.DUMMYFUNCTION("GOOGLETRANSLATE(B36279,""en"",""es-ES"")"),"El toro continúa atrasando a la gente.")</f>
        <v>El toro continúa atrasando a la gente.</v>
      </c>
    </row>
    <row r="36280">
      <c r="A36280" s="4" t="s">
        <v>45635</v>
      </c>
      <c r="B36280" s="4" t="s">
        <v>45636</v>
      </c>
      <c r="C36280" s="5" t="str">
        <f>IFERROR(__xludf.DUMMYFUNCTION("GOOGLETRANSLATE(B36280,""en"",""es-ES"")"),"Primero, el hombre camina a la mujer con los ojos vendados cerca de la piñata y comienza a balancear la escoba para golpearla.")</f>
        <v>Primero, el hombre camina a la mujer con los ojos vendados cerca de la piñata y comienza a balancear la escoba para golpearla.</v>
      </c>
    </row>
    <row r="36281">
      <c r="A36281" s="4" t="s">
        <v>45635</v>
      </c>
      <c r="B36281" s="4" t="s">
        <v>45637</v>
      </c>
      <c r="C36281" s="5" t="str">
        <f>IFERROR(__xludf.DUMMYFUNCTION("GOOGLETRANSLATE(B36281,""en"",""es-ES"")"),"Pero se pierde varias veces porque la piñata se mueve hacia arriba y hacia abajo en el aire.")</f>
        <v>Pero se pierde varias veces porque la piñata se mueve hacia arriba y hacia abajo en el aire.</v>
      </c>
    </row>
    <row r="36282">
      <c r="A36282" s="4" t="s">
        <v>45635</v>
      </c>
      <c r="B36282" s="4" t="s">
        <v>45638</v>
      </c>
      <c r="C36282" s="5" t="str">
        <f>IFERROR(__xludf.DUMMYFUNCTION("GOOGLETRANSLATE(B36282,""en"",""es-ES"")"),"Después de un tiempo de intentarlo, ella golpea la cuerda de la que la piñata está colgando y derriba la piñata, pero apenas ha sacado dulces.")</f>
        <v>Después de un tiempo de intentarlo, ella golpea la cuerda de la que la piñata está colgando y derriba la piñata, pero apenas ha sacado dulces.</v>
      </c>
    </row>
    <row r="36283">
      <c r="A36283" s="4" t="s">
        <v>45639</v>
      </c>
      <c r="B36283" s="4" t="s">
        <v>45640</v>
      </c>
      <c r="C36283" s="5" t="str">
        <f>IFERROR(__xludf.DUMMYFUNCTION("GOOGLETRANSLATE(B36283,""en"",""es-ES"")"),"Un pequeño grupo de personas vistas sentadas en el agua seguida de una conducción detrás de un helicóptero en un tablero y una mujer que habla con la cámara.")</f>
        <v>Un pequeño grupo de personas vistas sentadas en el agua seguida de una conducción detrás de un helicóptero en un tablero y una mujer que habla con la cámara.</v>
      </c>
    </row>
    <row r="36284">
      <c r="A36284" s="4" t="s">
        <v>45639</v>
      </c>
      <c r="B36284" s="4" t="s">
        <v>45641</v>
      </c>
      <c r="C36284" s="5" t="str">
        <f>IFERROR(__xludf.DUMMYFUNCTION("GOOGLETRANSLATE(B36284,""en"",""es-ES"")"),"El hombre continúa montando y luego se ve en el aire con el helicóptero y los pilotos saludando.")</f>
        <v>El hombre continúa montando y luego se ve en el aire con el helicóptero y los pilotos saludando.</v>
      </c>
    </row>
    <row r="36285">
      <c r="A36285" s="4" t="s">
        <v>45639</v>
      </c>
      <c r="B36285" s="4" t="s">
        <v>45642</v>
      </c>
      <c r="C36285" s="5" t="str">
        <f>IFERROR(__xludf.DUMMYFUNCTION("GOOGLETRANSLATE(B36285,""en"",""es-ES"")"),"El hombre luego suelta el helicóptero, bajando en un paracaídas y aterrizando de regreso al agua.")</f>
        <v>El hombre luego suelta el helicóptero, bajando en un paracaídas y aterrizando de regreso al agua.</v>
      </c>
    </row>
    <row r="36286">
      <c r="A36286" s="4" t="s">
        <v>45639</v>
      </c>
      <c r="B36286" s="4" t="s">
        <v>45643</v>
      </c>
      <c r="C36286" s="5" t="str">
        <f>IFERROR(__xludf.DUMMYFUNCTION("GOOGLETRANSLATE(B36286,""en"",""es-ES"")"),"El hombre luego se acuesta mientras su disparo se muestra nuevamente y la mujer le habla.")</f>
        <v>El hombre luego se acuesta mientras su disparo se muestra nuevamente y la mujer le habla.</v>
      </c>
    </row>
    <row r="36287">
      <c r="A36287" s="4" t="s">
        <v>45644</v>
      </c>
      <c r="B36287" s="4" t="s">
        <v>45645</v>
      </c>
      <c r="C36287" s="5" t="str">
        <f>IFERROR(__xludf.DUMMYFUNCTION("GOOGLETRANSLATE(B36287,""en"",""es-ES"")"),"Dos mujeres están paradas en una playa, vistiendo bikinis y sosteniendo una tabla de surf.")</f>
        <v>Dos mujeres están paradas en una playa, vistiendo bikinis y sosteniendo una tabla de surf.</v>
      </c>
    </row>
    <row r="36288">
      <c r="A36288" s="4" t="s">
        <v>45644</v>
      </c>
      <c r="B36288" s="4" t="s">
        <v>45646</v>
      </c>
      <c r="C36288" s="5" t="str">
        <f>IFERROR(__xludf.DUMMYFUNCTION("GOOGLETRANSLATE(B36288,""en"",""es-ES"")"),"Luego se muestran caminando hacia la playa y posando para fotos entre surfear en las olas.")</f>
        <v>Luego se muestran caminando hacia la playa y posando para fotos entre surfear en las olas.</v>
      </c>
    </row>
    <row r="36289">
      <c r="A36289" s="4" t="s">
        <v>45644</v>
      </c>
      <c r="B36289" s="4" t="s">
        <v>45647</v>
      </c>
      <c r="C36289" s="5" t="str">
        <f>IFERROR(__xludf.DUMMYFUNCTION("GOOGLETRANSLATE(B36289,""en"",""es-ES"")"),"Muestran cómo hacer varios movimientos de surf.")</f>
        <v>Muestran cómo hacer varios movimientos de surf.</v>
      </c>
    </row>
    <row r="36290">
      <c r="A36290" s="4" t="s">
        <v>45644</v>
      </c>
      <c r="B36290" s="4" t="s">
        <v>45648</v>
      </c>
      <c r="C36290" s="5" t="str">
        <f>IFERROR(__xludf.DUMMYFUNCTION("GOOGLETRANSLATE(B36290,""en"",""es-ES"")"),"Luego se muestran en la playa, sentados mientras hablan.")</f>
        <v>Luego se muestran en la playa, sentados mientras hablan.</v>
      </c>
    </row>
    <row r="36291">
      <c r="A36291" s="4" t="s">
        <v>45649</v>
      </c>
      <c r="B36291" s="4" t="s">
        <v>45650</v>
      </c>
      <c r="C36291" s="5" t="str">
        <f>IFERROR(__xludf.DUMMYFUNCTION("GOOGLETRANSLATE(B36291,""en"",""es-ES"")"),"Varios hombres son vistos que organizan un segmento de noticias que conduce a clips de personas que juegan un juego juntos y discuten entre ellos.")</f>
        <v>Varios hombres son vistos que organizan un segmento de noticias que conduce a clips de personas que juegan un juego juntos y discuten entre ellos.</v>
      </c>
    </row>
    <row r="36292">
      <c r="A36292" s="4" t="s">
        <v>45649</v>
      </c>
      <c r="B36292" s="4" t="s">
        <v>45651</v>
      </c>
      <c r="C36292" s="5" t="str">
        <f>IFERROR(__xludf.DUMMYFUNCTION("GOOGLETRANSLATE(B36292,""en"",""es-ES"")"),"Se muestran más tomas de personas que juegan, así como personas que celebran y se alejan.")</f>
        <v>Se muestran más tomas de personas que juegan, así como personas que celebran y se alejan.</v>
      </c>
    </row>
    <row r="36293">
      <c r="A36293" s="4" t="s">
        <v>45649</v>
      </c>
      <c r="B36293" s="4" t="s">
        <v>45652</v>
      </c>
      <c r="C36293" s="5" t="str">
        <f>IFERROR(__xludf.DUMMYFUNCTION("GOOGLETRANSLATE(B36293,""en"",""es-ES"")"),"Se muestran más disparos de los anfitriones que hablan entre sí y la gente golpeó la pelota y se aleja.")</f>
        <v>Se muestran más disparos de los anfitriones que hablan entre sí y la gente golpeó la pelota y se aleja.</v>
      </c>
    </row>
    <row r="36294">
      <c r="A36294" s="4" t="s">
        <v>45653</v>
      </c>
      <c r="B36294" s="4" t="s">
        <v>45654</v>
      </c>
      <c r="C36294" s="5" t="str">
        <f>IFERROR(__xludf.DUMMYFUNCTION("GOOGLETRANSLATE(B36294,""en"",""es-ES"")"),"Una mujer y otra persona reman en una canoa naranja en un cuerpo tranquilo de agua rodeado de montañas, árboles y arbustos.")</f>
        <v>Una mujer y otra persona reman en una canoa naranja en un cuerpo tranquilo de agua rodeado de montañas, árboles y arbustos.</v>
      </c>
    </row>
    <row r="36295">
      <c r="A36295" s="4" t="s">
        <v>45653</v>
      </c>
      <c r="B36295" s="4" t="s">
        <v>45655</v>
      </c>
      <c r="C36295" s="5" t="str">
        <f>IFERROR(__xludf.DUMMYFUNCTION("GOOGLETRANSLATE(B36295,""en"",""es-ES"")"),"La mujer está al frente de la canoa y la otra persona, que lleva un sombrero de cubierta, se sienta detrás de la mujer.")</f>
        <v>La mujer está al frente de la canoa y la otra persona, que lleva un sombrero de cubierta, se sienta detrás de la mujer.</v>
      </c>
    </row>
    <row r="36296">
      <c r="A36296" s="4" t="s">
        <v>45653</v>
      </c>
      <c r="B36296" s="4" t="s">
        <v>45656</v>
      </c>
      <c r="C36296" s="5" t="str">
        <f>IFERROR(__xludf.DUMMYFUNCTION("GOOGLETRANSLATE(B36296,""en"",""es-ES"")"),"Las dos personas reman desde la izquierda y pasan una línea de arbustos frente a una montaña.")</f>
        <v>Las dos personas reman desde la izquierda y pasan una línea de arbustos frente a una montaña.</v>
      </c>
    </row>
    <row r="36297">
      <c r="A36297" s="4" t="s">
        <v>45653</v>
      </c>
      <c r="B36297" s="4" t="s">
        <v>45657</v>
      </c>
      <c r="C36297" s="5" t="str">
        <f>IFERROR(__xludf.DUMMYFUNCTION("GOOGLETRANSLATE(B36297,""en"",""es-ES"")"),"Las dos personas luego reman más lejos de la montaña y más cerca del medio del cuerpo de agua.")</f>
        <v>Las dos personas luego reman más lejos de la montaña y más cerca del medio del cuerpo de agua.</v>
      </c>
    </row>
    <row r="36298">
      <c r="A36298" s="4" t="s">
        <v>45658</v>
      </c>
      <c r="B36298" s="4" t="s">
        <v>45659</v>
      </c>
      <c r="C36298" s="5" t="str">
        <f>IFERROR(__xludf.DUMMYFUNCTION("GOOGLETRANSLATE(B36298,""en"",""es-ES"")"),"El video conduce a varias tomas de personas que realizan saltos impresionantes y salen de una alta inmersión.")</f>
        <v>El video conduce a varias tomas de personas que realizan saltos impresionantes y salen de una alta inmersión.</v>
      </c>
    </row>
    <row r="36299">
      <c r="A36299" s="4" t="s">
        <v>45658</v>
      </c>
      <c r="B36299" s="4" t="s">
        <v>45660</v>
      </c>
      <c r="C36299" s="5" t="str">
        <f>IFERROR(__xludf.DUMMYFUNCTION("GOOGLETRANSLATE(B36299,""en"",""es-ES"")"),"Cada vez más personas saltan de las diversas alturas de las inmersiones y dos se muestran al mismo tiempo al final.")</f>
        <v>Cada vez más personas saltan de las diversas alturas de las inmersiones y dos se muestran al mismo tiempo al final.</v>
      </c>
    </row>
    <row r="36300">
      <c r="A36300" s="4" t="s">
        <v>45661</v>
      </c>
      <c r="B36300" s="4" t="s">
        <v>45662</v>
      </c>
      <c r="C36300" s="5" t="str">
        <f>IFERROR(__xludf.DUMMYFUNCTION("GOOGLETRANSLATE(B36300,""en"",""es-ES"")"),"Se ve a un hombre hablando con la cámara mientras la gente del hombre se encuentra detrás de él y practica.")</f>
        <v>Se ve a un hombre hablando con la cámara mientras la gente del hombre se encuentra detrás de él y practica.</v>
      </c>
    </row>
    <row r="36301">
      <c r="A36301" s="4" t="s">
        <v>45661</v>
      </c>
      <c r="B36301" s="4" t="s">
        <v>45663</v>
      </c>
      <c r="C36301" s="5" t="str">
        <f>IFERROR(__xludf.DUMMYFUNCTION("GOOGLETRANSLATE(B36301,""en"",""es-ES"")"),"Los hombres golpean el bádminton y el cuarto mientras los caballeros mayores continúan hablando y señalando la cancha.")</f>
        <v>Los hombres golpean el bádminton y el cuarto mientras los caballeros mayores continúan hablando y señalando la cancha.</v>
      </c>
    </row>
    <row r="36302">
      <c r="A36302" s="4" t="s">
        <v>45664</v>
      </c>
      <c r="B36302" s="4" t="s">
        <v>45665</v>
      </c>
      <c r="C36302" s="5" t="str">
        <f>IFERROR(__xludf.DUMMYFUNCTION("GOOGLETRANSLATE(B36302,""en"",""es-ES"")"),"Se muestra un primer plano de herramientas y objetos que conducen a varios clips de una media que mide una pared y colocando yeso sobre ella.")</f>
        <v>Se muestra un primer plano de herramientas y objetos que conducen a varios clips de una media que mide una pared y colocando yeso sobre ella.</v>
      </c>
    </row>
    <row r="36303">
      <c r="A36303" s="4" t="s">
        <v>45664</v>
      </c>
      <c r="B36303" s="4" t="s">
        <v>45666</v>
      </c>
      <c r="C36303" s="5" t="str">
        <f>IFERROR(__xludf.DUMMYFUNCTION("GOOGLETRANSLATE(B36303,""en"",""es-ES"")"),"El hombre muestra cómo hacer yeso mientras hace la transición con él haciendo yeso y continúa mostrando más clips de él colocándolo.")</f>
        <v>El hombre muestra cómo hacer yeso mientras hace la transición con él haciendo yeso y continúa mostrando más clips de él colocándolo.</v>
      </c>
    </row>
    <row r="36304">
      <c r="A36304" s="4" t="s">
        <v>45667</v>
      </c>
      <c r="B36304" s="4" t="s">
        <v>45668</v>
      </c>
      <c r="C36304" s="5" t="str">
        <f>IFERROR(__xludf.DUMMYFUNCTION("GOOGLETRANSLATE(B36304,""en"",""es-ES"")"),"Se muestra una bicicleta en una habitación inclinada contra una mesa marrón.")</f>
        <v>Se muestra una bicicleta en una habitación inclinada contra una mesa marrón.</v>
      </c>
    </row>
    <row r="36305">
      <c r="A36305" s="4" t="s">
        <v>45667</v>
      </c>
      <c r="B36305" s="4" t="s">
        <v>45669</v>
      </c>
      <c r="C36305" s="5" t="str">
        <f>IFERROR(__xludf.DUMMYFUNCTION("GOOGLETRANSLATE(B36305,""en"",""es-ES"")"),"Luego, una persona entra en la habitación y comienza a quitar los pedazos de la bicicleta.")</f>
        <v>Luego, una persona entra en la habitación y comienza a quitar los pedazos de la bicicleta.</v>
      </c>
    </row>
    <row r="36306">
      <c r="A36306" s="4" t="s">
        <v>45667</v>
      </c>
      <c r="B36306" s="4" t="s">
        <v>45670</v>
      </c>
      <c r="C36306" s="5" t="str">
        <f>IFERROR(__xludf.DUMMYFUNCTION("GOOGLETRANSLATE(B36306,""en"",""es-ES"")"),"Luego, las piezas se agregan nuevamente en la bicicleta y se apretan alrededor del volante.")</f>
        <v>Luego, las piezas se agregan nuevamente en la bicicleta y se apretan alrededor del volante.</v>
      </c>
    </row>
    <row r="36307">
      <c r="A36307" s="4" t="s">
        <v>45671</v>
      </c>
      <c r="B36307" s="4" t="s">
        <v>45672</v>
      </c>
      <c r="C36307" s="5" t="str">
        <f>IFERROR(__xludf.DUMMYFUNCTION("GOOGLETRANSLATE(B36307,""en"",""es-ES"")"),"Un hombre de pie en el porche de una casa mira a su alrededor y sonríe.")</f>
        <v>Un hombre de pie en el porche de una casa mira a su alrededor y sonríe.</v>
      </c>
    </row>
    <row r="36308">
      <c r="A36308" s="4" t="s">
        <v>45671</v>
      </c>
      <c r="B36308" s="4" t="s">
        <v>45673</v>
      </c>
      <c r="C36308" s="5" t="str">
        <f>IFERROR(__xludf.DUMMYFUNCTION("GOOGLETRANSLATE(B36308,""en"",""es-ES"")"),"Luego, el hombre toma una taza y bebe, después de que se va.")</f>
        <v>Luego, el hombre toma una taza y bebe, después de que se va.</v>
      </c>
    </row>
    <row r="36309">
      <c r="A36309" s="4" t="s">
        <v>45674</v>
      </c>
      <c r="B36309" s="4" t="s">
        <v>45675</v>
      </c>
      <c r="C36309" s="5" t="str">
        <f>IFERROR(__xludf.DUMMYFUNCTION("GOOGLETRANSLATE(B36309,""en"",""es-ES"")"),"Una mujer tocó un teléfono negro y apareció una pantalla de cápsula púrpura como bacterias.")</f>
        <v>Una mujer tocó un teléfono negro y apareció una pantalla de cápsula púrpura como bacterias.</v>
      </c>
    </row>
    <row r="36310">
      <c r="A36310" s="4" t="s">
        <v>45674</v>
      </c>
      <c r="B36310" s="4" t="s">
        <v>45676</v>
      </c>
      <c r="C36310" s="5" t="str">
        <f>IFERROR(__xludf.DUMMYFUNCTION("GOOGLETRANSLATE(B36310,""en"",""es-ES"")"),"La persona volvió a poner el teléfono y comenzó a escribir en el teclado negro.")</f>
        <v>La persona volvió a poner el teléfono y comenzó a escribir en el teclado negro.</v>
      </c>
    </row>
    <row r="36311">
      <c r="A36311" s="4" t="s">
        <v>45674</v>
      </c>
      <c r="B36311" s="4" t="s">
        <v>45677</v>
      </c>
      <c r="C36311" s="5" t="str">
        <f>IFERROR(__xludf.DUMMYFUNCTION("GOOGLETRANSLATE(B36311,""en"",""es-ES"")"),"La toma de bacterias se pone en escena.")</f>
        <v>La toma de bacterias se pone en escena.</v>
      </c>
    </row>
    <row r="36312">
      <c r="A36312" s="4" t="s">
        <v>45674</v>
      </c>
      <c r="B36312" s="4" t="s">
        <v>45678</v>
      </c>
      <c r="C36312" s="5" t="str">
        <f>IFERROR(__xludf.DUMMYFUNCTION("GOOGLETRANSLATE(B36312,""en"",""es-ES"")"),"La mujer puso su mano sobre el ratón.")</f>
        <v>La mujer puso su mano sobre el ratón.</v>
      </c>
    </row>
    <row r="36313">
      <c r="A36313" s="4" t="s">
        <v>45674</v>
      </c>
      <c r="B36313" s="4" t="s">
        <v>45679</v>
      </c>
      <c r="C36313" s="5" t="str">
        <f>IFERROR(__xludf.DUMMYFUNCTION("GOOGLETRANSLATE(B36313,""en"",""es-ES"")"),"Puso su mano en el escritorio de madera.")</f>
        <v>Puso su mano en el escritorio de madera.</v>
      </c>
    </row>
    <row r="36314">
      <c r="A36314" s="4" t="s">
        <v>45674</v>
      </c>
      <c r="B36314" s="4" t="s">
        <v>45680</v>
      </c>
      <c r="C36314" s="5" t="str">
        <f>IFERROR(__xludf.DUMMYFUNCTION("GOOGLETRANSLATE(B36314,""en"",""es-ES"")"),"La mujer se levantó y camina hacia el pasillo.")</f>
        <v>La mujer se levantó y camina hacia el pasillo.</v>
      </c>
    </row>
    <row r="36315">
      <c r="A36315" s="4" t="s">
        <v>45674</v>
      </c>
      <c r="B36315" s="4" t="s">
        <v>45681</v>
      </c>
      <c r="C36315" s="5" t="str">
        <f>IFERROR(__xludf.DUMMYFUNCTION("GOOGLETRANSLATE(B36315,""en"",""es-ES"")"),"La mujer vio a un hombre y estrechó su mano.")</f>
        <v>La mujer vio a un hombre y estrechó su mano.</v>
      </c>
    </row>
    <row r="36316">
      <c r="A36316" s="4" t="s">
        <v>45674</v>
      </c>
      <c r="B36316" s="4" t="s">
        <v>45682</v>
      </c>
      <c r="C36316" s="5" t="str">
        <f>IFERROR(__xludf.DUMMYFUNCTION("GOOGLETRANSLATE(B36316,""en"",""es-ES"")"),"La mujer fue al baño.")</f>
        <v>La mujer fue al baño.</v>
      </c>
    </row>
    <row r="36317">
      <c r="A36317" s="4" t="s">
        <v>45674</v>
      </c>
      <c r="B36317" s="4" t="s">
        <v>45683</v>
      </c>
      <c r="C36317" s="5" t="str">
        <f>IFERROR(__xludf.DUMMYFUNCTION("GOOGLETRANSLATE(B36317,""en"",""es-ES"")"),"La mujer se quitó el anillo, se lavó la mano, llegó a casa el jabón y lo frotó bien en su mano y la enjuaga.")</f>
        <v>La mujer se quitó el anillo, se lavó la mano, llegó a casa el jabón y lo frotó bien en su mano y la enjuaga.</v>
      </c>
    </row>
    <row r="36318">
      <c r="A36318" s="4" t="s">
        <v>45674</v>
      </c>
      <c r="B36318" s="4" t="s">
        <v>45684</v>
      </c>
      <c r="C36318" s="5" t="str">
        <f>IFERROR(__xludf.DUMMYFUNCTION("GOOGLETRANSLATE(B36318,""en"",""es-ES"")"),"La mujer estornuda en su mano.")</f>
        <v>La mujer estornuda en su mano.</v>
      </c>
    </row>
    <row r="36319">
      <c r="A36319" s="4" t="s">
        <v>45674</v>
      </c>
      <c r="B36319" s="4" t="s">
        <v>45685</v>
      </c>
      <c r="C36319" s="5" t="str">
        <f>IFERROR(__xludf.DUMMYFUNCTION("GOOGLETRANSLATE(B36319,""en"",""es-ES"")"),"Ella camina hacia su oficina, pone su mano en el escritorio y el teléfono.")</f>
        <v>Ella camina hacia su oficina, pone su mano en el escritorio y el teléfono.</v>
      </c>
    </row>
    <row r="36320">
      <c r="A36320" s="4" t="s">
        <v>45686</v>
      </c>
      <c r="B36320" s="4" t="s">
        <v>45687</v>
      </c>
      <c r="C36320" s="5" t="str">
        <f>IFERROR(__xludf.DUMMYFUNCTION("GOOGLETRANSLATE(B36320,""en"",""es-ES"")"),"Estas dos personas que se muestran aquí están montando sus bicicletas sobre jorobas nevadas afuera.")</f>
        <v>Estas dos personas que se muestran aquí están montando sus bicicletas sobre jorobas nevadas afuera.</v>
      </c>
    </row>
    <row r="36321">
      <c r="A36321" s="4" t="s">
        <v>45686</v>
      </c>
      <c r="B36321" s="4" t="s">
        <v>45688</v>
      </c>
      <c r="C36321" s="5" t="str">
        <f>IFERROR(__xludf.DUMMYFUNCTION("GOOGLETRANSLATE(B36321,""en"",""es-ES"")"),"Han montado sobre las jorobas de tierra.")</f>
        <v>Han montado sobre las jorobas de tierra.</v>
      </c>
    </row>
    <row r="36322">
      <c r="A36322" s="4" t="s">
        <v>45686</v>
      </c>
      <c r="B36322" s="4" t="s">
        <v>45689</v>
      </c>
      <c r="C36322" s="5" t="str">
        <f>IFERROR(__xludf.DUMMYFUNCTION("GOOGLETRANSLATE(B36322,""en"",""es-ES"")"),"También han montado sobre jorobas de arena en el edificio y otras jorobas en una carrera.")</f>
        <v>También han montado sobre jorobas de arena en el edificio y otras jorobas en una carrera.</v>
      </c>
    </row>
    <row r="36323">
      <c r="A36323" s="4" t="s">
        <v>45690</v>
      </c>
      <c r="B36323" s="4" t="s">
        <v>45691</v>
      </c>
      <c r="C36323" s="5" t="str">
        <f>IFERROR(__xludf.DUMMYFUNCTION("GOOGLETRANSLATE(B36323,""en"",""es-ES"")"),"Se ve a un hombre sosteniendo objetos mientras habla con una mujer y frota el objeto a lo largo de la pared.")</f>
        <v>Se ve a un hombre sosteniendo objetos mientras habla con una mujer y frota el objeto a lo largo de la pared.</v>
      </c>
    </row>
    <row r="36324">
      <c r="A36324" s="4" t="s">
        <v>45690</v>
      </c>
      <c r="B36324" s="4" t="s">
        <v>45692</v>
      </c>
      <c r="C36324" s="5" t="str">
        <f>IFERROR(__xludf.DUMMYFUNCTION("GOOGLETRANSLATE(B36324,""en"",""es-ES"")"),"Luego sumerge el papel en el agua y comienza a colgarlo en las paredes.")</f>
        <v>Luego sumerge el papel en el agua y comienza a colgarlo en las paredes.</v>
      </c>
    </row>
    <row r="36325">
      <c r="A36325" s="4" t="s">
        <v>45690</v>
      </c>
      <c r="B36325" s="4" t="s">
        <v>45693</v>
      </c>
      <c r="C36325" s="5" t="str">
        <f>IFERROR(__xludf.DUMMYFUNCTION("GOOGLETRANSLATE(B36325,""en"",""es-ES"")"),"Levanta una botella de spray para rociar las paredes mientras los demás ayudan.")</f>
        <v>Levanta una botella de spray para rociar las paredes mientras los demás ayudan.</v>
      </c>
    </row>
    <row r="36326">
      <c r="A36326" s="4" t="s">
        <v>45690</v>
      </c>
      <c r="B36326" s="4" t="s">
        <v>45694</v>
      </c>
      <c r="C36326" s="5" t="str">
        <f>IFERROR(__xludf.DUMMYFUNCTION("GOOGLETRANSLATE(B36326,""en"",""es-ES"")"),"La gente revisa la pared y se quita el papel seguido, quitando el fondo de pantalla real y frotando la pared.")</f>
        <v>La gente revisa la pared y se quita el papel seguido, quitando el fondo de pantalla real y frotando la pared.</v>
      </c>
    </row>
    <row r="36327">
      <c r="A36327" s="4" t="s">
        <v>45695</v>
      </c>
      <c r="B36327" s="4" t="s">
        <v>45696</v>
      </c>
      <c r="C36327" s="5" t="str">
        <f>IFERROR(__xludf.DUMMYFUNCTION("GOOGLETRANSLATE(B36327,""en"",""es-ES"")"),"Se muestra a un bebé acostado en la cama mientras un peine cepilla suavemente su cabello.")</f>
        <v>Se muestra a un bebé acostado en la cama mientras un peine cepilla suavemente su cabello.</v>
      </c>
    </row>
    <row r="36328">
      <c r="A36328" s="4" t="s">
        <v>45695</v>
      </c>
      <c r="B36328" s="4" t="s">
        <v>45697</v>
      </c>
      <c r="C36328" s="5" t="str">
        <f>IFERROR(__xludf.DUMMYFUNCTION("GOOGLETRANSLATE(B36328,""en"",""es-ES"")"),"El bebé finalmente sonriendo mientras la mano continúa cepillando la cabeza del bebé.")</f>
        <v>El bebé finalmente sonriendo mientras la mano continúa cepillando la cabeza del bebé.</v>
      </c>
    </row>
    <row r="36329">
      <c r="A36329" s="4" t="s">
        <v>45695</v>
      </c>
      <c r="B36329" s="4" t="s">
        <v>45698</v>
      </c>
      <c r="C36329" s="5" t="str">
        <f>IFERROR(__xludf.DUMMYFUNCTION("GOOGLETRANSLATE(B36329,""en"",""es-ES"")"),"El bebé cierra suavemente sus ojos y bostezo mientras el cepillo continúa peinando.")</f>
        <v>El bebé cierra suavemente sus ojos y bostezo mientras el cepillo continúa peinando.</v>
      </c>
    </row>
    <row r="36330">
      <c r="A36330" s="4" t="s">
        <v>45699</v>
      </c>
      <c r="B36330" s="4" t="s">
        <v>45700</v>
      </c>
      <c r="C36330" s="5" t="str">
        <f>IFERROR(__xludf.DUMMYFUNCTION("GOOGLETRANSLATE(B36330,""en"",""es-ES"")"),"Una mujer demuestra cómo lavar la cara lavando su rostro en el fregadero.")</f>
        <v>Una mujer demuestra cómo lavar la cara lavando su rostro en el fregadero.</v>
      </c>
    </row>
    <row r="36331">
      <c r="A36331" s="4" t="s">
        <v>45699</v>
      </c>
      <c r="B36331" s="4" t="s">
        <v>45701</v>
      </c>
      <c r="C36331" s="5" t="str">
        <f>IFERROR(__xludf.DUMMYFUNCTION("GOOGLETRANSLATE(B36331,""en"",""es-ES"")"),"Una mujer se para sobre un fregadero y salpica agua en su rostro.")</f>
        <v>Una mujer se para sobre un fregadero y salpica agua en su rostro.</v>
      </c>
    </row>
    <row r="36332">
      <c r="A36332" s="4" t="s">
        <v>45699</v>
      </c>
      <c r="B36332" s="4" t="s">
        <v>45702</v>
      </c>
      <c r="C36332" s="5" t="str">
        <f>IFERROR(__xludf.DUMMYFUNCTION("GOOGLETRANSLATE(B36332,""en"",""es-ES"")"),"Luego, la mujer trabaja una espuma con jabón líquido que le ha vertido sobre sus manos.")</f>
        <v>Luego, la mujer trabaja una espuma con jabón líquido que le ha vertido sobre sus manos.</v>
      </c>
    </row>
    <row r="36333">
      <c r="A36333" s="4" t="s">
        <v>45699</v>
      </c>
      <c r="B36333" s="4" t="s">
        <v>45703</v>
      </c>
      <c r="C36333" s="5" t="str">
        <f>IFERROR(__xludf.DUMMYFUNCTION("GOOGLETRANSLATE(B36333,""en"",""es-ES"")"),"Luego, la mujer se lava la cara con movimientos circulares, la mujer usó una toalla para secar su rostro.")</f>
        <v>Luego, la mujer se lava la cara con movimientos circulares, la mujer usó una toalla para secar su rostro.</v>
      </c>
    </row>
    <row r="36334">
      <c r="A36334" s="4" t="s">
        <v>45704</v>
      </c>
      <c r="B36334" s="4" t="s">
        <v>45705</v>
      </c>
      <c r="C36334" s="5" t="str">
        <f>IFERROR(__xludf.DUMMYFUNCTION("GOOGLETRANSLATE(B36334,""en"",""es-ES"")"),"Un comercial de techos demuestra cómo arreglar un techo de pizarra en una casa.")</f>
        <v>Un comercial de techos demuestra cómo arreglar un techo de pizarra en una casa.</v>
      </c>
    </row>
    <row r="36335">
      <c r="A36335" s="4" t="s">
        <v>45704</v>
      </c>
      <c r="B36335" s="4" t="s">
        <v>45706</v>
      </c>
      <c r="C36335" s="5" t="str">
        <f>IFERROR(__xludf.DUMMYFUNCTION("GOOGLETRANSLATE(B36335,""en"",""es-ES"")"),"Un hombre corta piezas en una mesa plegable afuera y luego instala una pizarra en un techo utilizando herramientas y herramientas eléctricas de su cinturón de herramientas.")</f>
        <v>Un hombre corta piezas en una mesa plegable afuera y luego instala una pizarra en un techo utilizando herramientas y herramientas eléctricas de su cinturón de herramientas.</v>
      </c>
    </row>
    <row r="36336">
      <c r="A36336" s="4" t="s">
        <v>45704</v>
      </c>
      <c r="B36336" s="4" t="s">
        <v>45707</v>
      </c>
      <c r="C36336" s="5" t="str">
        <f>IFERROR(__xludf.DUMMYFUNCTION("GOOGLETRANSLATE(B36336,""en"",""es-ES"")"),"El hombre instala piezas de cobre en el techo de pizarra que sobresalen del techo.")</f>
        <v>El hombre instala piezas de cobre en el techo de pizarra que sobresalen del techo.</v>
      </c>
    </row>
    <row r="36337">
      <c r="A36337" s="4" t="s">
        <v>45704</v>
      </c>
      <c r="B36337" s="4" t="s">
        <v>45708</v>
      </c>
      <c r="C36337" s="5" t="str">
        <f>IFERROR(__xludf.DUMMYFUNCTION("GOOGLETRANSLATE(B36337,""en"",""es-ES"")"),"Luego, el hombre corta una tubería de cobre y soldan los bordes de un orificio en el tubo de cobre antes de que la cámara se corte nuevamente en el techo y luego un gráfico de marketing.")</f>
        <v>Luego, el hombre corta una tubería de cobre y soldan los bordes de un orificio en el tubo de cobre antes de que la cámara se corte nuevamente en el techo y luego un gráfico de marketing.</v>
      </c>
    </row>
    <row r="36338">
      <c r="A36338" s="4" t="s">
        <v>45709</v>
      </c>
      <c r="B36338" s="4" t="s">
        <v>45710</v>
      </c>
      <c r="C36338" s="5" t="str">
        <f>IFERROR(__xludf.DUMMYFUNCTION("GOOGLETRANSLATE(B36338,""en"",""es-ES"")"),"Un hombre con saxofón está jugando en el centro del parque mientras una mujer está sentada junto a la fuente.")</f>
        <v>Un hombre con saxofón está jugando en el centro del parque mientras una mujer está sentada junto a la fuente.</v>
      </c>
    </row>
    <row r="36339">
      <c r="A36339" s="4" t="s">
        <v>45709</v>
      </c>
      <c r="B36339" s="4" t="s">
        <v>45711</v>
      </c>
      <c r="C36339" s="5" t="str">
        <f>IFERROR(__xludf.DUMMYFUNCTION("GOOGLETRANSLATE(B36339,""en"",""es-ES"")"),"El hombre está jugando el saxofón.")</f>
        <v>El hombre está jugando el saxofón.</v>
      </c>
    </row>
    <row r="36340">
      <c r="A36340" s="4" t="s">
        <v>45709</v>
      </c>
      <c r="B36340" s="4" t="s">
        <v>45712</v>
      </c>
      <c r="C36340" s="5" t="str">
        <f>IFERROR(__xludf.DUMMYFUNCTION("GOOGLETRANSLATE(B36340,""en"",""es-ES"")"),"Detrás de él hay personas que se alinean en el cajero automático.")</f>
        <v>Detrás de él hay personas que se alinean en el cajero automático.</v>
      </c>
    </row>
    <row r="36341">
      <c r="A36341" s="4" t="s">
        <v>45709</v>
      </c>
      <c r="B36341" s="4" t="s">
        <v>45713</v>
      </c>
      <c r="C36341" s="5" t="str">
        <f>IFERROR(__xludf.DUMMYFUNCTION("GOOGLETRANSLATE(B36341,""en"",""es-ES"")"),"La cámara se acercó al saxofón dorado.")</f>
        <v>La cámara se acercó al saxofón dorado.</v>
      </c>
    </row>
    <row r="36342">
      <c r="A36342" s="4" t="s">
        <v>45709</v>
      </c>
      <c r="B36342" s="4" t="s">
        <v>45714</v>
      </c>
      <c r="C36342" s="5" t="str">
        <f>IFERROR(__xludf.DUMMYFUNCTION("GOOGLETRANSLATE(B36342,""en"",""es-ES"")"),"El hombre continúa jugando mientras la gente pasaba junto a él.")</f>
        <v>El hombre continúa jugando mientras la gente pasaba junto a él.</v>
      </c>
    </row>
    <row r="36343">
      <c r="A36343" s="4" t="s">
        <v>45709</v>
      </c>
      <c r="B36343" s="4" t="s">
        <v>45715</v>
      </c>
      <c r="C36343" s="5" t="str">
        <f>IFERROR(__xludf.DUMMYFUNCTION("GOOGLETRANSLATE(B36343,""en"",""es-ES"")"),"El hombre sopla tan fuerte sobre su saxofón.")</f>
        <v>El hombre sopla tan fuerte sobre su saxofón.</v>
      </c>
    </row>
    <row r="36344">
      <c r="A36344" s="4" t="s">
        <v>45709</v>
      </c>
      <c r="B36344" s="4" t="s">
        <v>45716</v>
      </c>
      <c r="C36344" s="5" t="str">
        <f>IFERROR(__xludf.DUMMYFUNCTION("GOOGLETRANSLATE(B36344,""en"",""es-ES"")"),"Un pájaro blanco de pie detrás del hombre.")</f>
        <v>Un pájaro blanco de pie detrás del hombre.</v>
      </c>
    </row>
    <row r="36345">
      <c r="A36345" s="4" t="s">
        <v>45717</v>
      </c>
      <c r="B36345" s="4" t="s">
        <v>45718</v>
      </c>
      <c r="C36345" s="5" t="str">
        <f>IFERROR(__xludf.DUMMYFUNCTION("GOOGLETRANSLATE(B36345,""en"",""es-ES"")"),"Un hombre está de pie junto a una bicicleta.")</f>
        <v>Un hombre está de pie junto a una bicicleta.</v>
      </c>
    </row>
    <row r="36346">
      <c r="A36346" s="4" t="s">
        <v>45717</v>
      </c>
      <c r="B36346" s="4" t="s">
        <v>45719</v>
      </c>
      <c r="C36346" s="5" t="str">
        <f>IFERROR(__xludf.DUMMYFUNCTION("GOOGLETRANSLATE(B36346,""en"",""es-ES"")"),"Está sosteniendo un tubo nuevo para un neumático.")</f>
        <v>Está sosteniendo un tubo nuevo para un neumático.</v>
      </c>
    </row>
    <row r="36347">
      <c r="A36347" s="4" t="s">
        <v>45717</v>
      </c>
      <c r="B36347" s="4" t="s">
        <v>45720</v>
      </c>
      <c r="C36347" s="5" t="str">
        <f>IFERROR(__xludf.DUMMYFUNCTION("GOOGLETRANSLATE(B36347,""en"",""es-ES"")"),"Agarra una bomba de aire y la une al neumático.")</f>
        <v>Agarra una bomba de aire y la une al neumático.</v>
      </c>
    </row>
    <row r="36348">
      <c r="A36348" s="4" t="s">
        <v>45717</v>
      </c>
      <c r="B36348" s="4" t="s">
        <v>45721</v>
      </c>
      <c r="C36348" s="5" t="str">
        <f>IFERROR(__xludf.DUMMYFUNCTION("GOOGLETRANSLATE(B36348,""en"",""es-ES"")"),"Bombea el neumático con aire.")</f>
        <v>Bombea el neumático con aire.</v>
      </c>
    </row>
    <row r="36349">
      <c r="A36349" s="4" t="s">
        <v>45717</v>
      </c>
      <c r="B36349" s="4" t="s">
        <v>45722</v>
      </c>
      <c r="C36349" s="5" t="str">
        <f>IFERROR(__xludf.DUMMYFUNCTION("GOOGLETRANSLATE(B36349,""en"",""es-ES"")"),"Él une la bomba a la llanta pinchada y la bombea.")</f>
        <v>Él une la bomba a la llanta pinchada y la bombea.</v>
      </c>
    </row>
    <row r="36350">
      <c r="A36350" s="4" t="s">
        <v>45723</v>
      </c>
      <c r="B36350" s="4" t="s">
        <v>45724</v>
      </c>
      <c r="C36350" s="5" t="str">
        <f>IFERROR(__xludf.DUMMYFUNCTION("GOOGLETRANSLATE(B36350,""en"",""es-ES"")"),"Se muestra la mano de una persona colocando un bolígrafo en un poco de agua seguido de un poco de esmalte de uñas.")</f>
        <v>Se muestra la mano de una persona colocando un bolígrafo en un poco de agua seguido de un poco de esmalte de uñas.</v>
      </c>
    </row>
    <row r="36351">
      <c r="A36351" s="4" t="s">
        <v>45723</v>
      </c>
      <c r="B36351" s="4" t="s">
        <v>45725</v>
      </c>
      <c r="C36351" s="5" t="str">
        <f>IFERROR(__xludf.DUMMYFUNCTION("GOOGLETRANSLATE(B36351,""en"",""es-ES"")"),"El agua cambia de color a medida que se muestran las diversas pinturas y la persona crea un patrón de arranque en el agua.")</f>
        <v>El agua cambia de color a medida que se muestran las diversas pinturas y la persona crea un patrón de arranque en el agua.</v>
      </c>
    </row>
    <row r="36352">
      <c r="A36352" s="4" t="s">
        <v>45726</v>
      </c>
      <c r="B36352" s="4" t="s">
        <v>45727</v>
      </c>
      <c r="C36352" s="5" t="str">
        <f>IFERROR(__xludf.DUMMYFUNCTION("GOOGLETRANSLATE(B36352,""en"",""es-ES"")"),"Vemos a tres hombres en un campo cortando hierba alta con una guadaña.")</f>
        <v>Vemos a tres hombres en un campo cortando hierba alta con una guadaña.</v>
      </c>
    </row>
    <row r="36353">
      <c r="A36353" s="4" t="s">
        <v>45726</v>
      </c>
      <c r="B36353" s="4" t="s">
        <v>45728</v>
      </c>
      <c r="C36353" s="5" t="str">
        <f>IFERROR(__xludf.DUMMYFUNCTION("GOOGLETRANSLATE(B36353,""en"",""es-ES"")"),"Vemos al hombre tomar un puñado de hierba y limpiar la cabeza de guadaña.")</f>
        <v>Vemos al hombre tomar un puñado de hierba y limpiar la cabeza de guadaña.</v>
      </c>
    </row>
    <row r="36354">
      <c r="A36354" s="4" t="s">
        <v>45726</v>
      </c>
      <c r="B36354" s="4" t="s">
        <v>45729</v>
      </c>
      <c r="C36354" s="5" t="str">
        <f>IFERROR(__xludf.DUMMYFUNCTION("GOOGLETRANSLATE(B36354,""en"",""es-ES"")"),"El hombre saca algo de su bolsillo y lo frota en la guadaña.")</f>
        <v>El hombre saca algo de su bolsillo y lo frota en la guadaña.</v>
      </c>
    </row>
    <row r="36355">
      <c r="A36355" s="4" t="s">
        <v>45726</v>
      </c>
      <c r="B36355" s="4" t="s">
        <v>45730</v>
      </c>
      <c r="C36355" s="5" t="str">
        <f>IFERROR(__xludf.DUMMYFUNCTION("GOOGLETRANSLATE(B36355,""en"",""es-ES"")"),"Los hombres regresan a cortar la hierba.")</f>
        <v>Los hombres regresan a cortar la hierba.</v>
      </c>
    </row>
    <row r="36356">
      <c r="A36356" s="4" t="s">
        <v>45731</v>
      </c>
      <c r="B36356" s="4" t="s">
        <v>45732</v>
      </c>
      <c r="C36356" s="5" t="str">
        <f>IFERROR(__xludf.DUMMYFUNCTION("GOOGLETRANSLATE(B36356,""en"",""es-ES"")"),"La gente está parada en una cancha de voleibol.")</f>
        <v>La gente está parada en una cancha de voleibol.</v>
      </c>
    </row>
    <row r="36357">
      <c r="A36357" s="4" t="s">
        <v>45731</v>
      </c>
      <c r="B36357" s="4" t="s">
        <v>45733</v>
      </c>
      <c r="C36357" s="5" t="str">
        <f>IFERROR(__xludf.DUMMYFUNCTION("GOOGLETRANSLATE(B36357,""en"",""es-ES"")"),"Un hombre con un sombrero blanco está de pie en la arena.")</f>
        <v>Un hombre con un sombrero blanco está de pie en la arena.</v>
      </c>
    </row>
    <row r="36358">
      <c r="A36358" s="4" t="s">
        <v>45731</v>
      </c>
      <c r="B36358" s="4" t="s">
        <v>45734</v>
      </c>
      <c r="C36358" s="5" t="str">
        <f>IFERROR(__xludf.DUMMYFUNCTION("GOOGLETRANSLATE(B36358,""en"",""es-ES"")"),"Una persona con una camisa negra sirve el voleibol, pero no lo hace sobre la red.")</f>
        <v>Una persona con una camisa negra sirve el voleibol, pero no lo hace sobre la red.</v>
      </c>
    </row>
    <row r="36359">
      <c r="A36359" s="4" t="s">
        <v>45735</v>
      </c>
      <c r="B36359" s="4" t="s">
        <v>45736</v>
      </c>
      <c r="C36359" s="5" t="str">
        <f>IFERROR(__xludf.DUMMYFUNCTION("GOOGLETRANSLATE(B36359,""en"",""es-ES"")"),"Una mujer se sienta en un piano y toca frente a una pequeña audiencia.")</f>
        <v>Una mujer se sienta en un piano y toca frente a una pequeña audiencia.</v>
      </c>
    </row>
    <row r="36360">
      <c r="A36360" s="4" t="s">
        <v>45735</v>
      </c>
      <c r="B36360" s="4" t="s">
        <v>45737</v>
      </c>
      <c r="C36360" s="5" t="str">
        <f>IFERROR(__xludf.DUMMYFUNCTION("GOOGLETRANSLATE(B36360,""en"",""es-ES"")"),"La cámara se centra en varios hombres que la miran.")</f>
        <v>La cámara se centra en varios hombres que la miran.</v>
      </c>
    </row>
    <row r="36361">
      <c r="A36361" s="4" t="s">
        <v>45735</v>
      </c>
      <c r="B36361" s="4" t="s">
        <v>45738</v>
      </c>
      <c r="C36361" s="5" t="str">
        <f>IFERROR(__xludf.DUMMYFUNCTION("GOOGLETRANSLATE(B36361,""en"",""es-ES"")"),"La mujer canta con el piano.")</f>
        <v>La mujer canta con el piano.</v>
      </c>
    </row>
    <row r="36362">
      <c r="A36362" s="4" t="s">
        <v>45735</v>
      </c>
      <c r="B36362" s="4" t="s">
        <v>45739</v>
      </c>
      <c r="C36362" s="5" t="str">
        <f>IFERROR(__xludf.DUMMYFUNCTION("GOOGLETRANSLATE(B36362,""en"",""es-ES"")"),"La cámara captura la reacción de los miembros de la audiencia.")</f>
        <v>La cámara captura la reacción de los miembros de la audiencia.</v>
      </c>
    </row>
    <row r="36363">
      <c r="A36363" s="4" t="s">
        <v>45735</v>
      </c>
      <c r="B36363" s="4" t="s">
        <v>45740</v>
      </c>
      <c r="C36363" s="5" t="str">
        <f>IFERROR(__xludf.DUMMYFUNCTION("GOOGLETRANSLATE(B36363,""en"",""es-ES"")"),"La cámara captura más tomas de reacción de la audiencia.")</f>
        <v>La cámara captura más tomas de reacción de la audiencia.</v>
      </c>
    </row>
    <row r="36364">
      <c r="A36364" s="4" t="s">
        <v>45741</v>
      </c>
      <c r="B36364" s="4" t="s">
        <v>45742</v>
      </c>
      <c r="C36364" s="5" t="str">
        <f>IFERROR(__xludf.DUMMYFUNCTION("GOOGLETRANSLATE(B36364,""en"",""es-ES"")"),"Se muestra un par de tijeras de jardín.")</f>
        <v>Se muestra un par de tijeras de jardín.</v>
      </c>
    </row>
    <row r="36365">
      <c r="A36365" s="4" t="s">
        <v>45741</v>
      </c>
      <c r="B36365" s="4" t="s">
        <v>45743</v>
      </c>
      <c r="C36365" s="5" t="str">
        <f>IFERROR(__xludf.DUMMYFUNCTION("GOOGLETRANSLATE(B36365,""en"",""es-ES"")"),"Una mujer está demostrando cómo usar las tijeras del jardín en diferentes situaciones.")</f>
        <v>Una mujer está demostrando cómo usar las tijeras del jardín en diferentes situaciones.</v>
      </c>
    </row>
    <row r="36366">
      <c r="A36366" s="4" t="s">
        <v>45741</v>
      </c>
      <c r="B36366" s="4" t="s">
        <v>45744</v>
      </c>
      <c r="C36366" s="5" t="str">
        <f>IFERROR(__xludf.DUMMYFUNCTION("GOOGLETRANSLATE(B36366,""en"",""es-ES"")"),"Una niña más joven demuestra cómo usar las tijeras.")</f>
        <v>Una niña más joven demuestra cómo usar las tijeras.</v>
      </c>
    </row>
    <row r="36367">
      <c r="A36367" s="4" t="s">
        <v>45741</v>
      </c>
      <c r="B36367" s="4" t="s">
        <v>45745</v>
      </c>
      <c r="C36367" s="5" t="str">
        <f>IFERROR(__xludf.DUMMYFUNCTION("GOOGLETRANSLATE(B36367,""en"",""es-ES"")"),"Un hombre mayor muestra cómo usa las tijeras.")</f>
        <v>Un hombre mayor muestra cómo usa las tijeras.</v>
      </c>
    </row>
    <row r="36368">
      <c r="A36368" s="4" t="s">
        <v>45741</v>
      </c>
      <c r="B36368" s="4" t="s">
        <v>45746</v>
      </c>
      <c r="C36368" s="5" t="str">
        <f>IFERROR(__xludf.DUMMYFUNCTION("GOOGLETRANSLATE(B36368,""en"",""es-ES"")"),"Se muestra a un joven usando las tijeras para alcanzar algo por encima de su cabeza.")</f>
        <v>Se muestra a un joven usando las tijeras para alcanzar algo por encima de su cabeza.</v>
      </c>
    </row>
    <row r="36369">
      <c r="A36369" s="4" t="s">
        <v>45741</v>
      </c>
      <c r="B36369" s="4" t="s">
        <v>45747</v>
      </c>
      <c r="C36369" s="5" t="str">
        <f>IFERROR(__xludf.DUMMYFUNCTION("GOOGLETRANSLATE(B36369,""en"",""es-ES"")"),"La mujer original que se muestra demuestra usar las tijeras en diferentes tipos de plantas.")</f>
        <v>La mujer original que se muestra demuestra usar las tijeras en diferentes tipos de plantas.</v>
      </c>
    </row>
    <row r="36370">
      <c r="A36370" s="4" t="s">
        <v>45741</v>
      </c>
      <c r="B36370" s="4" t="s">
        <v>45748</v>
      </c>
      <c r="C36370" s="5" t="str">
        <f>IFERROR(__xludf.DUMMYFUNCTION("GOOGLETRANSLATE(B36370,""en"",""es-ES"")"),"La misma mujer muestra cómo usar el mango telescópico de las tijeras y las plantas de corte que estarían fuera de su alcance.")</f>
        <v>La misma mujer muestra cómo usar el mango telescópico de las tijeras y las plantas de corte que estarían fuera de su alcance.</v>
      </c>
    </row>
    <row r="36371">
      <c r="A36371" s="4" t="s">
        <v>45741</v>
      </c>
      <c r="B36371" s="4" t="s">
        <v>45749</v>
      </c>
      <c r="C36371" s="5" t="str">
        <f>IFERROR(__xludf.DUMMYFUNCTION("GOOGLETRANSLATE(B36371,""en"",""es-ES"")"),"La misma mujer camina por un camino con las tijeras.")</f>
        <v>La misma mujer camina por un camino con las tijeras.</v>
      </c>
    </row>
    <row r="36372">
      <c r="A36372" s="4" t="s">
        <v>45741</v>
      </c>
      <c r="B36372" s="4" t="s">
        <v>45750</v>
      </c>
      <c r="C36372" s="5" t="str">
        <f>IFERROR(__xludf.DUMMYFUNCTION("GOOGLETRANSLATE(B36372,""en"",""es-ES"")"),"Luego, la mujer muestra cómo funcionan las tijeras que se manejan en varias otras plantas.")</f>
        <v>Luego, la mujer muestra cómo funcionan las tijeras que se manejan en varias otras plantas.</v>
      </c>
    </row>
    <row r="36373">
      <c r="A36373" s="4" t="s">
        <v>45741</v>
      </c>
      <c r="B36373" s="4" t="s">
        <v>45751</v>
      </c>
      <c r="C36373" s="5" t="str">
        <f>IFERROR(__xludf.DUMMYFUNCTION("GOOGLETRANSLATE(B36373,""en"",""es-ES"")"),"Se muestra a una mujer joven usando las tijeras.")</f>
        <v>Se muestra a una mujer joven usando las tijeras.</v>
      </c>
    </row>
    <row r="36374">
      <c r="A36374" s="4" t="s">
        <v>45741</v>
      </c>
      <c r="B36374" s="4" t="s">
        <v>45752</v>
      </c>
      <c r="C36374" s="5" t="str">
        <f>IFERROR(__xludf.DUMMYFUNCTION("GOOGLETRANSLATE(B36374,""en"",""es-ES"")"),"Un hombre mayor usa las tijeras.")</f>
        <v>Un hombre mayor usa las tijeras.</v>
      </c>
    </row>
    <row r="36375">
      <c r="A36375" s="4" t="s">
        <v>45741</v>
      </c>
      <c r="B36375" s="4" t="s">
        <v>45753</v>
      </c>
      <c r="C36375" s="5" t="str">
        <f>IFERROR(__xludf.DUMMYFUNCTION("GOOGLETRANSLATE(B36375,""en"",""es-ES"")"),"Se muestra otro hombre usando las tijeras para alcanzar las extremidades del árbol.")</f>
        <v>Se muestra otro hombre usando las tijeras para alcanzar las extremidades del árbol.</v>
      </c>
    </row>
    <row r="36376">
      <c r="A36376" s="4" t="s">
        <v>45741</v>
      </c>
      <c r="B36376" s="4" t="s">
        <v>45754</v>
      </c>
      <c r="C36376" s="5" t="str">
        <f>IFERROR(__xludf.DUMMYFUNCTION("GOOGLETRANSLATE(B36376,""en"",""es-ES"")"),"La primera mujer muestra características adicionales de las tijeras y los mismos ejemplos de otras personas que usan las tijeras se muestran nuevamente.")</f>
        <v>La primera mujer muestra características adicionales de las tijeras y los mismos ejemplos de otras personas que usan las tijeras se muestran nuevamente.</v>
      </c>
    </row>
    <row r="36377">
      <c r="A36377" s="4" t="s">
        <v>45741</v>
      </c>
      <c r="B36377" s="4" t="s">
        <v>45755</v>
      </c>
      <c r="C36377" s="5" t="str">
        <f>IFERROR(__xludf.DUMMYFUNCTION("GOOGLETRANSLATE(B36377,""en"",""es-ES"")"),"La mujer sube un juego de escaleras con las tijeras.")</f>
        <v>La mujer sube un juego de escaleras con las tijeras.</v>
      </c>
    </row>
    <row r="36378">
      <c r="A36378" s="4" t="s">
        <v>45741</v>
      </c>
      <c r="B36378" s="4" t="s">
        <v>45756</v>
      </c>
      <c r="C36378" s="5" t="str">
        <f>IFERROR(__xludf.DUMMYFUNCTION("GOOGLETRANSLATE(B36378,""en"",""es-ES"")"),"La misma mujer se muestra en la tienda comprando las tijeras.")</f>
        <v>La misma mujer se muestra en la tienda comprando las tijeras.</v>
      </c>
    </row>
    <row r="36379">
      <c r="A36379" s="4" t="s">
        <v>45757</v>
      </c>
      <c r="B36379" s="4" t="s">
        <v>45758</v>
      </c>
      <c r="C36379" s="5" t="str">
        <f>IFERROR(__xludf.DUMMYFUNCTION("GOOGLETRANSLATE(B36379,""en"",""es-ES"")"),"Dos hombres están dentro de un gimnasio.")</f>
        <v>Dos hombres están dentro de un gimnasio.</v>
      </c>
    </row>
    <row r="36380">
      <c r="A36380" s="4" t="s">
        <v>45757</v>
      </c>
      <c r="B36380" s="4" t="s">
        <v>45759</v>
      </c>
      <c r="C36380" s="5" t="str">
        <f>IFERROR(__xludf.DUMMYFUNCTION("GOOGLETRANSLATE(B36380,""en"",""es-ES"")"),"Uno está en guantes de boxeo y el otro lleva guardias.")</f>
        <v>Uno está en guantes de boxeo y el otro lleva guardias.</v>
      </c>
    </row>
    <row r="36381">
      <c r="A36381" s="4" t="s">
        <v>45757</v>
      </c>
      <c r="B36381" s="4" t="s">
        <v>45760</v>
      </c>
      <c r="C36381" s="5" t="str">
        <f>IFERROR(__xludf.DUMMYFUNCTION("GOOGLETRANSLATE(B36381,""en"",""es-ES"")"),"Muestran los diferentes movimientos para golpear y patear.")</f>
        <v>Muestran los diferentes movimientos para golpear y patear.</v>
      </c>
    </row>
    <row r="36382">
      <c r="A36382" s="4" t="s">
        <v>45761</v>
      </c>
      <c r="B36382" s="4" t="s">
        <v>45762</v>
      </c>
      <c r="C36382" s="5" t="str">
        <f>IFERROR(__xludf.DUMMYFUNCTION("GOOGLETRANSLATE(B36382,""en"",""es-ES"")"),"Una cámara se mueve alrededor de un campo atlético con varias personas calentando y sosteniendo palos.")</f>
        <v>Una cámara se mueve alrededor de un campo atlético con varias personas calentando y sosteniendo palos.</v>
      </c>
    </row>
    <row r="36383">
      <c r="A36383" s="4" t="s">
        <v>45761</v>
      </c>
      <c r="B36383" s="4" t="s">
        <v>45763</v>
      </c>
      <c r="C36383" s="5" t="str">
        <f>IFERROR(__xludf.DUMMYFUNCTION("GOOGLETRANSLATE(B36383,""en"",""es-ES"")"),"Una niña que sostiene un palo es hablada por un instructor y ella corre y tira el poste.")</f>
        <v>Una niña que sostiene un palo es hablada por un instructor y ella corre y tira el poste.</v>
      </c>
    </row>
    <row r="36384">
      <c r="A36384" s="4" t="s">
        <v>45761</v>
      </c>
      <c r="B36384" s="4" t="s">
        <v>45764</v>
      </c>
      <c r="C36384" s="5" t="str">
        <f>IFERROR(__xludf.DUMMYFUNCTION("GOOGLETRANSLATE(B36384,""en"",""es-ES"")"),"Ella regresa mientras otra agarra una cuerda para estimar su distancia.")</f>
        <v>Ella regresa mientras otra agarra una cuerda para estimar su distancia.</v>
      </c>
    </row>
    <row r="36385">
      <c r="A36385" s="4" t="s">
        <v>45765</v>
      </c>
      <c r="B36385" s="4" t="s">
        <v>45766</v>
      </c>
      <c r="C36385" s="5" t="str">
        <f>IFERROR(__xludf.DUMMYFUNCTION("GOOGLETRANSLATE(B36385,""en"",""es-ES"")"),"Un joven con uniforme de karate blanco practica algunos movimientos.")</f>
        <v>Un joven con uniforme de karate blanco practica algunos movimientos.</v>
      </c>
    </row>
    <row r="36386">
      <c r="A36386" s="4" t="s">
        <v>45765</v>
      </c>
      <c r="B36386" s="4" t="s">
        <v>45767</v>
      </c>
      <c r="C36386" s="5" t="str">
        <f>IFERROR(__xludf.DUMMYFUNCTION("GOOGLETRANSLATE(B36386,""en"",""es-ES"")"),"Se inclina al final y corre hacia la cámara.")</f>
        <v>Se inclina al final y corre hacia la cámara.</v>
      </c>
    </row>
    <row r="36387">
      <c r="A36387" s="4" t="s">
        <v>45768</v>
      </c>
      <c r="B36387" s="4" t="s">
        <v>45769</v>
      </c>
      <c r="C36387" s="5" t="str">
        <f>IFERROR(__xludf.DUMMYFUNCTION("GOOGLETRANSLATE(B36387,""en"",""es-ES"")"),"Los hombres están de pie en un campo jugando arrojando un pequeño trozo de comida a la boca de otro hombre.")</f>
        <v>Los hombres están de pie en un campo jugando arrojando un pequeño trozo de comida a la boca de otro hombre.</v>
      </c>
    </row>
    <row r="36388">
      <c r="A36388" s="4" t="s">
        <v>45768</v>
      </c>
      <c r="B36388" s="4" t="s">
        <v>45770</v>
      </c>
      <c r="C36388" s="5" t="str">
        <f>IFERROR(__xludf.DUMMYFUNCTION("GOOGLETRANSLATE(B36388,""en"",""es-ES"")"),"El hombre está hablando frente a la cámara y el equipo está parado en un gran campo verde cubierto de hierba.")</f>
        <v>El hombre está hablando frente a la cámara y el equipo está parado en un gran campo verde cubierto de hierba.</v>
      </c>
    </row>
    <row r="36389">
      <c r="A36389" s="4" t="s">
        <v>45768</v>
      </c>
      <c r="B36389" s="4" t="s">
        <v>45771</v>
      </c>
      <c r="C36389" s="5" t="str">
        <f>IFERROR(__xludf.DUMMYFUNCTION("GOOGLETRANSLATE(B36389,""en"",""es-ES"")"),"El hombre comienza a jugar al cricket en el campo.")</f>
        <v>El hombre comienza a jugar al cricket en el campo.</v>
      </c>
    </row>
    <row r="36390">
      <c r="A36390" s="4" t="s">
        <v>45768</v>
      </c>
      <c r="B36390" s="4" t="s">
        <v>45772</v>
      </c>
      <c r="C36390" s="5" t="str">
        <f>IFERROR(__xludf.DUMMYFUNCTION("GOOGLETRANSLATE(B36390,""en"",""es-ES"")"),"La mujer está hablando con la cámara en noticias.")</f>
        <v>La mujer está hablando con la cámara en noticias.</v>
      </c>
    </row>
    <row r="36391">
      <c r="A36391" s="4" t="s">
        <v>45773</v>
      </c>
      <c r="B36391" s="4" t="s">
        <v>45774</v>
      </c>
      <c r="C36391" s="5" t="str">
        <f>IFERROR(__xludf.DUMMYFUNCTION("GOOGLETRANSLATE(B36391,""en"",""es-ES"")"),"Una niña cabalga en el asiento trasero de un automóvil, jugando con lápiz labial con una niña en un asiento para el automóvil.")</f>
        <v>Una niña cabalga en el asiento trasero de un automóvil, jugando con lápiz labial con una niña en un asiento para el automóvil.</v>
      </c>
    </row>
    <row r="36392">
      <c r="A36392" s="4" t="s">
        <v>45773</v>
      </c>
      <c r="B36392" s="4" t="s">
        <v>45775</v>
      </c>
      <c r="C36392" s="5" t="str">
        <f>IFERROR(__xludf.DUMMYFUNCTION("GOOGLETRANSLATE(B36392,""en"",""es-ES"")"),"La niña toma la varita, tratando de ponerla en sus propios labios.")</f>
        <v>La niña toma la varita, tratando de ponerla en sus propios labios.</v>
      </c>
    </row>
    <row r="36393">
      <c r="A36393" s="4" t="s">
        <v>45773</v>
      </c>
      <c r="B36393" s="4" t="s">
        <v>45776</v>
      </c>
      <c r="C36393" s="5" t="str">
        <f>IFERROR(__xludf.DUMMYFUNCTION("GOOGLETRANSLATE(B36393,""en"",""es-ES"")"),"Ella sonríe ampliamente para la cámara.")</f>
        <v>Ella sonríe ampliamente para la cámara.</v>
      </c>
    </row>
    <row r="36394">
      <c r="A36394" s="4" t="s">
        <v>45777</v>
      </c>
      <c r="B36394" s="4" t="s">
        <v>45778</v>
      </c>
      <c r="C36394" s="5" t="str">
        <f>IFERROR(__xludf.DUMMYFUNCTION("GOOGLETRANSLATE(B36394,""en"",""es-ES"")"),"Un hombre está hablando dentro de una tienda.")</f>
        <v>Un hombre está hablando dentro de una tienda.</v>
      </c>
    </row>
    <row r="36395">
      <c r="A36395" s="4" t="s">
        <v>45777</v>
      </c>
      <c r="B36395" s="4" t="s">
        <v>45779</v>
      </c>
      <c r="C36395" s="5" t="str">
        <f>IFERROR(__xludf.DUMMYFUNCTION("GOOGLETRANSLATE(B36395,""en"",""es-ES"")"),"Muestra un hierro, luego lo usa para derretir un trozo de plástico.")</f>
        <v>Muestra un hierro, luego lo usa para derretir un trozo de plástico.</v>
      </c>
    </row>
    <row r="36396">
      <c r="A36396" s="4" t="s">
        <v>45777</v>
      </c>
      <c r="B36396" s="4" t="s">
        <v>45780</v>
      </c>
      <c r="C36396" s="5" t="str">
        <f>IFERROR(__xludf.DUMMYFUNCTION("GOOGLETRANSLATE(B36396,""en"",""es-ES"")"),"El hombre hierro luego cepilla una larga pieza de metal.")</f>
        <v>El hombre hierro luego cepilla una larga pieza de metal.</v>
      </c>
    </row>
    <row r="36397">
      <c r="A36397" s="4" t="s">
        <v>45781</v>
      </c>
      <c r="B36397" s="4" t="s">
        <v>45782</v>
      </c>
      <c r="C36397" s="5" t="str">
        <f>IFERROR(__xludf.DUMMYFUNCTION("GOOGLETRANSLATE(B36397,""en"",""es-ES"")"),"Una persona está limpiando la nieve con un arado rojo de nieve.")</f>
        <v>Una persona está limpiando la nieve con un arado rojo de nieve.</v>
      </c>
    </row>
    <row r="36398">
      <c r="A36398" s="4" t="s">
        <v>45781</v>
      </c>
      <c r="B36398" s="4" t="s">
        <v>45783</v>
      </c>
      <c r="C36398" s="5" t="str">
        <f>IFERROR(__xludf.DUMMYFUNCTION("GOOGLETRANSLATE(B36398,""en"",""es-ES"")"),"Empujan la nieve hacia un lado en una pila.")</f>
        <v>Empujan la nieve hacia un lado en una pila.</v>
      </c>
    </row>
    <row r="36399">
      <c r="A36399" s="4" t="s">
        <v>45781</v>
      </c>
      <c r="B36399" s="4" t="s">
        <v>45784</v>
      </c>
      <c r="C36399" s="5" t="str">
        <f>IFERROR(__xludf.DUMMYFUNCTION("GOOGLETRANSLATE(B36399,""en"",""es-ES"")"),"Terminan de arar el camino de entrada.")</f>
        <v>Terminan de arar el camino de entrada.</v>
      </c>
    </row>
    <row r="36400">
      <c r="A36400" s="4" t="s">
        <v>45785</v>
      </c>
      <c r="B36400" s="4" t="s">
        <v>45786</v>
      </c>
      <c r="C36400" s="5" t="str">
        <f>IFERROR(__xludf.DUMMYFUNCTION("GOOGLETRANSLATE(B36400,""en"",""es-ES"")"),"Un hombre con un suéter negro rápidamente realiza un desafío de Rubik Cube mientras el temporizador marca.")</f>
        <v>Un hombre con un suéter negro rápidamente realiza un desafío de Rubik Cube mientras el temporizador marca.</v>
      </c>
    </row>
    <row r="36401">
      <c r="A36401" s="4" t="s">
        <v>45785</v>
      </c>
      <c r="B36401" s="4" t="s">
        <v>45787</v>
      </c>
      <c r="C36401" s="5" t="str">
        <f>IFERROR(__xludf.DUMMYFUNCTION("GOOGLETRANSLATE(B36401,""en"",""es-ES"")"),"Un hombre se sienta a su lado mirando.")</f>
        <v>Un hombre se sienta a su lado mirando.</v>
      </c>
    </row>
    <row r="36402">
      <c r="A36402" s="4" t="s">
        <v>45785</v>
      </c>
      <c r="B36402" s="4" t="s">
        <v>45788</v>
      </c>
      <c r="C36402" s="5" t="str">
        <f>IFERROR(__xludf.DUMMYFUNCTION("GOOGLETRANSLATE(B36402,""en"",""es-ES"")"),"El hombre del suéter negro termina y salta con emoción.")</f>
        <v>El hombre del suéter negro termina y salta con emoción.</v>
      </c>
    </row>
    <row r="36403">
      <c r="A36403" s="4" t="s">
        <v>45785</v>
      </c>
      <c r="B36403" s="4" t="s">
        <v>45789</v>
      </c>
      <c r="C36403" s="5" t="str">
        <f>IFERROR(__xludf.DUMMYFUNCTION("GOOGLETRANSLATE(B36403,""en"",""es-ES"")"),"El hombre que estaba sentado a su lado se levanta y se une a otros hombres jóvenes.")</f>
        <v>El hombre que estaba sentado a su lado se levanta y se une a otros hombres jóvenes.</v>
      </c>
    </row>
    <row r="36404">
      <c r="A36404" s="4" t="s">
        <v>45790</v>
      </c>
      <c r="B36404" s="4" t="s">
        <v>45791</v>
      </c>
      <c r="C36404" s="5" t="str">
        <f>IFERROR(__xludf.DUMMYFUNCTION("GOOGLETRANSLATE(B36404,""en"",""es-ES"")"),"Un grupo de animadoras posa en un escenario.")</f>
        <v>Un grupo de animadoras posa en un escenario.</v>
      </c>
    </row>
    <row r="36405">
      <c r="A36405" s="4" t="s">
        <v>45790</v>
      </c>
      <c r="B36405" s="4" t="s">
        <v>45792</v>
      </c>
      <c r="C36405" s="5" t="str">
        <f>IFERROR(__xludf.DUMMYFUNCTION("GOOGLETRANSLATE(B36405,""en"",""es-ES"")"),"Se separan, entrando en una elaborada rutina de baile.")</f>
        <v>Se separan, entrando en una elaborada rutina de baile.</v>
      </c>
    </row>
    <row r="36406">
      <c r="A36406" s="4" t="s">
        <v>45790</v>
      </c>
      <c r="B36406" s="4" t="s">
        <v>45793</v>
      </c>
      <c r="C36406" s="5" t="str">
        <f>IFERROR(__xludf.DUMMYFUNCTION("GOOGLETRANSLATE(B36406,""en"",""es-ES"")"),"Se voltean, se lanzan y se arrojan, luego saltan hacia arriba y hacia abajo con entusiasmo.")</f>
        <v>Se voltean, se lanzan y se arrojan, luego saltan hacia arriba y hacia abajo con entusiasmo.</v>
      </c>
    </row>
    <row r="36407">
      <c r="A36407" s="4" t="s">
        <v>45794</v>
      </c>
      <c r="B36407" s="4" t="s">
        <v>45795</v>
      </c>
      <c r="C36407" s="5" t="str">
        <f>IFERROR(__xludf.DUMMYFUNCTION("GOOGLETRANSLATE(B36407,""en"",""es-ES"")"),"Dos hombres cocinan tortillas en largas sartenes en la calle.")</f>
        <v>Dos hombres cocinan tortillas en largas sartenes en la calle.</v>
      </c>
    </row>
    <row r="36408">
      <c r="A36408" s="4" t="s">
        <v>45794</v>
      </c>
      <c r="B36408" s="4" t="s">
        <v>45796</v>
      </c>
      <c r="C36408" s="5" t="str">
        <f>IFERROR(__xludf.DUMMYFUNCTION("GOOGLETRANSLATE(B36408,""en"",""es-ES"")"),"La gente pasa al frente de los hombres.")</f>
        <v>La gente pasa al frente de los hombres.</v>
      </c>
    </row>
    <row r="36409">
      <c r="A36409" s="4" t="s">
        <v>45794</v>
      </c>
      <c r="B36409" s="4" t="s">
        <v>45797</v>
      </c>
      <c r="C36409" s="5" t="str">
        <f>IFERROR(__xludf.DUMMYFUNCTION("GOOGLETRANSLATE(B36409,""en"",""es-ES"")"),"Un hombre pone revueltas de huevos en la sartén caliente con dos palitos para voltear los huevos.")</f>
        <v>Un hombre pone revueltas de huevos en la sartén caliente con dos palitos para voltear los huevos.</v>
      </c>
    </row>
    <row r="36410">
      <c r="A36410" s="4" t="s">
        <v>45794</v>
      </c>
      <c r="B36410" s="4" t="s">
        <v>45798</v>
      </c>
      <c r="C36410" s="5" t="str">
        <f>IFERROR(__xludf.DUMMYFUNCTION("GOOGLETRANSLATE(B36410,""en"",""es-ES"")"),"Luego, el hombre agrega más huevos revueltos mientras gira la tortilla para que sea más grande.")</f>
        <v>Luego, el hombre agrega más huevos revueltos mientras gira la tortilla para que sea más grande.</v>
      </c>
    </row>
    <row r="36411">
      <c r="A36411" s="4" t="s">
        <v>45794</v>
      </c>
      <c r="B36411" s="4" t="s">
        <v>45799</v>
      </c>
      <c r="C36411" s="5" t="str">
        <f>IFERROR(__xludf.DUMMYFUNCTION("GOOGLETRANSLATE(B36411,""en"",""es-ES"")"),"Después, él envuelve la tortilla.")</f>
        <v>Después, él envuelve la tortilla.</v>
      </c>
    </row>
    <row r="36412">
      <c r="A36412" s="4" t="s">
        <v>45800</v>
      </c>
      <c r="B36412" s="4" t="s">
        <v>45801</v>
      </c>
      <c r="C36412" s="5" t="str">
        <f>IFERROR(__xludf.DUMMYFUNCTION("GOOGLETRANSLATE(B36412,""en"",""es-ES"")"),"Un hombre salta a barras paralelas.")</f>
        <v>Un hombre salta a barras paralelas.</v>
      </c>
    </row>
    <row r="36413">
      <c r="A36413" s="4" t="s">
        <v>45800</v>
      </c>
      <c r="B36413" s="4" t="s">
        <v>45802</v>
      </c>
      <c r="C36413" s="5" t="str">
        <f>IFERROR(__xludf.DUMMYFUNCTION("GOOGLETRANSLATE(B36413,""en"",""es-ES"")"),"Comienza a hacer una rutina de gimnasia en las barras paralelas.")</f>
        <v>Comienza a hacer una rutina de gimnasia en las barras paralelas.</v>
      </c>
    </row>
    <row r="36414">
      <c r="A36414" s="4" t="s">
        <v>45800</v>
      </c>
      <c r="B36414" s="4" t="s">
        <v>45803</v>
      </c>
      <c r="C36414" s="5" t="str">
        <f>IFERROR(__xludf.DUMMYFUNCTION("GOOGLETRANSLATE(B36414,""en"",""es-ES"")"),"Él salta y aterriza en la colchoneta.")</f>
        <v>Él salta y aterriza en la colchoneta.</v>
      </c>
    </row>
    <row r="36415">
      <c r="A36415" s="4" t="s">
        <v>45804</v>
      </c>
      <c r="B36415" s="4" t="s">
        <v>45805</v>
      </c>
      <c r="C36415" s="5" t="str">
        <f>IFERROR(__xludf.DUMMYFUNCTION("GOOGLETRANSLATE(B36415,""en"",""es-ES"")"),"Una niña hace hula hoop girando un anillo de hula alrededor de su cuello, cuerpo y manos.")</f>
        <v>Una niña hace hula hoop girando un anillo de hula alrededor de su cuello, cuerpo y manos.</v>
      </c>
    </row>
    <row r="36416">
      <c r="A36416" s="4" t="s">
        <v>45804</v>
      </c>
      <c r="B36416" s="4" t="s">
        <v>45806</v>
      </c>
      <c r="C36416" s="5" t="str">
        <f>IFERROR(__xludf.DUMMYFUNCTION("GOOGLETRANSLATE(B36416,""en"",""es-ES"")"),"Luego, una persona le da una hula a la chica que gira simultáneamente los dos anillos de hula.")</f>
        <v>Luego, una persona le da una hula a la chica que gira simultáneamente los dos anillos de hula.</v>
      </c>
    </row>
    <row r="36417">
      <c r="A36417" s="4" t="s">
        <v>45804</v>
      </c>
      <c r="B36417" s="4" t="s">
        <v>45807</v>
      </c>
      <c r="C36417" s="5" t="str">
        <f>IFERROR(__xludf.DUMMYFUNCTION("GOOGLETRANSLATE(B36417,""en"",""es-ES"")"),"Después, una persona le da otro anillo de hula a la niña para hacer hula hooping con tres anillos.")</f>
        <v>Después, una persona le da otro anillo de hula a la niña para hacer hula hooping con tres anillos.</v>
      </c>
    </row>
    <row r="36418">
      <c r="A36418" s="4" t="s">
        <v>45804</v>
      </c>
      <c r="B36418" s="4" t="s">
        <v>45808</v>
      </c>
      <c r="C36418" s="5" t="str">
        <f>IFERROR(__xludf.DUMMYFUNCTION("GOOGLETRANSLATE(B36418,""en"",""es-ES"")"),"Al final, la niña da un abrazo a la persona y un presentador habla.")</f>
        <v>Al final, la niña da un abrazo a la persona y un presentador habla.</v>
      </c>
    </row>
    <row r="36419">
      <c r="A36419" s="4" t="s">
        <v>45809</v>
      </c>
      <c r="B36419" s="4" t="s">
        <v>45810</v>
      </c>
      <c r="C36419" s="5" t="str">
        <f>IFERROR(__xludf.DUMMYFUNCTION("GOOGLETRANSLATE(B36419,""en"",""es-ES"")"),"Una gran multitud de personas se ve de pie en medio de la calle y conduce a una actuación de baile, así como una actuación musical.")</f>
        <v>Una gran multitud de personas se ve de pie en medio de la calle y conduce a una actuación de baile, así como una actuación musical.</v>
      </c>
    </row>
    <row r="36420">
      <c r="A36420" s="4" t="s">
        <v>45809</v>
      </c>
      <c r="B36420" s="4" t="s">
        <v>45811</v>
      </c>
      <c r="C36420" s="5" t="str">
        <f>IFERROR(__xludf.DUMMYFUNCTION("GOOGLETRANSLATE(B36420,""en"",""es-ES"")"),"La gente continúa moviéndose en la calle y termina con una pose final.")</f>
        <v>La gente continúa moviéndose en la calle y termina con una pose final.</v>
      </c>
    </row>
    <row r="36421">
      <c r="A36421" s="4" t="s">
        <v>45812</v>
      </c>
      <c r="B36421" s="4" t="s">
        <v>45813</v>
      </c>
      <c r="C36421" s="5" t="str">
        <f>IFERROR(__xludf.DUMMYFUNCTION("GOOGLETRANSLATE(B36421,""en"",""es-ES"")"),"Una cámara salpica fuera de un edificio y mira a una habitación oscura donde un hombre hace ejercicio y habla con la cámara.")</f>
        <v>Una cámara salpica fuera de un edificio y mira a una habitación oscura donde un hombre hace ejercicio y habla con la cámara.</v>
      </c>
    </row>
    <row r="36422">
      <c r="A36422" s="4" t="s">
        <v>45812</v>
      </c>
      <c r="B36422" s="4" t="s">
        <v>45814</v>
      </c>
      <c r="C36422" s="5" t="str">
        <f>IFERROR(__xludf.DUMMYFUNCTION("GOOGLETRANSLATE(B36422,""en"",""es-ES"")"),"El hombre continúa montando el equipo mientras se mueve más rápido y más lento y la cámara se mueve alrededor de sus movimientos.")</f>
        <v>El hombre continúa montando el equipo mientras se mueve más rápido y más lento y la cámara se mueve alrededor de sus movimientos.</v>
      </c>
    </row>
    <row r="36423">
      <c r="A36423" s="4" t="s">
        <v>45815</v>
      </c>
      <c r="B36423" s="4" t="s">
        <v>45816</v>
      </c>
      <c r="C36423" s="5" t="str">
        <f>IFERROR(__xludf.DUMMYFUNCTION("GOOGLETRANSLATE(B36423,""en"",""es-ES"")"),"Vemos una silla con una almohada.")</f>
        <v>Vemos una silla con una almohada.</v>
      </c>
    </row>
    <row r="36424">
      <c r="A36424" s="4" t="s">
        <v>45815</v>
      </c>
      <c r="B36424" s="4" t="s">
        <v>45817</v>
      </c>
      <c r="C36424" s="5" t="str">
        <f>IFERROR(__xludf.DUMMYFUNCTION("GOOGLETRANSLATE(B36424,""en"",""es-ES"")"),"Un hombre que sostiene un gato se sienta en la silla.")</f>
        <v>Un hombre que sostiene un gato se sienta en la silla.</v>
      </c>
    </row>
    <row r="36425">
      <c r="A36425" s="4" t="s">
        <v>45815</v>
      </c>
      <c r="B36425" s="4" t="s">
        <v>45818</v>
      </c>
      <c r="C36425" s="5" t="str">
        <f>IFERROR(__xludf.DUMMYFUNCTION("GOOGLETRANSLATE(B36425,""en"",""es-ES"")"),"El hombre clipa las uñas de los gatos.")</f>
        <v>El hombre clipa las uñas de los gatos.</v>
      </c>
    </row>
    <row r="36426">
      <c r="A36426" s="4" t="s">
        <v>45815</v>
      </c>
      <c r="B36426" s="4" t="s">
        <v>45819</v>
      </c>
      <c r="C36426" s="5" t="str">
        <f>IFERROR(__xludf.DUMMYFUNCTION("GOOGLETRANSLATE(B36426,""en"",""es-ES"")"),"El hombre acaricia la cabeza del gato.")</f>
        <v>El hombre acaricia la cabeza del gato.</v>
      </c>
    </row>
    <row r="36427">
      <c r="A36427" s="4" t="s">
        <v>45815</v>
      </c>
      <c r="B36427" s="4" t="s">
        <v>45820</v>
      </c>
      <c r="C36427" s="5" t="str">
        <f>IFERROR(__xludf.DUMMYFUNCTION("GOOGLETRANSLATE(B36427,""en"",""es-ES"")"),"El hombre juega con el gato balanceándolo de un lado a otro.")</f>
        <v>El hombre juega con el gato balanceándolo de un lado a otro.</v>
      </c>
    </row>
    <row r="36428">
      <c r="A36428" s="4" t="s">
        <v>45815</v>
      </c>
      <c r="B36428" s="4" t="s">
        <v>45821</v>
      </c>
      <c r="C36428" s="5" t="str">
        <f>IFERROR(__xludf.DUMMYFUNCTION("GOOGLETRANSLATE(B36428,""en"",""es-ES"")"),"El hombre detiene la cámara.")</f>
        <v>El hombre detiene la cámara.</v>
      </c>
    </row>
    <row r="36429">
      <c r="A36429" s="4" t="s">
        <v>45822</v>
      </c>
      <c r="B36429" s="4" t="s">
        <v>45823</v>
      </c>
      <c r="C36429" s="5" t="str">
        <f>IFERROR(__xludf.DUMMYFUNCTION("GOOGLETRANSLATE(B36429,""en"",""es-ES"")"),"Una mujer con cabello rubio largo lleva un hula hoops blanco, el hula hoops tiene cinta de color arco iris en partes de él.")</f>
        <v>Una mujer con cabello rubio largo lleva un hula hoops blanco, el hula hoops tiene cinta de color arco iris en partes de él.</v>
      </c>
    </row>
    <row r="36430">
      <c r="A36430" s="4" t="s">
        <v>45822</v>
      </c>
      <c r="B36430" s="4" t="s">
        <v>45824</v>
      </c>
      <c r="C36430" s="5" t="str">
        <f>IFERROR(__xludf.DUMMYFUNCTION("GOOGLETRANSLATE(B36430,""en"",""es-ES"")"),"La niña caminó hacia el lago, está caminando descalza sobre la hierba.")</f>
        <v>La niña caminó hacia el lago, está caminando descalza sobre la hierba.</v>
      </c>
    </row>
    <row r="36431">
      <c r="A36431" s="4" t="s">
        <v>45822</v>
      </c>
      <c r="B36431" s="4" t="s">
        <v>45825</v>
      </c>
      <c r="C36431" s="5" t="str">
        <f>IFERROR(__xludf.DUMMYFUNCTION("GOOGLETRANSLATE(B36431,""en"",""es-ES"")"),"La cámara se gira hacia su cara, luego comenzó a girar los Hula Hoops y se lo puso.")</f>
        <v>La cámara se gira hacia su cara, luego comenzó a girar los Hula Hoops y se lo puso.</v>
      </c>
    </row>
    <row r="36432">
      <c r="A36432" s="4" t="s">
        <v>45822</v>
      </c>
      <c r="B36432" s="4" t="s">
        <v>45826</v>
      </c>
      <c r="C36432" s="5" t="str">
        <f>IFERROR(__xludf.DUMMYFUNCTION("GOOGLETRANSLATE(B36432,""en"",""es-ES"")"),"La niña comenzó a hacer trucos de hula hoops, primero en su cintura y luego a sus piernas y brazos.")</f>
        <v>La niña comenzó a hacer trucos de hula hoops, primero en su cintura y luego a sus piernas y brazos.</v>
      </c>
    </row>
    <row r="36433">
      <c r="A36433" s="4" t="s">
        <v>45827</v>
      </c>
      <c r="B36433" s="4" t="s">
        <v>45828</v>
      </c>
      <c r="C36433" s="5" t="str">
        <f>IFERROR(__xludf.DUMMYFUNCTION("GOOGLETRANSLATE(B36433,""en"",""es-ES"")"),"Se ve a un gran grupo de personas de pie alrededor de una mesa de bola de Foose hablando entre sí y los lleva a jugar.")</f>
        <v>Se ve a un gran grupo de personas de pie alrededor de una mesa de bola de Foose hablando entre sí y los lleva a jugar.</v>
      </c>
    </row>
    <row r="36434">
      <c r="A36434" s="4" t="s">
        <v>45827</v>
      </c>
      <c r="B36434" s="4" t="s">
        <v>45829</v>
      </c>
      <c r="C36434" s="5" t="str">
        <f>IFERROR(__xludf.DUMMYFUNCTION("GOOGLETRANSLATE(B36434,""en"",""es-ES"")"),"Muchas personas continúan mirando el juego al margen y miran el juego que tiene lugar.")</f>
        <v>Muchas personas continúan mirando el juego al margen y miran el juego que tiene lugar.</v>
      </c>
    </row>
    <row r="36435">
      <c r="A36435" s="4" t="s">
        <v>45830</v>
      </c>
      <c r="B36435" s="4" t="s">
        <v>45831</v>
      </c>
      <c r="C36435" s="5" t="str">
        <f>IFERROR(__xludf.DUMMYFUNCTION("GOOGLETRANSLATE(B36435,""en"",""es-ES"")"),"Se ve a una persona de pie antes de que un fregadero se encienda en el grifo y moje sus manos.")</f>
        <v>Se ve a una persona de pie antes de que un fregadero se encienda en el grifo y moje sus manos.</v>
      </c>
    </row>
    <row r="36436">
      <c r="A36436" s="4" t="s">
        <v>45830</v>
      </c>
      <c r="B36436" s="4" t="s">
        <v>45832</v>
      </c>
      <c r="C36436" s="5" t="str">
        <f>IFERROR(__xludf.DUMMYFUNCTION("GOOGLETRANSLATE(B36436,""en"",""es-ES"")"),"Luego pusieron jabón en sus manos, frotaron el jabón y enjuagan las manos a través del agua.")</f>
        <v>Luego pusieron jabón en sus manos, frotaron el jabón y enjuagan las manos a través del agua.</v>
      </c>
    </row>
    <row r="36437">
      <c r="A36437" s="4" t="s">
        <v>45830</v>
      </c>
      <c r="B36437" s="4" t="s">
        <v>45833</v>
      </c>
      <c r="C36437" s="5" t="str">
        <f>IFERROR(__xludf.DUMMYFUNCTION("GOOGLETRANSLATE(B36437,""en"",""es-ES"")"),"Finalmente usan toallas de papel para secar las manos y arrojarlas a la basura.")</f>
        <v>Finalmente usan toallas de papel para secar las manos y arrojarlas a la basura.</v>
      </c>
    </row>
    <row r="36438">
      <c r="A36438" s="4" t="s">
        <v>45834</v>
      </c>
      <c r="B36438" s="4" t="s">
        <v>45835</v>
      </c>
      <c r="C36438" s="5" t="str">
        <f>IFERROR(__xludf.DUMMYFUNCTION("GOOGLETRANSLATE(B36438,""en"",""es-ES"")"),"Una mujer está fumando un cigarrillo.")</f>
        <v>Una mujer está fumando un cigarrillo.</v>
      </c>
    </row>
    <row r="36439">
      <c r="A36439" s="4" t="s">
        <v>45834</v>
      </c>
      <c r="B36439" s="4" t="s">
        <v>45836</v>
      </c>
      <c r="C36439" s="5" t="str">
        <f>IFERROR(__xludf.DUMMYFUNCTION("GOOGLETRANSLATE(B36439,""en"",""es-ES"")"),"Ella está sentada y la gente camina detrás de ella.")</f>
        <v>Ella está sentada y la gente camina detrás de ella.</v>
      </c>
    </row>
    <row r="36440">
      <c r="A36440" s="4" t="s">
        <v>45834</v>
      </c>
      <c r="B36440" s="4" t="s">
        <v>45837</v>
      </c>
      <c r="C36440" s="5" t="str">
        <f>IFERROR(__xludf.DUMMYFUNCTION("GOOGLETRANSLATE(B36440,""en"",""es-ES"")"),"Ella continúa sosteniendo el cigarrillo en un brazo.")</f>
        <v>Ella continúa sosteniendo el cigarrillo en un brazo.</v>
      </c>
    </row>
    <row r="36441">
      <c r="A36441" s="4" t="s">
        <v>45834</v>
      </c>
      <c r="B36441" s="4" t="s">
        <v>45838</v>
      </c>
      <c r="C36441" s="5" t="str">
        <f>IFERROR(__xludf.DUMMYFUNCTION("GOOGLETRANSLATE(B36441,""en"",""es-ES"")"),"La gente continúa caminando detrás de ella y al frente.")</f>
        <v>La gente continúa caminando detrás de ella y al frente.</v>
      </c>
    </row>
    <row r="36442">
      <c r="A36442" s="4" t="s">
        <v>45834</v>
      </c>
      <c r="B36442" s="4" t="s">
        <v>45839</v>
      </c>
      <c r="C36442" s="5" t="str">
        <f>IFERROR(__xludf.DUMMYFUNCTION("GOOGLETRANSLATE(B36442,""en"",""es-ES"")"),"Ella continúa fumando y mira al frente.")</f>
        <v>Ella continúa fumando y mira al frente.</v>
      </c>
    </row>
    <row r="36443">
      <c r="A36443" s="4" t="s">
        <v>45840</v>
      </c>
      <c r="B36443" s="4" t="s">
        <v>45841</v>
      </c>
      <c r="C36443" s="5" t="str">
        <f>IFERROR(__xludf.DUMMYFUNCTION("GOOGLETRANSLATE(B36443,""en"",""es-ES"")"),"Dos chicos juegan con Ping Pong a través de una gran mesa de ping pong al aire libre mientras un tercer niño mira desde la barrera.")</f>
        <v>Dos chicos juegan con Ping Pong a través de una gran mesa de ping pong al aire libre mientras un tercer niño mira desde la barrera.</v>
      </c>
    </row>
    <row r="36444">
      <c r="A36444" s="4" t="s">
        <v>45840</v>
      </c>
      <c r="B36444" s="4" t="s">
        <v>45842</v>
      </c>
      <c r="C36444" s="5" t="str">
        <f>IFERROR(__xludf.DUMMYFUNCTION("GOOGLETRANSLATE(B36444,""en"",""es-ES"")"),"Un niño con una camiseta con un gráfico de ala golpea la pelota hacia el otro jugador sin camisa.")</f>
        <v>Un niño con una camiseta con un gráfico de ala golpea la pelota hacia el otro jugador sin camisa.</v>
      </c>
    </row>
    <row r="36445">
      <c r="A36445" s="4" t="s">
        <v>45840</v>
      </c>
      <c r="B36445" s="4" t="s">
        <v>45843</v>
      </c>
      <c r="C36445" s="5" t="str">
        <f>IFERROR(__xludf.DUMMYFUNCTION("GOOGLETRANSLATE(B36445,""en"",""es-ES"")"),"El jugador sin camisa devuelve el servicio y el niño con la camiseta pierde la pelota y tiene que recogerlo y tirarlo al otro jugador para volver a servir.")</f>
        <v>El jugador sin camisa devuelve el servicio y el niño con la camiseta pierde la pelota y tiene que recogerlo y tirarlo al otro jugador para volver a servir.</v>
      </c>
    </row>
    <row r="36446">
      <c r="A36446" s="4" t="s">
        <v>45840</v>
      </c>
      <c r="B36446" s="4" t="s">
        <v>45844</v>
      </c>
      <c r="C36446" s="5" t="str">
        <f>IFERROR(__xludf.DUMMYFUNCTION("GOOGLETRANSLATE(B36446,""en"",""es-ES"")"),"Los dos comienzan a jugar nuevamente mientras el niño en el medio al margen observa el juego.")</f>
        <v>Los dos comienzan a jugar nuevamente mientras el niño en el medio al margen observa el juego.</v>
      </c>
    </row>
    <row r="36447">
      <c r="A36447" s="4" t="s">
        <v>45845</v>
      </c>
      <c r="B36447" s="4" t="s">
        <v>45846</v>
      </c>
      <c r="C36447" s="5" t="str">
        <f>IFERROR(__xludf.DUMMYFUNCTION("GOOGLETRANSLATE(B36447,""en"",""es-ES"")"),"Un joven con una chaqueta verde está parada frente a un montículo de tierra y está hablando de sus tareas de mantenimiento.")</f>
        <v>Un joven con una chaqueta verde está parada frente a un montículo de tierra y está hablando de sus tareas de mantenimiento.</v>
      </c>
    </row>
    <row r="36448">
      <c r="A36448" s="4" t="s">
        <v>45845</v>
      </c>
      <c r="B36448" s="4" t="s">
        <v>45847</v>
      </c>
      <c r="C36448" s="5" t="str">
        <f>IFERROR(__xludf.DUMMYFUNCTION("GOOGLETRANSLATE(B36448,""en"",""es-ES"")"),"El hombre luego entra en el patio trasero con una carretilla verde y arroja la tierra en el patio trasero.")</f>
        <v>El hombre luego entra en el patio trasero con una carretilla verde y arroja la tierra en el patio trasero.</v>
      </c>
    </row>
    <row r="36449">
      <c r="A36449" s="4" t="s">
        <v>45845</v>
      </c>
      <c r="B36449" s="4" t="s">
        <v>45848</v>
      </c>
      <c r="C36449" s="5" t="str">
        <f>IFERROR(__xludf.DUMMYFUNCTION("GOOGLETRANSLATE(B36449,""en"",""es-ES"")"),"Luego toma su rastrillo y mueve la tierra de un lado a otro alrededor de la casa por la noche.")</f>
        <v>Luego toma su rastrillo y mueve la tierra de un lado a otro alrededor de la casa por la noche.</v>
      </c>
    </row>
    <row r="36450">
      <c r="A36450" s="4" t="s">
        <v>45845</v>
      </c>
      <c r="B36450" s="4" t="s">
        <v>45849</v>
      </c>
      <c r="C36450" s="5" t="str">
        <f>IFERROR(__xludf.DUMMYFUNCTION("GOOGLETRANSLATE(B36450,""en"",""es-ES"")"),"Cuando se completa, desaparece y se ve un camino de mantillo a lo largo del garaje.")</f>
        <v>Cuando se completa, desaparece y se ve un camino de mantillo a lo largo del garaje.</v>
      </c>
    </row>
    <row r="36451">
      <c r="A36451" s="4" t="s">
        <v>45850</v>
      </c>
      <c r="B36451" s="4" t="s">
        <v>45851</v>
      </c>
      <c r="C36451" s="5" t="str">
        <f>IFERROR(__xludf.DUMMYFUNCTION("GOOGLETRANSLATE(B36451,""en"",""es-ES"")"),"Dos equipos de Dodgeball juegan uno contra el otro en un gimnasio interior rodeado de espectadores en gradas.")</f>
        <v>Dos equipos de Dodgeball juegan uno contra el otro en un gimnasio interior rodeado de espectadores en gradas.</v>
      </c>
    </row>
    <row r="36452">
      <c r="A36452" s="4" t="s">
        <v>45850</v>
      </c>
      <c r="B36452" s="4" t="s">
        <v>45852</v>
      </c>
      <c r="C36452" s="5" t="str">
        <f>IFERROR(__xludf.DUMMYFUNCTION("GOOGLETRANSLATE(B36452,""en"",""es-ES"")"),"El juego comienza con un equipo de hombres contra un equipo de mujeres, cada una que se turnan para lanzarse bolas de Dodge el uno al otro violentamente.")</f>
        <v>El juego comienza con un equipo de hombres contra un equipo de mujeres, cada una que se turnan para lanzarse bolas de Dodge el uno al otro violentamente.</v>
      </c>
    </row>
    <row r="36453">
      <c r="A36453" s="4" t="s">
        <v>45850</v>
      </c>
      <c r="B36453" s="4" t="s">
        <v>45853</v>
      </c>
      <c r="C36453" s="5" t="str">
        <f>IFERROR(__xludf.DUMMYFUNCTION("GOOGLETRANSLATE(B36453,""en"",""es-ES"")"),"Luego, los equipos cambian de lado en el piso del gimnasio con las mujeres a la izquierda y los hombres a la derecha.")</f>
        <v>Luego, los equipos cambian de lado en el piso del gimnasio con las mujeres a la izquierda y los hombres a la derecha.</v>
      </c>
    </row>
    <row r="36454">
      <c r="A36454" s="4" t="s">
        <v>45850</v>
      </c>
      <c r="B36454" s="4" t="s">
        <v>45854</v>
      </c>
      <c r="C36454" s="5" t="str">
        <f>IFERROR(__xludf.DUMMYFUNCTION("GOOGLETRANSLATE(B36454,""en"",""es-ES"")"),"El juego termina y ambos equipos se encuentran en el medio del piso y se dan los primeros cinco.")</f>
        <v>El juego termina y ambos equipos se encuentran en el medio del piso y se dan los primeros cinco.</v>
      </c>
    </row>
    <row r="36455">
      <c r="A36455" s="4" t="s">
        <v>45855</v>
      </c>
      <c r="B36455" s="4" t="s">
        <v>45856</v>
      </c>
      <c r="C36455" s="5" t="str">
        <f>IFERROR(__xludf.DUMMYFUNCTION("GOOGLETRANSLATE(B36455,""en"",""es-ES"")"),"Hay una mujer que salta donde la mujer es remolcada en una tabla de surf detrás de un velero.")</f>
        <v>Hay una mujer que salta donde la mujer es remolcada en una tabla de surf detrás de un velero.</v>
      </c>
    </row>
    <row r="36456">
      <c r="A36456" s="4" t="s">
        <v>45855</v>
      </c>
      <c r="B36456" s="4" t="s">
        <v>45857</v>
      </c>
      <c r="C36456" s="5" t="str">
        <f>IFERROR(__xludf.DUMMYFUNCTION("GOOGLETRANSLATE(B36456,""en"",""es-ES"")"),"La mujer surfista salta alto cuando el velero navega en el agua.")</f>
        <v>La mujer surfista salta alto cuando el velero navega en el agua.</v>
      </c>
    </row>
    <row r="36457">
      <c r="A36457" s="4" t="s">
        <v>45855</v>
      </c>
      <c r="B36457" s="4" t="s">
        <v>45858</v>
      </c>
      <c r="C36457" s="5" t="str">
        <f>IFERROR(__xludf.DUMMYFUNCTION("GOOGLETRANSLATE(B36457,""en"",""es-ES"")"),"La mujer se gira y se da vuelta mientras está en la tabla de surf.")</f>
        <v>La mujer se gira y se da vuelta mientras está en la tabla de surf.</v>
      </c>
    </row>
    <row r="36458">
      <c r="A36458" s="4" t="s">
        <v>45855</v>
      </c>
      <c r="B36458" s="4" t="s">
        <v>45859</v>
      </c>
      <c r="C36458" s="5" t="str">
        <f>IFERROR(__xludf.DUMMYFUNCTION("GOOGLETRANSLATE(B36458,""en"",""es-ES"")"),"El velero continúa tirando de la mujer y ella se equilibra perfectamente en los olas mientras se gira, gira y gira en los surfes.")</f>
        <v>El velero continúa tirando de la mujer y ella se equilibra perfectamente en los olas mientras se gira, gira y gira en los surfes.</v>
      </c>
    </row>
    <row r="36459">
      <c r="A36459" s="4" t="s">
        <v>45855</v>
      </c>
      <c r="B36459" s="4" t="s">
        <v>45860</v>
      </c>
      <c r="C36459" s="5" t="str">
        <f>IFERROR(__xludf.DUMMYFUNCTION("GOOGLETRANSLATE(B36459,""en"",""es-ES"")"),"Ella entra en un patrón zig zag que hace ondas espumosas en el agua a medida que se aceleran los barcos.")</f>
        <v>Ella entra en un patrón zig zag que hace ondas espumosas en el agua a medida que se aceleran los barcos.</v>
      </c>
    </row>
    <row r="36460">
      <c r="A36460" s="4" t="s">
        <v>45855</v>
      </c>
      <c r="B36460" s="4" t="s">
        <v>45861</v>
      </c>
      <c r="C36460" s="5" t="str">
        <f>IFERROR(__xludf.DUMMYFUNCTION("GOOGLETRANSLATE(B36460,""en"",""es-ES"")"),"Se ve el mismo surf en la televisión como un chico y otra mujer pone varias medallas alrededor del cuello del surfista.")</f>
        <v>Se ve el mismo surf en la televisión como un chico y otra mujer pone varias medallas alrededor del cuello del surfista.</v>
      </c>
    </row>
    <row r="36461">
      <c r="A36461" s="4" t="s">
        <v>45855</v>
      </c>
      <c r="B36461" s="4" t="s">
        <v>45862</v>
      </c>
      <c r="C36461" s="5" t="str">
        <f>IFERROR(__xludf.DUMMYFUNCTION("GOOGLETRANSLATE(B36461,""en"",""es-ES"")"),"El surfista finge caer con el gran peso de las medallas.")</f>
        <v>El surfista finge caer con el gran peso de las medallas.</v>
      </c>
    </row>
    <row r="36462">
      <c r="A36462" s="4" t="s">
        <v>45863</v>
      </c>
      <c r="B36462" s="4" t="s">
        <v>45864</v>
      </c>
      <c r="C36462" s="5" t="str">
        <f>IFERROR(__xludf.DUMMYFUNCTION("GOOGLETRANSLATE(B36462,""en"",""es-ES"")"),"Dos niños pequeños están jugando en un columpio en un patio cubierto de nieve.")</f>
        <v>Dos niños pequeños están jugando en un columpio en un patio cubierto de nieve.</v>
      </c>
    </row>
    <row r="36463">
      <c r="A36463" s="4" t="s">
        <v>45863</v>
      </c>
      <c r="B36463" s="4" t="s">
        <v>45865</v>
      </c>
      <c r="C36463" s="5" t="str">
        <f>IFERROR(__xludf.DUMMYFUNCTION("GOOGLETRANSLATE(B36463,""en"",""es-ES"")"),"Un niño corre a un columpio, pero decide cambiar a un columpio verde.")</f>
        <v>Un niño corre a un columpio, pero decide cambiar a un columpio verde.</v>
      </c>
    </row>
    <row r="36464">
      <c r="A36464" s="4" t="s">
        <v>45863</v>
      </c>
      <c r="B36464" s="4" t="s">
        <v>45866</v>
      </c>
      <c r="C36464" s="5" t="str">
        <f>IFERROR(__xludf.DUMMYFUNCTION("GOOGLETRANSLATE(B36464,""en"",""es-ES"")"),"Un adulto ayuda al niño a hacer el columpio.")</f>
        <v>Un adulto ayuda al niño a hacer el columpio.</v>
      </c>
    </row>
    <row r="36465">
      <c r="A36465" s="4" t="s">
        <v>45863</v>
      </c>
      <c r="B36465" s="4" t="s">
        <v>45867</v>
      </c>
      <c r="C36465" s="5" t="str">
        <f>IFERROR(__xludf.DUMMYFUNCTION("GOOGLETRANSLATE(B36465,""en"",""es-ES"")"),"El otro niño también quiere unirse al primer niño en el mismo columpio y sostiene el swing estable mientras el niño se sube.")</f>
        <v>El otro niño también quiere unirse al primer niño en el mismo columpio y sostiene el swing estable mientras el niño se sube.</v>
      </c>
    </row>
    <row r="36466">
      <c r="A36466" s="4" t="s">
        <v>45863</v>
      </c>
      <c r="B36466" s="4" t="s">
        <v>45868</v>
      </c>
      <c r="C36466" s="5" t="str">
        <f>IFERROR(__xludf.DUMMYFUNCTION("GOOGLETRANSLATE(B36466,""en"",""es-ES"")"),"El niño puede subir, y los dos niños disfrutan balanceándose cuando el adulto empuja el columpio hacia adelante.")</f>
        <v>El niño puede subir, y los dos niños disfrutan balanceándose cuando el adulto empuja el columpio hacia adelante.</v>
      </c>
    </row>
    <row r="36467">
      <c r="A36467" s="4" t="s">
        <v>45869</v>
      </c>
      <c r="B36467" s="4" t="s">
        <v>45870</v>
      </c>
      <c r="C36467" s="5" t="str">
        <f>IFERROR(__xludf.DUMMYFUNCTION("GOOGLETRANSLATE(B36467,""en"",""es-ES"")"),"Una persona aspira el interior de un automóvil, mientras que otros hombres limpian a mano el automóvil con detergente y agua.")</f>
        <v>Una persona aspira el interior de un automóvil, mientras que otros hombres limpian a mano el automóvil con detergente y agua.</v>
      </c>
    </row>
    <row r="36468">
      <c r="A36468" s="4" t="s">
        <v>45869</v>
      </c>
      <c r="B36468" s="4" t="s">
        <v>45871</v>
      </c>
      <c r="C36468" s="5" t="str">
        <f>IFERROR(__xludf.DUMMYFUNCTION("GOOGLETRANSLATE(B36468,""en"",""es-ES"")"),"Entonces, un hombre seca el auto con ropa.")</f>
        <v>Entonces, un hombre seca el auto con ropa.</v>
      </c>
    </row>
    <row r="36469">
      <c r="A36469" s="4" t="s">
        <v>45869</v>
      </c>
      <c r="B36469" s="4" t="s">
        <v>45872</v>
      </c>
      <c r="C36469" s="5" t="str">
        <f>IFERROR(__xludf.DUMMYFUNCTION("GOOGLETRANSLATE(B36469,""en"",""es-ES"")"),"Otros autos se lavan en una máquina automática de automóviles.")</f>
        <v>Otros autos se lavan en una máquina automática de automóviles.</v>
      </c>
    </row>
    <row r="36470">
      <c r="A36470" s="4" t="s">
        <v>45869</v>
      </c>
      <c r="B36470" s="4" t="s">
        <v>45873</v>
      </c>
      <c r="C36470" s="5" t="str">
        <f>IFERROR(__xludf.DUMMYFUNCTION("GOOGLETRANSLATE(B36470,""en"",""es-ES"")"),"Después, la gente limpia el auto con paños dentro y fuera de la mano.")</f>
        <v>Después, la gente limpia el auto con paños dentro y fuera de la mano.</v>
      </c>
    </row>
    <row r="36471">
      <c r="A36471" s="4" t="s">
        <v>45874</v>
      </c>
      <c r="B36471" s="4" t="s">
        <v>45875</v>
      </c>
      <c r="C36471" s="5" t="str">
        <f>IFERROR(__xludf.DUMMYFUNCTION("GOOGLETRANSLATE(B36471,""en"",""es-ES"")"),"El exterior de las casas lo muestra una mujer con una camisa rosa.")</f>
        <v>El exterior de las casas lo muestra una mujer con una camisa rosa.</v>
      </c>
    </row>
    <row r="36472">
      <c r="A36472" s="4" t="s">
        <v>45874</v>
      </c>
      <c r="B36472" s="4" t="s">
        <v>45876</v>
      </c>
      <c r="C36472" s="5" t="str">
        <f>IFERROR(__xludf.DUMMYFUNCTION("GOOGLETRANSLATE(B36472,""en"",""es-ES"")"),"Ella está pintando una de las casas con pintura azul.")</f>
        <v>Ella está pintando una de las casas con pintura azul.</v>
      </c>
    </row>
    <row r="36473">
      <c r="A36473" s="4" t="s">
        <v>45874</v>
      </c>
      <c r="B36473" s="4" t="s">
        <v>45877</v>
      </c>
      <c r="C36473" s="5" t="str">
        <f>IFERROR(__xludf.DUMMYFUNCTION("GOOGLETRANSLATE(B36473,""en"",""es-ES"")"),"Ella está sosteniendo un cubo de pintura.")</f>
        <v>Ella está sosteniendo un cubo de pintura.</v>
      </c>
    </row>
    <row r="36474">
      <c r="A36474" s="4" t="s">
        <v>45878</v>
      </c>
      <c r="B36474" s="4" t="s">
        <v>45879</v>
      </c>
      <c r="C36474" s="5" t="str">
        <f>IFERROR(__xludf.DUMMYFUNCTION("GOOGLETRANSLATE(B36474,""en"",""es-ES"")"),"Peolpe está corriendo con pilotes en una avenida.")</f>
        <v>Peolpe está corriendo con pilotes en una avenida.</v>
      </c>
    </row>
    <row r="36475">
      <c r="A36475" s="4" t="s">
        <v>45878</v>
      </c>
      <c r="B36475" s="4" t="s">
        <v>45880</v>
      </c>
      <c r="C36475" s="5" t="str">
        <f>IFERROR(__xludf.DUMMYFUNCTION("GOOGLETRANSLATE(B36475,""en"",""es-ES"")"),"El hombre está entrevistando a una anciana en el Sreet.")</f>
        <v>El hombre está entrevistando a una anciana en el Sreet.</v>
      </c>
    </row>
    <row r="36476">
      <c r="A36476" s="4" t="s">
        <v>45878</v>
      </c>
      <c r="B36476" s="4" t="s">
        <v>45881</v>
      </c>
      <c r="C36476" s="5" t="str">
        <f>IFERROR(__xludf.DUMMYFUNCTION("GOOGLETRANSLATE(B36476,""en"",""es-ES"")"),"El hombre está haciendo un salto de altura sobre un auto en la calle.")</f>
        <v>El hombre está haciendo un salto de altura sobre un auto en la calle.</v>
      </c>
    </row>
    <row r="36477">
      <c r="A36477" s="4" t="s">
        <v>45878</v>
      </c>
      <c r="B36477" s="4" t="s">
        <v>45882</v>
      </c>
      <c r="C36477" s="5" t="str">
        <f>IFERROR(__xludf.DUMMYFUNCTION("GOOGLETRANSLATE(B36477,""en"",""es-ES"")"),"El hombre está acostado en una mesa de madera y otro hombre salta sobre la mesa.")</f>
        <v>El hombre está acostado en una mesa de madera y otro hombre salta sobre la mesa.</v>
      </c>
    </row>
    <row r="36478">
      <c r="A36478" s="4" t="s">
        <v>45878</v>
      </c>
      <c r="B36478" s="4" t="s">
        <v>45883</v>
      </c>
      <c r="C36478" s="5" t="str">
        <f>IFERROR(__xludf.DUMMYFUNCTION("GOOGLETRANSLATE(B36478,""en"",""es-ES"")"),"Los hombres saltan de lado a lado con zancos.")</f>
        <v>Los hombres saltan de lado a lado con zancos.</v>
      </c>
    </row>
    <row r="36479">
      <c r="A36479" s="4" t="s">
        <v>45878</v>
      </c>
      <c r="B36479" s="4" t="s">
        <v>45884</v>
      </c>
      <c r="C36479" s="5" t="str">
        <f>IFERROR(__xludf.DUMMYFUNCTION("GOOGLETRANSLATE(B36479,""en"",""es-ES"")"),"El hombre está ayudando a una mujer a usar los zancos y caminar en una sala de gimnasia jugando baloncesto con jugadores de Oher.")</f>
        <v>El hombre está ayudando a una mujer a usar los zancos y caminar en una sala de gimnasia jugando baloncesto con jugadores de Oher.</v>
      </c>
    </row>
    <row r="36480">
      <c r="A36480" s="4" t="s">
        <v>45878</v>
      </c>
      <c r="B36480" s="4" t="s">
        <v>45885</v>
      </c>
      <c r="C36480" s="5" t="str">
        <f>IFERROR(__xludf.DUMMYFUNCTION("GOOGLETRANSLATE(B36480,""en"",""es-ES"")"),"La gente está en Sreet con pilotes y corriendo y saltando.")</f>
        <v>La gente está en Sreet con pilotes y corriendo y saltando.</v>
      </c>
    </row>
    <row r="36481">
      <c r="A36481" s="4" t="s">
        <v>45878</v>
      </c>
      <c r="B36481" s="4" t="s">
        <v>45886</v>
      </c>
      <c r="C36481" s="5" t="str">
        <f>IFERROR(__xludf.DUMMYFUNCTION("GOOGLETRANSLATE(B36481,""en"",""es-ES"")"),"El hombre está sentado alrededor de un banco en la calle fuera de un restaurante.")</f>
        <v>El hombre está sentado alrededor de un banco en la calle fuera de un restaurante.</v>
      </c>
    </row>
    <row r="36482">
      <c r="A36482" s="4" t="s">
        <v>45878</v>
      </c>
      <c r="B36482" s="4" t="s">
        <v>45887</v>
      </c>
      <c r="C36482" s="5" t="str">
        <f>IFERROR(__xludf.DUMMYFUNCTION("GOOGLETRANSLATE(B36482,""en"",""es-ES"")"),"El equipo está saltando en zancos en el gimnasio techo.")</f>
        <v>El equipo está saltando en zancos en el gimnasio techo.</v>
      </c>
    </row>
    <row r="36483">
      <c r="A36483" s="4" t="s">
        <v>45888</v>
      </c>
      <c r="B36483" s="4" t="s">
        <v>45889</v>
      </c>
      <c r="C36483" s="5" t="str">
        <f>IFERROR(__xludf.DUMMYFUNCTION("GOOGLETRANSLATE(B36483,""en"",""es-ES"")"),"Un anciano con camisa blanca está cepillando el cuerpo del caballo marrón.")</f>
        <v>Un anciano con camisa blanca está cepillando el cuerpo del caballo marrón.</v>
      </c>
    </row>
    <row r="36484">
      <c r="A36484" s="4" t="s">
        <v>45888</v>
      </c>
      <c r="B36484" s="4" t="s">
        <v>45890</v>
      </c>
      <c r="C36484" s="5" t="str">
        <f>IFERROR(__xludf.DUMMYFUNCTION("GOOGLETRANSLATE(B36484,""en"",""es-ES"")"),"La niña con camisa azul de pie junto al anciano cepilló el pelaje del caballo, luego el anciano se hizo cargo, cepilló el caballo y la niña frotar el pelaje del caballo con las manos.")</f>
        <v>La niña con camisa azul de pie junto al anciano cepilló el pelaje del caballo, luego el anciano se hizo cargo, cepilló el caballo y la niña frotar el pelaje del caballo con las manos.</v>
      </c>
    </row>
    <row r="36485">
      <c r="A36485" s="4" t="s">
        <v>45891</v>
      </c>
      <c r="B36485" s="4" t="s">
        <v>45892</v>
      </c>
      <c r="C36485" s="5" t="str">
        <f>IFERROR(__xludf.DUMMYFUNCTION("GOOGLETRANSLATE(B36485,""en"",""es-ES"")"),"Una banda de música está caminando por una pista.")</f>
        <v>Una banda de música está caminando por una pista.</v>
      </c>
    </row>
    <row r="36486">
      <c r="A36486" s="4" t="s">
        <v>45891</v>
      </c>
      <c r="B36486" s="4" t="s">
        <v>45893</v>
      </c>
      <c r="C36486" s="5" t="str">
        <f>IFERROR(__xludf.DUMMYFUNCTION("GOOGLETRANSLATE(B36486,""en"",""es-ES"")"),"La gente que lleva banderas los sigue.")</f>
        <v>La gente que lleva banderas los sigue.</v>
      </c>
    </row>
    <row r="36487">
      <c r="A36487" s="4" t="s">
        <v>45891</v>
      </c>
      <c r="B36487" s="4" t="s">
        <v>45894</v>
      </c>
      <c r="C36487" s="5" t="str">
        <f>IFERROR(__xludf.DUMMYFUNCTION("GOOGLETRANSLATE(B36487,""en"",""es-ES"")"),"Los bateristas en la parte posterior tocan la batería.")</f>
        <v>Los bateristas en la parte posterior tocan la batería.</v>
      </c>
    </row>
    <row r="36488">
      <c r="A36488" s="4" t="s">
        <v>45895</v>
      </c>
      <c r="B36488" s="4" t="s">
        <v>45896</v>
      </c>
      <c r="C36488" s="5" t="str">
        <f>IFERROR(__xludf.DUMMYFUNCTION("GOOGLETRANSLATE(B36488,""en"",""es-ES"")"),"Una introducción colorida incluye las palabras blancas que dicen ""eventos deportivos más peligrosos del mundo"" y las letras verdes por separado ""SRP"".")</f>
        <v>Una introducción colorida incluye las palabras blancas que dicen "eventos deportivos más peligrosos del mundo" y las letras verdes por separado "SRP".</v>
      </c>
    </row>
    <row r="36489">
      <c r="A36489" s="4" t="s">
        <v>45895</v>
      </c>
      <c r="B36489" s="4" t="s">
        <v>45897</v>
      </c>
      <c r="C36489" s="5" t="str">
        <f>IFERROR(__xludf.DUMMYFUNCTION("GOOGLETRANSLATE(B36489,""en"",""es-ES"")"),"Madrid España en un mapa aparece y rápidamente entra en varios clips diferentes de hombres en arenas sosteniendo capas rojas mientras se burlan de los toros enojados.")</f>
        <v>Madrid España en un mapa aparece y rápidamente entra en varios clips diferentes de hombres en arenas sosteniendo capas rojas mientras se burlan de los toros enojados.</v>
      </c>
    </row>
    <row r="36490">
      <c r="A36490" s="4" t="s">
        <v>45895</v>
      </c>
      <c r="B36490" s="4" t="s">
        <v>45898</v>
      </c>
      <c r="C36490" s="5" t="str">
        <f>IFERROR(__xludf.DUMMYFUNCTION("GOOGLETRANSLATE(B36490,""en"",""es-ES"")"),"De repente, un toro no va tras el Cabo, y en su lugar va tras el hombre donde el toro continúa atacándolo con los cuernos y lo arroja sobre la tierra.")</f>
        <v>De repente, un toro no va tras el Cabo, y en su lugar va tras el hombre donde el toro continúa atacándolo con los cuernos y lo arroja sobre la tierra.</v>
      </c>
    </row>
    <row r="36491">
      <c r="A36491" s="4" t="s">
        <v>45895</v>
      </c>
      <c r="B36491" s="4" t="s">
        <v>45899</v>
      </c>
      <c r="C36491" s="5" t="str">
        <f>IFERROR(__xludf.DUMMYFUNCTION("GOOGLETRANSLATE(B36491,""en"",""es-ES"")"),"La gente comienza a correr hacia el toro y el hombre para ayudarlo y el hombre herido rápidamente es llevado y sale corriendo del área de peligro.")</f>
        <v>La gente comienza a correr hacia el toro y el hombre para ayudarlo y el hombre herido rápidamente es llevado y sale corriendo del área de peligro.</v>
      </c>
    </row>
    <row r="36492">
      <c r="A36492" s="4" t="s">
        <v>45895</v>
      </c>
      <c r="B36492" s="4" t="s">
        <v>45900</v>
      </c>
      <c r="C36492" s="5" t="str">
        <f>IFERROR(__xludf.DUMMYFUNCTION("GOOGLETRANSLATE(B36492,""en"",""es-ES"")"),"La introducción aparece y es una pantalla negra con el SRP de Letters Green, créditos de producción junto con los derechos.")</f>
        <v>La introducción aparece y es una pantalla negra con el SRP de Letters Green, créditos de producción junto con los derechos.</v>
      </c>
    </row>
    <row r="36493">
      <c r="A36493" s="4" t="s">
        <v>45901</v>
      </c>
      <c r="B36493" s="4" t="s">
        <v>45902</v>
      </c>
      <c r="C36493" s="5" t="str">
        <f>IFERROR(__xludf.DUMMYFUNCTION("GOOGLETRANSLATE(B36493,""en"",""es-ES"")"),"Se ve a un joven sentado frente a un kit de batería y comienza a tocar el juego de tambores para la cámara.")</f>
        <v>Se ve a un joven sentado frente a un kit de batería y comienza a tocar el juego de tambores para la cámara.</v>
      </c>
    </row>
    <row r="36494">
      <c r="A36494" s="4" t="s">
        <v>45901</v>
      </c>
      <c r="B36494" s="4" t="s">
        <v>45903</v>
      </c>
      <c r="C36494" s="5" t="str">
        <f>IFERROR(__xludf.DUMMYFUNCTION("GOOGLETRANSLATE(B36494,""en"",""es-ES"")"),"Continúa tocando la batería y termina golpeando el platillo por última vez.")</f>
        <v>Continúa tocando la batería y termina golpeando el platillo por última vez.</v>
      </c>
    </row>
    <row r="36495">
      <c r="A36495" s="4" t="s">
        <v>45904</v>
      </c>
      <c r="B36495" s="4" t="s">
        <v>45905</v>
      </c>
      <c r="C36495" s="5" t="str">
        <f>IFERROR(__xludf.DUMMYFUNCTION("GOOGLETRANSLATE(B36495,""en"",""es-ES"")"),"Una mujer está en una cocina hablando.")</f>
        <v>Una mujer está en una cocina hablando.</v>
      </c>
    </row>
    <row r="36496">
      <c r="A36496" s="4" t="s">
        <v>45904</v>
      </c>
      <c r="B36496" s="4" t="s">
        <v>45906</v>
      </c>
      <c r="C36496" s="5" t="str">
        <f>IFERROR(__xludf.DUMMYFUNCTION("GOOGLETRANSLATE(B36496,""en"",""es-ES"")"),"Ella vierte más limpia en un fregadero y describe algunas herramientas de limpieza.")</f>
        <v>Ella vierte más limpia en un fregadero y describe algunas herramientas de limpieza.</v>
      </c>
    </row>
    <row r="36497">
      <c r="A36497" s="4" t="s">
        <v>45904</v>
      </c>
      <c r="B36497" s="4" t="s">
        <v>45907</v>
      </c>
      <c r="C36497" s="5" t="str">
        <f>IFERROR(__xludf.DUMMYFUNCTION("GOOGLETRANSLATE(B36497,""en"",""es-ES"")"),"Ella pone un polvo en el fregadero y aprieta un limón sobre el polvo.")</f>
        <v>Ella pone un polvo en el fregadero y aprieta un limón sobre el polvo.</v>
      </c>
    </row>
    <row r="36498">
      <c r="A36498" s="4" t="s">
        <v>45904</v>
      </c>
      <c r="B36498" s="4" t="s">
        <v>45908</v>
      </c>
      <c r="C36498" s="5" t="str">
        <f>IFERROR(__xludf.DUMMYFUNCTION("GOOGLETRANSLATE(B36498,""en"",""es-ES"")"),"Ella vierte un líquido sobre eso y se frota con un cepillo.")</f>
        <v>Ella vierte un líquido sobre eso y se frota con un cepillo.</v>
      </c>
    </row>
    <row r="36499">
      <c r="A36499" s="4" t="s">
        <v>45904</v>
      </c>
      <c r="B36499" s="4" t="s">
        <v>45909</v>
      </c>
      <c r="C36499" s="5" t="str">
        <f>IFERROR(__xludf.DUMMYFUNCTION("GOOGLETRANSLATE(B36499,""en"",""es-ES"")"),"Enciende el agua por un segundo y luego usa una piedra en el fregadero antes de usar el rociador para enjuagar todo.")</f>
        <v>Enciende el agua por un segundo y luego usa una piedra en el fregadero antes de usar el rociador para enjuagar todo.</v>
      </c>
    </row>
    <row r="36500">
      <c r="A36500" s="4" t="s">
        <v>45910</v>
      </c>
      <c r="B36500" s="4" t="s">
        <v>45911</v>
      </c>
      <c r="C36500" s="5" t="str">
        <f>IFERROR(__xludf.DUMMYFUNCTION("GOOGLETRANSLATE(B36500,""en"",""es-ES"")"),"Hay un grupo muy grande de personas afuera en una cancha de baloncesto después del atardecer.")</f>
        <v>Hay un grupo muy grande de personas afuera en una cancha de baloncesto después del atardecer.</v>
      </c>
    </row>
    <row r="36501">
      <c r="A36501" s="4" t="s">
        <v>45910</v>
      </c>
      <c r="B36501" s="4" t="s">
        <v>45912</v>
      </c>
      <c r="C36501" s="5" t="str">
        <f>IFERROR(__xludf.DUMMYFUNCTION("GOOGLETRANSLATE(B36501,""en"",""es-ES"")"),"Todos saltan arriba y abajo en estas nuevas cosas de Pogo Stick que usas como zapatos.")</f>
        <v>Todos saltan arriba y abajo en estas nuevas cosas de Pogo Stick que usas como zapatos.</v>
      </c>
    </row>
    <row r="36502">
      <c r="A36502" s="4" t="s">
        <v>45910</v>
      </c>
      <c r="B36502" s="4" t="s">
        <v>45913</v>
      </c>
      <c r="C36502" s="5" t="str">
        <f>IFERROR(__xludf.DUMMYFUNCTION("GOOGLETRANSLATE(B36502,""en"",""es-ES"")"),"Hay muchos niños pequeños rebotando de arriba y abajo disfrutando de la noche.")</f>
        <v>Hay muchos niños pequeños rebotando de arriba y abajo disfrutando de la noche.</v>
      </c>
    </row>
    <row r="36503">
      <c r="A36503" s="4" t="s">
        <v>45910</v>
      </c>
      <c r="B36503" s="4" t="s">
        <v>45914</v>
      </c>
      <c r="C36503" s="5" t="str">
        <f>IFERROR(__xludf.DUMMYFUNCTION("GOOGLETRANSLATE(B36503,""en"",""es-ES"")"),"Incluso hay algunas personas de pie y observando.")</f>
        <v>Incluso hay algunas personas de pie y observando.</v>
      </c>
    </row>
    <row r="36504">
      <c r="A36504" s="4" t="s">
        <v>45915</v>
      </c>
      <c r="B36504" s="4" t="s">
        <v>45916</v>
      </c>
      <c r="C36504" s="5" t="str">
        <f>IFERROR(__xludf.DUMMYFUNCTION("GOOGLETRANSLATE(B36504,""en"",""es-ES"")"),"Se ve el ojo de una persona cerca de la cámara que se pone una lente de contacto en sus manos y mantiene el ojo abierto.")</f>
        <v>Se ve el ojo de una persona cerca de la cámara que se pone una lente de contacto en sus manos y mantiene el ojo abierto.</v>
      </c>
    </row>
    <row r="36505">
      <c r="A36505" s="4" t="s">
        <v>45915</v>
      </c>
      <c r="B36505" s="4" t="s">
        <v>45917</v>
      </c>
      <c r="C36505" s="5" t="str">
        <f>IFERROR(__xludf.DUMMYFUNCTION("GOOGLETRANSLATE(B36505,""en"",""es-ES"")"),"Luego, la persona pone la lente de contacto en sus ojos y se frota el ojo mientras parpadea varias veces.")</f>
        <v>Luego, la persona pone la lente de contacto en sus ojos y se frota el ojo mientras parpadea varias veces.</v>
      </c>
    </row>
    <row r="36506">
      <c r="A36506" s="4" t="s">
        <v>45918</v>
      </c>
      <c r="B36506" s="4" t="s">
        <v>45919</v>
      </c>
      <c r="C36506" s="5" t="str">
        <f>IFERROR(__xludf.DUMMYFUNCTION("GOOGLETRANSLATE(B36506,""en"",""es-ES"")"),"Vemos la tarjeta de título sobre la pantalla.")</f>
        <v>Vemos la tarjeta de título sobre la pantalla.</v>
      </c>
    </row>
    <row r="36507">
      <c r="A36507" s="4" t="s">
        <v>45918</v>
      </c>
      <c r="B36507" s="4" t="s">
        <v>45920</v>
      </c>
      <c r="C36507" s="5" t="str">
        <f>IFERROR(__xludf.DUMMYFUNCTION("GOOGLETRANSLATE(B36507,""en"",""es-ES"")"),"Vemos gente parada en un escenario azul.")</f>
        <v>Vemos gente parada en un escenario azul.</v>
      </c>
    </row>
    <row r="36508">
      <c r="A36508" s="4" t="s">
        <v>45918</v>
      </c>
      <c r="B36508" s="4" t="s">
        <v>45921</v>
      </c>
      <c r="C36508" s="5" t="str">
        <f>IFERROR(__xludf.DUMMYFUNCTION("GOOGLETRANSLATE(B36508,""en"",""es-ES"")"),"Luego realizan una rutina de alegría.")</f>
        <v>Luego realizan una rutina de alegría.</v>
      </c>
    </row>
    <row r="36509">
      <c r="A36509" s="4" t="s">
        <v>45918</v>
      </c>
      <c r="B36509" s="4" t="s">
        <v>45922</v>
      </c>
      <c r="C36509" s="5" t="str">
        <f>IFERROR(__xludf.DUMMYFUNCTION("GOOGLETRANSLATE(B36509,""en"",""es-ES"")"),"Los hombres levantan a las mujeres que giran en sus brazos.")</f>
        <v>Los hombres levantan a las mujeres que giran en sus brazos.</v>
      </c>
    </row>
    <row r="36510">
      <c r="A36510" s="4" t="s">
        <v>45918</v>
      </c>
      <c r="B36510" s="4" t="s">
        <v>45923</v>
      </c>
      <c r="C36510" s="5" t="str">
        <f>IFERROR(__xludf.DUMMYFUNCTION("GOOGLETRANSLATE(B36510,""en"",""es-ES"")"),"Todos voltean hacia atrás juntos.")</f>
        <v>Todos voltean hacia atrás juntos.</v>
      </c>
    </row>
    <row r="36511">
      <c r="A36511" s="4" t="s">
        <v>45918</v>
      </c>
      <c r="B36511" s="4" t="s">
        <v>45924</v>
      </c>
      <c r="C36511" s="5" t="str">
        <f>IFERROR(__xludf.DUMMYFUNCTION("GOOGLETRANSLATE(B36511,""en"",""es-ES"")"),"Los hombres sostienen a las mujeres por una pierna y casi dejan caer a una dama.")</f>
        <v>Los hombres sostienen a las mujeres por una pierna y casi dejan caer a una dama.</v>
      </c>
    </row>
    <row r="36512">
      <c r="A36512" s="4" t="s">
        <v>45918</v>
      </c>
      <c r="B36512" s="4" t="s">
        <v>45925</v>
      </c>
      <c r="C36512" s="5" t="str">
        <f>IFERROR(__xludf.DUMMYFUNCTION("GOOGLETRANSLATE(B36512,""en"",""es-ES"")"),"Una niña trae letras al campo.")</f>
        <v>Una niña trae letras al campo.</v>
      </c>
    </row>
    <row r="36513">
      <c r="A36513" s="4" t="s">
        <v>45918</v>
      </c>
      <c r="B36513" s="4" t="s">
        <v>45926</v>
      </c>
      <c r="C36513" s="5" t="str">
        <f>IFERROR(__xludf.DUMMYFUNCTION("GOOGLETRANSLATE(B36513,""en"",""es-ES"")"),"Usan la letra para deletrear una palabra mientras están parados en el aire.")</f>
        <v>Usan la letra para deletrear una palabra mientras están parados en el aire.</v>
      </c>
    </row>
    <row r="36514">
      <c r="A36514" s="4" t="s">
        <v>45918</v>
      </c>
      <c r="B36514" s="4" t="s">
        <v>45927</v>
      </c>
      <c r="C36514" s="5" t="str">
        <f>IFERROR(__xludf.DUMMYFUNCTION("GOOGLETRANSLATE(B36514,""en"",""es-ES"")"),"Tienen diferentes cartas con nombres de color.")</f>
        <v>Tienen diferentes cartas con nombres de color.</v>
      </c>
    </row>
    <row r="36515">
      <c r="A36515" s="4" t="s">
        <v>45918</v>
      </c>
      <c r="B36515" s="4" t="s">
        <v>45928</v>
      </c>
      <c r="C36515" s="5" t="str">
        <f>IFERROR(__xludf.DUMMYFUNCTION("GOOGLETRANSLATE(B36515,""en"",""es-ES"")"),"Los hombres gritan de los cuernos.")</f>
        <v>Los hombres gritan de los cuernos.</v>
      </c>
    </row>
    <row r="36516">
      <c r="A36516" s="4" t="s">
        <v>45918</v>
      </c>
      <c r="B36516" s="4" t="s">
        <v>45929</v>
      </c>
      <c r="C36516" s="5" t="str">
        <f>IFERROR(__xludf.DUMMYFUNCTION("GOOGLETRANSLATE(B36516,""en"",""es-ES"")"),"Dos mujeres salen de una postura y terminan en el aire.")</f>
        <v>Dos mujeres salen de una postura y terminan en el aire.</v>
      </c>
    </row>
    <row r="36517">
      <c r="A36517" s="4" t="s">
        <v>45930</v>
      </c>
      <c r="B36517" s="4" t="s">
        <v>45931</v>
      </c>
      <c r="C36517" s="5" t="str">
        <f>IFERROR(__xludf.DUMMYFUNCTION("GOOGLETRANSLATE(B36517,""en"",""es-ES"")"),"Hay algunos nadadores jugando waterpolo en una piscina cubierta.")</f>
        <v>Hay algunos nadadores jugando waterpolo en una piscina cubierta.</v>
      </c>
    </row>
    <row r="36518">
      <c r="A36518" s="4" t="s">
        <v>45930</v>
      </c>
      <c r="B36518" s="4" t="s">
        <v>45932</v>
      </c>
      <c r="C36518" s="5" t="str">
        <f>IFERROR(__xludf.DUMMYFUNCTION("GOOGLETRANSLATE(B36518,""en"",""es-ES"")"),"Uno de los nadadores está bajo el agua, tratando de alcanzar la pelota.")</f>
        <v>Uno de los nadadores está bajo el agua, tratando de alcanzar la pelota.</v>
      </c>
    </row>
    <row r="36519">
      <c r="A36519" s="4" t="s">
        <v>45930</v>
      </c>
      <c r="B36519" s="4" t="s">
        <v>45933</v>
      </c>
      <c r="C36519" s="5" t="str">
        <f>IFERROR(__xludf.DUMMYFUNCTION("GOOGLETRANSLATE(B36519,""en"",""es-ES"")"),"Lanza la pelota a otro nadador que atrapa la pelota.")</f>
        <v>Lanza la pelota a otro nadador que atrapa la pelota.</v>
      </c>
    </row>
    <row r="36520">
      <c r="A36520" s="4" t="s">
        <v>45930</v>
      </c>
      <c r="B36520" s="4" t="s">
        <v>45934</v>
      </c>
      <c r="C36520" s="5" t="str">
        <f>IFERROR(__xludf.DUMMYFUNCTION("GOOGLETRANSLATE(B36520,""en"",""es-ES"")"),"Dos nadadores están bajo el agua tratando de alcanzar la pelota.")</f>
        <v>Dos nadadores están bajo el agua tratando de alcanzar la pelota.</v>
      </c>
    </row>
    <row r="36521">
      <c r="A36521" s="4" t="s">
        <v>45930</v>
      </c>
      <c r="B36521" s="4" t="s">
        <v>45935</v>
      </c>
      <c r="C36521" s="5" t="str">
        <f>IFERROR(__xludf.DUMMYFUNCTION("GOOGLETRANSLATE(B36521,""en"",""es-ES"")"),"Pasan la pelota mientras nadan a través del agua.")</f>
        <v>Pasan la pelota mientras nadan a través del agua.</v>
      </c>
    </row>
    <row r="36522">
      <c r="A36522" s="4" t="s">
        <v>45930</v>
      </c>
      <c r="B36522" s="4" t="s">
        <v>45936</v>
      </c>
      <c r="C36522" s="5" t="str">
        <f>IFERROR(__xludf.DUMMYFUNCTION("GOOGLETRANSLATE(B36522,""en"",""es-ES"")"),"Luego, los nadadores nadan hacia arriba y salen de la piscina mientras otros nadadores todavía están dentro de la piscina.")</f>
        <v>Luego, los nadadores nadan hacia arriba y salen de la piscina mientras otros nadadores todavía están dentro de la piscina.</v>
      </c>
    </row>
    <row r="36523">
      <c r="A36523" s="4" t="s">
        <v>45930</v>
      </c>
      <c r="B36523" s="4" t="s">
        <v>45937</v>
      </c>
      <c r="C36523" s="5" t="str">
        <f>IFERROR(__xludf.DUMMYFUNCTION("GOOGLETRANSLATE(B36523,""en"",""es-ES"")"),"Uno de los nadadores escupe agua en la cámara mientras todavía está dentro de la piscina.")</f>
        <v>Uno de los nadadores escupe agua en la cámara mientras todavía está dentro de la piscina.</v>
      </c>
    </row>
    <row r="36524">
      <c r="A36524" s="4" t="s">
        <v>45930</v>
      </c>
      <c r="B36524" s="4" t="s">
        <v>45938</v>
      </c>
      <c r="C36524" s="5" t="str">
        <f>IFERROR(__xludf.DUMMYFUNCTION("GOOGLETRANSLATE(B36524,""en"",""es-ES"")"),"Se pueden ver algunos otros nadadores en el vestuario que se secan después de la natación.")</f>
        <v>Se pueden ver algunos otros nadadores en el vestuario que se secan después de la natación.</v>
      </c>
    </row>
    <row r="36525">
      <c r="A36525" s="4" t="s">
        <v>45939</v>
      </c>
      <c r="B36525" s="4" t="s">
        <v>45940</v>
      </c>
      <c r="C36525" s="5" t="str">
        <f>IFERROR(__xludf.DUMMYFUNCTION("GOOGLETRANSLATE(B36525,""en"",""es-ES"")"),"Se ve a un pequeño grupo de personas moviéndose alrededor de un gimnasio pateando una pelota.")</f>
        <v>Se ve a un pequeño grupo de personas moviéndose alrededor de un gimnasio pateando una pelota.</v>
      </c>
    </row>
    <row r="36526">
      <c r="A36526" s="4" t="s">
        <v>45939</v>
      </c>
      <c r="B36526" s="4" t="s">
        <v>45941</v>
      </c>
      <c r="C36526" s="5" t="str">
        <f>IFERROR(__xludf.DUMMYFUNCTION("GOOGLETRANSLATE(B36526,""en"",""es-ES"")"),"Los muchachos se gritan unos a otros con las manos en alto y continúan caminando por el gimnasio.")</f>
        <v>Los muchachos se gritan unos a otros con las manos en alto y continúan caminando por el gimnasio.</v>
      </c>
    </row>
    <row r="36527">
      <c r="A36527" s="4" t="s">
        <v>45942</v>
      </c>
      <c r="B36527" s="4" t="s">
        <v>45943</v>
      </c>
      <c r="C36527" s="5" t="str">
        <f>IFERROR(__xludf.DUMMYFUNCTION("GOOGLETRANSLATE(B36527,""en"",""es-ES"")"),"Hay una persona cortando el césped en su patio con una cortadora de césped mientras lleva a su hijo de espaldas.")</f>
        <v>Hay una persona cortando el césped en su patio con una cortadora de césped mientras lleva a su hijo de espaldas.</v>
      </c>
    </row>
    <row r="36528">
      <c r="A36528" s="4" t="s">
        <v>45942</v>
      </c>
      <c r="B36528" s="4" t="s">
        <v>45944</v>
      </c>
      <c r="C36528" s="5" t="str">
        <f>IFERROR(__xludf.DUMMYFUNCTION("GOOGLETRANSLATE(B36528,""en"",""es-ES"")"),"El hombre camina hacia arriba y hacia abajo, directamente a través del patio mientras corta el césped.")</f>
        <v>El hombre camina hacia arriba y hacia abajo, directamente a través del patio mientras corta el césped.</v>
      </c>
    </row>
    <row r="36529">
      <c r="A36529" s="4" t="s">
        <v>45942</v>
      </c>
      <c r="B36529" s="4" t="s">
        <v>45945</v>
      </c>
      <c r="C36529" s="5" t="str">
        <f>IFERROR(__xludf.DUMMYFUNCTION("GOOGLETRANSLATE(B36529,""en"",""es-ES"")"),"El niño observa con calma mientras descansa sobre la espalda del hombre.")</f>
        <v>El niño observa con calma mientras descansa sobre la espalda del hombre.</v>
      </c>
    </row>
    <row r="36530">
      <c r="A36530" s="4" t="s">
        <v>45942</v>
      </c>
      <c r="B36530" s="4" t="s">
        <v>45946</v>
      </c>
      <c r="C36530" s="5" t="str">
        <f>IFERROR(__xludf.DUMMYFUNCTION("GOOGLETRANSLATE(B36530,""en"",""es-ES"")"),"El hombre continúa cortando el césped con su cortacésped negro.")</f>
        <v>El hombre continúa cortando el césped con su cortacésped negro.</v>
      </c>
    </row>
    <row r="36531">
      <c r="A36531" s="4" t="s">
        <v>45947</v>
      </c>
      <c r="B36531" s="4" t="s">
        <v>45948</v>
      </c>
      <c r="C36531" s="5" t="str">
        <f>IFERROR(__xludf.DUMMYFUNCTION("GOOGLETRANSLATE(B36531,""en"",""es-ES"")"),"Hay una persona llamada Michael de Wild Flower Tool Company que está haciendo un tutorial sobre las tijeras telescópicas para la jardinería.")</f>
        <v>Hay una persona llamada Michael de Wild Flower Tool Company que está haciendo un tutorial sobre las tijeras telescópicas para la jardinería.</v>
      </c>
    </row>
    <row r="36532">
      <c r="A36532" s="4" t="s">
        <v>45947</v>
      </c>
      <c r="B36532" s="4" t="s">
        <v>45949</v>
      </c>
      <c r="C36532" s="5" t="str">
        <f>IFERROR(__xludf.DUMMYFUNCTION("GOOGLETRANSLATE(B36532,""en"",""es-ES"")"),"Demuestra las diversas características de las tijeras, como manijas extensibles.")</f>
        <v>Demuestra las diversas características de las tijeras, como manijas extensibles.</v>
      </c>
    </row>
    <row r="36533">
      <c r="A36533" s="4" t="s">
        <v>45947</v>
      </c>
      <c r="B36533" s="4" t="s">
        <v>45950</v>
      </c>
      <c r="C36533" s="5" t="str">
        <f>IFERROR(__xludf.DUMMYFUNCTION("GOOGLETRANSLATE(B36533,""en"",""es-ES"")"),"Está parado cerca de un gran seto en un jardín.")</f>
        <v>Está parado cerca de un gran seto en un jardín.</v>
      </c>
    </row>
    <row r="36534">
      <c r="A36534" s="4" t="s">
        <v>45947</v>
      </c>
      <c r="B36534" s="4" t="s">
        <v>45951</v>
      </c>
      <c r="C36534" s="5" t="str">
        <f>IFERROR(__xludf.DUMMYFUNCTION("GOOGLETRANSLATE(B36534,""en"",""es-ES"")"),"Muestra cómo usar las tijeras cortando algunas de las ramas del seto.")</f>
        <v>Muestra cómo usar las tijeras cortando algunas de las ramas del seto.</v>
      </c>
    </row>
    <row r="36535">
      <c r="A36535" s="4" t="s">
        <v>45947</v>
      </c>
      <c r="B36535" s="4" t="s">
        <v>45952</v>
      </c>
      <c r="C36535" s="5" t="str">
        <f>IFERROR(__xludf.DUMMYFUNCTION("GOOGLETRANSLATE(B36535,""en"",""es-ES"")"),"Luego extiende las manijas de las tijeras para mostrar hasta qué punto puede llegar duro a alcanzar lugares en la parte superior del seto.")</f>
        <v>Luego extiende las manijas de las tijeras para mostrar hasta qué punto puede llegar duro a alcanzar lugares en la parte superior del seto.</v>
      </c>
    </row>
    <row r="36536">
      <c r="A36536" s="4" t="s">
        <v>45953</v>
      </c>
      <c r="B36536" s="4" t="s">
        <v>45954</v>
      </c>
      <c r="C36536" s="5" t="str">
        <f>IFERROR(__xludf.DUMMYFUNCTION("GOOGLETRANSLATE(B36536,""en"",""es-ES"")"),"Una mujer camina hacia adelante hablando con la cámara y poniendo sus manos en sus caderas.")</f>
        <v>Una mujer camina hacia adelante hablando con la cámara y poniendo sus manos en sus caderas.</v>
      </c>
    </row>
    <row r="36537">
      <c r="A36537" s="4" t="s">
        <v>45953</v>
      </c>
      <c r="B36537" s="4" t="s">
        <v>45955</v>
      </c>
      <c r="C36537" s="5" t="str">
        <f>IFERROR(__xludf.DUMMYFUNCTION("GOOGLETRANSLATE(B36537,""en"",""es-ES"")"),"Se muestra a una niña jugando hockey sobre campo y presenta varios clips de sí misma haciendo movimientos.")</f>
        <v>Se muestra a una niña jugando hockey sobre campo y presenta varios clips de sí misma haciendo movimientos.</v>
      </c>
    </row>
    <row r="36538">
      <c r="A36538" s="4" t="s">
        <v>45953</v>
      </c>
      <c r="B36538" s="4" t="s">
        <v>45956</v>
      </c>
      <c r="C36538" s="5" t="str">
        <f>IFERROR(__xludf.DUMMYFUNCTION("GOOGLETRANSLATE(B36538,""en"",""es-ES"")"),"Más tarde está hablando con la cámara sobre sus experiencias con el deporte y quién es exactamente y por qué otras personas la aman.")</f>
        <v>Más tarde está hablando con la cámara sobre sus experiencias con el deporte y quién es exactamente y por qué otras personas la aman.</v>
      </c>
    </row>
    <row r="36539">
      <c r="A36539" s="4" t="s">
        <v>45957</v>
      </c>
      <c r="B36539" s="4" t="s">
        <v>45958</v>
      </c>
      <c r="C36539" s="5" t="str">
        <f>IFERROR(__xludf.DUMMYFUNCTION("GOOGLETRANSLATE(B36539,""en"",""es-ES"")"),"Vemos personas caminando con balsas por una escalera mecánica en un campo nevado en un parque de rafting.")</f>
        <v>Vemos personas caminando con balsas por una escalera mecánica en un campo nevado en un parque de rafting.</v>
      </c>
    </row>
    <row r="36540">
      <c r="A36540" s="4" t="s">
        <v>45957</v>
      </c>
      <c r="B36540" s="4" t="s">
        <v>45959</v>
      </c>
      <c r="C36540" s="5" t="str">
        <f>IFERROR(__xludf.DUMMYFUNCTION("GOOGLETRANSLATE(B36540,""en"",""es-ES"")"),"Un niño casi cae a la izquierda.")</f>
        <v>Un niño casi cae a la izquierda.</v>
      </c>
    </row>
    <row r="36541">
      <c r="A36541" s="4" t="s">
        <v>45957</v>
      </c>
      <c r="B36541" s="4" t="s">
        <v>45960</v>
      </c>
      <c r="C36541" s="5" t="str">
        <f>IFERROR(__xludf.DUMMYFUNCTION("GOOGLETRANSLATE(B36541,""en"",""es-ES"")"),"Vemos a la concurrida escalera mecánica desde la distancia.")</f>
        <v>Vemos a la concurrida escalera mecánica desde la distancia.</v>
      </c>
    </row>
    <row r="36542">
      <c r="A36542" s="4" t="s">
        <v>45957</v>
      </c>
      <c r="B36542" s="4" t="s">
        <v>45961</v>
      </c>
      <c r="C36542" s="5" t="str">
        <f>IFERROR(__xludf.DUMMYFUNCTION("GOOGLETRANSLATE(B36542,""en"",""es-ES"")"),"Vemos a un niño con un abrigo negro corriendo con su balsa a cuestas.")</f>
        <v>Vemos a un niño con un abrigo negro corriendo con su balsa a cuestas.</v>
      </c>
    </row>
    <row r="36543">
      <c r="A36543" s="4" t="s">
        <v>45962</v>
      </c>
      <c r="B36543" s="4" t="s">
        <v>45963</v>
      </c>
      <c r="C36543" s="5" t="str">
        <f>IFERROR(__xludf.DUMMYFUNCTION("GOOGLETRANSLATE(B36543,""en"",""es-ES"")"),"Un hombre con gafas tocando un acordeón y sonriendo.")</f>
        <v>Un hombre con gafas tocando un acordeón y sonriendo.</v>
      </c>
    </row>
    <row r="36544">
      <c r="A36544" s="4" t="s">
        <v>45962</v>
      </c>
      <c r="B36544" s="4" t="s">
        <v>45964</v>
      </c>
      <c r="C36544" s="5" t="str">
        <f>IFERROR(__xludf.DUMMYFUNCTION("GOOGLETRANSLATE(B36544,""en"",""es-ES"")"),"La cámara se acerca a sus dedos subiendo y bajando el cuello del instrumento.")</f>
        <v>La cámara se acerca a sus dedos subiendo y bajando el cuello del instrumento.</v>
      </c>
    </row>
    <row r="36545">
      <c r="A36545" s="4" t="s">
        <v>45962</v>
      </c>
      <c r="B36545" s="4" t="s">
        <v>45965</v>
      </c>
      <c r="C36545" s="5" t="str">
        <f>IFERROR(__xludf.DUMMYFUNCTION("GOOGLETRANSLATE(B36545,""en"",""es-ES"")"),"El hombre continúa tocando su canción y sonríe a la cámara mientras se mueve hacia arriba y hacia abajo.")</f>
        <v>El hombre continúa tocando su canción y sonríe a la cámara mientras se mueve hacia arriba y hacia abajo.</v>
      </c>
    </row>
    <row r="36546">
      <c r="A36546" s="4" t="s">
        <v>45966</v>
      </c>
      <c r="B36546" s="4" t="s">
        <v>45967</v>
      </c>
      <c r="C36546" s="5" t="str">
        <f>IFERROR(__xludf.DUMMYFUNCTION("GOOGLETRANSLATE(B36546,""en"",""es-ES"")"),"Un niño se encuentra en un tribunal mientras un grupo de jueces lo mira saltar rápidamente.")</f>
        <v>Un niño se encuentra en un tribunal mientras un grupo de jueces lo mira saltar rápidamente.</v>
      </c>
    </row>
    <row r="36547">
      <c r="A36547" s="4" t="s">
        <v>45966</v>
      </c>
      <c r="B36547" s="4" t="s">
        <v>45968</v>
      </c>
      <c r="C36547" s="5" t="str">
        <f>IFERROR(__xludf.DUMMYFUNCTION("GOOGLETRANSLATE(B36547,""en"",""es-ES"")"),"Detrás de él, otros competidores también saltan la cuerda.")</f>
        <v>Detrás de él, otros competidores también saltan la cuerda.</v>
      </c>
    </row>
    <row r="36548">
      <c r="A36548" s="4" t="s">
        <v>45969</v>
      </c>
      <c r="B36548" s="4" t="s">
        <v>45970</v>
      </c>
      <c r="C36548" s="5" t="str">
        <f>IFERROR(__xludf.DUMMYFUNCTION("GOOGLETRANSLATE(B36548,""en"",""es-ES"")"),"Un niño está sentado contra la pared haciendo una cara mientras dos personas están paradas frente a él.")</f>
        <v>Un niño está sentado contra la pared haciendo una cara mientras dos personas están paradas frente a él.</v>
      </c>
    </row>
    <row r="36549">
      <c r="A36549" s="4" t="s">
        <v>45969</v>
      </c>
      <c r="B36549" s="4" t="s">
        <v>45971</v>
      </c>
      <c r="C36549" s="5" t="str">
        <f>IFERROR(__xludf.DUMMYFUNCTION("GOOGLETRANSLATE(B36549,""en"",""es-ES"")"),"La niña de la izquierda luego toma un pequeño tubo de esmalte y comienza a pintar el clavo del niño con brillo rojo.")</f>
        <v>La niña de la izquierda luego toma un pequeño tubo de esmalte y comienza a pintar el clavo del niño con brillo rojo.</v>
      </c>
    </row>
    <row r="36550">
      <c r="A36550" s="4" t="s">
        <v>45969</v>
      </c>
      <c r="B36550" s="4" t="s">
        <v>45972</v>
      </c>
      <c r="C36550" s="5" t="str">
        <f>IFERROR(__xludf.DUMMYFUNCTION("GOOGLETRANSLATE(B36550,""en"",""es-ES"")"),"Cuando termina, se muestra al niño y él comienza a reírse de la situación.")</f>
        <v>Cuando termina, se muestra al niño y él comienza a reírse de la situación.</v>
      </c>
    </row>
    <row r="36551">
      <c r="A36551" s="4" t="s">
        <v>45973</v>
      </c>
      <c r="B36551" s="4" t="s">
        <v>45974</v>
      </c>
      <c r="C36551" s="5" t="str">
        <f>IFERROR(__xludf.DUMMYFUNCTION("GOOGLETRANSLATE(B36551,""en"",""es-ES"")"),"Aparece una pantalla de fondo con patas y huesos de perro y las palabras en rojo y negro aparecen y leen ""Teg's Canine Clippery Dog &amp; Catrooming"".")</f>
        <v>Aparece una pantalla de fondo con patas y huesos de perro y las palabras en rojo y negro aparecen y leen "Teg's Canine Clippery Dog &amp; Catrooming".</v>
      </c>
    </row>
    <row r="36552">
      <c r="A36552" s="4" t="s">
        <v>45973</v>
      </c>
      <c r="B36552" s="4" t="s">
        <v>45975</v>
      </c>
      <c r="C36552" s="5" t="str">
        <f>IFERROR(__xludf.DUMMYFUNCTION("GOOGLETRANSLATE(B36552,""en"",""es-ES"")"),"Se muestran clips de diferentes perros recibiendo baños, cortes de cabello y cepillados mientras aparecen fotos de imágenes entre clips y todos incluyen el nombre de la compañía, el sitio web y el número de teléfono.")</f>
        <v>Se muestran clips de diferentes perros recibiendo baños, cortes de cabello y cepillados mientras aparecen fotos de imágenes entre clips y todos incluyen el nombre de la compañía, el sitio web y el número de teléfono.</v>
      </c>
    </row>
    <row r="36553">
      <c r="A36553" s="4" t="s">
        <v>45973</v>
      </c>
      <c r="B36553" s="4" t="s">
        <v>45976</v>
      </c>
      <c r="C36553" s="5" t="str">
        <f>IFERROR(__xludf.DUMMYFUNCTION("GOOGLETRANSLATE(B36553,""en"",""es-ES"")"),"La última pantalla es una imagen de un perro con sus ojos cerrados y 2 pares de manos que se secan con un cepillo sobre su cabeza, el nombre de la compañía, el sitio web, el número de teléfono y la dirección.")</f>
        <v>La última pantalla es una imagen de un perro con sus ojos cerrados y 2 pares de manos que se secan con un cepillo sobre su cabeza, el nombre de la compañía, el sitio web, el número de teléfono y la dirección.</v>
      </c>
    </row>
    <row r="36554">
      <c r="A36554" s="4" t="s">
        <v>45977</v>
      </c>
      <c r="B36554" s="4" t="s">
        <v>45978</v>
      </c>
      <c r="C36554" s="5" t="str">
        <f>IFERROR(__xludf.DUMMYFUNCTION("GOOGLETRANSLATE(B36554,""en"",""es-ES"")"),"Se ve a un joven sentado en una silla sosteniendo un vacío en sus manos.")</f>
        <v>Se ve a un joven sentado en una silla sosteniendo un vacío en sus manos.</v>
      </c>
    </row>
    <row r="36555">
      <c r="A36555" s="4" t="s">
        <v>45977</v>
      </c>
      <c r="B36555" s="4" t="s">
        <v>45979</v>
      </c>
      <c r="C36555" s="5" t="str">
        <f>IFERROR(__xludf.DUMMYFUNCTION("GOOGLETRANSLATE(B36555,""en"",""es-ES"")"),"El niño habla con la cámara mientras empuja el vacío hacia atrás y el cuarto.")</f>
        <v>El niño habla con la cámara mientras empuja el vacío hacia atrás y el cuarto.</v>
      </c>
    </row>
    <row r="36556">
      <c r="A36556" s="4" t="s">
        <v>45977</v>
      </c>
      <c r="B36556" s="4" t="s">
        <v>45980</v>
      </c>
      <c r="C36556" s="5" t="str">
        <f>IFERROR(__xludf.DUMMYFUNCTION("GOOGLETRANSLATE(B36556,""en"",""es-ES"")"),"La cámara se acerca al niño y se acerca a la cara mientras se aspira.")</f>
        <v>La cámara se acerca al niño y se acerca a la cara mientras se aspira.</v>
      </c>
    </row>
    <row r="36557">
      <c r="A36557" s="4" t="s">
        <v>45981</v>
      </c>
      <c r="B36557" s="4" t="s">
        <v>45982</v>
      </c>
      <c r="C36557" s="5" t="str">
        <f>IFERROR(__xludf.DUMMYFUNCTION("GOOGLETRANSLATE(B36557,""en"",""es-ES"")"),"Un hombre está parado sobre un camión.")</f>
        <v>Un hombre está parado sobre un camión.</v>
      </c>
    </row>
    <row r="36558">
      <c r="A36558" s="4" t="s">
        <v>45981</v>
      </c>
      <c r="B36558" s="4" t="s">
        <v>45983</v>
      </c>
      <c r="C36558" s="5" t="str">
        <f>IFERROR(__xludf.DUMMYFUNCTION("GOOGLETRANSLATE(B36558,""en"",""es-ES"")"),"Dos hombres saltan a un trampolín.")</f>
        <v>Dos hombres saltan a un trampolín.</v>
      </c>
    </row>
    <row r="36559">
      <c r="A36559" s="4" t="s">
        <v>45981</v>
      </c>
      <c r="B36559" s="4" t="s">
        <v>45984</v>
      </c>
      <c r="C36559" s="5" t="str">
        <f>IFERROR(__xludf.DUMMYFUNCTION("GOOGLETRANSLATE(B36559,""en"",""es-ES"")"),"Uno de los hombres se acuesta y el otro hombre lo golpea.")</f>
        <v>Uno de los hombres se acuesta y el otro hombre lo golpea.</v>
      </c>
    </row>
    <row r="36560">
      <c r="A36560" s="4" t="s">
        <v>45981</v>
      </c>
      <c r="B36560" s="4" t="s">
        <v>45985</v>
      </c>
      <c r="C36560" s="5" t="str">
        <f>IFERROR(__xludf.DUMMYFUNCTION("GOOGLETRANSLATE(B36560,""en"",""es-ES"")"),"El hombre en el camión salta al trampolín.")</f>
        <v>El hombre en el camión salta al trampolín.</v>
      </c>
    </row>
    <row r="36561">
      <c r="A36561" s="4" t="s">
        <v>45986</v>
      </c>
      <c r="B36561" s="4" t="s">
        <v>45987</v>
      </c>
      <c r="C36561" s="5" t="str">
        <f>IFERROR(__xludf.DUMMYFUNCTION("GOOGLETRANSLATE(B36561,""en"",""es-ES"")"),"Se muestra el pie de una persona y luego se mueve lentamente hacia su cara.")</f>
        <v>Se muestra el pie de una persona y luego se mueve lentamente hacia su cara.</v>
      </c>
    </row>
    <row r="36562">
      <c r="A36562" s="4" t="s">
        <v>45986</v>
      </c>
      <c r="B36562" s="4" t="s">
        <v>45988</v>
      </c>
      <c r="C36562" s="5" t="str">
        <f>IFERROR(__xludf.DUMMYFUNCTION("GOOGLETRANSLATE(B36562,""en"",""es-ES"")"),"La cámara se desplaza y muestra un auto plateado.")</f>
        <v>La cámara se desplaza y muestra un auto plateado.</v>
      </c>
    </row>
    <row r="36563">
      <c r="A36563" s="4" t="s">
        <v>45986</v>
      </c>
      <c r="B36563" s="4" t="s">
        <v>45989</v>
      </c>
      <c r="C36563" s="5" t="str">
        <f>IFERROR(__xludf.DUMMYFUNCTION("GOOGLETRANSLATE(B36563,""en"",""es-ES"")"),"La persona sostiene un palo en sus manos.")</f>
        <v>La persona sostiene un palo en sus manos.</v>
      </c>
    </row>
    <row r="36564">
      <c r="A36564" s="4" t="s">
        <v>45986</v>
      </c>
      <c r="B36564" s="4" t="s">
        <v>45990</v>
      </c>
      <c r="C36564" s="5" t="str">
        <f>IFERROR(__xludf.DUMMYFUNCTION("GOOGLETRANSLATE(B36564,""en"",""es-ES"")"),"La persona sostiene una manguera y lava el auto.")</f>
        <v>La persona sostiene una manguera y lava el auto.</v>
      </c>
    </row>
    <row r="36565">
      <c r="A36565" s="4" t="s">
        <v>45986</v>
      </c>
      <c r="B36565" s="4" t="s">
        <v>45991</v>
      </c>
      <c r="C36565" s="5" t="str">
        <f>IFERROR(__xludf.DUMMYFUNCTION("GOOGLETRANSLATE(B36565,""en"",""es-ES"")"),"Sumentan el palo en un cubo de agua jabonosa y continúan lavando el automóvil.")</f>
        <v>Sumentan el palo en un cubo de agua jabonosa y continúan lavando el automóvil.</v>
      </c>
    </row>
    <row r="36566">
      <c r="A36566" s="4" t="s">
        <v>45986</v>
      </c>
      <c r="B36566" s="4" t="s">
        <v>45992</v>
      </c>
      <c r="C36566" s="5" t="str">
        <f>IFERROR(__xludf.DUMMYFUNCTION("GOOGLETRANSLATE(B36566,""en"",""es-ES"")"),"Sostienen la manguera y vierten el agua en la cara.")</f>
        <v>Sostienen la manguera y vierten el agua en la cara.</v>
      </c>
    </row>
    <row r="36567">
      <c r="A36567" s="4" t="s">
        <v>45986</v>
      </c>
      <c r="B36567" s="4" t="s">
        <v>45993</v>
      </c>
      <c r="C36567" s="5" t="str">
        <f>IFERROR(__xludf.DUMMYFUNCTION("GOOGLETRANSLATE(B36567,""en"",""es-ES"")"),"Se quitan sus gafas de sol al final y se limpian la cara.")</f>
        <v>Se quitan sus gafas de sol al final y se limpian la cara.</v>
      </c>
    </row>
    <row r="36568">
      <c r="A36568" s="4" t="s">
        <v>45994</v>
      </c>
      <c r="B36568" s="4" t="s">
        <v>45995</v>
      </c>
      <c r="C36568" s="5" t="str">
        <f>IFERROR(__xludf.DUMMYFUNCTION("GOOGLETRANSLATE(B36568,""en"",""es-ES"")"),"Dos personas están paradas frente a una actuación en la calle.")</f>
        <v>Dos personas están paradas frente a una actuación en la calle.</v>
      </c>
    </row>
    <row r="36569">
      <c r="A36569" s="4" t="s">
        <v>45994</v>
      </c>
      <c r="B36569" s="4" t="s">
        <v>45996</v>
      </c>
      <c r="C36569" s="5" t="str">
        <f>IFERROR(__xludf.DUMMYFUNCTION("GOOGLETRANSLATE(B36569,""en"",""es-ES"")"),"Vemos a un grupo de personas cuando dos usan una cuerda de salto.")</f>
        <v>Vemos a un grupo de personas cuando dos usan una cuerda de salto.</v>
      </c>
    </row>
    <row r="36570">
      <c r="A36570" s="4" t="s">
        <v>45994</v>
      </c>
      <c r="B36570" s="4" t="s">
        <v>45997</v>
      </c>
      <c r="C36570" s="5" t="str">
        <f>IFERROR(__xludf.DUMMYFUNCTION("GOOGLETRANSLATE(B36570,""en"",""es-ES"")"),"Varios otros saltan, saltando sobre la cuerda, volteando y haciendo acrobacias.")</f>
        <v>Varios otros saltan, saltando sobre la cuerda, volteando y haciendo acrobacias.</v>
      </c>
    </row>
    <row r="36571">
      <c r="A36571" s="4" t="s">
        <v>45998</v>
      </c>
      <c r="B36571" s="4" t="s">
        <v>45999</v>
      </c>
      <c r="C36571" s="5" t="str">
        <f>IFERROR(__xludf.DUMMYFUNCTION("GOOGLETRANSLATE(B36571,""en"",""es-ES"")"),"Un hombre se aleja de un escritorio.")</f>
        <v>Un hombre se aleja de un escritorio.</v>
      </c>
    </row>
    <row r="36572">
      <c r="A36572" s="4" t="s">
        <v>45998</v>
      </c>
      <c r="B36572" s="4" t="s">
        <v>46000</v>
      </c>
      <c r="C36572" s="5" t="str">
        <f>IFERROR(__xludf.DUMMYFUNCTION("GOOGLETRANSLATE(B36572,""en"",""es-ES"")"),"El hombre aplica su guante a su mano izquierda.")</f>
        <v>El hombre aplica su guante a su mano izquierda.</v>
      </c>
    </row>
    <row r="36573">
      <c r="A36573" s="4" t="s">
        <v>45998</v>
      </c>
      <c r="B36573" s="4" t="s">
        <v>46001</v>
      </c>
      <c r="C36573" s="5" t="str">
        <f>IFERROR(__xludf.DUMMYFUNCTION("GOOGLETRANSLATE(B36573,""en"",""es-ES"")"),"El hombre golpea un metal con un soldador.")</f>
        <v>El hombre golpea un metal con un soldador.</v>
      </c>
    </row>
    <row r="36574">
      <c r="A36574" s="4" t="s">
        <v>45998</v>
      </c>
      <c r="B36574" s="4" t="s">
        <v>46002</v>
      </c>
      <c r="C36574" s="5" t="str">
        <f>IFERROR(__xludf.DUMMYFUNCTION("GOOGLETRANSLATE(B36574,""en"",""es-ES"")"),"El hombre soldados en la pieza de metal.")</f>
        <v>El hombre soldados en la pieza de metal.</v>
      </c>
    </row>
    <row r="36575">
      <c r="A36575" s="4" t="s">
        <v>45998</v>
      </c>
      <c r="B36575" s="4" t="s">
        <v>46003</v>
      </c>
      <c r="C36575" s="5" t="str">
        <f>IFERROR(__xludf.DUMMYFUNCTION("GOOGLETRANSLATE(B36575,""en"",""es-ES"")"),"El hombre deja de soldar el metal.")</f>
        <v>El hombre deja de soldar el metal.</v>
      </c>
    </row>
    <row r="36576">
      <c r="A36576" s="4" t="s">
        <v>45998</v>
      </c>
      <c r="B36576" s="4" t="s">
        <v>46004</v>
      </c>
      <c r="C36576" s="5" t="str">
        <f>IFERROR(__xludf.DUMMYFUNCTION("GOOGLETRANSLATE(B36576,""en"",""es-ES"")"),"El hombre se quita el guante y quita el humo de la pieza de metal.")</f>
        <v>El hombre se quita el guante y quita el humo de la pieza de metal.</v>
      </c>
    </row>
    <row r="36577">
      <c r="A36577" s="4" t="s">
        <v>46005</v>
      </c>
      <c r="B36577" s="4" t="s">
        <v>46006</v>
      </c>
      <c r="C36577" s="5" t="str">
        <f>IFERROR(__xludf.DUMMYFUNCTION("GOOGLETRANSLATE(B36577,""en"",""es-ES"")"),"Un hombre que usa pantalones negros, una camisa a cuadros y una gorra de béisbol recorta un seto verde oscuro con un recortador de seto eléctrico.")</f>
        <v>Un hombre que usa pantalones negros, una camisa a cuadros y una gorra de béisbol recorta un seto verde oscuro con un recortador de seto eléctrico.</v>
      </c>
    </row>
    <row r="36578">
      <c r="A36578" s="4" t="s">
        <v>46005</v>
      </c>
      <c r="B36578" s="4" t="s">
        <v>46007</v>
      </c>
      <c r="C36578" s="5" t="str">
        <f>IFERROR(__xludf.DUMMYFUNCTION("GOOGLETRANSLATE(B36578,""en"",""es-ES"")"),"El hombre recorta un seto verde claro más pequeño con el recortador.")</f>
        <v>El hombre recorta un seto verde claro más pequeño con el recortador.</v>
      </c>
    </row>
    <row r="36579">
      <c r="A36579" s="4" t="s">
        <v>46005</v>
      </c>
      <c r="B36579" s="4" t="s">
        <v>46008</v>
      </c>
      <c r="C36579" s="5" t="str">
        <f>IFERROR(__xludf.DUMMYFUNCTION("GOOGLETRANSLATE(B36579,""en"",""es-ES"")"),"El hombre recorta otro seto con recortador.")</f>
        <v>El hombre recorta otro seto con recortador.</v>
      </c>
    </row>
    <row r="36580">
      <c r="A36580" s="4" t="s">
        <v>46005</v>
      </c>
      <c r="B36580" s="4" t="s">
        <v>46009</v>
      </c>
      <c r="C36580" s="5" t="str">
        <f>IFERROR(__xludf.DUMMYFUNCTION("GOOGLETRANSLATE(B36580,""en"",""es-ES"")"),"La escena se acelera y contiene ruidos ambientales.")</f>
        <v>La escena se acelera y contiene ruidos ambientales.</v>
      </c>
    </row>
    <row r="36581">
      <c r="A36581" s="4" t="s">
        <v>46010</v>
      </c>
      <c r="B36581" s="4" t="s">
        <v>46011</v>
      </c>
      <c r="C36581" s="5" t="str">
        <f>IFERROR(__xludf.DUMMYFUNCTION("GOOGLETRANSLATE(B36581,""en"",""es-ES"")"),"Se ve a un hombre hablando con la cámara en interiores y al aire libre.")</f>
        <v>Se ve a un hombre hablando con la cámara en interiores y al aire libre.</v>
      </c>
    </row>
    <row r="36582">
      <c r="A36582" s="4" t="s">
        <v>46010</v>
      </c>
      <c r="B36582" s="4" t="s">
        <v>46012</v>
      </c>
      <c r="C36582" s="5" t="str">
        <f>IFERROR(__xludf.DUMMYFUNCTION("GOOGLETRANSLATE(B36582,""en"",""es-ES"")"),"Señala varios objetos mientras conduce a la suciedad que se muestra y el yeso.")</f>
        <v>Señala varios objetos mientras conduce a la suciedad que se muestra y el yeso.</v>
      </c>
    </row>
    <row r="36583">
      <c r="A36583" s="4" t="s">
        <v>46010</v>
      </c>
      <c r="B36583" s="4" t="s">
        <v>46013</v>
      </c>
      <c r="C36583" s="5" t="str">
        <f>IFERROR(__xludf.DUMMYFUNCTION("GOOGLETRANSLATE(B36583,""en"",""es-ES"")"),"Se ve a las personas poniendo yeso en todas las paredes mientras el hombre continúa hablando.")</f>
        <v>Se ve a las personas poniendo yeso en todas las paredes mientras el hombre continúa hablando.</v>
      </c>
    </row>
    <row r="36584">
      <c r="A36584" s="4" t="s">
        <v>46014</v>
      </c>
      <c r="B36584" s="4" t="s">
        <v>46015</v>
      </c>
      <c r="C36584" s="5" t="str">
        <f>IFERROR(__xludf.DUMMYFUNCTION("GOOGLETRANSLATE(B36584,""en"",""es-ES"")"),"Hay un entrenador de fitness que representa el fitness Fitcast en un gimnasio que demuestra cómo hacer una alta prensa de pala.")</f>
        <v>Hay un entrenador de fitness que representa el fitness Fitcast en un gimnasio que demuestra cómo hacer una alta prensa de pala.</v>
      </c>
    </row>
    <row r="36585">
      <c r="A36585" s="4" t="s">
        <v>46014</v>
      </c>
      <c r="B36585" s="4" t="s">
        <v>46016</v>
      </c>
      <c r="C36585" s="5" t="str">
        <f>IFERROR(__xludf.DUMMYFUNCTION("GOOGLETRANSLATE(B36585,""en"",""es-ES"")"),"Está arrodillado en el piso con una camisa negra y pantalones de sudor gris.")</f>
        <v>Está arrodillado en el piso con una camisa negra y pantalones de sudor gris.</v>
      </c>
    </row>
    <row r="36586">
      <c r="A36586" s="4" t="s">
        <v>46014</v>
      </c>
      <c r="B36586" s="4" t="s">
        <v>46017</v>
      </c>
      <c r="C36586" s="5" t="str">
        <f>IFERROR(__xludf.DUMMYFUNCTION("GOOGLETRANSLATE(B36586,""en"",""es-ES"")"),"Está tirando de las manijas de la prensa de paleo con ambas manos hacia su pecho mientras mantiene la espalda y los hombros rectos.")</f>
        <v>Está tirando de las manijas de la prensa de paleo con ambas manos hacia su pecho mientras mantiene la espalda y los hombros rectos.</v>
      </c>
    </row>
    <row r="36587">
      <c r="A36587" s="4" t="s">
        <v>46018</v>
      </c>
      <c r="B36587" s="4" t="s">
        <v>46019</v>
      </c>
      <c r="C36587" s="5" t="str">
        <f>IFERROR(__xludf.DUMMYFUNCTION("GOOGLETRANSLATE(B36587,""en"",""es-ES"")"),"Un hombre en un garaje se encuentra sobre un tablón de madera.")</f>
        <v>Un hombre en un garaje se encuentra sobre un tablón de madera.</v>
      </c>
    </row>
    <row r="36588">
      <c r="A36588" s="4" t="s">
        <v>46018</v>
      </c>
      <c r="B36588" s="4" t="s">
        <v>46020</v>
      </c>
      <c r="C36588" s="5" t="str">
        <f>IFERROR(__xludf.DUMMYFUNCTION("GOOGLETRANSLATE(B36588,""en"",""es-ES"")"),"El hombre toma un poco de pasta blanca de una lata, le agrega algo de coloración y la mezcla.")</f>
        <v>El hombre toma un poco de pasta blanca de una lata, le agrega algo de coloración y la mezcla.</v>
      </c>
    </row>
    <row r="36589">
      <c r="A36589" s="4" t="s">
        <v>46018</v>
      </c>
      <c r="B36589" s="4" t="s">
        <v>46021</v>
      </c>
      <c r="C36589" s="5" t="str">
        <f>IFERROR(__xludf.DUMMYFUNCTION("GOOGLETRANSLATE(B36589,""en"",""es-ES"")"),"El hombre aplica la pasta de color marrón a los agujeros en la madera.")</f>
        <v>El hombre aplica la pasta de color marrón a los agujeros en la madera.</v>
      </c>
    </row>
    <row r="36590">
      <c r="A36590" s="4" t="s">
        <v>46022</v>
      </c>
      <c r="B36590" s="4" t="s">
        <v>46023</v>
      </c>
      <c r="C36590" s="5" t="str">
        <f>IFERROR(__xludf.DUMMYFUNCTION("GOOGLETRANSLATE(B36590,""en"",""es-ES"")"),"Se muestra una foto de alfileres sentado en un carril seguido de un hombre que camina hacia el marco.")</f>
        <v>Se muestra una foto de alfileres sentado en un carril seguido de un hombre que camina hacia el marco.</v>
      </c>
    </row>
    <row r="36591">
      <c r="A36591" s="4" t="s">
        <v>46022</v>
      </c>
      <c r="B36591" s="4" t="s">
        <v>46024</v>
      </c>
      <c r="C36591" s="5" t="str">
        <f>IFERROR(__xludf.DUMMYFUNCTION("GOOGLETRANSLATE(B36591,""en"",""es-ES"")"),"El hombre gira una pelota para dar la vuelta a los alfileres para golpear más al final.")</f>
        <v>El hombre gira una pelota para dar la vuelta a los alfileres para golpear más al final.</v>
      </c>
    </row>
    <row r="36592">
      <c r="A36592" s="4" t="s">
        <v>46022</v>
      </c>
      <c r="B36592" s="4" t="s">
        <v>46025</v>
      </c>
      <c r="C36592" s="5" t="str">
        <f>IFERROR(__xludf.DUMMYFUNCTION("GOOGLETRANSLATE(B36592,""en"",""es-ES"")"),"La persona gira otra pelota que se sigue poco después.")</f>
        <v>La persona gira otra pelota que se sigue poco después.</v>
      </c>
    </row>
    <row r="36593">
      <c r="A36593" s="4" t="s">
        <v>46026</v>
      </c>
      <c r="B36593" s="4" t="s">
        <v>46027</v>
      </c>
      <c r="C36593" s="5" t="str">
        <f>IFERROR(__xludf.DUMMYFUNCTION("GOOGLETRANSLATE(B36593,""en"",""es-ES"")"),"Una mujer que lleva un delantal está hablando y recoge un cubo con suministros.")</f>
        <v>Una mujer que lleva un delantal está hablando y recoge un cubo con suministros.</v>
      </c>
    </row>
    <row r="36594">
      <c r="A36594" s="4" t="s">
        <v>46026</v>
      </c>
      <c r="B36594" s="4" t="s">
        <v>46028</v>
      </c>
      <c r="C36594" s="5" t="str">
        <f>IFERROR(__xludf.DUMMYFUNCTION("GOOGLETRANSLATE(B36594,""en"",""es-ES"")"),"Ella agarra un cepillo y limpia una ventana.")</f>
        <v>Ella agarra un cepillo y limpia una ventana.</v>
      </c>
    </row>
    <row r="36595">
      <c r="A36595" s="4" t="s">
        <v>46026</v>
      </c>
      <c r="B36595" s="4" t="s">
        <v>46029</v>
      </c>
      <c r="C36595" s="5" t="str">
        <f>IFERROR(__xludf.DUMMYFUNCTION("GOOGLETRANSLATE(B36595,""en"",""es-ES"")"),"Ella agarra una escobilla y elimina el exceso de agua de la ventana.")</f>
        <v>Ella agarra una escobilla y elimina el exceso de agua de la ventana.</v>
      </c>
    </row>
    <row r="36596">
      <c r="A36596" s="4" t="s">
        <v>46030</v>
      </c>
      <c r="B36596" s="4" t="s">
        <v>9910</v>
      </c>
      <c r="C36596" s="5" t="str">
        <f>IFERROR(__xludf.DUMMYFUNCTION("GOOGLETRANSLATE(B36596,""en"",""es-ES"")"),"Un hombre salta a un rayo de equilibrio.")</f>
        <v>Un hombre salta a un rayo de equilibrio.</v>
      </c>
    </row>
    <row r="36597">
      <c r="A36597" s="4" t="s">
        <v>46030</v>
      </c>
      <c r="B36597" s="4" t="s">
        <v>46031</v>
      </c>
      <c r="C36597" s="5" t="str">
        <f>IFERROR(__xludf.DUMMYFUNCTION("GOOGLETRANSLATE(B36597,""en"",""es-ES"")"),"Hace una rutina de gimnasia en la viga.")</f>
        <v>Hace una rutina de gimnasia en la viga.</v>
      </c>
    </row>
    <row r="36598">
      <c r="A36598" s="4" t="s">
        <v>46030</v>
      </c>
      <c r="B36598" s="4" t="s">
        <v>46032</v>
      </c>
      <c r="C36598" s="5" t="str">
        <f>IFERROR(__xludf.DUMMYFUNCTION("GOOGLETRANSLATE(B36598,""en"",""es-ES"")"),"Él hace un soporte de mano antes de saltar sobre una estera.")</f>
        <v>Él hace un soporte de mano antes de saltar sobre una estera.</v>
      </c>
    </row>
    <row r="36599">
      <c r="A36599" s="4" t="s">
        <v>46033</v>
      </c>
      <c r="B36599" s="4" t="s">
        <v>46034</v>
      </c>
      <c r="C36599" s="5" t="str">
        <f>IFERROR(__xludf.DUMMYFUNCTION("GOOGLETRANSLATE(B36599,""en"",""es-ES"")"),"Un hombre sopla hojas muertas de un patio trasero.")</f>
        <v>Un hombre sopla hojas muertas de un patio trasero.</v>
      </c>
    </row>
    <row r="36600">
      <c r="A36600" s="4" t="s">
        <v>46033</v>
      </c>
      <c r="B36600" s="4" t="s">
        <v>46035</v>
      </c>
      <c r="C36600" s="5" t="str">
        <f>IFERROR(__xludf.DUMMYFUNCTION("GOOGLETRANSLATE(B36600,""en"",""es-ES"")"),"Una persona hace un montón de hojas muertas.")</f>
        <v>Una persona hace un montón de hojas muertas.</v>
      </c>
    </row>
    <row r="36601">
      <c r="A36601" s="4" t="s">
        <v>46036</v>
      </c>
      <c r="B36601" s="4" t="s">
        <v>46037</v>
      </c>
      <c r="C36601" s="5" t="str">
        <f>IFERROR(__xludf.DUMMYFUNCTION("GOOGLETRANSLATE(B36601,""en"",""es-ES"")"),"Un hombre sostiene una gran cometa en un gran campo.")</f>
        <v>Un hombre sostiene una gran cometa en un gran campo.</v>
      </c>
    </row>
    <row r="36602">
      <c r="A36602" s="4" t="s">
        <v>46036</v>
      </c>
      <c r="B36602" s="4" t="s">
        <v>46038</v>
      </c>
      <c r="C36602" s="5" t="str">
        <f>IFERROR(__xludf.DUMMYFUNCTION("GOOGLETRANSLATE(B36602,""en"",""es-ES"")"),"Un perro persigue al hombre mientras corre y salta.")</f>
        <v>Un perro persigue al hombre mientras corre y salta.</v>
      </c>
    </row>
    <row r="36603">
      <c r="A36603" s="4" t="s">
        <v>46036</v>
      </c>
      <c r="B36603" s="4" t="s">
        <v>46039</v>
      </c>
      <c r="C36603" s="5" t="str">
        <f>IFERROR(__xludf.DUMMYFUNCTION("GOOGLETRANSLATE(B36603,""en"",""es-ES"")"),"El hombre trae la cometa al suelo.")</f>
        <v>El hombre trae la cometa al suelo.</v>
      </c>
    </row>
    <row r="36604">
      <c r="A36604" s="4" t="s">
        <v>46040</v>
      </c>
      <c r="B36604" s="4" t="s">
        <v>46041</v>
      </c>
      <c r="C36604" s="5" t="str">
        <f>IFERROR(__xludf.DUMMYFUNCTION("GOOGLETRANSLATE(B36604,""en"",""es-ES"")"),"Un hombre está vertiendo algo en una gran fuego de campamento.")</f>
        <v>Un hombre está vertiendo algo en una gran fuego de campamento.</v>
      </c>
    </row>
    <row r="36605">
      <c r="A36605" s="4" t="s">
        <v>46040</v>
      </c>
      <c r="B36605" s="4" t="s">
        <v>46042</v>
      </c>
      <c r="C36605" s="5" t="str">
        <f>IFERROR(__xludf.DUMMYFUNCTION("GOOGLETRANSLATE(B36605,""en"",""es-ES"")"),"Un perro camina por el campamento.")</f>
        <v>Un perro camina por el campamento.</v>
      </c>
    </row>
    <row r="36606">
      <c r="A36606" s="4" t="s">
        <v>46040</v>
      </c>
      <c r="B36606" s="4" t="s">
        <v>46043</v>
      </c>
      <c r="C36606" s="5" t="str">
        <f>IFERROR(__xludf.DUMMYFUNCTION("GOOGLETRANSLATE(B36606,""en"",""es-ES"")"),"Una persona con una camisa amarilla que sostiene una manta camina alrededor del fuego.")</f>
        <v>Una persona con una camisa amarilla que sostiene una manta camina alrededor del fuego.</v>
      </c>
    </row>
    <row r="36607">
      <c r="A36607" s="4" t="s">
        <v>46044</v>
      </c>
      <c r="B36607" s="4" t="s">
        <v>46045</v>
      </c>
      <c r="C36607" s="5" t="str">
        <f>IFERROR(__xludf.DUMMYFUNCTION("GOOGLETRANSLATE(B36607,""en"",""es-ES"")"),"Una chica con un atuendo brillante baila en un piso de madera.")</f>
        <v>Una chica con un atuendo brillante baila en un piso de madera.</v>
      </c>
    </row>
    <row r="36608">
      <c r="A36608" s="4" t="s">
        <v>46044</v>
      </c>
      <c r="B36608" s="4" t="s">
        <v>46046</v>
      </c>
      <c r="C36608" s="5" t="str">
        <f>IFERROR(__xludf.DUMMYFUNCTION("GOOGLETRANSLATE(B36608,""en"",""es-ES"")"),"Ella saca bastones y los gira mientras baila.")</f>
        <v>Ella saca bastones y los gira mientras baila.</v>
      </c>
    </row>
    <row r="36609">
      <c r="A36609" s="4" t="s">
        <v>46044</v>
      </c>
      <c r="B36609" s="4" t="s">
        <v>46047</v>
      </c>
      <c r="C36609" s="5" t="str">
        <f>IFERROR(__xludf.DUMMYFUNCTION("GOOGLETRANSLATE(B36609,""en"",""es-ES"")"),"Ella se sienta en el suelo después de terminar su actuación.")</f>
        <v>Ella se sienta en el suelo después de terminar su actuación.</v>
      </c>
    </row>
    <row r="36610">
      <c r="A36610" s="4" t="s">
        <v>46048</v>
      </c>
      <c r="B36610" s="4" t="s">
        <v>6958</v>
      </c>
      <c r="C36610" s="5" t="str">
        <f>IFERROR(__xludf.DUMMYFUNCTION("GOOGLETRANSLATE(B36610,""en"",""es-ES"")"),"Vemos una pantalla de apertura blanca.")</f>
        <v>Vemos una pantalla de apertura blanca.</v>
      </c>
    </row>
    <row r="36611">
      <c r="A36611" s="4" t="s">
        <v>46048</v>
      </c>
      <c r="B36611" s="4" t="s">
        <v>46049</v>
      </c>
      <c r="C36611" s="5" t="str">
        <f>IFERROR(__xludf.DUMMYFUNCTION("GOOGLETRANSLATE(B36611,""en"",""es-ES"")"),"Vemos a un hombre sumergir un baloncesto con zancos de salto.")</f>
        <v>Vemos a un hombre sumergir un baloncesto con zancos de salto.</v>
      </c>
    </row>
    <row r="36612">
      <c r="A36612" s="4" t="s">
        <v>46048</v>
      </c>
      <c r="B36612" s="4" t="s">
        <v>46050</v>
      </c>
      <c r="C36612" s="5" t="str">
        <f>IFERROR(__xludf.DUMMYFUNCTION("GOOGLETRANSLATE(B36612,""en"",""es-ES"")"),"Vemos a otro hombre rebotar la pelota y el hombre de salto se sumerge nuevamente.")</f>
        <v>Vemos a otro hombre rebotar la pelota y el hombre de salto se sumerge nuevamente.</v>
      </c>
    </row>
    <row r="36613">
      <c r="A36613" s="4" t="s">
        <v>46048</v>
      </c>
      <c r="B36613" s="4" t="s">
        <v>46051</v>
      </c>
      <c r="C36613" s="5" t="str">
        <f>IFERROR(__xludf.DUMMYFUNCTION("GOOGLETRANSLATE(B36613,""en"",""es-ES"")"),"Luego vemos la pantalla de apertura para el cierre.")</f>
        <v>Luego vemos la pantalla de apertura para el cierre.</v>
      </c>
    </row>
    <row r="36614">
      <c r="A36614" s="4" t="s">
        <v>46052</v>
      </c>
      <c r="B36614" s="4" t="s">
        <v>46053</v>
      </c>
      <c r="C36614" s="5" t="str">
        <f>IFERROR(__xludf.DUMMYFUNCTION("GOOGLETRANSLATE(B36614,""en"",""es-ES"")"),"Un grupo de animadoras corre hacia un escenario antes de una audiencia que viene.")</f>
        <v>Un grupo de animadoras corre hacia un escenario antes de una audiencia que viene.</v>
      </c>
    </row>
    <row r="36615">
      <c r="A36615" s="4" t="s">
        <v>46052</v>
      </c>
      <c r="B36615" s="4" t="s">
        <v>46054</v>
      </c>
      <c r="C36615" s="5" t="str">
        <f>IFERROR(__xludf.DUMMYFUNCTION("GOOGLETRANSLATE(B36615,""en"",""es-ES"")"),"Se forman en formación, luego comienzan a bailar y voltear mientras las animadoras masculinas se unen a ellos.")</f>
        <v>Se forman en formación, luego comienzan a bailar y voltear mientras las animadoras masculinas se unen a ellos.</v>
      </c>
    </row>
    <row r="36616">
      <c r="A36616" s="4" t="s">
        <v>46052</v>
      </c>
      <c r="B36616" s="4" t="s">
        <v>46055</v>
      </c>
      <c r="C36616" s="5" t="str">
        <f>IFERROR(__xludf.DUMMYFUNCTION("GOOGLETRANSLATE(B36616,""en"",""es-ES"")"),"Todos continúan bailando y volteando, haciendo manantiales a mano.")</f>
        <v>Todos continúan bailando y volteando, haciendo manantiales a mano.</v>
      </c>
    </row>
    <row r="36617">
      <c r="A36617" s="4" t="s">
        <v>46052</v>
      </c>
      <c r="B36617" s="4" t="s">
        <v>46056</v>
      </c>
      <c r="C36617" s="5" t="str">
        <f>IFERROR(__xludf.DUMMYFUNCTION("GOOGLETRANSLATE(B36617,""en"",""es-ES"")"),"Cuando hayan terminado, saltan hacia arriba y hacia abajo felizmente y salen del escenario, exhausto.")</f>
        <v>Cuando hayan terminado, saltan hacia arriba y hacia abajo felizmente y salen del escenario, exhausto.</v>
      </c>
    </row>
    <row r="36618">
      <c r="A36618" s="4" t="s">
        <v>46057</v>
      </c>
      <c r="B36618" s="4" t="s">
        <v>46058</v>
      </c>
      <c r="C36618" s="5" t="str">
        <f>IFERROR(__xludf.DUMMYFUNCTION("GOOGLETRANSLATE(B36618,""en"",""es-ES"")"),"Un hombre levanta a una niña para llegar al fregadero en un baño.")</f>
        <v>Un hombre levanta a una niña para llegar al fregadero en un baño.</v>
      </c>
    </row>
    <row r="36619">
      <c r="A36619" s="4" t="s">
        <v>46057</v>
      </c>
      <c r="B36619" s="4" t="s">
        <v>46059</v>
      </c>
      <c r="C36619" s="5" t="str">
        <f>IFERROR(__xludf.DUMMYFUNCTION("GOOGLETRANSLATE(B36619,""en"",""es-ES"")"),"Tanto el hombre como la niña alcanzan su cepillo de dientes y agregan pasta de dientes al mismo tiempo.")</f>
        <v>Tanto el hombre como la niña alcanzan su cepillo de dientes y agregan pasta de dientes al mismo tiempo.</v>
      </c>
    </row>
    <row r="36620">
      <c r="A36620" s="4" t="s">
        <v>46057</v>
      </c>
      <c r="B36620" s="4" t="s">
        <v>46060</v>
      </c>
      <c r="C36620" s="5" t="str">
        <f>IFERROR(__xludf.DUMMYFUNCTION("GOOGLETRANSLATE(B36620,""en"",""es-ES"")"),"Se miran juntos en el espejo mientras el hombre muestra a la niña cómo cepillarse los dientes correctamente.")</f>
        <v>Se miran juntos en el espejo mientras el hombre muestra a la niña cómo cepillarse los dientes correctamente.</v>
      </c>
    </row>
    <row r="36621">
      <c r="A36621" s="4" t="s">
        <v>46057</v>
      </c>
      <c r="B36621" s="4" t="s">
        <v>46061</v>
      </c>
      <c r="C36621" s="5" t="str">
        <f>IFERROR(__xludf.DUMMYFUNCTION("GOOGLETRANSLATE(B36621,""en"",""es-ES"")"),"Enjuagan y sonríen ante sus dientes limpios en el espejo.")</f>
        <v>Enjuagan y sonríen ante sus dientes limpios en el espejo.</v>
      </c>
    </row>
    <row r="36622">
      <c r="A36622" s="4" t="s">
        <v>46057</v>
      </c>
      <c r="B36622" s="4" t="s">
        <v>46062</v>
      </c>
      <c r="C36622" s="5" t="str">
        <f>IFERROR(__xludf.DUMMYFUNCTION("GOOGLETRANSLATE(B36622,""en"",""es-ES"")"),"El hombre luego le enseña a la niña al hilo dental.")</f>
        <v>El hombre luego le enseña a la niña al hilo dental.</v>
      </c>
    </row>
    <row r="36623">
      <c r="A36623" s="4" t="s">
        <v>46057</v>
      </c>
      <c r="B36623" s="4" t="s">
        <v>46063</v>
      </c>
      <c r="C36623" s="5" t="str">
        <f>IFERROR(__xludf.DUMMYFUNCTION("GOOGLETRANSLATE(B36623,""en"",""es-ES"")"),"Guardaron sus cepillos de dientes y el hombre ayuda a la niña a regresar al suelo.")</f>
        <v>Guardaron sus cepillos de dientes y el hombre ayuda a la niña a regresar al suelo.</v>
      </c>
    </row>
    <row r="36624">
      <c r="A36624" s="4" t="s">
        <v>46057</v>
      </c>
      <c r="B36624" s="4" t="s">
        <v>46064</v>
      </c>
      <c r="C36624" s="5" t="str">
        <f>IFERROR(__xludf.DUMMYFUNCTION("GOOGLETRANSLATE(B36624,""en"",""es-ES"")"),"Se alejan juntos y apagan la luz del baño.")</f>
        <v>Se alejan juntos y apagan la luz del baño.</v>
      </c>
    </row>
    <row r="36625">
      <c r="A36625" s="4" t="s">
        <v>46065</v>
      </c>
      <c r="B36625" s="4" t="s">
        <v>46066</v>
      </c>
      <c r="C36625" s="5" t="str">
        <f>IFERROR(__xludf.DUMMYFUNCTION("GOOGLETRANSLATE(B36625,""en"",""es-ES"")"),"Un hombre con una camisa negra sonríe a la cámara.")</f>
        <v>Un hombre con una camisa negra sonríe a la cámara.</v>
      </c>
    </row>
    <row r="36626">
      <c r="A36626" s="4" t="s">
        <v>46065</v>
      </c>
      <c r="B36626" s="4" t="s">
        <v>46067</v>
      </c>
      <c r="C36626" s="5" t="str">
        <f>IFERROR(__xludf.DUMMYFUNCTION("GOOGLETRANSLATE(B36626,""en"",""es-ES"")"),"Él saca una armónica y comienza a jugarla.")</f>
        <v>Él saca una armónica y comienza a jugarla.</v>
      </c>
    </row>
    <row r="36627">
      <c r="A36627" s="4" t="s">
        <v>46065</v>
      </c>
      <c r="B36627" s="4" t="s">
        <v>46068</v>
      </c>
      <c r="C36627" s="5" t="str">
        <f>IFERROR(__xludf.DUMMYFUNCTION("GOOGLETRANSLATE(B36627,""en"",""es-ES"")"),"Él usa su mano para acentuar las notas.")</f>
        <v>Él usa su mano para acentuar las notas.</v>
      </c>
    </row>
    <row r="36628">
      <c r="A36628" s="4" t="s">
        <v>46065</v>
      </c>
      <c r="B36628" s="4" t="s">
        <v>46069</v>
      </c>
      <c r="C36628" s="5" t="str">
        <f>IFERROR(__xludf.DUMMYFUNCTION("GOOGLETRANSLATE(B36628,""en"",""es-ES"")"),"Termina la canción al final.")</f>
        <v>Termina la canción al final.</v>
      </c>
    </row>
    <row r="36629">
      <c r="A36629" s="4" t="s">
        <v>46070</v>
      </c>
      <c r="B36629" s="4" t="s">
        <v>46071</v>
      </c>
      <c r="C36629" s="5" t="str">
        <f>IFERROR(__xludf.DUMMYFUNCTION("GOOGLETRANSLATE(B36629,""en"",""es-ES"")"),"Se muestra una arena de automóviles de parachoques seguida de personas que conducen y se topan entre sí.")</f>
        <v>Se muestra una arena de automóviles de parachoques seguida de personas que conducen y se topan entre sí.</v>
      </c>
    </row>
    <row r="36630">
      <c r="A36630" s="4" t="s">
        <v>46070</v>
      </c>
      <c r="B36630" s="4" t="s">
        <v>46072</v>
      </c>
      <c r="C36630" s="5" t="str">
        <f>IFERROR(__xludf.DUMMYFUNCTION("GOOGLETRANSLATE(B36630,""en"",""es-ES"")"),"Se muestran varias tomas de personas que se estrellan entre sí y un hombre que habla con la cámara al final.")</f>
        <v>Se muestran varias tomas de personas que se estrellan entre sí y un hombre que habla con la cámara al final.</v>
      </c>
    </row>
    <row r="36631">
      <c r="A36631" s="4" t="s">
        <v>46073</v>
      </c>
      <c r="B36631" s="4" t="s">
        <v>46074</v>
      </c>
      <c r="C36631" s="5" t="str">
        <f>IFERROR(__xludf.DUMMYFUNCTION("GOOGLETRANSLATE(B36631,""en"",""es-ES"")"),"Una persona viaja dentro de un bote en el agua.")</f>
        <v>Una persona viaja dentro de un bote en el agua.</v>
      </c>
    </row>
    <row r="36632">
      <c r="A36632" s="4" t="s">
        <v>46073</v>
      </c>
      <c r="B36632" s="4" t="s">
        <v>46075</v>
      </c>
      <c r="C36632" s="5" t="str">
        <f>IFERROR(__xludf.DUMMYFUNCTION("GOOGLETRANSLATE(B36632,""en"",""es-ES"")"),"Están arrastrando a una persona en esquís acuáticos.")</f>
        <v>Están arrastrando a una persona en esquís acuáticos.</v>
      </c>
    </row>
    <row r="36633">
      <c r="A36633" s="4" t="s">
        <v>46073</v>
      </c>
      <c r="B36633" s="4" t="s">
        <v>46076</v>
      </c>
      <c r="C36633" s="5" t="str">
        <f>IFERROR(__xludf.DUMMYFUNCTION("GOOGLETRANSLATE(B36633,""en"",""es-ES"")"),"La persona se mantiene en posición vertical mientras se tiran rápidamente a través del agua.")</f>
        <v>La persona se mantiene en posición vertical mientras se tiran rápidamente a través del agua.</v>
      </c>
    </row>
    <row r="36634">
      <c r="A36634" s="4" t="s">
        <v>46077</v>
      </c>
      <c r="B36634" s="4" t="s">
        <v>46078</v>
      </c>
      <c r="C36634" s="5" t="str">
        <f>IFERROR(__xludf.DUMMYFUNCTION("GOOGLETRANSLATE(B36634,""en"",""es-ES"")"),"Una niña se balancea en bares de mono en un patio de recreo al aire libre.")</f>
        <v>Una niña se balancea en bares de mono en un patio de recreo al aire libre.</v>
      </c>
    </row>
    <row r="36635">
      <c r="A36635" s="4" t="s">
        <v>46077</v>
      </c>
      <c r="B36635" s="4" t="s">
        <v>46079</v>
      </c>
      <c r="C36635" s="5" t="str">
        <f>IFERROR(__xludf.DUMMYFUNCTION("GOOGLETRANSLATE(B36635,""en"",""es-ES"")"),"La niña pierde un bar de monos y luego pierde su agarre y cae al suelo.")</f>
        <v>La niña pierde un bar de monos y luego pierde su agarre y cae al suelo.</v>
      </c>
    </row>
    <row r="36636">
      <c r="A36636" s="4" t="s">
        <v>46080</v>
      </c>
      <c r="B36636" s="4" t="s">
        <v>46081</v>
      </c>
      <c r="C36636" s="5" t="str">
        <f>IFERROR(__xludf.DUMMYFUNCTION("GOOGLETRANSLATE(B36636,""en"",""es-ES"")"),"La gente está sentada en gradas mirando a la gente.")</f>
        <v>La gente está sentada en gradas mirando a la gente.</v>
      </c>
    </row>
    <row r="36637">
      <c r="A36637" s="4" t="s">
        <v>46080</v>
      </c>
      <c r="B36637" s="4" t="s">
        <v>46082</v>
      </c>
      <c r="C36637" s="5" t="str">
        <f>IFERROR(__xludf.DUMMYFUNCTION("GOOGLETRANSLATE(B36637,""en"",""es-ES"")"),"La gente de la habitación está jugando a la pelota de pared.")</f>
        <v>La gente de la habitación está jugando a la pelota de pared.</v>
      </c>
    </row>
    <row r="36638">
      <c r="A36638" s="4" t="s">
        <v>46080</v>
      </c>
      <c r="B36638" s="4" t="s">
        <v>46083</v>
      </c>
      <c r="C36638" s="5" t="str">
        <f>IFERROR(__xludf.DUMMYFUNCTION("GOOGLETRANSLATE(B36638,""en"",""es-ES"")"),"Un hombre en las gradas le pone las manos en la cara.")</f>
        <v>Un hombre en las gradas le pone las manos en la cara.</v>
      </c>
    </row>
    <row r="36639">
      <c r="A36639" s="4" t="s">
        <v>46084</v>
      </c>
      <c r="B36639" s="4" t="s">
        <v>46085</v>
      </c>
      <c r="C36639" s="5" t="str">
        <f>IFERROR(__xludf.DUMMYFUNCTION("GOOGLETRANSLATE(B36639,""en"",""es-ES"")"),"Se ve a una mujer realizando una rutina de baile del vientre en una habitación oscura con una sola línea que se muestra en ella.")</f>
        <v>Se ve a una mujer realizando una rutina de baile del vientre en una habitación oscura con una sola línea que se muestra en ella.</v>
      </c>
    </row>
    <row r="36640">
      <c r="A36640" s="4" t="s">
        <v>46084</v>
      </c>
      <c r="B36640" s="4" t="s">
        <v>46086</v>
      </c>
      <c r="C36640" s="5" t="str">
        <f>IFERROR(__xludf.DUMMYFUNCTION("GOOGLETRANSLATE(B36640,""en"",""es-ES"")"),"Ella continúa bailando por la habitación y termina junto a la habitación oscura mientras gira.")</f>
        <v>Ella continúa bailando por la habitación y termina junto a la habitación oscura mientras gira.</v>
      </c>
    </row>
    <row r="36641">
      <c r="A36641" s="4" t="s">
        <v>46087</v>
      </c>
      <c r="B36641" s="4" t="s">
        <v>46088</v>
      </c>
      <c r="C36641" s="5" t="str">
        <f>IFERROR(__xludf.DUMMYFUNCTION("GOOGLETRANSLATE(B36641,""en"",""es-ES"")"),"Una mujer que lleva una camisa blanca está sentada con su gato blanco y negro en su regazo.")</f>
        <v>Una mujer que lleva una camisa blanca está sentada con su gato blanco y negro en su regazo.</v>
      </c>
    </row>
    <row r="36642">
      <c r="A36642" s="4" t="s">
        <v>46087</v>
      </c>
      <c r="B36642" s="4" t="s">
        <v>46089</v>
      </c>
      <c r="C36642" s="5" t="str">
        <f>IFERROR(__xludf.DUMMYFUNCTION("GOOGLETRANSLATE(B36642,""en"",""es-ES"")"),"Ella está recortando las uñas de los gatos sosteniendo las patas del gato en sus manos.")</f>
        <v>Ella está recortando las uñas de los gatos sosteniendo las patas del gato en sus manos.</v>
      </c>
    </row>
    <row r="36643">
      <c r="A36643" s="4" t="s">
        <v>46087</v>
      </c>
      <c r="B36643" s="4" t="s">
        <v>46090</v>
      </c>
      <c r="C36643" s="5" t="str">
        <f>IFERROR(__xludf.DUMMYFUNCTION("GOOGLETRANSLATE(B36643,""en"",""es-ES"")"),"Ella continúa recortando las uñas del gato una por una.")</f>
        <v>Ella continúa recortando las uñas del gato una por una.</v>
      </c>
    </row>
    <row r="36644">
      <c r="A36644" s="4" t="s">
        <v>46087</v>
      </c>
      <c r="B36644" s="4" t="s">
        <v>46091</v>
      </c>
      <c r="C36644" s="5" t="str">
        <f>IFERROR(__xludf.DUMMYFUNCTION("GOOGLETRANSLATE(B36644,""en"",""es-ES"")"),"Cuando termina, besa al gato.")</f>
        <v>Cuando termina, besa al gato.</v>
      </c>
    </row>
    <row r="36645">
      <c r="A36645" s="4" t="s">
        <v>46087</v>
      </c>
      <c r="B36645" s="4" t="s">
        <v>46092</v>
      </c>
      <c r="C36645" s="5" t="str">
        <f>IFERROR(__xludf.DUMMYFUNCTION("GOOGLETRANSLATE(B36645,""en"",""es-ES"")"),"Luego comienza a recortar las uñas de un gato marrón.")</f>
        <v>Luego comienza a recortar las uñas de un gato marrón.</v>
      </c>
    </row>
    <row r="36646">
      <c r="A36646" s="4" t="s">
        <v>46087</v>
      </c>
      <c r="B36646" s="4" t="s">
        <v>46093</v>
      </c>
      <c r="C36646" s="5" t="str">
        <f>IFERROR(__xludf.DUMMYFUNCTION("GOOGLETRANSLATE(B36646,""en"",""es-ES"")"),"El gato se sienta tranquilamente en su regazo mientras termina de cortar sus uñas.")</f>
        <v>El gato se sienta tranquilamente en su regazo mientras termina de cortar sus uñas.</v>
      </c>
    </row>
    <row r="36647">
      <c r="A36647" s="4" t="s">
        <v>46094</v>
      </c>
      <c r="B36647" s="4" t="s">
        <v>46095</v>
      </c>
      <c r="C36647" s="5" t="str">
        <f>IFERROR(__xludf.DUMMYFUNCTION("GOOGLETRANSLATE(B36647,""en"",""es-ES"")"),"Una persona pinta flores sobre un lienzo blanco con un pincel fino.")</f>
        <v>Una persona pinta flores sobre un lienzo blanco con un pincel fino.</v>
      </c>
    </row>
    <row r="36648">
      <c r="A36648" s="4" t="s">
        <v>46094</v>
      </c>
      <c r="B36648" s="4" t="s">
        <v>46096</v>
      </c>
      <c r="C36648" s="5" t="str">
        <f>IFERROR(__xludf.DUMMYFUNCTION("GOOGLETRANSLATE(B36648,""en"",""es-ES"")"),"La persona elimina la pintura de la mesa y muestra el producto terminado.")</f>
        <v>La persona elimina la pintura de la mesa y muestra el producto terminado.</v>
      </c>
    </row>
    <row r="36649">
      <c r="A36649" s="4" t="s">
        <v>46097</v>
      </c>
      <c r="B36649" s="4" t="s">
        <v>46098</v>
      </c>
      <c r="C36649" s="5" t="str">
        <f>IFERROR(__xludf.DUMMYFUNCTION("GOOGLETRANSLATE(B36649,""en"",""es-ES"")"),"La gente está jugando y nadando en una piscina.")</f>
        <v>La gente está jugando y nadando en una piscina.</v>
      </c>
    </row>
    <row r="36650">
      <c r="A36650" s="4" t="s">
        <v>46097</v>
      </c>
      <c r="B36650" s="4" t="s">
        <v>46099</v>
      </c>
      <c r="C36650" s="5" t="str">
        <f>IFERROR(__xludf.DUMMYFUNCTION("GOOGLETRANSLATE(B36650,""en"",""es-ES"")"),"Una niña hace una espalda con un tablero.")</f>
        <v>Una niña hace una espalda con un tablero.</v>
      </c>
    </row>
    <row r="36651">
      <c r="A36651" s="4" t="s">
        <v>46100</v>
      </c>
      <c r="B36651" s="4" t="s">
        <v>46101</v>
      </c>
      <c r="C36651" s="5" t="str">
        <f>IFERROR(__xludf.DUMMYFUNCTION("GOOGLETRANSLATE(B36651,""en"",""es-ES"")"),"Se ve a una persona llenando un fregadero con agua y sosteniendo un trapo en el agua.")</f>
        <v>Se ve a una persona llenando un fregadero con agua y sosteniendo un trapo en el agua.</v>
      </c>
    </row>
    <row r="36652">
      <c r="A36652" s="4" t="s">
        <v>46100</v>
      </c>
      <c r="B36652" s="4" t="s">
        <v>46102</v>
      </c>
      <c r="C36652" s="5" t="str">
        <f>IFERROR(__xludf.DUMMYFUNCTION("GOOGLETRANSLATE(B36652,""en"",""es-ES"")"),"Ella se frota por su rostro y lave con el trapo y sonríe en el espejo.")</f>
        <v>Ella se frota por su rostro y lave con el trapo y sonríe en el espejo.</v>
      </c>
    </row>
    <row r="36653">
      <c r="A36653" s="4" t="s">
        <v>46103</v>
      </c>
      <c r="B36653" s="4" t="s">
        <v>46104</v>
      </c>
      <c r="C36653" s="5" t="str">
        <f>IFERROR(__xludf.DUMMYFUNCTION("GOOGLETRANSLATE(B36653,""en"",""es-ES"")"),"Una persona se aferra a las manijas de una cometa volando por encima.")</f>
        <v>Una persona se aferra a las manijas de una cometa volando por encima.</v>
      </c>
    </row>
    <row r="36654">
      <c r="A36654" s="4" t="s">
        <v>46103</v>
      </c>
      <c r="B36654" s="4" t="s">
        <v>46105</v>
      </c>
      <c r="C36654" s="5" t="str">
        <f>IFERROR(__xludf.DUMMYFUNCTION("GOOGLETRANSLATE(B36654,""en"",""es-ES"")"),"La cometa cae cuando el viento disminuye.")</f>
        <v>La cometa cae cuando el viento disminuye.</v>
      </c>
    </row>
    <row r="36655">
      <c r="A36655" s="4" t="s">
        <v>46103</v>
      </c>
      <c r="B36655" s="4" t="s">
        <v>46106</v>
      </c>
      <c r="C36655" s="5" t="str">
        <f>IFERROR(__xludf.DUMMYFUNCTION("GOOGLETRANSLATE(B36655,""en"",""es-ES"")"),"La cometa sopla con fuerza en el aire cuando el viento vuelve a levantar el viento.")</f>
        <v>La cometa sopla con fuerza en el aire cuando el viento vuelve a levantar el viento.</v>
      </c>
    </row>
    <row r="36656">
      <c r="A36656" s="4" t="s">
        <v>46107</v>
      </c>
      <c r="B36656" s="4" t="s">
        <v>46108</v>
      </c>
      <c r="C36656" s="5" t="str">
        <f>IFERROR(__xludf.DUMMYFUNCTION("GOOGLETRANSLATE(B36656,""en"",""es-ES"")"),"Un hombre y una mujer bailan en un terreno de concreto por la noche bajo una luz de la calle.")</f>
        <v>Un hombre y una mujer bailan en un terreno de concreto por la noche bajo una luz de la calle.</v>
      </c>
    </row>
    <row r="36657">
      <c r="A36657" s="4" t="s">
        <v>46107</v>
      </c>
      <c r="B36657" s="4" t="s">
        <v>46109</v>
      </c>
      <c r="C36657" s="5" t="str">
        <f>IFERROR(__xludf.DUMMYFUNCTION("GOOGLETRANSLATE(B36657,""en"",""es-ES"")"),"Tanto el hombre como la mujer llevan una camiseta sin mangas negra y pantalones cortos negros junto con zapatos negros.")</f>
        <v>Tanto el hombre como la mujer llevan una camiseta sin mangas negra y pantalones cortos negros junto con zapatos negros.</v>
      </c>
    </row>
    <row r="36658">
      <c r="A36658" s="4" t="s">
        <v>46107</v>
      </c>
      <c r="B36658" s="4" t="s">
        <v>46110</v>
      </c>
      <c r="C36658" s="5" t="str">
        <f>IFERROR(__xludf.DUMMYFUNCTION("GOOGLETRANSLATE(B36658,""en"",""es-ES"")"),"Están bailando de manera sincronizada siguiendo pasos de baile coreografiados para una canción.")</f>
        <v>Están bailando de manera sincronizada siguiendo pasos de baile coreografiados para una canción.</v>
      </c>
    </row>
    <row r="36659">
      <c r="A36659" s="4" t="s">
        <v>46107</v>
      </c>
      <c r="B36659" s="4" t="s">
        <v>46111</v>
      </c>
      <c r="C36659" s="5" t="str">
        <f>IFERROR(__xludf.DUMMYFUNCTION("GOOGLETRANSLATE(B36659,""en"",""es-ES"")"),"Mueven sus manos mientras levantan la pierna derecha en alto mientras bailan.")</f>
        <v>Mueven sus manos mientras levantan la pierna derecha en alto mientras bailan.</v>
      </c>
    </row>
    <row r="36660">
      <c r="A36660" s="4" t="s">
        <v>46107</v>
      </c>
      <c r="B36660" s="4" t="s">
        <v>46112</v>
      </c>
      <c r="C36660" s="5" t="str">
        <f>IFERROR(__xludf.DUMMYFUNCTION("GOOGLETRANSLATE(B36660,""en"",""es-ES"")"),"Luego sacuden sus caderas y sus cabezas se sincronizan con la canción.")</f>
        <v>Luego sacuden sus caderas y sus cabezas se sincronizan con la canción.</v>
      </c>
    </row>
    <row r="36661">
      <c r="A36661" s="4" t="s">
        <v>46107</v>
      </c>
      <c r="B36661" s="4" t="s">
        <v>46113</v>
      </c>
      <c r="C36661" s="5" t="str">
        <f>IFERROR(__xludf.DUMMYFUNCTION("GOOGLETRANSLATE(B36661,""en"",""es-ES"")"),"Cuando la música se vuelve más rápido, mueven sus manos en un movimiento circular.")</f>
        <v>Cuando la música se vuelve más rápido, mueven sus manos en un movimiento circular.</v>
      </c>
    </row>
    <row r="36662">
      <c r="A36662" s="4" t="s">
        <v>46107</v>
      </c>
      <c r="B36662" s="4" t="s">
        <v>46114</v>
      </c>
      <c r="C36662" s="5" t="str">
        <f>IFERROR(__xludf.DUMMYFUNCTION("GOOGLETRANSLATE(B36662,""en"",""es-ES"")"),"También levantan las rodillas en alto mientras sacuden sus cuerpos.")</f>
        <v>También levantan las rodillas en alto mientras sacuden sus cuerpos.</v>
      </c>
    </row>
    <row r="36663">
      <c r="A36663" s="4" t="s">
        <v>46107</v>
      </c>
      <c r="B36663" s="4" t="s">
        <v>46115</v>
      </c>
      <c r="C36663" s="5" t="str">
        <f>IFERROR(__xludf.DUMMYFUNCTION("GOOGLETRANSLATE(B36663,""en"",""es-ES"")"),"Repiten los pasos cada vez que suena el coro de la canción.")</f>
        <v>Repiten los pasos cada vez que suena el coro de la canción.</v>
      </c>
    </row>
    <row r="36664">
      <c r="A36664" s="4" t="s">
        <v>46107</v>
      </c>
      <c r="B36664" s="4" t="s">
        <v>46116</v>
      </c>
      <c r="C36664" s="5" t="str">
        <f>IFERROR(__xludf.DUMMYFUNCTION("GOOGLETRANSLATE(B36664,""en"",""es-ES"")"),"Levantan las rodillas alternando alternando entre las dos patas.")</f>
        <v>Levantan las rodillas alternando alternando entre las dos patas.</v>
      </c>
    </row>
    <row r="36665">
      <c r="A36665" s="4" t="s">
        <v>46107</v>
      </c>
      <c r="B36665" s="4" t="s">
        <v>46117</v>
      </c>
      <c r="C36665" s="5" t="str">
        <f>IFERROR(__xludf.DUMMYFUNCTION("GOOGLETRANSLATE(B36665,""en"",""es-ES"")"),"Continúan bailando mientras levantan las palmas de sus manos directamente y mueven sus caderas.")</f>
        <v>Continúan bailando mientras levantan las palmas de sus manos directamente y mueven sus caderas.</v>
      </c>
    </row>
    <row r="36666">
      <c r="A36666" s="4" t="s">
        <v>46107</v>
      </c>
      <c r="B36666" s="4" t="s">
        <v>46118</v>
      </c>
      <c r="C36666" s="5" t="str">
        <f>IFERROR(__xludf.DUMMYFUNCTION("GOOGLETRANSLATE(B36666,""en"",""es-ES"")"),"Repiten los pasos cuando se repite el coro de la canción.")</f>
        <v>Repiten los pasos cuando se repite el coro de la canción.</v>
      </c>
    </row>
    <row r="36667">
      <c r="A36667" s="4" t="s">
        <v>46107</v>
      </c>
      <c r="B36667" s="4" t="s">
        <v>46119</v>
      </c>
      <c r="C36667" s="5" t="str">
        <f>IFERROR(__xludf.DUMMYFUNCTION("GOOGLETRANSLATE(B36667,""en"",""es-ES"")"),"Finalmente, después de que termina la canción, ambos se quedan quietos con las manos en las caderas.")</f>
        <v>Finalmente, después de que termina la canción, ambos se quedan quietos con las manos en las caderas.</v>
      </c>
    </row>
    <row r="36668">
      <c r="A36668" s="4" t="s">
        <v>46120</v>
      </c>
      <c r="B36668" s="4" t="s">
        <v>46121</v>
      </c>
      <c r="C36668" s="5" t="str">
        <f>IFERROR(__xludf.DUMMYFUNCTION("GOOGLETRANSLATE(B36668,""en"",""es-ES"")"),"Un hombre toma un parche y se pone en una rueda mientras explica y muestra materiales.")</f>
        <v>Un hombre toma un parche y se pone en una rueda mientras explica y muestra materiales.</v>
      </c>
    </row>
    <row r="36669">
      <c r="A36669" s="4" t="s">
        <v>46120</v>
      </c>
      <c r="B36669" s="4" t="s">
        <v>46122</v>
      </c>
      <c r="C36669" s="5" t="str">
        <f>IFERROR(__xludf.DUMMYFUNCTION("GOOGLETRANSLATE(B36669,""en"",""es-ES"")"),"Luego, el hombre toma la rueda de una bicicleta para fijar el orificio del tubo aplicando un parche.")</f>
        <v>Luego, el hombre toma la rueda de una bicicleta para fijar el orificio del tubo aplicando un parche.</v>
      </c>
    </row>
    <row r="36670">
      <c r="A36670" s="4" t="s">
        <v>46120</v>
      </c>
      <c r="B36670" s="4" t="s">
        <v>46123</v>
      </c>
      <c r="C36670" s="5" t="str">
        <f>IFERROR(__xludf.DUMMYFUNCTION("GOOGLETRANSLATE(B36670,""en"",""es-ES"")"),"Después, el hombre puso el tubo en la rueda y bombea aire en la rueda.")</f>
        <v>Después, el hombre puso el tubo en la rueda y bombea aire en la rueda.</v>
      </c>
    </row>
    <row r="36671">
      <c r="A36671" s="4" t="s">
        <v>46120</v>
      </c>
      <c r="B36671" s="4" t="s">
        <v>46124</v>
      </c>
      <c r="C36671" s="5" t="str">
        <f>IFERROR(__xludf.DUMMYFUNCTION("GOOGLETRANSLATE(B36671,""en"",""es-ES"")"),"Luego, el hombre puso y arregló la rueda en la bicicleta.")</f>
        <v>Luego, el hombre puso y arregló la rueda en la bicicleta.</v>
      </c>
    </row>
    <row r="36672">
      <c r="A36672" s="4" t="s">
        <v>46125</v>
      </c>
      <c r="B36672" s="4" t="s">
        <v>46126</v>
      </c>
      <c r="C36672" s="5" t="str">
        <f>IFERROR(__xludf.DUMMYFUNCTION("GOOGLETRANSLATE(B36672,""en"",""es-ES"")"),"Un hombre muestra la forma correcta de levantar una retaquista.")</f>
        <v>Un hombre muestra la forma correcta de levantar una retaquista.</v>
      </c>
    </row>
    <row r="36673">
      <c r="A36673" s="4" t="s">
        <v>46125</v>
      </c>
      <c r="B36673" s="4" t="s">
        <v>46127</v>
      </c>
      <c r="C36673" s="5" t="str">
        <f>IFERROR(__xludf.DUMMYFUNCTION("GOOGLETRANSLATE(B36673,""en"",""es-ES"")"),"Él muestra con sus caderas cómo no hacerlo.")</f>
        <v>Él muestra con sus caderas cómo no hacerlo.</v>
      </c>
    </row>
    <row r="36674">
      <c r="A36674" s="4" t="s">
        <v>46128</v>
      </c>
      <c r="B36674" s="4" t="s">
        <v>46129</v>
      </c>
      <c r="C36674" s="5" t="str">
        <f>IFERROR(__xludf.DUMMYFUNCTION("GOOGLETRANSLATE(B36674,""en"",""es-ES"")"),"Un hombre está cortando el cabello de otro hombre.")</f>
        <v>Un hombre está cortando el cabello de otro hombre.</v>
      </c>
    </row>
    <row r="36675">
      <c r="A36675" s="4" t="s">
        <v>46128</v>
      </c>
      <c r="B36675" s="4" t="s">
        <v>46130</v>
      </c>
      <c r="C36675" s="5" t="str">
        <f>IFERROR(__xludf.DUMMYFUNCTION("GOOGLETRANSLATE(B36675,""en"",""es-ES"")"),"Él está demostrando los tipos de cortes.")</f>
        <v>Él está demostrando los tipos de cortes.</v>
      </c>
    </row>
    <row r="36676">
      <c r="A36676" s="4" t="s">
        <v>46128</v>
      </c>
      <c r="B36676" s="4" t="s">
        <v>46131</v>
      </c>
      <c r="C36676" s="5" t="str">
        <f>IFERROR(__xludf.DUMMYFUNCTION("GOOGLETRANSLATE(B36676,""en"",""es-ES"")"),"Él se tira y corta la parte delantera del cabello del hombre.")</f>
        <v>Él se tira y corta la parte delantera del cabello del hombre.</v>
      </c>
    </row>
    <row r="36677">
      <c r="A36677" s="4" t="s">
        <v>46128</v>
      </c>
      <c r="B36677" s="4" t="s">
        <v>46132</v>
      </c>
      <c r="C36677" s="5" t="str">
        <f>IFERROR(__xludf.DUMMYFUNCTION("GOOGLETRANSLATE(B36677,""en"",""es-ES"")"),"Él separa el cabello y continúa tirando y recortando el volteo delantero.")</f>
        <v>Él separa el cabello y continúa tirando y recortando el volteo delantero.</v>
      </c>
    </row>
    <row r="36678">
      <c r="A36678" s="4" t="s">
        <v>46128</v>
      </c>
      <c r="B36678" s="4" t="s">
        <v>46133</v>
      </c>
      <c r="C36678" s="5" t="str">
        <f>IFERROR(__xludf.DUMMYFUNCTION("GOOGLETRANSLATE(B36678,""en"",""es-ES"")"),"Luego gira la cabeza del hombre y trabaja en la espalda.")</f>
        <v>Luego gira la cabeza del hombre y trabaja en la espalda.</v>
      </c>
    </row>
    <row r="36679">
      <c r="A36679" s="4" t="s">
        <v>46128</v>
      </c>
      <c r="B36679" s="4" t="s">
        <v>46134</v>
      </c>
      <c r="C36679" s="5" t="str">
        <f>IFERROR(__xludf.DUMMYFUNCTION("GOOGLETRANSLATE(B36679,""en"",""es-ES"")"),"Termina el corte de pelo al hombre.")</f>
        <v>Termina el corte de pelo al hombre.</v>
      </c>
    </row>
    <row r="36680">
      <c r="A36680" s="4" t="s">
        <v>46135</v>
      </c>
      <c r="B36680" s="4" t="s">
        <v>46136</v>
      </c>
      <c r="C36680" s="5" t="str">
        <f>IFERROR(__xludf.DUMMYFUNCTION("GOOGLETRANSLATE(B36680,""en"",""es-ES"")"),"Los pies de una persona son seguidos de una mujer que le pone zapatos sobre sus calcetines y se inclina hacia adelante.")</f>
        <v>Los pies de una persona son seguidos de una mujer que le pone zapatos sobre sus calcetines y se inclina hacia adelante.</v>
      </c>
    </row>
    <row r="36681">
      <c r="A36681" s="4" t="s">
        <v>46135</v>
      </c>
      <c r="B36681" s="4" t="s">
        <v>46137</v>
      </c>
      <c r="C36681" s="5" t="str">
        <f>IFERROR(__xludf.DUMMYFUNCTION("GOOGLETRANSLATE(B36681,""en"",""es-ES"")"),"Ella gira alrededor de sus pies y mira a la cámara mientras muestra su zapato completamente encendido.")</f>
        <v>Ella gira alrededor de sus pies y mira a la cámara mientras muestra su zapato completamente encendido.</v>
      </c>
    </row>
    <row r="36682">
      <c r="A36682" s="4" t="s">
        <v>46138</v>
      </c>
      <c r="B36682" s="4" t="s">
        <v>46139</v>
      </c>
      <c r="C36682" s="5" t="str">
        <f>IFERROR(__xludf.DUMMYFUNCTION("GOOGLETRANSLATE(B36682,""en"",""es-ES"")"),"La mujer lleva una mierda morada levantando el peso.")</f>
        <v>La mujer lleva una mierda morada levantando el peso.</v>
      </c>
    </row>
    <row r="36683">
      <c r="A36683" s="4" t="s">
        <v>46138</v>
      </c>
      <c r="B36683" s="4" t="s">
        <v>46140</v>
      </c>
      <c r="C36683" s="5" t="str">
        <f>IFERROR(__xludf.DUMMYFUNCTION("GOOGLETRANSLATE(B36683,""en"",""es-ES"")"),"La mujer está sentada en las escaleras atando los cordones.")</f>
        <v>La mujer está sentada en las escaleras atando los cordones.</v>
      </c>
    </row>
    <row r="36684">
      <c r="A36684" s="4" t="s">
        <v>46138</v>
      </c>
      <c r="B36684" s="4" t="s">
        <v>46141</v>
      </c>
      <c r="C36684" s="5" t="str">
        <f>IFERROR(__xludf.DUMMYFUNCTION("GOOGLETRANSLATE(B36684,""en"",""es-ES"")"),"Dos mujeres están en una sala de gimnasia haciendo ejercicio.")</f>
        <v>Dos mujeres están en una sala de gimnasia haciendo ejercicio.</v>
      </c>
    </row>
    <row r="36685">
      <c r="A36685" s="4" t="s">
        <v>46142</v>
      </c>
      <c r="B36685" s="4" t="s">
        <v>46143</v>
      </c>
      <c r="C36685" s="5" t="str">
        <f>IFERROR(__xludf.DUMMYFUNCTION("GOOGLETRANSLATE(B36685,""en"",""es-ES"")"),"Se muestra a un hombre hablando con la cámara y conduce a una mujer que recorta el pelaje de un perro.")</f>
        <v>Se muestra a un hombre hablando con la cámara y conduce a una mujer que recorta el pelaje de un perro.</v>
      </c>
    </row>
    <row r="36686">
      <c r="A36686" s="4" t="s">
        <v>46142</v>
      </c>
      <c r="B36686" s="4" t="s">
        <v>46144</v>
      </c>
      <c r="C36686" s="5" t="str">
        <f>IFERROR(__xludf.DUMMYFUNCTION("GOOGLETRANSLATE(B36686,""en"",""es-ES"")"),"El habla más a la cámara, mientras que otros perros se muestran preparados y una mujer se aleja sosteniendo dos perros emocionados.")</f>
        <v>El habla más a la cámara, mientras que otros perros se muestran preparados y una mujer se aleja sosteniendo dos perros emocionados.</v>
      </c>
    </row>
    <row r="36687">
      <c r="A36687" s="4" t="s">
        <v>46142</v>
      </c>
      <c r="B36687" s="4" t="s">
        <v>46145</v>
      </c>
      <c r="C36687" s="5" t="str">
        <f>IFERROR(__xludf.DUMMYFUNCTION("GOOGLETRANSLATE(B36687,""en"",""es-ES"")"),"Se muestran más tomas de perros mientras el hombre habla y las sartenes de la cámara alrededor del edificio.")</f>
        <v>Se muestran más tomas de perros mientras el hombre habla y las sartenes de la cámara alrededor del edificio.</v>
      </c>
    </row>
    <row r="36688">
      <c r="A36688" s="4" t="s">
        <v>46146</v>
      </c>
      <c r="B36688" s="4" t="s">
        <v>46147</v>
      </c>
      <c r="C36688" s="5" t="str">
        <f>IFERROR(__xludf.DUMMYFUNCTION("GOOGLETRANSLATE(B36688,""en"",""es-ES"")"),"Un logotipo muestra que este video es presentado por Expert Village.")</f>
        <v>Un logotipo muestra que este video es presentado por Expert Village.</v>
      </c>
    </row>
    <row r="36689">
      <c r="A36689" s="4" t="s">
        <v>46146</v>
      </c>
      <c r="B36689" s="4" t="s">
        <v>46148</v>
      </c>
      <c r="C36689" s="5" t="str">
        <f>IFERROR(__xludf.DUMMYFUNCTION("GOOGLETRANSLATE(B36689,""en"",""es-ES"")"),"Un hombre en un pequeño bote azul analiza el tema del surf de manos en un agujero y da pistas sobre cómo realizar esta actividad.")</f>
        <v>Un hombre en un pequeño bote azul analiza el tema del surf de manos en un agujero y da pistas sobre cómo realizar esta actividad.</v>
      </c>
    </row>
    <row r="36690">
      <c r="A36690" s="4" t="s">
        <v>46146</v>
      </c>
      <c r="B36690" s="4" t="s">
        <v>46149</v>
      </c>
      <c r="C36690" s="5" t="str">
        <f>IFERROR(__xludf.DUMMYFUNCTION("GOOGLETRANSLATE(B36690,""en"",""es-ES"")"),"El hombre demuestra trucos que se pueden hacer mientras realizan esta actividad.")</f>
        <v>El hombre demuestra trucos que se pueden hacer mientras realizan esta actividad.</v>
      </c>
    </row>
    <row r="36691">
      <c r="A36691" s="4" t="s">
        <v>46150</v>
      </c>
      <c r="B36691" s="4" t="s">
        <v>46151</v>
      </c>
      <c r="C36691" s="5" t="str">
        <f>IFERROR(__xludf.DUMMYFUNCTION("GOOGLETRANSLATE(B36691,""en"",""es-ES"")"),"Los anfitriones de noticias presentan una historia sentada en un escritorio en una sala de noticias.")</f>
        <v>Los anfitriones de noticias presentan una historia sentada en un escritorio en una sala de noticias.</v>
      </c>
    </row>
    <row r="36692">
      <c r="A36692" s="4" t="s">
        <v>46150</v>
      </c>
      <c r="B36692" s="4" t="s">
        <v>46152</v>
      </c>
      <c r="C36692" s="5" t="str">
        <f>IFERROR(__xludf.DUMMYFUNCTION("GOOGLETRANSLATE(B36692,""en"",""es-ES"")"),"Un reportero de noticias entrevista a un hombre en una pista de patinaje sobre hielo.")</f>
        <v>Un reportero de noticias entrevista a un hombre en una pista de patinaje sobre hielo.</v>
      </c>
    </row>
    <row r="36693">
      <c r="A36693" s="4" t="s">
        <v>46150</v>
      </c>
      <c r="B36693" s="4" t="s">
        <v>46153</v>
      </c>
      <c r="C36693" s="5" t="str">
        <f>IFERROR(__xludf.DUMMYFUNCTION("GOOGLETRANSLATE(B36693,""en"",""es-ES"")"),"Un atleta desliza una piedra a través del hielo.")</f>
        <v>Un atleta desliza una piedra a través del hielo.</v>
      </c>
    </row>
    <row r="36694">
      <c r="A36694" s="4" t="s">
        <v>46150</v>
      </c>
      <c r="B36694" s="4" t="s">
        <v>46154</v>
      </c>
      <c r="C36694" s="5" t="str">
        <f>IFERROR(__xludf.DUMMYFUNCTION("GOOGLETRANSLATE(B36694,""en"",""es-ES"")"),"El periodista y el hombre practican cepillando el hielo con escobas.")</f>
        <v>El periodista y el hombre practican cepillando el hielo con escobas.</v>
      </c>
    </row>
    <row r="36695">
      <c r="A36695" s="4" t="s">
        <v>46150</v>
      </c>
      <c r="B36695" s="4" t="s">
        <v>46155</v>
      </c>
      <c r="C36695" s="5" t="str">
        <f>IFERROR(__xludf.DUMMYFUNCTION("GOOGLETRANSLATE(B36695,""en"",""es-ES"")"),"Una mujer se sienta en un salón y se acurruca el pelo.")</f>
        <v>Una mujer se sienta en un salón y se acurruca el pelo.</v>
      </c>
    </row>
    <row r="36696">
      <c r="A36696" s="4" t="s">
        <v>46150</v>
      </c>
      <c r="B36696" s="4" t="s">
        <v>46156</v>
      </c>
      <c r="C36696" s="5" t="str">
        <f>IFERROR(__xludf.DUMMYFUNCTION("GOOGLETRANSLATE(B36696,""en"",""es-ES"")"),"Los rizos se sacan del cabello de la mujer después del cambio de imagen.")</f>
        <v>Los rizos se sacan del cabello de la mujer después del cambio de imagen.</v>
      </c>
    </row>
    <row r="36697">
      <c r="A36697" s="4" t="s">
        <v>46150</v>
      </c>
      <c r="B36697" s="4" t="s">
        <v>46157</v>
      </c>
      <c r="C36697" s="5" t="str">
        <f>IFERROR(__xludf.DUMMYFUNCTION("GOOGLETRANSLATE(B36697,""en"",""es-ES"")"),"Los presentadores de noticias cierran la historia.")</f>
        <v>Los presentadores de noticias cierran la historia.</v>
      </c>
    </row>
    <row r="36698">
      <c r="A36698" s="4" t="s">
        <v>46158</v>
      </c>
      <c r="B36698" s="4" t="s">
        <v>46159</v>
      </c>
      <c r="C36698" s="5" t="str">
        <f>IFERROR(__xludf.DUMMYFUNCTION("GOOGLETRANSLATE(B36698,""en"",""es-ES"")"),"Un grupo de niños está en una pista y practican saltar sobre una viga baja.")</f>
        <v>Un grupo de niños está en una pista y practican saltar sobre una viga baja.</v>
      </c>
    </row>
    <row r="36699">
      <c r="A36699" s="4" t="s">
        <v>46158</v>
      </c>
      <c r="B36699" s="4" t="s">
        <v>46160</v>
      </c>
      <c r="C36699" s="5" t="str">
        <f>IFERROR(__xludf.DUMMYFUNCTION("GOOGLETRANSLATE(B36699,""en"",""es-ES"")"),"Realizan la moción varias veces, retratando el acto en cámara lenta.")</f>
        <v>Realizan la moción varias veces, retratando el acto en cámara lenta.</v>
      </c>
    </row>
    <row r="36700">
      <c r="A36700" s="4" t="s">
        <v>46161</v>
      </c>
      <c r="B36700" s="4" t="s">
        <v>46162</v>
      </c>
      <c r="C36700" s="5" t="str">
        <f>IFERROR(__xludf.DUMMYFUNCTION("GOOGLETRANSLATE(B36700,""en"",""es-ES"")"),"Se ve a dos personas hablando con la cámara con disfraz cuando otra persona entra en el marco.")</f>
        <v>Se ve a dos personas hablando con la cámara con disfraz cuando otra persona entra en el marco.</v>
      </c>
    </row>
    <row r="36701">
      <c r="A36701" s="4" t="s">
        <v>46161</v>
      </c>
      <c r="B36701" s="4" t="s">
        <v>46163</v>
      </c>
      <c r="C36701" s="5" t="str">
        <f>IFERROR(__xludf.DUMMYFUNCTION("GOOGLETRANSLATE(B36701,""en"",""es-ES"")"),"Dos personas luchan entre sí en los disfraces y se encuentran entre sí.")</f>
        <v>Dos personas luchan entre sí en los disfraces y se encuentran entre sí.</v>
      </c>
    </row>
    <row r="36702">
      <c r="A36702" s="4" t="s">
        <v>46161</v>
      </c>
      <c r="B36702" s="4" t="s">
        <v>46164</v>
      </c>
      <c r="C36702" s="5" t="str">
        <f>IFERROR(__xludf.DUMMYFUNCTION("GOOGLETRANSLATE(B36702,""en"",""es-ES"")"),"Una persona golpea al otro en el suelo y muestra un movimiento de lucha libre.")</f>
        <v>Una persona golpea al otro en el suelo y muestra un movimiento de lucha libre.</v>
      </c>
    </row>
    <row r="36703">
      <c r="A36703" s="4" t="s">
        <v>46165</v>
      </c>
      <c r="B36703" s="4" t="s">
        <v>46166</v>
      </c>
      <c r="C36703" s="5" t="str">
        <f>IFERROR(__xludf.DUMMYFUNCTION("GOOGLETRANSLATE(B36703,""en"",""es-ES"")"),"Se ve a un hombre atlético agitando un brazo en el aire y estar listo para una viga.")</f>
        <v>Se ve a un hombre atlético agitando un brazo en el aire y estar listo para una viga.</v>
      </c>
    </row>
    <row r="36704">
      <c r="A36704" s="4" t="s">
        <v>46165</v>
      </c>
      <c r="B36704" s="4" t="s">
        <v>46167</v>
      </c>
      <c r="C36704" s="5" t="str">
        <f>IFERROR(__xludf.DUMMYFUNCTION("GOOGLETRANSLATE(B36704,""en"",""es-ES"")"),"El hombre luego se gira alrededor del rayo realizando una rutina de gimnasia y termina con él saltando a un lado y levantando los brazos, sonriendo y saludando a la multitud.")</f>
        <v>El hombre luego se gira alrededor del rayo realizando una rutina de gimnasia y termina con él saltando a un lado y levantando los brazos, sonriendo y saludando a la multitud.</v>
      </c>
    </row>
    <row r="36705">
      <c r="A36705" s="4" t="s">
        <v>46168</v>
      </c>
      <c r="B36705" s="4" t="s">
        <v>46169</v>
      </c>
      <c r="C36705" s="5" t="str">
        <f>IFERROR(__xludf.DUMMYFUNCTION("GOOGLETRANSLATE(B36705,""en"",""es-ES"")"),"Se ve a un hombre parado en un gol seguido de una persona pateando una cápsula.")</f>
        <v>Se ve a un hombre parado en un gol seguido de una persona pateando una cápsula.</v>
      </c>
    </row>
    <row r="36706">
      <c r="A36706" s="4" t="s">
        <v>46168</v>
      </c>
      <c r="B36706" s="4" t="s">
        <v>46170</v>
      </c>
      <c r="C36706" s="5" t="str">
        <f>IFERROR(__xludf.DUMMYFUNCTION("GOOGLETRANSLATE(B36706,""en"",""es-ES"")"),"Se muestran más clips de personas que patean una pelota hacia la portería mientras las personas miran a los lados.")</f>
        <v>Se muestran más clips de personas que patean una pelota hacia la portería mientras las personas miran a los lados.</v>
      </c>
    </row>
    <row r="36707">
      <c r="A36707" s="4" t="s">
        <v>46168</v>
      </c>
      <c r="B36707" s="4" t="s">
        <v>46171</v>
      </c>
      <c r="C36707" s="5" t="str">
        <f>IFERROR(__xludf.DUMMYFUNCTION("GOOGLETRANSLATE(B36707,""en"",""es-ES"")"),"Varias personas más dan su turno pateando una pelota y terminan corriendo todos juntos y vitoreando.")</f>
        <v>Varias personas más dan su turno pateando una pelota y terminan corriendo todos juntos y vitoreando.</v>
      </c>
    </row>
    <row r="36708">
      <c r="A36708" s="4" t="s">
        <v>46172</v>
      </c>
      <c r="B36708" s="4" t="s">
        <v>46173</v>
      </c>
      <c r="C36708" s="5" t="str">
        <f>IFERROR(__xludf.DUMMYFUNCTION("GOOGLETRANSLATE(B36708,""en"",""es-ES"")"),"Un automóvil conduce detrás de otro mientras filma varias casas nevadas y árboles que se muestran.")</f>
        <v>Un automóvil conduce detrás de otro mientras filma varias casas nevadas y árboles que se muestran.</v>
      </c>
    </row>
    <row r="36709">
      <c r="A36709" s="4" t="s">
        <v>46172</v>
      </c>
      <c r="B36709" s="4" t="s">
        <v>46174</v>
      </c>
      <c r="C36709" s="5" t="str">
        <f>IFERROR(__xludf.DUMMYFUNCTION("GOOGLETRANSLATE(B36709,""en"",""es-ES"")"),"Finalmente, se muestran dos snowboard haciendo saltos y trucos por una montaña.")</f>
        <v>Finalmente, se muestran dos snowboard haciendo saltos y trucos por una montaña.</v>
      </c>
    </row>
    <row r="36710">
      <c r="A36710" s="4" t="s">
        <v>46172</v>
      </c>
      <c r="B36710" s="4" t="s">
        <v>46175</v>
      </c>
      <c r="C36710" s="5" t="str">
        <f>IFERROR(__xludf.DUMMYFUNCTION("GOOGLETRANSLATE(B36710,""en"",""es-ES"")"),"Otro hace varios volteos y trucos, mientras que otro realiza lo mismo en la montaña.")</f>
        <v>Otro hace varios volteos y trucos, mientras que otro realiza lo mismo en la montaña.</v>
      </c>
    </row>
    <row r="36711">
      <c r="A36711" s="4" t="s">
        <v>46176</v>
      </c>
      <c r="B36711" s="4" t="s">
        <v>46177</v>
      </c>
      <c r="C36711" s="5" t="str">
        <f>IFERROR(__xludf.DUMMYFUNCTION("GOOGLETRANSLATE(B36711,""en"",""es-ES"")"),"Un hombre se sienta en una silla mientras un hombre de pie usa una maquinilla de afeitar eléctrica en la barba.")</f>
        <v>Un hombre se sienta en una silla mientras un hombre de pie usa una maquinilla de afeitar eléctrica en la barba.</v>
      </c>
    </row>
    <row r="36712">
      <c r="A36712" s="4" t="s">
        <v>46176</v>
      </c>
      <c r="B36712" s="4" t="s">
        <v>46178</v>
      </c>
      <c r="C36712" s="5" t="str">
        <f>IFERROR(__xludf.DUMMYFUNCTION("GOOGLETRANSLATE(B36712,""en"",""es-ES"")"),"El hombre afeita suavemente la barba del otro hombre hasta que se haya ido.")</f>
        <v>El hombre afeita suavemente la barba del otro hombre hasta que se haya ido.</v>
      </c>
    </row>
    <row r="36713">
      <c r="A36713" s="4" t="s">
        <v>46176</v>
      </c>
      <c r="B36713" s="4" t="s">
        <v>46179</v>
      </c>
      <c r="C36713" s="5" t="str">
        <f>IFERROR(__xludf.DUMMYFUNCTION("GOOGLETRANSLATE(B36713,""en"",""es-ES"")"),"El hombre se sienta en la silla, limpiándose antes de ponerse de pie.")</f>
        <v>El hombre se sienta en la silla, limpiándose antes de ponerse de pie.</v>
      </c>
    </row>
    <row r="36714">
      <c r="A36714" s="4" t="s">
        <v>46180</v>
      </c>
      <c r="B36714" s="4" t="s">
        <v>46181</v>
      </c>
      <c r="C36714" s="5" t="str">
        <f>IFERROR(__xludf.DUMMYFUNCTION("GOOGLETRANSLATE(B36714,""en"",""es-ES"")"),"Se ve a dos personas paradas en un campo frente a la pelota cuando una se dobla para equilibrar la pelota.")</f>
        <v>Se ve a dos personas paradas en un campo frente a la pelota cuando una se dobla para equilibrar la pelota.</v>
      </c>
    </row>
    <row r="36715">
      <c r="A36715" s="4" t="s">
        <v>46180</v>
      </c>
      <c r="B36715" s="4" t="s">
        <v>46182</v>
      </c>
      <c r="C36715" s="5" t="str">
        <f>IFERROR(__xludf.DUMMYFUNCTION("GOOGLETRANSLATE(B36715,""en"",""es-ES"")"),"Luego, la mujer realiza ejercicios en la pelota con la ayuda del hombre.")</f>
        <v>Luego, la mujer realiza ejercicios en la pelota con la ayuda del hombre.</v>
      </c>
    </row>
    <row r="36716">
      <c r="A36716" s="4" t="s">
        <v>46183</v>
      </c>
      <c r="B36716" s="4" t="s">
        <v>46184</v>
      </c>
      <c r="C36716" s="5" t="str">
        <f>IFERROR(__xludf.DUMMYFUNCTION("GOOGLETRANSLATE(B36716,""en"",""es-ES"")"),"Varias fotos de un wakeboard de un hombre y que lo llevan a hablar con la cámara.")</f>
        <v>Varias fotos de un wakeboard de un hombre y que lo llevan a hablar con la cámara.</v>
      </c>
    </row>
    <row r="36717">
      <c r="A36717" s="4" t="s">
        <v>46183</v>
      </c>
      <c r="B36717" s="4" t="s">
        <v>46185</v>
      </c>
      <c r="C36717" s="5" t="str">
        <f>IFERROR(__xludf.DUMMYFUNCTION("GOOGLETRANSLATE(B36717,""en"",""es-ES"")"),"Demuestra cómo realizar los movimientos adecuadamente mientras está parado en el césped.")</f>
        <v>Demuestra cómo realizar los movimientos adecuadamente mientras está parado en el césped.</v>
      </c>
    </row>
    <row r="36718">
      <c r="A36718" s="4" t="s">
        <v>46183</v>
      </c>
      <c r="B36718" s="4" t="s">
        <v>46186</v>
      </c>
      <c r="C36718" s="5" t="str">
        <f>IFERROR(__xludf.DUMMYFUNCTION("GOOGLETRANSLATE(B36718,""en"",""es-ES"")"),"Sigue al hombre que viaja en un wakeboard.")</f>
        <v>Sigue al hombre que viaja en un wakeboard.</v>
      </c>
    </row>
    <row r="36719">
      <c r="A36719" s="4" t="s">
        <v>46187</v>
      </c>
      <c r="B36719" s="4" t="s">
        <v>46188</v>
      </c>
      <c r="C36719" s="5" t="str">
        <f>IFERROR(__xludf.DUMMYFUNCTION("GOOGLETRANSLATE(B36719,""en"",""es-ES"")"),"Un hombre se para frente a una multitud que apunta y habla sobre el diseño de un anillo de corredores de toros.")</f>
        <v>Un hombre se para frente a una multitud que apunta y habla sobre el diseño de un anillo de corredores de toros.</v>
      </c>
    </row>
    <row r="36720">
      <c r="A36720" s="4" t="s">
        <v>46187</v>
      </c>
      <c r="B36720" s="4" t="s">
        <v>46189</v>
      </c>
      <c r="C36720" s="5" t="str">
        <f>IFERROR(__xludf.DUMMYFUNCTION("GOOGLETRANSLATE(B36720,""en"",""es-ES"")"),"Un hombre realiza una demostración de corridas de toros con una capa rosa y un hombre que mueve un objeto de toros falso con una rueda.")</f>
        <v>Un hombre realiza una demostración de corridas de toros con una capa rosa y un hombre que mueve un objeto de toros falso con una rueda.</v>
      </c>
    </row>
    <row r="36721">
      <c r="A36721" s="4" t="s">
        <v>46187</v>
      </c>
      <c r="B36721" s="4" t="s">
        <v>46190</v>
      </c>
      <c r="C36721" s="5" t="str">
        <f>IFERROR(__xludf.DUMMYFUNCTION("GOOGLETRANSLATE(B36721,""en"",""es-ES"")"),"El toro demuestra cómo usar su espada en el toro.")</f>
        <v>El toro demuestra cómo usar su espada en el toro.</v>
      </c>
    </row>
    <row r="36722">
      <c r="A36722" s="4" t="s">
        <v>46187</v>
      </c>
      <c r="B36722" s="4" t="s">
        <v>46191</v>
      </c>
      <c r="C36722" s="5" t="str">
        <f>IFERROR(__xludf.DUMMYFUNCTION("GOOGLETRANSLATE(B36722,""en"",""es-ES"")"),"Entonces los estudiantes quieren intentarlo.")</f>
        <v>Entonces los estudiantes quieren intentarlo.</v>
      </c>
    </row>
    <row r="36723">
      <c r="A36723" s="4" t="s">
        <v>46192</v>
      </c>
      <c r="B36723" s="4" t="s">
        <v>46193</v>
      </c>
      <c r="C36723" s="5" t="str">
        <f>IFERROR(__xludf.DUMMYFUNCTION("GOOGLETRANSLATE(B36723,""en"",""es-ES"")"),"Se ve a dos hombres luchando y cuarto en un juego de alfombras con guantes de boxeo y almohadillas.")</f>
        <v>Se ve a dos hombres luchando y cuarto en un juego de alfombras con guantes de boxeo y almohadillas.</v>
      </c>
    </row>
    <row r="36724">
      <c r="A36724" s="4" t="s">
        <v>46192</v>
      </c>
      <c r="B36724" s="4" t="s">
        <v>46194</v>
      </c>
      <c r="C36724" s="5" t="str">
        <f>IFERROR(__xludf.DUMMYFUNCTION("GOOGLETRANSLATE(B36724,""en"",""es-ES"")"),"Los hombres continúan golpeando y retrocediendo y cuarto mientras la cámara continúa siguiéndolos.")</f>
        <v>Los hombres continúan golpeando y retrocediendo y cuarto mientras la cámara continúa siguiéndolos.</v>
      </c>
    </row>
    <row r="36725">
      <c r="A36725" s="4" t="s">
        <v>46195</v>
      </c>
      <c r="B36725" s="4" t="s">
        <v>46196</v>
      </c>
      <c r="C36725" s="5" t="str">
        <f>IFERROR(__xludf.DUMMYFUNCTION("GOOGLETRANSLATE(B36725,""en"",""es-ES"")"),"Se ve a una niña arrodillada ante la cámara y la lleva a caminar por su casa.")</f>
        <v>Se ve a una niña arrodillada ante la cámara y la lleva a caminar por su casa.</v>
      </c>
    </row>
    <row r="36726">
      <c r="A36726" s="4" t="s">
        <v>46195</v>
      </c>
      <c r="B36726" s="4" t="s">
        <v>46197</v>
      </c>
      <c r="C36726" s="5" t="str">
        <f>IFERROR(__xludf.DUMMYFUNCTION("GOOGLETRANSLATE(B36726,""en"",""es-ES"")"),"Ella se acerca a un horno y se muestra sacando una sartén llena de galletas.")</f>
        <v>Ella se acerca a un horno y se muestra sacando una sartén llena de galletas.</v>
      </c>
    </row>
    <row r="36727">
      <c r="A36727" s="4" t="s">
        <v>46195</v>
      </c>
      <c r="B36727" s="4" t="s">
        <v>46198</v>
      </c>
      <c r="C36727" s="5" t="str">
        <f>IFERROR(__xludf.DUMMYFUNCTION("GOOGLETRANSLATE(B36727,""en"",""es-ES"")"),"Ella presenta un plato para limpiar los siguientes agarrando las galletas y colocándolas en el plato.")</f>
        <v>Ella presenta un plato para limpiar los siguientes agarrando las galletas y colocándolas en el plato.</v>
      </c>
    </row>
    <row r="36728">
      <c r="A36728" s="4" t="s">
        <v>46199</v>
      </c>
      <c r="B36728" s="4" t="s">
        <v>46200</v>
      </c>
      <c r="C36728" s="5" t="str">
        <f>IFERROR(__xludf.DUMMYFUNCTION("GOOGLETRANSLATE(B36728,""en"",""es-ES"")"),"Un grupo de niños viajan en autos de parachoques.")</f>
        <v>Un grupo de niños viajan en autos de parachoques.</v>
      </c>
    </row>
    <row r="36729">
      <c r="A36729" s="4" t="s">
        <v>46199</v>
      </c>
      <c r="B36729" s="4" t="s">
        <v>46201</v>
      </c>
      <c r="C36729" s="5" t="str">
        <f>IFERROR(__xludf.DUMMYFUNCTION("GOOGLETRANSLATE(B36729,""en"",""es-ES"")"),"Se giran y se mueven, golpeándose entre sí.")</f>
        <v>Se giran y se mueven, golpeándose entre sí.</v>
      </c>
    </row>
    <row r="36730">
      <c r="A36730" s="4" t="s">
        <v>46199</v>
      </c>
      <c r="B36730" s="4" t="s">
        <v>46202</v>
      </c>
      <c r="C36730" s="5" t="str">
        <f>IFERROR(__xludf.DUMMYFUNCTION("GOOGLETRANSLATE(B36730,""en"",""es-ES"")"),"Los niños sonríen y se ríen el uno del otro mientras chocan.")</f>
        <v>Los niños sonríen y se ríen el uno del otro mientras chocan.</v>
      </c>
    </row>
    <row r="36731">
      <c r="A36731" s="4" t="s">
        <v>46203</v>
      </c>
      <c r="B36731" s="4" t="s">
        <v>40853</v>
      </c>
      <c r="C36731" s="5" t="str">
        <f>IFERROR(__xludf.DUMMYFUNCTION("GOOGLETRANSLATE(B36731,""en"",""es-ES"")"),"Un vaquero en un caballo se libera de una puerta.")</f>
        <v>Un vaquero en un caballo se libera de una puerta.</v>
      </c>
    </row>
    <row r="36732">
      <c r="A36732" s="4" t="s">
        <v>46203</v>
      </c>
      <c r="B36732" s="4" t="s">
        <v>46204</v>
      </c>
      <c r="C36732" s="5" t="str">
        <f>IFERROR(__xludf.DUMMYFUNCTION("GOOGLETRANSLATE(B36732,""en"",""es-ES"")"),"Lassos un joven ternero en la tierra.")</f>
        <v>Lassos un joven ternero en la tierra.</v>
      </c>
    </row>
    <row r="36733">
      <c r="A36733" s="4" t="s">
        <v>46203</v>
      </c>
      <c r="B36733" s="4" t="s">
        <v>46205</v>
      </c>
      <c r="C36733" s="5" t="str">
        <f>IFERROR(__xludf.DUMMYFUNCTION("GOOGLETRANSLATE(B36733,""en"",""es-ES"")"),"Salta de su caballo y ata el ternero.")</f>
        <v>Salta de su caballo y ata el ternero.</v>
      </c>
    </row>
    <row r="36734">
      <c r="A36734" s="4" t="s">
        <v>46206</v>
      </c>
      <c r="B36734" s="4" t="s">
        <v>46207</v>
      </c>
      <c r="C36734" s="5" t="str">
        <f>IFERROR(__xludf.DUMMYFUNCTION("GOOGLETRANSLATE(B36734,""en"",""es-ES"")"),"Hay personas paradas en una gran cancha interior, en dos lados diferentes, con bolas en el centro de la cancha.")</f>
        <v>Hay personas paradas en una gran cancha interior, en dos lados diferentes, con bolas en el centro de la cancha.</v>
      </c>
    </row>
    <row r="36735">
      <c r="A36735" s="4" t="s">
        <v>46206</v>
      </c>
      <c r="B36735" s="4" t="s">
        <v>46208</v>
      </c>
      <c r="C36735" s="5" t="str">
        <f>IFERROR(__xludf.DUMMYFUNCTION("GOOGLETRANSLATE(B36735,""en"",""es-ES"")"),"De repente, las personas comienzan a correr hacia las pelotas y comienzan a jugar Dodge Ball y recogerlos y arrojarlos el uno al otro hasta que uno de los equipos solo le quede a 1 persona en pie.")</f>
        <v>De repente, las personas comienzan a correr hacia las pelotas y comienzan a jugar Dodge Ball y recogerlos y arrojarlos el uno al otro hasta que uno de los equipos solo le quede a 1 persona en pie.</v>
      </c>
    </row>
    <row r="36736">
      <c r="A36736" s="4" t="s">
        <v>46206</v>
      </c>
      <c r="B36736" s="4" t="s">
        <v>46209</v>
      </c>
      <c r="C36736" s="5" t="str">
        <f>IFERROR(__xludf.DUMMYFUNCTION("GOOGLETRANSLATE(B36736,""en"",""es-ES"")"),"Solo 1 chico sigue siendo la clasificación e intenta golpear a alguien más en el otro equipo con una pelota, y a cambio hacen lo mismo, van y vienen haciendo esto hasta que una pelota roja finalmente golpea al último tipo en el equipo y él golpea el piso.")</f>
        <v>Solo 1 chico sigue siendo la clasificación e intenta golpear a alguien más en el otro equipo con una pelota, y a cambio hacen lo mismo, van y vienen haciendo esto hasta que una pelota roja finalmente golpea al último tipo en el equipo y él golpea el piso.</v>
      </c>
    </row>
    <row r="36737">
      <c r="A36737" s="4" t="s">
        <v>46210</v>
      </c>
      <c r="B36737" s="4" t="s">
        <v>46211</v>
      </c>
      <c r="C36737" s="5" t="str">
        <f>IFERROR(__xludf.DUMMYFUNCTION("GOOGLETRANSLATE(B36737,""en"",""es-ES"")"),"El hombre está parado en una cancha de madera hablando con la cámara.")</f>
        <v>El hombre está parado en una cancha de madera hablando con la cámara.</v>
      </c>
    </row>
    <row r="36738">
      <c r="A36738" s="4" t="s">
        <v>46210</v>
      </c>
      <c r="B36738" s="4" t="s">
        <v>46212</v>
      </c>
      <c r="C36738" s="5" t="str">
        <f>IFERROR(__xludf.DUMMYFUNCTION("GOOGLETRANSLATE(B36738,""en"",""es-ES"")"),"Los hombres juegan calabaza en una habitación sosteniendo raquetas en sus manos.")</f>
        <v>Los hombres juegan calabaza en una habitación sosteniendo raquetas en sus manos.</v>
      </c>
    </row>
    <row r="36739">
      <c r="A36739" s="4" t="s">
        <v>46210</v>
      </c>
      <c r="B36739" s="4" t="s">
        <v>46213</v>
      </c>
      <c r="C36739" s="5" t="str">
        <f>IFERROR(__xludf.DUMMYFUNCTION("GOOGLETRANSLATE(B36739,""en"",""es-ES"")"),"El hombre sostiene una raqueta y está hablando con la cámara.")</f>
        <v>El hombre sostiene una raqueta y está hablando con la cámara.</v>
      </c>
    </row>
    <row r="36740">
      <c r="A36740" s="4" t="s">
        <v>46214</v>
      </c>
      <c r="B36740" s="4" t="s">
        <v>46215</v>
      </c>
      <c r="C36740" s="5" t="str">
        <f>IFERROR(__xludf.DUMMYFUNCTION("GOOGLETRANSLATE(B36740,""en"",""es-ES"")"),"Se ve una banda actuando en el escenario mientras la cámara se desplaza y las captura desde varios ángulos.")</f>
        <v>Se ve una banda actuando en el escenario mientras la cámara se desplaza y las captura desde varios ángulos.</v>
      </c>
    </row>
    <row r="36741">
      <c r="A36741" s="4" t="s">
        <v>46214</v>
      </c>
      <c r="B36741" s="4" t="s">
        <v>46216</v>
      </c>
      <c r="C36741" s="5" t="str">
        <f>IFERROR(__xludf.DUMMYFUNCTION("GOOGLETRANSLATE(B36741,""en"",""es-ES"")"),"El cantante interactúa con la banda y continúa tocando mientras la audiencia aplaude.")</f>
        <v>El cantante interactúa con la banda y continúa tocando mientras la audiencia aplaude.</v>
      </c>
    </row>
    <row r="36742">
      <c r="A36742" s="4" t="s">
        <v>46217</v>
      </c>
      <c r="B36742" s="4" t="s">
        <v>46218</v>
      </c>
      <c r="C36742" s="5" t="str">
        <f>IFERROR(__xludf.DUMMYFUNCTION("GOOGLETRANSLATE(B36742,""en"",""es-ES"")"),"Un hombre está en un kayak en el agua que gira con la ayuda de un remo.")</f>
        <v>Un hombre está en un kayak en el agua que gira con la ayuda de un remo.</v>
      </c>
    </row>
    <row r="36743">
      <c r="A36743" s="4" t="s">
        <v>46217</v>
      </c>
      <c r="B36743" s="4" t="s">
        <v>46219</v>
      </c>
      <c r="C36743" s="5" t="str">
        <f>IFERROR(__xludf.DUMMYFUNCTION("GOOGLETRANSLATE(B36743,""en"",""es-ES"")"),"Luego, el hombre explica mostrar y mover el remo.")</f>
        <v>Luego, el hombre explica mostrar y mover el remo.</v>
      </c>
    </row>
    <row r="36744">
      <c r="A36744" s="4" t="s">
        <v>46217</v>
      </c>
      <c r="B36744" s="4" t="s">
        <v>46220</v>
      </c>
      <c r="C36744" s="5" t="str">
        <f>IFERROR(__xludf.DUMMYFUNCTION("GOOGLETRANSLATE(B36744,""en"",""es-ES"")"),"Después de que el hombre comienza a remar en el río y girando el kayak.")</f>
        <v>Después de que el hombre comienza a remar en el río y girando el kayak.</v>
      </c>
    </row>
    <row r="36745">
      <c r="A36745" s="4" t="s">
        <v>46221</v>
      </c>
      <c r="B36745" s="4" t="s">
        <v>46222</v>
      </c>
      <c r="C36745" s="5" t="str">
        <f>IFERROR(__xludf.DUMMYFUNCTION("GOOGLETRANSLATE(B36745,""en"",""es-ES"")"),"El hombre está de pie a Nex con una camioneta con zancos.")</f>
        <v>El hombre está de pie a Nex con una camioneta con zancos.</v>
      </c>
    </row>
    <row r="36746">
      <c r="A36746" s="4" t="s">
        <v>46221</v>
      </c>
      <c r="B36746" s="4" t="s">
        <v>46223</v>
      </c>
      <c r="C36746" s="5" t="str">
        <f>IFERROR(__xludf.DUMMYFUNCTION("GOOGLETRANSLATE(B36746,""en"",""es-ES"")"),"Otro hombre está sentado en la parte posterior de una camioneta está poniendo los zancos en sus pies.")</f>
        <v>Otro hombre está sentado en la parte posterior de una camioneta está poniendo los zancos en sus pies.</v>
      </c>
    </row>
    <row r="36747">
      <c r="A36747" s="4" t="s">
        <v>46221</v>
      </c>
      <c r="B36747" s="4" t="s">
        <v>46224</v>
      </c>
      <c r="C36747" s="5" t="str">
        <f>IFERROR(__xludf.DUMMYFUNCTION("GOOGLETRANSLATE(B36747,""en"",""es-ES"")"),"Los hombres con pilotes caminan en un estacionamiento a la calle.")</f>
        <v>Los hombres con pilotes caminan en un estacionamiento a la calle.</v>
      </c>
    </row>
    <row r="36748">
      <c r="A36748" s="4" t="s">
        <v>46221</v>
      </c>
      <c r="B36748" s="4" t="s">
        <v>46225</v>
      </c>
      <c r="C36748" s="5" t="str">
        <f>IFERROR(__xludf.DUMMYFUNCTION("GOOGLETRANSLATE(B36748,""en"",""es-ES"")"),"Los hombres están arrodillados en la calle y comienzan a saltar por la pendiente pavimentada.")</f>
        <v>Los hombres están arrodillados en la calle y comienzan a saltar por la pendiente pavimentada.</v>
      </c>
    </row>
    <row r="36749">
      <c r="A36749" s="4" t="s">
        <v>46226</v>
      </c>
      <c r="B36749" s="4" t="s">
        <v>46227</v>
      </c>
      <c r="C36749" s="5" t="str">
        <f>IFERROR(__xludf.DUMMYFUNCTION("GOOGLETRANSLATE(B36749,""en"",""es-ES"")"),"La mujer está de pie en una cocina hablando con la cámara y mostrando los limones, el frasco y el tazón en el mostrador.")</f>
        <v>La mujer está de pie en una cocina hablando con la cámara y mostrando los limones, el frasco y el tazón en el mostrador.</v>
      </c>
    </row>
    <row r="36750">
      <c r="A36750" s="4" t="s">
        <v>46226</v>
      </c>
      <c r="B36750" s="4" t="s">
        <v>46228</v>
      </c>
      <c r="C36750" s="5" t="str">
        <f>IFERROR(__xludf.DUMMYFUNCTION("GOOGLETRANSLATE(B36750,""en"",""es-ES"")"),"La mujer está apretando el limón en un tazón y en el agua.")</f>
        <v>La mujer está apretando el limón en un tazón y en el agua.</v>
      </c>
    </row>
    <row r="36751">
      <c r="A36751" s="4" t="s">
        <v>46226</v>
      </c>
      <c r="B36751" s="4" t="s">
        <v>46229</v>
      </c>
      <c r="C36751" s="5" t="str">
        <f>IFERROR(__xludf.DUMMYFUNCTION("GOOGLETRANSLATE(B36751,""en"",""es-ES"")"),"La mujer está al frente de la estufa y vierte azúcar en agua en una sartén hasta que hierva.")</f>
        <v>La mujer está al frente de la estufa y vierte azúcar en agua en una sartén hasta que hierva.</v>
      </c>
    </row>
    <row r="36752">
      <c r="A36752" s="4" t="s">
        <v>46226</v>
      </c>
      <c r="B36752" s="4" t="s">
        <v>46230</v>
      </c>
      <c r="C36752" s="5" t="str">
        <f>IFERROR(__xludf.DUMMYFUNCTION("GOOGLETRANSLATE(B36752,""en"",""es-ES"")"),"Mujer vierta azúcar en el frasco con hielo.")</f>
        <v>Mujer vierta azúcar en el frasco con hielo.</v>
      </c>
    </row>
    <row r="36753">
      <c r="A36753" s="4" t="s">
        <v>46231</v>
      </c>
      <c r="B36753" s="4" t="s">
        <v>46232</v>
      </c>
      <c r="C36753" s="5" t="str">
        <f>IFERROR(__xludf.DUMMYFUNCTION("GOOGLETRANSLATE(B36753,""en"",""es-ES"")"),"Una persona mojó un automóvil con agua, luego pone detergente al automóvil usando una larga escobilla.")</f>
        <v>Una persona mojó un automóvil con agua, luego pone detergente al automóvil usando una larga escobilla.</v>
      </c>
    </row>
    <row r="36754">
      <c r="A36754" s="4" t="s">
        <v>46231</v>
      </c>
      <c r="B36754" s="4" t="s">
        <v>46233</v>
      </c>
      <c r="C36754" s="5" t="str">
        <f>IFERROR(__xludf.DUMMYFUNCTION("GOOGLETRANSLATE(B36754,""en"",""es-ES"")"),"El hombre enjuague el auto con agua.")</f>
        <v>El hombre enjuague el auto con agua.</v>
      </c>
    </row>
    <row r="36755">
      <c r="A36755" s="4" t="s">
        <v>46231</v>
      </c>
      <c r="B36755" s="4" t="s">
        <v>46234</v>
      </c>
      <c r="C36755" s="5" t="str">
        <f>IFERROR(__xludf.DUMMYFUNCTION("GOOGLETRANSLATE(B36755,""en"",""es-ES"")"),"Luego, el hombre limpia nuevamente con jabón y agua el automóvil por segunda vez.")</f>
        <v>Luego, el hombre limpia nuevamente con jabón y agua el automóvil por segunda vez.</v>
      </c>
    </row>
    <row r="36756">
      <c r="A36756" s="4" t="s">
        <v>46231</v>
      </c>
      <c r="B36756" s="4" t="s">
        <v>46235</v>
      </c>
      <c r="C36756" s="5" t="str">
        <f>IFERROR(__xludf.DUMMYFUNCTION("GOOGLETRANSLATE(B36756,""en"",""es-ES"")"),"El hombre limpia con una tela y enjuague con agua las llantas del automóvil.")</f>
        <v>El hombre limpia con una tela y enjuague con agua las llantas del automóvil.</v>
      </c>
    </row>
    <row r="36757">
      <c r="A36757" s="4" t="s">
        <v>46231</v>
      </c>
      <c r="B36757" s="4" t="s">
        <v>46236</v>
      </c>
      <c r="C36757" s="5" t="str">
        <f>IFERROR(__xludf.DUMMYFUNCTION("GOOGLETRANSLATE(B36757,""en"",""es-ES"")"),"Después, el hombre seca el auto manualmente con una tela.")</f>
        <v>Después, el hombre seca el auto manualmente con una tela.</v>
      </c>
    </row>
    <row r="36758">
      <c r="A36758" s="4" t="s">
        <v>46231</v>
      </c>
      <c r="B36758" s="4" t="s">
        <v>46237</v>
      </c>
      <c r="C36758" s="5" t="str">
        <f>IFERROR(__xludf.DUMMYFUNCTION("GOOGLETRANSLATE(B36758,""en"",""es-ES"")"),"Luego, el hombre limpia dentro del auto, luego conduce el auto.")</f>
        <v>Luego, el hombre limpia dentro del auto, luego conduce el auto.</v>
      </c>
    </row>
    <row r="36759">
      <c r="A36759" s="4" t="s">
        <v>46238</v>
      </c>
      <c r="B36759" s="4" t="s">
        <v>46239</v>
      </c>
      <c r="C36759" s="5" t="str">
        <f>IFERROR(__xludf.DUMMYFUNCTION("GOOGLETRANSLATE(B36759,""en"",""es-ES"")"),"Un hombre se sienta en una mesa hablando.")</f>
        <v>Un hombre se sienta en una mesa hablando.</v>
      </c>
    </row>
    <row r="36760">
      <c r="A36760" s="4" t="s">
        <v>46238</v>
      </c>
      <c r="B36760" s="4" t="s">
        <v>46240</v>
      </c>
      <c r="C36760" s="5" t="str">
        <f>IFERROR(__xludf.DUMMYFUNCTION("GOOGLETRANSLATE(B36760,""en"",""es-ES"")"),"El hombre, que ahora está de pie, vierte pintura más delgada en un trapo y limpia la mesa con el trapo.")</f>
        <v>El hombre, que ahora está de pie, vierte pintura más delgada en un trapo y limpia la mesa con el trapo.</v>
      </c>
    </row>
    <row r="36761">
      <c r="A36761" s="4" t="s">
        <v>46238</v>
      </c>
      <c r="B36761" s="4" t="s">
        <v>46241</v>
      </c>
      <c r="C36761" s="5" t="str">
        <f>IFERROR(__xludf.DUMMYFUNCTION("GOOGLETRANSLATE(B36761,""en"",""es-ES"")"),"El hombre se sienta a la mesa de nuevo mientras habla.")</f>
        <v>El hombre se sienta a la mesa de nuevo mientras habla.</v>
      </c>
    </row>
    <row r="36762">
      <c r="A36762" s="4" t="s">
        <v>46238</v>
      </c>
      <c r="B36762" s="4" t="s">
        <v>46242</v>
      </c>
      <c r="C36762" s="5" t="str">
        <f>IFERROR(__xludf.DUMMYFUNCTION("GOOGLETRANSLATE(B36762,""en"",""es-ES"")"),"Ahora está de pie poniendo un esmalte sobre la mesa y brillando.")</f>
        <v>Ahora está de pie poniendo un esmalte sobre la mesa y brillando.</v>
      </c>
    </row>
    <row r="36763">
      <c r="A36763" s="4" t="s">
        <v>46238</v>
      </c>
      <c r="B36763" s="4" t="s">
        <v>46243</v>
      </c>
      <c r="C36763" s="5" t="str">
        <f>IFERROR(__xludf.DUMMYFUNCTION("GOOGLETRANSLATE(B36763,""en"",""es-ES"")"),"Luego limpia las patas de la mesa con un cepillo.")</f>
        <v>Luego limpia las patas de la mesa con un cepillo.</v>
      </c>
    </row>
    <row r="36764">
      <c r="A36764" s="4" t="s">
        <v>46238</v>
      </c>
      <c r="B36764" s="4" t="s">
        <v>46244</v>
      </c>
      <c r="C36764" s="5" t="str">
        <f>IFERROR(__xludf.DUMMYFUNCTION("GOOGLETRANSLATE(B36764,""en"",""es-ES"")"),"Se sienta a la mesa hablando por otro momento.")</f>
        <v>Se sienta a la mesa hablando por otro momento.</v>
      </c>
    </row>
    <row r="36765">
      <c r="A36765" s="4" t="s">
        <v>46238</v>
      </c>
      <c r="B36765" s="4" t="s">
        <v>46245</v>
      </c>
      <c r="C36765" s="5" t="str">
        <f>IFERROR(__xludf.DUMMYFUNCTION("GOOGLETRANSLATE(B36765,""en"",""es-ES"")"),"La escena cambia y se ve al hombre de pie en un garaje.")</f>
        <v>La escena cambia y se ve al hombre de pie en un garaje.</v>
      </c>
    </row>
    <row r="36766">
      <c r="A36766" s="4" t="s">
        <v>46246</v>
      </c>
      <c r="B36766" s="4" t="s">
        <v>46247</v>
      </c>
      <c r="C36766" s="5" t="str">
        <f>IFERROR(__xludf.DUMMYFUNCTION("GOOGLETRANSLATE(B36766,""en"",""es-ES"")"),"Se ven dos personas montando en una canoa empujando una paleta a lo largo del agua y mirando a la cámara.")</f>
        <v>Se ven dos personas montando en una canoa empujando una paleta a lo largo del agua y mirando a la cámara.</v>
      </c>
    </row>
    <row r="36767">
      <c r="A36767" s="4" t="s">
        <v>46246</v>
      </c>
      <c r="B36767" s="4" t="s">
        <v>46248</v>
      </c>
      <c r="C36767" s="5" t="str">
        <f>IFERROR(__xludf.DUMMYFUNCTION("GOOGLETRANSLATE(B36767,""en"",""es-ES"")"),"Se muestran más clips del paisaje, así como de las personas que viajan y se encuentran con otros.")</f>
        <v>Se muestran más clips del paisaje, así como de las personas que viajan y se encuentran con otros.</v>
      </c>
    </row>
    <row r="36768">
      <c r="A36768" s="4" t="s">
        <v>46249</v>
      </c>
      <c r="B36768" s="4" t="s">
        <v>46250</v>
      </c>
      <c r="C36768" s="5" t="str">
        <f>IFERROR(__xludf.DUMMYFUNCTION("GOOGLETRANSLATE(B36768,""en"",""es-ES"")"),"Se ve a un gran grupo de personas de pie alrededor de una habitación de ballet y conduce a cuatro realizando un baile.")</f>
        <v>Se ve a un gran grupo de personas de pie alrededor de una habitación de ballet y conduce a cuatro realizando un baile.</v>
      </c>
    </row>
    <row r="36769">
      <c r="A36769" s="4" t="s">
        <v>46249</v>
      </c>
      <c r="B36769" s="4" t="s">
        <v>46251</v>
      </c>
      <c r="C36769" s="5" t="str">
        <f>IFERROR(__xludf.DUMMYFUNCTION("GOOGLETRANSLATE(B36769,""en"",""es-ES"")"),"Los cuatro se mueven continuamente juntos mientras se toman de la mano y hacen los mismos movimientos.")</f>
        <v>Los cuatro se mueven continuamente juntos mientras se toman de la mano y hacen los mismos movimientos.</v>
      </c>
    </row>
    <row r="36770">
      <c r="A36770" s="4" t="s">
        <v>46249</v>
      </c>
      <c r="B36770" s="4" t="s">
        <v>46252</v>
      </c>
      <c r="C36770" s="5" t="str">
        <f>IFERROR(__xludf.DUMMYFUNCTION("GOOGLETRANSLATE(B36770,""en"",""es-ES"")"),"Las chicas se ríen juntas y continúan bailando y terminando sosteniendo una pose.")</f>
        <v>Las chicas se ríen juntas y continúan bailando y terminando sosteniendo una pose.</v>
      </c>
    </row>
    <row r="36771">
      <c r="A36771" s="4" t="s">
        <v>46253</v>
      </c>
      <c r="B36771" s="4" t="s">
        <v>46254</v>
      </c>
      <c r="C36771" s="5" t="str">
        <f>IFERROR(__xludf.DUMMYFUNCTION("GOOGLETRANSLATE(B36771,""en"",""es-ES"")"),"Una mujer entra al marco hablando con la cámara y señala un letrero que la lleva a hablar con un hombre frente a un arco y una flecha.")</f>
        <v>Una mujer entra al marco hablando con la cámara y señala un letrero que la lleva a hablar con un hombre frente a un arco y una flecha.</v>
      </c>
    </row>
    <row r="36772">
      <c r="A36772" s="4" t="s">
        <v>46253</v>
      </c>
      <c r="B36772" s="4" t="s">
        <v>46255</v>
      </c>
      <c r="C36772" s="5" t="str">
        <f>IFERROR(__xludf.DUMMYFUNCTION("GOOGLETRANSLATE(B36772,""en"",""es-ES"")"),"El hombre habla con ella y pone equipo de inclinación a la mujer y extiende la reverencia por ella.")</f>
        <v>El hombre habla con ella y pone equipo de inclinación a la mujer y extiende la reverencia por ella.</v>
      </c>
    </row>
    <row r="36773">
      <c r="A36773" s="4" t="s">
        <v>46253</v>
      </c>
      <c r="B36773" s="4" t="s">
        <v>46256</v>
      </c>
      <c r="C36773" s="5" t="str">
        <f>IFERROR(__xludf.DUMMYFUNCTION("GOOGLETRANSLATE(B36773,""en"",""es-ES"")"),"Él le enseña cómo sostener adecuadamente el arco y la mujer toma varias turnos disparando el arco y la flecha.")</f>
        <v>Él le enseña cómo sostener adecuadamente el arco y la mujer toma varias turnos disparando el arco y la flecha.</v>
      </c>
    </row>
    <row r="36774">
      <c r="A36774" s="4" t="s">
        <v>46253</v>
      </c>
      <c r="B36774" s="4" t="s">
        <v>46257</v>
      </c>
      <c r="C36774" s="5" t="str">
        <f>IFERROR(__xludf.DUMMYFUNCTION("GOOGLETRANSLATE(B36774,""en"",""es-ES"")"),"Ella anima y continúa disparando mientras el hombre habla con ella y le da la mano mientras se alejan.")</f>
        <v>Ella anima y continúa disparando mientras el hombre habla con ella y le da la mano mientras se alejan.</v>
      </c>
    </row>
    <row r="36775">
      <c r="A36775" s="4" t="s">
        <v>46258</v>
      </c>
      <c r="B36775" s="4" t="s">
        <v>46259</v>
      </c>
      <c r="C36775" s="5" t="str">
        <f>IFERROR(__xludf.DUMMYFUNCTION("GOOGLETRANSLATE(B36775,""en"",""es-ES"")"),"Se ve a una mujer sentada debajo de un paraguas con una palanca de narguile en la boca.")</f>
        <v>Se ve a una mujer sentada debajo de un paraguas con una palanca de narguile en la boca.</v>
      </c>
    </row>
    <row r="36776">
      <c r="A36776" s="4" t="s">
        <v>46258</v>
      </c>
      <c r="B36776" s="4" t="s">
        <v>46260</v>
      </c>
      <c r="C36776" s="5" t="str">
        <f>IFERROR(__xludf.DUMMYFUNCTION("GOOGLETRANSLATE(B36776,""en"",""es-ES"")"),"Ella toma un par de bocanadas del palo mientras lo sopla en la cámara y habla con la cámara.")</f>
        <v>Ella toma un par de bocanadas del palo mientras lo sopla en la cámara y habla con la cámara.</v>
      </c>
    </row>
    <row r="36777">
      <c r="A36777" s="4" t="s">
        <v>46261</v>
      </c>
      <c r="B36777" s="4" t="s">
        <v>46262</v>
      </c>
      <c r="C36777" s="5" t="str">
        <f>IFERROR(__xludf.DUMMYFUNCTION("GOOGLETRANSLATE(B36777,""en"",""es-ES"")"),"La mujer limpia los muebles con acetona.")</f>
        <v>La mujer limpia los muebles con acetona.</v>
      </c>
    </row>
    <row r="36778">
      <c r="A36778" s="4" t="s">
        <v>46261</v>
      </c>
      <c r="B36778" s="4" t="s">
        <v>46263</v>
      </c>
      <c r="C36778" s="5" t="str">
        <f>IFERROR(__xludf.DUMMYFUNCTION("GOOGLETRANSLATE(B36778,""en"",""es-ES"")"),"Mujer rocía silicona sobre la mesa y la limpia.")</f>
        <v>Mujer rocía silicona sobre la mesa y la limpia.</v>
      </c>
    </row>
    <row r="36779">
      <c r="A36779" s="4" t="s">
        <v>46261</v>
      </c>
      <c r="B36779" s="4" t="s">
        <v>46264</v>
      </c>
      <c r="C36779" s="5" t="str">
        <f>IFERROR(__xludf.DUMMYFUNCTION("GOOGLETRANSLATE(B36779,""en"",""es-ES"")"),"La mujer compara la sección antigua con la sección limpia.")</f>
        <v>La mujer compara la sección antigua con la sección limpia.</v>
      </c>
    </row>
    <row r="36780">
      <c r="A36780" s="4" t="s">
        <v>46265</v>
      </c>
      <c r="B36780" s="4" t="s">
        <v>46266</v>
      </c>
      <c r="C36780" s="5" t="str">
        <f>IFERROR(__xludf.DUMMYFUNCTION("GOOGLETRANSLATE(B36780,""en"",""es-ES"")"),"Se ve a un gran grupo de personas sentados alrededor de un pozo con un hombre girando y arrojando una pelota a lo lejos.")</f>
        <v>Se ve a un gran grupo de personas sentados alrededor de un pozo con un hombre girando y arrojando una pelota a lo lejos.</v>
      </c>
    </row>
    <row r="36781">
      <c r="A36781" s="4" t="s">
        <v>46265</v>
      </c>
      <c r="B36781" s="4" t="s">
        <v>46267</v>
      </c>
      <c r="C36781" s="5" t="str">
        <f>IFERROR(__xludf.DUMMYFUNCTION("GOOGLETRANSLATE(B36781,""en"",""es-ES"")"),"Las personas a su alrededor aplauden mientras más se paran y hablan, así como miran las bolas.")</f>
        <v>Las personas a su alrededor aplauden mientras más se paran y hablan, así como miran las bolas.</v>
      </c>
    </row>
    <row r="36782">
      <c r="A36782" s="4" t="s">
        <v>46265</v>
      </c>
      <c r="B36782" s="4" t="s">
        <v>46268</v>
      </c>
      <c r="C36782" s="5" t="str">
        <f>IFERROR(__xludf.DUMMYFUNCTION("GOOGLETRANSLATE(B36782,""en"",""es-ES"")"),"La gente agarra la pelota desde el suelo una y otra vez mientras mira ocasionalmente a la cámara y volvía a la gran multitud.")</f>
        <v>La gente agarra la pelota desde el suelo una y otra vez mientras mira ocasionalmente a la cámara y volvía a la gran multitud.</v>
      </c>
    </row>
    <row r="36783">
      <c r="A36783" s="4" t="s">
        <v>46269</v>
      </c>
      <c r="B36783" s="4" t="s">
        <v>46270</v>
      </c>
      <c r="C36783" s="5" t="str">
        <f>IFERROR(__xludf.DUMMYFUNCTION("GOOGLETRANSLATE(B36783,""en"",""es-ES"")"),"Se muestra una pelota volando en el cielo mientras un gran grupo de personas de pie.")</f>
        <v>Se muestra una pelota volando en el cielo mientras un gran grupo de personas de pie.</v>
      </c>
    </row>
    <row r="36784">
      <c r="A36784" s="4" t="s">
        <v>46269</v>
      </c>
      <c r="B36784" s="4" t="s">
        <v>46271</v>
      </c>
      <c r="C36784" s="5" t="str">
        <f>IFERROR(__xludf.DUMMYFUNCTION("GOOGLETRANSLATE(B36784,""en"",""es-ES"")"),"Luego se ve a una persona agarrando la pelota en el suelo.")</f>
        <v>Luego se ve a una persona agarrando la pelota en el suelo.</v>
      </c>
    </row>
    <row r="36785">
      <c r="A36785" s="4" t="s">
        <v>46269</v>
      </c>
      <c r="B36785" s="4" t="s">
        <v>46272</v>
      </c>
      <c r="C36785" s="5" t="str">
        <f>IFERROR(__xludf.DUMMYFUNCTION("GOOGLETRANSLATE(B36785,""en"",""es-ES"")"),"La persona atrapa la pelota y el clip se muestra nuevamente en cámara lenta.")</f>
        <v>La persona atrapa la pelota y el clip se muestra nuevamente en cámara lenta.</v>
      </c>
    </row>
    <row r="36786">
      <c r="A36786" s="4" t="s">
        <v>46273</v>
      </c>
      <c r="B36786" s="4" t="s">
        <v>46274</v>
      </c>
      <c r="C36786" s="5" t="str">
        <f>IFERROR(__xludf.DUMMYFUNCTION("GOOGLETRANSLATE(B36786,""en"",""es-ES"")"),"En una instalación pobre al aire libre, la gente está en la piscina y otras están afuera de pie.")</f>
        <v>En una instalación pobre al aire libre, la gente está en la piscina y otras están afuera de pie.</v>
      </c>
    </row>
    <row r="36787">
      <c r="A36787" s="4" t="s">
        <v>46273</v>
      </c>
      <c r="B36787" s="4" t="s">
        <v>46275</v>
      </c>
      <c r="C36787" s="5" t="str">
        <f>IFERROR(__xludf.DUMMYFUNCTION("GOOGLETRANSLATE(B36787,""en"",""es-ES"")"),"Hay dos niños en el tablero de buceo que se preparan para saltar.")</f>
        <v>Hay dos niños en el tablero de buceo que se preparan para saltar.</v>
      </c>
    </row>
    <row r="36788">
      <c r="A36788" s="4" t="s">
        <v>46273</v>
      </c>
      <c r="B36788" s="4" t="s">
        <v>46276</v>
      </c>
      <c r="C36788" s="5" t="str">
        <f>IFERROR(__xludf.DUMMYFUNCTION("GOOGLETRANSLATE(B36788,""en"",""es-ES"")"),"Se meten en una posición única y luego se sumergen simultáneamente juntos.")</f>
        <v>Se meten en una posición única y luego se sumergen simultáneamente juntos.</v>
      </c>
    </row>
    <row r="36789">
      <c r="A36789" s="4" t="s">
        <v>46273</v>
      </c>
      <c r="B36789" s="4" t="s">
        <v>46277</v>
      </c>
      <c r="C36789" s="5" t="str">
        <f>IFERROR(__xludf.DUMMYFUNCTION("GOOGLETRANSLATE(B36789,""en"",""es-ES"")"),"Hacen un gran chapoteo mientras aterrizan dentro del agua.")</f>
        <v>Hacen un gran chapoteo mientras aterrizan dentro del agua.</v>
      </c>
    </row>
    <row r="36790">
      <c r="A36790" s="4" t="s">
        <v>46278</v>
      </c>
      <c r="B36790" s="4" t="s">
        <v>46279</v>
      </c>
      <c r="C36790" s="5" t="str">
        <f>IFERROR(__xludf.DUMMYFUNCTION("GOOGLETRANSLATE(B36790,""en"",""es-ES"")"),"Una imagen de un conjunto de patio se muestra seguida de una mujer fregando las mesas y las sillas.")</f>
        <v>Una imagen de un conjunto de patio se muestra seguida de una mujer fregando las mesas y las sillas.</v>
      </c>
    </row>
    <row r="36791">
      <c r="A36791" s="4" t="s">
        <v>46278</v>
      </c>
      <c r="B36791" s="4" t="s">
        <v>46280</v>
      </c>
      <c r="C36791" s="5" t="str">
        <f>IFERROR(__xludf.DUMMYFUNCTION("GOOGLETRANSLATE(B36791,""en"",""es-ES"")"),"Ella los limpia con un trapo y luego sacude una lata y pinta los muebles.")</f>
        <v>Ella los limpia con un trapo y luego sacude una lata y pinta los muebles.</v>
      </c>
    </row>
    <row r="36792">
      <c r="A36792" s="4" t="s">
        <v>46278</v>
      </c>
      <c r="B36792" s="4" t="s">
        <v>46281</v>
      </c>
      <c r="C36792" s="5" t="str">
        <f>IFERROR(__xludf.DUMMYFUNCTION("GOOGLETRANSLATE(B36792,""en"",""es-ES"")"),"Se muestran más primeros planos de los muebles mientras las instrucciones de texto se desplazan sobre la pantalla.")</f>
        <v>Se muestran más primeros planos de los muebles mientras las instrucciones de texto se desplazan sobre la pantalla.</v>
      </c>
    </row>
    <row r="36793">
      <c r="A36793" s="4" t="s">
        <v>46282</v>
      </c>
      <c r="B36793" s="4" t="s">
        <v>46283</v>
      </c>
      <c r="C36793" s="5" t="str">
        <f>IFERROR(__xludf.DUMMYFUNCTION("GOOGLETRANSLATE(B36793,""en"",""es-ES"")"),"Un hombre se encuentra en un estudio de baile y muestra cómo se prepara para diferentes posturas de baile.")</f>
        <v>Un hombre se encuentra en un estudio de baile y muestra cómo se prepara para diferentes posturas de baile.</v>
      </c>
    </row>
    <row r="36794">
      <c r="A36794" s="4" t="s">
        <v>46282</v>
      </c>
      <c r="B36794" s="4" t="s">
        <v>46284</v>
      </c>
      <c r="C36794" s="5" t="str">
        <f>IFERROR(__xludf.DUMMYFUNCTION("GOOGLETRANSLATE(B36794,""en"",""es-ES"")"),"El hombre de la camiseta blanca hace giros mientras break bailando.")</f>
        <v>El hombre de la camiseta blanca hace giros mientras break bailando.</v>
      </c>
    </row>
    <row r="36795">
      <c r="A36795" s="4" t="s">
        <v>46285</v>
      </c>
      <c r="B36795" s="4" t="s">
        <v>46286</v>
      </c>
      <c r="C36795" s="5" t="str">
        <f>IFERROR(__xludf.DUMMYFUNCTION("GOOGLETRANSLATE(B36795,""en"",""es-ES"")"),"El hombre está en el escenario en las noticias.")</f>
        <v>El hombre está en el escenario en las noticias.</v>
      </c>
    </row>
    <row r="36796">
      <c r="A36796" s="4" t="s">
        <v>46285</v>
      </c>
      <c r="B36796" s="4" t="s">
        <v>46287</v>
      </c>
      <c r="C36796" s="5" t="str">
        <f>IFERROR(__xludf.DUMMYFUNCTION("GOOGLETRANSLATE(B36796,""en"",""es-ES"")"),"La gente está en la calle saltando la cuerda y bailando mientras la gente reunida a su alrededor los está mirando.")</f>
        <v>La gente está en la calle saltando la cuerda y bailando mientras la gente reunida a su alrededor los está mirando.</v>
      </c>
    </row>
    <row r="36797">
      <c r="A36797" s="4" t="s">
        <v>46285</v>
      </c>
      <c r="B36797" s="4" t="s">
        <v>46288</v>
      </c>
      <c r="C36797" s="5" t="str">
        <f>IFERROR(__xludf.DUMMYFUNCTION("GOOGLETRANSLATE(B36797,""en"",""es-ES"")"),"Una vieja mujer china está siendo entrevistada.")</f>
        <v>Una vieja mujer china está siendo entrevistada.</v>
      </c>
    </row>
    <row r="36798">
      <c r="A36798" s="4" t="s">
        <v>46285</v>
      </c>
      <c r="B36798" s="4" t="s">
        <v>46289</v>
      </c>
      <c r="C36798" s="5" t="str">
        <f>IFERROR(__xludf.DUMMYFUNCTION("GOOGLETRANSLATE(B36798,""en"",""es-ES"")"),"Old Man está hablando con la cámara.")</f>
        <v>Old Man está hablando con la cámara.</v>
      </c>
    </row>
    <row r="36799">
      <c r="A36799" s="4" t="s">
        <v>46285</v>
      </c>
      <c r="B36799" s="4" t="s">
        <v>46290</v>
      </c>
      <c r="C36799" s="5" t="str">
        <f>IFERROR(__xludf.DUMMYFUNCTION("GOOGLETRANSLATE(B36799,""en"",""es-ES"")"),"La mujer sostiene un micrófono hablando con la cámara que salta la cuerda.")</f>
        <v>La mujer sostiene un micrófono hablando con la cámara que salta la cuerda.</v>
      </c>
    </row>
    <row r="36800">
      <c r="A36800" s="4" t="s">
        <v>46285</v>
      </c>
      <c r="B36800" s="4" t="s">
        <v>46291</v>
      </c>
      <c r="C36800" s="5" t="str">
        <f>IFERROR(__xludf.DUMMYFUNCTION("GOOGLETRANSLATE(B36800,""en"",""es-ES"")"),"La mujer está saltando la cuerda y está haciendo saltos mortales.")</f>
        <v>La mujer está saltando la cuerda y está haciendo saltos mortales.</v>
      </c>
    </row>
    <row r="36801">
      <c r="A36801" s="4" t="s">
        <v>46285</v>
      </c>
      <c r="B36801" s="4" t="s">
        <v>46292</v>
      </c>
      <c r="C36801" s="5" t="str">
        <f>IFERROR(__xludf.DUMMYFUNCTION("GOOGLETRANSLATE(B36801,""en"",""es-ES"")"),"Las mujeres están siendo entrevistadas y detrás de su gente está saltando la cuerda.")</f>
        <v>Las mujeres están siendo entrevistadas y detrás de su gente está saltando la cuerda.</v>
      </c>
    </row>
    <row r="36802">
      <c r="A36802" s="4" t="s">
        <v>46285</v>
      </c>
      <c r="B36802" s="4" t="s">
        <v>46293</v>
      </c>
      <c r="C36802" s="5" t="str">
        <f>IFERROR(__xludf.DUMMYFUNCTION("GOOGLETRANSLATE(B36802,""en"",""es-ES"")"),"La gente está en el escenario en la competencia saltando la cuerda.")</f>
        <v>La gente está en el escenario en la competencia saltando la cuerda.</v>
      </c>
    </row>
    <row r="36803">
      <c r="A36803" s="4" t="s">
        <v>46285</v>
      </c>
      <c r="B36803" s="4" t="s">
        <v>46294</v>
      </c>
      <c r="C36803" s="5" t="str">
        <f>IFERROR(__xludf.DUMMYFUNCTION("GOOGLETRANSLATE(B36803,""en"",""es-ES"")"),"Las mujeres están siendo entrevistadas en la calle y la gente sigue saltando la cuerda.")</f>
        <v>Las mujeres están siendo entrevistadas en la calle y la gente sigue saltando la cuerda.</v>
      </c>
    </row>
    <row r="36804">
      <c r="A36804" s="4" t="s">
        <v>46295</v>
      </c>
      <c r="B36804" s="4" t="s">
        <v>46296</v>
      </c>
      <c r="C36804" s="5" t="str">
        <f>IFERROR(__xludf.DUMMYFUNCTION("GOOGLETRANSLATE(B36804,""en"",""es-ES"")"),"El hombre de Blue Leotard levantó la barbilla, pero soltó la barbilla y se cayó de espaldas.")</f>
        <v>El hombre de Blue Leotard levantó la barbilla, pero soltó la barbilla y se cayó de espaldas.</v>
      </c>
    </row>
    <row r="36805">
      <c r="A36805" s="4" t="s">
        <v>46295</v>
      </c>
      <c r="B36805" s="4" t="s">
        <v>46297</v>
      </c>
      <c r="C36805" s="5" t="str">
        <f>IFERROR(__xludf.DUMMYFUNCTION("GOOGLETRANSLATE(B36805,""en"",""es-ES"")"),"El hombre de Red Leotard llevaba la barbilla hasta su cabeza, la multitud vitoreó.")</f>
        <v>El hombre de Red Leotard llevaba la barbilla hasta su cabeza, la multitud vitoreó.</v>
      </c>
    </row>
    <row r="36806">
      <c r="A36806" s="4" t="s">
        <v>46295</v>
      </c>
      <c r="B36806" s="4" t="s">
        <v>46298</v>
      </c>
      <c r="C36806" s="5" t="str">
        <f>IFERROR(__xludf.DUMMYFUNCTION("GOOGLETRANSLATE(B36806,""en"",""es-ES"")"),"El atleta levantó la barbilla pero no pudo subir por la cabeza.")</f>
        <v>El atleta levantó la barbilla pero no pudo subir por la cabeza.</v>
      </c>
    </row>
    <row r="36807">
      <c r="A36807" s="4" t="s">
        <v>46295</v>
      </c>
      <c r="B36807" s="4" t="s">
        <v>46299</v>
      </c>
      <c r="C36807" s="5" t="str">
        <f>IFERROR(__xludf.DUMMYFUNCTION("GOOGLETRANSLATE(B36807,""en"",""es-ES"")"),"La multitud está vitoreando mientras los atletas pueden levantar la barbilla en su cabeza.")</f>
        <v>La multitud está vitoreando mientras los atletas pueden levantar la barbilla en su cabeza.</v>
      </c>
    </row>
    <row r="36808">
      <c r="A36808" s="4" t="s">
        <v>46300</v>
      </c>
      <c r="B36808" s="4" t="s">
        <v>46301</v>
      </c>
      <c r="C36808" s="5" t="str">
        <f>IFERROR(__xludf.DUMMYFUNCTION("GOOGLETRANSLATE(B36808,""en"",""es-ES"")"),"Un hombre con pantalones cortos de gimnasio azul plancha su ropa en una tabla de planchar en casa.")</f>
        <v>Un hombre con pantalones cortos de gimnasio azul plancha su ropa en una tabla de planchar en casa.</v>
      </c>
    </row>
    <row r="36809">
      <c r="A36809" s="4" t="s">
        <v>46300</v>
      </c>
      <c r="B36809" s="4" t="s">
        <v>46302</v>
      </c>
      <c r="C36809" s="5" t="str">
        <f>IFERROR(__xludf.DUMMYFUNCTION("GOOGLETRANSLATE(B36809,""en"",""es-ES"")"),"El hombre se sienta en el piso y dobla su ropa y la apila.")</f>
        <v>El hombre se sienta en el piso y dobla su ropa y la apila.</v>
      </c>
    </row>
    <row r="36810">
      <c r="A36810" s="4" t="s">
        <v>46300</v>
      </c>
      <c r="B36810" s="4" t="s">
        <v>46303</v>
      </c>
      <c r="C36810" s="5" t="str">
        <f>IFERROR(__xludf.DUMMYFUNCTION("GOOGLETRANSLATE(B36810,""en"",""es-ES"")"),"El hombre sale de la habitación y la habitación se oscurece.")</f>
        <v>El hombre sale de la habitación y la habitación se oscurece.</v>
      </c>
    </row>
    <row r="36811">
      <c r="A36811" s="4" t="s">
        <v>46304</v>
      </c>
      <c r="B36811" s="4" t="s">
        <v>46305</v>
      </c>
      <c r="C36811" s="5" t="str">
        <f>IFERROR(__xludf.DUMMYFUNCTION("GOOGLETRANSLATE(B36811,""en"",""es-ES"")"),"Un hombre se encuentra en una gran arena.")</f>
        <v>Un hombre se encuentra en una gran arena.</v>
      </c>
    </row>
    <row r="36812">
      <c r="A36812" s="4" t="s">
        <v>46304</v>
      </c>
      <c r="B36812" s="4" t="s">
        <v>46306</v>
      </c>
      <c r="C36812" s="5" t="str">
        <f>IFERROR(__xludf.DUMMYFUNCTION("GOOGLETRANSLATE(B36812,""en"",""es-ES"")"),"Ella lanza una pelota pesada muy lejos.")</f>
        <v>Ella lanza una pelota pesada muy lejos.</v>
      </c>
    </row>
    <row r="36813">
      <c r="A36813" s="4" t="s">
        <v>46304</v>
      </c>
      <c r="B36813" s="4" t="s">
        <v>46307</v>
      </c>
      <c r="C36813" s="5" t="str">
        <f>IFERROR(__xludf.DUMMYFUNCTION("GOOGLETRANSLATE(B36813,""en"",""es-ES"")"),"Él hace esto una y otra vez.")</f>
        <v>Él hace esto una y otra vez.</v>
      </c>
    </row>
    <row r="36814">
      <c r="A36814" s="4" t="s">
        <v>46304</v>
      </c>
      <c r="B36814" s="4" t="s">
        <v>46308</v>
      </c>
      <c r="C36814" s="5" t="str">
        <f>IFERROR(__xludf.DUMMYFUNCTION("GOOGLETRANSLATE(B36814,""en"",""es-ES"")"),"Lanza las bolas muy lejos.")</f>
        <v>Lanza las bolas muy lejos.</v>
      </c>
    </row>
    <row r="36815">
      <c r="A36815" s="4" t="s">
        <v>46309</v>
      </c>
      <c r="B36815" s="4" t="s">
        <v>46310</v>
      </c>
      <c r="C36815" s="5" t="str">
        <f>IFERROR(__xludf.DUMMYFUNCTION("GOOGLETRANSLATE(B36815,""en"",""es-ES"")"),"Fuera de un perro está acostado en el pavimento cuando un humano recoge un frisbee y lo arroja.")</f>
        <v>Fuera de un perro está acostado en el pavimento cuando un humano recoge un frisbee y lo arroja.</v>
      </c>
    </row>
    <row r="36816">
      <c r="A36816" s="4" t="s">
        <v>46309</v>
      </c>
      <c r="B36816" s="4" t="s">
        <v>46311</v>
      </c>
      <c r="C36816" s="5" t="str">
        <f>IFERROR(__xludf.DUMMYFUNCTION("GOOGLETRANSLATE(B36816,""en"",""es-ES"")"),"El perro corre con entusiasmo después y viene corriendo con él, llevándolo de vuelta a su humano.")</f>
        <v>El perro corre con entusiasmo después y viene corriendo con él, llevándolo de vuelta a su humano.</v>
      </c>
    </row>
    <row r="36817">
      <c r="A36817" s="4" t="s">
        <v>46309</v>
      </c>
      <c r="B36817" s="4" t="s">
        <v>46312</v>
      </c>
      <c r="C36817" s="5" t="str">
        <f>IFERROR(__xludf.DUMMYFUNCTION("GOOGLETRANSLATE(B36817,""en"",""es-ES"")"),"Desaparece un poco y luego lo ves con entusiasmo, prepárate para correr de nuevo.")</f>
        <v>Desaparece un poco y luego lo ves con entusiasmo, prepárate para correr de nuevo.</v>
      </c>
    </row>
    <row r="36818">
      <c r="A36818" s="4" t="s">
        <v>46309</v>
      </c>
      <c r="B36818" s="4" t="s">
        <v>46313</v>
      </c>
      <c r="C36818" s="5" t="str">
        <f>IFERROR(__xludf.DUMMYFUNCTION("GOOGLETRANSLATE(B36818,""en"",""es-ES"")"),"Una vez que vea el Frisbee volando, comienza a correr por ello y lo trae de vuelta cada vez.")</f>
        <v>Una vez que vea el Frisbee volando, comienza a correr por ello y lo trae de vuelta cada vez.</v>
      </c>
    </row>
    <row r="36819">
      <c r="A36819" s="4" t="s">
        <v>46314</v>
      </c>
      <c r="B36819" s="4" t="s">
        <v>46315</v>
      </c>
      <c r="C36819" s="5" t="str">
        <f>IFERROR(__xludf.DUMMYFUNCTION("GOOGLETRANSLATE(B36819,""en"",""es-ES"")"),"Hay algunos niños adolescentes que patinan en las calles tranquilas en un vecindario.")</f>
        <v>Hay algunos niños adolescentes que patinan en las calles tranquilas en un vecindario.</v>
      </c>
    </row>
    <row r="36820">
      <c r="A36820" s="4" t="s">
        <v>46314</v>
      </c>
      <c r="B36820" s="4" t="s">
        <v>46316</v>
      </c>
      <c r="C36820" s="5" t="str">
        <f>IFERROR(__xludf.DUMMYFUNCTION("GOOGLETRANSLATE(B36820,""en"",""es-ES"")"),"Van por la calle, probando algunas acrobacias en la patineta.")</f>
        <v>Van por la calle, probando algunas acrobacias en la patineta.</v>
      </c>
    </row>
    <row r="36821">
      <c r="A36821" s="4" t="s">
        <v>46314</v>
      </c>
      <c r="B36821" s="4" t="s">
        <v>46317</v>
      </c>
      <c r="C36821" s="5" t="str">
        <f>IFERROR(__xludf.DUMMYFUNCTION("GOOGLETRANSLATE(B36821,""en"",""es-ES"")"),"Hay algunas hojas caídas en la acera.")</f>
        <v>Hay algunas hojas caídas en la acera.</v>
      </c>
    </row>
    <row r="36822">
      <c r="A36822" s="4" t="s">
        <v>46314</v>
      </c>
      <c r="B36822" s="4" t="s">
        <v>46318</v>
      </c>
      <c r="C36822" s="5" t="str">
        <f>IFERROR(__xludf.DUMMYFUNCTION("GOOGLETRANSLATE(B36822,""en"",""es-ES"")"),"Uno de los niños se dobla y patina en una posición sentada.")</f>
        <v>Uno de los niños se dobla y patina en una posición sentada.</v>
      </c>
    </row>
    <row r="36823">
      <c r="A36823" s="4" t="s">
        <v>46314</v>
      </c>
      <c r="B36823" s="4" t="s">
        <v>46319</v>
      </c>
      <c r="C36823" s="5" t="str">
        <f>IFERROR(__xludf.DUMMYFUNCTION("GOOGLETRANSLATE(B36823,""en"",""es-ES"")"),"Los niños continúan patinando por las calles, pasando las casas en la zona residencial.")</f>
        <v>Los niños continúan patinando por las calles, pasando las casas en la zona residencial.</v>
      </c>
    </row>
    <row r="36824">
      <c r="A36824" s="4" t="s">
        <v>46320</v>
      </c>
      <c r="B36824" s="4" t="s">
        <v>46321</v>
      </c>
      <c r="C36824" s="5" t="str">
        <f>IFERROR(__xludf.DUMMYFUNCTION("GOOGLETRANSLATE(B36824,""en"",""es-ES"")"),"Un hombre con una camisa a rayas se prepara para lanzar Dart en un tablero de dardos.")</f>
        <v>Un hombre con una camisa a rayas se prepara para lanzar Dart en un tablero de dardos.</v>
      </c>
    </row>
    <row r="36825">
      <c r="A36825" s="4" t="s">
        <v>46320</v>
      </c>
      <c r="B36825" s="4" t="s">
        <v>46322</v>
      </c>
      <c r="C36825" s="5" t="str">
        <f>IFERROR(__xludf.DUMMYFUNCTION("GOOGLETRANSLATE(B36825,""en"",""es-ES"")"),"El hombre arroja tres dardos en el tablero de dardos.")</f>
        <v>El hombre arroja tres dardos en el tablero de dardos.</v>
      </c>
    </row>
    <row r="36826">
      <c r="A36826" s="4" t="s">
        <v>46320</v>
      </c>
      <c r="B36826" s="4" t="s">
        <v>46323</v>
      </c>
      <c r="C36826" s="5" t="str">
        <f>IFERROR(__xludf.DUMMYFUNCTION("GOOGLETRANSLATE(B36826,""en"",""es-ES"")"),"El camarógrafo se mueve al costado del tablero de dardos y se acerca a los dardos mientras el hombre de la camisa rayada busca el tablero de dardos.")</f>
        <v>El camarógrafo se mueve al costado del tablero de dardos y se acerca a los dardos mientras el hombre de la camisa rayada busca el tablero de dardos.</v>
      </c>
    </row>
    <row r="36827">
      <c r="A36827" s="4" t="s">
        <v>46324</v>
      </c>
      <c r="B36827" s="4" t="s">
        <v>46325</v>
      </c>
      <c r="C36827" s="5" t="str">
        <f>IFERROR(__xludf.DUMMYFUNCTION("GOOGLETRANSLATE(B36827,""en"",""es-ES"")"),"Aparece un anuncio para Vidal Sassoon.")</f>
        <v>Aparece un anuncio para Vidal Sassoon.</v>
      </c>
    </row>
    <row r="36828">
      <c r="A36828" s="4" t="s">
        <v>46324</v>
      </c>
      <c r="B36828" s="4" t="s">
        <v>46326</v>
      </c>
      <c r="C36828" s="5" t="str">
        <f>IFERROR(__xludf.DUMMYFUNCTION("GOOGLETRANSLATE(B36828,""en"",""es-ES"")"),"Luego vemos su rización de hierro y rodillo caliente.")</f>
        <v>Luego vemos su rización de hierro y rodillo caliente.</v>
      </c>
    </row>
    <row r="36829">
      <c r="A36829" s="4" t="s">
        <v>46324</v>
      </c>
      <c r="B36829" s="4" t="s">
        <v>46327</v>
      </c>
      <c r="C36829" s="5" t="str">
        <f>IFERROR(__xludf.DUMMYFUNCTION("GOOGLETRANSLATE(B36829,""en"",""es-ES"")"),"Se muestra una demostración sobre cómo establecer y usar los rodillos calientes y el hierro en el cabello de una mujer.")</f>
        <v>Se muestra una demostración sobre cómo establecer y usar los rodillos calientes y el hierro en el cabello de una mujer.</v>
      </c>
    </row>
    <row r="36830">
      <c r="A36830" s="4" t="s">
        <v>46324</v>
      </c>
      <c r="B36830" s="4" t="s">
        <v>46328</v>
      </c>
      <c r="C36830" s="5" t="str">
        <f>IFERROR(__xludf.DUMMYFUNCTION("GOOGLETRANSLATE(B36830,""en"",""es-ES"")"),"Su cabello se muestra en bonitos rizos alrededor de su cabeza.")</f>
        <v>Su cabello se muestra en bonitos rizos alrededor de su cabeza.</v>
      </c>
    </row>
    <row r="36831">
      <c r="A36831" s="4" t="s">
        <v>46329</v>
      </c>
      <c r="B36831" s="4" t="s">
        <v>46330</v>
      </c>
      <c r="C36831" s="5" t="str">
        <f>IFERROR(__xludf.DUMMYFUNCTION("GOOGLETRANSLATE(B36831,""en"",""es-ES"")"),"Se muestra una foto de introducción de varios atletas.")</f>
        <v>Se muestra una foto de introducción de varios atletas.</v>
      </c>
    </row>
    <row r="36832">
      <c r="A36832" s="4" t="s">
        <v>46329</v>
      </c>
      <c r="B36832" s="4" t="s">
        <v>46331</v>
      </c>
      <c r="C36832" s="5" t="str">
        <f>IFERROR(__xludf.DUMMYFUNCTION("GOOGLETRANSLATE(B36832,""en"",""es-ES"")"),"Luego se muestra a un hombre lanzando un disco en un campo grande.")</f>
        <v>Luego se muestra a un hombre lanzando un disco en un campo grande.</v>
      </c>
    </row>
    <row r="36833">
      <c r="A36833" s="4" t="s">
        <v>46329</v>
      </c>
      <c r="B36833" s="4" t="s">
        <v>46332</v>
      </c>
      <c r="C36833" s="5" t="str">
        <f>IFERROR(__xludf.DUMMYFUNCTION("GOOGLETRANSLATE(B36833,""en"",""es-ES"")"),"También se muestra a otro hombre haciendo lo mismo con una foto quieta de él después mostrando su postura y su lanzamiento en cámara lenta.")</f>
        <v>También se muestra a otro hombre haciendo lo mismo con una foto quieta de él después mostrando su postura y su lanzamiento en cámara lenta.</v>
      </c>
    </row>
    <row r="36834">
      <c r="A36834" s="4" t="s">
        <v>46329</v>
      </c>
      <c r="B36834" s="4" t="s">
        <v>46333</v>
      </c>
      <c r="C36834" s="5" t="str">
        <f>IFERROR(__xludf.DUMMYFUNCTION("GOOGLETRANSLATE(B36834,""en"",""es-ES"")"),"Luego se le muestra alejándose y sintiéndose muy segura de lo que acaba de lograr.")</f>
        <v>Luego se le muestra alejándose y sintiéndose muy segura de lo que acaba de lograr.</v>
      </c>
    </row>
    <row r="36835">
      <c r="A36835" s="4" t="s">
        <v>46334</v>
      </c>
      <c r="B36835" s="4" t="s">
        <v>46335</v>
      </c>
      <c r="C36835" s="5" t="str">
        <f>IFERROR(__xludf.DUMMYFUNCTION("GOOGLETRANSLATE(B36835,""en"",""es-ES"")"),"Se ve a varias personas deambulando por una playa, seguidas de olas que se mueven a lo largo del agua y las personas sentadas en el agua.")</f>
        <v>Se ve a varias personas deambulando por una playa, seguidas de olas que se mueven a lo largo del agua y las personas sentadas en el agua.</v>
      </c>
    </row>
    <row r="36836">
      <c r="A36836" s="4" t="s">
        <v>46334</v>
      </c>
      <c r="B36836" s="4" t="s">
        <v>46336</v>
      </c>
      <c r="C36836" s="5" t="str">
        <f>IFERROR(__xludf.DUMMYFUNCTION("GOOGLETRANSLATE(B36836,""en"",""es-ES"")"),"Varias personas navegan por las olas mientras las personas al margen observan que los atletas se mueven.")</f>
        <v>Varias personas navegan por las olas mientras las personas al margen observan que los atletas se mueven.</v>
      </c>
    </row>
    <row r="36837">
      <c r="A36837" s="4" t="s">
        <v>46337</v>
      </c>
      <c r="B36837" s="4" t="s">
        <v>46338</v>
      </c>
      <c r="C36837" s="5" t="str">
        <f>IFERROR(__xludf.DUMMYFUNCTION("GOOGLETRANSLATE(B36837,""en"",""es-ES"")"),"Una señora sostiene una jabalina en una pista que la deja.")</f>
        <v>Una señora sostiene una jabalina en una pista que la deja.</v>
      </c>
    </row>
    <row r="36838">
      <c r="A36838" s="4" t="s">
        <v>46337</v>
      </c>
      <c r="B36838" s="4" t="s">
        <v>46339</v>
      </c>
      <c r="C36838" s="5" t="str">
        <f>IFERROR(__xludf.DUMMYFUNCTION("GOOGLETRANSLATE(B36838,""en"",""es-ES"")"),"La escena comienza de nuevo y vemos a una dama arrojar una jabalina y alejarse.")</f>
        <v>La escena comienza de nuevo y vemos a una dama arrojar una jabalina y alejarse.</v>
      </c>
    </row>
    <row r="36839">
      <c r="A36839" s="4" t="s">
        <v>46337</v>
      </c>
      <c r="B36839" s="4" t="s">
        <v>46340</v>
      </c>
      <c r="C36839" s="5" t="str">
        <f>IFERROR(__xludf.DUMMYFUNCTION("GOOGLETRANSLATE(B36839,""en"",""es-ES"")"),"Luego vemos el lanzamiento medido y un hombre camina mientras habla con la niña.")</f>
        <v>Luego vemos el lanzamiento medido y un hombre camina mientras habla con la niña.</v>
      </c>
    </row>
    <row r="36840">
      <c r="A36840" s="4" t="s">
        <v>46341</v>
      </c>
      <c r="B36840" s="4" t="s">
        <v>46342</v>
      </c>
      <c r="C36840" s="5" t="str">
        <f>IFERROR(__xludf.DUMMYFUNCTION("GOOGLETRANSLATE(B36840,""en"",""es-ES"")"),"Un hombre con patillas largas con una bata de color rojo está tocando el piano.")</f>
        <v>Un hombre con patillas largas con una bata de color rojo está tocando el piano.</v>
      </c>
    </row>
    <row r="36841">
      <c r="A36841" s="4" t="s">
        <v>46341</v>
      </c>
      <c r="B36841" s="4" t="s">
        <v>46343</v>
      </c>
      <c r="C36841" s="5" t="str">
        <f>IFERROR(__xludf.DUMMYFUNCTION("GOOGLETRANSLATE(B36841,""en"",""es-ES"")"),"Hay otro hombre con una camisa azul parada cerca de él, ocupado en empacar algunas bolsas.")</f>
        <v>Hay otro hombre con una camisa azul parada cerca de él, ocupado en empacar algunas bolsas.</v>
      </c>
    </row>
    <row r="36842">
      <c r="A36842" s="4" t="s">
        <v>46341</v>
      </c>
      <c r="B36842" s="4" t="s">
        <v>46344</v>
      </c>
      <c r="C36842" s="5" t="str">
        <f>IFERROR(__xludf.DUMMYFUNCTION("GOOGLETRANSLATE(B36842,""en"",""es-ES"")"),"El principal en rojo continúa jugando el piano mientras el otro hombre lleva dos bolsas y hojas.")</f>
        <v>El principal en rojo continúa jugando el piano mientras el otro hombre lleva dos bolsas y hojas.</v>
      </c>
    </row>
    <row r="36843">
      <c r="A36843" s="4" t="s">
        <v>46341</v>
      </c>
      <c r="B36843" s="4" t="s">
        <v>46345</v>
      </c>
      <c r="C36843" s="5" t="str">
        <f>IFERROR(__xludf.DUMMYFUNCTION("GOOGLETRANSLATE(B36843,""en"",""es-ES"")"),"El hombre deja de tocar el piano y saluda a la otra persona cuando se levanta y se va.")</f>
        <v>El hombre deja de tocar el piano y saluda a la otra persona cuando se levanta y se va.</v>
      </c>
    </row>
    <row r="36844">
      <c r="A36844" s="4" t="s">
        <v>46346</v>
      </c>
      <c r="B36844" s="4" t="s">
        <v>46347</v>
      </c>
      <c r="C36844" s="5" t="str">
        <f>IFERROR(__xludf.DUMMYFUNCTION("GOOGLETRANSLATE(B36844,""en"",""es-ES"")"),"Hay una persona con guantes de látex azules puliendo una mesa de madera hexagonal para demostrar la técnica de pulido francés.")</f>
        <v>Hay una persona con guantes de látex azules puliendo una mesa de madera hexagonal para demostrar la técnica de pulido francés.</v>
      </c>
    </row>
    <row r="36845">
      <c r="A36845" s="4" t="s">
        <v>46346</v>
      </c>
      <c r="B36845" s="4" t="s">
        <v>46348</v>
      </c>
      <c r="C36845" s="5" t="str">
        <f>IFERROR(__xludf.DUMMYFUNCTION("GOOGLETRANSLATE(B36845,""en"",""es-ES"")"),"Está utilizando una esponja de pulido para pulir la superficie de la tabla en movimiento circular.")</f>
        <v>Está utilizando una esponja de pulido para pulir la superficie de la tabla en movimiento circular.</v>
      </c>
    </row>
    <row r="36846">
      <c r="A36846" s="4" t="s">
        <v>46346</v>
      </c>
      <c r="B36846" s="4" t="s">
        <v>46349</v>
      </c>
      <c r="C36846" s="5" t="str">
        <f>IFERROR(__xludf.DUMMYFUNCTION("GOOGLETRANSLATE(B36846,""en"",""es-ES"")"),"Luego entra hacia arriba y hacia abajo sobre la superficie de la mesa para que sea brillante.")</f>
        <v>Luego entra hacia arriba y hacia abajo sobre la superficie de la mesa para que sea brillante.</v>
      </c>
    </row>
    <row r="36847">
      <c r="A36847" s="4" t="s">
        <v>46346</v>
      </c>
      <c r="B36847" s="4" t="s">
        <v>46350</v>
      </c>
      <c r="C36847" s="5" t="str">
        <f>IFERROR(__xludf.DUMMYFUNCTION("GOOGLETRANSLATE(B36847,""en"",""es-ES"")"),"Se atasca meticulosamente toda la superficie asegurándose de que ninguna parte de la mesa quede intacta.")</f>
        <v>Se atasca meticulosamente toda la superficie asegurándose de que ninguna parte de la mesa quede intacta.</v>
      </c>
    </row>
    <row r="36848">
      <c r="A36848" s="4" t="s">
        <v>46346</v>
      </c>
      <c r="B36848" s="4" t="s">
        <v>46351</v>
      </c>
      <c r="C36848" s="5" t="str">
        <f>IFERROR(__xludf.DUMMYFUNCTION("GOOGLETRANSLATE(B36848,""en"",""es-ES"")"),"Luego comienza a pulir la superficie de un buffet de comedor que tiene puertas de acabado de bambú.")</f>
        <v>Luego comienza a pulir la superficie de un buffet de comedor que tiene puertas de acabado de bambú.</v>
      </c>
    </row>
    <row r="36849">
      <c r="A36849" s="4" t="s">
        <v>46346</v>
      </c>
      <c r="B36849" s="4" t="s">
        <v>46352</v>
      </c>
      <c r="C36849" s="5" t="str">
        <f>IFERROR(__xludf.DUMMYFUNCTION("GOOGLETRANSLATE(B36849,""en"",""es-ES"")"),"Nuevamente se pule en movimientos circulares en la superficie superior.")</f>
        <v>Nuevamente se pule en movimientos circulares en la superficie superior.</v>
      </c>
    </row>
    <row r="36850">
      <c r="A36850" s="4" t="s">
        <v>46353</v>
      </c>
      <c r="B36850" s="4" t="s">
        <v>46354</v>
      </c>
      <c r="C36850" s="5" t="str">
        <f>IFERROR(__xludf.DUMMYFUNCTION("GOOGLETRANSLATE(B36850,""en"",""es-ES"")"),"Un hombre y una mujer están realizando la rutina de baile de una pareja mientras otras parejas bailan a su alrededor.")</f>
        <v>Un hombre y una mujer están realizando la rutina de baile de una pareja mientras otras parejas bailan a su alrededor.</v>
      </c>
    </row>
    <row r="36851">
      <c r="A36851" s="4" t="s">
        <v>46353</v>
      </c>
      <c r="B36851" s="4" t="s">
        <v>46355</v>
      </c>
      <c r="C36851" s="5" t="str">
        <f>IFERROR(__xludf.DUMMYFUNCTION("GOOGLETRANSLATE(B36851,""en"",""es-ES"")"),"Un grupo de espectadores mira a las parejas girar y continuar la rutina de baile.")</f>
        <v>Un grupo de espectadores mira a las parejas girar y continuar la rutina de baile.</v>
      </c>
    </row>
    <row r="36852">
      <c r="A36852" s="4" t="s">
        <v>46356</v>
      </c>
      <c r="B36852" s="4" t="s">
        <v>46357</v>
      </c>
      <c r="C36852" s="5" t="str">
        <f>IFERROR(__xludf.DUMMYFUNCTION("GOOGLETRANSLATE(B36852,""en"",""es-ES"")"),"Vemos a los niños pequeños andar en bicicleta BMX en una pista de tierra en una arena.")</f>
        <v>Vemos a los niños pequeños andar en bicicleta BMX en una pista de tierra en una arena.</v>
      </c>
    </row>
    <row r="36853">
      <c r="A36853" s="4" t="s">
        <v>46356</v>
      </c>
      <c r="B36853" s="4" t="s">
        <v>46358</v>
      </c>
      <c r="C36853" s="5" t="str">
        <f>IFERROR(__xludf.DUMMYFUNCTION("GOOGLETRANSLATE(B36853,""en"",""es-ES"")"),"Los niños pasan por la cámara.")</f>
        <v>Los niños pasan por la cámara.</v>
      </c>
    </row>
    <row r="36854">
      <c r="A36854" s="4" t="s">
        <v>46356</v>
      </c>
      <c r="B36854" s="4" t="s">
        <v>46359</v>
      </c>
      <c r="C36854" s="5" t="str">
        <f>IFERROR(__xludf.DUMMYFUNCTION("GOOGLETRANSLATE(B36854,""en"",""es-ES"")"),"Los niños comienzan a pasar la línea de meta.")</f>
        <v>Los niños comienzan a pasar la línea de meta.</v>
      </c>
    </row>
    <row r="36855">
      <c r="A36855" s="4" t="s">
        <v>46360</v>
      </c>
      <c r="B36855" s="4" t="s">
        <v>46361</v>
      </c>
      <c r="C36855" s="5" t="str">
        <f>IFERROR(__xludf.DUMMYFUNCTION("GOOGLETRANSLATE(B36855,""en"",""es-ES"")"),"Una mujer se equilibra en una cuerda ajustada al aire libre.")</f>
        <v>Una mujer se equilibra en una cuerda ajustada al aire libre.</v>
      </c>
    </row>
    <row r="36856">
      <c r="A36856" s="4" t="s">
        <v>46360</v>
      </c>
      <c r="B36856" s="4" t="s">
        <v>46362</v>
      </c>
      <c r="C36856" s="5" t="str">
        <f>IFERROR(__xludf.DUMMYFUNCTION("GOOGLETRANSLATE(B36856,""en"",""es-ES"")"),"La mujer muestra varios movimientos acrobáticos.")</f>
        <v>La mujer muestra varios movimientos acrobáticos.</v>
      </c>
    </row>
    <row r="36857">
      <c r="A36857" s="4" t="s">
        <v>46360</v>
      </c>
      <c r="B36857" s="4" t="s">
        <v>46363</v>
      </c>
      <c r="C36857" s="5" t="str">
        <f>IFERROR(__xludf.DUMMYFUNCTION("GOOGLETRANSLATE(B36857,""en"",""es-ES"")"),"La mujer está rebotando en el cable.")</f>
        <v>La mujer está rebotando en el cable.</v>
      </c>
    </row>
    <row r="36858">
      <c r="A36858" s="4" t="s">
        <v>46360</v>
      </c>
      <c r="B36858" s="4" t="s">
        <v>46364</v>
      </c>
      <c r="C36858" s="5" t="str">
        <f>IFERROR(__xludf.DUMMYFUNCTION("GOOGLETRANSLATE(B36858,""en"",""es-ES"")"),"Un animal está en el campo en el fondo.")</f>
        <v>Un animal está en el campo en el fondo.</v>
      </c>
    </row>
    <row r="36859">
      <c r="A36859" s="4" t="s">
        <v>46365</v>
      </c>
      <c r="B36859" s="4" t="s">
        <v>46366</v>
      </c>
      <c r="C36859" s="5" t="str">
        <f>IFERROR(__xludf.DUMMYFUNCTION("GOOGLETRANSLATE(B36859,""en"",""es-ES"")"),"Se ve un primer plano de decoraciones navideñas.")</f>
        <v>Se ve un primer plano de decoraciones navideñas.</v>
      </c>
    </row>
    <row r="36860">
      <c r="A36860" s="4" t="s">
        <v>46365</v>
      </c>
      <c r="B36860" s="4" t="s">
        <v>46367</v>
      </c>
      <c r="C36860" s="5" t="str">
        <f>IFERROR(__xludf.DUMMYFUNCTION("GOOGLETRANSLATE(B36860,""en"",""es-ES"")"),"Un disfraz de hombre en Santa Claus toca una batería en una casa con un árbol de Navidad iluminado.")</f>
        <v>Un disfraz de hombre en Santa Claus toca una batería en una casa con un árbol de Navidad iluminado.</v>
      </c>
    </row>
    <row r="36861">
      <c r="A36861" s="4" t="s">
        <v>46365</v>
      </c>
      <c r="B36861" s="4" t="s">
        <v>46368</v>
      </c>
      <c r="C36861" s="5" t="str">
        <f>IFERROR(__xludf.DUMMYFUNCTION("GOOGLETRANSLATE(B36861,""en"",""es-ES"")"),"El hombre se vistió cuando Santa termina tocando la canción en la batería.")</f>
        <v>El hombre se vistió cuando Santa termina tocando la canción en la batería.</v>
      </c>
    </row>
    <row r="36862">
      <c r="A36862" s="4" t="s">
        <v>46369</v>
      </c>
      <c r="B36862" s="4" t="s">
        <v>46370</v>
      </c>
      <c r="C36862" s="5" t="str">
        <f>IFERROR(__xludf.DUMMYFUNCTION("GOOGLETRANSLATE(B36862,""en"",""es-ES"")"),"El video comienza con varias tomas de una persona que sube por una colina en una patineta y hace trucos.")</f>
        <v>El video comienza con varias tomas de una persona que sube por una colina en una patineta y hace trucos.</v>
      </c>
    </row>
    <row r="36863">
      <c r="A36863" s="4" t="s">
        <v>46369</v>
      </c>
      <c r="B36863" s="4" t="s">
        <v>46371</v>
      </c>
      <c r="C36863" s="5" t="str">
        <f>IFERROR(__xludf.DUMMYFUNCTION("GOOGLETRANSLATE(B36863,""en"",""es-ES"")"),"El niño continúa paseando por una patineta haciendo flips y trucos y la cámara lo captura desde varios ángulos.")</f>
        <v>El niño continúa paseando por una patineta haciendo flips y trucos y la cámara lo captura desde varios ángulos.</v>
      </c>
    </row>
    <row r="36864">
      <c r="A36864" s="4" t="s">
        <v>46372</v>
      </c>
      <c r="B36864" s="4" t="s">
        <v>46373</v>
      </c>
      <c r="C36864" s="5" t="str">
        <f>IFERROR(__xludf.DUMMYFUNCTION("GOOGLETRANSLATE(B36864,""en"",""es-ES"")"),"Un hombre está dando instrucciones sobre jugar al Congo.")</f>
        <v>Un hombre está dando instrucciones sobre jugar al Congo.</v>
      </c>
    </row>
    <row r="36865">
      <c r="A36865" s="4" t="s">
        <v>46372</v>
      </c>
      <c r="B36865" s="4" t="s">
        <v>46374</v>
      </c>
      <c r="C36865" s="5" t="str">
        <f>IFERROR(__xludf.DUMMYFUNCTION("GOOGLETRANSLATE(B36865,""en"",""es-ES"")"),"Habla con las manos y luego golpea la parte superior del Congo muy ligeramente.")</f>
        <v>Habla con las manos y luego golpea la parte superior del Congo muy ligeramente.</v>
      </c>
    </row>
    <row r="36866">
      <c r="A36866" s="4" t="s">
        <v>46372</v>
      </c>
      <c r="B36866" s="4" t="s">
        <v>46375</v>
      </c>
      <c r="C36866" s="5" t="str">
        <f>IFERROR(__xludf.DUMMYFUNCTION("GOOGLETRANSLATE(B36866,""en"",""es-ES"")"),"Comienza a tocar ligeramente el Congo a un tempo muy lento y después de un poco de hacerlo, se detiene para comenzar a hablar de nuevo.")</f>
        <v>Comienza a tocar ligeramente el Congo a un tempo muy lento y después de un poco de hacerlo, se detiene para comenzar a hablar de nuevo.</v>
      </c>
    </row>
    <row r="36867">
      <c r="A36867" s="4" t="s">
        <v>46372</v>
      </c>
      <c r="B36867" s="4" t="s">
        <v>46376</v>
      </c>
      <c r="C36867" s="5" t="str">
        <f>IFERROR(__xludf.DUMMYFUNCTION("GOOGLETRANSLATE(B36867,""en"",""es-ES"")"),"Finalmente, comienza a usar ambas manos para construir un ritmo real y habla un poco más al respecto.")</f>
        <v>Finalmente, comienza a usar ambas manos para construir un ritmo real y habla un poco más al respecto.</v>
      </c>
    </row>
    <row r="36868">
      <c r="A36868" s="4" t="s">
        <v>46377</v>
      </c>
      <c r="B36868" s="4" t="s">
        <v>46378</v>
      </c>
      <c r="C36868" s="5" t="str">
        <f>IFERROR(__xludf.DUMMYFUNCTION("GOOGLETRANSLATE(B36868,""en"",""es-ES"")"),"Hay una mujer vestida de negro jugando billar frente a algunos espectadores.")</f>
        <v>Hay una mujer vestida de negro jugando billar frente a algunos espectadores.</v>
      </c>
    </row>
    <row r="36869">
      <c r="A36869" s="4" t="s">
        <v>46377</v>
      </c>
      <c r="B36869" s="4" t="s">
        <v>46379</v>
      </c>
      <c r="C36869" s="5" t="str">
        <f>IFERROR(__xludf.DUMMYFUNCTION("GOOGLETRANSLATE(B36869,""en"",""es-ES"")"),"Después de haber terminado, otra dama toma su turno y golpea algunos disparos.")</f>
        <v>Después de haber terminado, otra dama toma su turno y golpea algunos disparos.</v>
      </c>
    </row>
    <row r="36870">
      <c r="A36870" s="4" t="s">
        <v>46377</v>
      </c>
      <c r="B36870" s="4" t="s">
        <v>46380</v>
      </c>
      <c r="C36870" s="5" t="str">
        <f>IFERROR(__xludf.DUMMYFUNCTION("GOOGLETRANSLATE(B36870,""en"",""es-ES"")"),"El segundo concursante apunta y dispara la pelota en el agujero.")</f>
        <v>El segundo concursante apunta y dispara la pelota en el agujero.</v>
      </c>
    </row>
    <row r="36871">
      <c r="A36871" s="4" t="s">
        <v>46377</v>
      </c>
      <c r="B36871" s="4" t="s">
        <v>46381</v>
      </c>
      <c r="C36871" s="5" t="str">
        <f>IFERROR(__xludf.DUMMYFUNCTION("GOOGLETRANSLATE(B36871,""en"",""es-ES"")"),"Ella apunta con precisión y dispara las bolas en los agujeros uno por uno, sin perder un solo tiro.")</f>
        <v>Ella apunta con precisión y dispara las bolas en los agujeros uno por uno, sin perder un solo tiro.</v>
      </c>
    </row>
    <row r="36872">
      <c r="A36872" s="4" t="s">
        <v>46377</v>
      </c>
      <c r="B36872" s="4" t="s">
        <v>46382</v>
      </c>
      <c r="C36872" s="5" t="str">
        <f>IFERROR(__xludf.DUMMYFUNCTION("GOOGLETRANSLATE(B36872,""en"",""es-ES"")"),"Ella continúa concentrándose y dispara las bolas hasta que solo queda una pelota en la mesa del billar.")</f>
        <v>Ella continúa concentrándose y dispara las bolas hasta que solo queda una pelota en la mesa del billar.</v>
      </c>
    </row>
    <row r="36873">
      <c r="A36873" s="4" t="s">
        <v>46383</v>
      </c>
      <c r="B36873" s="4" t="s">
        <v>46384</v>
      </c>
      <c r="C36873" s="5" t="str">
        <f>IFERROR(__xludf.DUMMYFUNCTION("GOOGLETRANSLATE(B36873,""en"",""es-ES"")"),"Dos hombres vestidos con trajes se enfrentan unos a otros con una mano sobre los demás hacia atrás, y se toman de la mano con el otro y bailan en una dirección, luego de regreso en otra y luego se ríen y se separan.")</f>
        <v>Dos hombres vestidos con trajes se enfrentan unos a otros con una mano sobre los demás hacia atrás, y se toman de la mano con el otro y bailan en una dirección, luego de regreso en otra y luego se ríen y se separan.</v>
      </c>
    </row>
    <row r="36874">
      <c r="A36874" s="4" t="s">
        <v>46383</v>
      </c>
      <c r="B36874" s="4" t="s">
        <v>46385</v>
      </c>
      <c r="C36874" s="5" t="str">
        <f>IFERROR(__xludf.DUMMYFUNCTION("GOOGLETRANSLATE(B36874,""en"",""es-ES"")"),"Justo donde los hombres se separan del baile, hay una mujer asiática que ahora es el foco mientras juega en un teclado de acordeón.")</f>
        <v>Justo donde los hombres se separan del baile, hay una mujer asiática que ahora es el foco mientras juega en un teclado de acordeón.</v>
      </c>
    </row>
    <row r="36875">
      <c r="A36875" s="4" t="s">
        <v>46383</v>
      </c>
      <c r="B36875" s="4" t="s">
        <v>46386</v>
      </c>
      <c r="C36875" s="5" t="str">
        <f>IFERROR(__xludf.DUMMYFUNCTION("GOOGLETRANSLATE(B36875,""en"",""es-ES"")"),"La mujer deja de jugar, se ríe y mira y dice algo.")</f>
        <v>La mujer deja de jugar, se ríe y mira y dice algo.</v>
      </c>
    </row>
    <row r="36876">
      <c r="A36876" s="4" t="s">
        <v>46387</v>
      </c>
      <c r="B36876" s="4" t="s">
        <v>46388</v>
      </c>
      <c r="C36876" s="5" t="str">
        <f>IFERROR(__xludf.DUMMYFUNCTION("GOOGLETRANSLATE(B36876,""en"",""es-ES"")"),"Un hombre sostiene una guitarra y mira hacia atrás y el cuarto entre la cámara y la guitarra.")</f>
        <v>Un hombre sostiene una guitarra y mira hacia atrás y el cuarto entre la cámara y la guitarra.</v>
      </c>
    </row>
    <row r="36877">
      <c r="A36877" s="4" t="s">
        <v>46387</v>
      </c>
      <c r="B36877" s="4" t="s">
        <v>46389</v>
      </c>
      <c r="C36877" s="5" t="str">
        <f>IFERROR(__xludf.DUMMYFUNCTION("GOOGLETRANSLATE(B36877,""en"",""es-ES"")"),"Mueve las manos hacia arriba y hacia abajo del cuello de la guitarra y canta suavemente a la cámara.")</f>
        <v>Mueve las manos hacia arriba y hacia abajo del cuello de la guitarra y canta suavemente a la cámara.</v>
      </c>
    </row>
    <row r="36878">
      <c r="A36878" s="4" t="s">
        <v>46390</v>
      </c>
      <c r="B36878" s="4" t="s">
        <v>46391</v>
      </c>
      <c r="C36878" s="5" t="str">
        <f>IFERROR(__xludf.DUMMYFUNCTION("GOOGLETRANSLATE(B36878,""en"",""es-ES"")"),"Una persona en rosa hace tai chi.")</f>
        <v>Una persona en rosa hace tai chi.</v>
      </c>
    </row>
    <row r="36879">
      <c r="A36879" s="4" t="s">
        <v>46390</v>
      </c>
      <c r="B36879" s="4" t="s">
        <v>46392</v>
      </c>
      <c r="C36879" s="5" t="str">
        <f>IFERROR(__xludf.DUMMYFUNCTION("GOOGLETRANSLATE(B36879,""en"",""es-ES"")"),"Ella se mueve pero básicamente está haciendo lo mismo básico.")</f>
        <v>Ella se mueve pero básicamente está haciendo lo mismo básico.</v>
      </c>
    </row>
    <row r="36880">
      <c r="A36880" s="4" t="s">
        <v>46390</v>
      </c>
      <c r="B36880" s="4" t="s">
        <v>46393</v>
      </c>
      <c r="C36880" s="5" t="str">
        <f>IFERROR(__xludf.DUMMYFUNCTION("GOOGLETRANSLATE(B36880,""en"",""es-ES"")"),"Ella se detiene y todavía está al final.")</f>
        <v>Ella se detiene y todavía está al final.</v>
      </c>
    </row>
    <row r="36881">
      <c r="A36881" s="4" t="s">
        <v>46394</v>
      </c>
      <c r="B36881" s="4" t="s">
        <v>46395</v>
      </c>
      <c r="C36881" s="5" t="str">
        <f>IFERROR(__xludf.DUMMYFUNCTION("GOOGLETRANSLATE(B36881,""en"",""es-ES"")"),"Varios atletas compiten por el campeonato mundial de jabalina.")</f>
        <v>Varios atletas compiten por el campeonato mundial de jabalina.</v>
      </c>
    </row>
    <row r="36882">
      <c r="A36882" s="4" t="s">
        <v>46394</v>
      </c>
      <c r="B36882" s="4" t="s">
        <v>46396</v>
      </c>
      <c r="C36882" s="5" t="str">
        <f>IFERROR(__xludf.DUMMYFUNCTION("GOOGLETRANSLATE(B36882,""en"",""es-ES"")"),"La Rusia Dimitri es la tercera medalla de bronce en la competencia.")</f>
        <v>La Rusia Dimitri es la tercera medalla de bronce en la competencia.</v>
      </c>
    </row>
    <row r="36883">
      <c r="A36883" s="4" t="s">
        <v>46394</v>
      </c>
      <c r="B36883" s="4" t="s">
        <v>46397</v>
      </c>
      <c r="C36883" s="5" t="str">
        <f>IFERROR(__xludf.DUMMYFUNCTION("GOOGLETRANSLATE(B36883,""en"",""es-ES"")"),"El jenki japonés es la medalla de plata.")</f>
        <v>El jenki japonés es la medalla de plata.</v>
      </c>
    </row>
    <row r="36884">
      <c r="A36884" s="4" t="s">
        <v>46394</v>
      </c>
      <c r="B36884" s="4" t="s">
        <v>46398</v>
      </c>
      <c r="C36884" s="5" t="str">
        <f>IFERROR(__xludf.DUMMYFUNCTION("GOOGLETRANSLATE(B36884,""en"",""es-ES"")"),"Hasta que Alemania ganó la medalla de oro.")</f>
        <v>Hasta que Alemania ganó la medalla de oro.</v>
      </c>
    </row>
    <row r="36885">
      <c r="A36885" s="4" t="s">
        <v>46399</v>
      </c>
      <c r="B36885" s="4" t="s">
        <v>46400</v>
      </c>
      <c r="C36885" s="5" t="str">
        <f>IFERROR(__xludf.DUMMYFUNCTION("GOOGLETRANSLATE(B36885,""en"",""es-ES"")"),"Una introducción lleva a las manos vistas tocando un instrumento musical mientras detiene el punto en el instrumento.")</f>
        <v>Una introducción lleva a las manos vistas tocando un instrumento musical mientras detiene el punto en el instrumento.</v>
      </c>
    </row>
    <row r="36886">
      <c r="A36886" s="4" t="s">
        <v>46399</v>
      </c>
      <c r="B36886" s="4" t="s">
        <v>46401</v>
      </c>
      <c r="C36886" s="5" t="str">
        <f>IFERROR(__xludf.DUMMYFUNCTION("GOOGLETRANSLATE(B36886,""en"",""es-ES"")"),"Continúa moviendo sus manos para jugar y luego se lo ve hablando con la cámara.")</f>
        <v>Continúa moviendo sus manos para jugar y luego se lo ve hablando con la cámara.</v>
      </c>
    </row>
    <row r="36887">
      <c r="A36887" s="4" t="s">
        <v>46402</v>
      </c>
      <c r="B36887" s="4" t="s">
        <v>46403</v>
      </c>
      <c r="C36887" s="5" t="str">
        <f>IFERROR(__xludf.DUMMYFUNCTION("GOOGLETRANSLATE(B36887,""en"",""es-ES"")"),"Un hombre que usa ropa quirúrgica demuestra la forma correcta de lavarse las manos para procedimientos quirúrgicos y primero elimina las joyas.")</f>
        <v>Un hombre que usa ropa quirúrgica demuestra la forma correcta de lavarse las manos para procedimientos quirúrgicos y primero elimina las joyas.</v>
      </c>
    </row>
    <row r="36888">
      <c r="A36888" s="4" t="s">
        <v>46402</v>
      </c>
      <c r="B36888" s="4" t="s">
        <v>46404</v>
      </c>
      <c r="C36888" s="5" t="str">
        <f>IFERROR(__xludf.DUMMYFUNCTION("GOOGLETRANSLATE(B36888,""en"",""es-ES"")"),"El cirujano luego se mueve las manos y el jabón de anuncios.")</f>
        <v>El cirujano luego se mueve las manos y el jabón de anuncios.</v>
      </c>
    </row>
    <row r="36889">
      <c r="A36889" s="4" t="s">
        <v>46402</v>
      </c>
      <c r="B36889" s="4" t="s">
        <v>46405</v>
      </c>
      <c r="C36889" s="5" t="str">
        <f>IFERROR(__xludf.DUMMYFUNCTION("GOOGLETRANSLATE(B36889,""en"",""es-ES"")"),"El cirujano luego frota las palmas y construye una espuma.")</f>
        <v>El cirujano luego frota las palmas y construye una espuma.</v>
      </c>
    </row>
    <row r="36890">
      <c r="A36890" s="4" t="s">
        <v>46402</v>
      </c>
      <c r="B36890" s="4" t="s">
        <v>46406</v>
      </c>
      <c r="C36890" s="5" t="str">
        <f>IFERROR(__xludf.DUMMYFUNCTION("GOOGLETRANSLATE(B36890,""en"",""es-ES"")"),"Luego se frota a la mano con palma.")</f>
        <v>Luego se frota a la mano con palma.</v>
      </c>
    </row>
    <row r="36891">
      <c r="A36891" s="4" t="s">
        <v>46402</v>
      </c>
      <c r="B36891" s="4" t="s">
        <v>46407</v>
      </c>
      <c r="C36891" s="5" t="str">
        <f>IFERROR(__xludf.DUMMYFUNCTION("GOOGLETRANSLATE(B36891,""en"",""es-ES"")"),"El cirujano luego frota la parte posterior de los dedos con las manos.")</f>
        <v>El cirujano luego frota la parte posterior de los dedos con las manos.</v>
      </c>
    </row>
    <row r="36892">
      <c r="A36892" s="4" t="s">
        <v>46402</v>
      </c>
      <c r="B36892" s="4" t="s">
        <v>46408</v>
      </c>
      <c r="C36892" s="5" t="str">
        <f>IFERROR(__xludf.DUMMYFUNCTION("GOOGLETRANSLATE(B36892,""en"",""es-ES"")"),"Luego frota los pulgares con el pulgar de la palma.")</f>
        <v>Luego frota los pulgares con el pulgar de la palma.</v>
      </c>
    </row>
    <row r="36893">
      <c r="A36893" s="4" t="s">
        <v>46402</v>
      </c>
      <c r="B36893" s="4" t="s">
        <v>46409</v>
      </c>
      <c r="C36893" s="5" t="str">
        <f>IFERROR(__xludf.DUMMYFUNCTION("GOOGLETRANSLATE(B36893,""en"",""es-ES"")"),"Luego frota las puntas de los dedos en la palma.")</f>
        <v>Luego frota las puntas de los dedos en la palma.</v>
      </c>
    </row>
    <row r="36894">
      <c r="A36894" s="4" t="s">
        <v>46402</v>
      </c>
      <c r="B36894" s="4" t="s">
        <v>46410</v>
      </c>
      <c r="C36894" s="5" t="str">
        <f>IFERROR(__xludf.DUMMYFUNCTION("GOOGLETRANSLATE(B36894,""en"",""es-ES"")"),"Luego frota las muñecas y enjuaga las manos en Wter y seca completamente sus manos.")</f>
        <v>Luego frota las muñecas y enjuaga las manos en Wter y seca completamente sus manos.</v>
      </c>
    </row>
    <row r="36895">
      <c r="A36895" s="4" t="s">
        <v>46411</v>
      </c>
      <c r="B36895" s="4" t="s">
        <v>46412</v>
      </c>
      <c r="C36895" s="5" t="str">
        <f>IFERROR(__xludf.DUMMYFUNCTION("GOOGLETRANSLATE(B36895,""en"",""es-ES"")"),"Un bailarín se levanta de una silla.")</f>
        <v>Un bailarín se levanta de una silla.</v>
      </c>
    </row>
    <row r="36896">
      <c r="A36896" s="4" t="s">
        <v>46411</v>
      </c>
      <c r="B36896" s="4" t="s">
        <v>46413</v>
      </c>
      <c r="C36896" s="5" t="str">
        <f>IFERROR(__xludf.DUMMYFUNCTION("GOOGLETRANSLATE(B36896,""en"",""es-ES"")"),"Empuja la silla hacia él compañero de baile femenino.")</f>
        <v>Empuja la silla hacia él compañero de baile femenino.</v>
      </c>
    </row>
    <row r="36897">
      <c r="A36897" s="4" t="s">
        <v>46411</v>
      </c>
      <c r="B36897" s="4" t="s">
        <v>46414</v>
      </c>
      <c r="C36897" s="5" t="str">
        <f>IFERROR(__xludf.DUMMYFUNCTION("GOOGLETRANSLATE(B36897,""en"",""es-ES"")"),"Ella se sienta en la silla.")</f>
        <v>Ella se sienta en la silla.</v>
      </c>
    </row>
    <row r="36898">
      <c r="A36898" s="4" t="s">
        <v>46411</v>
      </c>
      <c r="B36898" s="4" t="s">
        <v>46415</v>
      </c>
      <c r="C36898" s="5" t="str">
        <f>IFERROR(__xludf.DUMMYFUNCTION("GOOGLETRANSLATE(B36898,""en"",""es-ES"")"),"Él camina hacia ella, recogiéndola de la silla y bailan.")</f>
        <v>Él camina hacia ella, recogiéndola de la silla y bailan.</v>
      </c>
    </row>
    <row r="36899">
      <c r="A36899" s="4" t="s">
        <v>46411</v>
      </c>
      <c r="B36899" s="4" t="s">
        <v>46416</v>
      </c>
      <c r="C36899" s="5" t="str">
        <f>IFERROR(__xludf.DUMMYFUNCTION("GOOGLETRANSLATE(B36899,""en"",""es-ES"")"),"La gente de la audiencia aplaude.")</f>
        <v>La gente de la audiencia aplaude.</v>
      </c>
    </row>
    <row r="36900">
      <c r="A36900" s="4" t="s">
        <v>46417</v>
      </c>
      <c r="B36900" s="4" t="s">
        <v>46418</v>
      </c>
      <c r="C36900" s="5" t="str">
        <f>IFERROR(__xludf.DUMMYFUNCTION("GOOGLETRANSLATE(B36900,""en"",""es-ES"")"),"Una niña está frente a una cámara.")</f>
        <v>Una niña está frente a una cámara.</v>
      </c>
    </row>
    <row r="36901">
      <c r="A36901" s="4" t="s">
        <v>46417</v>
      </c>
      <c r="B36901" s="4" t="s">
        <v>46419</v>
      </c>
      <c r="C36901" s="5" t="str">
        <f>IFERROR(__xludf.DUMMYFUNCTION("GOOGLETRANSLATE(B36901,""en"",""es-ES"")"),"Ella aplica el brillo de labios rosa claro a sus labios.")</f>
        <v>Ella aplica el brillo de labios rosa claro a sus labios.</v>
      </c>
    </row>
    <row r="36902">
      <c r="A36902" s="4" t="s">
        <v>46420</v>
      </c>
      <c r="B36902" s="4" t="s">
        <v>46421</v>
      </c>
      <c r="C36902" s="5" t="str">
        <f>IFERROR(__xludf.DUMMYFUNCTION("GOOGLETRANSLATE(B36902,""en"",""es-ES"")"),"Se ve a un hombre sentado frente a una cerca sentada en una patineta y hablando con la cámara.")</f>
        <v>Se ve a un hombre sentado frente a una cerca sentada en una patineta y hablando con la cámara.</v>
      </c>
    </row>
    <row r="36903">
      <c r="A36903" s="4" t="s">
        <v>46420</v>
      </c>
      <c r="B36903" s="4" t="s">
        <v>46422</v>
      </c>
      <c r="C36903" s="5" t="str">
        <f>IFERROR(__xludf.DUMMYFUNCTION("GOOGLETRANSLATE(B36903,""en"",""es-ES"")"),"Luego se muestran varias tomas que hablan con la cámara y realizan varios trucos de skate alrededor de un parque.")</f>
        <v>Luego se muestran varias tomas que hablan con la cámara y realizan varios trucos de skate alrededor de un parque.</v>
      </c>
    </row>
    <row r="36904">
      <c r="A36904" s="4" t="s">
        <v>46423</v>
      </c>
      <c r="B36904" s="4" t="s">
        <v>46424</v>
      </c>
      <c r="C36904" s="5" t="str">
        <f>IFERROR(__xludf.DUMMYFUNCTION("GOOGLETRANSLATE(B36904,""en"",""es-ES"")"),"Se ve a dos niños pequeños parados detrás de una mesa con un lema pelado y un niño que mira a un lado.")</f>
        <v>Se ve a dos niños pequeños parados detrás de una mesa con un lema pelado y un niño que mira a un lado.</v>
      </c>
    </row>
    <row r="36905">
      <c r="A36905" s="4" t="s">
        <v>46423</v>
      </c>
      <c r="B36905" s="4" t="s">
        <v>46425</v>
      </c>
      <c r="C36905" s="5" t="str">
        <f>IFERROR(__xludf.DUMMYFUNCTION("GOOGLETRANSLATE(B36905,""en"",""es-ES"")"),"Se ve a otro niño apretando limones y se acerca a los niños que trabajan.")</f>
        <v>Se ve a otro niño apretando limones y se acerca a los niños que trabajan.</v>
      </c>
    </row>
    <row r="36906">
      <c r="A36906" s="4" t="s">
        <v>46423</v>
      </c>
      <c r="B36906" s="4" t="s">
        <v>46426</v>
      </c>
      <c r="C36906" s="5" t="str">
        <f>IFERROR(__xludf.DUMMYFUNCTION("GOOGLETRANSLATE(B36906,""en"",""es-ES"")"),"Los niños continúan apretando el limón mientras miran y saludan a la cámara y hablan a un lado.")</f>
        <v>Los niños continúan apretando el limón mientras miran y saludan a la cámara y hablan a un lado.</v>
      </c>
    </row>
    <row r="36907">
      <c r="A36907" s="4" t="s">
        <v>46427</v>
      </c>
      <c r="B36907" s="4" t="s">
        <v>46428</v>
      </c>
      <c r="C36907" s="5" t="str">
        <f>IFERROR(__xludf.DUMMYFUNCTION("GOOGLETRANSLATE(B36907,""en"",""es-ES"")"),"Un hombre se prepara para lanzar un disco.")</f>
        <v>Un hombre se prepara para lanzar un disco.</v>
      </c>
    </row>
    <row r="36908">
      <c r="A36908" s="4" t="s">
        <v>46427</v>
      </c>
      <c r="B36908" s="4" t="s">
        <v>46429</v>
      </c>
      <c r="C36908" s="5" t="str">
        <f>IFERROR(__xludf.DUMMYFUNCTION("GOOGLETRANSLATE(B36908,""en"",""es-ES"")"),"Varias personas caminan y hablan de fondo.")</f>
        <v>Varias personas caminan y hablan de fondo.</v>
      </c>
    </row>
    <row r="36909">
      <c r="A36909" s="4" t="s">
        <v>46427</v>
      </c>
      <c r="B36909" s="4" t="s">
        <v>46430</v>
      </c>
      <c r="C36909" s="5" t="str">
        <f>IFERROR(__xludf.DUMMYFUNCTION("GOOGLETRANSLATE(B36909,""en"",""es-ES"")"),"El hombre gira y tira el disco.")</f>
        <v>El hombre gira y tira el disco.</v>
      </c>
    </row>
    <row r="36910">
      <c r="A36910" s="4" t="s">
        <v>46431</v>
      </c>
      <c r="B36910" s="4" t="s">
        <v>46432</v>
      </c>
      <c r="C36910" s="5" t="str">
        <f>IFERROR(__xludf.DUMMYFUNCTION("GOOGLETRANSLATE(B36910,""en"",""es-ES"")"),"Se ve a un grupo de jinetes de bicicletas de pie uno al lado del otro y hablando con un hombre al frente.")</f>
        <v>Se ve a un grupo de jinetes de bicicletas de pie uno al lado del otro y hablando con un hombre al frente.</v>
      </c>
    </row>
    <row r="36911">
      <c r="A36911" s="4" t="s">
        <v>46431</v>
      </c>
      <c r="B36911" s="4" t="s">
        <v>46433</v>
      </c>
      <c r="C36911" s="5" t="str">
        <f>IFERROR(__xludf.DUMMYFUNCTION("GOOGLETRANSLATE(B36911,""en"",""es-ES"")"),"La cámara continúa pasando por los jinetes preparándose y finalmente saltando hacia abajo y corriendo por el camino de tierra.")</f>
        <v>La cámara continúa pasando por los jinetes preparándose y finalmente saltando hacia abajo y corriendo por el camino de tierra.</v>
      </c>
    </row>
    <row r="36912">
      <c r="A36912" s="4" t="s">
        <v>46434</v>
      </c>
      <c r="B36912" s="4" t="s">
        <v>46435</v>
      </c>
      <c r="C36912" s="5" t="str">
        <f>IFERROR(__xludf.DUMMYFUNCTION("GOOGLETRANSLATE(B36912,""en"",""es-ES"")"),"Se ve a una niña cortando un agujero en la parte superior de una calabaza seguido de sus semillas y cortando los lados.")</f>
        <v>Se ve a una niña cortando un agujero en la parte superior de una calabaza seguido de sus semillas y cortando los lados.</v>
      </c>
    </row>
    <row r="36913">
      <c r="A36913" s="4" t="s">
        <v>46434</v>
      </c>
      <c r="B36913" s="4" t="s">
        <v>46436</v>
      </c>
      <c r="C36913" s="5" t="str">
        <f>IFERROR(__xludf.DUMMYFUNCTION("GOOGLETRANSLATE(B36913,""en"",""es-ES"")"),"La niña limpia la calabaza y se pone en la parte superior y muestra la calabaza en la oscuridad.")</f>
        <v>La niña limpia la calabaza y se pone en la parte superior y muestra la calabaza en la oscuridad.</v>
      </c>
    </row>
    <row r="36914">
      <c r="A36914" s="4" t="s">
        <v>46437</v>
      </c>
      <c r="B36914" s="4" t="s">
        <v>46438</v>
      </c>
      <c r="C36914" s="5" t="str">
        <f>IFERROR(__xludf.DUMMYFUNCTION("GOOGLETRANSLATE(B36914,""en"",""es-ES"")"),"Una mujer de pie en un mostrador hablando sobre hacer galletas con chispas de chocolate.")</f>
        <v>Una mujer de pie en un mostrador hablando sobre hacer galletas con chispas de chocolate.</v>
      </c>
    </row>
    <row r="36915">
      <c r="A36915" s="4" t="s">
        <v>46437</v>
      </c>
      <c r="B36915" s="4" t="s">
        <v>46439</v>
      </c>
      <c r="C36915" s="5" t="str">
        <f>IFERROR(__xludf.DUMMYFUNCTION("GOOGLETRANSLATE(B36915,""en"",""es-ES"")"),"Ella combina y mezcla los ingredientes con una batidora de manos.")</f>
        <v>Ella combina y mezcla los ingredientes con una batidora de manos.</v>
      </c>
    </row>
    <row r="36916">
      <c r="A36916" s="4" t="s">
        <v>46437</v>
      </c>
      <c r="B36916" s="4" t="s">
        <v>46440</v>
      </c>
      <c r="C36916" s="5" t="str">
        <f>IFERROR(__xludf.DUMMYFUNCTION("GOOGLETRANSLATE(B36916,""en"",""es-ES"")"),"Luego coloca la harina en un tazón después de que la mide junto con el bicarbonato de sodio.")</f>
        <v>Luego coloca la harina en un tazón después de que la mide junto con el bicarbonato de sodio.</v>
      </c>
    </row>
    <row r="36917">
      <c r="A36917" s="4" t="s">
        <v>46437</v>
      </c>
      <c r="B36917" s="4" t="s">
        <v>46441</v>
      </c>
      <c r="C36917" s="5" t="str">
        <f>IFERROR(__xludf.DUMMYFUNCTION("GOOGLETRANSLATE(B36917,""en"",""es-ES"")"),"Ella lo agrega a la masa de las galletas y la mezcla a mano y luego agrega las chispas de chocolate.")</f>
        <v>Ella lo agrega a la masa de las galletas y la mezcla a mano y luego agrega las chispas de chocolate.</v>
      </c>
    </row>
    <row r="36918">
      <c r="A36918" s="4" t="s">
        <v>46437</v>
      </c>
      <c r="B36918" s="4" t="s">
        <v>46442</v>
      </c>
      <c r="C36918" s="5" t="str">
        <f>IFERROR(__xludf.DUMMYFUNCTION("GOOGLETRANSLATE(B36918,""en"",""es-ES"")"),"Luego mide la masa que está en una bandeja para cocinar para cocinar.")</f>
        <v>Luego mide la masa que está en una bandeja para cocinar para cocinar.</v>
      </c>
    </row>
    <row r="36919">
      <c r="A36919" s="4" t="s">
        <v>46437</v>
      </c>
      <c r="B36919" s="4" t="s">
        <v>46443</v>
      </c>
      <c r="C36919" s="5" t="str">
        <f>IFERROR(__xludf.DUMMYFUNCTION("GOOGLETRANSLATE(B36919,""en"",""es-ES"")"),"Colocado en el horno y después de que se enfríen, tienes galletas.")</f>
        <v>Colocado en el horno y después de que se enfríen, tienes galletas.</v>
      </c>
    </row>
    <row r="36920">
      <c r="A36920" s="4" t="s">
        <v>46444</v>
      </c>
      <c r="B36920" s="4" t="s">
        <v>46445</v>
      </c>
      <c r="C36920" s="5" t="str">
        <f>IFERROR(__xludf.DUMMYFUNCTION("GOOGLETRANSLATE(B36920,""en"",""es-ES"")"),"Una niña se levanta de una mesa en una cocina.")</f>
        <v>Una niña se levanta de una mesa en una cocina.</v>
      </c>
    </row>
    <row r="36921">
      <c r="A36921" s="4" t="s">
        <v>46444</v>
      </c>
      <c r="B36921" s="4" t="s">
        <v>46446</v>
      </c>
      <c r="C36921" s="5" t="str">
        <f>IFERROR(__xludf.DUMMYFUNCTION("GOOGLETRANSLATE(B36921,""en"",""es-ES"")"),"Ella y otra chica tienen gafas y cucharas.")</f>
        <v>Ella y otra chica tienen gafas y cucharas.</v>
      </c>
    </row>
    <row r="36922">
      <c r="A36922" s="4" t="s">
        <v>46444</v>
      </c>
      <c r="B36922" s="4" t="s">
        <v>46447</v>
      </c>
      <c r="C36922" s="5" t="str">
        <f>IFERROR(__xludf.DUMMYFUNCTION("GOOGLETRANSLATE(B36922,""en"",""es-ES"")"),"Proceden a comer la sustancia mientras se sientan en el piso.")</f>
        <v>Proceden a comer la sustancia mientras se sientan en el piso.</v>
      </c>
    </row>
    <row r="36923">
      <c r="A36923" s="4" t="s">
        <v>46448</v>
      </c>
      <c r="B36923" s="4" t="s">
        <v>46449</v>
      </c>
      <c r="C36923" s="5" t="str">
        <f>IFERROR(__xludf.DUMMYFUNCTION("GOOGLETRANSLATE(B36923,""en"",""es-ES"")"),"Una persona que sostiene un alce mueve el títere y conduce a alguien que abre una caja.")</f>
        <v>Una persona que sostiene un alce mueve el títere y conduce a alguien que abre una caja.</v>
      </c>
    </row>
    <row r="36924">
      <c r="A36924" s="4" t="s">
        <v>46448</v>
      </c>
      <c r="B36924" s="4" t="s">
        <v>46450</v>
      </c>
      <c r="C36924" s="5" t="str">
        <f>IFERROR(__xludf.DUMMYFUNCTION("GOOGLETRANSLATE(B36924,""en"",""es-ES"")"),"La persona saca las calabazas de la caja y corta un círculo alrededor de la parte superior.")</f>
        <v>La persona saca las calabazas de la caja y corta un círculo alrededor de la parte superior.</v>
      </c>
    </row>
    <row r="36925">
      <c r="A36925" s="4" t="s">
        <v>46448</v>
      </c>
      <c r="B36925" s="4" t="s">
        <v>46451</v>
      </c>
      <c r="C36925" s="5" t="str">
        <f>IFERROR(__xludf.DUMMYFUNCTION("GOOGLETRANSLATE(B36925,""en"",""es-ES"")"),"Él saca las semillas de la calabaza mientras usa el alce y usa un marcador para dibujar de lado.")</f>
        <v>Él saca las semillas de la calabaza mientras usa el alce y usa un marcador para dibujar de lado.</v>
      </c>
    </row>
    <row r="36926">
      <c r="A36926" s="4" t="s">
        <v>46448</v>
      </c>
      <c r="B36926" s="4" t="s">
        <v>46452</v>
      </c>
      <c r="C36926" s="5" t="str">
        <f>IFERROR(__xludf.DUMMYFUNCTION("GOOGLETRANSLATE(B36926,""en"",""es-ES"")"),"Corta las líneas de marcadores y pone una vela adentro para hacer una linterna Jack O.")</f>
        <v>Corta las líneas de marcadores y pone una vela adentro para hacer una linterna Jack O.</v>
      </c>
    </row>
    <row r="36927">
      <c r="A36927" s="4" t="s">
        <v>46453</v>
      </c>
      <c r="B36927" s="4" t="s">
        <v>46454</v>
      </c>
      <c r="C36927" s="5" t="str">
        <f>IFERROR(__xludf.DUMMYFUNCTION("GOOGLETRANSLATE(B36927,""en"",""es-ES"")"),"Un hombre se filma de pie en un baño mientras sostiene una maquinilla de afeitar cerca de su rostro.")</f>
        <v>Un hombre se filma de pie en un baño mientras sostiene una maquinilla de afeitar cerca de su rostro.</v>
      </c>
    </row>
    <row r="36928">
      <c r="A36928" s="4" t="s">
        <v>46453</v>
      </c>
      <c r="B36928" s="4" t="s">
        <v>46455</v>
      </c>
      <c r="C36928" s="5" t="str">
        <f>IFERROR(__xludf.DUMMYFUNCTION("GOOGLETRANSLATE(B36928,""en"",""es-ES"")"),"Comienza a afeitarse suavemente los lados de su rostro y se mueve hacia su barba.")</f>
        <v>Comienza a afeitarse suavemente los lados de su rostro y se mueve hacia su barba.</v>
      </c>
    </row>
    <row r="36929">
      <c r="A36929" s="4" t="s">
        <v>46453</v>
      </c>
      <c r="B36929" s="4" t="s">
        <v>46456</v>
      </c>
      <c r="C36929" s="5" t="str">
        <f>IFERROR(__xludf.DUMMYFUNCTION("GOOGLETRANSLATE(B36929,""en"",""es-ES"")"),"Continúa afeitándose la barba desde todos los ángulos y finalmente no deja nada más que una sombra de bloqueo de cinco 0.")</f>
        <v>Continúa afeitándose la barba desde todos los ángulos y finalmente no deja nada más que una sombra de bloqueo de cinco 0.</v>
      </c>
    </row>
    <row r="36930">
      <c r="A36930" s="4" t="s">
        <v>46457</v>
      </c>
      <c r="B36930" s="4" t="s">
        <v>46458</v>
      </c>
      <c r="C36930" s="5" t="str">
        <f>IFERROR(__xludf.DUMMYFUNCTION("GOOGLETRANSLATE(B36930,""en"",""es-ES"")"),"Una mujer blanca de mediana edad está parada en un lobby de algún tipo junto a una foto que habla.")</f>
        <v>Una mujer blanca de mediana edad está parada en un lobby de algún tipo junto a una foto que habla.</v>
      </c>
    </row>
    <row r="36931">
      <c r="A36931" s="4" t="s">
        <v>46457</v>
      </c>
      <c r="B36931" s="4" t="s">
        <v>46459</v>
      </c>
      <c r="C36931" s="5" t="str">
        <f>IFERROR(__xludf.DUMMYFUNCTION("GOOGLETRANSLATE(B36931,""en"",""es-ES"")"),"Luego reaparece en otra habitación del mismo lugar y está hablando frente a un espejo, jarrón y planta.")</f>
        <v>Luego reaparece en otra habitación del mismo lugar y está hablando frente a un espejo, jarrón y planta.</v>
      </c>
    </row>
    <row r="36932">
      <c r="A36932" s="4" t="s">
        <v>46457</v>
      </c>
      <c r="B36932" s="4" t="s">
        <v>46460</v>
      </c>
      <c r="C36932" s="5" t="str">
        <f>IFERROR(__xludf.DUMMYFUNCTION("GOOGLETRANSLATE(B36932,""en"",""es-ES"")"),"En su mano, tiene un pequeño recipiente circular con un bisea de zapatos, toma un trapo y sumerge el trapo en el recipiente.")</f>
        <v>En su mano, tiene un pequeño recipiente circular con un bisea de zapatos, toma un trapo y sumerge el trapo en el recipiente.</v>
      </c>
    </row>
    <row r="36933">
      <c r="A36933" s="4" t="s">
        <v>46457</v>
      </c>
      <c r="B36933" s="4" t="s">
        <v>46461</v>
      </c>
      <c r="C36933" s="5" t="str">
        <f>IFERROR(__xludf.DUMMYFUNCTION("GOOGLETRANSLATE(B36933,""en"",""es-ES"")"),"La mujer luego procede a limpiar el zapato de vestido macho con la tela y el pulido.")</f>
        <v>La mujer luego procede a limpiar el zapato de vestido macho con la tela y el pulido.</v>
      </c>
    </row>
    <row r="36934">
      <c r="A36934" s="4" t="s">
        <v>46457</v>
      </c>
      <c r="B36934" s="4" t="s">
        <v>46462</v>
      </c>
      <c r="C36934" s="5" t="str">
        <f>IFERROR(__xludf.DUMMYFUNCTION("GOOGLETRANSLATE(B36934,""en"",""es-ES"")"),"Luego toma un cepillo y comienza a pasar por el zapato y se detiene brevemente y comienza a hablar.")</f>
        <v>Luego toma un cepillo y comienza a pasar por el zapato y se detiene brevemente y comienza a hablar.</v>
      </c>
    </row>
    <row r="36935">
      <c r="A36935" s="4" t="s">
        <v>46463</v>
      </c>
      <c r="B36935" s="4" t="s">
        <v>46464</v>
      </c>
      <c r="C36935" s="5" t="str">
        <f>IFERROR(__xludf.DUMMYFUNCTION("GOOGLETRANSLATE(B36935,""en"",""es-ES"")"),"Se muestra a un grupo de niñas de pie alrededor de un campo acurrucados juntos.")</f>
        <v>Se muestra a un grupo de niñas de pie alrededor de un campo acurrucados juntos.</v>
      </c>
    </row>
    <row r="36936">
      <c r="A36936" s="4" t="s">
        <v>46463</v>
      </c>
      <c r="B36936" s="4" t="s">
        <v>46465</v>
      </c>
      <c r="C36936" s="5" t="str">
        <f>IFERROR(__xludf.DUMMYFUNCTION("GOOGLETRANSLATE(B36936,""en"",""es-ES"")"),"Los siguientes tiros son de las chicas que corren por el campo pasando el balón hacia atrás y cuarto.")</f>
        <v>Los siguientes tiros son de las chicas que corren por el campo pasando el balón hacia atrás y cuarto.</v>
      </c>
    </row>
    <row r="36937">
      <c r="A36937" s="4" t="s">
        <v>46463</v>
      </c>
      <c r="B36937" s="4" t="s">
        <v>46466</v>
      </c>
      <c r="C36937" s="5" t="str">
        <f>IFERROR(__xludf.DUMMYFUNCTION("GOOGLETRANSLATE(B36937,""en"",""es-ES"")"),"Una niña dispara la pelota a la meta y logra un punto.")</f>
        <v>Una niña dispara la pelota a la meta y logra un punto.</v>
      </c>
    </row>
    <row r="36938">
      <c r="A36938" s="4" t="s">
        <v>46463</v>
      </c>
      <c r="B36938" s="4" t="s">
        <v>46467</v>
      </c>
      <c r="C36938" s="5" t="str">
        <f>IFERROR(__xludf.DUMMYFUNCTION("GOOGLETRANSLATE(B36938,""en"",""es-ES"")"),"Otro más tarde intenta disparar un gol, pero es bloqueado por el portero.")</f>
        <v>Otro más tarde intenta disparar un gol, pero es bloqueado por el portero.</v>
      </c>
    </row>
    <row r="36939">
      <c r="A36939" s="4" t="s">
        <v>46468</v>
      </c>
      <c r="B36939" s="4" t="s">
        <v>46469</v>
      </c>
      <c r="C36939" s="5" t="str">
        <f>IFERROR(__xludf.DUMMYFUNCTION("GOOGLETRANSLATE(B36939,""en"",""es-ES"")"),"Un hombre sostiene Windex cerca de la puerta de su auto.")</f>
        <v>Un hombre sostiene Windex cerca de la puerta de su auto.</v>
      </c>
    </row>
    <row r="36940">
      <c r="A36940" s="4" t="s">
        <v>46468</v>
      </c>
      <c r="B36940" s="4" t="s">
        <v>46470</v>
      </c>
      <c r="C36940" s="5" t="str">
        <f>IFERROR(__xludf.DUMMYFUNCTION("GOOGLETRANSLATE(B36940,""en"",""es-ES"")"),"El hombre luego rocía la ventana con Windex y limpia la ventana.")</f>
        <v>El hombre luego rocía la ventana con Windex y limpia la ventana.</v>
      </c>
    </row>
    <row r="36941">
      <c r="A36941" s="4" t="s">
        <v>46468</v>
      </c>
      <c r="B36941" s="4" t="s">
        <v>46471</v>
      </c>
      <c r="C36941" s="5" t="str">
        <f>IFERROR(__xludf.DUMMYFUNCTION("GOOGLETRANSLATE(B36941,""en"",""es-ES"")"),"El hombre rueda la ventana hacia arriba.")</f>
        <v>El hombre rueda la ventana hacia arriba.</v>
      </c>
    </row>
    <row r="36942">
      <c r="A36942" s="4" t="s">
        <v>46468</v>
      </c>
      <c r="B36942" s="4" t="s">
        <v>46472</v>
      </c>
      <c r="C36942" s="5" t="str">
        <f>IFERROR(__xludf.DUMMYFUNCTION("GOOGLETRANSLATE(B36942,""en"",""es-ES"")"),"El hombre termina y rueda la ventana hacia abajo para limpiarla un poco más.")</f>
        <v>El hombre termina y rueda la ventana hacia abajo para limpiarla un poco más.</v>
      </c>
    </row>
    <row r="36943">
      <c r="A36943" s="4" t="s">
        <v>46473</v>
      </c>
      <c r="B36943" s="4" t="s">
        <v>25249</v>
      </c>
      <c r="C36943" s="5" t="str">
        <f>IFERROR(__xludf.DUMMYFUNCTION("GOOGLETRANSLATE(B36943,""en"",""es-ES"")"),"Se muestran los créditos de los clips.")</f>
        <v>Se muestran los créditos de los clips.</v>
      </c>
    </row>
    <row r="36944">
      <c r="A36944" s="4" t="s">
        <v>46473</v>
      </c>
      <c r="B36944" s="4" t="s">
        <v>46474</v>
      </c>
      <c r="C36944" s="5" t="str">
        <f>IFERROR(__xludf.DUMMYFUNCTION("GOOGLETRANSLATE(B36944,""en"",""es-ES"")"),"Los chicos están jugando lacrosse en un campo.")</f>
        <v>Los chicos están jugando lacrosse en un campo.</v>
      </c>
    </row>
    <row r="36945">
      <c r="A36945" s="4" t="s">
        <v>46473</v>
      </c>
      <c r="B36945" s="4" t="s">
        <v>46475</v>
      </c>
      <c r="C36945" s="5" t="str">
        <f>IFERROR(__xludf.DUMMYFUNCTION("GOOGLETRANSLATE(B36945,""en"",""es-ES"")"),"Un chico empuja a un hombre al suelo.")</f>
        <v>Un chico empuja a un hombre al suelo.</v>
      </c>
    </row>
    <row r="36946">
      <c r="A36946" s="4" t="s">
        <v>46473</v>
      </c>
      <c r="B36946" s="4" t="s">
        <v>573</v>
      </c>
      <c r="C36946" s="5" t="str">
        <f>IFERROR(__xludf.DUMMYFUNCTION("GOOGLETRANSLATE(B36946,""en"",""es-ES"")"),"Se muestran los créditos del video.")</f>
        <v>Se muestran los créditos del video.</v>
      </c>
    </row>
    <row r="36947">
      <c r="A36947" s="4" t="s">
        <v>46476</v>
      </c>
      <c r="B36947" s="4" t="s">
        <v>46477</v>
      </c>
      <c r="C36947" s="5" t="str">
        <f>IFERROR(__xludf.DUMMYFUNCTION("GOOGLETRANSLATE(B36947,""en"",""es-ES"")"),"Aparece una pantalla de introducción de efecto especial, es principalmente rojo y contiene palabras que dicen ""cómo mejorar su pico de voleibol"".")</f>
        <v>Aparece una pantalla de introducción de efecto especial, es principalmente rojo y contiene palabras que dicen "cómo mejorar su pico de voleibol".</v>
      </c>
    </row>
    <row r="36948">
      <c r="A36948" s="4" t="s">
        <v>46476</v>
      </c>
      <c r="B36948" s="4" t="s">
        <v>46478</v>
      </c>
      <c r="C36948" s="5" t="str">
        <f>IFERROR(__xludf.DUMMYFUNCTION("GOOGLETRANSLATE(B36948,""en"",""es-ES"")"),"En cámara lenta, un hombre está en una cancha de voleibol que demuestra movimientos a medida que el texto blanco aparece como hace ciertos movimientos.")</f>
        <v>En cámara lenta, un hombre está en una cancha de voleibol que demuestra movimientos a medida que el texto blanco aparece como hace ciertos movimientos.</v>
      </c>
    </row>
    <row r="36949">
      <c r="A36949" s="4" t="s">
        <v>46476</v>
      </c>
      <c r="B36949" s="4" t="s">
        <v>46479</v>
      </c>
      <c r="C36949" s="5" t="str">
        <f>IFERROR(__xludf.DUMMYFUNCTION("GOOGLETRANSLATE(B36949,""en"",""es-ES"")"),"Cuando ha hecho una pantalla roja que incluye un sitio web en texto blanco que dice ""Acuspike Dot Com"" e incluye un clip de azul que lo atraviesa junto con un voleibol blanco.")</f>
        <v>Cuando ha hecho una pantalla roja que incluye un sitio web en texto blanco que dice "Acuspike Dot Com" e incluye un clip de azul que lo atraviesa junto con un voleibol blanco.</v>
      </c>
    </row>
    <row r="36950">
      <c r="A36950" s="4" t="s">
        <v>46480</v>
      </c>
      <c r="B36950" s="4" t="s">
        <v>46481</v>
      </c>
      <c r="C36950" s="5" t="str">
        <f>IFERROR(__xludf.DUMMYFUNCTION("GOOGLETRANSLATE(B36950,""en"",""es-ES"")"),"Un gimnasta afroamericano en un leotardo azul escalera bajo dos barras y comienza a estirarse.")</f>
        <v>Un gimnasta afroamericano en un leotardo azul escalera bajo dos barras y comienza a estirarse.</v>
      </c>
    </row>
    <row r="36951">
      <c r="A36951" s="4" t="s">
        <v>46480</v>
      </c>
      <c r="B36951" s="4" t="s">
        <v>46482</v>
      </c>
      <c r="C36951" s="5" t="str">
        <f>IFERROR(__xludf.DUMMYFUNCTION("GOOGLETRANSLATE(B36951,""en"",""es-ES"")"),"Agarra las barras y se pone en un soporte de mano sobre las barras.")</f>
        <v>Agarra las barras y se pone en un soporte de mano sobre las barras.</v>
      </c>
    </row>
    <row r="36952">
      <c r="A36952" s="4" t="s">
        <v>46480</v>
      </c>
      <c r="B36952" s="4" t="s">
        <v>46483</v>
      </c>
      <c r="C36952" s="5" t="str">
        <f>IFERROR(__xludf.DUMMYFUNCTION("GOOGLETRANSLATE(B36952,""en"",""es-ES"")"),"Continúa haciendo volteretas acrobáticas y flips continuos.")</f>
        <v>Continúa haciendo volteretas acrobáticas y flips continuos.</v>
      </c>
    </row>
    <row r="36953">
      <c r="A36953" s="4" t="s">
        <v>46480</v>
      </c>
      <c r="B36953" s="4" t="s">
        <v>46484</v>
      </c>
      <c r="C36953" s="5" t="str">
        <f>IFERROR(__xludf.DUMMYFUNCTION("GOOGLETRANSLATE(B36953,""en"",""es-ES"")"),"Su próximo conjunto de flips consiste en divisiones sobre las barras, seguidas de los soportes de mano.")</f>
        <v>Su próximo conjunto de flips consiste en divisiones sobre las barras, seguidas de los soportes de mano.</v>
      </c>
    </row>
    <row r="36954">
      <c r="A36954" s="4" t="s">
        <v>46480</v>
      </c>
      <c r="B36954" s="4" t="s">
        <v>46485</v>
      </c>
      <c r="C36954" s="5" t="str">
        <f>IFERROR(__xludf.DUMMYFUNCTION("GOOGLETRANSLATE(B36954,""en"",""es-ES"")"),"Finalmente, gira los bares y aterriza en la colchoneta para completar su actuación.")</f>
        <v>Finalmente, gira los bares y aterriza en la colchoneta para completar su actuación.</v>
      </c>
    </row>
    <row r="36955">
      <c r="A36955" s="4" t="s">
        <v>46486</v>
      </c>
      <c r="B36955" s="4" t="s">
        <v>46487</v>
      </c>
      <c r="C36955" s="5" t="str">
        <f>IFERROR(__xludf.DUMMYFUNCTION("GOOGLETRANSLATE(B36955,""en"",""es-ES"")"),"Un cielo con el sol se está asomando a través de las nubes.")</f>
        <v>Un cielo con el sol se está asomando a través de las nubes.</v>
      </c>
    </row>
    <row r="36956">
      <c r="A36956" s="4" t="s">
        <v>46486</v>
      </c>
      <c r="B36956" s="4" t="s">
        <v>46488</v>
      </c>
      <c r="C36956" s="5" t="str">
        <f>IFERROR(__xludf.DUMMYFUNCTION("GOOGLETRANSLATE(B36956,""en"",""es-ES"")"),"Un hombre está en una pista frente a una multitud.")</f>
        <v>Un hombre está en una pista frente a una multitud.</v>
      </c>
    </row>
    <row r="36957">
      <c r="A36957" s="4" t="s">
        <v>46486</v>
      </c>
      <c r="B36957" s="4" t="s">
        <v>46489</v>
      </c>
      <c r="C36957" s="5" t="str">
        <f>IFERROR(__xludf.DUMMYFUNCTION("GOOGLETRANSLATE(B36957,""en"",""es-ES"")"),"Corre, haciendo un salto de longitud en cámara lenta.")</f>
        <v>Corre, haciendo un salto de longitud en cámara lenta.</v>
      </c>
    </row>
    <row r="36958">
      <c r="A36958" s="4" t="s">
        <v>46486</v>
      </c>
      <c r="B36958" s="4" t="s">
        <v>46490</v>
      </c>
      <c r="C36958" s="5" t="str">
        <f>IFERROR(__xludf.DUMMYFUNCTION("GOOGLETRANSLATE(B36958,""en"",""es-ES"")"),"Celebra mientras gana la medalla.")</f>
        <v>Celebra mientras gana la medalla.</v>
      </c>
    </row>
    <row r="36959">
      <c r="A36959" s="4" t="s">
        <v>46486</v>
      </c>
      <c r="B36959" s="4" t="s">
        <v>46491</v>
      </c>
      <c r="C36959" s="5" t="str">
        <f>IFERROR(__xludf.DUMMYFUNCTION("GOOGLETRANSLATE(B36959,""en"",""es-ES"")"),"Se muestra a un hombre hablando de él.")</f>
        <v>Se muestra a un hombre hablando de él.</v>
      </c>
    </row>
    <row r="36960">
      <c r="A36960" s="4" t="s">
        <v>46486</v>
      </c>
      <c r="B36960" s="4" t="s">
        <v>46492</v>
      </c>
      <c r="C36960" s="5" t="str">
        <f>IFERROR(__xludf.DUMMYFUNCTION("GOOGLETRANSLATE(B36960,""en"",""es-ES"")"),"Los créditos aparecen al final.")</f>
        <v>Los créditos aparecen al final.</v>
      </c>
    </row>
    <row r="36961">
      <c r="A36961" s="4" t="s">
        <v>46493</v>
      </c>
      <c r="B36961" s="4" t="s">
        <v>46494</v>
      </c>
      <c r="C36961" s="5" t="str">
        <f>IFERROR(__xludf.DUMMYFUNCTION("GOOGLETRANSLATE(B36961,""en"",""es-ES"")"),"Un hombre y una mujer están de pie en una sala de estar con grandes disfraces de sumo.")</f>
        <v>Un hombre y una mujer están de pie en una sala de estar con grandes disfraces de sumo.</v>
      </c>
    </row>
    <row r="36962">
      <c r="A36962" s="4" t="s">
        <v>46493</v>
      </c>
      <c r="B36962" s="4" t="s">
        <v>46495</v>
      </c>
      <c r="C36962" s="5" t="str">
        <f>IFERROR(__xludf.DUMMYFUNCTION("GOOGLETRANSLATE(B36962,""en"",""es-ES"")"),"La niña salta y luego el hombre lo intenta para ver qué tan pesado es el uniforme.")</f>
        <v>La niña salta y luego el hombre lo intenta para ver qué tan pesado es el uniforme.</v>
      </c>
    </row>
    <row r="36963">
      <c r="A36963" s="4" t="s">
        <v>46493</v>
      </c>
      <c r="B36963" s="4" t="s">
        <v>46496</v>
      </c>
      <c r="C36963" s="5" t="str">
        <f>IFERROR(__xludf.DUMMYFUNCTION("GOOGLETRANSLATE(B36963,""en"",""es-ES"")"),"Luego, el hombre levanta una bolsa de limones y comienza a hablar antes de ponerse el equipo de la cabeza.")</f>
        <v>Luego, el hombre levanta una bolsa de limones y comienza a hablar antes de ponerse el equipo de la cabeza.</v>
      </c>
    </row>
    <row r="36964">
      <c r="A36964" s="4" t="s">
        <v>46493</v>
      </c>
      <c r="B36964" s="4" t="s">
        <v>46497</v>
      </c>
      <c r="C36964" s="5" t="str">
        <f>IFERROR(__xludf.DUMMYFUNCTION("GOOGLETRANSLATE(B36964,""en"",""es-ES"")"),"Ahora, es hora del partido y comienzan a luchar entre sí.")</f>
        <v>Ahora, es hora del partido y comienzan a luchar entre sí.</v>
      </c>
    </row>
    <row r="36965">
      <c r="A36965" s="4" t="s">
        <v>46493</v>
      </c>
      <c r="B36965" s="4" t="s">
        <v>46498</v>
      </c>
      <c r="C36965" s="5" t="str">
        <f>IFERROR(__xludf.DUMMYFUNCTION("GOOGLETRANSLATE(B36965,""en"",""es-ES"")"),"Sin embargo, han agregado una función al partido y cada persona tiene que poner limones en el sombrero del otro para ganar puntos.")</f>
        <v>Sin embargo, han agregado una función al partido y cada persona tiene que poner limones en el sombrero del otro para ganar puntos.</v>
      </c>
    </row>
    <row r="36966">
      <c r="A36966" s="4" t="s">
        <v>46493</v>
      </c>
      <c r="B36966" s="4" t="s">
        <v>46499</v>
      </c>
      <c r="C36966" s="5" t="str">
        <f>IFERROR(__xludf.DUMMYFUNCTION("GOOGLETRANSLATE(B36966,""en"",""es-ES"")"),"Después de varios intentos, la niña gana y el puntaje es de 4 a 0.")</f>
        <v>Después de varios intentos, la niña gana y el puntaje es de 4 a 0.</v>
      </c>
    </row>
    <row r="36967">
      <c r="A36967" s="4" t="s">
        <v>46493</v>
      </c>
      <c r="B36967" s="4" t="s">
        <v>46500</v>
      </c>
      <c r="C36967" s="5" t="str">
        <f>IFERROR(__xludf.DUMMYFUNCTION("GOOGLETRANSLATE(B36967,""en"",""es-ES"")"),"Ahora comienza la segunda ronda y el resultado es el mismo que las chicas trampa para ganar.")</f>
        <v>Ahora comienza la segunda ronda y el resultado es el mismo que las chicas trampa para ganar.</v>
      </c>
    </row>
    <row r="36968">
      <c r="A36968" s="4" t="s">
        <v>46501</v>
      </c>
      <c r="B36968" s="4" t="s">
        <v>46502</v>
      </c>
      <c r="C36968" s="5" t="str">
        <f>IFERROR(__xludf.DUMMYFUNCTION("GOOGLETRANSLATE(B36968,""en"",""es-ES"")"),"Aparecen dos aspiradoras en una habitación gris.")</f>
        <v>Aparecen dos aspiradoras en una habitación gris.</v>
      </c>
    </row>
    <row r="36969">
      <c r="A36969" s="4" t="s">
        <v>46501</v>
      </c>
      <c r="B36969" s="4" t="s">
        <v>46503</v>
      </c>
      <c r="C36969" s="5" t="str">
        <f>IFERROR(__xludf.DUMMYFUNCTION("GOOGLETRANSLATE(B36969,""en"",""es-ES"")"),"Una de las aspiradoras desaparece.")</f>
        <v>Una de las aspiradoras desaparece.</v>
      </c>
    </row>
    <row r="36970">
      <c r="A36970" s="4" t="s">
        <v>46501</v>
      </c>
      <c r="B36970" s="4" t="s">
        <v>46504</v>
      </c>
      <c r="C36970" s="5" t="str">
        <f>IFERROR(__xludf.DUMMYFUNCTION("GOOGLETRANSLATE(B36970,""en"",""es-ES"")"),"Una señora aspira su casa y luego vacía el vacío.")</f>
        <v>Una señora aspira su casa y luego vacía el vacío.</v>
      </c>
    </row>
    <row r="36971">
      <c r="A36971" s="4" t="s">
        <v>46501</v>
      </c>
      <c r="B36971" s="4" t="s">
        <v>46505</v>
      </c>
      <c r="C36971" s="5" t="str">
        <f>IFERROR(__xludf.DUMMYFUNCTION("GOOGLETRANSLATE(B36971,""en"",""es-ES"")"),"La señora pone el vacío en un armario.")</f>
        <v>La señora pone el vacío en un armario.</v>
      </c>
    </row>
    <row r="36972">
      <c r="A36972" s="4" t="s">
        <v>46501</v>
      </c>
      <c r="B36972" s="4" t="s">
        <v>46506</v>
      </c>
      <c r="C36972" s="5" t="str">
        <f>IFERROR(__xludf.DUMMYFUNCTION("GOOGLETRANSLATE(B36972,""en"",""es-ES"")"),"Vemos una habitación llena de escritorios e ingenieros que diseñan productos.")</f>
        <v>Vemos una habitación llena de escritorios e ingenieros que diseñan productos.</v>
      </c>
    </row>
    <row r="36973">
      <c r="A36973" s="4" t="s">
        <v>46501</v>
      </c>
      <c r="B36973" s="4" t="s">
        <v>46507</v>
      </c>
      <c r="C36973" s="5" t="str">
        <f>IFERROR(__xludf.DUMMYFUNCTION("GOOGLETRANSLATE(B36973,""en"",""es-ES"")"),"Tres fanáticos de Dyson giran hacia la cámara.")</f>
        <v>Tres fanáticos de Dyson giran hacia la cámara.</v>
      </c>
    </row>
    <row r="36974">
      <c r="A36974" s="4" t="s">
        <v>46508</v>
      </c>
      <c r="B36974" s="4" t="s">
        <v>46509</v>
      </c>
      <c r="C36974" s="5" t="str">
        <f>IFERROR(__xludf.DUMMYFUNCTION("GOOGLETRANSLATE(B36974,""en"",""es-ES"")"),"Se ve a una mujer hablando con la cámara y sosteniendo una lata.")</f>
        <v>Se ve a una mujer hablando con la cámara y sosteniendo una lata.</v>
      </c>
    </row>
    <row r="36975">
      <c r="A36975" s="4" t="s">
        <v>46508</v>
      </c>
      <c r="B36975" s="4" t="s">
        <v>46510</v>
      </c>
      <c r="C36975" s="5" t="str">
        <f>IFERROR(__xludf.DUMMYFUNCTION("GOOGLETRANSLATE(B36975,""en"",""es-ES"")"),"Luego dobla un trozo de papel en un avión y lo frota a lo largo de la sartén.")</f>
        <v>Luego dobla un trozo de papel en un avión y lo frota a lo largo de la sartén.</v>
      </c>
    </row>
    <row r="36976">
      <c r="A36976" s="4" t="s">
        <v>46508</v>
      </c>
      <c r="B36976" s="4" t="s">
        <v>46511</v>
      </c>
      <c r="C36976" s="5" t="str">
        <f>IFERROR(__xludf.DUMMYFUNCTION("GOOGLETRANSLATE(B36976,""en"",""es-ES"")"),"Luego pone un recipiente en la sartén mientras habla con la cámara.")</f>
        <v>Luego pone un recipiente en la sartén mientras habla con la cámara.</v>
      </c>
    </row>
    <row r="36977">
      <c r="A36977" s="4" t="s">
        <v>46512</v>
      </c>
      <c r="B36977" s="4" t="s">
        <v>46513</v>
      </c>
      <c r="C36977" s="5" t="str">
        <f>IFERROR(__xludf.DUMMYFUNCTION("GOOGLETRANSLATE(B36977,""en"",""es-ES"")"),"Se ve a un hombre hablando con la cámara mientras muestra tomas de personas jugando waterpolo.")</f>
        <v>Se ve a un hombre hablando con la cámara mientras muestra tomas de personas jugando waterpolo.</v>
      </c>
    </row>
    <row r="36978">
      <c r="A36978" s="4" t="s">
        <v>46512</v>
      </c>
      <c r="B36978" s="4" t="s">
        <v>46514</v>
      </c>
      <c r="C36978" s="5" t="str">
        <f>IFERROR(__xludf.DUMMYFUNCTION("GOOGLETRANSLATE(B36978,""en"",""es-ES"")"),"Se muestran más clips de personas que golpean la pelota, así como al anfitrión que habla con otro hombre.")</f>
        <v>Se muestran más clips de personas que golpean la pelota, así como al anfitrión que habla con otro hombre.</v>
      </c>
    </row>
    <row r="36979">
      <c r="A36979" s="4" t="s">
        <v>46512</v>
      </c>
      <c r="B36979" s="4" t="s">
        <v>46515</v>
      </c>
      <c r="C36979" s="5" t="str">
        <f>IFERROR(__xludf.DUMMYFUNCTION("GOOGLETRANSLATE(B36979,""en"",""es-ES"")"),"Se muestran más clips de personas que juegan en la piscina y se ríen entre ellos.")</f>
        <v>Se muestran más clips de personas que juegan en la piscina y se ríen entre ellos.</v>
      </c>
    </row>
    <row r="36980">
      <c r="A36980" s="4" t="s">
        <v>46516</v>
      </c>
      <c r="B36980" s="4" t="s">
        <v>46517</v>
      </c>
      <c r="C36980" s="5" t="str">
        <f>IFERROR(__xludf.DUMMYFUNCTION("GOOGLETRANSLATE(B36980,""en"",""es-ES"")"),"Un hombre corre sobre un par de zancos por un callejón.")</f>
        <v>Un hombre corre sobre un par de zancos por un callejón.</v>
      </c>
    </row>
    <row r="36981">
      <c r="A36981" s="4" t="s">
        <v>46516</v>
      </c>
      <c r="B36981" s="4" t="s">
        <v>46518</v>
      </c>
      <c r="C36981" s="5" t="str">
        <f>IFERROR(__xludf.DUMMYFUNCTION("GOOGLETRANSLATE(B36981,""en"",""es-ES"")"),"Él rebota sobre una bicicleta mientras corre.")</f>
        <v>Él rebota sobre una bicicleta mientras corre.</v>
      </c>
    </row>
    <row r="36982">
      <c r="A36982" s="4" t="s">
        <v>46516</v>
      </c>
      <c r="B36982" s="4" t="s">
        <v>46519</v>
      </c>
      <c r="C36982" s="5" t="str">
        <f>IFERROR(__xludf.DUMMYFUNCTION("GOOGLETRANSLATE(B36982,""en"",""es-ES"")"),"Luego corre por el borde lateral de un edificio antes de desaparecer a la vuelta de la esquina.")</f>
        <v>Luego corre por el borde lateral de un edificio antes de desaparecer a la vuelta de la esquina.</v>
      </c>
    </row>
    <row r="36983">
      <c r="A36983" s="4" t="s">
        <v>46520</v>
      </c>
      <c r="B36983" s="4" t="s">
        <v>46521</v>
      </c>
      <c r="C36983" s="5" t="str">
        <f>IFERROR(__xludf.DUMMYFUNCTION("GOOGLETRANSLATE(B36983,""en"",""es-ES"")"),"Se muestran edificios de dibujos animados, luego un par de ángeles.")</f>
        <v>Se muestran edificios de dibujos animados, luego un par de ángeles.</v>
      </c>
    </row>
    <row r="36984">
      <c r="A36984" s="4" t="s">
        <v>46520</v>
      </c>
      <c r="B36984" s="4" t="s">
        <v>46522</v>
      </c>
      <c r="C36984" s="5" t="str">
        <f>IFERROR(__xludf.DUMMYFUNCTION("GOOGLETRANSLATE(B36984,""en"",""es-ES"")"),"Vemos un cubo lleno de lavandería.")</f>
        <v>Vemos un cubo lleno de lavandería.</v>
      </c>
    </row>
    <row r="36985">
      <c r="A36985" s="4" t="s">
        <v>46520</v>
      </c>
      <c r="B36985" s="4" t="s">
        <v>46523</v>
      </c>
      <c r="C36985" s="5" t="str">
        <f>IFERROR(__xludf.DUMMYFUNCTION("GOOGLETRANSLATE(B36985,""en"",""es-ES"")"),"El video explica cómo la ropa de lavado debe implicar remojo y cepillado, y lavado a mano.")</f>
        <v>El video explica cómo la ropa de lavado debe implicar remojo y cepillado, y lavado a mano.</v>
      </c>
    </row>
    <row r="36986">
      <c r="A36986" s="4" t="s">
        <v>46520</v>
      </c>
      <c r="B36986" s="4" t="s">
        <v>46524</v>
      </c>
      <c r="C36986" s="5" t="str">
        <f>IFERROR(__xludf.DUMMYFUNCTION("GOOGLETRANSLATE(B36986,""en"",""es-ES"")"),"Luego habla de enjuague y colgando la ropa para que se seque.")</f>
        <v>Luego habla de enjuague y colgando la ropa para que se seque.</v>
      </c>
    </row>
    <row r="36987">
      <c r="A36987" s="4" t="s">
        <v>46520</v>
      </c>
      <c r="B36987" s="4" t="s">
        <v>46525</v>
      </c>
      <c r="C36987" s="5" t="str">
        <f>IFERROR(__xludf.DUMMYFUNCTION("GOOGLETRANSLATE(B36987,""en"",""es-ES"")"),"Finalmente vemos un secador vacío antes de un anuncio para lavandería en el cielo.")</f>
        <v>Finalmente vemos un secador vacío antes de un anuncio para lavandería en el cielo.</v>
      </c>
    </row>
    <row r="36988">
      <c r="A36988" s="4" t="s">
        <v>46526</v>
      </c>
      <c r="B36988" s="4" t="s">
        <v>46527</v>
      </c>
      <c r="C36988" s="5" t="str">
        <f>IFERROR(__xludf.DUMMYFUNCTION("GOOGLETRANSLATE(B36988,""en"",""es-ES"")"),"Un grupo de niños pequeños está en un patio de recreo.")</f>
        <v>Un grupo de niños pequeños está en un patio de recreo.</v>
      </c>
    </row>
    <row r="36989">
      <c r="A36989" s="4" t="s">
        <v>46526</v>
      </c>
      <c r="B36989" s="4" t="s">
        <v>46528</v>
      </c>
      <c r="C36989" s="5" t="str">
        <f>IFERROR(__xludf.DUMMYFUNCTION("GOOGLETRANSLATE(B36989,""en"",""es-ES"")"),"Se turnan para saltar a través de un juego de rayos hopas dibujados en la acera.")</f>
        <v>Se turnan para saltar a través de un juego de rayos hopas dibujados en la acera.</v>
      </c>
    </row>
    <row r="36990">
      <c r="A36990" s="4" t="s">
        <v>46526</v>
      </c>
      <c r="B36990" s="4" t="s">
        <v>46529</v>
      </c>
      <c r="C36990" s="5" t="str">
        <f>IFERROR(__xludf.DUMMYFUNCTION("GOOGLETRANSLATE(B36990,""en"",""es-ES"")"),"Continúan disparándose una y otra vez.")</f>
        <v>Continúan disparándose una y otra vez.</v>
      </c>
    </row>
    <row r="36991">
      <c r="A36991" s="4" t="s">
        <v>46530</v>
      </c>
      <c r="B36991" s="4" t="s">
        <v>46531</v>
      </c>
      <c r="C36991" s="5" t="str">
        <f>IFERROR(__xludf.DUMMYFUNCTION("GOOGLETRANSLATE(B36991,""en"",""es-ES"")"),"Un hombre está haciendo un cubo de Rubiks detrás de una mesa.")</f>
        <v>Un hombre está haciendo un cubo de Rubiks detrás de una mesa.</v>
      </c>
    </row>
    <row r="36992">
      <c r="A36992" s="4" t="s">
        <v>46530</v>
      </c>
      <c r="B36992" s="4" t="s">
        <v>46532</v>
      </c>
      <c r="C36992" s="5" t="str">
        <f>IFERROR(__xludf.DUMMYFUNCTION("GOOGLETRANSLATE(B36992,""en"",""es-ES"")"),"Hay un temporizador en la mesa frente a él.")</f>
        <v>Hay un temporizador en la mesa frente a él.</v>
      </c>
    </row>
    <row r="36993">
      <c r="A36993" s="4" t="s">
        <v>46530</v>
      </c>
      <c r="B36993" s="4" t="s">
        <v>46533</v>
      </c>
      <c r="C36993" s="5" t="str">
        <f>IFERROR(__xludf.DUMMYFUNCTION("GOOGLETRANSLATE(B36993,""en"",""es-ES"")"),"Recoge otro Cube Rubiks y comienza a completarlo.")</f>
        <v>Recoge otro Cube Rubiks y comienza a completarlo.</v>
      </c>
    </row>
    <row r="36994">
      <c r="A36994" s="4" t="s">
        <v>46534</v>
      </c>
      <c r="B36994" s="4" t="s">
        <v>46535</v>
      </c>
      <c r="C36994" s="5" t="str">
        <f>IFERROR(__xludf.DUMMYFUNCTION("GOOGLETRANSLATE(B36994,""en"",""es-ES"")"),"Un hombre está a punto de hacer un partido de lucha libre con un caballero mayor.")</f>
        <v>Un hombre está a punto de hacer un partido de lucha libre con un caballero mayor.</v>
      </c>
    </row>
    <row r="36995">
      <c r="A36995" s="4" t="s">
        <v>46534</v>
      </c>
      <c r="B36995" s="4" t="s">
        <v>46536</v>
      </c>
      <c r="C36995" s="5" t="str">
        <f>IFERROR(__xludf.DUMMYFUNCTION("GOOGLETRANSLATE(B36995,""en"",""es-ES"")"),"El hombre mayor está luchando por las caras que está haciendo.")</f>
        <v>El hombre mayor está luchando por las caras que está haciendo.</v>
      </c>
    </row>
    <row r="36996">
      <c r="A36996" s="4" t="s">
        <v>46534</v>
      </c>
      <c r="B36996" s="4" t="s">
        <v>46537</v>
      </c>
      <c r="C36996" s="5" t="str">
        <f>IFERROR(__xludf.DUMMYFUNCTION("GOOGLETRANSLATE(B36996,""en"",""es-ES"")"),"La cámara se está metiendo en sus caras básicamente.")</f>
        <v>La cámara se está metiendo en sus caras básicamente.</v>
      </c>
    </row>
    <row r="36997">
      <c r="A36997" s="4" t="s">
        <v>46534</v>
      </c>
      <c r="B36997" s="4" t="s">
        <v>46538</v>
      </c>
      <c r="C36997" s="5" t="str">
        <f>IFERROR(__xludf.DUMMYFUNCTION("GOOGLETRANSLATE(B36997,""en"",""es-ES"")"),"El hombre mayor gana el partido y los árbitros y todos comienzan a hablar.")</f>
        <v>El hombre mayor gana el partido y los árbitros y todos comienzan a hablar.</v>
      </c>
    </row>
    <row r="36998">
      <c r="A36998" s="4" t="s">
        <v>46539</v>
      </c>
      <c r="B36998" s="4" t="s">
        <v>46540</v>
      </c>
      <c r="C36998" s="5" t="str">
        <f>IFERROR(__xludf.DUMMYFUNCTION("GOOGLETRANSLATE(B36998,""en"",""es-ES"")"),"Una introducción a los shows de Dancing With the Stars seguido de un hombre tocando piano y una pareja mirando a lo lejos.")</f>
        <v>Una introducción a los shows de Dancing With the Stars seguido de un hombre tocando piano y una pareja mirando a lo lejos.</v>
      </c>
    </row>
    <row r="36999">
      <c r="A36999" s="4" t="s">
        <v>46539</v>
      </c>
      <c r="B36999" s="4" t="s">
        <v>46541</v>
      </c>
      <c r="C36999" s="5" t="str">
        <f>IFERROR(__xludf.DUMMYFUNCTION("GOOGLETRANSLATE(B36999,""en"",""es-ES"")"),"La mujer comienza a tocar el piano cuando el hombre de pie juega y la agarra.")</f>
        <v>La mujer comienza a tocar el piano cuando el hombre de pie juega y la agarra.</v>
      </c>
    </row>
    <row r="37000">
      <c r="A37000" s="4" t="s">
        <v>46539</v>
      </c>
      <c r="B37000" s="4" t="s">
        <v>46542</v>
      </c>
      <c r="C37000" s="5" t="str">
        <f>IFERROR(__xludf.DUMMYFUNCTION("GOOGLETRANSLATE(B37000,""en"",""es-ES"")"),"Giran alrededor de un gran escenario rodeado de cientos de personas que los miran bailar.")</f>
        <v>Giran alrededor de un gran escenario rodeado de cientos de personas que los miran bailar.</v>
      </c>
    </row>
    <row r="37001">
      <c r="A37001" s="4" t="s">
        <v>46539</v>
      </c>
      <c r="B37001" s="4" t="s">
        <v>46543</v>
      </c>
      <c r="C37001" s="5" t="str">
        <f>IFERROR(__xludf.DUMMYFUNCTION("GOOGLETRANSLATE(B37001,""en"",""es-ES"")"),"El hombre la recoge y la gira por la música y termina con la audiencia aplaudiendo.")</f>
        <v>El hombre la recoge y la gira por la música y termina con la audiencia aplaudiendo.</v>
      </c>
    </row>
    <row r="37002">
      <c r="A37002" s="4" t="s">
        <v>46544</v>
      </c>
      <c r="B37002" s="4" t="s">
        <v>46545</v>
      </c>
      <c r="C37002" s="5" t="str">
        <f>IFERROR(__xludf.DUMMYFUNCTION("GOOGLETRANSLATE(B37002,""en"",""es-ES"")"),"Un grupo de personas montando autos para el parachoques.")</f>
        <v>Un grupo de personas montando autos para el parachoques.</v>
      </c>
    </row>
    <row r="37003">
      <c r="A37003" s="4" t="s">
        <v>46544</v>
      </c>
      <c r="B37003" s="4" t="s">
        <v>46546</v>
      </c>
      <c r="C37003" s="5" t="str">
        <f>IFERROR(__xludf.DUMMYFUNCTION("GOOGLETRANSLATE(B37003,""en"",""es-ES"")"),"El asistente cruza el curso esquivando los autos de parachoques.")</f>
        <v>El asistente cruza el curso esquivando los autos de parachoques.</v>
      </c>
    </row>
    <row r="37004">
      <c r="A37004" s="4" t="s">
        <v>46544</v>
      </c>
      <c r="B37004" s="4" t="s">
        <v>46547</v>
      </c>
      <c r="C37004" s="5" t="str">
        <f>IFERROR(__xludf.DUMMYFUNCTION("GOOGLETRANSLATE(B37004,""en"",""es-ES"")"),"El asistente salta sobre un auto de niñas y la ayuda a maniobrar el auto.")</f>
        <v>El asistente salta sobre un auto de niñas y la ayuda a maniobrar el auto.</v>
      </c>
    </row>
    <row r="37005">
      <c r="A37005" s="4" t="s">
        <v>46544</v>
      </c>
      <c r="B37005" s="4" t="s">
        <v>46548</v>
      </c>
      <c r="C37005" s="5" t="str">
        <f>IFERROR(__xludf.DUMMYFUNCTION("GOOGLETRANSLATE(B37005,""en"",""es-ES"")"),"El asistente continúa corriendo por el curso ayudando a los conductores mientras los otros conductores continúan chocando entre sí.")</f>
        <v>El asistente continúa corriendo por el curso ayudando a los conductores mientras los otros conductores continúan chocando entre sí.</v>
      </c>
    </row>
    <row r="37006">
      <c r="A37006" s="4" t="s">
        <v>46549</v>
      </c>
      <c r="B37006" s="4" t="s">
        <v>46550</v>
      </c>
      <c r="C37006" s="5" t="str">
        <f>IFERROR(__xludf.DUMMYFUNCTION("GOOGLETRANSLATE(B37006,""en"",""es-ES"")"),"Una niña está sentada frente a una pantalla y comienza a hablar mientras sostiene una botella de enjuague bucal azul.")</f>
        <v>Una niña está sentada frente a una pantalla y comienza a hablar mientras sostiene una botella de enjuague bucal azul.</v>
      </c>
    </row>
    <row r="37007">
      <c r="A37007" s="4" t="s">
        <v>46549</v>
      </c>
      <c r="B37007" s="4" t="s">
        <v>46551</v>
      </c>
      <c r="C37007" s="5" t="str">
        <f>IFERROR(__xludf.DUMMYFUNCTION("GOOGLETRANSLATE(B37007,""en"",""es-ES"")"),"Luego, la niña toma el enjuague bucal y comienza a ponerlo sobre la cabeza y jugar es mientras hace caras divertidas.")</f>
        <v>Luego, la niña toma el enjuague bucal y comienza a ponerlo sobre la cabeza y jugar es mientras hace caras divertidas.</v>
      </c>
    </row>
    <row r="37008">
      <c r="A37008" s="4" t="s">
        <v>46549</v>
      </c>
      <c r="B37008" s="4" t="s">
        <v>46552</v>
      </c>
      <c r="C37008" s="5" t="str">
        <f>IFERROR(__xludf.DUMMYFUNCTION("GOOGLETRANSLATE(B37008,""en"",""es-ES"")"),"Después de tomarlo, las chicas toman un trago de él y comienzan a hacer gárgaras y lo sostienen en su boca.")</f>
        <v>Después de tomarlo, las chicas toman un trago de él y comienzan a hacer gárgaras y lo sostienen en su boca.</v>
      </c>
    </row>
    <row r="37009">
      <c r="A37009" s="4" t="s">
        <v>46549</v>
      </c>
      <c r="B37009" s="4" t="s">
        <v>46553</v>
      </c>
      <c r="C37009" s="5" t="str">
        <f>IFERROR(__xludf.DUMMYFUNCTION("GOOGLETRANSLATE(B37009,""en"",""es-ES"")"),"Finalmente, lo escupe y toma un trago de agua antes de que se muestre la repetición.")</f>
        <v>Finalmente, lo escupe y toma un trago de agua antes de que se muestre la repetición.</v>
      </c>
    </row>
    <row r="37010">
      <c r="A37010" s="4" t="s">
        <v>46554</v>
      </c>
      <c r="B37010" s="4" t="s">
        <v>46555</v>
      </c>
      <c r="C37010" s="5" t="str">
        <f>IFERROR(__xludf.DUMMYFUNCTION("GOOGLETRANSLATE(B37010,""en"",""es-ES"")"),"Un hombre con una chaqueta de nieve está sentada en un elevador de esquí.")</f>
        <v>Un hombre con una chaqueta de nieve está sentada en un elevador de esquí.</v>
      </c>
    </row>
    <row r="37011">
      <c r="A37011" s="4" t="s">
        <v>46554</v>
      </c>
      <c r="B37011" s="4" t="s">
        <v>46556</v>
      </c>
      <c r="C37011" s="5" t="str">
        <f>IFERROR(__xludf.DUMMYFUNCTION("GOOGLETRANSLATE(B37011,""en"",""es-ES"")"),"Un hombre con chaqueta amarilla sostiene un tubo de goma con una cuerda y un niño con ropa de esquí se sienta por dentro.")</f>
        <v>Un hombre con chaqueta amarilla sostiene un tubo de goma con una cuerda y un niño con ropa de esquí se sienta por dentro.</v>
      </c>
    </row>
    <row r="37012">
      <c r="A37012" s="4" t="s">
        <v>46554</v>
      </c>
      <c r="B37012" s="4" t="s">
        <v>46557</v>
      </c>
      <c r="C37012" s="5" t="str">
        <f>IFERROR(__xludf.DUMMYFUNCTION("GOOGLETRANSLATE(B37012,""en"",""es-ES"")"),"El hombre empuja al niño por una pendiente de esquí.")</f>
        <v>El hombre empuja al niño por una pendiente de esquí.</v>
      </c>
    </row>
    <row r="37013">
      <c r="A37013" s="4" t="s">
        <v>46554</v>
      </c>
      <c r="B37013" s="4" t="s">
        <v>46558</v>
      </c>
      <c r="C37013" s="5" t="str">
        <f>IFERROR(__xludf.DUMMYFUNCTION("GOOGLETRANSLATE(B37013,""en"",""es-ES"")"),"El niño cae por un juego de colinas en el intertube.")</f>
        <v>El niño cae por un juego de colinas en el intertube.</v>
      </c>
    </row>
    <row r="37014">
      <c r="A37014" s="4" t="s">
        <v>46554</v>
      </c>
      <c r="B37014" s="4" t="s">
        <v>46559</v>
      </c>
      <c r="C37014" s="5" t="str">
        <f>IFERROR(__xludf.DUMMYFUNCTION("GOOGLETRANSLATE(B37014,""en"",""es-ES"")"),"Una mujer intenta detener al niño y luego recupera su intertube.")</f>
        <v>Una mujer intenta detener al niño y luego recupera su intertube.</v>
      </c>
    </row>
    <row r="37015">
      <c r="A37015" s="4" t="s">
        <v>46554</v>
      </c>
      <c r="B37015" s="4" t="s">
        <v>46560</v>
      </c>
      <c r="C37015" s="5" t="str">
        <f>IFERROR(__xludf.DUMMYFUNCTION("GOOGLETRANSLATE(B37015,""en"",""es-ES"")"),"Un grupo de niñas y niños tiran de una colina.")</f>
        <v>Un grupo de niñas y niños tiran de una colina.</v>
      </c>
    </row>
    <row r="37016">
      <c r="A37016" s="4" t="s">
        <v>46554</v>
      </c>
      <c r="B37016" s="4" t="s">
        <v>46561</v>
      </c>
      <c r="C37016" s="5" t="str">
        <f>IFERROR(__xludf.DUMMYFUNCTION("GOOGLETRANSLATE(B37016,""en"",""es-ES"")"),"Un niño con chaqueta verde entra en un intertube.")</f>
        <v>Un niño con chaqueta verde entra en un intertube.</v>
      </c>
    </row>
    <row r="37017">
      <c r="A37017" s="4" t="s">
        <v>46554</v>
      </c>
      <c r="B37017" s="4" t="s">
        <v>46562</v>
      </c>
      <c r="C37017" s="5" t="str">
        <f>IFERROR(__xludf.DUMMYFUNCTION("GOOGLETRANSLATE(B37017,""en"",""es-ES"")"),"El niño es empujado hacia abajo por la pendiente de esquí y trinea hacia el fondo.")</f>
        <v>El niño es empujado hacia abajo por la pendiente de esquí y trinea hacia el fondo.</v>
      </c>
    </row>
    <row r="37018">
      <c r="A37018" s="4" t="s">
        <v>46554</v>
      </c>
      <c r="B37018" s="4" t="s">
        <v>46563</v>
      </c>
      <c r="C37018" s="5" t="str">
        <f>IFERROR(__xludf.DUMMYFUNCTION("GOOGLETRANSLATE(B37018,""en"",""es-ES"")"),"Una mujer con sudadera gris recupera el intertube en la parte inferior de la pendiente.")</f>
        <v>Una mujer con sudadera gris recupera el intertube en la parte inferior de la pendiente.</v>
      </c>
    </row>
    <row r="37019">
      <c r="A37019" s="4" t="s">
        <v>46554</v>
      </c>
      <c r="B37019" s="4" t="s">
        <v>46564</v>
      </c>
      <c r="C37019" s="5" t="str">
        <f>IFERROR(__xludf.DUMMYFUNCTION("GOOGLETRANSLATE(B37019,""en"",""es-ES"")"),"Un niño con chaqueta verde es empujado por la pendiente de esquí.")</f>
        <v>Un niño con chaqueta verde es empujado por la pendiente de esquí.</v>
      </c>
    </row>
    <row r="37020">
      <c r="A37020" s="4" t="s">
        <v>46554</v>
      </c>
      <c r="B37020" s="4" t="s">
        <v>46565</v>
      </c>
      <c r="C37020" s="5" t="str">
        <f>IFERROR(__xludf.DUMMYFUNCTION("GOOGLETRANSLATE(B37020,""en"",""es-ES"")"),"Una mujer y sudadera gris recupera el intertube en la parte inferior de la pendiente.")</f>
        <v>Una mujer y sudadera gris recupera el intertube en la parte inferior de la pendiente.</v>
      </c>
    </row>
    <row r="37021">
      <c r="A37021" s="4" t="s">
        <v>46566</v>
      </c>
      <c r="B37021" s="4" t="s">
        <v>46567</v>
      </c>
      <c r="C37021" s="5" t="str">
        <f>IFERROR(__xludf.DUMMYFUNCTION("GOOGLETRANSLATE(B37021,""en"",""es-ES"")"),"Una dama habla con la cámara.")</f>
        <v>Una dama habla con la cámara.</v>
      </c>
    </row>
    <row r="37022">
      <c r="A37022" s="4" t="s">
        <v>46566</v>
      </c>
      <c r="B37022" s="4" t="s">
        <v>46568</v>
      </c>
      <c r="C37022" s="5" t="str">
        <f>IFERROR(__xludf.DUMMYFUNCTION("GOOGLETRANSLATE(B37022,""en"",""es-ES"")"),"Vemos a la señora sostener la botella de hamamelis y una almohadilla de algodón y conversaciones.")</f>
        <v>Vemos a la señora sostener la botella de hamamelis y una almohadilla de algodón y conversaciones.</v>
      </c>
    </row>
    <row r="37023">
      <c r="A37023" s="4" t="s">
        <v>46566</v>
      </c>
      <c r="B37023" s="4" t="s">
        <v>46569</v>
      </c>
      <c r="C37023" s="5" t="str">
        <f>IFERROR(__xludf.DUMMYFUNCTION("GOOGLETRANSLATE(B37023,""en"",""es-ES"")"),"La señora levanta una botella de loción.")</f>
        <v>La señora levanta una botella de loción.</v>
      </c>
    </row>
    <row r="37024">
      <c r="A37024" s="4" t="s">
        <v>46566</v>
      </c>
      <c r="B37024" s="4" t="s">
        <v>46570</v>
      </c>
      <c r="C37024" s="5" t="str">
        <f>IFERROR(__xludf.DUMMYFUNCTION("GOOGLETRANSLATE(B37024,""en"",""es-ES"")"),"Vemos a la señora poner loción en su rostro y luego sostener una pequeña botella de suero que le pone en la cara.")</f>
        <v>Vemos a la señora poner loción en su rostro y luego sostener una pequeña botella de suero que le pone en la cara.</v>
      </c>
    </row>
    <row r="37025">
      <c r="A37025" s="4" t="s">
        <v>46566</v>
      </c>
      <c r="B37025" s="4" t="s">
        <v>46571</v>
      </c>
      <c r="C37025" s="5" t="str">
        <f>IFERROR(__xludf.DUMMYFUNCTION("GOOGLETRANSLATE(B37025,""en"",""es-ES"")"),"Vemos a la dama con maquillaje al hablar con la cámara.")</f>
        <v>Vemos a la dama con maquillaje al hablar con la cámara.</v>
      </c>
    </row>
    <row r="37026">
      <c r="A37026" s="4" t="s">
        <v>46572</v>
      </c>
      <c r="B37026" s="4" t="s">
        <v>46573</v>
      </c>
      <c r="C37026" s="5" t="str">
        <f>IFERROR(__xludf.DUMMYFUNCTION("GOOGLETRANSLATE(B37026,""en"",""es-ES"")"),"1 Un camarógrafo mira a los hombres en bicicletas que están a punto de competir.")</f>
        <v>1 Un camarógrafo mira a los hombres en bicicletas que están a punto de competir.</v>
      </c>
    </row>
    <row r="37027">
      <c r="A37027" s="4" t="s">
        <v>46572</v>
      </c>
      <c r="B37027" s="4" t="s">
        <v>46574</v>
      </c>
      <c r="C37027" s="5" t="str">
        <f>IFERROR(__xludf.DUMMYFUNCTION("GOOGLETRANSLATE(B37027,""en"",""es-ES"")"),"2 La carrera comienza con los muchachos en bicicletas.")</f>
        <v>2 La carrera comienza con los muchachos en bicicletas.</v>
      </c>
    </row>
    <row r="37028">
      <c r="A37028" s="4" t="s">
        <v>46572</v>
      </c>
      <c r="B37028" s="4" t="s">
        <v>46575</v>
      </c>
      <c r="C37028" s="5" t="str">
        <f>IFERROR(__xludf.DUMMYFUNCTION("GOOGLETRANSLATE(B37028,""en"",""es-ES"")"),"3 Un hombre se limpia.")</f>
        <v>3 Un hombre se limpia.</v>
      </c>
    </row>
    <row r="37029">
      <c r="A37029" s="4" t="s">
        <v>46572</v>
      </c>
      <c r="B37029" s="4" t="s">
        <v>46576</v>
      </c>
      <c r="C37029" s="5" t="str">
        <f>IFERROR(__xludf.DUMMYFUNCTION("GOOGLETRANSLATE(B37029,""en"",""es-ES"")"),"4 La carrera termina y los muchachos toman sus bicicletas.")</f>
        <v>4 La carrera termina y los muchachos toman sus bicicletas.</v>
      </c>
    </row>
    <row r="37030">
      <c r="A37030" s="4" t="s">
        <v>46577</v>
      </c>
      <c r="B37030" s="4" t="s">
        <v>46578</v>
      </c>
      <c r="C37030" s="5" t="str">
        <f>IFERROR(__xludf.DUMMYFUNCTION("GOOGLETRANSLATE(B37030,""en"",""es-ES"")"),"Un hombre conduce un bote, luego dos hombres están sentados al costado del bote, el hombre en el chaleco de vida negra está al costado del bote y luego sale del bote y luego comienzan a wakeboard mientras se aferra al arnés .")</f>
        <v>Un hombre conduce un bote, luego dos hombres están sentados al costado del bote, el hombre en el chaleco de vida negra está al costado del bote y luego sale del bote y luego comienzan a wakeboard mientras se aferra al arnés .</v>
      </c>
    </row>
    <row r="37031">
      <c r="A37031" s="4" t="s">
        <v>46577</v>
      </c>
      <c r="B37031" s="4" t="s">
        <v>46579</v>
      </c>
      <c r="C37031" s="5" t="str">
        <f>IFERROR(__xludf.DUMMYFUNCTION("GOOGLETRANSLATE(B37031,""en"",""es-ES"")"),"El hombre continúa despertando, se volteó y luego se despertó al agua.")</f>
        <v>El hombre continúa despertando, se volteó y luego se despertó al agua.</v>
      </c>
    </row>
    <row r="37032">
      <c r="A37032" s="4" t="s">
        <v>46580</v>
      </c>
      <c r="B37032" s="4" t="s">
        <v>46581</v>
      </c>
      <c r="C37032" s="5" t="str">
        <f>IFERROR(__xludf.DUMMYFUNCTION("GOOGLETRANSLATE(B37032,""en"",""es-ES"")"),"Vemos una pantalla de instrucciones de apertura.")</f>
        <v>Vemos una pantalla de instrucciones de apertura.</v>
      </c>
    </row>
    <row r="37033">
      <c r="A37033" s="4" t="s">
        <v>46580</v>
      </c>
      <c r="B37033" s="4" t="s">
        <v>46582</v>
      </c>
      <c r="C37033" s="5" t="str">
        <f>IFERROR(__xludf.DUMMYFUNCTION("GOOGLETRANSLATE(B37033,""en"",""es-ES"")"),"Vemos a una persona que sostiene una lente de contacto.")</f>
        <v>Vemos a una persona que sostiene una lente de contacto.</v>
      </c>
    </row>
    <row r="37034">
      <c r="A37034" s="4" t="s">
        <v>46580</v>
      </c>
      <c r="B37034" s="4" t="s">
        <v>46583</v>
      </c>
      <c r="C37034" s="5" t="str">
        <f>IFERROR(__xludf.DUMMYFUNCTION("GOOGLETRANSLATE(B37034,""en"",""es-ES"")"),"Vemos otra pantalla de instrucciones y vemos que la persona inserta la lente a la izquierda.")</f>
        <v>Vemos otra pantalla de instrucciones y vemos que la persona inserta la lente a la izquierda.</v>
      </c>
    </row>
    <row r="37035">
      <c r="A37035" s="4" t="s">
        <v>46580</v>
      </c>
      <c r="B37035" s="4" t="s">
        <v>46584</v>
      </c>
      <c r="C37035" s="5" t="str">
        <f>IFERROR(__xludf.DUMMYFUNCTION("GOOGLETRANSLATE(B37035,""en"",""es-ES"")"),"Otra pantalla de instrucciones y la persona inserta la lente derecha.")</f>
        <v>Otra pantalla de instrucciones y la persona inserta la lente derecha.</v>
      </c>
    </row>
    <row r="37036">
      <c r="A37036" s="4" t="s">
        <v>46580</v>
      </c>
      <c r="B37036" s="4" t="s">
        <v>46585</v>
      </c>
      <c r="C37036" s="5" t="str">
        <f>IFERROR(__xludf.DUMMYFUNCTION("GOOGLETRANSLATE(B37036,""en"",""es-ES"")"),"Aparecen dos conjuntos de instrucciones y la persona elimina la lente izquierda y derecha.")</f>
        <v>Aparecen dos conjuntos de instrucciones y la persona elimina la lente izquierda y derecha.</v>
      </c>
    </row>
    <row r="37037">
      <c r="A37037" s="4" t="s">
        <v>46580</v>
      </c>
      <c r="B37037" s="4" t="s">
        <v>46586</v>
      </c>
      <c r="C37037" s="5" t="str">
        <f>IFERROR(__xludf.DUMMYFUNCTION("GOOGLETRANSLATE(B37037,""en"",""es-ES"")"),"La persona saluda a la cámara.")</f>
        <v>La persona saluda a la cámara.</v>
      </c>
    </row>
    <row r="37038">
      <c r="A37038" s="4" t="s">
        <v>46587</v>
      </c>
      <c r="B37038" s="4" t="s">
        <v>46588</v>
      </c>
      <c r="C37038" s="5" t="str">
        <f>IFERROR(__xludf.DUMMYFUNCTION("GOOGLETRANSLATE(B37038,""en"",""es-ES"")"),"Un hombre está esquiando muy rápido por una ladera y salta a uno por diversión.")</f>
        <v>Un hombre está esquiando muy rápido por una ladera y salta a uno por diversión.</v>
      </c>
    </row>
    <row r="37039">
      <c r="A37039" s="4" t="s">
        <v>46587</v>
      </c>
      <c r="B37039" s="4" t="s">
        <v>46589</v>
      </c>
      <c r="C37039" s="5" t="str">
        <f>IFERROR(__xludf.DUMMYFUNCTION("GOOGLETRANSLATE(B37039,""en"",""es-ES"")"),"Ahora está caminando de regreso por la montaña con dificultad.")</f>
        <v>Ahora está caminando de regreso por la montaña con dificultad.</v>
      </c>
    </row>
    <row r="37040">
      <c r="A37040" s="4" t="s">
        <v>46587</v>
      </c>
      <c r="B37040" s="4" t="s">
        <v>46590</v>
      </c>
      <c r="C37040" s="5" t="str">
        <f>IFERROR(__xludf.DUMMYFUNCTION("GOOGLETRANSLATE(B37040,""en"",""es-ES"")"),"Él esquía y camina por varias colinas.")</f>
        <v>Él esquía y camina por varias colinas.</v>
      </c>
    </row>
    <row r="37041">
      <c r="A37041" s="4" t="s">
        <v>46587</v>
      </c>
      <c r="B37041" s="4" t="s">
        <v>46591</v>
      </c>
      <c r="C37041" s="5" t="str">
        <f>IFERROR(__xludf.DUMMYFUNCTION("GOOGLETRANSLATE(B37041,""en"",""es-ES"")"),"Skiis por una ladera o montaña bastante grande.")</f>
        <v>Skiis por una ladera o montaña bastante grande.</v>
      </c>
    </row>
    <row r="37042">
      <c r="A37042" s="4" t="s">
        <v>46587</v>
      </c>
      <c r="B37042" s="4" t="s">
        <v>46592</v>
      </c>
      <c r="C37042" s="5" t="str">
        <f>IFERROR(__xludf.DUMMYFUNCTION("GOOGLETRANSLATE(B37042,""en"",""es-ES"")"),"Salta de una colina e intenta hacer un 360 pero cae.")</f>
        <v>Salta de una colina e intenta hacer un 360 pero cae.</v>
      </c>
    </row>
    <row r="37043">
      <c r="A37043" s="4" t="s">
        <v>46587</v>
      </c>
      <c r="B37043" s="4" t="s">
        <v>46593</v>
      </c>
      <c r="C37043" s="5" t="str">
        <f>IFERROR(__xludf.DUMMYFUNCTION("GOOGLETRANSLATE(B37043,""en"",""es-ES"")"),"Él esquía entre algunos árboles y en un camino.")</f>
        <v>Él esquía entre algunos árboles y en un camino.</v>
      </c>
    </row>
    <row r="37044">
      <c r="A37044" s="4" t="s">
        <v>46594</v>
      </c>
      <c r="B37044" s="4" t="s">
        <v>46595</v>
      </c>
      <c r="C37044" s="5" t="str">
        <f>IFERROR(__xludf.DUMMYFUNCTION("GOOGLETRANSLATE(B37044,""en"",""es-ES"")"),"Se juega un partido de tenis profesional durante un torneo.")</f>
        <v>Se juega un partido de tenis profesional durante un torneo.</v>
      </c>
    </row>
    <row r="37045">
      <c r="A37045" s="4" t="s">
        <v>46594</v>
      </c>
      <c r="B37045" s="4" t="s">
        <v>46596</v>
      </c>
      <c r="C37045" s="5" t="str">
        <f>IFERROR(__xludf.DUMMYFUNCTION("GOOGLETRANSLATE(B37045,""en"",""es-ES"")"),"Los jugadores hablan en los auriculares durante el partido.")</f>
        <v>Los jugadores hablan en los auriculares durante el partido.</v>
      </c>
    </row>
    <row r="37046">
      <c r="A37046" s="4" t="s">
        <v>46594</v>
      </c>
      <c r="B37046" s="4" t="s">
        <v>46597</v>
      </c>
      <c r="C37046" s="5" t="str">
        <f>IFERROR(__xludf.DUMMYFUNCTION("GOOGLETRANSLATE(B37046,""en"",""es-ES"")"),"Un hombre se prepara para servir la pelota para comenzar el partido.")</f>
        <v>Un hombre se prepara para servir la pelota para comenzar el partido.</v>
      </c>
    </row>
    <row r="37047">
      <c r="A37047" s="4" t="s">
        <v>46594</v>
      </c>
      <c r="B37047" s="4" t="s">
        <v>46598</v>
      </c>
      <c r="C37047" s="5" t="str">
        <f>IFERROR(__xludf.DUMMYFUNCTION("GOOGLETRANSLATE(B37047,""en"",""es-ES"")"),"El hombre sirve la pelota y anota un punto.")</f>
        <v>El hombre sirve la pelota y anota un punto.</v>
      </c>
    </row>
    <row r="37048">
      <c r="A37048" s="4" t="s">
        <v>46594</v>
      </c>
      <c r="B37048" s="4" t="s">
        <v>46599</v>
      </c>
      <c r="C37048" s="5" t="str">
        <f>IFERROR(__xludf.DUMMYFUNCTION("GOOGLETRANSLATE(B37048,""en"",""es-ES"")"),"El equipo contrario tiene un giro para servir la pelota.")</f>
        <v>El equipo contrario tiene un giro para servir la pelota.</v>
      </c>
    </row>
    <row r="37049">
      <c r="A37049" s="4" t="s">
        <v>46600</v>
      </c>
      <c r="B37049" s="4" t="s">
        <v>46601</v>
      </c>
      <c r="C37049" s="5" t="str">
        <f>IFERROR(__xludf.DUMMYFUNCTION("GOOGLETRANSLATE(B37049,""en"",""es-ES"")"),"Un hombre está trabajando fuera de una casa.")</f>
        <v>Un hombre está trabajando fuera de una casa.</v>
      </c>
    </row>
    <row r="37050">
      <c r="A37050" s="4" t="s">
        <v>46600</v>
      </c>
      <c r="B37050" s="4" t="s">
        <v>46602</v>
      </c>
      <c r="C37050" s="5" t="str">
        <f>IFERROR(__xludf.DUMMYFUNCTION("GOOGLETRANSLATE(B37050,""en"",""es-ES"")"),"Él usa un martillo y una abrazadera en las tejas.")</f>
        <v>Él usa un martillo y una abrazadera en las tejas.</v>
      </c>
    </row>
    <row r="37051">
      <c r="A37051" s="4" t="s">
        <v>46600</v>
      </c>
      <c r="B37051" s="4" t="s">
        <v>46603</v>
      </c>
      <c r="C37051" s="5" t="str">
        <f>IFERROR(__xludf.DUMMYFUNCTION("GOOGLETRANSLATE(B37051,""en"",""es-ES"")"),"Golpea a cada guiñada de la casa con el martillo.")</f>
        <v>Golpea a cada guiñada de la casa con el martillo.</v>
      </c>
    </row>
    <row r="37052">
      <c r="A37052" s="4" t="s">
        <v>46604</v>
      </c>
      <c r="B37052" s="4" t="s">
        <v>46605</v>
      </c>
      <c r="C37052" s="5" t="str">
        <f>IFERROR(__xludf.DUMMYFUNCTION("GOOGLETRANSLATE(B37052,""en"",""es-ES"")"),"Primero, esta chica hace una curva en la espalda y luego otra niña hace una caminata trasera.")</f>
        <v>Primero, esta chica hace una curva en la espalda y luego otra niña hace una caminata trasera.</v>
      </c>
    </row>
    <row r="37053">
      <c r="A37053" s="4" t="s">
        <v>46604</v>
      </c>
      <c r="B37053" s="4" t="s">
        <v>46606</v>
      </c>
      <c r="C37053" s="5" t="str">
        <f>IFERROR(__xludf.DUMMYFUNCTION("GOOGLETRANSLATE(B37053,""en"",""es-ES"")"),"Entonces alguien más hace una rueda de carrito y esa misma persona hace una ronda.")</f>
        <v>Entonces alguien más hace una rueda de carrito y esa misma persona hace una ronda.</v>
      </c>
    </row>
    <row r="37054">
      <c r="A37054" s="4" t="s">
        <v>46604</v>
      </c>
      <c r="B37054" s="4" t="s">
        <v>46607</v>
      </c>
      <c r="C37054" s="5" t="str">
        <f>IFERROR(__xludf.DUMMYFUNCTION("GOOGLETRANSLATE(B37054,""en"",""es-ES"")"),"A continuación, alguien hace una caminata frontal y otra niña hace un resumen de la espalda junto con otras personas que están haciendo movimientos de gimnasia.")</f>
        <v>A continuación, alguien hace una caminata frontal y otra niña hace un resumen de la espalda junto con otras personas que están haciendo movimientos de gimnasia.</v>
      </c>
    </row>
    <row r="37055">
      <c r="A37055" s="4" t="s">
        <v>46608</v>
      </c>
      <c r="B37055" s="4" t="s">
        <v>46609</v>
      </c>
      <c r="C37055" s="5" t="str">
        <f>IFERROR(__xludf.DUMMYFUNCTION("GOOGLETRANSLATE(B37055,""en"",""es-ES"")"),"Se ve a un hombre que usa una bolsa hablando con la cámara y conduce a un grupo de personas que viajan en una balsa.")</f>
        <v>Se ve a un hombre que usa una bolsa hablando con la cámara y conduce a un grupo de personas que viajan en una balsa.</v>
      </c>
    </row>
    <row r="37056">
      <c r="A37056" s="4" t="s">
        <v>46608</v>
      </c>
      <c r="B37056" s="4" t="s">
        <v>46610</v>
      </c>
      <c r="C37056" s="5" t="str">
        <f>IFERROR(__xludf.DUMMYFUNCTION("GOOGLETRANSLATE(B37056,""en"",""es-ES"")"),"Una persona remula y gira el suelo, llevando al hombre hablando con la cámara.")</f>
        <v>Una persona remula y gira el suelo, llevando al hombre hablando con la cámara.</v>
      </c>
    </row>
    <row r="37057">
      <c r="A37057" s="4" t="s">
        <v>46611</v>
      </c>
      <c r="B37057" s="4" t="s">
        <v>46612</v>
      </c>
      <c r="C37057" s="5" t="str">
        <f>IFERROR(__xludf.DUMMYFUNCTION("GOOGLETRANSLATE(B37057,""en"",""es-ES"")"),"Un grupo de bateristas vestidos con trajes blancos interpretan una canción.")</f>
        <v>Un grupo de bateristas vestidos con trajes blancos interpretan una canción.</v>
      </c>
    </row>
    <row r="37058">
      <c r="A37058" s="4" t="s">
        <v>46611</v>
      </c>
      <c r="B37058" s="4" t="s">
        <v>46613</v>
      </c>
      <c r="C37058" s="5" t="str">
        <f>IFERROR(__xludf.DUMMYFUNCTION("GOOGLETRANSLATE(B37058,""en"",""es-ES"")"),"Un instructor se encuentra frente al grupo que da instrucciones.")</f>
        <v>Un instructor se encuentra frente al grupo que da instrucciones.</v>
      </c>
    </row>
    <row r="37059">
      <c r="A37059" s="4" t="s">
        <v>46614</v>
      </c>
      <c r="B37059" s="4" t="s">
        <v>46615</v>
      </c>
      <c r="C37059" s="5" t="str">
        <f>IFERROR(__xludf.DUMMYFUNCTION("GOOGLETRANSLATE(B37059,""en"",""es-ES"")"),"El hombre está sentado en una Oficina hablando con la cámara.")</f>
        <v>El hombre está sentado en una Oficina hablando con la cámara.</v>
      </c>
    </row>
    <row r="37060">
      <c r="A37060" s="4" t="s">
        <v>46614</v>
      </c>
      <c r="B37060" s="4" t="s">
        <v>46616</v>
      </c>
      <c r="C37060" s="5" t="str">
        <f>IFERROR(__xludf.DUMMYFUNCTION("GOOGLETRANSLATE(B37060,""en"",""es-ES"")"),"Se muestra un tatuaje en una parte posterior de un hombre y el hombre lo está tatuando.")</f>
        <v>Se muestra un tatuaje en una parte posterior de un hombre y el hombre lo está tatuando.</v>
      </c>
    </row>
    <row r="37061">
      <c r="A37061" s="4" t="s">
        <v>46614</v>
      </c>
      <c r="B37061" s="4" t="s">
        <v>46617</v>
      </c>
      <c r="C37061" s="5" t="str">
        <f>IFERROR(__xludf.DUMMYFUNCTION("GOOGLETRANSLATE(B37061,""en"",""es-ES"")"),"El hombre está de pie y no se pone un soporte haciendo un tatuaje en la espalda.")</f>
        <v>El hombre está de pie y no se pone un soporte haciendo un tatuaje en la espalda.</v>
      </c>
    </row>
    <row r="37062">
      <c r="A37062" s="4" t="s">
        <v>46618</v>
      </c>
      <c r="B37062" s="4" t="s">
        <v>46619</v>
      </c>
      <c r="C37062" s="5" t="str">
        <f>IFERROR(__xludf.DUMMYFUNCTION("GOOGLETRANSLATE(B37062,""en"",""es-ES"")"),"Un grupo de niños está jugando en un campo.")</f>
        <v>Un grupo de niños está jugando en un campo.</v>
      </c>
    </row>
    <row r="37063">
      <c r="A37063" s="4" t="s">
        <v>46618</v>
      </c>
      <c r="B37063" s="4" t="s">
        <v>46620</v>
      </c>
      <c r="C37063" s="5" t="str">
        <f>IFERROR(__xludf.DUMMYFUNCTION("GOOGLETRANSLATE(B37063,""en"",""es-ES"")"),"Los entrenadores hablan con ellos mientras corren.")</f>
        <v>Los entrenadores hablan con ellos mientras corren.</v>
      </c>
    </row>
    <row r="37064">
      <c r="A37064" s="4" t="s">
        <v>46618</v>
      </c>
      <c r="B37064" s="4" t="s">
        <v>46621</v>
      </c>
      <c r="C37064" s="5" t="str">
        <f>IFERROR(__xludf.DUMMYFUNCTION("GOOGLETRANSLATE(B37064,""en"",""es-ES"")"),"Se involucran en un juego de lacrosse juntos.")</f>
        <v>Se involucran en un juego de lacrosse juntos.</v>
      </c>
    </row>
    <row r="37065">
      <c r="A37065" s="4" t="s">
        <v>46622</v>
      </c>
      <c r="B37065" s="4" t="s">
        <v>46623</v>
      </c>
      <c r="C37065" s="5" t="str">
        <f>IFERROR(__xludf.DUMMYFUNCTION("GOOGLETRANSLATE(B37065,""en"",""es-ES"")"),"Se ve a un gran grupo de personas de pie en hielo seguido de varias tomas de herramientas de curling y personas que practican el deporte.")</f>
        <v>Se ve a un gran grupo de personas de pie en hielo seguido de varias tomas de herramientas de curling y personas que practican el deporte.</v>
      </c>
    </row>
    <row r="37066">
      <c r="A37066" s="4" t="s">
        <v>46622</v>
      </c>
      <c r="B37066" s="4" t="s">
        <v>46624</v>
      </c>
      <c r="C37066" s="5" t="str">
        <f>IFERROR(__xludf.DUMMYFUNCTION("GOOGLETRANSLATE(B37066,""en"",""es-ES"")"),"Se ve a un hombre poniéndose los zapatos, caminando por el hielo, mientras que otro lo ayuda a caminar.")</f>
        <v>Se ve a un hombre poniéndose los zapatos, caminando por el hielo, mientras que otro lo ayuda a caminar.</v>
      </c>
    </row>
    <row r="37067">
      <c r="A37067" s="4" t="s">
        <v>46622</v>
      </c>
      <c r="B37067" s="4" t="s">
        <v>46625</v>
      </c>
      <c r="C37067" s="5" t="str">
        <f>IFERROR(__xludf.DUMMYFUNCTION("GOOGLETRANSLATE(B37067,""en"",""es-ES"")"),"Los hombres continúan enseñándole cómo deslizarse a lo largo del hielo y usar el cepillo para mover el disco.")</f>
        <v>Los hombres continúan enseñándole cómo deslizarse a lo largo del hielo y usar el cepillo para mover el disco.</v>
      </c>
    </row>
    <row r="37068">
      <c r="A37068" s="4" t="s">
        <v>46626</v>
      </c>
      <c r="B37068" s="4" t="s">
        <v>46627</v>
      </c>
      <c r="C37068" s="5" t="str">
        <f>IFERROR(__xludf.DUMMYFUNCTION("GOOGLETRANSLATE(B37068,""en"",""es-ES"")"),"Un grupo de hombres está en un desierto arenoso.")</f>
        <v>Un grupo de hombres está en un desierto arenoso.</v>
      </c>
    </row>
    <row r="37069">
      <c r="A37069" s="4" t="s">
        <v>46626</v>
      </c>
      <c r="B37069" s="4" t="s">
        <v>46628</v>
      </c>
      <c r="C37069" s="5" t="str">
        <f>IFERROR(__xludf.DUMMYFUNCTION("GOOGLETRANSLATE(B37069,""en"",""es-ES"")"),"Se suben encima de los camellos y los montan.")</f>
        <v>Se suben encima de los camellos y los montan.</v>
      </c>
    </row>
    <row r="37070">
      <c r="A37070" s="4" t="s">
        <v>46626</v>
      </c>
      <c r="B37070" s="4" t="s">
        <v>46629</v>
      </c>
      <c r="C37070" s="5" t="str">
        <f>IFERROR(__xludf.DUMMYFUNCTION("GOOGLETRANSLATE(B37070,""en"",""es-ES"")"),"Manean los camellos hacia un conjunto de pirámides.")</f>
        <v>Manean los camellos hacia un conjunto de pirámides.</v>
      </c>
    </row>
    <row r="37071">
      <c r="A37071" s="4" t="s">
        <v>46630</v>
      </c>
      <c r="B37071" s="4" t="s">
        <v>46631</v>
      </c>
      <c r="C37071" s="5" t="str">
        <f>IFERROR(__xludf.DUMMYFUNCTION("GOOGLETRANSLATE(B37071,""en"",""es-ES"")"),"Vemos que una pantalla de título se desvanece dentro y fuera.")</f>
        <v>Vemos que una pantalla de título se desvanece dentro y fuera.</v>
      </c>
    </row>
    <row r="37072">
      <c r="A37072" s="4" t="s">
        <v>46630</v>
      </c>
      <c r="B37072" s="4" t="s">
        <v>46632</v>
      </c>
      <c r="C37072" s="5" t="str">
        <f>IFERROR(__xludf.DUMMYFUNCTION("GOOGLETRANSLATE(B37072,""en"",""es-ES"")"),"Un hombre y un perro caminan en una sala de entrenamiento.")</f>
        <v>Un hombre y un perro caminan en una sala de entrenamiento.</v>
      </c>
    </row>
    <row r="37073">
      <c r="A37073" s="4" t="s">
        <v>46630</v>
      </c>
      <c r="B37073" s="4" t="s">
        <v>46633</v>
      </c>
      <c r="C37073" s="5" t="str">
        <f>IFERROR(__xludf.DUMMYFUNCTION("GOOGLETRANSLATE(B37073,""en"",""es-ES"")"),"El hombre arroja frisbees para que el perro la atrapa.")</f>
        <v>El hombre arroja frisbees para que el perro la atrapa.</v>
      </c>
    </row>
    <row r="37074">
      <c r="A37074" s="4" t="s">
        <v>46630</v>
      </c>
      <c r="B37074" s="4" t="s">
        <v>46634</v>
      </c>
      <c r="C37074" s="5" t="str">
        <f>IFERROR(__xludf.DUMMYFUNCTION("GOOGLETRANSLATE(B37074,""en"",""es-ES"")"),"El perro se para para atrapar al Frisbee, el se apoya en el hombre.")</f>
        <v>El perro se para para atrapar al Frisbee, el se apoya en el hombre.</v>
      </c>
    </row>
    <row r="37075">
      <c r="A37075" s="4" t="s">
        <v>46630</v>
      </c>
      <c r="B37075" s="4" t="s">
        <v>46635</v>
      </c>
      <c r="C37075" s="5" t="str">
        <f>IFERROR(__xludf.DUMMYFUNCTION("GOOGLETRANSLATE(B37075,""en"",""es-ES"")"),"El perro salta a los brazos del hombre.")</f>
        <v>El perro salta a los brazos del hombre.</v>
      </c>
    </row>
    <row r="37076">
      <c r="A37076" s="4" t="s">
        <v>46630</v>
      </c>
      <c r="B37076" s="4" t="s">
        <v>777</v>
      </c>
      <c r="C37076" s="5" t="str">
        <f>IFERROR(__xludf.DUMMYFUNCTION("GOOGLETRANSLATE(B37076,""en"",""es-ES"")"),"Vemos la pantalla de título final.")</f>
        <v>Vemos la pantalla de título final.</v>
      </c>
    </row>
    <row r="37077">
      <c r="A37077" s="4" t="s">
        <v>46636</v>
      </c>
      <c r="B37077" s="4" t="s">
        <v>46637</v>
      </c>
      <c r="C37077" s="5" t="str">
        <f>IFERROR(__xludf.DUMMYFUNCTION("GOOGLETRANSLATE(B37077,""en"",""es-ES"")"),"Una tabla de varias frutas cortadas aparece en la pantalla con el título ""Hacer bebidas"".")</f>
        <v>Una tabla de varias frutas cortadas aparece en la pantalla con el título "Hacer bebidas".</v>
      </c>
    </row>
    <row r="37078">
      <c r="A37078" s="4" t="s">
        <v>46636</v>
      </c>
      <c r="B37078" s="4" t="s">
        <v>46638</v>
      </c>
      <c r="C37078" s="5" t="str">
        <f>IFERROR(__xludf.DUMMYFUNCTION("GOOGLETRANSLATE(B37078,""en"",""es-ES"")"),"Una persona corta y exprime limones seguido del título ""Hacer limonada es fácil y divertido"".")</f>
        <v>Una persona corta y exprime limones seguido del título "Hacer limonada es fácil y divertido".</v>
      </c>
    </row>
    <row r="37079">
      <c r="A37079" s="4" t="s">
        <v>46636</v>
      </c>
      <c r="B37079" s="4" t="s">
        <v>46639</v>
      </c>
      <c r="C37079" s="5" t="str">
        <f>IFERROR(__xludf.DUMMYFUNCTION("GOOGLETRANSLATE(B37079,""en"",""es-ES"")"),"Se muestran y titulan diferentes artículos necesarios para hacer limonada seguidos de entrevistas.")</f>
        <v>Se muestran y titulan diferentes artículos necesarios para hacer limonada seguidos de entrevistas.</v>
      </c>
    </row>
    <row r="37080">
      <c r="A37080" s="4" t="s">
        <v>46636</v>
      </c>
      <c r="B37080" s="4" t="s">
        <v>46640</v>
      </c>
      <c r="C37080" s="5" t="str">
        <f>IFERROR(__xludf.DUMMYFUNCTION("GOOGLETRANSLATE(B37080,""en"",""es-ES"")"),"Cada paso de hacer limonada se muestra y titula.")</f>
        <v>Cada paso de hacer limonada se muestra y titula.</v>
      </c>
    </row>
    <row r="37081">
      <c r="A37081" s="4" t="s">
        <v>46636</v>
      </c>
      <c r="B37081" s="4" t="s">
        <v>46641</v>
      </c>
      <c r="C37081" s="5" t="str">
        <f>IFERROR(__xludf.DUMMYFUNCTION("GOOGLETRANSLATE(B37081,""en"",""es-ES"")"),"Se entrevista a la gente bebiendo la limonada.")</f>
        <v>Se entrevista a la gente bebiendo la limonada.</v>
      </c>
    </row>
    <row r="37082">
      <c r="A37082" s="4" t="s">
        <v>46636</v>
      </c>
      <c r="B37082" s="4" t="s">
        <v>46642</v>
      </c>
      <c r="C37082" s="5" t="str">
        <f>IFERROR(__xludf.DUMMYFUNCTION("GOOGLETRANSLATE(B37082,""en"",""es-ES"")"),"Aparece un logotipo de ""Citrus Saturday"" con varios logotipos de organización de apoyo debajo.")</f>
        <v>Aparece un logotipo de "Citrus Saturday" con varios logotipos de organización de apoyo debajo.</v>
      </c>
    </row>
    <row r="37083">
      <c r="A37083" s="4" t="s">
        <v>46643</v>
      </c>
      <c r="B37083" s="4" t="s">
        <v>46644</v>
      </c>
      <c r="C37083" s="5" t="str">
        <f>IFERROR(__xludf.DUMMYFUNCTION("GOOGLETRANSLATE(B37083,""en"",""es-ES"")"),"Aparece una introducción que muestra gafas vacías, una tarjeta que dice ""Audi Polo Challenge 2014"", una bandera de Audi que sopla en el viento, tiros de cerca de un caballo blanco, gente con bebidas, autos conduciendo, pilotos de polo que se ponen en su"&amp;"s caballos y un Gran grupo de personas cerca y en una tienda de campaña de pie y sentada.")</f>
        <v>Aparece una introducción que muestra gafas vacías, una tarjeta que dice "Audi Polo Challenge 2014", una bandera de Audi que sopla en el viento, tiros de cerca de un caballo blanco, gente con bebidas, autos conduciendo, pilotos de polo que se ponen en sus caballos y un Gran grupo de personas cerca y en una tienda de campaña de pie y sentada.</v>
      </c>
    </row>
    <row r="37084">
      <c r="A37084" s="4" t="s">
        <v>46643</v>
      </c>
      <c r="B37084" s="4" t="s">
        <v>46645</v>
      </c>
      <c r="C37084" s="5" t="str">
        <f>IFERROR(__xludf.DUMMYFUNCTION("GOOGLETRANSLATE(B37084,""en"",""es-ES"")"),"El partido de polo comienza y los hombres viajan en hrosis que van muy rápido, ya que todos intentan golpear la pelota con sus palos.")</f>
        <v>El partido de polo comienza y los hombres viajan en hrosis que van muy rápido, ya que todos intentan golpear la pelota con sus palos.</v>
      </c>
    </row>
    <row r="37085">
      <c r="A37085" s="4" t="s">
        <v>46643</v>
      </c>
      <c r="B37085" s="4" t="s">
        <v>46646</v>
      </c>
      <c r="C37085" s="5" t="str">
        <f>IFERROR(__xludf.DUMMYFUNCTION("GOOGLETRANSLATE(B37085,""en"",""es-ES"")"),"Hay muchas celebridades e incluso regalías en este evento de polo y de vez en cuando se muestran, y a veces también se entrevistan.")</f>
        <v>Hay muchas celebridades e incluso regalías en este evento de polo y de vez en cuando se muestran, y a veces también se entrevistan.</v>
      </c>
    </row>
    <row r="37086">
      <c r="A37086" s="4" t="s">
        <v>46643</v>
      </c>
      <c r="B37086" s="4" t="s">
        <v>46647</v>
      </c>
      <c r="C37086" s="5" t="str">
        <f>IFERROR(__xludf.DUMMYFUNCTION("GOOGLETRANSLATE(B37086,""en"",""es-ES"")"),"Entre los partidos, todas las personas salen a la hierba y vuelven a colocar los parches de hierba en los agujeros que los extrañan, y el juego de polo continúa para otra ronda.")</f>
        <v>Entre los partidos, todas las personas salen a la hierba y vuelven a colocar los parches de hierba en los agujeros que los extrañan, y el juego de polo continúa para otra ronda.</v>
      </c>
    </row>
    <row r="37087">
      <c r="A37087" s="4" t="s">
        <v>46643</v>
      </c>
      <c r="B37087" s="4" t="s">
        <v>46648</v>
      </c>
      <c r="C37087" s="5" t="str">
        <f>IFERROR(__xludf.DUMMYFUNCTION("GOOGLETRANSLATE(B37087,""en"",""es-ES"")"),"El partido del polo termina y el Príncipe Harry y el Príncipe William son vistos por separado que reciben una caja blanca de un hombre, mientras hablan y se dan la mano mientras la gente aplaude y tome fotos.")</f>
        <v>El partido del polo termina y el Príncipe Harry y el Príncipe William son vistos por separado que reciben una caja blanca de un hombre, mientras hablan y se dan la mano mientras la gente aplaude y tome fotos.</v>
      </c>
    </row>
    <row r="37088">
      <c r="A37088" s="4" t="s">
        <v>46649</v>
      </c>
      <c r="B37088" s="4" t="s">
        <v>46650</v>
      </c>
      <c r="C37088" s="5" t="str">
        <f>IFERROR(__xludf.DUMMYFUNCTION("GOOGLETRANSLATE(B37088,""en"",""es-ES"")"),"Se ve a las personas caminando en el bosque llevando tubos y conducen a ellos sentados en el agua.")</f>
        <v>Se ve a las personas caminando en el bosque llevando tubos y conducen a ellos sentados en el agua.</v>
      </c>
    </row>
    <row r="37089">
      <c r="A37089" s="4" t="s">
        <v>46649</v>
      </c>
      <c r="B37089" s="4" t="s">
        <v>46651</v>
      </c>
      <c r="C37089" s="5" t="str">
        <f>IFERROR(__xludf.DUMMYFUNCTION("GOOGLETRANSLATE(B37089,""en"",""es-ES"")"),"Más personas se suben al agua y se sientan encima de sus tubos.")</f>
        <v>Más personas se suben al agua y se sientan encima de sus tubos.</v>
      </c>
    </row>
    <row r="37090">
      <c r="A37090" s="4" t="s">
        <v>46649</v>
      </c>
      <c r="B37090" s="4" t="s">
        <v>46652</v>
      </c>
      <c r="C37090" s="5" t="str">
        <f>IFERROR(__xludf.DUMMYFUNCTION("GOOGLETRANSLATE(B37090,""en"",""es-ES"")"),"Se ven varios primeros planos de las personas que viajan en los tubos y nadan en el agua.")</f>
        <v>Se ven varios primeros planos de las personas que viajan en los tubos y nadan en el agua.</v>
      </c>
    </row>
    <row r="37091">
      <c r="A37091" s="4" t="s">
        <v>46653</v>
      </c>
      <c r="B37091" s="4" t="s">
        <v>46654</v>
      </c>
      <c r="C37091" s="5" t="str">
        <f>IFERROR(__xludf.DUMMYFUNCTION("GOOGLETRANSLATE(B37091,""en"",""es-ES"")"),"Las instrucciones escritas sobre cómo hacer la mano de la mano están en la pantalla.")</f>
        <v>Las instrucciones escritas sobre cómo hacer la mano de la mano están en la pantalla.</v>
      </c>
    </row>
    <row r="37092">
      <c r="A37092" s="4" t="s">
        <v>46653</v>
      </c>
      <c r="B37092" s="4" t="s">
        <v>46655</v>
      </c>
      <c r="C37092" s="5" t="str">
        <f>IFERROR(__xludf.DUMMYFUNCTION("GOOGLETRANSLATE(B37092,""en"",""es-ES"")"),"El hombre está parado en una cancha de canasta que gotean la pelota y está haciendo shos a la canasta.")</f>
        <v>El hombre está parado en una cancha de canasta que gotean la pelota y está haciendo shos a la canasta.</v>
      </c>
    </row>
    <row r="37093">
      <c r="A37093" s="4" t="s">
        <v>46653</v>
      </c>
      <c r="B37093" s="4" t="s">
        <v>46656</v>
      </c>
      <c r="C37093" s="5" t="str">
        <f>IFERROR(__xludf.DUMMYFUNCTION("GOOGLETRANSLATE(B37093,""en"",""es-ES"")"),"Tres jugadores de canasta están haciendo tiros y muestran cómo hacer una técnica de dos pasos.")</f>
        <v>Tres jugadores de canasta están haciendo tiros y muestran cómo hacer una técnica de dos pasos.</v>
      </c>
    </row>
    <row r="37094">
      <c r="A37094" s="4" t="s">
        <v>46657</v>
      </c>
      <c r="B37094" s="4" t="s">
        <v>46658</v>
      </c>
      <c r="C37094" s="5" t="str">
        <f>IFERROR(__xludf.DUMMYFUNCTION("GOOGLETRANSLATE(B37094,""en"",""es-ES"")"),"Se ve a dos niños montando en un camión que se mueve por una carretera, así como tomas de paisajes y los niños sentados en bicicletas.")</f>
        <v>Se ve a dos niños montando en un camión que se mueve por una carretera, así como tomas de paisajes y los niños sentados en bicicletas.</v>
      </c>
    </row>
    <row r="37095">
      <c r="A37095" s="4" t="s">
        <v>46657</v>
      </c>
      <c r="B37095" s="4" t="s">
        <v>46659</v>
      </c>
      <c r="C37095" s="5" t="str">
        <f>IFERROR(__xludf.DUMMYFUNCTION("GOOGLETRANSLATE(B37095,""en"",""es-ES"")"),"Se muestran varias tomas de los niños que viajan alrededor de una pista de tierra entre sí mientras la cámara los captura por todas partes.")</f>
        <v>Se muestran varias tomas de los niños que viajan alrededor de una pista de tierra entre sí mientras la cámara los captura por todas partes.</v>
      </c>
    </row>
    <row r="37096">
      <c r="A37096" s="4" t="s">
        <v>46660</v>
      </c>
      <c r="B37096" s="4" t="s">
        <v>46661</v>
      </c>
      <c r="C37096" s="5" t="str">
        <f>IFERROR(__xludf.DUMMYFUNCTION("GOOGLETRANSLATE(B37096,""en"",""es-ES"")"),"Hay una mujer con cabello de color rojo con una camiseta de tanque negra y medias negras estampadas patinando en las cuchillas en las calles de una ciudad.")</f>
        <v>Hay una mujer con cabello de color rojo con una camiseta de tanque negra y medias negras estampadas patinando en las cuchillas en las calles de una ciudad.</v>
      </c>
    </row>
    <row r="37097">
      <c r="A37097" s="4" t="s">
        <v>46660</v>
      </c>
      <c r="B37097" s="4" t="s">
        <v>46662</v>
      </c>
      <c r="C37097" s="5" t="str">
        <f>IFERROR(__xludf.DUMMYFUNCTION("GOOGLETRANSLATE(B37097,""en"",""es-ES"")"),"Las calles no tienen autos, pero la gente montaba bicicletas o skate.")</f>
        <v>Las calles no tienen autos, pero la gente montaba bicicletas o skate.</v>
      </c>
    </row>
    <row r="37098">
      <c r="A37098" s="4" t="s">
        <v>46660</v>
      </c>
      <c r="B37098" s="4" t="s">
        <v>46663</v>
      </c>
      <c r="C37098" s="5" t="str">
        <f>IFERROR(__xludf.DUMMYFUNCTION("GOOGLETRANSLATE(B37098,""en"",""es-ES"")"),"La mujer patina rápidamente por las calles llenas de gente mientras pasa de varios turistas caminando tranquilamente.")</f>
        <v>La mujer patina rápidamente por las calles llenas de gente mientras pasa de varios turistas caminando tranquilamente.</v>
      </c>
    </row>
    <row r="37099">
      <c r="A37099" s="4" t="s">
        <v>46664</v>
      </c>
      <c r="B37099" s="4" t="s">
        <v>46665</v>
      </c>
      <c r="C37099" s="5" t="str">
        <f>IFERROR(__xludf.DUMMYFUNCTION("GOOGLETRANSLATE(B37099,""en"",""es-ES"")"),"Un hombre vuela en el aire con una motocicleta.")</f>
        <v>Un hombre vuela en el aire con una motocicleta.</v>
      </c>
    </row>
    <row r="37100">
      <c r="A37100" s="4" t="s">
        <v>46664</v>
      </c>
      <c r="B37100" s="4" t="s">
        <v>46666</v>
      </c>
      <c r="C37100" s="5" t="str">
        <f>IFERROR(__xludf.DUMMYFUNCTION("GOOGLETRANSLATE(B37100,""en"",""es-ES"")"),"Un hombre hace un circuito de motocross usando una máquina pesada.")</f>
        <v>Un hombre hace un circuito de motocross usando una máquina pesada.</v>
      </c>
    </row>
    <row r="37101">
      <c r="A37101" s="4" t="s">
        <v>46664</v>
      </c>
      <c r="B37101" s="4" t="s">
        <v>46667</v>
      </c>
      <c r="C37101" s="5" t="str">
        <f>IFERROR(__xludf.DUMMYFUNCTION("GOOGLETRANSLATE(B37101,""en"",""es-ES"")"),"La gente corre motocross en un camino lleno de baches.")</f>
        <v>La gente corre motocross en un camino lleno de baches.</v>
      </c>
    </row>
    <row r="37102">
      <c r="A37102" s="4" t="s">
        <v>46664</v>
      </c>
      <c r="B37102" s="4" t="s">
        <v>46668</v>
      </c>
      <c r="C37102" s="5" t="str">
        <f>IFERROR(__xludf.DUMMYFUNCTION("GOOGLETRANSLATE(B37102,""en"",""es-ES"")"),"La gente monta una motocicleta en rampas, y luego vuela y gira en el aire.")</f>
        <v>La gente monta una motocicleta en rampas, y luego vuela y gira en el aire.</v>
      </c>
    </row>
    <row r="37103">
      <c r="A37103" s="4" t="s">
        <v>46669</v>
      </c>
      <c r="B37103" s="4" t="s">
        <v>46670</v>
      </c>
      <c r="C37103" s="5" t="str">
        <f>IFERROR(__xludf.DUMMYFUNCTION("GOOGLETRANSLATE(B37103,""en"",""es-ES"")"),"Los hombres caminan a una tienda de bicicletas y habla con el hombre adentro.")</f>
        <v>Los hombres caminan a una tienda de bicicletas y habla con el hombre adentro.</v>
      </c>
    </row>
    <row r="37104">
      <c r="A37104" s="4" t="s">
        <v>46669</v>
      </c>
      <c r="B37104" s="4" t="s">
        <v>46671</v>
      </c>
      <c r="C37104" s="5" t="str">
        <f>IFERROR(__xludf.DUMMYFUNCTION("GOOGLETRANSLATE(B37104,""en"",""es-ES"")"),"Están ensamblando diferentes piezas de la bicicleta.")</f>
        <v>Están ensamblando diferentes piezas de la bicicleta.</v>
      </c>
    </row>
    <row r="37105">
      <c r="A37105" s="4" t="s">
        <v>46669</v>
      </c>
      <c r="B37105" s="4" t="s">
        <v>46672</v>
      </c>
      <c r="C37105" s="5" t="str">
        <f>IFERROR(__xludf.DUMMYFUNCTION("GOOGLETRANSLATE(B37105,""en"",""es-ES"")"),"El hombre se despide y sale de la tienda y llega a casa donde el hombre lleva la bicicleta y la pone en una sala de estar.")</f>
        <v>El hombre se despide y sale de la tienda y llega a casa donde el hombre lleva la bicicleta y la pone en una sala de estar.</v>
      </c>
    </row>
    <row r="37106">
      <c r="A37106" s="4" t="s">
        <v>46669</v>
      </c>
      <c r="B37106" s="4" t="s">
        <v>46673</v>
      </c>
      <c r="C37106" s="5" t="str">
        <f>IFERROR(__xludf.DUMMYFUNCTION("GOOGLETRANSLATE(B37106,""en"",""es-ES"")"),"El hombre está escribiendo en papeles blancos y está arreglando la bicicleta en el garaje.")</f>
        <v>El hombre está escribiendo en papeles blancos y está arreglando la bicicleta en el garaje.</v>
      </c>
    </row>
    <row r="37107">
      <c r="A37107" s="4" t="s">
        <v>46674</v>
      </c>
      <c r="B37107" s="4" t="s">
        <v>46675</v>
      </c>
      <c r="C37107" s="5" t="str">
        <f>IFERROR(__xludf.DUMMYFUNCTION("GOOGLETRANSLATE(B37107,""en"",""es-ES"")"),"Un grupo de personas con gorras de natación se mueve alrededor de una piscina y arroja una pelota con un hombre a los lados agitando una bandera.")</f>
        <v>Un grupo de personas con gorras de natación se mueve alrededor de una piscina y arroja una pelota con un hombre a los lados agitando una bandera.</v>
      </c>
    </row>
    <row r="37108">
      <c r="A37108" s="4" t="s">
        <v>46674</v>
      </c>
      <c r="B37108" s="4" t="s">
        <v>46676</v>
      </c>
      <c r="C37108" s="5" t="str">
        <f>IFERROR(__xludf.DUMMYFUNCTION("GOOGLETRANSLATE(B37108,""en"",""es-ES"")"),"Juegan un juego de waterpolo y se lanzan la pelota el uno al otro.")</f>
        <v>Juegan un juego de waterpolo y se lanzan la pelota el uno al otro.</v>
      </c>
    </row>
    <row r="37109">
      <c r="A37109" s="4" t="s">
        <v>46674</v>
      </c>
      <c r="B37109" s="4" t="s">
        <v>46677</v>
      </c>
      <c r="C37109" s="5" t="str">
        <f>IFERROR(__xludf.DUMMYFUNCTION("GOOGLETRANSLATE(B37109,""en"",""es-ES"")"),"Uno arroja la pelota a la red y hace que la gente de un lado salte y anime.")</f>
        <v>Uno arroja la pelota a la red y hace que la gente de un lado salte y anime.</v>
      </c>
    </row>
    <row r="37110">
      <c r="A37110" s="4" t="s">
        <v>46674</v>
      </c>
      <c r="B37110" s="4" t="s">
        <v>46678</v>
      </c>
      <c r="C37110" s="5" t="str">
        <f>IFERROR(__xludf.DUMMYFUNCTION("GOOGLETRANSLATE(B37110,""en"",""es-ES"")"),"Un video del evento muestra en cámara lenta seguida de hombres al margen mirando.")</f>
        <v>Un video del evento muestra en cámara lenta seguida de hombres al margen mirando.</v>
      </c>
    </row>
    <row r="37111">
      <c r="A37111" s="4" t="s">
        <v>46679</v>
      </c>
      <c r="B37111" s="4" t="s">
        <v>46680</v>
      </c>
      <c r="C37111" s="5" t="str">
        <f>IFERROR(__xludf.DUMMYFUNCTION("GOOGLETRANSLATE(B37111,""en"",""es-ES"")"),"La gente corre por una pista y salta a un pozo de arena.")</f>
        <v>La gente corre por una pista y salta a un pozo de arena.</v>
      </c>
    </row>
    <row r="37112">
      <c r="A37112" s="4" t="s">
        <v>46679</v>
      </c>
      <c r="B37112" s="4" t="s">
        <v>46681</v>
      </c>
      <c r="C37112" s="5" t="str">
        <f>IFERROR(__xludf.DUMMYFUNCTION("GOOGLETRANSLATE(B37112,""en"",""es-ES"")"),"La gente está parada al costado de la pista mirándolos.")</f>
        <v>La gente está parada al costado de la pista mirándolos.</v>
      </c>
    </row>
    <row r="37113">
      <c r="A37113" s="4" t="s">
        <v>46679</v>
      </c>
      <c r="B37113" s="4" t="s">
        <v>46682</v>
      </c>
      <c r="C37113" s="5" t="str">
        <f>IFERROR(__xludf.DUMMYFUNCTION("GOOGLETRANSLATE(B37113,""en"",""es-ES"")"),"El hombre posa frente a un letrero.")</f>
        <v>El hombre posa frente a un letrero.</v>
      </c>
    </row>
    <row r="37114">
      <c r="A37114" s="4" t="s">
        <v>46683</v>
      </c>
      <c r="B37114" s="4" t="s">
        <v>12684</v>
      </c>
      <c r="C37114" s="5" t="str">
        <f>IFERROR(__xludf.DUMMYFUNCTION("GOOGLETRANSLATE(B37114,""en"",""es-ES"")"),"Un hombre camina hacia un tablero de buceo.")</f>
        <v>Un hombre camina hacia un tablero de buceo.</v>
      </c>
    </row>
    <row r="37115">
      <c r="A37115" s="4" t="s">
        <v>46683</v>
      </c>
      <c r="B37115" s="4" t="s">
        <v>46684</v>
      </c>
      <c r="C37115" s="5" t="str">
        <f>IFERROR(__xludf.DUMMYFUNCTION("GOOGLETRANSLATE(B37115,""en"",""es-ES"")"),"Salta a la piscina debajo de él.")</f>
        <v>Salta a la piscina debajo de él.</v>
      </c>
    </row>
    <row r="37116">
      <c r="A37116" s="4" t="s">
        <v>46683</v>
      </c>
      <c r="B37116" s="4" t="s">
        <v>46685</v>
      </c>
      <c r="C37116" s="5" t="str">
        <f>IFERROR(__xludf.DUMMYFUNCTION("GOOGLETRANSLATE(B37116,""en"",""es-ES"")"),"Otra persona entra en el tablero de buceo.")</f>
        <v>Otra persona entra en el tablero de buceo.</v>
      </c>
    </row>
    <row r="37117">
      <c r="A37117" s="4" t="s">
        <v>46686</v>
      </c>
      <c r="B37117" s="4" t="s">
        <v>46687</v>
      </c>
      <c r="C37117" s="5" t="str">
        <f>IFERROR(__xludf.DUMMYFUNCTION("GOOGLETRANSLATE(B37117,""en"",""es-ES"")"),"Se ven dos personas montando en esquís mientras hablan entre sí y conducen a ellas montando por una colina nevada.")</f>
        <v>Se ven dos personas montando en esquís mientras hablan entre sí y conducen a ellas montando por una colina nevada.</v>
      </c>
    </row>
    <row r="37118">
      <c r="A37118" s="4" t="s">
        <v>46686</v>
      </c>
      <c r="B37118" s="4" t="s">
        <v>46688</v>
      </c>
      <c r="C37118" s="5" t="str">
        <f>IFERROR(__xludf.DUMMYFUNCTION("GOOGLETRANSLATE(B37118,""en"",""es-ES"")"),"La gente continuamente se empuja rápidamente por una colina que pasa a varias personas y terminan deteniéndose al final.")</f>
        <v>La gente continuamente se empuja rápidamente por una colina que pasa a varias personas y terminan deteniéndose al final.</v>
      </c>
    </row>
    <row r="37119">
      <c r="A37119" s="4" t="s">
        <v>46689</v>
      </c>
      <c r="B37119" s="4" t="s">
        <v>46690</v>
      </c>
      <c r="C37119" s="5" t="str">
        <f>IFERROR(__xludf.DUMMYFUNCTION("GOOGLETRANSLATE(B37119,""en"",""es-ES"")"),"Un perro monta en un bote con sus dueños.")</f>
        <v>Un perro monta en un bote con sus dueños.</v>
      </c>
    </row>
    <row r="37120">
      <c r="A37120" s="4" t="s">
        <v>46689</v>
      </c>
      <c r="B37120" s="4" t="s">
        <v>46691</v>
      </c>
      <c r="C37120" s="5" t="str">
        <f>IFERROR(__xludf.DUMMYFUNCTION("GOOGLETRANSLATE(B37120,""en"",""es-ES"")"),"Se ve un cangrejo arrastrándose en el fondo de un lago.")</f>
        <v>Se ve un cangrejo arrastrándose en el fondo de un lago.</v>
      </c>
    </row>
    <row r="37121">
      <c r="A37121" s="4" t="s">
        <v>46689</v>
      </c>
      <c r="B37121" s="4" t="s">
        <v>46692</v>
      </c>
      <c r="C37121" s="5" t="str">
        <f>IFERROR(__xludf.DUMMYFUNCTION("GOOGLETRANSLATE(B37121,""en"",""es-ES"")"),"La gente es esquiar detrás de un bote en un lago tranquilo.")</f>
        <v>La gente es esquiar detrás de un bote en un lago tranquilo.</v>
      </c>
    </row>
    <row r="37122">
      <c r="A37122" s="4" t="s">
        <v>46689</v>
      </c>
      <c r="B37122" s="4" t="s">
        <v>46693</v>
      </c>
      <c r="C37122" s="5" t="str">
        <f>IFERROR(__xludf.DUMMYFUNCTION("GOOGLETRANSLATE(B37122,""en"",""es-ES"")"),"La persona suelta la cuerda de remolcación y se desliza hacia la orilla del lago.")</f>
        <v>La persona suelta la cuerda de remolcación y se desliza hacia la orilla del lago.</v>
      </c>
    </row>
    <row r="37123">
      <c r="A37123" s="4" t="s">
        <v>46689</v>
      </c>
      <c r="B37123" s="4" t="s">
        <v>46694</v>
      </c>
      <c r="C37123" s="5" t="str">
        <f>IFERROR(__xludf.DUMMYFUNCTION("GOOGLETRANSLATE(B37123,""en"",""es-ES"")"),"El grupo prepara una silla en un trineo con una cuerda en la orilla.")</f>
        <v>El grupo prepara una silla en un trineo con una cuerda en la orilla.</v>
      </c>
    </row>
    <row r="37124">
      <c r="A37124" s="4" t="s">
        <v>46689</v>
      </c>
      <c r="B37124" s="4" t="s">
        <v>46695</v>
      </c>
      <c r="C37124" s="5" t="str">
        <f>IFERROR(__xludf.DUMMYFUNCTION("GOOGLETRANSLATE(B37124,""en"",""es-ES"")"),"Un hombre es tirado de un trineo desde la orilla y luego en el lago.")</f>
        <v>Un hombre es tirado de un trineo desde la orilla y luego en el lago.</v>
      </c>
    </row>
    <row r="37125">
      <c r="A37125" s="4" t="s">
        <v>46689</v>
      </c>
      <c r="B37125" s="4" t="s">
        <v>46696</v>
      </c>
      <c r="C37125" s="5" t="str">
        <f>IFERROR(__xludf.DUMMYFUNCTION("GOOGLETRANSLATE(B37125,""en"",""es-ES"")"),"El grupo elimina el trineo del agua y lo levanta para drenar el agua.")</f>
        <v>El grupo elimina el trineo del agua y lo levanta para drenar el agua.</v>
      </c>
    </row>
    <row r="37126">
      <c r="A37126" s="4" t="s">
        <v>46697</v>
      </c>
      <c r="B37126" s="4" t="s">
        <v>46698</v>
      </c>
      <c r="C37126" s="5" t="str">
        <f>IFERROR(__xludf.DUMMYFUNCTION("GOOGLETRANSLATE(B37126,""en"",""es-ES"")"),"Se muestra un piso de ciclomotor brillante.")</f>
        <v>Se muestra un piso de ciclomotor brillante.</v>
      </c>
    </row>
    <row r="37127">
      <c r="A37127" s="4" t="s">
        <v>46697</v>
      </c>
      <c r="B37127" s="4" t="s">
        <v>46699</v>
      </c>
      <c r="C37127" s="5" t="str">
        <f>IFERROR(__xludf.DUMMYFUNCTION("GOOGLETRANSLATE(B37127,""en"",""es-ES"")"),"Se muestra a un conserje alfombras, raspando chicle, sacando letreros y trapeando pisos.")</f>
        <v>Se muestra a un conserje alfombras, raspando chicle, sacando letreros y trapeando pisos.</v>
      </c>
    </row>
    <row r="37128">
      <c r="A37128" s="4" t="s">
        <v>46697</v>
      </c>
      <c r="B37128" s="4" t="s">
        <v>46700</v>
      </c>
      <c r="C37128" s="5" t="str">
        <f>IFERROR(__xludf.DUMMYFUNCTION("GOOGLETRANSLATE(B37128,""en"",""es-ES"")"),"Entra en un armario y elige el limpiador que usa mientras habla de ello.")</f>
        <v>Entra en un armario y elige el limpiador que usa mientras habla de ello.</v>
      </c>
    </row>
    <row r="37129">
      <c r="A37129" s="4" t="s">
        <v>46697</v>
      </c>
      <c r="B37129" s="4" t="s">
        <v>46701</v>
      </c>
      <c r="C37129" s="5" t="str">
        <f>IFERROR(__xludf.DUMMYFUNCTION("GOOGLETRANSLATE(B37129,""en"",""es-ES"")"),"Rocía agua y la solución de limpieza en su carro de trapeador.")</f>
        <v>Rocía agua y la solución de limpieza en su carro de trapeador.</v>
      </c>
    </row>
    <row r="37130">
      <c r="A37130" s="4" t="s">
        <v>46697</v>
      </c>
      <c r="B37130" s="4" t="s">
        <v>46702</v>
      </c>
      <c r="C37130" s="5" t="str">
        <f>IFERROR(__xludf.DUMMYFUNCTION("GOOGLETRANSLATE(B37130,""en"",""es-ES"")"),"Luego se le muestra trapeando el piso con la solución.")</f>
        <v>Luego se le muestra trapeando el piso con la solución.</v>
      </c>
    </row>
    <row r="37131">
      <c r="A37131" s="4" t="s">
        <v>46697</v>
      </c>
      <c r="B37131" s="4" t="s">
        <v>46703</v>
      </c>
      <c r="C37131" s="5" t="str">
        <f>IFERROR(__xludf.DUMMYFUNCTION("GOOGLETRANSLATE(B37131,""en"",""es-ES"")"),"Él desarme todo y lo pone antes de lavarse las manos para el día.")</f>
        <v>Él desarme todo y lo pone antes de lavarse las manos para el día.</v>
      </c>
    </row>
    <row r="37132">
      <c r="A37132" s="4" t="s">
        <v>46704</v>
      </c>
      <c r="B37132" s="4" t="s">
        <v>46705</v>
      </c>
      <c r="C37132" s="5" t="str">
        <f>IFERROR(__xludf.DUMMYFUNCTION("GOOGLETRANSLATE(B37132,""en"",""es-ES"")"),"Las mujeres juegan hockey interior y compiten.")</f>
        <v>Las mujeres juegan hockey interior y compiten.</v>
      </c>
    </row>
    <row r="37133">
      <c r="A37133" s="4" t="s">
        <v>46704</v>
      </c>
      <c r="B37133" s="4" t="s">
        <v>46706</v>
      </c>
      <c r="C37133" s="5" t="str">
        <f>IFERROR(__xludf.DUMMYFUNCTION("GOOGLETRANSLATE(B37133,""en"",""es-ES"")"),"Comienzan a pelear por los discos inflables.")</f>
        <v>Comienzan a pelear por los discos inflables.</v>
      </c>
    </row>
    <row r="37134">
      <c r="A37134" s="4" t="s">
        <v>46704</v>
      </c>
      <c r="B37134" s="4" t="s">
        <v>46707</v>
      </c>
      <c r="C37134" s="5" t="str">
        <f>IFERROR(__xludf.DUMMYFUNCTION("GOOGLETRANSLATE(B37134,""en"",""es-ES"")"),"Se les muestra hablando con la cámara sobre el juego.")</f>
        <v>Se les muestra hablando con la cámara sobre el juego.</v>
      </c>
    </row>
    <row r="37135">
      <c r="A37135" s="4" t="s">
        <v>46704</v>
      </c>
      <c r="B37135" s="4" t="s">
        <v>46708</v>
      </c>
      <c r="C37135" s="5" t="str">
        <f>IFERROR(__xludf.DUMMYFUNCTION("GOOGLETRANSLATE(B37135,""en"",""es-ES"")"),"A las mujeres se les muestra nuevamente jugando hockey en una competencia entre ellas.")</f>
        <v>A las mujeres se les muestra nuevamente jugando hockey en una competencia entre ellas.</v>
      </c>
    </row>
    <row r="37136">
      <c r="A37136" s="4" t="s">
        <v>46704</v>
      </c>
      <c r="B37136" s="4" t="s">
        <v>46709</v>
      </c>
      <c r="C37136" s="5" t="str">
        <f>IFERROR(__xludf.DUMMYFUNCTION("GOOGLETRANSLATE(B37136,""en"",""es-ES"")"),"Se muestra un primer plano del disco.")</f>
        <v>Se muestra un primer plano del disco.</v>
      </c>
    </row>
    <row r="37137">
      <c r="A37137" s="4" t="s">
        <v>46710</v>
      </c>
      <c r="B37137" s="4" t="s">
        <v>46711</v>
      </c>
      <c r="C37137" s="5" t="str">
        <f>IFERROR(__xludf.DUMMYFUNCTION("GOOGLETRANSLATE(B37137,""en"",""es-ES"")"),"Se muestran varias vistas exteriores de un casino.")</f>
        <v>Se muestran varias vistas exteriores de un casino.</v>
      </c>
    </row>
    <row r="37138">
      <c r="A37138" s="4" t="s">
        <v>46710</v>
      </c>
      <c r="B37138" s="4" t="s">
        <v>46712</v>
      </c>
      <c r="C37138" s="5" t="str">
        <f>IFERROR(__xludf.DUMMYFUNCTION("GOOGLETRANSLATE(B37138,""en"",""es-ES"")"),"Los jugadores de cartas y el concesionario en una mesa se muestran participando en un juego dentro del casino.")</f>
        <v>Los jugadores de cartas y el concesionario en una mesa se muestran participando en un juego dentro del casino.</v>
      </c>
    </row>
    <row r="37139">
      <c r="A37139" s="4" t="s">
        <v>46710</v>
      </c>
      <c r="B37139" s="4" t="s">
        <v>46713</v>
      </c>
      <c r="C37139" s="5" t="str">
        <f>IFERROR(__xludf.DUMMYFUNCTION("GOOGLETRANSLATE(B37139,""en"",""es-ES"")"),"El concesionario ofrece cartas a cada jugador.")</f>
        <v>El concesionario ofrece cartas a cada jugador.</v>
      </c>
    </row>
    <row r="37140">
      <c r="A37140" s="4" t="s">
        <v>46710</v>
      </c>
      <c r="B37140" s="4" t="s">
        <v>46714</v>
      </c>
      <c r="C37140" s="5" t="str">
        <f>IFERROR(__xludf.DUMMYFUNCTION("GOOGLETRANSLATE(B37140,""en"",""es-ES"")"),"El concesionario revela la mano del concesionario.")</f>
        <v>El concesionario revela la mano del concesionario.</v>
      </c>
    </row>
    <row r="37141">
      <c r="A37141" s="4" t="s">
        <v>46710</v>
      </c>
      <c r="B37141" s="4" t="s">
        <v>46715</v>
      </c>
      <c r="C37141" s="5" t="str">
        <f>IFERROR(__xludf.DUMMYFUNCTION("GOOGLETRANSLATE(B37141,""en"",""es-ES"")"),"Un hombre habla con la cámara mientras otro hombre se encuentra cerca.")</f>
        <v>Un hombre habla con la cámara mientras otro hombre se encuentra cerca.</v>
      </c>
    </row>
    <row r="37142">
      <c r="A37142" s="4" t="s">
        <v>46716</v>
      </c>
      <c r="B37142" s="4" t="s">
        <v>46717</v>
      </c>
      <c r="C37142" s="5" t="str">
        <f>IFERROR(__xludf.DUMMYFUNCTION("GOOGLETRANSLATE(B37142,""en"",""es-ES"")"),"Varias personas se ven de pie alrededor de una arena, mientras que otras se paran para jugar ShuffleBoard.")</f>
        <v>Varias personas se ven de pie alrededor de una arena, mientras que otras se paran para jugar ShuffleBoard.</v>
      </c>
    </row>
    <row r="37143">
      <c r="A37143" s="4" t="s">
        <v>46716</v>
      </c>
      <c r="B37143" s="4" t="s">
        <v>46718</v>
      </c>
      <c r="C37143" s="5" t="str">
        <f>IFERROR(__xludf.DUMMYFUNCTION("GOOGLETRANSLATE(B37143,""en"",""es-ES"")"),"Un hombre empuja un disco varias veces, mientras que otros hacen lo mismo detrás de él.")</f>
        <v>Un hombre empuja un disco varias veces, mientras que otros hacen lo mismo detrás de él.</v>
      </c>
    </row>
    <row r="37144">
      <c r="A37144" s="4" t="s">
        <v>46716</v>
      </c>
      <c r="B37144" s="4" t="s">
        <v>46719</v>
      </c>
      <c r="C37144" s="5" t="str">
        <f>IFERROR(__xludf.DUMMYFUNCTION("GOOGLETRANSLATE(B37144,""en"",""es-ES"")"),"La gente continúa jugando y termina con un hombre hablando con la cámara al final.")</f>
        <v>La gente continúa jugando y termina con un hombre hablando con la cámara al final.</v>
      </c>
    </row>
    <row r="37145">
      <c r="A37145" s="4" t="s">
        <v>46720</v>
      </c>
      <c r="B37145" s="4" t="s">
        <v>46721</v>
      </c>
      <c r="C37145" s="5" t="str">
        <f>IFERROR(__xludf.DUMMYFUNCTION("GOOGLETRANSLATE(B37145,""en"",""es-ES"")"),"Se ve a una niña acostada sobre una mesa con un hombre que perfora su ombligo debajo de ella.")</f>
        <v>Se ve a una niña acostada sobre una mesa con un hombre que perfora su ombligo debajo de ella.</v>
      </c>
    </row>
    <row r="37146">
      <c r="A37146" s="4" t="s">
        <v>46720</v>
      </c>
      <c r="B37146" s="4" t="s">
        <v>46722</v>
      </c>
      <c r="C37146" s="5" t="str">
        <f>IFERROR(__xludf.DUMMYFUNCTION("GOOGLETRANSLATE(B37146,""en"",""es-ES"")"),"La niña grita de dolor y el hombre termina su perforación mientras mira a la cámara.")</f>
        <v>La niña grita de dolor y el hombre termina su perforación mientras mira a la cámara.</v>
      </c>
    </row>
    <row r="37147">
      <c r="A37147" s="4" t="s">
        <v>46723</v>
      </c>
      <c r="B37147" s="4" t="s">
        <v>46724</v>
      </c>
      <c r="C37147" s="5" t="str">
        <f>IFERROR(__xludf.DUMMYFUNCTION("GOOGLETRANSLATE(B37147,""en"",""es-ES"")"),"Se muestran un par de zapatos Nike blanco y rojo.")</f>
        <v>Se muestran un par de zapatos Nike blanco y rojo.</v>
      </c>
    </row>
    <row r="37148">
      <c r="A37148" s="4" t="s">
        <v>46723</v>
      </c>
      <c r="B37148" s="4" t="s">
        <v>46725</v>
      </c>
      <c r="C37148" s="5" t="str">
        <f>IFERROR(__xludf.DUMMYFUNCTION("GOOGLETRANSLATE(B37148,""en"",""es-ES"")"),"Un hombre está usando inserciones para preparar los zapatos.")</f>
        <v>Un hombre está usando inserciones para preparar los zapatos.</v>
      </c>
    </row>
    <row r="37149">
      <c r="A37149" s="4" t="s">
        <v>46723</v>
      </c>
      <c r="B37149" s="4" t="s">
        <v>46726</v>
      </c>
      <c r="C37149" s="5" t="str">
        <f>IFERROR(__xludf.DUMMYFUNCTION("GOOGLETRANSLATE(B37149,""en"",""es-ES"")"),"Luego usa un cepillo y una solución de limpieza para lavar los zapatos.")</f>
        <v>Luego usa un cepillo y una solución de limpieza para lavar los zapatos.</v>
      </c>
    </row>
    <row r="37150">
      <c r="A37150" s="4" t="s">
        <v>46727</v>
      </c>
      <c r="B37150" s="4" t="s">
        <v>46728</v>
      </c>
      <c r="C37150" s="5" t="str">
        <f>IFERROR(__xludf.DUMMYFUNCTION("GOOGLETRANSLATE(B37150,""en"",""es-ES"")"),"Vemos a los hombres patinando cerca de un estacionamiento.")</f>
        <v>Vemos a los hombres patinando cerca de un estacionamiento.</v>
      </c>
    </row>
    <row r="37151">
      <c r="A37151" s="4" t="s">
        <v>46727</v>
      </c>
      <c r="B37151" s="4" t="s">
        <v>46729</v>
      </c>
      <c r="C37151" s="5" t="str">
        <f>IFERROR(__xludf.DUMMYFUNCTION("GOOGLETRANSLATE(B37151,""en"",""es-ES"")"),"Vemos a dos hombres hablando entre ellos.")</f>
        <v>Vemos a dos hombres hablando entre ellos.</v>
      </c>
    </row>
    <row r="37152">
      <c r="A37152" s="4" t="s">
        <v>46727</v>
      </c>
      <c r="B37152" s="4" t="s">
        <v>46730</v>
      </c>
      <c r="C37152" s="5" t="str">
        <f>IFERROR(__xludf.DUMMYFUNCTION("GOOGLETRANSLATE(B37152,""en"",""es-ES"")"),"Vemos al hombre de caqui tropiezo y falla repetidamente.")</f>
        <v>Vemos al hombre de caqui tropiezo y falla repetidamente.</v>
      </c>
    </row>
    <row r="37153">
      <c r="A37153" s="4" t="s">
        <v>46727</v>
      </c>
      <c r="B37153" s="4" t="s">
        <v>46731</v>
      </c>
      <c r="C37153" s="5" t="str">
        <f>IFERROR(__xludf.DUMMYFUNCTION("GOOGLETRANSLATE(B37153,""en"",""es-ES"")"),"Vemos a un hombre sosteniendo un teléfono celular y hablando con el patinador.")</f>
        <v>Vemos a un hombre sosteniendo un teléfono celular y hablando con el patinador.</v>
      </c>
    </row>
    <row r="37154">
      <c r="A37154" s="4" t="s">
        <v>46727</v>
      </c>
      <c r="B37154" s="4" t="s">
        <v>46732</v>
      </c>
      <c r="C37154" s="5" t="str">
        <f>IFERROR(__xludf.DUMMYFUNCTION("GOOGLETRANSLATE(B37154,""en"",""es-ES"")"),"Los hombres se dan la mano y el camarógrafo apunta al patinador.")</f>
        <v>Los hombres se dan la mano y el camarógrafo apunta al patinador.</v>
      </c>
    </row>
    <row r="37155">
      <c r="A37155" s="4" t="s">
        <v>46727</v>
      </c>
      <c r="B37155" s="4" t="s">
        <v>46733</v>
      </c>
      <c r="C37155" s="5" t="str">
        <f>IFERROR(__xludf.DUMMYFUNCTION("GOOGLETRANSLATE(B37155,""en"",""es-ES"")"),"Vemos la pantalla de suscripción.")</f>
        <v>Vemos la pantalla de suscripción.</v>
      </c>
    </row>
    <row r="37156">
      <c r="A37156" s="4" t="s">
        <v>46727</v>
      </c>
      <c r="B37156" s="4" t="s">
        <v>46734</v>
      </c>
      <c r="C37156" s="5" t="str">
        <f>IFERROR(__xludf.DUMMYFUNCTION("GOOGLETRANSLATE(B37156,""en"",""es-ES"")"),"Vemos gente montando y vemos a un hombre montar una patineta de Red Toy Kids y el camarógrafo lo patea en el lote.")</f>
        <v>Vemos gente montando y vemos a un hombre montar una patineta de Red Toy Kids y el camarógrafo lo patea en el lote.</v>
      </c>
    </row>
    <row r="37157">
      <c r="A37157" s="4" t="s">
        <v>46727</v>
      </c>
      <c r="B37157" s="4" t="s">
        <v>4452</v>
      </c>
      <c r="C37157" s="5" t="str">
        <f>IFERROR(__xludf.DUMMYFUNCTION("GOOGLETRANSLATE(B37157,""en"",""es-ES"")"),"Luego vemos la pantalla final.")</f>
        <v>Luego vemos la pantalla final.</v>
      </c>
    </row>
    <row r="37158">
      <c r="A37158" s="4" t="s">
        <v>46735</v>
      </c>
      <c r="B37158" s="4" t="s">
        <v>46736</v>
      </c>
      <c r="C37158" s="5" t="str">
        <f>IFERROR(__xludf.DUMMYFUNCTION("GOOGLETRANSLATE(B37158,""en"",""es-ES"")"),"Hay un hombre con un sombrero rojo y una camisa negra entrenando y jugando con su perro en un parque para perros.")</f>
        <v>Hay un hombre con un sombrero rojo y una camisa negra entrenando y jugando con su perro en un parque para perros.</v>
      </c>
    </row>
    <row r="37159">
      <c r="A37159" s="4" t="s">
        <v>46735</v>
      </c>
      <c r="B37159" s="4" t="s">
        <v>46737</v>
      </c>
      <c r="C37159" s="5" t="str">
        <f>IFERROR(__xludf.DUMMYFUNCTION("GOOGLETRANSLATE(B37159,""en"",""es-ES"")"),"Hay varias otras personas en ese parque con sus perros, sentados debajo de los toldos.")</f>
        <v>Hay varias otras personas en ese parque con sus perros, sentados debajo de los toldos.</v>
      </c>
    </row>
    <row r="37160">
      <c r="A37160" s="4" t="s">
        <v>46735</v>
      </c>
      <c r="B37160" s="4" t="s">
        <v>46738</v>
      </c>
      <c r="C37160" s="5" t="str">
        <f>IFERROR(__xludf.DUMMYFUNCTION("GOOGLETRANSLATE(B37160,""en"",""es-ES"")"),"El hombre está lanzando un frisbee para que el perro busque.")</f>
        <v>El hombre está lanzando un frisbee para que el perro busque.</v>
      </c>
    </row>
    <row r="37161">
      <c r="A37161" s="4" t="s">
        <v>46735</v>
      </c>
      <c r="B37161" s="4" t="s">
        <v>46739</v>
      </c>
      <c r="C37161" s="5" t="str">
        <f>IFERROR(__xludf.DUMMYFUNCTION("GOOGLETRANSLATE(B37161,""en"",""es-ES"")"),"El perro corre y busca el frisbee para su dueño.")</f>
        <v>El perro corre y busca el frisbee para su dueño.</v>
      </c>
    </row>
    <row r="37162">
      <c r="A37162" s="4" t="s">
        <v>46735</v>
      </c>
      <c r="B37162" s="4" t="s">
        <v>46740</v>
      </c>
      <c r="C37162" s="5" t="str">
        <f>IFERROR(__xludf.DUMMYFUNCTION("GOOGLETRANSLATE(B37162,""en"",""es-ES"")"),"El perro salta alto para atrapar al Frisbee.")</f>
        <v>El perro salta alto para atrapar al Frisbee.</v>
      </c>
    </row>
    <row r="37163">
      <c r="A37163" s="4" t="s">
        <v>46735</v>
      </c>
      <c r="B37163" s="4" t="s">
        <v>46741</v>
      </c>
      <c r="C37163" s="5" t="str">
        <f>IFERROR(__xludf.DUMMYFUNCTION("GOOGLETRANSLATE(B37163,""en"",""es-ES"")"),"El hombre también arroja una pelota al perro para que busque.")</f>
        <v>El hombre también arroja una pelota al perro para que busque.</v>
      </c>
    </row>
    <row r="37164">
      <c r="A37164" s="4" t="s">
        <v>46735</v>
      </c>
      <c r="B37164" s="4" t="s">
        <v>46742</v>
      </c>
      <c r="C37164" s="5" t="str">
        <f>IFERROR(__xludf.DUMMYFUNCTION("GOOGLETRANSLATE(B37164,""en"",""es-ES"")"),"El hombre levanta al perro y se va.")</f>
        <v>El hombre levanta al perro y se va.</v>
      </c>
    </row>
    <row r="37165">
      <c r="A37165" s="4" t="s">
        <v>46743</v>
      </c>
      <c r="B37165" s="4" t="s">
        <v>46744</v>
      </c>
      <c r="C37165" s="5" t="str">
        <f>IFERROR(__xludf.DUMMYFUNCTION("GOOGLETRANSLATE(B37165,""en"",""es-ES"")"),"Vemos una pantalla negra y el título.")</f>
        <v>Vemos una pantalla negra y el título.</v>
      </c>
    </row>
    <row r="37166">
      <c r="A37166" s="4" t="s">
        <v>46743</v>
      </c>
      <c r="B37166" s="4" t="s">
        <v>46745</v>
      </c>
      <c r="C37166" s="5" t="str">
        <f>IFERROR(__xludf.DUMMYFUNCTION("GOOGLETRANSLATE(B37166,""en"",""es-ES"")"),"Vemos a un niño aferrándose a un poste tirado por un bote.")</f>
        <v>Vemos a un niño aferrándose a un poste tirado por un bote.</v>
      </c>
    </row>
    <row r="37167">
      <c r="A37167" s="4" t="s">
        <v>46743</v>
      </c>
      <c r="B37167" s="4" t="s">
        <v>46746</v>
      </c>
      <c r="C37167" s="5" t="str">
        <f>IFERROR(__xludf.DUMMYFUNCTION("GOOGLETRANSLATE(B37167,""en"",""es-ES"")"),"Se pone de pie y esquís.")</f>
        <v>Se pone de pie y esquís.</v>
      </c>
    </row>
    <row r="37168">
      <c r="A37168" s="4" t="s">
        <v>46743</v>
      </c>
      <c r="B37168" s="4" t="s">
        <v>46747</v>
      </c>
      <c r="C37168" s="5" t="str">
        <f>IFERROR(__xludf.DUMMYFUNCTION("GOOGLETRANSLATE(B37168,""en"",""es-ES"")"),"El niño pierde el equilibrio y se cae por completo.")</f>
        <v>El niño pierde el equilibrio y se cae por completo.</v>
      </c>
    </row>
    <row r="37169">
      <c r="A37169" s="4" t="s">
        <v>46743</v>
      </c>
      <c r="B37169" s="4" t="s">
        <v>46748</v>
      </c>
      <c r="C37169" s="5" t="str">
        <f>IFERROR(__xludf.DUMMYFUNCTION("GOOGLETRANSLATE(B37169,""en"",""es-ES"")"),"Una niña está al lado de aferrarse al bar del bote.")</f>
        <v>Una niña está al lado de aferrarse al bar del bote.</v>
      </c>
    </row>
    <row r="37170">
      <c r="A37170" s="4" t="s">
        <v>46743</v>
      </c>
      <c r="B37170" s="4" t="s">
        <v>46749</v>
      </c>
      <c r="C37170" s="5" t="str">
        <f>IFERROR(__xludf.DUMMYFUNCTION("GOOGLETRANSLATE(B37170,""en"",""es-ES"")"),"Las chicas miran la cámara antes de perder el equilibrio y se cae de la barra.")</f>
        <v>Las chicas miran la cámara antes de perder el equilibrio y se cae de la barra.</v>
      </c>
    </row>
    <row r="37171">
      <c r="A37171" s="4" t="s">
        <v>46750</v>
      </c>
      <c r="B37171" s="4" t="s">
        <v>539</v>
      </c>
      <c r="C37171" s="5" t="str">
        <f>IFERROR(__xludf.DUMMYFUNCTION("GOOGLETRANSLATE(B37171,""en"",""es-ES"")"),"Un hombre está hablando con la cámara.")</f>
        <v>Un hombre está hablando con la cámara.</v>
      </c>
    </row>
    <row r="37172">
      <c r="A37172" s="4" t="s">
        <v>46750</v>
      </c>
      <c r="B37172" s="4" t="s">
        <v>46751</v>
      </c>
      <c r="C37172" s="5" t="str">
        <f>IFERROR(__xludf.DUMMYFUNCTION("GOOGLETRANSLATE(B37172,""en"",""es-ES"")"),"Una mujer con una camisa naranja está haciendo varios movimientos de karate.")</f>
        <v>Una mujer con una camisa naranja está haciendo varios movimientos de karate.</v>
      </c>
    </row>
    <row r="37173">
      <c r="A37173" s="4" t="s">
        <v>46750</v>
      </c>
      <c r="B37173" s="4" t="s">
        <v>46752</v>
      </c>
      <c r="C37173" s="5" t="str">
        <f>IFERROR(__xludf.DUMMYFUNCTION("GOOGLETRANSLATE(B37173,""en"",""es-ES"")"),"Ella hace una espalda sobre la colchoneta.")</f>
        <v>Ella hace una espalda sobre la colchoneta.</v>
      </c>
    </row>
    <row r="37174">
      <c r="A37174" s="4" t="s">
        <v>46753</v>
      </c>
      <c r="B37174" s="4" t="s">
        <v>46754</v>
      </c>
      <c r="C37174" s="5" t="str">
        <f>IFERROR(__xludf.DUMMYFUNCTION("GOOGLETRANSLATE(B37174,""en"",""es-ES"")"),"Un hombre demuestra cómo instalar algunos agarres en los asas de bicicletas.")</f>
        <v>Un hombre demuestra cómo instalar algunos agarres en los asas de bicicletas.</v>
      </c>
    </row>
    <row r="37175">
      <c r="A37175" s="4" t="s">
        <v>46753</v>
      </c>
      <c r="B37175" s="4" t="s">
        <v>46755</v>
      </c>
      <c r="C37175" s="5" t="str">
        <f>IFERROR(__xludf.DUMMYFUNCTION("GOOGLETRANSLATE(B37175,""en"",""es-ES"")"),"Primero instala algunos anillos en los agarres.")</f>
        <v>Primero instala algunos anillos en los agarres.</v>
      </c>
    </row>
    <row r="37176">
      <c r="A37176" s="4" t="s">
        <v>46753</v>
      </c>
      <c r="B37176" s="4" t="s">
        <v>46756</v>
      </c>
      <c r="C37176" s="5" t="str">
        <f>IFERROR(__xludf.DUMMYFUNCTION("GOOGLETRANSLATE(B37176,""en"",""es-ES"")"),"Luego atornilla algunos tornillos para tenerlos listos.")</f>
        <v>Luego atornilla algunos tornillos para tenerlos listos.</v>
      </c>
    </row>
    <row r="37177">
      <c r="A37177" s="4" t="s">
        <v>46753</v>
      </c>
      <c r="B37177" s="4" t="s">
        <v>46757</v>
      </c>
      <c r="C37177" s="5" t="str">
        <f>IFERROR(__xludf.DUMMYFUNCTION("GOOGLETRANSLATE(B37177,""en"",""es-ES"")"),"Luego se desliza sobre las empuñaduras sobre las manijas de la bicicleta.")</f>
        <v>Luego se desliza sobre las empuñaduras sobre las manijas de la bicicleta.</v>
      </c>
    </row>
    <row r="37178">
      <c r="A37178" s="4" t="s">
        <v>46753</v>
      </c>
      <c r="B37178" s="4" t="s">
        <v>46758</v>
      </c>
      <c r="C37178" s="5" t="str">
        <f>IFERROR(__xludf.DUMMYFUNCTION("GOOGLETRANSLATE(B37178,""en"",""es-ES"")"),"Él completa el endurecimiento de los agarres con una llave de Alan.")</f>
        <v>Él completa el endurecimiento de los agarres con una llave de Alan.</v>
      </c>
    </row>
    <row r="37179">
      <c r="A37179" s="4" t="s">
        <v>46753</v>
      </c>
      <c r="B37179" s="4" t="s">
        <v>46759</v>
      </c>
      <c r="C37179" s="5" t="str">
        <f>IFERROR(__xludf.DUMMYFUNCTION("GOOGLETRANSLATE(B37179,""en"",""es-ES"")"),"El último inserta se conecta al extremo de los agarres y las barras de mango.")</f>
        <v>El último inserta se conecta al extremo de los agarres y las barras de mango.</v>
      </c>
    </row>
    <row r="37180">
      <c r="A37180" s="4" t="s">
        <v>46760</v>
      </c>
      <c r="B37180" s="4" t="s">
        <v>46761</v>
      </c>
      <c r="C37180" s="5" t="str">
        <f>IFERROR(__xludf.DUMMYFUNCTION("GOOGLETRANSLATE(B37180,""en"",""es-ES"")"),"Los hombres están jugando fútbol de playa en una cancha vacía.")</f>
        <v>Los hombres están jugando fútbol de playa en una cancha vacía.</v>
      </c>
    </row>
    <row r="37181">
      <c r="A37181" s="4" t="s">
        <v>46760</v>
      </c>
      <c r="B37181" s="4" t="s">
        <v>46762</v>
      </c>
      <c r="C37181" s="5" t="str">
        <f>IFERROR(__xludf.DUMMYFUNCTION("GOOGLETRANSLATE(B37181,""en"",""es-ES"")"),"El hombre patea a otro jugador en la cabeza y sostiene la cabeza.")</f>
        <v>El hombre patea a otro jugador en la cabeza y sostiene la cabeza.</v>
      </c>
    </row>
    <row r="37182">
      <c r="A37182" s="4" t="s">
        <v>46763</v>
      </c>
      <c r="B37182" s="4" t="s">
        <v>46764</v>
      </c>
      <c r="C37182" s="5" t="str">
        <f>IFERROR(__xludf.DUMMYFUNCTION("GOOGLETRANSLATE(B37182,""en"",""es-ES"")"),"Dos mujeres viajan en un auto.")</f>
        <v>Dos mujeres viajan en un auto.</v>
      </c>
    </row>
    <row r="37183">
      <c r="A37183" s="4" t="s">
        <v>46763</v>
      </c>
      <c r="B37183" s="4" t="s">
        <v>46765</v>
      </c>
      <c r="C37183" s="5" t="str">
        <f>IFERROR(__xludf.DUMMYFUNCTION("GOOGLETRANSLATE(B37183,""en"",""es-ES"")"),"El pasajero está hablando con la cámara.")</f>
        <v>El pasajero está hablando con la cámara.</v>
      </c>
    </row>
    <row r="37184">
      <c r="A37184" s="4" t="s">
        <v>46763</v>
      </c>
      <c r="B37184" s="4" t="s">
        <v>46766</v>
      </c>
      <c r="C37184" s="5" t="str">
        <f>IFERROR(__xludf.DUMMYFUNCTION("GOOGLETRANSLATE(B37184,""en"",""es-ES"")"),"Están demostrando movimientos de baile.")</f>
        <v>Están demostrando movimientos de baile.</v>
      </c>
    </row>
    <row r="37185">
      <c r="A37185" s="4" t="s">
        <v>46763</v>
      </c>
      <c r="B37185" s="4" t="s">
        <v>46767</v>
      </c>
      <c r="C37185" s="5" t="str">
        <f>IFERROR(__xludf.DUMMYFUNCTION("GOOGLETRANSLATE(B37185,""en"",""es-ES"")"),"El conductor está hablando con la cámara.")</f>
        <v>El conductor está hablando con la cámara.</v>
      </c>
    </row>
    <row r="37186">
      <c r="A37186" s="4" t="s">
        <v>46763</v>
      </c>
      <c r="B37186" s="4" t="s">
        <v>46768</v>
      </c>
      <c r="C37186" s="5" t="str">
        <f>IFERROR(__xludf.DUMMYFUNCTION("GOOGLETRANSLATE(B37186,""en"",""es-ES"")"),"El pasajero ahora está hablando con la cámara.")</f>
        <v>El pasajero ahora está hablando con la cámara.</v>
      </c>
    </row>
    <row r="37187">
      <c r="A37187" s="4" t="s">
        <v>46763</v>
      </c>
      <c r="B37187" s="4" t="s">
        <v>46769</v>
      </c>
      <c r="C37187" s="5" t="str">
        <f>IFERROR(__xludf.DUMMYFUNCTION("GOOGLETRANSLATE(B37187,""en"",""es-ES"")"),"El conductor está mirando la cámara y sonriendo mientras conduce.")</f>
        <v>El conductor está mirando la cámara y sonriendo mientras conduce.</v>
      </c>
    </row>
    <row r="37188">
      <c r="A37188" s="4" t="s">
        <v>46763</v>
      </c>
      <c r="B37188" s="4" t="s">
        <v>46770</v>
      </c>
      <c r="C37188" s="5" t="str">
        <f>IFERROR(__xludf.DUMMYFUNCTION("GOOGLETRANSLATE(B37188,""en"",""es-ES"")"),"Una niña mira en un espejo sosteniendo un patrón de tatuaje en su hombro.")</f>
        <v>Una niña mira en un espejo sosteniendo un patrón de tatuaje en su hombro.</v>
      </c>
    </row>
    <row r="37189">
      <c r="A37189" s="4" t="s">
        <v>46763</v>
      </c>
      <c r="B37189" s="4" t="s">
        <v>46771</v>
      </c>
      <c r="C37189" s="5" t="str">
        <f>IFERROR(__xludf.DUMMYFUNCTION("GOOGLETRANSLATE(B37189,""en"",""es-ES"")"),"Otra chica está acostada en una cama mientras otra chica le hace un tatuaje.")</f>
        <v>Otra chica está acostada en una cama mientras otra chica le hace un tatuaje.</v>
      </c>
    </row>
    <row r="37190">
      <c r="A37190" s="4" t="s">
        <v>46763</v>
      </c>
      <c r="B37190" s="4" t="s">
        <v>46772</v>
      </c>
      <c r="C37190" s="5" t="str">
        <f>IFERROR(__xludf.DUMMYFUNCTION("GOOGLETRANSLATE(B37190,""en"",""es-ES"")"),"La otra chica está sentada en un taburete mientras un hombre le da un tatuaje en su hombro.")</f>
        <v>La otra chica está sentada en un taburete mientras un hombre le da un tatuaje en su hombro.</v>
      </c>
    </row>
    <row r="37191">
      <c r="A37191" s="4" t="s">
        <v>46763</v>
      </c>
      <c r="B37191" s="4" t="s">
        <v>46773</v>
      </c>
      <c r="C37191" s="5" t="str">
        <f>IFERROR(__xludf.DUMMYFUNCTION("GOOGLETRANSLATE(B37191,""en"",""es-ES"")"),"Una mano se extiende desde detrás de la cámara.")</f>
        <v>Una mano se extiende desde detrás de la cámara.</v>
      </c>
    </row>
    <row r="37192">
      <c r="A37192" s="4" t="s">
        <v>46763</v>
      </c>
      <c r="B37192" s="4" t="s">
        <v>46774</v>
      </c>
      <c r="C37192" s="5" t="str">
        <f>IFERROR(__xludf.DUMMYFUNCTION("GOOGLETRANSLATE(B37192,""en"",""es-ES"")"),"Una niña está hablando con la cámara con la mano en el hombro.")</f>
        <v>Una niña está hablando con la cámara con la mano en el hombro.</v>
      </c>
    </row>
    <row r="37193">
      <c r="A37193" s="4" t="s">
        <v>46763</v>
      </c>
      <c r="B37193" s="4" t="s">
        <v>46775</v>
      </c>
      <c r="C37193" s="5" t="str">
        <f>IFERROR(__xludf.DUMMYFUNCTION("GOOGLETRANSLATE(B37193,""en"",""es-ES"")"),"Otra chica está hablando con la cámara y haciendo gestos con las manos.")</f>
        <v>Otra chica está hablando con la cámara y haciendo gestos con las manos.</v>
      </c>
    </row>
    <row r="37194">
      <c r="A37194" s="4" t="s">
        <v>46763</v>
      </c>
      <c r="B37194" s="4" t="s">
        <v>46776</v>
      </c>
      <c r="C37194" s="5" t="str">
        <f>IFERROR(__xludf.DUMMYFUNCTION("GOOGLETRANSLATE(B37194,""en"",""es-ES"")"),"Ambas chicas están hablando con la cámara.")</f>
        <v>Ambas chicas están hablando con la cámara.</v>
      </c>
    </row>
    <row r="37195">
      <c r="A37195" s="4" t="s">
        <v>46777</v>
      </c>
      <c r="B37195" s="4" t="s">
        <v>46778</v>
      </c>
      <c r="C37195" s="5" t="str">
        <f>IFERROR(__xludf.DUMMYFUNCTION("GOOGLETRANSLATE(B37195,""en"",""es-ES"")"),"Un hombre con un abrigo negro está palpitando la nieve con una pala.")</f>
        <v>Un hombre con un abrigo negro está palpitando la nieve con una pala.</v>
      </c>
    </row>
    <row r="37196">
      <c r="A37196" s="4" t="s">
        <v>46777</v>
      </c>
      <c r="B37196" s="4" t="s">
        <v>46779</v>
      </c>
      <c r="C37196" s="5" t="str">
        <f>IFERROR(__xludf.DUMMYFUNCTION("GOOGLETRANSLATE(B37196,""en"",""es-ES"")"),"Recoge una gran pala llena de nieve y la arroja a su lado.")</f>
        <v>Recoge una gran pala llena de nieve y la arroja a su lado.</v>
      </c>
    </row>
    <row r="37197">
      <c r="A37197" s="4" t="s">
        <v>46777</v>
      </c>
      <c r="B37197" s="4" t="s">
        <v>46780</v>
      </c>
      <c r="C37197" s="5" t="str">
        <f>IFERROR(__xludf.DUMMYFUNCTION("GOOGLETRANSLATE(B37197,""en"",""es-ES"")"),"Continúa paleando el camino de entrada.")</f>
        <v>Continúa paleando el camino de entrada.</v>
      </c>
    </row>
    <row r="37198">
      <c r="A37198" s="4" t="s">
        <v>46781</v>
      </c>
      <c r="B37198" s="4" t="s">
        <v>46782</v>
      </c>
      <c r="C37198" s="5" t="str">
        <f>IFERROR(__xludf.DUMMYFUNCTION("GOOGLETRANSLATE(B37198,""en"",""es-ES"")"),"Un hombre está en una arena luchando contra un toro.")</f>
        <v>Un hombre está en una arena luchando contra un toro.</v>
      </c>
    </row>
    <row r="37199">
      <c r="A37199" s="4" t="s">
        <v>46781</v>
      </c>
      <c r="B37199" s="4" t="s">
        <v>46783</v>
      </c>
      <c r="C37199" s="5" t="str">
        <f>IFERROR(__xludf.DUMMYFUNCTION("GOOGLETRANSLATE(B37199,""en"",""es-ES"")"),"Él balancea el Cabo y corre cerca de otros hombres, burlando del toro para perseguirlo.")</f>
        <v>Él balancea el Cabo y corre cerca de otros hombres, burlando del toro para perseguirlo.</v>
      </c>
    </row>
    <row r="37200">
      <c r="A37200" s="4" t="s">
        <v>46781</v>
      </c>
      <c r="B37200" s="4" t="s">
        <v>46784</v>
      </c>
      <c r="C37200" s="5" t="str">
        <f>IFERROR(__xludf.DUMMYFUNCTION("GOOGLETRANSLATE(B37200,""en"",""es-ES"")"),"El toro se golpea en el costado de un caballo que es montado por un hombre antes de correr hacia el hombre con el Cabo.")</f>
        <v>El toro se golpea en el costado de un caballo que es montado por un hombre antes de correr hacia el hombre con el Cabo.</v>
      </c>
    </row>
    <row r="37201">
      <c r="A37201" s="4" t="s">
        <v>46781</v>
      </c>
      <c r="B37201" s="4" t="s">
        <v>46785</v>
      </c>
      <c r="C37201" s="5" t="str">
        <f>IFERROR(__xludf.DUMMYFUNCTION("GOOGLETRANSLATE(B37201,""en"",""es-ES"")"),"El hombre en el caballo se aleja a un lado.")</f>
        <v>El hombre en el caballo se aleja a un lado.</v>
      </c>
    </row>
    <row r="37202">
      <c r="A37202" s="4" t="s">
        <v>46786</v>
      </c>
      <c r="B37202" s="4" t="s">
        <v>46787</v>
      </c>
      <c r="C37202" s="5" t="str">
        <f>IFERROR(__xludf.DUMMYFUNCTION("GOOGLETRANSLATE(B37202,""en"",""es-ES"")"),"Una introducción entra en la pantalla que presenta el video clip.")</f>
        <v>Una introducción entra en la pantalla que presenta el video clip.</v>
      </c>
    </row>
    <row r="37203">
      <c r="A37203" s="4" t="s">
        <v>46786</v>
      </c>
      <c r="B37203" s="4" t="s">
        <v>46788</v>
      </c>
      <c r="C37203" s="5" t="str">
        <f>IFERROR(__xludf.DUMMYFUNCTION("GOOGLETRANSLATE(B37203,""en"",""es-ES"")"),"Dos personas se muestran rociando en el lago.")</f>
        <v>Dos personas se muestran rociando en el lago.</v>
      </c>
    </row>
    <row r="37204">
      <c r="A37204" s="4" t="s">
        <v>46786</v>
      </c>
      <c r="B37204" s="4" t="s">
        <v>46789</v>
      </c>
      <c r="C37204" s="5" t="str">
        <f>IFERROR(__xludf.DUMMYFUNCTION("GOOGLETRANSLATE(B37204,""en"",""es-ES"")"),"Después de eso, despegaron en movimiento en el agua conectada por un cable a una lancha rápida.")</f>
        <v>Después de eso, despegaron en movimiento en el agua conectada por un cable a una lancha rápida.</v>
      </c>
    </row>
    <row r="37205">
      <c r="A37205" s="4" t="s">
        <v>46786</v>
      </c>
      <c r="B37205" s="4" t="s">
        <v>46790</v>
      </c>
      <c r="C37205" s="5" t="str">
        <f>IFERROR(__xludf.DUMMYFUNCTION("GOOGLETRANSLATE(B37205,""en"",""es-ES"")"),"El video termina cuando ambos caen en el agua.")</f>
        <v>El video termina cuando ambos caen en el agua.</v>
      </c>
    </row>
    <row r="37206">
      <c r="A37206" s="4" t="s">
        <v>46791</v>
      </c>
      <c r="B37206" s="4" t="s">
        <v>46792</v>
      </c>
      <c r="C37206" s="5" t="str">
        <f>IFERROR(__xludf.DUMMYFUNCTION("GOOGLETRANSLATE(B37206,""en"",""es-ES"")"),"Una señora te pinta las uñas de un color ciruela.")</f>
        <v>Una señora te pinta las uñas de un color ciruela.</v>
      </c>
    </row>
    <row r="37207">
      <c r="A37207" s="4" t="s">
        <v>46791</v>
      </c>
      <c r="B37207" s="4" t="s">
        <v>46793</v>
      </c>
      <c r="C37207" s="5" t="str">
        <f>IFERROR(__xludf.DUMMYFUNCTION("GOOGLETRANSLATE(B37207,""en"",""es-ES"")"),"Luego pone rayas y puntos de negro y plateado en las uñas para crear un diseño.")</f>
        <v>Luego pone rayas y puntos de negro y plateado en las uñas para crear un diseño.</v>
      </c>
    </row>
    <row r="37208">
      <c r="A37208" s="4" t="s">
        <v>46791</v>
      </c>
      <c r="B37208" s="4" t="s">
        <v>46794</v>
      </c>
      <c r="C37208" s="5" t="str">
        <f>IFERROR(__xludf.DUMMYFUNCTION("GOOGLETRANSLATE(B37208,""en"",""es-ES"")"),"Ella termina y muestra sus uñas pintadas.")</f>
        <v>Ella termina y muestra sus uñas pintadas.</v>
      </c>
    </row>
    <row r="37209">
      <c r="A37209" s="4" t="s">
        <v>46795</v>
      </c>
      <c r="B37209" s="4" t="s">
        <v>46796</v>
      </c>
      <c r="C37209" s="5" t="str">
        <f>IFERROR(__xludf.DUMMYFUNCTION("GOOGLETRANSLATE(B37209,""en"",""es-ES"")"),"Se ve a un hombre hablando con otros en la distancia y comienza a empujar a un hombre por una habitación.")</f>
        <v>Se ve a un hombre hablando con otros en la distancia y comienza a empujar a un hombre por una habitación.</v>
      </c>
    </row>
    <row r="37210">
      <c r="A37210" s="4" t="s">
        <v>46795</v>
      </c>
      <c r="B37210" s="4" t="s">
        <v>46797</v>
      </c>
      <c r="C37210" s="5" t="str">
        <f>IFERROR(__xludf.DUMMYFUNCTION("GOOGLETRANSLATE(B37210,""en"",""es-ES"")"),"Continúa empujando al hombre mientras muchos miran a un lado.")</f>
        <v>Continúa empujando al hombre mientras muchos miran a un lado.</v>
      </c>
    </row>
    <row r="37211">
      <c r="A37211" s="4" t="s">
        <v>46795</v>
      </c>
      <c r="B37211" s="4" t="s">
        <v>46798</v>
      </c>
      <c r="C37211" s="5" t="str">
        <f>IFERROR(__xludf.DUMMYFUNCTION("GOOGLETRANSLATE(B37211,""en"",""es-ES"")"),"El hombre se pone de pie y se ve sorprendido ya que es continuamente empujado hacia abajo.")</f>
        <v>El hombre se pone de pie y se ve sorprendido ya que es continuamente empujado hacia abajo.</v>
      </c>
    </row>
    <row r="37212">
      <c r="A37212" s="4" t="s">
        <v>46799</v>
      </c>
      <c r="B37212" s="4" t="s">
        <v>573</v>
      </c>
      <c r="C37212" s="5" t="str">
        <f>IFERROR(__xludf.DUMMYFUNCTION("GOOGLETRANSLATE(B37212,""en"",""es-ES"")"),"Se muestran los créditos del video.")</f>
        <v>Se muestran los créditos del video.</v>
      </c>
    </row>
    <row r="37213">
      <c r="A37213" s="4" t="s">
        <v>46799</v>
      </c>
      <c r="B37213" s="4" t="s">
        <v>46800</v>
      </c>
      <c r="C37213" s="5" t="str">
        <f>IFERROR(__xludf.DUMMYFUNCTION("GOOGLETRANSLATE(B37213,""en"",""es-ES"")"),"Una dama se encuentra afuera y habla.")</f>
        <v>Una dama se encuentra afuera y habla.</v>
      </c>
    </row>
    <row r="37214">
      <c r="A37214" s="4" t="s">
        <v>46799</v>
      </c>
      <c r="B37214" s="4" t="s">
        <v>46801</v>
      </c>
      <c r="C37214" s="5" t="str">
        <f>IFERROR(__xludf.DUMMYFUNCTION("GOOGLETRANSLATE(B37214,""en"",""es-ES"")"),"La señora se deja entrar en una oficina donde se somete a un examen ocular.")</f>
        <v>La señora se deja entrar en una oficina donde se somete a un examen ocular.</v>
      </c>
    </row>
    <row r="37215">
      <c r="A37215" s="4" t="s">
        <v>46799</v>
      </c>
      <c r="B37215" s="4" t="s">
        <v>46802</v>
      </c>
      <c r="C37215" s="5" t="str">
        <f>IFERROR(__xludf.DUMMYFUNCTION("GOOGLETRANSLATE(B37215,""en"",""es-ES"")"),"Se examina un contacto visual utilizando una herramienta y una mano humana.")</f>
        <v>Se examina un contacto visual utilizando una herramienta y una mano humana.</v>
      </c>
    </row>
    <row r="37216">
      <c r="A37216" s="4" t="s">
        <v>46799</v>
      </c>
      <c r="B37216" s="4" t="s">
        <v>46803</v>
      </c>
      <c r="C37216" s="5" t="str">
        <f>IFERROR(__xludf.DUMMYFUNCTION("GOOGLETRANSLATE(B37216,""en"",""es-ES"")"),"Se muestran varios elementos asociados con el uso de lentes de contactos.")</f>
        <v>Se muestran varios elementos asociados con el uso de lentes de contactos.</v>
      </c>
    </row>
    <row r="37217">
      <c r="A37217" s="4" t="s">
        <v>46799</v>
      </c>
      <c r="B37217" s="4" t="s">
        <v>46804</v>
      </c>
      <c r="C37217" s="5" t="str">
        <f>IFERROR(__xludf.DUMMYFUNCTION("GOOGLETRANSLATE(B37217,""en"",""es-ES"")"),"Un hombre se lava la mano.")</f>
        <v>Un hombre se lava la mano.</v>
      </c>
    </row>
    <row r="37218">
      <c r="A37218" s="4" t="s">
        <v>46799</v>
      </c>
      <c r="B37218" s="4" t="s">
        <v>46805</v>
      </c>
      <c r="C37218" s="5" t="str">
        <f>IFERROR(__xludf.DUMMYFUNCTION("GOOGLETRANSLATE(B37218,""en"",""es-ES"")"),"Una señora recoge una lente de contacto.")</f>
        <v>Una señora recoge una lente de contacto.</v>
      </c>
    </row>
    <row r="37219">
      <c r="A37219" s="4" t="s">
        <v>46799</v>
      </c>
      <c r="B37219" s="4" t="s">
        <v>46806</v>
      </c>
      <c r="C37219" s="5" t="str">
        <f>IFERROR(__xludf.DUMMYFUNCTION("GOOGLETRANSLATE(B37219,""en"",""es-ES"")"),"Un hombre escribe la letra L en un papel.")</f>
        <v>Un hombre escribe la letra L en un papel.</v>
      </c>
    </row>
    <row r="37220">
      <c r="A37220" s="4" t="s">
        <v>46799</v>
      </c>
      <c r="B37220" s="4" t="s">
        <v>46807</v>
      </c>
      <c r="C37220" s="5" t="str">
        <f>IFERROR(__xludf.DUMMYFUNCTION("GOOGLETRANSLATE(B37220,""en"",""es-ES"")"),"Una mano dobla una lente de contacto.")</f>
        <v>Una mano dobla una lente de contacto.</v>
      </c>
    </row>
    <row r="37221">
      <c r="A37221" s="4" t="s">
        <v>46799</v>
      </c>
      <c r="B37221" s="4" t="s">
        <v>46808</v>
      </c>
      <c r="C37221" s="5" t="str">
        <f>IFERROR(__xludf.DUMMYFUNCTION("GOOGLETRANSLATE(B37221,""en"",""es-ES"")"),"Un hombre pone una lente de contacto.")</f>
        <v>Un hombre pone una lente de contacto.</v>
      </c>
    </row>
    <row r="37222">
      <c r="A37222" s="4" t="s">
        <v>46799</v>
      </c>
      <c r="B37222" s="4" t="s">
        <v>46809</v>
      </c>
      <c r="C37222" s="5" t="str">
        <f>IFERROR(__xludf.DUMMYFUNCTION("GOOGLETRANSLATE(B37222,""en"",""es-ES"")"),"Una señora pone cada lente de contacto.")</f>
        <v>Una señora pone cada lente de contacto.</v>
      </c>
    </row>
    <row r="37223">
      <c r="A37223" s="4" t="s">
        <v>46799</v>
      </c>
      <c r="B37223" s="4" t="s">
        <v>46810</v>
      </c>
      <c r="C37223" s="5" t="str">
        <f>IFERROR(__xludf.DUMMYFUNCTION("GOOGLETRANSLATE(B37223,""en"",""es-ES"")"),"La dama sacude la mano del hombre.")</f>
        <v>La dama sacude la mano del hombre.</v>
      </c>
    </row>
    <row r="37224">
      <c r="A37224" s="4" t="s">
        <v>46799</v>
      </c>
      <c r="B37224" s="4" t="s">
        <v>21153</v>
      </c>
      <c r="C37224" s="5" t="str">
        <f>IFERROR(__xludf.DUMMYFUNCTION("GOOGLETRANSLATE(B37224,""en"",""es-ES"")"),"Se muestran los créditos del clip.")</f>
        <v>Se muestran los créditos del clip.</v>
      </c>
    </row>
    <row r="37225">
      <c r="A37225" s="4" t="s">
        <v>46811</v>
      </c>
      <c r="B37225" s="4" t="s">
        <v>46812</v>
      </c>
      <c r="C37225" s="5" t="str">
        <f>IFERROR(__xludf.DUMMYFUNCTION("GOOGLETRANSLATE(B37225,""en"",""es-ES"")"),"Se ve a un pequeño grupo de personas jugando un juego de lacrosse en un campo con un hombre caminando hacia ellos.")</f>
        <v>Se ve a un pequeño grupo de personas jugando un juego de lacrosse en un campo con un hombre caminando hacia ellos.</v>
      </c>
    </row>
    <row r="37226">
      <c r="A37226" s="4" t="s">
        <v>46811</v>
      </c>
      <c r="B37226" s="4" t="s">
        <v>46813</v>
      </c>
      <c r="C37226" s="5" t="str">
        <f>IFERROR(__xludf.DUMMYFUNCTION("GOOGLETRANSLATE(B37226,""en"",""es-ES"")"),"El hombre le grita a los jugadores mientras corren por el campo y continúa mirándolos mientras juegan.")</f>
        <v>El hombre le grita a los jugadores mientras corren por el campo y continúa mirándolos mientras juegan.</v>
      </c>
    </row>
    <row r="37227">
      <c r="A37227" s="4" t="s">
        <v>46814</v>
      </c>
      <c r="B37227" s="4" t="s">
        <v>46815</v>
      </c>
      <c r="C37227" s="5" t="str">
        <f>IFERROR(__xludf.DUMMYFUNCTION("GOOGLETRANSLATE(B37227,""en"",""es-ES"")"),"Se muestra una camioneta que remolcan un automóvil a la vista de los letreros de Blue Road y en letras blancas lee ""Walton"", ""Ontario's West Coast"" y ""Motorcross Town"".")</f>
        <v>Se muestra una camioneta que remolcan un automóvil a la vista de los letreros de Blue Road y en letras blancas lee "Walton", "Ontario's West Coast" y "Motorcross Town".</v>
      </c>
    </row>
    <row r="37228">
      <c r="A37228" s="4" t="s">
        <v>46814</v>
      </c>
      <c r="B37228" s="4" t="s">
        <v>46816</v>
      </c>
      <c r="C37228" s="5" t="str">
        <f>IFERROR(__xludf.DUMMYFUNCTION("GOOGLETRANSLATE(B37228,""en"",""es-ES"")"),"Ahora se muestra a mucha gente caminando o montando bicicletas en una gran reunión mientras otras personas pasan el rato debajo de las tiendas.")</f>
        <v>Ahora se muestra a mucha gente caminando o montando bicicletas en una gran reunión mientras otras personas pasan el rato debajo de las tiendas.</v>
      </c>
    </row>
    <row r="37229">
      <c r="A37229" s="4" t="s">
        <v>46814</v>
      </c>
      <c r="B37229" s="4" t="s">
        <v>46817</v>
      </c>
      <c r="C37229" s="5" t="str">
        <f>IFERROR(__xludf.DUMMYFUNCTION("GOOGLETRANSLATE(B37229,""en"",""es-ES"")"),"Un grupo de hombres se encuentra en una línea de salida de una gran pista cruzada de motor y comienzan a dar vueltas mientras la gente observa.")</f>
        <v>Un grupo de hombres se encuentra en una línea de salida de una gran pista cruzada de motor y comienzan a dar vueltas mientras la gente observa.</v>
      </c>
    </row>
    <row r="37230">
      <c r="A37230" s="4" t="s">
        <v>46814</v>
      </c>
      <c r="B37230" s="4" t="s">
        <v>46818</v>
      </c>
      <c r="C37230" s="5" t="str">
        <f>IFERROR(__xludf.DUMMYFUNCTION("GOOGLETRANSLATE(B37230,""en"",""es-ES"")"),"Cuando terminan de seguir la pista, se muestran nuevamente varios clips de personas que hacen cosas diferentes.")</f>
        <v>Cuando terminan de seguir la pista, se muestran nuevamente varios clips de personas que hacen cosas diferentes.</v>
      </c>
    </row>
    <row r="37231">
      <c r="A37231" s="4" t="s">
        <v>46819</v>
      </c>
      <c r="B37231" s="4" t="s">
        <v>46820</v>
      </c>
      <c r="C37231" s="5" t="str">
        <f>IFERROR(__xludf.DUMMYFUNCTION("GOOGLETRANSLATE(B37231,""en"",""es-ES"")"),"Las animadoras están paradas en una alfombra azul.")</f>
        <v>Las animadoras están paradas en una alfombra azul.</v>
      </c>
    </row>
    <row r="37232">
      <c r="A37232" s="4" t="s">
        <v>46819</v>
      </c>
      <c r="B37232" s="4" t="s">
        <v>46821</v>
      </c>
      <c r="C37232" s="5" t="str">
        <f>IFERROR(__xludf.DUMMYFUNCTION("GOOGLETRANSLATE(B37232,""en"",""es-ES"")"),"Comienzan a hacer una rutina en el tapete.")</f>
        <v>Comienzan a hacer una rutina en el tapete.</v>
      </c>
    </row>
    <row r="37233">
      <c r="A37233" s="4" t="s">
        <v>46819</v>
      </c>
      <c r="B37233" s="4" t="s">
        <v>46822</v>
      </c>
      <c r="C37233" s="5" t="str">
        <f>IFERROR(__xludf.DUMMYFUNCTION("GOOGLETRANSLATE(B37233,""en"",""es-ES"")"),"Sostienen letreros en el aire.")</f>
        <v>Sostienen letreros en el aire.</v>
      </c>
    </row>
    <row r="37234">
      <c r="A37234" s="4" t="s">
        <v>46819</v>
      </c>
      <c r="B37234" s="4" t="s">
        <v>46823</v>
      </c>
      <c r="C37234" s="5" t="str">
        <f>IFERROR(__xludf.DUMMYFUNCTION("GOOGLETRANSLATE(B37234,""en"",""es-ES"")"),"Terminan su rutina y saludan a la audiencia.")</f>
        <v>Terminan su rutina y saludan a la audiencia.</v>
      </c>
    </row>
    <row r="37235">
      <c r="A37235" s="4" t="s">
        <v>46824</v>
      </c>
      <c r="B37235" s="4" t="s">
        <v>46825</v>
      </c>
      <c r="C37235" s="5" t="str">
        <f>IFERROR(__xludf.DUMMYFUNCTION("GOOGLETRANSLATE(B37235,""en"",""es-ES"")"),"Una mujer sostiene el tobillo de un atleta mientras SH está en la viga.")</f>
        <v>Una mujer sostiene el tobillo de un atleta mientras SH está en la viga.</v>
      </c>
    </row>
    <row r="37236">
      <c r="A37236" s="4" t="s">
        <v>46824</v>
      </c>
      <c r="B37236" s="4" t="s">
        <v>46826</v>
      </c>
      <c r="C37236" s="5" t="str">
        <f>IFERROR(__xludf.DUMMYFUNCTION("GOOGLETRANSLATE(B37236,""en"",""es-ES"")"),"La mujer está haciendo que el atleta se acelere su tobillo y camine hacia la viga, guía al atleta mientras camina.")</f>
        <v>La mujer está haciendo que el atleta se acelere su tobillo y camine hacia la viga, guía al atleta mientras camina.</v>
      </c>
    </row>
    <row r="37237">
      <c r="A37237" s="4" t="s">
        <v>46824</v>
      </c>
      <c r="B37237" s="4" t="s">
        <v>46827</v>
      </c>
      <c r="C37237" s="5" t="str">
        <f>IFERROR(__xludf.DUMMYFUNCTION("GOOGLETRANSLATE(B37237,""en"",""es-ES"")"),"El atleta caminó hacia atrás con su tobillo, luego la mujer la guió mientras se da vuelta.")</f>
        <v>El atleta caminó hacia atrás con su tobillo, luego la mujer la guió mientras se da vuelta.</v>
      </c>
    </row>
    <row r="37238">
      <c r="A37238" s="4" t="s">
        <v>46828</v>
      </c>
      <c r="B37238" s="4" t="s">
        <v>46829</v>
      </c>
      <c r="C37238" s="5" t="str">
        <f>IFERROR(__xludf.DUMMYFUNCTION("GOOGLETRANSLATE(B37238,""en"",""es-ES"")"),"Un vientre en verde comienza su rutina, sonriendo para la audiencia.")</f>
        <v>Un vientre en verde comienza su rutina, sonriendo para la audiencia.</v>
      </c>
    </row>
    <row r="37239">
      <c r="A37239" s="4" t="s">
        <v>46828</v>
      </c>
      <c r="B37239" s="4" t="s">
        <v>46830</v>
      </c>
      <c r="C37239" s="5" t="str">
        <f>IFERROR(__xludf.DUMMYFUNCTION("GOOGLETRANSLATE(B37239,""en"",""es-ES"")"),"Se une dos bailarines más que están en rojo y cada uno hace sus propios movimientos antes de reunirse.")</f>
        <v>Se une dos bailarines más que están en rojo y cada uno hace sus propios movimientos antes de reunirse.</v>
      </c>
    </row>
    <row r="37240">
      <c r="A37240" s="4" t="s">
        <v>46828</v>
      </c>
      <c r="B37240" s="4" t="s">
        <v>46831</v>
      </c>
      <c r="C37240" s="5" t="str">
        <f>IFERROR(__xludf.DUMMYFUNCTION("GOOGLETRANSLATE(B37240,""en"",""es-ES"")"),"De nuevo se rompen para actuaciones en solitario, cada bailarín tiene un momento para presumir.")</f>
        <v>De nuevo se rompen para actuaciones en solitario, cada bailarín tiene un momento para presumir.</v>
      </c>
    </row>
    <row r="37241">
      <c r="A37241" s="4" t="s">
        <v>46828</v>
      </c>
      <c r="B37241" s="4" t="s">
        <v>46832</v>
      </c>
      <c r="C37241" s="5" t="str">
        <f>IFERROR(__xludf.DUMMYFUNCTION("GOOGLETRANSLATE(B37241,""en"",""es-ES"")"),"Regresan a bailar juntos y la actuación termina.")</f>
        <v>Regresan a bailar juntos y la actuación termina.</v>
      </c>
    </row>
    <row r="37242">
      <c r="A37242" s="4" t="s">
        <v>46833</v>
      </c>
      <c r="B37242" s="4" t="s">
        <v>46834</v>
      </c>
      <c r="C37242" s="5" t="str">
        <f>IFERROR(__xludf.DUMMYFUNCTION("GOOGLETRANSLATE(B37242,""en"",""es-ES"")"),"El video conduce a varias tomas de personas montando patinetas, así como a montar en un neumático y caminar uno al lado del otro.")</f>
        <v>El video conduce a varias tomas de personas montando patinetas, así como a montar en un neumático y caminar uno al lado del otro.</v>
      </c>
    </row>
    <row r="37243">
      <c r="A37243" s="4" t="s">
        <v>46833</v>
      </c>
      <c r="B37243" s="4" t="s">
        <v>46835</v>
      </c>
      <c r="C37243" s="5" t="str">
        <f>IFERROR(__xludf.DUMMYFUNCTION("GOOGLETRANSLATE(B37243,""en"",""es-ES"")"),"Se ven mirando y riendo a la cámara mientras se muestran más fotos de personas que viajan en patinetas.")</f>
        <v>Se ven mirando y riendo a la cámara mientras se muestran más fotos de personas que viajan en patinetas.</v>
      </c>
    </row>
    <row r="37244">
      <c r="A37244" s="4" t="s">
        <v>46836</v>
      </c>
      <c r="B37244" s="4" t="s">
        <v>46837</v>
      </c>
      <c r="C37244" s="5" t="str">
        <f>IFERROR(__xludf.DUMMYFUNCTION("GOOGLETRANSLATE(B37244,""en"",""es-ES"")"),"Tres personas hacen un simulacro de baloncesto de conducir al aro.")</f>
        <v>Tres personas hacen un simulacro de baloncesto de conducir al aro.</v>
      </c>
    </row>
    <row r="37245">
      <c r="A37245" s="4" t="s">
        <v>46836</v>
      </c>
      <c r="B37245" s="4" t="s">
        <v>46838</v>
      </c>
      <c r="C37245" s="5" t="str">
        <f>IFERROR(__xludf.DUMMYFUNCTION("GOOGLETRANSLATE(B37245,""en"",""es-ES"")"),"Se turnan para jugar diferentes posiciones y hacer una bandeja.")</f>
        <v>Se turnan para jugar diferentes posiciones y hacer una bandeja.</v>
      </c>
    </row>
    <row r="37246">
      <c r="A37246" s="4" t="s">
        <v>46839</v>
      </c>
      <c r="B37246" s="4" t="s">
        <v>46840</v>
      </c>
      <c r="C37246" s="5" t="str">
        <f>IFERROR(__xludf.DUMMYFUNCTION("GOOGLETRANSLATE(B37246,""en"",""es-ES"")"),"Se ve a un joven mirando a lo lejos con loción en su rostro.")</f>
        <v>Se ve a un joven mirando a lo lejos con loción en su rostro.</v>
      </c>
    </row>
    <row r="37247">
      <c r="A37247" s="4" t="s">
        <v>46839</v>
      </c>
      <c r="B37247" s="4" t="s">
        <v>46841</v>
      </c>
      <c r="C37247" s="5" t="str">
        <f>IFERROR(__xludf.DUMMYFUNCTION("GOOGLETRANSLATE(B37247,""en"",""es-ES"")"),"Continúa frotando la loción mientras mira hacia otro lado de la cámara.")</f>
        <v>Continúa frotando la loción mientras mira hacia otro lado de la cámara.</v>
      </c>
    </row>
    <row r="37248">
      <c r="A37248" s="4" t="s">
        <v>46839</v>
      </c>
      <c r="B37248" s="4" t="s">
        <v>46842</v>
      </c>
      <c r="C37248" s="5" t="str">
        <f>IFERROR(__xludf.DUMMYFUNCTION("GOOGLETRANSLATE(B37248,""en"",""es-ES"")"),"Termina de poner el protector solar y mirando hacia la cámara.")</f>
        <v>Termina de poner el protector solar y mirando hacia la cámara.</v>
      </c>
    </row>
    <row r="37249">
      <c r="A37249" s="4" t="s">
        <v>46843</v>
      </c>
      <c r="B37249" s="4" t="s">
        <v>46844</v>
      </c>
      <c r="C37249" s="5" t="str">
        <f>IFERROR(__xludf.DUMMYFUNCTION("GOOGLETRANSLATE(B37249,""en"",""es-ES"")"),"Se ve a varios hombres parados alrededor de una cancha interior pateando una pelota.")</f>
        <v>Se ve a varios hombres parados alrededor de una cancha interior pateando una pelota.</v>
      </c>
    </row>
    <row r="37250">
      <c r="A37250" s="4" t="s">
        <v>46843</v>
      </c>
      <c r="B37250" s="4" t="s">
        <v>46845</v>
      </c>
      <c r="C37250" s="5" t="str">
        <f>IFERROR(__xludf.DUMMYFUNCTION("GOOGLETRANSLATE(B37250,""en"",""es-ES"")"),"La gente mira el juego al margen mientras los jugadores continúan corriendo por el campo.")</f>
        <v>La gente mira el juego al margen mientras los jugadores continúan corriendo por el campo.</v>
      </c>
    </row>
    <row r="37251">
      <c r="A37251" s="4" t="s">
        <v>46843</v>
      </c>
      <c r="B37251" s="4" t="s">
        <v>46846</v>
      </c>
      <c r="C37251" s="5" t="str">
        <f>IFERROR(__xludf.DUMMYFUNCTION("GOOGLETRANSLATE(B37251,""en"",""es-ES"")"),"Se muestran diferentes juegos en el medio y el grupo continúa jugando.")</f>
        <v>Se muestran diferentes juegos en el medio y el grupo continúa jugando.</v>
      </c>
    </row>
    <row r="37252">
      <c r="A37252" s="4" t="s">
        <v>46847</v>
      </c>
      <c r="B37252" s="4" t="s">
        <v>46848</v>
      </c>
      <c r="C37252" s="5" t="str">
        <f>IFERROR(__xludf.DUMMYFUNCTION("GOOGLETRANSLATE(B37252,""en"",""es-ES"")"),"Hay dos techadores de pie en la parte superior de un techo de edificio que se quita el trabajo en la extracción de techo antiguo.")</f>
        <v>Hay dos techadores de pie en la parte superior de un techo de edificio que se quita el trabajo en la extracción de techo antiguo.</v>
      </c>
    </row>
    <row r="37253">
      <c r="A37253" s="4" t="s">
        <v>46847</v>
      </c>
      <c r="B37253" s="4" t="s">
        <v>46849</v>
      </c>
      <c r="C37253" s="5" t="str">
        <f>IFERROR(__xludf.DUMMYFUNCTION("GOOGLETRANSLATE(B37253,""en"",""es-ES"")"),"Están utilizando la pala para techos para eliminar las tejas y la lona.")</f>
        <v>Están utilizando la pala para techos para eliminar las tejas y la lona.</v>
      </c>
    </row>
    <row r="37254">
      <c r="A37254" s="4" t="s">
        <v>46847</v>
      </c>
      <c r="B37254" s="4" t="s">
        <v>46850</v>
      </c>
      <c r="C37254" s="5" t="str">
        <f>IFERROR(__xludf.DUMMYFUNCTION("GOOGLETRANSLATE(B37254,""en"",""es-ES"")"),"Uno de los techadores está despegando la lona de la azotea mientras cava en la pala debajo de la lona.")</f>
        <v>Uno de los techadores está despegando la lona de la azotea mientras cava en la pala debajo de la lona.</v>
      </c>
    </row>
    <row r="37255">
      <c r="A37255" s="4" t="s">
        <v>46847</v>
      </c>
      <c r="B37255" s="4" t="s">
        <v>46851</v>
      </c>
      <c r="C37255" s="5" t="str">
        <f>IFERROR(__xludf.DUMMYFUNCTION("GOOGLETRANSLATE(B37255,""en"",""es-ES"")"),"El otro techador lo está ayudando a enrollar la lona mientras la despega.")</f>
        <v>El otro techador lo está ayudando a enrollar la lona mientras la despega.</v>
      </c>
    </row>
    <row r="37256">
      <c r="A37256" s="4" t="s">
        <v>46852</v>
      </c>
      <c r="B37256" s="4" t="s">
        <v>46853</v>
      </c>
      <c r="C37256" s="5" t="str">
        <f>IFERROR(__xludf.DUMMYFUNCTION("GOOGLETRANSLATE(B37256,""en"",""es-ES"")"),"Una cámara saca un fregadero lleno de platos seguido de una mujer que trota.")</f>
        <v>Una cámara saca un fregadero lleno de platos seguido de una mujer que trota.</v>
      </c>
    </row>
    <row r="37257">
      <c r="A37257" s="4" t="s">
        <v>46852</v>
      </c>
      <c r="B37257" s="4" t="s">
        <v>46854</v>
      </c>
      <c r="C37257" s="5" t="str">
        <f>IFERROR(__xludf.DUMMYFUNCTION("GOOGLETRANSLATE(B37257,""en"",""es-ES"")"),"Ella baila con los platos y mira a la cámara mientras los hace.")</f>
        <v>Ella baila con los platos y mira a la cámara mientras los hace.</v>
      </c>
    </row>
    <row r="37258">
      <c r="A37258" s="4" t="s">
        <v>46852</v>
      </c>
      <c r="B37258" s="4" t="s">
        <v>46855</v>
      </c>
      <c r="C37258" s="5" t="str">
        <f>IFERROR(__xludf.DUMMYFUNCTION("GOOGLETRANSLATE(B37258,""en"",""es-ES"")"),"Un temporizador cuenta la cantidad de platos que ha lavado y sonríe a la cámara.")</f>
        <v>Un temporizador cuenta la cantidad de platos que ha lavado y sonríe a la cámara.</v>
      </c>
    </row>
    <row r="37259">
      <c r="A37259" s="4" t="s">
        <v>46856</v>
      </c>
      <c r="B37259" s="4" t="s">
        <v>46857</v>
      </c>
      <c r="C37259" s="5" t="str">
        <f>IFERROR(__xludf.DUMMYFUNCTION("GOOGLETRANSLATE(B37259,""en"",""es-ES"")"),"Un hombre habla en el bosque sosteniendo una lata y una cadena clave.")</f>
        <v>Un hombre habla en el bosque sosteniendo una lata y una cadena clave.</v>
      </c>
    </row>
    <row r="37260">
      <c r="A37260" s="4" t="s">
        <v>46856</v>
      </c>
      <c r="B37260" s="4" t="s">
        <v>46858</v>
      </c>
      <c r="C37260" s="5" t="str">
        <f>IFERROR(__xludf.DUMMYFUNCTION("GOOGLETRANSLATE(B37260,""en"",""es-ES"")"),"Luego, el hombre toma la cadena clave y señala la parte inferior de la lata.")</f>
        <v>Luego, el hombre toma la cadena clave y señala la parte inferior de la lata.</v>
      </c>
    </row>
    <row r="37261">
      <c r="A37261" s="4" t="s">
        <v>46856</v>
      </c>
      <c r="B37261" s="4" t="s">
        <v>46859</v>
      </c>
      <c r="C37261" s="5" t="str">
        <f>IFERROR(__xludf.DUMMYFUNCTION("GOOGLETRANSLATE(B37261,""en"",""es-ES"")"),"Después, el hombre abarca la parte inferior de la lata e abre intermedia la lata y las bebidas del agujero de la lata.")</f>
        <v>Después, el hombre abarca la parte inferior de la lata e abre intermedia la lata y las bebidas del agujero de la lata.</v>
      </c>
    </row>
    <row r="37262">
      <c r="A37262" s="4" t="s">
        <v>46860</v>
      </c>
      <c r="B37262" s="4" t="s">
        <v>46861</v>
      </c>
      <c r="C37262" s="5" t="str">
        <f>IFERROR(__xludf.DUMMYFUNCTION("GOOGLETRANSLATE(B37262,""en"",""es-ES"")"),"Una lista de ingredientes se muestra en una lista.")</f>
        <v>Una lista de ingredientes se muestra en una lista.</v>
      </c>
    </row>
    <row r="37263">
      <c r="A37263" s="4" t="s">
        <v>46860</v>
      </c>
      <c r="B37263" s="4" t="s">
        <v>46862</v>
      </c>
      <c r="C37263" s="5" t="str">
        <f>IFERROR(__xludf.DUMMYFUNCTION("GOOGLETRANSLATE(B37263,""en"",""es-ES"")"),"Los tazones de vidrio se colocan en un mostrador con varios ingredientes para un plato.")</f>
        <v>Los tazones de vidrio se colocan en un mostrador con varios ingredientes para un plato.</v>
      </c>
    </row>
    <row r="37264">
      <c r="A37264" s="4" t="s">
        <v>46860</v>
      </c>
      <c r="B37264" s="4" t="s">
        <v>46863</v>
      </c>
      <c r="C37264" s="5" t="str">
        <f>IFERROR(__xludf.DUMMYFUNCTION("GOOGLETRANSLATE(B37264,""en"",""es-ES"")"),"Una persona mide y corta papel pergamino usando una lata de cocción como guía.")</f>
        <v>Una persona mide y corta papel pergamino usando una lata de cocción como guía.</v>
      </c>
    </row>
    <row r="37265">
      <c r="A37265" s="4" t="s">
        <v>46860</v>
      </c>
      <c r="B37265" s="4" t="s">
        <v>46864</v>
      </c>
      <c r="C37265" s="5" t="str">
        <f>IFERROR(__xludf.DUMMYFUNCTION("GOOGLETRANSLATE(B37265,""en"",""es-ES"")"),"La persona mide los ingredientes en un tazón de vidrio y luego los agrega a una batidora eléctrica para mezclar.")</f>
        <v>La persona mide los ingredientes en un tazón de vidrio y luego los agrega a una batidora eléctrica para mezclar.</v>
      </c>
    </row>
    <row r="37266">
      <c r="A37266" s="4" t="s">
        <v>46860</v>
      </c>
      <c r="B37266" s="4" t="s">
        <v>46865</v>
      </c>
      <c r="C37266" s="5" t="str">
        <f>IFERROR(__xludf.DUMMYFUNCTION("GOOGLETRANSLATE(B37266,""en"",""es-ES"")"),"La persona cepilla el aceite al papel pergamino y luego lo coloca en una lata de cocina.")</f>
        <v>La persona cepilla el aceite al papel pergamino y luego lo coloca en una lata de cocina.</v>
      </c>
    </row>
    <row r="37267">
      <c r="A37267" s="4" t="s">
        <v>46860</v>
      </c>
      <c r="B37267" s="4" t="s">
        <v>46866</v>
      </c>
      <c r="C37267" s="5" t="str">
        <f>IFERROR(__xludf.DUMMYFUNCTION("GOOGLETRANSLATE(B37267,""en"",""es-ES"")"),"Las latas se agregan a un horno para cocinar.")</f>
        <v>Las latas se agregan a un horno para cocinar.</v>
      </c>
    </row>
    <row r="37268">
      <c r="A37268" s="4" t="s">
        <v>46860</v>
      </c>
      <c r="B37268" s="4" t="s">
        <v>46867</v>
      </c>
      <c r="C37268" s="5" t="str">
        <f>IFERROR(__xludf.DUMMYFUNCTION("GOOGLETRANSLATE(B37268,""en"",""es-ES"")"),"Las latas se muestran completamente cocidas y luego se voltean para vaciar el pastel en la mesa.")</f>
        <v>Las latas se muestran completamente cocidas y luego se voltean para vaciar el pastel en la mesa.</v>
      </c>
    </row>
    <row r="37269">
      <c r="A37269" s="4" t="s">
        <v>46860</v>
      </c>
      <c r="B37269" s="4" t="s">
        <v>46868</v>
      </c>
      <c r="C37269" s="5" t="str">
        <f>IFERROR(__xludf.DUMMYFUNCTION("GOOGLETRANSLATE(B37269,""en"",""es-ES"")"),"El papel pergamino se despega del pastel.")</f>
        <v>El papel pergamino se despega del pastel.</v>
      </c>
    </row>
    <row r="37270">
      <c r="A37270" s="4" t="s">
        <v>46860</v>
      </c>
      <c r="B37270" s="4" t="s">
        <v>46869</v>
      </c>
      <c r="C37270" s="5" t="str">
        <f>IFERROR(__xludf.DUMMYFUNCTION("GOOGLETRANSLATE(B37270,""en"",""es-ES"")"),"El pastel se corta en panes con un cuchillo dentado.")</f>
        <v>El pastel se corta en panes con un cuchillo dentado.</v>
      </c>
    </row>
    <row r="37271">
      <c r="A37271" s="4" t="s">
        <v>46860</v>
      </c>
      <c r="B37271" s="4" t="s">
        <v>46870</v>
      </c>
      <c r="C37271" s="5" t="str">
        <f>IFERROR(__xludf.DUMMYFUNCTION("GOOGLETRANSLATE(B37271,""en"",""es-ES"")"),"El pastel se ve en platos para servir.")</f>
        <v>El pastel se ve en platos para servir.</v>
      </c>
    </row>
    <row r="37272">
      <c r="A37272" s="4" t="s">
        <v>46871</v>
      </c>
      <c r="B37272" s="4" t="s">
        <v>46872</v>
      </c>
      <c r="C37272" s="5" t="str">
        <f>IFERROR(__xludf.DUMMYFUNCTION("GOOGLETRANSLATE(B37272,""en"",""es-ES"")"),"Una mujer está ayudando a un niño pequeño deslizarse por un tobogán.")</f>
        <v>Una mujer está ayudando a un niño pequeño deslizarse por un tobogán.</v>
      </c>
    </row>
    <row r="37273">
      <c r="A37273" s="4" t="s">
        <v>46871</v>
      </c>
      <c r="B37273" s="4" t="s">
        <v>46873</v>
      </c>
      <c r="C37273" s="5" t="str">
        <f>IFERROR(__xludf.DUMMYFUNCTION("GOOGLETRANSLATE(B37273,""en"",""es-ES"")"),"Una mujer está en la parte superior de un tobogán que ayuda a un niño pequeño deslizarse en los brazos de otra persona en un chaleco rojo.")</f>
        <v>Una mujer está en la parte superior de un tobogán que ayuda a un niño pequeño deslizarse en los brazos de otra persona en un chaleco rojo.</v>
      </c>
    </row>
    <row r="37274">
      <c r="A37274" s="4" t="s">
        <v>46871</v>
      </c>
      <c r="B37274" s="4" t="s">
        <v>46874</v>
      </c>
      <c r="C37274" s="5" t="str">
        <f>IFERROR(__xludf.DUMMYFUNCTION("GOOGLETRANSLATE(B37274,""en"",""es-ES"")"),"Una mujer está ayudando al niño a bajar un tobogán y la misma persona en el chaleco rojo los atrapa.")</f>
        <v>Una mujer está ayudando al niño a bajar un tobogán y la misma persona en el chaleco rojo los atrapa.</v>
      </c>
    </row>
    <row r="37275">
      <c r="A37275" s="4" t="s">
        <v>46871</v>
      </c>
      <c r="B37275" s="4" t="s">
        <v>46875</v>
      </c>
      <c r="C37275" s="5" t="str">
        <f>IFERROR(__xludf.DUMMYFUNCTION("GOOGLETRANSLATE(B37275,""en"",""es-ES"")"),"La persona en el chaleco rojo besó al niño.")</f>
        <v>La persona en el chaleco rojo besó al niño.</v>
      </c>
    </row>
    <row r="37276">
      <c r="A37276" s="4" t="s">
        <v>46876</v>
      </c>
      <c r="B37276" s="4" t="s">
        <v>21138</v>
      </c>
      <c r="C37276" s="5" t="str">
        <f>IFERROR(__xludf.DUMMYFUNCTION("GOOGLETRANSLATE(B37276,""en"",""es-ES"")"),"Las bailarinas están bailando en un escenario.")</f>
        <v>Las bailarinas están bailando en un escenario.</v>
      </c>
    </row>
    <row r="37277">
      <c r="A37277" s="4" t="s">
        <v>46876</v>
      </c>
      <c r="B37277" s="4" t="s">
        <v>46877</v>
      </c>
      <c r="C37277" s="5" t="str">
        <f>IFERROR(__xludf.DUMMYFUNCTION("GOOGLETRANSLATE(B37277,""en"",""es-ES"")"),"Todos suben al escenario y posan al final.")</f>
        <v>Todos suben al escenario y posan al final.</v>
      </c>
    </row>
    <row r="37278">
      <c r="A37278" s="4" t="s">
        <v>46876</v>
      </c>
      <c r="B37278" s="4" t="s">
        <v>46878</v>
      </c>
      <c r="C37278" s="5" t="str">
        <f>IFERROR(__xludf.DUMMYFUNCTION("GOOGLETRANSLATE(B37278,""en"",""es-ES"")"),"Se inclinan y salen del escenario.")</f>
        <v>Se inclinan y salen del escenario.</v>
      </c>
    </row>
    <row r="37279">
      <c r="A37279" s="4" t="s">
        <v>46879</v>
      </c>
      <c r="B37279" s="4" t="s">
        <v>46880</v>
      </c>
      <c r="C37279" s="5" t="str">
        <f>IFERROR(__xludf.DUMMYFUNCTION("GOOGLETRANSLATE(B37279,""en"",""es-ES"")"),"Se muestra a una persona limpiando el exterior de un automóvil.")</f>
        <v>Se muestra a una persona limpiando el exterior de un automóvil.</v>
      </c>
    </row>
    <row r="37280">
      <c r="A37280" s="4" t="s">
        <v>46879</v>
      </c>
      <c r="B37280" s="4" t="s">
        <v>46881</v>
      </c>
      <c r="C37280" s="5" t="str">
        <f>IFERROR(__xludf.DUMMYFUNCTION("GOOGLETRANSLATE(B37280,""en"",""es-ES"")"),"El auto se conduce dentro de una tienda.")</f>
        <v>El auto se conduce dentro de una tienda.</v>
      </c>
    </row>
    <row r="37281">
      <c r="A37281" s="4" t="s">
        <v>46879</v>
      </c>
      <c r="B37281" s="4" t="s">
        <v>46882</v>
      </c>
      <c r="C37281" s="5" t="str">
        <f>IFERROR(__xludf.DUMMYFUNCTION("GOOGLETRANSLATE(B37281,""en"",""es-ES"")"),"Dentro de un hombre comienza a detallar el auto una vez más y limpiando el exterior.")</f>
        <v>Dentro de un hombre comienza a detallar el auto una vez más y limpiando el exterior.</v>
      </c>
    </row>
    <row r="37282">
      <c r="A37282" s="4" t="s">
        <v>46879</v>
      </c>
      <c r="B37282" s="4" t="s">
        <v>46883</v>
      </c>
      <c r="C37282" s="5" t="str">
        <f>IFERROR(__xludf.DUMMYFUNCTION("GOOGLETRANSLATE(B37282,""en"",""es-ES"")"),"Él pinta las partes del auto.")</f>
        <v>Él pinta las partes del auto.</v>
      </c>
    </row>
    <row r="37283">
      <c r="A37283" s="4" t="s">
        <v>46879</v>
      </c>
      <c r="B37283" s="4" t="s">
        <v>46884</v>
      </c>
      <c r="C37283" s="5" t="str">
        <f>IFERROR(__xludf.DUMMYFUNCTION("GOOGLETRANSLATE(B37283,""en"",""es-ES"")"),"Rocía limpiador en el interior y fuera del automóvil.")</f>
        <v>Rocía limpiador en el interior y fuera del automóvil.</v>
      </c>
    </row>
    <row r="37284">
      <c r="A37284" s="4" t="s">
        <v>46879</v>
      </c>
      <c r="B37284" s="4" t="s">
        <v>46885</v>
      </c>
      <c r="C37284" s="5" t="str">
        <f>IFERROR(__xludf.DUMMYFUNCTION("GOOGLETRANSLATE(B37284,""en"",""es-ES"")"),"Él limpia todas las superficies desde adentro y fuera del auto.")</f>
        <v>Él limpia todas las superficies desde adentro y fuera del auto.</v>
      </c>
    </row>
    <row r="37285">
      <c r="A37285" s="4" t="s">
        <v>46886</v>
      </c>
      <c r="B37285" s="4" t="s">
        <v>46887</v>
      </c>
      <c r="C37285" s="5" t="str">
        <f>IFERROR(__xludf.DUMMYFUNCTION("GOOGLETRANSLATE(B37285,""en"",""es-ES"")"),"Dos hombres juegan una mesa de fútbol moviendo a los jugadores en las barras.")</f>
        <v>Dos hombres juegan una mesa de fútbol moviendo a los jugadores en las barras.</v>
      </c>
    </row>
    <row r="37286">
      <c r="A37286" s="4" t="s">
        <v>46886</v>
      </c>
      <c r="B37286" s="4" t="s">
        <v>46888</v>
      </c>
      <c r="C37286" s="5" t="str">
        <f>IFERROR(__xludf.DUMMYFUNCTION("GOOGLETRANSLATE(B37286,""en"",""es-ES"")"),"Un hombre con camisa amarilla acaricia la varilla para golpear la bola blanca.")</f>
        <v>Un hombre con camisa amarilla acaricia la varilla para golpear la bola blanca.</v>
      </c>
    </row>
    <row r="37287">
      <c r="A37287" s="4" t="s">
        <v>46886</v>
      </c>
      <c r="B37287" s="4" t="s">
        <v>46889</v>
      </c>
      <c r="C37287" s="5" t="str">
        <f>IFERROR(__xludf.DUMMYFUNCTION("GOOGLETRANSLATE(B37287,""en"",""es-ES"")"),"Una persona se encuentra al frente de la mesa de fútbol.")</f>
        <v>Una persona se encuentra al frente de la mesa de fútbol.</v>
      </c>
    </row>
    <row r="37288">
      <c r="A37288" s="4" t="s">
        <v>46890</v>
      </c>
      <c r="B37288" s="4" t="s">
        <v>46891</v>
      </c>
      <c r="C37288" s="5" t="str">
        <f>IFERROR(__xludf.DUMMYFUNCTION("GOOGLETRANSLATE(B37288,""en"",""es-ES"")"),"Se muestra una mano volteando un interruptor.")</f>
        <v>Se muestra una mano volteando un interruptor.</v>
      </c>
    </row>
    <row r="37289">
      <c r="A37289" s="4" t="s">
        <v>46890</v>
      </c>
      <c r="B37289" s="4" t="s">
        <v>46892</v>
      </c>
      <c r="C37289" s="5" t="str">
        <f>IFERROR(__xludf.DUMMYFUNCTION("GOOGLETRANSLATE(B37289,""en"",""es-ES"")"),"Se muestra la manguera de un soplador de hoja.")</f>
        <v>Se muestra la manguera de un soplador de hoja.</v>
      </c>
    </row>
    <row r="37290">
      <c r="A37290" s="4" t="s">
        <v>46890</v>
      </c>
      <c r="B37290" s="4" t="s">
        <v>46893</v>
      </c>
      <c r="C37290" s="5" t="str">
        <f>IFERROR(__xludf.DUMMYFUNCTION("GOOGLETRANSLATE(B37290,""en"",""es-ES"")"),"La manguera comienza a soplar con fuerza las hojas de la cámara.")</f>
        <v>La manguera comienza a soplar con fuerza las hojas de la cámara.</v>
      </c>
    </row>
    <row r="37291">
      <c r="A37291" s="4" t="s">
        <v>46890</v>
      </c>
      <c r="B37291" s="4" t="s">
        <v>46894</v>
      </c>
      <c r="C37291" s="5" t="str">
        <f>IFERROR(__xludf.DUMMYFUNCTION("GOOGLETRANSLATE(B37291,""en"",""es-ES"")"),"La persona que sostiene el soplador de la hoja balancea repetidamente la manguera que dejó el anillo que sopla hojas en una pila.")</f>
        <v>La persona que sostiene el soplador de la hoja balancea repetidamente la manguera que dejó el anillo que sopla hojas en una pila.</v>
      </c>
    </row>
    <row r="37292">
      <c r="A37292" s="4" t="s">
        <v>46895</v>
      </c>
      <c r="B37292" s="4" t="s">
        <v>46896</v>
      </c>
      <c r="C37292" s="5" t="str">
        <f>IFERROR(__xludf.DUMMYFUNCTION("GOOGLETRANSLATE(B37292,""en"",""es-ES"")"),"Se está reproduciendo un video de seguridad residencial y muestra un patio y una carretera vacíos.")</f>
        <v>Se está reproduciendo un video de seguridad residencial y muestra un patio y una carretera vacíos.</v>
      </c>
    </row>
    <row r="37293">
      <c r="A37293" s="4" t="s">
        <v>46895</v>
      </c>
      <c r="B37293" s="4" t="s">
        <v>46897</v>
      </c>
      <c r="C37293" s="5" t="str">
        <f>IFERROR(__xludf.DUMMYFUNCTION("GOOGLETRANSLATE(B37293,""en"",""es-ES"")"),"Un hombre que camina dos perros aparece caminando a un lado más cerca de la cámara, y rápidamente nota a otro perro del otro lado del camino de repente que se acerca, así que intenta apretar a sus perros con correa para obtener el control de ellos, pero e"&amp;"l Otro perro comienza a correr hacia ellos y comienza a atacar a los perros del hombre.")</f>
        <v>Un hombre que camina dos perros aparece caminando a un lado más cerca de la cámara, y rápidamente nota a otro perro del otro lado del camino de repente que se acerca, así que intenta apretar a sus perros con correa para obtener el control de ellos, pero el Otro perro comienza a correr hacia ellos y comienza a atacar a los perros del hombre.</v>
      </c>
    </row>
    <row r="37294">
      <c r="A37294" s="4" t="s">
        <v>46895</v>
      </c>
      <c r="B37294" s="4" t="s">
        <v>46898</v>
      </c>
      <c r="C37294" s="5" t="str">
        <f>IFERROR(__xludf.DUMMYFUNCTION("GOOGLETRANSLATE(B37294,""en"",""es-ES"")"),"El hombre patea al perro de ataque y trata de recuperar el control de sus dos perros, mientras que el hombre y el otro perro están al otro lado del camino.")</f>
        <v>El hombre patea al perro de ataque y trata de recuperar el control de sus dos perros, mientras que el hombre y el otro perro están al otro lado del camino.</v>
      </c>
    </row>
    <row r="37295">
      <c r="A37295" s="4" t="s">
        <v>46895</v>
      </c>
      <c r="B37295" s="4" t="s">
        <v>46899</v>
      </c>
      <c r="C37295" s="5" t="str">
        <f>IFERROR(__xludf.DUMMYFUNCTION("GOOGLETRANSLATE(B37295,""en"",""es-ES"")"),"El hombre recoge a uno de sus perros y reanudan caminar.")</f>
        <v>El hombre recoge a uno de sus perros y reanudan caminar.</v>
      </c>
    </row>
    <row r="37296">
      <c r="A37296" s="4" t="s">
        <v>46900</v>
      </c>
      <c r="B37296" s="4" t="s">
        <v>46901</v>
      </c>
      <c r="C37296" s="5" t="str">
        <f>IFERROR(__xludf.DUMMYFUNCTION("GOOGLETRANSLATE(B37296,""en"",""es-ES"")"),"Vemos a un hombre y un niño jugando deslizando una cosa de plástico alrededor de la mesa.")</f>
        <v>Vemos a un hombre y un niño jugando deslizando una cosa de plástico alrededor de la mesa.</v>
      </c>
    </row>
    <row r="37297">
      <c r="A37297" s="4" t="s">
        <v>46900</v>
      </c>
      <c r="B37297" s="4" t="s">
        <v>46902</v>
      </c>
      <c r="C37297" s="5" t="str">
        <f>IFERROR(__xludf.DUMMYFUNCTION("GOOGLETRANSLATE(B37297,""en"",""es-ES"")"),"La cámara cambia y vemos más de la habitación.")</f>
        <v>La cámara cambia y vemos más de la habitación.</v>
      </c>
    </row>
    <row r="37298">
      <c r="A37298" s="4" t="s">
        <v>46900</v>
      </c>
      <c r="B37298" s="4" t="s">
        <v>46903</v>
      </c>
      <c r="C37298" s="5" t="str">
        <f>IFERROR(__xludf.DUMMYFUNCTION("GOOGLETRANSLATE(B37298,""en"",""es-ES"")"),"El ángulo de la cámara cambia y los vemos jugar por detrás.")</f>
        <v>El ángulo de la cámara cambia y los vemos jugar por detrás.</v>
      </c>
    </row>
    <row r="37299">
      <c r="A37299" s="4" t="s">
        <v>46900</v>
      </c>
      <c r="B37299" s="4" t="s">
        <v>46904</v>
      </c>
      <c r="C37299" s="5" t="str">
        <f>IFERROR(__xludf.DUMMYFUNCTION("GOOGLETRANSLATE(B37299,""en"",""es-ES"")"),"Una mano de las personas a la izquierda entra en la pantalla.")</f>
        <v>Una mano de las personas a la izquierda entra en la pantalla.</v>
      </c>
    </row>
    <row r="37300">
      <c r="A37300" s="4" t="s">
        <v>46900</v>
      </c>
      <c r="B37300" s="4" t="s">
        <v>46905</v>
      </c>
      <c r="C37300" s="5" t="str">
        <f>IFERROR(__xludf.DUMMYFUNCTION("GOOGLETRANSLATE(B37300,""en"",""es-ES"")"),"El ángulo de la cámara cambia nuevamente y estamos frente a los jugadores.")</f>
        <v>El ángulo de la cámara cambia nuevamente y estamos frente a los jugadores.</v>
      </c>
    </row>
    <row r="37301">
      <c r="A37301" s="4" t="s">
        <v>46900</v>
      </c>
      <c r="B37301" s="4" t="s">
        <v>46906</v>
      </c>
      <c r="C37301" s="5" t="str">
        <f>IFERROR(__xludf.DUMMYFUNCTION("GOOGLETRANSLATE(B37301,""en"",""es-ES"")"),"Vemos a un niño en un suéter moviendo una silla para sentarse y unirse al juego.")</f>
        <v>Vemos a un niño en un suéter moviendo una silla para sentarse y unirse al juego.</v>
      </c>
    </row>
    <row r="37302">
      <c r="A37302" s="4" t="s">
        <v>46907</v>
      </c>
      <c r="B37302" s="4" t="s">
        <v>46908</v>
      </c>
      <c r="C37302" s="5" t="str">
        <f>IFERROR(__xludf.DUMMYFUNCTION("GOOGLETRANSLATE(B37302,""en"",""es-ES"")"),"Se ve a un niño pequeño sonriendo a la cámara y luego comienza a bailar.")</f>
        <v>Se ve a un niño pequeño sonriendo a la cámara y luego comienza a bailar.</v>
      </c>
    </row>
    <row r="37303">
      <c r="A37303" s="4" t="s">
        <v>46907</v>
      </c>
      <c r="B37303" s="4" t="s">
        <v>46909</v>
      </c>
      <c r="C37303" s="5" t="str">
        <f>IFERROR(__xludf.DUMMYFUNCTION("GOOGLETRANSLATE(B37303,""en"",""es-ES"")"),"El niño continúa bailando mientras la cámara lo captura moviéndose hacia arriba y hacia abajo.")</f>
        <v>El niño continúa bailando mientras la cámara lo captura moviéndose hacia arriba y hacia abajo.</v>
      </c>
    </row>
    <row r="37304">
      <c r="A37304" s="4" t="s">
        <v>46910</v>
      </c>
      <c r="B37304" s="4" t="s">
        <v>46911</v>
      </c>
      <c r="C37304" s="5" t="str">
        <f>IFERROR(__xludf.DUMMYFUNCTION("GOOGLETRANSLATE(B37304,""en"",""es-ES"")"),"Una niña sostiene un compacto, limpiando la almohadilla de maquillaje contra su mejilla.")</f>
        <v>Una niña sostiene un compacto, limpiando la almohadilla de maquillaje contra su mejilla.</v>
      </c>
    </row>
    <row r="37305">
      <c r="A37305" s="4" t="s">
        <v>46910</v>
      </c>
      <c r="B37305" s="4" t="s">
        <v>46912</v>
      </c>
      <c r="C37305" s="5" t="str">
        <f>IFERROR(__xludf.DUMMYFUNCTION("GOOGLETRANSLATE(B37305,""en"",""es-ES"")"),"Ella se sienta en el piso, continúa jugando con el maquillaje, abriendo y cerrando la caja, y limpiándolo en su rostro.")</f>
        <v>Ella se sienta en el piso, continúa jugando con el maquillaje, abriendo y cerrando la caja, y limpiándolo en su rostro.</v>
      </c>
    </row>
    <row r="37306">
      <c r="A37306" s="4" t="s">
        <v>46913</v>
      </c>
      <c r="B37306" s="4" t="s">
        <v>46914</v>
      </c>
      <c r="C37306" s="5" t="str">
        <f>IFERROR(__xludf.DUMMYFUNCTION("GOOGLETRANSLATE(B37306,""en"",""es-ES"")"),"Tres hombres caminan con los zancos.")</f>
        <v>Tres hombres caminan con los zancos.</v>
      </c>
    </row>
    <row r="37307">
      <c r="A37307" s="4" t="s">
        <v>46913</v>
      </c>
      <c r="B37307" s="4" t="s">
        <v>46915</v>
      </c>
      <c r="C37307" s="5" t="str">
        <f>IFERROR(__xludf.DUMMYFUNCTION("GOOGLETRANSLATE(B37307,""en"",""es-ES"")"),"Uno de los hombres con pilotes se divide en el centro.")</f>
        <v>Uno de los hombres con pilotes se divide en el centro.</v>
      </c>
    </row>
    <row r="37308">
      <c r="A37308" s="4" t="s">
        <v>46913</v>
      </c>
      <c r="B37308" s="4" t="s">
        <v>46916</v>
      </c>
      <c r="C37308" s="5" t="str">
        <f>IFERROR(__xludf.DUMMYFUNCTION("GOOGLETRANSLATE(B37308,""en"",""es-ES"")"),"Uno de los hombres saltó tan alto varias veces con sus pilotes.")</f>
        <v>Uno de los hombres saltó tan alto varias veces con sus pilotes.</v>
      </c>
    </row>
    <row r="37309">
      <c r="A37309" s="4" t="s">
        <v>46917</v>
      </c>
      <c r="B37309" s="4" t="s">
        <v>46918</v>
      </c>
      <c r="C37309" s="5" t="str">
        <f>IFERROR(__xludf.DUMMYFUNCTION("GOOGLETRANSLATE(B37309,""en"",""es-ES"")"),"Una gimnasta está esperando pacientemente para comenzar su actuación.")</f>
        <v>Una gimnasta está esperando pacientemente para comenzar su actuación.</v>
      </c>
    </row>
    <row r="37310">
      <c r="A37310" s="4" t="s">
        <v>46917</v>
      </c>
      <c r="B37310" s="4" t="s">
        <v>46919</v>
      </c>
      <c r="C37310" s="5" t="str">
        <f>IFERROR(__xludf.DUMMYFUNCTION("GOOGLETRANSLATE(B37310,""en"",""es-ES"")"),"Salta al tablero y comienza a girar muy rápido antes de saltar y camina.")</f>
        <v>Salta al tablero y comienza a girar muy rápido antes de saltar y camina.</v>
      </c>
    </row>
    <row r="37311">
      <c r="A37311" s="4" t="s">
        <v>46917</v>
      </c>
      <c r="B37311" s="4" t="s">
        <v>46920</v>
      </c>
      <c r="C37311" s="5" t="str">
        <f>IFERROR(__xludf.DUMMYFUNCTION("GOOGLETRANSLATE(B37311,""en"",""es-ES"")"),"Respira y la audiencia aplaude antes de saltar sobre él y comienza a girar nuevamente.")</f>
        <v>Respira y la audiencia aplaude antes de saltar sobre él y comienza a girar nuevamente.</v>
      </c>
    </row>
    <row r="37312">
      <c r="A37312" s="4" t="s">
        <v>46917</v>
      </c>
      <c r="B37312" s="4" t="s">
        <v>46921</v>
      </c>
      <c r="C37312" s="5" t="str">
        <f>IFERROR(__xludf.DUMMYFUNCTION("GOOGLETRANSLATE(B37312,""en"",""es-ES"")"),"Cuando termina, camina y se da la mano con todos los compañeros de equipo, antes de que se ponga por última vez.")</f>
        <v>Cuando termina, camina y se da la mano con todos los compañeros de equipo, antes de que se ponga por última vez.</v>
      </c>
    </row>
    <row r="37313">
      <c r="A37313" s="4" t="s">
        <v>46922</v>
      </c>
      <c r="B37313" s="4" t="s">
        <v>46923</v>
      </c>
      <c r="C37313" s="5" t="str">
        <f>IFERROR(__xludf.DUMMYFUNCTION("GOOGLETRANSLATE(B37313,""en"",""es-ES"")"),"Un hombre con una camisa azul se mueve para tomar su tiro.")</f>
        <v>Un hombre con una camisa azul se mueve para tomar su tiro.</v>
      </c>
    </row>
    <row r="37314">
      <c r="A37314" s="4" t="s">
        <v>46922</v>
      </c>
      <c r="B37314" s="4" t="s">
        <v>46924</v>
      </c>
      <c r="C37314" s="5" t="str">
        <f>IFERROR(__xludf.DUMMYFUNCTION("GOOGLETRANSLATE(B37314,""en"",""es-ES"")"),"Luego habla con los otros hombres.")</f>
        <v>Luego habla con los otros hombres.</v>
      </c>
    </row>
    <row r="37315">
      <c r="A37315" s="4" t="s">
        <v>46922</v>
      </c>
      <c r="B37315" s="4" t="s">
        <v>46925</v>
      </c>
      <c r="C37315" s="5" t="str">
        <f>IFERROR(__xludf.DUMMYFUNCTION("GOOGLETRANSLATE(B37315,""en"",""es-ES"")"),"El hombre de negro se mueve del tiro.")</f>
        <v>El hombre de negro se mueve del tiro.</v>
      </c>
    </row>
    <row r="37316">
      <c r="A37316" s="4" t="s">
        <v>46922</v>
      </c>
      <c r="B37316" s="4" t="s">
        <v>46926</v>
      </c>
      <c r="C37316" s="5" t="str">
        <f>IFERROR(__xludf.DUMMYFUNCTION("GOOGLETRANSLATE(B37316,""en"",""es-ES"")"),"El hombre de negro y azul arroja sus manos en el aire.")</f>
        <v>El hombre de negro y azul arroja sus manos en el aire.</v>
      </c>
    </row>
    <row r="37317">
      <c r="A37317" s="4" t="s">
        <v>46922</v>
      </c>
      <c r="B37317" s="4" t="s">
        <v>46927</v>
      </c>
      <c r="C37317" s="5" t="str">
        <f>IFERROR(__xludf.DUMMYFUNCTION("GOOGLETRANSLATE(B37317,""en"",""es-ES"")"),"Todos los hombres estallan y reaccionan salvajemente al último disparo.")</f>
        <v>Todos los hombres estallan y reaccionan salvajemente al último disparo.</v>
      </c>
    </row>
    <row r="37318">
      <c r="A37318" s="4" t="s">
        <v>46928</v>
      </c>
      <c r="B37318" s="4" t="s">
        <v>4423</v>
      </c>
      <c r="C37318" s="5" t="str">
        <f>IFERROR(__xludf.DUMMYFUNCTION("GOOGLETRANSLATE(B37318,""en"",""es-ES"")"),"La gente está haciendo snowboard cuesta abajo por una colina de nieve.")</f>
        <v>La gente está haciendo snowboard cuesta abajo por una colina de nieve.</v>
      </c>
    </row>
    <row r="37319">
      <c r="A37319" s="4" t="s">
        <v>46928</v>
      </c>
      <c r="B37319" s="4" t="s">
        <v>46929</v>
      </c>
      <c r="C37319" s="5" t="str">
        <f>IFERROR(__xludf.DUMMYFUNCTION("GOOGLETRANSLATE(B37319,""en"",""es-ES"")"),"Están sentados tomando café.")</f>
        <v>Están sentados tomando café.</v>
      </c>
    </row>
    <row r="37320">
      <c r="A37320" s="4" t="s">
        <v>46928</v>
      </c>
      <c r="B37320" s="4" t="s">
        <v>46930</v>
      </c>
      <c r="C37320" s="5" t="str">
        <f>IFERROR(__xludf.DUMMYFUNCTION("GOOGLETRANSLATE(B37320,""en"",""es-ES"")"),"Están de pie junto a un cuerpo de agua.")</f>
        <v>Están de pie junto a un cuerpo de agua.</v>
      </c>
    </row>
    <row r="37321">
      <c r="A37321" s="4" t="s">
        <v>46928</v>
      </c>
      <c r="B37321" s="4" t="s">
        <v>46931</v>
      </c>
      <c r="C37321" s="5" t="str">
        <f>IFERROR(__xludf.DUMMYFUNCTION("GOOGLETRANSLATE(B37321,""en"",""es-ES"")"),"Están haciendo snowboard cuesta abajo nuevamente.")</f>
        <v>Están haciendo snowboard cuesta abajo nuevamente.</v>
      </c>
    </row>
    <row r="37322">
      <c r="A37322" s="4" t="s">
        <v>46928</v>
      </c>
      <c r="B37322" s="4" t="s">
        <v>46932</v>
      </c>
      <c r="C37322" s="5" t="str">
        <f>IFERROR(__xludf.DUMMYFUNCTION("GOOGLETRANSLATE(B37322,""en"",""es-ES"")"),"Una niña está acostada durmiendo.")</f>
        <v>Una niña está acostada durmiendo.</v>
      </c>
    </row>
    <row r="37323">
      <c r="A37323" s="4" t="s">
        <v>46928</v>
      </c>
      <c r="B37323" s="4" t="s">
        <v>46933</v>
      </c>
      <c r="C37323" s="5" t="str">
        <f>IFERROR(__xludf.DUMMYFUNCTION("GOOGLETRANSLATE(B37323,""en"",""es-ES"")"),"Están cenando alrededor de una mesa.")</f>
        <v>Están cenando alrededor de una mesa.</v>
      </c>
    </row>
    <row r="37324">
      <c r="A37324" s="4" t="s">
        <v>46928</v>
      </c>
      <c r="B37324" s="4" t="s">
        <v>46934</v>
      </c>
      <c r="C37324" s="5" t="str">
        <f>IFERROR(__xludf.DUMMYFUNCTION("GOOGLETRANSLATE(B37324,""en"",""es-ES"")"),"Dejan sus tablas de snowboard y entran a una cabaña.")</f>
        <v>Dejan sus tablas de snowboard y entran a una cabaña.</v>
      </c>
    </row>
    <row r="37325">
      <c r="A37325" s="4" t="s">
        <v>46935</v>
      </c>
      <c r="B37325" s="4" t="s">
        <v>46936</v>
      </c>
      <c r="C37325" s="5" t="str">
        <f>IFERROR(__xludf.DUMMYFUNCTION("GOOGLETRANSLATE(B37325,""en"",""es-ES"")"),"Una mujer está parada frente a un árbol de Navidad, aplicando una corona.")</f>
        <v>Una mujer está parada frente a un árbol de Navidad, aplicando una corona.</v>
      </c>
    </row>
    <row r="37326">
      <c r="A37326" s="4" t="s">
        <v>46935</v>
      </c>
      <c r="B37326" s="4" t="s">
        <v>46937</v>
      </c>
      <c r="C37326" s="5" t="str">
        <f>IFERROR(__xludf.DUMMYFUNCTION("GOOGLETRANSLATE(B37326,""en"",""es-ES"")"),"Luego cuelga luces y adornos.")</f>
        <v>Luego cuelga luces y adornos.</v>
      </c>
    </row>
    <row r="37327">
      <c r="A37327" s="4" t="s">
        <v>46935</v>
      </c>
      <c r="B37327" s="4" t="s">
        <v>46938</v>
      </c>
      <c r="C37327" s="5" t="str">
        <f>IFERROR(__xludf.DUMMYFUNCTION("GOOGLETRANSLATE(B37327,""en"",""es-ES"")"),"Al final, ajusta los adornos y agrega una estrella a la parte superior del árbol.")</f>
        <v>Al final, ajusta los adornos y agrega una estrella a la parte superior del árbol.</v>
      </c>
    </row>
    <row r="37328">
      <c r="A37328" s="4" t="s">
        <v>46939</v>
      </c>
      <c r="B37328" s="4" t="s">
        <v>46940</v>
      </c>
      <c r="C37328" s="5" t="str">
        <f>IFERROR(__xludf.DUMMYFUNCTION("GOOGLETRANSLATE(B37328,""en"",""es-ES"")"),"Un hombre está sentado en la roca, luego la gente está subiendo las grandes rocas sin arnés.")</f>
        <v>Un hombre está sentado en la roca, luego la gente está subiendo las grandes rocas sin arnés.</v>
      </c>
    </row>
    <row r="37329">
      <c r="A37329" s="4" t="s">
        <v>46939</v>
      </c>
      <c r="B37329" s="4" t="s">
        <v>46941</v>
      </c>
      <c r="C37329" s="5" t="str">
        <f>IFERROR(__xludf.DUMMYFUNCTION("GOOGLETRANSLATE(B37329,""en"",""es-ES"")"),"La gente camina en una cuerda unida a dos árboles.")</f>
        <v>La gente camina en una cuerda unida a dos árboles.</v>
      </c>
    </row>
    <row r="37330">
      <c r="A37330" s="4" t="s">
        <v>46942</v>
      </c>
      <c r="B37330" s="4" t="s">
        <v>46943</v>
      </c>
      <c r="C37330" s="5" t="str">
        <f>IFERROR(__xludf.DUMMYFUNCTION("GOOGLETRANSLATE(B37330,""en"",""es-ES"")"),"El texto aparece en la pantalla con respecto al café que posiblemente sea malo para su salud.")</f>
        <v>El texto aparece en la pantalla con respecto al café que posiblemente sea malo para su salud.</v>
      </c>
    </row>
    <row r="37331">
      <c r="A37331" s="4" t="s">
        <v>46942</v>
      </c>
      <c r="B37331" s="4" t="s">
        <v>46944</v>
      </c>
      <c r="C37331" s="5" t="str">
        <f>IFERROR(__xludf.DUMMYFUNCTION("GOOGLETRANSLATE(B37331,""en"",""es-ES"")"),"Luego se menciona con texto en la pantalla que puede conducir a la presión arterial alta, luego se menciona que puede dañar el crecimiento de su cabello y que no tiene ningún nutriente vital.")</f>
        <v>Luego se menciona con texto en la pantalla que puede conducir a la presión arterial alta, luego se menciona que puede dañar el crecimiento de su cabello y que no tiene ningún nutriente vital.</v>
      </c>
    </row>
    <row r="37332">
      <c r="A37332" s="4" t="s">
        <v>46942</v>
      </c>
      <c r="B37332" s="4" t="s">
        <v>46945</v>
      </c>
      <c r="C37332" s="5" t="str">
        <f>IFERROR(__xludf.DUMMYFUNCTION("GOOGLETRANSLATE(B37332,""en"",""es-ES"")"),"Luego se muestra que hay beneficios y que uno debe moderar su ingesta para mantener un equilibrio.")</f>
        <v>Luego se muestra que hay beneficios y que uno debe moderar su ingesta para mantener un equilibrio.</v>
      </c>
    </row>
    <row r="37333">
      <c r="A37333" s="4" t="s">
        <v>46942</v>
      </c>
      <c r="B37333" s="4" t="s">
        <v>46946</v>
      </c>
      <c r="C37333" s="5" t="str">
        <f>IFERROR(__xludf.DUMMYFUNCTION("GOOGLETRANSLATE(B37333,""en"",""es-ES"")"),"Luego se muestra un sitio web para obtener más información sobre este tema.")</f>
        <v>Luego se muestra un sitio web para obtener más información sobre este tema.</v>
      </c>
    </row>
    <row r="37334">
      <c r="A37334" s="4" t="s">
        <v>46947</v>
      </c>
      <c r="B37334" s="4" t="s">
        <v>46948</v>
      </c>
      <c r="C37334" s="5" t="str">
        <f>IFERROR(__xludf.DUMMYFUNCTION("GOOGLETRANSLATE(B37334,""en"",""es-ES"")"),"Varios niños pequeños están en un gimnasio jugando Dodge Wall con bolas rojas de tamaño mediano.")</f>
        <v>Varios niños pequeños están en un gimnasio jugando Dodge Wall con bolas rojas de tamaño mediano.</v>
      </c>
    </row>
    <row r="37335">
      <c r="A37335" s="4" t="s">
        <v>46947</v>
      </c>
      <c r="B37335" s="4" t="s">
        <v>46949</v>
      </c>
      <c r="C37335" s="5" t="str">
        <f>IFERROR(__xludf.DUMMYFUNCTION("GOOGLETRANSLATE(B37335,""en"",""es-ES"")"),"Mientras arrojan las bolas, una niña intenta unirse a la acción y comienza a seguirlas y correr de un lado de la cancha al otro para perseguir las bolas.")</f>
        <v>Mientras arrojan las bolas, una niña intenta unirse a la acción y comienza a seguirlas y correr de un lado de la cancha al otro para perseguir las bolas.</v>
      </c>
    </row>
    <row r="37336">
      <c r="A37336" s="4" t="s">
        <v>46950</v>
      </c>
      <c r="B37336" s="4" t="s">
        <v>46951</v>
      </c>
      <c r="C37336" s="5" t="str">
        <f>IFERROR(__xludf.DUMMYFUNCTION("GOOGLETRANSLATE(B37336,""en"",""es-ES"")"),"Una mujer está acostada, mostrando un tatuaje de lado.")</f>
        <v>Una mujer está acostada, mostrando un tatuaje de lado.</v>
      </c>
    </row>
    <row r="37337">
      <c r="A37337" s="4" t="s">
        <v>46950</v>
      </c>
      <c r="B37337" s="4" t="s">
        <v>46952</v>
      </c>
      <c r="C37337" s="5" t="str">
        <f>IFERROR(__xludf.DUMMYFUNCTION("GOOGLETRANSLATE(B37337,""en"",""es-ES"")"),"Un hombre en una máscara quirúrgica la está preparando mientras continúa su trabajo en el tatuaje.")</f>
        <v>Un hombre en una máscara quirúrgica la está preparando mientras continúa su trabajo en el tatuaje.</v>
      </c>
    </row>
    <row r="37338">
      <c r="A37338" s="4" t="s">
        <v>46950</v>
      </c>
      <c r="B37338" s="4" t="s">
        <v>46953</v>
      </c>
      <c r="C37338" s="5" t="str">
        <f>IFERROR(__xludf.DUMMYFUNCTION("GOOGLETRANSLATE(B37338,""en"",""es-ES"")"),"Él limpia y limpia el tatuaje.")</f>
        <v>Él limpia y limpia el tatuaje.</v>
      </c>
    </row>
    <row r="37339">
      <c r="A37339" s="4" t="s">
        <v>46950</v>
      </c>
      <c r="B37339" s="4" t="s">
        <v>46954</v>
      </c>
      <c r="C37339" s="5" t="str">
        <f>IFERROR(__xludf.DUMMYFUNCTION("GOOGLETRANSLATE(B37339,""en"",""es-ES"")"),"Ella ha terminado, mostrando el producto final.")</f>
        <v>Ella ha terminado, mostrando el producto final.</v>
      </c>
    </row>
    <row r="37340">
      <c r="A37340" s="4" t="s">
        <v>46955</v>
      </c>
      <c r="B37340" s="4" t="s">
        <v>46956</v>
      </c>
      <c r="C37340" s="5" t="str">
        <f>IFERROR(__xludf.DUMMYFUNCTION("GOOGLETRANSLATE(B37340,""en"",""es-ES"")"),"Un hombre sostiene a otro hombre sobre sus hombros en un anillo de lucha libre mientras la multitud anima y mira.")</f>
        <v>Un hombre sostiene a otro hombre sobre sus hombros en un anillo de lucha libre mientras la multitud anima y mira.</v>
      </c>
    </row>
    <row r="37341">
      <c r="A37341" s="4" t="s">
        <v>46955</v>
      </c>
      <c r="B37341" s="4" t="s">
        <v>46957</v>
      </c>
      <c r="C37341" s="5" t="str">
        <f>IFERROR(__xludf.DUMMYFUNCTION("GOOGLETRANSLATE(B37341,""en"",""es-ES"")"),"El hombre arroja al hombre sobre su hombro al suelo.")</f>
        <v>El hombre arroja al hombre sobre su hombro al suelo.</v>
      </c>
    </row>
    <row r="37342">
      <c r="A37342" s="4" t="s">
        <v>46955</v>
      </c>
      <c r="B37342" s="4" t="s">
        <v>46958</v>
      </c>
      <c r="C37342" s="5" t="str">
        <f>IFERROR(__xludf.DUMMYFUNCTION("GOOGLETRANSLATE(B37342,""en"",""es-ES"")"),"Ambos hombres yacían en el suelo en el anillo.")</f>
        <v>Ambos hombres yacían en el suelo en el anillo.</v>
      </c>
    </row>
    <row r="37343">
      <c r="A37343" s="4" t="s">
        <v>46959</v>
      </c>
      <c r="B37343" s="4" t="s">
        <v>46960</v>
      </c>
      <c r="C37343" s="5" t="str">
        <f>IFERROR(__xludf.DUMMYFUNCTION("GOOGLETRANSLATE(B37343,""en"",""es-ES"")"),"Los equipos están jugando a Fusal en una pequeña cancha corriendo de lado a lado de la cancha.")</f>
        <v>Los equipos están jugando a Fusal en una pequeña cancha corriendo de lado a lado de la cancha.</v>
      </c>
    </row>
    <row r="37344">
      <c r="A37344" s="4" t="s">
        <v>46959</v>
      </c>
      <c r="B37344" s="4" t="s">
        <v>46961</v>
      </c>
      <c r="C37344" s="5" t="str">
        <f>IFERROR(__xludf.DUMMYFUNCTION("GOOGLETRANSLATE(B37344,""en"",""es-ES"")"),"Mucha gente celebra el Vicory y los abrazos.")</f>
        <v>Mucha gente celebra el Vicory y los abrazos.</v>
      </c>
    </row>
    <row r="37345">
      <c r="A37345" s="4" t="s">
        <v>46962</v>
      </c>
      <c r="B37345" s="4" t="s">
        <v>46963</v>
      </c>
      <c r="C37345" s="5" t="str">
        <f>IFERROR(__xludf.DUMMYFUNCTION("GOOGLETRANSLATE(B37345,""en"",""es-ES"")"),"Se ve a una persona caminando en el marco con un bar en sus manos.")</f>
        <v>Se ve a una persona caminando en el marco con un bar en sus manos.</v>
      </c>
    </row>
    <row r="37346">
      <c r="A37346" s="4" t="s">
        <v>46962</v>
      </c>
      <c r="B37346" s="4" t="s">
        <v>46964</v>
      </c>
      <c r="C37346" s="5" t="str">
        <f>IFERROR(__xludf.DUMMYFUNCTION("GOOGLETRANSLATE(B37346,""en"",""es-ES"")"),"Ella baja el listón y comienza a hacer ejercicio de manera húmera mientras habla con la audiencia.")</f>
        <v>Ella baja el listón y comienza a hacer ejercicio de manera húmera mientras habla con la audiencia.</v>
      </c>
    </row>
    <row r="37347">
      <c r="A37347" s="4" t="s">
        <v>46962</v>
      </c>
      <c r="B37347" s="4" t="s">
        <v>46965</v>
      </c>
      <c r="C37347" s="5" t="str">
        <f>IFERROR(__xludf.DUMMYFUNCTION("GOOGLETRANSLATE(B37347,""en"",""es-ES"")"),"El público se ríe de sus movimientos mientras continúa moviéndose y bailando por el escenario.")</f>
        <v>El público se ríe de sus movimientos mientras continúa moviéndose y bailando por el escenario.</v>
      </c>
    </row>
    <row r="37348">
      <c r="A37348" s="4" t="s">
        <v>46966</v>
      </c>
      <c r="B37348" s="4" t="s">
        <v>46967</v>
      </c>
      <c r="C37348" s="5" t="str">
        <f>IFERROR(__xludf.DUMMYFUNCTION("GOOGLETRANSLATE(B37348,""en"",""es-ES"")"),"Se ve a un hombre calvo hablando con la cámara mientras otro hombre se encuentra por encima de él y le corta el cabello.")</f>
        <v>Se ve a un hombre calvo hablando con la cámara mientras otro hombre se encuentra por encima de él y le corta el cabello.</v>
      </c>
    </row>
    <row r="37349">
      <c r="A37349" s="4" t="s">
        <v>46966</v>
      </c>
      <c r="B37349" s="4" t="s">
        <v>46968</v>
      </c>
      <c r="C37349" s="5" t="str">
        <f>IFERROR(__xludf.DUMMYFUNCTION("GOOGLETRANSLATE(B37349,""en"",""es-ES"")"),"El hombre sentado se frota la mano y sostiene su rostro en sus manos.")</f>
        <v>El hombre sentado se frota la mano y sostiene su rostro en sus manos.</v>
      </c>
    </row>
    <row r="37350">
      <c r="A37350" s="4" t="s">
        <v>46969</v>
      </c>
      <c r="B37350" s="4" t="s">
        <v>46970</v>
      </c>
      <c r="C37350" s="5" t="str">
        <f>IFERROR(__xludf.DUMMYFUNCTION("GOOGLETRANSLATE(B37350,""en"",""es-ES"")"),"Se ve a una persona sentada detrás de una mesa con una sosteniendo un trozo de papel a su alrededor.")</f>
        <v>Se ve a una persona sentada detrás de una mesa con una sosteniendo un trozo de papel a su alrededor.</v>
      </c>
    </row>
    <row r="37351">
      <c r="A37351" s="4" t="s">
        <v>46969</v>
      </c>
      <c r="B37351" s="4" t="s">
        <v>46971</v>
      </c>
      <c r="C37351" s="5" t="str">
        <f>IFERROR(__xludf.DUMMYFUNCTION("GOOGLETRANSLATE(B37351,""en"",""es-ES"")"),"Luego, el hombre intenta resolver un cubo de Rubix mientras un temporizador atrapa su puntaje.")</f>
        <v>Luego, el hombre intenta resolver un cubo de Rubix mientras un temporizador atrapa su puntaje.</v>
      </c>
    </row>
    <row r="37352">
      <c r="A37352" s="4" t="s">
        <v>46969</v>
      </c>
      <c r="B37352" s="4" t="s">
        <v>46972</v>
      </c>
      <c r="C37352" s="5" t="str">
        <f>IFERROR(__xludf.DUMMYFUNCTION("GOOGLETRANSLATE(B37352,""en"",""es-ES"")"),"El hombre escribe su puntaje y el hombre intenta resolver el cubo varias veces más, mientras que el niño ayuda.")</f>
        <v>El hombre escribe su puntaje y el hombre intenta resolver el cubo varias veces más, mientras que el niño ayuda.</v>
      </c>
    </row>
    <row r="37353">
      <c r="A37353" s="4" t="s">
        <v>46973</v>
      </c>
      <c r="B37353" s="4" t="s">
        <v>46974</v>
      </c>
      <c r="C37353" s="5" t="str">
        <f>IFERROR(__xludf.DUMMYFUNCTION("GOOGLETRANSLATE(B37353,""en"",""es-ES"")"),"Un hombre que habla sobre cómo agudizará los cuchillos hoy.")</f>
        <v>Un hombre que habla sobre cómo agudizará los cuchillos hoy.</v>
      </c>
    </row>
    <row r="37354">
      <c r="A37354" s="4" t="s">
        <v>46973</v>
      </c>
      <c r="B37354" s="4" t="s">
        <v>46975</v>
      </c>
      <c r="C37354" s="5" t="str">
        <f>IFERROR(__xludf.DUMMYFUNCTION("GOOGLETRANSLATE(B37354,""en"",""es-ES"")"),"Muestra la herramienta que usará que se llame Chefs Choice.")</f>
        <v>Muestra la herramienta que usará que se llame Chefs Choice.</v>
      </c>
    </row>
    <row r="37355">
      <c r="A37355" s="4" t="s">
        <v>46973</v>
      </c>
      <c r="B37355" s="4" t="s">
        <v>46976</v>
      </c>
      <c r="C37355" s="5" t="str">
        <f>IFERROR(__xludf.DUMMYFUNCTION("GOOGLETRANSLATE(B37355,""en"",""es-ES"")"),"Él muestra cómo usarlo y cómo puedes usarlo con cualquier mano.")</f>
        <v>Él muestra cómo usarlo y cómo puedes usarlo con cualquier mano.</v>
      </c>
    </row>
    <row r="37356">
      <c r="A37356" s="4" t="s">
        <v>46973</v>
      </c>
      <c r="B37356" s="4" t="s">
        <v>46977</v>
      </c>
      <c r="C37356" s="5" t="str">
        <f>IFERROR(__xludf.DUMMYFUNCTION("GOOGLETRANSLATE(B37356,""en"",""es-ES"")"),"Luego comienza a afilar uno de sus cuchillos.")</f>
        <v>Luego comienza a afilar uno de sus cuchillos.</v>
      </c>
    </row>
    <row r="37357">
      <c r="A37357" s="4" t="s">
        <v>46973</v>
      </c>
      <c r="B37357" s="4" t="s">
        <v>46978</v>
      </c>
      <c r="C37357" s="5" t="str">
        <f>IFERROR(__xludf.DUMMYFUNCTION("GOOGLETRANSLATE(B37357,""en"",""es-ES"")"),"Después de que termine de agudizarlo, demuestra con un tomate lo útil que es.")</f>
        <v>Después de que termine de agudizarlo, demuestra con un tomate lo útil que es.</v>
      </c>
    </row>
    <row r="37358">
      <c r="A37358" s="4" t="s">
        <v>46979</v>
      </c>
      <c r="B37358" s="4" t="s">
        <v>46980</v>
      </c>
      <c r="C37358" s="5" t="str">
        <f>IFERROR(__xludf.DUMMYFUNCTION("GOOGLETRANSLATE(B37358,""en"",""es-ES"")"),"Un trabajador médico está sentado en una mesa con una mujer y hablando con la cámara.")</f>
        <v>Un trabajador médico está sentado en una mesa con una mujer y hablando con la cámara.</v>
      </c>
    </row>
    <row r="37359">
      <c r="A37359" s="4" t="s">
        <v>46979</v>
      </c>
      <c r="B37359" s="4" t="s">
        <v>46981</v>
      </c>
      <c r="C37359" s="5" t="str">
        <f>IFERROR(__xludf.DUMMYFUNCTION("GOOGLETRANSLATE(B37359,""en"",""es-ES"")"),"Se mueve una lata y toca otras dos latas.")</f>
        <v>Se mueve una lata y toca otras dos latas.</v>
      </c>
    </row>
    <row r="37360">
      <c r="A37360" s="4" t="s">
        <v>46979</v>
      </c>
      <c r="B37360" s="4" t="s">
        <v>46982</v>
      </c>
      <c r="C37360" s="5" t="str">
        <f>IFERROR(__xludf.DUMMYFUNCTION("GOOGLETRANSLATE(B37360,""en"",""es-ES"")"),"Él recoge una lata y la rocía en el brazo de la mujer y la frota.")</f>
        <v>Él recoge una lata y la rocía en el brazo de la mujer y la frota.</v>
      </c>
    </row>
    <row r="37361">
      <c r="A37361" s="4" t="s">
        <v>46979</v>
      </c>
      <c r="B37361" s="4" t="s">
        <v>46983</v>
      </c>
      <c r="C37361" s="5" t="str">
        <f>IFERROR(__xludf.DUMMYFUNCTION("GOOGLETRANSLATE(B37361,""en"",""es-ES"")"),"Él recoge otra lata y habla de eso, luego rocía su brazo nuevamente y frota la crema.")</f>
        <v>Él recoge otra lata y habla de eso, luego rocía su brazo nuevamente y frota la crema.</v>
      </c>
    </row>
    <row r="37362">
      <c r="A37362" s="4" t="s">
        <v>46979</v>
      </c>
      <c r="B37362" s="4" t="s">
        <v>46984</v>
      </c>
      <c r="C37362" s="5" t="str">
        <f>IFERROR(__xludf.DUMMYFUNCTION("GOOGLETRANSLATE(B37362,""en"",""es-ES"")"),"Él recoge un tercer contenedor y lo pone en su brazo y lo frota también.")</f>
        <v>Él recoge un tercer contenedor y lo pone en su brazo y lo frota también.</v>
      </c>
    </row>
    <row r="37363">
      <c r="A37363" s="4" t="s">
        <v>46979</v>
      </c>
      <c r="B37363" s="4" t="s">
        <v>46985</v>
      </c>
      <c r="C37363" s="5" t="str">
        <f>IFERROR(__xludf.DUMMYFUNCTION("GOOGLETRANSLATE(B37363,""en"",""es-ES"")"),"Él toma un cuarto tubo y pone la crema en su mano y la frota.")</f>
        <v>Él toma un cuarto tubo y pone la crema en su mano y la frota.</v>
      </c>
    </row>
    <row r="37364">
      <c r="A37364" s="4" t="s">
        <v>46979</v>
      </c>
      <c r="B37364" s="4" t="s">
        <v>46986</v>
      </c>
      <c r="C37364" s="5" t="str">
        <f>IFERROR(__xludf.DUMMYFUNCTION("GOOGLETRANSLATE(B37364,""en"",""es-ES"")"),"Hace esto nuevamente con una quinta crema.")</f>
        <v>Hace esto nuevamente con una quinta crema.</v>
      </c>
    </row>
    <row r="37365">
      <c r="A37365" s="4" t="s">
        <v>46979</v>
      </c>
      <c r="B37365" s="4" t="s">
        <v>46987</v>
      </c>
      <c r="C37365" s="5" t="str">
        <f>IFERROR(__xludf.DUMMYFUNCTION("GOOGLETRANSLATE(B37365,""en"",""es-ES"")"),"Luego toma un compacto de polvo marrón, lo presenta a la cámara y lo vuelve a colocar.")</f>
        <v>Luego toma un compacto de polvo marrón, lo presenta a la cámara y lo vuelve a colocar.</v>
      </c>
    </row>
    <row r="37366">
      <c r="A37366" s="4" t="s">
        <v>46988</v>
      </c>
      <c r="B37366" s="4" t="s">
        <v>46989</v>
      </c>
      <c r="C37366" s="5" t="str">
        <f>IFERROR(__xludf.DUMMYFUNCTION("GOOGLETRANSLATE(B37366,""en"",""es-ES"")"),"Una niña está soplando hojas en el otoño fuera de una casa.")</f>
        <v>Una niña está soplando hojas en el otoño fuera de una casa.</v>
      </c>
    </row>
    <row r="37367">
      <c r="A37367" s="4" t="s">
        <v>46988</v>
      </c>
      <c r="B37367" s="4" t="s">
        <v>46990</v>
      </c>
      <c r="C37367" s="5" t="str">
        <f>IFERROR(__xludf.DUMMYFUNCTION("GOOGLETRANSLATE(B37367,""en"",""es-ES"")"),"Se detiene por un momento para comprender mejor el soplador de la hoja.")</f>
        <v>Se detiene por un momento para comprender mejor el soplador de la hoja.</v>
      </c>
    </row>
    <row r="37368">
      <c r="A37368" s="4" t="s">
        <v>46988</v>
      </c>
      <c r="B37368" s="4" t="s">
        <v>46991</v>
      </c>
      <c r="C37368" s="5" t="str">
        <f>IFERROR(__xludf.DUMMYFUNCTION("GOOGLETRANSLATE(B37368,""en"",""es-ES"")"),"Ella camina por un niño pequeño y continúa soplando las hojas.")</f>
        <v>Ella camina por un niño pequeño y continúa soplando las hojas.</v>
      </c>
    </row>
    <row r="37369">
      <c r="A37369" s="4" t="s">
        <v>46992</v>
      </c>
      <c r="B37369" s="4" t="s">
        <v>46993</v>
      </c>
      <c r="C37369" s="5" t="str">
        <f>IFERROR(__xludf.DUMMYFUNCTION("GOOGLETRANSLATE(B37369,""en"",""es-ES"")"),"Se ve a un hombre con cola de caballo caminando por una cuerda con otro hombre mirándolo y sonriendo en el fondo.")</f>
        <v>Se ve a un hombre con cola de caballo caminando por una cuerda con otro hombre mirándolo y sonriendo en el fondo.</v>
      </c>
    </row>
    <row r="37370">
      <c r="A37370" s="4" t="s">
        <v>46992</v>
      </c>
      <c r="B37370" s="4" t="s">
        <v>46994</v>
      </c>
      <c r="C37370" s="5" t="str">
        <f>IFERROR(__xludf.DUMMYFUNCTION("GOOGLETRANSLATE(B37370,""en"",""es-ES"")"),"El hombre se da vuelta, pierde el equilibrio y cae de la cuerda.")</f>
        <v>El hombre se da vuelta, pierde el equilibrio y cae de la cuerda.</v>
      </c>
    </row>
    <row r="37371">
      <c r="A37371" s="4" t="s">
        <v>46992</v>
      </c>
      <c r="B37371" s="4" t="s">
        <v>46995</v>
      </c>
      <c r="C37371" s="5" t="str">
        <f>IFERROR(__xludf.DUMMYFUNCTION("GOOGLETRANSLATE(B37371,""en"",""es-ES"")"),"El hombre observa intentos de caminar y se cae también al final.")</f>
        <v>El hombre observa intentos de caminar y se cae también al final.</v>
      </c>
    </row>
    <row r="37372">
      <c r="A37372" s="4" t="s">
        <v>46996</v>
      </c>
      <c r="B37372" s="4" t="s">
        <v>46997</v>
      </c>
      <c r="C37372" s="5" t="str">
        <f>IFERROR(__xludf.DUMMYFUNCTION("GOOGLETRANSLATE(B37372,""en"",""es-ES"")"),"Un hombre habla con la cámara mientras sostiene un tipo de objeto de correa con una bolsa en la mano.")</f>
        <v>Un hombre habla con la cámara mientras sostiene un tipo de objeto de correa con una bolsa en la mano.</v>
      </c>
    </row>
    <row r="37373">
      <c r="A37373" s="4" t="s">
        <v>46996</v>
      </c>
      <c r="B37373" s="4" t="s">
        <v>46998</v>
      </c>
      <c r="C37373" s="5" t="str">
        <f>IFERROR(__xludf.DUMMYFUNCTION("GOOGLETRANSLATE(B37373,""en"",""es-ES"")"),"La escena pasa a la correa que se usa en un perro.")</f>
        <v>La escena pasa a la correa que se usa en un perro.</v>
      </c>
    </row>
    <row r="37374">
      <c r="A37374" s="4" t="s">
        <v>46996</v>
      </c>
      <c r="B37374" s="4" t="s">
        <v>46999</v>
      </c>
      <c r="C37374" s="5" t="str">
        <f>IFERROR(__xludf.DUMMYFUNCTION("GOOGLETRANSLATE(B37374,""en"",""es-ES"")"),"La escena pasa a un primer plano del hombre desmontando y reensamblando la correa.")</f>
        <v>La escena pasa a un primer plano del hombre desmontando y reensamblando la correa.</v>
      </c>
    </row>
    <row r="37375">
      <c r="A37375" s="4" t="s">
        <v>46996</v>
      </c>
      <c r="B37375" s="4" t="s">
        <v>47000</v>
      </c>
      <c r="C37375" s="5" t="str">
        <f>IFERROR(__xludf.DUMMYFUNCTION("GOOGLETRANSLATE(B37375,""en"",""es-ES"")"),"La escena pasa a la correa que se usa en un perro nuevamente.")</f>
        <v>La escena pasa a la correa que se usa en un perro nuevamente.</v>
      </c>
    </row>
    <row r="37376">
      <c r="A37376" s="4" t="s">
        <v>46996</v>
      </c>
      <c r="B37376" s="4" t="s">
        <v>47001</v>
      </c>
      <c r="C37376" s="5" t="str">
        <f>IFERROR(__xludf.DUMMYFUNCTION("GOOGLETRANSLATE(B37376,""en"",""es-ES"")"),"El hombre se muestra en un primer plano que interactúa y acaricia al perro.")</f>
        <v>El hombre se muestra en un primer plano que interactúa y acaricia al perro.</v>
      </c>
    </row>
    <row r="37377">
      <c r="A37377" s="4" t="s">
        <v>47002</v>
      </c>
      <c r="B37377" s="4" t="s">
        <v>47003</v>
      </c>
      <c r="C37377" s="5" t="str">
        <f>IFERROR(__xludf.DUMMYFUNCTION("GOOGLETRANSLATE(B37377,""en"",""es-ES"")"),"Una mujer está mostrando sus uñas.")</f>
        <v>Una mujer está mostrando sus uñas.</v>
      </c>
    </row>
    <row r="37378">
      <c r="A37378" s="4" t="s">
        <v>47002</v>
      </c>
      <c r="B37378" s="4" t="s">
        <v>47004</v>
      </c>
      <c r="C37378" s="5" t="str">
        <f>IFERROR(__xludf.DUMMYFUNCTION("GOOGLETRANSLATE(B37378,""en"",""es-ES"")"),"Se muestra una botella de acetona.")</f>
        <v>Se muestra una botella de acetona.</v>
      </c>
    </row>
    <row r="37379">
      <c r="A37379" s="4" t="s">
        <v>47002</v>
      </c>
      <c r="B37379" s="4" t="s">
        <v>47005</v>
      </c>
      <c r="C37379" s="5" t="str">
        <f>IFERROR(__xludf.DUMMYFUNCTION("GOOGLETRANSLATE(B37379,""en"",""es-ES"")"),"La acetona se vierte en un pequeño vaso.")</f>
        <v>La acetona se vierte en un pequeño vaso.</v>
      </c>
    </row>
    <row r="37380">
      <c r="A37380" s="4" t="s">
        <v>47002</v>
      </c>
      <c r="B37380" s="4" t="s">
        <v>47006</v>
      </c>
      <c r="C37380" s="5" t="str">
        <f>IFERROR(__xludf.DUMMYFUNCTION("GOOGLETRANSLATE(B37380,""en"",""es-ES"")"),"Una mujer ahora sostiene una servilleta.")</f>
        <v>Una mujer ahora sostiene una servilleta.</v>
      </c>
    </row>
    <row r="37381">
      <c r="A37381" s="4" t="s">
        <v>47002</v>
      </c>
      <c r="B37381" s="4" t="s">
        <v>47007</v>
      </c>
      <c r="C37381" s="5" t="str">
        <f>IFERROR(__xludf.DUMMYFUNCTION("GOOGLETRANSLATE(B37381,""en"",""es-ES"")"),"Se está sosteniendo un cepillo de maquillaje.")</f>
        <v>Se está sosteniendo un cepillo de maquillaje.</v>
      </c>
    </row>
    <row r="37382">
      <c r="A37382" s="4" t="s">
        <v>47002</v>
      </c>
      <c r="B37382" s="4" t="s">
        <v>47008</v>
      </c>
      <c r="C37382" s="5" t="str">
        <f>IFERROR(__xludf.DUMMYFUNCTION("GOOGLETRANSLATE(B37382,""en"",""es-ES"")"),"Se muestra una botella de esmalte de uñas.")</f>
        <v>Se muestra una botella de esmalte de uñas.</v>
      </c>
    </row>
    <row r="37383">
      <c r="A37383" s="4" t="s">
        <v>47002</v>
      </c>
      <c r="B37383" s="4" t="s">
        <v>47009</v>
      </c>
      <c r="C37383" s="5" t="str">
        <f>IFERROR(__xludf.DUMMYFUNCTION("GOOGLETRANSLATE(B37383,""en"",""es-ES"")"),"Una persona comienza a pintar sus uñas.")</f>
        <v>Una persona comienza a pintar sus uñas.</v>
      </c>
    </row>
    <row r="37384">
      <c r="A37384" s="4" t="s">
        <v>47002</v>
      </c>
      <c r="B37384" s="4" t="s">
        <v>47010</v>
      </c>
      <c r="C37384" s="5" t="str">
        <f>IFERROR(__xludf.DUMMYFUNCTION("GOOGLETRANSLATE(B37384,""en"",""es-ES"")"),"Se muestra otra botella de esmalte de uñas.")</f>
        <v>Se muestra otra botella de esmalte de uñas.</v>
      </c>
    </row>
    <row r="37385">
      <c r="A37385" s="4" t="s">
        <v>47002</v>
      </c>
      <c r="B37385" s="4" t="s">
        <v>47011</v>
      </c>
      <c r="C37385" s="5" t="str">
        <f>IFERROR(__xludf.DUMMYFUNCTION("GOOGLETRANSLATE(B37385,""en"",""es-ES"")"),"La persona continúa pintando sus uñas.")</f>
        <v>La persona continúa pintando sus uñas.</v>
      </c>
    </row>
    <row r="37386">
      <c r="A37386" s="4" t="s">
        <v>47002</v>
      </c>
      <c r="B37386" s="4" t="s">
        <v>47012</v>
      </c>
      <c r="C37386" s="5" t="str">
        <f>IFERROR(__xludf.DUMMYFUNCTION("GOOGLETRANSLATE(B37386,""en"",""es-ES"")"),"Usan el cepillo de maquillaje y lo sumergen en la acetona.")</f>
        <v>Usan el cepillo de maquillaje y lo sumergen en la acetona.</v>
      </c>
    </row>
    <row r="37387">
      <c r="A37387" s="4" t="s">
        <v>47002</v>
      </c>
      <c r="B37387" s="4" t="s">
        <v>47013</v>
      </c>
      <c r="C37387" s="5" t="str">
        <f>IFERROR(__xludf.DUMMYFUNCTION("GOOGLETRANSLATE(B37387,""en"",""es-ES"")"),"Frotan el cepillo en su uña.")</f>
        <v>Frotan el cepillo en su uña.</v>
      </c>
    </row>
    <row r="37388">
      <c r="A37388" s="4" t="s">
        <v>47002</v>
      </c>
      <c r="B37388" s="4" t="s">
        <v>47014</v>
      </c>
      <c r="C37388" s="5" t="str">
        <f>IFERROR(__xludf.DUMMYFUNCTION("GOOGLETRANSLATE(B37388,""en"",""es-ES"")"),"Usan un palo de madera para limpiar el costado de sus uñas.")</f>
        <v>Usan un palo de madera para limpiar el costado de sus uñas.</v>
      </c>
    </row>
    <row r="37389">
      <c r="A37389" s="4" t="s">
        <v>47002</v>
      </c>
      <c r="B37389" s="4" t="s">
        <v>47015</v>
      </c>
      <c r="C37389" s="5" t="str">
        <f>IFERROR(__xludf.DUMMYFUNCTION("GOOGLETRANSLATE(B37389,""en"",""es-ES"")"),"Se muestra una botella transparente de esmalte de uñas.")</f>
        <v>Se muestra una botella transparente de esmalte de uñas.</v>
      </c>
    </row>
    <row r="37390">
      <c r="A37390" s="4" t="s">
        <v>47002</v>
      </c>
      <c r="B37390" s="4" t="s">
        <v>47016</v>
      </c>
      <c r="C37390" s="5" t="str">
        <f>IFERROR(__xludf.DUMMYFUNCTION("GOOGLETRANSLATE(B37390,""en"",""es-ES"")"),"Luego pinta eso sobre sus uñas.")</f>
        <v>Luego pinta eso sobre sus uñas.</v>
      </c>
    </row>
    <row r="37391">
      <c r="A37391" s="4" t="s">
        <v>47017</v>
      </c>
      <c r="B37391" s="4" t="s">
        <v>47018</v>
      </c>
      <c r="C37391" s="5" t="str">
        <f>IFERROR(__xludf.DUMMYFUNCTION("GOOGLETRANSLATE(B37391,""en"",""es-ES"")"),"Vemos a una dama sosteniendo una flauta.")</f>
        <v>Vemos a una dama sosteniendo una flauta.</v>
      </c>
    </row>
    <row r="37392">
      <c r="A37392" s="4" t="s">
        <v>47017</v>
      </c>
      <c r="B37392" s="4" t="s">
        <v>47019</v>
      </c>
      <c r="C37392" s="5" t="str">
        <f>IFERROR(__xludf.DUMMYFUNCTION("GOOGLETRANSLATE(B37392,""en"",""es-ES"")"),"Vemos el título de la canción.")</f>
        <v>Vemos el título de la canción.</v>
      </c>
    </row>
    <row r="37393">
      <c r="A37393" s="4" t="s">
        <v>47017</v>
      </c>
      <c r="B37393" s="4" t="s">
        <v>47020</v>
      </c>
      <c r="C37393" s="5" t="str">
        <f>IFERROR(__xludf.DUMMYFUNCTION("GOOGLETRANSLATE(B37393,""en"",""es-ES"")"),"Vemos a una dama interpretando una canción en una flauta.")</f>
        <v>Vemos a una dama interpretando una canción en una flauta.</v>
      </c>
    </row>
    <row r="37394">
      <c r="A37394" s="4" t="s">
        <v>47017</v>
      </c>
      <c r="B37394" s="4" t="s">
        <v>47021</v>
      </c>
      <c r="C37394" s="5" t="str">
        <f>IFERROR(__xludf.DUMMYFUNCTION("GOOGLETRANSLATE(B37394,""en"",""es-ES"")"),"La niña hace una pausa y juega de nuevo.")</f>
        <v>La niña hace una pausa y juega de nuevo.</v>
      </c>
    </row>
    <row r="37395">
      <c r="A37395" s="4" t="s">
        <v>47017</v>
      </c>
      <c r="B37395" s="4" t="s">
        <v>47022</v>
      </c>
      <c r="C37395" s="5" t="str">
        <f>IFERROR(__xludf.DUMMYFUNCTION("GOOGLETRANSLATE(B37395,""en"",""es-ES"")"),"La niña termina de jugar y sonríe a la cámara.")</f>
        <v>La niña termina de jugar y sonríe a la cámara.</v>
      </c>
    </row>
    <row r="37396">
      <c r="A37396" s="4" t="s">
        <v>47023</v>
      </c>
      <c r="B37396" s="4" t="s">
        <v>47024</v>
      </c>
      <c r="C37396" s="5" t="str">
        <f>IFERROR(__xludf.DUMMYFUNCTION("GOOGLETRANSLATE(B37396,""en"",""es-ES"")"),"Los adolescentes conducen autos de parachoques eléctricos en un circuito ovalado mientras las personas miran detrás de la cerca.")</f>
        <v>Los adolescentes conducen autos de parachoques eléctricos en un circuito ovalado mientras las personas miran detrás de la cerca.</v>
      </c>
    </row>
    <row r="37397">
      <c r="A37397" s="4" t="s">
        <v>47023</v>
      </c>
      <c r="B37397" s="4" t="s">
        <v>47025</v>
      </c>
      <c r="C37397" s="5" t="str">
        <f>IFERROR(__xludf.DUMMYFUNCTION("GOOGLETRANSLATE(B37397,""en"",""es-ES"")"),"Dos chicas en un auto amarillo se atascan, pero luego continúan conduciendo.")</f>
        <v>Dos chicas en un auto amarillo se atascan, pero luego continúan conduciendo.</v>
      </c>
    </row>
    <row r="37398">
      <c r="A37398" s="4" t="s">
        <v>47023</v>
      </c>
      <c r="B37398" s="4" t="s">
        <v>47026</v>
      </c>
      <c r="C37398" s="5" t="str">
        <f>IFERROR(__xludf.DUMMYFUNCTION("GOOGLETRANSLATE(B37398,""en"",""es-ES"")"),"Todos los autos están atrapados en la pista, luego un automóvil sale y los otros se liberan de continuar conduciendo.")</f>
        <v>Todos los autos están atrapados en la pista, luego un automóvil sale y los otros se liberan de continuar conduciendo.</v>
      </c>
    </row>
    <row r="37399">
      <c r="A37399" s="4" t="s">
        <v>47023</v>
      </c>
      <c r="B37399" s="4" t="s">
        <v>47027</v>
      </c>
      <c r="C37399" s="5" t="str">
        <f>IFERROR(__xludf.DUMMYFUNCTION("GOOGLETRANSLATE(B37399,""en"",""es-ES"")"),"Luego, todos los autos se detienen y el adolescente saca los autos.")</f>
        <v>Luego, todos los autos se detienen y el adolescente saca los autos.</v>
      </c>
    </row>
    <row r="37400">
      <c r="A37400" s="4" t="s">
        <v>47028</v>
      </c>
      <c r="B37400" s="4" t="s">
        <v>1251</v>
      </c>
      <c r="C37400" s="5" t="str">
        <f>IFERROR(__xludf.DUMMYFUNCTION("GOOGLETRANSLATE(B37400,""en"",""es-ES"")"),"Se muestran los créditos del clip.")</f>
        <v>Se muestran los créditos del clip.</v>
      </c>
    </row>
    <row r="37401">
      <c r="A37401" s="4" t="s">
        <v>47028</v>
      </c>
      <c r="B37401" s="4" t="s">
        <v>47029</v>
      </c>
      <c r="C37401" s="5" t="str">
        <f>IFERROR(__xludf.DUMMYFUNCTION("GOOGLETRANSLATE(B37401,""en"",""es-ES"")"),"Se presentan instrucciones sobre cómo salto con pértiga.")</f>
        <v>Se presentan instrucciones sobre cómo salto con pértiga.</v>
      </c>
    </row>
    <row r="37402">
      <c r="A37402" s="4" t="s">
        <v>47028</v>
      </c>
      <c r="B37402" s="4" t="s">
        <v>47030</v>
      </c>
      <c r="C37402" s="5" t="str">
        <f>IFERROR(__xludf.DUMMYFUNCTION("GOOGLETRANSLATE(B37402,""en"",""es-ES"")"),"Una persona tiene un palo alargado y hueco.")</f>
        <v>Una persona tiene un palo alargado y hueco.</v>
      </c>
    </row>
    <row r="37403">
      <c r="A37403" s="4" t="s">
        <v>47028</v>
      </c>
      <c r="B37403" s="4" t="s">
        <v>47031</v>
      </c>
      <c r="C37403" s="5" t="str">
        <f>IFERROR(__xludf.DUMMYFUNCTION("GOOGLETRANSLATE(B37403,""en"",""es-ES"")"),"Un chico corre con un palo alargado y lo usa para elevarse sobre un obstáculo elevado.")</f>
        <v>Un chico corre con un palo alargado y lo usa para elevarse sobre un obstáculo elevado.</v>
      </c>
    </row>
    <row r="37404">
      <c r="A37404" s="4" t="s">
        <v>47028</v>
      </c>
      <c r="B37404" s="4" t="s">
        <v>47032</v>
      </c>
      <c r="C37404" s="5" t="str">
        <f>IFERROR(__xludf.DUMMYFUNCTION("GOOGLETRANSLATE(B37404,""en"",""es-ES"")"),"La parte superior del obstáculo se desmorona.")</f>
        <v>La parte superior del obstáculo se desmorona.</v>
      </c>
    </row>
    <row r="37405">
      <c r="A37405" s="4" t="s">
        <v>47028</v>
      </c>
      <c r="B37405" s="4" t="s">
        <v>47033</v>
      </c>
      <c r="C37405" s="5" t="str">
        <f>IFERROR(__xludf.DUMMYFUNCTION("GOOGLETRANSLATE(B37405,""en"",""es-ES"")"),"Un hombre usa un palo alargado para elevarse sobre un obstáculo elevado.")</f>
        <v>Un hombre usa un palo alargado para elevarse sobre un obstáculo elevado.</v>
      </c>
    </row>
    <row r="37406">
      <c r="A37406" s="4" t="s">
        <v>47028</v>
      </c>
      <c r="B37406" s="4" t="s">
        <v>573</v>
      </c>
      <c r="C37406" s="5" t="str">
        <f>IFERROR(__xludf.DUMMYFUNCTION("GOOGLETRANSLATE(B37406,""en"",""es-ES"")"),"Se muestran los créditos del video.")</f>
        <v>Se muestran los créditos del video.</v>
      </c>
    </row>
    <row r="37407">
      <c r="A37407" s="4" t="s">
        <v>47034</v>
      </c>
      <c r="B37407" s="4" t="s">
        <v>47035</v>
      </c>
      <c r="C37407" s="5" t="str">
        <f>IFERROR(__xludf.DUMMYFUNCTION("GOOGLETRANSLATE(B37407,""en"",""es-ES"")"),"Hay dos niños tocando rock, papel, tijeras.")</f>
        <v>Hay dos niños tocando rock, papel, tijeras.</v>
      </c>
    </row>
    <row r="37408">
      <c r="A37408" s="4" t="s">
        <v>47034</v>
      </c>
      <c r="B37408" s="4" t="s">
        <v>47036</v>
      </c>
      <c r="C37408" s="5" t="str">
        <f>IFERROR(__xludf.DUMMYFUNCTION("GOOGLETRANSLATE(B37408,""en"",""es-ES"")"),"Primero juegan un juego y el niño que está sin camisa pierde y es abofeteado.")</f>
        <v>Primero juegan un juego y el niño que está sin camisa pierde y es abofeteado.</v>
      </c>
    </row>
    <row r="37409">
      <c r="A37409" s="4" t="s">
        <v>47034</v>
      </c>
      <c r="B37409" s="4" t="s">
        <v>47037</v>
      </c>
      <c r="C37409" s="5" t="str">
        <f>IFERROR(__xludf.DUMMYFUNCTION("GOOGLETRANSLATE(B37409,""en"",""es-ES"")"),"Luego juegan dos juegos más, una persona gana y el niño sin camisa pierde.")</f>
        <v>Luego juegan dos juegos más, una persona gana y el niño sin camisa pierde.</v>
      </c>
    </row>
    <row r="37410">
      <c r="A37410" s="4" t="s">
        <v>47034</v>
      </c>
      <c r="B37410" s="4" t="s">
        <v>47038</v>
      </c>
      <c r="C37410" s="5" t="str">
        <f>IFERROR(__xludf.DUMMYFUNCTION("GOOGLETRANSLATE(B37410,""en"",""es-ES"")"),"Entonces el niño que lleva un suéter pierde y el otro niño lo abofetea.")</f>
        <v>Entonces el niño que lleva un suéter pierde y el otro niño lo abofetea.</v>
      </c>
    </row>
    <row r="37411">
      <c r="A37411" s="4" t="s">
        <v>47039</v>
      </c>
      <c r="B37411" s="4" t="s">
        <v>47040</v>
      </c>
      <c r="C37411" s="5" t="str">
        <f>IFERROR(__xludf.DUMMYFUNCTION("GOOGLETRANSLATE(B37411,""en"",""es-ES"")"),"Un hombre calvo está parado en un edificio industrial con mucho vidrio en el techo.")</f>
        <v>Un hombre calvo está parado en un edificio industrial con mucho vidrio en el techo.</v>
      </c>
    </row>
    <row r="37412">
      <c r="A37412" s="4" t="s">
        <v>47039</v>
      </c>
      <c r="B37412" s="4" t="s">
        <v>47041</v>
      </c>
      <c r="C37412" s="5" t="str">
        <f>IFERROR(__xludf.DUMMYFUNCTION("GOOGLETRANSLATE(B37412,""en"",""es-ES"")"),"El amigo del hombre luego toma un bar y comienza a levantar pesas y sacudirse.")</f>
        <v>El amigo del hombre luego toma un bar y comienza a levantar pesas y sacudirse.</v>
      </c>
    </row>
    <row r="37413">
      <c r="A37413" s="4" t="s">
        <v>47039</v>
      </c>
      <c r="B37413" s="4" t="s">
        <v>47042</v>
      </c>
      <c r="C37413" s="5" t="str">
        <f>IFERROR(__xludf.DUMMYFUNCTION("GOOGLETRANSLATE(B37413,""en"",""es-ES"")"),"Todas las acciones continúan pero con diferentes personas como varias personas dan un paso adelante para tomar el bar.")</f>
        <v>Todas las acciones continúan pero con diferentes personas como varias personas dan un paso adelante para tomar el bar.</v>
      </c>
    </row>
    <row r="37414">
      <c r="A37414" s="4" t="s">
        <v>47043</v>
      </c>
      <c r="B37414" s="4" t="s">
        <v>47044</v>
      </c>
      <c r="C37414" s="5" t="str">
        <f>IFERROR(__xludf.DUMMYFUNCTION("GOOGLETRANSLATE(B37414,""en"",""es-ES"")"),"La gente surfean en el océano y un hombre pasa bajo una gran ola.")</f>
        <v>La gente surfean en el océano y un hombre pasa bajo una gran ola.</v>
      </c>
    </row>
    <row r="37415">
      <c r="A37415" s="4" t="s">
        <v>47043</v>
      </c>
      <c r="B37415" s="4" t="s">
        <v>47045</v>
      </c>
      <c r="C37415" s="5" t="str">
        <f>IFERROR(__xludf.DUMMYFUNCTION("GOOGLETRANSLATE(B37415,""en"",""es-ES"")"),"Un hombre surfee en una pequeña ola a lo largo de la playa.")</f>
        <v>Un hombre surfee en una pequeña ola a lo largo de la playa.</v>
      </c>
    </row>
    <row r="37416">
      <c r="A37416" s="4" t="s">
        <v>47043</v>
      </c>
      <c r="B37416" s="4" t="s">
        <v>47046</v>
      </c>
      <c r="C37416" s="5" t="str">
        <f>IFERROR(__xludf.DUMMYFUNCTION("GOOGLETRANSLATE(B37416,""en"",""es-ES"")"),"Luego, el hombre sale del agua, después de tomar la tabla de surf y regresar a surfear en una ola alta.")</f>
        <v>Luego, el hombre sale del agua, después de tomar la tabla de surf y regresar a surfear en una ola alta.</v>
      </c>
    </row>
    <row r="37417">
      <c r="A37417" s="4" t="s">
        <v>47043</v>
      </c>
      <c r="B37417" s="4" t="s">
        <v>47047</v>
      </c>
      <c r="C37417" s="5" t="str">
        <f>IFERROR(__xludf.DUMMYFUNCTION("GOOGLETRANSLATE(B37417,""en"",""es-ES"")"),"La gente nade en la playa.")</f>
        <v>La gente nade en la playa.</v>
      </c>
    </row>
    <row r="37418">
      <c r="A37418" s="4" t="s">
        <v>47048</v>
      </c>
      <c r="B37418" s="4" t="s">
        <v>47049</v>
      </c>
      <c r="C37418" s="5" t="str">
        <f>IFERROR(__xludf.DUMMYFUNCTION("GOOGLETRANSLATE(B37418,""en"",""es-ES"")"),"La gente se reúne en un restaurante, luego una cocina muestra pasta e ingredientes mientras habla.")</f>
        <v>La gente se reúne en un restaurante, luego una cocina muestra pasta e ingredientes mientras habla.</v>
      </c>
    </row>
    <row r="37419">
      <c r="A37419" s="4" t="s">
        <v>47048</v>
      </c>
      <c r="B37419" s="4" t="s">
        <v>47050</v>
      </c>
      <c r="C37419" s="5" t="str">
        <f>IFERROR(__xludf.DUMMYFUNCTION("GOOGLETRANSLATE(B37419,""en"",""es-ES"")"),"La olla corta y las papas fritas en una olla, luego agrega sal y vinagre.")</f>
        <v>La olla corta y las papas fritas en una olla, luego agrega sal y vinagre.</v>
      </c>
    </row>
    <row r="37420">
      <c r="A37420" s="4" t="s">
        <v>47048</v>
      </c>
      <c r="B37420" s="4" t="s">
        <v>47051</v>
      </c>
      <c r="C37420" s="5" t="str">
        <f>IFERROR(__xludf.DUMMYFUNCTION("GOOGLETRANSLATE(B37420,""en"",""es-ES"")"),"Luego, la olla corta corta los tomates y se agrega al calamar, también agrega ajo, pimienta y verduras verdes.")</f>
        <v>Luego, la olla corta corta los tomates y se agrega al calamar, también agrega ajo, pimienta y verduras verdes.</v>
      </c>
    </row>
    <row r="37421">
      <c r="A37421" s="4" t="s">
        <v>47048</v>
      </c>
      <c r="B37421" s="4" t="s">
        <v>47052</v>
      </c>
      <c r="C37421" s="5" t="str">
        <f>IFERROR(__xludf.DUMMYFUNCTION("GOOGLETRANSLATE(B37421,""en"",""es-ES"")"),"Después, la olla agrega agua y cubre la olla con papel de aluminio.")</f>
        <v>Después, la olla agrega agua y cubre la olla con papel de aluminio.</v>
      </c>
    </row>
    <row r="37422">
      <c r="A37422" s="4" t="s">
        <v>47048</v>
      </c>
      <c r="B37422" s="4" t="s">
        <v>47053</v>
      </c>
      <c r="C37422" s="5" t="str">
        <f>IFERROR(__xludf.DUMMYFUNCTION("GOOGLETRANSLATE(B37422,""en"",""es-ES"")"),"Luego, la olla de cocción agrega la pasta al calamar y mezcla, luego él y sirven en un plato mientras habla.")</f>
        <v>Luego, la olla de cocción agrega la pasta al calamar y mezcla, luego él y sirven en un plato mientras habla.</v>
      </c>
    </row>
  </sheetData>
  <drawing r:id="rId1"/>
</worksheet>
</file>